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24226"/>
  <mc:AlternateContent xmlns:mc="http://schemas.openxmlformats.org/markup-compatibility/2006">
    <mc:Choice Requires="x15">
      <x15ac:absPath xmlns:x15ac="http://schemas.microsoft.com/office/spreadsheetml/2010/11/ac" url="\\servidor\PROJ_DESENVOLVIMENTO\IFCE\IFCE_BOA.VIAGEM\IFCE_CIDTS\IFCE_CIDTS_DE\"/>
    </mc:Choice>
  </mc:AlternateContent>
  <xr:revisionPtr revIDLastSave="0" documentId="13_ncr:1_{CF4F481E-6A91-4B9E-B603-B77D3EFB4D38}" xr6:coauthVersionLast="47" xr6:coauthVersionMax="47" xr10:uidLastSave="{00000000-0000-0000-0000-000000000000}"/>
  <bookViews>
    <workbookView xWindow="22932" yWindow="-84" windowWidth="23256" windowHeight="12456" tabRatio="939" firstSheet="2" activeTab="2" xr2:uid="{00000000-000D-0000-FFFF-FFFF00000000}"/>
  </bookViews>
  <sheets>
    <sheet name="SINAPI" sheetId="2" state="hidden" r:id="rId1"/>
    <sheet name="SEINFRA" sheetId="3" state="hidden" r:id="rId2"/>
    <sheet name="ORCAMENTO" sheetId="1" r:id="rId3"/>
    <sheet name="MEMORIAL" sheetId="24" r:id="rId4"/>
    <sheet name="CRONOGRAMA" sheetId="7" r:id="rId5"/>
    <sheet name="COMP.01_CERCA" sheetId="23" r:id="rId6"/>
    <sheet name="COMP.02_CAIXA.01" sheetId="39" r:id="rId7"/>
    <sheet name="COMP.03_CAIXA.02" sheetId="31" r:id="rId8"/>
    <sheet name="COMP.04_CAIXA.03" sheetId="32" r:id="rId9"/>
    <sheet name="COMP.05_CAIXA.04" sheetId="33" r:id="rId10"/>
    <sheet name="COMP.06_REF.50W" sheetId="30" r:id="rId11"/>
    <sheet name="COMP.07_LED.18W" sheetId="8" r:id="rId12"/>
    <sheet name="COMP.08_RALO" sheetId="12" r:id="rId13"/>
    <sheet name="COMP.09_CABO3X1,5MM" sheetId="34" r:id="rId14"/>
    <sheet name="COMP.10_HIDRAN." sheetId="27" r:id="rId15"/>
    <sheet name="COMP.11_SIN_20.20" sheetId="13" r:id="rId16"/>
    <sheet name="COMP.12_SIN_12.40" sheetId="14" r:id="rId17"/>
    <sheet name="COMP.13_BARRA" sheetId="37" r:id="rId18"/>
    <sheet name="COMP.14_TERMINAL" sheetId="35" r:id="rId19"/>
    <sheet name="COMP.15_EQUALIZACAO" sheetId="36" r:id="rId20"/>
    <sheet name="COMP.16_PORTA.04" sheetId="15" r:id="rId21"/>
    <sheet name="COMP.17_PORTA.05" sheetId="16" r:id="rId22"/>
    <sheet name="COMP.18_PORTA.06" sheetId="17" r:id="rId23"/>
    <sheet name="COMP.19_PORTA.07" sheetId="19" r:id="rId24"/>
    <sheet name="COMP.20_PORTA.08" sheetId="20" r:id="rId25"/>
    <sheet name="COMP.21_J.GUILHOTINA" sheetId="21" r:id="rId26"/>
    <sheet name="COMP.22_BRISE" sheetId="22" r:id="rId27"/>
    <sheet name="COMP.23_TRELICA" sheetId="40" r:id="rId28"/>
    <sheet name="BDI" sheetId="6" r:id="rId29"/>
    <sheet name="COTACAO" sheetId="38" r:id="rId30"/>
    <sheet name="ENCARGOS_SEINFRA" sheetId="28" r:id="rId31"/>
    <sheet name="ENCARGOS_SINAPI" sheetId="29" r:id="rId32"/>
  </sheets>
  <definedNames>
    <definedName name="_sub1" localSheetId="28">#REF!</definedName>
    <definedName name="_sub1" localSheetId="4">#REF!</definedName>
    <definedName name="_sub1" localSheetId="30">#REF!</definedName>
    <definedName name="_sub1" localSheetId="3">#REF!</definedName>
    <definedName name="_sub1" localSheetId="0">#REF!</definedName>
    <definedName name="_sub1">#REF!</definedName>
    <definedName name="_sub2" localSheetId="28">#REF!</definedName>
    <definedName name="_sub2" localSheetId="4">#REF!</definedName>
    <definedName name="_sub2" localSheetId="3">#REF!</definedName>
    <definedName name="_sub2" localSheetId="0">#REF!</definedName>
    <definedName name="_sub2">#REF!</definedName>
    <definedName name="_sub3" localSheetId="28">#REF!</definedName>
    <definedName name="_sub3" localSheetId="4">#REF!</definedName>
    <definedName name="_sub3" localSheetId="3">#REF!</definedName>
    <definedName name="_sub3" localSheetId="0">#REF!</definedName>
    <definedName name="_sub3">#REF!</definedName>
    <definedName name="_sub4">#REF!</definedName>
    <definedName name="_xlnm.Print_Area" localSheetId="28">BDI!$A$1:$C$39</definedName>
    <definedName name="_xlnm.Print_Area" localSheetId="5">'COMP.01_CERCA'!$A$1:$G$40</definedName>
    <definedName name="_xlnm.Print_Area" localSheetId="6">'COMP.02_CAIXA.01'!$A$1:$G$34</definedName>
    <definedName name="_xlnm.Print_Area" localSheetId="7">'COMP.03_CAIXA.02'!$A$1:$G$34</definedName>
    <definedName name="_xlnm.Print_Area" localSheetId="8">'COMP.04_CAIXA.03'!$A$1:$G$34</definedName>
    <definedName name="_xlnm.Print_Area" localSheetId="9">'COMP.05_CAIXA.04'!$A$1:$G$34</definedName>
    <definedName name="_xlnm.Print_Area" localSheetId="10">'COMP.06_REF.50W'!$A$1:$G$34</definedName>
    <definedName name="_xlnm.Print_Area" localSheetId="11">'COMP.07_LED.18W'!$A$1:$G$34</definedName>
    <definedName name="_xlnm.Print_Area" localSheetId="12">'COMP.08_RALO'!$A$1:$G$38</definedName>
    <definedName name="_xlnm.Print_Area" localSheetId="13">'COMP.09_CABO3X1,5MM'!$A$1:$G$35</definedName>
    <definedName name="_xlnm.Print_Area" localSheetId="14">'COMP.10_HIDRAN.'!$A$1:$G$40</definedName>
    <definedName name="_xlnm.Print_Area" localSheetId="17">'COMP.13_BARRA'!$A$1:$G$34</definedName>
    <definedName name="_xlnm.Print_Area" localSheetId="18">'COMP.14_TERMINAL'!$A$1:$G$34</definedName>
    <definedName name="_xlnm.Print_Area" localSheetId="19">'COMP.15_EQUALIZACAO'!$A$1:$G$34</definedName>
    <definedName name="_xlnm.Print_Area" localSheetId="20">'COMP.16_PORTA.04'!$A$1:$G$44</definedName>
    <definedName name="_xlnm.Print_Area" localSheetId="21">'COMP.17_PORTA.05'!$A$1:$G$41</definedName>
    <definedName name="_xlnm.Print_Area" localSheetId="22">'COMP.18_PORTA.06'!$A$1:$G$42</definedName>
    <definedName name="_xlnm.Print_Area" localSheetId="23">'COMP.19_PORTA.07'!$A$1:$G$44</definedName>
    <definedName name="_xlnm.Print_Area" localSheetId="24">'COMP.20_PORTA.08'!$A$1:$G$41</definedName>
    <definedName name="_xlnm.Print_Area" localSheetId="25">'COMP.21_J.GUILHOTINA'!$A$1:$G$38</definedName>
    <definedName name="_xlnm.Print_Area" localSheetId="26">'COMP.22_BRISE'!$A$1:$G$40</definedName>
    <definedName name="_xlnm.Print_Area" localSheetId="27">'COMP.23_TRELICA'!$A$1:$G$43</definedName>
    <definedName name="_xlnm.Print_Area" localSheetId="29">COTACAO!$A$1:$H$36</definedName>
    <definedName name="_xlnm.Print_Area" localSheetId="4">CRONOGRAMA!$A$1:$P$46</definedName>
    <definedName name="_xlnm.Print_Area" localSheetId="30">ENCARGOS_SEINFRA!$A$1:$D$59</definedName>
    <definedName name="_xlnm.Print_Area" localSheetId="31">ENCARGOS_SINAPI!$A$1:$D$59</definedName>
    <definedName name="_xlnm.Print_Area" localSheetId="3">MEMORIAL!$A$1:$O$2671</definedName>
    <definedName name="_xlnm.Print_Area" localSheetId="2">ORCAMENTO!$A$1:$I$392</definedName>
    <definedName name="_xlnm.Print_Area" localSheetId="1">SEINFRA!$A$1:$D$17527</definedName>
    <definedName name="_xlnm.Print_Area" localSheetId="0">SINAPI!$A$1:$D$14624</definedName>
    <definedName name="bacia16" localSheetId="28">#REF!</definedName>
    <definedName name="bacia16" localSheetId="4">#REF!</definedName>
    <definedName name="bacia16" localSheetId="30">#REF!</definedName>
    <definedName name="bacia16" localSheetId="0">#REF!</definedName>
    <definedName name="bacia16">#REF!</definedName>
    <definedName name="bacia20" localSheetId="0">#REF!</definedName>
    <definedName name="bacia20">#REF!</definedName>
    <definedName name="bdi" localSheetId="0">#REF!</definedName>
    <definedName name="bdi">#REF!</definedName>
    <definedName name="Excel_BuiltIn_Print_Area_1_1">#REF!</definedName>
    <definedName name="FATOR">#REF!</definedName>
    <definedName name="G_09">#REF!</definedName>
    <definedName name="geral">#REF!</definedName>
    <definedName name="_xlnm.Recorder">#REF!</definedName>
    <definedName name="SG_03_01" localSheetId="0">#REF!</definedName>
    <definedName name="SG_03_01">#REF!</definedName>
    <definedName name="SG_03_02">#REF!</definedName>
    <definedName name="SG_03_03">#REF!</definedName>
    <definedName name="SG_03_04">#REF!</definedName>
    <definedName name="SG_03_05">#REF!</definedName>
    <definedName name="SG_03_06">#REF!</definedName>
    <definedName name="SG_03_07">#REF!</definedName>
    <definedName name="SG_03_08">#REF!</definedName>
    <definedName name="SG_03_09">#REF!</definedName>
    <definedName name="SG_03_10">#REF!</definedName>
    <definedName name="SG_03_11">#REF!</definedName>
    <definedName name="SG_03_12">#REF!</definedName>
    <definedName name="SG_03_13">#REF!</definedName>
    <definedName name="SG_03_14">#REF!</definedName>
    <definedName name="SG_03_15">#REF!</definedName>
    <definedName name="SG_03_16">#REF!</definedName>
    <definedName name="SG_03_17">#REF!</definedName>
    <definedName name="SG_03_18">#REF!</definedName>
    <definedName name="SG_03_19">#REF!</definedName>
    <definedName name="SG_03_20">#REF!</definedName>
    <definedName name="SG_04_01">#REF!</definedName>
    <definedName name="SG_04_02">#REF!</definedName>
    <definedName name="SG_04_03">#REF!</definedName>
    <definedName name="SG_04_04">#REF!</definedName>
    <definedName name="SG_04_05">#REF!</definedName>
    <definedName name="SG_04_06">#REF!</definedName>
    <definedName name="SG_04_07">#REF!</definedName>
    <definedName name="SG_04_08">#REF!</definedName>
    <definedName name="SG_04_09">#REF!</definedName>
    <definedName name="SG_04_10">#REF!</definedName>
    <definedName name="SG_04_11">#REF!</definedName>
    <definedName name="SG_04_12">#REF!</definedName>
    <definedName name="SG_04_13">#REF!</definedName>
    <definedName name="SG_04_14">#REF!</definedName>
    <definedName name="SG_04_15">#REF!</definedName>
    <definedName name="SG_04_16">#REF!</definedName>
    <definedName name="SG_04_17">#REF!</definedName>
    <definedName name="SG_04_18">#REF!</definedName>
    <definedName name="SG_04_19">#REF!</definedName>
    <definedName name="SG_04_20">#REF!</definedName>
    <definedName name="SG_05_01">#REF!</definedName>
    <definedName name="SG_05_02">#REF!</definedName>
    <definedName name="SG_05_03">#REF!</definedName>
    <definedName name="SG_05_04">#REF!</definedName>
    <definedName name="SG_05_05">#REF!</definedName>
    <definedName name="SG_05_06">#REF!</definedName>
    <definedName name="SG_05_07">#REF!</definedName>
    <definedName name="SG_05_08">#REF!</definedName>
    <definedName name="SG_05_09">#REF!</definedName>
    <definedName name="SG_05_10">#REF!</definedName>
    <definedName name="SG_05_11">#REF!</definedName>
    <definedName name="SG_05_12">#REF!</definedName>
    <definedName name="SG_05_13">#REF!</definedName>
    <definedName name="SG_05_14">#REF!</definedName>
    <definedName name="SG_05_15">#REF!</definedName>
    <definedName name="SG_05_16">#REF!</definedName>
    <definedName name="SG_05_17">#REF!</definedName>
    <definedName name="SG_05_18">#REF!</definedName>
    <definedName name="SG_05_19">#REF!</definedName>
    <definedName name="SG_05_20">#REF!</definedName>
    <definedName name="SG_08_04">#REF!</definedName>
    <definedName name="SG_09_01">#REF!</definedName>
    <definedName name="SG_09_02">#REF!</definedName>
    <definedName name="teste">#REF!</definedName>
    <definedName name="teste1">#REF!</definedName>
    <definedName name="teste2">#REF!</definedName>
    <definedName name="teste3">#REF!</definedName>
    <definedName name="V">#REF!</definedName>
  </definedNames>
  <calcPr calcId="181029"/>
</workbook>
</file>

<file path=xl/calcChain.xml><?xml version="1.0" encoding="utf-8"?>
<calcChain xmlns="http://schemas.openxmlformats.org/spreadsheetml/2006/main">
  <c r="M2093" i="24" l="1"/>
  <c r="E332" i="1"/>
  <c r="D332" i="1"/>
  <c r="C332" i="1"/>
  <c r="G36" i="40"/>
  <c r="E34" i="40"/>
  <c r="E35" i="40"/>
  <c r="E33" i="40"/>
  <c r="F35" i="40"/>
  <c r="G35" i="40" s="1"/>
  <c r="F34" i="40"/>
  <c r="G34" i="40" s="1"/>
  <c r="F33" i="40"/>
  <c r="G33" i="40" s="1"/>
  <c r="D35" i="40"/>
  <c r="C35" i="40"/>
  <c r="D34" i="40"/>
  <c r="C34" i="40"/>
  <c r="D33" i="40"/>
  <c r="C33" i="40"/>
  <c r="E28" i="40"/>
  <c r="E29" i="40"/>
  <c r="F28" i="40"/>
  <c r="D28" i="40"/>
  <c r="C28" i="40"/>
  <c r="E26" i="40"/>
  <c r="E32" i="40"/>
  <c r="A43" i="40"/>
  <c r="F32" i="40"/>
  <c r="D32" i="40"/>
  <c r="C32" i="40"/>
  <c r="F29" i="40"/>
  <c r="G29" i="40" s="1"/>
  <c r="D29" i="40"/>
  <c r="C29" i="40"/>
  <c r="F27" i="40"/>
  <c r="G27" i="40" s="1"/>
  <c r="D27" i="40"/>
  <c r="C27" i="40"/>
  <c r="F26" i="40"/>
  <c r="D26" i="40"/>
  <c r="C26" i="40"/>
  <c r="F23" i="40"/>
  <c r="G23" i="40" s="1"/>
  <c r="D23" i="40"/>
  <c r="C23" i="40"/>
  <c r="F22" i="40"/>
  <c r="G22" i="40" s="1"/>
  <c r="D22" i="40"/>
  <c r="C22" i="40"/>
  <c r="B17" i="40"/>
  <c r="B16" i="40"/>
  <c r="A15" i="40"/>
  <c r="B14" i="40"/>
  <c r="B13" i="40"/>
  <c r="A12" i="40"/>
  <c r="A11" i="40"/>
  <c r="A9" i="40"/>
  <c r="A8" i="40"/>
  <c r="A7" i="40"/>
  <c r="A6" i="40"/>
  <c r="A5" i="40"/>
  <c r="A4" i="40"/>
  <c r="A2" i="40"/>
  <c r="F29" i="23"/>
  <c r="G29" i="23" s="1"/>
  <c r="F30" i="23"/>
  <c r="G30" i="23" s="1"/>
  <c r="F31" i="23"/>
  <c r="G31" i="23" s="1"/>
  <c r="F32" i="23"/>
  <c r="G32" i="23" s="1"/>
  <c r="F23" i="23"/>
  <c r="G23" i="23" s="1"/>
  <c r="F24" i="23"/>
  <c r="G24" i="23" s="1"/>
  <c r="F25" i="23"/>
  <c r="G25" i="23" s="1"/>
  <c r="G28" i="40" l="1"/>
  <c r="G26" i="40"/>
  <c r="G32" i="40"/>
  <c r="G24" i="40"/>
  <c r="M646" i="24"/>
  <c r="M645" i="24"/>
  <c r="M644" i="24"/>
  <c r="M643" i="24"/>
  <c r="M642" i="24"/>
  <c r="M636" i="24"/>
  <c r="M635" i="24"/>
  <c r="M634" i="24"/>
  <c r="M633" i="24"/>
  <c r="M632" i="24"/>
  <c r="O633" i="24"/>
  <c r="O634" i="24"/>
  <c r="O635" i="24"/>
  <c r="O636" i="24"/>
  <c r="M626" i="24"/>
  <c r="M625" i="24"/>
  <c r="M624" i="24"/>
  <c r="M623" i="24"/>
  <c r="M622" i="24"/>
  <c r="M621" i="24"/>
  <c r="M615" i="24"/>
  <c r="M603" i="24"/>
  <c r="M597" i="24"/>
  <c r="M591" i="24"/>
  <c r="M585" i="24"/>
  <c r="M579" i="24"/>
  <c r="A600" i="24"/>
  <c r="A594" i="24"/>
  <c r="O603" i="24"/>
  <c r="O604" i="24" s="1"/>
  <c r="O600" i="24" s="1"/>
  <c r="O597" i="24"/>
  <c r="O598" i="24" s="1"/>
  <c r="O594" i="24" s="1"/>
  <c r="G71" i="1"/>
  <c r="H71" i="1" s="1"/>
  <c r="G70" i="1"/>
  <c r="H70" i="1" s="1"/>
  <c r="E71" i="1"/>
  <c r="E70" i="1"/>
  <c r="N594" i="24" s="1"/>
  <c r="D70" i="1"/>
  <c r="B594" i="24" s="1"/>
  <c r="D71" i="1"/>
  <c r="M678" i="24"/>
  <c r="O678" i="24" s="1"/>
  <c r="O679" i="24" s="1"/>
  <c r="O675" i="24" s="1"/>
  <c r="A675" i="24"/>
  <c r="N675" i="24" s="1"/>
  <c r="E82" i="1"/>
  <c r="D82" i="1"/>
  <c r="C82" i="1"/>
  <c r="A34" i="39"/>
  <c r="F26" i="39"/>
  <c r="G26" i="39" s="1"/>
  <c r="G27" i="39" s="1"/>
  <c r="D26" i="39"/>
  <c r="C26" i="39"/>
  <c r="F23" i="39"/>
  <c r="G23" i="39" s="1"/>
  <c r="D23" i="39"/>
  <c r="C23" i="39"/>
  <c r="F22" i="39"/>
  <c r="G22" i="39" s="1"/>
  <c r="G24" i="39" s="1"/>
  <c r="D22" i="39"/>
  <c r="C22" i="39"/>
  <c r="C17" i="39"/>
  <c r="C16" i="39"/>
  <c r="A15" i="39"/>
  <c r="C14" i="39"/>
  <c r="C13" i="39"/>
  <c r="A12" i="39"/>
  <c r="A11" i="39"/>
  <c r="A9" i="39"/>
  <c r="A8" i="39"/>
  <c r="A7" i="39"/>
  <c r="A6" i="39"/>
  <c r="A5" i="39"/>
  <c r="A4" i="39"/>
  <c r="A2" i="39"/>
  <c r="M662" i="24"/>
  <c r="M669" i="24"/>
  <c r="M670" i="24"/>
  <c r="M671" i="24"/>
  <c r="M668" i="24"/>
  <c r="M702" i="24"/>
  <c r="M2100" i="24"/>
  <c r="K2100" i="24"/>
  <c r="O2100" i="24" s="1"/>
  <c r="K2099" i="24"/>
  <c r="M2099" i="24"/>
  <c r="A2096" i="24"/>
  <c r="A2671" i="24"/>
  <c r="G333" i="1"/>
  <c r="E333" i="1"/>
  <c r="D333" i="1"/>
  <c r="F30" i="21"/>
  <c r="F27" i="21"/>
  <c r="F26" i="21"/>
  <c r="F23" i="21"/>
  <c r="F22" i="21"/>
  <c r="D30" i="21"/>
  <c r="D27" i="21"/>
  <c r="D26" i="21"/>
  <c r="D23" i="21"/>
  <c r="D22" i="21"/>
  <c r="C30" i="21"/>
  <c r="C27" i="21"/>
  <c r="C26" i="21"/>
  <c r="C23" i="21"/>
  <c r="C22" i="21"/>
  <c r="Q23" i="7"/>
  <c r="Q24" i="7"/>
  <c r="Q25" i="7"/>
  <c r="Q26" i="7"/>
  <c r="Q27" i="7"/>
  <c r="Q28" i="7"/>
  <c r="Q29" i="7"/>
  <c r="Q30" i="7"/>
  <c r="Q31" i="7"/>
  <c r="Q32" i="7"/>
  <c r="Q33" i="7"/>
  <c r="Q34" i="7"/>
  <c r="Q35" i="7"/>
  <c r="Q36" i="7"/>
  <c r="Q37" i="7"/>
  <c r="Q38" i="7"/>
  <c r="Q39" i="7"/>
  <c r="Q40" i="7"/>
  <c r="E257" i="1"/>
  <c r="D257" i="1"/>
  <c r="C257" i="1"/>
  <c r="F26" i="37"/>
  <c r="D26" i="37"/>
  <c r="C26" i="37"/>
  <c r="B26" i="37"/>
  <c r="F33" i="38"/>
  <c r="E33" i="38"/>
  <c r="D33" i="38"/>
  <c r="F27" i="12"/>
  <c r="D27" i="12"/>
  <c r="C27" i="12"/>
  <c r="B27" i="12"/>
  <c r="F26" i="8"/>
  <c r="D26" i="8"/>
  <c r="C26" i="8"/>
  <c r="B26" i="8"/>
  <c r="H28" i="38"/>
  <c r="H23" i="38"/>
  <c r="A36" i="38"/>
  <c r="B13" i="38"/>
  <c r="B14" i="38"/>
  <c r="B16" i="38"/>
  <c r="B17" i="38"/>
  <c r="A4" i="38"/>
  <c r="A5" i="38"/>
  <c r="A6" i="38"/>
  <c r="A7" i="38"/>
  <c r="A8" i="38"/>
  <c r="A9" i="38"/>
  <c r="A11" i="38"/>
  <c r="A12" i="38"/>
  <c r="A15" i="38"/>
  <c r="A2" i="38"/>
  <c r="G33" i="38"/>
  <c r="G28" i="38"/>
  <c r="G23" i="38"/>
  <c r="G30" i="40" l="1"/>
  <c r="G38" i="40"/>
  <c r="G41" i="40" s="1"/>
  <c r="G332" i="1" s="1"/>
  <c r="N600" i="24"/>
  <c r="B600" i="24"/>
  <c r="B675" i="24"/>
  <c r="O2099" i="24"/>
  <c r="G29" i="39"/>
  <c r="G32" i="39" s="1"/>
  <c r="G82" i="1" s="1"/>
  <c r="N2096" i="24"/>
  <c r="O2101" i="24"/>
  <c r="O2096" i="24" s="1"/>
  <c r="B2096" i="24"/>
  <c r="H33" i="38"/>
  <c r="H34" i="38" s="1"/>
  <c r="H29" i="38"/>
  <c r="H24" i="38"/>
  <c r="A34" i="37"/>
  <c r="G26" i="37"/>
  <c r="G27" i="37" s="1"/>
  <c r="F23" i="37"/>
  <c r="G23" i="37" s="1"/>
  <c r="D23" i="37"/>
  <c r="C23" i="37"/>
  <c r="F22" i="37"/>
  <c r="G22" i="37" s="1"/>
  <c r="D22" i="37"/>
  <c r="C22" i="37"/>
  <c r="C17" i="37"/>
  <c r="C16" i="37"/>
  <c r="A15" i="37"/>
  <c r="C14" i="37"/>
  <c r="C13" i="37"/>
  <c r="A12" i="37"/>
  <c r="A11" i="37"/>
  <c r="A9" i="37"/>
  <c r="A8" i="37"/>
  <c r="A7" i="37"/>
  <c r="A6" i="37"/>
  <c r="A5" i="37"/>
  <c r="A4" i="37"/>
  <c r="A2" i="37"/>
  <c r="A1464" i="24"/>
  <c r="M1467" i="24"/>
  <c r="O1467" i="24" s="1"/>
  <c r="O1468" i="24" s="1"/>
  <c r="O1464" i="24" s="1"/>
  <c r="G268" i="1"/>
  <c r="E268" i="1"/>
  <c r="D268" i="1"/>
  <c r="E269" i="1"/>
  <c r="D269" i="1"/>
  <c r="C269" i="1"/>
  <c r="A34" i="36"/>
  <c r="F26" i="36"/>
  <c r="G26" i="36" s="1"/>
  <c r="G27" i="36" s="1"/>
  <c r="D26" i="36"/>
  <c r="C26" i="36"/>
  <c r="F23" i="36"/>
  <c r="G23" i="36" s="1"/>
  <c r="D23" i="36"/>
  <c r="C23" i="36"/>
  <c r="F22" i="36"/>
  <c r="G22" i="36" s="1"/>
  <c r="D22" i="36"/>
  <c r="C22" i="36"/>
  <c r="C17" i="36"/>
  <c r="C16" i="36"/>
  <c r="A15" i="36"/>
  <c r="C14" i="36"/>
  <c r="C13" i="36"/>
  <c r="A12" i="36"/>
  <c r="A11" i="36"/>
  <c r="A9" i="36"/>
  <c r="A8" i="36"/>
  <c r="A7" i="36"/>
  <c r="A6" i="36"/>
  <c r="A5" i="36"/>
  <c r="A4" i="36"/>
  <c r="A2" i="36"/>
  <c r="E258" i="1"/>
  <c r="D258" i="1"/>
  <c r="C258" i="1"/>
  <c r="A34" i="35"/>
  <c r="F26" i="35"/>
  <c r="G26" i="35" s="1"/>
  <c r="D26" i="35"/>
  <c r="C26" i="35"/>
  <c r="F23" i="35"/>
  <c r="G23" i="35" s="1"/>
  <c r="D23" i="35"/>
  <c r="C23" i="35"/>
  <c r="F22" i="35"/>
  <c r="G22" i="35" s="1"/>
  <c r="D22" i="35"/>
  <c r="C22" i="35"/>
  <c r="C17" i="35"/>
  <c r="C16" i="35"/>
  <c r="A15" i="35"/>
  <c r="C14" i="35"/>
  <c r="C13" i="35"/>
  <c r="A12" i="35"/>
  <c r="A11" i="35"/>
  <c r="A9" i="35"/>
  <c r="A8" i="35"/>
  <c r="A7" i="35"/>
  <c r="A6" i="35"/>
  <c r="A5" i="35"/>
  <c r="A4" i="35"/>
  <c r="A2" i="35"/>
  <c r="G24" i="37" l="1"/>
  <c r="G29" i="37" s="1"/>
  <c r="G32" i="37" s="1"/>
  <c r="G257" i="1" s="1"/>
  <c r="B1464" i="24"/>
  <c r="N1464" i="24"/>
  <c r="G24" i="36"/>
  <c r="G29" i="36" s="1"/>
  <c r="G32" i="36" s="1"/>
  <c r="G269" i="1" s="1"/>
  <c r="G27" i="35"/>
  <c r="G24" i="35"/>
  <c r="E227" i="1"/>
  <c r="D227" i="1"/>
  <c r="C227" i="1"/>
  <c r="F27" i="34"/>
  <c r="G27" i="34" s="1"/>
  <c r="F26" i="34"/>
  <c r="D27" i="34"/>
  <c r="C27" i="34"/>
  <c r="D26" i="34"/>
  <c r="C26" i="34"/>
  <c r="A35" i="34"/>
  <c r="F23" i="34"/>
  <c r="G23" i="34" s="1"/>
  <c r="D23" i="34"/>
  <c r="C23" i="34"/>
  <c r="F22" i="34"/>
  <c r="D22" i="34"/>
  <c r="C22" i="34"/>
  <c r="C17" i="34"/>
  <c r="C16" i="34"/>
  <c r="A15" i="34"/>
  <c r="C14" i="34"/>
  <c r="C13" i="34"/>
  <c r="A12" i="34"/>
  <c r="A11" i="34"/>
  <c r="A9" i="34"/>
  <c r="A8" i="34"/>
  <c r="A7" i="34"/>
  <c r="A6" i="34"/>
  <c r="A5" i="34"/>
  <c r="A4" i="34"/>
  <c r="A2" i="34"/>
  <c r="G29" i="35" l="1"/>
  <c r="G32" i="35" s="1"/>
  <c r="G258" i="1" s="1"/>
  <c r="G22" i="34"/>
  <c r="G24" i="34" s="1"/>
  <c r="G26" i="34"/>
  <c r="G28" i="34" s="1"/>
  <c r="M812" i="24"/>
  <c r="M806" i="24"/>
  <c r="M800" i="24"/>
  <c r="M794" i="24"/>
  <c r="M788" i="24"/>
  <c r="M782" i="24"/>
  <c r="M776" i="24"/>
  <c r="M770" i="24"/>
  <c r="M745" i="24"/>
  <c r="M751" i="24"/>
  <c r="M757" i="24"/>
  <c r="M763" i="24"/>
  <c r="O763" i="24" s="1"/>
  <c r="M738" i="24"/>
  <c r="M732" i="24"/>
  <c r="M726" i="24"/>
  <c r="M720" i="24"/>
  <c r="M714" i="24"/>
  <c r="M708" i="24"/>
  <c r="O702" i="24"/>
  <c r="O703" i="24" s="1"/>
  <c r="O699" i="24" s="1"/>
  <c r="M696" i="24"/>
  <c r="M690" i="24"/>
  <c r="M684" i="24"/>
  <c r="O669" i="24"/>
  <c r="O670" i="24"/>
  <c r="O671" i="24"/>
  <c r="O668" i="24"/>
  <c r="M653" i="24"/>
  <c r="O653" i="24" s="1"/>
  <c r="M654" i="24"/>
  <c r="O654" i="24" s="1"/>
  <c r="M655" i="24"/>
  <c r="O655" i="24" s="1"/>
  <c r="M656" i="24"/>
  <c r="O656" i="24" s="1"/>
  <c r="M652" i="24"/>
  <c r="O652" i="24" s="1"/>
  <c r="O643" i="24"/>
  <c r="O644" i="24"/>
  <c r="O645" i="24"/>
  <c r="O646" i="24"/>
  <c r="O642" i="24"/>
  <c r="O632" i="24"/>
  <c r="O622" i="24"/>
  <c r="O623" i="24"/>
  <c r="O624" i="24"/>
  <c r="O625" i="24"/>
  <c r="O626" i="24"/>
  <c r="O621" i="24"/>
  <c r="M609" i="24"/>
  <c r="A699" i="24"/>
  <c r="G86" i="1"/>
  <c r="E86" i="1"/>
  <c r="D86" i="1"/>
  <c r="G87" i="1"/>
  <c r="E87" i="1"/>
  <c r="D87" i="1"/>
  <c r="N699" i="24" l="1"/>
  <c r="G30" i="34"/>
  <c r="G33" i="34" s="1"/>
  <c r="G227" i="1" s="1"/>
  <c r="B699" i="24"/>
  <c r="A809" i="24"/>
  <c r="A803" i="24"/>
  <c r="A797" i="24"/>
  <c r="A791" i="24"/>
  <c r="A785" i="24"/>
  <c r="A779" i="24"/>
  <c r="A773" i="24"/>
  <c r="A767" i="24"/>
  <c r="A765" i="24"/>
  <c r="B765" i="24" s="1"/>
  <c r="A760" i="24"/>
  <c r="A754" i="24"/>
  <c r="A748" i="24"/>
  <c r="A742" i="24"/>
  <c r="A740" i="24"/>
  <c r="B740" i="24" s="1"/>
  <c r="A735" i="24"/>
  <c r="A729" i="24"/>
  <c r="A723" i="24"/>
  <c r="A717" i="24"/>
  <c r="A711" i="24"/>
  <c r="A705" i="24"/>
  <c r="A693" i="24"/>
  <c r="A687" i="24"/>
  <c r="A681" i="24"/>
  <c r="A673" i="24"/>
  <c r="B673" i="24" s="1"/>
  <c r="A665" i="24"/>
  <c r="A659" i="24"/>
  <c r="A649" i="24"/>
  <c r="A639" i="24"/>
  <c r="A629" i="24"/>
  <c r="A618" i="24"/>
  <c r="A612" i="24"/>
  <c r="A606" i="24"/>
  <c r="A588" i="24"/>
  <c r="A582" i="24"/>
  <c r="A576" i="24"/>
  <c r="A574" i="24"/>
  <c r="B574" i="24" s="1"/>
  <c r="E85" i="1"/>
  <c r="E84" i="1"/>
  <c r="E83" i="1"/>
  <c r="D85" i="1"/>
  <c r="D84" i="1"/>
  <c r="D83" i="1"/>
  <c r="C85" i="1"/>
  <c r="C84" i="1"/>
  <c r="C83" i="1"/>
  <c r="A34" i="33"/>
  <c r="F26" i="33"/>
  <c r="G26" i="33" s="1"/>
  <c r="G27" i="33" s="1"/>
  <c r="D26" i="33"/>
  <c r="C26" i="33"/>
  <c r="F23" i="33"/>
  <c r="G23" i="33" s="1"/>
  <c r="D23" i="33"/>
  <c r="C23" i="33"/>
  <c r="F22" i="33"/>
  <c r="G22" i="33" s="1"/>
  <c r="D22" i="33"/>
  <c r="C22" i="33"/>
  <c r="C17" i="33"/>
  <c r="C16" i="33"/>
  <c r="A15" i="33"/>
  <c r="C14" i="33"/>
  <c r="C13" i="33"/>
  <c r="A12" i="33"/>
  <c r="A11" i="33"/>
  <c r="A9" i="33"/>
  <c r="A8" i="33"/>
  <c r="A7" i="33"/>
  <c r="A6" i="33"/>
  <c r="A5" i="33"/>
  <c r="A4" i="33"/>
  <c r="A2" i="33"/>
  <c r="A34" i="32"/>
  <c r="F26" i="32"/>
  <c r="G26" i="32" s="1"/>
  <c r="G27" i="32" s="1"/>
  <c r="D26" i="32"/>
  <c r="C26" i="32"/>
  <c r="F23" i="32"/>
  <c r="G23" i="32" s="1"/>
  <c r="D23" i="32"/>
  <c r="C23" i="32"/>
  <c r="F22" i="32"/>
  <c r="G22" i="32" s="1"/>
  <c r="D22" i="32"/>
  <c r="C22" i="32"/>
  <c r="C17" i="32"/>
  <c r="C16" i="32"/>
  <c r="A15" i="32"/>
  <c r="C14" i="32"/>
  <c r="C13" i="32"/>
  <c r="A12" i="32"/>
  <c r="A11" i="32"/>
  <c r="A9" i="32"/>
  <c r="A8" i="32"/>
  <c r="A7" i="32"/>
  <c r="A6" i="32"/>
  <c r="A5" i="32"/>
  <c r="A4" i="32"/>
  <c r="A2" i="32"/>
  <c r="A34" i="31"/>
  <c r="F26" i="31"/>
  <c r="G26" i="31" s="1"/>
  <c r="G27" i="31" s="1"/>
  <c r="D26" i="31"/>
  <c r="C26" i="31"/>
  <c r="F23" i="31"/>
  <c r="G23" i="31" s="1"/>
  <c r="D23" i="31"/>
  <c r="C23" i="31"/>
  <c r="F22" i="31"/>
  <c r="G22" i="31" s="1"/>
  <c r="D22" i="31"/>
  <c r="C22" i="31"/>
  <c r="C17" i="31"/>
  <c r="C16" i="31"/>
  <c r="A15" i="31"/>
  <c r="C14" i="31"/>
  <c r="C13" i="31"/>
  <c r="A12" i="31"/>
  <c r="A11" i="31"/>
  <c r="A9" i="31"/>
  <c r="A8" i="31"/>
  <c r="A7" i="31"/>
  <c r="A6" i="31"/>
  <c r="A5" i="31"/>
  <c r="A4" i="31"/>
  <c r="A2" i="31"/>
  <c r="G108" i="1"/>
  <c r="E108" i="1"/>
  <c r="D108" i="1"/>
  <c r="G107" i="1"/>
  <c r="E107" i="1"/>
  <c r="D107" i="1"/>
  <c r="G106" i="1"/>
  <c r="E106" i="1"/>
  <c r="D106" i="1"/>
  <c r="G105" i="1"/>
  <c r="E105" i="1"/>
  <c r="D105" i="1"/>
  <c r="G104" i="1"/>
  <c r="E104" i="1"/>
  <c r="D104" i="1"/>
  <c r="G103" i="1"/>
  <c r="E103" i="1"/>
  <c r="D103" i="1"/>
  <c r="G102" i="1"/>
  <c r="E102" i="1"/>
  <c r="D102" i="1"/>
  <c r="G101" i="1"/>
  <c r="E101" i="1"/>
  <c r="D101" i="1"/>
  <c r="E96" i="1"/>
  <c r="D96" i="1"/>
  <c r="C96" i="1"/>
  <c r="D26" i="30"/>
  <c r="C26" i="30"/>
  <c r="F26" i="30"/>
  <c r="G26" i="30" s="1"/>
  <c r="A34" i="30"/>
  <c r="F23" i="30"/>
  <c r="G23" i="30" s="1"/>
  <c r="D23" i="30"/>
  <c r="C23" i="30"/>
  <c r="F22" i="30"/>
  <c r="G22" i="30" s="1"/>
  <c r="D22" i="30"/>
  <c r="C22" i="30"/>
  <c r="C17" i="30"/>
  <c r="C16" i="30"/>
  <c r="A15" i="30"/>
  <c r="C14" i="30"/>
  <c r="C13" i="30"/>
  <c r="A12" i="30"/>
  <c r="A11" i="30"/>
  <c r="A9" i="30"/>
  <c r="A8" i="30"/>
  <c r="A7" i="30"/>
  <c r="A6" i="30"/>
  <c r="A5" i="30"/>
  <c r="A4" i="30"/>
  <c r="A2" i="30"/>
  <c r="G24" i="31" l="1"/>
  <c r="G29" i="31" s="1"/>
  <c r="G32" i="31" s="1"/>
  <c r="G83" i="1" s="1"/>
  <c r="G24" i="32"/>
  <c r="G29" i="32" s="1"/>
  <c r="G32" i="32" s="1"/>
  <c r="G84" i="1" s="1"/>
  <c r="G24" i="33"/>
  <c r="G29" i="33" s="1"/>
  <c r="G32" i="33" s="1"/>
  <c r="G85" i="1" s="1"/>
  <c r="G24" i="30"/>
  <c r="G27" i="30"/>
  <c r="G98" i="1"/>
  <c r="E98" i="1"/>
  <c r="D98" i="1"/>
  <c r="G95" i="1"/>
  <c r="E95" i="1"/>
  <c r="D95" i="1"/>
  <c r="E97" i="1"/>
  <c r="D97" i="1"/>
  <c r="C97" i="1"/>
  <c r="G72" i="1"/>
  <c r="E72" i="1"/>
  <c r="D72" i="1"/>
  <c r="G92" i="1"/>
  <c r="E92" i="1"/>
  <c r="D92" i="1"/>
  <c r="G91" i="1"/>
  <c r="E91" i="1"/>
  <c r="D91" i="1"/>
  <c r="G90" i="1"/>
  <c r="E90" i="1"/>
  <c r="D90" i="1"/>
  <c r="G29" i="30" l="1"/>
  <c r="G32" i="30" s="1"/>
  <c r="G96" i="1" s="1"/>
  <c r="G89" i="1"/>
  <c r="E89" i="1"/>
  <c r="D89" i="1"/>
  <c r="G88" i="1"/>
  <c r="E88" i="1"/>
  <c r="D88" i="1"/>
  <c r="G79" i="1"/>
  <c r="E79" i="1"/>
  <c r="D79" i="1"/>
  <c r="G78" i="1"/>
  <c r="E78" i="1"/>
  <c r="D78" i="1"/>
  <c r="G77" i="1"/>
  <c r="E77" i="1"/>
  <c r="D77" i="1"/>
  <c r="G76" i="1"/>
  <c r="E76" i="1"/>
  <c r="D76" i="1"/>
  <c r="G75" i="1"/>
  <c r="E75" i="1"/>
  <c r="D75" i="1"/>
  <c r="G74" i="1"/>
  <c r="E74" i="1"/>
  <c r="D74" i="1"/>
  <c r="G69" i="1"/>
  <c r="E69" i="1"/>
  <c r="D69" i="1"/>
  <c r="G68" i="1"/>
  <c r="E68" i="1"/>
  <c r="D68" i="1"/>
  <c r="G73" i="1"/>
  <c r="E73" i="1"/>
  <c r="D73" i="1"/>
  <c r="G67" i="1"/>
  <c r="E67" i="1"/>
  <c r="D67" i="1"/>
  <c r="A59" i="29"/>
  <c r="B17" i="29"/>
  <c r="B16" i="29"/>
  <c r="B14" i="29"/>
  <c r="B13" i="29"/>
  <c r="A4" i="29"/>
  <c r="A5" i="29"/>
  <c r="A6" i="29"/>
  <c r="A7" i="29"/>
  <c r="A8" i="29"/>
  <c r="A9" i="29"/>
  <c r="A11" i="29"/>
  <c r="A12" i="29"/>
  <c r="A15" i="29"/>
  <c r="A2" i="29"/>
  <c r="A59" i="28"/>
  <c r="B13" i="28"/>
  <c r="B14" i="28"/>
  <c r="B16" i="28"/>
  <c r="B17" i="28"/>
  <c r="A4" i="28"/>
  <c r="A5" i="28"/>
  <c r="A6" i="28"/>
  <c r="A7" i="28"/>
  <c r="A8" i="28"/>
  <c r="A9" i="28"/>
  <c r="A11" i="28"/>
  <c r="A12" i="28"/>
  <c r="A15" i="28"/>
  <c r="A2" i="28"/>
  <c r="D55" i="29"/>
  <c r="C55" i="29"/>
  <c r="D51" i="29"/>
  <c r="C51" i="29"/>
  <c r="D44" i="29"/>
  <c r="C44" i="29"/>
  <c r="D32" i="29"/>
  <c r="C32" i="29"/>
  <c r="D55" i="28"/>
  <c r="C55" i="28"/>
  <c r="D51" i="28"/>
  <c r="C51" i="28"/>
  <c r="D44" i="28"/>
  <c r="C44" i="28"/>
  <c r="D32" i="28"/>
  <c r="C32" i="28"/>
  <c r="C57" i="29" l="1"/>
  <c r="D57" i="29"/>
  <c r="C57" i="28"/>
  <c r="D57" i="28"/>
  <c r="A2652" i="24" l="1"/>
  <c r="M2659" i="24"/>
  <c r="O2659" i="24" s="1"/>
  <c r="M2658" i="24"/>
  <c r="O2658" i="24" s="1"/>
  <c r="M2657" i="24"/>
  <c r="O2657" i="24" s="1"/>
  <c r="M2656" i="24"/>
  <c r="O2656" i="24" s="1"/>
  <c r="M2655" i="24"/>
  <c r="O2655" i="24" s="1"/>
  <c r="G387" i="1"/>
  <c r="E387" i="1"/>
  <c r="D387" i="1"/>
  <c r="M75" i="24"/>
  <c r="O75" i="24" s="1"/>
  <c r="M76" i="24"/>
  <c r="O76" i="24" s="1"/>
  <c r="M77" i="24"/>
  <c r="O77" i="24" s="1"/>
  <c r="M78" i="24"/>
  <c r="O78" i="24" s="1"/>
  <c r="M74" i="24"/>
  <c r="O74" i="24" s="1"/>
  <c r="B2652" i="24" l="1"/>
  <c r="O2660" i="24"/>
  <c r="O2652" i="24" s="1"/>
  <c r="N2652" i="24"/>
  <c r="A71" i="24" l="1"/>
  <c r="G31" i="1"/>
  <c r="E31" i="1"/>
  <c r="D31" i="1"/>
  <c r="K2649" i="24"/>
  <c r="M153" i="24"/>
  <c r="K153" i="24"/>
  <c r="M2649" i="24"/>
  <c r="M2643" i="24"/>
  <c r="K2643" i="24"/>
  <c r="I2643" i="24"/>
  <c r="A2646" i="24"/>
  <c r="A2640" i="24"/>
  <c r="G386" i="1"/>
  <c r="G385" i="1"/>
  <c r="E386" i="1"/>
  <c r="D386" i="1"/>
  <c r="E385" i="1"/>
  <c r="D385" i="1"/>
  <c r="E27" i="27"/>
  <c r="E32" i="27"/>
  <c r="E31" i="27"/>
  <c r="E28" i="27"/>
  <c r="E26" i="27"/>
  <c r="E25" i="27"/>
  <c r="E24" i="27"/>
  <c r="E23" i="27"/>
  <c r="E22" i="27"/>
  <c r="C23" i="27"/>
  <c r="C24" i="27"/>
  <c r="C25" i="27"/>
  <c r="C26" i="27"/>
  <c r="C27" i="27"/>
  <c r="C28" i="27"/>
  <c r="D23" i="27"/>
  <c r="D24" i="27"/>
  <c r="D25" i="27"/>
  <c r="D26" i="27"/>
  <c r="D27" i="27"/>
  <c r="D28" i="27"/>
  <c r="F23" i="27"/>
  <c r="F24" i="27"/>
  <c r="G24" i="27" s="1"/>
  <c r="F25" i="27"/>
  <c r="F26" i="27"/>
  <c r="F27" i="27"/>
  <c r="F28" i="27"/>
  <c r="E239" i="1"/>
  <c r="D239" i="1"/>
  <c r="C239" i="1"/>
  <c r="B13" i="27"/>
  <c r="B14" i="27"/>
  <c r="B16" i="27"/>
  <c r="B17" i="27"/>
  <c r="A4" i="27"/>
  <c r="A5" i="27"/>
  <c r="A6" i="27"/>
  <c r="A7" i="27"/>
  <c r="A8" i="27"/>
  <c r="A9" i="27"/>
  <c r="A11" i="27"/>
  <c r="A12" i="27"/>
  <c r="A15" i="27"/>
  <c r="A2" i="27"/>
  <c r="A40" i="27"/>
  <c r="F32" i="27"/>
  <c r="D32" i="27"/>
  <c r="C32" i="27"/>
  <c r="F31" i="27"/>
  <c r="D31" i="27"/>
  <c r="C31" i="27"/>
  <c r="F22" i="27"/>
  <c r="D22" i="27"/>
  <c r="C22" i="27"/>
  <c r="M1473" i="24"/>
  <c r="A2520" i="24"/>
  <c r="M2545" i="24"/>
  <c r="O2545" i="24" s="1"/>
  <c r="M2544" i="24"/>
  <c r="O2544" i="24" s="1"/>
  <c r="M2543" i="24"/>
  <c r="O2543" i="24" s="1"/>
  <c r="M2542" i="24"/>
  <c r="O2542" i="24" s="1"/>
  <c r="M2541" i="24"/>
  <c r="O2541" i="24" s="1"/>
  <c r="M2540" i="24"/>
  <c r="O2540" i="24" s="1"/>
  <c r="M2539" i="24"/>
  <c r="O2539" i="24" s="1"/>
  <c r="M2538" i="24"/>
  <c r="O2538" i="24" s="1"/>
  <c r="M2537" i="24"/>
  <c r="O2537" i="24" s="1"/>
  <c r="M2536" i="24"/>
  <c r="O2536" i="24" s="1"/>
  <c r="M2535" i="24"/>
  <c r="O2535" i="24" s="1"/>
  <c r="M2534" i="24"/>
  <c r="O2534" i="24" s="1"/>
  <c r="M2533" i="24"/>
  <c r="O2533" i="24" s="1"/>
  <c r="M2532" i="24"/>
  <c r="K2532" i="24"/>
  <c r="M2531" i="24"/>
  <c r="K2531" i="24"/>
  <c r="M2530" i="24"/>
  <c r="K2530" i="24"/>
  <c r="M2529" i="24"/>
  <c r="K2529" i="24"/>
  <c r="M2528" i="24"/>
  <c r="K2528" i="24"/>
  <c r="M2527" i="24"/>
  <c r="K2527" i="24"/>
  <c r="M2526" i="24"/>
  <c r="K2526" i="24"/>
  <c r="M2525" i="24"/>
  <c r="K2525" i="24"/>
  <c r="M2524" i="24"/>
  <c r="K2524" i="24"/>
  <c r="M2523" i="24"/>
  <c r="K2523" i="24"/>
  <c r="A2477" i="24"/>
  <c r="G369" i="1"/>
  <c r="E369" i="1"/>
  <c r="D369" i="1"/>
  <c r="G374" i="1"/>
  <c r="E374" i="1"/>
  <c r="D374" i="1"/>
  <c r="K25" i="24"/>
  <c r="G27" i="27" l="1"/>
  <c r="G23" i="27"/>
  <c r="G28" i="27"/>
  <c r="G26" i="27"/>
  <c r="G25" i="27"/>
  <c r="N71" i="24"/>
  <c r="B71" i="24"/>
  <c r="O153" i="24"/>
  <c r="O79" i="24"/>
  <c r="O71" i="24" s="1"/>
  <c r="N2640" i="24"/>
  <c r="B2646" i="24"/>
  <c r="O2643" i="24"/>
  <c r="O2644" i="24" s="1"/>
  <c r="O2640" i="24" s="1"/>
  <c r="O2649" i="24" s="1"/>
  <c r="O2650" i="24" s="1"/>
  <c r="O2646" i="24" s="1"/>
  <c r="N2646" i="24"/>
  <c r="B2640" i="24"/>
  <c r="N2520" i="24"/>
  <c r="O2528" i="24"/>
  <c r="O2530" i="24"/>
  <c r="G22" i="27"/>
  <c r="G31" i="27"/>
  <c r="G32" i="27"/>
  <c r="N2477" i="24"/>
  <c r="O2523" i="24"/>
  <c r="O2531" i="24"/>
  <c r="O2532" i="24"/>
  <c r="O2526" i="24"/>
  <c r="O2529" i="24"/>
  <c r="O2525" i="24"/>
  <c r="O2527" i="24"/>
  <c r="O2524" i="24"/>
  <c r="B2520" i="24"/>
  <c r="B2477" i="24"/>
  <c r="M25" i="24"/>
  <c r="K31" i="24"/>
  <c r="M31" i="24"/>
  <c r="A40" i="7"/>
  <c r="B40" i="7" s="1"/>
  <c r="A39" i="7"/>
  <c r="B39" i="7" s="1"/>
  <c r="A38" i="7"/>
  <c r="B38" i="7" s="1"/>
  <c r="A37" i="7"/>
  <c r="B37" i="7" s="1"/>
  <c r="A36" i="7"/>
  <c r="B36" i="7" s="1"/>
  <c r="A35" i="7"/>
  <c r="B35" i="7" s="1"/>
  <c r="A34" i="7"/>
  <c r="B34" i="7" s="1"/>
  <c r="A33" i="7"/>
  <c r="B33" i="7" s="1"/>
  <c r="A32" i="7"/>
  <c r="B32" i="7" s="1"/>
  <c r="A31" i="7"/>
  <c r="B31" i="7" s="1"/>
  <c r="A30" i="7"/>
  <c r="B30" i="7" s="1"/>
  <c r="A29" i="7"/>
  <c r="B29" i="7" s="1"/>
  <c r="A28" i="7"/>
  <c r="B28" i="7" s="1"/>
  <c r="A27" i="7"/>
  <c r="B27" i="7" s="1"/>
  <c r="A26" i="7"/>
  <c r="B26" i="7" s="1"/>
  <c r="A25" i="7"/>
  <c r="B25" i="7" s="1"/>
  <c r="A24" i="7"/>
  <c r="B24" i="7" s="1"/>
  <c r="A23" i="7"/>
  <c r="B23" i="7" s="1"/>
  <c r="A22" i="7"/>
  <c r="B22" i="7" s="1"/>
  <c r="B13" i="7"/>
  <c r="B14" i="7"/>
  <c r="B16" i="7"/>
  <c r="B17" i="7"/>
  <c r="A4" i="7"/>
  <c r="A5" i="7"/>
  <c r="A6" i="7"/>
  <c r="A7" i="7"/>
  <c r="A8" i="7"/>
  <c r="A9" i="7"/>
  <c r="A11" i="7"/>
  <c r="A12" i="7"/>
  <c r="A15" i="7"/>
  <c r="A2" i="7"/>
  <c r="A46" i="7"/>
  <c r="G29" i="27" l="1"/>
  <c r="G33" i="27"/>
  <c r="O2546" i="24"/>
  <c r="O2520" i="24" s="1"/>
  <c r="O31" i="24"/>
  <c r="O25" i="24"/>
  <c r="I309" i="24"/>
  <c r="I308" i="24"/>
  <c r="I307" i="24"/>
  <c r="I306" i="24"/>
  <c r="I305" i="24"/>
  <c r="I304" i="24"/>
  <c r="I303" i="24"/>
  <c r="I302" i="24"/>
  <c r="I301" i="24"/>
  <c r="I300" i="24"/>
  <c r="I299" i="24"/>
  <c r="I298" i="24"/>
  <c r="I297" i="24"/>
  <c r="I296" i="24"/>
  <c r="I295" i="24"/>
  <c r="I294" i="24"/>
  <c r="I293" i="24"/>
  <c r="I292" i="24"/>
  <c r="I290" i="24"/>
  <c r="I289" i="24"/>
  <c r="M309" i="24"/>
  <c r="K309" i="24"/>
  <c r="M308" i="24"/>
  <c r="K308" i="24"/>
  <c r="M307" i="24"/>
  <c r="K307" i="24"/>
  <c r="M306" i="24"/>
  <c r="K306" i="24"/>
  <c r="M305" i="24"/>
  <c r="K305" i="24"/>
  <c r="M304" i="24"/>
  <c r="K304" i="24"/>
  <c r="M303" i="24"/>
  <c r="K303" i="24"/>
  <c r="M302" i="24"/>
  <c r="K302" i="24"/>
  <c r="M301" i="24"/>
  <c r="K301" i="24"/>
  <c r="M300" i="24"/>
  <c r="K300" i="24"/>
  <c r="M299" i="24"/>
  <c r="K299" i="24"/>
  <c r="M298" i="24"/>
  <c r="K298" i="24"/>
  <c r="M297" i="24"/>
  <c r="K297" i="24"/>
  <c r="M296" i="24"/>
  <c r="K296" i="24"/>
  <c r="M295" i="24"/>
  <c r="K295" i="24"/>
  <c r="M294" i="24"/>
  <c r="K294" i="24"/>
  <c r="M293" i="24"/>
  <c r="K293" i="24"/>
  <c r="M292" i="24"/>
  <c r="K292" i="24"/>
  <c r="M291" i="24"/>
  <c r="K291" i="24"/>
  <c r="M290" i="24"/>
  <c r="K290" i="24"/>
  <c r="M289" i="24"/>
  <c r="K289" i="24"/>
  <c r="M288" i="24"/>
  <c r="K288" i="24"/>
  <c r="M141" i="24"/>
  <c r="O141" i="24" s="1"/>
  <c r="M140" i="24"/>
  <c r="O140" i="24" s="1"/>
  <c r="M139" i="24"/>
  <c r="O139" i="24" s="1"/>
  <c r="M138" i="24"/>
  <c r="O138" i="24" s="1"/>
  <c r="M137" i="24"/>
  <c r="O137" i="24" s="1"/>
  <c r="M136" i="24"/>
  <c r="O136" i="24" s="1"/>
  <c r="M135" i="24"/>
  <c r="O135" i="24" s="1"/>
  <c r="M134" i="24"/>
  <c r="O134" i="24" s="1"/>
  <c r="M133" i="24"/>
  <c r="O133" i="24" s="1"/>
  <c r="M132" i="24"/>
  <c r="O132" i="24" s="1"/>
  <c r="O120" i="24"/>
  <c r="O121" i="24"/>
  <c r="O122" i="24"/>
  <c r="O123" i="24"/>
  <c r="O124" i="24"/>
  <c r="M118" i="24"/>
  <c r="K118" i="24"/>
  <c r="I118" i="24"/>
  <c r="G118" i="24"/>
  <c r="M117" i="24"/>
  <c r="K117" i="24"/>
  <c r="I117" i="24"/>
  <c r="G117" i="24"/>
  <c r="M116" i="24"/>
  <c r="K116" i="24"/>
  <c r="I116" i="24"/>
  <c r="G116" i="24"/>
  <c r="M115" i="24"/>
  <c r="K115" i="24"/>
  <c r="I115" i="24"/>
  <c r="G115" i="24"/>
  <c r="M114" i="24"/>
  <c r="K114" i="24"/>
  <c r="I114" i="24"/>
  <c r="G114" i="24"/>
  <c r="M113" i="24"/>
  <c r="K113" i="24"/>
  <c r="I113" i="24"/>
  <c r="G113" i="24"/>
  <c r="M112" i="24"/>
  <c r="K112" i="24"/>
  <c r="I112" i="24"/>
  <c r="G112" i="24"/>
  <c r="M111" i="24"/>
  <c r="K111" i="24"/>
  <c r="I111" i="24"/>
  <c r="G111" i="24"/>
  <c r="M110" i="24"/>
  <c r="K110" i="24"/>
  <c r="I110" i="24"/>
  <c r="G110" i="24"/>
  <c r="M109" i="24"/>
  <c r="K109" i="24"/>
  <c r="I109" i="24"/>
  <c r="G109" i="24"/>
  <c r="M108" i="24"/>
  <c r="K108" i="24"/>
  <c r="I108" i="24"/>
  <c r="G108" i="24"/>
  <c r="M107" i="24"/>
  <c r="K107" i="24"/>
  <c r="I107" i="24"/>
  <c r="G107" i="24"/>
  <c r="M106" i="24"/>
  <c r="K106" i="24"/>
  <c r="I106" i="24"/>
  <c r="G106" i="24"/>
  <c r="M105" i="24"/>
  <c r="K105" i="24"/>
  <c r="I105" i="24"/>
  <c r="G105" i="24"/>
  <c r="M104" i="24"/>
  <c r="K104" i="24"/>
  <c r="I104" i="24"/>
  <c r="G104" i="24"/>
  <c r="M103" i="24"/>
  <c r="K103" i="24"/>
  <c r="I103" i="24"/>
  <c r="G103" i="24"/>
  <c r="M102" i="24"/>
  <c r="K102" i="24"/>
  <c r="I102" i="24"/>
  <c r="G102" i="24"/>
  <c r="M101" i="24"/>
  <c r="K101" i="24"/>
  <c r="I101" i="24"/>
  <c r="G101" i="24"/>
  <c r="M100" i="24"/>
  <c r="K100" i="24"/>
  <c r="I100" i="24"/>
  <c r="I99" i="24"/>
  <c r="M99" i="24"/>
  <c r="K99" i="24"/>
  <c r="G99" i="24"/>
  <c r="G98" i="24"/>
  <c r="I98" i="24"/>
  <c r="M98" i="24"/>
  <c r="K98" i="24"/>
  <c r="M97" i="24"/>
  <c r="K97" i="24"/>
  <c r="I97" i="24"/>
  <c r="I196" i="24"/>
  <c r="I195" i="24"/>
  <c r="I194" i="24"/>
  <c r="I193" i="24"/>
  <c r="M196" i="24"/>
  <c r="K196" i="24"/>
  <c r="M195" i="24"/>
  <c r="K195" i="24"/>
  <c r="M194" i="24"/>
  <c r="K194" i="24"/>
  <c r="M193" i="24"/>
  <c r="K193" i="24"/>
  <c r="M372" i="24"/>
  <c r="M371" i="24"/>
  <c r="M370" i="24"/>
  <c r="M369" i="24"/>
  <c r="K371" i="24"/>
  <c r="K372" i="24"/>
  <c r="K370" i="24"/>
  <c r="K369" i="24"/>
  <c r="O363" i="24"/>
  <c r="O362" i="24"/>
  <c r="O361" i="24"/>
  <c r="O360" i="24"/>
  <c r="O359" i="24"/>
  <c r="O358" i="24"/>
  <c r="O357" i="24"/>
  <c r="M356" i="24"/>
  <c r="O356" i="24" s="1"/>
  <c r="M355" i="24"/>
  <c r="O355" i="24" s="1"/>
  <c r="M354" i="24"/>
  <c r="O354" i="24" s="1"/>
  <c r="M353" i="24"/>
  <c r="O353" i="24" s="1"/>
  <c r="M352" i="24"/>
  <c r="O352" i="24" s="1"/>
  <c r="O351" i="24"/>
  <c r="O350" i="24"/>
  <c r="O349" i="24"/>
  <c r="O348" i="24"/>
  <c r="O347" i="24"/>
  <c r="M346" i="24"/>
  <c r="O346" i="24" s="1"/>
  <c r="M345" i="24"/>
  <c r="O345" i="24" s="1"/>
  <c r="M344" i="24"/>
  <c r="O344" i="24" s="1"/>
  <c r="M343" i="24"/>
  <c r="O343" i="24" s="1"/>
  <c r="M342" i="24"/>
  <c r="O342" i="24" s="1"/>
  <c r="M329" i="24"/>
  <c r="O329" i="24" s="1"/>
  <c r="O330" i="24"/>
  <c r="O331" i="24"/>
  <c r="O332" i="24"/>
  <c r="O333" i="24"/>
  <c r="O334" i="24"/>
  <c r="O335" i="24"/>
  <c r="O336" i="24"/>
  <c r="M328" i="24"/>
  <c r="O328" i="24" s="1"/>
  <c r="M327" i="24"/>
  <c r="O327" i="24" s="1"/>
  <c r="M326" i="24"/>
  <c r="O326" i="24" s="1"/>
  <c r="M325" i="24"/>
  <c r="O325" i="24" s="1"/>
  <c r="O320" i="24"/>
  <c r="O321" i="24"/>
  <c r="O322" i="24"/>
  <c r="O323" i="24"/>
  <c r="O324" i="24"/>
  <c r="M319" i="24"/>
  <c r="O319" i="24" s="1"/>
  <c r="M318" i="24"/>
  <c r="O318" i="24" s="1"/>
  <c r="M317" i="24"/>
  <c r="O317" i="24" s="1"/>
  <c r="M316" i="24"/>
  <c r="O316" i="24" s="1"/>
  <c r="M315" i="24"/>
  <c r="O315" i="24" s="1"/>
  <c r="A366" i="24"/>
  <c r="G56" i="1"/>
  <c r="E56" i="1"/>
  <c r="D56" i="1"/>
  <c r="M281" i="24"/>
  <c r="O281" i="24" s="1"/>
  <c r="M268" i="24"/>
  <c r="O268" i="24" s="1"/>
  <c r="M267" i="24"/>
  <c r="O267" i="24" s="1"/>
  <c r="M224" i="24"/>
  <c r="O224" i="24" s="1"/>
  <c r="M280" i="24"/>
  <c r="O280" i="24" s="1"/>
  <c r="M266" i="24"/>
  <c r="O266" i="24" s="1"/>
  <c r="M265" i="24"/>
  <c r="O265" i="24" s="1"/>
  <c r="M264" i="24"/>
  <c r="O264" i="24" s="1"/>
  <c r="M223" i="24"/>
  <c r="O223" i="24" s="1"/>
  <c r="M263" i="24"/>
  <c r="O263" i="24" s="1"/>
  <c r="M262" i="24"/>
  <c r="O262" i="24" s="1"/>
  <c r="M222" i="24"/>
  <c r="O222" i="24" s="1"/>
  <c r="M261" i="24"/>
  <c r="O261" i="24" s="1"/>
  <c r="M260" i="24"/>
  <c r="O260" i="24" s="1"/>
  <c r="M221" i="24"/>
  <c r="O221" i="24" s="1"/>
  <c r="M259" i="24"/>
  <c r="O259" i="24" s="1"/>
  <c r="M258" i="24"/>
  <c r="O258" i="24" s="1"/>
  <c r="M257" i="24"/>
  <c r="O257" i="24" s="1"/>
  <c r="M220" i="24"/>
  <c r="O220" i="24" s="1"/>
  <c r="M256" i="24"/>
  <c r="O256" i="24" s="1"/>
  <c r="M255" i="24"/>
  <c r="O255" i="24" s="1"/>
  <c r="M219" i="24"/>
  <c r="O219" i="24" s="1"/>
  <c r="M254" i="24"/>
  <c r="O254" i="24" s="1"/>
  <c r="M253" i="24"/>
  <c r="O253" i="24" s="1"/>
  <c r="M252" i="24"/>
  <c r="O252" i="24" s="1"/>
  <c r="M218" i="24"/>
  <c r="O218" i="24" s="1"/>
  <c r="M251" i="24"/>
  <c r="O251" i="24" s="1"/>
  <c r="M250" i="24"/>
  <c r="O250" i="24" s="1"/>
  <c r="M249" i="24"/>
  <c r="O249" i="24" s="1"/>
  <c r="M217" i="24"/>
  <c r="O217" i="24" s="1"/>
  <c r="M248" i="24"/>
  <c r="O248" i="24" s="1"/>
  <c r="M216" i="24"/>
  <c r="O216" i="24" s="1"/>
  <c r="M247" i="24"/>
  <c r="O247" i="24" s="1"/>
  <c r="M215" i="24"/>
  <c r="O215" i="24" s="1"/>
  <c r="M246" i="24"/>
  <c r="O246" i="24" s="1"/>
  <c r="M214" i="24"/>
  <c r="O214" i="24" s="1"/>
  <c r="M279" i="24"/>
  <c r="O279" i="24" s="1"/>
  <c r="M245" i="24"/>
  <c r="O245" i="24" s="1"/>
  <c r="M213" i="24"/>
  <c r="O213" i="24" s="1"/>
  <c r="M278" i="24"/>
  <c r="O278" i="24" s="1"/>
  <c r="M244" i="24"/>
  <c r="O244" i="24" s="1"/>
  <c r="M243" i="24"/>
  <c r="O243" i="24" s="1"/>
  <c r="M212" i="24"/>
  <c r="O212" i="24" s="1"/>
  <c r="M277" i="24"/>
  <c r="O277" i="24" s="1"/>
  <c r="M242" i="24"/>
  <c r="O242" i="24" s="1"/>
  <c r="M241" i="24"/>
  <c r="O241" i="24" s="1"/>
  <c r="M211" i="24"/>
  <c r="O211" i="24" s="1"/>
  <c r="M276" i="24"/>
  <c r="O276" i="24" s="1"/>
  <c r="M240" i="24"/>
  <c r="O240" i="24" s="1"/>
  <c r="M239" i="24"/>
  <c r="O239" i="24" s="1"/>
  <c r="M210" i="24"/>
  <c r="O210" i="24" s="1"/>
  <c r="M275" i="24"/>
  <c r="O275" i="24" s="1"/>
  <c r="M238" i="24"/>
  <c r="O238" i="24" s="1"/>
  <c r="M237" i="24"/>
  <c r="O237" i="24" s="1"/>
  <c r="M209" i="24"/>
  <c r="O209" i="24" s="1"/>
  <c r="M274" i="24"/>
  <c r="O274" i="24" s="1"/>
  <c r="M236" i="24"/>
  <c r="O236" i="24" s="1"/>
  <c r="M235" i="24"/>
  <c r="O235" i="24" s="1"/>
  <c r="M208" i="24"/>
  <c r="O208" i="24" s="1"/>
  <c r="M234" i="24"/>
  <c r="O234" i="24" s="1"/>
  <c r="M207" i="24"/>
  <c r="O207" i="24" s="1"/>
  <c r="M233" i="24"/>
  <c r="O233" i="24" s="1"/>
  <c r="M206" i="24"/>
  <c r="O206" i="24" s="1"/>
  <c r="M232" i="24"/>
  <c r="O232" i="24" s="1"/>
  <c r="M205" i="24"/>
  <c r="O205" i="24" s="1"/>
  <c r="M231" i="24"/>
  <c r="O231" i="24" s="1"/>
  <c r="M204" i="24"/>
  <c r="O204" i="24" s="1"/>
  <c r="M230" i="24"/>
  <c r="O230" i="24" s="1"/>
  <c r="M203" i="24"/>
  <c r="O203" i="24" s="1"/>
  <c r="A271" i="24"/>
  <c r="A227" i="24"/>
  <c r="A200" i="24"/>
  <c r="A283" i="24"/>
  <c r="B283" i="24" s="1"/>
  <c r="M187" i="24"/>
  <c r="O187" i="24" s="1"/>
  <c r="M186" i="24"/>
  <c r="O186" i="24" s="1"/>
  <c r="M185" i="24"/>
  <c r="O185" i="24" s="1"/>
  <c r="M184" i="24"/>
  <c r="O184" i="24" s="1"/>
  <c r="M183" i="24"/>
  <c r="O183" i="24" s="1"/>
  <c r="M182" i="24"/>
  <c r="O182" i="24" s="1"/>
  <c r="M181" i="24"/>
  <c r="O181" i="24" s="1"/>
  <c r="M180" i="24"/>
  <c r="O180" i="24" s="1"/>
  <c r="M179" i="24"/>
  <c r="O179" i="24" s="1"/>
  <c r="M178" i="24"/>
  <c r="O178" i="24" s="1"/>
  <c r="M177" i="24"/>
  <c r="O177" i="24" s="1"/>
  <c r="M176" i="24"/>
  <c r="O176" i="24" s="1"/>
  <c r="M170" i="24"/>
  <c r="O170" i="24" s="1"/>
  <c r="M169" i="24"/>
  <c r="O169" i="24" s="1"/>
  <c r="M168" i="24"/>
  <c r="O168" i="24" s="1"/>
  <c r="M167" i="24"/>
  <c r="O167" i="24" s="1"/>
  <c r="M166" i="24"/>
  <c r="O166" i="24" s="1"/>
  <c r="M165" i="24"/>
  <c r="O165" i="24" s="1"/>
  <c r="M164" i="24"/>
  <c r="O164" i="24" s="1"/>
  <c r="M163" i="24"/>
  <c r="O163" i="24" s="1"/>
  <c r="M162" i="24"/>
  <c r="O162" i="24" s="1"/>
  <c r="M161" i="24"/>
  <c r="O161" i="24" s="1"/>
  <c r="M59" i="24"/>
  <c r="M2668" i="24"/>
  <c r="O2668" i="24" s="1"/>
  <c r="M2667" i="24"/>
  <c r="O2667" i="24" s="1"/>
  <c r="M2666" i="24"/>
  <c r="O2666" i="24" s="1"/>
  <c r="M2665" i="24"/>
  <c r="O2665" i="24" s="1"/>
  <c r="M1585" i="24"/>
  <c r="O1585" i="24" s="1"/>
  <c r="M1634" i="24"/>
  <c r="O1634" i="24" s="1"/>
  <c r="M2457" i="24"/>
  <c r="K2457" i="24"/>
  <c r="M2474" i="24"/>
  <c r="K2474" i="24"/>
  <c r="M2473" i="24"/>
  <c r="K2473" i="24"/>
  <c r="M2472" i="24"/>
  <c r="M2471" i="24"/>
  <c r="K2472" i="24"/>
  <c r="K2471" i="24"/>
  <c r="K2469" i="24"/>
  <c r="M2470" i="24"/>
  <c r="K2470" i="24"/>
  <c r="M2469" i="24"/>
  <c r="M2467" i="24"/>
  <c r="M2466" i="24"/>
  <c r="K2467" i="24"/>
  <c r="K2466" i="24"/>
  <c r="I2467" i="24"/>
  <c r="G2467" i="24"/>
  <c r="G2466" i="24"/>
  <c r="I2466" i="24"/>
  <c r="K2464" i="24"/>
  <c r="K2463" i="24"/>
  <c r="K2462" i="24"/>
  <c r="M2464" i="24"/>
  <c r="M2463" i="24"/>
  <c r="M2462" i="24"/>
  <c r="K2461" i="24"/>
  <c r="K2460" i="24"/>
  <c r="K2459" i="24"/>
  <c r="M2461" i="24"/>
  <c r="M2460" i="24"/>
  <c r="M2459" i="24"/>
  <c r="K2456" i="24"/>
  <c r="M2456" i="24"/>
  <c r="I2456" i="24"/>
  <c r="K2451" i="24"/>
  <c r="K2452" i="24"/>
  <c r="K2453" i="24"/>
  <c r="K2454" i="24"/>
  <c r="K2450" i="24"/>
  <c r="M2454" i="24"/>
  <c r="M2453" i="24"/>
  <c r="M2452" i="24"/>
  <c r="M2451" i="24"/>
  <c r="M2450" i="24"/>
  <c r="K2449" i="24"/>
  <c r="M2449" i="24"/>
  <c r="K2446" i="24"/>
  <c r="K2447" i="24"/>
  <c r="K2448" i="24"/>
  <c r="K2445" i="24"/>
  <c r="M2448" i="24"/>
  <c r="M2447" i="24"/>
  <c r="M2446" i="24"/>
  <c r="M2445" i="24"/>
  <c r="K2444" i="24"/>
  <c r="M2444" i="24"/>
  <c r="K2441" i="24"/>
  <c r="K2442" i="24"/>
  <c r="K2443" i="24"/>
  <c r="M2443" i="24"/>
  <c r="M2442" i="24"/>
  <c r="M2441" i="24"/>
  <c r="K2440" i="24"/>
  <c r="M2440" i="24"/>
  <c r="K2439" i="24"/>
  <c r="M2439" i="24"/>
  <c r="K2436" i="24"/>
  <c r="K2437" i="24"/>
  <c r="K2438" i="24"/>
  <c r="K2435" i="24"/>
  <c r="M2438" i="24"/>
  <c r="M2437" i="24"/>
  <c r="M2436" i="24"/>
  <c r="M2435" i="24"/>
  <c r="K2433" i="24"/>
  <c r="K2434" i="24"/>
  <c r="M2434" i="24"/>
  <c r="M2433" i="24"/>
  <c r="K2432" i="24"/>
  <c r="M2432" i="24"/>
  <c r="K2431" i="24"/>
  <c r="M2431" i="24"/>
  <c r="K2428" i="24"/>
  <c r="K2429" i="24"/>
  <c r="K2430" i="24"/>
  <c r="K2427" i="24"/>
  <c r="K2426" i="24"/>
  <c r="M2430" i="24"/>
  <c r="M2429" i="24"/>
  <c r="M2428" i="24"/>
  <c r="M2427" i="24"/>
  <c r="M2426" i="24"/>
  <c r="K2425" i="24"/>
  <c r="M2425" i="24"/>
  <c r="K2423" i="24"/>
  <c r="K2424" i="24"/>
  <c r="M2424" i="24"/>
  <c r="M2423" i="24"/>
  <c r="M2422" i="24"/>
  <c r="K2422" i="24"/>
  <c r="K2421" i="24"/>
  <c r="M2421" i="24"/>
  <c r="K2420" i="24"/>
  <c r="M2420" i="24"/>
  <c r="K2417" i="24"/>
  <c r="K2418" i="24"/>
  <c r="K2419" i="24"/>
  <c r="M2419" i="24"/>
  <c r="M2418" i="24"/>
  <c r="M2417" i="24"/>
  <c r="K2416" i="24"/>
  <c r="M2416" i="24"/>
  <c r="K2415" i="24"/>
  <c r="M2415" i="24"/>
  <c r="K2412" i="24"/>
  <c r="K2413" i="24"/>
  <c r="K2414" i="24"/>
  <c r="M2414" i="24"/>
  <c r="M2413" i="24"/>
  <c r="M2412" i="24"/>
  <c r="M2411" i="24"/>
  <c r="K2411" i="24"/>
  <c r="K2396" i="24"/>
  <c r="K2397" i="24"/>
  <c r="K2398" i="24"/>
  <c r="K2399" i="24"/>
  <c r="K2400" i="24"/>
  <c r="K2401" i="24"/>
  <c r="K2402" i="24"/>
  <c r="K2403" i="24"/>
  <c r="K2404" i="24"/>
  <c r="K2405" i="24"/>
  <c r="K2406" i="24"/>
  <c r="K2407" i="24"/>
  <c r="K2408" i="24"/>
  <c r="K2409" i="24"/>
  <c r="K2410" i="24"/>
  <c r="K2382" i="24"/>
  <c r="K2383" i="24"/>
  <c r="K2384" i="24"/>
  <c r="K2385" i="24"/>
  <c r="K2386" i="24"/>
  <c r="K2387" i="24"/>
  <c r="K2388" i="24"/>
  <c r="K2389" i="24"/>
  <c r="K2390" i="24"/>
  <c r="K2391" i="24"/>
  <c r="K2392" i="24"/>
  <c r="K2393" i="24"/>
  <c r="K2394" i="24"/>
  <c r="K2395" i="24"/>
  <c r="M2410" i="24"/>
  <c r="M2409" i="24"/>
  <c r="M2408" i="24"/>
  <c r="M2407" i="24"/>
  <c r="M2406" i="24"/>
  <c r="M2405" i="24"/>
  <c r="M2404" i="24"/>
  <c r="M2403" i="24"/>
  <c r="M2402" i="24"/>
  <c r="M2401" i="24"/>
  <c r="M2400" i="24"/>
  <c r="M2399" i="24"/>
  <c r="M2398" i="24"/>
  <c r="M2397" i="24"/>
  <c r="M2396" i="24"/>
  <c r="M2395" i="24"/>
  <c r="M2394" i="24"/>
  <c r="M2393" i="24"/>
  <c r="M2392" i="24"/>
  <c r="M2391" i="24"/>
  <c r="M2390" i="24"/>
  <c r="M2389" i="24"/>
  <c r="M2388" i="24"/>
  <c r="M2387" i="24"/>
  <c r="M2386" i="24"/>
  <c r="M2385" i="24"/>
  <c r="M2384" i="24"/>
  <c r="M2383" i="24"/>
  <c r="M2382" i="24"/>
  <c r="K2378" i="24"/>
  <c r="K2379" i="24"/>
  <c r="K2380" i="24"/>
  <c r="K2381" i="24"/>
  <c r="K2377" i="24"/>
  <c r="M2381" i="24"/>
  <c r="M2380" i="24"/>
  <c r="M2379" i="24"/>
  <c r="M2378" i="24"/>
  <c r="M2377" i="24"/>
  <c r="M2371" i="24"/>
  <c r="K2371" i="24"/>
  <c r="I2371" i="24"/>
  <c r="M2370" i="24"/>
  <c r="K2370" i="24"/>
  <c r="M2369" i="24"/>
  <c r="O2369" i="24" s="1"/>
  <c r="M2368" i="24"/>
  <c r="K2368" i="24"/>
  <c r="M2367" i="24"/>
  <c r="K2367" i="24"/>
  <c r="I2367" i="24"/>
  <c r="M2366" i="24"/>
  <c r="K2366" i="24"/>
  <c r="M2365" i="24"/>
  <c r="K2365" i="24"/>
  <c r="M2364" i="24"/>
  <c r="O2364" i="24" s="1"/>
  <c r="K506" i="24"/>
  <c r="I2055" i="24"/>
  <c r="K2362" i="24"/>
  <c r="M2362" i="24"/>
  <c r="I2362" i="24"/>
  <c r="M2363" i="24"/>
  <c r="K2363" i="24"/>
  <c r="I2363" i="24"/>
  <c r="K2337" i="24"/>
  <c r="K2338" i="24"/>
  <c r="I2338" i="24"/>
  <c r="I2337" i="24"/>
  <c r="M2338" i="24"/>
  <c r="M2337" i="24"/>
  <c r="M2360" i="24"/>
  <c r="K2360" i="24"/>
  <c r="I2360" i="24"/>
  <c r="M2359" i="24"/>
  <c r="K2359" i="24"/>
  <c r="I2359" i="24"/>
  <c r="M2358" i="24"/>
  <c r="K2358" i="24"/>
  <c r="I2358" i="24"/>
  <c r="M2357" i="24"/>
  <c r="K2357" i="24"/>
  <c r="I2357" i="24"/>
  <c r="M2356" i="24"/>
  <c r="K2356" i="24"/>
  <c r="I2356" i="24"/>
  <c r="M2355" i="24"/>
  <c r="K2355" i="24"/>
  <c r="I2355" i="24"/>
  <c r="M2354" i="24"/>
  <c r="K2354" i="24"/>
  <c r="I2354" i="24"/>
  <c r="M2353" i="24"/>
  <c r="K2353" i="24"/>
  <c r="I2353" i="24"/>
  <c r="M2352" i="24"/>
  <c r="K2352" i="24"/>
  <c r="I2352" i="24"/>
  <c r="M2351" i="24"/>
  <c r="K2351" i="24"/>
  <c r="I2351" i="24"/>
  <c r="I2341" i="24"/>
  <c r="I2342" i="24"/>
  <c r="I2343" i="24"/>
  <c r="I2344" i="24"/>
  <c r="I2345" i="24"/>
  <c r="I2346" i="24"/>
  <c r="I2347" i="24"/>
  <c r="I2348" i="24"/>
  <c r="I2349" i="24"/>
  <c r="I2340" i="24"/>
  <c r="K2349" i="24"/>
  <c r="K2348" i="24"/>
  <c r="K2347" i="24"/>
  <c r="M2349" i="24"/>
  <c r="M2348" i="24"/>
  <c r="M2347" i="24"/>
  <c r="K2346" i="24"/>
  <c r="M2346" i="24"/>
  <c r="K2345" i="24"/>
  <c r="M2345" i="24"/>
  <c r="K2344" i="24"/>
  <c r="M2344" i="24"/>
  <c r="K2343" i="24"/>
  <c r="M2343" i="24"/>
  <c r="K2342" i="24"/>
  <c r="M2342" i="24"/>
  <c r="K2341" i="24"/>
  <c r="K2340" i="24"/>
  <c r="M2341" i="24"/>
  <c r="M2340" i="24"/>
  <c r="K2350" i="24"/>
  <c r="I2350" i="24"/>
  <c r="M2350" i="24"/>
  <c r="M2336" i="24"/>
  <c r="M2335" i="24"/>
  <c r="I2335" i="24"/>
  <c r="I2336" i="24"/>
  <c r="K2336" i="24"/>
  <c r="K2335" i="24"/>
  <c r="K2320" i="24"/>
  <c r="K2321" i="24"/>
  <c r="K2322" i="24"/>
  <c r="K2323" i="24"/>
  <c r="K2324" i="24"/>
  <c r="K2325" i="24"/>
  <c r="K2326" i="24"/>
  <c r="K2327" i="24"/>
  <c r="K2328" i="24"/>
  <c r="K2329" i="24"/>
  <c r="K2330" i="24"/>
  <c r="K2331" i="24"/>
  <c r="K2332" i="24"/>
  <c r="K2333" i="24"/>
  <c r="K2319" i="24"/>
  <c r="K2310" i="24"/>
  <c r="K2311" i="24"/>
  <c r="K2312" i="24"/>
  <c r="K2313" i="24"/>
  <c r="K2314" i="24"/>
  <c r="K2315" i="24"/>
  <c r="K2316" i="24"/>
  <c r="K2317" i="24"/>
  <c r="K2309" i="24"/>
  <c r="M2333" i="24"/>
  <c r="M2332" i="24"/>
  <c r="M2331" i="24"/>
  <c r="M2330" i="24"/>
  <c r="M2329" i="24"/>
  <c r="M2328" i="24"/>
  <c r="M2327" i="24"/>
  <c r="M2326" i="24"/>
  <c r="M2325" i="24"/>
  <c r="M2324" i="24"/>
  <c r="M2323" i="24"/>
  <c r="M2322" i="24"/>
  <c r="M2321" i="24"/>
  <c r="M2320" i="24"/>
  <c r="M2319" i="24"/>
  <c r="M2317" i="24"/>
  <c r="M2316" i="24"/>
  <c r="M2315" i="24"/>
  <c r="M2314" i="24"/>
  <c r="M2313" i="24"/>
  <c r="M2312" i="24"/>
  <c r="M2311" i="24"/>
  <c r="M2310" i="24"/>
  <c r="M2309" i="24"/>
  <c r="M1894" i="24"/>
  <c r="O1894" i="24" s="1"/>
  <c r="M1893" i="24"/>
  <c r="O1893" i="24" s="1"/>
  <c r="M1892" i="24"/>
  <c r="O1892" i="24" s="1"/>
  <c r="M1891" i="24"/>
  <c r="O1891" i="24" s="1"/>
  <c r="M1890" i="24"/>
  <c r="O1890" i="24" s="1"/>
  <c r="M1889" i="24"/>
  <c r="O1889" i="24" s="1"/>
  <c r="M1888" i="24"/>
  <c r="O1888" i="24" s="1"/>
  <c r="M1887" i="24"/>
  <c r="O1887" i="24" s="1"/>
  <c r="M1886" i="24"/>
  <c r="O1886" i="24" s="1"/>
  <c r="M1885" i="24"/>
  <c r="O1885" i="24" s="1"/>
  <c r="M1884" i="24"/>
  <c r="O1884" i="24" s="1"/>
  <c r="M1883" i="24"/>
  <c r="O1883" i="24" s="1"/>
  <c r="M1882" i="24"/>
  <c r="O1882" i="24" s="1"/>
  <c r="M1881" i="24"/>
  <c r="O1881" i="24" s="1"/>
  <c r="M1880" i="24"/>
  <c r="O1880" i="24" s="1"/>
  <c r="M1878" i="24"/>
  <c r="O1878" i="24" s="1"/>
  <c r="M1877" i="24"/>
  <c r="O1877" i="24" s="1"/>
  <c r="M1876" i="24"/>
  <c r="O1876" i="24" s="1"/>
  <c r="M1875" i="24"/>
  <c r="O1875" i="24" s="1"/>
  <c r="M1874" i="24"/>
  <c r="O1874" i="24" s="1"/>
  <c r="M1873" i="24"/>
  <c r="O1873" i="24" s="1"/>
  <c r="M1872" i="24"/>
  <c r="O1872" i="24" s="1"/>
  <c r="M1871" i="24"/>
  <c r="O1871" i="24" s="1"/>
  <c r="M1870" i="24"/>
  <c r="O1870" i="24" s="1"/>
  <c r="M1842" i="24"/>
  <c r="K1842" i="24"/>
  <c r="M1841" i="24"/>
  <c r="K1841" i="24"/>
  <c r="M1840" i="24"/>
  <c r="K1840" i="24"/>
  <c r="M1839" i="24"/>
  <c r="K1839" i="24"/>
  <c r="M1838" i="24"/>
  <c r="K1838" i="24"/>
  <c r="M1837" i="24"/>
  <c r="K1837" i="24"/>
  <c r="M1836" i="24"/>
  <c r="K1836" i="24"/>
  <c r="M1835" i="24"/>
  <c r="K1835" i="24"/>
  <c r="M1834" i="24"/>
  <c r="K1834" i="24"/>
  <c r="M1833" i="24"/>
  <c r="K1833" i="24"/>
  <c r="M1832" i="24"/>
  <c r="K1832" i="24"/>
  <c r="M1831" i="24"/>
  <c r="K1831" i="24"/>
  <c r="M1830" i="24"/>
  <c r="K1830" i="24"/>
  <c r="M1829" i="24"/>
  <c r="K1829" i="24"/>
  <c r="M1828" i="24"/>
  <c r="K1828" i="24"/>
  <c r="M1812" i="24"/>
  <c r="K1812" i="24"/>
  <c r="M1811" i="24"/>
  <c r="K1811" i="24"/>
  <c r="M1810" i="24"/>
  <c r="K1810" i="24"/>
  <c r="M1809" i="24"/>
  <c r="K1809" i="24"/>
  <c r="M1808" i="24"/>
  <c r="K1808" i="24"/>
  <c r="M1807" i="24"/>
  <c r="K1807" i="24"/>
  <c r="M1806" i="24"/>
  <c r="K1806" i="24"/>
  <c r="M1805" i="24"/>
  <c r="K1805" i="24"/>
  <c r="M1804" i="24"/>
  <c r="K1804" i="24"/>
  <c r="M1803" i="24"/>
  <c r="K1803" i="24"/>
  <c r="M1802" i="24"/>
  <c r="K1802" i="24"/>
  <c r="M1801" i="24"/>
  <c r="K1801" i="24"/>
  <c r="M1800" i="24"/>
  <c r="K1800" i="24"/>
  <c r="M1799" i="24"/>
  <c r="K1799" i="24"/>
  <c r="M1798" i="24"/>
  <c r="K1798" i="24"/>
  <c r="K1766" i="24"/>
  <c r="K1767" i="24"/>
  <c r="K1768" i="24"/>
  <c r="K1769" i="24"/>
  <c r="K1770" i="24"/>
  <c r="K1771" i="24"/>
  <c r="K1772" i="24"/>
  <c r="K1773" i="24"/>
  <c r="K1774" i="24"/>
  <c r="K1775" i="24"/>
  <c r="K1776" i="24"/>
  <c r="K1777" i="24"/>
  <c r="K1778" i="24"/>
  <c r="K1765" i="24"/>
  <c r="K1764" i="24"/>
  <c r="M1778" i="24"/>
  <c r="M1777" i="24"/>
  <c r="M1776" i="24"/>
  <c r="M1775" i="24"/>
  <c r="M1774" i="24"/>
  <c r="M1773" i="24"/>
  <c r="M1772" i="24"/>
  <c r="M1771" i="24"/>
  <c r="M1770" i="24"/>
  <c r="M1769" i="24"/>
  <c r="M1768" i="24"/>
  <c r="M1767" i="24"/>
  <c r="M1766" i="24"/>
  <c r="M1765" i="24"/>
  <c r="M1764" i="24"/>
  <c r="M1858" i="24"/>
  <c r="K1858" i="24"/>
  <c r="M1857" i="24"/>
  <c r="K1857" i="24"/>
  <c r="M1856" i="24"/>
  <c r="K1856" i="24"/>
  <c r="M1850" i="24"/>
  <c r="K1850" i="24"/>
  <c r="M1849" i="24"/>
  <c r="K1849" i="24"/>
  <c r="M1848" i="24"/>
  <c r="K1848" i="24"/>
  <c r="M1826" i="24"/>
  <c r="K1826" i="24"/>
  <c r="M1825" i="24"/>
  <c r="K1825" i="24"/>
  <c r="M1824" i="24"/>
  <c r="K1824" i="24"/>
  <c r="M1823" i="24"/>
  <c r="K1823" i="24"/>
  <c r="M1822" i="24"/>
  <c r="K1822" i="24"/>
  <c r="M1821" i="24"/>
  <c r="K1821" i="24"/>
  <c r="M1820" i="24"/>
  <c r="K1820" i="24"/>
  <c r="M1819" i="24"/>
  <c r="K1819" i="24"/>
  <c r="M1818" i="24"/>
  <c r="K1818" i="24"/>
  <c r="M1796" i="24"/>
  <c r="K1796" i="24"/>
  <c r="M1795" i="24"/>
  <c r="K1795" i="24"/>
  <c r="M1794" i="24"/>
  <c r="K1794" i="24"/>
  <c r="M1793" i="24"/>
  <c r="K1793" i="24"/>
  <c r="M1792" i="24"/>
  <c r="K1792" i="24"/>
  <c r="M1791" i="24"/>
  <c r="K1791" i="24"/>
  <c r="M1790" i="24"/>
  <c r="K1790" i="24"/>
  <c r="M1789" i="24"/>
  <c r="K1789" i="24"/>
  <c r="M1788" i="24"/>
  <c r="K1788" i="24"/>
  <c r="M1782" i="24"/>
  <c r="M1781" i="24"/>
  <c r="M1780" i="24"/>
  <c r="K1782" i="24"/>
  <c r="K1781" i="24"/>
  <c r="K1780" i="24"/>
  <c r="M1762" i="24"/>
  <c r="M1761" i="24"/>
  <c r="M1760" i="24"/>
  <c r="M1759" i="24"/>
  <c r="M1758" i="24"/>
  <c r="M1757" i="24"/>
  <c r="M1756" i="24"/>
  <c r="M1755" i="24"/>
  <c r="M1754" i="24"/>
  <c r="K1755" i="24"/>
  <c r="K1756" i="24"/>
  <c r="K1757" i="24"/>
  <c r="K1758" i="24"/>
  <c r="K1759" i="24"/>
  <c r="K1760" i="24"/>
  <c r="K1761" i="24"/>
  <c r="K1762" i="24"/>
  <c r="K1754" i="24"/>
  <c r="K1748" i="24"/>
  <c r="M571" i="24"/>
  <c r="M570" i="24"/>
  <c r="K571" i="24"/>
  <c r="K570" i="24"/>
  <c r="M510" i="24"/>
  <c r="K510" i="24"/>
  <c r="M509" i="24"/>
  <c r="K509" i="24"/>
  <c r="M508" i="24"/>
  <c r="K508" i="24"/>
  <c r="M507" i="24"/>
  <c r="K507" i="24"/>
  <c r="M506" i="24"/>
  <c r="M505" i="24"/>
  <c r="K505" i="24"/>
  <c r="M504" i="24"/>
  <c r="K504" i="24"/>
  <c r="M503" i="24"/>
  <c r="K503" i="24"/>
  <c r="M1996" i="24"/>
  <c r="M502" i="24"/>
  <c r="M501" i="24"/>
  <c r="K502" i="24"/>
  <c r="K501" i="24"/>
  <c r="M500" i="24"/>
  <c r="K500" i="24"/>
  <c r="M499" i="24"/>
  <c r="K499" i="24"/>
  <c r="M498" i="24"/>
  <c r="K498" i="24"/>
  <c r="K496" i="24"/>
  <c r="K495" i="24"/>
  <c r="M496" i="24"/>
  <c r="M495" i="24"/>
  <c r="K493" i="24"/>
  <c r="K492" i="24"/>
  <c r="K491" i="24"/>
  <c r="M492" i="24"/>
  <c r="M493" i="24"/>
  <c r="M491" i="24"/>
  <c r="M490" i="24"/>
  <c r="M489" i="24"/>
  <c r="M488" i="24"/>
  <c r="K489" i="24"/>
  <c r="K490" i="24"/>
  <c r="K488" i="24"/>
  <c r="K484" i="24"/>
  <c r="K485" i="24"/>
  <c r="K486" i="24"/>
  <c r="K483" i="24"/>
  <c r="M486" i="24"/>
  <c r="M485" i="24"/>
  <c r="M484" i="24"/>
  <c r="M483" i="24"/>
  <c r="K482" i="24"/>
  <c r="M482" i="24"/>
  <c r="K481" i="24"/>
  <c r="M481" i="24"/>
  <c r="K480" i="24"/>
  <c r="M480" i="24"/>
  <c r="K479" i="24"/>
  <c r="M479" i="24"/>
  <c r="K478" i="24"/>
  <c r="M478" i="24"/>
  <c r="K475" i="24"/>
  <c r="K476" i="24"/>
  <c r="K477" i="24"/>
  <c r="K474" i="24"/>
  <c r="M477" i="24"/>
  <c r="M476" i="24"/>
  <c r="M475" i="24"/>
  <c r="M474" i="24"/>
  <c r="K473" i="24"/>
  <c r="K472" i="24"/>
  <c r="K471" i="24"/>
  <c r="M473" i="24"/>
  <c r="M472" i="24"/>
  <c r="M471" i="24"/>
  <c r="K470" i="24"/>
  <c r="K469" i="24"/>
  <c r="K468" i="24"/>
  <c r="M468" i="24"/>
  <c r="M469" i="24"/>
  <c r="M470" i="24"/>
  <c r="K467" i="24"/>
  <c r="M467" i="24"/>
  <c r="K466" i="24"/>
  <c r="M466" i="24"/>
  <c r="K465" i="24"/>
  <c r="M465" i="24"/>
  <c r="K464" i="24"/>
  <c r="M464" i="24"/>
  <c r="K463" i="24"/>
  <c r="M463" i="24"/>
  <c r="K460" i="24"/>
  <c r="K461" i="24"/>
  <c r="K462" i="24"/>
  <c r="K459" i="24"/>
  <c r="M462" i="24"/>
  <c r="M461" i="24"/>
  <c r="M460" i="24"/>
  <c r="M459" i="24"/>
  <c r="K457" i="24"/>
  <c r="M457" i="24"/>
  <c r="M458" i="24"/>
  <c r="K458" i="24"/>
  <c r="M456" i="24"/>
  <c r="K456" i="24"/>
  <c r="K455" i="24"/>
  <c r="M455" i="24"/>
  <c r="K453" i="24"/>
  <c r="K454" i="24"/>
  <c r="M454" i="24"/>
  <c r="M453" i="24"/>
  <c r="K452" i="24"/>
  <c r="M452" i="24"/>
  <c r="K451" i="24"/>
  <c r="M451" i="24"/>
  <c r="K449" i="24"/>
  <c r="M449" i="24"/>
  <c r="M450" i="24"/>
  <c r="K450" i="24"/>
  <c r="M448" i="24"/>
  <c r="K448" i="24"/>
  <c r="M447" i="24"/>
  <c r="K447" i="24"/>
  <c r="M446" i="24"/>
  <c r="K446" i="24"/>
  <c r="K444" i="24"/>
  <c r="M444" i="24"/>
  <c r="M445" i="24"/>
  <c r="K445" i="24"/>
  <c r="M443" i="24"/>
  <c r="K443" i="24"/>
  <c r="M442" i="24"/>
  <c r="M441" i="24"/>
  <c r="K442" i="24"/>
  <c r="K441" i="24"/>
  <c r="K440" i="24"/>
  <c r="M440" i="24"/>
  <c r="M439" i="24"/>
  <c r="K439" i="24"/>
  <c r="K438" i="24"/>
  <c r="M438" i="24"/>
  <c r="I436" i="24"/>
  <c r="I435" i="24"/>
  <c r="K436" i="24"/>
  <c r="K435" i="24"/>
  <c r="M436" i="24"/>
  <c r="M435" i="24"/>
  <c r="I434" i="24"/>
  <c r="K434" i="24"/>
  <c r="K432" i="24"/>
  <c r="M432" i="24"/>
  <c r="K425" i="24"/>
  <c r="K426" i="24"/>
  <c r="K427" i="24"/>
  <c r="K428" i="24"/>
  <c r="K429" i="24"/>
  <c r="K430" i="24"/>
  <c r="K431" i="24"/>
  <c r="K424" i="24"/>
  <c r="M431" i="24"/>
  <c r="M430" i="24"/>
  <c r="M429" i="24"/>
  <c r="M428" i="24"/>
  <c r="M427" i="24"/>
  <c r="M426" i="24"/>
  <c r="M425" i="24"/>
  <c r="M424" i="24"/>
  <c r="K423" i="24"/>
  <c r="M423" i="24"/>
  <c r="K422" i="24"/>
  <c r="M422" i="24"/>
  <c r="M421" i="24"/>
  <c r="K421" i="24"/>
  <c r="K420" i="24"/>
  <c r="K419" i="24"/>
  <c r="M420" i="24"/>
  <c r="M419" i="24"/>
  <c r="M418" i="24"/>
  <c r="K418" i="24"/>
  <c r="M417" i="24"/>
  <c r="K417" i="24"/>
  <c r="K416" i="24"/>
  <c r="K415" i="24"/>
  <c r="O415" i="24" s="1"/>
  <c r="M416" i="24"/>
  <c r="M414" i="24"/>
  <c r="K414" i="24"/>
  <c r="M413" i="24"/>
  <c r="K413" i="24"/>
  <c r="M412" i="24"/>
  <c r="K412" i="24"/>
  <c r="M411" i="24"/>
  <c r="K411" i="24"/>
  <c r="K410" i="24"/>
  <c r="M410" i="24"/>
  <c r="M409" i="24"/>
  <c r="K409" i="24"/>
  <c r="M408" i="24"/>
  <c r="K408" i="24"/>
  <c r="M407" i="24"/>
  <c r="K407" i="24"/>
  <c r="M406" i="24"/>
  <c r="K406" i="24"/>
  <c r="K401" i="24"/>
  <c r="M401" i="24"/>
  <c r="M405" i="24"/>
  <c r="K405" i="24"/>
  <c r="M404" i="24"/>
  <c r="K404" i="24"/>
  <c r="M403" i="24"/>
  <c r="K403" i="24"/>
  <c r="M402" i="24"/>
  <c r="K402" i="24"/>
  <c r="M400" i="24"/>
  <c r="K400" i="24"/>
  <c r="M399" i="24"/>
  <c r="K399" i="24"/>
  <c r="M398" i="24"/>
  <c r="K398" i="24"/>
  <c r="M397" i="24"/>
  <c r="K397" i="24"/>
  <c r="K395" i="24"/>
  <c r="K396" i="24"/>
  <c r="M396" i="24"/>
  <c r="M395" i="24"/>
  <c r="M394" i="24"/>
  <c r="M393" i="24"/>
  <c r="K393" i="24"/>
  <c r="K394" i="24"/>
  <c r="K388" i="24"/>
  <c r="K389" i="24"/>
  <c r="K390" i="24"/>
  <c r="K391" i="24"/>
  <c r="K392" i="24"/>
  <c r="K387" i="24"/>
  <c r="M392" i="24"/>
  <c r="M391" i="24"/>
  <c r="M390" i="24"/>
  <c r="M389" i="24"/>
  <c r="M388" i="24"/>
  <c r="M387" i="24"/>
  <c r="K380" i="24"/>
  <c r="K381" i="24"/>
  <c r="K382" i="24"/>
  <c r="K383" i="24"/>
  <c r="K384" i="24"/>
  <c r="K385" i="24"/>
  <c r="K386" i="24"/>
  <c r="K379" i="24"/>
  <c r="M380" i="24"/>
  <c r="M379" i="24"/>
  <c r="M381" i="24"/>
  <c r="M386" i="24"/>
  <c r="M385" i="24"/>
  <c r="M384" i="24"/>
  <c r="M383" i="24"/>
  <c r="M382" i="24"/>
  <c r="E31" i="23"/>
  <c r="E32" i="23"/>
  <c r="E28" i="23"/>
  <c r="M534" i="24"/>
  <c r="K534" i="24"/>
  <c r="I534" i="24"/>
  <c r="G534" i="24"/>
  <c r="M533" i="24"/>
  <c r="K533" i="24"/>
  <c r="I533" i="24"/>
  <c r="G533" i="24"/>
  <c r="M532" i="24"/>
  <c r="K532" i="24"/>
  <c r="I532" i="24"/>
  <c r="G532" i="24"/>
  <c r="M531" i="24"/>
  <c r="K531" i="24"/>
  <c r="I531" i="24"/>
  <c r="G531" i="24"/>
  <c r="M530" i="24"/>
  <c r="K530" i="24"/>
  <c r="I530" i="24"/>
  <c r="G530" i="24"/>
  <c r="M523" i="24"/>
  <c r="K523" i="24"/>
  <c r="M518" i="24"/>
  <c r="M517" i="24"/>
  <c r="M516" i="24"/>
  <c r="K517" i="24"/>
  <c r="K518" i="24"/>
  <c r="K516" i="24"/>
  <c r="M520" i="24"/>
  <c r="K520" i="24"/>
  <c r="M524" i="24"/>
  <c r="K524" i="24"/>
  <c r="M522" i="24"/>
  <c r="K522" i="24"/>
  <c r="M521" i="24"/>
  <c r="K521" i="24"/>
  <c r="I524" i="24"/>
  <c r="I523" i="24"/>
  <c r="I522" i="24"/>
  <c r="I521" i="24"/>
  <c r="I520" i="24"/>
  <c r="G524" i="24"/>
  <c r="G523" i="24"/>
  <c r="G522" i="24"/>
  <c r="G521" i="24"/>
  <c r="G520" i="24"/>
  <c r="I518" i="24"/>
  <c r="I517" i="24"/>
  <c r="G518" i="24"/>
  <c r="G517" i="24"/>
  <c r="G516" i="24"/>
  <c r="I516" i="24"/>
  <c r="G35" i="27" l="1"/>
  <c r="G38" i="27" s="1"/>
  <c r="G239" i="1" s="1"/>
  <c r="B366" i="24"/>
  <c r="N366" i="24"/>
  <c r="O296" i="24"/>
  <c r="O304" i="24"/>
  <c r="O292" i="24"/>
  <c r="O300" i="24"/>
  <c r="O291" i="24"/>
  <c r="O295" i="24"/>
  <c r="O303" i="24"/>
  <c r="O308" i="24"/>
  <c r="O288" i="24"/>
  <c r="O100" i="24"/>
  <c r="O299" i="24"/>
  <c r="O307" i="24"/>
  <c r="O289" i="24"/>
  <c r="O298" i="24"/>
  <c r="O306" i="24"/>
  <c r="O290" i="24"/>
  <c r="O293" i="24"/>
  <c r="O301" i="24"/>
  <c r="O309" i="24"/>
  <c r="O294" i="24"/>
  <c r="O302" i="24"/>
  <c r="O305" i="24"/>
  <c r="O297" i="24"/>
  <c r="O106" i="24"/>
  <c r="O108" i="24"/>
  <c r="O114" i="24"/>
  <c r="O103" i="24"/>
  <c r="O111" i="24"/>
  <c r="O102" i="24"/>
  <c r="O116" i="24"/>
  <c r="O104" i="24"/>
  <c r="O110" i="24"/>
  <c r="O112" i="24"/>
  <c r="O118" i="24"/>
  <c r="O98" i="24"/>
  <c r="O101" i="24"/>
  <c r="O105" i="24"/>
  <c r="O107" i="24"/>
  <c r="O109" i="24"/>
  <c r="O113" i="24"/>
  <c r="O115" i="24"/>
  <c r="O117" i="24"/>
  <c r="O99" i="24"/>
  <c r="O97" i="24"/>
  <c r="O372" i="24"/>
  <c r="O193" i="24"/>
  <c r="O370" i="24"/>
  <c r="O194" i="24"/>
  <c r="O195" i="24"/>
  <c r="O371" i="24"/>
  <c r="O196" i="24"/>
  <c r="O369" i="24"/>
  <c r="O225" i="24"/>
  <c r="O200" i="24" s="1"/>
  <c r="O282" i="24"/>
  <c r="O271" i="24" s="1"/>
  <c r="O269" i="24"/>
  <c r="O227" i="24" s="1"/>
  <c r="O2669" i="24"/>
  <c r="O2420" i="24"/>
  <c r="O2432" i="24"/>
  <c r="O2417" i="24"/>
  <c r="O2441" i="24"/>
  <c r="O2462" i="24"/>
  <c r="O2414" i="24"/>
  <c r="O2421" i="24"/>
  <c r="O2425" i="24"/>
  <c r="O2413" i="24"/>
  <c r="O2426" i="24"/>
  <c r="O2472" i="24"/>
  <c r="O2400" i="24"/>
  <c r="O2396" i="24"/>
  <c r="O2433" i="24"/>
  <c r="O2403" i="24"/>
  <c r="O2388" i="24"/>
  <c r="O2444" i="24"/>
  <c r="O2457" i="24"/>
  <c r="O2398" i="24"/>
  <c r="O2428" i="24"/>
  <c r="O2393" i="24"/>
  <c r="O2389" i="24"/>
  <c r="O2385" i="24"/>
  <c r="O2438" i="24"/>
  <c r="O2446" i="24"/>
  <c r="O2411" i="24"/>
  <c r="O2415" i="24"/>
  <c r="O2431" i="24"/>
  <c r="O2439" i="24"/>
  <c r="O2448" i="24"/>
  <c r="O2473" i="24"/>
  <c r="O2423" i="24"/>
  <c r="O2435" i="24"/>
  <c r="O2382" i="24"/>
  <c r="O2390" i="24"/>
  <c r="O2406" i="24"/>
  <c r="O2392" i="24"/>
  <c r="O2384" i="24"/>
  <c r="O2405" i="24"/>
  <c r="O2397" i="24"/>
  <c r="O2422" i="24"/>
  <c r="O2434" i="24"/>
  <c r="O2452" i="24"/>
  <c r="O2471" i="24"/>
  <c r="O2418" i="24"/>
  <c r="O2463" i="24"/>
  <c r="O2409" i="24"/>
  <c r="O2401" i="24"/>
  <c r="O2424" i="24"/>
  <c r="O2464" i="24"/>
  <c r="O2395" i="24"/>
  <c r="O2387" i="24"/>
  <c r="O2408" i="24"/>
  <c r="O2416" i="24"/>
  <c r="O2454" i="24"/>
  <c r="O2474" i="24"/>
  <c r="O2410" i="24"/>
  <c r="O2402" i="24"/>
  <c r="O2440" i="24"/>
  <c r="O2450" i="24"/>
  <c r="O2466" i="24"/>
  <c r="O2394" i="24"/>
  <c r="O2386" i="24"/>
  <c r="O2407" i="24"/>
  <c r="O2399" i="24"/>
  <c r="O2427" i="24"/>
  <c r="O2449" i="24"/>
  <c r="O2461" i="24"/>
  <c r="O2430" i="24"/>
  <c r="O2453" i="24"/>
  <c r="O2467" i="24"/>
  <c r="O2429" i="24"/>
  <c r="O2437" i="24"/>
  <c r="O2447" i="24"/>
  <c r="O2391" i="24"/>
  <c r="O2383" i="24"/>
  <c r="O2404" i="24"/>
  <c r="O2412" i="24"/>
  <c r="O2419" i="24"/>
  <c r="O2436" i="24"/>
  <c r="O2443" i="24"/>
  <c r="O2451" i="24"/>
  <c r="O2442" i="24"/>
  <c r="O2445" i="24"/>
  <c r="O2469" i="24"/>
  <c r="O2456" i="24"/>
  <c r="O2379" i="24"/>
  <c r="O2460" i="24"/>
  <c r="O2470" i="24"/>
  <c r="O2459" i="24"/>
  <c r="O2380" i="24"/>
  <c r="O2377" i="24"/>
  <c r="O2378" i="24"/>
  <c r="O2363" i="24"/>
  <c r="O2365" i="24"/>
  <c r="O2366" i="24"/>
  <c r="O2370" i="24"/>
  <c r="O2368" i="24"/>
  <c r="O2381" i="24"/>
  <c r="O2348" i="24"/>
  <c r="O2367" i="24"/>
  <c r="O2371" i="24"/>
  <c r="O2357" i="24"/>
  <c r="O2358" i="24"/>
  <c r="O2311" i="24"/>
  <c r="O2328" i="24"/>
  <c r="O2320" i="24"/>
  <c r="O2312" i="24"/>
  <c r="O2329" i="24"/>
  <c r="O2321" i="24"/>
  <c r="O2341" i="24"/>
  <c r="O2356" i="24"/>
  <c r="O2317" i="24"/>
  <c r="O2326" i="24"/>
  <c r="O2360" i="24"/>
  <c r="O2313" i="24"/>
  <c r="O2330" i="24"/>
  <c r="O2322" i="24"/>
  <c r="O2342" i="24"/>
  <c r="O2353" i="24"/>
  <c r="O2351" i="24"/>
  <c r="O2359" i="24"/>
  <c r="O2337" i="24"/>
  <c r="O2310" i="24"/>
  <c r="O2327" i="24"/>
  <c r="O2350" i="24"/>
  <c r="O2347" i="24"/>
  <c r="O2354" i="24"/>
  <c r="O2338" i="24"/>
  <c r="O2349" i="24"/>
  <c r="O2346" i="24"/>
  <c r="O2316" i="24"/>
  <c r="O2333" i="24"/>
  <c r="O2325" i="24"/>
  <c r="O2336" i="24"/>
  <c r="O2345" i="24"/>
  <c r="O2352" i="24"/>
  <c r="O2315" i="24"/>
  <c r="O2332" i="24"/>
  <c r="O2324" i="24"/>
  <c r="O2344" i="24"/>
  <c r="O2355" i="24"/>
  <c r="O2314" i="24"/>
  <c r="O2331" i="24"/>
  <c r="O2323" i="24"/>
  <c r="O2343" i="24"/>
  <c r="O2362" i="24"/>
  <c r="O2340" i="24"/>
  <c r="O2335" i="24"/>
  <c r="O2319" i="24"/>
  <c r="O2309" i="24"/>
  <c r="O1895" i="24"/>
  <c r="O1833" i="24"/>
  <c r="O1841" i="24"/>
  <c r="O1828" i="24"/>
  <c r="O1832" i="24"/>
  <c r="O1831" i="24"/>
  <c r="O1829" i="24"/>
  <c r="O1836" i="24"/>
  <c r="O1834" i="24"/>
  <c r="O1842" i="24"/>
  <c r="O1840" i="24"/>
  <c r="O1803" i="24"/>
  <c r="O1807" i="24"/>
  <c r="O1811" i="24"/>
  <c r="O1800" i="24"/>
  <c r="O1804" i="24"/>
  <c r="O1808" i="24"/>
  <c r="O1812" i="24"/>
  <c r="O1839" i="24"/>
  <c r="O1830" i="24"/>
  <c r="O1837" i="24"/>
  <c r="O1838" i="24"/>
  <c r="O1835" i="24"/>
  <c r="O1776" i="24"/>
  <c r="O1772" i="24"/>
  <c r="O1799" i="24"/>
  <c r="O1801" i="24"/>
  <c r="O1809" i="24"/>
  <c r="O1802" i="24"/>
  <c r="O1806" i="24"/>
  <c r="O1810" i="24"/>
  <c r="O1798" i="24"/>
  <c r="O1805" i="24"/>
  <c r="O1770" i="24"/>
  <c r="O1765" i="24"/>
  <c r="O1778" i="24"/>
  <c r="O1769" i="24"/>
  <c r="O1777" i="24"/>
  <c r="O1774" i="24"/>
  <c r="O1767" i="24"/>
  <c r="O1771" i="24"/>
  <c r="O1768" i="24"/>
  <c r="O1764" i="24"/>
  <c r="O1773" i="24"/>
  <c r="O1766" i="24"/>
  <c r="O1775" i="24"/>
  <c r="O1824" i="24"/>
  <c r="O1858" i="24"/>
  <c r="O1819" i="24"/>
  <c r="O1823" i="24"/>
  <c r="O1857" i="24"/>
  <c r="O1825" i="24"/>
  <c r="O1789" i="24"/>
  <c r="O1793" i="24"/>
  <c r="O1818" i="24"/>
  <c r="O1856" i="24"/>
  <c r="O504" i="24"/>
  <c r="O508" i="24"/>
  <c r="O1782" i="24"/>
  <c r="O1826" i="24"/>
  <c r="O1795" i="24"/>
  <c r="O1848" i="24"/>
  <c r="O1754" i="24"/>
  <c r="O1788" i="24"/>
  <c r="O1796" i="24"/>
  <c r="O1759" i="24"/>
  <c r="O1820" i="24"/>
  <c r="O1821" i="24"/>
  <c r="O1849" i="24"/>
  <c r="O1781" i="24"/>
  <c r="O1822" i="24"/>
  <c r="O1850" i="24"/>
  <c r="O1758" i="24"/>
  <c r="O1794" i="24"/>
  <c r="O1790" i="24"/>
  <c r="O1791" i="24"/>
  <c r="O1792" i="24"/>
  <c r="O1780" i="24"/>
  <c r="O1760" i="24"/>
  <c r="O1761" i="24"/>
  <c r="O1762" i="24"/>
  <c r="O1757" i="24"/>
  <c r="O1756" i="24"/>
  <c r="O1755" i="24"/>
  <c r="O571" i="24"/>
  <c r="O570" i="24"/>
  <c r="O506" i="24"/>
  <c r="O510" i="24"/>
  <c r="O503" i="24"/>
  <c r="O507" i="24"/>
  <c r="O501" i="24"/>
  <c r="O502" i="24"/>
  <c r="O509" i="24"/>
  <c r="O505" i="24"/>
  <c r="O499" i="24"/>
  <c r="O500" i="24"/>
  <c r="O496" i="24"/>
  <c r="O495" i="24"/>
  <c r="O498" i="24"/>
  <c r="O462" i="24"/>
  <c r="O469" i="24"/>
  <c r="O486" i="24"/>
  <c r="O456" i="24"/>
  <c r="O467" i="24"/>
  <c r="O479" i="24"/>
  <c r="O466" i="24"/>
  <c r="O492" i="24"/>
  <c r="O488" i="24"/>
  <c r="O471" i="24"/>
  <c r="O490" i="24"/>
  <c r="O491" i="24"/>
  <c r="O489" i="24"/>
  <c r="O493" i="24"/>
  <c r="O465" i="24"/>
  <c r="O468" i="24"/>
  <c r="O485" i="24"/>
  <c r="O459" i="24"/>
  <c r="O472" i="24"/>
  <c r="O482" i="24"/>
  <c r="O484" i="24"/>
  <c r="O448" i="24"/>
  <c r="O477" i="24"/>
  <c r="O480" i="24"/>
  <c r="O476" i="24"/>
  <c r="O483" i="24"/>
  <c r="O481" i="24"/>
  <c r="O475" i="24"/>
  <c r="O478" i="24"/>
  <c r="O473" i="24"/>
  <c r="O457" i="24"/>
  <c r="O460" i="24"/>
  <c r="O470" i="24"/>
  <c r="O474" i="24"/>
  <c r="O451" i="24"/>
  <c r="O455" i="24"/>
  <c r="O463" i="24"/>
  <c r="O452" i="24"/>
  <c r="O450" i="24"/>
  <c r="O458" i="24"/>
  <c r="O454" i="24"/>
  <c r="O447" i="24"/>
  <c r="O464" i="24"/>
  <c r="O461" i="24"/>
  <c r="O449" i="24"/>
  <c r="O453" i="24"/>
  <c r="O381" i="24"/>
  <c r="O445" i="24"/>
  <c r="O382" i="24"/>
  <c r="O389" i="24"/>
  <c r="O420" i="24"/>
  <c r="O442" i="24"/>
  <c r="O446" i="24"/>
  <c r="O397" i="24"/>
  <c r="O402" i="24"/>
  <c r="O409" i="24"/>
  <c r="O444" i="24"/>
  <c r="O443" i="24"/>
  <c r="O440" i="24"/>
  <c r="O435" i="24"/>
  <c r="O441" i="24"/>
  <c r="O417" i="24"/>
  <c r="O421" i="24"/>
  <c r="O434" i="24"/>
  <c r="O438" i="24"/>
  <c r="O439" i="24"/>
  <c r="O392" i="24"/>
  <c r="O399" i="24"/>
  <c r="O404" i="24"/>
  <c r="O407" i="24"/>
  <c r="O411" i="24"/>
  <c r="O424" i="24"/>
  <c r="O428" i="24"/>
  <c r="O422" i="24"/>
  <c r="O380" i="24"/>
  <c r="O419" i="24"/>
  <c r="O416" i="24"/>
  <c r="O412" i="24"/>
  <c r="O426" i="24"/>
  <c r="O430" i="24"/>
  <c r="O432" i="24"/>
  <c r="O383" i="24"/>
  <c r="O413" i="24"/>
  <c r="O429" i="24"/>
  <c r="O396" i="24"/>
  <c r="O431" i="24"/>
  <c r="O418" i="24"/>
  <c r="O423" i="24"/>
  <c r="O425" i="24"/>
  <c r="O436" i="24"/>
  <c r="O387" i="24"/>
  <c r="O398" i="24"/>
  <c r="O403" i="24"/>
  <c r="O406" i="24"/>
  <c r="O414" i="24"/>
  <c r="O427" i="24"/>
  <c r="O391" i="24"/>
  <c r="O390" i="24"/>
  <c r="O385" i="24"/>
  <c r="O400" i="24"/>
  <c r="O408" i="24"/>
  <c r="O410" i="24"/>
  <c r="O386" i="24"/>
  <c r="O388" i="24"/>
  <c r="O405" i="24"/>
  <c r="O384" i="24"/>
  <c r="O395" i="24"/>
  <c r="O379" i="24"/>
  <c r="O394" i="24"/>
  <c r="O393" i="24"/>
  <c r="O401" i="24"/>
  <c r="O530" i="24"/>
  <c r="O521" i="24"/>
  <c r="O522" i="24"/>
  <c r="O518" i="24"/>
  <c r="O531" i="24"/>
  <c r="O532" i="24"/>
  <c r="O534" i="24"/>
  <c r="O523" i="24"/>
  <c r="O517" i="24"/>
  <c r="O524" i="24"/>
  <c r="O533" i="24"/>
  <c r="O520" i="24"/>
  <c r="O516" i="24"/>
  <c r="O125" i="24" l="1"/>
  <c r="O373" i="24"/>
  <c r="O366" i="24" s="1"/>
  <c r="O511" i="24"/>
  <c r="M553" i="24"/>
  <c r="M554" i="24"/>
  <c r="K554" i="24"/>
  <c r="K553" i="24"/>
  <c r="I551" i="24"/>
  <c r="M551" i="24"/>
  <c r="K551" i="24"/>
  <c r="K549" i="24"/>
  <c r="K550" i="24"/>
  <c r="M550" i="24"/>
  <c r="I550" i="24"/>
  <c r="I549" i="24"/>
  <c r="M549" i="24"/>
  <c r="M548" i="24"/>
  <c r="K548" i="24"/>
  <c r="I548" i="24"/>
  <c r="I547" i="24"/>
  <c r="M547" i="24"/>
  <c r="K547" i="24"/>
  <c r="K545" i="24"/>
  <c r="I545" i="24"/>
  <c r="M545" i="24"/>
  <c r="I544" i="24"/>
  <c r="I543" i="24"/>
  <c r="K544" i="24"/>
  <c r="M544" i="24"/>
  <c r="K543" i="24"/>
  <c r="M543" i="24"/>
  <c r="M542" i="24"/>
  <c r="I542" i="24"/>
  <c r="K542" i="24"/>
  <c r="K541" i="24"/>
  <c r="I541" i="24"/>
  <c r="M541" i="24"/>
  <c r="K540" i="24"/>
  <c r="I540" i="24"/>
  <c r="M540" i="24"/>
  <c r="K561" i="24"/>
  <c r="K562" i="24"/>
  <c r="K563" i="24"/>
  <c r="K564" i="24"/>
  <c r="K565" i="24"/>
  <c r="K566" i="24"/>
  <c r="K567" i="24"/>
  <c r="K568" i="24"/>
  <c r="M568" i="24"/>
  <c r="M567" i="24"/>
  <c r="M566" i="24"/>
  <c r="M565" i="24"/>
  <c r="M564" i="24"/>
  <c r="M563" i="24"/>
  <c r="M562" i="24"/>
  <c r="K560" i="24"/>
  <c r="M561" i="24"/>
  <c r="M560" i="24"/>
  <c r="O2093" i="24"/>
  <c r="O2094" i="24" s="1"/>
  <c r="O2090" i="24" s="1"/>
  <c r="A2090" i="24"/>
  <c r="N2090" i="24" l="1"/>
  <c r="B2090" i="24"/>
  <c r="O566" i="24"/>
  <c r="O562" i="24"/>
  <c r="O561" i="24"/>
  <c r="O568" i="24"/>
  <c r="O567" i="24"/>
  <c r="O565" i="24"/>
  <c r="O564" i="24"/>
  <c r="O563" i="24"/>
  <c r="O553" i="24"/>
  <c r="O551" i="24"/>
  <c r="O544" i="24"/>
  <c r="O541" i="24"/>
  <c r="O542" i="24"/>
  <c r="O550" i="24"/>
  <c r="O549" i="24"/>
  <c r="O545" i="24"/>
  <c r="O540" i="24"/>
  <c r="O543" i="24"/>
  <c r="O548" i="24"/>
  <c r="O554" i="24"/>
  <c r="O547" i="24"/>
  <c r="O560" i="24"/>
  <c r="O59" i="24"/>
  <c r="O572" i="24" l="1"/>
  <c r="O555" i="24"/>
  <c r="M147" i="24"/>
  <c r="O147" i="24" s="1"/>
  <c r="M91" i="24"/>
  <c r="O91" i="24" s="1"/>
  <c r="M85" i="24"/>
  <c r="O85" i="24" s="1"/>
  <c r="M2166" i="24"/>
  <c r="K2166" i="24"/>
  <c r="I2166" i="24"/>
  <c r="M2165" i="24"/>
  <c r="K2165" i="24"/>
  <c r="I2165" i="24"/>
  <c r="M2164" i="24"/>
  <c r="K2164" i="24"/>
  <c r="I2164" i="24"/>
  <c r="M2163" i="24"/>
  <c r="K2163" i="24"/>
  <c r="I2163" i="24"/>
  <c r="M2157" i="24"/>
  <c r="K2157" i="24"/>
  <c r="I2157" i="24"/>
  <c r="M2156" i="24"/>
  <c r="K2156" i="24"/>
  <c r="I2156" i="24"/>
  <c r="M2148" i="24"/>
  <c r="M2150" i="24"/>
  <c r="M2149" i="24"/>
  <c r="M2147" i="24"/>
  <c r="K2150" i="24"/>
  <c r="K2149" i="24"/>
  <c r="K2148" i="24"/>
  <c r="K2147" i="24"/>
  <c r="I2150" i="24"/>
  <c r="I2148" i="24"/>
  <c r="I2149" i="24"/>
  <c r="I2147" i="24"/>
  <c r="I2145" i="24"/>
  <c r="K2145" i="24"/>
  <c r="M2145" i="24"/>
  <c r="M2144" i="24"/>
  <c r="I2144" i="24"/>
  <c r="K2144" i="24"/>
  <c r="M2138" i="24"/>
  <c r="K2138" i="24"/>
  <c r="K2137" i="24"/>
  <c r="M2137" i="24"/>
  <c r="K2131" i="24"/>
  <c r="M2131" i="24"/>
  <c r="M2125" i="24"/>
  <c r="O2125" i="24" s="1"/>
  <c r="M2124" i="24"/>
  <c r="O2124" i="24" s="1"/>
  <c r="M2118" i="24"/>
  <c r="K2118" i="24"/>
  <c r="M2117" i="24"/>
  <c r="K2117" i="24"/>
  <c r="M2116" i="24"/>
  <c r="K2116" i="24"/>
  <c r="M2115" i="24"/>
  <c r="K2115" i="24"/>
  <c r="K2108" i="24"/>
  <c r="K2109" i="24"/>
  <c r="M2109" i="24"/>
  <c r="M2108" i="24"/>
  <c r="M2107" i="24"/>
  <c r="K2107" i="24"/>
  <c r="K2106" i="24"/>
  <c r="M2106" i="24"/>
  <c r="M68" i="24"/>
  <c r="M67" i="24"/>
  <c r="M66" i="24"/>
  <c r="M65" i="24"/>
  <c r="M53" i="24"/>
  <c r="O53" i="24" s="1"/>
  <c r="M52" i="24"/>
  <c r="O52" i="24" s="1"/>
  <c r="M51" i="24"/>
  <c r="O51" i="24" s="1"/>
  <c r="M50" i="24"/>
  <c r="O50" i="24" s="1"/>
  <c r="M44" i="24"/>
  <c r="K44" i="24"/>
  <c r="K66" i="24"/>
  <c r="K67" i="24"/>
  <c r="K68" i="24"/>
  <c r="K65" i="24"/>
  <c r="O66" i="24" l="1"/>
  <c r="O2165" i="24"/>
  <c r="O2166" i="24"/>
  <c r="O2157" i="24"/>
  <c r="O2163" i="24"/>
  <c r="O2164" i="24"/>
  <c r="O2156" i="24"/>
  <c r="O2147" i="24"/>
  <c r="O2149" i="24"/>
  <c r="O2148" i="24"/>
  <c r="O2150" i="24"/>
  <c r="O2137" i="24"/>
  <c r="O2145" i="24"/>
  <c r="O2138" i="24"/>
  <c r="O2115" i="24"/>
  <c r="O2144" i="24"/>
  <c r="O2117" i="24"/>
  <c r="O2131" i="24"/>
  <c r="O2108" i="24"/>
  <c r="O2109" i="24"/>
  <c r="O65" i="24"/>
  <c r="O2106" i="24"/>
  <c r="O2107" i="24"/>
  <c r="O2118" i="24"/>
  <c r="O2116" i="24"/>
  <c r="O67" i="24"/>
  <c r="O68" i="24"/>
  <c r="O44" i="24"/>
  <c r="A2248" i="24"/>
  <c r="M2251" i="24"/>
  <c r="O2251" i="24" s="1"/>
  <c r="O2252" i="24" s="1"/>
  <c r="O2248" i="24" s="1"/>
  <c r="G355" i="1"/>
  <c r="E355" i="1"/>
  <c r="D355" i="1"/>
  <c r="K2627" i="24"/>
  <c r="K2628" i="24"/>
  <c r="K2629" i="24"/>
  <c r="K2630" i="24"/>
  <c r="K2631" i="24"/>
  <c r="K2632" i="24"/>
  <c r="K2633" i="24"/>
  <c r="K2634" i="24"/>
  <c r="K2635" i="24"/>
  <c r="K2636" i="24"/>
  <c r="K2637" i="24"/>
  <c r="M2637" i="24"/>
  <c r="M2636" i="24"/>
  <c r="M2635" i="24"/>
  <c r="M2634" i="24"/>
  <c r="M2633" i="24"/>
  <c r="M2632" i="24"/>
  <c r="M2631" i="24"/>
  <c r="M2630" i="24"/>
  <c r="M2629" i="24"/>
  <c r="M2628" i="24"/>
  <c r="M2627" i="24"/>
  <c r="M2626" i="24"/>
  <c r="M2620" i="24"/>
  <c r="K2620" i="24"/>
  <c r="K2626" i="24"/>
  <c r="K2622" i="24"/>
  <c r="K2623" i="24"/>
  <c r="K2624" i="24"/>
  <c r="K2625" i="24"/>
  <c r="M2625" i="24"/>
  <c r="M2624" i="24"/>
  <c r="M2623" i="24"/>
  <c r="M2622" i="24"/>
  <c r="K2621" i="24"/>
  <c r="M2621" i="24"/>
  <c r="M1965" i="24"/>
  <c r="O1965" i="24" s="1"/>
  <c r="M1969" i="24"/>
  <c r="O1969" i="24" s="1"/>
  <c r="M1968" i="24"/>
  <c r="O1968" i="24" s="1"/>
  <c r="M1967" i="24"/>
  <c r="O1967" i="24" s="1"/>
  <c r="M1966" i="24"/>
  <c r="O1966" i="24" s="1"/>
  <c r="M1964" i="24"/>
  <c r="O1964" i="24" s="1"/>
  <c r="M1963" i="24"/>
  <c r="O1963" i="24" s="1"/>
  <c r="M1962" i="24"/>
  <c r="O1962" i="24" s="1"/>
  <c r="M1961" i="24"/>
  <c r="O1961" i="24" s="1"/>
  <c r="M1960" i="24"/>
  <c r="O1960" i="24" s="1"/>
  <c r="M1959" i="24"/>
  <c r="O1959" i="24" s="1"/>
  <c r="M1958" i="24"/>
  <c r="O1958" i="24" s="1"/>
  <c r="M1957" i="24"/>
  <c r="O1957" i="24" s="1"/>
  <c r="M1584" i="24"/>
  <c r="O1584" i="24" s="1"/>
  <c r="M1583" i="24"/>
  <c r="O1583" i="24" s="1"/>
  <c r="M1582" i="24"/>
  <c r="O1582" i="24" s="1"/>
  <c r="M1631" i="24"/>
  <c r="O1631" i="24" s="1"/>
  <c r="M1632" i="24"/>
  <c r="O1632" i="24" s="1"/>
  <c r="M1633" i="24"/>
  <c r="O1633" i="24" s="1"/>
  <c r="M1951" i="24"/>
  <c r="O1951" i="24" s="1"/>
  <c r="M1950" i="24"/>
  <c r="O1950" i="24" s="1"/>
  <c r="M1949" i="24"/>
  <c r="O1949" i="24" s="1"/>
  <c r="M1948" i="24"/>
  <c r="O1948" i="24" s="1"/>
  <c r="M1947" i="24"/>
  <c r="O1947" i="24" s="1"/>
  <c r="M1946" i="24"/>
  <c r="O1946" i="24" s="1"/>
  <c r="M1945" i="24"/>
  <c r="O1945" i="24" s="1"/>
  <c r="M1944" i="24"/>
  <c r="O1944" i="24" s="1"/>
  <c r="M1943" i="24"/>
  <c r="O1943" i="24" s="1"/>
  <c r="M1942" i="24"/>
  <c r="O1942" i="24" s="1"/>
  <c r="M1941" i="24"/>
  <c r="O1941" i="24" s="1"/>
  <c r="M1940" i="24"/>
  <c r="O1940" i="24" s="1"/>
  <c r="M1939" i="24"/>
  <c r="O1939" i="24" s="1"/>
  <c r="M1938" i="24"/>
  <c r="K1938" i="24"/>
  <c r="M1937" i="24"/>
  <c r="K1937" i="24"/>
  <c r="M1936" i="24"/>
  <c r="K1936" i="24"/>
  <c r="M1935" i="24"/>
  <c r="K1935" i="24"/>
  <c r="M1934" i="24"/>
  <c r="K1934" i="24"/>
  <c r="M1933" i="24"/>
  <c r="K1933" i="24"/>
  <c r="M1932" i="24"/>
  <c r="K1932" i="24"/>
  <c r="M1931" i="24"/>
  <c r="K1931" i="24"/>
  <c r="M1930" i="24"/>
  <c r="K1930" i="24"/>
  <c r="M1929" i="24"/>
  <c r="K1929" i="24"/>
  <c r="M1923" i="24"/>
  <c r="O1923" i="24" s="1"/>
  <c r="M1922" i="24"/>
  <c r="O1922" i="24" s="1"/>
  <c r="M1921" i="24"/>
  <c r="O1921" i="24" s="1"/>
  <c r="M1920" i="24"/>
  <c r="O1920" i="24" s="1"/>
  <c r="M1919" i="24"/>
  <c r="O1919" i="24" s="1"/>
  <c r="M1918" i="24"/>
  <c r="O1918" i="24" s="1"/>
  <c r="M1917" i="24"/>
  <c r="O1917" i="24" s="1"/>
  <c r="M1916" i="24"/>
  <c r="O1916" i="24" s="1"/>
  <c r="M1915" i="24"/>
  <c r="O1915" i="24" s="1"/>
  <c r="M1914" i="24"/>
  <c r="O1914" i="24" s="1"/>
  <c r="M1913" i="24"/>
  <c r="O1913" i="24" s="1"/>
  <c r="M1912" i="24"/>
  <c r="O1912" i="24" s="1"/>
  <c r="M1911" i="24"/>
  <c r="O1911" i="24" s="1"/>
  <c r="M1910" i="24"/>
  <c r="K1910" i="24"/>
  <c r="M1909" i="24"/>
  <c r="K1909" i="24"/>
  <c r="M1908" i="24"/>
  <c r="K1908" i="24"/>
  <c r="M1907" i="24"/>
  <c r="K1907" i="24"/>
  <c r="M1906" i="24"/>
  <c r="K1906" i="24"/>
  <c r="M1905" i="24"/>
  <c r="K1905" i="24"/>
  <c r="M1904" i="24"/>
  <c r="K1904" i="24"/>
  <c r="M1903" i="24"/>
  <c r="K1903" i="24"/>
  <c r="M1902" i="24"/>
  <c r="K1902" i="24"/>
  <c r="M1901" i="24"/>
  <c r="K1901" i="24"/>
  <c r="M2573" i="24"/>
  <c r="O2573" i="24" s="1"/>
  <c r="M2572" i="24"/>
  <c r="O2572" i="24" s="1"/>
  <c r="M2571" i="24"/>
  <c r="O2571" i="24" s="1"/>
  <c r="M2570" i="24"/>
  <c r="O2570" i="24" s="1"/>
  <c r="M2569" i="24"/>
  <c r="O2569" i="24" s="1"/>
  <c r="M2568" i="24"/>
  <c r="O2568" i="24" s="1"/>
  <c r="M2567" i="24"/>
  <c r="O2567" i="24" s="1"/>
  <c r="M2566" i="24"/>
  <c r="O2566" i="24" s="1"/>
  <c r="M2565" i="24"/>
  <c r="O2565" i="24" s="1"/>
  <c r="M2564" i="24"/>
  <c r="O2564" i="24" s="1"/>
  <c r="M2563" i="24"/>
  <c r="O2563" i="24" s="1"/>
  <c r="M2562" i="24"/>
  <c r="O2562" i="24" s="1"/>
  <c r="M2561" i="24"/>
  <c r="O2561" i="24" s="1"/>
  <c r="M2560" i="24"/>
  <c r="K2560" i="24"/>
  <c r="M2559" i="24"/>
  <c r="K2559" i="24"/>
  <c r="M2558" i="24"/>
  <c r="K2558" i="24"/>
  <c r="M2557" i="24"/>
  <c r="K2557" i="24"/>
  <c r="M2556" i="24"/>
  <c r="K2556" i="24"/>
  <c r="M2555" i="24"/>
  <c r="K2555" i="24"/>
  <c r="M2554" i="24"/>
  <c r="K2554" i="24"/>
  <c r="M2553" i="24"/>
  <c r="K2553" i="24"/>
  <c r="M2552" i="24"/>
  <c r="K2552" i="24"/>
  <c r="M2551" i="24"/>
  <c r="K2551" i="24"/>
  <c r="K2504" i="24"/>
  <c r="K2503" i="24"/>
  <c r="K2502" i="24"/>
  <c r="M2517" i="24"/>
  <c r="O2517" i="24" s="1"/>
  <c r="M2516" i="24"/>
  <c r="O2516" i="24" s="1"/>
  <c r="M2515" i="24"/>
  <c r="O2515" i="24" s="1"/>
  <c r="M2514" i="24"/>
  <c r="O2514" i="24" s="1"/>
  <c r="M2513" i="24"/>
  <c r="O2513" i="24" s="1"/>
  <c r="M2512" i="24"/>
  <c r="O2512" i="24" s="1"/>
  <c r="M2511" i="24"/>
  <c r="O2511" i="24" s="1"/>
  <c r="M2510" i="24"/>
  <c r="O2510" i="24" s="1"/>
  <c r="M2509" i="24"/>
  <c r="O2509" i="24" s="1"/>
  <c r="M2508" i="24"/>
  <c r="O2508" i="24" s="1"/>
  <c r="M2507" i="24"/>
  <c r="O2507" i="24" s="1"/>
  <c r="M2506" i="24"/>
  <c r="O2506" i="24" s="1"/>
  <c r="M2505" i="24"/>
  <c r="O2505" i="24" s="1"/>
  <c r="M2504" i="24"/>
  <c r="M2503" i="24"/>
  <c r="M2502" i="24"/>
  <c r="K2501" i="24"/>
  <c r="M2501" i="24"/>
  <c r="K2500" i="24"/>
  <c r="M2500" i="24"/>
  <c r="K2499" i="24"/>
  <c r="M2499" i="24"/>
  <c r="K2498" i="24"/>
  <c r="M2498" i="24"/>
  <c r="K2497" i="24"/>
  <c r="M2497" i="24"/>
  <c r="K2496" i="24"/>
  <c r="M2496" i="24"/>
  <c r="K2495" i="24"/>
  <c r="M2495" i="24"/>
  <c r="M1556" i="24"/>
  <c r="M1589" i="24"/>
  <c r="M1601" i="24"/>
  <c r="M1597" i="24"/>
  <c r="M1647" i="24"/>
  <c r="M2613" i="24"/>
  <c r="K2613" i="24"/>
  <c r="I2613" i="24"/>
  <c r="G2613" i="24"/>
  <c r="M2612" i="24"/>
  <c r="K2612" i="24"/>
  <c r="I2612" i="24"/>
  <c r="G2612" i="24"/>
  <c r="M2611" i="24"/>
  <c r="K2611" i="24"/>
  <c r="I2611" i="24"/>
  <c r="G2611" i="24"/>
  <c r="M2605" i="24"/>
  <c r="K2605" i="24"/>
  <c r="I2605" i="24"/>
  <c r="G2605" i="24"/>
  <c r="M2604" i="24"/>
  <c r="K2604" i="24"/>
  <c r="I2604" i="24"/>
  <c r="G2604" i="24"/>
  <c r="M2603" i="24"/>
  <c r="K2603" i="24"/>
  <c r="I2603" i="24"/>
  <c r="G2603" i="24"/>
  <c r="M2597" i="24"/>
  <c r="K2597" i="24"/>
  <c r="I2597" i="24"/>
  <c r="G2597" i="24"/>
  <c r="M2596" i="24"/>
  <c r="K2596" i="24"/>
  <c r="I2596" i="24"/>
  <c r="G2596" i="24"/>
  <c r="M2595" i="24"/>
  <c r="K2595" i="24"/>
  <c r="I2595" i="24"/>
  <c r="G2595" i="24"/>
  <c r="M2594" i="24"/>
  <c r="K2594" i="24"/>
  <c r="I2594" i="24"/>
  <c r="G2594" i="24"/>
  <c r="M2593" i="24"/>
  <c r="K2593" i="24"/>
  <c r="I2593" i="24"/>
  <c r="G2593" i="24"/>
  <c r="N2248" i="24" l="1"/>
  <c r="B2248" i="24"/>
  <c r="O2635" i="24"/>
  <c r="O2620" i="24"/>
  <c r="O2624" i="24"/>
  <c r="O2626" i="24"/>
  <c r="O2630" i="24"/>
  <c r="O2637" i="24"/>
  <c r="O2629" i="24"/>
  <c r="O2623" i="24"/>
  <c r="O2621" i="24"/>
  <c r="O2622" i="24"/>
  <c r="O2631" i="24"/>
  <c r="O2627" i="24"/>
  <c r="O2636" i="24"/>
  <c r="O2633" i="24"/>
  <c r="O2628" i="24"/>
  <c r="O2632" i="24"/>
  <c r="O2634" i="24"/>
  <c r="O2625" i="24"/>
  <c r="O1901" i="24"/>
  <c r="O1909" i="24"/>
  <c r="O1929" i="24"/>
  <c r="O1935" i="24"/>
  <c r="O1936" i="24"/>
  <c r="O1903" i="24"/>
  <c r="O1907" i="24"/>
  <c r="O1906" i="24"/>
  <c r="O1910" i="24"/>
  <c r="O1932" i="24"/>
  <c r="O1908" i="24"/>
  <c r="O1902" i="24"/>
  <c r="O1937" i="24"/>
  <c r="O1930" i="24"/>
  <c r="O1934" i="24"/>
  <c r="O1938" i="24"/>
  <c r="O1931" i="24"/>
  <c r="O1904" i="24"/>
  <c r="O1905" i="24"/>
  <c r="O1933" i="24"/>
  <c r="O2498" i="24"/>
  <c r="O2552" i="24"/>
  <c r="O2560" i="24"/>
  <c r="O2556" i="24"/>
  <c r="O2499" i="24"/>
  <c r="O2496" i="24"/>
  <c r="O2501" i="24"/>
  <c r="O2503" i="24"/>
  <c r="O2502" i="24"/>
  <c r="O2553" i="24"/>
  <c r="O2557" i="24"/>
  <c r="O2504" i="24"/>
  <c r="O2555" i="24"/>
  <c r="O2559" i="24"/>
  <c r="O2500" i="24"/>
  <c r="O2497" i="24"/>
  <c r="O2551" i="24"/>
  <c r="O2554" i="24"/>
  <c r="O2558" i="24"/>
  <c r="O2495" i="24"/>
  <c r="O2596" i="24"/>
  <c r="O2603" i="24"/>
  <c r="O2593" i="24"/>
  <c r="O2595" i="24"/>
  <c r="O2597" i="24"/>
  <c r="O2604" i="24"/>
  <c r="O2611" i="24"/>
  <c r="O2613" i="24"/>
  <c r="O2612" i="24"/>
  <c r="O2605" i="24"/>
  <c r="O2594" i="24"/>
  <c r="G2581" i="24"/>
  <c r="G2582" i="24"/>
  <c r="G2583" i="24"/>
  <c r="G2584" i="24"/>
  <c r="G2585" i="24"/>
  <c r="G2586" i="24"/>
  <c r="G2587" i="24"/>
  <c r="G2580" i="24"/>
  <c r="M2587" i="24"/>
  <c r="M2586" i="24"/>
  <c r="K2587" i="24"/>
  <c r="K2586" i="24"/>
  <c r="I2587" i="24"/>
  <c r="I2586" i="24"/>
  <c r="M2585" i="24"/>
  <c r="M2584" i="24"/>
  <c r="M2583" i="24"/>
  <c r="K2585" i="24"/>
  <c r="K2584" i="24"/>
  <c r="K2583" i="24"/>
  <c r="I2585" i="24"/>
  <c r="I2584" i="24"/>
  <c r="I2583" i="24"/>
  <c r="M2582" i="24"/>
  <c r="M2581" i="24"/>
  <c r="K2582" i="24"/>
  <c r="K2581" i="24"/>
  <c r="I2582" i="24"/>
  <c r="I2581" i="24"/>
  <c r="M2580" i="24"/>
  <c r="K2580" i="24"/>
  <c r="I2580" i="24"/>
  <c r="M1740" i="24"/>
  <c r="K1740" i="24"/>
  <c r="M1739" i="24"/>
  <c r="K1739" i="24"/>
  <c r="M1738" i="24"/>
  <c r="K1738" i="24"/>
  <c r="M1737" i="24"/>
  <c r="K1737" i="24"/>
  <c r="M1736" i="24"/>
  <c r="K1736" i="24"/>
  <c r="M1735" i="24"/>
  <c r="K1735" i="24"/>
  <c r="M1734" i="24"/>
  <c r="K1734" i="24"/>
  <c r="M1733" i="24"/>
  <c r="K1733" i="24"/>
  <c r="M1732" i="24"/>
  <c r="K1732" i="24"/>
  <c r="M1731" i="24"/>
  <c r="K1731" i="24"/>
  <c r="M1707" i="24"/>
  <c r="O1707" i="24" s="1"/>
  <c r="M1730" i="24"/>
  <c r="K1730" i="24"/>
  <c r="M1729" i="24"/>
  <c r="K1729" i="24"/>
  <c r="M1728" i="24"/>
  <c r="K1728" i="24"/>
  <c r="M1727" i="24"/>
  <c r="K1727" i="24"/>
  <c r="M1726" i="24"/>
  <c r="K1726" i="24"/>
  <c r="M1725" i="24"/>
  <c r="K1725" i="24"/>
  <c r="M1724" i="24"/>
  <c r="K1724" i="24"/>
  <c r="M1723" i="24"/>
  <c r="O1723" i="24" s="1"/>
  <c r="M1722" i="24"/>
  <c r="K1722" i="24"/>
  <c r="M1721" i="24"/>
  <c r="K1721" i="24"/>
  <c r="M1720" i="24"/>
  <c r="K1720" i="24"/>
  <c r="M1718" i="24"/>
  <c r="O1718" i="24" s="1"/>
  <c r="M1717" i="24"/>
  <c r="O1717" i="24" s="1"/>
  <c r="M1716" i="24"/>
  <c r="O1716" i="24" s="1"/>
  <c r="M1715" i="24"/>
  <c r="O1715" i="24" s="1"/>
  <c r="M1714" i="24"/>
  <c r="O1714" i="24" s="1"/>
  <c r="M1713" i="24"/>
  <c r="O1713" i="24" s="1"/>
  <c r="M1712" i="24"/>
  <c r="O1712" i="24" s="1"/>
  <c r="M1711" i="24"/>
  <c r="O1711" i="24" s="1"/>
  <c r="M1710" i="24"/>
  <c r="O1710" i="24" s="1"/>
  <c r="M1709" i="24"/>
  <c r="O1709" i="24" s="1"/>
  <c r="M1708" i="24"/>
  <c r="O1708" i="24" s="1"/>
  <c r="M1706" i="24"/>
  <c r="O1706" i="24" s="1"/>
  <c r="M1705" i="24"/>
  <c r="O1705" i="24" s="1"/>
  <c r="M1704" i="24"/>
  <c r="O1704" i="24" s="1"/>
  <c r="M1703" i="24"/>
  <c r="O1703" i="24" s="1"/>
  <c r="M1702" i="24"/>
  <c r="O1702" i="24" s="1"/>
  <c r="M1701" i="24"/>
  <c r="O1701" i="24" s="1"/>
  <c r="M1700" i="24"/>
  <c r="O1700" i="24" s="1"/>
  <c r="M1699" i="24"/>
  <c r="O1699" i="24" s="1"/>
  <c r="M1693" i="24"/>
  <c r="O1693" i="24" s="1"/>
  <c r="M1692" i="24"/>
  <c r="O1692" i="24" s="1"/>
  <c r="M1691" i="24"/>
  <c r="O1691" i="24" s="1"/>
  <c r="M1690" i="24"/>
  <c r="O1690" i="24" s="1"/>
  <c r="M1689" i="24"/>
  <c r="O1689" i="24" s="1"/>
  <c r="M1688" i="24"/>
  <c r="O1688" i="24" s="1"/>
  <c r="M1687" i="24"/>
  <c r="O1687" i="24" s="1"/>
  <c r="M1686" i="24"/>
  <c r="O1686" i="24" s="1"/>
  <c r="M1685" i="24"/>
  <c r="O1685" i="24" s="1"/>
  <c r="M1684" i="24"/>
  <c r="O1684" i="24" s="1"/>
  <c r="M1683" i="24"/>
  <c r="O1683" i="24" s="1"/>
  <c r="M1681" i="24"/>
  <c r="O1681" i="24" s="1"/>
  <c r="M1680" i="24"/>
  <c r="O1680" i="24" s="1"/>
  <c r="M1679" i="24"/>
  <c r="O1679" i="24" s="1"/>
  <c r="M1678" i="24"/>
  <c r="O1678" i="24" s="1"/>
  <c r="M1677" i="24"/>
  <c r="O1677" i="24" s="1"/>
  <c r="M1676" i="24"/>
  <c r="O1676" i="24" s="1"/>
  <c r="M1674" i="24"/>
  <c r="O1674" i="24" s="1"/>
  <c r="M1673" i="24"/>
  <c r="O1673" i="24" s="1"/>
  <c r="M1675" i="24"/>
  <c r="O1675" i="24" s="1"/>
  <c r="M1667" i="24"/>
  <c r="O1667" i="24" s="1"/>
  <c r="M1666" i="24"/>
  <c r="O1666" i="24" s="1"/>
  <c r="M1665" i="24"/>
  <c r="O1665" i="24" s="1"/>
  <c r="M1664" i="24"/>
  <c r="O1664" i="24" s="1"/>
  <c r="M1663" i="24"/>
  <c r="O1663" i="24" s="1"/>
  <c r="M1662" i="24"/>
  <c r="O1662" i="24" s="1"/>
  <c r="M1661" i="24"/>
  <c r="O1661" i="24" s="1"/>
  <c r="M1660" i="24"/>
  <c r="O1660" i="24" s="1"/>
  <c r="M1659" i="24"/>
  <c r="O1659" i="24" s="1"/>
  <c r="M1658" i="24"/>
  <c r="O1658" i="24" s="1"/>
  <c r="M1657" i="24"/>
  <c r="O1657" i="24" s="1"/>
  <c r="M1655" i="24"/>
  <c r="M1654" i="24"/>
  <c r="K1655" i="24"/>
  <c r="K1654" i="24"/>
  <c r="M1653" i="24"/>
  <c r="K1653" i="24"/>
  <c r="K1556" i="24"/>
  <c r="K1555" i="24"/>
  <c r="K1554" i="24"/>
  <c r="K1545" i="24"/>
  <c r="K1546" i="24"/>
  <c r="K1547" i="24"/>
  <c r="K1548" i="24"/>
  <c r="K1549" i="24"/>
  <c r="K1550" i="24"/>
  <c r="K1551" i="24"/>
  <c r="K1552" i="24"/>
  <c r="K1544" i="24"/>
  <c r="K1534" i="24"/>
  <c r="K1535" i="24"/>
  <c r="K1536" i="24"/>
  <c r="K1537" i="24"/>
  <c r="K1538" i="24"/>
  <c r="K1539" i="24"/>
  <c r="K1540" i="24"/>
  <c r="K1541" i="24"/>
  <c r="K1542" i="24"/>
  <c r="K1533" i="24"/>
  <c r="M1555" i="24"/>
  <c r="M1554" i="24"/>
  <c r="M1552" i="24"/>
  <c r="M1551" i="24"/>
  <c r="M1550" i="24"/>
  <c r="M1549" i="24"/>
  <c r="M1548" i="24"/>
  <c r="M1547" i="24"/>
  <c r="M1546" i="24"/>
  <c r="M1545" i="24"/>
  <c r="M1544" i="24"/>
  <c r="M1542" i="24"/>
  <c r="M1541" i="24"/>
  <c r="M1540" i="24"/>
  <c r="M1539" i="24"/>
  <c r="M1538" i="24"/>
  <c r="M1537" i="24"/>
  <c r="M1536" i="24"/>
  <c r="M1535" i="24"/>
  <c r="M1534" i="24"/>
  <c r="M1533" i="24"/>
  <c r="O1589" i="24"/>
  <c r="M1588" i="24"/>
  <c r="O1588" i="24" s="1"/>
  <c r="M1587" i="24"/>
  <c r="O1587" i="24" s="1"/>
  <c r="M1581" i="24"/>
  <c r="O1581" i="24" s="1"/>
  <c r="M1580" i="24"/>
  <c r="O1580" i="24" s="1"/>
  <c r="M1579" i="24"/>
  <c r="O1579" i="24" s="1"/>
  <c r="M1578" i="24"/>
  <c r="O1578" i="24" s="1"/>
  <c r="M1577" i="24"/>
  <c r="O1577" i="24" s="1"/>
  <c r="M1576" i="24"/>
  <c r="O1576" i="24" s="1"/>
  <c r="M1575" i="24"/>
  <c r="O1575" i="24" s="1"/>
  <c r="M1574" i="24"/>
  <c r="O1574" i="24" s="1"/>
  <c r="M1573" i="24"/>
  <c r="O1573" i="24" s="1"/>
  <c r="M1571" i="24"/>
  <c r="O1571" i="24" s="1"/>
  <c r="M1570" i="24"/>
  <c r="O1570" i="24" s="1"/>
  <c r="M1569" i="24"/>
  <c r="O1569" i="24" s="1"/>
  <c r="M1568" i="24"/>
  <c r="O1568" i="24" s="1"/>
  <c r="M1567" i="24"/>
  <c r="O1567" i="24" s="1"/>
  <c r="M1566" i="24"/>
  <c r="O1566" i="24" s="1"/>
  <c r="M1565" i="24"/>
  <c r="O1565" i="24" s="1"/>
  <c r="M1564" i="24"/>
  <c r="O1564" i="24" s="1"/>
  <c r="M1563" i="24"/>
  <c r="O1563" i="24" s="1"/>
  <c r="M1562" i="24"/>
  <c r="O1562" i="24" s="1"/>
  <c r="K1601" i="24"/>
  <c r="K1600" i="24"/>
  <c r="K1599" i="24"/>
  <c r="M1600" i="24"/>
  <c r="M1599" i="24"/>
  <c r="O1597" i="24"/>
  <c r="M1596" i="24"/>
  <c r="O1596" i="24" s="1"/>
  <c r="M1595" i="24"/>
  <c r="O1595" i="24" s="1"/>
  <c r="O1647" i="24"/>
  <c r="M1646" i="24"/>
  <c r="O1646" i="24" s="1"/>
  <c r="M1640" i="24"/>
  <c r="O1640" i="24" s="1"/>
  <c r="O1641" i="24" s="1"/>
  <c r="O1637" i="24" s="1"/>
  <c r="M1630" i="24"/>
  <c r="O1630" i="24" s="1"/>
  <c r="M1629" i="24"/>
  <c r="O1629" i="24" s="1"/>
  <c r="M1628" i="24"/>
  <c r="O1628" i="24" s="1"/>
  <c r="M1627" i="24"/>
  <c r="O1627" i="24" s="1"/>
  <c r="M1626" i="24"/>
  <c r="O1626" i="24" s="1"/>
  <c r="M1625" i="24"/>
  <c r="O1625" i="24" s="1"/>
  <c r="M1624" i="24"/>
  <c r="O1624" i="24" s="1"/>
  <c r="M1623" i="24"/>
  <c r="O1623" i="24" s="1"/>
  <c r="M1622" i="24"/>
  <c r="O1622" i="24" s="1"/>
  <c r="M1616" i="24"/>
  <c r="O1616" i="24" s="1"/>
  <c r="M1615" i="24"/>
  <c r="O1615" i="24" s="1"/>
  <c r="M1614" i="24"/>
  <c r="O1614" i="24" s="1"/>
  <c r="M1613" i="24"/>
  <c r="O1613" i="24" s="1"/>
  <c r="M1612" i="24"/>
  <c r="O1612" i="24" s="1"/>
  <c r="M1611" i="24"/>
  <c r="O1611" i="24" s="1"/>
  <c r="M1610" i="24"/>
  <c r="O1610" i="24" s="1"/>
  <c r="M1609" i="24"/>
  <c r="O1609" i="24" s="1"/>
  <c r="M1608" i="24"/>
  <c r="O1608" i="24" s="1"/>
  <c r="M1607" i="24"/>
  <c r="O1607" i="24" s="1"/>
  <c r="K1526" i="24"/>
  <c r="M1526" i="24"/>
  <c r="M1525" i="24"/>
  <c r="K1525" i="24"/>
  <c r="M1524" i="24"/>
  <c r="K1524" i="24"/>
  <c r="K1523" i="24"/>
  <c r="O1523" i="24" s="1"/>
  <c r="K1520" i="24"/>
  <c r="K1521" i="24"/>
  <c r="M1521" i="24"/>
  <c r="M1520" i="24"/>
  <c r="M1519" i="24"/>
  <c r="K1519" i="24"/>
  <c r="M1492" i="24"/>
  <c r="O1492" i="24" s="1"/>
  <c r="M1491" i="24"/>
  <c r="O1491" i="24" s="1"/>
  <c r="M1490" i="24"/>
  <c r="O1490" i="24" s="1"/>
  <c r="M1489" i="24"/>
  <c r="O1489" i="24" s="1"/>
  <c r="M1487" i="24"/>
  <c r="O1487" i="24" s="1"/>
  <c r="K1499" i="24"/>
  <c r="K1498" i="24"/>
  <c r="K1506" i="24"/>
  <c r="K1505" i="24"/>
  <c r="M1506" i="24"/>
  <c r="M1505" i="24"/>
  <c r="M1499" i="24"/>
  <c r="M1498" i="24"/>
  <c r="M1513" i="24"/>
  <c r="O1513" i="24" s="1"/>
  <c r="M1512" i="24"/>
  <c r="O1512" i="24" s="1"/>
  <c r="M1483" i="24"/>
  <c r="O1483" i="24" s="1"/>
  <c r="M1482" i="24"/>
  <c r="O1482" i="24" s="1"/>
  <c r="M1481" i="24"/>
  <c r="O1481" i="24" s="1"/>
  <c r="M1488" i="24"/>
  <c r="O1488" i="24" s="1"/>
  <c r="M1486" i="24"/>
  <c r="O1486" i="24" s="1"/>
  <c r="M1485" i="24"/>
  <c r="O1485" i="24" s="1"/>
  <c r="M1484" i="24"/>
  <c r="O1484" i="24" s="1"/>
  <c r="M2086" i="24"/>
  <c r="K2086" i="24"/>
  <c r="I2086" i="24"/>
  <c r="K2075" i="24"/>
  <c r="M2075" i="24"/>
  <c r="K2076" i="24"/>
  <c r="M2076" i="24"/>
  <c r="K2077" i="24"/>
  <c r="M2077" i="24"/>
  <c r="K2078" i="24"/>
  <c r="M2078" i="24"/>
  <c r="K2079" i="24"/>
  <c r="M2079" i="24"/>
  <c r="M2069" i="24"/>
  <c r="K2069" i="24"/>
  <c r="I2069" i="24"/>
  <c r="M2063" i="24"/>
  <c r="K2063" i="24"/>
  <c r="I2063" i="24"/>
  <c r="M2062" i="24"/>
  <c r="K2062" i="24"/>
  <c r="M2061" i="24"/>
  <c r="K2061" i="24"/>
  <c r="I2062" i="24"/>
  <c r="I2061" i="24"/>
  <c r="M2055" i="24"/>
  <c r="K2055" i="24"/>
  <c r="I2028" i="24"/>
  <c r="M2028" i="24"/>
  <c r="K2028" i="24"/>
  <c r="K2042" i="24"/>
  <c r="M2042" i="24"/>
  <c r="M2036" i="24"/>
  <c r="M2035" i="24"/>
  <c r="M2034" i="24"/>
  <c r="K2036" i="24"/>
  <c r="K2035" i="24"/>
  <c r="K2034" i="24"/>
  <c r="I2036" i="24"/>
  <c r="I2035" i="24"/>
  <c r="I2034" i="24"/>
  <c r="M2261" i="24"/>
  <c r="M2258" i="24"/>
  <c r="K2260" i="24"/>
  <c r="K2258" i="24"/>
  <c r="K2261" i="24"/>
  <c r="M2022" i="24"/>
  <c r="M2021" i="24"/>
  <c r="M2020" i="24"/>
  <c r="K2022" i="24"/>
  <c r="K2021" i="24"/>
  <c r="K2020" i="24"/>
  <c r="I2022" i="24"/>
  <c r="I2021" i="24"/>
  <c r="I2020" i="24"/>
  <c r="M2049" i="24"/>
  <c r="K2049" i="24"/>
  <c r="I2049" i="24"/>
  <c r="M2014" i="24"/>
  <c r="O2014" i="24" s="1"/>
  <c r="O2015" i="24" s="1"/>
  <c r="O2011" i="24" s="1"/>
  <c r="M2002" i="24"/>
  <c r="O2002" i="24" s="1"/>
  <c r="O2003" i="24" s="1"/>
  <c r="O1999" i="24" s="1"/>
  <c r="O1996" i="24"/>
  <c r="O1997" i="24" s="1"/>
  <c r="O1993" i="24" s="1"/>
  <c r="M1990" i="24"/>
  <c r="O1990" i="24" s="1"/>
  <c r="O1991" i="24" s="1"/>
  <c r="O1987" i="24" s="1"/>
  <c r="M1978" i="24"/>
  <c r="O1978" i="24" s="1"/>
  <c r="M1977" i="24"/>
  <c r="O1977" i="24" s="1"/>
  <c r="M1984" i="24"/>
  <c r="O1984" i="24" s="1"/>
  <c r="O1985" i="24" s="1"/>
  <c r="O1981" i="24" s="1"/>
  <c r="O2008" i="24"/>
  <c r="O2009" i="24" s="1"/>
  <c r="O2005" i="24" s="1"/>
  <c r="M2301" i="24"/>
  <c r="O2301" i="24" s="1"/>
  <c r="M2300" i="24"/>
  <c r="O2300" i="24" s="1"/>
  <c r="M2299" i="24"/>
  <c r="O2299" i="24" s="1"/>
  <c r="M2285" i="24"/>
  <c r="O2285" i="24" s="1"/>
  <c r="M2284" i="24"/>
  <c r="O2284" i="24" s="1"/>
  <c r="M2283" i="24"/>
  <c r="O2283" i="24" s="1"/>
  <c r="M2293" i="24"/>
  <c r="O2293" i="24" s="1"/>
  <c r="M2292" i="24"/>
  <c r="O2292" i="24" s="1"/>
  <c r="M2291" i="24"/>
  <c r="O2291" i="24" s="1"/>
  <c r="M2277" i="24"/>
  <c r="O2277" i="24" s="1"/>
  <c r="M2276" i="24"/>
  <c r="O2276" i="24" s="1"/>
  <c r="M2275" i="24"/>
  <c r="O2275" i="24" s="1"/>
  <c r="M2269" i="24"/>
  <c r="M2268" i="24"/>
  <c r="M2267" i="24"/>
  <c r="K2269" i="24"/>
  <c r="K2268" i="24"/>
  <c r="K2267" i="24"/>
  <c r="I2269" i="24"/>
  <c r="I2268" i="24"/>
  <c r="I2267" i="24"/>
  <c r="M2260" i="24"/>
  <c r="K2259" i="24"/>
  <c r="M2259" i="24"/>
  <c r="M2245" i="24"/>
  <c r="O2245" i="24" s="1"/>
  <c r="M2244" i="24"/>
  <c r="O2244" i="24" s="1"/>
  <c r="M2243" i="24"/>
  <c r="O2243" i="24" s="1"/>
  <c r="M2237" i="24"/>
  <c r="O2237" i="24" s="1"/>
  <c r="O2238" i="24" s="1"/>
  <c r="O2234" i="24" s="1"/>
  <c r="M2231" i="24"/>
  <c r="O2231" i="24" s="1"/>
  <c r="O2232" i="24" s="1"/>
  <c r="O2228" i="24" s="1"/>
  <c r="M2225" i="24"/>
  <c r="O2225" i="24" s="1"/>
  <c r="O2226" i="24" s="1"/>
  <c r="O2222" i="24" s="1"/>
  <c r="M2219" i="24"/>
  <c r="O2219" i="24" s="1"/>
  <c r="M2218" i="24"/>
  <c r="O2218" i="24" s="1"/>
  <c r="M2212" i="24"/>
  <c r="O2212" i="24" s="1"/>
  <c r="M2211" i="24"/>
  <c r="O2211" i="24" s="1"/>
  <c r="M2205" i="24"/>
  <c r="O2205" i="24" s="1"/>
  <c r="O2206" i="24" s="1"/>
  <c r="O2202" i="24" s="1"/>
  <c r="M2199" i="24"/>
  <c r="O2199" i="24" s="1"/>
  <c r="M2198" i="24"/>
  <c r="O2198" i="24" s="1"/>
  <c r="M2192" i="24"/>
  <c r="O2192" i="24" s="1"/>
  <c r="O2193" i="24" s="1"/>
  <c r="O2189" i="24" s="1"/>
  <c r="M2186" i="24"/>
  <c r="K2186" i="24"/>
  <c r="I2186" i="24"/>
  <c r="I2185" i="24"/>
  <c r="I2184" i="24"/>
  <c r="K2185" i="24"/>
  <c r="M2185" i="24"/>
  <c r="K2184" i="24"/>
  <c r="M2183" i="24"/>
  <c r="I2183" i="24"/>
  <c r="K2183" i="24"/>
  <c r="I2179" i="24"/>
  <c r="I2180" i="24"/>
  <c r="I2181" i="24"/>
  <c r="I2182" i="24"/>
  <c r="I2178" i="24"/>
  <c r="K2174" i="24"/>
  <c r="K2175" i="24"/>
  <c r="K2176" i="24"/>
  <c r="K2177" i="24"/>
  <c r="K2178" i="24"/>
  <c r="K2180" i="24"/>
  <c r="K2179" i="24"/>
  <c r="K2182" i="24"/>
  <c r="K2181" i="24"/>
  <c r="I2177" i="24"/>
  <c r="I2176" i="24"/>
  <c r="I2175" i="24"/>
  <c r="I2174" i="24"/>
  <c r="O1473" i="24"/>
  <c r="O1474" i="24" s="1"/>
  <c r="O1470" i="24" s="1"/>
  <c r="M1461" i="24"/>
  <c r="O1461" i="24" s="1"/>
  <c r="O1462" i="24" s="1"/>
  <c r="O1458" i="24" s="1"/>
  <c r="M1455" i="24"/>
  <c r="O1455" i="24" s="1"/>
  <c r="O1456" i="24" s="1"/>
  <c r="O1452" i="24" s="1"/>
  <c r="M1448" i="24"/>
  <c r="O1448" i="24" s="1"/>
  <c r="O1449" i="24" s="1"/>
  <c r="O1445" i="24" s="1"/>
  <c r="M1442" i="24"/>
  <c r="O1442" i="24" s="1"/>
  <c r="O1443" i="24" s="1"/>
  <c r="O1439" i="24" s="1"/>
  <c r="M1435" i="24"/>
  <c r="O1435" i="24" s="1"/>
  <c r="O1436" i="24" s="1"/>
  <c r="O1432" i="24" s="1"/>
  <c r="M1429" i="24"/>
  <c r="O1429" i="24" s="1"/>
  <c r="O1430" i="24" s="1"/>
  <c r="O1426" i="24" s="1"/>
  <c r="M1423" i="24"/>
  <c r="O1423" i="24" s="1"/>
  <c r="O1424" i="24" s="1"/>
  <c r="O1420" i="24" s="1"/>
  <c r="M1417" i="24"/>
  <c r="O1417" i="24" s="1"/>
  <c r="O1418" i="24" s="1"/>
  <c r="O1414" i="24" s="1"/>
  <c r="M1409" i="24"/>
  <c r="O1409" i="24" s="1"/>
  <c r="O1410" i="24" s="1"/>
  <c r="O1406" i="24" s="1"/>
  <c r="M1403" i="24"/>
  <c r="O1403" i="24" s="1"/>
  <c r="O1404" i="24" s="1"/>
  <c r="O1400" i="24" s="1"/>
  <c r="M1396" i="24"/>
  <c r="O1396" i="24" s="1"/>
  <c r="O1397" i="24" s="1"/>
  <c r="O1393" i="24" s="1"/>
  <c r="M1389" i="24"/>
  <c r="O1389" i="24" s="1"/>
  <c r="O1390" i="24" s="1"/>
  <c r="O1386" i="24" s="1"/>
  <c r="M1383" i="24"/>
  <c r="O1383" i="24" s="1"/>
  <c r="O1384" i="24" s="1"/>
  <c r="O1380" i="24" s="1"/>
  <c r="M1377" i="24"/>
  <c r="O1377" i="24" s="1"/>
  <c r="O1378" i="24" s="1"/>
  <c r="O1374" i="24" s="1"/>
  <c r="M1370" i="24"/>
  <c r="O1370" i="24" s="1"/>
  <c r="O1371" i="24" s="1"/>
  <c r="O1367" i="24" s="1"/>
  <c r="M1364" i="24"/>
  <c r="O1364" i="24" s="1"/>
  <c r="O1365" i="24" s="1"/>
  <c r="O1361" i="24" s="1"/>
  <c r="M1357" i="24"/>
  <c r="O1357" i="24" s="1"/>
  <c r="O1358" i="24" s="1"/>
  <c r="O1354" i="24" s="1"/>
  <c r="M1351" i="24"/>
  <c r="O1351" i="24" s="1"/>
  <c r="O1352" i="24" s="1"/>
  <c r="O1348" i="24" s="1"/>
  <c r="M1344" i="24"/>
  <c r="O1344" i="24" s="1"/>
  <c r="O1345" i="24" s="1"/>
  <c r="O1341" i="24" s="1"/>
  <c r="M1338" i="24"/>
  <c r="O1338" i="24" s="1"/>
  <c r="O1339" i="24" s="1"/>
  <c r="O1335" i="24" s="1"/>
  <c r="M1332" i="24"/>
  <c r="O1332" i="24" s="1"/>
  <c r="O1333" i="24" s="1"/>
  <c r="O1329" i="24" s="1"/>
  <c r="M1325" i="24"/>
  <c r="O1325" i="24" s="1"/>
  <c r="O1326" i="24" s="1"/>
  <c r="O1322" i="24" s="1"/>
  <c r="M1318" i="24"/>
  <c r="O1318" i="24" s="1"/>
  <c r="O1319" i="24" s="1"/>
  <c r="O1315" i="24" s="1"/>
  <c r="M1312" i="24"/>
  <c r="O1312" i="24" s="1"/>
  <c r="O1313" i="24" s="1"/>
  <c r="O1309" i="24" s="1"/>
  <c r="M1304" i="24"/>
  <c r="O1304" i="24" s="1"/>
  <c r="O1305" i="24" s="1"/>
  <c r="O1301" i="24" s="1"/>
  <c r="M1298" i="24"/>
  <c r="O1298" i="24" s="1"/>
  <c r="O1299" i="24" s="1"/>
  <c r="O1295" i="24" s="1"/>
  <c r="M1291" i="24"/>
  <c r="O1291" i="24" s="1"/>
  <c r="O1292" i="24" s="1"/>
  <c r="O1288" i="24" s="1"/>
  <c r="M1279" i="24"/>
  <c r="O1279" i="24" s="1"/>
  <c r="O1280" i="24" s="1"/>
  <c r="O1276" i="24" s="1"/>
  <c r="M1273" i="24"/>
  <c r="O1273" i="24" s="1"/>
  <c r="O1274" i="24" s="1"/>
  <c r="O1270" i="24" s="1"/>
  <c r="M1267" i="24"/>
  <c r="O1267" i="24" s="1"/>
  <c r="O1268" i="24" s="1"/>
  <c r="O1264" i="24" s="1"/>
  <c r="M1261" i="24"/>
  <c r="O1261" i="24" s="1"/>
  <c r="O1262" i="24" s="1"/>
  <c r="O1258" i="24" s="1"/>
  <c r="M1254" i="24"/>
  <c r="O1254" i="24" s="1"/>
  <c r="O1255" i="24" s="1"/>
  <c r="O1251" i="24" s="1"/>
  <c r="M1248" i="24"/>
  <c r="O1248" i="24" s="1"/>
  <c r="O1249" i="24" s="1"/>
  <c r="O1245" i="24" s="1"/>
  <c r="M1242" i="24"/>
  <c r="O1242" i="24" s="1"/>
  <c r="O1243" i="24" s="1"/>
  <c r="O1239" i="24" s="1"/>
  <c r="M1236" i="24"/>
  <c r="O1236" i="24" s="1"/>
  <c r="O1237" i="24" s="1"/>
  <c r="O1233" i="24" s="1"/>
  <c r="M1230" i="24"/>
  <c r="O1230" i="24" s="1"/>
  <c r="O1231" i="24" s="1"/>
  <c r="O1227" i="24" s="1"/>
  <c r="M1224" i="24"/>
  <c r="O1224" i="24" s="1"/>
  <c r="O1225" i="24" s="1"/>
  <c r="O1221" i="24" s="1"/>
  <c r="M1218" i="24"/>
  <c r="O1218" i="24" s="1"/>
  <c r="O1219" i="24" s="1"/>
  <c r="O1215" i="24" s="1"/>
  <c r="O1285" i="24"/>
  <c r="O1286" i="24" s="1"/>
  <c r="O1282" i="24" s="1"/>
  <c r="M1210" i="24"/>
  <c r="O1210" i="24" s="1"/>
  <c r="O1211" i="24" s="1"/>
  <c r="O1207" i="24" s="1"/>
  <c r="M1204" i="24"/>
  <c r="O1204" i="24" s="1"/>
  <c r="O1205" i="24" s="1"/>
  <c r="O1201" i="24" s="1"/>
  <c r="M1198" i="24"/>
  <c r="O1198" i="24" s="1"/>
  <c r="O1199" i="24" s="1"/>
  <c r="O1195" i="24" s="1"/>
  <c r="M1191" i="24"/>
  <c r="O1191" i="24" s="1"/>
  <c r="O1192" i="24" s="1"/>
  <c r="O1188" i="24" s="1"/>
  <c r="M1185" i="24"/>
  <c r="O1185" i="24" s="1"/>
  <c r="O1186" i="24" s="1"/>
  <c r="O1182" i="24" s="1"/>
  <c r="M1178" i="24"/>
  <c r="O1178" i="24" s="1"/>
  <c r="O1179" i="24" s="1"/>
  <c r="O1175" i="24" s="1"/>
  <c r="M1172" i="24"/>
  <c r="O1172" i="24" s="1"/>
  <c r="O1173" i="24" s="1"/>
  <c r="O1169" i="24" s="1"/>
  <c r="M1166" i="24"/>
  <c r="O1166" i="24" s="1"/>
  <c r="O1167" i="24" s="1"/>
  <c r="O1163" i="24" s="1"/>
  <c r="M1159" i="24"/>
  <c r="O1159" i="24" s="1"/>
  <c r="O1160" i="24" s="1"/>
  <c r="O1156" i="24" s="1"/>
  <c r="M1153" i="24"/>
  <c r="O1153" i="24" s="1"/>
  <c r="O1154" i="24" s="1"/>
  <c r="O1150" i="24" s="1"/>
  <c r="M1147" i="24"/>
  <c r="O1147" i="24" s="1"/>
  <c r="O1148" i="24" s="1"/>
  <c r="O1144" i="24" s="1"/>
  <c r="M1141" i="24"/>
  <c r="O1141" i="24" s="1"/>
  <c r="O1142" i="24" s="1"/>
  <c r="O1138" i="24" s="1"/>
  <c r="M1135" i="24"/>
  <c r="O1135" i="24" s="1"/>
  <c r="O1136" i="24" s="1"/>
  <c r="O1132" i="24" s="1"/>
  <c r="M1129" i="24"/>
  <c r="O1129" i="24" s="1"/>
  <c r="O1130" i="24" s="1"/>
  <c r="O1126" i="24" s="1"/>
  <c r="M1123" i="24"/>
  <c r="O1123" i="24" s="1"/>
  <c r="O1124" i="24" s="1"/>
  <c r="O1120" i="24" s="1"/>
  <c r="M1117" i="24"/>
  <c r="O1117" i="24" s="1"/>
  <c r="O1118" i="24" s="1"/>
  <c r="O1114" i="24" s="1"/>
  <c r="M1111" i="24"/>
  <c r="O1111" i="24" s="1"/>
  <c r="O1112" i="24" s="1"/>
  <c r="O1108" i="24" s="1"/>
  <c r="M1105" i="24"/>
  <c r="O1105" i="24" s="1"/>
  <c r="O1106" i="24" s="1"/>
  <c r="O1102" i="24" s="1"/>
  <c r="M1098" i="24"/>
  <c r="O1098" i="24" s="1"/>
  <c r="O1099" i="24" s="1"/>
  <c r="O1095" i="24" s="1"/>
  <c r="M1092" i="24"/>
  <c r="O1092" i="24" s="1"/>
  <c r="O1093" i="24" s="1"/>
  <c r="O1089" i="24" s="1"/>
  <c r="M1086" i="24"/>
  <c r="O1086" i="24" s="1"/>
  <c r="O1087" i="24" s="1"/>
  <c r="O1083" i="24" s="1"/>
  <c r="M1080" i="24"/>
  <c r="O1080" i="24" s="1"/>
  <c r="O1081" i="24" s="1"/>
  <c r="O1077" i="24" s="1"/>
  <c r="M1074" i="24"/>
  <c r="O1074" i="24" s="1"/>
  <c r="O1075" i="24" s="1"/>
  <c r="O1071" i="24" s="1"/>
  <c r="M1068" i="24"/>
  <c r="O1068" i="24" s="1"/>
  <c r="O1069" i="24" s="1"/>
  <c r="O1065" i="24" s="1"/>
  <c r="M1062" i="24"/>
  <c r="O1062" i="24" s="1"/>
  <c r="O1063" i="24" s="1"/>
  <c r="O1059" i="24" s="1"/>
  <c r="M1056" i="24"/>
  <c r="O1056" i="24" s="1"/>
  <c r="O1057" i="24" s="1"/>
  <c r="O1053" i="24" s="1"/>
  <c r="M1050" i="24"/>
  <c r="O1050" i="24" s="1"/>
  <c r="O1051" i="24" s="1"/>
  <c r="O1047" i="24" s="1"/>
  <c r="M1044" i="24"/>
  <c r="O1044" i="24" s="1"/>
  <c r="O1045" i="24" s="1"/>
  <c r="O1041" i="24" s="1"/>
  <c r="M1038" i="24"/>
  <c r="O1038" i="24" s="1"/>
  <c r="O1039" i="24" s="1"/>
  <c r="O1035" i="24" s="1"/>
  <c r="M1032" i="24"/>
  <c r="O1032" i="24" s="1"/>
  <c r="O1033" i="24" s="1"/>
  <c r="O1029" i="24" s="1"/>
  <c r="M1026" i="24"/>
  <c r="O1026" i="24" s="1"/>
  <c r="O1027" i="24" s="1"/>
  <c r="O1023" i="24" s="1"/>
  <c r="M1020" i="24"/>
  <c r="O1020" i="24" s="1"/>
  <c r="O1021" i="24" s="1"/>
  <c r="O1017" i="24" s="1"/>
  <c r="M1014" i="24"/>
  <c r="O1014" i="24" s="1"/>
  <c r="O1015" i="24" s="1"/>
  <c r="O1011" i="24" s="1"/>
  <c r="M1008" i="24"/>
  <c r="O1008" i="24" s="1"/>
  <c r="O1009" i="24" s="1"/>
  <c r="O1005" i="24" s="1"/>
  <c r="M1002" i="24"/>
  <c r="O1002" i="24" s="1"/>
  <c r="O1003" i="24" s="1"/>
  <c r="O999" i="24" s="1"/>
  <c r="M996" i="24"/>
  <c r="O996" i="24" s="1"/>
  <c r="O997" i="24" s="1"/>
  <c r="O993" i="24" s="1"/>
  <c r="M990" i="24"/>
  <c r="O990" i="24" s="1"/>
  <c r="O991" i="24" s="1"/>
  <c r="O987" i="24" s="1"/>
  <c r="M982" i="24"/>
  <c r="O982" i="24" s="1"/>
  <c r="O983" i="24" s="1"/>
  <c r="O979" i="24" s="1"/>
  <c r="M975" i="24"/>
  <c r="O975" i="24" s="1"/>
  <c r="O976" i="24" s="1"/>
  <c r="O972" i="24" s="1"/>
  <c r="M969" i="24"/>
  <c r="O969" i="24" s="1"/>
  <c r="O970" i="24" s="1"/>
  <c r="O966" i="24" s="1"/>
  <c r="M957" i="24"/>
  <c r="O957" i="24" s="1"/>
  <c r="O958" i="24" s="1"/>
  <c r="O954" i="24" s="1"/>
  <c r="M951" i="24"/>
  <c r="O951" i="24" s="1"/>
  <c r="O952" i="24" s="1"/>
  <c r="O948" i="24" s="1"/>
  <c r="M945" i="24"/>
  <c r="O945" i="24" s="1"/>
  <c r="O946" i="24" s="1"/>
  <c r="O942" i="24" s="1"/>
  <c r="O963" i="24"/>
  <c r="O964" i="24" s="1"/>
  <c r="O960" i="24" s="1"/>
  <c r="M938" i="24"/>
  <c r="O938" i="24" s="1"/>
  <c r="O939" i="24" s="1"/>
  <c r="O935" i="24" s="1"/>
  <c r="M932" i="24"/>
  <c r="O932" i="24" s="1"/>
  <c r="O933" i="24" s="1"/>
  <c r="O929" i="24" s="1"/>
  <c r="M926" i="24"/>
  <c r="O926" i="24" s="1"/>
  <c r="M920" i="24"/>
  <c r="O920" i="24" s="1"/>
  <c r="M914" i="24"/>
  <c r="O914" i="24" s="1"/>
  <c r="M908" i="24"/>
  <c r="O908" i="24" s="1"/>
  <c r="M902" i="24"/>
  <c r="O902" i="24" s="1"/>
  <c r="O903" i="24" s="1"/>
  <c r="O899" i="24" s="1"/>
  <c r="M896" i="24"/>
  <c r="O896" i="24" s="1"/>
  <c r="M890" i="24"/>
  <c r="O890" i="24" s="1"/>
  <c r="O891" i="24" s="1"/>
  <c r="O887" i="24" s="1"/>
  <c r="M884" i="24"/>
  <c r="O884" i="24" s="1"/>
  <c r="O885" i="24" s="1"/>
  <c r="O881" i="24" s="1"/>
  <c r="M878" i="24"/>
  <c r="O878" i="24" s="1"/>
  <c r="M872" i="24"/>
  <c r="O872" i="24" s="1"/>
  <c r="M866" i="24"/>
  <c r="O866" i="24" s="1"/>
  <c r="M860" i="24"/>
  <c r="O860" i="24" s="1"/>
  <c r="M854" i="24"/>
  <c r="O854" i="24" s="1"/>
  <c r="M848" i="24"/>
  <c r="O848" i="24" s="1"/>
  <c r="M840" i="24"/>
  <c r="O840" i="24" s="1"/>
  <c r="O841" i="24" s="1"/>
  <c r="O837" i="24" s="1"/>
  <c r="M834" i="24"/>
  <c r="O834" i="24" s="1"/>
  <c r="O835" i="24" s="1"/>
  <c r="O831" i="24" s="1"/>
  <c r="M827" i="24"/>
  <c r="O827" i="24" s="1"/>
  <c r="O828" i="24" s="1"/>
  <c r="O824" i="24" s="1"/>
  <c r="M820" i="24"/>
  <c r="O820" i="24" s="1"/>
  <c r="O821" i="24" s="1"/>
  <c r="O817" i="24" s="1"/>
  <c r="O812" i="24"/>
  <c r="O813" i="24" s="1"/>
  <c r="O809" i="24" s="1"/>
  <c r="O806" i="24"/>
  <c r="O800" i="24"/>
  <c r="O794" i="24"/>
  <c r="O795" i="24" s="1"/>
  <c r="O791" i="24" s="1"/>
  <c r="O788" i="24"/>
  <c r="O789" i="24" s="1"/>
  <c r="O785" i="24" s="1"/>
  <c r="O782" i="24"/>
  <c r="O783" i="24" s="1"/>
  <c r="O779" i="24" s="1"/>
  <c r="O776" i="24"/>
  <c r="O777" i="24" s="1"/>
  <c r="O773" i="24" s="1"/>
  <c r="O770" i="24"/>
  <c r="O757" i="24"/>
  <c r="O751" i="24"/>
  <c r="O745" i="24"/>
  <c r="O738" i="24"/>
  <c r="O732" i="24"/>
  <c r="O733" i="24" s="1"/>
  <c r="O729" i="24" s="1"/>
  <c r="O726" i="24"/>
  <c r="O720" i="24"/>
  <c r="O714" i="24"/>
  <c r="O708" i="24"/>
  <c r="O709" i="24" s="1"/>
  <c r="O705" i="24" s="1"/>
  <c r="O696" i="24"/>
  <c r="O690" i="24"/>
  <c r="O684" i="24"/>
  <c r="O672" i="24"/>
  <c r="O665" i="24" s="1"/>
  <c r="O662" i="24"/>
  <c r="O627" i="24"/>
  <c r="O618" i="24" s="1"/>
  <c r="O615" i="24"/>
  <c r="O609" i="24"/>
  <c r="O591" i="24"/>
  <c r="O585" i="24"/>
  <c r="O579" i="24"/>
  <c r="A2662" i="24"/>
  <c r="A2617" i="24"/>
  <c r="A2615" i="24"/>
  <c r="B2615" i="24" s="1"/>
  <c r="A2608" i="24"/>
  <c r="A2600" i="24"/>
  <c r="A2590" i="24"/>
  <c r="A2577" i="24"/>
  <c r="A2575" i="24"/>
  <c r="B2575" i="24" s="1"/>
  <c r="A2548" i="24"/>
  <c r="A2492" i="24"/>
  <c r="A2490" i="24"/>
  <c r="B2490" i="24" s="1"/>
  <c r="A2484" i="24"/>
  <c r="A2374" i="24"/>
  <c r="A2306" i="24"/>
  <c r="A2304" i="24"/>
  <c r="B2304" i="24" s="1"/>
  <c r="A2303" i="24"/>
  <c r="B2303" i="24" s="1"/>
  <c r="O2662" i="24"/>
  <c r="O2475" i="24"/>
  <c r="O2374" i="24" s="1"/>
  <c r="O2372" i="24"/>
  <c r="O2306" i="24" s="1"/>
  <c r="A2296" i="24"/>
  <c r="A2288" i="24"/>
  <c r="A2280" i="24"/>
  <c r="A2272" i="24"/>
  <c r="A2264" i="24"/>
  <c r="A2255" i="24"/>
  <c r="A2253" i="24"/>
  <c r="B2253" i="24" s="1"/>
  <c r="A2240" i="24"/>
  <c r="A2234" i="24"/>
  <c r="A2228" i="24"/>
  <c r="A2222" i="24"/>
  <c r="A2215" i="24"/>
  <c r="A2208" i="24"/>
  <c r="A2202" i="24"/>
  <c r="A2195" i="24"/>
  <c r="A2189" i="24"/>
  <c r="A2171" i="24"/>
  <c r="A2169" i="24"/>
  <c r="B2169" i="24" s="1"/>
  <c r="A2168" i="24"/>
  <c r="B2168" i="24" s="1"/>
  <c r="A2160" i="24"/>
  <c r="A2153" i="24"/>
  <c r="A2141" i="24"/>
  <c r="A2134" i="24"/>
  <c r="A2128" i="24"/>
  <c r="A2121" i="24"/>
  <c r="A2112" i="24"/>
  <c r="A2103" i="24"/>
  <c r="O2167" i="24"/>
  <c r="O2160" i="24" s="1"/>
  <c r="O2158" i="24"/>
  <c r="O2153" i="24" s="1"/>
  <c r="O2151" i="24"/>
  <c r="O2141" i="24" s="1"/>
  <c r="O2139" i="24"/>
  <c r="O2134" i="24" s="1"/>
  <c r="O2132" i="24"/>
  <c r="O2128" i="24" s="1"/>
  <c r="O2126" i="24"/>
  <c r="O2121" i="24" s="1"/>
  <c r="O2119" i="24"/>
  <c r="O2112" i="24" s="1"/>
  <c r="O2110" i="24"/>
  <c r="O2103" i="24" s="1"/>
  <c r="A2088" i="24"/>
  <c r="B2088" i="24" s="1"/>
  <c r="A2083" i="24"/>
  <c r="A2081" i="24"/>
  <c r="B2081" i="24" s="1"/>
  <c r="A2072" i="24"/>
  <c r="A2066" i="24"/>
  <c r="A2058" i="24"/>
  <c r="A2052" i="24"/>
  <c r="A2046" i="24"/>
  <c r="A2044" i="24"/>
  <c r="B2044" i="24" s="1"/>
  <c r="A2039" i="24"/>
  <c r="A2031" i="24"/>
  <c r="A2025" i="24"/>
  <c r="A2017" i="24"/>
  <c r="A2011" i="24"/>
  <c r="A2005" i="24"/>
  <c r="A1999" i="24"/>
  <c r="A1993" i="24"/>
  <c r="A1987" i="24"/>
  <c r="A1981" i="24"/>
  <c r="A1974" i="24"/>
  <c r="A1972" i="24"/>
  <c r="B1972" i="24" s="1"/>
  <c r="A1971" i="24"/>
  <c r="B1971" i="24" s="1"/>
  <c r="A1954" i="24"/>
  <c r="A1926" i="24"/>
  <c r="A1898" i="24"/>
  <c r="O1970" i="24"/>
  <c r="O1954" i="24" s="1"/>
  <c r="A1896" i="24"/>
  <c r="B1896" i="24" s="1"/>
  <c r="A1867" i="24"/>
  <c r="A1861" i="24"/>
  <c r="A1853" i="24"/>
  <c r="A1845" i="24"/>
  <c r="A1815" i="24"/>
  <c r="A1785" i="24"/>
  <c r="A1751" i="24"/>
  <c r="A1745" i="24"/>
  <c r="O1867" i="24"/>
  <c r="O1859" i="24"/>
  <c r="O1853" i="24" s="1"/>
  <c r="O1851" i="24"/>
  <c r="O1845" i="24" s="1"/>
  <c r="O1843" i="24"/>
  <c r="O1815" i="24" s="1"/>
  <c r="O1813" i="24"/>
  <c r="O1785" i="24" s="1"/>
  <c r="O1783" i="24"/>
  <c r="O1751" i="24" s="1"/>
  <c r="M1864" i="24" s="1"/>
  <c r="A1743" i="24"/>
  <c r="B1743" i="24" s="1"/>
  <c r="A1742" i="24"/>
  <c r="B1742" i="24" s="1"/>
  <c r="A1696" i="24"/>
  <c r="A1670" i="24"/>
  <c r="A1650" i="24"/>
  <c r="A1643" i="24"/>
  <c r="A1637" i="24"/>
  <c r="A1619" i="24"/>
  <c r="A1604" i="24"/>
  <c r="A1592" i="24"/>
  <c r="A1559" i="24"/>
  <c r="A1530" i="24"/>
  <c r="A1528" i="24"/>
  <c r="B1528" i="24" s="1"/>
  <c r="A1516" i="24"/>
  <c r="A1509" i="24"/>
  <c r="A1502" i="24"/>
  <c r="A1495" i="24"/>
  <c r="A1478" i="24"/>
  <c r="A1476" i="24"/>
  <c r="B1476" i="24" s="1"/>
  <c r="A1475" i="24"/>
  <c r="B1475" i="24" s="1"/>
  <c r="A1470" i="24"/>
  <c r="A1458" i="24"/>
  <c r="A1452" i="24"/>
  <c r="A1450" i="24"/>
  <c r="B1450" i="24" s="1"/>
  <c r="A1445" i="24"/>
  <c r="A1439" i="24"/>
  <c r="A1437" i="24"/>
  <c r="B1437" i="24" s="1"/>
  <c r="A1432" i="24"/>
  <c r="A1426" i="24"/>
  <c r="A1420" i="24"/>
  <c r="A1414" i="24"/>
  <c r="A1412" i="24"/>
  <c r="B1412" i="24" s="1"/>
  <c r="A1411" i="24"/>
  <c r="B1411" i="24" s="1"/>
  <c r="A1406" i="24"/>
  <c r="A1400" i="24"/>
  <c r="A1398" i="24"/>
  <c r="B1398" i="24" s="1"/>
  <c r="A1393" i="24"/>
  <c r="A1391" i="24"/>
  <c r="B1391" i="24" s="1"/>
  <c r="A1386" i="24"/>
  <c r="A1380" i="24"/>
  <c r="A1374" i="24"/>
  <c r="A1372" i="24"/>
  <c r="B1372" i="24" s="1"/>
  <c r="A1367" i="24"/>
  <c r="A1361" i="24"/>
  <c r="A1359" i="24"/>
  <c r="B1359" i="24" s="1"/>
  <c r="A1354" i="24"/>
  <c r="A1348" i="24"/>
  <c r="A1346" i="24"/>
  <c r="B1346" i="24" s="1"/>
  <c r="A1341" i="24"/>
  <c r="A1335" i="24"/>
  <c r="A1329" i="24"/>
  <c r="A1327" i="24"/>
  <c r="B1327" i="24" s="1"/>
  <c r="A1322" i="24"/>
  <c r="A1320" i="24"/>
  <c r="B1320" i="24" s="1"/>
  <c r="A1315" i="24"/>
  <c r="A1309" i="24"/>
  <c r="A1307" i="24"/>
  <c r="B1307" i="24" s="1"/>
  <c r="A1306" i="24"/>
  <c r="B1306" i="24" s="1"/>
  <c r="A1301" i="24"/>
  <c r="A1295" i="24"/>
  <c r="A1293" i="24"/>
  <c r="B1293" i="24" s="1"/>
  <c r="A1288" i="24"/>
  <c r="A1282" i="24"/>
  <c r="A1276" i="24"/>
  <c r="A1270" i="24"/>
  <c r="A1264" i="24"/>
  <c r="A1258" i="24"/>
  <c r="A1256" i="24"/>
  <c r="B1256" i="24" s="1"/>
  <c r="A1251" i="24"/>
  <c r="A1245" i="24"/>
  <c r="A1239" i="24"/>
  <c r="A1233" i="24"/>
  <c r="A1227" i="24"/>
  <c r="A1221" i="24"/>
  <c r="A1215" i="24"/>
  <c r="A1213" i="24"/>
  <c r="B1213" i="24" s="1"/>
  <c r="A1212" i="24"/>
  <c r="B1212" i="24" s="1"/>
  <c r="A1207" i="24"/>
  <c r="A1201" i="24"/>
  <c r="A1195" i="24"/>
  <c r="A1193" i="24"/>
  <c r="B1193" i="24" s="1"/>
  <c r="A1188" i="24"/>
  <c r="A1182" i="24"/>
  <c r="A1180" i="24"/>
  <c r="B1180" i="24" s="1"/>
  <c r="A1175" i="24"/>
  <c r="A1169" i="24"/>
  <c r="A1163" i="24"/>
  <c r="A1161" i="24"/>
  <c r="B1161" i="24" s="1"/>
  <c r="A1156" i="24"/>
  <c r="A1150" i="24"/>
  <c r="A1144" i="24"/>
  <c r="A1138" i="24"/>
  <c r="A1132" i="24"/>
  <c r="A1126" i="24"/>
  <c r="A1120" i="24"/>
  <c r="A1114" i="24"/>
  <c r="A1108" i="24"/>
  <c r="A1102" i="24"/>
  <c r="A1100" i="24"/>
  <c r="B1100" i="24" s="1"/>
  <c r="A1095" i="24"/>
  <c r="A1089" i="24"/>
  <c r="A1083" i="24"/>
  <c r="A1077" i="24"/>
  <c r="A1071" i="24"/>
  <c r="A1065" i="24"/>
  <c r="A1059" i="24"/>
  <c r="A1053" i="24"/>
  <c r="A1047" i="24"/>
  <c r="A1041" i="24"/>
  <c r="A1035" i="24"/>
  <c r="A1029" i="24"/>
  <c r="A1023" i="24"/>
  <c r="A1017" i="24"/>
  <c r="A1011" i="24"/>
  <c r="A1005" i="24"/>
  <c r="A999" i="24"/>
  <c r="A993" i="24"/>
  <c r="A987" i="24"/>
  <c r="A985" i="24"/>
  <c r="B985" i="24" s="1"/>
  <c r="A984" i="24"/>
  <c r="B984" i="24" s="1"/>
  <c r="A979" i="24"/>
  <c r="A977" i="24"/>
  <c r="B977" i="24" s="1"/>
  <c r="A972" i="24"/>
  <c r="A966" i="24"/>
  <c r="A960" i="24"/>
  <c r="A954" i="24"/>
  <c r="A948" i="24"/>
  <c r="A942" i="24"/>
  <c r="A940" i="24"/>
  <c r="B940" i="24" s="1"/>
  <c r="A935" i="24"/>
  <c r="A929" i="24"/>
  <c r="A923" i="24"/>
  <c r="A917" i="24"/>
  <c r="A911" i="24"/>
  <c r="A905" i="24"/>
  <c r="A899" i="24"/>
  <c r="A893" i="24"/>
  <c r="A887" i="24"/>
  <c r="A881" i="24"/>
  <c r="A875" i="24"/>
  <c r="A869" i="24"/>
  <c r="A863" i="24"/>
  <c r="A857" i="24"/>
  <c r="A851" i="24"/>
  <c r="A845" i="24"/>
  <c r="A843" i="24"/>
  <c r="B843" i="24" s="1"/>
  <c r="A842" i="24"/>
  <c r="B842" i="24" s="1"/>
  <c r="A837" i="24"/>
  <c r="A831" i="24"/>
  <c r="A829" i="24"/>
  <c r="B829" i="24" s="1"/>
  <c r="A824" i="24"/>
  <c r="A822" i="24"/>
  <c r="B822" i="24" s="1"/>
  <c r="A817" i="24"/>
  <c r="A815" i="24"/>
  <c r="B815" i="24" s="1"/>
  <c r="A814" i="24"/>
  <c r="B814" i="24" s="1"/>
  <c r="A573" i="24"/>
  <c r="B573" i="24" s="1"/>
  <c r="A557" i="24"/>
  <c r="A537" i="24"/>
  <c r="A527" i="24"/>
  <c r="A513" i="24"/>
  <c r="A376" i="24"/>
  <c r="O557" i="24"/>
  <c r="O537" i="24"/>
  <c r="O535" i="24"/>
  <c r="O527" i="24" s="1"/>
  <c r="O525" i="24"/>
  <c r="O513" i="24" s="1"/>
  <c r="A374" i="24"/>
  <c r="B374" i="24" s="1"/>
  <c r="A339" i="24"/>
  <c r="A312" i="24"/>
  <c r="A285" i="24"/>
  <c r="A198" i="24"/>
  <c r="B198" i="24" s="1"/>
  <c r="A190" i="24"/>
  <c r="A173" i="24"/>
  <c r="A158" i="24"/>
  <c r="A156" i="24"/>
  <c r="B156" i="24" s="1"/>
  <c r="A155" i="24"/>
  <c r="B155" i="24" s="1"/>
  <c r="A150" i="24"/>
  <c r="A144" i="24"/>
  <c r="A127" i="24"/>
  <c r="A94" i="24"/>
  <c r="A88" i="24"/>
  <c r="A82" i="24"/>
  <c r="O154" i="24"/>
  <c r="O150" i="24" s="1"/>
  <c r="A80" i="24"/>
  <c r="B80" i="24" s="1"/>
  <c r="A62" i="24"/>
  <c r="A56" i="24"/>
  <c r="A47" i="24"/>
  <c r="A41" i="24"/>
  <c r="A35" i="24"/>
  <c r="O69" i="24"/>
  <c r="O62" i="24" s="1"/>
  <c r="A33" i="24"/>
  <c r="B33" i="24" s="1"/>
  <c r="A28" i="24"/>
  <c r="A22" i="24"/>
  <c r="A20" i="24"/>
  <c r="B20" i="24" s="1"/>
  <c r="B13" i="24"/>
  <c r="B14" i="24"/>
  <c r="B16" i="24"/>
  <c r="B17" i="24"/>
  <c r="A11" i="24"/>
  <c r="A12" i="24"/>
  <c r="A15" i="24"/>
  <c r="A4" i="24"/>
  <c r="A5" i="24"/>
  <c r="A6" i="24"/>
  <c r="A7" i="24"/>
  <c r="A8" i="24"/>
  <c r="A9" i="24"/>
  <c r="A2" i="24"/>
  <c r="O376" i="24"/>
  <c r="O197" i="24"/>
  <c r="O190" i="24" s="1"/>
  <c r="O148" i="24"/>
  <c r="O144" i="24" s="1"/>
  <c r="O92" i="24"/>
  <c r="O88" i="24" s="1"/>
  <c r="O60" i="24"/>
  <c r="O56" i="24" s="1"/>
  <c r="O38" i="24"/>
  <c r="O39" i="24" s="1"/>
  <c r="O35" i="24" s="1"/>
  <c r="O32" i="24"/>
  <c r="O28" i="24" s="1"/>
  <c r="O26" i="24"/>
  <c r="O22" i="24" s="1"/>
  <c r="F72" i="1" l="1"/>
  <c r="F73" i="1"/>
  <c r="F69" i="1"/>
  <c r="F68" i="1"/>
  <c r="F70" i="1"/>
  <c r="I70" i="1" s="1"/>
  <c r="F71" i="1"/>
  <c r="I71" i="1" s="1"/>
  <c r="F82" i="1"/>
  <c r="F333" i="1"/>
  <c r="F267" i="1"/>
  <c r="F268" i="1"/>
  <c r="F269" i="1"/>
  <c r="F104" i="1"/>
  <c r="F103" i="1"/>
  <c r="F105" i="1"/>
  <c r="F74" i="1"/>
  <c r="F102" i="1"/>
  <c r="F87" i="1"/>
  <c r="F91" i="1"/>
  <c r="F86" i="1"/>
  <c r="F108" i="1"/>
  <c r="F79" i="1"/>
  <c r="F387" i="1"/>
  <c r="F30" i="1"/>
  <c r="F31" i="1"/>
  <c r="F385" i="1"/>
  <c r="F386" i="1"/>
  <c r="F374" i="1"/>
  <c r="B1420" i="24"/>
  <c r="N1420" i="24"/>
  <c r="N1470" i="24"/>
  <c r="B1470" i="24"/>
  <c r="N1322" i="24"/>
  <c r="B1322" i="24"/>
  <c r="N1426" i="24"/>
  <c r="B1426" i="24"/>
  <c r="M2488" i="24"/>
  <c r="O2488" i="24" s="1"/>
  <c r="M2481" i="24"/>
  <c r="O2481" i="24" s="1"/>
  <c r="M2487" i="24"/>
  <c r="O2487" i="24" s="1"/>
  <c r="M2480" i="24"/>
  <c r="F368" i="1"/>
  <c r="F56" i="1"/>
  <c r="F49" i="1"/>
  <c r="F50" i="1"/>
  <c r="F48" i="1"/>
  <c r="F45" i="1"/>
  <c r="O1635" i="24"/>
  <c r="O1619" i="24" s="1"/>
  <c r="F284" i="1" s="1"/>
  <c r="F367" i="1"/>
  <c r="F305" i="1"/>
  <c r="F300" i="1"/>
  <c r="F294" i="1"/>
  <c r="F295" i="1"/>
  <c r="F296" i="1"/>
  <c r="F297" i="1"/>
  <c r="F298" i="1"/>
  <c r="M1748" i="24"/>
  <c r="O1748" i="24" s="1"/>
  <c r="O1749" i="24" s="1"/>
  <c r="O1745" i="24" s="1"/>
  <c r="F60" i="1"/>
  <c r="F61" i="1"/>
  <c r="F62" i="1"/>
  <c r="F63" i="1"/>
  <c r="F59" i="1"/>
  <c r="F332" i="1"/>
  <c r="F29" i="1"/>
  <c r="F23" i="1"/>
  <c r="F388" i="1"/>
  <c r="F353" i="1"/>
  <c r="F334" i="1"/>
  <c r="F310" i="1"/>
  <c r="F262" i="1"/>
  <c r="F245" i="1"/>
  <c r="F231" i="1"/>
  <c r="F214" i="1"/>
  <c r="F204" i="1"/>
  <c r="F191" i="1"/>
  <c r="F176" i="1"/>
  <c r="F168" i="1"/>
  <c r="F157" i="1"/>
  <c r="F153" i="1"/>
  <c r="F119" i="1"/>
  <c r="F26" i="1"/>
  <c r="F35" i="1"/>
  <c r="F239" i="1"/>
  <c r="F161" i="1"/>
  <c r="F207" i="1"/>
  <c r="F130" i="1"/>
  <c r="F352" i="1"/>
  <c r="F215" i="1"/>
  <c r="F165" i="1"/>
  <c r="F338" i="1"/>
  <c r="F285" i="1"/>
  <c r="F259" i="1"/>
  <c r="F244" i="1"/>
  <c r="F230" i="1"/>
  <c r="F213" i="1"/>
  <c r="F203" i="1"/>
  <c r="F188" i="1"/>
  <c r="F177" i="1"/>
  <c r="F169" i="1"/>
  <c r="F158" i="1"/>
  <c r="F149" i="1"/>
  <c r="F132" i="1"/>
  <c r="F118" i="1"/>
  <c r="F348" i="1"/>
  <c r="F210" i="1"/>
  <c r="F175" i="1"/>
  <c r="F218" i="1"/>
  <c r="F164" i="1"/>
  <c r="F263" i="1"/>
  <c r="F192" i="1"/>
  <c r="F141" i="1"/>
  <c r="F355" i="1"/>
  <c r="F339" i="1"/>
  <c r="F258" i="1"/>
  <c r="F243" i="1"/>
  <c r="F227" i="1"/>
  <c r="F212" i="1"/>
  <c r="F202" i="1"/>
  <c r="F187" i="1"/>
  <c r="F178" i="1"/>
  <c r="F170" i="1"/>
  <c r="F159" i="1"/>
  <c r="F142" i="1"/>
  <c r="F115" i="1"/>
  <c r="F341" i="1"/>
  <c r="F314" i="1"/>
  <c r="F223" i="1"/>
  <c r="F180" i="1"/>
  <c r="F144" i="1"/>
  <c r="F195" i="1"/>
  <c r="F155" i="1"/>
  <c r="F337" i="1"/>
  <c r="F248" i="1"/>
  <c r="F183" i="1"/>
  <c r="F138" i="1"/>
  <c r="F340" i="1"/>
  <c r="F315" i="1"/>
  <c r="F257" i="1"/>
  <c r="F240" i="1"/>
  <c r="F224" i="1"/>
  <c r="F211" i="1"/>
  <c r="F201" i="1"/>
  <c r="F186" i="1"/>
  <c r="F179" i="1"/>
  <c r="F171" i="1"/>
  <c r="F160" i="1"/>
  <c r="F143" i="1"/>
  <c r="F112" i="1"/>
  <c r="F256" i="1"/>
  <c r="F197" i="1"/>
  <c r="F162" i="1"/>
  <c r="F38" i="1"/>
  <c r="F182" i="1"/>
  <c r="F137" i="1"/>
  <c r="F346" i="1"/>
  <c r="F205" i="1"/>
  <c r="F156" i="1"/>
  <c r="F335" i="1"/>
  <c r="F313" i="1"/>
  <c r="F252" i="1"/>
  <c r="F236" i="1"/>
  <c r="F219" i="1"/>
  <c r="F206" i="1"/>
  <c r="F196" i="1"/>
  <c r="F181" i="1"/>
  <c r="F174" i="1"/>
  <c r="F163" i="1"/>
  <c r="F154" i="1"/>
  <c r="F145" i="1"/>
  <c r="F129" i="1"/>
  <c r="F39" i="1"/>
  <c r="F351" i="1"/>
  <c r="F336" i="1"/>
  <c r="F312" i="1"/>
  <c r="F266" i="1"/>
  <c r="F251" i="1"/>
  <c r="F235" i="1"/>
  <c r="F166" i="1"/>
  <c r="F146" i="1"/>
  <c r="F311" i="1"/>
  <c r="F232" i="1"/>
  <c r="F167" i="1"/>
  <c r="F22" i="1"/>
  <c r="O2176" i="24"/>
  <c r="O2638" i="24"/>
  <c r="O2617" i="24" s="1"/>
  <c r="F384" i="1" s="1"/>
  <c r="O1590" i="24"/>
  <c r="O1559" i="24" s="1"/>
  <c r="F281" i="1" s="1"/>
  <c r="O1924" i="24"/>
  <c r="O1898" i="24" s="1"/>
  <c r="F303" i="1" s="1"/>
  <c r="O1952" i="24"/>
  <c r="O1926" i="24" s="1"/>
  <c r="F304" i="1" s="1"/>
  <c r="O2574" i="24"/>
  <c r="O2548" i="24" s="1"/>
  <c r="F375" i="1" s="1"/>
  <c r="O2598" i="24"/>
  <c r="O2590" i="24" s="1"/>
  <c r="F379" i="1" s="1"/>
  <c r="O2518" i="24"/>
  <c r="O2492" i="24" s="1"/>
  <c r="F373" i="1" s="1"/>
  <c r="O2606" i="24"/>
  <c r="O2600" i="24" s="1"/>
  <c r="F380" i="1" s="1"/>
  <c r="O2614" i="24"/>
  <c r="O2608" i="24" s="1"/>
  <c r="F381" i="1" s="1"/>
  <c r="O2587" i="24"/>
  <c r="O2586" i="24"/>
  <c r="O2585" i="24"/>
  <c r="O2584" i="24"/>
  <c r="O2583" i="24"/>
  <c r="O2582" i="24"/>
  <c r="O2581" i="24"/>
  <c r="O2580" i="24"/>
  <c r="O1731" i="24"/>
  <c r="O1720" i="24"/>
  <c r="O1736" i="24"/>
  <c r="O1721" i="24"/>
  <c r="O1733" i="24"/>
  <c r="O1737" i="24"/>
  <c r="O1726" i="24"/>
  <c r="O1734" i="24"/>
  <c r="O1738" i="24"/>
  <c r="O1722" i="24"/>
  <c r="O1727" i="24"/>
  <c r="O1724" i="24"/>
  <c r="O1728" i="24"/>
  <c r="O1730" i="24"/>
  <c r="O1735" i="24"/>
  <c r="O1739" i="24"/>
  <c r="O1732" i="24"/>
  <c r="O1740" i="24"/>
  <c r="O1725" i="24"/>
  <c r="O1729" i="24"/>
  <c r="O1694" i="24"/>
  <c r="O1670" i="24" s="1"/>
  <c r="F288" i="1" s="1"/>
  <c r="O1655" i="24"/>
  <c r="O1546" i="24"/>
  <c r="O1654" i="24"/>
  <c r="O1555" i="24"/>
  <c r="O1653" i="24"/>
  <c r="O1538" i="24"/>
  <c r="O1536" i="24"/>
  <c r="O1540" i="24"/>
  <c r="O1551" i="24"/>
  <c r="O1534" i="24"/>
  <c r="O1544" i="24"/>
  <c r="O1545" i="24"/>
  <c r="O1535" i="24"/>
  <c r="O1542" i="24"/>
  <c r="O1533" i="24"/>
  <c r="O1548" i="24"/>
  <c r="O1552" i="24"/>
  <c r="O1554" i="24"/>
  <c r="O1547" i="24"/>
  <c r="O1556" i="24"/>
  <c r="O1539" i="24"/>
  <c r="O1550" i="24"/>
  <c r="O1549" i="24"/>
  <c r="O1541" i="24"/>
  <c r="O1537" i="24"/>
  <c r="O1601" i="24"/>
  <c r="O1599" i="24"/>
  <c r="O1600" i="24"/>
  <c r="O1648" i="24"/>
  <c r="O1643" i="24" s="1"/>
  <c r="F286" i="1" s="1"/>
  <c r="O1617" i="24"/>
  <c r="O1604" i="24" s="1"/>
  <c r="F283" i="1" s="1"/>
  <c r="O1524" i="24"/>
  <c r="O1521" i="24"/>
  <c r="O1526" i="24"/>
  <c r="O1520" i="24"/>
  <c r="O1525" i="24"/>
  <c r="O1519" i="24"/>
  <c r="O1505" i="24"/>
  <c r="O1506" i="24"/>
  <c r="O1493" i="24"/>
  <c r="O1478" i="24" s="1"/>
  <c r="F273" i="1" s="1"/>
  <c r="O1499" i="24"/>
  <c r="O1498" i="24"/>
  <c r="O1514" i="24"/>
  <c r="O1509" i="24" s="1"/>
  <c r="F276" i="1" s="1"/>
  <c r="O2079" i="24"/>
  <c r="O2075" i="24"/>
  <c r="O2062" i="24"/>
  <c r="O2077" i="24"/>
  <c r="O2086" i="24"/>
  <c r="O2087" i="24" s="1"/>
  <c r="O2083" i="24" s="1"/>
  <c r="F329" i="1" s="1"/>
  <c r="O2076" i="24"/>
  <c r="O2078" i="24"/>
  <c r="O2063" i="24"/>
  <c r="O2069" i="24"/>
  <c r="O2070" i="24" s="1"/>
  <c r="O2066" i="24" s="1"/>
  <c r="F325" i="1" s="1"/>
  <c r="O2261" i="24"/>
  <c r="O2028" i="24"/>
  <c r="O2029" i="24" s="1"/>
  <c r="O2025" i="24" s="1"/>
  <c r="F317" i="1" s="1"/>
  <c r="O2042" i="24"/>
  <c r="O2043" i="24" s="1"/>
  <c r="O2039" i="24" s="1"/>
  <c r="F319" i="1" s="1"/>
  <c r="O2061" i="24"/>
  <c r="O2055" i="24"/>
  <c r="O2056" i="24" s="1"/>
  <c r="O2052" i="24" s="1"/>
  <c r="F323" i="1" s="1"/>
  <c r="O2049" i="24"/>
  <c r="O2050" i="24" s="1"/>
  <c r="O2046" i="24" s="1"/>
  <c r="F322" i="1" s="1"/>
  <c r="O2035" i="24"/>
  <c r="O2036" i="24"/>
  <c r="O2258" i="24"/>
  <c r="O2034" i="24"/>
  <c r="O2022" i="24"/>
  <c r="O2260" i="24"/>
  <c r="O2021" i="24"/>
  <c r="O2020" i="24"/>
  <c r="O1979" i="24"/>
  <c r="O1974" i="24" s="1"/>
  <c r="F309" i="1" s="1"/>
  <c r="O2302" i="24"/>
  <c r="O2296" i="24" s="1"/>
  <c r="O2294" i="24"/>
  <c r="O2288" i="24" s="1"/>
  <c r="F362" i="1" s="1"/>
  <c r="O2286" i="24"/>
  <c r="O2280" i="24" s="1"/>
  <c r="F361" i="1" s="1"/>
  <c r="O2269" i="24"/>
  <c r="O2278" i="24"/>
  <c r="O2272" i="24" s="1"/>
  <c r="F360" i="1" s="1"/>
  <c r="O2259" i="24"/>
  <c r="O2268" i="24"/>
  <c r="O2267" i="24"/>
  <c r="O2246" i="24"/>
  <c r="O2240" i="24" s="1"/>
  <c r="F354" i="1" s="1"/>
  <c r="O2180" i="24"/>
  <c r="O2179" i="24"/>
  <c r="O2185" i="24"/>
  <c r="O2181" i="24"/>
  <c r="O2175" i="24"/>
  <c r="O2183" i="24"/>
  <c r="O2182" i="24"/>
  <c r="O2184" i="24"/>
  <c r="O2220" i="24"/>
  <c r="O2215" i="24" s="1"/>
  <c r="F350" i="1" s="1"/>
  <c r="O2186" i="24"/>
  <c r="O2177" i="24"/>
  <c r="O2178" i="24"/>
  <c r="O2213" i="24"/>
  <c r="O2208" i="24" s="1"/>
  <c r="F349" i="1" s="1"/>
  <c r="O2200" i="24"/>
  <c r="O2195" i="24" s="1"/>
  <c r="F347" i="1" s="1"/>
  <c r="O2174" i="24"/>
  <c r="O171" i="24"/>
  <c r="O158" i="24" s="1"/>
  <c r="F43" i="1" s="1"/>
  <c r="O637" i="24"/>
  <c r="O629" i="24" s="1"/>
  <c r="F75" i="1" s="1"/>
  <c r="O364" i="24"/>
  <c r="O339" i="24" s="1"/>
  <c r="F55" i="1" s="1"/>
  <c r="O697" i="24"/>
  <c r="O693" i="24" s="1"/>
  <c r="F85" i="1" s="1"/>
  <c r="O586" i="24"/>
  <c r="O582" i="24" s="1"/>
  <c r="O715" i="24"/>
  <c r="O711" i="24" s="1"/>
  <c r="F88" i="1" s="1"/>
  <c r="O879" i="24"/>
  <c r="O875" i="24" s="1"/>
  <c r="F128" i="1" s="1"/>
  <c r="O310" i="24"/>
  <c r="O285" i="24" s="1"/>
  <c r="F53" i="1" s="1"/>
  <c r="O807" i="24"/>
  <c r="O803" i="24" s="1"/>
  <c r="F107" i="1" s="1"/>
  <c r="O657" i="24"/>
  <c r="O649" i="24" s="1"/>
  <c r="F77" i="1" s="1"/>
  <c r="O337" i="24"/>
  <c r="O312" i="24" s="1"/>
  <c r="F54" i="1" s="1"/>
  <c r="O647" i="24"/>
  <c r="O639" i="24" s="1"/>
  <c r="F76" i="1" s="1"/>
  <c r="O580" i="24"/>
  <c r="O576" i="24" s="1"/>
  <c r="F67" i="1" s="1"/>
  <c r="O616" i="24"/>
  <c r="O612" i="24" s="1"/>
  <c r="O663" i="24"/>
  <c r="O659" i="24" s="1"/>
  <c r="F78" i="1" s="1"/>
  <c r="O727" i="24"/>
  <c r="O723" i="24" s="1"/>
  <c r="F90" i="1" s="1"/>
  <c r="O758" i="24"/>
  <c r="O754" i="24" s="1"/>
  <c r="F97" i="1" s="1"/>
  <c r="O873" i="24"/>
  <c r="O869" i="24" s="1"/>
  <c r="F127" i="1" s="1"/>
  <c r="O86" i="24"/>
  <c r="O82" i="24" s="1"/>
  <c r="F34" i="1" s="1"/>
  <c r="O739" i="24"/>
  <c r="O735" i="24" s="1"/>
  <c r="F92" i="1" s="1"/>
  <c r="O849" i="24"/>
  <c r="O845" i="24" s="1"/>
  <c r="F123" i="1" s="1"/>
  <c r="O691" i="24"/>
  <c r="O687" i="24" s="1"/>
  <c r="F84" i="1" s="1"/>
  <c r="O721" i="24"/>
  <c r="O717" i="24" s="1"/>
  <c r="F89" i="1" s="1"/>
  <c r="O752" i="24"/>
  <c r="O748" i="24" s="1"/>
  <c r="F96" i="1" s="1"/>
  <c r="O867" i="24"/>
  <c r="O863" i="24" s="1"/>
  <c r="F126" i="1" s="1"/>
  <c r="O45" i="24"/>
  <c r="O41" i="24" s="1"/>
  <c r="F27" i="1" s="1"/>
  <c r="O610" i="24"/>
  <c r="O606" i="24" s="1"/>
  <c r="O685" i="24"/>
  <c r="O681" i="24" s="1"/>
  <c r="F83" i="1" s="1"/>
  <c r="O801" i="24"/>
  <c r="O797" i="24" s="1"/>
  <c r="F106" i="1" s="1"/>
  <c r="O861" i="24"/>
  <c r="O857" i="24" s="1"/>
  <c r="F125" i="1" s="1"/>
  <c r="O897" i="24"/>
  <c r="O893" i="24" s="1"/>
  <c r="F131" i="1" s="1"/>
  <c r="O921" i="24"/>
  <c r="O917" i="24" s="1"/>
  <c r="F135" i="1" s="1"/>
  <c r="O927" i="24"/>
  <c r="O923" i="24" s="1"/>
  <c r="F136" i="1" s="1"/>
  <c r="O855" i="24"/>
  <c r="O851" i="24" s="1"/>
  <c r="F124" i="1" s="1"/>
  <c r="O746" i="24"/>
  <c r="O742" i="24" s="1"/>
  <c r="F95" i="1" s="1"/>
  <c r="O909" i="24"/>
  <c r="O905" i="24" s="1"/>
  <c r="F133" i="1" s="1"/>
  <c r="O94" i="24"/>
  <c r="O188" i="24"/>
  <c r="O173" i="24" s="1"/>
  <c r="F44" i="1" s="1"/>
  <c r="O592" i="24"/>
  <c r="O588" i="24" s="1"/>
  <c r="O915" i="24"/>
  <c r="O911" i="24" s="1"/>
  <c r="F134" i="1" s="1"/>
  <c r="O54" i="24"/>
  <c r="O47" i="24" s="1"/>
  <c r="F28" i="1" s="1"/>
  <c r="O2489" i="24" l="1"/>
  <c r="O2484" i="24" s="1"/>
  <c r="F370" i="1" s="1"/>
  <c r="F363" i="1"/>
  <c r="O2480" i="24"/>
  <c r="O2482" i="24" s="1"/>
  <c r="O2477" i="24" s="1"/>
  <c r="F369" i="1" s="1"/>
  <c r="F36" i="1"/>
  <c r="M130" i="24"/>
  <c r="O130" i="24" s="1"/>
  <c r="O142" i="24" s="1"/>
  <c r="O127" i="24" s="1"/>
  <c r="F37" i="1" s="1"/>
  <c r="K1864" i="24"/>
  <c r="O1864" i="24" s="1"/>
  <c r="O1865" i="24" s="1"/>
  <c r="O1861" i="24" s="1"/>
  <c r="F299" i="1" s="1"/>
  <c r="F293" i="1"/>
  <c r="O2588" i="24"/>
  <c r="O2577" i="24" s="1"/>
  <c r="F378" i="1" s="1"/>
  <c r="O1741" i="24"/>
  <c r="O1696" i="24" s="1"/>
  <c r="F289" i="1" s="1"/>
  <c r="O1668" i="24"/>
  <c r="O1650" i="24" s="1"/>
  <c r="F287" i="1" s="1"/>
  <c r="O1557" i="24"/>
  <c r="O1530" i="24" s="1"/>
  <c r="F280" i="1" s="1"/>
  <c r="O1602" i="24"/>
  <c r="O1592" i="24" s="1"/>
  <c r="F282" i="1" s="1"/>
  <c r="O1527" i="24"/>
  <c r="O1516" i="24" s="1"/>
  <c r="F277" i="1" s="1"/>
  <c r="O1507" i="24"/>
  <c r="O1502" i="24" s="1"/>
  <c r="F275" i="1" s="1"/>
  <c r="O1500" i="24"/>
  <c r="O1495" i="24" s="1"/>
  <c r="F274" i="1" s="1"/>
  <c r="O2080" i="24"/>
  <c r="O2072" i="24" s="1"/>
  <c r="F326" i="1" s="1"/>
  <c r="O2064" i="24"/>
  <c r="O2058" i="24" s="1"/>
  <c r="F324" i="1" s="1"/>
  <c r="O2037" i="24"/>
  <c r="O2031" i="24" s="1"/>
  <c r="F318" i="1" s="1"/>
  <c r="O2023" i="24"/>
  <c r="O2017" i="24" s="1"/>
  <c r="F316" i="1" s="1"/>
  <c r="O2262" i="24"/>
  <c r="O2255" i="24" s="1"/>
  <c r="F358" i="1" s="1"/>
  <c r="O2270" i="24"/>
  <c r="O2264" i="24" s="1"/>
  <c r="F359" i="1" s="1"/>
  <c r="O2187" i="24"/>
  <c r="O2171" i="24" s="1"/>
  <c r="F345" i="1" s="1"/>
  <c r="O764" i="24"/>
  <c r="O760" i="24" s="1"/>
  <c r="F98" i="1" s="1"/>
  <c r="O771" i="24"/>
  <c r="O767" i="24" s="1"/>
  <c r="F101" i="1" s="1"/>
  <c r="E63" i="1"/>
  <c r="N557" i="24" s="1"/>
  <c r="D63" i="1"/>
  <c r="B557" i="24" s="1"/>
  <c r="C63" i="1"/>
  <c r="E30" i="23"/>
  <c r="E29" i="23"/>
  <c r="D23" i="23"/>
  <c r="D24" i="23"/>
  <c r="D25" i="23"/>
  <c r="C23" i="23"/>
  <c r="C24" i="23"/>
  <c r="C25" i="23"/>
  <c r="D30" i="23"/>
  <c r="D31" i="23"/>
  <c r="D32" i="23"/>
  <c r="C30" i="23"/>
  <c r="C31" i="23"/>
  <c r="C32" i="23"/>
  <c r="A40" i="23"/>
  <c r="B13" i="23"/>
  <c r="B14" i="23"/>
  <c r="B16" i="23"/>
  <c r="B17" i="23"/>
  <c r="A4" i="23"/>
  <c r="A5" i="23"/>
  <c r="A6" i="23"/>
  <c r="A7" i="23"/>
  <c r="A8" i="23"/>
  <c r="A9" i="23"/>
  <c r="A11" i="23"/>
  <c r="A12" i="23"/>
  <c r="A15" i="23"/>
  <c r="A2" i="23"/>
  <c r="D29" i="23"/>
  <c r="C29" i="23"/>
  <c r="F28" i="23"/>
  <c r="G28" i="23" s="1"/>
  <c r="D28" i="23"/>
  <c r="C28" i="23"/>
  <c r="F22" i="23"/>
  <c r="G22" i="23" s="1"/>
  <c r="D22" i="23"/>
  <c r="C22" i="23"/>
  <c r="D61" i="1"/>
  <c r="B527" i="24" s="1"/>
  <c r="E61" i="1"/>
  <c r="N527" i="24" s="1"/>
  <c r="G61" i="1"/>
  <c r="D62" i="1"/>
  <c r="B537" i="24" s="1"/>
  <c r="E62" i="1"/>
  <c r="N537" i="24" s="1"/>
  <c r="G62" i="1"/>
  <c r="G60" i="1"/>
  <c r="E60" i="1"/>
  <c r="N513" i="24" s="1"/>
  <c r="D60" i="1"/>
  <c r="B513" i="24" s="1"/>
  <c r="G59" i="1"/>
  <c r="E59" i="1"/>
  <c r="N376" i="24" s="1"/>
  <c r="D59" i="1"/>
  <c r="B376" i="24" s="1"/>
  <c r="D49" i="1"/>
  <c r="B227" i="24" s="1"/>
  <c r="E49" i="1"/>
  <c r="N227" i="24" s="1"/>
  <c r="G49" i="1"/>
  <c r="D50" i="1"/>
  <c r="B271" i="24" s="1"/>
  <c r="E50" i="1"/>
  <c r="N271" i="24" s="1"/>
  <c r="G50" i="1"/>
  <c r="G48" i="1"/>
  <c r="E48" i="1"/>
  <c r="N200" i="24" s="1"/>
  <c r="D48" i="1"/>
  <c r="B200" i="24" s="1"/>
  <c r="D44" i="1"/>
  <c r="B173" i="24" s="1"/>
  <c r="E44" i="1"/>
  <c r="N173" i="24" s="1"/>
  <c r="G44" i="1"/>
  <c r="D45" i="1"/>
  <c r="B190" i="24" s="1"/>
  <c r="E45" i="1"/>
  <c r="N190" i="24" s="1"/>
  <c r="G45" i="1"/>
  <c r="G43" i="1"/>
  <c r="E43" i="1"/>
  <c r="N158" i="24" s="1"/>
  <c r="D43" i="1"/>
  <c r="B158" i="24" s="1"/>
  <c r="G54" i="1"/>
  <c r="G55" i="1"/>
  <c r="D54" i="1"/>
  <c r="B312" i="24" s="1"/>
  <c r="E54" i="1"/>
  <c r="N312" i="24" s="1"/>
  <c r="D55" i="1"/>
  <c r="B339" i="24" s="1"/>
  <c r="E55" i="1"/>
  <c r="N339" i="24" s="1"/>
  <c r="G53" i="1"/>
  <c r="E53" i="1"/>
  <c r="N285" i="24" s="1"/>
  <c r="D53" i="1"/>
  <c r="B285" i="24" s="1"/>
  <c r="G30" i="1"/>
  <c r="E30" i="1"/>
  <c r="N62" i="24" s="1"/>
  <c r="D30" i="1"/>
  <c r="B62" i="24" s="1"/>
  <c r="G35" i="1"/>
  <c r="G36" i="1"/>
  <c r="G37" i="1"/>
  <c r="G38" i="1"/>
  <c r="G39" i="1"/>
  <c r="D35" i="1"/>
  <c r="B88" i="24" s="1"/>
  <c r="E35" i="1"/>
  <c r="N88" i="24" s="1"/>
  <c r="D36" i="1"/>
  <c r="B94" i="24" s="1"/>
  <c r="E36" i="1"/>
  <c r="N94" i="24" s="1"/>
  <c r="D37" i="1"/>
  <c r="B127" i="24" s="1"/>
  <c r="E37" i="1"/>
  <c r="N127" i="24" s="1"/>
  <c r="D38" i="1"/>
  <c r="B144" i="24" s="1"/>
  <c r="E38" i="1"/>
  <c r="N144" i="24" s="1"/>
  <c r="D39" i="1"/>
  <c r="B150" i="24" s="1"/>
  <c r="E39" i="1"/>
  <c r="N150" i="24" s="1"/>
  <c r="G34" i="1"/>
  <c r="E34" i="1"/>
  <c r="N82" i="24" s="1"/>
  <c r="D34" i="1"/>
  <c r="B82" i="24" s="1"/>
  <c r="D28" i="1"/>
  <c r="B47" i="24" s="1"/>
  <c r="E28" i="1"/>
  <c r="N47" i="24" s="1"/>
  <c r="G28" i="1"/>
  <c r="D29" i="1"/>
  <c r="B56" i="24" s="1"/>
  <c r="E29" i="1"/>
  <c r="N56" i="24" s="1"/>
  <c r="G29" i="1"/>
  <c r="G27" i="1"/>
  <c r="E27" i="1"/>
  <c r="N41" i="24" s="1"/>
  <c r="D27" i="1"/>
  <c r="B41" i="24" s="1"/>
  <c r="G26" i="1"/>
  <c r="E26" i="1"/>
  <c r="N35" i="24" s="1"/>
  <c r="D26" i="1"/>
  <c r="B35" i="24" s="1"/>
  <c r="G26" i="23" l="1"/>
  <c r="D23" i="1"/>
  <c r="B28" i="24" s="1"/>
  <c r="E23" i="1"/>
  <c r="N28" i="24" s="1"/>
  <c r="G23" i="1"/>
  <c r="G22" i="1"/>
  <c r="E22" i="1"/>
  <c r="N22" i="24" s="1"/>
  <c r="D22" i="1"/>
  <c r="B22" i="24" s="1"/>
  <c r="G388" i="1"/>
  <c r="E388" i="1"/>
  <c r="N2662" i="24" s="1"/>
  <c r="D388" i="1"/>
  <c r="B2662" i="24" s="1"/>
  <c r="E384" i="1"/>
  <c r="N2617" i="24" s="1"/>
  <c r="D384" i="1"/>
  <c r="B2617" i="24" s="1"/>
  <c r="C384" i="1"/>
  <c r="D32" i="22"/>
  <c r="C32" i="22"/>
  <c r="F32" i="22"/>
  <c r="F29" i="22"/>
  <c r="G29" i="22" s="1"/>
  <c r="F28" i="22"/>
  <c r="G28" i="22" s="1"/>
  <c r="F27" i="22"/>
  <c r="G27" i="22" s="1"/>
  <c r="D29" i="22"/>
  <c r="C29" i="22"/>
  <c r="D28" i="22"/>
  <c r="C28" i="22"/>
  <c r="D27" i="22"/>
  <c r="C27" i="22"/>
  <c r="F23" i="22"/>
  <c r="G23" i="22" s="1"/>
  <c r="F24" i="22"/>
  <c r="G24" i="22" s="1"/>
  <c r="D23" i="22"/>
  <c r="D24" i="22"/>
  <c r="C23" i="22"/>
  <c r="C24" i="22"/>
  <c r="F22" i="22"/>
  <c r="G22" i="22" s="1"/>
  <c r="D22" i="22"/>
  <c r="C22" i="22"/>
  <c r="A40" i="22"/>
  <c r="B13" i="22"/>
  <c r="B14" i="22"/>
  <c r="B16" i="22"/>
  <c r="B17" i="22"/>
  <c r="A4" i="22"/>
  <c r="A5" i="22"/>
  <c r="A6" i="22"/>
  <c r="A7" i="22"/>
  <c r="A8" i="22"/>
  <c r="A9" i="22"/>
  <c r="A11" i="22"/>
  <c r="A12" i="22"/>
  <c r="A15" i="22"/>
  <c r="A2" i="22"/>
  <c r="E32" i="22"/>
  <c r="G33" i="23" l="1"/>
  <c r="G35" i="23" s="1"/>
  <c r="G38" i="23" s="1"/>
  <c r="G63" i="1" s="1"/>
  <c r="G30" i="22"/>
  <c r="G32" i="22"/>
  <c r="G33" i="22" s="1"/>
  <c r="G25" i="22"/>
  <c r="G35" i="22" l="1"/>
  <c r="G38" i="22" s="1"/>
  <c r="G384" i="1" s="1"/>
  <c r="D379" i="1"/>
  <c r="B2590" i="24" s="1"/>
  <c r="E379" i="1"/>
  <c r="N2590" i="24" s="1"/>
  <c r="G379" i="1"/>
  <c r="D380" i="1"/>
  <c r="B2600" i="24" s="1"/>
  <c r="E380" i="1"/>
  <c r="N2600" i="24" s="1"/>
  <c r="G380" i="1"/>
  <c r="D381" i="1"/>
  <c r="B2608" i="24" s="1"/>
  <c r="E381" i="1"/>
  <c r="N2608" i="24" s="1"/>
  <c r="G381" i="1"/>
  <c r="G378" i="1"/>
  <c r="E378" i="1"/>
  <c r="N2577" i="24" s="1"/>
  <c r="D378" i="1"/>
  <c r="B2577" i="24" s="1"/>
  <c r="G370" i="1"/>
  <c r="E370" i="1"/>
  <c r="N2484" i="24" s="1"/>
  <c r="D370" i="1"/>
  <c r="B2484" i="24" s="1"/>
  <c r="G368" i="1"/>
  <c r="E368" i="1"/>
  <c r="N2374" i="24" s="1"/>
  <c r="D368" i="1"/>
  <c r="B2374" i="24" s="1"/>
  <c r="G367" i="1"/>
  <c r="E367" i="1"/>
  <c r="N2306" i="24" s="1"/>
  <c r="D367" i="1"/>
  <c r="B2306" i="24" s="1"/>
  <c r="G375" i="1"/>
  <c r="E375" i="1"/>
  <c r="N2548" i="24" s="1"/>
  <c r="D375" i="1"/>
  <c r="B2548" i="24" s="1"/>
  <c r="G373" i="1"/>
  <c r="E373" i="1"/>
  <c r="N2492" i="24" s="1"/>
  <c r="D373" i="1"/>
  <c r="B2492" i="24" s="1"/>
  <c r="G354" i="1"/>
  <c r="D354" i="1"/>
  <c r="B2240" i="24" s="1"/>
  <c r="E354" i="1"/>
  <c r="N2240" i="24" s="1"/>
  <c r="G363" i="1"/>
  <c r="D363" i="1"/>
  <c r="B2296" i="24" s="1"/>
  <c r="E363" i="1"/>
  <c r="N2296" i="24" s="1"/>
  <c r="D360" i="1"/>
  <c r="B2272" i="24" s="1"/>
  <c r="E360" i="1"/>
  <c r="N2272" i="24" s="1"/>
  <c r="G360" i="1"/>
  <c r="D361" i="1"/>
  <c r="B2280" i="24" s="1"/>
  <c r="E361" i="1"/>
  <c r="N2280" i="24" s="1"/>
  <c r="G361" i="1"/>
  <c r="D362" i="1"/>
  <c r="B2288" i="24" s="1"/>
  <c r="E362" i="1"/>
  <c r="N2288" i="24" s="1"/>
  <c r="G362" i="1"/>
  <c r="D359" i="1"/>
  <c r="B2264" i="24" s="1"/>
  <c r="E359" i="1"/>
  <c r="N2264" i="24" s="1"/>
  <c r="G359" i="1"/>
  <c r="G358" i="1"/>
  <c r="E358" i="1"/>
  <c r="N2255" i="24" s="1"/>
  <c r="D358" i="1"/>
  <c r="B2255" i="24" s="1"/>
  <c r="D353" i="1"/>
  <c r="B2234" i="24" s="1"/>
  <c r="E353" i="1"/>
  <c r="N2234" i="24" s="1"/>
  <c r="G353" i="1"/>
  <c r="D352" i="1"/>
  <c r="B2228" i="24" s="1"/>
  <c r="E352" i="1"/>
  <c r="N2228" i="24" s="1"/>
  <c r="G352" i="1"/>
  <c r="D350" i="1"/>
  <c r="B2215" i="24" s="1"/>
  <c r="E350" i="1"/>
  <c r="N2215" i="24" s="1"/>
  <c r="G350" i="1"/>
  <c r="D351" i="1"/>
  <c r="B2222" i="24" s="1"/>
  <c r="E351" i="1"/>
  <c r="N2222" i="24" s="1"/>
  <c r="G351" i="1"/>
  <c r="D349" i="1"/>
  <c r="B2208" i="24" s="1"/>
  <c r="E349" i="1"/>
  <c r="N2208" i="24" s="1"/>
  <c r="G349" i="1"/>
  <c r="D348" i="1"/>
  <c r="B2202" i="24" s="1"/>
  <c r="E348" i="1"/>
  <c r="N2202" i="24" s="1"/>
  <c r="G348" i="1"/>
  <c r="G346" i="1"/>
  <c r="G347" i="1"/>
  <c r="D346" i="1"/>
  <c r="B2189" i="24" s="1"/>
  <c r="E346" i="1"/>
  <c r="N2189" i="24" s="1"/>
  <c r="D347" i="1"/>
  <c r="B2195" i="24" s="1"/>
  <c r="E347" i="1"/>
  <c r="N2195" i="24" s="1"/>
  <c r="G345" i="1"/>
  <c r="E345" i="1"/>
  <c r="N2171" i="24" s="1"/>
  <c r="D345" i="1"/>
  <c r="B2171" i="24" s="1"/>
  <c r="G339" i="1"/>
  <c r="G340" i="1"/>
  <c r="G341" i="1"/>
  <c r="D339" i="1"/>
  <c r="B2141" i="24" s="1"/>
  <c r="E339" i="1"/>
  <c r="N2141" i="24" s="1"/>
  <c r="D340" i="1"/>
  <c r="B2153" i="24" s="1"/>
  <c r="E340" i="1"/>
  <c r="N2153" i="24" s="1"/>
  <c r="D341" i="1"/>
  <c r="B2160" i="24" s="1"/>
  <c r="E341" i="1"/>
  <c r="N2160" i="24" s="1"/>
  <c r="G338" i="1"/>
  <c r="E338" i="1"/>
  <c r="N2134" i="24" s="1"/>
  <c r="D338" i="1"/>
  <c r="B2134" i="24" s="1"/>
  <c r="G337" i="1"/>
  <c r="E337" i="1"/>
  <c r="N2128" i="24" s="1"/>
  <c r="D337" i="1"/>
  <c r="B2128" i="24" s="1"/>
  <c r="G336" i="1"/>
  <c r="E336" i="1"/>
  <c r="N2121" i="24" s="1"/>
  <c r="D336" i="1"/>
  <c r="B2121" i="24" s="1"/>
  <c r="G335" i="1"/>
  <c r="E335" i="1"/>
  <c r="N2112" i="24" s="1"/>
  <c r="D335" i="1"/>
  <c r="B2112" i="24" s="1"/>
  <c r="G334" i="1"/>
  <c r="E334" i="1"/>
  <c r="N2103" i="24" s="1"/>
  <c r="D334" i="1"/>
  <c r="B2103" i="24" s="1"/>
  <c r="C245" i="1"/>
  <c r="C244" i="1"/>
  <c r="C219" i="1"/>
  <c r="N659" i="24"/>
  <c r="B659" i="24"/>
  <c r="N705" i="24"/>
  <c r="B705" i="24"/>
  <c r="N760" i="24"/>
  <c r="B760" i="24"/>
  <c r="E219" i="1"/>
  <c r="N1301" i="24" s="1"/>
  <c r="D219" i="1"/>
  <c r="B1301" i="24" s="1"/>
  <c r="E245" i="1"/>
  <c r="N1386" i="24" s="1"/>
  <c r="D245" i="1"/>
  <c r="B1386" i="24" s="1"/>
  <c r="E244" i="1"/>
  <c r="N1380" i="24" s="1"/>
  <c r="D244" i="1"/>
  <c r="B1380" i="24" s="1"/>
  <c r="G317" i="1"/>
  <c r="D317" i="1"/>
  <c r="B2025" i="24" s="1"/>
  <c r="E317" i="1"/>
  <c r="N2025" i="24" s="1"/>
  <c r="G329" i="1"/>
  <c r="E329" i="1"/>
  <c r="N2083" i="24" s="1"/>
  <c r="D329" i="1"/>
  <c r="B2083" i="24" s="1"/>
  <c r="E325" i="1"/>
  <c r="N2066" i="24" s="1"/>
  <c r="D325" i="1"/>
  <c r="B2066" i="24" s="1"/>
  <c r="C325" i="1"/>
  <c r="A38" i="21"/>
  <c r="B13" i="21"/>
  <c r="B14" i="21"/>
  <c r="B16" i="21"/>
  <c r="B17" i="21"/>
  <c r="A4" i="21"/>
  <c r="A5" i="21"/>
  <c r="A6" i="21"/>
  <c r="A7" i="21"/>
  <c r="A8" i="21"/>
  <c r="A9" i="21"/>
  <c r="A11" i="21"/>
  <c r="A12" i="21"/>
  <c r="A15" i="21"/>
  <c r="A2" i="21"/>
  <c r="G30" i="21"/>
  <c r="G31" i="21" s="1"/>
  <c r="G27" i="21"/>
  <c r="G26" i="21"/>
  <c r="G23" i="21"/>
  <c r="G22" i="21"/>
  <c r="G324" i="1"/>
  <c r="D324" i="1"/>
  <c r="B2058" i="24" s="1"/>
  <c r="E324" i="1"/>
  <c r="N2058" i="24" s="1"/>
  <c r="G323" i="1"/>
  <c r="D323" i="1"/>
  <c r="B2052" i="24" s="1"/>
  <c r="E323" i="1"/>
  <c r="N2052" i="24" s="1"/>
  <c r="G326" i="1"/>
  <c r="E326" i="1"/>
  <c r="N2072" i="24" s="1"/>
  <c r="D326" i="1"/>
  <c r="B2072" i="24" s="1"/>
  <c r="G319" i="1"/>
  <c r="D319" i="1"/>
  <c r="B2039" i="24" s="1"/>
  <c r="E319" i="1"/>
  <c r="N2039" i="24" s="1"/>
  <c r="G322" i="1"/>
  <c r="E322" i="1"/>
  <c r="N2046" i="24" s="1"/>
  <c r="D322" i="1"/>
  <c r="B2046" i="24" s="1"/>
  <c r="G318" i="1"/>
  <c r="E318" i="1"/>
  <c r="N2031" i="24" s="1"/>
  <c r="D318" i="1"/>
  <c r="B2031" i="24" s="1"/>
  <c r="G316" i="1"/>
  <c r="E316" i="1"/>
  <c r="N2017" i="24" s="1"/>
  <c r="D316" i="1"/>
  <c r="B2017" i="24" s="1"/>
  <c r="G24" i="21" l="1"/>
  <c r="G28" i="21"/>
  <c r="G33" i="21" l="1"/>
  <c r="G36" i="21" s="1"/>
  <c r="G325" i="1" s="1"/>
  <c r="E315" i="1"/>
  <c r="N2011" i="24" s="1"/>
  <c r="D315" i="1"/>
  <c r="B2011" i="24" s="1"/>
  <c r="C315" i="1"/>
  <c r="E314" i="1"/>
  <c r="N2005" i="24" s="1"/>
  <c r="D314" i="1"/>
  <c r="B2005" i="24" s="1"/>
  <c r="C314" i="1"/>
  <c r="E313" i="1"/>
  <c r="N1999" i="24" s="1"/>
  <c r="D313" i="1"/>
  <c r="B1999" i="24" s="1"/>
  <c r="C313" i="1"/>
  <c r="E312" i="1"/>
  <c r="N1993" i="24" s="1"/>
  <c r="D312" i="1"/>
  <c r="B1993" i="24" s="1"/>
  <c r="C312" i="1"/>
  <c r="E311" i="1"/>
  <c r="N1987" i="24" s="1"/>
  <c r="D311" i="1"/>
  <c r="B1987" i="24" s="1"/>
  <c r="C311" i="1"/>
  <c r="E28" i="20"/>
  <c r="E29" i="20"/>
  <c r="E30" i="20"/>
  <c r="E31" i="20"/>
  <c r="E25" i="20"/>
  <c r="E24" i="20"/>
  <c r="E23" i="20"/>
  <c r="E22" i="20"/>
  <c r="A41" i="20"/>
  <c r="F33" i="20"/>
  <c r="E33" i="20"/>
  <c r="D33" i="20"/>
  <c r="C33" i="20"/>
  <c r="F32" i="20"/>
  <c r="E32" i="20"/>
  <c r="D32" i="20"/>
  <c r="C32" i="20"/>
  <c r="F31" i="20"/>
  <c r="G31" i="20" s="1"/>
  <c r="D31" i="20"/>
  <c r="C31" i="20"/>
  <c r="F30" i="20"/>
  <c r="D30" i="20"/>
  <c r="C30" i="20"/>
  <c r="F29" i="20"/>
  <c r="D29" i="20"/>
  <c r="C29" i="20"/>
  <c r="F28" i="20"/>
  <c r="D28" i="20"/>
  <c r="C28" i="20"/>
  <c r="F25" i="20"/>
  <c r="D25" i="20"/>
  <c r="C25" i="20"/>
  <c r="F24" i="20"/>
  <c r="D24" i="20"/>
  <c r="C24" i="20"/>
  <c r="F23" i="20"/>
  <c r="D23" i="20"/>
  <c r="C23" i="20"/>
  <c r="F22" i="20"/>
  <c r="D22" i="20"/>
  <c r="C22" i="20"/>
  <c r="B17" i="20"/>
  <c r="B16" i="20"/>
  <c r="A15" i="20"/>
  <c r="B14" i="20"/>
  <c r="B13" i="20"/>
  <c r="A12" i="20"/>
  <c r="A11" i="20"/>
  <c r="A9" i="20"/>
  <c r="A8" i="20"/>
  <c r="A7" i="20"/>
  <c r="A6" i="20"/>
  <c r="A5" i="20"/>
  <c r="A4" i="20"/>
  <c r="A2" i="20"/>
  <c r="E28" i="19"/>
  <c r="E29" i="19"/>
  <c r="E30" i="19"/>
  <c r="E31" i="19"/>
  <c r="E33" i="19"/>
  <c r="E32" i="19"/>
  <c r="E25" i="19"/>
  <c r="E24" i="19"/>
  <c r="E23" i="19"/>
  <c r="E22" i="19"/>
  <c r="A44" i="19"/>
  <c r="F36" i="19"/>
  <c r="E36" i="19"/>
  <c r="D36" i="19"/>
  <c r="C36" i="19"/>
  <c r="F35" i="19"/>
  <c r="E35" i="19"/>
  <c r="D35" i="19"/>
  <c r="C35" i="19"/>
  <c r="F34" i="19"/>
  <c r="E34" i="19"/>
  <c r="D34" i="19"/>
  <c r="C34" i="19"/>
  <c r="F33" i="19"/>
  <c r="D33" i="19"/>
  <c r="C33" i="19"/>
  <c r="F32" i="19"/>
  <c r="D32" i="19"/>
  <c r="C32" i="19"/>
  <c r="F31" i="19"/>
  <c r="D31" i="19"/>
  <c r="C31" i="19"/>
  <c r="F30" i="19"/>
  <c r="D30" i="19"/>
  <c r="C30" i="19"/>
  <c r="F29" i="19"/>
  <c r="D29" i="19"/>
  <c r="C29" i="19"/>
  <c r="F28" i="19"/>
  <c r="D28" i="19"/>
  <c r="C28" i="19"/>
  <c r="F25" i="19"/>
  <c r="D25" i="19"/>
  <c r="C25" i="19"/>
  <c r="F24" i="19"/>
  <c r="D24" i="19"/>
  <c r="C24" i="19"/>
  <c r="F23" i="19"/>
  <c r="D23" i="19"/>
  <c r="C23" i="19"/>
  <c r="F22" i="19"/>
  <c r="D22" i="19"/>
  <c r="C22" i="19"/>
  <c r="B17" i="19"/>
  <c r="B16" i="19"/>
  <c r="A15" i="19"/>
  <c r="B14" i="19"/>
  <c r="B13" i="19"/>
  <c r="A12" i="19"/>
  <c r="A11" i="19"/>
  <c r="A9" i="19"/>
  <c r="A8" i="19"/>
  <c r="A7" i="19"/>
  <c r="A6" i="19"/>
  <c r="A5" i="19"/>
  <c r="A4" i="19"/>
  <c r="A2" i="19"/>
  <c r="E28" i="17"/>
  <c r="E25" i="17"/>
  <c r="E24" i="17"/>
  <c r="E23" i="17"/>
  <c r="E22" i="17"/>
  <c r="E23" i="16"/>
  <c r="E22" i="16"/>
  <c r="E29" i="17"/>
  <c r="E30" i="17"/>
  <c r="E31" i="17"/>
  <c r="E34" i="17"/>
  <c r="E32" i="17"/>
  <c r="E33" i="17"/>
  <c r="F33" i="17"/>
  <c r="F34" i="17"/>
  <c r="D33" i="17"/>
  <c r="D34" i="17"/>
  <c r="C31" i="17"/>
  <c r="C32" i="17"/>
  <c r="C33" i="17"/>
  <c r="C34" i="17"/>
  <c r="A42" i="17"/>
  <c r="F32" i="17"/>
  <c r="D32" i="17"/>
  <c r="F31" i="17"/>
  <c r="D31" i="17"/>
  <c r="F30" i="17"/>
  <c r="D30" i="17"/>
  <c r="C30" i="17"/>
  <c r="F29" i="17"/>
  <c r="D29" i="17"/>
  <c r="C29" i="17"/>
  <c r="F28" i="17"/>
  <c r="D28" i="17"/>
  <c r="C28" i="17"/>
  <c r="F25" i="17"/>
  <c r="D25" i="17"/>
  <c r="C25" i="17"/>
  <c r="F24" i="17"/>
  <c r="D24" i="17"/>
  <c r="C24" i="17"/>
  <c r="F23" i="17"/>
  <c r="D23" i="17"/>
  <c r="C23" i="17"/>
  <c r="F22" i="17"/>
  <c r="D22" i="17"/>
  <c r="C22" i="17"/>
  <c r="B17" i="17"/>
  <c r="B16" i="17"/>
  <c r="A15" i="17"/>
  <c r="B14" i="17"/>
  <c r="B13" i="17"/>
  <c r="A12" i="17"/>
  <c r="A11" i="17"/>
  <c r="A9" i="17"/>
  <c r="A8" i="17"/>
  <c r="A7" i="17"/>
  <c r="A6" i="17"/>
  <c r="A5" i="17"/>
  <c r="A4" i="17"/>
  <c r="A2" i="17"/>
  <c r="E29" i="16"/>
  <c r="E31" i="16"/>
  <c r="E30" i="16"/>
  <c r="E28" i="16"/>
  <c r="E25" i="16"/>
  <c r="E24" i="16"/>
  <c r="A41" i="16"/>
  <c r="F33" i="16"/>
  <c r="E33" i="16"/>
  <c r="D33" i="16"/>
  <c r="C33" i="16"/>
  <c r="F32" i="16"/>
  <c r="E32" i="16"/>
  <c r="D32" i="16"/>
  <c r="C32" i="16"/>
  <c r="F31" i="16"/>
  <c r="D31" i="16"/>
  <c r="C31" i="16"/>
  <c r="F30" i="16"/>
  <c r="G30" i="16" s="1"/>
  <c r="D30" i="16"/>
  <c r="C30" i="16"/>
  <c r="F29" i="16"/>
  <c r="D29" i="16"/>
  <c r="C29" i="16"/>
  <c r="F28" i="16"/>
  <c r="D28" i="16"/>
  <c r="C28" i="16"/>
  <c r="F25" i="16"/>
  <c r="D25" i="16"/>
  <c r="C25" i="16"/>
  <c r="F24" i="16"/>
  <c r="D24" i="16"/>
  <c r="C24" i="16"/>
  <c r="F23" i="16"/>
  <c r="D23" i="16"/>
  <c r="C23" i="16"/>
  <c r="F22" i="16"/>
  <c r="D22" i="16"/>
  <c r="C22" i="16"/>
  <c r="B17" i="16"/>
  <c r="B16" i="16"/>
  <c r="A15" i="16"/>
  <c r="B14" i="16"/>
  <c r="B13" i="16"/>
  <c r="A12" i="16"/>
  <c r="A11" i="16"/>
  <c r="A9" i="16"/>
  <c r="A8" i="16"/>
  <c r="A7" i="16"/>
  <c r="A6" i="16"/>
  <c r="A5" i="16"/>
  <c r="A4" i="16"/>
  <c r="A2" i="16"/>
  <c r="A44" i="15"/>
  <c r="B16" i="15"/>
  <c r="B17" i="15"/>
  <c r="B13" i="15"/>
  <c r="B14" i="15"/>
  <c r="A4" i="15"/>
  <c r="A5" i="15"/>
  <c r="A6" i="15"/>
  <c r="A7" i="15"/>
  <c r="A8" i="15"/>
  <c r="A9" i="15"/>
  <c r="A11" i="15"/>
  <c r="A12" i="15"/>
  <c r="A15" i="15"/>
  <c r="A2" i="15"/>
  <c r="F29" i="15"/>
  <c r="F30" i="15"/>
  <c r="F31" i="15"/>
  <c r="F32" i="15"/>
  <c r="F33" i="15"/>
  <c r="F34" i="15"/>
  <c r="F35" i="15"/>
  <c r="F36" i="15"/>
  <c r="F28" i="15"/>
  <c r="D29" i="15"/>
  <c r="D30" i="15"/>
  <c r="D31" i="15"/>
  <c r="D32" i="15"/>
  <c r="D33" i="15"/>
  <c r="D34" i="15"/>
  <c r="D35" i="15"/>
  <c r="D36" i="15"/>
  <c r="C29" i="15"/>
  <c r="C30" i="15"/>
  <c r="C31" i="15"/>
  <c r="C32" i="15"/>
  <c r="C33" i="15"/>
  <c r="C34" i="15"/>
  <c r="C35" i="15"/>
  <c r="C36" i="15"/>
  <c r="D28" i="15"/>
  <c r="C28" i="15"/>
  <c r="F23" i="15"/>
  <c r="F24" i="15"/>
  <c r="F25" i="15"/>
  <c r="D23" i="15"/>
  <c r="D24" i="15"/>
  <c r="D25" i="15"/>
  <c r="C23" i="15"/>
  <c r="C24" i="15"/>
  <c r="C25" i="15"/>
  <c r="F22" i="15"/>
  <c r="D22" i="15"/>
  <c r="C22" i="15"/>
  <c r="E36" i="15"/>
  <c r="E35" i="15"/>
  <c r="E34" i="15"/>
  <c r="E28" i="15"/>
  <c r="E25" i="15"/>
  <c r="E24" i="15"/>
  <c r="E31" i="15"/>
  <c r="E30" i="15"/>
  <c r="E29" i="15"/>
  <c r="E32" i="15"/>
  <c r="E33" i="15"/>
  <c r="E23" i="15"/>
  <c r="E22" i="15"/>
  <c r="G29" i="16" l="1"/>
  <c r="G31" i="19"/>
  <c r="G30" i="19"/>
  <c r="G31" i="16"/>
  <c r="G28" i="19"/>
  <c r="G29" i="19"/>
  <c r="G28" i="20"/>
  <c r="G25" i="16"/>
  <c r="G34" i="19"/>
  <c r="G36" i="19"/>
  <c r="G32" i="19"/>
  <c r="G25" i="15"/>
  <c r="G24" i="17"/>
  <c r="G34" i="17"/>
  <c r="G28" i="16"/>
  <c r="G33" i="19"/>
  <c r="G35" i="19"/>
  <c r="G22" i="20"/>
  <c r="G22" i="19"/>
  <c r="G23" i="19"/>
  <c r="G29" i="20"/>
  <c r="G30" i="20"/>
  <c r="G33" i="20"/>
  <c r="G32" i="20"/>
  <c r="G23" i="20"/>
  <c r="G24" i="20"/>
  <c r="G25" i="20"/>
  <c r="G24" i="19"/>
  <c r="G25" i="19"/>
  <c r="G33" i="15"/>
  <c r="G33" i="17"/>
  <c r="G22" i="17"/>
  <c r="G28" i="17"/>
  <c r="G30" i="17"/>
  <c r="G32" i="17"/>
  <c r="G23" i="17"/>
  <c r="G25" i="17"/>
  <c r="G29" i="17"/>
  <c r="G31" i="17"/>
  <c r="G22" i="16"/>
  <c r="G24" i="16"/>
  <c r="G32" i="16"/>
  <c r="G23" i="16"/>
  <c r="G33" i="16"/>
  <c r="G36" i="15"/>
  <c r="G35" i="15"/>
  <c r="G34" i="15"/>
  <c r="G32" i="15"/>
  <c r="G31" i="15"/>
  <c r="G30" i="15"/>
  <c r="G29" i="15"/>
  <c r="G24" i="15"/>
  <c r="G28" i="15"/>
  <c r="G23" i="15"/>
  <c r="G22" i="15"/>
  <c r="G37" i="19" l="1"/>
  <c r="G26" i="19"/>
  <c r="G34" i="20"/>
  <c r="G26" i="20"/>
  <c r="G26" i="16"/>
  <c r="G26" i="17"/>
  <c r="G37" i="15"/>
  <c r="G35" i="17"/>
  <c r="G34" i="16"/>
  <c r="G26" i="15"/>
  <c r="G39" i="19" l="1"/>
  <c r="G42" i="19" s="1"/>
  <c r="G314" i="1" s="1"/>
  <c r="G36" i="20"/>
  <c r="G39" i="20" s="1"/>
  <c r="G315" i="1" s="1"/>
  <c r="G39" i="15"/>
  <c r="G42" i="15" s="1"/>
  <c r="G311" i="1" s="1"/>
  <c r="G36" i="16"/>
  <c r="G39" i="16" s="1"/>
  <c r="G312" i="1" s="1"/>
  <c r="G37" i="17"/>
  <c r="G40" i="17" s="1"/>
  <c r="G313" i="1" s="1"/>
  <c r="G310" i="1"/>
  <c r="D310" i="1"/>
  <c r="B1981" i="24" s="1"/>
  <c r="E310" i="1"/>
  <c r="N1981" i="24" s="1"/>
  <c r="G309" i="1"/>
  <c r="E309" i="1"/>
  <c r="N1974" i="24" s="1"/>
  <c r="D309" i="1"/>
  <c r="B1974" i="24" s="1"/>
  <c r="G285" i="1"/>
  <c r="D285" i="1"/>
  <c r="B1637" i="24" s="1"/>
  <c r="E285" i="1"/>
  <c r="N1637" i="24" s="1"/>
  <c r="G305" i="1"/>
  <c r="E305" i="1"/>
  <c r="N1954" i="24" s="1"/>
  <c r="D305" i="1"/>
  <c r="B1954" i="24" s="1"/>
  <c r="G304" i="1"/>
  <c r="E304" i="1"/>
  <c r="N1926" i="24" s="1"/>
  <c r="D304" i="1"/>
  <c r="B1926" i="24" s="1"/>
  <c r="G303" i="1"/>
  <c r="E303" i="1"/>
  <c r="N1898" i="24" s="1"/>
  <c r="D303" i="1"/>
  <c r="B1898" i="24" s="1"/>
  <c r="G294" i="1"/>
  <c r="G295" i="1"/>
  <c r="G296" i="1"/>
  <c r="G297" i="1"/>
  <c r="G298" i="1"/>
  <c r="G299" i="1"/>
  <c r="G300" i="1"/>
  <c r="D294" i="1"/>
  <c r="B1751" i="24" s="1"/>
  <c r="E294" i="1"/>
  <c r="N1751" i="24" s="1"/>
  <c r="D295" i="1"/>
  <c r="B1785" i="24" s="1"/>
  <c r="E295" i="1"/>
  <c r="N1785" i="24" s="1"/>
  <c r="D296" i="1"/>
  <c r="B1815" i="24" s="1"/>
  <c r="E296" i="1"/>
  <c r="N1815" i="24" s="1"/>
  <c r="D297" i="1"/>
  <c r="B1845" i="24" s="1"/>
  <c r="E297" i="1"/>
  <c r="N1845" i="24" s="1"/>
  <c r="D298" i="1"/>
  <c r="B1853" i="24" s="1"/>
  <c r="E298" i="1"/>
  <c r="N1853" i="24" s="1"/>
  <c r="D299" i="1"/>
  <c r="B1861" i="24" s="1"/>
  <c r="E299" i="1"/>
  <c r="N1861" i="24" s="1"/>
  <c r="D300" i="1"/>
  <c r="B1867" i="24" s="1"/>
  <c r="E300" i="1"/>
  <c r="N1867" i="24" s="1"/>
  <c r="G293" i="1"/>
  <c r="E293" i="1"/>
  <c r="N1745" i="24" s="1"/>
  <c r="D293" i="1"/>
  <c r="B1745" i="24" s="1"/>
  <c r="G287" i="1"/>
  <c r="G288" i="1"/>
  <c r="G289" i="1"/>
  <c r="D287" i="1"/>
  <c r="B1650" i="24" s="1"/>
  <c r="E287" i="1"/>
  <c r="N1650" i="24" s="1"/>
  <c r="D288" i="1"/>
  <c r="B1670" i="24" s="1"/>
  <c r="E288" i="1"/>
  <c r="N1670" i="24" s="1"/>
  <c r="D289" i="1"/>
  <c r="B1696" i="24" s="1"/>
  <c r="E289" i="1"/>
  <c r="N1696" i="24" s="1"/>
  <c r="G283" i="1"/>
  <c r="G284" i="1"/>
  <c r="G286" i="1"/>
  <c r="D283" i="1"/>
  <c r="B1604" i="24" s="1"/>
  <c r="E283" i="1"/>
  <c r="N1604" i="24" s="1"/>
  <c r="D284" i="1"/>
  <c r="B1619" i="24" s="1"/>
  <c r="E284" i="1"/>
  <c r="N1619" i="24" s="1"/>
  <c r="D286" i="1"/>
  <c r="B1643" i="24" s="1"/>
  <c r="E286" i="1"/>
  <c r="N1643" i="24" s="1"/>
  <c r="G281" i="1"/>
  <c r="G282" i="1"/>
  <c r="D281" i="1"/>
  <c r="B1559" i="24" s="1"/>
  <c r="E281" i="1"/>
  <c r="N1559" i="24" s="1"/>
  <c r="D282" i="1"/>
  <c r="B1592" i="24" s="1"/>
  <c r="E282" i="1"/>
  <c r="N1592" i="24" s="1"/>
  <c r="G280" i="1"/>
  <c r="E280" i="1"/>
  <c r="N1530" i="24" s="1"/>
  <c r="D280" i="1"/>
  <c r="B1530" i="24" s="1"/>
  <c r="D274" i="1"/>
  <c r="B1495" i="24" s="1"/>
  <c r="D275" i="1"/>
  <c r="B1502" i="24" s="1"/>
  <c r="D276" i="1"/>
  <c r="B1509" i="24" s="1"/>
  <c r="D277" i="1"/>
  <c r="B1516" i="24" s="1"/>
  <c r="E274" i="1"/>
  <c r="N1495" i="24" s="1"/>
  <c r="E275" i="1"/>
  <c r="N1502" i="24" s="1"/>
  <c r="E276" i="1"/>
  <c r="N1509" i="24" s="1"/>
  <c r="E277" i="1"/>
  <c r="N1516" i="24" s="1"/>
  <c r="G274" i="1"/>
  <c r="G275" i="1"/>
  <c r="G276" i="1"/>
  <c r="G277" i="1"/>
  <c r="A35" i="14" l="1"/>
  <c r="F27" i="14"/>
  <c r="G27" i="14" s="1"/>
  <c r="G28" i="14" s="1"/>
  <c r="D27" i="14"/>
  <c r="C27" i="14"/>
  <c r="F24" i="14"/>
  <c r="G24" i="14" s="1"/>
  <c r="D24" i="14"/>
  <c r="C24" i="14"/>
  <c r="F23" i="14"/>
  <c r="G23" i="14" s="1"/>
  <c r="D23" i="14"/>
  <c r="C23" i="14"/>
  <c r="C17" i="14"/>
  <c r="C16" i="14"/>
  <c r="A15" i="14"/>
  <c r="C14" i="14"/>
  <c r="C13" i="14"/>
  <c r="A12" i="14"/>
  <c r="A11" i="14"/>
  <c r="A9" i="14"/>
  <c r="A8" i="14"/>
  <c r="A7" i="14"/>
  <c r="A6" i="14"/>
  <c r="A5" i="14"/>
  <c r="A4" i="14"/>
  <c r="A2" i="14"/>
  <c r="A35" i="13"/>
  <c r="F27" i="13"/>
  <c r="G27" i="13" s="1"/>
  <c r="G28" i="13" s="1"/>
  <c r="D27" i="13"/>
  <c r="C27" i="13"/>
  <c r="F24" i="13"/>
  <c r="G24" i="13" s="1"/>
  <c r="D24" i="13"/>
  <c r="C24" i="13"/>
  <c r="F23" i="13"/>
  <c r="G23" i="13" s="1"/>
  <c r="D23" i="13"/>
  <c r="C23" i="13"/>
  <c r="C17" i="13"/>
  <c r="C16" i="13"/>
  <c r="A15" i="13"/>
  <c r="C14" i="13"/>
  <c r="C13" i="13"/>
  <c r="A12" i="13"/>
  <c r="A11" i="13"/>
  <c r="A9" i="13"/>
  <c r="A8" i="13"/>
  <c r="A7" i="13"/>
  <c r="A6" i="13"/>
  <c r="A5" i="13"/>
  <c r="A4" i="13"/>
  <c r="A2" i="13"/>
  <c r="C28" i="12"/>
  <c r="D28" i="12"/>
  <c r="F28" i="12"/>
  <c r="G28" i="12" s="1"/>
  <c r="C29" i="12"/>
  <c r="D29" i="12"/>
  <c r="F29" i="12"/>
  <c r="G29" i="12" s="1"/>
  <c r="C30" i="12"/>
  <c r="D30" i="12"/>
  <c r="F30" i="12"/>
  <c r="G30" i="12" s="1"/>
  <c r="A38" i="12"/>
  <c r="F24" i="12"/>
  <c r="G24" i="12" s="1"/>
  <c r="D24" i="12"/>
  <c r="C24" i="12"/>
  <c r="F23" i="12"/>
  <c r="G23" i="12" s="1"/>
  <c r="D23" i="12"/>
  <c r="C23" i="12"/>
  <c r="C17" i="12"/>
  <c r="C16" i="12"/>
  <c r="A15" i="12"/>
  <c r="C14" i="12"/>
  <c r="C13" i="12"/>
  <c r="A12" i="12"/>
  <c r="A11" i="12"/>
  <c r="A9" i="12"/>
  <c r="A8" i="12"/>
  <c r="A7" i="12"/>
  <c r="A6" i="12"/>
  <c r="A5" i="12"/>
  <c r="A4" i="12"/>
  <c r="A2" i="12"/>
  <c r="G27" i="12" l="1"/>
  <c r="G31" i="12" s="1"/>
  <c r="G25" i="14"/>
  <c r="G30" i="14" s="1"/>
  <c r="G33" i="14" s="1"/>
  <c r="G245" i="1" s="1"/>
  <c r="G25" i="13"/>
  <c r="G30" i="13" s="1"/>
  <c r="G33" i="13" s="1"/>
  <c r="G244" i="1" s="1"/>
  <c r="G25" i="12"/>
  <c r="F23" i="8"/>
  <c r="F22" i="8"/>
  <c r="D23" i="8"/>
  <c r="D22" i="8"/>
  <c r="C23" i="8"/>
  <c r="C22" i="8"/>
  <c r="A34" i="8"/>
  <c r="G33" i="12" l="1"/>
  <c r="G36" i="12" s="1"/>
  <c r="G219" i="1" s="1"/>
  <c r="G26" i="8"/>
  <c r="G27" i="8" s="1"/>
  <c r="G23" i="8"/>
  <c r="G22" i="8"/>
  <c r="G24" i="8" l="1"/>
  <c r="G29" i="8" s="1"/>
  <c r="G32" i="8" s="1"/>
  <c r="C13" i="8"/>
  <c r="C14" i="8"/>
  <c r="C16" i="8"/>
  <c r="C17" i="8"/>
  <c r="A2" i="8"/>
  <c r="A4" i="8"/>
  <c r="A5" i="8"/>
  <c r="A6" i="8"/>
  <c r="A7" i="8"/>
  <c r="A8" i="8"/>
  <c r="A9" i="8"/>
  <c r="A11" i="8"/>
  <c r="A12" i="8"/>
  <c r="A15" i="8"/>
  <c r="G267" i="1"/>
  <c r="G266" i="1"/>
  <c r="G263" i="1"/>
  <c r="G262" i="1"/>
  <c r="G256" i="1"/>
  <c r="G259" i="1"/>
  <c r="G252" i="1"/>
  <c r="G251" i="1"/>
  <c r="G248" i="1"/>
  <c r="G243" i="1"/>
  <c r="G240" i="1"/>
  <c r="G236" i="1"/>
  <c r="G235" i="1"/>
  <c r="G231" i="1"/>
  <c r="G232" i="1"/>
  <c r="G230" i="1"/>
  <c r="G224" i="1"/>
  <c r="G223" i="1"/>
  <c r="G218" i="1"/>
  <c r="G211" i="1"/>
  <c r="G212" i="1"/>
  <c r="G213" i="1"/>
  <c r="G214" i="1"/>
  <c r="G215" i="1"/>
  <c r="G210" i="1"/>
  <c r="G202" i="1"/>
  <c r="G203" i="1"/>
  <c r="G204" i="1"/>
  <c r="G205" i="1"/>
  <c r="G206" i="1"/>
  <c r="G207" i="1"/>
  <c r="G201" i="1"/>
  <c r="G196" i="1"/>
  <c r="G197" i="1"/>
  <c r="G195" i="1"/>
  <c r="G192" i="1"/>
  <c r="G191" i="1"/>
  <c r="G188" i="1"/>
  <c r="G187" i="1"/>
  <c r="G186" i="1"/>
  <c r="G175" i="1"/>
  <c r="G176" i="1"/>
  <c r="G177" i="1"/>
  <c r="G178" i="1"/>
  <c r="G179" i="1"/>
  <c r="G180" i="1"/>
  <c r="G181" i="1"/>
  <c r="G182" i="1"/>
  <c r="G183" i="1"/>
  <c r="G174" i="1"/>
  <c r="G154" i="1"/>
  <c r="G155" i="1"/>
  <c r="G156" i="1"/>
  <c r="G157" i="1"/>
  <c r="G158" i="1"/>
  <c r="G159" i="1"/>
  <c r="G160" i="1"/>
  <c r="G161" i="1"/>
  <c r="G162" i="1"/>
  <c r="G163" i="1"/>
  <c r="G164" i="1"/>
  <c r="G165" i="1"/>
  <c r="G166" i="1"/>
  <c r="G167" i="1"/>
  <c r="G168" i="1"/>
  <c r="G169" i="1"/>
  <c r="G170" i="1"/>
  <c r="G171" i="1"/>
  <c r="G153" i="1"/>
  <c r="G149" i="1"/>
  <c r="G142" i="1"/>
  <c r="G143" i="1"/>
  <c r="G144" i="1"/>
  <c r="G145" i="1"/>
  <c r="G146" i="1"/>
  <c r="G141" i="1"/>
  <c r="E267" i="1"/>
  <c r="N1458" i="24" s="1"/>
  <c r="E266" i="1"/>
  <c r="N1452" i="24" s="1"/>
  <c r="E263" i="1"/>
  <c r="N1445" i="24" s="1"/>
  <c r="E262" i="1"/>
  <c r="N1439" i="24" s="1"/>
  <c r="E259" i="1"/>
  <c r="N1432" i="24" s="1"/>
  <c r="E256" i="1"/>
  <c r="N1414" i="24" s="1"/>
  <c r="E252" i="1"/>
  <c r="N1406" i="24" s="1"/>
  <c r="E251" i="1"/>
  <c r="N1400" i="24" s="1"/>
  <c r="E248" i="1"/>
  <c r="N1393" i="24" s="1"/>
  <c r="E243" i="1"/>
  <c r="N1374" i="24" s="1"/>
  <c r="E240" i="1"/>
  <c r="N1367" i="24" s="1"/>
  <c r="N1361" i="24"/>
  <c r="E236" i="1"/>
  <c r="N1354" i="24" s="1"/>
  <c r="E235" i="1"/>
  <c r="N1348" i="24" s="1"/>
  <c r="E231" i="1"/>
  <c r="N1335" i="24" s="1"/>
  <c r="E232" i="1"/>
  <c r="N1341" i="24" s="1"/>
  <c r="E230" i="1"/>
  <c r="N1329" i="24" s="1"/>
  <c r="E224" i="1"/>
  <c r="N1315" i="24" s="1"/>
  <c r="E223" i="1"/>
  <c r="N1309" i="24" s="1"/>
  <c r="E218" i="1"/>
  <c r="N1295" i="24" s="1"/>
  <c r="E211" i="1"/>
  <c r="N1264" i="24" s="1"/>
  <c r="E212" i="1"/>
  <c r="N1270" i="24" s="1"/>
  <c r="E213" i="1"/>
  <c r="N1276" i="24" s="1"/>
  <c r="E214" i="1"/>
  <c r="N1282" i="24" s="1"/>
  <c r="E215" i="1"/>
  <c r="N1288" i="24" s="1"/>
  <c r="E210" i="1"/>
  <c r="N1258" i="24" s="1"/>
  <c r="E202" i="1"/>
  <c r="N1221" i="24" s="1"/>
  <c r="E203" i="1"/>
  <c r="N1227" i="24" s="1"/>
  <c r="E204" i="1"/>
  <c r="N1233" i="24" s="1"/>
  <c r="E205" i="1"/>
  <c r="N1239" i="24" s="1"/>
  <c r="E206" i="1"/>
  <c r="N1245" i="24" s="1"/>
  <c r="E207" i="1"/>
  <c r="N1251" i="24" s="1"/>
  <c r="E201" i="1"/>
  <c r="N1215" i="24" s="1"/>
  <c r="E196" i="1"/>
  <c r="N1201" i="24" s="1"/>
  <c r="E197" i="1"/>
  <c r="N1207" i="24" s="1"/>
  <c r="E195" i="1"/>
  <c r="N1195" i="24" s="1"/>
  <c r="E192" i="1"/>
  <c r="N1188" i="24" s="1"/>
  <c r="E191" i="1"/>
  <c r="N1182" i="24" s="1"/>
  <c r="E187" i="1"/>
  <c r="N1169" i="24" s="1"/>
  <c r="E188" i="1"/>
  <c r="N1175" i="24" s="1"/>
  <c r="E186" i="1"/>
  <c r="N1163" i="24" s="1"/>
  <c r="E175" i="1"/>
  <c r="N1108" i="24" s="1"/>
  <c r="E176" i="1"/>
  <c r="N1114" i="24" s="1"/>
  <c r="E177" i="1"/>
  <c r="N1120" i="24" s="1"/>
  <c r="E178" i="1"/>
  <c r="N1126" i="24" s="1"/>
  <c r="E179" i="1"/>
  <c r="N1132" i="24" s="1"/>
  <c r="E180" i="1"/>
  <c r="N1138" i="24" s="1"/>
  <c r="E181" i="1"/>
  <c r="N1144" i="24" s="1"/>
  <c r="E182" i="1"/>
  <c r="N1150" i="24" s="1"/>
  <c r="E183" i="1"/>
  <c r="N1156" i="24" s="1"/>
  <c r="E174" i="1"/>
  <c r="N1102" i="24" s="1"/>
  <c r="E154" i="1"/>
  <c r="N993" i="24" s="1"/>
  <c r="E155" i="1"/>
  <c r="N999" i="24" s="1"/>
  <c r="E156" i="1"/>
  <c r="N1005" i="24" s="1"/>
  <c r="E157" i="1"/>
  <c r="N1011" i="24" s="1"/>
  <c r="E158" i="1"/>
  <c r="N1017" i="24" s="1"/>
  <c r="E159" i="1"/>
  <c r="N1023" i="24" s="1"/>
  <c r="E160" i="1"/>
  <c r="N1029" i="24" s="1"/>
  <c r="E161" i="1"/>
  <c r="N1035" i="24" s="1"/>
  <c r="E162" i="1"/>
  <c r="N1041" i="24" s="1"/>
  <c r="E163" i="1"/>
  <c r="N1047" i="24" s="1"/>
  <c r="E164" i="1"/>
  <c r="N1053" i="24" s="1"/>
  <c r="E165" i="1"/>
  <c r="N1059" i="24" s="1"/>
  <c r="E166" i="1"/>
  <c r="N1065" i="24" s="1"/>
  <c r="E167" i="1"/>
  <c r="N1071" i="24" s="1"/>
  <c r="E168" i="1"/>
  <c r="N1077" i="24" s="1"/>
  <c r="E169" i="1"/>
  <c r="N1083" i="24" s="1"/>
  <c r="E170" i="1"/>
  <c r="N1089" i="24" s="1"/>
  <c r="E171" i="1"/>
  <c r="N1095" i="24" s="1"/>
  <c r="E153" i="1"/>
  <c r="N987" i="24" s="1"/>
  <c r="E149" i="1"/>
  <c r="N979" i="24" s="1"/>
  <c r="E142" i="1"/>
  <c r="N948" i="24" s="1"/>
  <c r="E143" i="1"/>
  <c r="N954" i="24" s="1"/>
  <c r="E144" i="1"/>
  <c r="N960" i="24" s="1"/>
  <c r="E145" i="1"/>
  <c r="N966" i="24" s="1"/>
  <c r="E146" i="1"/>
  <c r="N972" i="24" s="1"/>
  <c r="E141" i="1"/>
  <c r="N942" i="24" s="1"/>
  <c r="D248" i="1"/>
  <c r="B1393" i="24" s="1"/>
  <c r="D267" i="1"/>
  <c r="B1458" i="24" s="1"/>
  <c r="D266" i="1"/>
  <c r="B1452" i="24" s="1"/>
  <c r="D263" i="1"/>
  <c r="B1445" i="24" s="1"/>
  <c r="D262" i="1"/>
  <c r="B1439" i="24" s="1"/>
  <c r="D259" i="1"/>
  <c r="B1432" i="24" s="1"/>
  <c r="D256" i="1"/>
  <c r="B1414" i="24" s="1"/>
  <c r="D252" i="1"/>
  <c r="B1406" i="24" s="1"/>
  <c r="D251" i="1"/>
  <c r="B1400" i="24" s="1"/>
  <c r="D243" i="1"/>
  <c r="B1374" i="24" s="1"/>
  <c r="D240" i="1"/>
  <c r="B1367" i="24" s="1"/>
  <c r="B1361" i="24"/>
  <c r="D236" i="1"/>
  <c r="B1354" i="24" s="1"/>
  <c r="D235" i="1"/>
  <c r="B1348" i="24" s="1"/>
  <c r="D232" i="1"/>
  <c r="B1341" i="24" s="1"/>
  <c r="D231" i="1"/>
  <c r="B1335" i="24" s="1"/>
  <c r="D230" i="1"/>
  <c r="B1329" i="24" s="1"/>
  <c r="D224" i="1"/>
  <c r="B1315" i="24" s="1"/>
  <c r="D223" i="1"/>
  <c r="B1309" i="24" s="1"/>
  <c r="D218" i="1"/>
  <c r="B1295" i="24" s="1"/>
  <c r="D211" i="1"/>
  <c r="B1264" i="24" s="1"/>
  <c r="D212" i="1"/>
  <c r="B1270" i="24" s="1"/>
  <c r="D213" i="1"/>
  <c r="B1276" i="24" s="1"/>
  <c r="D214" i="1"/>
  <c r="B1282" i="24" s="1"/>
  <c r="D215" i="1"/>
  <c r="B1288" i="24" s="1"/>
  <c r="D210" i="1"/>
  <c r="B1258" i="24" s="1"/>
  <c r="D202" i="1"/>
  <c r="B1221" i="24" s="1"/>
  <c r="D203" i="1"/>
  <c r="B1227" i="24" s="1"/>
  <c r="D204" i="1"/>
  <c r="B1233" i="24" s="1"/>
  <c r="D205" i="1"/>
  <c r="B1239" i="24" s="1"/>
  <c r="D206" i="1"/>
  <c r="B1245" i="24" s="1"/>
  <c r="D207" i="1"/>
  <c r="B1251" i="24" s="1"/>
  <c r="D201" i="1"/>
  <c r="B1215" i="24" s="1"/>
  <c r="D197" i="1"/>
  <c r="B1207" i="24" s="1"/>
  <c r="D196" i="1"/>
  <c r="B1201" i="24" s="1"/>
  <c r="D195" i="1"/>
  <c r="B1195" i="24" s="1"/>
  <c r="D192" i="1"/>
  <c r="B1188" i="24" s="1"/>
  <c r="D191" i="1"/>
  <c r="B1182" i="24" s="1"/>
  <c r="D188" i="1"/>
  <c r="B1175" i="24" s="1"/>
  <c r="D187" i="1"/>
  <c r="B1169" i="24" s="1"/>
  <c r="D186" i="1"/>
  <c r="B1163" i="24" s="1"/>
  <c r="D175" i="1"/>
  <c r="B1108" i="24" s="1"/>
  <c r="D176" i="1"/>
  <c r="B1114" i="24" s="1"/>
  <c r="D177" i="1"/>
  <c r="B1120" i="24" s="1"/>
  <c r="D178" i="1"/>
  <c r="B1126" i="24" s="1"/>
  <c r="D179" i="1"/>
  <c r="B1132" i="24" s="1"/>
  <c r="D180" i="1"/>
  <c r="B1138" i="24" s="1"/>
  <c r="D181" i="1"/>
  <c r="B1144" i="24" s="1"/>
  <c r="D182" i="1"/>
  <c r="B1150" i="24" s="1"/>
  <c r="D183" i="1"/>
  <c r="B1156" i="24" s="1"/>
  <c r="D174" i="1"/>
  <c r="B1102" i="24" s="1"/>
  <c r="D154" i="1"/>
  <c r="B993" i="24" s="1"/>
  <c r="D155" i="1"/>
  <c r="B999" i="24" s="1"/>
  <c r="D156" i="1"/>
  <c r="B1005" i="24" s="1"/>
  <c r="D157" i="1"/>
  <c r="B1011" i="24" s="1"/>
  <c r="D158" i="1"/>
  <c r="B1017" i="24" s="1"/>
  <c r="D159" i="1"/>
  <c r="B1023" i="24" s="1"/>
  <c r="D160" i="1"/>
  <c r="B1029" i="24" s="1"/>
  <c r="D161" i="1"/>
  <c r="B1035" i="24" s="1"/>
  <c r="D162" i="1"/>
  <c r="B1041" i="24" s="1"/>
  <c r="D163" i="1"/>
  <c r="B1047" i="24" s="1"/>
  <c r="D164" i="1"/>
  <c r="B1053" i="24" s="1"/>
  <c r="D165" i="1"/>
  <c r="B1059" i="24" s="1"/>
  <c r="D166" i="1"/>
  <c r="B1065" i="24" s="1"/>
  <c r="D167" i="1"/>
  <c r="B1071" i="24" s="1"/>
  <c r="D168" i="1"/>
  <c r="B1077" i="24" s="1"/>
  <c r="D169" i="1"/>
  <c r="B1083" i="24" s="1"/>
  <c r="D170" i="1"/>
  <c r="B1089" i="24" s="1"/>
  <c r="D171" i="1"/>
  <c r="B1095" i="24" s="1"/>
  <c r="D153" i="1"/>
  <c r="B987" i="24" s="1"/>
  <c r="D149" i="1"/>
  <c r="B979" i="24" s="1"/>
  <c r="D142" i="1"/>
  <c r="B948" i="24" s="1"/>
  <c r="D143" i="1"/>
  <c r="B954" i="24" s="1"/>
  <c r="D144" i="1"/>
  <c r="B960" i="24" s="1"/>
  <c r="D145" i="1"/>
  <c r="B966" i="24" s="1"/>
  <c r="D146" i="1"/>
  <c r="B972" i="24" s="1"/>
  <c r="D141" i="1"/>
  <c r="B942" i="24" s="1"/>
  <c r="G124" i="1"/>
  <c r="G125" i="1"/>
  <c r="G126" i="1"/>
  <c r="G127" i="1"/>
  <c r="G128" i="1"/>
  <c r="G129" i="1"/>
  <c r="G130" i="1"/>
  <c r="G131" i="1"/>
  <c r="G132" i="1"/>
  <c r="G133" i="1"/>
  <c r="G134" i="1"/>
  <c r="G135" i="1"/>
  <c r="G136" i="1"/>
  <c r="G137" i="1"/>
  <c r="G138" i="1"/>
  <c r="D124" i="1"/>
  <c r="B851" i="24" s="1"/>
  <c r="E124" i="1"/>
  <c r="N851" i="24" s="1"/>
  <c r="D125" i="1"/>
  <c r="B857" i="24" s="1"/>
  <c r="E125" i="1"/>
  <c r="N857" i="24" s="1"/>
  <c r="D126" i="1"/>
  <c r="B863" i="24" s="1"/>
  <c r="E126" i="1"/>
  <c r="N863" i="24" s="1"/>
  <c r="D127" i="1"/>
  <c r="B869" i="24" s="1"/>
  <c r="E127" i="1"/>
  <c r="N869" i="24" s="1"/>
  <c r="D128" i="1"/>
  <c r="B875" i="24" s="1"/>
  <c r="E128" i="1"/>
  <c r="N875" i="24" s="1"/>
  <c r="D129" i="1"/>
  <c r="B881" i="24" s="1"/>
  <c r="E129" i="1"/>
  <c r="N881" i="24" s="1"/>
  <c r="D130" i="1"/>
  <c r="B887" i="24" s="1"/>
  <c r="E130" i="1"/>
  <c r="N887" i="24" s="1"/>
  <c r="D131" i="1"/>
  <c r="B893" i="24" s="1"/>
  <c r="E131" i="1"/>
  <c r="N893" i="24" s="1"/>
  <c r="D132" i="1"/>
  <c r="B899" i="24" s="1"/>
  <c r="E132" i="1"/>
  <c r="N899" i="24" s="1"/>
  <c r="D133" i="1"/>
  <c r="B905" i="24" s="1"/>
  <c r="E133" i="1"/>
  <c r="N905" i="24" s="1"/>
  <c r="D134" i="1"/>
  <c r="B911" i="24" s="1"/>
  <c r="E134" i="1"/>
  <c r="N911" i="24" s="1"/>
  <c r="D135" i="1"/>
  <c r="B917" i="24" s="1"/>
  <c r="E135" i="1"/>
  <c r="N917" i="24" s="1"/>
  <c r="D136" i="1"/>
  <c r="B923" i="24" s="1"/>
  <c r="E136" i="1"/>
  <c r="N923" i="24" s="1"/>
  <c r="D137" i="1"/>
  <c r="B929" i="24" s="1"/>
  <c r="E137" i="1"/>
  <c r="N929" i="24" s="1"/>
  <c r="D138" i="1"/>
  <c r="B935" i="24" s="1"/>
  <c r="E138" i="1"/>
  <c r="N935" i="24" s="1"/>
  <c r="G123" i="1"/>
  <c r="E123" i="1"/>
  <c r="N845" i="24" s="1"/>
  <c r="D123" i="1"/>
  <c r="B845" i="24" s="1"/>
  <c r="G119" i="1"/>
  <c r="E119" i="1"/>
  <c r="N837" i="24" s="1"/>
  <c r="D119" i="1"/>
  <c r="B837" i="24" s="1"/>
  <c r="G118" i="1"/>
  <c r="E118" i="1"/>
  <c r="N831" i="24" s="1"/>
  <c r="D118" i="1"/>
  <c r="B831" i="24" s="1"/>
  <c r="G115" i="1"/>
  <c r="E115" i="1"/>
  <c r="N824" i="24" s="1"/>
  <c r="D115" i="1"/>
  <c r="B824" i="24" s="1"/>
  <c r="G112" i="1"/>
  <c r="E112" i="1"/>
  <c r="N817" i="24" s="1"/>
  <c r="D112" i="1"/>
  <c r="B817" i="24" s="1"/>
  <c r="N809" i="24"/>
  <c r="B809" i="24"/>
  <c r="N803" i="24"/>
  <c r="B803" i="24"/>
  <c r="N797" i="24"/>
  <c r="B797" i="24"/>
  <c r="N791" i="24"/>
  <c r="B791" i="24"/>
  <c r="N785" i="24"/>
  <c r="B785" i="24"/>
  <c r="N779" i="24"/>
  <c r="B779" i="24"/>
  <c r="N773" i="24"/>
  <c r="B773" i="24"/>
  <c r="N729" i="24"/>
  <c r="B729" i="24"/>
  <c r="N723" i="24"/>
  <c r="B723" i="24"/>
  <c r="N717" i="24"/>
  <c r="B717" i="24"/>
  <c r="N711" i="24"/>
  <c r="B711" i="24"/>
  <c r="B687" i="24"/>
  <c r="N687" i="24"/>
  <c r="B693" i="24"/>
  <c r="N693" i="24"/>
  <c r="N681" i="24"/>
  <c r="B681" i="24"/>
  <c r="N665" i="24"/>
  <c r="B665" i="24"/>
  <c r="N649" i="24"/>
  <c r="B649" i="24"/>
  <c r="N639" i="24"/>
  <c r="B639" i="24"/>
  <c r="N629" i="24"/>
  <c r="B629" i="24"/>
  <c r="N767" i="24"/>
  <c r="B767" i="24"/>
  <c r="B742" i="24"/>
  <c r="N742" i="24"/>
  <c r="B748" i="24"/>
  <c r="N748" i="24"/>
  <c r="B754" i="24"/>
  <c r="N754" i="24"/>
  <c r="N735" i="24"/>
  <c r="B735" i="24"/>
  <c r="B582" i="24"/>
  <c r="N582" i="24"/>
  <c r="B588" i="24"/>
  <c r="N588" i="24"/>
  <c r="B606" i="24"/>
  <c r="N606" i="24"/>
  <c r="B612" i="24"/>
  <c r="N612" i="24"/>
  <c r="B618" i="24"/>
  <c r="N618" i="24"/>
  <c r="N576" i="24"/>
  <c r="B576" i="24"/>
  <c r="G97" i="1" l="1"/>
  <c r="Q22" i="7"/>
  <c r="A39" i="6"/>
  <c r="B13" i="6"/>
  <c r="B14" i="6"/>
  <c r="B16" i="6"/>
  <c r="B17" i="6"/>
  <c r="A4" i="6"/>
  <c r="A5" i="6"/>
  <c r="A6" i="6"/>
  <c r="A7" i="6"/>
  <c r="A8" i="6"/>
  <c r="A9" i="6"/>
  <c r="A11" i="6"/>
  <c r="A12" i="6"/>
  <c r="A15" i="6"/>
  <c r="A2" i="6"/>
  <c r="C35" i="6"/>
  <c r="C37" i="6" s="1"/>
  <c r="C43" i="6" s="1"/>
  <c r="K3" i="1" s="1"/>
  <c r="H82" i="1" s="1"/>
  <c r="I82" i="1" s="1"/>
  <c r="H268" i="1" l="1"/>
  <c r="I268" i="1" s="1"/>
  <c r="H333" i="1"/>
  <c r="I333" i="1" s="1"/>
  <c r="H87" i="1"/>
  <c r="I87" i="1" s="1"/>
  <c r="H86" i="1"/>
  <c r="I86" i="1" s="1"/>
  <c r="H84" i="1"/>
  <c r="I84" i="1" s="1"/>
  <c r="H85" i="1"/>
  <c r="I85" i="1" s="1"/>
  <c r="H103" i="1"/>
  <c r="I103" i="1" s="1"/>
  <c r="H101" i="1"/>
  <c r="I101" i="1" s="1"/>
  <c r="H106" i="1"/>
  <c r="I106" i="1" s="1"/>
  <c r="H104" i="1"/>
  <c r="I104" i="1" s="1"/>
  <c r="H105" i="1"/>
  <c r="I105" i="1" s="1"/>
  <c r="H107" i="1"/>
  <c r="I107" i="1" s="1"/>
  <c r="H102" i="1"/>
  <c r="I102" i="1" s="1"/>
  <c r="H108" i="1"/>
  <c r="I108" i="1" s="1"/>
  <c r="H97" i="1"/>
  <c r="I97" i="1" s="1"/>
  <c r="H98" i="1"/>
  <c r="I98" i="1" s="1"/>
  <c r="H72" i="1"/>
  <c r="I72" i="1" s="1"/>
  <c r="H95" i="1"/>
  <c r="I95" i="1" s="1"/>
  <c r="H96" i="1"/>
  <c r="I96" i="1" s="1"/>
  <c r="H90" i="1"/>
  <c r="I90" i="1" s="1"/>
  <c r="H92" i="1"/>
  <c r="I92" i="1" s="1"/>
  <c r="H91" i="1"/>
  <c r="I91" i="1" s="1"/>
  <c r="H83" i="1"/>
  <c r="I83" i="1" s="1"/>
  <c r="H89" i="1"/>
  <c r="I89" i="1" s="1"/>
  <c r="H88" i="1"/>
  <c r="I88" i="1" s="1"/>
  <c r="H78" i="1"/>
  <c r="I78" i="1" s="1"/>
  <c r="H77" i="1"/>
  <c r="I77" i="1" s="1"/>
  <c r="H79" i="1"/>
  <c r="I79" i="1" s="1"/>
  <c r="H74" i="1"/>
  <c r="I74" i="1" s="1"/>
  <c r="H75" i="1"/>
  <c r="I75" i="1" s="1"/>
  <c r="H76" i="1"/>
  <c r="I76" i="1" s="1"/>
  <c r="H68" i="1"/>
  <c r="I68" i="1" s="1"/>
  <c r="H69" i="1"/>
  <c r="I69" i="1" s="1"/>
  <c r="H73" i="1"/>
  <c r="I73" i="1" s="1"/>
  <c r="H67" i="1"/>
  <c r="I67" i="1" s="1"/>
  <c r="H31" i="1"/>
  <c r="I31" i="1" s="1"/>
  <c r="H387" i="1"/>
  <c r="I387" i="1" s="1"/>
  <c r="H385" i="1"/>
  <c r="I385" i="1" s="1"/>
  <c r="H386" i="1"/>
  <c r="I386" i="1" s="1"/>
  <c r="H374" i="1"/>
  <c r="I374" i="1" s="1"/>
  <c r="H369" i="1"/>
  <c r="I369" i="1" s="1"/>
  <c r="H332" i="1"/>
  <c r="I332" i="1" s="1"/>
  <c r="H56" i="1"/>
  <c r="I56" i="1" s="1"/>
  <c r="H63" i="1"/>
  <c r="I63" i="1" s="1"/>
  <c r="H355" i="1"/>
  <c r="I355" i="1" s="1"/>
  <c r="H62" i="1"/>
  <c r="I62" i="1" s="1"/>
  <c r="H60" i="1"/>
  <c r="I60" i="1" s="1"/>
  <c r="H59" i="1"/>
  <c r="I59" i="1" s="1"/>
  <c r="H61" i="1"/>
  <c r="I61" i="1" s="1"/>
  <c r="H50" i="1"/>
  <c r="I50" i="1" s="1"/>
  <c r="H49" i="1"/>
  <c r="I49" i="1" s="1"/>
  <c r="H48" i="1"/>
  <c r="I48" i="1" s="1"/>
  <c r="H30" i="1"/>
  <c r="I30" i="1" s="1"/>
  <c r="H43" i="1"/>
  <c r="I43" i="1" s="1"/>
  <c r="H45" i="1"/>
  <c r="I45" i="1" s="1"/>
  <c r="H54" i="1"/>
  <c r="I54" i="1" s="1"/>
  <c r="H53" i="1"/>
  <c r="I53" i="1" s="1"/>
  <c r="H55" i="1"/>
  <c r="I55" i="1" s="1"/>
  <c r="H44" i="1"/>
  <c r="I44" i="1" s="1"/>
  <c r="H34" i="1"/>
  <c r="I34" i="1" s="1"/>
  <c r="H38" i="1"/>
  <c r="I38" i="1" s="1"/>
  <c r="H36" i="1"/>
  <c r="I36" i="1" s="1"/>
  <c r="H39" i="1"/>
  <c r="I39" i="1" s="1"/>
  <c r="H37" i="1"/>
  <c r="I37" i="1" s="1"/>
  <c r="H35" i="1"/>
  <c r="I35" i="1" s="1"/>
  <c r="H26" i="1"/>
  <c r="I26" i="1" s="1"/>
  <c r="H27" i="1"/>
  <c r="I27" i="1" s="1"/>
  <c r="H29" i="1"/>
  <c r="I29" i="1" s="1"/>
  <c r="H28" i="1"/>
  <c r="I28" i="1" s="1"/>
  <c r="H22" i="1"/>
  <c r="I22" i="1" s="1"/>
  <c r="H23" i="1"/>
  <c r="I23" i="1" s="1"/>
  <c r="H388" i="1"/>
  <c r="I388" i="1" s="1"/>
  <c r="H380" i="1"/>
  <c r="I380" i="1" s="1"/>
  <c r="H379" i="1"/>
  <c r="I379" i="1" s="1"/>
  <c r="H381" i="1"/>
  <c r="I381" i="1" s="1"/>
  <c r="H384" i="1"/>
  <c r="I384" i="1" s="1"/>
  <c r="H354" i="1"/>
  <c r="I354" i="1" s="1"/>
  <c r="H368" i="1"/>
  <c r="I368" i="1" s="1"/>
  <c r="H375" i="1"/>
  <c r="I375" i="1" s="1"/>
  <c r="H367" i="1"/>
  <c r="I367" i="1" s="1"/>
  <c r="H373" i="1"/>
  <c r="I373" i="1" s="1"/>
  <c r="H378" i="1"/>
  <c r="I378" i="1" s="1"/>
  <c r="H370" i="1"/>
  <c r="I370" i="1" s="1"/>
  <c r="H362" i="1"/>
  <c r="I362" i="1" s="1"/>
  <c r="H361" i="1"/>
  <c r="I361" i="1" s="1"/>
  <c r="H363" i="1"/>
  <c r="I363" i="1" s="1"/>
  <c r="H360" i="1"/>
  <c r="I360" i="1" s="1"/>
  <c r="H358" i="1"/>
  <c r="I358" i="1" s="1"/>
  <c r="H359" i="1"/>
  <c r="I359" i="1" s="1"/>
  <c r="H345" i="1"/>
  <c r="I345" i="1" s="1"/>
  <c r="H352" i="1"/>
  <c r="I352" i="1" s="1"/>
  <c r="H347" i="1"/>
  <c r="I347" i="1" s="1"/>
  <c r="H351" i="1"/>
  <c r="I351" i="1" s="1"/>
  <c r="H346" i="1"/>
  <c r="I346" i="1" s="1"/>
  <c r="H353" i="1"/>
  <c r="I353" i="1" s="1"/>
  <c r="H348" i="1"/>
  <c r="I348" i="1" s="1"/>
  <c r="H350" i="1"/>
  <c r="I350" i="1" s="1"/>
  <c r="H349" i="1"/>
  <c r="I349" i="1" s="1"/>
  <c r="H317" i="1"/>
  <c r="I317" i="1" s="1"/>
  <c r="H336" i="1"/>
  <c r="I336" i="1" s="1"/>
  <c r="H337" i="1"/>
  <c r="I337" i="1" s="1"/>
  <c r="H341" i="1"/>
  <c r="I341" i="1" s="1"/>
  <c r="H338" i="1"/>
  <c r="I338" i="1" s="1"/>
  <c r="H340" i="1"/>
  <c r="I340" i="1" s="1"/>
  <c r="H339" i="1"/>
  <c r="I339" i="1" s="1"/>
  <c r="H334" i="1"/>
  <c r="I334" i="1" s="1"/>
  <c r="H335" i="1"/>
  <c r="I335" i="1" s="1"/>
  <c r="H325" i="1"/>
  <c r="I325" i="1" s="1"/>
  <c r="H324" i="1"/>
  <c r="I324" i="1" s="1"/>
  <c r="H329" i="1"/>
  <c r="I329" i="1" s="1"/>
  <c r="I328" i="1" s="1"/>
  <c r="H319" i="1"/>
  <c r="I319" i="1" s="1"/>
  <c r="H326" i="1"/>
  <c r="I326" i="1" s="1"/>
  <c r="H323" i="1"/>
  <c r="I323" i="1" s="1"/>
  <c r="H316" i="1"/>
  <c r="I316" i="1" s="1"/>
  <c r="H318" i="1"/>
  <c r="I318" i="1" s="1"/>
  <c r="H322" i="1"/>
  <c r="I322" i="1" s="1"/>
  <c r="H313" i="1"/>
  <c r="I313" i="1" s="1"/>
  <c r="H312" i="1"/>
  <c r="I312" i="1" s="1"/>
  <c r="H311" i="1"/>
  <c r="I311" i="1" s="1"/>
  <c r="H314" i="1"/>
  <c r="I314" i="1" s="1"/>
  <c r="H315" i="1"/>
  <c r="I315" i="1" s="1"/>
  <c r="H285" i="1"/>
  <c r="I285" i="1" s="1"/>
  <c r="H310" i="1"/>
  <c r="I310" i="1" s="1"/>
  <c r="H309" i="1"/>
  <c r="I309" i="1" s="1"/>
  <c r="H300" i="1"/>
  <c r="I300" i="1" s="1"/>
  <c r="H295" i="1"/>
  <c r="I295" i="1" s="1"/>
  <c r="H293" i="1"/>
  <c r="I293" i="1" s="1"/>
  <c r="H294" i="1"/>
  <c r="I294" i="1" s="1"/>
  <c r="H299" i="1"/>
  <c r="I299" i="1" s="1"/>
  <c r="H305" i="1"/>
  <c r="I305" i="1" s="1"/>
  <c r="H303" i="1"/>
  <c r="I303" i="1" s="1"/>
  <c r="H298" i="1"/>
  <c r="I298" i="1" s="1"/>
  <c r="H304" i="1"/>
  <c r="I304" i="1" s="1"/>
  <c r="H297" i="1"/>
  <c r="I297" i="1" s="1"/>
  <c r="H296" i="1"/>
  <c r="I296" i="1" s="1"/>
  <c r="H289" i="1"/>
  <c r="I289" i="1" s="1"/>
  <c r="H288" i="1"/>
  <c r="I288" i="1" s="1"/>
  <c r="H287" i="1"/>
  <c r="I287" i="1" s="1"/>
  <c r="H274" i="1"/>
  <c r="I274" i="1" s="1"/>
  <c r="H276" i="1"/>
  <c r="I276" i="1" s="1"/>
  <c r="H284" i="1"/>
  <c r="I284" i="1" s="1"/>
  <c r="H275" i="1"/>
  <c r="I275" i="1" s="1"/>
  <c r="H283" i="1"/>
  <c r="I283" i="1" s="1"/>
  <c r="H277" i="1"/>
  <c r="I277" i="1" s="1"/>
  <c r="H282" i="1"/>
  <c r="I282" i="1" s="1"/>
  <c r="H281" i="1"/>
  <c r="I281" i="1" s="1"/>
  <c r="H286" i="1"/>
  <c r="I286" i="1" s="1"/>
  <c r="H280" i="1"/>
  <c r="I280" i="1" s="1"/>
  <c r="H161" i="1"/>
  <c r="I161" i="1" s="1"/>
  <c r="H159" i="1"/>
  <c r="I159" i="1" s="1"/>
  <c r="H187" i="1"/>
  <c r="I187" i="1" s="1"/>
  <c r="H230" i="1"/>
  <c r="I230" i="1" s="1"/>
  <c r="H168" i="1"/>
  <c r="I168" i="1" s="1"/>
  <c r="H143" i="1"/>
  <c r="I143" i="1" s="1"/>
  <c r="H144" i="1"/>
  <c r="I144" i="1" s="1"/>
  <c r="H145" i="1"/>
  <c r="I145" i="1" s="1"/>
  <c r="H170" i="1"/>
  <c r="I170" i="1" s="1"/>
  <c r="H215" i="1"/>
  <c r="I215" i="1" s="1"/>
  <c r="H142" i="1"/>
  <c r="I142" i="1" s="1"/>
  <c r="H256" i="1"/>
  <c r="I256" i="1" s="1"/>
  <c r="H252" i="1"/>
  <c r="I252" i="1" s="1"/>
  <c r="H171" i="1"/>
  <c r="I171" i="1" s="1"/>
  <c r="H183" i="1"/>
  <c r="I183" i="1" s="1"/>
  <c r="H201" i="1"/>
  <c r="I201" i="1" s="1"/>
  <c r="H243" i="1"/>
  <c r="I243" i="1" s="1"/>
  <c r="H263" i="1"/>
  <c r="I263" i="1" s="1"/>
  <c r="H239" i="1"/>
  <c r="I239" i="1" s="1"/>
  <c r="H236" i="1"/>
  <c r="I236" i="1" s="1"/>
  <c r="H235" i="1"/>
  <c r="I235" i="1" s="1"/>
  <c r="H169" i="1"/>
  <c r="I169" i="1" s="1"/>
  <c r="H165" i="1"/>
  <c r="I165" i="1" s="1"/>
  <c r="H266" i="1"/>
  <c r="I266" i="1" s="1"/>
  <c r="H262" i="1"/>
  <c r="I262" i="1" s="1"/>
  <c r="H146" i="1"/>
  <c r="I146" i="1" s="1"/>
  <c r="H231" i="1"/>
  <c r="I231" i="1" s="1"/>
  <c r="H141" i="1"/>
  <c r="I141" i="1" s="1"/>
  <c r="H160" i="1"/>
  <c r="I160" i="1" s="1"/>
  <c r="H186" i="1"/>
  <c r="I186" i="1" s="1"/>
  <c r="H224" i="1"/>
  <c r="I224" i="1" s="1"/>
  <c r="H240" i="1"/>
  <c r="I240" i="1" s="1"/>
  <c r="H218" i="1"/>
  <c r="I218" i="1" s="1"/>
  <c r="H211" i="1"/>
  <c r="I211" i="1" s="1"/>
  <c r="H212" i="1"/>
  <c r="I212" i="1" s="1"/>
  <c r="H176" i="1"/>
  <c r="I176" i="1" s="1"/>
  <c r="H213" i="1"/>
  <c r="I213" i="1" s="1"/>
  <c r="H251" i="1"/>
  <c r="I251" i="1" s="1"/>
  <c r="H166" i="1"/>
  <c r="I166" i="1" s="1"/>
  <c r="H180" i="1"/>
  <c r="I180" i="1" s="1"/>
  <c r="H210" i="1"/>
  <c r="I210" i="1" s="1"/>
  <c r="H223" i="1"/>
  <c r="I223" i="1" s="1"/>
  <c r="H203" i="1"/>
  <c r="I203" i="1" s="1"/>
  <c r="H204" i="1"/>
  <c r="I204" i="1" s="1"/>
  <c r="H205" i="1"/>
  <c r="I205" i="1" s="1"/>
  <c r="H269" i="1"/>
  <c r="I269" i="1" s="1"/>
  <c r="H258" i="1"/>
  <c r="I258" i="1" s="1"/>
  <c r="H257" i="1"/>
  <c r="I257" i="1" s="1"/>
  <c r="H227" i="1"/>
  <c r="I227" i="1" s="1"/>
  <c r="I226" i="1" s="1"/>
  <c r="H244" i="1"/>
  <c r="I244" i="1" s="1"/>
  <c r="H245" i="1"/>
  <c r="I245" i="1" s="1"/>
  <c r="H219" i="1"/>
  <c r="I219" i="1" s="1"/>
  <c r="H259" i="1"/>
  <c r="I259" i="1" s="1"/>
  <c r="H206" i="1"/>
  <c r="I206" i="1" s="1"/>
  <c r="H232" i="1"/>
  <c r="I232" i="1" s="1"/>
  <c r="H153" i="1"/>
  <c r="I153" i="1" s="1"/>
  <c r="H174" i="1"/>
  <c r="I174" i="1" s="1"/>
  <c r="H196" i="1"/>
  <c r="I196" i="1" s="1"/>
  <c r="H202" i="1"/>
  <c r="I202" i="1" s="1"/>
  <c r="H195" i="1"/>
  <c r="I195" i="1" s="1"/>
  <c r="H192" i="1"/>
  <c r="I192" i="1" s="1"/>
  <c r="H191" i="1"/>
  <c r="I191" i="1" s="1"/>
  <c r="H177" i="1"/>
  <c r="I177" i="1" s="1"/>
  <c r="H179" i="1"/>
  <c r="I179" i="1" s="1"/>
  <c r="H188" i="1"/>
  <c r="I188" i="1" s="1"/>
  <c r="H214" i="1"/>
  <c r="I214" i="1" s="1"/>
  <c r="H267" i="1"/>
  <c r="I267" i="1" s="1"/>
  <c r="H167" i="1"/>
  <c r="I167" i="1" s="1"/>
  <c r="H175" i="1"/>
  <c r="I175" i="1" s="1"/>
  <c r="H197" i="1"/>
  <c r="I197" i="1" s="1"/>
  <c r="H156" i="1"/>
  <c r="I156" i="1" s="1"/>
  <c r="H157" i="1"/>
  <c r="I157" i="1" s="1"/>
  <c r="H158" i="1"/>
  <c r="I158" i="1" s="1"/>
  <c r="H181" i="1"/>
  <c r="I181" i="1" s="1"/>
  <c r="H178" i="1"/>
  <c r="I178" i="1" s="1"/>
  <c r="H207" i="1"/>
  <c r="I207" i="1" s="1"/>
  <c r="H248" i="1"/>
  <c r="I248" i="1" s="1"/>
  <c r="I247" i="1" s="1"/>
  <c r="H149" i="1"/>
  <c r="I149" i="1" s="1"/>
  <c r="I148" i="1" s="1"/>
  <c r="H154" i="1"/>
  <c r="I154" i="1" s="1"/>
  <c r="H155" i="1"/>
  <c r="I155" i="1" s="1"/>
  <c r="H162" i="1"/>
  <c r="I162" i="1" s="1"/>
  <c r="H163" i="1"/>
  <c r="I163" i="1" s="1"/>
  <c r="H164" i="1"/>
  <c r="I164" i="1" s="1"/>
  <c r="H182" i="1"/>
  <c r="I182" i="1" s="1"/>
  <c r="H124" i="1"/>
  <c r="I124" i="1" s="1"/>
  <c r="H136" i="1"/>
  <c r="I136" i="1" s="1"/>
  <c r="H115" i="1"/>
  <c r="I115" i="1" s="1"/>
  <c r="I114" i="1" s="1"/>
  <c r="H128" i="1"/>
  <c r="I128" i="1" s="1"/>
  <c r="H138" i="1"/>
  <c r="I138" i="1" s="1"/>
  <c r="H123" i="1"/>
  <c r="I123" i="1" s="1"/>
  <c r="H131" i="1"/>
  <c r="I131" i="1" s="1"/>
  <c r="H130" i="1"/>
  <c r="I130" i="1" s="1"/>
  <c r="H137" i="1"/>
  <c r="I137" i="1" s="1"/>
  <c r="H112" i="1"/>
  <c r="I112" i="1" s="1"/>
  <c r="I111" i="1" s="1"/>
  <c r="H129" i="1"/>
  <c r="I129" i="1" s="1"/>
  <c r="H118" i="1"/>
  <c r="I118" i="1" s="1"/>
  <c r="H134" i="1"/>
  <c r="I134" i="1" s="1"/>
  <c r="H133" i="1"/>
  <c r="I133" i="1" s="1"/>
  <c r="H127" i="1"/>
  <c r="I127" i="1" s="1"/>
  <c r="H135" i="1"/>
  <c r="I135" i="1" s="1"/>
  <c r="H126" i="1"/>
  <c r="I126" i="1" s="1"/>
  <c r="H125" i="1"/>
  <c r="I125" i="1" s="1"/>
  <c r="H119" i="1"/>
  <c r="I119" i="1" s="1"/>
  <c r="H132" i="1"/>
  <c r="I132" i="1" s="1"/>
  <c r="D273" i="1"/>
  <c r="B1478" i="24" s="1"/>
  <c r="G273" i="1"/>
  <c r="H273" i="1" s="1"/>
  <c r="I273" i="1" s="1"/>
  <c r="E273" i="1"/>
  <c r="N1478" i="24" s="1"/>
  <c r="I81" i="1" l="1"/>
  <c r="I94" i="1"/>
  <c r="I66" i="1"/>
  <c r="I100" i="1"/>
  <c r="I383" i="1"/>
  <c r="D40" i="7" s="1"/>
  <c r="I366" i="1"/>
  <c r="I25" i="1"/>
  <c r="D23" i="7" s="1"/>
  <c r="I58" i="1"/>
  <c r="I331" i="1"/>
  <c r="D37" i="7" s="1"/>
  <c r="I52" i="1"/>
  <c r="I47" i="1"/>
  <c r="I42" i="1"/>
  <c r="I33" i="1"/>
  <c r="D24" i="7" s="1"/>
  <c r="I234" i="1"/>
  <c r="I217" i="1"/>
  <c r="I261" i="1"/>
  <c r="I377" i="1"/>
  <c r="I272" i="1"/>
  <c r="I140" i="1"/>
  <c r="I372" i="1"/>
  <c r="I242" i="1"/>
  <c r="I117" i="1"/>
  <c r="I110" i="1" s="1"/>
  <c r="D28" i="7" s="1"/>
  <c r="I190" i="1"/>
  <c r="I194" i="1"/>
  <c r="I250" i="1"/>
  <c r="I185" i="1"/>
  <c r="I302" i="1"/>
  <c r="I344" i="1"/>
  <c r="I255" i="1"/>
  <c r="I173" i="1"/>
  <c r="I238" i="1"/>
  <c r="I229" i="1"/>
  <c r="I357" i="1"/>
  <c r="I152" i="1"/>
  <c r="I222" i="1"/>
  <c r="I292" i="1"/>
  <c r="I209" i="1"/>
  <c r="I122" i="1"/>
  <c r="I265" i="1"/>
  <c r="I200" i="1"/>
  <c r="I279" i="1"/>
  <c r="I308" i="1"/>
  <c r="I321" i="1"/>
  <c r="I21" i="1"/>
  <c r="D26" i="7" l="1"/>
  <c r="F26" i="7" s="1"/>
  <c r="J28" i="7"/>
  <c r="H28" i="7"/>
  <c r="L28" i="7"/>
  <c r="F28" i="7"/>
  <c r="P28" i="7"/>
  <c r="N28" i="7"/>
  <c r="P23" i="7"/>
  <c r="H23" i="7"/>
  <c r="J23" i="7"/>
  <c r="N23" i="7"/>
  <c r="F23" i="7"/>
  <c r="L23" i="7"/>
  <c r="N24" i="7"/>
  <c r="P24" i="7"/>
  <c r="H24" i="7"/>
  <c r="F24" i="7"/>
  <c r="L24" i="7"/>
  <c r="J24" i="7"/>
  <c r="N40" i="7"/>
  <c r="F40" i="7"/>
  <c r="P40" i="7"/>
  <c r="H40" i="7"/>
  <c r="L40" i="7"/>
  <c r="J40" i="7"/>
  <c r="N37" i="7"/>
  <c r="F37" i="7"/>
  <c r="H37" i="7"/>
  <c r="L37" i="7"/>
  <c r="P37" i="7"/>
  <c r="J37" i="7"/>
  <c r="I65" i="1"/>
  <c r="D27" i="7" s="1"/>
  <c r="I365" i="1"/>
  <c r="D39" i="7" s="1"/>
  <c r="D22" i="7"/>
  <c r="P22" i="7" s="1"/>
  <c r="I41" i="1"/>
  <c r="D25" i="7" s="1"/>
  <c r="J25" i="7" s="1"/>
  <c r="I121" i="1"/>
  <c r="D29" i="7" s="1"/>
  <c r="I271" i="1"/>
  <c r="D34" i="7" s="1"/>
  <c r="N34" i="7" s="1"/>
  <c r="I307" i="1"/>
  <c r="D36" i="7" s="1"/>
  <c r="I254" i="1"/>
  <c r="D33" i="7" s="1"/>
  <c r="I151" i="1"/>
  <c r="D30" i="7" s="1"/>
  <c r="I291" i="1"/>
  <c r="D35" i="7" s="1"/>
  <c r="I343" i="1"/>
  <c r="D38" i="7" s="1"/>
  <c r="I221" i="1"/>
  <c r="D32" i="7" s="1"/>
  <c r="I199" i="1"/>
  <c r="D31" i="7" s="1"/>
  <c r="L26" i="7" l="1"/>
  <c r="H26" i="7"/>
  <c r="N26" i="7"/>
  <c r="P26" i="7"/>
  <c r="J26" i="7"/>
  <c r="R24" i="7"/>
  <c r="R23" i="7"/>
  <c r="R40" i="7"/>
  <c r="R37" i="7"/>
  <c r="R28" i="7"/>
  <c r="P39" i="7"/>
  <c r="H39" i="7"/>
  <c r="N39" i="7"/>
  <c r="F39" i="7"/>
  <c r="J39" i="7"/>
  <c r="L39" i="7"/>
  <c r="P25" i="7"/>
  <c r="H25" i="7"/>
  <c r="N25" i="7"/>
  <c r="F25" i="7"/>
  <c r="L25" i="7"/>
  <c r="L35" i="7"/>
  <c r="N35" i="7"/>
  <c r="J35" i="7"/>
  <c r="F35" i="7"/>
  <c r="P35" i="7"/>
  <c r="H35" i="7"/>
  <c r="J33" i="7"/>
  <c r="P33" i="7"/>
  <c r="H33" i="7"/>
  <c r="L33" i="7"/>
  <c r="N33" i="7"/>
  <c r="F33" i="7"/>
  <c r="H38" i="7"/>
  <c r="N38" i="7"/>
  <c r="F38" i="7"/>
  <c r="L38" i="7"/>
  <c r="J38" i="7"/>
  <c r="P38" i="7"/>
  <c r="L36" i="7"/>
  <c r="J36" i="7"/>
  <c r="H36" i="7"/>
  <c r="P36" i="7"/>
  <c r="N36" i="7"/>
  <c r="F36" i="7"/>
  <c r="P32" i="7"/>
  <c r="H32" i="7"/>
  <c r="N32" i="7"/>
  <c r="F32" i="7"/>
  <c r="L32" i="7"/>
  <c r="J32" i="7"/>
  <c r="N30" i="7"/>
  <c r="F30" i="7"/>
  <c r="L30" i="7"/>
  <c r="J30" i="7"/>
  <c r="H30" i="7"/>
  <c r="P30" i="7"/>
  <c r="H34" i="7"/>
  <c r="F34" i="7"/>
  <c r="J34" i="7"/>
  <c r="P34" i="7"/>
  <c r="L34" i="7"/>
  <c r="P31" i="7"/>
  <c r="H31" i="7"/>
  <c r="J31" i="7"/>
  <c r="N31" i="7"/>
  <c r="F31" i="7"/>
  <c r="L31" i="7"/>
  <c r="N29" i="7"/>
  <c r="F29" i="7"/>
  <c r="L29" i="7"/>
  <c r="J29" i="7"/>
  <c r="P29" i="7"/>
  <c r="H29" i="7"/>
  <c r="N22" i="7"/>
  <c r="H22" i="7"/>
  <c r="L22" i="7"/>
  <c r="F17527" i="3"/>
  <c r="F17526" i="3"/>
  <c r="F17525" i="3"/>
  <c r="F17524" i="3"/>
  <c r="F17523" i="3"/>
  <c r="F17522" i="3"/>
  <c r="F17521" i="3"/>
  <c r="F17520" i="3"/>
  <c r="F17519" i="3"/>
  <c r="F17518" i="3"/>
  <c r="F17517" i="3"/>
  <c r="F17516" i="3"/>
  <c r="F17515" i="3"/>
  <c r="F17514" i="3"/>
  <c r="F17513" i="3"/>
  <c r="F17512" i="3"/>
  <c r="F17511" i="3"/>
  <c r="F17510" i="3"/>
  <c r="F17509" i="3"/>
  <c r="F17508" i="3"/>
  <c r="F17507" i="3"/>
  <c r="F17506" i="3"/>
  <c r="F17505" i="3"/>
  <c r="F17504" i="3"/>
  <c r="F17503" i="3"/>
  <c r="F17502" i="3"/>
  <c r="F17501" i="3"/>
  <c r="F17500" i="3"/>
  <c r="F17499" i="3"/>
  <c r="F17498" i="3"/>
  <c r="F17497" i="3"/>
  <c r="F17496" i="3"/>
  <c r="F17495" i="3"/>
  <c r="F17494" i="3"/>
  <c r="F17493" i="3"/>
  <c r="F17492" i="3"/>
  <c r="F17491" i="3"/>
  <c r="F17490" i="3"/>
  <c r="F17489" i="3"/>
  <c r="F17488" i="3"/>
  <c r="F17487" i="3"/>
  <c r="F17486" i="3"/>
  <c r="F17485" i="3"/>
  <c r="F17484" i="3"/>
  <c r="F17483" i="3"/>
  <c r="F17482" i="3"/>
  <c r="F17481" i="3"/>
  <c r="F17480" i="3"/>
  <c r="F17479" i="3"/>
  <c r="F17478" i="3"/>
  <c r="F17477" i="3"/>
  <c r="F17476" i="3"/>
  <c r="F17475" i="3"/>
  <c r="F17474" i="3"/>
  <c r="F17473" i="3"/>
  <c r="F17472" i="3"/>
  <c r="F17471" i="3"/>
  <c r="F17470" i="3"/>
  <c r="F17469" i="3"/>
  <c r="F17468" i="3"/>
  <c r="F17467" i="3"/>
  <c r="F17466" i="3"/>
  <c r="F17465" i="3"/>
  <c r="F17464" i="3"/>
  <c r="F17463" i="3"/>
  <c r="F17462" i="3"/>
  <c r="F17461" i="3"/>
  <c r="F17460" i="3"/>
  <c r="F17459" i="3"/>
  <c r="F17458" i="3"/>
  <c r="F17457" i="3"/>
  <c r="F17456" i="3"/>
  <c r="F17455" i="3"/>
  <c r="F17454" i="3"/>
  <c r="F17453" i="3"/>
  <c r="F17452" i="3"/>
  <c r="F17451" i="3"/>
  <c r="F17450" i="3"/>
  <c r="F17449" i="3"/>
  <c r="F17448" i="3"/>
  <c r="F17447" i="3"/>
  <c r="F17446" i="3"/>
  <c r="F17445" i="3"/>
  <c r="F17444" i="3"/>
  <c r="F17443" i="3"/>
  <c r="F17442" i="3"/>
  <c r="F17441" i="3"/>
  <c r="F17440" i="3"/>
  <c r="F17439" i="3"/>
  <c r="F17438" i="3"/>
  <c r="F17437" i="3"/>
  <c r="F17436" i="3"/>
  <c r="F17435" i="3"/>
  <c r="F17434" i="3"/>
  <c r="F17433" i="3"/>
  <c r="F17432" i="3"/>
  <c r="F17431" i="3"/>
  <c r="F17430" i="3"/>
  <c r="F17429" i="3"/>
  <c r="F17428" i="3"/>
  <c r="F17427" i="3"/>
  <c r="F17426" i="3"/>
  <c r="F17425" i="3"/>
  <c r="F17424" i="3"/>
  <c r="F17423" i="3"/>
  <c r="F17422" i="3"/>
  <c r="F17421" i="3"/>
  <c r="F17420" i="3"/>
  <c r="F17419" i="3"/>
  <c r="F17418" i="3"/>
  <c r="F17417" i="3"/>
  <c r="F17416" i="3"/>
  <c r="F17415" i="3"/>
  <c r="F17414" i="3"/>
  <c r="F17413" i="3"/>
  <c r="F17412" i="3"/>
  <c r="F17411" i="3"/>
  <c r="F17410" i="3"/>
  <c r="F17409" i="3"/>
  <c r="F17408" i="3"/>
  <c r="F17407" i="3"/>
  <c r="F17406" i="3"/>
  <c r="F17405" i="3"/>
  <c r="F17404" i="3"/>
  <c r="F17403" i="3"/>
  <c r="F17402" i="3"/>
  <c r="F17401" i="3"/>
  <c r="F17400" i="3"/>
  <c r="F17399" i="3"/>
  <c r="F17398" i="3"/>
  <c r="F17397" i="3"/>
  <c r="F17396" i="3"/>
  <c r="F17395" i="3"/>
  <c r="F17394" i="3"/>
  <c r="F17393" i="3"/>
  <c r="F17392" i="3"/>
  <c r="F17391" i="3"/>
  <c r="F17390" i="3"/>
  <c r="F17389" i="3"/>
  <c r="F17388" i="3"/>
  <c r="F17387" i="3"/>
  <c r="F17386" i="3"/>
  <c r="F17385" i="3"/>
  <c r="F17384" i="3"/>
  <c r="F17383" i="3"/>
  <c r="F17382" i="3"/>
  <c r="F17381" i="3"/>
  <c r="F17380" i="3"/>
  <c r="F17379" i="3"/>
  <c r="F17378" i="3"/>
  <c r="F17377" i="3"/>
  <c r="F17376" i="3"/>
  <c r="F17375" i="3"/>
  <c r="F17374" i="3"/>
  <c r="F17373" i="3"/>
  <c r="F17372" i="3"/>
  <c r="F17371" i="3"/>
  <c r="F17370" i="3"/>
  <c r="F17369" i="3"/>
  <c r="F17368" i="3"/>
  <c r="F17367" i="3"/>
  <c r="F17366" i="3"/>
  <c r="F17365" i="3"/>
  <c r="F17364" i="3"/>
  <c r="F17363" i="3"/>
  <c r="F17362" i="3"/>
  <c r="F17361" i="3"/>
  <c r="F17360" i="3"/>
  <c r="F17359" i="3"/>
  <c r="F17358" i="3"/>
  <c r="F17357" i="3"/>
  <c r="F17356" i="3"/>
  <c r="F17355" i="3"/>
  <c r="F17354" i="3"/>
  <c r="F17353" i="3"/>
  <c r="F17352" i="3"/>
  <c r="F17351" i="3"/>
  <c r="F17350" i="3"/>
  <c r="F17349" i="3"/>
  <c r="F17348" i="3"/>
  <c r="F17347" i="3"/>
  <c r="F17346" i="3"/>
  <c r="F17345" i="3"/>
  <c r="F17344" i="3"/>
  <c r="F17343" i="3"/>
  <c r="F17342" i="3"/>
  <c r="F17341" i="3"/>
  <c r="F17340" i="3"/>
  <c r="F17339" i="3"/>
  <c r="F17338" i="3"/>
  <c r="F17337" i="3"/>
  <c r="F17336" i="3"/>
  <c r="F17335" i="3"/>
  <c r="F17334" i="3"/>
  <c r="F17333" i="3"/>
  <c r="F17332" i="3"/>
  <c r="F17331" i="3"/>
  <c r="F17330" i="3"/>
  <c r="F17329" i="3"/>
  <c r="F17328" i="3"/>
  <c r="F17327" i="3"/>
  <c r="F17326" i="3"/>
  <c r="F17325" i="3"/>
  <c r="F17324" i="3"/>
  <c r="F17323" i="3"/>
  <c r="F17322" i="3"/>
  <c r="F17321" i="3"/>
  <c r="F17320" i="3"/>
  <c r="F17319" i="3"/>
  <c r="F17318" i="3"/>
  <c r="F17317" i="3"/>
  <c r="F17316" i="3"/>
  <c r="F17315" i="3"/>
  <c r="F17314" i="3"/>
  <c r="F17313" i="3"/>
  <c r="F17312" i="3"/>
  <c r="F17311" i="3"/>
  <c r="F17310" i="3"/>
  <c r="F17309" i="3"/>
  <c r="F17308" i="3"/>
  <c r="F17307" i="3"/>
  <c r="F17306" i="3"/>
  <c r="F17305" i="3"/>
  <c r="F17304" i="3"/>
  <c r="F17303" i="3"/>
  <c r="F17302" i="3"/>
  <c r="F17301" i="3"/>
  <c r="F17300" i="3"/>
  <c r="F17299" i="3"/>
  <c r="F17298" i="3"/>
  <c r="F17297" i="3"/>
  <c r="F17296" i="3"/>
  <c r="F17295" i="3"/>
  <c r="F17294" i="3"/>
  <c r="F17293" i="3"/>
  <c r="F17292" i="3"/>
  <c r="F17291" i="3"/>
  <c r="F17290" i="3"/>
  <c r="F17289" i="3"/>
  <c r="F17288" i="3"/>
  <c r="F17287" i="3"/>
  <c r="F17286" i="3"/>
  <c r="F17285" i="3"/>
  <c r="F17284" i="3"/>
  <c r="F17283" i="3"/>
  <c r="F17282" i="3"/>
  <c r="F17281" i="3"/>
  <c r="F17280" i="3"/>
  <c r="F17279" i="3"/>
  <c r="F17278" i="3"/>
  <c r="F17277" i="3"/>
  <c r="F17276" i="3"/>
  <c r="F17275" i="3"/>
  <c r="F17274" i="3"/>
  <c r="F17273" i="3"/>
  <c r="F17272" i="3"/>
  <c r="F17271" i="3"/>
  <c r="F17270" i="3"/>
  <c r="F17269" i="3"/>
  <c r="F17268" i="3"/>
  <c r="F17267" i="3"/>
  <c r="F17266" i="3"/>
  <c r="F17265" i="3"/>
  <c r="F17264" i="3"/>
  <c r="F17263" i="3"/>
  <c r="F17262" i="3"/>
  <c r="F17261" i="3"/>
  <c r="F17260" i="3"/>
  <c r="F17259" i="3"/>
  <c r="F17258" i="3"/>
  <c r="F17257" i="3"/>
  <c r="F17256" i="3"/>
  <c r="F17255" i="3"/>
  <c r="F17254" i="3"/>
  <c r="F17253" i="3"/>
  <c r="F17252" i="3"/>
  <c r="F17251" i="3"/>
  <c r="F17250" i="3"/>
  <c r="F17249" i="3"/>
  <c r="F17248" i="3"/>
  <c r="F17247" i="3"/>
  <c r="F17246" i="3"/>
  <c r="F17245" i="3"/>
  <c r="F17244" i="3"/>
  <c r="F17243" i="3"/>
  <c r="F17242" i="3"/>
  <c r="F17241" i="3"/>
  <c r="F17240" i="3"/>
  <c r="F17239" i="3"/>
  <c r="F17238" i="3"/>
  <c r="F17237" i="3"/>
  <c r="F17236" i="3"/>
  <c r="F17235" i="3"/>
  <c r="F17234" i="3"/>
  <c r="F17233" i="3"/>
  <c r="F17232" i="3"/>
  <c r="F17231" i="3"/>
  <c r="F17230" i="3"/>
  <c r="F17229" i="3"/>
  <c r="F17228" i="3"/>
  <c r="F17227" i="3"/>
  <c r="F17226" i="3"/>
  <c r="F17225" i="3"/>
  <c r="F17224" i="3"/>
  <c r="F17223" i="3"/>
  <c r="F17222" i="3"/>
  <c r="F17221" i="3"/>
  <c r="F17220" i="3"/>
  <c r="F17219" i="3"/>
  <c r="F17218" i="3"/>
  <c r="F17217" i="3"/>
  <c r="F17216" i="3"/>
  <c r="F17215" i="3"/>
  <c r="F17214" i="3"/>
  <c r="F17213" i="3"/>
  <c r="F17212" i="3"/>
  <c r="F17211" i="3"/>
  <c r="F17210" i="3"/>
  <c r="F17209" i="3"/>
  <c r="F17208" i="3"/>
  <c r="F17207" i="3"/>
  <c r="F17206" i="3"/>
  <c r="F17205" i="3"/>
  <c r="F17204" i="3"/>
  <c r="F17203" i="3"/>
  <c r="F17202" i="3"/>
  <c r="F17201" i="3"/>
  <c r="F17200" i="3"/>
  <c r="F17199" i="3"/>
  <c r="F17198" i="3"/>
  <c r="F17197" i="3"/>
  <c r="F17196" i="3"/>
  <c r="F17195" i="3"/>
  <c r="F17194" i="3"/>
  <c r="F17193" i="3"/>
  <c r="F17192" i="3"/>
  <c r="F17191" i="3"/>
  <c r="F17190" i="3"/>
  <c r="F17189" i="3"/>
  <c r="F17188" i="3"/>
  <c r="F17187" i="3"/>
  <c r="F17186" i="3"/>
  <c r="F17185" i="3"/>
  <c r="F17184" i="3"/>
  <c r="F17183" i="3"/>
  <c r="F17182" i="3"/>
  <c r="F17181" i="3"/>
  <c r="F17180" i="3"/>
  <c r="F17179" i="3"/>
  <c r="F17178" i="3"/>
  <c r="F17177" i="3"/>
  <c r="F17176" i="3"/>
  <c r="F17175" i="3"/>
  <c r="F17174" i="3"/>
  <c r="F17173" i="3"/>
  <c r="F17172" i="3"/>
  <c r="F17171" i="3"/>
  <c r="F17170" i="3"/>
  <c r="F17169" i="3"/>
  <c r="F17168" i="3"/>
  <c r="F17167" i="3"/>
  <c r="F17166" i="3"/>
  <c r="F17165" i="3"/>
  <c r="F17164" i="3"/>
  <c r="F17163" i="3"/>
  <c r="F17162" i="3"/>
  <c r="F17161" i="3"/>
  <c r="F17160" i="3"/>
  <c r="F17159" i="3"/>
  <c r="F17158" i="3"/>
  <c r="F17157" i="3"/>
  <c r="F17156" i="3"/>
  <c r="F17155" i="3"/>
  <c r="F17154" i="3"/>
  <c r="F17153" i="3"/>
  <c r="F17152" i="3"/>
  <c r="F17151" i="3"/>
  <c r="F17150" i="3"/>
  <c r="F17149" i="3"/>
  <c r="F17148" i="3"/>
  <c r="F17147" i="3"/>
  <c r="F17146" i="3"/>
  <c r="F17145" i="3"/>
  <c r="F17144" i="3"/>
  <c r="F17143" i="3"/>
  <c r="F17142" i="3"/>
  <c r="F17141" i="3"/>
  <c r="F17140" i="3"/>
  <c r="F17139" i="3"/>
  <c r="F17138" i="3"/>
  <c r="F17137" i="3"/>
  <c r="F17136" i="3"/>
  <c r="F17135" i="3"/>
  <c r="F17134" i="3"/>
  <c r="F17133" i="3"/>
  <c r="F17132" i="3"/>
  <c r="F17131" i="3"/>
  <c r="F17130" i="3"/>
  <c r="F17129" i="3"/>
  <c r="F17128" i="3"/>
  <c r="F17127" i="3"/>
  <c r="F17126" i="3"/>
  <c r="F17125" i="3"/>
  <c r="F17124" i="3"/>
  <c r="F17123" i="3"/>
  <c r="F17122" i="3"/>
  <c r="F17121" i="3"/>
  <c r="F17120" i="3"/>
  <c r="F17119" i="3"/>
  <c r="F17118" i="3"/>
  <c r="F17117" i="3"/>
  <c r="F17116" i="3"/>
  <c r="F17115" i="3"/>
  <c r="F17114" i="3"/>
  <c r="F17113" i="3"/>
  <c r="F17112" i="3"/>
  <c r="F17111" i="3"/>
  <c r="F17110" i="3"/>
  <c r="F17109" i="3"/>
  <c r="F17108" i="3"/>
  <c r="F17107" i="3"/>
  <c r="F17106" i="3"/>
  <c r="F17105" i="3"/>
  <c r="F17104" i="3"/>
  <c r="F17103" i="3"/>
  <c r="F17102" i="3"/>
  <c r="F17101" i="3"/>
  <c r="F17100" i="3"/>
  <c r="F17099" i="3"/>
  <c r="F17098" i="3"/>
  <c r="F17097" i="3"/>
  <c r="F17096" i="3"/>
  <c r="F17095" i="3"/>
  <c r="F17094" i="3"/>
  <c r="F17093" i="3"/>
  <c r="F17092" i="3"/>
  <c r="F17091" i="3"/>
  <c r="F17090" i="3"/>
  <c r="F17089" i="3"/>
  <c r="F17088" i="3"/>
  <c r="F17087" i="3"/>
  <c r="F17086" i="3"/>
  <c r="F17085" i="3"/>
  <c r="F17084" i="3"/>
  <c r="F17083" i="3"/>
  <c r="F17082" i="3"/>
  <c r="F17081" i="3"/>
  <c r="F17080" i="3"/>
  <c r="F17079" i="3"/>
  <c r="F17078" i="3"/>
  <c r="F17077" i="3"/>
  <c r="F17076" i="3"/>
  <c r="F17075" i="3"/>
  <c r="F17074" i="3"/>
  <c r="F17073" i="3"/>
  <c r="F17072" i="3"/>
  <c r="F17071" i="3"/>
  <c r="F17070" i="3"/>
  <c r="F17069" i="3"/>
  <c r="F17068" i="3"/>
  <c r="F17067" i="3"/>
  <c r="F17066" i="3"/>
  <c r="F17065" i="3"/>
  <c r="F17064" i="3"/>
  <c r="F17063" i="3"/>
  <c r="F17062" i="3"/>
  <c r="F17061" i="3"/>
  <c r="F17060" i="3"/>
  <c r="F17059" i="3"/>
  <c r="F17058" i="3"/>
  <c r="F17057" i="3"/>
  <c r="F17056" i="3"/>
  <c r="F17055" i="3"/>
  <c r="F17054" i="3"/>
  <c r="F17053" i="3"/>
  <c r="F17052" i="3"/>
  <c r="F17051" i="3"/>
  <c r="F17050" i="3"/>
  <c r="F17049" i="3"/>
  <c r="F17048" i="3"/>
  <c r="F17047" i="3"/>
  <c r="F17046" i="3"/>
  <c r="F17045" i="3"/>
  <c r="F17044" i="3"/>
  <c r="F17043" i="3"/>
  <c r="F17042" i="3"/>
  <c r="F17041" i="3"/>
  <c r="F17040" i="3"/>
  <c r="F17039" i="3"/>
  <c r="F17038" i="3"/>
  <c r="F17037" i="3"/>
  <c r="F17036" i="3"/>
  <c r="F17035" i="3"/>
  <c r="F17034" i="3"/>
  <c r="F17033" i="3"/>
  <c r="F17032" i="3"/>
  <c r="F17031" i="3"/>
  <c r="F17030" i="3"/>
  <c r="F17029" i="3"/>
  <c r="F17028" i="3"/>
  <c r="F17027" i="3"/>
  <c r="F17026" i="3"/>
  <c r="F17025" i="3"/>
  <c r="F17024" i="3"/>
  <c r="F17023" i="3"/>
  <c r="F17022" i="3"/>
  <c r="F17021" i="3"/>
  <c r="F17020" i="3"/>
  <c r="F17019" i="3"/>
  <c r="F17018" i="3"/>
  <c r="F17017" i="3"/>
  <c r="F17016" i="3"/>
  <c r="F17015" i="3"/>
  <c r="F17014" i="3"/>
  <c r="F17013" i="3"/>
  <c r="F17012" i="3"/>
  <c r="F17011" i="3"/>
  <c r="F17010" i="3"/>
  <c r="F17009" i="3"/>
  <c r="F17008" i="3"/>
  <c r="F17007" i="3"/>
  <c r="F17006" i="3"/>
  <c r="F17005" i="3"/>
  <c r="F17004" i="3"/>
  <c r="F17003" i="3"/>
  <c r="F17002" i="3"/>
  <c r="F17001" i="3"/>
  <c r="F17000" i="3"/>
  <c r="F16999" i="3"/>
  <c r="F16998" i="3"/>
  <c r="F16997" i="3"/>
  <c r="F16996" i="3"/>
  <c r="F16995" i="3"/>
  <c r="F16994" i="3"/>
  <c r="F16993" i="3"/>
  <c r="F16992" i="3"/>
  <c r="F16991" i="3"/>
  <c r="F16990" i="3"/>
  <c r="F16989" i="3"/>
  <c r="F16988" i="3"/>
  <c r="F16987" i="3"/>
  <c r="F16986" i="3"/>
  <c r="F16985" i="3"/>
  <c r="F16984" i="3"/>
  <c r="F16983" i="3"/>
  <c r="F16982" i="3"/>
  <c r="F16981" i="3"/>
  <c r="F16980" i="3"/>
  <c r="F16979" i="3"/>
  <c r="F16978" i="3"/>
  <c r="F16977" i="3"/>
  <c r="F16976" i="3"/>
  <c r="F16975" i="3"/>
  <c r="F16974" i="3"/>
  <c r="F16973" i="3"/>
  <c r="F16972" i="3"/>
  <c r="F16971" i="3"/>
  <c r="F16970" i="3"/>
  <c r="F16969" i="3"/>
  <c r="F16968" i="3"/>
  <c r="F16967" i="3"/>
  <c r="F16966" i="3"/>
  <c r="F16965" i="3"/>
  <c r="F16964" i="3"/>
  <c r="F16963" i="3"/>
  <c r="F16962" i="3"/>
  <c r="F16961" i="3"/>
  <c r="F16960" i="3"/>
  <c r="F16959" i="3"/>
  <c r="F16958" i="3"/>
  <c r="F16957" i="3"/>
  <c r="F16956" i="3"/>
  <c r="F16955" i="3"/>
  <c r="F16954" i="3"/>
  <c r="F16953" i="3"/>
  <c r="F16952" i="3"/>
  <c r="F16951" i="3"/>
  <c r="F16950" i="3"/>
  <c r="F16949" i="3"/>
  <c r="F16948" i="3"/>
  <c r="F16947" i="3"/>
  <c r="F16946" i="3"/>
  <c r="F16945" i="3"/>
  <c r="F16944" i="3"/>
  <c r="F16943" i="3"/>
  <c r="F16942" i="3"/>
  <c r="F16941" i="3"/>
  <c r="F16940" i="3"/>
  <c r="F16939" i="3"/>
  <c r="F16938" i="3"/>
  <c r="F16937" i="3"/>
  <c r="F16936" i="3"/>
  <c r="F16935" i="3"/>
  <c r="F16934" i="3"/>
  <c r="F16933" i="3"/>
  <c r="F16932" i="3"/>
  <c r="F16931" i="3"/>
  <c r="F16930" i="3"/>
  <c r="F16929" i="3"/>
  <c r="F16928" i="3"/>
  <c r="F16927" i="3"/>
  <c r="F16926" i="3"/>
  <c r="F16925" i="3"/>
  <c r="F16924" i="3"/>
  <c r="F16923" i="3"/>
  <c r="F16922" i="3"/>
  <c r="F16921" i="3"/>
  <c r="F16920" i="3"/>
  <c r="F16919" i="3"/>
  <c r="F16918" i="3"/>
  <c r="F16917" i="3"/>
  <c r="F16916" i="3"/>
  <c r="F16915" i="3"/>
  <c r="F16914" i="3"/>
  <c r="F16913" i="3"/>
  <c r="F16912" i="3"/>
  <c r="F16911" i="3"/>
  <c r="F16910" i="3"/>
  <c r="F16909" i="3"/>
  <c r="F16908" i="3"/>
  <c r="F16907" i="3"/>
  <c r="F16906" i="3"/>
  <c r="F16905" i="3"/>
  <c r="F16904" i="3"/>
  <c r="F16903" i="3"/>
  <c r="F16902" i="3"/>
  <c r="F16901" i="3"/>
  <c r="F16900" i="3"/>
  <c r="F16899" i="3"/>
  <c r="F16898" i="3"/>
  <c r="F16897" i="3"/>
  <c r="F16896" i="3"/>
  <c r="F16895" i="3"/>
  <c r="F16894" i="3"/>
  <c r="F16893" i="3"/>
  <c r="F16892" i="3"/>
  <c r="F16891" i="3"/>
  <c r="F16890" i="3"/>
  <c r="F16889" i="3"/>
  <c r="F16888" i="3"/>
  <c r="F16887" i="3"/>
  <c r="F16886" i="3"/>
  <c r="F16885" i="3"/>
  <c r="F16884" i="3"/>
  <c r="F16883" i="3"/>
  <c r="F16882" i="3"/>
  <c r="F16881" i="3"/>
  <c r="F16880" i="3"/>
  <c r="F16879" i="3"/>
  <c r="F16878" i="3"/>
  <c r="F16877" i="3"/>
  <c r="F16876" i="3"/>
  <c r="F16875" i="3"/>
  <c r="F16874" i="3"/>
  <c r="F16873" i="3"/>
  <c r="F16872" i="3"/>
  <c r="F16871" i="3"/>
  <c r="F16870" i="3"/>
  <c r="F16869" i="3"/>
  <c r="F16868" i="3"/>
  <c r="F16867" i="3"/>
  <c r="F16866" i="3"/>
  <c r="F16865" i="3"/>
  <c r="F16864" i="3"/>
  <c r="F16863" i="3"/>
  <c r="F16862" i="3"/>
  <c r="F16861" i="3"/>
  <c r="F16860" i="3"/>
  <c r="F16859" i="3"/>
  <c r="F16858" i="3"/>
  <c r="F16857" i="3"/>
  <c r="F16856" i="3"/>
  <c r="F16855" i="3"/>
  <c r="F16854" i="3"/>
  <c r="F16853" i="3"/>
  <c r="F16852" i="3"/>
  <c r="F16851" i="3"/>
  <c r="F16850" i="3"/>
  <c r="F16849" i="3"/>
  <c r="F16848" i="3"/>
  <c r="F16847" i="3"/>
  <c r="F16846" i="3"/>
  <c r="F16845" i="3"/>
  <c r="F16844" i="3"/>
  <c r="F16843" i="3"/>
  <c r="F16842" i="3"/>
  <c r="F16841" i="3"/>
  <c r="F16840" i="3"/>
  <c r="F16839" i="3"/>
  <c r="F16838" i="3"/>
  <c r="F16837" i="3"/>
  <c r="F16836" i="3"/>
  <c r="F16835" i="3"/>
  <c r="F16834" i="3"/>
  <c r="F16833" i="3"/>
  <c r="F16832" i="3"/>
  <c r="F16831" i="3"/>
  <c r="F16830" i="3"/>
  <c r="F16829" i="3"/>
  <c r="F16828" i="3"/>
  <c r="F16827" i="3"/>
  <c r="F16826" i="3"/>
  <c r="F16825" i="3"/>
  <c r="F16824" i="3"/>
  <c r="F16823" i="3"/>
  <c r="F16822" i="3"/>
  <c r="F16821" i="3"/>
  <c r="F16820" i="3"/>
  <c r="F16819" i="3"/>
  <c r="F16818" i="3"/>
  <c r="F16817" i="3"/>
  <c r="F16816" i="3"/>
  <c r="F16815" i="3"/>
  <c r="F16814" i="3"/>
  <c r="F16813" i="3"/>
  <c r="F16812" i="3"/>
  <c r="F16811" i="3"/>
  <c r="F16810" i="3"/>
  <c r="F16809" i="3"/>
  <c r="F16808" i="3"/>
  <c r="F16807" i="3"/>
  <c r="F16806" i="3"/>
  <c r="F16805" i="3"/>
  <c r="F16804" i="3"/>
  <c r="F16803" i="3"/>
  <c r="F16802" i="3"/>
  <c r="F16801" i="3"/>
  <c r="F16800" i="3"/>
  <c r="F16799" i="3"/>
  <c r="F16798" i="3"/>
  <c r="F16797" i="3"/>
  <c r="F16796" i="3"/>
  <c r="F16795" i="3"/>
  <c r="F16794" i="3"/>
  <c r="F16793" i="3"/>
  <c r="F16792" i="3"/>
  <c r="F16791" i="3"/>
  <c r="F16790" i="3"/>
  <c r="F16789" i="3"/>
  <c r="F16788" i="3"/>
  <c r="F16787" i="3"/>
  <c r="F16786" i="3"/>
  <c r="F16785" i="3"/>
  <c r="F16784" i="3"/>
  <c r="F16783" i="3"/>
  <c r="F16782" i="3"/>
  <c r="F16781" i="3"/>
  <c r="F16780" i="3"/>
  <c r="F16779" i="3"/>
  <c r="F16778" i="3"/>
  <c r="F16777" i="3"/>
  <c r="F16776" i="3"/>
  <c r="F16775" i="3"/>
  <c r="F16774" i="3"/>
  <c r="F16773" i="3"/>
  <c r="F16772" i="3"/>
  <c r="F16771" i="3"/>
  <c r="F16770" i="3"/>
  <c r="F16769" i="3"/>
  <c r="F16768" i="3"/>
  <c r="F16767" i="3"/>
  <c r="F16766" i="3"/>
  <c r="F16765" i="3"/>
  <c r="F16764" i="3"/>
  <c r="F16763" i="3"/>
  <c r="F16762" i="3"/>
  <c r="F16761" i="3"/>
  <c r="F16760" i="3"/>
  <c r="F16759" i="3"/>
  <c r="F16758" i="3"/>
  <c r="F16757" i="3"/>
  <c r="F16756" i="3"/>
  <c r="F16755" i="3"/>
  <c r="F16754" i="3"/>
  <c r="F16753" i="3"/>
  <c r="F16752" i="3"/>
  <c r="F16751" i="3"/>
  <c r="F16750" i="3"/>
  <c r="F16749" i="3"/>
  <c r="F16748" i="3"/>
  <c r="F16747" i="3"/>
  <c r="F16746" i="3"/>
  <c r="F16745" i="3"/>
  <c r="F16744" i="3"/>
  <c r="F16743" i="3"/>
  <c r="F16742" i="3"/>
  <c r="F16741" i="3"/>
  <c r="F16740" i="3"/>
  <c r="F16739" i="3"/>
  <c r="F16738" i="3"/>
  <c r="F16737" i="3"/>
  <c r="F16736" i="3"/>
  <c r="F16735" i="3"/>
  <c r="F16734" i="3"/>
  <c r="F16733" i="3"/>
  <c r="F16732" i="3"/>
  <c r="F16731" i="3"/>
  <c r="F16730" i="3"/>
  <c r="F16729" i="3"/>
  <c r="F16728" i="3"/>
  <c r="F16727" i="3"/>
  <c r="F16726" i="3"/>
  <c r="F16725" i="3"/>
  <c r="F16724" i="3"/>
  <c r="F16723" i="3"/>
  <c r="F16722" i="3"/>
  <c r="F16721" i="3"/>
  <c r="F16720" i="3"/>
  <c r="F16719" i="3"/>
  <c r="F16718" i="3"/>
  <c r="F16717" i="3"/>
  <c r="F16716" i="3"/>
  <c r="F16715" i="3"/>
  <c r="F16714" i="3"/>
  <c r="F16713" i="3"/>
  <c r="F16712" i="3"/>
  <c r="F16711" i="3"/>
  <c r="F16710" i="3"/>
  <c r="F16709" i="3"/>
  <c r="F16708" i="3"/>
  <c r="F16707" i="3"/>
  <c r="F16706" i="3"/>
  <c r="F16705" i="3"/>
  <c r="F16704" i="3"/>
  <c r="F16703" i="3"/>
  <c r="F16702" i="3"/>
  <c r="F16701" i="3"/>
  <c r="F16700" i="3"/>
  <c r="F16699" i="3"/>
  <c r="F16698" i="3"/>
  <c r="F16697" i="3"/>
  <c r="F16696" i="3"/>
  <c r="F16695" i="3"/>
  <c r="F16694" i="3"/>
  <c r="F16693" i="3"/>
  <c r="F16692" i="3"/>
  <c r="F16691" i="3"/>
  <c r="F16690" i="3"/>
  <c r="F16689" i="3"/>
  <c r="F16688" i="3"/>
  <c r="F16687" i="3"/>
  <c r="F16686" i="3"/>
  <c r="F16685" i="3"/>
  <c r="F16684" i="3"/>
  <c r="F16683" i="3"/>
  <c r="F16682" i="3"/>
  <c r="F16681" i="3"/>
  <c r="F16680" i="3"/>
  <c r="F16679" i="3"/>
  <c r="F16678" i="3"/>
  <c r="F16677" i="3"/>
  <c r="F16676" i="3"/>
  <c r="F16675" i="3"/>
  <c r="F16674" i="3"/>
  <c r="F16673" i="3"/>
  <c r="F16672" i="3"/>
  <c r="F16671" i="3"/>
  <c r="F16670" i="3"/>
  <c r="F16669" i="3"/>
  <c r="F16668" i="3"/>
  <c r="F16667" i="3"/>
  <c r="F16666" i="3"/>
  <c r="F16665" i="3"/>
  <c r="F16664" i="3"/>
  <c r="F16663" i="3"/>
  <c r="F16662" i="3"/>
  <c r="F16661" i="3"/>
  <c r="F16660" i="3"/>
  <c r="F16659" i="3"/>
  <c r="F16658" i="3"/>
  <c r="F16657" i="3"/>
  <c r="F16656" i="3"/>
  <c r="F16655" i="3"/>
  <c r="F16654" i="3"/>
  <c r="F16653" i="3"/>
  <c r="F16652" i="3"/>
  <c r="F16651" i="3"/>
  <c r="F16650" i="3"/>
  <c r="F16649" i="3"/>
  <c r="F16648" i="3"/>
  <c r="F16647" i="3"/>
  <c r="F16646" i="3"/>
  <c r="F16645" i="3"/>
  <c r="F16644" i="3"/>
  <c r="F16643" i="3"/>
  <c r="F16642" i="3"/>
  <c r="F16641" i="3"/>
  <c r="F16640" i="3"/>
  <c r="F16639" i="3"/>
  <c r="F16638" i="3"/>
  <c r="F16637" i="3"/>
  <c r="F16636" i="3"/>
  <c r="F16635" i="3"/>
  <c r="F16634" i="3"/>
  <c r="F16633" i="3"/>
  <c r="F16632" i="3"/>
  <c r="F16631" i="3"/>
  <c r="F16630" i="3"/>
  <c r="F16629" i="3"/>
  <c r="F16628" i="3"/>
  <c r="F16627" i="3"/>
  <c r="F16626" i="3"/>
  <c r="F16625" i="3"/>
  <c r="F16624" i="3"/>
  <c r="F16623" i="3"/>
  <c r="F16622" i="3"/>
  <c r="F16621" i="3"/>
  <c r="F16620" i="3"/>
  <c r="F16619" i="3"/>
  <c r="F16618" i="3"/>
  <c r="F16617" i="3"/>
  <c r="F16616" i="3"/>
  <c r="F16615" i="3"/>
  <c r="F16614" i="3"/>
  <c r="F16613" i="3"/>
  <c r="F16612" i="3"/>
  <c r="F16611" i="3"/>
  <c r="F16610" i="3"/>
  <c r="F16609" i="3"/>
  <c r="F16608" i="3"/>
  <c r="F16607" i="3"/>
  <c r="F16606" i="3"/>
  <c r="F16605" i="3"/>
  <c r="F16604" i="3"/>
  <c r="F16603" i="3"/>
  <c r="F16602" i="3"/>
  <c r="F16601" i="3"/>
  <c r="F16600" i="3"/>
  <c r="F16599" i="3"/>
  <c r="F16598" i="3"/>
  <c r="F16597" i="3"/>
  <c r="F16596" i="3"/>
  <c r="F16595" i="3"/>
  <c r="F16594" i="3"/>
  <c r="F16593" i="3"/>
  <c r="F16592" i="3"/>
  <c r="F16591" i="3"/>
  <c r="F16590" i="3"/>
  <c r="F16589" i="3"/>
  <c r="F16588" i="3"/>
  <c r="F16587" i="3"/>
  <c r="F16586" i="3"/>
  <c r="F16585" i="3"/>
  <c r="F16584" i="3"/>
  <c r="F16583" i="3"/>
  <c r="F16582" i="3"/>
  <c r="F16581" i="3"/>
  <c r="F16580" i="3"/>
  <c r="F16579" i="3"/>
  <c r="F16578" i="3"/>
  <c r="F16577" i="3"/>
  <c r="F16576" i="3"/>
  <c r="F16575" i="3"/>
  <c r="F16574" i="3"/>
  <c r="F16573" i="3"/>
  <c r="F16572" i="3"/>
  <c r="F16571" i="3"/>
  <c r="F16570" i="3"/>
  <c r="F16569" i="3"/>
  <c r="F16568" i="3"/>
  <c r="F16567" i="3"/>
  <c r="F16566" i="3"/>
  <c r="F16565" i="3"/>
  <c r="F16564" i="3"/>
  <c r="F16563" i="3"/>
  <c r="F16562" i="3"/>
  <c r="F16561" i="3"/>
  <c r="F16560" i="3"/>
  <c r="F16559" i="3"/>
  <c r="F16558" i="3"/>
  <c r="F16557" i="3"/>
  <c r="F16556" i="3"/>
  <c r="F16555" i="3"/>
  <c r="F16554" i="3"/>
  <c r="F16553" i="3"/>
  <c r="F16552" i="3"/>
  <c r="F16551" i="3"/>
  <c r="F16550" i="3"/>
  <c r="F16549" i="3"/>
  <c r="F16548" i="3"/>
  <c r="F16547" i="3"/>
  <c r="F16546" i="3"/>
  <c r="F16545" i="3"/>
  <c r="F16544" i="3"/>
  <c r="F16543" i="3"/>
  <c r="F16542" i="3"/>
  <c r="F16541" i="3"/>
  <c r="F16540" i="3"/>
  <c r="F16539" i="3"/>
  <c r="F16538" i="3"/>
  <c r="F16537" i="3"/>
  <c r="F16536" i="3"/>
  <c r="F16535" i="3"/>
  <c r="F16534" i="3"/>
  <c r="F16533" i="3"/>
  <c r="F16532" i="3"/>
  <c r="F16531" i="3"/>
  <c r="F16530" i="3"/>
  <c r="F16529" i="3"/>
  <c r="F16528" i="3"/>
  <c r="F16527" i="3"/>
  <c r="F16526" i="3"/>
  <c r="F16525" i="3"/>
  <c r="F16524" i="3"/>
  <c r="F16523" i="3"/>
  <c r="F16522" i="3"/>
  <c r="F16521" i="3"/>
  <c r="F16520" i="3"/>
  <c r="F16519" i="3"/>
  <c r="F16518" i="3"/>
  <c r="F16517" i="3"/>
  <c r="F16516" i="3"/>
  <c r="F16515" i="3"/>
  <c r="F16514" i="3"/>
  <c r="F16513" i="3"/>
  <c r="F16512" i="3"/>
  <c r="F16511" i="3"/>
  <c r="F16510" i="3"/>
  <c r="F16509" i="3"/>
  <c r="F16508" i="3"/>
  <c r="F16507" i="3"/>
  <c r="F16506" i="3"/>
  <c r="F16505" i="3"/>
  <c r="F16504" i="3"/>
  <c r="F16503" i="3"/>
  <c r="F16502" i="3"/>
  <c r="F16501" i="3"/>
  <c r="F16500" i="3"/>
  <c r="F16499" i="3"/>
  <c r="F16498" i="3"/>
  <c r="F16497" i="3"/>
  <c r="F16496" i="3"/>
  <c r="F16495" i="3"/>
  <c r="F16494" i="3"/>
  <c r="F16493" i="3"/>
  <c r="F16492" i="3"/>
  <c r="F16491" i="3"/>
  <c r="F16490" i="3"/>
  <c r="F16489" i="3"/>
  <c r="F16488" i="3"/>
  <c r="F16487" i="3"/>
  <c r="F16486" i="3"/>
  <c r="F16485" i="3"/>
  <c r="F16484" i="3"/>
  <c r="F16483" i="3"/>
  <c r="F16482" i="3"/>
  <c r="F16481" i="3"/>
  <c r="F16480" i="3"/>
  <c r="F16479" i="3"/>
  <c r="F16478" i="3"/>
  <c r="F16477" i="3"/>
  <c r="F16476" i="3"/>
  <c r="F16475" i="3"/>
  <c r="F16474" i="3"/>
  <c r="F16473" i="3"/>
  <c r="F16472" i="3"/>
  <c r="F16471" i="3"/>
  <c r="F16470" i="3"/>
  <c r="F16469" i="3"/>
  <c r="F16468" i="3"/>
  <c r="F16467" i="3"/>
  <c r="F16466" i="3"/>
  <c r="F16465" i="3"/>
  <c r="F16464" i="3"/>
  <c r="F16463" i="3"/>
  <c r="F16462" i="3"/>
  <c r="F16461" i="3"/>
  <c r="F16460" i="3"/>
  <c r="F16459" i="3"/>
  <c r="F16458" i="3"/>
  <c r="F16457" i="3"/>
  <c r="F16456" i="3"/>
  <c r="F16455" i="3"/>
  <c r="F16454" i="3"/>
  <c r="F16453" i="3"/>
  <c r="F16452" i="3"/>
  <c r="F16451" i="3"/>
  <c r="F16450" i="3"/>
  <c r="F16449" i="3"/>
  <c r="F16448" i="3"/>
  <c r="F16447" i="3"/>
  <c r="F16446" i="3"/>
  <c r="F16445" i="3"/>
  <c r="F16444" i="3"/>
  <c r="F16443" i="3"/>
  <c r="F16442" i="3"/>
  <c r="F16441" i="3"/>
  <c r="F16440" i="3"/>
  <c r="F16439" i="3"/>
  <c r="F16438" i="3"/>
  <c r="F16437" i="3"/>
  <c r="F16436" i="3"/>
  <c r="F16435" i="3"/>
  <c r="F16434" i="3"/>
  <c r="F16433" i="3"/>
  <c r="F16432" i="3"/>
  <c r="F16431" i="3"/>
  <c r="F16430" i="3"/>
  <c r="F16429" i="3"/>
  <c r="F16428" i="3"/>
  <c r="F16427" i="3"/>
  <c r="F16426" i="3"/>
  <c r="F16425" i="3"/>
  <c r="F16424" i="3"/>
  <c r="F16423" i="3"/>
  <c r="F16422" i="3"/>
  <c r="F16421" i="3"/>
  <c r="F16420" i="3"/>
  <c r="F16419" i="3"/>
  <c r="F16418" i="3"/>
  <c r="F16417" i="3"/>
  <c r="F16416" i="3"/>
  <c r="F16415" i="3"/>
  <c r="F16414" i="3"/>
  <c r="F16413" i="3"/>
  <c r="F16412" i="3"/>
  <c r="F16411" i="3"/>
  <c r="F16410" i="3"/>
  <c r="F16409" i="3"/>
  <c r="F16408" i="3"/>
  <c r="F16407" i="3"/>
  <c r="F16406" i="3"/>
  <c r="F16405" i="3"/>
  <c r="F16404" i="3"/>
  <c r="F16403" i="3"/>
  <c r="F16402" i="3"/>
  <c r="F16401" i="3"/>
  <c r="F16400" i="3"/>
  <c r="F16399" i="3"/>
  <c r="F16398" i="3"/>
  <c r="F16397" i="3"/>
  <c r="F16396" i="3"/>
  <c r="F16395" i="3"/>
  <c r="F16394" i="3"/>
  <c r="F16393" i="3"/>
  <c r="F16392" i="3"/>
  <c r="F16391" i="3"/>
  <c r="F16390" i="3"/>
  <c r="F16389" i="3"/>
  <c r="F16388" i="3"/>
  <c r="F16387" i="3"/>
  <c r="F16386" i="3"/>
  <c r="F16385" i="3"/>
  <c r="F16384" i="3"/>
  <c r="F16383" i="3"/>
  <c r="F16382" i="3"/>
  <c r="F16381" i="3"/>
  <c r="F16380" i="3"/>
  <c r="F16379" i="3"/>
  <c r="F16378" i="3"/>
  <c r="F16377" i="3"/>
  <c r="F16376" i="3"/>
  <c r="F16375" i="3"/>
  <c r="F16374" i="3"/>
  <c r="F16373" i="3"/>
  <c r="F16372" i="3"/>
  <c r="F16371" i="3"/>
  <c r="F16370" i="3"/>
  <c r="F16369" i="3"/>
  <c r="F16368" i="3"/>
  <c r="F16367" i="3"/>
  <c r="F16366" i="3"/>
  <c r="F16365" i="3"/>
  <c r="F16364" i="3"/>
  <c r="F16363" i="3"/>
  <c r="F16362" i="3"/>
  <c r="F16361" i="3"/>
  <c r="F16360" i="3"/>
  <c r="F16359" i="3"/>
  <c r="F16358" i="3"/>
  <c r="F16357" i="3"/>
  <c r="F16356" i="3"/>
  <c r="F16355" i="3"/>
  <c r="F16354" i="3"/>
  <c r="F16353" i="3"/>
  <c r="F16352" i="3"/>
  <c r="F16351" i="3"/>
  <c r="F16350" i="3"/>
  <c r="F16349" i="3"/>
  <c r="F16348" i="3"/>
  <c r="F16347" i="3"/>
  <c r="F16346" i="3"/>
  <c r="F16345" i="3"/>
  <c r="F16344" i="3"/>
  <c r="F16343" i="3"/>
  <c r="F16342" i="3"/>
  <c r="F16341" i="3"/>
  <c r="F16340" i="3"/>
  <c r="F16339" i="3"/>
  <c r="F16338" i="3"/>
  <c r="F16337" i="3"/>
  <c r="F16336" i="3"/>
  <c r="F16335" i="3"/>
  <c r="F16334" i="3"/>
  <c r="F16333" i="3"/>
  <c r="F16332" i="3"/>
  <c r="F16331" i="3"/>
  <c r="F16330" i="3"/>
  <c r="F16329" i="3"/>
  <c r="F16328" i="3"/>
  <c r="F16327" i="3"/>
  <c r="F16326" i="3"/>
  <c r="F16325" i="3"/>
  <c r="F16324" i="3"/>
  <c r="F16323" i="3"/>
  <c r="F16322" i="3"/>
  <c r="F16321" i="3"/>
  <c r="F16320" i="3"/>
  <c r="F16319" i="3"/>
  <c r="F16318" i="3"/>
  <c r="F16317" i="3"/>
  <c r="F16316" i="3"/>
  <c r="F16315" i="3"/>
  <c r="F16314" i="3"/>
  <c r="F16313" i="3"/>
  <c r="F16312" i="3"/>
  <c r="F16311" i="3"/>
  <c r="F16310" i="3"/>
  <c r="F16309" i="3"/>
  <c r="F16308" i="3"/>
  <c r="F16307" i="3"/>
  <c r="F16306" i="3"/>
  <c r="F16305" i="3"/>
  <c r="F16304" i="3"/>
  <c r="F16303" i="3"/>
  <c r="F16302" i="3"/>
  <c r="F16301" i="3"/>
  <c r="F16300" i="3"/>
  <c r="F16299" i="3"/>
  <c r="F16298" i="3"/>
  <c r="F16297" i="3"/>
  <c r="F16296" i="3"/>
  <c r="F16295" i="3"/>
  <c r="F16294" i="3"/>
  <c r="F16293" i="3"/>
  <c r="F16292" i="3"/>
  <c r="F16291" i="3"/>
  <c r="F16290" i="3"/>
  <c r="F16289" i="3"/>
  <c r="F16288" i="3"/>
  <c r="F16287" i="3"/>
  <c r="F16286" i="3"/>
  <c r="F16285" i="3"/>
  <c r="F16284" i="3"/>
  <c r="F16283" i="3"/>
  <c r="F16282" i="3"/>
  <c r="F16281" i="3"/>
  <c r="F16280" i="3"/>
  <c r="F16279" i="3"/>
  <c r="F16278" i="3"/>
  <c r="F16277" i="3"/>
  <c r="F16276" i="3"/>
  <c r="F16275" i="3"/>
  <c r="F16274" i="3"/>
  <c r="F16273" i="3"/>
  <c r="F16272" i="3"/>
  <c r="F16271" i="3"/>
  <c r="F16270" i="3"/>
  <c r="F16269" i="3"/>
  <c r="F16268" i="3"/>
  <c r="F16267" i="3"/>
  <c r="F16266" i="3"/>
  <c r="F16265" i="3"/>
  <c r="F16264" i="3"/>
  <c r="F16263" i="3"/>
  <c r="F16262" i="3"/>
  <c r="F16261" i="3"/>
  <c r="F16260" i="3"/>
  <c r="F16259" i="3"/>
  <c r="F16258" i="3"/>
  <c r="F16257" i="3"/>
  <c r="F16256" i="3"/>
  <c r="F16255" i="3"/>
  <c r="F16254" i="3"/>
  <c r="F16253" i="3"/>
  <c r="F16252" i="3"/>
  <c r="F16251" i="3"/>
  <c r="F16250" i="3"/>
  <c r="F16249" i="3"/>
  <c r="F16248" i="3"/>
  <c r="F16247" i="3"/>
  <c r="F16246" i="3"/>
  <c r="F16245" i="3"/>
  <c r="F16244" i="3"/>
  <c r="F16243" i="3"/>
  <c r="F16242" i="3"/>
  <c r="F16241" i="3"/>
  <c r="F16240" i="3"/>
  <c r="F16239" i="3"/>
  <c r="F16238" i="3"/>
  <c r="F16237" i="3"/>
  <c r="F16236" i="3"/>
  <c r="F16235" i="3"/>
  <c r="F16234" i="3"/>
  <c r="F16233" i="3"/>
  <c r="F16232" i="3"/>
  <c r="F16231" i="3"/>
  <c r="F16230" i="3"/>
  <c r="F16229" i="3"/>
  <c r="F16228" i="3"/>
  <c r="F16227" i="3"/>
  <c r="F16226" i="3"/>
  <c r="F16225" i="3"/>
  <c r="F16224" i="3"/>
  <c r="F16223" i="3"/>
  <c r="F16222" i="3"/>
  <c r="F16221" i="3"/>
  <c r="F16220" i="3"/>
  <c r="F16219" i="3"/>
  <c r="F16218" i="3"/>
  <c r="F16217" i="3"/>
  <c r="F16216" i="3"/>
  <c r="F16215" i="3"/>
  <c r="F16214" i="3"/>
  <c r="F16213" i="3"/>
  <c r="F16212" i="3"/>
  <c r="F16211" i="3"/>
  <c r="F16210" i="3"/>
  <c r="F16209" i="3"/>
  <c r="F16208" i="3"/>
  <c r="F16207" i="3"/>
  <c r="F16206" i="3"/>
  <c r="F16205" i="3"/>
  <c r="F16204" i="3"/>
  <c r="F16203" i="3"/>
  <c r="F16202" i="3"/>
  <c r="F16201" i="3"/>
  <c r="F16200" i="3"/>
  <c r="F16199" i="3"/>
  <c r="F16198" i="3"/>
  <c r="F16197" i="3"/>
  <c r="F16196" i="3"/>
  <c r="F16195" i="3"/>
  <c r="F16194" i="3"/>
  <c r="F16193" i="3"/>
  <c r="F16192" i="3"/>
  <c r="F16191" i="3"/>
  <c r="F16190" i="3"/>
  <c r="F16189" i="3"/>
  <c r="F16188" i="3"/>
  <c r="F16187" i="3"/>
  <c r="F16186" i="3"/>
  <c r="F16185" i="3"/>
  <c r="F16184" i="3"/>
  <c r="F16183" i="3"/>
  <c r="F16182" i="3"/>
  <c r="F16181" i="3"/>
  <c r="F16180" i="3"/>
  <c r="F16179" i="3"/>
  <c r="F16178" i="3"/>
  <c r="F16177" i="3"/>
  <c r="F16176" i="3"/>
  <c r="F16175" i="3"/>
  <c r="F16174" i="3"/>
  <c r="F16173" i="3"/>
  <c r="F16172" i="3"/>
  <c r="F16171" i="3"/>
  <c r="F16170" i="3"/>
  <c r="F16169" i="3"/>
  <c r="F16168" i="3"/>
  <c r="F16167" i="3"/>
  <c r="F16166" i="3"/>
  <c r="F16165" i="3"/>
  <c r="F16164" i="3"/>
  <c r="F16163" i="3"/>
  <c r="F16162" i="3"/>
  <c r="F16161" i="3"/>
  <c r="F16160" i="3"/>
  <c r="F16159" i="3"/>
  <c r="F16158" i="3"/>
  <c r="F16157" i="3"/>
  <c r="F16156" i="3"/>
  <c r="F16155" i="3"/>
  <c r="F16154" i="3"/>
  <c r="F16153" i="3"/>
  <c r="F16152" i="3"/>
  <c r="F16151" i="3"/>
  <c r="F16150" i="3"/>
  <c r="F16149" i="3"/>
  <c r="F16148" i="3"/>
  <c r="F16147" i="3"/>
  <c r="F16146" i="3"/>
  <c r="F16145" i="3"/>
  <c r="F16144" i="3"/>
  <c r="F16143" i="3"/>
  <c r="F16142" i="3"/>
  <c r="F16141" i="3"/>
  <c r="F16140" i="3"/>
  <c r="F16139" i="3"/>
  <c r="F16138" i="3"/>
  <c r="F16137" i="3"/>
  <c r="F16136" i="3"/>
  <c r="F16135" i="3"/>
  <c r="F16134" i="3"/>
  <c r="F16133" i="3"/>
  <c r="F16132" i="3"/>
  <c r="F16131" i="3"/>
  <c r="F16130" i="3"/>
  <c r="F16129" i="3"/>
  <c r="F16128" i="3"/>
  <c r="F16127" i="3"/>
  <c r="F16126" i="3"/>
  <c r="F16125" i="3"/>
  <c r="F16124" i="3"/>
  <c r="F16123" i="3"/>
  <c r="F16122" i="3"/>
  <c r="F16121" i="3"/>
  <c r="F16120" i="3"/>
  <c r="F16119" i="3"/>
  <c r="F16118" i="3"/>
  <c r="F16117" i="3"/>
  <c r="F16116" i="3"/>
  <c r="F16115" i="3"/>
  <c r="F16114" i="3"/>
  <c r="F16113" i="3"/>
  <c r="F16112" i="3"/>
  <c r="F16111" i="3"/>
  <c r="F16110" i="3"/>
  <c r="F16109" i="3"/>
  <c r="F16108" i="3"/>
  <c r="F16107" i="3"/>
  <c r="F16106" i="3"/>
  <c r="F16105" i="3"/>
  <c r="F16104" i="3"/>
  <c r="F16103" i="3"/>
  <c r="F16102" i="3"/>
  <c r="F16101" i="3"/>
  <c r="F16100" i="3"/>
  <c r="F16099" i="3"/>
  <c r="F16098" i="3"/>
  <c r="F16097" i="3"/>
  <c r="F16096" i="3"/>
  <c r="F16095" i="3"/>
  <c r="F16094" i="3"/>
  <c r="F16093" i="3"/>
  <c r="F16092" i="3"/>
  <c r="F16091" i="3"/>
  <c r="F16090" i="3"/>
  <c r="F16089" i="3"/>
  <c r="F16088" i="3"/>
  <c r="F16087" i="3"/>
  <c r="F16086" i="3"/>
  <c r="F16085" i="3"/>
  <c r="F16084" i="3"/>
  <c r="F16083" i="3"/>
  <c r="F16082" i="3"/>
  <c r="F16081" i="3"/>
  <c r="F16080" i="3"/>
  <c r="F16079" i="3"/>
  <c r="F16078" i="3"/>
  <c r="F16077" i="3"/>
  <c r="F16076" i="3"/>
  <c r="F16075" i="3"/>
  <c r="F16074" i="3"/>
  <c r="F16073" i="3"/>
  <c r="F16072" i="3"/>
  <c r="F16071" i="3"/>
  <c r="F16070" i="3"/>
  <c r="F16069" i="3"/>
  <c r="F16068" i="3"/>
  <c r="F16067" i="3"/>
  <c r="F16066" i="3"/>
  <c r="F16065" i="3"/>
  <c r="F16064" i="3"/>
  <c r="F16063" i="3"/>
  <c r="F16062" i="3"/>
  <c r="F16061" i="3"/>
  <c r="F16060" i="3"/>
  <c r="F16059" i="3"/>
  <c r="F16058" i="3"/>
  <c r="F16057" i="3"/>
  <c r="F16056" i="3"/>
  <c r="F16055" i="3"/>
  <c r="F16054" i="3"/>
  <c r="F16053" i="3"/>
  <c r="F16052" i="3"/>
  <c r="F16051" i="3"/>
  <c r="F16050" i="3"/>
  <c r="F16049" i="3"/>
  <c r="F16048" i="3"/>
  <c r="F16047" i="3"/>
  <c r="F16046" i="3"/>
  <c r="F16045" i="3"/>
  <c r="F16044" i="3"/>
  <c r="F16043" i="3"/>
  <c r="F16042" i="3"/>
  <c r="F16041" i="3"/>
  <c r="F16040" i="3"/>
  <c r="F16039" i="3"/>
  <c r="F16038" i="3"/>
  <c r="F16037" i="3"/>
  <c r="F16036" i="3"/>
  <c r="F16035" i="3"/>
  <c r="F16034" i="3"/>
  <c r="F16033" i="3"/>
  <c r="F16032" i="3"/>
  <c r="F16031" i="3"/>
  <c r="F16030" i="3"/>
  <c r="F16029" i="3"/>
  <c r="F16028" i="3"/>
  <c r="F16027" i="3"/>
  <c r="F16026" i="3"/>
  <c r="F16025" i="3"/>
  <c r="F16024" i="3"/>
  <c r="F16023" i="3"/>
  <c r="F16022" i="3"/>
  <c r="F16021" i="3"/>
  <c r="F16020" i="3"/>
  <c r="F16019" i="3"/>
  <c r="F16018" i="3"/>
  <c r="F16017" i="3"/>
  <c r="F16016" i="3"/>
  <c r="F16015" i="3"/>
  <c r="F16014" i="3"/>
  <c r="F16013" i="3"/>
  <c r="F16012" i="3"/>
  <c r="F16011" i="3"/>
  <c r="F16010" i="3"/>
  <c r="F16009" i="3"/>
  <c r="F16008" i="3"/>
  <c r="F16007" i="3"/>
  <c r="F16006" i="3"/>
  <c r="F16005" i="3"/>
  <c r="F16004" i="3"/>
  <c r="F16003" i="3"/>
  <c r="F16002" i="3"/>
  <c r="F16001" i="3"/>
  <c r="F16000" i="3"/>
  <c r="F15999" i="3"/>
  <c r="F15998" i="3"/>
  <c r="F15997" i="3"/>
  <c r="F15996" i="3"/>
  <c r="F15995" i="3"/>
  <c r="F15994" i="3"/>
  <c r="F15993" i="3"/>
  <c r="F15992" i="3"/>
  <c r="F15991" i="3"/>
  <c r="F15990" i="3"/>
  <c r="F15989" i="3"/>
  <c r="F15988" i="3"/>
  <c r="F15987" i="3"/>
  <c r="F15986" i="3"/>
  <c r="F15985" i="3"/>
  <c r="F15984" i="3"/>
  <c r="F15983" i="3"/>
  <c r="F15982" i="3"/>
  <c r="F15981" i="3"/>
  <c r="F15980" i="3"/>
  <c r="F15979" i="3"/>
  <c r="F15978" i="3"/>
  <c r="F15977" i="3"/>
  <c r="F15976" i="3"/>
  <c r="F15975" i="3"/>
  <c r="F15974" i="3"/>
  <c r="F15973" i="3"/>
  <c r="F15972" i="3"/>
  <c r="F15971" i="3"/>
  <c r="F15970" i="3"/>
  <c r="F15969" i="3"/>
  <c r="F15968" i="3"/>
  <c r="F15967" i="3"/>
  <c r="F15966" i="3"/>
  <c r="F15965" i="3"/>
  <c r="F15964" i="3"/>
  <c r="F15963" i="3"/>
  <c r="F15962" i="3"/>
  <c r="F15961" i="3"/>
  <c r="F15960" i="3"/>
  <c r="F15959" i="3"/>
  <c r="F15958" i="3"/>
  <c r="F15957" i="3"/>
  <c r="F15956" i="3"/>
  <c r="F15955" i="3"/>
  <c r="F15954" i="3"/>
  <c r="F15953" i="3"/>
  <c r="F15952" i="3"/>
  <c r="F15951" i="3"/>
  <c r="F15950" i="3"/>
  <c r="F15949" i="3"/>
  <c r="F15948" i="3"/>
  <c r="F15947" i="3"/>
  <c r="F15946" i="3"/>
  <c r="F15945" i="3"/>
  <c r="F15944" i="3"/>
  <c r="F15943" i="3"/>
  <c r="F15942" i="3"/>
  <c r="F15941" i="3"/>
  <c r="F15940" i="3"/>
  <c r="F15939" i="3"/>
  <c r="F15938" i="3"/>
  <c r="F15937" i="3"/>
  <c r="F15936" i="3"/>
  <c r="F15935" i="3"/>
  <c r="F15934" i="3"/>
  <c r="F15933" i="3"/>
  <c r="F15932" i="3"/>
  <c r="F15931" i="3"/>
  <c r="F15930" i="3"/>
  <c r="F15929" i="3"/>
  <c r="F15928" i="3"/>
  <c r="F15927" i="3"/>
  <c r="F15926" i="3"/>
  <c r="F15925" i="3"/>
  <c r="F15924" i="3"/>
  <c r="F15923" i="3"/>
  <c r="F15922" i="3"/>
  <c r="F15921" i="3"/>
  <c r="F15920" i="3"/>
  <c r="F15919" i="3"/>
  <c r="F15918" i="3"/>
  <c r="F15917" i="3"/>
  <c r="F15916" i="3"/>
  <c r="F15915" i="3"/>
  <c r="F15914" i="3"/>
  <c r="F15913" i="3"/>
  <c r="F15912" i="3"/>
  <c r="F15911" i="3"/>
  <c r="F15910" i="3"/>
  <c r="F15909" i="3"/>
  <c r="F15908" i="3"/>
  <c r="F15907" i="3"/>
  <c r="F15906" i="3"/>
  <c r="F15905" i="3"/>
  <c r="F15904" i="3"/>
  <c r="F15903" i="3"/>
  <c r="F15902" i="3"/>
  <c r="F15901" i="3"/>
  <c r="F15900" i="3"/>
  <c r="F15899" i="3"/>
  <c r="F15898" i="3"/>
  <c r="F15897" i="3"/>
  <c r="F15896" i="3"/>
  <c r="F15895" i="3"/>
  <c r="F15894" i="3"/>
  <c r="F15893" i="3"/>
  <c r="F15892" i="3"/>
  <c r="F15891" i="3"/>
  <c r="F15890" i="3"/>
  <c r="F15889" i="3"/>
  <c r="F15888" i="3"/>
  <c r="F15887" i="3"/>
  <c r="F15886" i="3"/>
  <c r="F15885" i="3"/>
  <c r="F15884" i="3"/>
  <c r="F15883" i="3"/>
  <c r="F15882" i="3"/>
  <c r="F15881" i="3"/>
  <c r="F15880" i="3"/>
  <c r="F15879" i="3"/>
  <c r="F15878" i="3"/>
  <c r="F15877" i="3"/>
  <c r="F15876" i="3"/>
  <c r="F15875" i="3"/>
  <c r="F15874" i="3"/>
  <c r="F15873" i="3"/>
  <c r="F15872" i="3"/>
  <c r="F15871" i="3"/>
  <c r="F15870" i="3"/>
  <c r="F15869" i="3"/>
  <c r="F15868" i="3"/>
  <c r="F15867" i="3"/>
  <c r="F15866" i="3"/>
  <c r="F15865" i="3"/>
  <c r="F15864" i="3"/>
  <c r="F15863" i="3"/>
  <c r="F15862" i="3"/>
  <c r="F15861" i="3"/>
  <c r="F15860" i="3"/>
  <c r="F15859" i="3"/>
  <c r="F15858" i="3"/>
  <c r="F15857" i="3"/>
  <c r="F15856" i="3"/>
  <c r="F15855" i="3"/>
  <c r="F15854" i="3"/>
  <c r="F15853" i="3"/>
  <c r="F15852" i="3"/>
  <c r="F15851" i="3"/>
  <c r="F15850" i="3"/>
  <c r="F15849" i="3"/>
  <c r="F15848" i="3"/>
  <c r="F15847" i="3"/>
  <c r="F15846" i="3"/>
  <c r="F15845" i="3"/>
  <c r="F15844" i="3"/>
  <c r="F15843" i="3"/>
  <c r="F15842" i="3"/>
  <c r="F15841" i="3"/>
  <c r="F15840" i="3"/>
  <c r="F15839" i="3"/>
  <c r="F15838" i="3"/>
  <c r="F15837" i="3"/>
  <c r="F15836" i="3"/>
  <c r="F15835" i="3"/>
  <c r="F15834" i="3"/>
  <c r="F15833" i="3"/>
  <c r="F15832" i="3"/>
  <c r="F15831" i="3"/>
  <c r="F15830" i="3"/>
  <c r="F15829" i="3"/>
  <c r="F15828" i="3"/>
  <c r="F15827" i="3"/>
  <c r="F15826" i="3"/>
  <c r="F15825" i="3"/>
  <c r="F15824" i="3"/>
  <c r="F15823" i="3"/>
  <c r="F15822" i="3"/>
  <c r="F15821" i="3"/>
  <c r="F15820" i="3"/>
  <c r="F15819" i="3"/>
  <c r="F15818" i="3"/>
  <c r="F15817" i="3"/>
  <c r="F15816" i="3"/>
  <c r="F15815" i="3"/>
  <c r="F15814" i="3"/>
  <c r="F15813" i="3"/>
  <c r="F15812" i="3"/>
  <c r="F15811" i="3"/>
  <c r="F15810" i="3"/>
  <c r="F15809" i="3"/>
  <c r="F15808" i="3"/>
  <c r="F15807" i="3"/>
  <c r="F15806" i="3"/>
  <c r="F15805" i="3"/>
  <c r="F15804" i="3"/>
  <c r="F15803" i="3"/>
  <c r="F15802" i="3"/>
  <c r="F15801" i="3"/>
  <c r="F15800" i="3"/>
  <c r="F15799" i="3"/>
  <c r="F15798" i="3"/>
  <c r="F15797" i="3"/>
  <c r="F15796" i="3"/>
  <c r="F15795" i="3"/>
  <c r="F15794" i="3"/>
  <c r="F15793" i="3"/>
  <c r="F15792" i="3"/>
  <c r="F15791" i="3"/>
  <c r="F15790" i="3"/>
  <c r="F15789" i="3"/>
  <c r="F15788" i="3"/>
  <c r="F15787" i="3"/>
  <c r="F15786" i="3"/>
  <c r="F15785" i="3"/>
  <c r="F15784" i="3"/>
  <c r="F15783" i="3"/>
  <c r="F15782" i="3"/>
  <c r="F15781" i="3"/>
  <c r="F15780" i="3"/>
  <c r="F15779" i="3"/>
  <c r="F15778" i="3"/>
  <c r="F15777" i="3"/>
  <c r="F15776" i="3"/>
  <c r="F15775" i="3"/>
  <c r="F15774" i="3"/>
  <c r="F15773" i="3"/>
  <c r="F15772" i="3"/>
  <c r="F15771" i="3"/>
  <c r="F15770" i="3"/>
  <c r="F15769" i="3"/>
  <c r="F15768" i="3"/>
  <c r="F15767" i="3"/>
  <c r="F15766" i="3"/>
  <c r="F15765" i="3"/>
  <c r="F15764" i="3"/>
  <c r="F15763" i="3"/>
  <c r="F15762" i="3"/>
  <c r="F15761" i="3"/>
  <c r="F15760" i="3"/>
  <c r="F15759" i="3"/>
  <c r="F15758" i="3"/>
  <c r="F15757" i="3"/>
  <c r="F15756" i="3"/>
  <c r="F15755" i="3"/>
  <c r="F15754" i="3"/>
  <c r="F15753" i="3"/>
  <c r="F15752" i="3"/>
  <c r="F15751" i="3"/>
  <c r="F15750" i="3"/>
  <c r="F15749" i="3"/>
  <c r="F15748" i="3"/>
  <c r="F15747" i="3"/>
  <c r="F15746" i="3"/>
  <c r="F15745" i="3"/>
  <c r="F15744" i="3"/>
  <c r="F15743" i="3"/>
  <c r="F15742" i="3"/>
  <c r="F15741" i="3"/>
  <c r="F15740" i="3"/>
  <c r="F15739" i="3"/>
  <c r="F15738" i="3"/>
  <c r="F15737" i="3"/>
  <c r="F15736" i="3"/>
  <c r="F15735" i="3"/>
  <c r="F15734" i="3"/>
  <c r="F15733" i="3"/>
  <c r="F15732" i="3"/>
  <c r="F15731" i="3"/>
  <c r="F15730" i="3"/>
  <c r="F15729" i="3"/>
  <c r="F15728" i="3"/>
  <c r="F15727" i="3"/>
  <c r="F15726" i="3"/>
  <c r="F15725" i="3"/>
  <c r="F15724" i="3"/>
  <c r="F15723" i="3"/>
  <c r="F15722" i="3"/>
  <c r="F15721" i="3"/>
  <c r="F15720" i="3"/>
  <c r="F15719" i="3"/>
  <c r="F15718" i="3"/>
  <c r="F15717" i="3"/>
  <c r="F15716" i="3"/>
  <c r="F15715" i="3"/>
  <c r="F15714" i="3"/>
  <c r="F15713" i="3"/>
  <c r="F15712" i="3"/>
  <c r="F15711" i="3"/>
  <c r="F15710" i="3"/>
  <c r="F15709" i="3"/>
  <c r="F15708" i="3"/>
  <c r="F15707" i="3"/>
  <c r="F15706" i="3"/>
  <c r="F15705" i="3"/>
  <c r="F15704" i="3"/>
  <c r="F15703" i="3"/>
  <c r="F15702" i="3"/>
  <c r="F15701" i="3"/>
  <c r="F15700" i="3"/>
  <c r="F15699" i="3"/>
  <c r="F15698" i="3"/>
  <c r="F15697" i="3"/>
  <c r="F15696" i="3"/>
  <c r="F15695" i="3"/>
  <c r="F15694" i="3"/>
  <c r="F15693" i="3"/>
  <c r="F15692" i="3"/>
  <c r="F15691" i="3"/>
  <c r="F15690" i="3"/>
  <c r="F15689" i="3"/>
  <c r="F15688" i="3"/>
  <c r="F15687" i="3"/>
  <c r="F15686" i="3"/>
  <c r="F15685" i="3"/>
  <c r="F15684" i="3"/>
  <c r="F15683" i="3"/>
  <c r="F15682" i="3"/>
  <c r="F15681" i="3"/>
  <c r="F15680" i="3"/>
  <c r="F15679" i="3"/>
  <c r="F15678" i="3"/>
  <c r="F15677" i="3"/>
  <c r="F15676" i="3"/>
  <c r="F15675" i="3"/>
  <c r="F15674" i="3"/>
  <c r="F15673" i="3"/>
  <c r="F15672" i="3"/>
  <c r="F15671" i="3"/>
  <c r="F15670" i="3"/>
  <c r="F15669" i="3"/>
  <c r="F15668" i="3"/>
  <c r="F15667" i="3"/>
  <c r="F15666" i="3"/>
  <c r="F15665" i="3"/>
  <c r="F15664" i="3"/>
  <c r="F15663" i="3"/>
  <c r="F15662" i="3"/>
  <c r="F15661" i="3"/>
  <c r="F15660" i="3"/>
  <c r="F15659" i="3"/>
  <c r="F15658" i="3"/>
  <c r="F15657" i="3"/>
  <c r="F15656" i="3"/>
  <c r="F15655" i="3"/>
  <c r="F15654" i="3"/>
  <c r="F15653" i="3"/>
  <c r="F15652" i="3"/>
  <c r="F15651" i="3"/>
  <c r="F15650" i="3"/>
  <c r="F15649" i="3"/>
  <c r="F15648" i="3"/>
  <c r="F15647" i="3"/>
  <c r="F15646" i="3"/>
  <c r="F15645" i="3"/>
  <c r="F15644" i="3"/>
  <c r="F15643" i="3"/>
  <c r="F15642" i="3"/>
  <c r="F15641" i="3"/>
  <c r="F15640" i="3"/>
  <c r="F15639" i="3"/>
  <c r="F15638" i="3"/>
  <c r="F15637" i="3"/>
  <c r="F15636" i="3"/>
  <c r="F15635" i="3"/>
  <c r="F15634" i="3"/>
  <c r="F15633" i="3"/>
  <c r="F15632" i="3"/>
  <c r="F15631" i="3"/>
  <c r="F15630" i="3"/>
  <c r="F15629" i="3"/>
  <c r="F15628" i="3"/>
  <c r="F15627" i="3"/>
  <c r="F15626" i="3"/>
  <c r="F15625" i="3"/>
  <c r="F15624" i="3"/>
  <c r="F15623" i="3"/>
  <c r="F15622" i="3"/>
  <c r="F15621" i="3"/>
  <c r="F15620" i="3"/>
  <c r="F15619" i="3"/>
  <c r="F15618" i="3"/>
  <c r="F15617" i="3"/>
  <c r="F15616" i="3"/>
  <c r="F15615" i="3"/>
  <c r="F15614" i="3"/>
  <c r="F15613" i="3"/>
  <c r="F15612" i="3"/>
  <c r="F15611" i="3"/>
  <c r="F15610" i="3"/>
  <c r="F15609" i="3"/>
  <c r="F15608" i="3"/>
  <c r="F15607" i="3"/>
  <c r="F15606" i="3"/>
  <c r="F15605" i="3"/>
  <c r="F15604" i="3"/>
  <c r="F15603" i="3"/>
  <c r="F15602" i="3"/>
  <c r="F15601" i="3"/>
  <c r="F15600" i="3"/>
  <c r="F15599" i="3"/>
  <c r="F15598" i="3"/>
  <c r="F15597" i="3"/>
  <c r="F15596" i="3"/>
  <c r="F15595" i="3"/>
  <c r="F15594" i="3"/>
  <c r="F15593" i="3"/>
  <c r="F15592" i="3"/>
  <c r="F15591" i="3"/>
  <c r="F15590" i="3"/>
  <c r="F15589" i="3"/>
  <c r="F15588" i="3"/>
  <c r="F15587" i="3"/>
  <c r="F15586" i="3"/>
  <c r="F15585" i="3"/>
  <c r="F15584" i="3"/>
  <c r="F15583" i="3"/>
  <c r="F15582" i="3"/>
  <c r="F15581" i="3"/>
  <c r="F15580" i="3"/>
  <c r="F15579" i="3"/>
  <c r="F15578" i="3"/>
  <c r="F15577" i="3"/>
  <c r="F15576" i="3"/>
  <c r="F15575" i="3"/>
  <c r="F15574" i="3"/>
  <c r="F15573" i="3"/>
  <c r="F15572" i="3"/>
  <c r="F15571" i="3"/>
  <c r="F15570" i="3"/>
  <c r="F15569" i="3"/>
  <c r="F15568" i="3"/>
  <c r="F15567" i="3"/>
  <c r="F15566" i="3"/>
  <c r="F15565" i="3"/>
  <c r="F15564" i="3"/>
  <c r="F15563" i="3"/>
  <c r="F15562" i="3"/>
  <c r="F15561" i="3"/>
  <c r="F15560" i="3"/>
  <c r="F15559" i="3"/>
  <c r="F15558" i="3"/>
  <c r="F15557" i="3"/>
  <c r="F15556" i="3"/>
  <c r="F15555" i="3"/>
  <c r="F15554" i="3"/>
  <c r="F15553" i="3"/>
  <c r="F15552" i="3"/>
  <c r="F15551" i="3"/>
  <c r="F15550" i="3"/>
  <c r="F15549" i="3"/>
  <c r="F15548" i="3"/>
  <c r="F15547" i="3"/>
  <c r="F15546" i="3"/>
  <c r="F15545" i="3"/>
  <c r="F15544" i="3"/>
  <c r="F15543" i="3"/>
  <c r="F15542" i="3"/>
  <c r="F15541" i="3"/>
  <c r="F15540" i="3"/>
  <c r="F15539" i="3"/>
  <c r="F15538" i="3"/>
  <c r="F15537" i="3"/>
  <c r="F15536" i="3"/>
  <c r="F15535" i="3"/>
  <c r="F15534" i="3"/>
  <c r="F15533" i="3"/>
  <c r="F15532" i="3"/>
  <c r="F15531" i="3"/>
  <c r="F15530" i="3"/>
  <c r="F15529" i="3"/>
  <c r="F15528" i="3"/>
  <c r="F15527" i="3"/>
  <c r="F15526" i="3"/>
  <c r="F15525" i="3"/>
  <c r="F15524" i="3"/>
  <c r="F15523" i="3"/>
  <c r="F15522" i="3"/>
  <c r="F15521" i="3"/>
  <c r="F15520" i="3"/>
  <c r="F15519" i="3"/>
  <c r="F15518" i="3"/>
  <c r="F15517" i="3"/>
  <c r="F15516" i="3"/>
  <c r="F15515" i="3"/>
  <c r="F15514" i="3"/>
  <c r="F15513" i="3"/>
  <c r="F15512" i="3"/>
  <c r="F15511" i="3"/>
  <c r="F15510" i="3"/>
  <c r="F15509" i="3"/>
  <c r="F15508" i="3"/>
  <c r="F15507" i="3"/>
  <c r="F15506" i="3"/>
  <c r="F15505" i="3"/>
  <c r="F15504" i="3"/>
  <c r="F15503" i="3"/>
  <c r="F15502" i="3"/>
  <c r="F15501" i="3"/>
  <c r="F15500" i="3"/>
  <c r="F15499" i="3"/>
  <c r="F15498" i="3"/>
  <c r="F15497" i="3"/>
  <c r="F15496" i="3"/>
  <c r="F15495" i="3"/>
  <c r="F15494" i="3"/>
  <c r="F15493" i="3"/>
  <c r="F15492" i="3"/>
  <c r="F15491" i="3"/>
  <c r="F15490" i="3"/>
  <c r="F15489" i="3"/>
  <c r="F15488" i="3"/>
  <c r="F15487" i="3"/>
  <c r="F15486" i="3"/>
  <c r="F15485" i="3"/>
  <c r="F15484" i="3"/>
  <c r="F15483" i="3"/>
  <c r="F15482" i="3"/>
  <c r="F15481" i="3"/>
  <c r="F15480" i="3"/>
  <c r="F15479" i="3"/>
  <c r="F15478" i="3"/>
  <c r="F15477" i="3"/>
  <c r="F15476" i="3"/>
  <c r="F15475" i="3"/>
  <c r="F15474" i="3"/>
  <c r="F15473" i="3"/>
  <c r="F15472" i="3"/>
  <c r="F15471" i="3"/>
  <c r="F15470" i="3"/>
  <c r="F15469" i="3"/>
  <c r="F15468" i="3"/>
  <c r="F15467" i="3"/>
  <c r="F15466" i="3"/>
  <c r="F15465" i="3"/>
  <c r="F15464" i="3"/>
  <c r="F15463" i="3"/>
  <c r="F15462" i="3"/>
  <c r="F15461" i="3"/>
  <c r="F15460" i="3"/>
  <c r="F15459" i="3"/>
  <c r="F15458" i="3"/>
  <c r="F15457" i="3"/>
  <c r="F15456" i="3"/>
  <c r="F15455" i="3"/>
  <c r="F15454" i="3"/>
  <c r="F15453" i="3"/>
  <c r="F15452" i="3"/>
  <c r="F15451" i="3"/>
  <c r="F15450" i="3"/>
  <c r="F15449" i="3"/>
  <c r="F15448" i="3"/>
  <c r="F15447" i="3"/>
  <c r="F15446" i="3"/>
  <c r="F15445" i="3"/>
  <c r="F15444" i="3"/>
  <c r="F15443" i="3"/>
  <c r="F15442" i="3"/>
  <c r="F15441" i="3"/>
  <c r="F15440" i="3"/>
  <c r="F15439" i="3"/>
  <c r="F15438" i="3"/>
  <c r="F15437" i="3"/>
  <c r="F15436" i="3"/>
  <c r="F15435" i="3"/>
  <c r="F15434" i="3"/>
  <c r="F15433" i="3"/>
  <c r="F15432" i="3"/>
  <c r="F15431" i="3"/>
  <c r="F15430" i="3"/>
  <c r="F15429" i="3"/>
  <c r="F15428" i="3"/>
  <c r="F15427" i="3"/>
  <c r="F15426" i="3"/>
  <c r="F15425" i="3"/>
  <c r="F15424" i="3"/>
  <c r="F15423" i="3"/>
  <c r="F15422" i="3"/>
  <c r="F15421" i="3"/>
  <c r="F15420" i="3"/>
  <c r="F15419" i="3"/>
  <c r="F15418" i="3"/>
  <c r="F15417" i="3"/>
  <c r="F15416" i="3"/>
  <c r="F15415" i="3"/>
  <c r="F15414" i="3"/>
  <c r="F15413" i="3"/>
  <c r="F15412" i="3"/>
  <c r="F15411" i="3"/>
  <c r="F15410" i="3"/>
  <c r="F15409" i="3"/>
  <c r="F15408" i="3"/>
  <c r="F15407" i="3"/>
  <c r="F15406" i="3"/>
  <c r="F15405" i="3"/>
  <c r="F15404" i="3"/>
  <c r="F15403" i="3"/>
  <c r="F15402" i="3"/>
  <c r="F15401" i="3"/>
  <c r="F15400" i="3"/>
  <c r="F15399" i="3"/>
  <c r="F15398" i="3"/>
  <c r="F15397" i="3"/>
  <c r="F15396" i="3"/>
  <c r="F15395" i="3"/>
  <c r="F15394" i="3"/>
  <c r="F15393" i="3"/>
  <c r="F15392" i="3"/>
  <c r="F15391" i="3"/>
  <c r="F15390" i="3"/>
  <c r="F15389" i="3"/>
  <c r="F15388" i="3"/>
  <c r="F15387" i="3"/>
  <c r="F15386" i="3"/>
  <c r="F15385" i="3"/>
  <c r="F15384" i="3"/>
  <c r="F15383" i="3"/>
  <c r="F15382" i="3"/>
  <c r="F15381" i="3"/>
  <c r="F15380" i="3"/>
  <c r="F15379" i="3"/>
  <c r="F15378" i="3"/>
  <c r="F15377" i="3"/>
  <c r="F15376" i="3"/>
  <c r="F15375" i="3"/>
  <c r="F15374" i="3"/>
  <c r="F15373" i="3"/>
  <c r="F15372" i="3"/>
  <c r="F15371" i="3"/>
  <c r="F15370" i="3"/>
  <c r="F15369" i="3"/>
  <c r="F15368" i="3"/>
  <c r="F15367" i="3"/>
  <c r="F15366" i="3"/>
  <c r="F15365" i="3"/>
  <c r="F15364" i="3"/>
  <c r="F15363" i="3"/>
  <c r="F15362" i="3"/>
  <c r="F15361" i="3"/>
  <c r="F15360" i="3"/>
  <c r="F15359" i="3"/>
  <c r="F15358" i="3"/>
  <c r="F15357" i="3"/>
  <c r="F15356" i="3"/>
  <c r="F15355" i="3"/>
  <c r="F15354" i="3"/>
  <c r="F15353" i="3"/>
  <c r="F15352" i="3"/>
  <c r="F15351" i="3"/>
  <c r="F15350" i="3"/>
  <c r="F15349" i="3"/>
  <c r="F15348" i="3"/>
  <c r="F15347" i="3"/>
  <c r="F15346" i="3"/>
  <c r="F15345" i="3"/>
  <c r="F15344" i="3"/>
  <c r="F15343" i="3"/>
  <c r="F15342" i="3"/>
  <c r="F15341" i="3"/>
  <c r="F15340" i="3"/>
  <c r="F15339" i="3"/>
  <c r="F15338" i="3"/>
  <c r="F15337" i="3"/>
  <c r="F15336" i="3"/>
  <c r="F15335" i="3"/>
  <c r="F15334" i="3"/>
  <c r="F15333" i="3"/>
  <c r="F15332" i="3"/>
  <c r="F15331" i="3"/>
  <c r="F15330" i="3"/>
  <c r="F15329" i="3"/>
  <c r="F15328" i="3"/>
  <c r="F15327" i="3"/>
  <c r="F15326" i="3"/>
  <c r="F15325" i="3"/>
  <c r="F15324" i="3"/>
  <c r="F15323" i="3"/>
  <c r="F15322" i="3"/>
  <c r="F15321" i="3"/>
  <c r="F15320" i="3"/>
  <c r="F15319" i="3"/>
  <c r="F15318" i="3"/>
  <c r="F15317" i="3"/>
  <c r="F15316" i="3"/>
  <c r="F15315" i="3"/>
  <c r="F15314" i="3"/>
  <c r="F15313" i="3"/>
  <c r="F15312" i="3"/>
  <c r="F15311" i="3"/>
  <c r="F15310" i="3"/>
  <c r="F15309" i="3"/>
  <c r="F15308" i="3"/>
  <c r="F15307" i="3"/>
  <c r="F15306" i="3"/>
  <c r="F15305" i="3"/>
  <c r="F15304" i="3"/>
  <c r="F15303" i="3"/>
  <c r="F15302" i="3"/>
  <c r="F15301" i="3"/>
  <c r="F15300" i="3"/>
  <c r="F15299" i="3"/>
  <c r="F15298" i="3"/>
  <c r="F15297" i="3"/>
  <c r="F15296" i="3"/>
  <c r="F15295" i="3"/>
  <c r="F15294" i="3"/>
  <c r="F15293" i="3"/>
  <c r="F15292" i="3"/>
  <c r="F15291" i="3"/>
  <c r="F15290" i="3"/>
  <c r="F15289" i="3"/>
  <c r="F15288" i="3"/>
  <c r="F15287" i="3"/>
  <c r="F15286" i="3"/>
  <c r="F15285" i="3"/>
  <c r="F15284" i="3"/>
  <c r="F15283" i="3"/>
  <c r="F15282" i="3"/>
  <c r="F15281" i="3"/>
  <c r="F15280" i="3"/>
  <c r="F15279" i="3"/>
  <c r="F15278" i="3"/>
  <c r="F15277" i="3"/>
  <c r="F15276" i="3"/>
  <c r="F15275" i="3"/>
  <c r="F15274" i="3"/>
  <c r="F15273" i="3"/>
  <c r="F15272" i="3"/>
  <c r="F15271" i="3"/>
  <c r="F15270" i="3"/>
  <c r="F15269" i="3"/>
  <c r="F15268" i="3"/>
  <c r="F15267" i="3"/>
  <c r="F15266" i="3"/>
  <c r="F15265" i="3"/>
  <c r="F15264" i="3"/>
  <c r="F15263" i="3"/>
  <c r="F15262" i="3"/>
  <c r="F15261" i="3"/>
  <c r="F15260" i="3"/>
  <c r="F15259" i="3"/>
  <c r="F15258" i="3"/>
  <c r="F15257" i="3"/>
  <c r="F15256" i="3"/>
  <c r="F15255" i="3"/>
  <c r="F15254" i="3"/>
  <c r="F15253" i="3"/>
  <c r="F15252" i="3"/>
  <c r="F15251" i="3"/>
  <c r="F15250" i="3"/>
  <c r="F15249" i="3"/>
  <c r="F15248" i="3"/>
  <c r="F15247" i="3"/>
  <c r="F15246" i="3"/>
  <c r="F15245" i="3"/>
  <c r="F15244" i="3"/>
  <c r="F15243" i="3"/>
  <c r="F15242" i="3"/>
  <c r="F15241" i="3"/>
  <c r="F15240" i="3"/>
  <c r="F15239" i="3"/>
  <c r="F15238" i="3"/>
  <c r="F15237" i="3"/>
  <c r="F15236" i="3"/>
  <c r="F15235" i="3"/>
  <c r="F15234" i="3"/>
  <c r="F15233" i="3"/>
  <c r="F15232" i="3"/>
  <c r="F15231" i="3"/>
  <c r="F15230" i="3"/>
  <c r="F15229" i="3"/>
  <c r="F15228" i="3"/>
  <c r="F15227" i="3"/>
  <c r="F15226" i="3"/>
  <c r="F15225" i="3"/>
  <c r="F15224" i="3"/>
  <c r="F15223" i="3"/>
  <c r="F15222" i="3"/>
  <c r="F15221" i="3"/>
  <c r="F15220" i="3"/>
  <c r="F15219" i="3"/>
  <c r="F15218" i="3"/>
  <c r="F15217" i="3"/>
  <c r="F15216" i="3"/>
  <c r="F15215" i="3"/>
  <c r="F15214" i="3"/>
  <c r="F15213" i="3"/>
  <c r="F15212" i="3"/>
  <c r="F15211" i="3"/>
  <c r="F15210" i="3"/>
  <c r="F15209" i="3"/>
  <c r="F15208" i="3"/>
  <c r="F15207" i="3"/>
  <c r="F15206" i="3"/>
  <c r="F15205" i="3"/>
  <c r="F15204" i="3"/>
  <c r="F15203" i="3"/>
  <c r="F15202" i="3"/>
  <c r="F15201" i="3"/>
  <c r="F15200" i="3"/>
  <c r="F15199" i="3"/>
  <c r="F15198" i="3"/>
  <c r="F15197" i="3"/>
  <c r="F15196" i="3"/>
  <c r="F15195" i="3"/>
  <c r="F15194" i="3"/>
  <c r="F15193" i="3"/>
  <c r="F15192" i="3"/>
  <c r="F15191" i="3"/>
  <c r="F15190" i="3"/>
  <c r="F15189" i="3"/>
  <c r="F15188" i="3"/>
  <c r="F15187" i="3"/>
  <c r="F15186" i="3"/>
  <c r="F15185" i="3"/>
  <c r="F15184" i="3"/>
  <c r="F15183" i="3"/>
  <c r="F15182" i="3"/>
  <c r="F15181" i="3"/>
  <c r="F15180" i="3"/>
  <c r="F15179" i="3"/>
  <c r="F15178" i="3"/>
  <c r="F15177" i="3"/>
  <c r="F15176" i="3"/>
  <c r="F15175" i="3"/>
  <c r="F15174" i="3"/>
  <c r="F15173" i="3"/>
  <c r="F15172" i="3"/>
  <c r="F15171" i="3"/>
  <c r="F15170" i="3"/>
  <c r="F15169" i="3"/>
  <c r="F15168" i="3"/>
  <c r="F15167" i="3"/>
  <c r="F15166" i="3"/>
  <c r="F15165" i="3"/>
  <c r="F15164" i="3"/>
  <c r="F15163" i="3"/>
  <c r="F15162" i="3"/>
  <c r="F15161" i="3"/>
  <c r="F15160" i="3"/>
  <c r="F15159" i="3"/>
  <c r="F15158" i="3"/>
  <c r="F15157" i="3"/>
  <c r="F15156" i="3"/>
  <c r="F15155" i="3"/>
  <c r="F15154" i="3"/>
  <c r="F15153" i="3"/>
  <c r="F15152" i="3"/>
  <c r="F15151" i="3"/>
  <c r="F15150" i="3"/>
  <c r="F15149" i="3"/>
  <c r="F15148" i="3"/>
  <c r="F15147" i="3"/>
  <c r="F15146" i="3"/>
  <c r="F15145" i="3"/>
  <c r="F15144" i="3"/>
  <c r="F15143" i="3"/>
  <c r="F15142" i="3"/>
  <c r="F15141" i="3"/>
  <c r="F15140" i="3"/>
  <c r="F15139" i="3"/>
  <c r="F15138" i="3"/>
  <c r="F15137" i="3"/>
  <c r="F15136" i="3"/>
  <c r="F15135" i="3"/>
  <c r="F15134" i="3"/>
  <c r="F15133" i="3"/>
  <c r="F15132" i="3"/>
  <c r="F15131" i="3"/>
  <c r="F15130" i="3"/>
  <c r="F15129" i="3"/>
  <c r="F15128" i="3"/>
  <c r="F15127" i="3"/>
  <c r="F15126" i="3"/>
  <c r="F15125" i="3"/>
  <c r="F15124" i="3"/>
  <c r="F15123" i="3"/>
  <c r="F15122" i="3"/>
  <c r="F15121" i="3"/>
  <c r="F15120" i="3"/>
  <c r="F15119" i="3"/>
  <c r="F15118" i="3"/>
  <c r="F15117" i="3"/>
  <c r="F15116" i="3"/>
  <c r="F15115" i="3"/>
  <c r="F15114" i="3"/>
  <c r="F15113" i="3"/>
  <c r="F15112" i="3"/>
  <c r="F15111" i="3"/>
  <c r="F15110" i="3"/>
  <c r="F15109" i="3"/>
  <c r="F15108" i="3"/>
  <c r="F15107" i="3"/>
  <c r="F15106" i="3"/>
  <c r="F15105" i="3"/>
  <c r="F15104" i="3"/>
  <c r="F15103" i="3"/>
  <c r="F15102" i="3"/>
  <c r="F15101" i="3"/>
  <c r="F15100" i="3"/>
  <c r="F15099" i="3"/>
  <c r="F15098" i="3"/>
  <c r="F15097" i="3"/>
  <c r="F15096" i="3"/>
  <c r="F15095" i="3"/>
  <c r="F15094" i="3"/>
  <c r="F15093" i="3"/>
  <c r="F15092" i="3"/>
  <c r="F15091" i="3"/>
  <c r="F15090" i="3"/>
  <c r="F15089" i="3"/>
  <c r="F15088" i="3"/>
  <c r="F15087" i="3"/>
  <c r="F15086" i="3"/>
  <c r="F15085" i="3"/>
  <c r="F15084" i="3"/>
  <c r="F15083" i="3"/>
  <c r="F15082" i="3"/>
  <c r="F15081" i="3"/>
  <c r="F15080" i="3"/>
  <c r="F15079" i="3"/>
  <c r="F15078" i="3"/>
  <c r="F15077" i="3"/>
  <c r="F15076" i="3"/>
  <c r="F15075" i="3"/>
  <c r="F15074" i="3"/>
  <c r="F15073" i="3"/>
  <c r="F15072" i="3"/>
  <c r="F15071" i="3"/>
  <c r="F15070" i="3"/>
  <c r="F15069" i="3"/>
  <c r="F15068" i="3"/>
  <c r="F15067" i="3"/>
  <c r="F15066" i="3"/>
  <c r="F15065" i="3"/>
  <c r="F15064" i="3"/>
  <c r="F15063" i="3"/>
  <c r="F15062" i="3"/>
  <c r="F15061" i="3"/>
  <c r="F15060" i="3"/>
  <c r="F15059" i="3"/>
  <c r="F15058" i="3"/>
  <c r="F15057" i="3"/>
  <c r="F15056" i="3"/>
  <c r="F15055" i="3"/>
  <c r="F15054" i="3"/>
  <c r="F15053" i="3"/>
  <c r="F15052" i="3"/>
  <c r="F15051" i="3"/>
  <c r="F15050" i="3"/>
  <c r="F15049" i="3"/>
  <c r="F15048" i="3"/>
  <c r="F15047" i="3"/>
  <c r="F15046" i="3"/>
  <c r="F15045" i="3"/>
  <c r="F15044" i="3"/>
  <c r="F15043" i="3"/>
  <c r="F15042" i="3"/>
  <c r="F15041" i="3"/>
  <c r="F15040" i="3"/>
  <c r="F15039" i="3"/>
  <c r="F15038" i="3"/>
  <c r="F15037" i="3"/>
  <c r="F15036" i="3"/>
  <c r="F15035" i="3"/>
  <c r="F15034" i="3"/>
  <c r="F15033" i="3"/>
  <c r="F15032" i="3"/>
  <c r="F15031" i="3"/>
  <c r="F15030" i="3"/>
  <c r="F15029" i="3"/>
  <c r="F15028" i="3"/>
  <c r="F15027" i="3"/>
  <c r="F15026" i="3"/>
  <c r="F15025" i="3"/>
  <c r="F15024" i="3"/>
  <c r="F15023" i="3"/>
  <c r="F15022" i="3"/>
  <c r="F15021" i="3"/>
  <c r="F15020" i="3"/>
  <c r="F15019" i="3"/>
  <c r="F15018" i="3"/>
  <c r="F15017" i="3"/>
  <c r="F15016" i="3"/>
  <c r="F15015" i="3"/>
  <c r="F15014" i="3"/>
  <c r="F15013" i="3"/>
  <c r="F15012" i="3"/>
  <c r="F15011" i="3"/>
  <c r="F15010" i="3"/>
  <c r="F15009" i="3"/>
  <c r="F15008" i="3"/>
  <c r="F15007" i="3"/>
  <c r="F15006" i="3"/>
  <c r="F15005" i="3"/>
  <c r="F15004" i="3"/>
  <c r="F15003" i="3"/>
  <c r="F15002" i="3"/>
  <c r="F15001" i="3"/>
  <c r="F15000" i="3"/>
  <c r="F14999" i="3"/>
  <c r="F14998" i="3"/>
  <c r="F14997" i="3"/>
  <c r="F14996" i="3"/>
  <c r="F14995" i="3"/>
  <c r="F14994" i="3"/>
  <c r="F14993" i="3"/>
  <c r="F14992" i="3"/>
  <c r="F14991" i="3"/>
  <c r="F14990" i="3"/>
  <c r="F14989" i="3"/>
  <c r="F14988" i="3"/>
  <c r="F14987" i="3"/>
  <c r="F14986" i="3"/>
  <c r="F14985" i="3"/>
  <c r="F14984" i="3"/>
  <c r="F14983" i="3"/>
  <c r="F14982" i="3"/>
  <c r="F14981" i="3"/>
  <c r="F14980" i="3"/>
  <c r="F14979" i="3"/>
  <c r="F14978" i="3"/>
  <c r="F14977" i="3"/>
  <c r="F14976" i="3"/>
  <c r="F14975" i="3"/>
  <c r="F14974" i="3"/>
  <c r="F14973" i="3"/>
  <c r="F14972" i="3"/>
  <c r="F14971" i="3"/>
  <c r="F14970" i="3"/>
  <c r="F14969" i="3"/>
  <c r="F14968" i="3"/>
  <c r="F14967" i="3"/>
  <c r="F14966" i="3"/>
  <c r="F14965" i="3"/>
  <c r="F14964" i="3"/>
  <c r="F14963" i="3"/>
  <c r="F14962" i="3"/>
  <c r="F14961" i="3"/>
  <c r="F14960" i="3"/>
  <c r="F14959" i="3"/>
  <c r="F14958" i="3"/>
  <c r="F14957" i="3"/>
  <c r="F14956" i="3"/>
  <c r="F14955" i="3"/>
  <c r="F14954" i="3"/>
  <c r="F14953" i="3"/>
  <c r="F14952" i="3"/>
  <c r="F14951" i="3"/>
  <c r="F14950" i="3"/>
  <c r="F14949" i="3"/>
  <c r="F14948" i="3"/>
  <c r="F14947" i="3"/>
  <c r="F14946" i="3"/>
  <c r="F14945" i="3"/>
  <c r="F14944" i="3"/>
  <c r="F14943" i="3"/>
  <c r="F14942" i="3"/>
  <c r="F14941" i="3"/>
  <c r="F14940" i="3"/>
  <c r="F14939" i="3"/>
  <c r="F14938" i="3"/>
  <c r="F14937" i="3"/>
  <c r="F14936" i="3"/>
  <c r="F14935" i="3"/>
  <c r="F14934" i="3"/>
  <c r="F14933" i="3"/>
  <c r="F14932" i="3"/>
  <c r="F14931" i="3"/>
  <c r="F14930" i="3"/>
  <c r="F14929" i="3"/>
  <c r="F14928" i="3"/>
  <c r="F14927" i="3"/>
  <c r="F14926" i="3"/>
  <c r="F14925" i="3"/>
  <c r="F14924" i="3"/>
  <c r="F14923" i="3"/>
  <c r="F14922" i="3"/>
  <c r="F14921" i="3"/>
  <c r="F14920" i="3"/>
  <c r="F14919" i="3"/>
  <c r="F14918" i="3"/>
  <c r="F14917" i="3"/>
  <c r="F14916" i="3"/>
  <c r="F14915" i="3"/>
  <c r="F14914" i="3"/>
  <c r="F14913" i="3"/>
  <c r="F14912" i="3"/>
  <c r="F14911" i="3"/>
  <c r="F14910" i="3"/>
  <c r="F14909" i="3"/>
  <c r="F14908" i="3"/>
  <c r="F14907" i="3"/>
  <c r="F14906" i="3"/>
  <c r="F14905" i="3"/>
  <c r="F14904" i="3"/>
  <c r="F14903" i="3"/>
  <c r="F14902" i="3"/>
  <c r="F14901" i="3"/>
  <c r="F14900" i="3"/>
  <c r="F14899" i="3"/>
  <c r="F14898" i="3"/>
  <c r="F14897" i="3"/>
  <c r="F14896" i="3"/>
  <c r="F14895" i="3"/>
  <c r="F14894" i="3"/>
  <c r="F14893" i="3"/>
  <c r="F14892" i="3"/>
  <c r="F14891" i="3"/>
  <c r="F14890" i="3"/>
  <c r="F14889" i="3"/>
  <c r="F14888" i="3"/>
  <c r="F14887" i="3"/>
  <c r="F14886" i="3"/>
  <c r="F14885" i="3"/>
  <c r="F14884" i="3"/>
  <c r="F14883" i="3"/>
  <c r="F14882" i="3"/>
  <c r="F14881" i="3"/>
  <c r="F14880" i="3"/>
  <c r="F14879" i="3"/>
  <c r="F14878" i="3"/>
  <c r="F14877" i="3"/>
  <c r="F14876" i="3"/>
  <c r="F14875" i="3"/>
  <c r="F14874" i="3"/>
  <c r="F14873" i="3"/>
  <c r="F14872" i="3"/>
  <c r="F14871" i="3"/>
  <c r="F14870" i="3"/>
  <c r="F14869" i="3"/>
  <c r="F14868" i="3"/>
  <c r="F14867" i="3"/>
  <c r="F14866" i="3"/>
  <c r="F14865" i="3"/>
  <c r="F14864" i="3"/>
  <c r="F14863" i="3"/>
  <c r="F14862" i="3"/>
  <c r="F14861" i="3"/>
  <c r="F14860" i="3"/>
  <c r="F14859" i="3"/>
  <c r="F14858" i="3"/>
  <c r="F14857" i="3"/>
  <c r="F14856" i="3"/>
  <c r="F14855" i="3"/>
  <c r="F14854" i="3"/>
  <c r="F14853" i="3"/>
  <c r="F14852" i="3"/>
  <c r="F14851" i="3"/>
  <c r="F14850" i="3"/>
  <c r="F14849" i="3"/>
  <c r="F14848" i="3"/>
  <c r="F14847" i="3"/>
  <c r="F14846" i="3"/>
  <c r="F14845" i="3"/>
  <c r="F14844" i="3"/>
  <c r="F14843" i="3"/>
  <c r="F14842" i="3"/>
  <c r="F14841" i="3"/>
  <c r="F14840" i="3"/>
  <c r="F14839" i="3"/>
  <c r="F14838" i="3"/>
  <c r="F14837" i="3"/>
  <c r="F14836" i="3"/>
  <c r="F14835" i="3"/>
  <c r="F14834" i="3"/>
  <c r="F14833" i="3"/>
  <c r="F14832" i="3"/>
  <c r="F14831" i="3"/>
  <c r="F14830" i="3"/>
  <c r="F14829" i="3"/>
  <c r="F14828" i="3"/>
  <c r="F14827" i="3"/>
  <c r="F14826" i="3"/>
  <c r="F14825" i="3"/>
  <c r="F14824" i="3"/>
  <c r="F14823" i="3"/>
  <c r="F14822" i="3"/>
  <c r="F14821" i="3"/>
  <c r="F14820" i="3"/>
  <c r="F14819" i="3"/>
  <c r="F14818" i="3"/>
  <c r="F14817" i="3"/>
  <c r="F14816" i="3"/>
  <c r="F14815" i="3"/>
  <c r="F14814" i="3"/>
  <c r="F14813" i="3"/>
  <c r="F14812" i="3"/>
  <c r="F14811" i="3"/>
  <c r="F14810" i="3"/>
  <c r="F14809" i="3"/>
  <c r="F14808" i="3"/>
  <c r="F14807" i="3"/>
  <c r="F14806" i="3"/>
  <c r="F14805" i="3"/>
  <c r="F14804" i="3"/>
  <c r="F14803" i="3"/>
  <c r="F14802" i="3"/>
  <c r="F14801" i="3"/>
  <c r="F14800" i="3"/>
  <c r="F14799" i="3"/>
  <c r="F14798" i="3"/>
  <c r="F14797" i="3"/>
  <c r="F14796" i="3"/>
  <c r="F14795" i="3"/>
  <c r="F14794" i="3"/>
  <c r="F14793" i="3"/>
  <c r="F14792" i="3"/>
  <c r="F14791" i="3"/>
  <c r="F14790" i="3"/>
  <c r="F14789" i="3"/>
  <c r="F14788" i="3"/>
  <c r="F14787" i="3"/>
  <c r="F14786" i="3"/>
  <c r="F14785" i="3"/>
  <c r="F14784" i="3"/>
  <c r="F14783" i="3"/>
  <c r="F14782" i="3"/>
  <c r="F14781" i="3"/>
  <c r="F14780" i="3"/>
  <c r="F14779" i="3"/>
  <c r="F14778" i="3"/>
  <c r="F14777" i="3"/>
  <c r="F14776" i="3"/>
  <c r="F14775" i="3"/>
  <c r="F14774" i="3"/>
  <c r="F14773" i="3"/>
  <c r="F14772" i="3"/>
  <c r="F14771" i="3"/>
  <c r="F14770" i="3"/>
  <c r="F14769" i="3"/>
  <c r="F14768" i="3"/>
  <c r="F14767" i="3"/>
  <c r="F14766" i="3"/>
  <c r="F14765" i="3"/>
  <c r="F14764" i="3"/>
  <c r="F14763" i="3"/>
  <c r="F14762" i="3"/>
  <c r="F14761" i="3"/>
  <c r="F14760" i="3"/>
  <c r="F14759" i="3"/>
  <c r="F14758" i="3"/>
  <c r="F14757" i="3"/>
  <c r="F14756" i="3"/>
  <c r="F14755" i="3"/>
  <c r="F14754" i="3"/>
  <c r="F14753" i="3"/>
  <c r="F14752" i="3"/>
  <c r="F14751" i="3"/>
  <c r="F14750" i="3"/>
  <c r="F14749" i="3"/>
  <c r="F14748" i="3"/>
  <c r="F14747" i="3"/>
  <c r="F14746" i="3"/>
  <c r="F14745" i="3"/>
  <c r="F14744" i="3"/>
  <c r="F14743" i="3"/>
  <c r="F14742" i="3"/>
  <c r="F14741" i="3"/>
  <c r="F14740" i="3"/>
  <c r="F14739" i="3"/>
  <c r="F14738" i="3"/>
  <c r="F14737" i="3"/>
  <c r="F14736" i="3"/>
  <c r="F14735" i="3"/>
  <c r="F14734" i="3"/>
  <c r="F14733" i="3"/>
  <c r="F14732" i="3"/>
  <c r="F14731" i="3"/>
  <c r="F14730" i="3"/>
  <c r="F14729" i="3"/>
  <c r="F14728" i="3"/>
  <c r="F14727" i="3"/>
  <c r="F14726" i="3"/>
  <c r="F14725" i="3"/>
  <c r="F14724" i="3"/>
  <c r="F14723" i="3"/>
  <c r="F14722" i="3"/>
  <c r="F14721" i="3"/>
  <c r="F14720" i="3"/>
  <c r="F14719" i="3"/>
  <c r="F14718" i="3"/>
  <c r="F14717" i="3"/>
  <c r="F14716" i="3"/>
  <c r="F14715" i="3"/>
  <c r="F14714" i="3"/>
  <c r="F14713" i="3"/>
  <c r="F14712" i="3"/>
  <c r="F14711" i="3"/>
  <c r="F14710" i="3"/>
  <c r="F14709" i="3"/>
  <c r="F14708" i="3"/>
  <c r="F14707" i="3"/>
  <c r="F14706" i="3"/>
  <c r="F14705" i="3"/>
  <c r="F14704" i="3"/>
  <c r="F14703" i="3"/>
  <c r="F14702" i="3"/>
  <c r="F14701" i="3"/>
  <c r="F14700" i="3"/>
  <c r="F14699" i="3"/>
  <c r="F14698" i="3"/>
  <c r="F14697" i="3"/>
  <c r="F14696" i="3"/>
  <c r="F14695" i="3"/>
  <c r="F14694" i="3"/>
  <c r="F14693" i="3"/>
  <c r="F14692" i="3"/>
  <c r="F14691" i="3"/>
  <c r="F14690" i="3"/>
  <c r="F14689" i="3"/>
  <c r="F14688" i="3"/>
  <c r="F14687" i="3"/>
  <c r="F14686" i="3"/>
  <c r="F14685" i="3"/>
  <c r="F14684" i="3"/>
  <c r="F14683" i="3"/>
  <c r="F14682" i="3"/>
  <c r="F14681" i="3"/>
  <c r="F14680" i="3"/>
  <c r="F14679" i="3"/>
  <c r="F14678" i="3"/>
  <c r="F14677" i="3"/>
  <c r="F14676" i="3"/>
  <c r="F14675" i="3"/>
  <c r="F14674" i="3"/>
  <c r="F14673" i="3"/>
  <c r="F14672" i="3"/>
  <c r="F14671" i="3"/>
  <c r="F14670" i="3"/>
  <c r="F14669" i="3"/>
  <c r="F14668" i="3"/>
  <c r="F14667" i="3"/>
  <c r="F14666" i="3"/>
  <c r="F14665" i="3"/>
  <c r="F14664" i="3"/>
  <c r="F14663" i="3"/>
  <c r="F14662" i="3"/>
  <c r="F14661" i="3"/>
  <c r="F14660" i="3"/>
  <c r="F14659" i="3"/>
  <c r="F14658" i="3"/>
  <c r="F14657" i="3"/>
  <c r="F14656" i="3"/>
  <c r="F14655" i="3"/>
  <c r="F14654" i="3"/>
  <c r="F14653" i="3"/>
  <c r="F14652" i="3"/>
  <c r="F14651" i="3"/>
  <c r="F14650" i="3"/>
  <c r="F14649" i="3"/>
  <c r="F14648" i="3"/>
  <c r="F14647" i="3"/>
  <c r="F14646" i="3"/>
  <c r="F14645" i="3"/>
  <c r="F14644" i="3"/>
  <c r="F14643" i="3"/>
  <c r="F14642" i="3"/>
  <c r="F14641" i="3"/>
  <c r="F14640" i="3"/>
  <c r="F14639" i="3"/>
  <c r="F14638" i="3"/>
  <c r="F14637" i="3"/>
  <c r="F14636" i="3"/>
  <c r="F14635" i="3"/>
  <c r="F14634" i="3"/>
  <c r="F14633" i="3"/>
  <c r="F14632" i="3"/>
  <c r="F14631" i="3"/>
  <c r="F14630" i="3"/>
  <c r="F14629" i="3"/>
  <c r="F14628" i="3"/>
  <c r="F14627" i="3"/>
  <c r="F14626" i="3"/>
  <c r="F14625" i="3"/>
  <c r="F14624" i="3"/>
  <c r="F14623" i="3"/>
  <c r="F14622" i="3"/>
  <c r="F14621" i="3"/>
  <c r="F14620" i="3"/>
  <c r="F14619" i="3"/>
  <c r="F14618" i="3"/>
  <c r="F14617" i="3"/>
  <c r="F14616" i="3"/>
  <c r="F14615" i="3"/>
  <c r="F14614" i="3"/>
  <c r="F14613" i="3"/>
  <c r="F14612" i="3"/>
  <c r="F14611" i="3"/>
  <c r="F14610" i="3"/>
  <c r="F14609" i="3"/>
  <c r="F14608" i="3"/>
  <c r="F14607" i="3"/>
  <c r="F14606" i="3"/>
  <c r="F14605" i="3"/>
  <c r="F14604" i="3"/>
  <c r="F14603" i="3"/>
  <c r="F14602" i="3"/>
  <c r="F14601" i="3"/>
  <c r="F14600" i="3"/>
  <c r="F14599" i="3"/>
  <c r="F14598" i="3"/>
  <c r="F14597" i="3"/>
  <c r="F14596" i="3"/>
  <c r="F14595" i="3"/>
  <c r="F14594" i="3"/>
  <c r="F14593" i="3"/>
  <c r="F14592" i="3"/>
  <c r="F14591" i="3"/>
  <c r="F14590" i="3"/>
  <c r="F14589" i="3"/>
  <c r="F14588" i="3"/>
  <c r="F14587" i="3"/>
  <c r="F14586" i="3"/>
  <c r="F14585" i="3"/>
  <c r="F14584" i="3"/>
  <c r="F14583" i="3"/>
  <c r="F14582" i="3"/>
  <c r="F14581" i="3"/>
  <c r="F14580" i="3"/>
  <c r="F14579" i="3"/>
  <c r="F14578" i="3"/>
  <c r="F14577" i="3"/>
  <c r="F14576" i="3"/>
  <c r="F14575" i="3"/>
  <c r="F14574" i="3"/>
  <c r="F14573" i="3"/>
  <c r="F14572" i="3"/>
  <c r="F14571" i="3"/>
  <c r="F14570" i="3"/>
  <c r="F14569" i="3"/>
  <c r="F14568" i="3"/>
  <c r="F14567" i="3"/>
  <c r="F14566" i="3"/>
  <c r="F14565" i="3"/>
  <c r="F14564" i="3"/>
  <c r="F14563" i="3"/>
  <c r="F14562" i="3"/>
  <c r="F14561" i="3"/>
  <c r="F14560" i="3"/>
  <c r="F14559" i="3"/>
  <c r="F14558" i="3"/>
  <c r="F14557" i="3"/>
  <c r="F14556" i="3"/>
  <c r="F14555" i="3"/>
  <c r="F14554" i="3"/>
  <c r="F14553" i="3"/>
  <c r="F14552" i="3"/>
  <c r="F14551" i="3"/>
  <c r="F14550" i="3"/>
  <c r="F14549" i="3"/>
  <c r="F14548" i="3"/>
  <c r="F14547" i="3"/>
  <c r="F14546" i="3"/>
  <c r="F14545" i="3"/>
  <c r="F14544" i="3"/>
  <c r="F14543" i="3"/>
  <c r="F14542" i="3"/>
  <c r="F14541" i="3"/>
  <c r="F14540" i="3"/>
  <c r="F14539" i="3"/>
  <c r="F14538" i="3"/>
  <c r="F14537" i="3"/>
  <c r="F14536" i="3"/>
  <c r="F14535" i="3"/>
  <c r="F14534" i="3"/>
  <c r="F14533" i="3"/>
  <c r="F14532" i="3"/>
  <c r="F14531" i="3"/>
  <c r="F14530" i="3"/>
  <c r="F14529" i="3"/>
  <c r="F14528" i="3"/>
  <c r="F14527" i="3"/>
  <c r="F14526" i="3"/>
  <c r="F14525" i="3"/>
  <c r="F14524" i="3"/>
  <c r="F14523" i="3"/>
  <c r="F14522" i="3"/>
  <c r="F14521" i="3"/>
  <c r="F14520" i="3"/>
  <c r="F14519" i="3"/>
  <c r="F14518" i="3"/>
  <c r="F14517" i="3"/>
  <c r="F14516" i="3"/>
  <c r="F14515" i="3"/>
  <c r="F14514" i="3"/>
  <c r="F14513" i="3"/>
  <c r="F14512" i="3"/>
  <c r="F14511" i="3"/>
  <c r="F14510" i="3"/>
  <c r="F14509" i="3"/>
  <c r="F14508" i="3"/>
  <c r="F14507" i="3"/>
  <c r="F14506" i="3"/>
  <c r="F14505" i="3"/>
  <c r="F14504" i="3"/>
  <c r="F14503" i="3"/>
  <c r="F14502" i="3"/>
  <c r="F14501" i="3"/>
  <c r="F14500" i="3"/>
  <c r="F14499" i="3"/>
  <c r="F14498" i="3"/>
  <c r="F14497" i="3"/>
  <c r="F14496" i="3"/>
  <c r="F14495" i="3"/>
  <c r="F14494" i="3"/>
  <c r="F14493" i="3"/>
  <c r="F14492" i="3"/>
  <c r="F14491" i="3"/>
  <c r="F14490" i="3"/>
  <c r="F14489" i="3"/>
  <c r="F14488" i="3"/>
  <c r="F14487" i="3"/>
  <c r="F14486" i="3"/>
  <c r="F14485" i="3"/>
  <c r="F14484" i="3"/>
  <c r="F14483" i="3"/>
  <c r="F14482" i="3"/>
  <c r="F14481" i="3"/>
  <c r="F14480" i="3"/>
  <c r="F14479" i="3"/>
  <c r="F14478" i="3"/>
  <c r="F14477" i="3"/>
  <c r="F14476" i="3"/>
  <c r="F14475" i="3"/>
  <c r="F14474" i="3"/>
  <c r="F14473" i="3"/>
  <c r="F14472" i="3"/>
  <c r="F14471" i="3"/>
  <c r="F14470" i="3"/>
  <c r="F14469" i="3"/>
  <c r="F14468" i="3"/>
  <c r="F14467" i="3"/>
  <c r="F14466" i="3"/>
  <c r="F14465" i="3"/>
  <c r="F14464" i="3"/>
  <c r="F14463" i="3"/>
  <c r="F14462" i="3"/>
  <c r="F14461" i="3"/>
  <c r="F14460" i="3"/>
  <c r="F14459" i="3"/>
  <c r="F14458" i="3"/>
  <c r="F14457" i="3"/>
  <c r="F14456" i="3"/>
  <c r="F14455" i="3"/>
  <c r="F14454" i="3"/>
  <c r="F14453" i="3"/>
  <c r="F14452" i="3"/>
  <c r="F14451" i="3"/>
  <c r="F14450" i="3"/>
  <c r="F14449" i="3"/>
  <c r="F14448" i="3"/>
  <c r="F14447" i="3"/>
  <c r="F14446" i="3"/>
  <c r="F14445" i="3"/>
  <c r="F14444" i="3"/>
  <c r="F14443" i="3"/>
  <c r="F14442" i="3"/>
  <c r="F14441" i="3"/>
  <c r="F14440" i="3"/>
  <c r="F14439" i="3"/>
  <c r="F14438" i="3"/>
  <c r="F14437" i="3"/>
  <c r="F14436" i="3"/>
  <c r="F14435" i="3"/>
  <c r="F14434" i="3"/>
  <c r="F14433" i="3"/>
  <c r="F14432" i="3"/>
  <c r="F14431" i="3"/>
  <c r="F14430" i="3"/>
  <c r="F14429" i="3"/>
  <c r="F14428" i="3"/>
  <c r="F14427" i="3"/>
  <c r="F14426" i="3"/>
  <c r="F14425" i="3"/>
  <c r="F14424" i="3"/>
  <c r="F14423" i="3"/>
  <c r="F14422" i="3"/>
  <c r="F14421" i="3"/>
  <c r="F14420" i="3"/>
  <c r="F14419" i="3"/>
  <c r="F14418" i="3"/>
  <c r="F14417" i="3"/>
  <c r="F14416" i="3"/>
  <c r="F14415" i="3"/>
  <c r="F14414" i="3"/>
  <c r="F14413" i="3"/>
  <c r="F14412" i="3"/>
  <c r="F14411" i="3"/>
  <c r="F14410" i="3"/>
  <c r="F14409" i="3"/>
  <c r="F14408" i="3"/>
  <c r="F14407" i="3"/>
  <c r="F14406" i="3"/>
  <c r="F14405" i="3"/>
  <c r="F14404" i="3"/>
  <c r="F14403" i="3"/>
  <c r="F14402" i="3"/>
  <c r="F14401" i="3"/>
  <c r="F14400" i="3"/>
  <c r="F14399" i="3"/>
  <c r="F14398" i="3"/>
  <c r="F14397" i="3"/>
  <c r="F14396" i="3"/>
  <c r="F14395" i="3"/>
  <c r="F14394" i="3"/>
  <c r="F14393" i="3"/>
  <c r="F14392" i="3"/>
  <c r="F14391" i="3"/>
  <c r="F14390" i="3"/>
  <c r="F14389" i="3"/>
  <c r="F14388" i="3"/>
  <c r="F14387" i="3"/>
  <c r="F14386" i="3"/>
  <c r="F14385" i="3"/>
  <c r="F14384" i="3"/>
  <c r="F14383" i="3"/>
  <c r="F14382" i="3"/>
  <c r="F14381" i="3"/>
  <c r="F14380" i="3"/>
  <c r="F14379" i="3"/>
  <c r="F14378" i="3"/>
  <c r="F14377" i="3"/>
  <c r="F14376" i="3"/>
  <c r="F14375" i="3"/>
  <c r="F14374" i="3"/>
  <c r="F14373" i="3"/>
  <c r="F14372" i="3"/>
  <c r="F14371" i="3"/>
  <c r="F14370" i="3"/>
  <c r="F14369" i="3"/>
  <c r="F14368" i="3"/>
  <c r="F14367" i="3"/>
  <c r="F14366" i="3"/>
  <c r="F14365" i="3"/>
  <c r="F14364" i="3"/>
  <c r="F14363" i="3"/>
  <c r="F14362" i="3"/>
  <c r="F14361" i="3"/>
  <c r="F14360" i="3"/>
  <c r="F14359" i="3"/>
  <c r="F14358" i="3"/>
  <c r="F14357" i="3"/>
  <c r="F14356" i="3"/>
  <c r="F14355" i="3"/>
  <c r="F14354" i="3"/>
  <c r="F14353" i="3"/>
  <c r="F14352" i="3"/>
  <c r="F14351" i="3"/>
  <c r="F14350" i="3"/>
  <c r="F14349" i="3"/>
  <c r="F14348" i="3"/>
  <c r="F14347" i="3"/>
  <c r="F14346" i="3"/>
  <c r="F14345" i="3"/>
  <c r="F14344" i="3"/>
  <c r="F14343" i="3"/>
  <c r="F14342" i="3"/>
  <c r="F14341" i="3"/>
  <c r="F14340" i="3"/>
  <c r="F14339" i="3"/>
  <c r="F14338" i="3"/>
  <c r="F14337" i="3"/>
  <c r="F14336" i="3"/>
  <c r="F14335" i="3"/>
  <c r="F14334" i="3"/>
  <c r="F14333" i="3"/>
  <c r="F14332" i="3"/>
  <c r="F14331" i="3"/>
  <c r="F14330" i="3"/>
  <c r="F14329" i="3"/>
  <c r="F14328" i="3"/>
  <c r="F14327" i="3"/>
  <c r="F14326" i="3"/>
  <c r="F14325" i="3"/>
  <c r="F14324" i="3"/>
  <c r="F14323" i="3"/>
  <c r="F14322" i="3"/>
  <c r="F14321" i="3"/>
  <c r="F14320" i="3"/>
  <c r="F14319" i="3"/>
  <c r="F14318" i="3"/>
  <c r="F14317" i="3"/>
  <c r="F14316" i="3"/>
  <c r="F14315" i="3"/>
  <c r="F14314" i="3"/>
  <c r="F14313" i="3"/>
  <c r="F14312" i="3"/>
  <c r="F14311" i="3"/>
  <c r="F14310" i="3"/>
  <c r="F14309" i="3"/>
  <c r="F14308" i="3"/>
  <c r="F14307" i="3"/>
  <c r="F14306" i="3"/>
  <c r="F14305" i="3"/>
  <c r="F14304" i="3"/>
  <c r="F14303" i="3"/>
  <c r="F14302" i="3"/>
  <c r="F14301" i="3"/>
  <c r="F14300" i="3"/>
  <c r="F14299" i="3"/>
  <c r="F14298" i="3"/>
  <c r="F14297" i="3"/>
  <c r="F14296" i="3"/>
  <c r="F14295" i="3"/>
  <c r="F14294" i="3"/>
  <c r="F14293" i="3"/>
  <c r="F14292" i="3"/>
  <c r="F14291" i="3"/>
  <c r="F14290" i="3"/>
  <c r="F14289" i="3"/>
  <c r="F14288" i="3"/>
  <c r="F14287" i="3"/>
  <c r="F14286" i="3"/>
  <c r="F14285" i="3"/>
  <c r="F14284" i="3"/>
  <c r="F14283" i="3"/>
  <c r="F14282" i="3"/>
  <c r="F14281" i="3"/>
  <c r="F14280" i="3"/>
  <c r="F14279" i="3"/>
  <c r="F14278" i="3"/>
  <c r="F14277" i="3"/>
  <c r="F14276" i="3"/>
  <c r="F14275" i="3"/>
  <c r="F14274" i="3"/>
  <c r="F14273" i="3"/>
  <c r="F14272" i="3"/>
  <c r="F14271" i="3"/>
  <c r="F14270" i="3"/>
  <c r="F14269" i="3"/>
  <c r="F14268" i="3"/>
  <c r="F14267" i="3"/>
  <c r="F14266" i="3"/>
  <c r="F14265" i="3"/>
  <c r="F14264" i="3"/>
  <c r="F14263" i="3"/>
  <c r="F14262" i="3"/>
  <c r="F14261" i="3"/>
  <c r="F14260" i="3"/>
  <c r="F14259" i="3"/>
  <c r="F14258" i="3"/>
  <c r="F14257" i="3"/>
  <c r="F14256" i="3"/>
  <c r="F14255" i="3"/>
  <c r="F14254" i="3"/>
  <c r="F14253" i="3"/>
  <c r="F14252" i="3"/>
  <c r="F14251" i="3"/>
  <c r="F14250" i="3"/>
  <c r="F14249" i="3"/>
  <c r="F14248" i="3"/>
  <c r="F14247" i="3"/>
  <c r="F14246" i="3"/>
  <c r="F14245" i="3"/>
  <c r="F14244" i="3"/>
  <c r="F14243" i="3"/>
  <c r="F14242" i="3"/>
  <c r="F14241" i="3"/>
  <c r="F14240" i="3"/>
  <c r="F14239" i="3"/>
  <c r="F14238" i="3"/>
  <c r="F14237" i="3"/>
  <c r="F14236" i="3"/>
  <c r="F14235" i="3"/>
  <c r="F14234" i="3"/>
  <c r="F14233" i="3"/>
  <c r="F14232" i="3"/>
  <c r="F14231" i="3"/>
  <c r="F14230" i="3"/>
  <c r="F14229" i="3"/>
  <c r="F14228" i="3"/>
  <c r="F14227" i="3"/>
  <c r="F14226" i="3"/>
  <c r="F14225" i="3"/>
  <c r="F14224" i="3"/>
  <c r="F14223" i="3"/>
  <c r="F14222" i="3"/>
  <c r="F14221" i="3"/>
  <c r="F14220" i="3"/>
  <c r="F14219" i="3"/>
  <c r="F14218" i="3"/>
  <c r="F14217" i="3"/>
  <c r="F14216" i="3"/>
  <c r="F14215" i="3"/>
  <c r="F14214" i="3"/>
  <c r="F14213" i="3"/>
  <c r="F14212" i="3"/>
  <c r="F14211" i="3"/>
  <c r="F14210" i="3"/>
  <c r="F14209" i="3"/>
  <c r="F14208" i="3"/>
  <c r="F14207" i="3"/>
  <c r="F14206" i="3"/>
  <c r="F14205" i="3"/>
  <c r="F14204" i="3"/>
  <c r="F14203" i="3"/>
  <c r="F14202" i="3"/>
  <c r="F14201" i="3"/>
  <c r="F14200" i="3"/>
  <c r="F14199" i="3"/>
  <c r="F14198" i="3"/>
  <c r="F14197" i="3"/>
  <c r="F14196" i="3"/>
  <c r="F14195" i="3"/>
  <c r="F14194" i="3"/>
  <c r="F14193" i="3"/>
  <c r="F14192" i="3"/>
  <c r="F14191" i="3"/>
  <c r="F14190" i="3"/>
  <c r="F14189" i="3"/>
  <c r="F14188" i="3"/>
  <c r="F14187" i="3"/>
  <c r="F14186" i="3"/>
  <c r="F14185" i="3"/>
  <c r="F14184" i="3"/>
  <c r="F14183" i="3"/>
  <c r="F14182" i="3"/>
  <c r="F14181" i="3"/>
  <c r="F14180" i="3"/>
  <c r="F14179" i="3"/>
  <c r="F14178" i="3"/>
  <c r="F14177" i="3"/>
  <c r="F14176" i="3"/>
  <c r="F14175" i="3"/>
  <c r="F14174" i="3"/>
  <c r="F14173" i="3"/>
  <c r="F14172" i="3"/>
  <c r="F14171" i="3"/>
  <c r="F14170" i="3"/>
  <c r="F14169" i="3"/>
  <c r="F14168" i="3"/>
  <c r="F14167" i="3"/>
  <c r="F14166" i="3"/>
  <c r="F14165" i="3"/>
  <c r="F14164" i="3"/>
  <c r="F14163" i="3"/>
  <c r="F14162" i="3"/>
  <c r="F14161" i="3"/>
  <c r="F14160" i="3"/>
  <c r="F14159" i="3"/>
  <c r="F14158" i="3"/>
  <c r="F14157" i="3"/>
  <c r="F14156" i="3"/>
  <c r="F14155" i="3"/>
  <c r="F14154" i="3"/>
  <c r="F14153" i="3"/>
  <c r="F14152" i="3"/>
  <c r="F14151" i="3"/>
  <c r="F14150" i="3"/>
  <c r="F14149" i="3"/>
  <c r="F14148" i="3"/>
  <c r="F14147" i="3"/>
  <c r="F14146" i="3"/>
  <c r="F14145" i="3"/>
  <c r="F14144" i="3"/>
  <c r="F14143" i="3"/>
  <c r="F14142" i="3"/>
  <c r="F14141" i="3"/>
  <c r="F14140" i="3"/>
  <c r="F14139" i="3"/>
  <c r="F14138" i="3"/>
  <c r="F14137" i="3"/>
  <c r="F14136" i="3"/>
  <c r="F14135" i="3"/>
  <c r="F14134" i="3"/>
  <c r="F14133" i="3"/>
  <c r="F14132" i="3"/>
  <c r="F14131" i="3"/>
  <c r="F14130" i="3"/>
  <c r="F14129" i="3"/>
  <c r="F14128" i="3"/>
  <c r="F14127" i="3"/>
  <c r="F14126" i="3"/>
  <c r="F14125" i="3"/>
  <c r="F14124" i="3"/>
  <c r="F14123" i="3"/>
  <c r="F14122" i="3"/>
  <c r="F14121" i="3"/>
  <c r="F14120" i="3"/>
  <c r="F14119" i="3"/>
  <c r="F14118" i="3"/>
  <c r="F14117" i="3"/>
  <c r="F14116" i="3"/>
  <c r="F14115" i="3"/>
  <c r="F14114" i="3"/>
  <c r="F14113" i="3"/>
  <c r="F14112" i="3"/>
  <c r="F14111" i="3"/>
  <c r="F14110" i="3"/>
  <c r="F14109" i="3"/>
  <c r="F14108" i="3"/>
  <c r="F14107" i="3"/>
  <c r="F14106" i="3"/>
  <c r="F14105" i="3"/>
  <c r="F14104" i="3"/>
  <c r="F14103" i="3"/>
  <c r="F14102" i="3"/>
  <c r="F14101" i="3"/>
  <c r="F14100" i="3"/>
  <c r="F14099" i="3"/>
  <c r="F14098" i="3"/>
  <c r="F14097" i="3"/>
  <c r="F14096" i="3"/>
  <c r="F14095" i="3"/>
  <c r="F14094" i="3"/>
  <c r="F14093" i="3"/>
  <c r="F14092" i="3"/>
  <c r="F14091" i="3"/>
  <c r="F14090" i="3"/>
  <c r="F14089" i="3"/>
  <c r="F14088" i="3"/>
  <c r="F14087" i="3"/>
  <c r="F14086" i="3"/>
  <c r="F14085" i="3"/>
  <c r="F14084" i="3"/>
  <c r="F14083" i="3"/>
  <c r="F14082" i="3"/>
  <c r="F14081" i="3"/>
  <c r="F14080" i="3"/>
  <c r="F14079" i="3"/>
  <c r="F14078" i="3"/>
  <c r="F14077" i="3"/>
  <c r="F14076" i="3"/>
  <c r="F14075" i="3"/>
  <c r="F14074" i="3"/>
  <c r="F14073" i="3"/>
  <c r="F14072" i="3"/>
  <c r="F14071" i="3"/>
  <c r="F14070" i="3"/>
  <c r="F14069" i="3"/>
  <c r="F14068" i="3"/>
  <c r="F14067" i="3"/>
  <c r="F14066" i="3"/>
  <c r="F14065" i="3"/>
  <c r="F14064" i="3"/>
  <c r="F14063" i="3"/>
  <c r="F14062" i="3"/>
  <c r="F14061" i="3"/>
  <c r="F14060" i="3"/>
  <c r="F14059" i="3"/>
  <c r="F14058" i="3"/>
  <c r="F14057" i="3"/>
  <c r="F14056" i="3"/>
  <c r="F14055" i="3"/>
  <c r="F14054" i="3"/>
  <c r="F14053" i="3"/>
  <c r="F14052" i="3"/>
  <c r="F14051" i="3"/>
  <c r="F14050" i="3"/>
  <c r="F14049" i="3"/>
  <c r="F14048" i="3"/>
  <c r="F14047" i="3"/>
  <c r="F14046" i="3"/>
  <c r="F14045" i="3"/>
  <c r="F14044" i="3"/>
  <c r="F14043" i="3"/>
  <c r="F14042" i="3"/>
  <c r="F14041" i="3"/>
  <c r="F14040" i="3"/>
  <c r="F14039" i="3"/>
  <c r="F14038" i="3"/>
  <c r="F14037" i="3"/>
  <c r="F14036" i="3"/>
  <c r="F14035" i="3"/>
  <c r="F14034" i="3"/>
  <c r="F14033" i="3"/>
  <c r="F14032" i="3"/>
  <c r="F14031" i="3"/>
  <c r="F14030" i="3"/>
  <c r="F14029" i="3"/>
  <c r="F14028" i="3"/>
  <c r="F14027" i="3"/>
  <c r="F14026" i="3"/>
  <c r="F14025" i="3"/>
  <c r="F14024" i="3"/>
  <c r="F14023" i="3"/>
  <c r="F14022" i="3"/>
  <c r="F14021" i="3"/>
  <c r="F14020" i="3"/>
  <c r="F14019" i="3"/>
  <c r="F14018" i="3"/>
  <c r="F14017" i="3"/>
  <c r="F14016" i="3"/>
  <c r="F14015" i="3"/>
  <c r="F14014" i="3"/>
  <c r="F14013" i="3"/>
  <c r="F14012" i="3"/>
  <c r="F14011" i="3"/>
  <c r="F14010" i="3"/>
  <c r="F14009" i="3"/>
  <c r="F14008" i="3"/>
  <c r="F14007" i="3"/>
  <c r="F14006" i="3"/>
  <c r="F14005" i="3"/>
  <c r="F14004" i="3"/>
  <c r="F14003" i="3"/>
  <c r="F14002" i="3"/>
  <c r="F14001" i="3"/>
  <c r="F14000" i="3"/>
  <c r="F13999" i="3"/>
  <c r="F13998" i="3"/>
  <c r="F13997" i="3"/>
  <c r="F13996" i="3"/>
  <c r="F13995" i="3"/>
  <c r="F13994" i="3"/>
  <c r="F13993" i="3"/>
  <c r="F13992" i="3"/>
  <c r="F13991" i="3"/>
  <c r="F13990" i="3"/>
  <c r="F13989" i="3"/>
  <c r="F13988" i="3"/>
  <c r="F13987" i="3"/>
  <c r="F13986" i="3"/>
  <c r="F13985" i="3"/>
  <c r="F13984" i="3"/>
  <c r="F13983" i="3"/>
  <c r="F13982" i="3"/>
  <c r="F13981" i="3"/>
  <c r="F13980" i="3"/>
  <c r="F13979" i="3"/>
  <c r="F13978" i="3"/>
  <c r="F13977" i="3"/>
  <c r="F13976" i="3"/>
  <c r="F13975" i="3"/>
  <c r="F13974" i="3"/>
  <c r="F13973" i="3"/>
  <c r="F13972" i="3"/>
  <c r="F13971" i="3"/>
  <c r="F13970" i="3"/>
  <c r="F13969" i="3"/>
  <c r="F13968" i="3"/>
  <c r="F13967" i="3"/>
  <c r="F13966" i="3"/>
  <c r="F13965" i="3"/>
  <c r="F13964" i="3"/>
  <c r="F13963" i="3"/>
  <c r="F13962" i="3"/>
  <c r="F13961" i="3"/>
  <c r="F13960" i="3"/>
  <c r="F13959" i="3"/>
  <c r="F13958" i="3"/>
  <c r="F13957" i="3"/>
  <c r="F13956" i="3"/>
  <c r="F13955" i="3"/>
  <c r="F13954" i="3"/>
  <c r="F13953" i="3"/>
  <c r="F13952" i="3"/>
  <c r="F13951" i="3"/>
  <c r="F13950" i="3"/>
  <c r="F13949" i="3"/>
  <c r="F13948" i="3"/>
  <c r="F13947" i="3"/>
  <c r="F13946" i="3"/>
  <c r="F13945" i="3"/>
  <c r="F13944" i="3"/>
  <c r="F13943" i="3"/>
  <c r="F13942" i="3"/>
  <c r="F13941" i="3"/>
  <c r="F13940" i="3"/>
  <c r="F13939" i="3"/>
  <c r="F13938" i="3"/>
  <c r="F13937" i="3"/>
  <c r="F13936" i="3"/>
  <c r="F13935" i="3"/>
  <c r="F13934" i="3"/>
  <c r="F13933" i="3"/>
  <c r="F13932" i="3"/>
  <c r="F13931" i="3"/>
  <c r="F13930" i="3"/>
  <c r="F13929" i="3"/>
  <c r="F13928" i="3"/>
  <c r="F13927" i="3"/>
  <c r="F13926" i="3"/>
  <c r="F13925" i="3"/>
  <c r="F13924" i="3"/>
  <c r="F13923" i="3"/>
  <c r="F13922" i="3"/>
  <c r="F13921" i="3"/>
  <c r="F13920" i="3"/>
  <c r="F13919" i="3"/>
  <c r="F13918" i="3"/>
  <c r="F13917" i="3"/>
  <c r="F13916" i="3"/>
  <c r="F13915" i="3"/>
  <c r="F13914" i="3"/>
  <c r="F13913" i="3"/>
  <c r="F13912" i="3"/>
  <c r="F13911" i="3"/>
  <c r="F13910" i="3"/>
  <c r="F13909" i="3"/>
  <c r="F13908" i="3"/>
  <c r="F13907" i="3"/>
  <c r="F13906" i="3"/>
  <c r="F13905" i="3"/>
  <c r="F13904" i="3"/>
  <c r="F13903" i="3"/>
  <c r="F13902" i="3"/>
  <c r="F13901" i="3"/>
  <c r="F13900" i="3"/>
  <c r="F13899" i="3"/>
  <c r="F13898" i="3"/>
  <c r="F13897" i="3"/>
  <c r="F13896" i="3"/>
  <c r="F13895" i="3"/>
  <c r="F13894" i="3"/>
  <c r="F13893" i="3"/>
  <c r="F13892" i="3"/>
  <c r="F13891" i="3"/>
  <c r="F13890" i="3"/>
  <c r="F13889" i="3"/>
  <c r="F13888" i="3"/>
  <c r="F13887" i="3"/>
  <c r="F13886" i="3"/>
  <c r="F13885" i="3"/>
  <c r="F13884" i="3"/>
  <c r="F13883" i="3"/>
  <c r="F13882" i="3"/>
  <c r="F13881" i="3"/>
  <c r="F13880" i="3"/>
  <c r="F13879" i="3"/>
  <c r="F13878" i="3"/>
  <c r="F13877" i="3"/>
  <c r="F13876" i="3"/>
  <c r="F13875" i="3"/>
  <c r="F13874" i="3"/>
  <c r="F13873" i="3"/>
  <c r="F13872" i="3"/>
  <c r="F13871" i="3"/>
  <c r="F13870" i="3"/>
  <c r="F13869" i="3"/>
  <c r="F13868" i="3"/>
  <c r="F13867" i="3"/>
  <c r="F13866" i="3"/>
  <c r="F13865" i="3"/>
  <c r="F13864" i="3"/>
  <c r="F13863" i="3"/>
  <c r="F13862" i="3"/>
  <c r="F13861" i="3"/>
  <c r="F13860" i="3"/>
  <c r="F13859" i="3"/>
  <c r="F13858" i="3"/>
  <c r="F13857" i="3"/>
  <c r="F13856" i="3"/>
  <c r="F13855" i="3"/>
  <c r="F13854" i="3"/>
  <c r="F13853" i="3"/>
  <c r="F13852" i="3"/>
  <c r="F13851" i="3"/>
  <c r="F13850" i="3"/>
  <c r="F13849" i="3"/>
  <c r="F13848" i="3"/>
  <c r="F13847" i="3"/>
  <c r="F13846" i="3"/>
  <c r="F13845" i="3"/>
  <c r="F13844" i="3"/>
  <c r="F13843" i="3"/>
  <c r="F13842" i="3"/>
  <c r="F13841" i="3"/>
  <c r="F13840" i="3"/>
  <c r="F13839" i="3"/>
  <c r="F13838" i="3"/>
  <c r="F13837" i="3"/>
  <c r="F13836" i="3"/>
  <c r="F13835" i="3"/>
  <c r="F13834" i="3"/>
  <c r="F13833" i="3"/>
  <c r="F13832" i="3"/>
  <c r="F13831" i="3"/>
  <c r="F13830" i="3"/>
  <c r="F13829" i="3"/>
  <c r="F13828" i="3"/>
  <c r="F13827" i="3"/>
  <c r="F13826" i="3"/>
  <c r="F13825" i="3"/>
  <c r="F13824" i="3"/>
  <c r="F13823" i="3"/>
  <c r="F13822" i="3"/>
  <c r="F13821" i="3"/>
  <c r="F13820" i="3"/>
  <c r="F13819" i="3"/>
  <c r="F13818" i="3"/>
  <c r="F13817" i="3"/>
  <c r="F13816" i="3"/>
  <c r="F13815" i="3"/>
  <c r="F13814" i="3"/>
  <c r="F13813" i="3"/>
  <c r="F13812" i="3"/>
  <c r="F13811" i="3"/>
  <c r="F13810" i="3"/>
  <c r="F13809" i="3"/>
  <c r="F13808" i="3"/>
  <c r="F13807" i="3"/>
  <c r="F13806" i="3"/>
  <c r="F13805" i="3"/>
  <c r="F13804" i="3"/>
  <c r="F13803" i="3"/>
  <c r="F13802" i="3"/>
  <c r="F13801" i="3"/>
  <c r="F13800" i="3"/>
  <c r="F13799" i="3"/>
  <c r="F13798" i="3"/>
  <c r="F13797" i="3"/>
  <c r="F13796" i="3"/>
  <c r="F13795" i="3"/>
  <c r="F13794" i="3"/>
  <c r="F13793" i="3"/>
  <c r="F13792" i="3"/>
  <c r="F13791" i="3"/>
  <c r="F13790" i="3"/>
  <c r="F13789" i="3"/>
  <c r="F13788" i="3"/>
  <c r="F13787" i="3"/>
  <c r="F13786" i="3"/>
  <c r="F13785" i="3"/>
  <c r="F13784" i="3"/>
  <c r="F13783" i="3"/>
  <c r="F13782" i="3"/>
  <c r="F13781" i="3"/>
  <c r="F13780" i="3"/>
  <c r="F13779" i="3"/>
  <c r="F13778" i="3"/>
  <c r="F13777" i="3"/>
  <c r="F13776" i="3"/>
  <c r="F13775" i="3"/>
  <c r="F13774" i="3"/>
  <c r="F13773" i="3"/>
  <c r="F13772" i="3"/>
  <c r="F13771" i="3"/>
  <c r="F13770" i="3"/>
  <c r="F13769" i="3"/>
  <c r="F13768" i="3"/>
  <c r="F13767" i="3"/>
  <c r="F13766" i="3"/>
  <c r="F13765" i="3"/>
  <c r="F13764" i="3"/>
  <c r="F13763" i="3"/>
  <c r="F13762" i="3"/>
  <c r="F13761" i="3"/>
  <c r="F13760" i="3"/>
  <c r="F13759" i="3"/>
  <c r="F13758" i="3"/>
  <c r="F13757" i="3"/>
  <c r="F13756" i="3"/>
  <c r="F13755" i="3"/>
  <c r="F13754" i="3"/>
  <c r="F13753" i="3"/>
  <c r="F13752" i="3"/>
  <c r="F13751" i="3"/>
  <c r="F13750" i="3"/>
  <c r="F13749" i="3"/>
  <c r="F13748" i="3"/>
  <c r="F13747" i="3"/>
  <c r="F13746" i="3"/>
  <c r="F13745" i="3"/>
  <c r="F13744" i="3"/>
  <c r="F13743" i="3"/>
  <c r="F13742" i="3"/>
  <c r="F13741" i="3"/>
  <c r="F13740" i="3"/>
  <c r="F13739" i="3"/>
  <c r="F13738" i="3"/>
  <c r="F13737" i="3"/>
  <c r="F13736" i="3"/>
  <c r="F13735" i="3"/>
  <c r="F13734" i="3"/>
  <c r="F13733" i="3"/>
  <c r="F13732" i="3"/>
  <c r="F13731" i="3"/>
  <c r="F13730" i="3"/>
  <c r="F13729" i="3"/>
  <c r="F13728" i="3"/>
  <c r="F13727" i="3"/>
  <c r="F13726" i="3"/>
  <c r="F13725" i="3"/>
  <c r="F13724" i="3"/>
  <c r="F13723" i="3"/>
  <c r="F13722" i="3"/>
  <c r="F13721" i="3"/>
  <c r="F13720" i="3"/>
  <c r="F13719" i="3"/>
  <c r="F13718" i="3"/>
  <c r="F13717" i="3"/>
  <c r="F13716" i="3"/>
  <c r="F13715" i="3"/>
  <c r="F13714" i="3"/>
  <c r="F13713" i="3"/>
  <c r="F13712" i="3"/>
  <c r="F13711" i="3"/>
  <c r="F13710" i="3"/>
  <c r="F13709" i="3"/>
  <c r="F13708" i="3"/>
  <c r="F13707" i="3"/>
  <c r="F13706" i="3"/>
  <c r="F13705" i="3"/>
  <c r="F13704" i="3"/>
  <c r="F13703" i="3"/>
  <c r="F13702" i="3"/>
  <c r="F13701" i="3"/>
  <c r="F13700" i="3"/>
  <c r="F13699" i="3"/>
  <c r="F13698" i="3"/>
  <c r="F13697" i="3"/>
  <c r="F13696" i="3"/>
  <c r="F13695" i="3"/>
  <c r="F13694" i="3"/>
  <c r="F13693" i="3"/>
  <c r="F13692" i="3"/>
  <c r="F13691" i="3"/>
  <c r="F13690" i="3"/>
  <c r="F13689" i="3"/>
  <c r="F13688" i="3"/>
  <c r="F13687" i="3"/>
  <c r="F13686" i="3"/>
  <c r="F13685" i="3"/>
  <c r="F13684" i="3"/>
  <c r="F13683" i="3"/>
  <c r="F13682" i="3"/>
  <c r="F13681" i="3"/>
  <c r="F13680" i="3"/>
  <c r="F13679" i="3"/>
  <c r="F13678" i="3"/>
  <c r="F13677" i="3"/>
  <c r="F13676" i="3"/>
  <c r="F13675" i="3"/>
  <c r="F13674" i="3"/>
  <c r="F13673" i="3"/>
  <c r="F13672" i="3"/>
  <c r="F13671" i="3"/>
  <c r="F13670" i="3"/>
  <c r="F13669" i="3"/>
  <c r="F13668" i="3"/>
  <c r="F13667" i="3"/>
  <c r="F13666" i="3"/>
  <c r="F13665" i="3"/>
  <c r="F13664" i="3"/>
  <c r="F13663" i="3"/>
  <c r="F13662" i="3"/>
  <c r="F13661" i="3"/>
  <c r="F13660" i="3"/>
  <c r="F13659" i="3"/>
  <c r="F13658" i="3"/>
  <c r="F13657" i="3"/>
  <c r="F13656" i="3"/>
  <c r="F13655" i="3"/>
  <c r="F13654" i="3"/>
  <c r="F13653" i="3"/>
  <c r="F13652" i="3"/>
  <c r="F13651" i="3"/>
  <c r="F13650" i="3"/>
  <c r="F13649" i="3"/>
  <c r="F13648" i="3"/>
  <c r="F13647" i="3"/>
  <c r="F13646" i="3"/>
  <c r="F13645" i="3"/>
  <c r="F13644" i="3"/>
  <c r="F13643" i="3"/>
  <c r="F13642" i="3"/>
  <c r="F13641" i="3"/>
  <c r="F13640" i="3"/>
  <c r="F13639" i="3"/>
  <c r="F13638" i="3"/>
  <c r="F13637" i="3"/>
  <c r="F13636" i="3"/>
  <c r="F13635" i="3"/>
  <c r="F13634" i="3"/>
  <c r="F13633" i="3"/>
  <c r="F13632" i="3"/>
  <c r="F13631" i="3"/>
  <c r="F13630" i="3"/>
  <c r="F13629" i="3"/>
  <c r="F13628" i="3"/>
  <c r="F13627" i="3"/>
  <c r="F13626" i="3"/>
  <c r="F13625" i="3"/>
  <c r="F13624" i="3"/>
  <c r="F13623" i="3"/>
  <c r="F13622" i="3"/>
  <c r="F13621" i="3"/>
  <c r="F13620" i="3"/>
  <c r="F13619" i="3"/>
  <c r="F13618" i="3"/>
  <c r="F13617" i="3"/>
  <c r="F13616" i="3"/>
  <c r="F13615" i="3"/>
  <c r="F13614" i="3"/>
  <c r="F13613" i="3"/>
  <c r="F13612" i="3"/>
  <c r="F13611" i="3"/>
  <c r="F13610" i="3"/>
  <c r="F13609" i="3"/>
  <c r="F13608" i="3"/>
  <c r="F13607" i="3"/>
  <c r="F13606" i="3"/>
  <c r="F13605" i="3"/>
  <c r="F13604" i="3"/>
  <c r="F13603" i="3"/>
  <c r="F13602" i="3"/>
  <c r="F13601" i="3"/>
  <c r="F13600" i="3"/>
  <c r="F13599" i="3"/>
  <c r="F13598" i="3"/>
  <c r="F13597" i="3"/>
  <c r="F13596" i="3"/>
  <c r="F13595" i="3"/>
  <c r="F13594" i="3"/>
  <c r="F13593" i="3"/>
  <c r="F13592" i="3"/>
  <c r="F13591" i="3"/>
  <c r="F13590" i="3"/>
  <c r="F13589" i="3"/>
  <c r="F13588" i="3"/>
  <c r="F13587" i="3"/>
  <c r="F13586" i="3"/>
  <c r="F13585" i="3"/>
  <c r="F13584" i="3"/>
  <c r="F13583" i="3"/>
  <c r="F13582" i="3"/>
  <c r="F13581" i="3"/>
  <c r="F13580" i="3"/>
  <c r="F13579" i="3"/>
  <c r="F13578" i="3"/>
  <c r="F13577" i="3"/>
  <c r="F13576" i="3"/>
  <c r="F13575" i="3"/>
  <c r="F13574" i="3"/>
  <c r="F13573" i="3"/>
  <c r="F13572" i="3"/>
  <c r="F13571" i="3"/>
  <c r="F13570" i="3"/>
  <c r="F13569" i="3"/>
  <c r="F13568" i="3"/>
  <c r="F13567" i="3"/>
  <c r="F13566" i="3"/>
  <c r="F13565" i="3"/>
  <c r="F13564" i="3"/>
  <c r="F13563" i="3"/>
  <c r="F13562" i="3"/>
  <c r="F13561" i="3"/>
  <c r="F13560" i="3"/>
  <c r="F13559" i="3"/>
  <c r="F13558" i="3"/>
  <c r="F13557" i="3"/>
  <c r="F13556" i="3"/>
  <c r="F13555" i="3"/>
  <c r="F13554" i="3"/>
  <c r="F13553" i="3"/>
  <c r="F13552" i="3"/>
  <c r="F13551" i="3"/>
  <c r="F13550" i="3"/>
  <c r="F13549" i="3"/>
  <c r="F13548" i="3"/>
  <c r="F13547" i="3"/>
  <c r="F13546" i="3"/>
  <c r="F13545" i="3"/>
  <c r="F13544" i="3"/>
  <c r="F13543" i="3"/>
  <c r="F13542" i="3"/>
  <c r="F13541" i="3"/>
  <c r="F13540" i="3"/>
  <c r="F13539" i="3"/>
  <c r="F13538" i="3"/>
  <c r="F13537" i="3"/>
  <c r="F13536" i="3"/>
  <c r="F13535" i="3"/>
  <c r="F13534" i="3"/>
  <c r="F13533" i="3"/>
  <c r="F13532" i="3"/>
  <c r="F13531" i="3"/>
  <c r="F13530" i="3"/>
  <c r="F13529" i="3"/>
  <c r="F13528" i="3"/>
  <c r="F13527" i="3"/>
  <c r="F13526" i="3"/>
  <c r="F13525" i="3"/>
  <c r="F13524" i="3"/>
  <c r="F13523" i="3"/>
  <c r="F13522" i="3"/>
  <c r="F13521" i="3"/>
  <c r="F13520" i="3"/>
  <c r="F13519" i="3"/>
  <c r="F13518" i="3"/>
  <c r="F13517" i="3"/>
  <c r="F13516" i="3"/>
  <c r="F13515" i="3"/>
  <c r="F13514" i="3"/>
  <c r="F13513" i="3"/>
  <c r="F13512" i="3"/>
  <c r="F13511" i="3"/>
  <c r="F13510" i="3"/>
  <c r="F13509" i="3"/>
  <c r="F13508" i="3"/>
  <c r="F13507" i="3"/>
  <c r="F13506" i="3"/>
  <c r="F13505" i="3"/>
  <c r="F13504" i="3"/>
  <c r="F13503" i="3"/>
  <c r="F13502" i="3"/>
  <c r="F13501" i="3"/>
  <c r="F13500" i="3"/>
  <c r="F13499" i="3"/>
  <c r="F13498" i="3"/>
  <c r="F13497" i="3"/>
  <c r="F13496" i="3"/>
  <c r="F13495" i="3"/>
  <c r="F13494" i="3"/>
  <c r="F13493" i="3"/>
  <c r="F13492" i="3"/>
  <c r="F13491" i="3"/>
  <c r="F13490" i="3"/>
  <c r="F13489" i="3"/>
  <c r="F13488" i="3"/>
  <c r="F13487" i="3"/>
  <c r="F13486" i="3"/>
  <c r="F13485" i="3"/>
  <c r="F13484" i="3"/>
  <c r="F13483" i="3"/>
  <c r="F13482" i="3"/>
  <c r="F13481" i="3"/>
  <c r="F13480" i="3"/>
  <c r="F13479" i="3"/>
  <c r="F13478" i="3"/>
  <c r="F13477" i="3"/>
  <c r="F13476" i="3"/>
  <c r="F13475" i="3"/>
  <c r="F13474" i="3"/>
  <c r="F13473" i="3"/>
  <c r="F13472" i="3"/>
  <c r="F13471" i="3"/>
  <c r="F13470" i="3"/>
  <c r="F13469" i="3"/>
  <c r="F13468" i="3"/>
  <c r="F13467" i="3"/>
  <c r="F13466" i="3"/>
  <c r="F13465" i="3"/>
  <c r="F13464" i="3"/>
  <c r="F13463" i="3"/>
  <c r="F13462" i="3"/>
  <c r="F13461" i="3"/>
  <c r="F13460" i="3"/>
  <c r="F13459" i="3"/>
  <c r="F13458" i="3"/>
  <c r="F13457" i="3"/>
  <c r="F13456" i="3"/>
  <c r="F13455" i="3"/>
  <c r="F13454" i="3"/>
  <c r="F13453" i="3"/>
  <c r="F13452" i="3"/>
  <c r="F13451" i="3"/>
  <c r="F13450" i="3"/>
  <c r="F13449" i="3"/>
  <c r="F13448" i="3"/>
  <c r="F13447" i="3"/>
  <c r="F13446" i="3"/>
  <c r="F13445" i="3"/>
  <c r="F13444" i="3"/>
  <c r="F13443" i="3"/>
  <c r="F13442" i="3"/>
  <c r="F13441" i="3"/>
  <c r="F13440" i="3"/>
  <c r="F13439" i="3"/>
  <c r="F13438" i="3"/>
  <c r="F13437" i="3"/>
  <c r="F13436" i="3"/>
  <c r="F13435" i="3"/>
  <c r="F13434" i="3"/>
  <c r="F13433" i="3"/>
  <c r="F13432" i="3"/>
  <c r="F13431" i="3"/>
  <c r="F13430" i="3"/>
  <c r="F13429" i="3"/>
  <c r="F13428" i="3"/>
  <c r="F13427" i="3"/>
  <c r="F13426" i="3"/>
  <c r="F13425" i="3"/>
  <c r="F13424" i="3"/>
  <c r="F13423" i="3"/>
  <c r="F13422" i="3"/>
  <c r="F13421" i="3"/>
  <c r="F13420" i="3"/>
  <c r="F13419" i="3"/>
  <c r="F13418" i="3"/>
  <c r="F13417" i="3"/>
  <c r="F13416" i="3"/>
  <c r="F13415" i="3"/>
  <c r="F13414" i="3"/>
  <c r="F13413" i="3"/>
  <c r="F13412" i="3"/>
  <c r="F13411" i="3"/>
  <c r="F13410" i="3"/>
  <c r="F13409" i="3"/>
  <c r="F13408" i="3"/>
  <c r="F13407" i="3"/>
  <c r="F13406" i="3"/>
  <c r="F13405" i="3"/>
  <c r="F13404" i="3"/>
  <c r="F13403" i="3"/>
  <c r="F13402" i="3"/>
  <c r="F13401" i="3"/>
  <c r="F13400" i="3"/>
  <c r="F13399" i="3"/>
  <c r="F13398" i="3"/>
  <c r="F13397" i="3"/>
  <c r="F13396" i="3"/>
  <c r="F13395" i="3"/>
  <c r="F13394" i="3"/>
  <c r="F13393" i="3"/>
  <c r="F13392" i="3"/>
  <c r="F13391" i="3"/>
  <c r="F13390" i="3"/>
  <c r="F13389" i="3"/>
  <c r="F13388" i="3"/>
  <c r="F13387" i="3"/>
  <c r="F13386" i="3"/>
  <c r="F13385" i="3"/>
  <c r="F13384" i="3"/>
  <c r="F13383" i="3"/>
  <c r="F13382" i="3"/>
  <c r="F13381" i="3"/>
  <c r="F13380" i="3"/>
  <c r="F13379" i="3"/>
  <c r="F13378" i="3"/>
  <c r="F13377" i="3"/>
  <c r="F13376" i="3"/>
  <c r="F13375" i="3"/>
  <c r="F13374" i="3"/>
  <c r="F13373" i="3"/>
  <c r="F13372" i="3"/>
  <c r="F13371" i="3"/>
  <c r="F13370" i="3"/>
  <c r="F13369" i="3"/>
  <c r="F13368" i="3"/>
  <c r="F13367" i="3"/>
  <c r="F13366" i="3"/>
  <c r="F13365" i="3"/>
  <c r="F13364" i="3"/>
  <c r="F13363" i="3"/>
  <c r="F13362" i="3"/>
  <c r="F13361" i="3"/>
  <c r="F13360" i="3"/>
  <c r="F13359" i="3"/>
  <c r="F13358" i="3"/>
  <c r="F13357" i="3"/>
  <c r="F13356" i="3"/>
  <c r="F13355" i="3"/>
  <c r="F13354" i="3"/>
  <c r="F13353" i="3"/>
  <c r="F13352" i="3"/>
  <c r="F13351" i="3"/>
  <c r="F13350" i="3"/>
  <c r="F13349" i="3"/>
  <c r="F13348" i="3"/>
  <c r="F13347" i="3"/>
  <c r="F13346" i="3"/>
  <c r="F13345" i="3"/>
  <c r="F13344" i="3"/>
  <c r="F13343" i="3"/>
  <c r="F13342" i="3"/>
  <c r="F13341" i="3"/>
  <c r="F13340" i="3"/>
  <c r="F13339" i="3"/>
  <c r="F13338" i="3"/>
  <c r="F13337" i="3"/>
  <c r="F13336" i="3"/>
  <c r="F13335" i="3"/>
  <c r="F13334" i="3"/>
  <c r="F13333" i="3"/>
  <c r="F13332" i="3"/>
  <c r="F13331" i="3"/>
  <c r="F13330" i="3"/>
  <c r="F13329" i="3"/>
  <c r="F13328" i="3"/>
  <c r="F13327" i="3"/>
  <c r="F13326" i="3"/>
  <c r="F13325" i="3"/>
  <c r="F13324" i="3"/>
  <c r="F13323" i="3"/>
  <c r="F13322" i="3"/>
  <c r="F13321" i="3"/>
  <c r="F13320" i="3"/>
  <c r="F13319" i="3"/>
  <c r="F13318" i="3"/>
  <c r="F13317" i="3"/>
  <c r="F13316" i="3"/>
  <c r="F13315" i="3"/>
  <c r="F13314" i="3"/>
  <c r="F13313" i="3"/>
  <c r="F13312" i="3"/>
  <c r="F13311" i="3"/>
  <c r="F13310" i="3"/>
  <c r="F13309" i="3"/>
  <c r="F13308" i="3"/>
  <c r="F13307" i="3"/>
  <c r="F13306" i="3"/>
  <c r="F13305" i="3"/>
  <c r="F13304" i="3"/>
  <c r="F13303" i="3"/>
  <c r="F13302" i="3"/>
  <c r="F13301" i="3"/>
  <c r="F13300" i="3"/>
  <c r="F13299" i="3"/>
  <c r="F13298" i="3"/>
  <c r="F13297" i="3"/>
  <c r="F13296" i="3"/>
  <c r="F13295" i="3"/>
  <c r="F13294" i="3"/>
  <c r="F13293" i="3"/>
  <c r="F13292" i="3"/>
  <c r="F13291" i="3"/>
  <c r="F13290" i="3"/>
  <c r="F13289" i="3"/>
  <c r="F13288" i="3"/>
  <c r="F13287" i="3"/>
  <c r="F13286" i="3"/>
  <c r="F13285" i="3"/>
  <c r="F13284" i="3"/>
  <c r="F13283" i="3"/>
  <c r="F13282" i="3"/>
  <c r="F13281" i="3"/>
  <c r="F13280" i="3"/>
  <c r="F13279" i="3"/>
  <c r="F13278" i="3"/>
  <c r="F13277" i="3"/>
  <c r="F13276" i="3"/>
  <c r="F13275" i="3"/>
  <c r="F13274" i="3"/>
  <c r="F13273" i="3"/>
  <c r="F13272" i="3"/>
  <c r="F13271" i="3"/>
  <c r="F13270" i="3"/>
  <c r="F13269" i="3"/>
  <c r="F13268" i="3"/>
  <c r="F13267" i="3"/>
  <c r="F13266" i="3"/>
  <c r="F13265" i="3"/>
  <c r="F13264" i="3"/>
  <c r="F13263" i="3"/>
  <c r="F13262" i="3"/>
  <c r="F13261" i="3"/>
  <c r="F13260" i="3"/>
  <c r="F13259" i="3"/>
  <c r="F13258" i="3"/>
  <c r="F13257" i="3"/>
  <c r="F13256" i="3"/>
  <c r="F13255" i="3"/>
  <c r="F13254" i="3"/>
  <c r="F13253" i="3"/>
  <c r="F13252" i="3"/>
  <c r="F13251" i="3"/>
  <c r="F13250" i="3"/>
  <c r="F13249" i="3"/>
  <c r="F13248" i="3"/>
  <c r="F13247" i="3"/>
  <c r="F13246" i="3"/>
  <c r="F13245" i="3"/>
  <c r="F13244" i="3"/>
  <c r="F13243" i="3"/>
  <c r="F13242" i="3"/>
  <c r="F13241" i="3"/>
  <c r="F13240" i="3"/>
  <c r="F13239" i="3"/>
  <c r="F13238" i="3"/>
  <c r="F13237" i="3"/>
  <c r="F13236" i="3"/>
  <c r="F13235" i="3"/>
  <c r="F13234" i="3"/>
  <c r="F13233" i="3"/>
  <c r="F13232" i="3"/>
  <c r="F13231" i="3"/>
  <c r="F13230" i="3"/>
  <c r="F13229" i="3"/>
  <c r="F13228" i="3"/>
  <c r="F13227" i="3"/>
  <c r="F13226" i="3"/>
  <c r="F13225" i="3"/>
  <c r="F13224" i="3"/>
  <c r="F13223" i="3"/>
  <c r="F13222" i="3"/>
  <c r="F13221" i="3"/>
  <c r="F13220" i="3"/>
  <c r="F13219" i="3"/>
  <c r="F13218" i="3"/>
  <c r="F13217" i="3"/>
  <c r="F13216" i="3"/>
  <c r="F13215" i="3"/>
  <c r="F13214" i="3"/>
  <c r="F13213" i="3"/>
  <c r="F13212" i="3"/>
  <c r="F13211" i="3"/>
  <c r="F13210" i="3"/>
  <c r="F13209" i="3"/>
  <c r="F13208" i="3"/>
  <c r="F13207" i="3"/>
  <c r="F13206" i="3"/>
  <c r="F13205" i="3"/>
  <c r="F13204" i="3"/>
  <c r="F13203" i="3"/>
  <c r="F13202" i="3"/>
  <c r="F13201" i="3"/>
  <c r="F13200" i="3"/>
  <c r="F13199" i="3"/>
  <c r="F13198" i="3"/>
  <c r="F13197" i="3"/>
  <c r="F13196" i="3"/>
  <c r="F13195" i="3"/>
  <c r="F13194" i="3"/>
  <c r="F13193" i="3"/>
  <c r="F13192" i="3"/>
  <c r="F13191" i="3"/>
  <c r="F13190" i="3"/>
  <c r="F13189" i="3"/>
  <c r="F13188" i="3"/>
  <c r="F13187" i="3"/>
  <c r="F13186" i="3"/>
  <c r="F13185" i="3"/>
  <c r="F13184" i="3"/>
  <c r="F13183" i="3"/>
  <c r="F13182" i="3"/>
  <c r="F13181" i="3"/>
  <c r="F13180" i="3"/>
  <c r="F13179" i="3"/>
  <c r="F13178" i="3"/>
  <c r="F13177" i="3"/>
  <c r="F13176" i="3"/>
  <c r="F13175" i="3"/>
  <c r="F13174" i="3"/>
  <c r="F13173" i="3"/>
  <c r="F13172" i="3"/>
  <c r="F13171" i="3"/>
  <c r="F13170" i="3"/>
  <c r="F13169" i="3"/>
  <c r="F13168" i="3"/>
  <c r="F13167" i="3"/>
  <c r="F13166" i="3"/>
  <c r="F13165" i="3"/>
  <c r="F13164" i="3"/>
  <c r="F13163" i="3"/>
  <c r="F13162" i="3"/>
  <c r="F13161" i="3"/>
  <c r="F13160" i="3"/>
  <c r="F13159" i="3"/>
  <c r="F13158" i="3"/>
  <c r="F13157" i="3"/>
  <c r="F13156" i="3"/>
  <c r="F13155" i="3"/>
  <c r="F13154" i="3"/>
  <c r="F13153" i="3"/>
  <c r="F13152" i="3"/>
  <c r="F13151" i="3"/>
  <c r="F13150" i="3"/>
  <c r="F13149" i="3"/>
  <c r="F13148" i="3"/>
  <c r="F13147" i="3"/>
  <c r="F13146" i="3"/>
  <c r="F13145" i="3"/>
  <c r="F13144" i="3"/>
  <c r="F13143" i="3"/>
  <c r="F13142" i="3"/>
  <c r="F13141" i="3"/>
  <c r="F13140" i="3"/>
  <c r="F13139" i="3"/>
  <c r="F13138" i="3"/>
  <c r="F13137" i="3"/>
  <c r="F13136" i="3"/>
  <c r="F13135" i="3"/>
  <c r="F13134" i="3"/>
  <c r="F13133" i="3"/>
  <c r="F13132" i="3"/>
  <c r="F13131" i="3"/>
  <c r="F13130" i="3"/>
  <c r="F13129" i="3"/>
  <c r="F13128" i="3"/>
  <c r="F13127" i="3"/>
  <c r="F13126" i="3"/>
  <c r="F13125" i="3"/>
  <c r="F13124" i="3"/>
  <c r="F13123" i="3"/>
  <c r="F13122" i="3"/>
  <c r="F13121" i="3"/>
  <c r="F13120" i="3"/>
  <c r="F13119" i="3"/>
  <c r="F13118" i="3"/>
  <c r="F13117" i="3"/>
  <c r="F13116" i="3"/>
  <c r="F13115" i="3"/>
  <c r="F13114" i="3"/>
  <c r="F13113" i="3"/>
  <c r="F13112" i="3"/>
  <c r="F13111" i="3"/>
  <c r="F13110" i="3"/>
  <c r="F13109" i="3"/>
  <c r="F13108" i="3"/>
  <c r="F13107" i="3"/>
  <c r="F13106" i="3"/>
  <c r="F13105" i="3"/>
  <c r="F13104" i="3"/>
  <c r="F13103" i="3"/>
  <c r="F13102" i="3"/>
  <c r="F13101" i="3"/>
  <c r="F13100" i="3"/>
  <c r="F13099" i="3"/>
  <c r="F13098" i="3"/>
  <c r="F13097" i="3"/>
  <c r="F13096" i="3"/>
  <c r="F13095" i="3"/>
  <c r="F13094" i="3"/>
  <c r="F13093" i="3"/>
  <c r="F13092" i="3"/>
  <c r="F13091" i="3"/>
  <c r="F13090" i="3"/>
  <c r="F13089" i="3"/>
  <c r="F13088" i="3"/>
  <c r="F13087" i="3"/>
  <c r="F13086" i="3"/>
  <c r="F13085" i="3"/>
  <c r="F13084" i="3"/>
  <c r="F13083" i="3"/>
  <c r="F13082" i="3"/>
  <c r="F13081" i="3"/>
  <c r="F13080" i="3"/>
  <c r="F13079" i="3"/>
  <c r="F13078" i="3"/>
  <c r="F13077" i="3"/>
  <c r="F13076" i="3"/>
  <c r="F13075" i="3"/>
  <c r="F13074" i="3"/>
  <c r="F13073" i="3"/>
  <c r="F13072" i="3"/>
  <c r="F13071" i="3"/>
  <c r="F13070" i="3"/>
  <c r="F13069" i="3"/>
  <c r="F13068" i="3"/>
  <c r="F13067" i="3"/>
  <c r="F13066" i="3"/>
  <c r="F13065" i="3"/>
  <c r="F13064" i="3"/>
  <c r="F13063" i="3"/>
  <c r="F13062" i="3"/>
  <c r="F13061" i="3"/>
  <c r="F13060" i="3"/>
  <c r="F13059" i="3"/>
  <c r="F13058" i="3"/>
  <c r="F13057" i="3"/>
  <c r="F13056" i="3"/>
  <c r="F13055" i="3"/>
  <c r="F13054" i="3"/>
  <c r="F13053" i="3"/>
  <c r="F13052" i="3"/>
  <c r="F13051" i="3"/>
  <c r="F13050" i="3"/>
  <c r="F13049" i="3"/>
  <c r="F13048" i="3"/>
  <c r="F13047" i="3"/>
  <c r="F13046" i="3"/>
  <c r="F13045" i="3"/>
  <c r="F13044" i="3"/>
  <c r="F13043" i="3"/>
  <c r="F13042" i="3"/>
  <c r="F13041" i="3"/>
  <c r="F13040" i="3"/>
  <c r="F13039" i="3"/>
  <c r="F13038" i="3"/>
  <c r="F13037" i="3"/>
  <c r="F13036" i="3"/>
  <c r="F13035" i="3"/>
  <c r="F13034" i="3"/>
  <c r="F13033" i="3"/>
  <c r="F13032" i="3"/>
  <c r="F13031" i="3"/>
  <c r="F13030" i="3"/>
  <c r="F13029" i="3"/>
  <c r="F13028" i="3"/>
  <c r="F13027" i="3"/>
  <c r="F13026" i="3"/>
  <c r="F13025" i="3"/>
  <c r="F13024" i="3"/>
  <c r="F13023" i="3"/>
  <c r="F13022" i="3"/>
  <c r="F13021" i="3"/>
  <c r="F13020" i="3"/>
  <c r="F13019" i="3"/>
  <c r="F13018" i="3"/>
  <c r="F13017" i="3"/>
  <c r="F13016" i="3"/>
  <c r="F13015" i="3"/>
  <c r="F13014" i="3"/>
  <c r="F13013" i="3"/>
  <c r="F13012" i="3"/>
  <c r="F13011" i="3"/>
  <c r="F13010" i="3"/>
  <c r="F13009" i="3"/>
  <c r="F13008" i="3"/>
  <c r="F13007" i="3"/>
  <c r="F13006" i="3"/>
  <c r="F13005" i="3"/>
  <c r="F13004" i="3"/>
  <c r="F13003" i="3"/>
  <c r="F13002" i="3"/>
  <c r="F13001" i="3"/>
  <c r="F13000" i="3"/>
  <c r="F12999" i="3"/>
  <c r="F12998" i="3"/>
  <c r="F12997" i="3"/>
  <c r="F12996" i="3"/>
  <c r="F12995" i="3"/>
  <c r="F12994" i="3"/>
  <c r="F12993" i="3"/>
  <c r="F12992" i="3"/>
  <c r="F12991" i="3"/>
  <c r="F12990" i="3"/>
  <c r="F12989" i="3"/>
  <c r="F12988" i="3"/>
  <c r="F12987" i="3"/>
  <c r="F12986" i="3"/>
  <c r="F12985" i="3"/>
  <c r="F12984" i="3"/>
  <c r="F12983" i="3"/>
  <c r="F12982" i="3"/>
  <c r="F12981" i="3"/>
  <c r="F12980" i="3"/>
  <c r="F12979" i="3"/>
  <c r="F12978" i="3"/>
  <c r="F12977" i="3"/>
  <c r="F12976" i="3"/>
  <c r="F12975" i="3"/>
  <c r="F12974" i="3"/>
  <c r="F12973" i="3"/>
  <c r="F12972" i="3"/>
  <c r="F12971" i="3"/>
  <c r="F12970" i="3"/>
  <c r="F12969" i="3"/>
  <c r="F12968" i="3"/>
  <c r="F12967" i="3"/>
  <c r="F12966" i="3"/>
  <c r="F12965" i="3"/>
  <c r="F12964" i="3"/>
  <c r="F12963" i="3"/>
  <c r="F12962" i="3"/>
  <c r="F12961" i="3"/>
  <c r="F12960" i="3"/>
  <c r="F12959" i="3"/>
  <c r="F12958" i="3"/>
  <c r="F12957" i="3"/>
  <c r="F12956" i="3"/>
  <c r="F12955" i="3"/>
  <c r="F12954" i="3"/>
  <c r="F12953" i="3"/>
  <c r="F12952" i="3"/>
  <c r="F12951" i="3"/>
  <c r="F12950" i="3"/>
  <c r="F12949" i="3"/>
  <c r="F12948" i="3"/>
  <c r="F12947" i="3"/>
  <c r="F12946" i="3"/>
  <c r="F12945" i="3"/>
  <c r="F12944" i="3"/>
  <c r="F12943" i="3"/>
  <c r="F12942" i="3"/>
  <c r="F12941" i="3"/>
  <c r="F12940" i="3"/>
  <c r="F12939" i="3"/>
  <c r="F12938" i="3"/>
  <c r="F12937" i="3"/>
  <c r="F12936" i="3"/>
  <c r="F12935" i="3"/>
  <c r="F12934" i="3"/>
  <c r="F12933" i="3"/>
  <c r="F12932" i="3"/>
  <c r="F12931" i="3"/>
  <c r="F12930" i="3"/>
  <c r="F12929" i="3"/>
  <c r="F12928" i="3"/>
  <c r="F12927" i="3"/>
  <c r="F12926" i="3"/>
  <c r="F12925" i="3"/>
  <c r="F12924" i="3"/>
  <c r="F12923" i="3"/>
  <c r="F12922" i="3"/>
  <c r="F12921" i="3"/>
  <c r="F12920" i="3"/>
  <c r="F12919" i="3"/>
  <c r="F12918" i="3"/>
  <c r="F12917" i="3"/>
  <c r="F12916" i="3"/>
  <c r="F12915" i="3"/>
  <c r="F12914" i="3"/>
  <c r="F12913" i="3"/>
  <c r="F12912" i="3"/>
  <c r="F12911" i="3"/>
  <c r="F12910" i="3"/>
  <c r="F12909" i="3"/>
  <c r="F12908" i="3"/>
  <c r="F12907" i="3"/>
  <c r="F12906" i="3"/>
  <c r="F12905" i="3"/>
  <c r="F12904" i="3"/>
  <c r="F12903" i="3"/>
  <c r="F12902" i="3"/>
  <c r="F12901" i="3"/>
  <c r="F12900" i="3"/>
  <c r="F12899" i="3"/>
  <c r="F12898" i="3"/>
  <c r="F12897" i="3"/>
  <c r="F12896" i="3"/>
  <c r="F12895" i="3"/>
  <c r="F12894" i="3"/>
  <c r="F12893" i="3"/>
  <c r="F12892" i="3"/>
  <c r="F12891" i="3"/>
  <c r="F12890" i="3"/>
  <c r="F12889" i="3"/>
  <c r="F12888" i="3"/>
  <c r="F12887" i="3"/>
  <c r="F12886" i="3"/>
  <c r="F12885" i="3"/>
  <c r="F12884" i="3"/>
  <c r="F12883" i="3"/>
  <c r="F12882" i="3"/>
  <c r="F12881" i="3"/>
  <c r="F12880" i="3"/>
  <c r="F12879" i="3"/>
  <c r="F12878" i="3"/>
  <c r="F12877" i="3"/>
  <c r="F12876" i="3"/>
  <c r="F12875" i="3"/>
  <c r="F12874" i="3"/>
  <c r="F12873" i="3"/>
  <c r="F12872" i="3"/>
  <c r="F12871" i="3"/>
  <c r="F12870" i="3"/>
  <c r="F12869" i="3"/>
  <c r="F12868" i="3"/>
  <c r="F12867" i="3"/>
  <c r="F12866" i="3"/>
  <c r="F12865" i="3"/>
  <c r="F12864" i="3"/>
  <c r="F12863" i="3"/>
  <c r="F12862" i="3"/>
  <c r="F12861" i="3"/>
  <c r="F12860" i="3"/>
  <c r="F12859" i="3"/>
  <c r="F12858" i="3"/>
  <c r="F12857" i="3"/>
  <c r="F12856" i="3"/>
  <c r="F12855" i="3"/>
  <c r="F12854" i="3"/>
  <c r="F12853" i="3"/>
  <c r="F12852" i="3"/>
  <c r="F12851" i="3"/>
  <c r="F12850" i="3"/>
  <c r="F12849" i="3"/>
  <c r="F12848" i="3"/>
  <c r="F12847" i="3"/>
  <c r="F12846" i="3"/>
  <c r="F12845" i="3"/>
  <c r="F12844" i="3"/>
  <c r="F12843" i="3"/>
  <c r="F12842" i="3"/>
  <c r="F12841" i="3"/>
  <c r="F12840" i="3"/>
  <c r="F12839" i="3"/>
  <c r="F12838" i="3"/>
  <c r="F12837" i="3"/>
  <c r="F12836" i="3"/>
  <c r="F12835" i="3"/>
  <c r="F12834" i="3"/>
  <c r="F12833" i="3"/>
  <c r="F12832" i="3"/>
  <c r="F12831" i="3"/>
  <c r="F12830" i="3"/>
  <c r="F12829" i="3"/>
  <c r="F12828" i="3"/>
  <c r="F12827" i="3"/>
  <c r="F12826" i="3"/>
  <c r="F12825" i="3"/>
  <c r="F12824" i="3"/>
  <c r="F12823" i="3"/>
  <c r="F12822" i="3"/>
  <c r="F12821" i="3"/>
  <c r="F12820" i="3"/>
  <c r="F12819" i="3"/>
  <c r="F12818" i="3"/>
  <c r="F12817" i="3"/>
  <c r="F12816" i="3"/>
  <c r="F12815" i="3"/>
  <c r="F12814" i="3"/>
  <c r="F12813" i="3"/>
  <c r="F12812" i="3"/>
  <c r="F12811" i="3"/>
  <c r="F12810" i="3"/>
  <c r="F12809" i="3"/>
  <c r="F12808" i="3"/>
  <c r="F12807" i="3"/>
  <c r="F12806" i="3"/>
  <c r="F12805" i="3"/>
  <c r="F12804" i="3"/>
  <c r="F12803" i="3"/>
  <c r="F12802" i="3"/>
  <c r="F12801" i="3"/>
  <c r="F12800" i="3"/>
  <c r="F12799" i="3"/>
  <c r="F12798" i="3"/>
  <c r="F12797" i="3"/>
  <c r="F12796" i="3"/>
  <c r="F12795" i="3"/>
  <c r="F12794" i="3"/>
  <c r="F12793" i="3"/>
  <c r="F12792" i="3"/>
  <c r="F12791" i="3"/>
  <c r="F12790" i="3"/>
  <c r="F12789" i="3"/>
  <c r="F12788" i="3"/>
  <c r="F12787" i="3"/>
  <c r="F12786" i="3"/>
  <c r="F12785" i="3"/>
  <c r="F12784" i="3"/>
  <c r="F12783" i="3"/>
  <c r="F12782" i="3"/>
  <c r="F12781" i="3"/>
  <c r="F12780" i="3"/>
  <c r="F12779" i="3"/>
  <c r="F12778" i="3"/>
  <c r="F12777" i="3"/>
  <c r="F12776" i="3"/>
  <c r="F12775" i="3"/>
  <c r="F12774" i="3"/>
  <c r="F12773" i="3"/>
  <c r="F12772" i="3"/>
  <c r="F12771" i="3"/>
  <c r="F12770" i="3"/>
  <c r="F12769" i="3"/>
  <c r="F12768" i="3"/>
  <c r="F12767" i="3"/>
  <c r="F12766" i="3"/>
  <c r="F12765" i="3"/>
  <c r="F12764" i="3"/>
  <c r="F12763" i="3"/>
  <c r="F12762" i="3"/>
  <c r="F12761" i="3"/>
  <c r="F12760" i="3"/>
  <c r="F12759" i="3"/>
  <c r="F12758" i="3"/>
  <c r="F12757" i="3"/>
  <c r="F12756" i="3"/>
  <c r="F12755" i="3"/>
  <c r="F12754" i="3"/>
  <c r="F12753" i="3"/>
  <c r="F12752" i="3"/>
  <c r="F12751" i="3"/>
  <c r="F12750" i="3"/>
  <c r="F12749" i="3"/>
  <c r="F12748" i="3"/>
  <c r="F12747" i="3"/>
  <c r="F12746" i="3"/>
  <c r="F12745" i="3"/>
  <c r="F12744" i="3"/>
  <c r="F12743" i="3"/>
  <c r="F12742" i="3"/>
  <c r="F12741" i="3"/>
  <c r="F12740" i="3"/>
  <c r="F12739" i="3"/>
  <c r="F12738" i="3"/>
  <c r="F12737" i="3"/>
  <c r="F12736" i="3"/>
  <c r="F12735" i="3"/>
  <c r="F12734" i="3"/>
  <c r="F12733" i="3"/>
  <c r="F12732" i="3"/>
  <c r="F12731" i="3"/>
  <c r="F12730" i="3"/>
  <c r="F12729" i="3"/>
  <c r="F12728" i="3"/>
  <c r="F12727" i="3"/>
  <c r="F12726" i="3"/>
  <c r="F12725" i="3"/>
  <c r="F12724" i="3"/>
  <c r="F12723" i="3"/>
  <c r="F12722" i="3"/>
  <c r="F12721" i="3"/>
  <c r="F12720" i="3"/>
  <c r="F12719" i="3"/>
  <c r="F12718" i="3"/>
  <c r="F12717" i="3"/>
  <c r="F12716" i="3"/>
  <c r="F12715" i="3"/>
  <c r="F12714" i="3"/>
  <c r="F12713" i="3"/>
  <c r="F12712" i="3"/>
  <c r="F12711" i="3"/>
  <c r="F12710" i="3"/>
  <c r="F12709" i="3"/>
  <c r="F12708" i="3"/>
  <c r="F12707" i="3"/>
  <c r="F12706" i="3"/>
  <c r="F12705" i="3"/>
  <c r="F12704" i="3"/>
  <c r="F12703" i="3"/>
  <c r="F12702" i="3"/>
  <c r="F12701" i="3"/>
  <c r="F12700" i="3"/>
  <c r="F12699" i="3"/>
  <c r="F12698" i="3"/>
  <c r="F12697" i="3"/>
  <c r="F12696" i="3"/>
  <c r="F12695" i="3"/>
  <c r="F12694" i="3"/>
  <c r="F12693" i="3"/>
  <c r="F12692" i="3"/>
  <c r="F12691" i="3"/>
  <c r="F12690" i="3"/>
  <c r="F12689" i="3"/>
  <c r="F12688" i="3"/>
  <c r="F12687" i="3"/>
  <c r="F12686" i="3"/>
  <c r="F12685" i="3"/>
  <c r="F12684" i="3"/>
  <c r="F12683" i="3"/>
  <c r="F12682" i="3"/>
  <c r="F12681" i="3"/>
  <c r="F12680" i="3"/>
  <c r="F12679" i="3"/>
  <c r="F12678" i="3"/>
  <c r="F12677" i="3"/>
  <c r="F12676" i="3"/>
  <c r="F12675" i="3"/>
  <c r="F12674" i="3"/>
  <c r="F12673" i="3"/>
  <c r="F12672" i="3"/>
  <c r="F12671" i="3"/>
  <c r="F12670" i="3"/>
  <c r="F12669" i="3"/>
  <c r="F12668" i="3"/>
  <c r="F12667" i="3"/>
  <c r="F12666" i="3"/>
  <c r="F12665" i="3"/>
  <c r="F12664" i="3"/>
  <c r="F12663" i="3"/>
  <c r="F12662" i="3"/>
  <c r="F12661" i="3"/>
  <c r="F12660" i="3"/>
  <c r="F12659" i="3"/>
  <c r="F12658" i="3"/>
  <c r="F12657" i="3"/>
  <c r="F12656" i="3"/>
  <c r="F12655" i="3"/>
  <c r="F12654" i="3"/>
  <c r="F12653" i="3"/>
  <c r="F12652" i="3"/>
  <c r="F12651" i="3"/>
  <c r="F12650" i="3"/>
  <c r="F12649" i="3"/>
  <c r="F12648" i="3"/>
  <c r="F12647" i="3"/>
  <c r="F12646" i="3"/>
  <c r="F12645" i="3"/>
  <c r="F12644" i="3"/>
  <c r="F12643" i="3"/>
  <c r="F12642" i="3"/>
  <c r="F12641" i="3"/>
  <c r="F12640" i="3"/>
  <c r="F12639" i="3"/>
  <c r="F12638" i="3"/>
  <c r="F12637" i="3"/>
  <c r="F12636" i="3"/>
  <c r="F12635" i="3"/>
  <c r="F12634" i="3"/>
  <c r="F12633" i="3"/>
  <c r="F12632" i="3"/>
  <c r="F12631" i="3"/>
  <c r="F12630" i="3"/>
  <c r="F12629" i="3"/>
  <c r="F12628" i="3"/>
  <c r="F12627" i="3"/>
  <c r="F12626" i="3"/>
  <c r="F12625" i="3"/>
  <c r="F12624" i="3"/>
  <c r="F12623" i="3"/>
  <c r="F12622" i="3"/>
  <c r="F12621" i="3"/>
  <c r="F12620" i="3"/>
  <c r="F12619" i="3"/>
  <c r="F12618" i="3"/>
  <c r="F12617" i="3"/>
  <c r="F12616" i="3"/>
  <c r="F12615" i="3"/>
  <c r="F12614" i="3"/>
  <c r="F12613" i="3"/>
  <c r="F12612" i="3"/>
  <c r="F12611" i="3"/>
  <c r="F12610" i="3"/>
  <c r="F12609" i="3"/>
  <c r="F12608" i="3"/>
  <c r="F12607" i="3"/>
  <c r="F12606" i="3"/>
  <c r="F12605" i="3"/>
  <c r="F12604" i="3"/>
  <c r="F12603" i="3"/>
  <c r="F12602" i="3"/>
  <c r="F12601" i="3"/>
  <c r="F12600" i="3"/>
  <c r="F12599" i="3"/>
  <c r="F12598" i="3"/>
  <c r="F12597" i="3"/>
  <c r="F12596" i="3"/>
  <c r="F12595" i="3"/>
  <c r="F12594" i="3"/>
  <c r="F12593" i="3"/>
  <c r="F12592" i="3"/>
  <c r="F12591" i="3"/>
  <c r="F12590" i="3"/>
  <c r="F12589" i="3"/>
  <c r="F12588" i="3"/>
  <c r="F12587" i="3"/>
  <c r="F12586" i="3"/>
  <c r="F12585" i="3"/>
  <c r="F12584" i="3"/>
  <c r="F12583" i="3"/>
  <c r="F12582" i="3"/>
  <c r="F12581" i="3"/>
  <c r="F12580" i="3"/>
  <c r="F12579" i="3"/>
  <c r="F12578" i="3"/>
  <c r="F12577" i="3"/>
  <c r="F12576" i="3"/>
  <c r="F12575" i="3"/>
  <c r="F12574" i="3"/>
  <c r="F12573" i="3"/>
  <c r="F12572" i="3"/>
  <c r="F12571" i="3"/>
  <c r="F12570" i="3"/>
  <c r="F12569" i="3"/>
  <c r="F12568" i="3"/>
  <c r="F12567" i="3"/>
  <c r="F12566" i="3"/>
  <c r="F12565" i="3"/>
  <c r="F12564" i="3"/>
  <c r="F12563" i="3"/>
  <c r="F12562" i="3"/>
  <c r="F12561" i="3"/>
  <c r="F12560" i="3"/>
  <c r="F12559" i="3"/>
  <c r="F12558" i="3"/>
  <c r="F12557" i="3"/>
  <c r="F12556" i="3"/>
  <c r="F12555" i="3"/>
  <c r="F12554" i="3"/>
  <c r="F12553" i="3"/>
  <c r="F12552" i="3"/>
  <c r="F12551" i="3"/>
  <c r="F12550" i="3"/>
  <c r="F12549" i="3"/>
  <c r="F12548" i="3"/>
  <c r="F12547" i="3"/>
  <c r="F12546" i="3"/>
  <c r="F12545" i="3"/>
  <c r="F12544" i="3"/>
  <c r="F12543" i="3"/>
  <c r="F12542" i="3"/>
  <c r="F12541" i="3"/>
  <c r="F12540" i="3"/>
  <c r="F12539" i="3"/>
  <c r="F12538" i="3"/>
  <c r="F12537" i="3"/>
  <c r="F12536" i="3"/>
  <c r="F12535" i="3"/>
  <c r="F12534" i="3"/>
  <c r="F12533" i="3"/>
  <c r="F12532" i="3"/>
  <c r="F12531" i="3"/>
  <c r="F12530" i="3"/>
  <c r="F12529" i="3"/>
  <c r="F12528" i="3"/>
  <c r="F12527" i="3"/>
  <c r="F12526" i="3"/>
  <c r="F12525" i="3"/>
  <c r="F12524" i="3"/>
  <c r="F12523" i="3"/>
  <c r="F12522" i="3"/>
  <c r="F12521" i="3"/>
  <c r="F12520" i="3"/>
  <c r="F12519" i="3"/>
  <c r="F12518" i="3"/>
  <c r="F12517" i="3"/>
  <c r="F12516" i="3"/>
  <c r="F12515" i="3"/>
  <c r="F12514" i="3"/>
  <c r="F12513" i="3"/>
  <c r="F12512" i="3"/>
  <c r="F12511" i="3"/>
  <c r="F12510" i="3"/>
  <c r="F12509" i="3"/>
  <c r="F12508" i="3"/>
  <c r="F12507" i="3"/>
  <c r="F12506" i="3"/>
  <c r="F12505" i="3"/>
  <c r="F12504" i="3"/>
  <c r="F12503" i="3"/>
  <c r="F12502" i="3"/>
  <c r="F12501" i="3"/>
  <c r="F12500" i="3"/>
  <c r="F12499" i="3"/>
  <c r="F12498" i="3"/>
  <c r="F12497" i="3"/>
  <c r="F12496" i="3"/>
  <c r="F12495" i="3"/>
  <c r="F12494" i="3"/>
  <c r="F12493" i="3"/>
  <c r="F12492" i="3"/>
  <c r="F12491" i="3"/>
  <c r="F12490" i="3"/>
  <c r="F12489" i="3"/>
  <c r="F12488" i="3"/>
  <c r="F12487" i="3"/>
  <c r="F12486" i="3"/>
  <c r="F12485" i="3"/>
  <c r="F12484" i="3"/>
  <c r="F12483" i="3"/>
  <c r="F12482" i="3"/>
  <c r="F12481" i="3"/>
  <c r="F12480" i="3"/>
  <c r="F12479" i="3"/>
  <c r="F12478" i="3"/>
  <c r="F12477" i="3"/>
  <c r="F12476" i="3"/>
  <c r="F12475" i="3"/>
  <c r="F12474" i="3"/>
  <c r="F12473" i="3"/>
  <c r="F12472" i="3"/>
  <c r="F12471" i="3"/>
  <c r="F12470" i="3"/>
  <c r="F12469" i="3"/>
  <c r="F12468" i="3"/>
  <c r="F12467" i="3"/>
  <c r="F12466" i="3"/>
  <c r="F12465" i="3"/>
  <c r="F12464" i="3"/>
  <c r="F12463" i="3"/>
  <c r="F12462" i="3"/>
  <c r="F12461" i="3"/>
  <c r="F12460" i="3"/>
  <c r="F12459" i="3"/>
  <c r="F12458" i="3"/>
  <c r="F12457" i="3"/>
  <c r="F12456" i="3"/>
  <c r="F12455" i="3"/>
  <c r="F12454" i="3"/>
  <c r="F12453" i="3"/>
  <c r="F12452" i="3"/>
  <c r="F12451" i="3"/>
  <c r="F12450" i="3"/>
  <c r="F12449" i="3"/>
  <c r="F12448" i="3"/>
  <c r="F12447" i="3"/>
  <c r="F12446" i="3"/>
  <c r="F12445" i="3"/>
  <c r="F12444" i="3"/>
  <c r="F12443" i="3"/>
  <c r="F12442" i="3"/>
  <c r="F12441" i="3"/>
  <c r="F12440" i="3"/>
  <c r="F12439" i="3"/>
  <c r="F12438" i="3"/>
  <c r="F12437" i="3"/>
  <c r="F12436" i="3"/>
  <c r="F12435" i="3"/>
  <c r="F12434" i="3"/>
  <c r="F12433" i="3"/>
  <c r="F12432" i="3"/>
  <c r="F12431" i="3"/>
  <c r="F12430" i="3"/>
  <c r="F12429" i="3"/>
  <c r="F12428" i="3"/>
  <c r="F12427" i="3"/>
  <c r="F12426" i="3"/>
  <c r="F12425" i="3"/>
  <c r="F12424" i="3"/>
  <c r="F12423" i="3"/>
  <c r="F12422" i="3"/>
  <c r="F12421" i="3"/>
  <c r="F12420" i="3"/>
  <c r="F12419" i="3"/>
  <c r="F12418" i="3"/>
  <c r="F12417" i="3"/>
  <c r="F12416" i="3"/>
  <c r="F12415" i="3"/>
  <c r="F12414" i="3"/>
  <c r="F12413" i="3"/>
  <c r="F12412" i="3"/>
  <c r="F12411" i="3"/>
  <c r="F12410" i="3"/>
  <c r="F12409" i="3"/>
  <c r="F12408" i="3"/>
  <c r="F12407" i="3"/>
  <c r="F12406" i="3"/>
  <c r="F12405" i="3"/>
  <c r="F12404" i="3"/>
  <c r="F12403" i="3"/>
  <c r="F12402" i="3"/>
  <c r="F12401" i="3"/>
  <c r="F12400" i="3"/>
  <c r="F12399" i="3"/>
  <c r="F12398" i="3"/>
  <c r="F12397" i="3"/>
  <c r="F12396" i="3"/>
  <c r="F12395" i="3"/>
  <c r="F12394" i="3"/>
  <c r="F12393" i="3"/>
  <c r="F12392" i="3"/>
  <c r="F12391" i="3"/>
  <c r="F12390" i="3"/>
  <c r="F12389" i="3"/>
  <c r="F12388" i="3"/>
  <c r="F12387" i="3"/>
  <c r="F12386" i="3"/>
  <c r="F12385" i="3"/>
  <c r="F12384" i="3"/>
  <c r="F12383" i="3"/>
  <c r="F12382" i="3"/>
  <c r="F12381" i="3"/>
  <c r="F12380" i="3"/>
  <c r="F12379" i="3"/>
  <c r="F12378" i="3"/>
  <c r="F12377" i="3"/>
  <c r="F12376" i="3"/>
  <c r="F12375" i="3"/>
  <c r="F12374" i="3"/>
  <c r="F12373" i="3"/>
  <c r="F12372" i="3"/>
  <c r="F12371" i="3"/>
  <c r="F12370" i="3"/>
  <c r="F12369" i="3"/>
  <c r="F12368" i="3"/>
  <c r="F12367" i="3"/>
  <c r="F12366" i="3"/>
  <c r="F12365" i="3"/>
  <c r="F12364" i="3"/>
  <c r="F12363" i="3"/>
  <c r="F12362" i="3"/>
  <c r="F12361" i="3"/>
  <c r="F12360" i="3"/>
  <c r="F12359" i="3"/>
  <c r="F12358" i="3"/>
  <c r="F12357" i="3"/>
  <c r="F12356" i="3"/>
  <c r="F12355" i="3"/>
  <c r="F12354" i="3"/>
  <c r="F12353" i="3"/>
  <c r="F12352" i="3"/>
  <c r="F12351" i="3"/>
  <c r="F12350" i="3"/>
  <c r="F12349" i="3"/>
  <c r="F12348" i="3"/>
  <c r="F12347" i="3"/>
  <c r="F12346" i="3"/>
  <c r="F12345" i="3"/>
  <c r="F12344" i="3"/>
  <c r="F12343" i="3"/>
  <c r="F12342" i="3"/>
  <c r="F12341" i="3"/>
  <c r="F12340" i="3"/>
  <c r="F12339" i="3"/>
  <c r="F12338" i="3"/>
  <c r="F12337" i="3"/>
  <c r="F12336" i="3"/>
  <c r="F12335" i="3"/>
  <c r="F12334" i="3"/>
  <c r="F12333" i="3"/>
  <c r="F12332" i="3"/>
  <c r="F12331" i="3"/>
  <c r="F12330" i="3"/>
  <c r="F12329" i="3"/>
  <c r="F12328" i="3"/>
  <c r="F12327" i="3"/>
  <c r="F12326" i="3"/>
  <c r="F12325" i="3"/>
  <c r="F12324" i="3"/>
  <c r="F12323" i="3"/>
  <c r="F12322" i="3"/>
  <c r="F12321" i="3"/>
  <c r="F12320" i="3"/>
  <c r="F12319" i="3"/>
  <c r="F12318" i="3"/>
  <c r="F12317" i="3"/>
  <c r="F12316" i="3"/>
  <c r="F12315" i="3"/>
  <c r="F12314" i="3"/>
  <c r="F12313" i="3"/>
  <c r="F12312" i="3"/>
  <c r="F12311" i="3"/>
  <c r="F12310" i="3"/>
  <c r="F12309" i="3"/>
  <c r="F12308" i="3"/>
  <c r="F12307" i="3"/>
  <c r="F12306" i="3"/>
  <c r="F12305" i="3"/>
  <c r="F12304" i="3"/>
  <c r="F12303" i="3"/>
  <c r="F12302" i="3"/>
  <c r="F12301" i="3"/>
  <c r="F12300" i="3"/>
  <c r="F12299" i="3"/>
  <c r="F12298" i="3"/>
  <c r="F12297" i="3"/>
  <c r="F12296" i="3"/>
  <c r="F12295" i="3"/>
  <c r="F12294" i="3"/>
  <c r="F12293" i="3"/>
  <c r="F12292" i="3"/>
  <c r="F12291" i="3"/>
  <c r="F12290" i="3"/>
  <c r="F12289" i="3"/>
  <c r="F12288" i="3"/>
  <c r="F12287" i="3"/>
  <c r="F12286" i="3"/>
  <c r="F12285" i="3"/>
  <c r="F12284" i="3"/>
  <c r="F12283" i="3"/>
  <c r="F12282" i="3"/>
  <c r="F12281" i="3"/>
  <c r="F12280" i="3"/>
  <c r="F12279" i="3"/>
  <c r="F12278" i="3"/>
  <c r="F12277" i="3"/>
  <c r="F12276" i="3"/>
  <c r="F12275" i="3"/>
  <c r="F12274" i="3"/>
  <c r="F12273" i="3"/>
  <c r="F12272" i="3"/>
  <c r="F12271" i="3"/>
  <c r="F12270" i="3"/>
  <c r="F12269" i="3"/>
  <c r="F12268" i="3"/>
  <c r="F12267" i="3"/>
  <c r="F12266" i="3"/>
  <c r="F12265" i="3"/>
  <c r="F12264" i="3"/>
  <c r="F12263" i="3"/>
  <c r="F12262" i="3"/>
  <c r="F12261" i="3"/>
  <c r="F12260" i="3"/>
  <c r="F12259" i="3"/>
  <c r="F12258" i="3"/>
  <c r="F12257" i="3"/>
  <c r="F12256" i="3"/>
  <c r="F12255" i="3"/>
  <c r="F12254" i="3"/>
  <c r="F12253" i="3"/>
  <c r="F12252" i="3"/>
  <c r="F12251" i="3"/>
  <c r="F12250" i="3"/>
  <c r="F12249" i="3"/>
  <c r="F12248" i="3"/>
  <c r="F12247" i="3"/>
  <c r="F12246" i="3"/>
  <c r="F12245" i="3"/>
  <c r="F12244" i="3"/>
  <c r="F12243" i="3"/>
  <c r="F12242" i="3"/>
  <c r="F12241" i="3"/>
  <c r="F12240" i="3"/>
  <c r="F12239" i="3"/>
  <c r="F12238" i="3"/>
  <c r="F12237" i="3"/>
  <c r="F12236" i="3"/>
  <c r="F12235" i="3"/>
  <c r="F12234" i="3"/>
  <c r="F12233" i="3"/>
  <c r="F12232" i="3"/>
  <c r="F12231" i="3"/>
  <c r="F12230" i="3"/>
  <c r="F12229" i="3"/>
  <c r="F12228" i="3"/>
  <c r="F12227" i="3"/>
  <c r="F12226" i="3"/>
  <c r="F12225" i="3"/>
  <c r="F12224" i="3"/>
  <c r="F12223" i="3"/>
  <c r="F12222" i="3"/>
  <c r="F12221" i="3"/>
  <c r="F12220" i="3"/>
  <c r="F12219" i="3"/>
  <c r="F12218" i="3"/>
  <c r="F12217" i="3"/>
  <c r="F12216" i="3"/>
  <c r="F12215" i="3"/>
  <c r="F12214" i="3"/>
  <c r="F12213" i="3"/>
  <c r="F12212" i="3"/>
  <c r="F12211" i="3"/>
  <c r="F12210" i="3"/>
  <c r="F12209" i="3"/>
  <c r="F12208" i="3"/>
  <c r="F12207" i="3"/>
  <c r="F12206" i="3"/>
  <c r="F12205" i="3"/>
  <c r="F12204" i="3"/>
  <c r="F12203" i="3"/>
  <c r="F12202" i="3"/>
  <c r="F12201" i="3"/>
  <c r="F12200" i="3"/>
  <c r="F12199" i="3"/>
  <c r="F12198" i="3"/>
  <c r="F12197" i="3"/>
  <c r="F12196" i="3"/>
  <c r="F12195" i="3"/>
  <c r="F12194" i="3"/>
  <c r="F12193" i="3"/>
  <c r="F12192" i="3"/>
  <c r="F12191" i="3"/>
  <c r="F12190" i="3"/>
  <c r="F12189" i="3"/>
  <c r="F12188" i="3"/>
  <c r="F12187" i="3"/>
  <c r="F12186" i="3"/>
  <c r="F12185" i="3"/>
  <c r="F12184" i="3"/>
  <c r="F12183" i="3"/>
  <c r="F12182" i="3"/>
  <c r="F12181" i="3"/>
  <c r="F12180" i="3"/>
  <c r="F12179" i="3"/>
  <c r="F12178" i="3"/>
  <c r="F12177" i="3"/>
  <c r="F12176" i="3"/>
  <c r="F12175" i="3"/>
  <c r="F12174" i="3"/>
  <c r="F12173" i="3"/>
  <c r="F12172" i="3"/>
  <c r="F12171" i="3"/>
  <c r="F12170" i="3"/>
  <c r="F12169" i="3"/>
  <c r="F12168" i="3"/>
  <c r="F12167" i="3"/>
  <c r="F12166" i="3"/>
  <c r="F12165" i="3"/>
  <c r="F12164" i="3"/>
  <c r="F12163" i="3"/>
  <c r="F12162" i="3"/>
  <c r="F12161" i="3"/>
  <c r="F12160" i="3"/>
  <c r="F12159" i="3"/>
  <c r="F12158" i="3"/>
  <c r="F12157" i="3"/>
  <c r="F12156" i="3"/>
  <c r="F12155" i="3"/>
  <c r="F12154" i="3"/>
  <c r="F12153" i="3"/>
  <c r="F12152" i="3"/>
  <c r="F12151" i="3"/>
  <c r="F12150" i="3"/>
  <c r="F12149" i="3"/>
  <c r="F12148" i="3"/>
  <c r="F12147" i="3"/>
  <c r="F12146" i="3"/>
  <c r="F12145" i="3"/>
  <c r="F12144" i="3"/>
  <c r="F12143" i="3"/>
  <c r="F12142" i="3"/>
  <c r="F12141" i="3"/>
  <c r="F12140" i="3"/>
  <c r="F12139" i="3"/>
  <c r="F12138" i="3"/>
  <c r="F12137" i="3"/>
  <c r="F12136" i="3"/>
  <c r="F12135" i="3"/>
  <c r="F12134" i="3"/>
  <c r="F12133" i="3"/>
  <c r="F12132" i="3"/>
  <c r="F12131" i="3"/>
  <c r="F12130" i="3"/>
  <c r="F12129" i="3"/>
  <c r="F12128" i="3"/>
  <c r="F12127" i="3"/>
  <c r="F12126" i="3"/>
  <c r="F12125" i="3"/>
  <c r="F12124" i="3"/>
  <c r="F12123" i="3"/>
  <c r="F12122" i="3"/>
  <c r="F12121" i="3"/>
  <c r="F12120" i="3"/>
  <c r="F12119" i="3"/>
  <c r="F12118" i="3"/>
  <c r="F12117" i="3"/>
  <c r="F12116" i="3"/>
  <c r="F12115" i="3"/>
  <c r="F12114" i="3"/>
  <c r="F12113" i="3"/>
  <c r="F12112" i="3"/>
  <c r="F12111" i="3"/>
  <c r="F12110" i="3"/>
  <c r="F12109" i="3"/>
  <c r="F12108" i="3"/>
  <c r="F12107" i="3"/>
  <c r="F12106" i="3"/>
  <c r="F12105" i="3"/>
  <c r="F12104" i="3"/>
  <c r="F12103" i="3"/>
  <c r="F12102" i="3"/>
  <c r="F12101" i="3"/>
  <c r="F12100" i="3"/>
  <c r="F12099" i="3"/>
  <c r="F12098" i="3"/>
  <c r="F12097" i="3"/>
  <c r="F12096" i="3"/>
  <c r="F12095" i="3"/>
  <c r="F12094" i="3"/>
  <c r="F12093" i="3"/>
  <c r="F12092" i="3"/>
  <c r="F12091" i="3"/>
  <c r="F12090" i="3"/>
  <c r="F12089" i="3"/>
  <c r="F12088" i="3"/>
  <c r="F12087" i="3"/>
  <c r="F12086" i="3"/>
  <c r="F12085" i="3"/>
  <c r="F12084" i="3"/>
  <c r="F12083" i="3"/>
  <c r="F12082" i="3"/>
  <c r="F12081" i="3"/>
  <c r="F12080" i="3"/>
  <c r="F12079" i="3"/>
  <c r="F12078" i="3"/>
  <c r="F12077" i="3"/>
  <c r="F12076" i="3"/>
  <c r="F12075" i="3"/>
  <c r="F12074" i="3"/>
  <c r="F12073" i="3"/>
  <c r="F12072" i="3"/>
  <c r="F12071" i="3"/>
  <c r="F12070" i="3"/>
  <c r="F12069" i="3"/>
  <c r="F12068" i="3"/>
  <c r="F12067" i="3"/>
  <c r="F12066" i="3"/>
  <c r="F12065" i="3"/>
  <c r="F12064" i="3"/>
  <c r="F12063" i="3"/>
  <c r="F12062" i="3"/>
  <c r="F12061" i="3"/>
  <c r="F12060" i="3"/>
  <c r="F12059" i="3"/>
  <c r="F12058" i="3"/>
  <c r="F12057" i="3"/>
  <c r="F12056" i="3"/>
  <c r="F12055" i="3"/>
  <c r="F12054" i="3"/>
  <c r="F12053" i="3"/>
  <c r="F12052" i="3"/>
  <c r="F12051" i="3"/>
  <c r="F12050" i="3"/>
  <c r="F12049" i="3"/>
  <c r="F12048" i="3"/>
  <c r="F12047" i="3"/>
  <c r="F12046" i="3"/>
  <c r="F12045" i="3"/>
  <c r="F12044" i="3"/>
  <c r="F12043" i="3"/>
  <c r="F12042" i="3"/>
  <c r="F12041" i="3"/>
  <c r="F12040" i="3"/>
  <c r="F12039" i="3"/>
  <c r="F12038" i="3"/>
  <c r="F12037" i="3"/>
  <c r="F12036" i="3"/>
  <c r="F12035" i="3"/>
  <c r="F12034" i="3"/>
  <c r="F12033" i="3"/>
  <c r="F12032" i="3"/>
  <c r="F12031" i="3"/>
  <c r="F12030" i="3"/>
  <c r="F12029" i="3"/>
  <c r="F12028" i="3"/>
  <c r="F12027" i="3"/>
  <c r="F12026" i="3"/>
  <c r="F12025" i="3"/>
  <c r="F12024" i="3"/>
  <c r="F12023" i="3"/>
  <c r="F12022" i="3"/>
  <c r="F12021" i="3"/>
  <c r="F12020" i="3"/>
  <c r="F12019" i="3"/>
  <c r="F12018" i="3"/>
  <c r="F12017" i="3"/>
  <c r="F12016" i="3"/>
  <c r="F12015" i="3"/>
  <c r="F12014" i="3"/>
  <c r="F12013" i="3"/>
  <c r="F12012" i="3"/>
  <c r="F12011" i="3"/>
  <c r="F12010" i="3"/>
  <c r="F12009" i="3"/>
  <c r="F12008" i="3"/>
  <c r="F12007" i="3"/>
  <c r="F12006" i="3"/>
  <c r="F12005" i="3"/>
  <c r="F12004" i="3"/>
  <c r="F12003" i="3"/>
  <c r="F12002" i="3"/>
  <c r="F12001" i="3"/>
  <c r="F12000" i="3"/>
  <c r="F11999" i="3"/>
  <c r="F11998" i="3"/>
  <c r="F11997" i="3"/>
  <c r="F11996" i="3"/>
  <c r="F11995" i="3"/>
  <c r="F11994" i="3"/>
  <c r="F11993" i="3"/>
  <c r="F11992" i="3"/>
  <c r="F11991" i="3"/>
  <c r="F11990" i="3"/>
  <c r="F11989" i="3"/>
  <c r="F11988" i="3"/>
  <c r="F11987" i="3"/>
  <c r="F11986" i="3"/>
  <c r="F11985" i="3"/>
  <c r="F11984" i="3"/>
  <c r="F11983" i="3"/>
  <c r="F11982" i="3"/>
  <c r="F11981" i="3"/>
  <c r="F11980" i="3"/>
  <c r="F11979" i="3"/>
  <c r="F11978" i="3"/>
  <c r="F11977" i="3"/>
  <c r="F11976" i="3"/>
  <c r="F11975" i="3"/>
  <c r="F11974" i="3"/>
  <c r="F11973" i="3"/>
  <c r="F11972" i="3"/>
  <c r="F11971" i="3"/>
  <c r="F11970" i="3"/>
  <c r="F11969" i="3"/>
  <c r="F11968" i="3"/>
  <c r="F11967" i="3"/>
  <c r="F11966" i="3"/>
  <c r="F11965" i="3"/>
  <c r="F11964" i="3"/>
  <c r="F11963" i="3"/>
  <c r="F11962" i="3"/>
  <c r="F11961" i="3"/>
  <c r="F11960" i="3"/>
  <c r="F11959" i="3"/>
  <c r="F11958" i="3"/>
  <c r="F11957" i="3"/>
  <c r="F11956" i="3"/>
  <c r="F11955" i="3"/>
  <c r="F11954" i="3"/>
  <c r="F11953" i="3"/>
  <c r="F11952" i="3"/>
  <c r="F11951" i="3"/>
  <c r="F11950" i="3"/>
  <c r="F11949" i="3"/>
  <c r="F11948" i="3"/>
  <c r="F11947" i="3"/>
  <c r="F11946" i="3"/>
  <c r="F11945" i="3"/>
  <c r="F11944" i="3"/>
  <c r="F11943" i="3"/>
  <c r="F11942" i="3"/>
  <c r="F11941" i="3"/>
  <c r="F11940" i="3"/>
  <c r="F11939" i="3"/>
  <c r="F11938" i="3"/>
  <c r="F11937" i="3"/>
  <c r="F11936" i="3"/>
  <c r="F11935" i="3"/>
  <c r="F11934" i="3"/>
  <c r="F11933" i="3"/>
  <c r="F11932" i="3"/>
  <c r="F11931" i="3"/>
  <c r="F11930" i="3"/>
  <c r="F11929" i="3"/>
  <c r="F11928" i="3"/>
  <c r="F11927" i="3"/>
  <c r="F11926" i="3"/>
  <c r="F11925" i="3"/>
  <c r="F11924" i="3"/>
  <c r="F11923" i="3"/>
  <c r="F11922" i="3"/>
  <c r="F11921" i="3"/>
  <c r="F11920" i="3"/>
  <c r="F11919" i="3"/>
  <c r="F11918" i="3"/>
  <c r="F11917" i="3"/>
  <c r="F11916" i="3"/>
  <c r="F11915" i="3"/>
  <c r="F11914" i="3"/>
  <c r="F11913" i="3"/>
  <c r="F11912" i="3"/>
  <c r="F11911" i="3"/>
  <c r="F11910" i="3"/>
  <c r="F11909" i="3"/>
  <c r="F11908" i="3"/>
  <c r="F11907" i="3"/>
  <c r="F11906" i="3"/>
  <c r="F11905" i="3"/>
  <c r="F11904" i="3"/>
  <c r="F11903" i="3"/>
  <c r="F11902" i="3"/>
  <c r="F11901" i="3"/>
  <c r="F11900" i="3"/>
  <c r="F11899" i="3"/>
  <c r="F11898" i="3"/>
  <c r="F11897" i="3"/>
  <c r="F11896" i="3"/>
  <c r="F11895" i="3"/>
  <c r="F11894" i="3"/>
  <c r="F11893" i="3"/>
  <c r="F11892" i="3"/>
  <c r="F11891" i="3"/>
  <c r="F11890" i="3"/>
  <c r="F11889" i="3"/>
  <c r="F11888" i="3"/>
  <c r="F11887" i="3"/>
  <c r="F11886" i="3"/>
  <c r="F11885" i="3"/>
  <c r="F11884" i="3"/>
  <c r="F11883" i="3"/>
  <c r="F11882" i="3"/>
  <c r="F11881" i="3"/>
  <c r="F11880" i="3"/>
  <c r="F11879" i="3"/>
  <c r="F11878" i="3"/>
  <c r="F11877" i="3"/>
  <c r="F11876" i="3"/>
  <c r="F11875" i="3"/>
  <c r="F11874" i="3"/>
  <c r="F11873" i="3"/>
  <c r="F11872" i="3"/>
  <c r="F11871" i="3"/>
  <c r="F11870" i="3"/>
  <c r="F11869" i="3"/>
  <c r="F11868" i="3"/>
  <c r="F11867" i="3"/>
  <c r="F11866" i="3"/>
  <c r="F11865" i="3"/>
  <c r="F11864" i="3"/>
  <c r="F11863" i="3"/>
  <c r="F11862" i="3"/>
  <c r="F11861" i="3"/>
  <c r="F11860" i="3"/>
  <c r="F11859" i="3"/>
  <c r="F11858" i="3"/>
  <c r="F11857" i="3"/>
  <c r="F11856" i="3"/>
  <c r="F11855" i="3"/>
  <c r="F11854" i="3"/>
  <c r="F11853" i="3"/>
  <c r="F11852" i="3"/>
  <c r="F11851" i="3"/>
  <c r="F11850" i="3"/>
  <c r="F11849" i="3"/>
  <c r="F11848" i="3"/>
  <c r="F11847" i="3"/>
  <c r="F11846" i="3"/>
  <c r="F11845" i="3"/>
  <c r="F11844" i="3"/>
  <c r="F11843" i="3"/>
  <c r="F11842" i="3"/>
  <c r="F11841" i="3"/>
  <c r="F11840" i="3"/>
  <c r="F11839" i="3"/>
  <c r="F11838" i="3"/>
  <c r="F11837" i="3"/>
  <c r="F11836" i="3"/>
  <c r="F11835" i="3"/>
  <c r="F11834" i="3"/>
  <c r="F11833" i="3"/>
  <c r="F11832" i="3"/>
  <c r="F11831" i="3"/>
  <c r="F11830" i="3"/>
  <c r="F11829" i="3"/>
  <c r="F11828" i="3"/>
  <c r="F11827" i="3"/>
  <c r="F11826" i="3"/>
  <c r="F11825" i="3"/>
  <c r="F11824" i="3"/>
  <c r="F11823" i="3"/>
  <c r="F11822" i="3"/>
  <c r="F11821" i="3"/>
  <c r="F11820" i="3"/>
  <c r="F11819" i="3"/>
  <c r="F11818" i="3"/>
  <c r="F11817" i="3"/>
  <c r="F11816" i="3"/>
  <c r="F11815" i="3"/>
  <c r="F11814" i="3"/>
  <c r="F11813" i="3"/>
  <c r="F11812" i="3"/>
  <c r="F11811" i="3"/>
  <c r="F11810" i="3"/>
  <c r="F11809" i="3"/>
  <c r="F11808" i="3"/>
  <c r="F11807" i="3"/>
  <c r="F11806" i="3"/>
  <c r="F11805" i="3"/>
  <c r="F11804" i="3"/>
  <c r="F11803" i="3"/>
  <c r="F11802" i="3"/>
  <c r="F11801" i="3"/>
  <c r="F11800" i="3"/>
  <c r="F11799" i="3"/>
  <c r="F11798" i="3"/>
  <c r="F11797" i="3"/>
  <c r="F11796" i="3"/>
  <c r="F11795" i="3"/>
  <c r="F11794" i="3"/>
  <c r="F11793" i="3"/>
  <c r="F11792" i="3"/>
  <c r="F11791" i="3"/>
  <c r="F11790" i="3"/>
  <c r="F11789" i="3"/>
  <c r="F11788" i="3"/>
  <c r="F11787" i="3"/>
  <c r="F11786" i="3"/>
  <c r="F11785" i="3"/>
  <c r="F11784" i="3"/>
  <c r="F11783" i="3"/>
  <c r="F11782" i="3"/>
  <c r="F11781" i="3"/>
  <c r="F11780" i="3"/>
  <c r="F11779" i="3"/>
  <c r="F11778" i="3"/>
  <c r="F11777" i="3"/>
  <c r="F11776" i="3"/>
  <c r="F11775" i="3"/>
  <c r="F11774" i="3"/>
  <c r="F11773" i="3"/>
  <c r="F11772" i="3"/>
  <c r="F11771" i="3"/>
  <c r="F11770" i="3"/>
  <c r="F11769" i="3"/>
  <c r="F11768" i="3"/>
  <c r="F11767" i="3"/>
  <c r="F11766" i="3"/>
  <c r="F11765" i="3"/>
  <c r="F11764" i="3"/>
  <c r="F11763" i="3"/>
  <c r="F11762" i="3"/>
  <c r="F11761" i="3"/>
  <c r="F11760" i="3"/>
  <c r="F11759" i="3"/>
  <c r="F11758" i="3"/>
  <c r="F11757" i="3"/>
  <c r="F11756" i="3"/>
  <c r="F11755" i="3"/>
  <c r="F11754" i="3"/>
  <c r="F11753" i="3"/>
  <c r="F11752" i="3"/>
  <c r="F11751" i="3"/>
  <c r="F11750" i="3"/>
  <c r="F11749" i="3"/>
  <c r="F11748" i="3"/>
  <c r="F11747" i="3"/>
  <c r="F11746" i="3"/>
  <c r="F11745" i="3"/>
  <c r="F11744" i="3"/>
  <c r="F11743" i="3"/>
  <c r="F11742" i="3"/>
  <c r="F11741" i="3"/>
  <c r="F11740" i="3"/>
  <c r="F11739" i="3"/>
  <c r="F11738" i="3"/>
  <c r="F11737" i="3"/>
  <c r="F11736" i="3"/>
  <c r="F11735" i="3"/>
  <c r="F11734" i="3"/>
  <c r="F11733" i="3"/>
  <c r="F11732" i="3"/>
  <c r="F11731" i="3"/>
  <c r="F11730" i="3"/>
  <c r="F11729" i="3"/>
  <c r="F11728" i="3"/>
  <c r="F11727" i="3"/>
  <c r="F11726" i="3"/>
  <c r="F11725" i="3"/>
  <c r="F11724" i="3"/>
  <c r="F11723" i="3"/>
  <c r="F11722" i="3"/>
  <c r="F11721" i="3"/>
  <c r="F11720" i="3"/>
  <c r="F11719" i="3"/>
  <c r="F11718" i="3"/>
  <c r="F11717" i="3"/>
  <c r="F11716" i="3"/>
  <c r="F11715" i="3"/>
  <c r="F11714" i="3"/>
  <c r="F11713" i="3"/>
  <c r="F11712" i="3"/>
  <c r="F11711" i="3"/>
  <c r="F11710" i="3"/>
  <c r="F11709" i="3"/>
  <c r="F11708" i="3"/>
  <c r="F11707" i="3"/>
  <c r="F11706" i="3"/>
  <c r="F11705" i="3"/>
  <c r="F11704" i="3"/>
  <c r="F11703" i="3"/>
  <c r="F11702" i="3"/>
  <c r="F11701" i="3"/>
  <c r="F11700" i="3"/>
  <c r="F11699" i="3"/>
  <c r="F11698" i="3"/>
  <c r="F11697" i="3"/>
  <c r="F11696" i="3"/>
  <c r="F11695" i="3"/>
  <c r="F11694" i="3"/>
  <c r="F11693" i="3"/>
  <c r="F11692" i="3"/>
  <c r="F11691" i="3"/>
  <c r="F11690" i="3"/>
  <c r="F11689" i="3"/>
  <c r="F11688" i="3"/>
  <c r="F11687" i="3"/>
  <c r="F11686" i="3"/>
  <c r="F11685" i="3"/>
  <c r="F11684" i="3"/>
  <c r="F11683" i="3"/>
  <c r="F11682" i="3"/>
  <c r="F11681" i="3"/>
  <c r="F11680" i="3"/>
  <c r="F11679" i="3"/>
  <c r="F11678" i="3"/>
  <c r="F11677" i="3"/>
  <c r="F11676" i="3"/>
  <c r="F11675" i="3"/>
  <c r="F11674" i="3"/>
  <c r="F11673" i="3"/>
  <c r="F11672" i="3"/>
  <c r="F11671" i="3"/>
  <c r="F11670" i="3"/>
  <c r="F11669" i="3"/>
  <c r="F11668" i="3"/>
  <c r="F11667" i="3"/>
  <c r="F11666" i="3"/>
  <c r="F11665" i="3"/>
  <c r="F11664" i="3"/>
  <c r="F11663" i="3"/>
  <c r="F11662" i="3"/>
  <c r="F11661" i="3"/>
  <c r="F11660" i="3"/>
  <c r="F11659" i="3"/>
  <c r="F11658" i="3"/>
  <c r="F11657" i="3"/>
  <c r="F11656" i="3"/>
  <c r="F11655" i="3"/>
  <c r="F11654" i="3"/>
  <c r="F11653" i="3"/>
  <c r="F11652" i="3"/>
  <c r="F11651" i="3"/>
  <c r="F11650" i="3"/>
  <c r="F11649" i="3"/>
  <c r="F11648" i="3"/>
  <c r="F11647" i="3"/>
  <c r="F11646" i="3"/>
  <c r="F11645" i="3"/>
  <c r="F11644" i="3"/>
  <c r="F11643" i="3"/>
  <c r="F11642" i="3"/>
  <c r="F11641" i="3"/>
  <c r="F11640" i="3"/>
  <c r="F11639" i="3"/>
  <c r="F11638" i="3"/>
  <c r="F11637" i="3"/>
  <c r="F11636" i="3"/>
  <c r="F11635" i="3"/>
  <c r="F11634" i="3"/>
  <c r="F11633" i="3"/>
  <c r="F11632" i="3"/>
  <c r="F11631" i="3"/>
  <c r="F11630" i="3"/>
  <c r="F11629" i="3"/>
  <c r="F11628" i="3"/>
  <c r="F11627" i="3"/>
  <c r="F11626" i="3"/>
  <c r="F11625" i="3"/>
  <c r="F11624" i="3"/>
  <c r="F11623" i="3"/>
  <c r="F11622" i="3"/>
  <c r="F11621" i="3"/>
  <c r="F11620" i="3"/>
  <c r="F11619" i="3"/>
  <c r="F11618" i="3"/>
  <c r="F11617" i="3"/>
  <c r="F11616" i="3"/>
  <c r="F11615" i="3"/>
  <c r="F11614" i="3"/>
  <c r="F11613" i="3"/>
  <c r="F11612" i="3"/>
  <c r="F11611" i="3"/>
  <c r="F11610" i="3"/>
  <c r="F11609" i="3"/>
  <c r="F11608" i="3"/>
  <c r="F11607" i="3"/>
  <c r="F11606" i="3"/>
  <c r="F11605" i="3"/>
  <c r="F11604" i="3"/>
  <c r="F11603" i="3"/>
  <c r="F11602" i="3"/>
  <c r="F11601" i="3"/>
  <c r="F11600" i="3"/>
  <c r="F11599" i="3"/>
  <c r="F11598" i="3"/>
  <c r="F11597" i="3"/>
  <c r="F11596" i="3"/>
  <c r="F11595" i="3"/>
  <c r="F11594" i="3"/>
  <c r="F11593" i="3"/>
  <c r="F11592" i="3"/>
  <c r="F11591" i="3"/>
  <c r="F11590" i="3"/>
  <c r="F11589" i="3"/>
  <c r="F11588" i="3"/>
  <c r="F11587" i="3"/>
  <c r="F11586" i="3"/>
  <c r="F11585" i="3"/>
  <c r="F11584" i="3"/>
  <c r="F11583" i="3"/>
  <c r="F11582" i="3"/>
  <c r="F11581" i="3"/>
  <c r="F11580" i="3"/>
  <c r="F11579" i="3"/>
  <c r="F11578" i="3"/>
  <c r="F11577" i="3"/>
  <c r="F11576" i="3"/>
  <c r="F11575" i="3"/>
  <c r="F11574" i="3"/>
  <c r="F11573" i="3"/>
  <c r="F11572" i="3"/>
  <c r="F11571" i="3"/>
  <c r="F11570" i="3"/>
  <c r="F11569" i="3"/>
  <c r="F11568" i="3"/>
  <c r="F11567" i="3"/>
  <c r="F11566" i="3"/>
  <c r="F11565" i="3"/>
  <c r="F11564" i="3"/>
  <c r="F11563" i="3"/>
  <c r="F11562" i="3"/>
  <c r="F11561" i="3"/>
  <c r="F11560" i="3"/>
  <c r="F11559" i="3"/>
  <c r="F11558" i="3"/>
  <c r="F11557" i="3"/>
  <c r="F11556" i="3"/>
  <c r="F11555" i="3"/>
  <c r="F11554" i="3"/>
  <c r="F11553" i="3"/>
  <c r="F11552" i="3"/>
  <c r="F11551" i="3"/>
  <c r="F11550" i="3"/>
  <c r="F11549" i="3"/>
  <c r="F11548" i="3"/>
  <c r="F11547" i="3"/>
  <c r="F11546" i="3"/>
  <c r="F11545" i="3"/>
  <c r="F11544" i="3"/>
  <c r="F11543" i="3"/>
  <c r="F11542" i="3"/>
  <c r="F11541" i="3"/>
  <c r="F11540" i="3"/>
  <c r="F11539" i="3"/>
  <c r="F11538" i="3"/>
  <c r="F11537" i="3"/>
  <c r="F11536" i="3"/>
  <c r="F11535" i="3"/>
  <c r="F11534" i="3"/>
  <c r="F11533" i="3"/>
  <c r="F11532" i="3"/>
  <c r="F11531" i="3"/>
  <c r="F11530" i="3"/>
  <c r="F11529" i="3"/>
  <c r="F11528" i="3"/>
  <c r="F11527" i="3"/>
  <c r="F11526" i="3"/>
  <c r="F11525" i="3"/>
  <c r="F11524" i="3"/>
  <c r="F11523" i="3"/>
  <c r="F11522" i="3"/>
  <c r="F11521" i="3"/>
  <c r="F11520" i="3"/>
  <c r="F11519" i="3"/>
  <c r="F11518" i="3"/>
  <c r="F11517" i="3"/>
  <c r="F11516" i="3"/>
  <c r="F11515" i="3"/>
  <c r="F11514" i="3"/>
  <c r="F11513" i="3"/>
  <c r="F11512" i="3"/>
  <c r="F11511" i="3"/>
  <c r="F11510" i="3"/>
  <c r="F11509" i="3"/>
  <c r="F11508" i="3"/>
  <c r="F11507" i="3"/>
  <c r="F11506" i="3"/>
  <c r="F11505" i="3"/>
  <c r="F11504" i="3"/>
  <c r="F11503" i="3"/>
  <c r="F11502" i="3"/>
  <c r="F11501" i="3"/>
  <c r="F11500" i="3"/>
  <c r="F11499" i="3"/>
  <c r="F11498" i="3"/>
  <c r="F11497" i="3"/>
  <c r="F11496" i="3"/>
  <c r="F11495" i="3"/>
  <c r="F11494" i="3"/>
  <c r="F11493" i="3"/>
  <c r="F11492" i="3"/>
  <c r="F11491" i="3"/>
  <c r="F11490" i="3"/>
  <c r="F11489" i="3"/>
  <c r="F11488" i="3"/>
  <c r="F11487" i="3"/>
  <c r="F11486" i="3"/>
  <c r="F11485" i="3"/>
  <c r="F11484" i="3"/>
  <c r="F11483" i="3"/>
  <c r="F11482" i="3"/>
  <c r="F11481" i="3"/>
  <c r="F11480" i="3"/>
  <c r="F11479" i="3"/>
  <c r="F11478" i="3"/>
  <c r="F11477" i="3"/>
  <c r="F11476" i="3"/>
  <c r="F11475" i="3"/>
  <c r="F11474" i="3"/>
  <c r="F11473" i="3"/>
  <c r="F11472" i="3"/>
  <c r="F11471" i="3"/>
  <c r="F11470" i="3"/>
  <c r="F11469" i="3"/>
  <c r="F11468" i="3"/>
  <c r="F11467" i="3"/>
  <c r="F11466" i="3"/>
  <c r="F11465" i="3"/>
  <c r="F11464" i="3"/>
  <c r="F11463" i="3"/>
  <c r="F11462" i="3"/>
  <c r="F11461" i="3"/>
  <c r="F11460" i="3"/>
  <c r="F11459" i="3"/>
  <c r="F11458" i="3"/>
  <c r="F11457" i="3"/>
  <c r="F11456" i="3"/>
  <c r="F11455" i="3"/>
  <c r="F11454" i="3"/>
  <c r="F11453" i="3"/>
  <c r="F11452" i="3"/>
  <c r="F11451" i="3"/>
  <c r="F11450" i="3"/>
  <c r="F11449" i="3"/>
  <c r="F11448" i="3"/>
  <c r="F11447" i="3"/>
  <c r="F11446" i="3"/>
  <c r="F11445" i="3"/>
  <c r="F11444" i="3"/>
  <c r="F11443" i="3"/>
  <c r="F11442" i="3"/>
  <c r="F11441" i="3"/>
  <c r="F11440" i="3"/>
  <c r="F11439" i="3"/>
  <c r="F11438" i="3"/>
  <c r="F11437" i="3"/>
  <c r="F11436" i="3"/>
  <c r="F11435" i="3"/>
  <c r="F11434" i="3"/>
  <c r="F11433" i="3"/>
  <c r="F11432" i="3"/>
  <c r="F11431" i="3"/>
  <c r="F11430" i="3"/>
  <c r="F11429" i="3"/>
  <c r="F11428" i="3"/>
  <c r="F11427" i="3"/>
  <c r="F11426" i="3"/>
  <c r="F11425" i="3"/>
  <c r="F11424" i="3"/>
  <c r="F11423" i="3"/>
  <c r="F11422" i="3"/>
  <c r="F11421" i="3"/>
  <c r="F11420" i="3"/>
  <c r="F11419" i="3"/>
  <c r="F11418" i="3"/>
  <c r="F11417" i="3"/>
  <c r="F11416" i="3"/>
  <c r="F11415" i="3"/>
  <c r="F11414" i="3"/>
  <c r="F11413" i="3"/>
  <c r="F11412" i="3"/>
  <c r="F11411" i="3"/>
  <c r="F11410" i="3"/>
  <c r="F11409" i="3"/>
  <c r="F11408" i="3"/>
  <c r="F11407" i="3"/>
  <c r="F11406" i="3"/>
  <c r="F11405" i="3"/>
  <c r="F11404" i="3"/>
  <c r="F11403" i="3"/>
  <c r="F11402" i="3"/>
  <c r="F11401" i="3"/>
  <c r="F11400" i="3"/>
  <c r="F11399" i="3"/>
  <c r="F11398" i="3"/>
  <c r="F11397" i="3"/>
  <c r="F11396" i="3"/>
  <c r="F11395" i="3"/>
  <c r="F11394" i="3"/>
  <c r="F11393" i="3"/>
  <c r="F11392" i="3"/>
  <c r="F11391" i="3"/>
  <c r="F11390" i="3"/>
  <c r="F11389" i="3"/>
  <c r="F11388" i="3"/>
  <c r="F11387" i="3"/>
  <c r="F11386" i="3"/>
  <c r="F11385" i="3"/>
  <c r="F11384" i="3"/>
  <c r="F11383" i="3"/>
  <c r="F11382" i="3"/>
  <c r="F11381" i="3"/>
  <c r="F11380" i="3"/>
  <c r="F11379" i="3"/>
  <c r="F11378" i="3"/>
  <c r="F11377" i="3"/>
  <c r="F11376" i="3"/>
  <c r="F11375" i="3"/>
  <c r="F11374" i="3"/>
  <c r="F11373" i="3"/>
  <c r="F11372" i="3"/>
  <c r="F11371" i="3"/>
  <c r="F11370" i="3"/>
  <c r="F11369" i="3"/>
  <c r="F11368" i="3"/>
  <c r="F11367" i="3"/>
  <c r="F11366" i="3"/>
  <c r="F11365" i="3"/>
  <c r="F11364" i="3"/>
  <c r="F11363" i="3"/>
  <c r="F11362" i="3"/>
  <c r="F11361" i="3"/>
  <c r="F11360" i="3"/>
  <c r="F11359" i="3"/>
  <c r="F11358" i="3"/>
  <c r="F11357" i="3"/>
  <c r="F11356" i="3"/>
  <c r="F11355" i="3"/>
  <c r="F11354" i="3"/>
  <c r="F11353" i="3"/>
  <c r="F11352" i="3"/>
  <c r="F11351" i="3"/>
  <c r="F11350" i="3"/>
  <c r="F11349" i="3"/>
  <c r="F11348" i="3"/>
  <c r="F11347" i="3"/>
  <c r="F11346" i="3"/>
  <c r="F11345" i="3"/>
  <c r="F11344" i="3"/>
  <c r="F11343" i="3"/>
  <c r="F11342" i="3"/>
  <c r="F11341" i="3"/>
  <c r="F11340" i="3"/>
  <c r="F11339" i="3"/>
  <c r="F11338" i="3"/>
  <c r="F11337" i="3"/>
  <c r="F11336" i="3"/>
  <c r="F11335" i="3"/>
  <c r="F11334" i="3"/>
  <c r="F11333" i="3"/>
  <c r="F11332" i="3"/>
  <c r="F11331" i="3"/>
  <c r="F11330" i="3"/>
  <c r="F11329" i="3"/>
  <c r="F11328" i="3"/>
  <c r="F11327" i="3"/>
  <c r="F11326" i="3"/>
  <c r="F11325" i="3"/>
  <c r="F11324" i="3"/>
  <c r="F11323" i="3"/>
  <c r="F11322" i="3"/>
  <c r="F11321" i="3"/>
  <c r="F11320" i="3"/>
  <c r="F11319" i="3"/>
  <c r="F11318" i="3"/>
  <c r="F11317" i="3"/>
  <c r="F11316" i="3"/>
  <c r="F11315" i="3"/>
  <c r="F11314" i="3"/>
  <c r="F11313" i="3"/>
  <c r="F11312" i="3"/>
  <c r="F11311" i="3"/>
  <c r="F11310" i="3"/>
  <c r="F11309" i="3"/>
  <c r="F11308" i="3"/>
  <c r="F11307" i="3"/>
  <c r="F11306" i="3"/>
  <c r="F11305" i="3"/>
  <c r="F11304" i="3"/>
  <c r="F11303" i="3"/>
  <c r="F11302" i="3"/>
  <c r="F11301" i="3"/>
  <c r="F11300" i="3"/>
  <c r="F11299" i="3"/>
  <c r="F11298" i="3"/>
  <c r="F11297" i="3"/>
  <c r="F11296" i="3"/>
  <c r="F11295" i="3"/>
  <c r="F11294" i="3"/>
  <c r="F11293" i="3"/>
  <c r="F11292" i="3"/>
  <c r="F11291" i="3"/>
  <c r="F11290" i="3"/>
  <c r="F11289" i="3"/>
  <c r="F11288" i="3"/>
  <c r="F11287" i="3"/>
  <c r="F11286" i="3"/>
  <c r="F11285" i="3"/>
  <c r="F11284" i="3"/>
  <c r="F11283" i="3"/>
  <c r="F11282" i="3"/>
  <c r="F11281" i="3"/>
  <c r="F11280" i="3"/>
  <c r="F11279" i="3"/>
  <c r="F11278" i="3"/>
  <c r="F11277" i="3"/>
  <c r="F11276" i="3"/>
  <c r="F11275" i="3"/>
  <c r="F11274" i="3"/>
  <c r="F11273" i="3"/>
  <c r="F11272" i="3"/>
  <c r="F11271" i="3"/>
  <c r="F11270" i="3"/>
  <c r="F11269" i="3"/>
  <c r="F11268" i="3"/>
  <c r="F11267" i="3"/>
  <c r="F11266" i="3"/>
  <c r="F11265" i="3"/>
  <c r="F11264" i="3"/>
  <c r="F11263" i="3"/>
  <c r="F11262" i="3"/>
  <c r="F11261" i="3"/>
  <c r="F11260" i="3"/>
  <c r="F11259" i="3"/>
  <c r="F11258" i="3"/>
  <c r="F11257" i="3"/>
  <c r="F11256" i="3"/>
  <c r="F11255" i="3"/>
  <c r="F11254" i="3"/>
  <c r="F11253" i="3"/>
  <c r="F11252" i="3"/>
  <c r="F11251" i="3"/>
  <c r="F11250" i="3"/>
  <c r="F11249" i="3"/>
  <c r="F11248" i="3"/>
  <c r="F11247" i="3"/>
  <c r="F11246" i="3"/>
  <c r="F11245" i="3"/>
  <c r="F11244" i="3"/>
  <c r="F11243" i="3"/>
  <c r="F11242" i="3"/>
  <c r="F11241" i="3"/>
  <c r="F11240" i="3"/>
  <c r="F11239" i="3"/>
  <c r="F11238" i="3"/>
  <c r="F11237" i="3"/>
  <c r="F11236" i="3"/>
  <c r="F11235" i="3"/>
  <c r="F11234" i="3"/>
  <c r="F11233" i="3"/>
  <c r="F11232" i="3"/>
  <c r="F11231" i="3"/>
  <c r="F11230" i="3"/>
  <c r="F11229" i="3"/>
  <c r="F11228" i="3"/>
  <c r="F11227" i="3"/>
  <c r="F11226" i="3"/>
  <c r="F11225" i="3"/>
  <c r="F11224" i="3"/>
  <c r="F11223" i="3"/>
  <c r="F11222" i="3"/>
  <c r="F11221" i="3"/>
  <c r="F11220" i="3"/>
  <c r="F11219" i="3"/>
  <c r="F11218" i="3"/>
  <c r="F11217" i="3"/>
  <c r="F11216" i="3"/>
  <c r="F11215" i="3"/>
  <c r="F11214" i="3"/>
  <c r="F11213" i="3"/>
  <c r="F11212" i="3"/>
  <c r="F11211" i="3"/>
  <c r="F11210" i="3"/>
  <c r="F11209" i="3"/>
  <c r="F11208" i="3"/>
  <c r="F11207" i="3"/>
  <c r="F11206" i="3"/>
  <c r="F11205" i="3"/>
  <c r="F11204" i="3"/>
  <c r="F11203" i="3"/>
  <c r="F11202" i="3"/>
  <c r="F11201" i="3"/>
  <c r="F11200" i="3"/>
  <c r="F11199" i="3"/>
  <c r="F11198" i="3"/>
  <c r="F11197" i="3"/>
  <c r="F11196" i="3"/>
  <c r="F11195" i="3"/>
  <c r="F11194" i="3"/>
  <c r="F11193" i="3"/>
  <c r="F11192" i="3"/>
  <c r="F11191" i="3"/>
  <c r="F11190" i="3"/>
  <c r="F11189" i="3"/>
  <c r="F11188" i="3"/>
  <c r="F11187" i="3"/>
  <c r="F11186" i="3"/>
  <c r="F11185" i="3"/>
  <c r="F11184" i="3"/>
  <c r="F11183" i="3"/>
  <c r="F11182" i="3"/>
  <c r="F11181" i="3"/>
  <c r="F11180" i="3"/>
  <c r="F11179" i="3"/>
  <c r="F11178" i="3"/>
  <c r="F11177" i="3"/>
  <c r="F11176" i="3"/>
  <c r="F11175" i="3"/>
  <c r="F11174" i="3"/>
  <c r="F11173" i="3"/>
  <c r="F11172" i="3"/>
  <c r="F11171" i="3"/>
  <c r="F11170" i="3"/>
  <c r="F11169" i="3"/>
  <c r="F11168" i="3"/>
  <c r="F11167" i="3"/>
  <c r="F11166" i="3"/>
  <c r="F11165" i="3"/>
  <c r="F11164" i="3"/>
  <c r="F11163" i="3"/>
  <c r="F11162" i="3"/>
  <c r="F11161" i="3"/>
  <c r="F11160" i="3"/>
  <c r="F11159" i="3"/>
  <c r="F11158" i="3"/>
  <c r="F11157" i="3"/>
  <c r="F11156" i="3"/>
  <c r="F11155" i="3"/>
  <c r="F11154" i="3"/>
  <c r="F11153" i="3"/>
  <c r="F11152" i="3"/>
  <c r="F11151" i="3"/>
  <c r="F11150" i="3"/>
  <c r="F11149" i="3"/>
  <c r="F11148" i="3"/>
  <c r="F11147" i="3"/>
  <c r="F11146" i="3"/>
  <c r="F11145" i="3"/>
  <c r="F11144" i="3"/>
  <c r="F11143" i="3"/>
  <c r="F11142" i="3"/>
  <c r="F11141" i="3"/>
  <c r="F11140" i="3"/>
  <c r="F11139" i="3"/>
  <c r="F11138" i="3"/>
  <c r="F11137" i="3"/>
  <c r="F11136" i="3"/>
  <c r="F11135" i="3"/>
  <c r="F11134" i="3"/>
  <c r="F11133" i="3"/>
  <c r="F11132" i="3"/>
  <c r="F11131" i="3"/>
  <c r="F11130" i="3"/>
  <c r="F11129" i="3"/>
  <c r="F11128" i="3"/>
  <c r="F11127" i="3"/>
  <c r="F11126" i="3"/>
  <c r="F11125" i="3"/>
  <c r="F11124" i="3"/>
  <c r="F11123" i="3"/>
  <c r="F11122" i="3"/>
  <c r="F11121" i="3"/>
  <c r="F11120" i="3"/>
  <c r="F11119" i="3"/>
  <c r="F11118" i="3"/>
  <c r="F11117" i="3"/>
  <c r="F11116" i="3"/>
  <c r="F11115" i="3"/>
  <c r="F11114" i="3"/>
  <c r="F11113" i="3"/>
  <c r="F11112" i="3"/>
  <c r="F11111" i="3"/>
  <c r="F11110" i="3"/>
  <c r="F11109" i="3"/>
  <c r="F11108" i="3"/>
  <c r="F11107" i="3"/>
  <c r="F11106" i="3"/>
  <c r="F11105" i="3"/>
  <c r="F11104" i="3"/>
  <c r="F11103" i="3"/>
  <c r="F11102" i="3"/>
  <c r="F11101" i="3"/>
  <c r="F11100" i="3"/>
  <c r="F11099" i="3"/>
  <c r="F11098" i="3"/>
  <c r="F11097" i="3"/>
  <c r="F11096" i="3"/>
  <c r="F11095" i="3"/>
  <c r="F11094" i="3"/>
  <c r="F11093" i="3"/>
  <c r="F11092" i="3"/>
  <c r="F11091" i="3"/>
  <c r="F11090" i="3"/>
  <c r="F11089" i="3"/>
  <c r="F11088" i="3"/>
  <c r="F11087" i="3"/>
  <c r="F11086" i="3"/>
  <c r="F11085" i="3"/>
  <c r="F11084" i="3"/>
  <c r="F11083" i="3"/>
  <c r="F11082" i="3"/>
  <c r="F11081" i="3"/>
  <c r="F11080" i="3"/>
  <c r="F11079" i="3"/>
  <c r="F11078" i="3"/>
  <c r="F11077" i="3"/>
  <c r="F11076" i="3"/>
  <c r="F11075" i="3"/>
  <c r="F11074" i="3"/>
  <c r="F11073" i="3"/>
  <c r="F11072" i="3"/>
  <c r="F11071" i="3"/>
  <c r="F11070" i="3"/>
  <c r="F11069" i="3"/>
  <c r="F11068" i="3"/>
  <c r="F11067" i="3"/>
  <c r="F11066" i="3"/>
  <c r="F11065" i="3"/>
  <c r="F11064" i="3"/>
  <c r="F11063" i="3"/>
  <c r="F11062" i="3"/>
  <c r="F11061" i="3"/>
  <c r="F11060" i="3"/>
  <c r="F11059" i="3"/>
  <c r="F11058" i="3"/>
  <c r="F11057" i="3"/>
  <c r="F11056" i="3"/>
  <c r="F11055" i="3"/>
  <c r="F11054" i="3"/>
  <c r="F11053" i="3"/>
  <c r="F11052" i="3"/>
  <c r="F11051" i="3"/>
  <c r="F11050" i="3"/>
  <c r="F11049" i="3"/>
  <c r="F11048" i="3"/>
  <c r="F11047" i="3"/>
  <c r="F11046" i="3"/>
  <c r="F11045" i="3"/>
  <c r="F11044" i="3"/>
  <c r="F11043" i="3"/>
  <c r="F11042" i="3"/>
  <c r="F11041" i="3"/>
  <c r="F11040" i="3"/>
  <c r="F11039" i="3"/>
  <c r="F11038" i="3"/>
  <c r="F11037" i="3"/>
  <c r="F11036" i="3"/>
  <c r="F11035" i="3"/>
  <c r="F11034" i="3"/>
  <c r="F11033" i="3"/>
  <c r="F11032" i="3"/>
  <c r="F11031" i="3"/>
  <c r="F11030" i="3"/>
  <c r="F11029" i="3"/>
  <c r="F11028" i="3"/>
  <c r="F11027" i="3"/>
  <c r="F11026" i="3"/>
  <c r="F11025" i="3"/>
  <c r="F11024" i="3"/>
  <c r="F11023" i="3"/>
  <c r="F11022" i="3"/>
  <c r="F11021" i="3"/>
  <c r="F11020" i="3"/>
  <c r="F11019" i="3"/>
  <c r="F11018" i="3"/>
  <c r="F11017" i="3"/>
  <c r="F11016" i="3"/>
  <c r="F11015" i="3"/>
  <c r="F11014" i="3"/>
  <c r="F11013" i="3"/>
  <c r="F11012" i="3"/>
  <c r="F11011" i="3"/>
  <c r="F11010" i="3"/>
  <c r="F11009" i="3"/>
  <c r="F11008" i="3"/>
  <c r="F11007" i="3"/>
  <c r="F11006" i="3"/>
  <c r="F11005" i="3"/>
  <c r="F11004" i="3"/>
  <c r="F11003" i="3"/>
  <c r="F11002" i="3"/>
  <c r="F11001" i="3"/>
  <c r="F11000" i="3"/>
  <c r="F10999" i="3"/>
  <c r="F10998" i="3"/>
  <c r="F10997" i="3"/>
  <c r="F10996" i="3"/>
  <c r="F10995" i="3"/>
  <c r="F10994" i="3"/>
  <c r="F10993" i="3"/>
  <c r="F10992" i="3"/>
  <c r="F10991" i="3"/>
  <c r="F10990" i="3"/>
  <c r="F10989" i="3"/>
  <c r="F10988" i="3"/>
  <c r="F10987" i="3"/>
  <c r="F10986" i="3"/>
  <c r="F10985" i="3"/>
  <c r="F10984" i="3"/>
  <c r="F10983" i="3"/>
  <c r="F10982" i="3"/>
  <c r="F10981" i="3"/>
  <c r="F10980" i="3"/>
  <c r="F10979" i="3"/>
  <c r="F10978" i="3"/>
  <c r="F10977" i="3"/>
  <c r="F10976" i="3"/>
  <c r="F10975" i="3"/>
  <c r="F10974" i="3"/>
  <c r="F10973" i="3"/>
  <c r="F10972" i="3"/>
  <c r="F10971" i="3"/>
  <c r="F10970" i="3"/>
  <c r="F10969" i="3"/>
  <c r="F10968" i="3"/>
  <c r="F10967" i="3"/>
  <c r="F10966" i="3"/>
  <c r="F10965" i="3"/>
  <c r="F10964" i="3"/>
  <c r="F10963" i="3"/>
  <c r="F10962" i="3"/>
  <c r="F10961" i="3"/>
  <c r="F10960" i="3"/>
  <c r="F10959" i="3"/>
  <c r="F10958" i="3"/>
  <c r="F10957" i="3"/>
  <c r="F10956" i="3"/>
  <c r="F10955" i="3"/>
  <c r="F10954" i="3"/>
  <c r="F10953" i="3"/>
  <c r="F10952" i="3"/>
  <c r="F10951" i="3"/>
  <c r="F10950" i="3"/>
  <c r="F10949" i="3"/>
  <c r="F10948" i="3"/>
  <c r="F10947" i="3"/>
  <c r="F10946" i="3"/>
  <c r="F10945" i="3"/>
  <c r="F10944" i="3"/>
  <c r="F10943" i="3"/>
  <c r="F10942" i="3"/>
  <c r="F10941" i="3"/>
  <c r="F10940" i="3"/>
  <c r="F10939" i="3"/>
  <c r="F10938" i="3"/>
  <c r="F10937" i="3"/>
  <c r="F10936" i="3"/>
  <c r="F10935" i="3"/>
  <c r="F10934" i="3"/>
  <c r="F10933" i="3"/>
  <c r="F10932" i="3"/>
  <c r="F10931" i="3"/>
  <c r="F10930" i="3"/>
  <c r="F10929" i="3"/>
  <c r="F10928" i="3"/>
  <c r="F10927" i="3"/>
  <c r="F10926" i="3"/>
  <c r="F10925" i="3"/>
  <c r="F10924" i="3"/>
  <c r="F10923" i="3"/>
  <c r="F10922" i="3"/>
  <c r="F10921" i="3"/>
  <c r="F10920" i="3"/>
  <c r="F10919" i="3"/>
  <c r="F10918" i="3"/>
  <c r="F10917" i="3"/>
  <c r="F10916" i="3"/>
  <c r="F10915" i="3"/>
  <c r="F10914" i="3"/>
  <c r="F10913" i="3"/>
  <c r="F10912" i="3"/>
  <c r="F10911" i="3"/>
  <c r="F10910" i="3"/>
  <c r="F10909" i="3"/>
  <c r="F10908" i="3"/>
  <c r="F10907" i="3"/>
  <c r="F10906" i="3"/>
  <c r="F10905" i="3"/>
  <c r="F10904" i="3"/>
  <c r="F10903" i="3"/>
  <c r="F10902" i="3"/>
  <c r="F10901" i="3"/>
  <c r="F10900" i="3"/>
  <c r="F10899" i="3"/>
  <c r="F10898" i="3"/>
  <c r="F10897" i="3"/>
  <c r="F10896" i="3"/>
  <c r="F10895" i="3"/>
  <c r="F10894" i="3"/>
  <c r="F10893" i="3"/>
  <c r="F10892" i="3"/>
  <c r="F10891" i="3"/>
  <c r="F10890" i="3"/>
  <c r="F10889" i="3"/>
  <c r="F10888" i="3"/>
  <c r="F10887" i="3"/>
  <c r="F10886" i="3"/>
  <c r="F10885" i="3"/>
  <c r="F10884" i="3"/>
  <c r="F10883" i="3"/>
  <c r="F10882" i="3"/>
  <c r="F10881" i="3"/>
  <c r="F10880" i="3"/>
  <c r="F10879" i="3"/>
  <c r="F10878" i="3"/>
  <c r="F10877" i="3"/>
  <c r="F10876" i="3"/>
  <c r="F10875" i="3"/>
  <c r="F10874" i="3"/>
  <c r="F10873" i="3"/>
  <c r="F10872" i="3"/>
  <c r="F10871" i="3"/>
  <c r="F10870" i="3"/>
  <c r="F10869" i="3"/>
  <c r="F10868" i="3"/>
  <c r="F10867" i="3"/>
  <c r="F10866" i="3"/>
  <c r="F10865" i="3"/>
  <c r="F10864" i="3"/>
  <c r="F10863" i="3"/>
  <c r="F10862" i="3"/>
  <c r="F10861" i="3"/>
  <c r="F10860" i="3"/>
  <c r="F10859" i="3"/>
  <c r="F10858" i="3"/>
  <c r="F10857" i="3"/>
  <c r="F10856" i="3"/>
  <c r="F10855" i="3"/>
  <c r="F10854" i="3"/>
  <c r="F10853" i="3"/>
  <c r="F10852" i="3"/>
  <c r="F10851" i="3"/>
  <c r="F10850" i="3"/>
  <c r="F10849" i="3"/>
  <c r="F10848" i="3"/>
  <c r="F10847" i="3"/>
  <c r="F10846" i="3"/>
  <c r="F10845" i="3"/>
  <c r="F10844" i="3"/>
  <c r="F10843" i="3"/>
  <c r="F10842" i="3"/>
  <c r="F10841" i="3"/>
  <c r="F10840" i="3"/>
  <c r="F10839" i="3"/>
  <c r="F10838" i="3"/>
  <c r="F10837" i="3"/>
  <c r="F10836" i="3"/>
  <c r="F10835" i="3"/>
  <c r="F10834" i="3"/>
  <c r="F10833" i="3"/>
  <c r="F10832" i="3"/>
  <c r="F10831" i="3"/>
  <c r="F10830" i="3"/>
  <c r="F10829" i="3"/>
  <c r="F10828" i="3"/>
  <c r="F10827" i="3"/>
  <c r="F10826" i="3"/>
  <c r="F10825" i="3"/>
  <c r="F10824" i="3"/>
  <c r="F10823" i="3"/>
  <c r="F10822" i="3"/>
  <c r="F10821" i="3"/>
  <c r="F10820" i="3"/>
  <c r="F10819" i="3"/>
  <c r="F10818" i="3"/>
  <c r="F10817" i="3"/>
  <c r="F10816" i="3"/>
  <c r="F10815" i="3"/>
  <c r="F10814" i="3"/>
  <c r="F10813" i="3"/>
  <c r="F10812" i="3"/>
  <c r="F10811" i="3"/>
  <c r="F10810" i="3"/>
  <c r="F10809" i="3"/>
  <c r="F10808" i="3"/>
  <c r="F10807" i="3"/>
  <c r="F10806" i="3"/>
  <c r="F10805" i="3"/>
  <c r="F10804" i="3"/>
  <c r="F10803" i="3"/>
  <c r="F10802" i="3"/>
  <c r="F10801" i="3"/>
  <c r="F10800" i="3"/>
  <c r="F10799" i="3"/>
  <c r="F10798" i="3"/>
  <c r="F10797" i="3"/>
  <c r="F10796" i="3"/>
  <c r="F10795" i="3"/>
  <c r="F10794" i="3"/>
  <c r="F10793" i="3"/>
  <c r="F10792" i="3"/>
  <c r="F10791" i="3"/>
  <c r="F10790" i="3"/>
  <c r="F10789" i="3"/>
  <c r="F10788" i="3"/>
  <c r="F10787" i="3"/>
  <c r="F10786" i="3"/>
  <c r="F10785" i="3"/>
  <c r="F10784" i="3"/>
  <c r="F10783" i="3"/>
  <c r="F10782" i="3"/>
  <c r="F10781" i="3"/>
  <c r="F10780" i="3"/>
  <c r="F10779" i="3"/>
  <c r="F10778" i="3"/>
  <c r="F10777" i="3"/>
  <c r="F10776" i="3"/>
  <c r="F10775" i="3"/>
  <c r="F10774" i="3"/>
  <c r="F10773" i="3"/>
  <c r="F10772" i="3"/>
  <c r="F10771" i="3"/>
  <c r="F10770" i="3"/>
  <c r="F10769" i="3"/>
  <c r="F10768" i="3"/>
  <c r="F10767" i="3"/>
  <c r="F10766" i="3"/>
  <c r="F10765" i="3"/>
  <c r="F10764" i="3"/>
  <c r="F10763" i="3"/>
  <c r="F10762" i="3"/>
  <c r="F10761" i="3"/>
  <c r="F10760" i="3"/>
  <c r="F10759" i="3"/>
  <c r="F10758" i="3"/>
  <c r="F10757" i="3"/>
  <c r="F10756" i="3"/>
  <c r="F10755" i="3"/>
  <c r="F10754" i="3"/>
  <c r="F10753" i="3"/>
  <c r="F10752" i="3"/>
  <c r="F10751" i="3"/>
  <c r="F10750" i="3"/>
  <c r="F10749" i="3"/>
  <c r="F10748" i="3"/>
  <c r="F10747" i="3"/>
  <c r="F10746" i="3"/>
  <c r="F10745" i="3"/>
  <c r="F10744" i="3"/>
  <c r="F10743" i="3"/>
  <c r="F10742" i="3"/>
  <c r="F10741" i="3"/>
  <c r="F10740" i="3"/>
  <c r="F10739" i="3"/>
  <c r="F10738" i="3"/>
  <c r="F10737" i="3"/>
  <c r="F10736" i="3"/>
  <c r="F10735" i="3"/>
  <c r="F10734" i="3"/>
  <c r="F10733" i="3"/>
  <c r="F10732" i="3"/>
  <c r="F10731" i="3"/>
  <c r="F10730" i="3"/>
  <c r="F10729" i="3"/>
  <c r="F10728" i="3"/>
  <c r="F10727" i="3"/>
  <c r="F10726" i="3"/>
  <c r="F10725" i="3"/>
  <c r="F10724" i="3"/>
  <c r="F10723" i="3"/>
  <c r="F10722" i="3"/>
  <c r="F10721" i="3"/>
  <c r="F10720" i="3"/>
  <c r="F10719" i="3"/>
  <c r="F10718" i="3"/>
  <c r="F10717" i="3"/>
  <c r="F10716" i="3"/>
  <c r="F10715" i="3"/>
  <c r="F10714" i="3"/>
  <c r="F10713" i="3"/>
  <c r="F10712" i="3"/>
  <c r="F10711" i="3"/>
  <c r="F10710" i="3"/>
  <c r="F10709" i="3"/>
  <c r="F10708" i="3"/>
  <c r="F10707" i="3"/>
  <c r="F10706" i="3"/>
  <c r="F10705" i="3"/>
  <c r="F10704" i="3"/>
  <c r="F10703" i="3"/>
  <c r="F10702" i="3"/>
  <c r="F10701" i="3"/>
  <c r="F10700" i="3"/>
  <c r="F10699" i="3"/>
  <c r="F10698" i="3"/>
  <c r="F10697" i="3"/>
  <c r="F10696" i="3"/>
  <c r="F10695" i="3"/>
  <c r="F10694" i="3"/>
  <c r="F10693" i="3"/>
  <c r="F10692" i="3"/>
  <c r="F10691" i="3"/>
  <c r="F10690" i="3"/>
  <c r="F10689" i="3"/>
  <c r="F10688" i="3"/>
  <c r="F10687" i="3"/>
  <c r="F10686" i="3"/>
  <c r="F10685" i="3"/>
  <c r="F10684" i="3"/>
  <c r="F10683" i="3"/>
  <c r="F10682" i="3"/>
  <c r="F10681" i="3"/>
  <c r="F10680" i="3"/>
  <c r="F10679" i="3"/>
  <c r="F10678" i="3"/>
  <c r="F10677" i="3"/>
  <c r="F10676" i="3"/>
  <c r="F10675" i="3"/>
  <c r="F10674" i="3"/>
  <c r="F10673" i="3"/>
  <c r="F10672" i="3"/>
  <c r="F10671" i="3"/>
  <c r="F10670" i="3"/>
  <c r="F10669" i="3"/>
  <c r="F10668" i="3"/>
  <c r="F10667" i="3"/>
  <c r="F10666" i="3"/>
  <c r="F10665" i="3"/>
  <c r="F10664" i="3"/>
  <c r="F10663" i="3"/>
  <c r="F10662" i="3"/>
  <c r="F10661" i="3"/>
  <c r="F10660" i="3"/>
  <c r="F10659" i="3"/>
  <c r="F10658" i="3"/>
  <c r="F10657" i="3"/>
  <c r="F10656" i="3"/>
  <c r="F10655" i="3"/>
  <c r="F10654" i="3"/>
  <c r="F10653" i="3"/>
  <c r="F10652" i="3"/>
  <c r="F10651" i="3"/>
  <c r="F10650" i="3"/>
  <c r="F10649" i="3"/>
  <c r="F10648" i="3"/>
  <c r="F10647" i="3"/>
  <c r="F10646" i="3"/>
  <c r="F10645" i="3"/>
  <c r="F10644" i="3"/>
  <c r="F10643" i="3"/>
  <c r="F10642" i="3"/>
  <c r="F10641" i="3"/>
  <c r="F10640" i="3"/>
  <c r="F10639" i="3"/>
  <c r="F10638" i="3"/>
  <c r="F10637" i="3"/>
  <c r="F10636" i="3"/>
  <c r="F10635" i="3"/>
  <c r="F10634" i="3"/>
  <c r="F10633" i="3"/>
  <c r="F10632" i="3"/>
  <c r="F10631" i="3"/>
  <c r="F10630" i="3"/>
  <c r="F10629" i="3"/>
  <c r="F10628" i="3"/>
  <c r="F10627" i="3"/>
  <c r="F10626" i="3"/>
  <c r="F10625" i="3"/>
  <c r="F10624" i="3"/>
  <c r="F10623" i="3"/>
  <c r="F10622" i="3"/>
  <c r="F10621" i="3"/>
  <c r="F10620" i="3"/>
  <c r="F10619" i="3"/>
  <c r="F10618" i="3"/>
  <c r="F10617" i="3"/>
  <c r="F10616" i="3"/>
  <c r="F10615" i="3"/>
  <c r="F10614" i="3"/>
  <c r="F10613" i="3"/>
  <c r="F10612" i="3"/>
  <c r="F10611" i="3"/>
  <c r="F10610" i="3"/>
  <c r="F10609" i="3"/>
  <c r="F10608" i="3"/>
  <c r="F10607" i="3"/>
  <c r="F10606" i="3"/>
  <c r="F10605" i="3"/>
  <c r="F10604" i="3"/>
  <c r="F10603" i="3"/>
  <c r="F10602" i="3"/>
  <c r="F10601" i="3"/>
  <c r="F10600" i="3"/>
  <c r="F10599" i="3"/>
  <c r="F10598" i="3"/>
  <c r="F10597" i="3"/>
  <c r="F10596" i="3"/>
  <c r="F10595" i="3"/>
  <c r="F10594" i="3"/>
  <c r="F10593" i="3"/>
  <c r="F10592" i="3"/>
  <c r="F10591" i="3"/>
  <c r="F10590" i="3"/>
  <c r="F10589" i="3"/>
  <c r="F10588" i="3"/>
  <c r="F10587" i="3"/>
  <c r="F10586" i="3"/>
  <c r="F10585" i="3"/>
  <c r="F10584" i="3"/>
  <c r="F10583" i="3"/>
  <c r="F10582" i="3"/>
  <c r="F10581" i="3"/>
  <c r="F10580" i="3"/>
  <c r="F10579" i="3"/>
  <c r="F10578" i="3"/>
  <c r="F10577" i="3"/>
  <c r="F10576" i="3"/>
  <c r="F10575" i="3"/>
  <c r="F10574" i="3"/>
  <c r="F10573" i="3"/>
  <c r="F10572" i="3"/>
  <c r="F10571" i="3"/>
  <c r="F10570" i="3"/>
  <c r="F10569" i="3"/>
  <c r="F10568" i="3"/>
  <c r="F10567" i="3"/>
  <c r="F10566" i="3"/>
  <c r="F10565" i="3"/>
  <c r="F10564" i="3"/>
  <c r="F10563" i="3"/>
  <c r="F10562" i="3"/>
  <c r="F10561" i="3"/>
  <c r="F10560" i="3"/>
  <c r="F10559" i="3"/>
  <c r="F10558" i="3"/>
  <c r="F10557" i="3"/>
  <c r="F10556" i="3"/>
  <c r="F10555" i="3"/>
  <c r="F10554" i="3"/>
  <c r="F10553" i="3"/>
  <c r="F10552" i="3"/>
  <c r="F10551" i="3"/>
  <c r="F10550" i="3"/>
  <c r="F10549" i="3"/>
  <c r="F10548" i="3"/>
  <c r="F10547" i="3"/>
  <c r="F10546" i="3"/>
  <c r="F10545" i="3"/>
  <c r="F10544" i="3"/>
  <c r="F10543" i="3"/>
  <c r="F10542" i="3"/>
  <c r="F10541" i="3"/>
  <c r="F10540" i="3"/>
  <c r="F10539" i="3"/>
  <c r="F10538" i="3"/>
  <c r="F10537" i="3"/>
  <c r="F10536" i="3"/>
  <c r="F10535" i="3"/>
  <c r="F10534" i="3"/>
  <c r="F10533" i="3"/>
  <c r="F10532" i="3"/>
  <c r="F10531" i="3"/>
  <c r="F10530" i="3"/>
  <c r="F10529" i="3"/>
  <c r="F10528" i="3"/>
  <c r="F10527" i="3"/>
  <c r="F10526" i="3"/>
  <c r="F10525" i="3"/>
  <c r="F10524" i="3"/>
  <c r="F10523" i="3"/>
  <c r="F10522" i="3"/>
  <c r="F10521" i="3"/>
  <c r="F10520" i="3"/>
  <c r="F10519" i="3"/>
  <c r="F10518" i="3"/>
  <c r="F10517" i="3"/>
  <c r="F10516" i="3"/>
  <c r="F10515" i="3"/>
  <c r="F10514" i="3"/>
  <c r="F10513" i="3"/>
  <c r="F10512" i="3"/>
  <c r="F10511" i="3"/>
  <c r="F10510" i="3"/>
  <c r="F10509" i="3"/>
  <c r="F10508" i="3"/>
  <c r="F10507" i="3"/>
  <c r="F10506" i="3"/>
  <c r="F10505" i="3"/>
  <c r="F10504" i="3"/>
  <c r="F10503" i="3"/>
  <c r="F10502" i="3"/>
  <c r="F10501" i="3"/>
  <c r="F10500" i="3"/>
  <c r="F10499" i="3"/>
  <c r="F10498" i="3"/>
  <c r="F10497" i="3"/>
  <c r="F10496" i="3"/>
  <c r="F10495" i="3"/>
  <c r="F10494" i="3"/>
  <c r="F10493" i="3"/>
  <c r="F10492" i="3"/>
  <c r="F10491" i="3"/>
  <c r="F10490" i="3"/>
  <c r="F10489" i="3"/>
  <c r="F10488" i="3"/>
  <c r="F10487" i="3"/>
  <c r="F10486" i="3"/>
  <c r="F10485" i="3"/>
  <c r="F10484" i="3"/>
  <c r="F10483" i="3"/>
  <c r="F10482" i="3"/>
  <c r="F10481" i="3"/>
  <c r="F10480" i="3"/>
  <c r="F10479" i="3"/>
  <c r="F10478" i="3"/>
  <c r="F10477" i="3"/>
  <c r="F10476" i="3"/>
  <c r="F10475" i="3"/>
  <c r="F10474" i="3"/>
  <c r="F10473" i="3"/>
  <c r="F10472" i="3"/>
  <c r="F10471" i="3"/>
  <c r="F10470" i="3"/>
  <c r="F10469" i="3"/>
  <c r="F10468" i="3"/>
  <c r="F10467" i="3"/>
  <c r="F10466" i="3"/>
  <c r="F10465" i="3"/>
  <c r="F10464" i="3"/>
  <c r="F10463" i="3"/>
  <c r="F10462" i="3"/>
  <c r="F10461" i="3"/>
  <c r="F10460" i="3"/>
  <c r="F10459" i="3"/>
  <c r="F10458" i="3"/>
  <c r="F10457" i="3"/>
  <c r="F10456" i="3"/>
  <c r="F10455" i="3"/>
  <c r="F10454" i="3"/>
  <c r="F10453" i="3"/>
  <c r="F10452" i="3"/>
  <c r="F10451" i="3"/>
  <c r="F10450" i="3"/>
  <c r="F10449" i="3"/>
  <c r="F10448" i="3"/>
  <c r="F10447" i="3"/>
  <c r="F10446" i="3"/>
  <c r="F10445" i="3"/>
  <c r="F10444" i="3"/>
  <c r="F10443" i="3"/>
  <c r="F10442" i="3"/>
  <c r="F10441" i="3"/>
  <c r="F10440" i="3"/>
  <c r="F10439" i="3"/>
  <c r="F10438" i="3"/>
  <c r="F10437" i="3"/>
  <c r="F10436" i="3"/>
  <c r="F10435" i="3"/>
  <c r="F10434" i="3"/>
  <c r="F10433" i="3"/>
  <c r="F10432" i="3"/>
  <c r="F10431" i="3"/>
  <c r="F10430" i="3"/>
  <c r="F10429" i="3"/>
  <c r="F10428" i="3"/>
  <c r="F10427" i="3"/>
  <c r="F10426" i="3"/>
  <c r="F10425" i="3"/>
  <c r="F10424" i="3"/>
  <c r="F10423" i="3"/>
  <c r="F10422" i="3"/>
  <c r="F10421" i="3"/>
  <c r="F10420" i="3"/>
  <c r="F10419" i="3"/>
  <c r="F10418" i="3"/>
  <c r="F10417" i="3"/>
  <c r="F10416" i="3"/>
  <c r="F10415" i="3"/>
  <c r="F10414" i="3"/>
  <c r="F10413" i="3"/>
  <c r="F10412" i="3"/>
  <c r="F10411" i="3"/>
  <c r="F10410" i="3"/>
  <c r="F10409" i="3"/>
  <c r="F10408" i="3"/>
  <c r="F10407" i="3"/>
  <c r="F10406" i="3"/>
  <c r="F10405" i="3"/>
  <c r="F10404" i="3"/>
  <c r="F10403" i="3"/>
  <c r="F10402" i="3"/>
  <c r="F10401" i="3"/>
  <c r="F10400" i="3"/>
  <c r="F10399" i="3"/>
  <c r="F10398" i="3"/>
  <c r="F10397" i="3"/>
  <c r="F10396" i="3"/>
  <c r="F10395" i="3"/>
  <c r="F10394" i="3"/>
  <c r="F10393" i="3"/>
  <c r="F10392" i="3"/>
  <c r="F10391" i="3"/>
  <c r="F10390" i="3"/>
  <c r="F10389" i="3"/>
  <c r="F10388" i="3"/>
  <c r="F10387" i="3"/>
  <c r="F10386" i="3"/>
  <c r="F10385" i="3"/>
  <c r="F10384" i="3"/>
  <c r="F10383" i="3"/>
  <c r="F10382" i="3"/>
  <c r="F10381" i="3"/>
  <c r="F10380" i="3"/>
  <c r="F10379" i="3"/>
  <c r="F10378" i="3"/>
  <c r="F10377" i="3"/>
  <c r="F10376" i="3"/>
  <c r="F10375" i="3"/>
  <c r="F10374" i="3"/>
  <c r="F10373" i="3"/>
  <c r="F10372" i="3"/>
  <c r="F10371" i="3"/>
  <c r="F10370" i="3"/>
  <c r="F10369" i="3"/>
  <c r="F10368" i="3"/>
  <c r="F10367" i="3"/>
  <c r="F10366" i="3"/>
  <c r="F10365" i="3"/>
  <c r="F10364" i="3"/>
  <c r="F10363" i="3"/>
  <c r="F10362" i="3"/>
  <c r="F10361" i="3"/>
  <c r="F10360" i="3"/>
  <c r="F10359" i="3"/>
  <c r="F10358" i="3"/>
  <c r="F10357" i="3"/>
  <c r="F10356" i="3"/>
  <c r="F10355" i="3"/>
  <c r="F10354" i="3"/>
  <c r="F10353" i="3"/>
  <c r="F10352" i="3"/>
  <c r="F10351" i="3"/>
  <c r="F10350" i="3"/>
  <c r="F10349" i="3"/>
  <c r="F10348" i="3"/>
  <c r="F10347" i="3"/>
  <c r="F10346" i="3"/>
  <c r="F10345" i="3"/>
  <c r="F10344" i="3"/>
  <c r="F10343" i="3"/>
  <c r="F10342" i="3"/>
  <c r="F10341" i="3"/>
  <c r="F10340" i="3"/>
  <c r="F10339" i="3"/>
  <c r="F10338" i="3"/>
  <c r="F10337" i="3"/>
  <c r="F10336" i="3"/>
  <c r="F10335" i="3"/>
  <c r="F10334" i="3"/>
  <c r="F10333" i="3"/>
  <c r="F10332" i="3"/>
  <c r="F10331" i="3"/>
  <c r="F10330" i="3"/>
  <c r="F10329" i="3"/>
  <c r="F10328" i="3"/>
  <c r="F10327" i="3"/>
  <c r="F10326" i="3"/>
  <c r="F10325" i="3"/>
  <c r="F10324" i="3"/>
  <c r="F10323" i="3"/>
  <c r="F10322" i="3"/>
  <c r="F10321" i="3"/>
  <c r="F10320" i="3"/>
  <c r="F10319" i="3"/>
  <c r="F10318" i="3"/>
  <c r="F10317" i="3"/>
  <c r="F10316" i="3"/>
  <c r="F10315" i="3"/>
  <c r="F10314" i="3"/>
  <c r="F10313" i="3"/>
  <c r="F10312" i="3"/>
  <c r="F10311" i="3"/>
  <c r="F10310" i="3"/>
  <c r="F10309" i="3"/>
  <c r="F10308" i="3"/>
  <c r="F10307" i="3"/>
  <c r="F10306" i="3"/>
  <c r="F10305" i="3"/>
  <c r="F10304" i="3"/>
  <c r="F10303" i="3"/>
  <c r="F10302" i="3"/>
  <c r="F10301" i="3"/>
  <c r="F10300" i="3"/>
  <c r="F10299" i="3"/>
  <c r="F10298" i="3"/>
  <c r="F10297" i="3"/>
  <c r="F10296" i="3"/>
  <c r="F10295" i="3"/>
  <c r="F10294" i="3"/>
  <c r="F10293" i="3"/>
  <c r="F10292" i="3"/>
  <c r="F10291" i="3"/>
  <c r="F10290" i="3"/>
  <c r="F10289" i="3"/>
  <c r="F10288" i="3"/>
  <c r="F10287" i="3"/>
  <c r="F10286" i="3"/>
  <c r="F10285" i="3"/>
  <c r="F10284" i="3"/>
  <c r="F10283" i="3"/>
  <c r="F10282" i="3"/>
  <c r="F10281" i="3"/>
  <c r="F10280" i="3"/>
  <c r="F10279" i="3"/>
  <c r="F10278" i="3"/>
  <c r="F10277" i="3"/>
  <c r="F10276" i="3"/>
  <c r="F10275" i="3"/>
  <c r="F10274" i="3"/>
  <c r="F10273" i="3"/>
  <c r="F10272" i="3"/>
  <c r="F10271" i="3"/>
  <c r="F10270" i="3"/>
  <c r="F10269" i="3"/>
  <c r="F10268" i="3"/>
  <c r="F10267" i="3"/>
  <c r="F10266" i="3"/>
  <c r="F10265" i="3"/>
  <c r="F10264" i="3"/>
  <c r="F10263" i="3"/>
  <c r="F10262" i="3"/>
  <c r="F10261" i="3"/>
  <c r="F10260" i="3"/>
  <c r="F10259" i="3"/>
  <c r="F10258" i="3"/>
  <c r="F10257" i="3"/>
  <c r="F10256" i="3"/>
  <c r="F10255" i="3"/>
  <c r="F10254" i="3"/>
  <c r="F10253" i="3"/>
  <c r="F10252" i="3"/>
  <c r="F10251" i="3"/>
  <c r="F10250" i="3"/>
  <c r="F10249" i="3"/>
  <c r="F10248" i="3"/>
  <c r="F10247" i="3"/>
  <c r="F10246" i="3"/>
  <c r="F10245" i="3"/>
  <c r="F10244" i="3"/>
  <c r="F10243" i="3"/>
  <c r="F10242" i="3"/>
  <c r="F10241" i="3"/>
  <c r="F10240" i="3"/>
  <c r="F10239" i="3"/>
  <c r="F10238" i="3"/>
  <c r="F10237" i="3"/>
  <c r="F10236" i="3"/>
  <c r="F10235" i="3"/>
  <c r="F10234" i="3"/>
  <c r="F10233" i="3"/>
  <c r="F10232" i="3"/>
  <c r="F10231" i="3"/>
  <c r="F10230" i="3"/>
  <c r="F10229" i="3"/>
  <c r="F10228" i="3"/>
  <c r="F10227" i="3"/>
  <c r="F10226" i="3"/>
  <c r="F10225" i="3"/>
  <c r="F10224" i="3"/>
  <c r="F10223" i="3"/>
  <c r="F10222" i="3"/>
  <c r="F10221" i="3"/>
  <c r="F10220" i="3"/>
  <c r="F10219" i="3"/>
  <c r="F10218" i="3"/>
  <c r="F10217" i="3"/>
  <c r="F10216" i="3"/>
  <c r="F10215" i="3"/>
  <c r="F10214" i="3"/>
  <c r="F10213" i="3"/>
  <c r="F10212" i="3"/>
  <c r="F10211" i="3"/>
  <c r="F10210" i="3"/>
  <c r="F10209" i="3"/>
  <c r="F10208" i="3"/>
  <c r="F10207" i="3"/>
  <c r="F10206" i="3"/>
  <c r="F10205" i="3"/>
  <c r="F10204" i="3"/>
  <c r="F10203" i="3"/>
  <c r="F10202" i="3"/>
  <c r="F10201" i="3"/>
  <c r="F10200" i="3"/>
  <c r="F10199" i="3"/>
  <c r="F10198" i="3"/>
  <c r="F10197" i="3"/>
  <c r="F10196" i="3"/>
  <c r="F10195" i="3"/>
  <c r="F10194" i="3"/>
  <c r="F10193" i="3"/>
  <c r="F10192" i="3"/>
  <c r="F10191" i="3"/>
  <c r="F10190" i="3"/>
  <c r="F10189" i="3"/>
  <c r="F10188" i="3"/>
  <c r="F10187" i="3"/>
  <c r="F10186" i="3"/>
  <c r="F10185" i="3"/>
  <c r="F10184" i="3"/>
  <c r="F10183" i="3"/>
  <c r="F10182" i="3"/>
  <c r="F10181" i="3"/>
  <c r="F10180" i="3"/>
  <c r="F10179" i="3"/>
  <c r="F10178" i="3"/>
  <c r="F10177" i="3"/>
  <c r="F10176" i="3"/>
  <c r="F10175" i="3"/>
  <c r="F10174" i="3"/>
  <c r="F10173" i="3"/>
  <c r="F10172" i="3"/>
  <c r="F10171" i="3"/>
  <c r="F10170" i="3"/>
  <c r="F10169" i="3"/>
  <c r="F10168" i="3"/>
  <c r="F10167" i="3"/>
  <c r="F10166" i="3"/>
  <c r="F10165" i="3"/>
  <c r="F10164" i="3"/>
  <c r="F10163" i="3"/>
  <c r="F10162" i="3"/>
  <c r="F10161" i="3"/>
  <c r="F10160" i="3"/>
  <c r="F10159" i="3"/>
  <c r="F10158" i="3"/>
  <c r="F10157" i="3"/>
  <c r="F10156" i="3"/>
  <c r="F10155" i="3"/>
  <c r="F10154" i="3"/>
  <c r="F10153" i="3"/>
  <c r="F10152" i="3"/>
  <c r="F10151" i="3"/>
  <c r="F10150" i="3"/>
  <c r="F10149" i="3"/>
  <c r="F10148" i="3"/>
  <c r="F10147" i="3"/>
  <c r="F10146" i="3"/>
  <c r="F10145" i="3"/>
  <c r="F10144" i="3"/>
  <c r="F10143" i="3"/>
  <c r="F10142" i="3"/>
  <c r="F10141" i="3"/>
  <c r="F10140" i="3"/>
  <c r="F10139" i="3"/>
  <c r="F10138" i="3"/>
  <c r="F10137" i="3"/>
  <c r="F10136" i="3"/>
  <c r="F10135" i="3"/>
  <c r="F10134" i="3"/>
  <c r="F10133" i="3"/>
  <c r="F10132" i="3"/>
  <c r="F10131" i="3"/>
  <c r="F10130" i="3"/>
  <c r="F10129" i="3"/>
  <c r="F10128" i="3"/>
  <c r="F10127" i="3"/>
  <c r="F10126" i="3"/>
  <c r="F10125" i="3"/>
  <c r="F10124" i="3"/>
  <c r="F10123" i="3"/>
  <c r="F10122" i="3"/>
  <c r="F10121" i="3"/>
  <c r="F10120" i="3"/>
  <c r="F10119" i="3"/>
  <c r="F10118" i="3"/>
  <c r="F10117" i="3"/>
  <c r="F10116" i="3"/>
  <c r="F10115" i="3"/>
  <c r="F10114" i="3"/>
  <c r="F10113" i="3"/>
  <c r="F10112" i="3"/>
  <c r="F10111" i="3"/>
  <c r="F10110" i="3"/>
  <c r="F10109" i="3"/>
  <c r="F10108" i="3"/>
  <c r="F10107" i="3"/>
  <c r="F10106" i="3"/>
  <c r="F10105" i="3"/>
  <c r="F10104" i="3"/>
  <c r="F10103" i="3"/>
  <c r="F10102" i="3"/>
  <c r="F10101" i="3"/>
  <c r="F10100" i="3"/>
  <c r="F10099" i="3"/>
  <c r="F10098" i="3"/>
  <c r="F10097" i="3"/>
  <c r="F10096" i="3"/>
  <c r="F10095" i="3"/>
  <c r="F10094" i="3"/>
  <c r="F10093" i="3"/>
  <c r="F10092" i="3"/>
  <c r="F10091" i="3"/>
  <c r="F10090" i="3"/>
  <c r="F10089" i="3"/>
  <c r="F10088" i="3"/>
  <c r="F10087" i="3"/>
  <c r="F10086" i="3"/>
  <c r="F10085" i="3"/>
  <c r="F10084" i="3"/>
  <c r="F10083" i="3"/>
  <c r="F10082" i="3"/>
  <c r="F10081" i="3"/>
  <c r="F10080" i="3"/>
  <c r="F10079" i="3"/>
  <c r="F10078" i="3"/>
  <c r="F10077" i="3"/>
  <c r="F10076" i="3"/>
  <c r="F10075" i="3"/>
  <c r="F10074" i="3"/>
  <c r="F10073" i="3"/>
  <c r="F10072" i="3"/>
  <c r="F10071" i="3"/>
  <c r="F10070" i="3"/>
  <c r="F10069" i="3"/>
  <c r="F10068" i="3"/>
  <c r="F10067" i="3"/>
  <c r="F10066" i="3"/>
  <c r="F10065" i="3"/>
  <c r="F10064" i="3"/>
  <c r="F10063" i="3"/>
  <c r="F10062" i="3"/>
  <c r="F10061" i="3"/>
  <c r="F10060" i="3"/>
  <c r="F10059" i="3"/>
  <c r="F10058" i="3"/>
  <c r="F10057" i="3"/>
  <c r="F10056" i="3"/>
  <c r="F10055" i="3"/>
  <c r="F10054" i="3"/>
  <c r="F10053" i="3"/>
  <c r="F10052" i="3"/>
  <c r="F10051" i="3"/>
  <c r="F10050" i="3"/>
  <c r="F10049" i="3"/>
  <c r="F10048" i="3"/>
  <c r="F10047" i="3"/>
  <c r="F10046" i="3"/>
  <c r="F10045" i="3"/>
  <c r="F10044" i="3"/>
  <c r="F10043" i="3"/>
  <c r="F10042" i="3"/>
  <c r="F10041" i="3"/>
  <c r="F10040" i="3"/>
  <c r="F10039" i="3"/>
  <c r="F10038" i="3"/>
  <c r="F10037" i="3"/>
  <c r="F10036" i="3"/>
  <c r="F10035" i="3"/>
  <c r="F10034" i="3"/>
  <c r="F10033" i="3"/>
  <c r="F10032" i="3"/>
  <c r="F10031" i="3"/>
  <c r="F10030" i="3"/>
  <c r="F10029" i="3"/>
  <c r="F10028" i="3"/>
  <c r="F10027" i="3"/>
  <c r="F10026" i="3"/>
  <c r="F10025" i="3"/>
  <c r="F10024" i="3"/>
  <c r="F10023" i="3"/>
  <c r="F10022" i="3"/>
  <c r="F10021" i="3"/>
  <c r="F10020" i="3"/>
  <c r="F10019" i="3"/>
  <c r="F10018" i="3"/>
  <c r="F10017" i="3"/>
  <c r="F10016" i="3"/>
  <c r="F10015" i="3"/>
  <c r="F10014" i="3"/>
  <c r="F10013" i="3"/>
  <c r="F10012" i="3"/>
  <c r="F10011" i="3"/>
  <c r="F10010" i="3"/>
  <c r="F10009" i="3"/>
  <c r="F10008" i="3"/>
  <c r="F10007" i="3"/>
  <c r="F10006" i="3"/>
  <c r="F10005" i="3"/>
  <c r="F10004" i="3"/>
  <c r="F10003" i="3"/>
  <c r="F10002" i="3"/>
  <c r="F10001" i="3"/>
  <c r="F10000" i="3"/>
  <c r="F9999" i="3"/>
  <c r="F9998" i="3"/>
  <c r="F9997" i="3"/>
  <c r="F9996" i="3"/>
  <c r="F9995" i="3"/>
  <c r="F9994" i="3"/>
  <c r="F9993" i="3"/>
  <c r="F9992" i="3"/>
  <c r="F9991" i="3"/>
  <c r="F9990" i="3"/>
  <c r="F9989" i="3"/>
  <c r="F9988" i="3"/>
  <c r="F9987" i="3"/>
  <c r="F9986" i="3"/>
  <c r="F9985" i="3"/>
  <c r="F9984" i="3"/>
  <c r="F9983" i="3"/>
  <c r="F9982" i="3"/>
  <c r="F9981" i="3"/>
  <c r="F9980" i="3"/>
  <c r="F9979" i="3"/>
  <c r="F9978" i="3"/>
  <c r="F9977" i="3"/>
  <c r="F9976" i="3"/>
  <c r="F9975" i="3"/>
  <c r="F9974" i="3"/>
  <c r="F9973" i="3"/>
  <c r="F9972" i="3"/>
  <c r="F9971" i="3"/>
  <c r="F9970" i="3"/>
  <c r="F9969" i="3"/>
  <c r="F9968" i="3"/>
  <c r="F9967" i="3"/>
  <c r="F9966" i="3"/>
  <c r="F9965" i="3"/>
  <c r="F9964" i="3"/>
  <c r="F9963" i="3"/>
  <c r="F9962" i="3"/>
  <c r="F9961" i="3"/>
  <c r="F9960" i="3"/>
  <c r="F9959" i="3"/>
  <c r="F9958" i="3"/>
  <c r="F9957" i="3"/>
  <c r="F9956" i="3"/>
  <c r="F9955" i="3"/>
  <c r="F9954" i="3"/>
  <c r="F9953" i="3"/>
  <c r="F9952" i="3"/>
  <c r="F9951" i="3"/>
  <c r="F9950" i="3"/>
  <c r="F9949" i="3"/>
  <c r="F9948" i="3"/>
  <c r="F9947" i="3"/>
  <c r="F9946" i="3"/>
  <c r="F9945" i="3"/>
  <c r="F9944" i="3"/>
  <c r="F9943" i="3"/>
  <c r="F9942" i="3"/>
  <c r="F9941" i="3"/>
  <c r="F9940" i="3"/>
  <c r="F9939" i="3"/>
  <c r="F9938" i="3"/>
  <c r="F9937" i="3"/>
  <c r="F9936" i="3"/>
  <c r="F9935" i="3"/>
  <c r="F9934" i="3"/>
  <c r="F9933" i="3"/>
  <c r="F9932" i="3"/>
  <c r="F9931" i="3"/>
  <c r="F9930" i="3"/>
  <c r="F9929" i="3"/>
  <c r="F9928" i="3"/>
  <c r="F9927" i="3"/>
  <c r="F9926" i="3"/>
  <c r="F9925" i="3"/>
  <c r="F9924" i="3"/>
  <c r="F9923" i="3"/>
  <c r="F9922" i="3"/>
  <c r="F9921" i="3"/>
  <c r="F9920" i="3"/>
  <c r="F9919" i="3"/>
  <c r="F9918" i="3"/>
  <c r="F9917" i="3"/>
  <c r="F9916" i="3"/>
  <c r="F9915" i="3"/>
  <c r="F9914" i="3"/>
  <c r="F9913" i="3"/>
  <c r="F9912" i="3"/>
  <c r="F9911" i="3"/>
  <c r="F9910" i="3"/>
  <c r="F9909" i="3"/>
  <c r="F9908" i="3"/>
  <c r="F9907" i="3"/>
  <c r="F9906" i="3"/>
  <c r="F9905" i="3"/>
  <c r="F9904" i="3"/>
  <c r="F9903" i="3"/>
  <c r="F9902" i="3"/>
  <c r="F9901" i="3"/>
  <c r="F9900" i="3"/>
  <c r="F9899" i="3"/>
  <c r="F9898" i="3"/>
  <c r="F9897" i="3"/>
  <c r="F9896" i="3"/>
  <c r="F9895" i="3"/>
  <c r="F9894" i="3"/>
  <c r="F9893" i="3"/>
  <c r="F9892" i="3"/>
  <c r="F9891" i="3"/>
  <c r="F9890" i="3"/>
  <c r="F9889" i="3"/>
  <c r="F9888" i="3"/>
  <c r="F9887" i="3"/>
  <c r="F9886" i="3"/>
  <c r="F9885" i="3"/>
  <c r="F9884" i="3"/>
  <c r="F9883" i="3"/>
  <c r="F9882" i="3"/>
  <c r="F9881" i="3"/>
  <c r="F9880" i="3"/>
  <c r="F9879" i="3"/>
  <c r="F9878" i="3"/>
  <c r="F9877" i="3"/>
  <c r="F9876" i="3"/>
  <c r="F9875" i="3"/>
  <c r="F9874" i="3"/>
  <c r="F9873" i="3"/>
  <c r="F9872" i="3"/>
  <c r="F9871" i="3"/>
  <c r="F9870" i="3"/>
  <c r="F9869" i="3"/>
  <c r="F9868" i="3"/>
  <c r="F9867" i="3"/>
  <c r="F9866" i="3"/>
  <c r="F9865" i="3"/>
  <c r="F9864" i="3"/>
  <c r="F9863" i="3"/>
  <c r="F9862" i="3"/>
  <c r="F9861" i="3"/>
  <c r="F9860" i="3"/>
  <c r="F9859" i="3"/>
  <c r="F9858" i="3"/>
  <c r="F9857" i="3"/>
  <c r="F9856" i="3"/>
  <c r="F9855" i="3"/>
  <c r="F9854" i="3"/>
  <c r="F9853" i="3"/>
  <c r="F9852" i="3"/>
  <c r="F9851" i="3"/>
  <c r="F9850" i="3"/>
  <c r="F9849" i="3"/>
  <c r="F9848" i="3"/>
  <c r="F9847" i="3"/>
  <c r="F9846" i="3"/>
  <c r="F9845" i="3"/>
  <c r="F9844" i="3"/>
  <c r="F9843" i="3"/>
  <c r="F9842" i="3"/>
  <c r="F9841" i="3"/>
  <c r="F9840" i="3"/>
  <c r="F9839" i="3"/>
  <c r="F9838" i="3"/>
  <c r="F9837" i="3"/>
  <c r="F9836" i="3"/>
  <c r="F9835" i="3"/>
  <c r="F9834" i="3"/>
  <c r="F9833" i="3"/>
  <c r="F9832" i="3"/>
  <c r="F9831" i="3"/>
  <c r="F9830" i="3"/>
  <c r="F9829" i="3"/>
  <c r="F9828" i="3"/>
  <c r="F9827" i="3"/>
  <c r="F9826" i="3"/>
  <c r="F9825" i="3"/>
  <c r="F9824" i="3"/>
  <c r="F9823" i="3"/>
  <c r="F9822" i="3"/>
  <c r="F9821" i="3"/>
  <c r="F9820" i="3"/>
  <c r="F9819" i="3"/>
  <c r="F9818" i="3"/>
  <c r="F9817" i="3"/>
  <c r="F9816" i="3"/>
  <c r="F9815" i="3"/>
  <c r="F9814" i="3"/>
  <c r="F9813" i="3"/>
  <c r="F9812" i="3"/>
  <c r="F9811" i="3"/>
  <c r="F9810" i="3"/>
  <c r="F9809" i="3"/>
  <c r="F9808" i="3"/>
  <c r="F9807" i="3"/>
  <c r="F9806" i="3"/>
  <c r="F9805" i="3"/>
  <c r="F9804" i="3"/>
  <c r="F9803" i="3"/>
  <c r="F9802" i="3"/>
  <c r="F9801" i="3"/>
  <c r="F9800" i="3"/>
  <c r="F9799" i="3"/>
  <c r="F9798" i="3"/>
  <c r="F9797" i="3"/>
  <c r="F9796" i="3"/>
  <c r="F9795" i="3"/>
  <c r="F9794" i="3"/>
  <c r="F9793" i="3"/>
  <c r="F9792" i="3"/>
  <c r="F9791" i="3"/>
  <c r="F9790" i="3"/>
  <c r="F9789" i="3"/>
  <c r="F9788" i="3"/>
  <c r="F9787" i="3"/>
  <c r="F9786" i="3"/>
  <c r="F9785" i="3"/>
  <c r="F9784" i="3"/>
  <c r="F9783" i="3"/>
  <c r="F9782" i="3"/>
  <c r="F9781" i="3"/>
  <c r="F9780" i="3"/>
  <c r="F9779" i="3"/>
  <c r="F9778" i="3"/>
  <c r="F9777" i="3"/>
  <c r="F9776" i="3"/>
  <c r="F9775" i="3"/>
  <c r="F9774" i="3"/>
  <c r="F9773" i="3"/>
  <c r="F9772" i="3"/>
  <c r="F9771" i="3"/>
  <c r="F9770" i="3"/>
  <c r="F9769" i="3"/>
  <c r="F9768" i="3"/>
  <c r="F9767" i="3"/>
  <c r="F9766" i="3"/>
  <c r="F9765" i="3"/>
  <c r="F9764" i="3"/>
  <c r="F9763" i="3"/>
  <c r="F9762" i="3"/>
  <c r="F9761" i="3"/>
  <c r="F9760" i="3"/>
  <c r="F9759" i="3"/>
  <c r="F9758" i="3"/>
  <c r="F9757" i="3"/>
  <c r="F9756" i="3"/>
  <c r="F9755" i="3"/>
  <c r="F9754" i="3"/>
  <c r="F9753" i="3"/>
  <c r="F9752" i="3"/>
  <c r="F9751" i="3"/>
  <c r="F9750" i="3"/>
  <c r="F9749" i="3"/>
  <c r="F9748" i="3"/>
  <c r="F9747" i="3"/>
  <c r="F9746" i="3"/>
  <c r="F9745" i="3"/>
  <c r="F9744" i="3"/>
  <c r="F9743" i="3"/>
  <c r="F9742" i="3"/>
  <c r="F9741" i="3"/>
  <c r="F9740" i="3"/>
  <c r="F9739" i="3"/>
  <c r="F9738" i="3"/>
  <c r="F9737" i="3"/>
  <c r="F9736" i="3"/>
  <c r="F9735" i="3"/>
  <c r="F9734" i="3"/>
  <c r="F9733" i="3"/>
  <c r="F9732" i="3"/>
  <c r="F9731" i="3"/>
  <c r="F9730" i="3"/>
  <c r="F9729" i="3"/>
  <c r="F9728" i="3"/>
  <c r="F9727" i="3"/>
  <c r="F9726" i="3"/>
  <c r="F9725" i="3"/>
  <c r="F9724" i="3"/>
  <c r="F9723" i="3"/>
  <c r="F9722" i="3"/>
  <c r="F9721" i="3"/>
  <c r="F9720" i="3"/>
  <c r="F9719" i="3"/>
  <c r="F9718" i="3"/>
  <c r="F9717" i="3"/>
  <c r="F9716" i="3"/>
  <c r="F9715" i="3"/>
  <c r="F9714" i="3"/>
  <c r="F9713" i="3"/>
  <c r="F9712" i="3"/>
  <c r="F9711" i="3"/>
  <c r="F9710" i="3"/>
  <c r="F9709" i="3"/>
  <c r="F9708" i="3"/>
  <c r="F9707" i="3"/>
  <c r="F9706" i="3"/>
  <c r="F9705" i="3"/>
  <c r="F9704" i="3"/>
  <c r="F9703" i="3"/>
  <c r="F9702" i="3"/>
  <c r="F9701" i="3"/>
  <c r="F9700" i="3"/>
  <c r="F9699" i="3"/>
  <c r="F9698" i="3"/>
  <c r="F9697" i="3"/>
  <c r="F9696" i="3"/>
  <c r="F9695" i="3"/>
  <c r="F9694" i="3"/>
  <c r="F9693" i="3"/>
  <c r="F9692" i="3"/>
  <c r="F9691" i="3"/>
  <c r="F9690" i="3"/>
  <c r="F9689" i="3"/>
  <c r="F9688" i="3"/>
  <c r="F9687" i="3"/>
  <c r="F9686" i="3"/>
  <c r="F9685" i="3"/>
  <c r="F9684" i="3"/>
  <c r="F9683" i="3"/>
  <c r="F9682" i="3"/>
  <c r="F9681" i="3"/>
  <c r="F9680" i="3"/>
  <c r="F9679" i="3"/>
  <c r="F9678" i="3"/>
  <c r="F9677" i="3"/>
  <c r="F9676" i="3"/>
  <c r="F9675" i="3"/>
  <c r="F9674" i="3"/>
  <c r="F9673" i="3"/>
  <c r="F9672" i="3"/>
  <c r="F9671" i="3"/>
  <c r="F9670" i="3"/>
  <c r="F9669" i="3"/>
  <c r="F9668" i="3"/>
  <c r="F9667" i="3"/>
  <c r="F9666" i="3"/>
  <c r="F9665" i="3"/>
  <c r="F9664" i="3"/>
  <c r="F9663" i="3"/>
  <c r="F9662" i="3"/>
  <c r="F9661" i="3"/>
  <c r="F9660" i="3"/>
  <c r="F9659" i="3"/>
  <c r="F9658" i="3"/>
  <c r="F9657" i="3"/>
  <c r="F9656" i="3"/>
  <c r="F9655" i="3"/>
  <c r="F9654" i="3"/>
  <c r="F9653" i="3"/>
  <c r="F9652" i="3"/>
  <c r="F9651" i="3"/>
  <c r="F9650" i="3"/>
  <c r="F9649" i="3"/>
  <c r="F9648" i="3"/>
  <c r="F9647" i="3"/>
  <c r="F9646" i="3"/>
  <c r="F9645" i="3"/>
  <c r="F9644" i="3"/>
  <c r="F9643" i="3"/>
  <c r="F9642" i="3"/>
  <c r="F9641" i="3"/>
  <c r="F9640" i="3"/>
  <c r="F9639" i="3"/>
  <c r="F9638" i="3"/>
  <c r="F9637" i="3"/>
  <c r="F9636" i="3"/>
  <c r="F9635" i="3"/>
  <c r="F9634" i="3"/>
  <c r="F9633" i="3"/>
  <c r="F9632" i="3"/>
  <c r="F9631" i="3"/>
  <c r="F9630" i="3"/>
  <c r="F9629" i="3"/>
  <c r="F9628" i="3"/>
  <c r="F9627" i="3"/>
  <c r="F9626" i="3"/>
  <c r="F9625" i="3"/>
  <c r="F9624" i="3"/>
  <c r="F9623" i="3"/>
  <c r="F9622" i="3"/>
  <c r="F9621" i="3"/>
  <c r="F9620" i="3"/>
  <c r="F9619" i="3"/>
  <c r="F9618" i="3"/>
  <c r="F9617" i="3"/>
  <c r="F9616" i="3"/>
  <c r="F9615" i="3"/>
  <c r="F9614" i="3"/>
  <c r="F9613" i="3"/>
  <c r="F9612" i="3"/>
  <c r="F9611" i="3"/>
  <c r="F9610" i="3"/>
  <c r="F9609" i="3"/>
  <c r="F9608" i="3"/>
  <c r="F9607" i="3"/>
  <c r="F9606" i="3"/>
  <c r="F9605" i="3"/>
  <c r="F9604" i="3"/>
  <c r="F9603" i="3"/>
  <c r="F9602" i="3"/>
  <c r="F9601" i="3"/>
  <c r="F9600" i="3"/>
  <c r="F9599" i="3"/>
  <c r="F9598" i="3"/>
  <c r="F9597" i="3"/>
  <c r="F9596" i="3"/>
  <c r="F9595" i="3"/>
  <c r="F9594" i="3"/>
  <c r="F9593" i="3"/>
  <c r="F9592" i="3"/>
  <c r="F9591" i="3"/>
  <c r="F9590" i="3"/>
  <c r="F9589" i="3"/>
  <c r="F9588" i="3"/>
  <c r="F9587" i="3"/>
  <c r="F9586" i="3"/>
  <c r="F9585" i="3"/>
  <c r="F9584" i="3"/>
  <c r="F9583" i="3"/>
  <c r="F9582" i="3"/>
  <c r="F9581" i="3"/>
  <c r="F9580" i="3"/>
  <c r="F9579" i="3"/>
  <c r="F9578" i="3"/>
  <c r="F9577" i="3"/>
  <c r="F9576" i="3"/>
  <c r="F9575" i="3"/>
  <c r="F9574" i="3"/>
  <c r="F9573" i="3"/>
  <c r="F9572" i="3"/>
  <c r="F9571" i="3"/>
  <c r="F9570" i="3"/>
  <c r="F9569" i="3"/>
  <c r="F9568" i="3"/>
  <c r="F9567" i="3"/>
  <c r="F9566" i="3"/>
  <c r="F9565" i="3"/>
  <c r="F9564" i="3"/>
  <c r="F9563" i="3"/>
  <c r="F9562" i="3"/>
  <c r="F9561" i="3"/>
  <c r="F9560" i="3"/>
  <c r="F9559" i="3"/>
  <c r="F9558" i="3"/>
  <c r="F9557" i="3"/>
  <c r="F9556" i="3"/>
  <c r="F9555" i="3"/>
  <c r="F9554" i="3"/>
  <c r="F9553" i="3"/>
  <c r="F9552" i="3"/>
  <c r="F9551" i="3"/>
  <c r="F9550" i="3"/>
  <c r="F9549" i="3"/>
  <c r="F9548" i="3"/>
  <c r="F9547" i="3"/>
  <c r="F9546" i="3"/>
  <c r="F9545" i="3"/>
  <c r="F9544" i="3"/>
  <c r="F9543" i="3"/>
  <c r="F9542" i="3"/>
  <c r="F9541" i="3"/>
  <c r="F9540" i="3"/>
  <c r="F9539" i="3"/>
  <c r="F9538" i="3"/>
  <c r="F9537" i="3"/>
  <c r="F9536" i="3"/>
  <c r="F9535" i="3"/>
  <c r="F9534" i="3"/>
  <c r="F9533" i="3"/>
  <c r="F9532" i="3"/>
  <c r="F9531" i="3"/>
  <c r="F9530" i="3"/>
  <c r="F9529" i="3"/>
  <c r="F9528" i="3"/>
  <c r="F9527" i="3"/>
  <c r="F9526" i="3"/>
  <c r="F9525" i="3"/>
  <c r="F9524" i="3"/>
  <c r="F9523" i="3"/>
  <c r="F9522" i="3"/>
  <c r="F9521" i="3"/>
  <c r="F9520" i="3"/>
  <c r="F9519" i="3"/>
  <c r="F9518" i="3"/>
  <c r="F9517" i="3"/>
  <c r="F9516" i="3"/>
  <c r="F9515" i="3"/>
  <c r="F9514" i="3"/>
  <c r="F9513" i="3"/>
  <c r="F9512" i="3"/>
  <c r="F9511" i="3"/>
  <c r="F9510" i="3"/>
  <c r="F9509" i="3"/>
  <c r="F9508" i="3"/>
  <c r="F9507" i="3"/>
  <c r="F9506" i="3"/>
  <c r="F9505" i="3"/>
  <c r="F9504" i="3"/>
  <c r="F9503" i="3"/>
  <c r="F9502" i="3"/>
  <c r="F9501" i="3"/>
  <c r="F9500" i="3"/>
  <c r="F9499" i="3"/>
  <c r="F9498" i="3"/>
  <c r="F9497" i="3"/>
  <c r="F9496" i="3"/>
  <c r="F9495" i="3"/>
  <c r="F9494" i="3"/>
  <c r="F9493" i="3"/>
  <c r="F9492" i="3"/>
  <c r="F9491" i="3"/>
  <c r="F9490" i="3"/>
  <c r="F9489" i="3"/>
  <c r="F9488" i="3"/>
  <c r="F9487" i="3"/>
  <c r="F9486" i="3"/>
  <c r="F9485" i="3"/>
  <c r="F9484" i="3"/>
  <c r="F9483" i="3"/>
  <c r="F9482" i="3"/>
  <c r="F9481" i="3"/>
  <c r="F9480" i="3"/>
  <c r="F9479" i="3"/>
  <c r="F9478" i="3"/>
  <c r="F9477" i="3"/>
  <c r="F9476" i="3"/>
  <c r="F9475" i="3"/>
  <c r="F9474" i="3"/>
  <c r="F9473" i="3"/>
  <c r="F9472" i="3"/>
  <c r="F9471" i="3"/>
  <c r="F9470" i="3"/>
  <c r="F9469" i="3"/>
  <c r="F9468" i="3"/>
  <c r="F9467" i="3"/>
  <c r="F9466" i="3"/>
  <c r="F9465" i="3"/>
  <c r="F9464" i="3"/>
  <c r="F9463" i="3"/>
  <c r="F9462" i="3"/>
  <c r="F9461" i="3"/>
  <c r="F9460" i="3"/>
  <c r="F9459" i="3"/>
  <c r="F9458" i="3"/>
  <c r="F9457" i="3"/>
  <c r="F9456" i="3"/>
  <c r="F9455" i="3"/>
  <c r="F9454" i="3"/>
  <c r="F9453" i="3"/>
  <c r="F9452" i="3"/>
  <c r="F9451" i="3"/>
  <c r="F9450" i="3"/>
  <c r="F9449" i="3"/>
  <c r="F9448" i="3"/>
  <c r="F9447" i="3"/>
  <c r="F9446" i="3"/>
  <c r="F9445" i="3"/>
  <c r="F9444" i="3"/>
  <c r="F9443" i="3"/>
  <c r="F9442" i="3"/>
  <c r="F9441" i="3"/>
  <c r="F9440" i="3"/>
  <c r="F9439" i="3"/>
  <c r="F9438" i="3"/>
  <c r="F9437" i="3"/>
  <c r="F9436" i="3"/>
  <c r="F9435" i="3"/>
  <c r="F9434" i="3"/>
  <c r="F9433" i="3"/>
  <c r="F9432" i="3"/>
  <c r="F9431" i="3"/>
  <c r="F9430" i="3"/>
  <c r="F9429" i="3"/>
  <c r="F9428" i="3"/>
  <c r="F9427" i="3"/>
  <c r="F9426" i="3"/>
  <c r="F9425" i="3"/>
  <c r="F9424" i="3"/>
  <c r="F9423" i="3"/>
  <c r="F9422" i="3"/>
  <c r="F9421" i="3"/>
  <c r="F9420" i="3"/>
  <c r="F9419" i="3"/>
  <c r="F9418" i="3"/>
  <c r="F9417" i="3"/>
  <c r="F9416" i="3"/>
  <c r="F9415" i="3"/>
  <c r="F9414" i="3"/>
  <c r="F9413" i="3"/>
  <c r="F9412" i="3"/>
  <c r="F9411" i="3"/>
  <c r="F9410" i="3"/>
  <c r="F9409" i="3"/>
  <c r="F9408" i="3"/>
  <c r="F9407" i="3"/>
  <c r="F9406" i="3"/>
  <c r="F9405" i="3"/>
  <c r="F9404" i="3"/>
  <c r="F9403" i="3"/>
  <c r="F9402" i="3"/>
  <c r="F9401" i="3"/>
  <c r="F9400" i="3"/>
  <c r="F9399" i="3"/>
  <c r="F9398" i="3"/>
  <c r="F9397" i="3"/>
  <c r="F9396" i="3"/>
  <c r="F9395" i="3"/>
  <c r="F9394" i="3"/>
  <c r="F9393" i="3"/>
  <c r="F9392" i="3"/>
  <c r="F9391" i="3"/>
  <c r="F9390" i="3"/>
  <c r="F9389" i="3"/>
  <c r="F9388" i="3"/>
  <c r="F9387" i="3"/>
  <c r="F9386" i="3"/>
  <c r="F9385" i="3"/>
  <c r="F9384" i="3"/>
  <c r="F9383" i="3"/>
  <c r="F9382" i="3"/>
  <c r="F9381" i="3"/>
  <c r="F9380" i="3"/>
  <c r="F9379" i="3"/>
  <c r="F9378" i="3"/>
  <c r="F9377" i="3"/>
  <c r="F9376" i="3"/>
  <c r="F9375" i="3"/>
  <c r="F9374" i="3"/>
  <c r="F9373" i="3"/>
  <c r="F9372" i="3"/>
  <c r="F9371" i="3"/>
  <c r="F9370" i="3"/>
  <c r="F9369" i="3"/>
  <c r="F9368" i="3"/>
  <c r="F9367" i="3"/>
  <c r="F9366" i="3"/>
  <c r="F9365" i="3"/>
  <c r="F9364" i="3"/>
  <c r="F9363" i="3"/>
  <c r="F9362" i="3"/>
  <c r="F9361" i="3"/>
  <c r="F9360" i="3"/>
  <c r="F9359" i="3"/>
  <c r="F9358" i="3"/>
  <c r="F9357" i="3"/>
  <c r="F9356" i="3"/>
  <c r="F9355" i="3"/>
  <c r="F9354" i="3"/>
  <c r="F9353" i="3"/>
  <c r="F9352" i="3"/>
  <c r="F9351" i="3"/>
  <c r="F9350" i="3"/>
  <c r="F9349" i="3"/>
  <c r="F9348" i="3"/>
  <c r="F9347" i="3"/>
  <c r="F9346" i="3"/>
  <c r="F9345" i="3"/>
  <c r="F9344" i="3"/>
  <c r="F9343" i="3"/>
  <c r="F9342" i="3"/>
  <c r="F9341" i="3"/>
  <c r="F9340" i="3"/>
  <c r="F9339" i="3"/>
  <c r="F9338" i="3"/>
  <c r="F9337" i="3"/>
  <c r="F9336" i="3"/>
  <c r="F9335" i="3"/>
  <c r="F9334" i="3"/>
  <c r="F9333" i="3"/>
  <c r="F9332" i="3"/>
  <c r="F9331" i="3"/>
  <c r="F9330" i="3"/>
  <c r="F9329" i="3"/>
  <c r="F9328" i="3"/>
  <c r="F9327" i="3"/>
  <c r="F9326" i="3"/>
  <c r="F9325" i="3"/>
  <c r="F9324" i="3"/>
  <c r="F9323" i="3"/>
  <c r="F9322" i="3"/>
  <c r="F9321" i="3"/>
  <c r="F9320" i="3"/>
  <c r="F9319" i="3"/>
  <c r="F9318" i="3"/>
  <c r="F9317" i="3"/>
  <c r="F9316" i="3"/>
  <c r="F9315" i="3"/>
  <c r="F9314" i="3"/>
  <c r="F9313" i="3"/>
  <c r="F9312" i="3"/>
  <c r="F9311" i="3"/>
  <c r="F9310" i="3"/>
  <c r="F9309" i="3"/>
  <c r="F9308" i="3"/>
  <c r="F9307" i="3"/>
  <c r="F9306" i="3"/>
  <c r="F9305" i="3"/>
  <c r="F9304" i="3"/>
  <c r="F9303" i="3"/>
  <c r="F9302" i="3"/>
  <c r="F9301" i="3"/>
  <c r="F9300" i="3"/>
  <c r="F9299" i="3"/>
  <c r="F9298" i="3"/>
  <c r="F9297" i="3"/>
  <c r="F9296" i="3"/>
  <c r="F9295" i="3"/>
  <c r="F9294" i="3"/>
  <c r="F9293" i="3"/>
  <c r="F9292" i="3"/>
  <c r="F9291" i="3"/>
  <c r="F9290" i="3"/>
  <c r="F9289" i="3"/>
  <c r="F9288" i="3"/>
  <c r="F9287" i="3"/>
  <c r="F9286" i="3"/>
  <c r="F9285" i="3"/>
  <c r="F9284" i="3"/>
  <c r="F9283" i="3"/>
  <c r="F9282" i="3"/>
  <c r="F9281" i="3"/>
  <c r="F9280" i="3"/>
  <c r="F9279" i="3"/>
  <c r="F9278" i="3"/>
  <c r="F9277" i="3"/>
  <c r="F9276" i="3"/>
  <c r="F9275" i="3"/>
  <c r="F9274" i="3"/>
  <c r="F9273" i="3"/>
  <c r="F9272" i="3"/>
  <c r="F9271" i="3"/>
  <c r="F9270" i="3"/>
  <c r="F9269" i="3"/>
  <c r="F9268" i="3"/>
  <c r="F9267" i="3"/>
  <c r="F9266" i="3"/>
  <c r="F9265" i="3"/>
  <c r="F9264" i="3"/>
  <c r="F9263" i="3"/>
  <c r="F9262" i="3"/>
  <c r="F9261" i="3"/>
  <c r="F9260" i="3"/>
  <c r="F9259" i="3"/>
  <c r="F9258" i="3"/>
  <c r="F9257" i="3"/>
  <c r="F9256" i="3"/>
  <c r="F9255" i="3"/>
  <c r="F9254" i="3"/>
  <c r="F9253" i="3"/>
  <c r="F9252" i="3"/>
  <c r="F9251" i="3"/>
  <c r="F9250" i="3"/>
  <c r="F9249" i="3"/>
  <c r="F9248" i="3"/>
  <c r="F9247" i="3"/>
  <c r="F9246" i="3"/>
  <c r="F9245" i="3"/>
  <c r="F9244" i="3"/>
  <c r="F9243" i="3"/>
  <c r="F9242" i="3"/>
  <c r="F9241" i="3"/>
  <c r="F9240" i="3"/>
  <c r="F9239" i="3"/>
  <c r="F9238" i="3"/>
  <c r="F9237" i="3"/>
  <c r="F9236" i="3"/>
  <c r="F9235" i="3"/>
  <c r="F9234" i="3"/>
  <c r="F9233" i="3"/>
  <c r="F9232" i="3"/>
  <c r="F9231" i="3"/>
  <c r="F9230" i="3"/>
  <c r="F9229" i="3"/>
  <c r="F9228" i="3"/>
  <c r="F9227" i="3"/>
  <c r="F9226" i="3"/>
  <c r="F9225" i="3"/>
  <c r="F9224" i="3"/>
  <c r="F9223" i="3"/>
  <c r="F9222" i="3"/>
  <c r="F9221" i="3"/>
  <c r="F9220" i="3"/>
  <c r="F9219" i="3"/>
  <c r="F9218" i="3"/>
  <c r="F9217" i="3"/>
  <c r="F9216" i="3"/>
  <c r="F9215" i="3"/>
  <c r="F9214" i="3"/>
  <c r="F9213" i="3"/>
  <c r="F9212" i="3"/>
  <c r="F9211" i="3"/>
  <c r="F9210" i="3"/>
  <c r="F9209" i="3"/>
  <c r="F9208" i="3"/>
  <c r="F9207" i="3"/>
  <c r="F9206" i="3"/>
  <c r="F9205" i="3"/>
  <c r="F9204" i="3"/>
  <c r="F9203" i="3"/>
  <c r="F9202" i="3"/>
  <c r="F9201" i="3"/>
  <c r="F9200" i="3"/>
  <c r="F9199" i="3"/>
  <c r="F9198" i="3"/>
  <c r="F9197" i="3"/>
  <c r="F9196" i="3"/>
  <c r="F9195" i="3"/>
  <c r="F9194" i="3"/>
  <c r="F9193" i="3"/>
  <c r="F9192" i="3"/>
  <c r="F9191" i="3"/>
  <c r="F9190" i="3"/>
  <c r="F9189" i="3"/>
  <c r="F9188" i="3"/>
  <c r="F9187" i="3"/>
  <c r="F9186" i="3"/>
  <c r="F9185" i="3"/>
  <c r="F9184" i="3"/>
  <c r="F9183" i="3"/>
  <c r="F9182" i="3"/>
  <c r="F9181" i="3"/>
  <c r="F9180" i="3"/>
  <c r="F9179" i="3"/>
  <c r="F9178" i="3"/>
  <c r="F9177" i="3"/>
  <c r="F9176" i="3"/>
  <c r="F9175" i="3"/>
  <c r="F9174" i="3"/>
  <c r="F9173" i="3"/>
  <c r="F9172" i="3"/>
  <c r="F9171" i="3"/>
  <c r="F9170" i="3"/>
  <c r="F9169" i="3"/>
  <c r="F9168" i="3"/>
  <c r="F9167" i="3"/>
  <c r="F9166" i="3"/>
  <c r="F9165" i="3"/>
  <c r="F9164" i="3"/>
  <c r="F9163" i="3"/>
  <c r="F9162" i="3"/>
  <c r="F9161" i="3"/>
  <c r="F9160" i="3"/>
  <c r="F9159" i="3"/>
  <c r="F9158" i="3"/>
  <c r="F9157" i="3"/>
  <c r="F9156" i="3"/>
  <c r="F9155" i="3"/>
  <c r="F9154" i="3"/>
  <c r="F9153" i="3"/>
  <c r="F9152" i="3"/>
  <c r="F9151" i="3"/>
  <c r="F9150" i="3"/>
  <c r="F9149" i="3"/>
  <c r="F9148" i="3"/>
  <c r="F9147" i="3"/>
  <c r="F9146" i="3"/>
  <c r="F9145" i="3"/>
  <c r="F9144" i="3"/>
  <c r="F9143" i="3"/>
  <c r="F9142" i="3"/>
  <c r="F9141" i="3"/>
  <c r="F9140" i="3"/>
  <c r="F9139" i="3"/>
  <c r="F9138" i="3"/>
  <c r="F9137" i="3"/>
  <c r="F9136" i="3"/>
  <c r="F9135" i="3"/>
  <c r="F9134" i="3"/>
  <c r="F9133" i="3"/>
  <c r="F9132" i="3"/>
  <c r="F9131" i="3"/>
  <c r="F9130" i="3"/>
  <c r="F9129" i="3"/>
  <c r="F9128" i="3"/>
  <c r="F9127" i="3"/>
  <c r="F9126" i="3"/>
  <c r="F9125" i="3"/>
  <c r="F9124" i="3"/>
  <c r="F9123" i="3"/>
  <c r="F9122" i="3"/>
  <c r="F9121" i="3"/>
  <c r="F9120" i="3"/>
  <c r="F9119" i="3"/>
  <c r="F9118" i="3"/>
  <c r="F9117" i="3"/>
  <c r="F9116" i="3"/>
  <c r="F9115" i="3"/>
  <c r="F9114" i="3"/>
  <c r="F9113" i="3"/>
  <c r="F9112" i="3"/>
  <c r="F9111" i="3"/>
  <c r="F9110" i="3"/>
  <c r="F9109" i="3"/>
  <c r="F9108" i="3"/>
  <c r="F9107" i="3"/>
  <c r="F9106" i="3"/>
  <c r="F9105" i="3"/>
  <c r="F9104" i="3"/>
  <c r="F9103" i="3"/>
  <c r="F9102" i="3"/>
  <c r="F9101" i="3"/>
  <c r="F9100" i="3"/>
  <c r="F9099" i="3"/>
  <c r="F9098" i="3"/>
  <c r="F9097" i="3"/>
  <c r="F9096" i="3"/>
  <c r="F9095" i="3"/>
  <c r="F9094" i="3"/>
  <c r="F9093" i="3"/>
  <c r="F9092" i="3"/>
  <c r="F9091" i="3"/>
  <c r="F9090" i="3"/>
  <c r="F9089" i="3"/>
  <c r="F9088" i="3"/>
  <c r="F9087" i="3"/>
  <c r="F9086" i="3"/>
  <c r="F9085" i="3"/>
  <c r="F9084" i="3"/>
  <c r="F9083" i="3"/>
  <c r="F9082" i="3"/>
  <c r="F9081" i="3"/>
  <c r="F9080" i="3"/>
  <c r="F9079" i="3"/>
  <c r="F9078" i="3"/>
  <c r="F9077" i="3"/>
  <c r="F9076" i="3"/>
  <c r="F9075" i="3"/>
  <c r="F9074" i="3"/>
  <c r="F9073" i="3"/>
  <c r="F9072" i="3"/>
  <c r="F9071" i="3"/>
  <c r="F9070" i="3"/>
  <c r="F9069" i="3"/>
  <c r="F9068" i="3"/>
  <c r="F9067" i="3"/>
  <c r="F9066" i="3"/>
  <c r="F9065" i="3"/>
  <c r="F9064" i="3"/>
  <c r="F9063" i="3"/>
  <c r="F9062" i="3"/>
  <c r="F9061" i="3"/>
  <c r="F9060" i="3"/>
  <c r="F9059" i="3"/>
  <c r="F9058" i="3"/>
  <c r="F9057" i="3"/>
  <c r="F9056" i="3"/>
  <c r="F9055" i="3"/>
  <c r="F9054" i="3"/>
  <c r="F9053" i="3"/>
  <c r="F9052" i="3"/>
  <c r="F9051" i="3"/>
  <c r="F9050" i="3"/>
  <c r="F9049" i="3"/>
  <c r="F9048" i="3"/>
  <c r="F9047" i="3"/>
  <c r="F9046" i="3"/>
  <c r="F9045" i="3"/>
  <c r="F9044" i="3"/>
  <c r="F9043" i="3"/>
  <c r="F9042" i="3"/>
  <c r="F9041" i="3"/>
  <c r="F9040" i="3"/>
  <c r="F9039" i="3"/>
  <c r="F9038" i="3"/>
  <c r="F9037" i="3"/>
  <c r="F9036" i="3"/>
  <c r="F9035" i="3"/>
  <c r="F9034" i="3"/>
  <c r="F9033" i="3"/>
  <c r="F9032" i="3"/>
  <c r="F9031" i="3"/>
  <c r="F9030" i="3"/>
  <c r="F9029" i="3"/>
  <c r="F9028" i="3"/>
  <c r="F9027" i="3"/>
  <c r="F9026" i="3"/>
  <c r="F9025" i="3"/>
  <c r="F9024" i="3"/>
  <c r="F9023" i="3"/>
  <c r="F9022" i="3"/>
  <c r="F9021" i="3"/>
  <c r="F9020" i="3"/>
  <c r="F9019" i="3"/>
  <c r="F9018" i="3"/>
  <c r="F9017" i="3"/>
  <c r="F9016" i="3"/>
  <c r="F9015" i="3"/>
  <c r="F9014" i="3"/>
  <c r="F9013" i="3"/>
  <c r="F9012" i="3"/>
  <c r="F9011" i="3"/>
  <c r="F9010" i="3"/>
  <c r="F9009" i="3"/>
  <c r="F9008" i="3"/>
  <c r="F9007" i="3"/>
  <c r="F9006" i="3"/>
  <c r="F9005" i="3"/>
  <c r="F9004" i="3"/>
  <c r="F9003" i="3"/>
  <c r="F9002" i="3"/>
  <c r="F9001" i="3"/>
  <c r="F9000" i="3"/>
  <c r="F8999" i="3"/>
  <c r="F8998" i="3"/>
  <c r="F8997" i="3"/>
  <c r="F8996" i="3"/>
  <c r="F8995" i="3"/>
  <c r="F8994" i="3"/>
  <c r="F8993" i="3"/>
  <c r="F8992" i="3"/>
  <c r="F8991" i="3"/>
  <c r="F8990" i="3"/>
  <c r="F8989" i="3"/>
  <c r="F8988" i="3"/>
  <c r="F8987" i="3"/>
  <c r="F8986" i="3"/>
  <c r="F8985" i="3"/>
  <c r="F8984" i="3"/>
  <c r="F8983" i="3"/>
  <c r="F8982" i="3"/>
  <c r="F8981" i="3"/>
  <c r="F8980" i="3"/>
  <c r="F8979" i="3"/>
  <c r="F8978" i="3"/>
  <c r="F8977" i="3"/>
  <c r="F8976" i="3"/>
  <c r="F8975" i="3"/>
  <c r="F8974" i="3"/>
  <c r="F8973" i="3"/>
  <c r="F8972" i="3"/>
  <c r="F8971" i="3"/>
  <c r="F8970" i="3"/>
  <c r="F8969" i="3"/>
  <c r="F8968" i="3"/>
  <c r="F8967" i="3"/>
  <c r="F8966" i="3"/>
  <c r="F8965" i="3"/>
  <c r="F8964" i="3"/>
  <c r="F8963" i="3"/>
  <c r="F8962" i="3"/>
  <c r="F8961" i="3"/>
  <c r="F8960" i="3"/>
  <c r="F8959" i="3"/>
  <c r="F8958" i="3"/>
  <c r="F8957" i="3"/>
  <c r="F8956" i="3"/>
  <c r="F8955" i="3"/>
  <c r="F8954" i="3"/>
  <c r="F8953" i="3"/>
  <c r="F8952" i="3"/>
  <c r="F8951" i="3"/>
  <c r="F8950" i="3"/>
  <c r="F8949" i="3"/>
  <c r="F8948" i="3"/>
  <c r="F8947" i="3"/>
  <c r="F8946" i="3"/>
  <c r="F8945" i="3"/>
  <c r="F8944" i="3"/>
  <c r="F8943" i="3"/>
  <c r="F8942" i="3"/>
  <c r="F8941" i="3"/>
  <c r="F8940" i="3"/>
  <c r="F8939" i="3"/>
  <c r="F8938" i="3"/>
  <c r="F8937" i="3"/>
  <c r="F8936" i="3"/>
  <c r="F8935" i="3"/>
  <c r="F8934" i="3"/>
  <c r="F8933" i="3"/>
  <c r="F8932" i="3"/>
  <c r="F8931" i="3"/>
  <c r="F8930" i="3"/>
  <c r="F8929" i="3"/>
  <c r="F8928" i="3"/>
  <c r="F8927" i="3"/>
  <c r="F8926" i="3"/>
  <c r="F8925" i="3"/>
  <c r="F8924" i="3"/>
  <c r="F8923" i="3"/>
  <c r="F8922" i="3"/>
  <c r="F8921" i="3"/>
  <c r="F8920" i="3"/>
  <c r="F8919" i="3"/>
  <c r="F8918" i="3"/>
  <c r="F8917" i="3"/>
  <c r="F8916" i="3"/>
  <c r="F8915" i="3"/>
  <c r="F8914" i="3"/>
  <c r="F8913" i="3"/>
  <c r="F8912" i="3"/>
  <c r="F8911" i="3"/>
  <c r="F8910" i="3"/>
  <c r="F8909" i="3"/>
  <c r="F8908" i="3"/>
  <c r="F8907" i="3"/>
  <c r="F8906" i="3"/>
  <c r="F8905" i="3"/>
  <c r="F8904" i="3"/>
  <c r="F8903" i="3"/>
  <c r="F8902" i="3"/>
  <c r="F8901" i="3"/>
  <c r="F8900" i="3"/>
  <c r="F8899" i="3"/>
  <c r="F8898" i="3"/>
  <c r="F8897" i="3"/>
  <c r="F8896" i="3"/>
  <c r="F8895" i="3"/>
  <c r="F8894" i="3"/>
  <c r="F8893" i="3"/>
  <c r="F8892" i="3"/>
  <c r="F8891" i="3"/>
  <c r="F8890" i="3"/>
  <c r="F8889" i="3"/>
  <c r="F8888" i="3"/>
  <c r="F8887" i="3"/>
  <c r="F8886" i="3"/>
  <c r="F8885" i="3"/>
  <c r="F8884" i="3"/>
  <c r="F8883" i="3"/>
  <c r="F8882" i="3"/>
  <c r="F8881" i="3"/>
  <c r="F8880" i="3"/>
  <c r="F8879" i="3"/>
  <c r="F8878" i="3"/>
  <c r="F8877" i="3"/>
  <c r="F8876" i="3"/>
  <c r="F8875" i="3"/>
  <c r="F8874" i="3"/>
  <c r="F8873" i="3"/>
  <c r="F8872" i="3"/>
  <c r="F8871" i="3"/>
  <c r="F8870" i="3"/>
  <c r="F8869" i="3"/>
  <c r="F8868" i="3"/>
  <c r="F8867" i="3"/>
  <c r="F8866" i="3"/>
  <c r="F8865" i="3"/>
  <c r="F8864" i="3"/>
  <c r="F8863" i="3"/>
  <c r="F8862" i="3"/>
  <c r="F8861" i="3"/>
  <c r="F8860" i="3"/>
  <c r="F8859" i="3"/>
  <c r="F8858" i="3"/>
  <c r="F8857" i="3"/>
  <c r="F8856" i="3"/>
  <c r="F8855" i="3"/>
  <c r="F8854" i="3"/>
  <c r="F8853" i="3"/>
  <c r="F8852" i="3"/>
  <c r="F8851" i="3"/>
  <c r="F8850" i="3"/>
  <c r="F8849" i="3"/>
  <c r="F8848" i="3"/>
  <c r="F8847" i="3"/>
  <c r="F8846" i="3"/>
  <c r="F8845" i="3"/>
  <c r="F8844" i="3"/>
  <c r="F8843" i="3"/>
  <c r="F8842" i="3"/>
  <c r="F8841" i="3"/>
  <c r="F8840" i="3"/>
  <c r="F8839" i="3"/>
  <c r="F8838" i="3"/>
  <c r="F8837" i="3"/>
  <c r="F8836" i="3"/>
  <c r="F8835" i="3"/>
  <c r="F8834" i="3"/>
  <c r="F8833" i="3"/>
  <c r="F8832" i="3"/>
  <c r="F8831" i="3"/>
  <c r="F8830" i="3"/>
  <c r="F8829" i="3"/>
  <c r="F8828" i="3"/>
  <c r="F8827" i="3"/>
  <c r="F8826" i="3"/>
  <c r="F8825" i="3"/>
  <c r="F8824" i="3"/>
  <c r="F8823" i="3"/>
  <c r="F8822" i="3"/>
  <c r="F8821" i="3"/>
  <c r="F8820" i="3"/>
  <c r="F8819" i="3"/>
  <c r="F8818" i="3"/>
  <c r="F8817" i="3"/>
  <c r="F8816" i="3"/>
  <c r="F8815" i="3"/>
  <c r="F8814" i="3"/>
  <c r="F8813" i="3"/>
  <c r="F8812" i="3"/>
  <c r="F8811" i="3"/>
  <c r="F8810" i="3"/>
  <c r="F8809" i="3"/>
  <c r="F8808" i="3"/>
  <c r="F8807" i="3"/>
  <c r="F8806" i="3"/>
  <c r="F8805" i="3"/>
  <c r="F8804" i="3"/>
  <c r="F8803" i="3"/>
  <c r="F8802" i="3"/>
  <c r="F8801" i="3"/>
  <c r="F8800" i="3"/>
  <c r="F8799" i="3"/>
  <c r="F8798" i="3"/>
  <c r="F8797" i="3"/>
  <c r="F8796" i="3"/>
  <c r="F8795" i="3"/>
  <c r="F8794" i="3"/>
  <c r="F8793" i="3"/>
  <c r="F8792" i="3"/>
  <c r="F8791" i="3"/>
  <c r="F8790" i="3"/>
  <c r="F8789" i="3"/>
  <c r="F8788" i="3"/>
  <c r="F8787" i="3"/>
  <c r="F8786" i="3"/>
  <c r="F8785" i="3"/>
  <c r="F8784" i="3"/>
  <c r="F8783" i="3"/>
  <c r="F8782" i="3"/>
  <c r="F8781" i="3"/>
  <c r="F8780" i="3"/>
  <c r="F8779" i="3"/>
  <c r="F8778" i="3"/>
  <c r="F8777" i="3"/>
  <c r="F8776" i="3"/>
  <c r="F8775" i="3"/>
  <c r="F8774" i="3"/>
  <c r="F8773" i="3"/>
  <c r="F8772" i="3"/>
  <c r="F8771" i="3"/>
  <c r="F8770" i="3"/>
  <c r="F8769" i="3"/>
  <c r="F8768" i="3"/>
  <c r="F8767" i="3"/>
  <c r="F8766" i="3"/>
  <c r="F8765" i="3"/>
  <c r="F8764" i="3"/>
  <c r="F8763" i="3"/>
  <c r="F8762" i="3"/>
  <c r="F8761" i="3"/>
  <c r="F8760" i="3"/>
  <c r="F8759" i="3"/>
  <c r="F8758" i="3"/>
  <c r="F8757" i="3"/>
  <c r="F8756" i="3"/>
  <c r="F8755" i="3"/>
  <c r="F8754" i="3"/>
  <c r="F8753" i="3"/>
  <c r="F8752" i="3"/>
  <c r="F8751" i="3"/>
  <c r="F8750" i="3"/>
  <c r="F8749" i="3"/>
  <c r="F8748" i="3"/>
  <c r="F8747" i="3"/>
  <c r="F8746" i="3"/>
  <c r="F8745" i="3"/>
  <c r="F8744" i="3"/>
  <c r="F8743" i="3"/>
  <c r="F8742" i="3"/>
  <c r="F8741" i="3"/>
  <c r="F8740" i="3"/>
  <c r="F8739" i="3"/>
  <c r="F8738" i="3"/>
  <c r="F8737" i="3"/>
  <c r="F8736" i="3"/>
  <c r="F8735" i="3"/>
  <c r="F8734" i="3"/>
  <c r="F8733" i="3"/>
  <c r="F8732" i="3"/>
  <c r="F8731" i="3"/>
  <c r="F8730" i="3"/>
  <c r="F8729" i="3"/>
  <c r="F8728" i="3"/>
  <c r="F8727" i="3"/>
  <c r="F8726" i="3"/>
  <c r="F8725" i="3"/>
  <c r="F8724" i="3"/>
  <c r="F8723" i="3"/>
  <c r="F8722" i="3"/>
  <c r="F8721" i="3"/>
  <c r="F8720" i="3"/>
  <c r="F8719" i="3"/>
  <c r="F8718" i="3"/>
  <c r="F8717" i="3"/>
  <c r="F8716" i="3"/>
  <c r="F8715" i="3"/>
  <c r="F8714" i="3"/>
  <c r="F8713" i="3"/>
  <c r="F8712" i="3"/>
  <c r="F8711" i="3"/>
  <c r="F8710" i="3"/>
  <c r="F8709" i="3"/>
  <c r="F8708" i="3"/>
  <c r="F8707" i="3"/>
  <c r="F8706" i="3"/>
  <c r="F8705" i="3"/>
  <c r="F8704" i="3"/>
  <c r="F8703" i="3"/>
  <c r="F8702" i="3"/>
  <c r="F8701" i="3"/>
  <c r="F8700" i="3"/>
  <c r="F8699" i="3"/>
  <c r="F8698" i="3"/>
  <c r="F8697" i="3"/>
  <c r="F8696" i="3"/>
  <c r="F8695" i="3"/>
  <c r="F8694" i="3"/>
  <c r="F8693" i="3"/>
  <c r="F8692" i="3"/>
  <c r="F8691" i="3"/>
  <c r="F8690" i="3"/>
  <c r="F8689" i="3"/>
  <c r="F8688" i="3"/>
  <c r="F8687" i="3"/>
  <c r="F8686" i="3"/>
  <c r="F8685" i="3"/>
  <c r="F8684" i="3"/>
  <c r="F8683" i="3"/>
  <c r="F8682" i="3"/>
  <c r="F8681" i="3"/>
  <c r="F8680" i="3"/>
  <c r="F8679" i="3"/>
  <c r="F8678" i="3"/>
  <c r="F8677" i="3"/>
  <c r="F8676" i="3"/>
  <c r="F8675" i="3"/>
  <c r="F8674" i="3"/>
  <c r="F8673" i="3"/>
  <c r="F8672" i="3"/>
  <c r="F8671" i="3"/>
  <c r="F8670" i="3"/>
  <c r="F8669" i="3"/>
  <c r="F8668" i="3"/>
  <c r="F8667" i="3"/>
  <c r="F8666" i="3"/>
  <c r="F8665" i="3"/>
  <c r="F8664" i="3"/>
  <c r="F8663" i="3"/>
  <c r="F8662" i="3"/>
  <c r="F8661" i="3"/>
  <c r="F8660" i="3"/>
  <c r="F8659" i="3"/>
  <c r="F8658" i="3"/>
  <c r="F8657" i="3"/>
  <c r="F8656" i="3"/>
  <c r="F8655" i="3"/>
  <c r="F8654" i="3"/>
  <c r="F8653" i="3"/>
  <c r="F8652" i="3"/>
  <c r="F8651" i="3"/>
  <c r="F8650" i="3"/>
  <c r="F8649" i="3"/>
  <c r="F8648" i="3"/>
  <c r="F8647" i="3"/>
  <c r="F8646" i="3"/>
  <c r="F8645" i="3"/>
  <c r="F8644" i="3"/>
  <c r="F8643" i="3"/>
  <c r="F8642" i="3"/>
  <c r="F8641" i="3"/>
  <c r="F8640" i="3"/>
  <c r="F8639" i="3"/>
  <c r="F8638" i="3"/>
  <c r="F8637" i="3"/>
  <c r="F8636" i="3"/>
  <c r="F8635" i="3"/>
  <c r="F8634" i="3"/>
  <c r="F8633" i="3"/>
  <c r="F8632" i="3"/>
  <c r="F8631" i="3"/>
  <c r="F8630" i="3"/>
  <c r="F8629" i="3"/>
  <c r="F8628" i="3"/>
  <c r="F8627" i="3"/>
  <c r="F8626" i="3"/>
  <c r="F8625" i="3"/>
  <c r="F8624" i="3"/>
  <c r="F8623" i="3"/>
  <c r="F8622" i="3"/>
  <c r="F8621" i="3"/>
  <c r="F8620" i="3"/>
  <c r="F8619" i="3"/>
  <c r="F8618" i="3"/>
  <c r="F8617" i="3"/>
  <c r="F8616" i="3"/>
  <c r="F8615" i="3"/>
  <c r="F8614" i="3"/>
  <c r="F8613" i="3"/>
  <c r="F8612" i="3"/>
  <c r="F8611" i="3"/>
  <c r="F8610" i="3"/>
  <c r="F8609" i="3"/>
  <c r="F8608" i="3"/>
  <c r="F8607" i="3"/>
  <c r="F8606" i="3"/>
  <c r="F8605" i="3"/>
  <c r="F8604" i="3"/>
  <c r="F8603" i="3"/>
  <c r="F8602" i="3"/>
  <c r="F8601" i="3"/>
  <c r="F8600" i="3"/>
  <c r="F8599" i="3"/>
  <c r="F8598" i="3"/>
  <c r="F8597" i="3"/>
  <c r="F8596" i="3"/>
  <c r="F8595" i="3"/>
  <c r="F8594" i="3"/>
  <c r="F8593" i="3"/>
  <c r="F8592" i="3"/>
  <c r="F8591" i="3"/>
  <c r="F8590" i="3"/>
  <c r="F8589" i="3"/>
  <c r="F8588" i="3"/>
  <c r="F8587" i="3"/>
  <c r="F8586" i="3"/>
  <c r="F8585" i="3"/>
  <c r="F8584" i="3"/>
  <c r="F8583" i="3"/>
  <c r="F8582" i="3"/>
  <c r="F8581" i="3"/>
  <c r="F8580" i="3"/>
  <c r="F8579" i="3"/>
  <c r="F8578" i="3"/>
  <c r="F8577" i="3"/>
  <c r="F8576" i="3"/>
  <c r="F8575" i="3"/>
  <c r="F8574" i="3"/>
  <c r="F8573" i="3"/>
  <c r="F8572" i="3"/>
  <c r="F8571" i="3"/>
  <c r="F8570" i="3"/>
  <c r="F8569" i="3"/>
  <c r="F8568" i="3"/>
  <c r="F8567" i="3"/>
  <c r="F8566" i="3"/>
  <c r="F8565" i="3"/>
  <c r="F8564" i="3"/>
  <c r="F8563" i="3"/>
  <c r="F8562" i="3"/>
  <c r="F8561" i="3"/>
  <c r="F8560" i="3"/>
  <c r="F8559" i="3"/>
  <c r="F8558" i="3"/>
  <c r="F8557" i="3"/>
  <c r="F8556" i="3"/>
  <c r="F8555" i="3"/>
  <c r="F8554" i="3"/>
  <c r="F8553" i="3"/>
  <c r="F8552" i="3"/>
  <c r="F8551" i="3"/>
  <c r="F8550" i="3"/>
  <c r="F8549" i="3"/>
  <c r="F8548" i="3"/>
  <c r="F8547" i="3"/>
  <c r="F8546" i="3"/>
  <c r="F8545" i="3"/>
  <c r="F8544" i="3"/>
  <c r="F8543" i="3"/>
  <c r="F8542" i="3"/>
  <c r="F8541" i="3"/>
  <c r="F8540" i="3"/>
  <c r="F8539" i="3"/>
  <c r="F8538" i="3"/>
  <c r="F8537" i="3"/>
  <c r="F8536" i="3"/>
  <c r="F8535" i="3"/>
  <c r="F8534" i="3"/>
  <c r="F8533" i="3"/>
  <c r="F8532" i="3"/>
  <c r="F8531" i="3"/>
  <c r="F8530" i="3"/>
  <c r="F8529" i="3"/>
  <c r="F8528" i="3"/>
  <c r="F8527" i="3"/>
  <c r="F8526" i="3"/>
  <c r="F8525" i="3"/>
  <c r="F8524" i="3"/>
  <c r="F8523" i="3"/>
  <c r="F8522" i="3"/>
  <c r="F8521" i="3"/>
  <c r="F8520" i="3"/>
  <c r="F8519" i="3"/>
  <c r="F8518" i="3"/>
  <c r="F8517" i="3"/>
  <c r="F8516" i="3"/>
  <c r="F8515" i="3"/>
  <c r="F8514" i="3"/>
  <c r="F8513" i="3"/>
  <c r="F8512" i="3"/>
  <c r="F8511" i="3"/>
  <c r="F8510" i="3"/>
  <c r="F8509" i="3"/>
  <c r="F8508" i="3"/>
  <c r="F8507" i="3"/>
  <c r="F8506" i="3"/>
  <c r="F8505" i="3"/>
  <c r="F8504" i="3"/>
  <c r="F8503" i="3"/>
  <c r="F8502" i="3"/>
  <c r="F8501" i="3"/>
  <c r="F8500" i="3"/>
  <c r="F8499" i="3"/>
  <c r="F8498" i="3"/>
  <c r="F8497" i="3"/>
  <c r="F8496" i="3"/>
  <c r="F8495" i="3"/>
  <c r="F8494" i="3"/>
  <c r="F8493" i="3"/>
  <c r="F8492" i="3"/>
  <c r="F8491" i="3"/>
  <c r="F8490" i="3"/>
  <c r="F8489" i="3"/>
  <c r="F8488" i="3"/>
  <c r="F8487" i="3"/>
  <c r="F8486" i="3"/>
  <c r="F8485" i="3"/>
  <c r="F8484" i="3"/>
  <c r="F8483" i="3"/>
  <c r="F8482" i="3"/>
  <c r="F8481" i="3"/>
  <c r="F8480" i="3"/>
  <c r="F8479" i="3"/>
  <c r="F8478" i="3"/>
  <c r="F8477" i="3"/>
  <c r="F8476" i="3"/>
  <c r="F8475" i="3"/>
  <c r="F8474" i="3"/>
  <c r="F8473" i="3"/>
  <c r="F8472" i="3"/>
  <c r="F8471" i="3"/>
  <c r="F8470" i="3"/>
  <c r="F8469" i="3"/>
  <c r="F8468" i="3"/>
  <c r="F8467" i="3"/>
  <c r="F8466" i="3"/>
  <c r="F8465" i="3"/>
  <c r="F8464" i="3"/>
  <c r="F8463" i="3"/>
  <c r="F8462" i="3"/>
  <c r="F8461" i="3"/>
  <c r="F8460" i="3"/>
  <c r="F8459" i="3"/>
  <c r="F8458" i="3"/>
  <c r="F8457" i="3"/>
  <c r="F8456" i="3"/>
  <c r="F8455" i="3"/>
  <c r="F8454" i="3"/>
  <c r="F8453" i="3"/>
  <c r="F8452" i="3"/>
  <c r="F8451" i="3"/>
  <c r="F8450" i="3"/>
  <c r="F8449" i="3"/>
  <c r="F8448" i="3"/>
  <c r="F8447" i="3"/>
  <c r="F8446" i="3"/>
  <c r="F8445" i="3"/>
  <c r="F8444" i="3"/>
  <c r="F8443" i="3"/>
  <c r="F8442" i="3"/>
  <c r="F8441" i="3"/>
  <c r="F8440" i="3"/>
  <c r="F8439" i="3"/>
  <c r="F8438" i="3"/>
  <c r="F8437" i="3"/>
  <c r="F8436" i="3"/>
  <c r="F8435" i="3"/>
  <c r="F8434" i="3"/>
  <c r="F8433" i="3"/>
  <c r="F8432" i="3"/>
  <c r="F8431" i="3"/>
  <c r="F8430" i="3"/>
  <c r="F8429" i="3"/>
  <c r="F8428" i="3"/>
  <c r="F8427" i="3"/>
  <c r="F8426" i="3"/>
  <c r="F8425" i="3"/>
  <c r="F8424" i="3"/>
  <c r="F8423" i="3"/>
  <c r="F8422" i="3"/>
  <c r="F8421" i="3"/>
  <c r="F8420" i="3"/>
  <c r="F8419" i="3"/>
  <c r="F8418" i="3"/>
  <c r="F8417" i="3"/>
  <c r="F8416" i="3"/>
  <c r="F8415" i="3"/>
  <c r="F8414" i="3"/>
  <c r="F8413" i="3"/>
  <c r="F8412" i="3"/>
  <c r="F8411" i="3"/>
  <c r="F8410" i="3"/>
  <c r="F8409" i="3"/>
  <c r="F8408" i="3"/>
  <c r="F8407" i="3"/>
  <c r="F8406" i="3"/>
  <c r="F8405" i="3"/>
  <c r="F8404" i="3"/>
  <c r="F8403" i="3"/>
  <c r="F8402" i="3"/>
  <c r="F8401" i="3"/>
  <c r="F8400" i="3"/>
  <c r="F8399" i="3"/>
  <c r="F8398" i="3"/>
  <c r="F8397" i="3"/>
  <c r="F8396" i="3"/>
  <c r="F8395" i="3"/>
  <c r="F8394" i="3"/>
  <c r="F8393" i="3"/>
  <c r="F8392" i="3"/>
  <c r="F8391" i="3"/>
  <c r="F8390" i="3"/>
  <c r="F8389" i="3"/>
  <c r="F8388" i="3"/>
  <c r="F8387" i="3"/>
  <c r="F8386" i="3"/>
  <c r="F8385" i="3"/>
  <c r="F8384" i="3"/>
  <c r="F8383" i="3"/>
  <c r="F8382" i="3"/>
  <c r="F8381" i="3"/>
  <c r="F8380" i="3"/>
  <c r="F8379" i="3"/>
  <c r="F8378" i="3"/>
  <c r="F8377" i="3"/>
  <c r="F8376" i="3"/>
  <c r="F8375" i="3"/>
  <c r="F8374" i="3"/>
  <c r="F8373" i="3"/>
  <c r="F8372" i="3"/>
  <c r="F8371" i="3"/>
  <c r="F8370" i="3"/>
  <c r="F8369" i="3"/>
  <c r="F8368" i="3"/>
  <c r="F8367" i="3"/>
  <c r="F8366" i="3"/>
  <c r="F8365" i="3"/>
  <c r="F8364" i="3"/>
  <c r="F8363" i="3"/>
  <c r="F8362" i="3"/>
  <c r="F8361" i="3"/>
  <c r="F8360" i="3"/>
  <c r="F8359" i="3"/>
  <c r="F8358" i="3"/>
  <c r="F8357" i="3"/>
  <c r="F8356" i="3"/>
  <c r="F8355" i="3"/>
  <c r="F8354" i="3"/>
  <c r="F8353" i="3"/>
  <c r="F8352" i="3"/>
  <c r="F8351" i="3"/>
  <c r="F8350" i="3"/>
  <c r="F8349" i="3"/>
  <c r="F8348" i="3"/>
  <c r="F8347" i="3"/>
  <c r="F8346" i="3"/>
  <c r="F8345" i="3"/>
  <c r="F8344" i="3"/>
  <c r="F8343" i="3"/>
  <c r="F8342" i="3"/>
  <c r="F8341" i="3"/>
  <c r="F8340" i="3"/>
  <c r="F8339" i="3"/>
  <c r="F8338" i="3"/>
  <c r="F8337" i="3"/>
  <c r="F8336" i="3"/>
  <c r="F8335" i="3"/>
  <c r="F8334" i="3"/>
  <c r="F8333" i="3"/>
  <c r="F8332" i="3"/>
  <c r="F8331" i="3"/>
  <c r="F8330" i="3"/>
  <c r="F8329" i="3"/>
  <c r="F8328" i="3"/>
  <c r="F8327" i="3"/>
  <c r="F8326" i="3"/>
  <c r="F8325" i="3"/>
  <c r="F8324" i="3"/>
  <c r="F8323" i="3"/>
  <c r="F8322" i="3"/>
  <c r="F8321" i="3"/>
  <c r="F8320" i="3"/>
  <c r="F8319" i="3"/>
  <c r="F8318" i="3"/>
  <c r="F8317" i="3"/>
  <c r="F8316" i="3"/>
  <c r="F8315" i="3"/>
  <c r="F8314" i="3"/>
  <c r="F8313" i="3"/>
  <c r="F8312" i="3"/>
  <c r="F8311" i="3"/>
  <c r="F8310" i="3"/>
  <c r="F8309" i="3"/>
  <c r="F8308" i="3"/>
  <c r="F8307" i="3"/>
  <c r="F8306" i="3"/>
  <c r="F8305" i="3"/>
  <c r="F8304" i="3"/>
  <c r="F8303" i="3"/>
  <c r="F8302" i="3"/>
  <c r="F8301" i="3"/>
  <c r="F8300" i="3"/>
  <c r="F8299" i="3"/>
  <c r="F8298" i="3"/>
  <c r="F8297" i="3"/>
  <c r="F8296" i="3"/>
  <c r="F8295" i="3"/>
  <c r="F8294" i="3"/>
  <c r="F8293" i="3"/>
  <c r="F8292" i="3"/>
  <c r="F8291" i="3"/>
  <c r="F8290" i="3"/>
  <c r="F8289" i="3"/>
  <c r="F8288" i="3"/>
  <c r="F8287" i="3"/>
  <c r="F8286" i="3"/>
  <c r="F8285" i="3"/>
  <c r="F8284" i="3"/>
  <c r="F8283" i="3"/>
  <c r="F8282" i="3"/>
  <c r="F8281" i="3"/>
  <c r="F8280" i="3"/>
  <c r="F8279" i="3"/>
  <c r="F8278" i="3"/>
  <c r="F8277" i="3"/>
  <c r="F8276" i="3"/>
  <c r="F8275" i="3"/>
  <c r="F8274" i="3"/>
  <c r="F8273" i="3"/>
  <c r="F8272" i="3"/>
  <c r="F8271" i="3"/>
  <c r="F8270" i="3"/>
  <c r="F8269" i="3"/>
  <c r="F8268" i="3"/>
  <c r="F8267" i="3"/>
  <c r="F8266" i="3"/>
  <c r="F8265" i="3"/>
  <c r="F8264" i="3"/>
  <c r="F8263" i="3"/>
  <c r="F8262" i="3"/>
  <c r="F8261" i="3"/>
  <c r="F8260" i="3"/>
  <c r="F8259" i="3"/>
  <c r="F8258" i="3"/>
  <c r="F8257" i="3"/>
  <c r="F8256" i="3"/>
  <c r="F8255" i="3"/>
  <c r="F8254" i="3"/>
  <c r="F8253" i="3"/>
  <c r="F8252" i="3"/>
  <c r="F8251" i="3"/>
  <c r="F8250" i="3"/>
  <c r="F8249" i="3"/>
  <c r="F8248" i="3"/>
  <c r="F8247" i="3"/>
  <c r="F8246" i="3"/>
  <c r="F8245" i="3"/>
  <c r="F8244" i="3"/>
  <c r="F8243" i="3"/>
  <c r="F8242" i="3"/>
  <c r="F8241" i="3"/>
  <c r="F8240" i="3"/>
  <c r="F8239" i="3"/>
  <c r="F8238" i="3"/>
  <c r="F8237" i="3"/>
  <c r="F8236" i="3"/>
  <c r="F8235" i="3"/>
  <c r="F8234" i="3"/>
  <c r="F8233" i="3"/>
  <c r="F8232" i="3"/>
  <c r="F8231" i="3"/>
  <c r="F8230" i="3"/>
  <c r="F8229" i="3"/>
  <c r="F8228" i="3"/>
  <c r="F8227" i="3"/>
  <c r="F8226" i="3"/>
  <c r="F8225" i="3"/>
  <c r="F8224" i="3"/>
  <c r="F8223" i="3"/>
  <c r="F8222" i="3"/>
  <c r="F8221" i="3"/>
  <c r="F8220" i="3"/>
  <c r="F8219" i="3"/>
  <c r="F8218" i="3"/>
  <c r="F8217" i="3"/>
  <c r="F8216" i="3"/>
  <c r="F8215" i="3"/>
  <c r="F8214" i="3"/>
  <c r="F8213" i="3"/>
  <c r="F8212" i="3"/>
  <c r="F8211" i="3"/>
  <c r="F8210" i="3"/>
  <c r="F8209" i="3"/>
  <c r="F8208" i="3"/>
  <c r="F8207" i="3"/>
  <c r="F8206" i="3"/>
  <c r="F8205" i="3"/>
  <c r="F8204" i="3"/>
  <c r="F8203" i="3"/>
  <c r="F8202" i="3"/>
  <c r="F8201" i="3"/>
  <c r="F8200" i="3"/>
  <c r="F8199" i="3"/>
  <c r="F8198" i="3"/>
  <c r="F8197" i="3"/>
  <c r="F8196" i="3"/>
  <c r="F8195" i="3"/>
  <c r="F8194" i="3"/>
  <c r="F8193" i="3"/>
  <c r="F8192" i="3"/>
  <c r="F8191" i="3"/>
  <c r="F8190" i="3"/>
  <c r="F8189" i="3"/>
  <c r="F8188" i="3"/>
  <c r="F8187" i="3"/>
  <c r="F8186" i="3"/>
  <c r="F8185" i="3"/>
  <c r="F8184" i="3"/>
  <c r="F8183" i="3"/>
  <c r="F8182" i="3"/>
  <c r="F8181" i="3"/>
  <c r="F8180" i="3"/>
  <c r="F8179" i="3"/>
  <c r="F8178" i="3"/>
  <c r="F8177" i="3"/>
  <c r="F8176" i="3"/>
  <c r="F8175" i="3"/>
  <c r="F8174" i="3"/>
  <c r="F8173" i="3"/>
  <c r="F8172" i="3"/>
  <c r="F8171" i="3"/>
  <c r="F8170" i="3"/>
  <c r="F8169" i="3"/>
  <c r="F8168" i="3"/>
  <c r="F8167" i="3"/>
  <c r="F8166" i="3"/>
  <c r="F8165" i="3"/>
  <c r="F8164" i="3"/>
  <c r="F8163" i="3"/>
  <c r="F8162" i="3"/>
  <c r="F8161" i="3"/>
  <c r="F8160" i="3"/>
  <c r="F8159" i="3"/>
  <c r="F8158" i="3"/>
  <c r="F8157" i="3"/>
  <c r="F8156" i="3"/>
  <c r="F8155" i="3"/>
  <c r="F8154" i="3"/>
  <c r="F8153" i="3"/>
  <c r="F8152" i="3"/>
  <c r="F8151" i="3"/>
  <c r="F8150" i="3"/>
  <c r="F8149" i="3"/>
  <c r="F8148" i="3"/>
  <c r="F8147" i="3"/>
  <c r="F8146" i="3"/>
  <c r="F8145" i="3"/>
  <c r="F8144" i="3"/>
  <c r="F8143" i="3"/>
  <c r="F8142" i="3"/>
  <c r="F8141" i="3"/>
  <c r="F8140" i="3"/>
  <c r="F8139" i="3"/>
  <c r="F8138" i="3"/>
  <c r="F8137" i="3"/>
  <c r="F8136" i="3"/>
  <c r="F8135" i="3"/>
  <c r="F8134" i="3"/>
  <c r="F8133" i="3"/>
  <c r="F8132" i="3"/>
  <c r="F8131" i="3"/>
  <c r="F8130" i="3"/>
  <c r="F8129" i="3"/>
  <c r="F8128" i="3"/>
  <c r="F8127" i="3"/>
  <c r="F8126" i="3"/>
  <c r="F8125" i="3"/>
  <c r="F8124" i="3"/>
  <c r="F8123" i="3"/>
  <c r="F8122" i="3"/>
  <c r="F8121" i="3"/>
  <c r="F8120" i="3"/>
  <c r="F8119" i="3"/>
  <c r="F8118" i="3"/>
  <c r="F8117" i="3"/>
  <c r="F8116" i="3"/>
  <c r="F8115" i="3"/>
  <c r="F8114" i="3"/>
  <c r="F8113" i="3"/>
  <c r="F8112" i="3"/>
  <c r="F8111" i="3"/>
  <c r="F8110" i="3"/>
  <c r="F8109" i="3"/>
  <c r="F8108" i="3"/>
  <c r="F8107" i="3"/>
  <c r="F8106" i="3"/>
  <c r="F8105" i="3"/>
  <c r="F8104" i="3"/>
  <c r="F8103" i="3"/>
  <c r="F8102" i="3"/>
  <c r="F8101" i="3"/>
  <c r="F8100" i="3"/>
  <c r="F8099" i="3"/>
  <c r="F8098" i="3"/>
  <c r="F8097" i="3"/>
  <c r="F8096" i="3"/>
  <c r="F8095" i="3"/>
  <c r="F8094" i="3"/>
  <c r="F8093" i="3"/>
  <c r="F8092" i="3"/>
  <c r="F8091" i="3"/>
  <c r="F8090" i="3"/>
  <c r="F8089" i="3"/>
  <c r="F8088" i="3"/>
  <c r="F8087" i="3"/>
  <c r="F8086" i="3"/>
  <c r="F8085" i="3"/>
  <c r="F8084" i="3"/>
  <c r="F8083" i="3"/>
  <c r="F8082" i="3"/>
  <c r="F8081" i="3"/>
  <c r="F8080" i="3"/>
  <c r="F8079" i="3"/>
  <c r="F8078" i="3"/>
  <c r="F8077" i="3"/>
  <c r="F8076" i="3"/>
  <c r="F8075" i="3"/>
  <c r="F8074" i="3"/>
  <c r="F8073" i="3"/>
  <c r="F8072" i="3"/>
  <c r="F8071" i="3"/>
  <c r="F8070" i="3"/>
  <c r="F8069" i="3"/>
  <c r="F8068" i="3"/>
  <c r="F8067" i="3"/>
  <c r="F8066" i="3"/>
  <c r="F8065" i="3"/>
  <c r="F8064" i="3"/>
  <c r="F8063" i="3"/>
  <c r="F8062" i="3"/>
  <c r="F8061" i="3"/>
  <c r="F8060" i="3"/>
  <c r="F8059" i="3"/>
  <c r="F8058" i="3"/>
  <c r="F8057" i="3"/>
  <c r="F8056" i="3"/>
  <c r="F8055" i="3"/>
  <c r="F8054" i="3"/>
  <c r="F8053" i="3"/>
  <c r="F8052" i="3"/>
  <c r="F8051" i="3"/>
  <c r="F8050" i="3"/>
  <c r="F8049" i="3"/>
  <c r="F8048" i="3"/>
  <c r="F8047" i="3"/>
  <c r="F8046" i="3"/>
  <c r="F8045" i="3"/>
  <c r="F8044" i="3"/>
  <c r="F8043" i="3"/>
  <c r="F8042" i="3"/>
  <c r="F8041" i="3"/>
  <c r="F8040" i="3"/>
  <c r="F8039" i="3"/>
  <c r="F8038" i="3"/>
  <c r="F8037" i="3"/>
  <c r="F8036" i="3"/>
  <c r="F8035" i="3"/>
  <c r="F8034" i="3"/>
  <c r="F8033" i="3"/>
  <c r="F8032" i="3"/>
  <c r="F8031" i="3"/>
  <c r="F8030" i="3"/>
  <c r="F8029" i="3"/>
  <c r="F8028" i="3"/>
  <c r="F8027" i="3"/>
  <c r="F8026" i="3"/>
  <c r="F8025" i="3"/>
  <c r="F8024" i="3"/>
  <c r="F8023" i="3"/>
  <c r="F8022" i="3"/>
  <c r="F8021" i="3"/>
  <c r="F8020" i="3"/>
  <c r="F8019" i="3"/>
  <c r="F8018" i="3"/>
  <c r="F8017" i="3"/>
  <c r="F8016" i="3"/>
  <c r="F8015" i="3"/>
  <c r="F8014" i="3"/>
  <c r="F8013" i="3"/>
  <c r="F8012" i="3"/>
  <c r="F8011" i="3"/>
  <c r="F8010" i="3"/>
  <c r="F8009" i="3"/>
  <c r="F8008" i="3"/>
  <c r="F8007" i="3"/>
  <c r="F8006" i="3"/>
  <c r="F8005" i="3"/>
  <c r="F8004" i="3"/>
  <c r="F8003" i="3"/>
  <c r="F8002" i="3"/>
  <c r="F8001" i="3"/>
  <c r="F8000" i="3"/>
  <c r="F7999" i="3"/>
  <c r="F7998" i="3"/>
  <c r="F7997" i="3"/>
  <c r="F7996" i="3"/>
  <c r="F7995" i="3"/>
  <c r="F7994" i="3"/>
  <c r="F7993" i="3"/>
  <c r="F7992" i="3"/>
  <c r="F7991" i="3"/>
  <c r="F7990" i="3"/>
  <c r="F7989" i="3"/>
  <c r="F7988" i="3"/>
  <c r="F7987" i="3"/>
  <c r="F7986" i="3"/>
  <c r="F7985" i="3"/>
  <c r="F7984" i="3"/>
  <c r="F7983" i="3"/>
  <c r="F7982" i="3"/>
  <c r="F7981" i="3"/>
  <c r="F7980" i="3"/>
  <c r="F7979" i="3"/>
  <c r="F7978" i="3"/>
  <c r="F7977" i="3"/>
  <c r="F7976" i="3"/>
  <c r="F7975" i="3"/>
  <c r="F7974" i="3"/>
  <c r="F7973" i="3"/>
  <c r="F7972" i="3"/>
  <c r="F7971" i="3"/>
  <c r="F7970" i="3"/>
  <c r="F7969" i="3"/>
  <c r="F7968" i="3"/>
  <c r="F7967" i="3"/>
  <c r="F7966" i="3"/>
  <c r="F7965" i="3"/>
  <c r="F7964" i="3"/>
  <c r="F7963" i="3"/>
  <c r="F7962" i="3"/>
  <c r="F7961" i="3"/>
  <c r="F7960" i="3"/>
  <c r="F7959" i="3"/>
  <c r="F7958" i="3"/>
  <c r="F7957" i="3"/>
  <c r="F7956" i="3"/>
  <c r="F7955" i="3"/>
  <c r="F7954" i="3"/>
  <c r="F7953" i="3"/>
  <c r="F7952" i="3"/>
  <c r="F7951" i="3"/>
  <c r="F7950" i="3"/>
  <c r="F7949" i="3"/>
  <c r="F7948" i="3"/>
  <c r="F7947" i="3"/>
  <c r="F7946" i="3"/>
  <c r="F7945" i="3"/>
  <c r="F7944" i="3"/>
  <c r="F7943" i="3"/>
  <c r="F7942" i="3"/>
  <c r="F7941" i="3"/>
  <c r="F7940" i="3"/>
  <c r="F7939" i="3"/>
  <c r="F7938" i="3"/>
  <c r="F7937" i="3"/>
  <c r="F7936" i="3"/>
  <c r="F7935" i="3"/>
  <c r="F7934" i="3"/>
  <c r="F7933" i="3"/>
  <c r="F7932" i="3"/>
  <c r="F7931" i="3"/>
  <c r="F7930" i="3"/>
  <c r="F7929" i="3"/>
  <c r="F7928" i="3"/>
  <c r="F7927" i="3"/>
  <c r="F7926" i="3"/>
  <c r="F7925" i="3"/>
  <c r="F7924" i="3"/>
  <c r="F7923" i="3"/>
  <c r="F7922" i="3"/>
  <c r="F7921" i="3"/>
  <c r="F7920" i="3"/>
  <c r="F7919" i="3"/>
  <c r="F7918" i="3"/>
  <c r="F7917" i="3"/>
  <c r="F7916" i="3"/>
  <c r="F7915" i="3"/>
  <c r="F7914" i="3"/>
  <c r="F7913" i="3"/>
  <c r="F7912" i="3"/>
  <c r="F7911" i="3"/>
  <c r="F7910" i="3"/>
  <c r="F7909" i="3"/>
  <c r="F7908" i="3"/>
  <c r="F7907" i="3"/>
  <c r="F7906" i="3"/>
  <c r="F7905" i="3"/>
  <c r="F7904" i="3"/>
  <c r="F7903" i="3"/>
  <c r="F7902" i="3"/>
  <c r="F7901" i="3"/>
  <c r="F7900" i="3"/>
  <c r="F7899" i="3"/>
  <c r="F7898" i="3"/>
  <c r="F7897" i="3"/>
  <c r="F7896" i="3"/>
  <c r="F7895" i="3"/>
  <c r="F7894" i="3"/>
  <c r="F7893" i="3"/>
  <c r="F7892" i="3"/>
  <c r="F7891" i="3"/>
  <c r="F7890" i="3"/>
  <c r="F7889" i="3"/>
  <c r="F7888" i="3"/>
  <c r="F7887" i="3"/>
  <c r="F7886" i="3"/>
  <c r="F7885" i="3"/>
  <c r="F7884" i="3"/>
  <c r="F7883" i="3"/>
  <c r="F7882" i="3"/>
  <c r="F7881" i="3"/>
  <c r="F7880" i="3"/>
  <c r="F7879" i="3"/>
  <c r="F7878" i="3"/>
  <c r="F7877" i="3"/>
  <c r="F7876" i="3"/>
  <c r="F7875" i="3"/>
  <c r="F7874" i="3"/>
  <c r="F7873" i="3"/>
  <c r="F7872" i="3"/>
  <c r="F7871" i="3"/>
  <c r="F7870" i="3"/>
  <c r="F7869" i="3"/>
  <c r="F7868" i="3"/>
  <c r="F7867" i="3"/>
  <c r="F7866" i="3"/>
  <c r="F7865" i="3"/>
  <c r="F7864" i="3"/>
  <c r="F7863" i="3"/>
  <c r="F7862" i="3"/>
  <c r="F7861" i="3"/>
  <c r="F7860" i="3"/>
  <c r="F7859" i="3"/>
  <c r="F7858" i="3"/>
  <c r="F7857" i="3"/>
  <c r="F7856" i="3"/>
  <c r="F7855" i="3"/>
  <c r="F7854" i="3"/>
  <c r="F7853" i="3"/>
  <c r="F7852" i="3"/>
  <c r="F7851" i="3"/>
  <c r="F7850" i="3"/>
  <c r="F7849" i="3"/>
  <c r="F7848" i="3"/>
  <c r="F7847" i="3"/>
  <c r="F7846" i="3"/>
  <c r="F7845" i="3"/>
  <c r="F7844" i="3"/>
  <c r="F7843" i="3"/>
  <c r="F7842" i="3"/>
  <c r="F7841" i="3"/>
  <c r="F7840" i="3"/>
  <c r="F7839" i="3"/>
  <c r="F7838" i="3"/>
  <c r="F7837" i="3"/>
  <c r="F7836" i="3"/>
  <c r="F7835" i="3"/>
  <c r="F7834" i="3"/>
  <c r="F7833" i="3"/>
  <c r="F7832" i="3"/>
  <c r="F7831" i="3"/>
  <c r="F7830" i="3"/>
  <c r="F7829" i="3"/>
  <c r="F7828" i="3"/>
  <c r="F7827" i="3"/>
  <c r="F7826" i="3"/>
  <c r="F7825" i="3"/>
  <c r="F7824" i="3"/>
  <c r="F7823" i="3"/>
  <c r="F7822" i="3"/>
  <c r="F7821" i="3"/>
  <c r="F7820" i="3"/>
  <c r="F7819" i="3"/>
  <c r="F7818" i="3"/>
  <c r="F7817" i="3"/>
  <c r="F7816" i="3"/>
  <c r="F7815" i="3"/>
  <c r="F7814" i="3"/>
  <c r="F7813" i="3"/>
  <c r="F7812" i="3"/>
  <c r="F7811" i="3"/>
  <c r="F7810" i="3"/>
  <c r="F7809" i="3"/>
  <c r="F7808" i="3"/>
  <c r="F7807" i="3"/>
  <c r="F7806" i="3"/>
  <c r="F7805" i="3"/>
  <c r="F7804" i="3"/>
  <c r="F7803" i="3"/>
  <c r="F7802" i="3"/>
  <c r="F7801" i="3"/>
  <c r="F7800" i="3"/>
  <c r="F7799" i="3"/>
  <c r="F7798" i="3"/>
  <c r="F7797" i="3"/>
  <c r="F7796" i="3"/>
  <c r="F7795" i="3"/>
  <c r="F7794" i="3"/>
  <c r="F7793" i="3"/>
  <c r="F7792" i="3"/>
  <c r="F7791" i="3"/>
  <c r="F7790" i="3"/>
  <c r="F7789" i="3"/>
  <c r="F7788" i="3"/>
  <c r="F7787" i="3"/>
  <c r="F7786" i="3"/>
  <c r="F7785" i="3"/>
  <c r="F7784" i="3"/>
  <c r="F7783" i="3"/>
  <c r="F7782" i="3"/>
  <c r="F7781" i="3"/>
  <c r="F7780" i="3"/>
  <c r="F7779" i="3"/>
  <c r="F7778" i="3"/>
  <c r="F7777" i="3"/>
  <c r="F7776" i="3"/>
  <c r="F7775" i="3"/>
  <c r="F7774" i="3"/>
  <c r="F7773" i="3"/>
  <c r="F7772" i="3"/>
  <c r="F7771" i="3"/>
  <c r="F7770" i="3"/>
  <c r="F7769" i="3"/>
  <c r="F7768" i="3"/>
  <c r="F7767" i="3"/>
  <c r="F7766" i="3"/>
  <c r="F7765" i="3"/>
  <c r="F7764" i="3"/>
  <c r="F7763" i="3"/>
  <c r="F7762" i="3"/>
  <c r="F7761" i="3"/>
  <c r="F7760" i="3"/>
  <c r="F7759" i="3"/>
  <c r="F7758" i="3"/>
  <c r="F7757" i="3"/>
  <c r="F7756" i="3"/>
  <c r="F7755" i="3"/>
  <c r="F7754" i="3"/>
  <c r="F7753" i="3"/>
  <c r="F7752" i="3"/>
  <c r="F7751" i="3"/>
  <c r="F7750" i="3"/>
  <c r="F7749" i="3"/>
  <c r="F7748" i="3"/>
  <c r="F7747" i="3"/>
  <c r="F7746" i="3"/>
  <c r="F7745" i="3"/>
  <c r="F7744" i="3"/>
  <c r="F7743" i="3"/>
  <c r="F7742" i="3"/>
  <c r="F7741" i="3"/>
  <c r="F7740" i="3"/>
  <c r="F7739" i="3"/>
  <c r="F7738" i="3"/>
  <c r="F7737" i="3"/>
  <c r="F7736" i="3"/>
  <c r="F7735" i="3"/>
  <c r="F7734" i="3"/>
  <c r="F7733" i="3"/>
  <c r="F7732" i="3"/>
  <c r="F7731" i="3"/>
  <c r="F7730" i="3"/>
  <c r="F7729" i="3"/>
  <c r="F7728" i="3"/>
  <c r="F7727" i="3"/>
  <c r="F7726" i="3"/>
  <c r="F7725" i="3"/>
  <c r="F7724" i="3"/>
  <c r="F7723" i="3"/>
  <c r="F7722" i="3"/>
  <c r="F7721" i="3"/>
  <c r="F7720" i="3"/>
  <c r="F7719" i="3"/>
  <c r="F7718" i="3"/>
  <c r="F7717" i="3"/>
  <c r="F7716" i="3"/>
  <c r="F7715" i="3"/>
  <c r="F7714" i="3"/>
  <c r="F7713" i="3"/>
  <c r="F7712" i="3"/>
  <c r="F7711" i="3"/>
  <c r="F7710" i="3"/>
  <c r="F7709" i="3"/>
  <c r="F7708" i="3"/>
  <c r="F7707" i="3"/>
  <c r="F7706" i="3"/>
  <c r="F7705" i="3"/>
  <c r="F7704" i="3"/>
  <c r="F7703" i="3"/>
  <c r="F7702" i="3"/>
  <c r="F7701" i="3"/>
  <c r="F7700" i="3"/>
  <c r="F7699" i="3"/>
  <c r="F7698" i="3"/>
  <c r="F7697" i="3"/>
  <c r="F7696" i="3"/>
  <c r="F7695" i="3"/>
  <c r="F7694" i="3"/>
  <c r="F7693" i="3"/>
  <c r="F7692" i="3"/>
  <c r="F7691" i="3"/>
  <c r="F7690" i="3"/>
  <c r="F7689" i="3"/>
  <c r="F7688" i="3"/>
  <c r="F7687" i="3"/>
  <c r="F7686" i="3"/>
  <c r="F7685" i="3"/>
  <c r="F7684" i="3"/>
  <c r="F7683" i="3"/>
  <c r="F7682" i="3"/>
  <c r="F7681" i="3"/>
  <c r="F7680" i="3"/>
  <c r="F7679" i="3"/>
  <c r="F7678" i="3"/>
  <c r="F7677" i="3"/>
  <c r="F7676" i="3"/>
  <c r="F7675" i="3"/>
  <c r="F7674" i="3"/>
  <c r="F7673" i="3"/>
  <c r="F7672" i="3"/>
  <c r="F7671" i="3"/>
  <c r="F7670" i="3"/>
  <c r="F7669" i="3"/>
  <c r="F7668" i="3"/>
  <c r="F7667" i="3"/>
  <c r="F7666" i="3"/>
  <c r="F7665" i="3"/>
  <c r="F7664" i="3"/>
  <c r="F7663" i="3"/>
  <c r="F7662" i="3"/>
  <c r="F7661" i="3"/>
  <c r="F7660" i="3"/>
  <c r="F7659" i="3"/>
  <c r="F7658" i="3"/>
  <c r="F7657" i="3"/>
  <c r="F7656" i="3"/>
  <c r="F7655" i="3"/>
  <c r="F7654" i="3"/>
  <c r="F7653" i="3"/>
  <c r="F7652" i="3"/>
  <c r="F7651" i="3"/>
  <c r="F7650" i="3"/>
  <c r="F7649" i="3"/>
  <c r="F7648" i="3"/>
  <c r="F7647" i="3"/>
  <c r="F7646" i="3"/>
  <c r="F7645" i="3"/>
  <c r="F7644" i="3"/>
  <c r="F7643" i="3"/>
  <c r="F7642" i="3"/>
  <c r="F7641" i="3"/>
  <c r="F7640" i="3"/>
  <c r="F7639" i="3"/>
  <c r="F7638" i="3"/>
  <c r="F7637" i="3"/>
  <c r="F7636" i="3"/>
  <c r="F7635" i="3"/>
  <c r="F7634" i="3"/>
  <c r="F7633" i="3"/>
  <c r="F7632" i="3"/>
  <c r="F7631" i="3"/>
  <c r="F7630" i="3"/>
  <c r="F7629" i="3"/>
  <c r="F7628" i="3"/>
  <c r="F7627" i="3"/>
  <c r="F7626" i="3"/>
  <c r="F7625" i="3"/>
  <c r="F7624" i="3"/>
  <c r="F7623" i="3"/>
  <c r="F7622" i="3"/>
  <c r="F7621" i="3"/>
  <c r="F7620" i="3"/>
  <c r="F7619" i="3"/>
  <c r="F7618" i="3"/>
  <c r="F7617" i="3"/>
  <c r="F7616" i="3"/>
  <c r="F7615" i="3"/>
  <c r="F7614" i="3"/>
  <c r="F7613" i="3"/>
  <c r="F7612" i="3"/>
  <c r="F7611" i="3"/>
  <c r="F7610" i="3"/>
  <c r="F7609" i="3"/>
  <c r="F7608" i="3"/>
  <c r="F7607" i="3"/>
  <c r="F7606" i="3"/>
  <c r="F7605" i="3"/>
  <c r="F7604" i="3"/>
  <c r="F7603" i="3"/>
  <c r="F7602" i="3"/>
  <c r="F7601" i="3"/>
  <c r="F7600" i="3"/>
  <c r="F7599" i="3"/>
  <c r="F7598" i="3"/>
  <c r="F7597" i="3"/>
  <c r="F7596" i="3"/>
  <c r="F7595" i="3"/>
  <c r="F7594" i="3"/>
  <c r="F7593" i="3"/>
  <c r="F7592" i="3"/>
  <c r="F7591" i="3"/>
  <c r="F7590" i="3"/>
  <c r="F7589" i="3"/>
  <c r="F7588" i="3"/>
  <c r="F7587" i="3"/>
  <c r="F7586" i="3"/>
  <c r="F7585" i="3"/>
  <c r="F7584" i="3"/>
  <c r="F7583" i="3"/>
  <c r="F7582" i="3"/>
  <c r="F7581" i="3"/>
  <c r="F7580" i="3"/>
  <c r="F7579" i="3"/>
  <c r="F7578" i="3"/>
  <c r="F7577" i="3"/>
  <c r="F7576" i="3"/>
  <c r="F7575" i="3"/>
  <c r="F7574" i="3"/>
  <c r="F7573" i="3"/>
  <c r="F7572" i="3"/>
  <c r="F7571" i="3"/>
  <c r="F7570" i="3"/>
  <c r="F7569" i="3"/>
  <c r="F7568" i="3"/>
  <c r="F7567" i="3"/>
  <c r="F7566" i="3"/>
  <c r="F7565" i="3"/>
  <c r="F7564" i="3"/>
  <c r="F7563" i="3"/>
  <c r="F7562" i="3"/>
  <c r="F7561" i="3"/>
  <c r="F7560" i="3"/>
  <c r="F7559" i="3"/>
  <c r="F7558" i="3"/>
  <c r="F7557" i="3"/>
  <c r="F7556" i="3"/>
  <c r="F7555" i="3"/>
  <c r="F7554" i="3"/>
  <c r="F7553" i="3"/>
  <c r="F7552" i="3"/>
  <c r="F7551" i="3"/>
  <c r="F7550" i="3"/>
  <c r="F7549" i="3"/>
  <c r="F7548" i="3"/>
  <c r="F7547" i="3"/>
  <c r="F7546" i="3"/>
  <c r="F7545" i="3"/>
  <c r="F7544" i="3"/>
  <c r="F7543" i="3"/>
  <c r="F7542" i="3"/>
  <c r="F7541" i="3"/>
  <c r="F7540" i="3"/>
  <c r="F7539" i="3"/>
  <c r="F7538" i="3"/>
  <c r="F7537" i="3"/>
  <c r="F7536" i="3"/>
  <c r="F7535" i="3"/>
  <c r="F7534" i="3"/>
  <c r="F7533" i="3"/>
  <c r="F7532" i="3"/>
  <c r="F7531" i="3"/>
  <c r="F7530" i="3"/>
  <c r="F7529" i="3"/>
  <c r="F7528" i="3"/>
  <c r="F7527" i="3"/>
  <c r="F7526" i="3"/>
  <c r="F7525" i="3"/>
  <c r="F7524" i="3"/>
  <c r="F7523" i="3"/>
  <c r="F7522" i="3"/>
  <c r="F7521" i="3"/>
  <c r="F7520" i="3"/>
  <c r="F7519" i="3"/>
  <c r="F7518" i="3"/>
  <c r="F7517" i="3"/>
  <c r="F7516" i="3"/>
  <c r="F7515" i="3"/>
  <c r="F7514" i="3"/>
  <c r="F7513" i="3"/>
  <c r="F7512" i="3"/>
  <c r="F7511" i="3"/>
  <c r="F7510" i="3"/>
  <c r="F7509" i="3"/>
  <c r="F7508" i="3"/>
  <c r="F7507" i="3"/>
  <c r="F7506" i="3"/>
  <c r="F7505" i="3"/>
  <c r="F7504" i="3"/>
  <c r="F7503" i="3"/>
  <c r="F7502" i="3"/>
  <c r="F7501" i="3"/>
  <c r="F7500" i="3"/>
  <c r="F7499" i="3"/>
  <c r="F7498" i="3"/>
  <c r="F7497" i="3"/>
  <c r="F7496" i="3"/>
  <c r="F7495" i="3"/>
  <c r="F7494" i="3"/>
  <c r="F7493" i="3"/>
  <c r="F7492" i="3"/>
  <c r="F7491" i="3"/>
  <c r="F7490" i="3"/>
  <c r="F7489" i="3"/>
  <c r="F7488" i="3"/>
  <c r="F7487" i="3"/>
  <c r="F7486" i="3"/>
  <c r="F7485" i="3"/>
  <c r="F7484" i="3"/>
  <c r="F7483" i="3"/>
  <c r="F7482" i="3"/>
  <c r="F7481" i="3"/>
  <c r="F7480" i="3"/>
  <c r="F7479" i="3"/>
  <c r="F7478" i="3"/>
  <c r="F7477" i="3"/>
  <c r="F7476" i="3"/>
  <c r="F7475" i="3"/>
  <c r="F7474" i="3"/>
  <c r="F7473" i="3"/>
  <c r="F7472" i="3"/>
  <c r="F7471" i="3"/>
  <c r="F7470" i="3"/>
  <c r="F7469" i="3"/>
  <c r="F7468" i="3"/>
  <c r="F7467" i="3"/>
  <c r="F7466" i="3"/>
  <c r="F7465" i="3"/>
  <c r="F7464" i="3"/>
  <c r="F7463" i="3"/>
  <c r="F7462" i="3"/>
  <c r="F7461" i="3"/>
  <c r="F7460" i="3"/>
  <c r="F7459" i="3"/>
  <c r="F7458" i="3"/>
  <c r="F7457" i="3"/>
  <c r="F7456" i="3"/>
  <c r="F7455" i="3"/>
  <c r="F7454" i="3"/>
  <c r="F7453" i="3"/>
  <c r="F7452" i="3"/>
  <c r="F7451" i="3"/>
  <c r="F7450" i="3"/>
  <c r="F7449" i="3"/>
  <c r="F7448" i="3"/>
  <c r="F7447" i="3"/>
  <c r="F7446" i="3"/>
  <c r="F7445" i="3"/>
  <c r="F7444" i="3"/>
  <c r="F7443" i="3"/>
  <c r="F7442" i="3"/>
  <c r="F7441" i="3"/>
  <c r="F7440" i="3"/>
  <c r="F7439" i="3"/>
  <c r="F7438" i="3"/>
  <c r="F7437" i="3"/>
  <c r="F7436" i="3"/>
  <c r="F7435" i="3"/>
  <c r="F7434" i="3"/>
  <c r="F7433" i="3"/>
  <c r="F7432" i="3"/>
  <c r="F7431" i="3"/>
  <c r="F7430" i="3"/>
  <c r="F7429" i="3"/>
  <c r="F7428" i="3"/>
  <c r="F7427" i="3"/>
  <c r="F7426" i="3"/>
  <c r="F7425" i="3"/>
  <c r="F7424" i="3"/>
  <c r="F7423" i="3"/>
  <c r="F7422" i="3"/>
  <c r="F7421" i="3"/>
  <c r="F7420" i="3"/>
  <c r="F7419" i="3"/>
  <c r="F7418" i="3"/>
  <c r="F7417" i="3"/>
  <c r="F7416" i="3"/>
  <c r="F7415" i="3"/>
  <c r="F7414" i="3"/>
  <c r="F7413" i="3"/>
  <c r="F7412" i="3"/>
  <c r="F7411" i="3"/>
  <c r="F7410" i="3"/>
  <c r="F7409" i="3"/>
  <c r="F7408" i="3"/>
  <c r="F7407" i="3"/>
  <c r="F7406" i="3"/>
  <c r="F7405" i="3"/>
  <c r="F7404" i="3"/>
  <c r="F7403" i="3"/>
  <c r="F7402" i="3"/>
  <c r="F7401" i="3"/>
  <c r="F7400" i="3"/>
  <c r="F7399" i="3"/>
  <c r="F7398" i="3"/>
  <c r="F7397" i="3"/>
  <c r="F7396" i="3"/>
  <c r="F7395" i="3"/>
  <c r="F7394" i="3"/>
  <c r="F7393" i="3"/>
  <c r="F7392" i="3"/>
  <c r="F7391" i="3"/>
  <c r="F7390" i="3"/>
  <c r="F7389" i="3"/>
  <c r="F7388" i="3"/>
  <c r="F7387" i="3"/>
  <c r="F7386" i="3"/>
  <c r="F7385" i="3"/>
  <c r="F7384" i="3"/>
  <c r="F7383" i="3"/>
  <c r="F7382" i="3"/>
  <c r="F7381" i="3"/>
  <c r="F7380" i="3"/>
  <c r="F7379" i="3"/>
  <c r="F7378" i="3"/>
  <c r="F7377" i="3"/>
  <c r="F7376" i="3"/>
  <c r="F7375" i="3"/>
  <c r="F7374" i="3"/>
  <c r="F7373" i="3"/>
  <c r="F7372" i="3"/>
  <c r="F7371" i="3"/>
  <c r="F7370" i="3"/>
  <c r="F7369" i="3"/>
  <c r="F7368" i="3"/>
  <c r="F7367" i="3"/>
  <c r="F7366" i="3"/>
  <c r="F7365" i="3"/>
  <c r="F7364" i="3"/>
  <c r="F7363" i="3"/>
  <c r="F7362" i="3"/>
  <c r="F7361" i="3"/>
  <c r="F7360" i="3"/>
  <c r="F7359" i="3"/>
  <c r="F7358" i="3"/>
  <c r="F7357" i="3"/>
  <c r="F7356" i="3"/>
  <c r="F7355" i="3"/>
  <c r="F7354" i="3"/>
  <c r="F7353" i="3"/>
  <c r="F7352" i="3"/>
  <c r="F7351" i="3"/>
  <c r="F7350" i="3"/>
  <c r="F7349" i="3"/>
  <c r="F7348" i="3"/>
  <c r="F7347" i="3"/>
  <c r="F7346" i="3"/>
  <c r="F7345" i="3"/>
  <c r="F7344" i="3"/>
  <c r="F7343" i="3"/>
  <c r="F7342" i="3"/>
  <c r="F7341" i="3"/>
  <c r="F7340" i="3"/>
  <c r="F7339" i="3"/>
  <c r="F7338" i="3"/>
  <c r="F7337" i="3"/>
  <c r="F7336" i="3"/>
  <c r="F7335" i="3"/>
  <c r="F7334" i="3"/>
  <c r="F7333" i="3"/>
  <c r="F7332" i="3"/>
  <c r="F7331" i="3"/>
  <c r="F7330" i="3"/>
  <c r="F7329" i="3"/>
  <c r="F7328" i="3"/>
  <c r="F7327" i="3"/>
  <c r="F7326" i="3"/>
  <c r="F7325" i="3"/>
  <c r="F7324" i="3"/>
  <c r="F7323" i="3"/>
  <c r="F7322" i="3"/>
  <c r="F7321" i="3"/>
  <c r="F7320" i="3"/>
  <c r="F7319" i="3"/>
  <c r="F7318" i="3"/>
  <c r="F7317" i="3"/>
  <c r="F7316" i="3"/>
  <c r="F7315" i="3"/>
  <c r="F7314" i="3"/>
  <c r="F7313" i="3"/>
  <c r="F7312" i="3"/>
  <c r="F7311" i="3"/>
  <c r="F7310" i="3"/>
  <c r="F7309" i="3"/>
  <c r="F7308" i="3"/>
  <c r="F7307" i="3"/>
  <c r="F7306" i="3"/>
  <c r="F7305" i="3"/>
  <c r="F7304" i="3"/>
  <c r="F7303" i="3"/>
  <c r="F7302" i="3"/>
  <c r="F7301" i="3"/>
  <c r="F7300" i="3"/>
  <c r="F7299" i="3"/>
  <c r="F7298" i="3"/>
  <c r="F7297" i="3"/>
  <c r="F7296" i="3"/>
  <c r="F7295" i="3"/>
  <c r="F7294" i="3"/>
  <c r="F7293" i="3"/>
  <c r="F7292" i="3"/>
  <c r="F7291" i="3"/>
  <c r="F7290" i="3"/>
  <c r="F7289" i="3"/>
  <c r="F7288" i="3"/>
  <c r="F7287" i="3"/>
  <c r="F7286" i="3"/>
  <c r="F7285" i="3"/>
  <c r="F7284" i="3"/>
  <c r="F7283" i="3"/>
  <c r="F7282" i="3"/>
  <c r="F7281" i="3"/>
  <c r="F7280" i="3"/>
  <c r="F7279" i="3"/>
  <c r="F7278" i="3"/>
  <c r="F7277" i="3"/>
  <c r="F7276" i="3"/>
  <c r="F7275" i="3"/>
  <c r="F7274" i="3"/>
  <c r="F7273" i="3"/>
  <c r="F7272" i="3"/>
  <c r="F7271" i="3"/>
  <c r="F7270" i="3"/>
  <c r="F7269" i="3"/>
  <c r="F7268" i="3"/>
  <c r="F7267" i="3"/>
  <c r="F7266" i="3"/>
  <c r="F7265" i="3"/>
  <c r="F7264" i="3"/>
  <c r="F7263" i="3"/>
  <c r="F7262" i="3"/>
  <c r="F7261" i="3"/>
  <c r="F7260" i="3"/>
  <c r="F7259" i="3"/>
  <c r="F7258" i="3"/>
  <c r="F7257" i="3"/>
  <c r="F7256" i="3"/>
  <c r="F7255" i="3"/>
  <c r="F7254" i="3"/>
  <c r="F7253" i="3"/>
  <c r="F7252" i="3"/>
  <c r="F7251" i="3"/>
  <c r="F7250" i="3"/>
  <c r="F7249" i="3"/>
  <c r="F7248" i="3"/>
  <c r="F7247" i="3"/>
  <c r="F7246" i="3"/>
  <c r="F7245" i="3"/>
  <c r="F7244" i="3"/>
  <c r="F7243" i="3"/>
  <c r="F7242" i="3"/>
  <c r="F7241" i="3"/>
  <c r="F7240" i="3"/>
  <c r="F7239" i="3"/>
  <c r="F7238" i="3"/>
  <c r="F7237" i="3"/>
  <c r="F7236" i="3"/>
  <c r="F7235" i="3"/>
  <c r="F7234" i="3"/>
  <c r="F7233" i="3"/>
  <c r="F7232" i="3"/>
  <c r="F7231" i="3"/>
  <c r="F7230" i="3"/>
  <c r="F7229" i="3"/>
  <c r="F7228" i="3"/>
  <c r="F7227" i="3"/>
  <c r="F7226" i="3"/>
  <c r="F7225" i="3"/>
  <c r="F7224" i="3"/>
  <c r="F7223" i="3"/>
  <c r="F7222" i="3"/>
  <c r="F7221" i="3"/>
  <c r="F7220" i="3"/>
  <c r="F7219" i="3"/>
  <c r="F7218" i="3"/>
  <c r="F7217" i="3"/>
  <c r="F7216" i="3"/>
  <c r="F7215" i="3"/>
  <c r="F7214" i="3"/>
  <c r="F7213" i="3"/>
  <c r="F7212" i="3"/>
  <c r="F7211" i="3"/>
  <c r="F7210" i="3"/>
  <c r="F7209" i="3"/>
  <c r="F7208" i="3"/>
  <c r="F7207" i="3"/>
  <c r="F7206" i="3"/>
  <c r="F7205" i="3"/>
  <c r="F7204" i="3"/>
  <c r="F7203" i="3"/>
  <c r="F7202" i="3"/>
  <c r="F7201" i="3"/>
  <c r="F7200" i="3"/>
  <c r="F7199" i="3"/>
  <c r="F7198" i="3"/>
  <c r="F7197" i="3"/>
  <c r="F7196" i="3"/>
  <c r="F7195" i="3"/>
  <c r="F7194" i="3"/>
  <c r="F7193" i="3"/>
  <c r="F7192" i="3"/>
  <c r="F7191" i="3"/>
  <c r="F7190" i="3"/>
  <c r="F7189" i="3"/>
  <c r="F7188" i="3"/>
  <c r="F7187" i="3"/>
  <c r="F7186" i="3"/>
  <c r="F7185" i="3"/>
  <c r="F7184" i="3"/>
  <c r="F7183" i="3"/>
  <c r="F7182" i="3"/>
  <c r="F7181" i="3"/>
  <c r="F7180" i="3"/>
  <c r="F7179" i="3"/>
  <c r="F7178" i="3"/>
  <c r="F7177" i="3"/>
  <c r="F7176" i="3"/>
  <c r="F7175" i="3"/>
  <c r="F7174" i="3"/>
  <c r="F7173" i="3"/>
  <c r="F7172" i="3"/>
  <c r="F7171" i="3"/>
  <c r="F7170" i="3"/>
  <c r="F7169" i="3"/>
  <c r="F7168" i="3"/>
  <c r="F7167" i="3"/>
  <c r="F7166" i="3"/>
  <c r="F7165" i="3"/>
  <c r="F7164" i="3"/>
  <c r="F7163" i="3"/>
  <c r="F7162" i="3"/>
  <c r="F7161" i="3"/>
  <c r="F7160" i="3"/>
  <c r="F7159" i="3"/>
  <c r="F7158" i="3"/>
  <c r="F7157" i="3"/>
  <c r="F7156" i="3"/>
  <c r="F7155" i="3"/>
  <c r="F7154" i="3"/>
  <c r="F7153" i="3"/>
  <c r="F7152" i="3"/>
  <c r="F7151" i="3"/>
  <c r="F7150" i="3"/>
  <c r="F7149" i="3"/>
  <c r="F7148" i="3"/>
  <c r="F7147" i="3"/>
  <c r="F7146" i="3"/>
  <c r="F7145" i="3"/>
  <c r="F7144" i="3"/>
  <c r="F7143" i="3"/>
  <c r="F7142" i="3"/>
  <c r="F7141" i="3"/>
  <c r="F7140" i="3"/>
  <c r="F7139" i="3"/>
  <c r="F7138" i="3"/>
  <c r="F7137" i="3"/>
  <c r="F7136" i="3"/>
  <c r="F7135" i="3"/>
  <c r="F7134" i="3"/>
  <c r="F7133" i="3"/>
  <c r="F7132" i="3"/>
  <c r="F7131" i="3"/>
  <c r="F7130" i="3"/>
  <c r="F7129" i="3"/>
  <c r="F7128" i="3"/>
  <c r="F7127" i="3"/>
  <c r="F7126" i="3"/>
  <c r="F7125" i="3"/>
  <c r="F7124" i="3"/>
  <c r="F7123" i="3"/>
  <c r="F7122" i="3"/>
  <c r="F7121" i="3"/>
  <c r="F7120" i="3"/>
  <c r="F7119" i="3"/>
  <c r="F7118" i="3"/>
  <c r="F7117" i="3"/>
  <c r="F7116" i="3"/>
  <c r="F7115" i="3"/>
  <c r="F7114" i="3"/>
  <c r="F7113" i="3"/>
  <c r="F7112" i="3"/>
  <c r="F7111" i="3"/>
  <c r="F7110" i="3"/>
  <c r="F7109" i="3"/>
  <c r="F7108" i="3"/>
  <c r="F7107" i="3"/>
  <c r="F7106" i="3"/>
  <c r="F7105" i="3"/>
  <c r="F7104" i="3"/>
  <c r="F7103" i="3"/>
  <c r="F7102" i="3"/>
  <c r="F7101" i="3"/>
  <c r="F7100" i="3"/>
  <c r="F7099" i="3"/>
  <c r="F7098" i="3"/>
  <c r="F7097" i="3"/>
  <c r="F7096" i="3"/>
  <c r="F7095" i="3"/>
  <c r="F7094" i="3"/>
  <c r="F7093" i="3"/>
  <c r="F7092" i="3"/>
  <c r="F7091" i="3"/>
  <c r="F7090" i="3"/>
  <c r="F7089" i="3"/>
  <c r="F7088" i="3"/>
  <c r="F7087" i="3"/>
  <c r="F7086" i="3"/>
  <c r="F7085" i="3"/>
  <c r="F7084" i="3"/>
  <c r="F7083" i="3"/>
  <c r="F7082" i="3"/>
  <c r="F7081" i="3"/>
  <c r="F7080" i="3"/>
  <c r="F7079" i="3"/>
  <c r="F7078" i="3"/>
  <c r="F7077" i="3"/>
  <c r="F7076" i="3"/>
  <c r="F7075" i="3"/>
  <c r="F7074" i="3"/>
  <c r="F7073" i="3"/>
  <c r="F7072" i="3"/>
  <c r="F7071" i="3"/>
  <c r="F7070" i="3"/>
  <c r="F7069" i="3"/>
  <c r="F7068" i="3"/>
  <c r="F7067" i="3"/>
  <c r="F7066" i="3"/>
  <c r="F7065" i="3"/>
  <c r="F7064" i="3"/>
  <c r="F7063" i="3"/>
  <c r="F7062" i="3"/>
  <c r="F7061" i="3"/>
  <c r="F7060" i="3"/>
  <c r="F7059" i="3"/>
  <c r="F7058" i="3"/>
  <c r="F7057" i="3"/>
  <c r="F7056" i="3"/>
  <c r="F7055" i="3"/>
  <c r="F7054" i="3"/>
  <c r="F7053" i="3"/>
  <c r="F7052" i="3"/>
  <c r="F7051" i="3"/>
  <c r="F7050" i="3"/>
  <c r="F7049" i="3"/>
  <c r="F7048" i="3"/>
  <c r="F7047" i="3"/>
  <c r="F7046" i="3"/>
  <c r="F7045" i="3"/>
  <c r="F7044" i="3"/>
  <c r="F7043" i="3"/>
  <c r="F7042" i="3"/>
  <c r="F7041" i="3"/>
  <c r="F7040" i="3"/>
  <c r="F7039" i="3"/>
  <c r="F7038" i="3"/>
  <c r="F7037" i="3"/>
  <c r="F7036" i="3"/>
  <c r="F7035" i="3"/>
  <c r="F7034" i="3"/>
  <c r="F7033" i="3"/>
  <c r="F7032" i="3"/>
  <c r="F7031" i="3"/>
  <c r="F7030" i="3"/>
  <c r="F7029" i="3"/>
  <c r="F7028" i="3"/>
  <c r="F7027" i="3"/>
  <c r="F7026" i="3"/>
  <c r="F7025" i="3"/>
  <c r="F7024" i="3"/>
  <c r="F7023" i="3"/>
  <c r="F7022" i="3"/>
  <c r="F7021" i="3"/>
  <c r="F7020" i="3"/>
  <c r="F7019" i="3"/>
  <c r="F7018" i="3"/>
  <c r="F7017" i="3"/>
  <c r="F7016" i="3"/>
  <c r="F7015" i="3"/>
  <c r="F7014" i="3"/>
  <c r="F7013" i="3"/>
  <c r="F7012" i="3"/>
  <c r="F7011" i="3"/>
  <c r="F7010" i="3"/>
  <c r="F7009" i="3"/>
  <c r="F7008" i="3"/>
  <c r="F7007" i="3"/>
  <c r="F7006" i="3"/>
  <c r="F7005" i="3"/>
  <c r="F7004" i="3"/>
  <c r="F7003" i="3"/>
  <c r="F7002" i="3"/>
  <c r="F7001" i="3"/>
  <c r="F7000" i="3"/>
  <c r="F6999" i="3"/>
  <c r="F6998" i="3"/>
  <c r="F6997" i="3"/>
  <c r="F6996" i="3"/>
  <c r="F6995" i="3"/>
  <c r="F6994" i="3"/>
  <c r="F6993" i="3"/>
  <c r="F6992" i="3"/>
  <c r="F6991" i="3"/>
  <c r="F6990" i="3"/>
  <c r="F6989" i="3"/>
  <c r="F6988" i="3"/>
  <c r="F6987" i="3"/>
  <c r="F6986" i="3"/>
  <c r="F6985" i="3"/>
  <c r="F6984" i="3"/>
  <c r="F6983" i="3"/>
  <c r="F6982" i="3"/>
  <c r="F6981" i="3"/>
  <c r="F6980" i="3"/>
  <c r="F6979" i="3"/>
  <c r="F6978" i="3"/>
  <c r="F6977" i="3"/>
  <c r="F6976" i="3"/>
  <c r="F6975" i="3"/>
  <c r="F6974" i="3"/>
  <c r="F6973" i="3"/>
  <c r="F6972" i="3"/>
  <c r="F6971" i="3"/>
  <c r="F6970" i="3"/>
  <c r="F6969" i="3"/>
  <c r="F6968" i="3"/>
  <c r="F6967" i="3"/>
  <c r="F6966" i="3"/>
  <c r="F6965" i="3"/>
  <c r="F6964" i="3"/>
  <c r="F6963" i="3"/>
  <c r="F6962" i="3"/>
  <c r="F6961" i="3"/>
  <c r="F6960" i="3"/>
  <c r="F6959" i="3"/>
  <c r="F6958" i="3"/>
  <c r="F6957" i="3"/>
  <c r="F6956" i="3"/>
  <c r="F6955" i="3"/>
  <c r="F6954" i="3"/>
  <c r="F6953" i="3"/>
  <c r="F6952" i="3"/>
  <c r="F6951" i="3"/>
  <c r="F6950" i="3"/>
  <c r="F6949" i="3"/>
  <c r="F6948" i="3"/>
  <c r="F6947" i="3"/>
  <c r="F6946" i="3"/>
  <c r="F6945" i="3"/>
  <c r="F6944" i="3"/>
  <c r="F6943" i="3"/>
  <c r="F6942" i="3"/>
  <c r="F6941" i="3"/>
  <c r="F6940" i="3"/>
  <c r="F6939" i="3"/>
  <c r="F6938" i="3"/>
  <c r="F6937" i="3"/>
  <c r="F6936" i="3"/>
  <c r="F6935" i="3"/>
  <c r="F6934" i="3"/>
  <c r="F6933" i="3"/>
  <c r="F6932" i="3"/>
  <c r="F6931" i="3"/>
  <c r="F6930" i="3"/>
  <c r="F6929" i="3"/>
  <c r="F6928" i="3"/>
  <c r="F6927" i="3"/>
  <c r="F6926" i="3"/>
  <c r="F6925" i="3"/>
  <c r="F6924" i="3"/>
  <c r="F6923" i="3"/>
  <c r="F6922" i="3"/>
  <c r="F6921" i="3"/>
  <c r="F6920" i="3"/>
  <c r="F6919" i="3"/>
  <c r="F6918" i="3"/>
  <c r="F6917" i="3"/>
  <c r="F6916" i="3"/>
  <c r="F6915" i="3"/>
  <c r="F6914" i="3"/>
  <c r="F6913" i="3"/>
  <c r="F6912" i="3"/>
  <c r="F6911" i="3"/>
  <c r="F6910" i="3"/>
  <c r="F6909" i="3"/>
  <c r="F6908" i="3"/>
  <c r="F6907" i="3"/>
  <c r="F6906" i="3"/>
  <c r="F6905" i="3"/>
  <c r="F6904" i="3"/>
  <c r="F6903" i="3"/>
  <c r="F6902" i="3"/>
  <c r="F6901" i="3"/>
  <c r="F6900" i="3"/>
  <c r="F6899" i="3"/>
  <c r="F6898" i="3"/>
  <c r="F6897" i="3"/>
  <c r="F6896" i="3"/>
  <c r="F6895" i="3"/>
  <c r="F6894" i="3"/>
  <c r="F6893" i="3"/>
  <c r="F6892" i="3"/>
  <c r="F6891" i="3"/>
  <c r="F6890" i="3"/>
  <c r="F6889" i="3"/>
  <c r="F6888" i="3"/>
  <c r="F6887" i="3"/>
  <c r="F6886" i="3"/>
  <c r="F6885" i="3"/>
  <c r="F6884" i="3"/>
  <c r="F6883" i="3"/>
  <c r="F6882" i="3"/>
  <c r="F6881" i="3"/>
  <c r="F6880" i="3"/>
  <c r="F6879" i="3"/>
  <c r="F6878" i="3"/>
  <c r="F6877" i="3"/>
  <c r="F6876" i="3"/>
  <c r="F6875" i="3"/>
  <c r="F6874" i="3"/>
  <c r="F6873" i="3"/>
  <c r="F6872" i="3"/>
  <c r="F6871" i="3"/>
  <c r="F6870" i="3"/>
  <c r="F6869" i="3"/>
  <c r="F6868" i="3"/>
  <c r="F6867" i="3"/>
  <c r="F6866" i="3"/>
  <c r="F6865" i="3"/>
  <c r="F6864" i="3"/>
  <c r="F6863" i="3"/>
  <c r="F6862" i="3"/>
  <c r="F6861" i="3"/>
  <c r="F6860" i="3"/>
  <c r="F6859" i="3"/>
  <c r="F6858" i="3"/>
  <c r="F6857" i="3"/>
  <c r="F6856" i="3"/>
  <c r="F6855" i="3"/>
  <c r="F6854" i="3"/>
  <c r="F6853" i="3"/>
  <c r="F6852" i="3"/>
  <c r="F6851" i="3"/>
  <c r="F6850" i="3"/>
  <c r="F6849" i="3"/>
  <c r="F6848" i="3"/>
  <c r="F6847" i="3"/>
  <c r="F6846" i="3"/>
  <c r="F6845" i="3"/>
  <c r="F6844" i="3"/>
  <c r="F6843" i="3"/>
  <c r="F6842" i="3"/>
  <c r="F6841" i="3"/>
  <c r="F6840" i="3"/>
  <c r="F6839" i="3"/>
  <c r="F6838" i="3"/>
  <c r="F6837" i="3"/>
  <c r="F6836" i="3"/>
  <c r="F6835" i="3"/>
  <c r="F6834" i="3"/>
  <c r="F6833" i="3"/>
  <c r="F6832" i="3"/>
  <c r="F6831" i="3"/>
  <c r="F6830" i="3"/>
  <c r="F6829" i="3"/>
  <c r="F6828" i="3"/>
  <c r="F6827" i="3"/>
  <c r="F6826" i="3"/>
  <c r="F6825" i="3"/>
  <c r="F6824" i="3"/>
  <c r="F6823" i="3"/>
  <c r="F6822" i="3"/>
  <c r="F6821" i="3"/>
  <c r="F6820" i="3"/>
  <c r="F6819" i="3"/>
  <c r="F6818" i="3"/>
  <c r="F6817" i="3"/>
  <c r="F6816" i="3"/>
  <c r="F6815" i="3"/>
  <c r="F6814" i="3"/>
  <c r="F6813" i="3"/>
  <c r="F6812" i="3"/>
  <c r="F6811" i="3"/>
  <c r="F6810" i="3"/>
  <c r="F6809" i="3"/>
  <c r="F6808" i="3"/>
  <c r="F6807" i="3"/>
  <c r="F6806" i="3"/>
  <c r="F6805" i="3"/>
  <c r="F6804" i="3"/>
  <c r="F6803" i="3"/>
  <c r="F6802" i="3"/>
  <c r="F6801" i="3"/>
  <c r="F6800" i="3"/>
  <c r="F6799" i="3"/>
  <c r="F6798" i="3"/>
  <c r="F6797" i="3"/>
  <c r="F6796" i="3"/>
  <c r="F6795" i="3"/>
  <c r="F6794" i="3"/>
  <c r="F6793" i="3"/>
  <c r="F6792" i="3"/>
  <c r="F6791" i="3"/>
  <c r="F6790" i="3"/>
  <c r="F6789" i="3"/>
  <c r="F6788" i="3"/>
  <c r="F6787" i="3"/>
  <c r="F6786" i="3"/>
  <c r="F6785" i="3"/>
  <c r="F6784" i="3"/>
  <c r="F6783" i="3"/>
  <c r="F6782" i="3"/>
  <c r="F6781" i="3"/>
  <c r="F6780" i="3"/>
  <c r="F6779" i="3"/>
  <c r="F6778" i="3"/>
  <c r="F6777" i="3"/>
  <c r="F6776" i="3"/>
  <c r="F6775" i="3"/>
  <c r="F6774" i="3"/>
  <c r="F6773" i="3"/>
  <c r="F6772" i="3"/>
  <c r="F6771" i="3"/>
  <c r="F6770" i="3"/>
  <c r="F6769" i="3"/>
  <c r="F6768" i="3"/>
  <c r="F6767" i="3"/>
  <c r="F6766" i="3"/>
  <c r="F6765" i="3"/>
  <c r="F6764" i="3"/>
  <c r="F6763" i="3"/>
  <c r="F6762" i="3"/>
  <c r="F6761" i="3"/>
  <c r="F6760" i="3"/>
  <c r="F6759" i="3"/>
  <c r="F6758" i="3"/>
  <c r="F6757" i="3"/>
  <c r="F6756" i="3"/>
  <c r="F6755" i="3"/>
  <c r="F6754" i="3"/>
  <c r="F6753" i="3"/>
  <c r="F6752" i="3"/>
  <c r="F6751" i="3"/>
  <c r="F6750" i="3"/>
  <c r="F6749" i="3"/>
  <c r="F6748" i="3"/>
  <c r="F6747" i="3"/>
  <c r="F6746" i="3"/>
  <c r="F6745" i="3"/>
  <c r="F6744" i="3"/>
  <c r="F6743" i="3"/>
  <c r="F6742" i="3"/>
  <c r="F6741" i="3"/>
  <c r="F6740" i="3"/>
  <c r="F6739" i="3"/>
  <c r="F6738" i="3"/>
  <c r="F6737" i="3"/>
  <c r="F6736" i="3"/>
  <c r="F6735" i="3"/>
  <c r="F6734" i="3"/>
  <c r="F6733" i="3"/>
  <c r="F6732" i="3"/>
  <c r="F6731" i="3"/>
  <c r="F6730" i="3"/>
  <c r="F6729" i="3"/>
  <c r="F6728" i="3"/>
  <c r="F6727" i="3"/>
  <c r="F6726" i="3"/>
  <c r="F6725" i="3"/>
  <c r="F6724" i="3"/>
  <c r="F6723" i="3"/>
  <c r="F6722" i="3"/>
  <c r="F6721" i="3"/>
  <c r="F6720" i="3"/>
  <c r="F6719" i="3"/>
  <c r="F6718" i="3"/>
  <c r="F6717" i="3"/>
  <c r="F6716" i="3"/>
  <c r="F6715" i="3"/>
  <c r="F6714" i="3"/>
  <c r="F6713" i="3"/>
  <c r="F6712" i="3"/>
  <c r="F6711" i="3"/>
  <c r="F6710" i="3"/>
  <c r="F6709" i="3"/>
  <c r="F6708" i="3"/>
  <c r="F6707" i="3"/>
  <c r="F6706" i="3"/>
  <c r="F6705" i="3"/>
  <c r="F6704" i="3"/>
  <c r="F6703" i="3"/>
  <c r="F6702" i="3"/>
  <c r="F6701" i="3"/>
  <c r="F6700" i="3"/>
  <c r="F6699" i="3"/>
  <c r="F6698" i="3"/>
  <c r="F6697" i="3"/>
  <c r="F6696" i="3"/>
  <c r="F6695" i="3"/>
  <c r="F6694" i="3"/>
  <c r="F6693" i="3"/>
  <c r="F6692" i="3"/>
  <c r="F6691" i="3"/>
  <c r="F6690" i="3"/>
  <c r="F6689" i="3"/>
  <c r="F6688" i="3"/>
  <c r="F6687" i="3"/>
  <c r="F6686" i="3"/>
  <c r="F6685" i="3"/>
  <c r="F6684" i="3"/>
  <c r="F6683" i="3"/>
  <c r="F6682" i="3"/>
  <c r="F6681" i="3"/>
  <c r="F6680" i="3"/>
  <c r="F6679" i="3"/>
  <c r="F6678" i="3"/>
  <c r="F6677" i="3"/>
  <c r="F6676" i="3"/>
  <c r="F6675" i="3"/>
  <c r="F6674" i="3"/>
  <c r="F6673" i="3"/>
  <c r="F6672" i="3"/>
  <c r="F6671" i="3"/>
  <c r="F6670" i="3"/>
  <c r="F6669" i="3"/>
  <c r="F6668" i="3"/>
  <c r="F6667" i="3"/>
  <c r="F6666" i="3"/>
  <c r="F6665" i="3"/>
  <c r="F6664" i="3"/>
  <c r="F6663" i="3"/>
  <c r="F6662" i="3"/>
  <c r="F6661" i="3"/>
  <c r="F6660" i="3"/>
  <c r="F6659" i="3"/>
  <c r="F6658" i="3"/>
  <c r="F6657" i="3"/>
  <c r="F6656" i="3"/>
  <c r="F6655" i="3"/>
  <c r="F6654" i="3"/>
  <c r="F6653" i="3"/>
  <c r="F6652" i="3"/>
  <c r="F6651" i="3"/>
  <c r="F6650" i="3"/>
  <c r="F6649" i="3"/>
  <c r="F6648" i="3"/>
  <c r="F6647" i="3"/>
  <c r="F6646" i="3"/>
  <c r="F6645" i="3"/>
  <c r="F6644" i="3"/>
  <c r="F6643" i="3"/>
  <c r="F6642" i="3"/>
  <c r="F6641" i="3"/>
  <c r="F6640" i="3"/>
  <c r="F6639" i="3"/>
  <c r="F6638" i="3"/>
  <c r="F6637" i="3"/>
  <c r="F6636" i="3"/>
  <c r="F6635" i="3"/>
  <c r="F6634" i="3"/>
  <c r="F6633" i="3"/>
  <c r="F6632" i="3"/>
  <c r="F6631" i="3"/>
  <c r="F6630" i="3"/>
  <c r="F6629" i="3"/>
  <c r="F6628" i="3"/>
  <c r="F6627" i="3"/>
  <c r="F6626" i="3"/>
  <c r="F6625" i="3"/>
  <c r="F6624" i="3"/>
  <c r="F6623" i="3"/>
  <c r="F6622" i="3"/>
  <c r="F6621" i="3"/>
  <c r="F6620" i="3"/>
  <c r="F6619" i="3"/>
  <c r="F6618" i="3"/>
  <c r="F6617" i="3"/>
  <c r="F6616" i="3"/>
  <c r="F6615" i="3"/>
  <c r="F6614" i="3"/>
  <c r="F6613" i="3"/>
  <c r="F6612" i="3"/>
  <c r="F6611" i="3"/>
  <c r="F6610" i="3"/>
  <c r="F6609" i="3"/>
  <c r="F6608" i="3"/>
  <c r="F6607" i="3"/>
  <c r="F6606" i="3"/>
  <c r="F6605" i="3"/>
  <c r="F6604" i="3"/>
  <c r="F6603" i="3"/>
  <c r="F6602" i="3"/>
  <c r="F6601" i="3"/>
  <c r="F6600" i="3"/>
  <c r="F6599" i="3"/>
  <c r="F6598" i="3"/>
  <c r="F6597" i="3"/>
  <c r="F6596" i="3"/>
  <c r="F6595" i="3"/>
  <c r="F6594" i="3"/>
  <c r="F6593" i="3"/>
  <c r="F6592" i="3"/>
  <c r="F6591" i="3"/>
  <c r="F6590" i="3"/>
  <c r="F6589" i="3"/>
  <c r="F6588" i="3"/>
  <c r="F6587" i="3"/>
  <c r="F6586" i="3"/>
  <c r="F6585" i="3"/>
  <c r="F6584" i="3"/>
  <c r="F6583" i="3"/>
  <c r="F6582" i="3"/>
  <c r="F6581" i="3"/>
  <c r="F6580" i="3"/>
  <c r="F6579" i="3"/>
  <c r="F6578" i="3"/>
  <c r="F6577" i="3"/>
  <c r="F6576" i="3"/>
  <c r="F6575" i="3"/>
  <c r="F6574" i="3"/>
  <c r="F6573" i="3"/>
  <c r="F6572" i="3"/>
  <c r="F6571" i="3"/>
  <c r="F6570" i="3"/>
  <c r="F6569" i="3"/>
  <c r="F6568" i="3"/>
  <c r="F6567" i="3"/>
  <c r="F6566" i="3"/>
  <c r="F6565" i="3"/>
  <c r="F6564" i="3"/>
  <c r="F6563" i="3"/>
  <c r="F6562" i="3"/>
  <c r="F6561" i="3"/>
  <c r="F6560" i="3"/>
  <c r="F6559" i="3"/>
  <c r="F6558" i="3"/>
  <c r="F6557" i="3"/>
  <c r="F6556" i="3"/>
  <c r="F6555" i="3"/>
  <c r="F6554" i="3"/>
  <c r="F6553" i="3"/>
  <c r="F6552" i="3"/>
  <c r="F6551" i="3"/>
  <c r="F6550" i="3"/>
  <c r="F6549" i="3"/>
  <c r="F6548" i="3"/>
  <c r="F6547" i="3"/>
  <c r="F6546" i="3"/>
  <c r="F6545" i="3"/>
  <c r="F6544" i="3"/>
  <c r="F6543" i="3"/>
  <c r="F6542" i="3"/>
  <c r="F6541" i="3"/>
  <c r="F6540" i="3"/>
  <c r="F6539" i="3"/>
  <c r="F6538" i="3"/>
  <c r="F6537" i="3"/>
  <c r="F6536" i="3"/>
  <c r="F6535" i="3"/>
  <c r="F6534" i="3"/>
  <c r="F6533" i="3"/>
  <c r="F6532" i="3"/>
  <c r="F6531" i="3"/>
  <c r="F6530" i="3"/>
  <c r="F6529" i="3"/>
  <c r="F6528" i="3"/>
  <c r="F6527" i="3"/>
  <c r="F6526" i="3"/>
  <c r="F6525" i="3"/>
  <c r="F6524" i="3"/>
  <c r="F6523" i="3"/>
  <c r="F6522" i="3"/>
  <c r="F6521" i="3"/>
  <c r="F6520" i="3"/>
  <c r="F6519" i="3"/>
  <c r="F6518" i="3"/>
  <c r="F6517" i="3"/>
  <c r="F6516" i="3"/>
  <c r="F6515" i="3"/>
  <c r="F6514" i="3"/>
  <c r="F6513" i="3"/>
  <c r="F6512" i="3"/>
  <c r="F6511" i="3"/>
  <c r="F6510" i="3"/>
  <c r="F6509" i="3"/>
  <c r="F6508" i="3"/>
  <c r="F6507" i="3"/>
  <c r="F6506" i="3"/>
  <c r="F6505" i="3"/>
  <c r="F6504" i="3"/>
  <c r="F6503" i="3"/>
  <c r="F6502" i="3"/>
  <c r="F6501" i="3"/>
  <c r="F6500" i="3"/>
  <c r="F6499" i="3"/>
  <c r="F6498" i="3"/>
  <c r="F6497" i="3"/>
  <c r="F6496" i="3"/>
  <c r="F6495" i="3"/>
  <c r="F6494" i="3"/>
  <c r="F6493" i="3"/>
  <c r="F6492" i="3"/>
  <c r="F6491" i="3"/>
  <c r="F6490" i="3"/>
  <c r="F6489" i="3"/>
  <c r="F6488" i="3"/>
  <c r="F6487" i="3"/>
  <c r="F6486" i="3"/>
  <c r="F6485" i="3"/>
  <c r="F6484" i="3"/>
  <c r="F6483" i="3"/>
  <c r="F6482" i="3"/>
  <c r="F6481" i="3"/>
  <c r="F6480" i="3"/>
  <c r="F6479" i="3"/>
  <c r="F6478" i="3"/>
  <c r="F6477" i="3"/>
  <c r="F6476" i="3"/>
  <c r="F6475" i="3"/>
  <c r="F6474" i="3"/>
  <c r="F6473" i="3"/>
  <c r="F6472" i="3"/>
  <c r="F6471" i="3"/>
  <c r="F6470" i="3"/>
  <c r="F6469" i="3"/>
  <c r="F6468" i="3"/>
  <c r="F6467" i="3"/>
  <c r="F6466" i="3"/>
  <c r="F6465" i="3"/>
  <c r="F6464" i="3"/>
  <c r="F6463" i="3"/>
  <c r="F6462" i="3"/>
  <c r="F6461" i="3"/>
  <c r="F6460" i="3"/>
  <c r="F6459" i="3"/>
  <c r="F6458" i="3"/>
  <c r="F6457" i="3"/>
  <c r="F6456" i="3"/>
  <c r="F6455" i="3"/>
  <c r="F6454" i="3"/>
  <c r="F6453" i="3"/>
  <c r="F6452" i="3"/>
  <c r="F6451" i="3"/>
  <c r="F6450" i="3"/>
  <c r="F6449" i="3"/>
  <c r="F6448" i="3"/>
  <c r="F6447" i="3"/>
  <c r="F6446" i="3"/>
  <c r="F6445" i="3"/>
  <c r="F6444" i="3"/>
  <c r="F6443" i="3"/>
  <c r="F6442" i="3"/>
  <c r="F6441" i="3"/>
  <c r="F6440" i="3"/>
  <c r="F6439" i="3"/>
  <c r="F6438" i="3"/>
  <c r="F6437" i="3"/>
  <c r="F6436" i="3"/>
  <c r="F6435" i="3"/>
  <c r="F6434" i="3"/>
  <c r="F6433" i="3"/>
  <c r="F6432" i="3"/>
  <c r="F6431" i="3"/>
  <c r="F6430" i="3"/>
  <c r="F6429" i="3"/>
  <c r="F6428" i="3"/>
  <c r="F6427" i="3"/>
  <c r="F6426" i="3"/>
  <c r="F6425" i="3"/>
  <c r="F6424" i="3"/>
  <c r="F6423" i="3"/>
  <c r="F6422" i="3"/>
  <c r="F6421" i="3"/>
  <c r="F6420" i="3"/>
  <c r="F6419" i="3"/>
  <c r="F6418" i="3"/>
  <c r="F6417" i="3"/>
  <c r="F6416" i="3"/>
  <c r="F6415" i="3"/>
  <c r="F6414" i="3"/>
  <c r="F6413" i="3"/>
  <c r="F6412" i="3"/>
  <c r="F6411" i="3"/>
  <c r="F6410" i="3"/>
  <c r="F6409" i="3"/>
  <c r="F6408" i="3"/>
  <c r="F6407" i="3"/>
  <c r="F6406" i="3"/>
  <c r="F6405" i="3"/>
  <c r="F6404" i="3"/>
  <c r="F6403" i="3"/>
  <c r="F6402" i="3"/>
  <c r="F6401" i="3"/>
  <c r="F6400" i="3"/>
  <c r="F6399" i="3"/>
  <c r="F6398" i="3"/>
  <c r="F6397" i="3"/>
  <c r="F6396" i="3"/>
  <c r="F6395" i="3"/>
  <c r="F6394" i="3"/>
  <c r="F6393" i="3"/>
  <c r="F6392" i="3"/>
  <c r="F6391" i="3"/>
  <c r="F6390" i="3"/>
  <c r="F6389" i="3"/>
  <c r="F6388" i="3"/>
  <c r="F6387" i="3"/>
  <c r="F6386" i="3"/>
  <c r="F6385" i="3"/>
  <c r="F6384" i="3"/>
  <c r="F6383" i="3"/>
  <c r="F6382" i="3"/>
  <c r="F6381" i="3"/>
  <c r="F6380" i="3"/>
  <c r="F6379" i="3"/>
  <c r="F6378" i="3"/>
  <c r="F6377" i="3"/>
  <c r="F6376" i="3"/>
  <c r="F6375" i="3"/>
  <c r="F6374" i="3"/>
  <c r="F6373" i="3"/>
  <c r="F6372" i="3"/>
  <c r="F6371" i="3"/>
  <c r="F6370" i="3"/>
  <c r="F6369" i="3"/>
  <c r="F6368" i="3"/>
  <c r="F6367" i="3"/>
  <c r="F6366" i="3"/>
  <c r="F6365" i="3"/>
  <c r="F6364" i="3"/>
  <c r="F6363" i="3"/>
  <c r="F6362" i="3"/>
  <c r="F6361" i="3"/>
  <c r="F6360" i="3"/>
  <c r="F6359" i="3"/>
  <c r="F6358" i="3"/>
  <c r="F6357" i="3"/>
  <c r="F6356" i="3"/>
  <c r="F6355" i="3"/>
  <c r="F6354" i="3"/>
  <c r="F6353" i="3"/>
  <c r="F6352" i="3"/>
  <c r="F6351" i="3"/>
  <c r="F6350" i="3"/>
  <c r="F6349" i="3"/>
  <c r="F6348" i="3"/>
  <c r="F6347" i="3"/>
  <c r="F6346" i="3"/>
  <c r="F6345" i="3"/>
  <c r="F6344" i="3"/>
  <c r="F6343" i="3"/>
  <c r="F6342" i="3"/>
  <c r="F6341" i="3"/>
  <c r="F6340" i="3"/>
  <c r="F6339" i="3"/>
  <c r="F6338" i="3"/>
  <c r="F6337" i="3"/>
  <c r="F6336" i="3"/>
  <c r="F6335" i="3"/>
  <c r="F6334" i="3"/>
  <c r="F6333" i="3"/>
  <c r="F6332" i="3"/>
  <c r="F6331" i="3"/>
  <c r="F6330" i="3"/>
  <c r="F6329" i="3"/>
  <c r="F6328" i="3"/>
  <c r="F6327" i="3"/>
  <c r="F6326" i="3"/>
  <c r="F6325" i="3"/>
  <c r="F6324" i="3"/>
  <c r="F6323" i="3"/>
  <c r="F6322" i="3"/>
  <c r="F6321" i="3"/>
  <c r="F6320" i="3"/>
  <c r="F6319" i="3"/>
  <c r="F6318" i="3"/>
  <c r="F6317" i="3"/>
  <c r="F6316" i="3"/>
  <c r="F6315" i="3"/>
  <c r="F6314" i="3"/>
  <c r="F6313" i="3"/>
  <c r="F6312" i="3"/>
  <c r="F6311" i="3"/>
  <c r="F6310" i="3"/>
  <c r="F6309" i="3"/>
  <c r="F6308" i="3"/>
  <c r="F6307" i="3"/>
  <c r="F6306" i="3"/>
  <c r="F6305" i="3"/>
  <c r="F6304" i="3"/>
  <c r="F6303" i="3"/>
  <c r="F6302" i="3"/>
  <c r="F6301" i="3"/>
  <c r="F6300" i="3"/>
  <c r="F6299" i="3"/>
  <c r="F6298" i="3"/>
  <c r="F6297" i="3"/>
  <c r="F6296" i="3"/>
  <c r="F6295" i="3"/>
  <c r="F6294" i="3"/>
  <c r="F6293" i="3"/>
  <c r="F6292" i="3"/>
  <c r="F6291" i="3"/>
  <c r="F6290" i="3"/>
  <c r="F6289" i="3"/>
  <c r="F6288" i="3"/>
  <c r="F6287" i="3"/>
  <c r="F6286" i="3"/>
  <c r="F6285" i="3"/>
  <c r="F6284" i="3"/>
  <c r="F6283" i="3"/>
  <c r="F6282" i="3"/>
  <c r="F6281" i="3"/>
  <c r="F6280" i="3"/>
  <c r="F6279" i="3"/>
  <c r="F6278" i="3"/>
  <c r="F6277" i="3"/>
  <c r="F6276" i="3"/>
  <c r="F6275" i="3"/>
  <c r="F6274" i="3"/>
  <c r="F6273" i="3"/>
  <c r="F6272" i="3"/>
  <c r="F6271" i="3"/>
  <c r="F6270" i="3"/>
  <c r="F6269" i="3"/>
  <c r="F6268" i="3"/>
  <c r="F6267" i="3"/>
  <c r="F6266" i="3"/>
  <c r="F6265" i="3"/>
  <c r="F6264" i="3"/>
  <c r="F6263" i="3"/>
  <c r="F6262" i="3"/>
  <c r="F6261" i="3"/>
  <c r="F6260" i="3"/>
  <c r="F6259" i="3"/>
  <c r="F6258" i="3"/>
  <c r="F6257" i="3"/>
  <c r="F6256" i="3"/>
  <c r="F6255" i="3"/>
  <c r="F6254" i="3"/>
  <c r="F6253" i="3"/>
  <c r="F6252" i="3"/>
  <c r="F6251" i="3"/>
  <c r="F6250" i="3"/>
  <c r="F6249" i="3"/>
  <c r="F6248" i="3"/>
  <c r="F6247" i="3"/>
  <c r="F6246" i="3"/>
  <c r="F6245" i="3"/>
  <c r="F6244" i="3"/>
  <c r="F6243" i="3"/>
  <c r="F6242" i="3"/>
  <c r="F6241" i="3"/>
  <c r="F6240" i="3"/>
  <c r="F6239" i="3"/>
  <c r="F6238" i="3"/>
  <c r="F6237" i="3"/>
  <c r="F6236" i="3"/>
  <c r="F6235" i="3"/>
  <c r="F6234" i="3"/>
  <c r="F6233" i="3"/>
  <c r="F6232" i="3"/>
  <c r="F6231" i="3"/>
  <c r="F6230" i="3"/>
  <c r="F6229" i="3"/>
  <c r="F6228" i="3"/>
  <c r="F6227" i="3"/>
  <c r="F6226" i="3"/>
  <c r="F6225" i="3"/>
  <c r="F6224" i="3"/>
  <c r="F6223" i="3"/>
  <c r="F6222" i="3"/>
  <c r="F6221" i="3"/>
  <c r="F6220" i="3"/>
  <c r="F6219" i="3"/>
  <c r="F6218" i="3"/>
  <c r="F6217" i="3"/>
  <c r="F6216" i="3"/>
  <c r="F6215" i="3"/>
  <c r="F6214" i="3"/>
  <c r="F6213" i="3"/>
  <c r="F6212" i="3"/>
  <c r="F6211" i="3"/>
  <c r="F6210" i="3"/>
  <c r="F6209" i="3"/>
  <c r="F6208" i="3"/>
  <c r="F6207" i="3"/>
  <c r="F6206" i="3"/>
  <c r="F6205" i="3"/>
  <c r="F6204" i="3"/>
  <c r="F6203" i="3"/>
  <c r="F6202" i="3"/>
  <c r="F6201" i="3"/>
  <c r="F6200" i="3"/>
  <c r="F6199" i="3"/>
  <c r="F6198" i="3"/>
  <c r="F6197" i="3"/>
  <c r="F6196" i="3"/>
  <c r="F6195" i="3"/>
  <c r="F6194" i="3"/>
  <c r="F6193" i="3"/>
  <c r="F6192" i="3"/>
  <c r="F6191" i="3"/>
  <c r="F6190" i="3"/>
  <c r="F6189" i="3"/>
  <c r="F6188" i="3"/>
  <c r="F6187" i="3"/>
  <c r="F6186" i="3"/>
  <c r="F6185" i="3"/>
  <c r="F6184" i="3"/>
  <c r="F6183" i="3"/>
  <c r="F6182" i="3"/>
  <c r="F6181" i="3"/>
  <c r="F6180" i="3"/>
  <c r="F6179" i="3"/>
  <c r="F6178" i="3"/>
  <c r="F6177" i="3"/>
  <c r="F6176" i="3"/>
  <c r="F6175" i="3"/>
  <c r="F6174" i="3"/>
  <c r="F6173" i="3"/>
  <c r="F6172" i="3"/>
  <c r="F6171" i="3"/>
  <c r="F6170" i="3"/>
  <c r="F6169" i="3"/>
  <c r="F6168" i="3"/>
  <c r="F6167" i="3"/>
  <c r="F6166" i="3"/>
  <c r="F6165" i="3"/>
  <c r="F6164" i="3"/>
  <c r="F6163" i="3"/>
  <c r="F6162" i="3"/>
  <c r="F6161" i="3"/>
  <c r="F6160" i="3"/>
  <c r="F6159" i="3"/>
  <c r="F6158" i="3"/>
  <c r="F6157" i="3"/>
  <c r="F6156" i="3"/>
  <c r="F6155" i="3"/>
  <c r="F6154" i="3"/>
  <c r="F6153" i="3"/>
  <c r="F6152" i="3"/>
  <c r="F6151" i="3"/>
  <c r="F6150" i="3"/>
  <c r="F6149" i="3"/>
  <c r="F6148" i="3"/>
  <c r="F6147" i="3"/>
  <c r="F6146" i="3"/>
  <c r="F6145" i="3"/>
  <c r="F6144" i="3"/>
  <c r="F6143" i="3"/>
  <c r="F6142" i="3"/>
  <c r="F6141" i="3"/>
  <c r="F6140" i="3"/>
  <c r="F6139" i="3"/>
  <c r="F6138" i="3"/>
  <c r="F6137" i="3"/>
  <c r="F6136" i="3"/>
  <c r="F6135" i="3"/>
  <c r="F6134" i="3"/>
  <c r="F6133" i="3"/>
  <c r="F6132" i="3"/>
  <c r="F6131" i="3"/>
  <c r="F6130" i="3"/>
  <c r="F6129" i="3"/>
  <c r="F6128" i="3"/>
  <c r="F6127" i="3"/>
  <c r="F6126" i="3"/>
  <c r="F6125" i="3"/>
  <c r="F6124" i="3"/>
  <c r="F6123" i="3"/>
  <c r="F6122" i="3"/>
  <c r="F6121" i="3"/>
  <c r="F6120" i="3"/>
  <c r="F6119" i="3"/>
  <c r="F6118" i="3"/>
  <c r="F6117" i="3"/>
  <c r="F6116" i="3"/>
  <c r="F6115" i="3"/>
  <c r="F6114" i="3"/>
  <c r="F6113" i="3"/>
  <c r="F6112" i="3"/>
  <c r="F6111" i="3"/>
  <c r="F6110" i="3"/>
  <c r="F6109" i="3"/>
  <c r="F6108" i="3"/>
  <c r="F6107" i="3"/>
  <c r="F6106" i="3"/>
  <c r="F6105" i="3"/>
  <c r="F6104" i="3"/>
  <c r="F6103" i="3"/>
  <c r="F6102" i="3"/>
  <c r="F6101" i="3"/>
  <c r="F6100" i="3"/>
  <c r="F6099" i="3"/>
  <c r="F6098" i="3"/>
  <c r="F6097" i="3"/>
  <c r="F6096" i="3"/>
  <c r="F6095" i="3"/>
  <c r="F6094" i="3"/>
  <c r="F6093" i="3"/>
  <c r="F6092" i="3"/>
  <c r="F6091" i="3"/>
  <c r="F6090" i="3"/>
  <c r="F6089" i="3"/>
  <c r="F6088" i="3"/>
  <c r="F6087" i="3"/>
  <c r="F6086" i="3"/>
  <c r="F6085" i="3"/>
  <c r="F6084" i="3"/>
  <c r="F6083" i="3"/>
  <c r="F6082" i="3"/>
  <c r="F6081" i="3"/>
  <c r="F6080" i="3"/>
  <c r="F6079" i="3"/>
  <c r="F6078" i="3"/>
  <c r="F6077" i="3"/>
  <c r="F6076" i="3"/>
  <c r="F6075" i="3"/>
  <c r="F6074" i="3"/>
  <c r="F6073" i="3"/>
  <c r="F6072" i="3"/>
  <c r="F6071" i="3"/>
  <c r="F6070" i="3"/>
  <c r="F6069" i="3"/>
  <c r="F6068" i="3"/>
  <c r="F6067" i="3"/>
  <c r="F6066" i="3"/>
  <c r="F6065" i="3"/>
  <c r="F6064" i="3"/>
  <c r="F6063" i="3"/>
  <c r="F6062" i="3"/>
  <c r="F6061" i="3"/>
  <c r="F6060" i="3"/>
  <c r="F6059" i="3"/>
  <c r="F6058" i="3"/>
  <c r="F6057" i="3"/>
  <c r="F6056" i="3"/>
  <c r="F6055" i="3"/>
  <c r="F6054" i="3"/>
  <c r="F6053" i="3"/>
  <c r="F6052" i="3"/>
  <c r="F6051" i="3"/>
  <c r="F6050" i="3"/>
  <c r="F6049" i="3"/>
  <c r="F6048" i="3"/>
  <c r="F6047" i="3"/>
  <c r="F6046" i="3"/>
  <c r="F6045" i="3"/>
  <c r="F6044" i="3"/>
  <c r="F6043" i="3"/>
  <c r="F6042" i="3"/>
  <c r="F6041" i="3"/>
  <c r="F6040" i="3"/>
  <c r="F6039" i="3"/>
  <c r="F6038" i="3"/>
  <c r="F6037" i="3"/>
  <c r="F6036" i="3"/>
  <c r="F6035" i="3"/>
  <c r="F6034" i="3"/>
  <c r="F6033" i="3"/>
  <c r="F6032" i="3"/>
  <c r="F6031" i="3"/>
  <c r="F6030" i="3"/>
  <c r="F6029" i="3"/>
  <c r="F6028" i="3"/>
  <c r="F6027" i="3"/>
  <c r="F6026" i="3"/>
  <c r="F6025" i="3"/>
  <c r="F6024" i="3"/>
  <c r="F6023" i="3"/>
  <c r="F6022" i="3"/>
  <c r="F6021" i="3"/>
  <c r="F6020" i="3"/>
  <c r="F6019" i="3"/>
  <c r="F6018" i="3"/>
  <c r="F6017" i="3"/>
  <c r="F6016" i="3"/>
  <c r="F6015" i="3"/>
  <c r="F6014" i="3"/>
  <c r="F6013" i="3"/>
  <c r="F6012" i="3"/>
  <c r="F6011" i="3"/>
  <c r="F6010" i="3"/>
  <c r="F6009" i="3"/>
  <c r="F6008" i="3"/>
  <c r="F6007" i="3"/>
  <c r="F6006" i="3"/>
  <c r="F6005" i="3"/>
  <c r="F6004" i="3"/>
  <c r="F6003" i="3"/>
  <c r="F6002" i="3"/>
  <c r="F6001" i="3"/>
  <c r="F6000" i="3"/>
  <c r="F5999" i="3"/>
  <c r="F5998" i="3"/>
  <c r="F5997" i="3"/>
  <c r="F5996" i="3"/>
  <c r="F5995" i="3"/>
  <c r="F5994" i="3"/>
  <c r="F5993" i="3"/>
  <c r="F5992" i="3"/>
  <c r="F5991" i="3"/>
  <c r="F5990" i="3"/>
  <c r="F5989" i="3"/>
  <c r="F5988" i="3"/>
  <c r="F5987" i="3"/>
  <c r="F5986" i="3"/>
  <c r="F5985" i="3"/>
  <c r="F5984" i="3"/>
  <c r="F5983" i="3"/>
  <c r="F5982" i="3"/>
  <c r="F5981" i="3"/>
  <c r="F5980" i="3"/>
  <c r="F5979" i="3"/>
  <c r="F5978" i="3"/>
  <c r="F5977" i="3"/>
  <c r="F5976" i="3"/>
  <c r="F5975" i="3"/>
  <c r="F5974" i="3"/>
  <c r="F5973" i="3"/>
  <c r="F5972" i="3"/>
  <c r="F5971" i="3"/>
  <c r="F5970" i="3"/>
  <c r="F5969" i="3"/>
  <c r="F5968" i="3"/>
  <c r="F5967" i="3"/>
  <c r="F5966" i="3"/>
  <c r="F5965" i="3"/>
  <c r="F5964" i="3"/>
  <c r="F5963" i="3"/>
  <c r="F5962" i="3"/>
  <c r="F5961" i="3"/>
  <c r="F5960" i="3"/>
  <c r="F5959" i="3"/>
  <c r="F5958" i="3"/>
  <c r="F5957" i="3"/>
  <c r="F5956" i="3"/>
  <c r="F5955" i="3"/>
  <c r="F5954" i="3"/>
  <c r="F5953" i="3"/>
  <c r="F5952" i="3"/>
  <c r="F5951" i="3"/>
  <c r="F5950" i="3"/>
  <c r="F5949" i="3"/>
  <c r="F5948" i="3"/>
  <c r="F5947" i="3"/>
  <c r="F5946" i="3"/>
  <c r="F5945" i="3"/>
  <c r="F5944" i="3"/>
  <c r="F5943" i="3"/>
  <c r="F5942" i="3"/>
  <c r="F5941" i="3"/>
  <c r="F5940" i="3"/>
  <c r="F5939" i="3"/>
  <c r="F5938" i="3"/>
  <c r="F5937" i="3"/>
  <c r="F5936" i="3"/>
  <c r="F5935" i="3"/>
  <c r="F5934" i="3"/>
  <c r="F5933" i="3"/>
  <c r="F5932" i="3"/>
  <c r="F5931" i="3"/>
  <c r="F5930" i="3"/>
  <c r="F5929" i="3"/>
  <c r="F5928" i="3"/>
  <c r="F5927" i="3"/>
  <c r="F5926" i="3"/>
  <c r="F5925" i="3"/>
  <c r="F5924" i="3"/>
  <c r="F5923" i="3"/>
  <c r="F5922" i="3"/>
  <c r="F5921" i="3"/>
  <c r="F5920" i="3"/>
  <c r="F5919" i="3"/>
  <c r="F5918" i="3"/>
  <c r="F5917" i="3"/>
  <c r="F5916" i="3"/>
  <c r="F5915" i="3"/>
  <c r="F5914" i="3"/>
  <c r="F5913" i="3"/>
  <c r="F5912" i="3"/>
  <c r="F5911" i="3"/>
  <c r="F5910" i="3"/>
  <c r="F5909" i="3"/>
  <c r="F5908" i="3"/>
  <c r="F5907" i="3"/>
  <c r="F5906" i="3"/>
  <c r="F5905" i="3"/>
  <c r="F5904" i="3"/>
  <c r="F5903" i="3"/>
  <c r="F5902" i="3"/>
  <c r="F5901" i="3"/>
  <c r="F5900" i="3"/>
  <c r="F5899" i="3"/>
  <c r="F5898" i="3"/>
  <c r="F5897" i="3"/>
  <c r="F5896" i="3"/>
  <c r="F5895" i="3"/>
  <c r="F5894" i="3"/>
  <c r="F5893" i="3"/>
  <c r="F5892" i="3"/>
  <c r="F5891" i="3"/>
  <c r="F5890" i="3"/>
  <c r="F5889" i="3"/>
  <c r="F5888" i="3"/>
  <c r="F5887" i="3"/>
  <c r="F5886" i="3"/>
  <c r="F5885" i="3"/>
  <c r="F5884" i="3"/>
  <c r="F5883" i="3"/>
  <c r="F5882" i="3"/>
  <c r="F5881" i="3"/>
  <c r="F5880" i="3"/>
  <c r="F5879" i="3"/>
  <c r="F5878" i="3"/>
  <c r="F5877" i="3"/>
  <c r="F5876" i="3"/>
  <c r="F5875" i="3"/>
  <c r="F5874" i="3"/>
  <c r="F5873" i="3"/>
  <c r="F5872" i="3"/>
  <c r="F5871" i="3"/>
  <c r="F5870" i="3"/>
  <c r="F5869" i="3"/>
  <c r="F5868" i="3"/>
  <c r="F5867" i="3"/>
  <c r="F5866" i="3"/>
  <c r="F5865" i="3"/>
  <c r="F5864" i="3"/>
  <c r="F5863" i="3"/>
  <c r="F5862" i="3"/>
  <c r="F5861" i="3"/>
  <c r="F5860" i="3"/>
  <c r="F5859" i="3"/>
  <c r="F5858" i="3"/>
  <c r="F5857" i="3"/>
  <c r="F5856" i="3"/>
  <c r="F5855" i="3"/>
  <c r="F5854" i="3"/>
  <c r="F5853" i="3"/>
  <c r="F5852" i="3"/>
  <c r="F5851" i="3"/>
  <c r="F5850" i="3"/>
  <c r="F5849" i="3"/>
  <c r="F5848" i="3"/>
  <c r="F5847" i="3"/>
  <c r="F5846" i="3"/>
  <c r="F5845" i="3"/>
  <c r="F5844" i="3"/>
  <c r="F5843" i="3"/>
  <c r="F5842" i="3"/>
  <c r="F5841" i="3"/>
  <c r="F5840" i="3"/>
  <c r="F5839" i="3"/>
  <c r="F5838" i="3"/>
  <c r="F5837" i="3"/>
  <c r="F5836" i="3"/>
  <c r="F5835" i="3"/>
  <c r="F5834" i="3"/>
  <c r="F5833" i="3"/>
  <c r="F5832" i="3"/>
  <c r="F5831" i="3"/>
  <c r="F5830" i="3"/>
  <c r="F5829" i="3"/>
  <c r="F5828" i="3"/>
  <c r="F5827" i="3"/>
  <c r="F5826" i="3"/>
  <c r="F5825" i="3"/>
  <c r="F5824" i="3"/>
  <c r="F5823" i="3"/>
  <c r="F5822" i="3"/>
  <c r="F5821" i="3"/>
  <c r="F5820" i="3"/>
  <c r="F5819" i="3"/>
  <c r="F5818" i="3"/>
  <c r="F5817" i="3"/>
  <c r="F5816" i="3"/>
  <c r="F5815" i="3"/>
  <c r="F5814" i="3"/>
  <c r="F5813" i="3"/>
  <c r="F5812" i="3"/>
  <c r="F5811" i="3"/>
  <c r="F5810" i="3"/>
  <c r="F5809" i="3"/>
  <c r="F5808" i="3"/>
  <c r="F5807" i="3"/>
  <c r="F5806" i="3"/>
  <c r="F5805" i="3"/>
  <c r="F5804" i="3"/>
  <c r="F5803" i="3"/>
  <c r="F5802" i="3"/>
  <c r="F5801" i="3"/>
  <c r="F5800" i="3"/>
  <c r="F5799" i="3"/>
  <c r="F5798" i="3"/>
  <c r="F5797" i="3"/>
  <c r="F5796" i="3"/>
  <c r="F5795" i="3"/>
  <c r="F5794" i="3"/>
  <c r="F5793" i="3"/>
  <c r="F5792" i="3"/>
  <c r="F5791" i="3"/>
  <c r="F5790" i="3"/>
  <c r="F5789" i="3"/>
  <c r="F5788" i="3"/>
  <c r="F5787" i="3"/>
  <c r="F5786" i="3"/>
  <c r="F5785" i="3"/>
  <c r="F5784" i="3"/>
  <c r="F5783" i="3"/>
  <c r="F5782" i="3"/>
  <c r="F5781" i="3"/>
  <c r="F5780" i="3"/>
  <c r="F5779" i="3"/>
  <c r="F5778" i="3"/>
  <c r="F5777" i="3"/>
  <c r="F5776" i="3"/>
  <c r="F5775" i="3"/>
  <c r="F5774" i="3"/>
  <c r="F5773" i="3"/>
  <c r="F5772" i="3"/>
  <c r="F5771" i="3"/>
  <c r="F5770" i="3"/>
  <c r="F5769" i="3"/>
  <c r="F5768" i="3"/>
  <c r="F5767" i="3"/>
  <c r="F5766" i="3"/>
  <c r="F5765" i="3"/>
  <c r="F5764" i="3"/>
  <c r="F5763" i="3"/>
  <c r="F5762" i="3"/>
  <c r="F5761" i="3"/>
  <c r="F5760" i="3"/>
  <c r="F5759" i="3"/>
  <c r="F5758" i="3"/>
  <c r="F5757" i="3"/>
  <c r="F5756" i="3"/>
  <c r="F5755" i="3"/>
  <c r="F5754" i="3"/>
  <c r="F5753" i="3"/>
  <c r="F5752" i="3"/>
  <c r="F5751" i="3"/>
  <c r="F5750" i="3"/>
  <c r="F5749" i="3"/>
  <c r="F5748" i="3"/>
  <c r="F5747" i="3"/>
  <c r="F5746" i="3"/>
  <c r="F5745" i="3"/>
  <c r="F5744" i="3"/>
  <c r="F5743" i="3"/>
  <c r="F5742" i="3"/>
  <c r="F5741" i="3"/>
  <c r="F5740" i="3"/>
  <c r="F5739" i="3"/>
  <c r="F5738" i="3"/>
  <c r="F5737" i="3"/>
  <c r="F5736" i="3"/>
  <c r="F5735" i="3"/>
  <c r="F5734" i="3"/>
  <c r="F5733" i="3"/>
  <c r="F5732" i="3"/>
  <c r="F5731" i="3"/>
  <c r="F5730" i="3"/>
  <c r="F5729" i="3"/>
  <c r="F5728" i="3"/>
  <c r="F5727" i="3"/>
  <c r="F5726" i="3"/>
  <c r="F5725" i="3"/>
  <c r="F5724" i="3"/>
  <c r="F5723" i="3"/>
  <c r="F5722" i="3"/>
  <c r="F5721" i="3"/>
  <c r="F5720" i="3"/>
  <c r="F5719" i="3"/>
  <c r="F5718" i="3"/>
  <c r="F5717" i="3"/>
  <c r="F5716" i="3"/>
  <c r="F5715" i="3"/>
  <c r="F5714" i="3"/>
  <c r="F5713" i="3"/>
  <c r="F5712" i="3"/>
  <c r="F5711" i="3"/>
  <c r="F5710" i="3"/>
  <c r="F5709" i="3"/>
  <c r="F5708" i="3"/>
  <c r="F5707" i="3"/>
  <c r="F5706" i="3"/>
  <c r="F5705" i="3"/>
  <c r="F5704" i="3"/>
  <c r="F5703" i="3"/>
  <c r="F5702" i="3"/>
  <c r="F5701" i="3"/>
  <c r="F5700" i="3"/>
  <c r="F5699" i="3"/>
  <c r="F5698" i="3"/>
  <c r="F5697" i="3"/>
  <c r="F5696" i="3"/>
  <c r="F5695" i="3"/>
  <c r="F5694" i="3"/>
  <c r="F5693" i="3"/>
  <c r="F5692" i="3"/>
  <c r="F5691" i="3"/>
  <c r="F5690" i="3"/>
  <c r="F5689" i="3"/>
  <c r="F5688" i="3"/>
  <c r="F5687" i="3"/>
  <c r="F5686" i="3"/>
  <c r="F5685" i="3"/>
  <c r="F5684" i="3"/>
  <c r="F5683" i="3"/>
  <c r="F5682" i="3"/>
  <c r="F5681" i="3"/>
  <c r="F5680" i="3"/>
  <c r="F5679" i="3"/>
  <c r="F5678" i="3"/>
  <c r="F5677" i="3"/>
  <c r="F5676" i="3"/>
  <c r="F5675" i="3"/>
  <c r="F5674" i="3"/>
  <c r="F5673" i="3"/>
  <c r="F5672" i="3"/>
  <c r="F5671" i="3"/>
  <c r="F5670" i="3"/>
  <c r="F5669" i="3"/>
  <c r="F5668" i="3"/>
  <c r="F5667" i="3"/>
  <c r="F5666" i="3"/>
  <c r="F5665" i="3"/>
  <c r="F5664" i="3"/>
  <c r="F5663" i="3"/>
  <c r="F5662" i="3"/>
  <c r="F5661" i="3"/>
  <c r="F5660" i="3"/>
  <c r="F5659" i="3"/>
  <c r="F5658" i="3"/>
  <c r="F5657" i="3"/>
  <c r="F5656" i="3"/>
  <c r="F5655" i="3"/>
  <c r="F5654" i="3"/>
  <c r="F5653" i="3"/>
  <c r="F5652" i="3"/>
  <c r="F5651" i="3"/>
  <c r="F5650" i="3"/>
  <c r="F5649" i="3"/>
  <c r="F5648" i="3"/>
  <c r="F5647" i="3"/>
  <c r="F5646" i="3"/>
  <c r="F5645" i="3"/>
  <c r="F5644" i="3"/>
  <c r="F5643" i="3"/>
  <c r="F5642" i="3"/>
  <c r="F5641" i="3"/>
  <c r="F5640" i="3"/>
  <c r="F5639" i="3"/>
  <c r="F5638" i="3"/>
  <c r="F5637" i="3"/>
  <c r="F5636" i="3"/>
  <c r="F5635" i="3"/>
  <c r="F5634" i="3"/>
  <c r="F5633" i="3"/>
  <c r="F5632" i="3"/>
  <c r="F5631" i="3"/>
  <c r="F5630" i="3"/>
  <c r="F5629" i="3"/>
  <c r="F5628" i="3"/>
  <c r="F5627" i="3"/>
  <c r="F5626" i="3"/>
  <c r="F5625" i="3"/>
  <c r="F5624" i="3"/>
  <c r="F5623" i="3"/>
  <c r="F5622" i="3"/>
  <c r="F5621" i="3"/>
  <c r="F5620" i="3"/>
  <c r="F5619" i="3"/>
  <c r="F5618" i="3"/>
  <c r="F5617" i="3"/>
  <c r="F5616" i="3"/>
  <c r="F5615" i="3"/>
  <c r="F5614" i="3"/>
  <c r="F5613" i="3"/>
  <c r="F5612" i="3"/>
  <c r="F5611" i="3"/>
  <c r="F5610" i="3"/>
  <c r="F5609" i="3"/>
  <c r="F5608" i="3"/>
  <c r="F5607" i="3"/>
  <c r="F5606" i="3"/>
  <c r="F5605" i="3"/>
  <c r="F5604" i="3"/>
  <c r="F5603" i="3"/>
  <c r="F5602" i="3"/>
  <c r="F5601" i="3"/>
  <c r="F5600" i="3"/>
  <c r="F5599" i="3"/>
  <c r="F5598" i="3"/>
  <c r="F5597" i="3"/>
  <c r="F5596" i="3"/>
  <c r="F5595" i="3"/>
  <c r="F5594" i="3"/>
  <c r="F5593" i="3"/>
  <c r="F5592" i="3"/>
  <c r="F5591" i="3"/>
  <c r="F5590" i="3"/>
  <c r="F5589" i="3"/>
  <c r="F5588" i="3"/>
  <c r="F5587" i="3"/>
  <c r="F5586" i="3"/>
  <c r="F5585" i="3"/>
  <c r="F5584" i="3"/>
  <c r="F5583" i="3"/>
  <c r="F5582" i="3"/>
  <c r="F5581" i="3"/>
  <c r="F5580" i="3"/>
  <c r="F5579" i="3"/>
  <c r="F5578" i="3"/>
  <c r="F5577" i="3"/>
  <c r="F5576" i="3"/>
  <c r="F5575" i="3"/>
  <c r="F5574" i="3"/>
  <c r="F5573" i="3"/>
  <c r="F5572" i="3"/>
  <c r="F5571" i="3"/>
  <c r="F5570" i="3"/>
  <c r="F5569" i="3"/>
  <c r="F5568" i="3"/>
  <c r="F5567" i="3"/>
  <c r="F5566" i="3"/>
  <c r="F5565" i="3"/>
  <c r="F5564" i="3"/>
  <c r="F5563" i="3"/>
  <c r="F5562" i="3"/>
  <c r="F5561" i="3"/>
  <c r="F5560" i="3"/>
  <c r="F5559" i="3"/>
  <c r="F5558" i="3"/>
  <c r="F5557" i="3"/>
  <c r="F5556" i="3"/>
  <c r="F5555" i="3"/>
  <c r="F5554" i="3"/>
  <c r="F5553" i="3"/>
  <c r="F5552" i="3"/>
  <c r="F5551" i="3"/>
  <c r="F5550" i="3"/>
  <c r="F5549" i="3"/>
  <c r="F5548" i="3"/>
  <c r="F5547" i="3"/>
  <c r="F5546" i="3"/>
  <c r="F5545" i="3"/>
  <c r="F5544" i="3"/>
  <c r="F5543" i="3"/>
  <c r="F5542" i="3"/>
  <c r="F5541" i="3"/>
  <c r="F5540" i="3"/>
  <c r="F5539" i="3"/>
  <c r="F5538" i="3"/>
  <c r="F5537" i="3"/>
  <c r="F5536" i="3"/>
  <c r="F5535" i="3"/>
  <c r="F5534" i="3"/>
  <c r="F5533" i="3"/>
  <c r="F5532" i="3"/>
  <c r="F5531" i="3"/>
  <c r="F5530" i="3"/>
  <c r="F5529" i="3"/>
  <c r="F5528" i="3"/>
  <c r="F5527" i="3"/>
  <c r="F5526" i="3"/>
  <c r="F5525" i="3"/>
  <c r="F5524" i="3"/>
  <c r="F5523" i="3"/>
  <c r="F5522" i="3"/>
  <c r="F5521" i="3"/>
  <c r="F5520" i="3"/>
  <c r="F5519" i="3"/>
  <c r="F5518" i="3"/>
  <c r="F5517" i="3"/>
  <c r="F5516" i="3"/>
  <c r="F5515" i="3"/>
  <c r="F5514" i="3"/>
  <c r="F5513" i="3"/>
  <c r="F5512" i="3"/>
  <c r="F5511" i="3"/>
  <c r="F5510" i="3"/>
  <c r="F5509" i="3"/>
  <c r="F5508" i="3"/>
  <c r="F5507" i="3"/>
  <c r="F5506" i="3"/>
  <c r="F5505" i="3"/>
  <c r="F5504" i="3"/>
  <c r="F5503" i="3"/>
  <c r="F5502" i="3"/>
  <c r="F5501" i="3"/>
  <c r="F5500" i="3"/>
  <c r="F5499" i="3"/>
  <c r="F5498" i="3"/>
  <c r="F5497" i="3"/>
  <c r="F5496" i="3"/>
  <c r="F5495" i="3"/>
  <c r="F5494" i="3"/>
  <c r="F5493" i="3"/>
  <c r="F5492" i="3"/>
  <c r="F5491" i="3"/>
  <c r="F5490" i="3"/>
  <c r="F5489" i="3"/>
  <c r="F5488" i="3"/>
  <c r="F5487" i="3"/>
  <c r="F5486" i="3"/>
  <c r="F5485" i="3"/>
  <c r="F5484" i="3"/>
  <c r="F5483" i="3"/>
  <c r="F5482" i="3"/>
  <c r="F5481" i="3"/>
  <c r="F5480" i="3"/>
  <c r="F5479" i="3"/>
  <c r="F5478" i="3"/>
  <c r="F5477" i="3"/>
  <c r="F5476" i="3"/>
  <c r="F5475" i="3"/>
  <c r="F5474" i="3"/>
  <c r="F5473" i="3"/>
  <c r="F5472" i="3"/>
  <c r="F5471" i="3"/>
  <c r="F5470" i="3"/>
  <c r="F5469" i="3"/>
  <c r="F5468" i="3"/>
  <c r="F5467" i="3"/>
  <c r="F5466" i="3"/>
  <c r="F5465" i="3"/>
  <c r="F5464" i="3"/>
  <c r="F5463" i="3"/>
  <c r="F5462" i="3"/>
  <c r="F5461" i="3"/>
  <c r="F5460" i="3"/>
  <c r="F5459" i="3"/>
  <c r="F5458" i="3"/>
  <c r="F5457" i="3"/>
  <c r="F5456" i="3"/>
  <c r="F5455" i="3"/>
  <c r="F5454" i="3"/>
  <c r="F5453" i="3"/>
  <c r="F5452" i="3"/>
  <c r="F5451" i="3"/>
  <c r="F5450" i="3"/>
  <c r="F5449" i="3"/>
  <c r="F5448" i="3"/>
  <c r="F5447" i="3"/>
  <c r="F5446" i="3"/>
  <c r="F5445" i="3"/>
  <c r="F5444" i="3"/>
  <c r="F5443" i="3"/>
  <c r="F5442" i="3"/>
  <c r="F5441" i="3"/>
  <c r="F5440" i="3"/>
  <c r="F5439" i="3"/>
  <c r="F5438" i="3"/>
  <c r="F5437" i="3"/>
  <c r="F5436" i="3"/>
  <c r="F5435" i="3"/>
  <c r="F5434" i="3"/>
  <c r="F5433" i="3"/>
  <c r="F5432" i="3"/>
  <c r="F5431" i="3"/>
  <c r="F5430" i="3"/>
  <c r="F5429" i="3"/>
  <c r="F5428" i="3"/>
  <c r="F5427" i="3"/>
  <c r="F5426" i="3"/>
  <c r="F5425" i="3"/>
  <c r="F5424" i="3"/>
  <c r="F5423" i="3"/>
  <c r="F5422" i="3"/>
  <c r="F5421" i="3"/>
  <c r="F5420" i="3"/>
  <c r="F5419" i="3"/>
  <c r="F5418" i="3"/>
  <c r="F5417" i="3"/>
  <c r="F5416" i="3"/>
  <c r="F5415" i="3"/>
  <c r="F5414" i="3"/>
  <c r="F5413" i="3"/>
  <c r="F5412" i="3"/>
  <c r="F5411" i="3"/>
  <c r="F5410" i="3"/>
  <c r="F5409" i="3"/>
  <c r="F5408" i="3"/>
  <c r="F5407" i="3"/>
  <c r="F5406" i="3"/>
  <c r="F5405" i="3"/>
  <c r="F5404" i="3"/>
  <c r="F5403" i="3"/>
  <c r="F5402" i="3"/>
  <c r="F5401" i="3"/>
  <c r="F5400" i="3"/>
  <c r="F5399" i="3"/>
  <c r="F5398" i="3"/>
  <c r="F5397" i="3"/>
  <c r="F5396" i="3"/>
  <c r="F5395" i="3"/>
  <c r="F5394" i="3"/>
  <c r="F5393" i="3"/>
  <c r="F5392" i="3"/>
  <c r="F5391" i="3"/>
  <c r="F5390" i="3"/>
  <c r="F5389" i="3"/>
  <c r="F5388" i="3"/>
  <c r="F5387" i="3"/>
  <c r="F5386" i="3"/>
  <c r="F5385" i="3"/>
  <c r="F5384" i="3"/>
  <c r="F5383" i="3"/>
  <c r="F5382" i="3"/>
  <c r="F5381" i="3"/>
  <c r="F5380" i="3"/>
  <c r="F5379" i="3"/>
  <c r="F5378" i="3"/>
  <c r="F5377" i="3"/>
  <c r="F5376" i="3"/>
  <c r="F5375" i="3"/>
  <c r="F5374" i="3"/>
  <c r="F5373" i="3"/>
  <c r="F5372" i="3"/>
  <c r="F5371" i="3"/>
  <c r="F5370" i="3"/>
  <c r="F5369" i="3"/>
  <c r="F5368" i="3"/>
  <c r="F5367" i="3"/>
  <c r="F5366" i="3"/>
  <c r="F5365" i="3"/>
  <c r="F5364" i="3"/>
  <c r="F5363" i="3"/>
  <c r="F5362" i="3"/>
  <c r="F5361" i="3"/>
  <c r="F5360" i="3"/>
  <c r="F5359" i="3"/>
  <c r="F5358" i="3"/>
  <c r="F5357" i="3"/>
  <c r="F5356" i="3"/>
  <c r="F5355" i="3"/>
  <c r="F5354" i="3"/>
  <c r="F5353" i="3"/>
  <c r="F5352" i="3"/>
  <c r="F5351" i="3"/>
  <c r="F5350" i="3"/>
  <c r="F5349" i="3"/>
  <c r="F5348" i="3"/>
  <c r="F5347" i="3"/>
  <c r="F5346" i="3"/>
  <c r="F5345" i="3"/>
  <c r="F5344" i="3"/>
  <c r="F5343" i="3"/>
  <c r="F5342" i="3"/>
  <c r="F5341" i="3"/>
  <c r="F5340" i="3"/>
  <c r="F5339" i="3"/>
  <c r="F5338" i="3"/>
  <c r="F5337" i="3"/>
  <c r="F5336" i="3"/>
  <c r="F5335" i="3"/>
  <c r="F5334" i="3"/>
  <c r="F5333" i="3"/>
  <c r="F5332" i="3"/>
  <c r="F5331" i="3"/>
  <c r="F5330" i="3"/>
  <c r="F5329" i="3"/>
  <c r="F5328" i="3"/>
  <c r="F5327" i="3"/>
  <c r="F5326" i="3"/>
  <c r="F5325" i="3"/>
  <c r="F5324" i="3"/>
  <c r="F5323" i="3"/>
  <c r="F5322" i="3"/>
  <c r="F5321" i="3"/>
  <c r="F5320" i="3"/>
  <c r="F5319" i="3"/>
  <c r="F5318" i="3"/>
  <c r="F5317" i="3"/>
  <c r="F5316" i="3"/>
  <c r="F5315" i="3"/>
  <c r="F5314" i="3"/>
  <c r="F5313" i="3"/>
  <c r="F5312" i="3"/>
  <c r="F5311" i="3"/>
  <c r="F5310" i="3"/>
  <c r="F5309" i="3"/>
  <c r="F5308" i="3"/>
  <c r="F5307" i="3"/>
  <c r="F5306" i="3"/>
  <c r="F5305" i="3"/>
  <c r="F5304" i="3"/>
  <c r="F5303" i="3"/>
  <c r="F5302" i="3"/>
  <c r="F5301" i="3"/>
  <c r="F5300" i="3"/>
  <c r="F5299" i="3"/>
  <c r="F5298" i="3"/>
  <c r="F5297" i="3"/>
  <c r="F5296" i="3"/>
  <c r="F5295" i="3"/>
  <c r="F5294" i="3"/>
  <c r="F5293" i="3"/>
  <c r="F5292" i="3"/>
  <c r="F5291" i="3"/>
  <c r="F5290" i="3"/>
  <c r="F5289" i="3"/>
  <c r="F5288" i="3"/>
  <c r="F5287" i="3"/>
  <c r="F5286" i="3"/>
  <c r="F5285" i="3"/>
  <c r="F5284" i="3"/>
  <c r="F5283" i="3"/>
  <c r="F5282" i="3"/>
  <c r="F5281" i="3"/>
  <c r="F5280" i="3"/>
  <c r="F5279" i="3"/>
  <c r="F5278" i="3"/>
  <c r="F5277" i="3"/>
  <c r="F5276" i="3"/>
  <c r="F5275" i="3"/>
  <c r="F5274" i="3"/>
  <c r="F5273" i="3"/>
  <c r="F5272" i="3"/>
  <c r="F5271" i="3"/>
  <c r="F5270" i="3"/>
  <c r="F5269" i="3"/>
  <c r="F5268" i="3"/>
  <c r="F5267" i="3"/>
  <c r="F5266" i="3"/>
  <c r="F5265" i="3"/>
  <c r="F5264" i="3"/>
  <c r="F5263" i="3"/>
  <c r="F5262" i="3"/>
  <c r="F5261" i="3"/>
  <c r="F5260" i="3"/>
  <c r="F5259" i="3"/>
  <c r="F5258" i="3"/>
  <c r="F5257" i="3"/>
  <c r="F5256" i="3"/>
  <c r="F5255" i="3"/>
  <c r="F5254" i="3"/>
  <c r="F5253" i="3"/>
  <c r="F5252" i="3"/>
  <c r="F5251" i="3"/>
  <c r="F5250" i="3"/>
  <c r="F5249" i="3"/>
  <c r="F5248" i="3"/>
  <c r="F5247" i="3"/>
  <c r="F5246" i="3"/>
  <c r="F5245" i="3"/>
  <c r="F5244" i="3"/>
  <c r="F5243" i="3"/>
  <c r="F5242" i="3"/>
  <c r="F5241" i="3"/>
  <c r="F5240" i="3"/>
  <c r="F5239" i="3"/>
  <c r="F5238" i="3"/>
  <c r="F5237" i="3"/>
  <c r="F5236" i="3"/>
  <c r="F5235" i="3"/>
  <c r="F5234" i="3"/>
  <c r="F5233" i="3"/>
  <c r="F5232" i="3"/>
  <c r="F5231" i="3"/>
  <c r="F5230" i="3"/>
  <c r="F5229" i="3"/>
  <c r="F5228" i="3"/>
  <c r="F5227" i="3"/>
  <c r="F5226" i="3"/>
  <c r="F5225" i="3"/>
  <c r="F5224" i="3"/>
  <c r="F5223" i="3"/>
  <c r="F5222" i="3"/>
  <c r="F5221" i="3"/>
  <c r="F5220" i="3"/>
  <c r="F5219" i="3"/>
  <c r="F5218" i="3"/>
  <c r="F5217" i="3"/>
  <c r="F5216" i="3"/>
  <c r="F5215" i="3"/>
  <c r="F5214" i="3"/>
  <c r="F5213" i="3"/>
  <c r="F5212" i="3"/>
  <c r="F5211" i="3"/>
  <c r="F5210" i="3"/>
  <c r="F5209" i="3"/>
  <c r="F5208" i="3"/>
  <c r="F5207" i="3"/>
  <c r="F5206" i="3"/>
  <c r="F5205" i="3"/>
  <c r="F5204" i="3"/>
  <c r="F5203" i="3"/>
  <c r="F5202" i="3"/>
  <c r="F5201" i="3"/>
  <c r="F5200" i="3"/>
  <c r="F5199" i="3"/>
  <c r="F5198" i="3"/>
  <c r="F5197" i="3"/>
  <c r="F5196" i="3"/>
  <c r="F5195" i="3"/>
  <c r="F5194" i="3"/>
  <c r="F5193" i="3"/>
  <c r="F5192" i="3"/>
  <c r="F5191" i="3"/>
  <c r="F5190" i="3"/>
  <c r="F5189" i="3"/>
  <c r="F5188" i="3"/>
  <c r="F5187" i="3"/>
  <c r="F5186" i="3"/>
  <c r="F5185" i="3"/>
  <c r="F5184" i="3"/>
  <c r="F5183" i="3"/>
  <c r="F5182" i="3"/>
  <c r="F5181" i="3"/>
  <c r="F5180" i="3"/>
  <c r="F5179" i="3"/>
  <c r="F5178" i="3"/>
  <c r="F5177" i="3"/>
  <c r="F5176" i="3"/>
  <c r="F5175" i="3"/>
  <c r="F5174" i="3"/>
  <c r="F5173" i="3"/>
  <c r="F5172" i="3"/>
  <c r="F5171" i="3"/>
  <c r="F5170" i="3"/>
  <c r="F5169" i="3"/>
  <c r="F5168" i="3"/>
  <c r="F5167" i="3"/>
  <c r="F5166" i="3"/>
  <c r="F5165" i="3"/>
  <c r="F5164" i="3"/>
  <c r="F5163" i="3"/>
  <c r="F5162" i="3"/>
  <c r="F5161" i="3"/>
  <c r="F5160" i="3"/>
  <c r="F5159" i="3"/>
  <c r="F5158" i="3"/>
  <c r="F5157" i="3"/>
  <c r="F5156" i="3"/>
  <c r="F5155" i="3"/>
  <c r="F5154" i="3"/>
  <c r="F5153" i="3"/>
  <c r="F5152" i="3"/>
  <c r="F5151" i="3"/>
  <c r="F5150" i="3"/>
  <c r="F5149" i="3"/>
  <c r="F5148" i="3"/>
  <c r="F5147" i="3"/>
  <c r="F5146" i="3"/>
  <c r="F5145" i="3"/>
  <c r="F5144" i="3"/>
  <c r="F5143" i="3"/>
  <c r="F5142" i="3"/>
  <c r="F5141" i="3"/>
  <c r="F5140" i="3"/>
  <c r="F5139" i="3"/>
  <c r="F5138" i="3"/>
  <c r="F5137" i="3"/>
  <c r="F5136" i="3"/>
  <c r="F5135" i="3"/>
  <c r="F5134" i="3"/>
  <c r="F5133" i="3"/>
  <c r="F5132" i="3"/>
  <c r="F5131" i="3"/>
  <c r="F5130" i="3"/>
  <c r="F5129" i="3"/>
  <c r="F5128" i="3"/>
  <c r="F5127" i="3"/>
  <c r="F5126" i="3"/>
  <c r="F5125" i="3"/>
  <c r="F5124" i="3"/>
  <c r="F5123" i="3"/>
  <c r="F5122" i="3"/>
  <c r="F5121" i="3"/>
  <c r="F5120" i="3"/>
  <c r="F5119" i="3"/>
  <c r="F5118" i="3"/>
  <c r="F5117" i="3"/>
  <c r="F5116" i="3"/>
  <c r="F5115" i="3"/>
  <c r="F5114" i="3"/>
  <c r="F5113" i="3"/>
  <c r="F5112" i="3"/>
  <c r="F5111" i="3"/>
  <c r="F5110" i="3"/>
  <c r="F5109" i="3"/>
  <c r="F5108" i="3"/>
  <c r="F5107" i="3"/>
  <c r="F5106" i="3"/>
  <c r="F5105" i="3"/>
  <c r="F5104" i="3"/>
  <c r="F5103" i="3"/>
  <c r="F5102" i="3"/>
  <c r="F5101" i="3"/>
  <c r="F5100" i="3"/>
  <c r="F5099" i="3"/>
  <c r="F5098" i="3"/>
  <c r="F5097" i="3"/>
  <c r="F5096" i="3"/>
  <c r="F5095" i="3"/>
  <c r="F5094" i="3"/>
  <c r="F5093" i="3"/>
  <c r="F5092" i="3"/>
  <c r="F5091" i="3"/>
  <c r="F5090" i="3"/>
  <c r="F5089" i="3"/>
  <c r="F5088" i="3"/>
  <c r="F5087" i="3"/>
  <c r="F5086" i="3"/>
  <c r="F5085" i="3"/>
  <c r="F5084" i="3"/>
  <c r="F5083" i="3"/>
  <c r="F5082" i="3"/>
  <c r="F5081" i="3"/>
  <c r="F5080" i="3"/>
  <c r="F5079" i="3"/>
  <c r="F5078" i="3"/>
  <c r="F5077" i="3"/>
  <c r="F5076" i="3"/>
  <c r="F5075" i="3"/>
  <c r="F5074" i="3"/>
  <c r="F5073" i="3"/>
  <c r="F5072" i="3"/>
  <c r="F5071" i="3"/>
  <c r="F5070" i="3"/>
  <c r="F5069" i="3"/>
  <c r="F5068" i="3"/>
  <c r="F5067" i="3"/>
  <c r="F5066" i="3"/>
  <c r="F5065" i="3"/>
  <c r="F5064" i="3"/>
  <c r="F5063" i="3"/>
  <c r="F5062" i="3"/>
  <c r="F5061" i="3"/>
  <c r="F5060" i="3"/>
  <c r="F5059" i="3"/>
  <c r="F5058" i="3"/>
  <c r="F5057" i="3"/>
  <c r="F5056" i="3"/>
  <c r="F5055" i="3"/>
  <c r="F5054" i="3"/>
  <c r="F5053" i="3"/>
  <c r="F5052" i="3"/>
  <c r="F5051" i="3"/>
  <c r="F5050" i="3"/>
  <c r="F5049" i="3"/>
  <c r="F5048" i="3"/>
  <c r="F5047" i="3"/>
  <c r="F5046" i="3"/>
  <c r="F5045" i="3"/>
  <c r="F5044" i="3"/>
  <c r="F5043" i="3"/>
  <c r="F5042" i="3"/>
  <c r="F5041" i="3"/>
  <c r="F5040" i="3"/>
  <c r="F5039" i="3"/>
  <c r="F5038" i="3"/>
  <c r="F5037" i="3"/>
  <c r="F5036" i="3"/>
  <c r="F5035" i="3"/>
  <c r="F5034" i="3"/>
  <c r="F5033" i="3"/>
  <c r="F5032" i="3"/>
  <c r="F5031" i="3"/>
  <c r="F5030" i="3"/>
  <c r="F5029" i="3"/>
  <c r="F5028" i="3"/>
  <c r="F5027" i="3"/>
  <c r="F5026" i="3"/>
  <c r="F5025" i="3"/>
  <c r="F5024" i="3"/>
  <c r="F5023" i="3"/>
  <c r="F5022" i="3"/>
  <c r="F5021" i="3"/>
  <c r="F5020" i="3"/>
  <c r="F5019" i="3"/>
  <c r="F5018" i="3"/>
  <c r="F5017" i="3"/>
  <c r="F5016" i="3"/>
  <c r="F5015" i="3"/>
  <c r="F5014" i="3"/>
  <c r="F5013" i="3"/>
  <c r="F5012" i="3"/>
  <c r="F5011" i="3"/>
  <c r="F5010" i="3"/>
  <c r="F5009" i="3"/>
  <c r="F5008" i="3"/>
  <c r="F5007" i="3"/>
  <c r="F5006" i="3"/>
  <c r="F5005" i="3"/>
  <c r="F5004" i="3"/>
  <c r="F5003" i="3"/>
  <c r="F5002" i="3"/>
  <c r="F5001" i="3"/>
  <c r="F5000" i="3"/>
  <c r="F4999" i="3"/>
  <c r="F4998" i="3"/>
  <c r="F4997" i="3"/>
  <c r="F4996" i="3"/>
  <c r="F4995" i="3"/>
  <c r="F4994" i="3"/>
  <c r="F4993" i="3"/>
  <c r="F4992" i="3"/>
  <c r="F4991" i="3"/>
  <c r="F4990" i="3"/>
  <c r="F4989" i="3"/>
  <c r="F4988" i="3"/>
  <c r="F4987" i="3"/>
  <c r="F4986" i="3"/>
  <c r="F4985" i="3"/>
  <c r="F4984" i="3"/>
  <c r="F4983" i="3"/>
  <c r="F4982" i="3"/>
  <c r="F4981" i="3"/>
  <c r="F4980" i="3"/>
  <c r="F4979" i="3"/>
  <c r="F4978" i="3"/>
  <c r="F4977" i="3"/>
  <c r="F4976" i="3"/>
  <c r="F4975" i="3"/>
  <c r="F4974" i="3"/>
  <c r="F4973" i="3"/>
  <c r="F4972" i="3"/>
  <c r="F4971" i="3"/>
  <c r="F4970" i="3"/>
  <c r="F4969" i="3"/>
  <c r="F4968" i="3"/>
  <c r="F4967" i="3"/>
  <c r="F4966" i="3"/>
  <c r="F4965" i="3"/>
  <c r="F4964" i="3"/>
  <c r="F4963" i="3"/>
  <c r="F4962" i="3"/>
  <c r="F4961" i="3"/>
  <c r="F4960" i="3"/>
  <c r="F4959" i="3"/>
  <c r="F4958" i="3"/>
  <c r="F4957" i="3"/>
  <c r="F4956" i="3"/>
  <c r="F4955" i="3"/>
  <c r="F4954" i="3"/>
  <c r="F4953" i="3"/>
  <c r="F4952" i="3"/>
  <c r="F4951" i="3"/>
  <c r="F4950" i="3"/>
  <c r="F4949" i="3"/>
  <c r="F4948" i="3"/>
  <c r="F4947" i="3"/>
  <c r="F4946" i="3"/>
  <c r="F4945" i="3"/>
  <c r="F4944" i="3"/>
  <c r="F4943" i="3"/>
  <c r="F4942" i="3"/>
  <c r="F4941" i="3"/>
  <c r="F4940" i="3"/>
  <c r="F4939" i="3"/>
  <c r="F4938" i="3"/>
  <c r="F4937" i="3"/>
  <c r="F4936" i="3"/>
  <c r="F4935" i="3"/>
  <c r="F4934" i="3"/>
  <c r="F4933" i="3"/>
  <c r="F4932" i="3"/>
  <c r="F4931" i="3"/>
  <c r="F4930" i="3"/>
  <c r="F4929" i="3"/>
  <c r="F4928" i="3"/>
  <c r="F4927" i="3"/>
  <c r="F4926" i="3"/>
  <c r="F4925" i="3"/>
  <c r="F4924" i="3"/>
  <c r="F4923" i="3"/>
  <c r="F4922" i="3"/>
  <c r="F4921" i="3"/>
  <c r="F4920" i="3"/>
  <c r="F4919" i="3"/>
  <c r="F4918" i="3"/>
  <c r="F4917" i="3"/>
  <c r="F4916" i="3"/>
  <c r="F4915" i="3"/>
  <c r="F4914" i="3"/>
  <c r="F4913" i="3"/>
  <c r="F4912" i="3"/>
  <c r="F4911" i="3"/>
  <c r="F4910" i="3"/>
  <c r="F4909" i="3"/>
  <c r="F4908" i="3"/>
  <c r="F4907" i="3"/>
  <c r="F4906" i="3"/>
  <c r="F4905" i="3"/>
  <c r="F4904" i="3"/>
  <c r="F4903" i="3"/>
  <c r="F4902" i="3"/>
  <c r="F4901" i="3"/>
  <c r="F4900" i="3"/>
  <c r="F4899" i="3"/>
  <c r="F4898" i="3"/>
  <c r="F4897" i="3"/>
  <c r="F4896" i="3"/>
  <c r="F4895" i="3"/>
  <c r="F4894" i="3"/>
  <c r="F4893" i="3"/>
  <c r="F4892" i="3"/>
  <c r="F4891" i="3"/>
  <c r="F4890" i="3"/>
  <c r="F4889" i="3"/>
  <c r="F4888" i="3"/>
  <c r="F4887" i="3"/>
  <c r="F4886" i="3"/>
  <c r="F4885" i="3"/>
  <c r="F4884" i="3"/>
  <c r="F4883" i="3"/>
  <c r="F4882" i="3"/>
  <c r="F4881" i="3"/>
  <c r="F4880" i="3"/>
  <c r="F4879" i="3"/>
  <c r="F4878" i="3"/>
  <c r="F4877" i="3"/>
  <c r="F4876" i="3"/>
  <c r="F4875" i="3"/>
  <c r="F4874" i="3"/>
  <c r="F4873" i="3"/>
  <c r="F4872" i="3"/>
  <c r="F4871" i="3"/>
  <c r="F4870" i="3"/>
  <c r="F4869" i="3"/>
  <c r="F4868" i="3"/>
  <c r="F4867" i="3"/>
  <c r="F4866" i="3"/>
  <c r="F4865" i="3"/>
  <c r="F4864" i="3"/>
  <c r="F4863" i="3"/>
  <c r="F4862" i="3"/>
  <c r="F4861" i="3"/>
  <c r="F4860" i="3"/>
  <c r="F4859" i="3"/>
  <c r="F4858" i="3"/>
  <c r="F4857" i="3"/>
  <c r="F4856" i="3"/>
  <c r="F4855" i="3"/>
  <c r="F4854" i="3"/>
  <c r="F4853" i="3"/>
  <c r="F4852" i="3"/>
  <c r="F4851" i="3"/>
  <c r="F4850" i="3"/>
  <c r="F4849" i="3"/>
  <c r="F4848" i="3"/>
  <c r="F4847" i="3"/>
  <c r="F4846" i="3"/>
  <c r="F4845" i="3"/>
  <c r="F4844" i="3"/>
  <c r="F4843" i="3"/>
  <c r="F4842" i="3"/>
  <c r="F4841" i="3"/>
  <c r="F4840" i="3"/>
  <c r="F4839" i="3"/>
  <c r="F4838" i="3"/>
  <c r="F4837" i="3"/>
  <c r="F4836" i="3"/>
  <c r="F4835" i="3"/>
  <c r="F4834" i="3"/>
  <c r="F4833" i="3"/>
  <c r="F4832" i="3"/>
  <c r="F4831" i="3"/>
  <c r="F4830" i="3"/>
  <c r="F4829" i="3"/>
  <c r="F4828" i="3"/>
  <c r="F4827" i="3"/>
  <c r="F4826" i="3"/>
  <c r="F4825" i="3"/>
  <c r="F4824" i="3"/>
  <c r="F4823" i="3"/>
  <c r="F4822" i="3"/>
  <c r="F4821" i="3"/>
  <c r="F4820" i="3"/>
  <c r="F4819" i="3"/>
  <c r="F4818" i="3"/>
  <c r="F4817" i="3"/>
  <c r="F4816" i="3"/>
  <c r="F4815" i="3"/>
  <c r="F4814" i="3"/>
  <c r="F4813" i="3"/>
  <c r="F4812" i="3"/>
  <c r="F4811" i="3"/>
  <c r="F4810" i="3"/>
  <c r="F4809" i="3"/>
  <c r="F4808" i="3"/>
  <c r="F4807" i="3"/>
  <c r="F4806" i="3"/>
  <c r="F4805" i="3"/>
  <c r="F4804" i="3"/>
  <c r="F4803" i="3"/>
  <c r="F4802" i="3"/>
  <c r="F4801" i="3"/>
  <c r="F4800" i="3"/>
  <c r="F4799" i="3"/>
  <c r="F4798" i="3"/>
  <c r="F4797" i="3"/>
  <c r="F4796" i="3"/>
  <c r="F4795" i="3"/>
  <c r="F4794" i="3"/>
  <c r="F4793" i="3"/>
  <c r="F4792" i="3"/>
  <c r="F4791" i="3"/>
  <c r="F4790" i="3"/>
  <c r="F4789" i="3"/>
  <c r="F4788" i="3"/>
  <c r="F4787" i="3"/>
  <c r="F4786" i="3"/>
  <c r="F4785" i="3"/>
  <c r="F4784" i="3"/>
  <c r="F4783" i="3"/>
  <c r="F4782" i="3"/>
  <c r="F4781" i="3"/>
  <c r="F4780" i="3"/>
  <c r="F4779" i="3"/>
  <c r="F4778" i="3"/>
  <c r="F4777" i="3"/>
  <c r="F4776" i="3"/>
  <c r="F4775" i="3"/>
  <c r="F4774" i="3"/>
  <c r="F4773" i="3"/>
  <c r="F4772" i="3"/>
  <c r="F4771" i="3"/>
  <c r="F4770" i="3"/>
  <c r="F4769" i="3"/>
  <c r="F4768" i="3"/>
  <c r="F4767" i="3"/>
  <c r="F4766" i="3"/>
  <c r="F4765" i="3"/>
  <c r="F4764" i="3"/>
  <c r="F4763" i="3"/>
  <c r="F4762" i="3"/>
  <c r="F4761" i="3"/>
  <c r="F4760" i="3"/>
  <c r="F4759" i="3"/>
  <c r="F4758" i="3"/>
  <c r="F4757" i="3"/>
  <c r="F4756" i="3"/>
  <c r="F4755" i="3"/>
  <c r="F4754" i="3"/>
  <c r="F4753" i="3"/>
  <c r="F4752" i="3"/>
  <c r="F4751" i="3"/>
  <c r="F4750" i="3"/>
  <c r="F4749" i="3"/>
  <c r="F4748" i="3"/>
  <c r="F4747" i="3"/>
  <c r="F4746" i="3"/>
  <c r="F4745" i="3"/>
  <c r="F4744" i="3"/>
  <c r="F4743" i="3"/>
  <c r="F4742" i="3"/>
  <c r="F4741" i="3"/>
  <c r="F4740" i="3"/>
  <c r="F4739" i="3"/>
  <c r="F4738" i="3"/>
  <c r="F4737" i="3"/>
  <c r="F4736" i="3"/>
  <c r="F4735" i="3"/>
  <c r="F4734" i="3"/>
  <c r="F4733" i="3"/>
  <c r="F4732" i="3"/>
  <c r="F4731" i="3"/>
  <c r="F4730" i="3"/>
  <c r="F4729" i="3"/>
  <c r="F4728" i="3"/>
  <c r="F4727" i="3"/>
  <c r="F4726" i="3"/>
  <c r="F4725" i="3"/>
  <c r="F4724" i="3"/>
  <c r="F4723" i="3"/>
  <c r="F4722" i="3"/>
  <c r="F4721" i="3"/>
  <c r="F4720" i="3"/>
  <c r="F4719" i="3"/>
  <c r="F4718" i="3"/>
  <c r="F4717" i="3"/>
  <c r="F4716" i="3"/>
  <c r="F4715" i="3"/>
  <c r="F4714" i="3"/>
  <c r="F4713" i="3"/>
  <c r="F4712" i="3"/>
  <c r="F4711" i="3"/>
  <c r="F4710" i="3"/>
  <c r="F4709" i="3"/>
  <c r="F4708" i="3"/>
  <c r="F4707" i="3"/>
  <c r="F4706" i="3"/>
  <c r="F4705" i="3"/>
  <c r="F4704" i="3"/>
  <c r="F4703" i="3"/>
  <c r="F4702" i="3"/>
  <c r="F4701" i="3"/>
  <c r="F4700" i="3"/>
  <c r="F4699" i="3"/>
  <c r="F4698" i="3"/>
  <c r="F4697" i="3"/>
  <c r="F4696" i="3"/>
  <c r="F4695" i="3"/>
  <c r="F4694" i="3"/>
  <c r="F4693" i="3"/>
  <c r="F4692" i="3"/>
  <c r="F4691" i="3"/>
  <c r="F4690" i="3"/>
  <c r="F4689" i="3"/>
  <c r="F4688" i="3"/>
  <c r="F4687" i="3"/>
  <c r="F4686" i="3"/>
  <c r="F4685" i="3"/>
  <c r="F4684" i="3"/>
  <c r="F4683" i="3"/>
  <c r="F4682" i="3"/>
  <c r="F4681" i="3"/>
  <c r="F4680" i="3"/>
  <c r="F4679" i="3"/>
  <c r="F4678" i="3"/>
  <c r="F4677" i="3"/>
  <c r="F4676" i="3"/>
  <c r="F4675" i="3"/>
  <c r="F4674" i="3"/>
  <c r="F4673" i="3"/>
  <c r="F4672" i="3"/>
  <c r="F4671" i="3"/>
  <c r="F4670" i="3"/>
  <c r="F4669" i="3"/>
  <c r="F4668" i="3"/>
  <c r="F4667" i="3"/>
  <c r="F4666" i="3"/>
  <c r="F4665" i="3"/>
  <c r="F4664" i="3"/>
  <c r="F4663" i="3"/>
  <c r="F4662" i="3"/>
  <c r="F4661" i="3"/>
  <c r="F4660" i="3"/>
  <c r="F4659" i="3"/>
  <c r="F4658" i="3"/>
  <c r="F4657" i="3"/>
  <c r="F4656" i="3"/>
  <c r="F4655" i="3"/>
  <c r="F4654" i="3"/>
  <c r="F4653" i="3"/>
  <c r="F4652" i="3"/>
  <c r="F4651" i="3"/>
  <c r="F4650" i="3"/>
  <c r="F4649" i="3"/>
  <c r="F4648" i="3"/>
  <c r="F4647" i="3"/>
  <c r="F4646" i="3"/>
  <c r="F4645" i="3"/>
  <c r="F4644" i="3"/>
  <c r="F4643" i="3"/>
  <c r="F4642" i="3"/>
  <c r="F4641" i="3"/>
  <c r="F4640" i="3"/>
  <c r="F4639" i="3"/>
  <c r="F4638" i="3"/>
  <c r="F4637" i="3"/>
  <c r="F4636" i="3"/>
  <c r="F4635" i="3"/>
  <c r="F4634" i="3"/>
  <c r="F4633" i="3"/>
  <c r="F4632" i="3"/>
  <c r="F4631" i="3"/>
  <c r="F4630" i="3"/>
  <c r="F4629" i="3"/>
  <c r="F4628" i="3"/>
  <c r="F4627" i="3"/>
  <c r="F4626" i="3"/>
  <c r="F4625" i="3"/>
  <c r="F4624" i="3"/>
  <c r="F4623" i="3"/>
  <c r="F4622" i="3"/>
  <c r="F4621" i="3"/>
  <c r="F4620" i="3"/>
  <c r="F4619" i="3"/>
  <c r="F4618" i="3"/>
  <c r="F4617" i="3"/>
  <c r="F4616" i="3"/>
  <c r="F4615" i="3"/>
  <c r="F4614" i="3"/>
  <c r="F4613" i="3"/>
  <c r="F4612" i="3"/>
  <c r="F4611" i="3"/>
  <c r="F4610" i="3"/>
  <c r="F4609" i="3"/>
  <c r="F4608" i="3"/>
  <c r="F4607" i="3"/>
  <c r="F4606" i="3"/>
  <c r="F4605" i="3"/>
  <c r="F4604" i="3"/>
  <c r="F4603" i="3"/>
  <c r="F4602" i="3"/>
  <c r="F4601" i="3"/>
  <c r="F4600" i="3"/>
  <c r="F4599" i="3"/>
  <c r="F4598" i="3"/>
  <c r="F4597" i="3"/>
  <c r="F4596" i="3"/>
  <c r="F4595" i="3"/>
  <c r="F4594" i="3"/>
  <c r="F4593" i="3"/>
  <c r="F4592" i="3"/>
  <c r="F4591" i="3"/>
  <c r="F4590" i="3"/>
  <c r="F4589" i="3"/>
  <c r="F4588" i="3"/>
  <c r="F4587" i="3"/>
  <c r="F4586" i="3"/>
  <c r="F4585" i="3"/>
  <c r="F4584" i="3"/>
  <c r="F4583" i="3"/>
  <c r="F4582" i="3"/>
  <c r="F4581" i="3"/>
  <c r="F4580" i="3"/>
  <c r="F4579" i="3"/>
  <c r="F4578" i="3"/>
  <c r="F4577" i="3"/>
  <c r="F4576" i="3"/>
  <c r="F4575" i="3"/>
  <c r="F4574" i="3"/>
  <c r="F4573" i="3"/>
  <c r="F4572" i="3"/>
  <c r="F4571" i="3"/>
  <c r="F4570" i="3"/>
  <c r="F4569" i="3"/>
  <c r="F4568" i="3"/>
  <c r="F4567" i="3"/>
  <c r="F4566" i="3"/>
  <c r="F4565" i="3"/>
  <c r="F4564" i="3"/>
  <c r="F4563" i="3"/>
  <c r="F4562" i="3"/>
  <c r="F4561" i="3"/>
  <c r="F4560" i="3"/>
  <c r="F4559" i="3"/>
  <c r="F4558" i="3"/>
  <c r="F4557" i="3"/>
  <c r="F4556" i="3"/>
  <c r="F4555" i="3"/>
  <c r="F4554" i="3"/>
  <c r="F4553" i="3"/>
  <c r="F4552" i="3"/>
  <c r="F4551" i="3"/>
  <c r="F4550" i="3"/>
  <c r="F4549" i="3"/>
  <c r="F4548" i="3"/>
  <c r="F4547" i="3"/>
  <c r="F4546" i="3"/>
  <c r="F4545" i="3"/>
  <c r="F4544" i="3"/>
  <c r="F4543" i="3"/>
  <c r="F4542" i="3"/>
  <c r="F4541" i="3"/>
  <c r="F4540" i="3"/>
  <c r="F4539" i="3"/>
  <c r="F4538" i="3"/>
  <c r="F4537" i="3"/>
  <c r="F4536" i="3"/>
  <c r="F4535" i="3"/>
  <c r="F4534" i="3"/>
  <c r="F4533" i="3"/>
  <c r="F4532" i="3"/>
  <c r="F4531" i="3"/>
  <c r="F4530" i="3"/>
  <c r="F4529" i="3"/>
  <c r="F4528" i="3"/>
  <c r="F4527" i="3"/>
  <c r="F4526" i="3"/>
  <c r="F4525" i="3"/>
  <c r="F4524" i="3"/>
  <c r="F4523" i="3"/>
  <c r="F4522" i="3"/>
  <c r="F4521" i="3"/>
  <c r="F4520" i="3"/>
  <c r="F4519" i="3"/>
  <c r="F4518" i="3"/>
  <c r="F4517" i="3"/>
  <c r="F4516" i="3"/>
  <c r="F4515" i="3"/>
  <c r="F4514" i="3"/>
  <c r="F4513" i="3"/>
  <c r="F4512" i="3"/>
  <c r="F4511" i="3"/>
  <c r="F4510" i="3"/>
  <c r="F4509" i="3"/>
  <c r="F4508" i="3"/>
  <c r="F4507" i="3"/>
  <c r="F4506" i="3"/>
  <c r="F4505" i="3"/>
  <c r="F4504" i="3"/>
  <c r="F4503" i="3"/>
  <c r="F4502" i="3"/>
  <c r="F4501" i="3"/>
  <c r="F4500" i="3"/>
  <c r="F4499" i="3"/>
  <c r="F4498" i="3"/>
  <c r="F4497" i="3"/>
  <c r="F4496" i="3"/>
  <c r="F4495" i="3"/>
  <c r="F4494" i="3"/>
  <c r="F4493" i="3"/>
  <c r="F4492" i="3"/>
  <c r="F4491" i="3"/>
  <c r="F4490" i="3"/>
  <c r="F4489" i="3"/>
  <c r="F4488" i="3"/>
  <c r="F4487" i="3"/>
  <c r="F4486" i="3"/>
  <c r="F4485" i="3"/>
  <c r="F4484" i="3"/>
  <c r="F4483" i="3"/>
  <c r="F4482" i="3"/>
  <c r="F4481" i="3"/>
  <c r="F4480" i="3"/>
  <c r="F4479" i="3"/>
  <c r="F4478" i="3"/>
  <c r="F4477" i="3"/>
  <c r="F4476" i="3"/>
  <c r="F4475" i="3"/>
  <c r="F4474" i="3"/>
  <c r="F4473" i="3"/>
  <c r="F4472" i="3"/>
  <c r="F4471" i="3"/>
  <c r="F4470" i="3"/>
  <c r="F4469" i="3"/>
  <c r="F4468" i="3"/>
  <c r="F4467" i="3"/>
  <c r="F4466" i="3"/>
  <c r="F4465" i="3"/>
  <c r="F4464" i="3"/>
  <c r="F4463" i="3"/>
  <c r="F4462" i="3"/>
  <c r="F4461" i="3"/>
  <c r="F4460" i="3"/>
  <c r="F4459" i="3"/>
  <c r="F4458" i="3"/>
  <c r="F4457" i="3"/>
  <c r="F4456" i="3"/>
  <c r="F4455" i="3"/>
  <c r="F4454" i="3"/>
  <c r="F4453" i="3"/>
  <c r="F4452" i="3"/>
  <c r="F4451" i="3"/>
  <c r="F4450" i="3"/>
  <c r="F4449" i="3"/>
  <c r="F4448" i="3"/>
  <c r="F4447" i="3"/>
  <c r="F4446" i="3"/>
  <c r="F4445" i="3"/>
  <c r="F4444" i="3"/>
  <c r="F4443" i="3"/>
  <c r="F4442" i="3"/>
  <c r="F4441" i="3"/>
  <c r="F4440" i="3"/>
  <c r="F4439" i="3"/>
  <c r="F4438" i="3"/>
  <c r="F4437" i="3"/>
  <c r="F4436" i="3"/>
  <c r="F4435" i="3"/>
  <c r="F4434" i="3"/>
  <c r="F4433" i="3"/>
  <c r="F4432" i="3"/>
  <c r="F4431" i="3"/>
  <c r="F4430" i="3"/>
  <c r="F4429" i="3"/>
  <c r="F4428" i="3"/>
  <c r="F4427" i="3"/>
  <c r="F4426" i="3"/>
  <c r="F4425" i="3"/>
  <c r="F4424" i="3"/>
  <c r="F4423" i="3"/>
  <c r="F4422" i="3"/>
  <c r="F4421" i="3"/>
  <c r="F4420" i="3"/>
  <c r="F4419" i="3"/>
  <c r="F4418" i="3"/>
  <c r="F4417" i="3"/>
  <c r="F4416" i="3"/>
  <c r="F4415" i="3"/>
  <c r="F4414" i="3"/>
  <c r="F4413" i="3"/>
  <c r="F4412" i="3"/>
  <c r="F4411" i="3"/>
  <c r="F4410" i="3"/>
  <c r="F4409" i="3"/>
  <c r="F4408" i="3"/>
  <c r="F4407" i="3"/>
  <c r="F4406" i="3"/>
  <c r="F4405" i="3"/>
  <c r="F4404" i="3"/>
  <c r="F4403" i="3"/>
  <c r="F4402" i="3"/>
  <c r="F4401" i="3"/>
  <c r="F4400" i="3"/>
  <c r="F4399" i="3"/>
  <c r="F4398" i="3"/>
  <c r="F4397" i="3"/>
  <c r="F4396" i="3"/>
  <c r="F4395" i="3"/>
  <c r="F4394" i="3"/>
  <c r="F4393" i="3"/>
  <c r="F4392" i="3"/>
  <c r="F4391" i="3"/>
  <c r="F4390" i="3"/>
  <c r="F4389" i="3"/>
  <c r="F4388" i="3"/>
  <c r="F4387" i="3"/>
  <c r="F4386" i="3"/>
  <c r="F4385" i="3"/>
  <c r="F4384" i="3"/>
  <c r="F4383" i="3"/>
  <c r="F4382" i="3"/>
  <c r="F4381" i="3"/>
  <c r="F4380" i="3"/>
  <c r="F4379" i="3"/>
  <c r="F4378" i="3"/>
  <c r="F4377" i="3"/>
  <c r="F4376" i="3"/>
  <c r="F4375" i="3"/>
  <c r="F4374" i="3"/>
  <c r="F4373" i="3"/>
  <c r="F4372" i="3"/>
  <c r="F4371" i="3"/>
  <c r="F4370" i="3"/>
  <c r="F4369" i="3"/>
  <c r="F4368" i="3"/>
  <c r="F4367" i="3"/>
  <c r="F4366" i="3"/>
  <c r="F4365" i="3"/>
  <c r="F4364" i="3"/>
  <c r="F4363" i="3"/>
  <c r="F4362" i="3"/>
  <c r="F4361" i="3"/>
  <c r="F4360" i="3"/>
  <c r="F4359" i="3"/>
  <c r="F4358" i="3"/>
  <c r="F4357" i="3"/>
  <c r="F4356" i="3"/>
  <c r="F4355" i="3"/>
  <c r="F4354" i="3"/>
  <c r="F4353" i="3"/>
  <c r="F4352" i="3"/>
  <c r="F4351" i="3"/>
  <c r="F4350" i="3"/>
  <c r="F4349" i="3"/>
  <c r="F4348" i="3"/>
  <c r="F4347" i="3"/>
  <c r="F4346" i="3"/>
  <c r="F4345" i="3"/>
  <c r="F4344" i="3"/>
  <c r="F4343" i="3"/>
  <c r="F4342" i="3"/>
  <c r="F4341" i="3"/>
  <c r="F4340" i="3"/>
  <c r="F4339" i="3"/>
  <c r="F4338" i="3"/>
  <c r="F4337" i="3"/>
  <c r="F4336" i="3"/>
  <c r="F4335" i="3"/>
  <c r="F4334" i="3"/>
  <c r="F4333" i="3"/>
  <c r="F4332" i="3"/>
  <c r="F4331" i="3"/>
  <c r="F4330" i="3"/>
  <c r="F4329" i="3"/>
  <c r="F4328" i="3"/>
  <c r="F4327" i="3"/>
  <c r="F4326" i="3"/>
  <c r="F4325" i="3"/>
  <c r="F4324" i="3"/>
  <c r="F4323" i="3"/>
  <c r="F4322" i="3"/>
  <c r="F4321" i="3"/>
  <c r="F4320" i="3"/>
  <c r="F4319" i="3"/>
  <c r="F4318" i="3"/>
  <c r="F4317" i="3"/>
  <c r="F4316" i="3"/>
  <c r="F4315" i="3"/>
  <c r="F4314" i="3"/>
  <c r="F4313" i="3"/>
  <c r="F4312" i="3"/>
  <c r="F4311" i="3"/>
  <c r="F4310" i="3"/>
  <c r="F4309" i="3"/>
  <c r="F4308" i="3"/>
  <c r="F4307" i="3"/>
  <c r="F4306" i="3"/>
  <c r="F4305" i="3"/>
  <c r="F4304" i="3"/>
  <c r="F4303" i="3"/>
  <c r="F4302" i="3"/>
  <c r="F4301" i="3"/>
  <c r="F4300" i="3"/>
  <c r="F4299" i="3"/>
  <c r="F4298" i="3"/>
  <c r="F4297" i="3"/>
  <c r="F4296" i="3"/>
  <c r="F4295" i="3"/>
  <c r="F4294" i="3"/>
  <c r="F4293" i="3"/>
  <c r="F4292" i="3"/>
  <c r="F4291" i="3"/>
  <c r="F4290" i="3"/>
  <c r="F4289" i="3"/>
  <c r="F4288" i="3"/>
  <c r="F4287" i="3"/>
  <c r="F4286" i="3"/>
  <c r="F4285" i="3"/>
  <c r="F4284" i="3"/>
  <c r="F4283" i="3"/>
  <c r="F4282" i="3"/>
  <c r="F4281" i="3"/>
  <c r="F4280" i="3"/>
  <c r="F4279" i="3"/>
  <c r="F4278" i="3"/>
  <c r="F4277" i="3"/>
  <c r="F4276" i="3"/>
  <c r="F4275" i="3"/>
  <c r="F4274" i="3"/>
  <c r="F4273" i="3"/>
  <c r="F4272" i="3"/>
  <c r="F4271" i="3"/>
  <c r="F4270" i="3"/>
  <c r="F4269" i="3"/>
  <c r="F4268" i="3"/>
  <c r="F4267" i="3"/>
  <c r="F4266" i="3"/>
  <c r="F4265" i="3"/>
  <c r="F4264" i="3"/>
  <c r="F4263" i="3"/>
  <c r="F4262" i="3"/>
  <c r="F4261" i="3"/>
  <c r="F4260" i="3"/>
  <c r="F4259" i="3"/>
  <c r="F4258" i="3"/>
  <c r="F4257" i="3"/>
  <c r="F4256" i="3"/>
  <c r="F4255" i="3"/>
  <c r="F4254" i="3"/>
  <c r="F4253" i="3"/>
  <c r="F4252" i="3"/>
  <c r="F4251" i="3"/>
  <c r="F4250" i="3"/>
  <c r="F4249" i="3"/>
  <c r="F4248" i="3"/>
  <c r="F4247" i="3"/>
  <c r="F4246" i="3"/>
  <c r="F4245" i="3"/>
  <c r="F4244" i="3"/>
  <c r="F4243" i="3"/>
  <c r="F4242" i="3"/>
  <c r="F4241" i="3"/>
  <c r="F4240" i="3"/>
  <c r="F4239" i="3"/>
  <c r="F4238" i="3"/>
  <c r="F4237" i="3"/>
  <c r="F4236" i="3"/>
  <c r="F4235" i="3"/>
  <c r="F4234" i="3"/>
  <c r="F4233" i="3"/>
  <c r="F4232" i="3"/>
  <c r="F4231" i="3"/>
  <c r="F4230" i="3"/>
  <c r="F4229" i="3"/>
  <c r="F4228" i="3"/>
  <c r="F4227" i="3"/>
  <c r="F4226" i="3"/>
  <c r="F4225" i="3"/>
  <c r="F4224" i="3"/>
  <c r="F4223" i="3"/>
  <c r="F4222" i="3"/>
  <c r="F4221" i="3"/>
  <c r="F4220" i="3"/>
  <c r="F4219" i="3"/>
  <c r="F4218" i="3"/>
  <c r="F4217" i="3"/>
  <c r="F4216" i="3"/>
  <c r="F4215" i="3"/>
  <c r="F4214" i="3"/>
  <c r="F4213" i="3"/>
  <c r="F4212" i="3"/>
  <c r="F4211" i="3"/>
  <c r="F4210" i="3"/>
  <c r="F4209" i="3"/>
  <c r="F4208" i="3"/>
  <c r="F4207" i="3"/>
  <c r="F4206" i="3"/>
  <c r="F4205" i="3"/>
  <c r="F4204" i="3"/>
  <c r="F4203" i="3"/>
  <c r="F4202" i="3"/>
  <c r="F4201" i="3"/>
  <c r="F4200" i="3"/>
  <c r="F4199" i="3"/>
  <c r="F4198" i="3"/>
  <c r="F4197" i="3"/>
  <c r="F4196" i="3"/>
  <c r="F4195" i="3"/>
  <c r="F4194" i="3"/>
  <c r="F4193" i="3"/>
  <c r="F4192" i="3"/>
  <c r="F4191" i="3"/>
  <c r="F4190" i="3"/>
  <c r="F4189" i="3"/>
  <c r="F4188" i="3"/>
  <c r="F4187" i="3"/>
  <c r="F4186" i="3"/>
  <c r="F4185" i="3"/>
  <c r="F4184" i="3"/>
  <c r="F4183" i="3"/>
  <c r="F4182" i="3"/>
  <c r="F4181" i="3"/>
  <c r="F4180" i="3"/>
  <c r="F4179" i="3"/>
  <c r="F4178" i="3"/>
  <c r="F4177" i="3"/>
  <c r="F4176" i="3"/>
  <c r="F4175" i="3"/>
  <c r="F4174" i="3"/>
  <c r="F4173" i="3"/>
  <c r="F4172" i="3"/>
  <c r="F4171" i="3"/>
  <c r="F4170" i="3"/>
  <c r="F4169" i="3"/>
  <c r="F4168" i="3"/>
  <c r="F4167" i="3"/>
  <c r="F4166" i="3"/>
  <c r="F4165" i="3"/>
  <c r="F4164" i="3"/>
  <c r="F4163" i="3"/>
  <c r="F4162" i="3"/>
  <c r="F4161" i="3"/>
  <c r="F4160" i="3"/>
  <c r="F4159" i="3"/>
  <c r="F4158" i="3"/>
  <c r="F4157" i="3"/>
  <c r="F4156" i="3"/>
  <c r="F4155" i="3"/>
  <c r="F4154" i="3"/>
  <c r="F4153" i="3"/>
  <c r="F4152" i="3"/>
  <c r="F4151" i="3"/>
  <c r="F4150" i="3"/>
  <c r="F4149" i="3"/>
  <c r="F4148" i="3"/>
  <c r="F4147" i="3"/>
  <c r="F4146" i="3"/>
  <c r="F4145" i="3"/>
  <c r="F4144" i="3"/>
  <c r="F4143" i="3"/>
  <c r="F4142" i="3"/>
  <c r="F4141" i="3"/>
  <c r="F4140" i="3"/>
  <c r="F4139" i="3"/>
  <c r="F4138" i="3"/>
  <c r="F4137" i="3"/>
  <c r="F4136" i="3"/>
  <c r="F4135" i="3"/>
  <c r="F4134" i="3"/>
  <c r="F4133" i="3"/>
  <c r="F4132" i="3"/>
  <c r="F4131" i="3"/>
  <c r="F4130" i="3"/>
  <c r="F4129" i="3"/>
  <c r="F4128" i="3"/>
  <c r="F4127" i="3"/>
  <c r="F4126" i="3"/>
  <c r="F4125" i="3"/>
  <c r="F4124" i="3"/>
  <c r="F4123" i="3"/>
  <c r="F4122" i="3"/>
  <c r="F4121" i="3"/>
  <c r="F4120" i="3"/>
  <c r="F4119" i="3"/>
  <c r="F4118" i="3"/>
  <c r="F4117" i="3"/>
  <c r="F4116" i="3"/>
  <c r="F4115" i="3"/>
  <c r="F4114" i="3"/>
  <c r="F4113" i="3"/>
  <c r="F4112" i="3"/>
  <c r="F4111" i="3"/>
  <c r="F4110" i="3"/>
  <c r="F4109" i="3"/>
  <c r="F4108" i="3"/>
  <c r="F4107" i="3"/>
  <c r="F4106" i="3"/>
  <c r="F4105" i="3"/>
  <c r="F4104" i="3"/>
  <c r="F4103" i="3"/>
  <c r="F4102" i="3"/>
  <c r="F4101" i="3"/>
  <c r="F4100" i="3"/>
  <c r="F4099" i="3"/>
  <c r="F4098" i="3"/>
  <c r="F4097" i="3"/>
  <c r="F4096" i="3"/>
  <c r="F4095" i="3"/>
  <c r="F4094" i="3"/>
  <c r="F4093" i="3"/>
  <c r="F4092" i="3"/>
  <c r="F4091" i="3"/>
  <c r="F4090" i="3"/>
  <c r="F4089" i="3"/>
  <c r="F4088" i="3"/>
  <c r="F4087" i="3"/>
  <c r="F4086" i="3"/>
  <c r="F4085" i="3"/>
  <c r="F4084" i="3"/>
  <c r="F4083" i="3"/>
  <c r="F4082" i="3"/>
  <c r="F4081" i="3"/>
  <c r="F4080" i="3"/>
  <c r="F4079" i="3"/>
  <c r="F4078" i="3"/>
  <c r="F4077" i="3"/>
  <c r="F4076" i="3"/>
  <c r="F4075" i="3"/>
  <c r="F4074" i="3"/>
  <c r="F4073" i="3"/>
  <c r="F4072" i="3"/>
  <c r="F4071" i="3"/>
  <c r="F4070" i="3"/>
  <c r="F4069" i="3"/>
  <c r="F4068" i="3"/>
  <c r="F4067" i="3"/>
  <c r="F4066" i="3"/>
  <c r="F4065" i="3"/>
  <c r="F4064" i="3"/>
  <c r="F4063" i="3"/>
  <c r="F4062" i="3"/>
  <c r="F4061" i="3"/>
  <c r="F4060" i="3"/>
  <c r="F4059" i="3"/>
  <c r="F4058" i="3"/>
  <c r="F4057" i="3"/>
  <c r="F4056" i="3"/>
  <c r="F4055" i="3"/>
  <c r="F4054" i="3"/>
  <c r="F4053" i="3"/>
  <c r="F4052" i="3"/>
  <c r="F4051" i="3"/>
  <c r="F4050" i="3"/>
  <c r="F4049" i="3"/>
  <c r="F4048" i="3"/>
  <c r="F4047" i="3"/>
  <c r="F4046" i="3"/>
  <c r="F4045" i="3"/>
  <c r="F4044" i="3"/>
  <c r="F4043" i="3"/>
  <c r="F4042" i="3"/>
  <c r="F4041" i="3"/>
  <c r="F4040" i="3"/>
  <c r="F4039" i="3"/>
  <c r="F4038" i="3"/>
  <c r="F4037" i="3"/>
  <c r="F4036" i="3"/>
  <c r="F4035" i="3"/>
  <c r="F4034" i="3"/>
  <c r="F4033" i="3"/>
  <c r="F4032" i="3"/>
  <c r="F4031" i="3"/>
  <c r="F4030" i="3"/>
  <c r="F4029" i="3"/>
  <c r="F4028" i="3"/>
  <c r="F4027" i="3"/>
  <c r="F4026" i="3"/>
  <c r="F4025" i="3"/>
  <c r="F4024" i="3"/>
  <c r="F4023" i="3"/>
  <c r="F4022" i="3"/>
  <c r="F4021" i="3"/>
  <c r="F4020" i="3"/>
  <c r="F4019" i="3"/>
  <c r="F4018" i="3"/>
  <c r="F4017" i="3"/>
  <c r="F4016" i="3"/>
  <c r="F4015" i="3"/>
  <c r="F4014" i="3"/>
  <c r="F4013" i="3"/>
  <c r="F4012" i="3"/>
  <c r="F4011" i="3"/>
  <c r="F4010" i="3"/>
  <c r="F4009" i="3"/>
  <c r="F4008" i="3"/>
  <c r="F4007" i="3"/>
  <c r="F4006" i="3"/>
  <c r="F4005" i="3"/>
  <c r="F4004" i="3"/>
  <c r="F4003" i="3"/>
  <c r="F4002" i="3"/>
  <c r="F4001" i="3"/>
  <c r="F4000" i="3"/>
  <c r="F3999" i="3"/>
  <c r="F3998" i="3"/>
  <c r="F3997" i="3"/>
  <c r="F3996" i="3"/>
  <c r="F3995" i="3"/>
  <c r="F3994" i="3"/>
  <c r="F3993" i="3"/>
  <c r="F3992" i="3"/>
  <c r="F3991" i="3"/>
  <c r="F3990" i="3"/>
  <c r="F3989" i="3"/>
  <c r="F3988" i="3"/>
  <c r="F3987" i="3"/>
  <c r="F3986" i="3"/>
  <c r="F3985" i="3"/>
  <c r="F3984" i="3"/>
  <c r="F3983" i="3"/>
  <c r="F3982" i="3"/>
  <c r="F3981" i="3"/>
  <c r="F3980" i="3"/>
  <c r="F3979" i="3"/>
  <c r="F3978" i="3"/>
  <c r="F3977" i="3"/>
  <c r="F3976" i="3"/>
  <c r="F3975" i="3"/>
  <c r="F3974" i="3"/>
  <c r="F3973" i="3"/>
  <c r="F3972" i="3"/>
  <c r="F3971" i="3"/>
  <c r="F3970" i="3"/>
  <c r="F3969" i="3"/>
  <c r="F3968" i="3"/>
  <c r="F3967" i="3"/>
  <c r="F3966" i="3"/>
  <c r="F3965" i="3"/>
  <c r="F3964" i="3"/>
  <c r="F3963" i="3"/>
  <c r="F3962" i="3"/>
  <c r="F3961" i="3"/>
  <c r="F3960" i="3"/>
  <c r="F3959" i="3"/>
  <c r="F3958" i="3"/>
  <c r="F3957" i="3"/>
  <c r="F3956" i="3"/>
  <c r="F3955" i="3"/>
  <c r="F3954" i="3"/>
  <c r="F3953" i="3"/>
  <c r="F3952" i="3"/>
  <c r="F3951" i="3"/>
  <c r="F3950" i="3"/>
  <c r="F3949" i="3"/>
  <c r="F3948" i="3"/>
  <c r="F3947" i="3"/>
  <c r="F3946" i="3"/>
  <c r="F3945" i="3"/>
  <c r="F3944" i="3"/>
  <c r="F3943" i="3"/>
  <c r="F3942" i="3"/>
  <c r="F3941" i="3"/>
  <c r="F3940" i="3"/>
  <c r="F3939" i="3"/>
  <c r="F3938" i="3"/>
  <c r="F3937" i="3"/>
  <c r="F3936" i="3"/>
  <c r="F3935" i="3"/>
  <c r="F3934" i="3"/>
  <c r="F3933" i="3"/>
  <c r="F3932" i="3"/>
  <c r="F3931" i="3"/>
  <c r="F3930" i="3"/>
  <c r="F3929" i="3"/>
  <c r="F3928" i="3"/>
  <c r="F3927" i="3"/>
  <c r="F3926" i="3"/>
  <c r="F3925" i="3"/>
  <c r="F3924" i="3"/>
  <c r="F3923" i="3"/>
  <c r="F3922" i="3"/>
  <c r="F3921" i="3"/>
  <c r="F3920" i="3"/>
  <c r="F3919" i="3"/>
  <c r="F3918" i="3"/>
  <c r="F3917" i="3"/>
  <c r="F3916" i="3"/>
  <c r="F3915" i="3"/>
  <c r="F3914" i="3"/>
  <c r="F3913" i="3"/>
  <c r="F3912" i="3"/>
  <c r="F3911" i="3"/>
  <c r="F3910" i="3"/>
  <c r="F3909" i="3"/>
  <c r="F3908" i="3"/>
  <c r="F3907" i="3"/>
  <c r="F3906" i="3"/>
  <c r="F3905" i="3"/>
  <c r="F3904" i="3"/>
  <c r="F3903" i="3"/>
  <c r="F3902" i="3"/>
  <c r="F3901" i="3"/>
  <c r="F3900" i="3"/>
  <c r="F3899" i="3"/>
  <c r="F3898" i="3"/>
  <c r="F3897" i="3"/>
  <c r="F3896" i="3"/>
  <c r="F3895" i="3"/>
  <c r="F3894" i="3"/>
  <c r="F3893" i="3"/>
  <c r="F3892" i="3"/>
  <c r="F3891" i="3"/>
  <c r="F3890" i="3"/>
  <c r="F3889" i="3"/>
  <c r="F3888" i="3"/>
  <c r="F3887" i="3"/>
  <c r="F3886" i="3"/>
  <c r="F3885" i="3"/>
  <c r="F3884" i="3"/>
  <c r="F3883" i="3"/>
  <c r="F3882" i="3"/>
  <c r="F3881" i="3"/>
  <c r="F3880" i="3"/>
  <c r="F3879" i="3"/>
  <c r="F3878" i="3"/>
  <c r="F3877" i="3"/>
  <c r="F3876" i="3"/>
  <c r="F3875" i="3"/>
  <c r="F3874" i="3"/>
  <c r="F3873" i="3"/>
  <c r="F3872" i="3"/>
  <c r="F3871" i="3"/>
  <c r="F3870" i="3"/>
  <c r="F3869" i="3"/>
  <c r="F3868" i="3"/>
  <c r="F3867" i="3"/>
  <c r="F3866" i="3"/>
  <c r="F3865" i="3"/>
  <c r="F3864" i="3"/>
  <c r="F3863" i="3"/>
  <c r="F3862" i="3"/>
  <c r="F3861" i="3"/>
  <c r="F3860" i="3"/>
  <c r="F3859" i="3"/>
  <c r="F3858" i="3"/>
  <c r="F3857" i="3"/>
  <c r="F3856" i="3"/>
  <c r="F3855" i="3"/>
  <c r="F3854" i="3"/>
  <c r="F3853" i="3"/>
  <c r="F3852" i="3"/>
  <c r="F3851" i="3"/>
  <c r="F3850" i="3"/>
  <c r="F3849" i="3"/>
  <c r="F3848" i="3"/>
  <c r="F3847" i="3"/>
  <c r="F3846" i="3"/>
  <c r="F3845" i="3"/>
  <c r="F3844" i="3"/>
  <c r="F3843" i="3"/>
  <c r="F3842" i="3"/>
  <c r="F3841" i="3"/>
  <c r="F3840" i="3"/>
  <c r="F3839" i="3"/>
  <c r="F3838" i="3"/>
  <c r="F3837" i="3"/>
  <c r="F3836" i="3"/>
  <c r="F3835" i="3"/>
  <c r="F3834" i="3"/>
  <c r="F3833" i="3"/>
  <c r="F3832" i="3"/>
  <c r="F3831" i="3"/>
  <c r="F3830" i="3"/>
  <c r="F3829" i="3"/>
  <c r="F3828" i="3"/>
  <c r="F3827" i="3"/>
  <c r="F3826" i="3"/>
  <c r="F3825" i="3"/>
  <c r="F3824" i="3"/>
  <c r="F3823" i="3"/>
  <c r="F3822" i="3"/>
  <c r="F3821" i="3"/>
  <c r="F3820" i="3"/>
  <c r="F3819" i="3"/>
  <c r="F3818" i="3"/>
  <c r="F3817" i="3"/>
  <c r="F3816" i="3"/>
  <c r="F3815" i="3"/>
  <c r="F3814" i="3"/>
  <c r="F3813" i="3"/>
  <c r="F3812" i="3"/>
  <c r="F3811" i="3"/>
  <c r="F3810" i="3"/>
  <c r="F3809" i="3"/>
  <c r="F3808" i="3"/>
  <c r="F3807" i="3"/>
  <c r="F3806" i="3"/>
  <c r="F3805" i="3"/>
  <c r="F3804" i="3"/>
  <c r="F3803" i="3"/>
  <c r="F3802" i="3"/>
  <c r="F3801" i="3"/>
  <c r="F3800" i="3"/>
  <c r="F3799" i="3"/>
  <c r="F3798" i="3"/>
  <c r="F3797" i="3"/>
  <c r="F3796" i="3"/>
  <c r="F3795" i="3"/>
  <c r="F3794" i="3"/>
  <c r="F3793" i="3"/>
  <c r="F3792" i="3"/>
  <c r="F3791" i="3"/>
  <c r="F3790" i="3"/>
  <c r="F3789" i="3"/>
  <c r="F3788" i="3"/>
  <c r="F3787" i="3"/>
  <c r="F3786" i="3"/>
  <c r="F3785" i="3"/>
  <c r="F3784" i="3"/>
  <c r="F3783" i="3"/>
  <c r="F3782" i="3"/>
  <c r="F3781" i="3"/>
  <c r="F3780" i="3"/>
  <c r="F3779" i="3"/>
  <c r="F3778" i="3"/>
  <c r="F3777" i="3"/>
  <c r="F3776" i="3"/>
  <c r="F3775" i="3"/>
  <c r="F3774" i="3"/>
  <c r="F3773" i="3"/>
  <c r="F3772" i="3"/>
  <c r="F3771" i="3"/>
  <c r="F3770" i="3"/>
  <c r="F3769" i="3"/>
  <c r="F3768" i="3"/>
  <c r="F3767" i="3"/>
  <c r="F3766" i="3"/>
  <c r="F3765" i="3"/>
  <c r="F3764" i="3"/>
  <c r="F3763" i="3"/>
  <c r="F3762" i="3"/>
  <c r="F3761" i="3"/>
  <c r="F3760" i="3"/>
  <c r="F3759" i="3"/>
  <c r="F3758" i="3"/>
  <c r="F3757" i="3"/>
  <c r="F3756" i="3"/>
  <c r="F3755" i="3"/>
  <c r="F3754" i="3"/>
  <c r="F3753" i="3"/>
  <c r="F3752" i="3"/>
  <c r="F3751" i="3"/>
  <c r="F3750" i="3"/>
  <c r="F3749" i="3"/>
  <c r="F3748" i="3"/>
  <c r="F3747" i="3"/>
  <c r="F3746" i="3"/>
  <c r="F3745" i="3"/>
  <c r="F3744" i="3"/>
  <c r="F3743" i="3"/>
  <c r="F3742" i="3"/>
  <c r="F3741" i="3"/>
  <c r="F3740" i="3"/>
  <c r="F3739" i="3"/>
  <c r="F3738" i="3"/>
  <c r="F3737" i="3"/>
  <c r="F3736" i="3"/>
  <c r="F3735" i="3"/>
  <c r="F3734" i="3"/>
  <c r="F3733" i="3"/>
  <c r="F3732" i="3"/>
  <c r="F3731" i="3"/>
  <c r="F3730" i="3"/>
  <c r="F3729" i="3"/>
  <c r="F3728" i="3"/>
  <c r="F3727" i="3"/>
  <c r="F3726" i="3"/>
  <c r="F3725" i="3"/>
  <c r="F3724" i="3"/>
  <c r="F3723" i="3"/>
  <c r="F3722" i="3"/>
  <c r="F3721" i="3"/>
  <c r="F3720" i="3"/>
  <c r="F3719" i="3"/>
  <c r="F3718" i="3"/>
  <c r="F3717" i="3"/>
  <c r="F3716" i="3"/>
  <c r="F3715" i="3"/>
  <c r="F3714" i="3"/>
  <c r="F3713" i="3"/>
  <c r="F3712" i="3"/>
  <c r="F3711" i="3"/>
  <c r="F3710" i="3"/>
  <c r="F3709" i="3"/>
  <c r="F3708" i="3"/>
  <c r="F3707" i="3"/>
  <c r="F3706" i="3"/>
  <c r="F3705" i="3"/>
  <c r="F3704" i="3"/>
  <c r="F3703" i="3"/>
  <c r="F3702" i="3"/>
  <c r="F3701" i="3"/>
  <c r="F3700" i="3"/>
  <c r="F3699" i="3"/>
  <c r="F3698" i="3"/>
  <c r="F3697" i="3"/>
  <c r="F3696" i="3"/>
  <c r="F3695" i="3"/>
  <c r="F3694" i="3"/>
  <c r="F3693" i="3"/>
  <c r="F3692" i="3"/>
  <c r="F3691" i="3"/>
  <c r="F3690" i="3"/>
  <c r="F3689" i="3"/>
  <c r="F3688" i="3"/>
  <c r="F3687" i="3"/>
  <c r="F3686" i="3"/>
  <c r="F3685" i="3"/>
  <c r="F3684" i="3"/>
  <c r="F3683" i="3"/>
  <c r="F3682" i="3"/>
  <c r="F3681" i="3"/>
  <c r="F3680" i="3"/>
  <c r="F3679" i="3"/>
  <c r="F3678" i="3"/>
  <c r="F3677" i="3"/>
  <c r="F3676" i="3"/>
  <c r="F3675" i="3"/>
  <c r="F3674" i="3"/>
  <c r="F3673" i="3"/>
  <c r="F3672" i="3"/>
  <c r="F3671" i="3"/>
  <c r="F3670" i="3"/>
  <c r="F3669" i="3"/>
  <c r="F3668" i="3"/>
  <c r="F3667" i="3"/>
  <c r="F3666" i="3"/>
  <c r="F3665" i="3"/>
  <c r="F3664" i="3"/>
  <c r="F3663" i="3"/>
  <c r="F3662" i="3"/>
  <c r="F3661" i="3"/>
  <c r="F3660" i="3"/>
  <c r="F3659" i="3"/>
  <c r="F3658" i="3"/>
  <c r="F3657" i="3"/>
  <c r="F3656" i="3"/>
  <c r="F3655" i="3"/>
  <c r="F3654" i="3"/>
  <c r="F3653" i="3"/>
  <c r="F3652" i="3"/>
  <c r="F3651" i="3"/>
  <c r="F3650" i="3"/>
  <c r="F3649" i="3"/>
  <c r="F3648" i="3"/>
  <c r="F3647" i="3"/>
  <c r="F3646" i="3"/>
  <c r="F3645" i="3"/>
  <c r="F3644" i="3"/>
  <c r="F3643" i="3"/>
  <c r="F3642" i="3"/>
  <c r="F3641" i="3"/>
  <c r="F3640" i="3"/>
  <c r="F3639" i="3"/>
  <c r="F3638" i="3"/>
  <c r="F3637" i="3"/>
  <c r="F3636" i="3"/>
  <c r="F3635" i="3"/>
  <c r="F3634" i="3"/>
  <c r="F3633" i="3"/>
  <c r="F3632" i="3"/>
  <c r="F3631" i="3"/>
  <c r="F3630" i="3"/>
  <c r="F3629" i="3"/>
  <c r="F3628" i="3"/>
  <c r="F3627" i="3"/>
  <c r="F3626" i="3"/>
  <c r="F3625" i="3"/>
  <c r="F3624" i="3"/>
  <c r="F3623" i="3"/>
  <c r="F3622" i="3"/>
  <c r="F3621" i="3"/>
  <c r="F3620" i="3"/>
  <c r="F3619" i="3"/>
  <c r="F3618" i="3"/>
  <c r="F3617" i="3"/>
  <c r="F3616" i="3"/>
  <c r="F3615" i="3"/>
  <c r="F3614" i="3"/>
  <c r="F3613" i="3"/>
  <c r="F3612" i="3"/>
  <c r="F3611" i="3"/>
  <c r="F3610" i="3"/>
  <c r="F3609" i="3"/>
  <c r="F3608" i="3"/>
  <c r="F3607" i="3"/>
  <c r="F3606" i="3"/>
  <c r="F3605" i="3"/>
  <c r="F3604" i="3"/>
  <c r="F3603" i="3"/>
  <c r="F3602" i="3"/>
  <c r="F3601" i="3"/>
  <c r="F3600" i="3"/>
  <c r="F3599" i="3"/>
  <c r="F3598" i="3"/>
  <c r="F3597" i="3"/>
  <c r="F3596" i="3"/>
  <c r="F3595" i="3"/>
  <c r="F3594" i="3"/>
  <c r="F3593" i="3"/>
  <c r="F3592" i="3"/>
  <c r="F3591" i="3"/>
  <c r="F3590" i="3"/>
  <c r="F3589" i="3"/>
  <c r="F3588" i="3"/>
  <c r="F3587" i="3"/>
  <c r="F3586" i="3"/>
  <c r="F3585" i="3"/>
  <c r="F3584" i="3"/>
  <c r="F3583" i="3"/>
  <c r="F3582" i="3"/>
  <c r="F3581" i="3"/>
  <c r="F3580" i="3"/>
  <c r="F3579" i="3"/>
  <c r="F3578" i="3"/>
  <c r="F3577" i="3"/>
  <c r="F3576" i="3"/>
  <c r="F3575" i="3"/>
  <c r="F3574" i="3"/>
  <c r="F3573" i="3"/>
  <c r="F3572" i="3"/>
  <c r="F3571" i="3"/>
  <c r="F3570" i="3"/>
  <c r="F3569" i="3"/>
  <c r="F3568" i="3"/>
  <c r="F3567" i="3"/>
  <c r="F3566" i="3"/>
  <c r="F3565" i="3"/>
  <c r="F3564" i="3"/>
  <c r="F3563" i="3"/>
  <c r="F3562" i="3"/>
  <c r="F3561" i="3"/>
  <c r="F3560" i="3"/>
  <c r="F3559" i="3"/>
  <c r="F3558" i="3"/>
  <c r="F3557" i="3"/>
  <c r="F3556" i="3"/>
  <c r="F3555" i="3"/>
  <c r="F3554" i="3"/>
  <c r="F3553" i="3"/>
  <c r="F3552" i="3"/>
  <c r="F3551" i="3"/>
  <c r="F3550" i="3"/>
  <c r="F3549" i="3"/>
  <c r="F3548" i="3"/>
  <c r="F3547" i="3"/>
  <c r="F3546" i="3"/>
  <c r="F3545" i="3"/>
  <c r="F3544" i="3"/>
  <c r="F3543" i="3"/>
  <c r="F3542" i="3"/>
  <c r="F3541" i="3"/>
  <c r="F3540" i="3"/>
  <c r="F3539" i="3"/>
  <c r="F3538" i="3"/>
  <c r="F3537" i="3"/>
  <c r="F3536" i="3"/>
  <c r="F3535" i="3"/>
  <c r="F3534" i="3"/>
  <c r="F3533" i="3"/>
  <c r="F3532" i="3"/>
  <c r="F3531" i="3"/>
  <c r="F3530" i="3"/>
  <c r="F3529" i="3"/>
  <c r="F3528" i="3"/>
  <c r="F3527" i="3"/>
  <c r="F3526" i="3"/>
  <c r="F3525" i="3"/>
  <c r="F3524" i="3"/>
  <c r="F3523" i="3"/>
  <c r="F3522" i="3"/>
  <c r="F3521" i="3"/>
  <c r="F3520" i="3"/>
  <c r="F3519" i="3"/>
  <c r="F3518" i="3"/>
  <c r="F3517" i="3"/>
  <c r="F3516" i="3"/>
  <c r="F3515" i="3"/>
  <c r="F3514" i="3"/>
  <c r="F3513" i="3"/>
  <c r="F3512" i="3"/>
  <c r="F3511" i="3"/>
  <c r="F3510" i="3"/>
  <c r="F3509" i="3"/>
  <c r="F3508" i="3"/>
  <c r="F3507" i="3"/>
  <c r="F3506" i="3"/>
  <c r="F3505" i="3"/>
  <c r="F3504" i="3"/>
  <c r="F3503" i="3"/>
  <c r="F3502" i="3"/>
  <c r="F3501" i="3"/>
  <c r="F3500" i="3"/>
  <c r="F3499" i="3"/>
  <c r="F3498" i="3"/>
  <c r="F3497" i="3"/>
  <c r="F3496" i="3"/>
  <c r="F3495" i="3"/>
  <c r="F3494" i="3"/>
  <c r="F3493" i="3"/>
  <c r="F3492" i="3"/>
  <c r="F3491" i="3"/>
  <c r="F3490" i="3"/>
  <c r="F3489" i="3"/>
  <c r="F3488" i="3"/>
  <c r="F3487" i="3"/>
  <c r="F3486" i="3"/>
  <c r="F3485" i="3"/>
  <c r="F3484" i="3"/>
  <c r="F3483" i="3"/>
  <c r="F3482" i="3"/>
  <c r="F3481" i="3"/>
  <c r="F3480" i="3"/>
  <c r="F3479" i="3"/>
  <c r="F3478" i="3"/>
  <c r="F3477" i="3"/>
  <c r="F3476" i="3"/>
  <c r="F3475" i="3"/>
  <c r="F3474" i="3"/>
  <c r="F3473" i="3"/>
  <c r="F3472" i="3"/>
  <c r="F3471" i="3"/>
  <c r="F3470" i="3"/>
  <c r="F3469" i="3"/>
  <c r="F3468" i="3"/>
  <c r="F3467" i="3"/>
  <c r="F3466" i="3"/>
  <c r="F3465" i="3"/>
  <c r="F3464" i="3"/>
  <c r="F3463" i="3"/>
  <c r="F3462" i="3"/>
  <c r="F3461" i="3"/>
  <c r="F3460" i="3"/>
  <c r="F3459" i="3"/>
  <c r="F3458" i="3"/>
  <c r="F3457" i="3"/>
  <c r="F3456" i="3"/>
  <c r="F3455" i="3"/>
  <c r="F3454" i="3"/>
  <c r="F3453" i="3"/>
  <c r="F3452" i="3"/>
  <c r="F3451" i="3"/>
  <c r="F3450" i="3"/>
  <c r="F3449" i="3"/>
  <c r="F3448" i="3"/>
  <c r="F3447" i="3"/>
  <c r="F3446" i="3"/>
  <c r="F3445" i="3"/>
  <c r="F3444" i="3"/>
  <c r="F3443" i="3"/>
  <c r="F3442" i="3"/>
  <c r="F3441" i="3"/>
  <c r="F3440" i="3"/>
  <c r="F3439" i="3"/>
  <c r="F3438" i="3"/>
  <c r="F3437" i="3"/>
  <c r="F3436" i="3"/>
  <c r="F3435" i="3"/>
  <c r="F3434" i="3"/>
  <c r="F3433" i="3"/>
  <c r="F3432" i="3"/>
  <c r="F3431" i="3"/>
  <c r="F3430" i="3"/>
  <c r="F3429" i="3"/>
  <c r="F3428" i="3"/>
  <c r="F3427" i="3"/>
  <c r="F3426" i="3"/>
  <c r="F3425" i="3"/>
  <c r="F3424" i="3"/>
  <c r="F3423" i="3"/>
  <c r="F3422" i="3"/>
  <c r="F3421" i="3"/>
  <c r="F3420" i="3"/>
  <c r="F3419" i="3"/>
  <c r="F3418" i="3"/>
  <c r="F3417" i="3"/>
  <c r="F3416" i="3"/>
  <c r="F3415" i="3"/>
  <c r="F3414" i="3"/>
  <c r="F3413" i="3"/>
  <c r="F3412" i="3"/>
  <c r="F3411" i="3"/>
  <c r="F3410" i="3"/>
  <c r="F3409" i="3"/>
  <c r="F3408" i="3"/>
  <c r="F3407" i="3"/>
  <c r="F3406" i="3"/>
  <c r="F3405" i="3"/>
  <c r="F3404" i="3"/>
  <c r="F3403" i="3"/>
  <c r="F3402" i="3"/>
  <c r="F3401" i="3"/>
  <c r="F3400" i="3"/>
  <c r="F3399" i="3"/>
  <c r="F3398" i="3"/>
  <c r="F3397" i="3"/>
  <c r="F3396" i="3"/>
  <c r="F3395" i="3"/>
  <c r="F3394" i="3"/>
  <c r="F3393" i="3"/>
  <c r="F3392" i="3"/>
  <c r="F3391" i="3"/>
  <c r="F3390" i="3"/>
  <c r="F3389" i="3"/>
  <c r="F3388" i="3"/>
  <c r="F3387" i="3"/>
  <c r="F3386" i="3"/>
  <c r="F3385" i="3"/>
  <c r="F3384" i="3"/>
  <c r="F3383" i="3"/>
  <c r="F3382" i="3"/>
  <c r="F3381" i="3"/>
  <c r="F3380" i="3"/>
  <c r="F3379" i="3"/>
  <c r="F3378" i="3"/>
  <c r="F3377" i="3"/>
  <c r="F3376" i="3"/>
  <c r="F3375" i="3"/>
  <c r="F3374" i="3"/>
  <c r="F3373" i="3"/>
  <c r="F3372" i="3"/>
  <c r="F3371" i="3"/>
  <c r="F3370" i="3"/>
  <c r="F3369" i="3"/>
  <c r="F3368" i="3"/>
  <c r="F3367" i="3"/>
  <c r="F3366" i="3"/>
  <c r="F3365" i="3"/>
  <c r="F3364" i="3"/>
  <c r="F3363" i="3"/>
  <c r="F3362" i="3"/>
  <c r="F3361" i="3"/>
  <c r="F3360" i="3"/>
  <c r="F3359" i="3"/>
  <c r="F3358" i="3"/>
  <c r="F3357" i="3"/>
  <c r="F3356" i="3"/>
  <c r="F3355" i="3"/>
  <c r="F3354" i="3"/>
  <c r="F3353" i="3"/>
  <c r="F3352" i="3"/>
  <c r="F3351" i="3"/>
  <c r="F3350" i="3"/>
  <c r="F3349" i="3"/>
  <c r="F3348" i="3"/>
  <c r="F3347" i="3"/>
  <c r="F3346" i="3"/>
  <c r="F3345" i="3"/>
  <c r="F3344" i="3"/>
  <c r="F3343" i="3"/>
  <c r="F3342" i="3"/>
  <c r="F3341" i="3"/>
  <c r="F3340" i="3"/>
  <c r="F3339" i="3"/>
  <c r="F3338" i="3"/>
  <c r="F3337" i="3"/>
  <c r="F3336" i="3"/>
  <c r="F3335" i="3"/>
  <c r="F3334" i="3"/>
  <c r="F3333" i="3"/>
  <c r="F3332" i="3"/>
  <c r="F3331" i="3"/>
  <c r="F3330" i="3"/>
  <c r="F3329" i="3"/>
  <c r="F3328" i="3"/>
  <c r="F3327" i="3"/>
  <c r="F3326" i="3"/>
  <c r="F3325" i="3"/>
  <c r="F3324" i="3"/>
  <c r="F3323" i="3"/>
  <c r="F3322" i="3"/>
  <c r="F3321" i="3"/>
  <c r="F3320" i="3"/>
  <c r="F3319" i="3"/>
  <c r="F3318" i="3"/>
  <c r="F3317" i="3"/>
  <c r="F3316" i="3"/>
  <c r="F3315" i="3"/>
  <c r="F3314" i="3"/>
  <c r="F3313" i="3"/>
  <c r="F3312" i="3"/>
  <c r="F3311" i="3"/>
  <c r="F3310" i="3"/>
  <c r="F3309" i="3"/>
  <c r="F3308" i="3"/>
  <c r="F3307" i="3"/>
  <c r="F3306" i="3"/>
  <c r="F3305" i="3"/>
  <c r="F3304" i="3"/>
  <c r="F3303" i="3"/>
  <c r="F3302" i="3"/>
  <c r="F3301" i="3"/>
  <c r="F3300" i="3"/>
  <c r="F3299" i="3"/>
  <c r="F3298" i="3"/>
  <c r="F3297" i="3"/>
  <c r="F3296" i="3"/>
  <c r="F3295" i="3"/>
  <c r="F3294" i="3"/>
  <c r="F3293" i="3"/>
  <c r="F3292" i="3"/>
  <c r="F3291" i="3"/>
  <c r="F3290" i="3"/>
  <c r="F3289" i="3"/>
  <c r="F3288" i="3"/>
  <c r="F3287" i="3"/>
  <c r="F3286" i="3"/>
  <c r="F3285" i="3"/>
  <c r="F3284" i="3"/>
  <c r="F3283" i="3"/>
  <c r="F3282" i="3"/>
  <c r="F3281" i="3"/>
  <c r="F3280" i="3"/>
  <c r="F3279" i="3"/>
  <c r="F3278" i="3"/>
  <c r="F3277" i="3"/>
  <c r="F3276" i="3"/>
  <c r="F3275" i="3"/>
  <c r="F3274" i="3"/>
  <c r="F3273" i="3"/>
  <c r="F3272" i="3"/>
  <c r="F3271" i="3"/>
  <c r="F3270" i="3"/>
  <c r="F3269" i="3"/>
  <c r="F3268" i="3"/>
  <c r="F3267" i="3"/>
  <c r="F3266" i="3"/>
  <c r="F3265" i="3"/>
  <c r="F3264" i="3"/>
  <c r="F3263" i="3"/>
  <c r="F3262" i="3"/>
  <c r="F3261" i="3"/>
  <c r="F3260" i="3"/>
  <c r="F3259" i="3"/>
  <c r="F3258" i="3"/>
  <c r="F3257" i="3"/>
  <c r="F3256" i="3"/>
  <c r="F3255" i="3"/>
  <c r="F3254" i="3"/>
  <c r="F3253" i="3"/>
  <c r="F3252" i="3"/>
  <c r="F3251" i="3"/>
  <c r="F3250" i="3"/>
  <c r="F3249" i="3"/>
  <c r="F3248" i="3"/>
  <c r="F3247" i="3"/>
  <c r="F3246" i="3"/>
  <c r="F3245" i="3"/>
  <c r="F3244" i="3"/>
  <c r="F3243" i="3"/>
  <c r="F3242" i="3"/>
  <c r="F3241" i="3"/>
  <c r="F3240" i="3"/>
  <c r="F3239" i="3"/>
  <c r="F3238" i="3"/>
  <c r="F3237" i="3"/>
  <c r="F3236" i="3"/>
  <c r="F3235" i="3"/>
  <c r="F3234" i="3"/>
  <c r="F3233" i="3"/>
  <c r="F3232" i="3"/>
  <c r="F3231" i="3"/>
  <c r="F3230" i="3"/>
  <c r="F3229" i="3"/>
  <c r="F3228" i="3"/>
  <c r="F3227" i="3"/>
  <c r="F3226" i="3"/>
  <c r="F3225" i="3"/>
  <c r="F3224" i="3"/>
  <c r="F3223" i="3"/>
  <c r="F3222" i="3"/>
  <c r="F3221" i="3"/>
  <c r="F3220" i="3"/>
  <c r="F3219" i="3"/>
  <c r="F3218" i="3"/>
  <c r="F3217" i="3"/>
  <c r="F3216" i="3"/>
  <c r="F3215" i="3"/>
  <c r="F3214" i="3"/>
  <c r="F3213" i="3"/>
  <c r="F3212" i="3"/>
  <c r="F3211" i="3"/>
  <c r="F3210" i="3"/>
  <c r="F3209" i="3"/>
  <c r="F3208" i="3"/>
  <c r="F3207" i="3"/>
  <c r="F3206" i="3"/>
  <c r="F3205" i="3"/>
  <c r="F3204" i="3"/>
  <c r="F3203" i="3"/>
  <c r="F3202" i="3"/>
  <c r="F3201" i="3"/>
  <c r="F3200" i="3"/>
  <c r="F3199" i="3"/>
  <c r="F3198" i="3"/>
  <c r="F3197" i="3"/>
  <c r="F3196" i="3"/>
  <c r="F3195" i="3"/>
  <c r="F3194" i="3"/>
  <c r="F3193" i="3"/>
  <c r="F3192" i="3"/>
  <c r="F3191" i="3"/>
  <c r="F3190" i="3"/>
  <c r="F3189" i="3"/>
  <c r="F3188" i="3"/>
  <c r="F3187" i="3"/>
  <c r="F3186" i="3"/>
  <c r="F3185" i="3"/>
  <c r="F3184" i="3"/>
  <c r="F3183" i="3"/>
  <c r="F3182" i="3"/>
  <c r="F3181" i="3"/>
  <c r="F3180" i="3"/>
  <c r="F3179" i="3"/>
  <c r="F3178" i="3"/>
  <c r="F3177" i="3"/>
  <c r="F3176" i="3"/>
  <c r="F3175" i="3"/>
  <c r="F3174" i="3"/>
  <c r="F3173" i="3"/>
  <c r="F3172" i="3"/>
  <c r="F3171" i="3"/>
  <c r="F3170" i="3"/>
  <c r="F3169" i="3"/>
  <c r="F3168" i="3"/>
  <c r="F3167" i="3"/>
  <c r="F3166" i="3"/>
  <c r="F3165" i="3"/>
  <c r="F3164" i="3"/>
  <c r="F3163" i="3"/>
  <c r="F3162" i="3"/>
  <c r="F3161" i="3"/>
  <c r="F3160" i="3"/>
  <c r="F3159" i="3"/>
  <c r="F3158" i="3"/>
  <c r="F3157" i="3"/>
  <c r="F3156" i="3"/>
  <c r="F3155" i="3"/>
  <c r="F3154" i="3"/>
  <c r="F3153" i="3"/>
  <c r="F3152" i="3"/>
  <c r="F3151" i="3"/>
  <c r="F3150" i="3"/>
  <c r="F3149" i="3"/>
  <c r="F3148" i="3"/>
  <c r="F3147" i="3"/>
  <c r="F3146" i="3"/>
  <c r="F3145" i="3"/>
  <c r="F3144" i="3"/>
  <c r="F3143" i="3"/>
  <c r="F3142" i="3"/>
  <c r="F3141" i="3"/>
  <c r="F3140" i="3"/>
  <c r="F3139" i="3"/>
  <c r="F3138" i="3"/>
  <c r="F3137" i="3"/>
  <c r="F3136" i="3"/>
  <c r="F3135" i="3"/>
  <c r="F3134" i="3"/>
  <c r="F3133" i="3"/>
  <c r="F3132" i="3"/>
  <c r="F3131" i="3"/>
  <c r="F3130" i="3"/>
  <c r="F3129" i="3"/>
  <c r="F3128" i="3"/>
  <c r="F3127" i="3"/>
  <c r="F3126" i="3"/>
  <c r="F3125" i="3"/>
  <c r="F3124" i="3"/>
  <c r="F3123" i="3"/>
  <c r="F3122" i="3"/>
  <c r="F3121" i="3"/>
  <c r="F3120" i="3"/>
  <c r="F3119" i="3"/>
  <c r="F3118" i="3"/>
  <c r="F3117" i="3"/>
  <c r="F3116" i="3"/>
  <c r="F3115" i="3"/>
  <c r="F3114" i="3"/>
  <c r="F3113" i="3"/>
  <c r="F3112" i="3"/>
  <c r="F3111" i="3"/>
  <c r="F3110" i="3"/>
  <c r="F3109" i="3"/>
  <c r="F3108" i="3"/>
  <c r="F3107" i="3"/>
  <c r="F3106" i="3"/>
  <c r="F3105" i="3"/>
  <c r="F3104" i="3"/>
  <c r="F3103" i="3"/>
  <c r="F3102" i="3"/>
  <c r="F3101" i="3"/>
  <c r="F3100" i="3"/>
  <c r="F3099" i="3"/>
  <c r="F3098" i="3"/>
  <c r="F3097" i="3"/>
  <c r="F3096" i="3"/>
  <c r="F3095" i="3"/>
  <c r="F3094" i="3"/>
  <c r="F3093" i="3"/>
  <c r="F3092" i="3"/>
  <c r="F3091" i="3"/>
  <c r="F3090" i="3"/>
  <c r="F3089" i="3"/>
  <c r="F3088" i="3"/>
  <c r="F3087" i="3"/>
  <c r="F3086" i="3"/>
  <c r="F3085" i="3"/>
  <c r="F3084" i="3"/>
  <c r="F3083" i="3"/>
  <c r="F3082" i="3"/>
  <c r="F3081" i="3"/>
  <c r="F3080" i="3"/>
  <c r="F3079" i="3"/>
  <c r="F3078" i="3"/>
  <c r="F3077" i="3"/>
  <c r="F3076" i="3"/>
  <c r="F3075" i="3"/>
  <c r="F3074" i="3"/>
  <c r="F3073" i="3"/>
  <c r="F3072" i="3"/>
  <c r="F3071" i="3"/>
  <c r="F3070" i="3"/>
  <c r="F3069" i="3"/>
  <c r="F3068" i="3"/>
  <c r="F3067" i="3"/>
  <c r="F3066" i="3"/>
  <c r="F3065" i="3"/>
  <c r="F3064" i="3"/>
  <c r="F3063" i="3"/>
  <c r="F3062" i="3"/>
  <c r="F3061" i="3"/>
  <c r="F3060" i="3"/>
  <c r="F3059" i="3"/>
  <c r="F3058" i="3"/>
  <c r="F3057" i="3"/>
  <c r="F3056" i="3"/>
  <c r="F3055" i="3"/>
  <c r="F3054" i="3"/>
  <c r="F3053" i="3"/>
  <c r="F3052" i="3"/>
  <c r="F3051" i="3"/>
  <c r="F3050" i="3"/>
  <c r="F3049" i="3"/>
  <c r="F3048" i="3"/>
  <c r="F3047" i="3"/>
  <c r="F3046" i="3"/>
  <c r="F3045" i="3"/>
  <c r="F3044" i="3"/>
  <c r="F3043" i="3"/>
  <c r="F3042" i="3"/>
  <c r="F3041" i="3"/>
  <c r="F3040" i="3"/>
  <c r="F3039" i="3"/>
  <c r="F3038" i="3"/>
  <c r="F3037" i="3"/>
  <c r="F3036" i="3"/>
  <c r="F3035" i="3"/>
  <c r="F3034" i="3"/>
  <c r="F3033" i="3"/>
  <c r="F3032" i="3"/>
  <c r="F3031" i="3"/>
  <c r="F3030" i="3"/>
  <c r="F3029" i="3"/>
  <c r="F3028" i="3"/>
  <c r="F3027" i="3"/>
  <c r="F3026" i="3"/>
  <c r="F3025" i="3"/>
  <c r="F3024" i="3"/>
  <c r="F3023" i="3"/>
  <c r="F3022" i="3"/>
  <c r="F3021" i="3"/>
  <c r="F3020" i="3"/>
  <c r="F3019" i="3"/>
  <c r="F3018" i="3"/>
  <c r="F3017" i="3"/>
  <c r="F3016" i="3"/>
  <c r="F3015" i="3"/>
  <c r="F3014" i="3"/>
  <c r="F3013" i="3"/>
  <c r="F3012" i="3"/>
  <c r="F3011" i="3"/>
  <c r="F3010" i="3"/>
  <c r="F3009" i="3"/>
  <c r="F3008" i="3"/>
  <c r="F3007" i="3"/>
  <c r="F3006" i="3"/>
  <c r="F3005" i="3"/>
  <c r="F3004" i="3"/>
  <c r="F3003" i="3"/>
  <c r="F3002" i="3"/>
  <c r="F3001" i="3"/>
  <c r="F3000" i="3"/>
  <c r="F2999" i="3"/>
  <c r="F2998" i="3"/>
  <c r="F2997" i="3"/>
  <c r="F2996" i="3"/>
  <c r="F2995" i="3"/>
  <c r="F2994" i="3"/>
  <c r="F2993" i="3"/>
  <c r="F2992" i="3"/>
  <c r="F2991" i="3"/>
  <c r="F2990" i="3"/>
  <c r="F2989" i="3"/>
  <c r="F2988" i="3"/>
  <c r="F2987" i="3"/>
  <c r="F2986" i="3"/>
  <c r="F2985" i="3"/>
  <c r="F2984" i="3"/>
  <c r="F2983" i="3"/>
  <c r="F2982" i="3"/>
  <c r="F2981" i="3"/>
  <c r="F2980" i="3"/>
  <c r="F2979" i="3"/>
  <c r="F2978" i="3"/>
  <c r="F2977" i="3"/>
  <c r="F2976" i="3"/>
  <c r="F2975" i="3"/>
  <c r="F2974" i="3"/>
  <c r="F2973" i="3"/>
  <c r="F2972" i="3"/>
  <c r="F2971" i="3"/>
  <c r="F2970" i="3"/>
  <c r="F2969" i="3"/>
  <c r="F2968" i="3"/>
  <c r="F2967" i="3"/>
  <c r="F2966" i="3"/>
  <c r="F2965" i="3"/>
  <c r="F2964" i="3"/>
  <c r="F2963" i="3"/>
  <c r="F2962" i="3"/>
  <c r="F2961" i="3"/>
  <c r="F2960" i="3"/>
  <c r="F2959" i="3"/>
  <c r="F2958" i="3"/>
  <c r="F2957" i="3"/>
  <c r="F2956" i="3"/>
  <c r="F2955" i="3"/>
  <c r="F2954" i="3"/>
  <c r="F2953" i="3"/>
  <c r="F2952" i="3"/>
  <c r="F2951" i="3"/>
  <c r="F2950" i="3"/>
  <c r="F2949" i="3"/>
  <c r="F2948" i="3"/>
  <c r="F2947" i="3"/>
  <c r="F2946" i="3"/>
  <c r="F2945" i="3"/>
  <c r="F2944" i="3"/>
  <c r="F2943" i="3"/>
  <c r="F2942" i="3"/>
  <c r="F2941" i="3"/>
  <c r="F2940" i="3"/>
  <c r="F2939" i="3"/>
  <c r="F2938" i="3"/>
  <c r="F2937" i="3"/>
  <c r="F2936" i="3"/>
  <c r="F2935" i="3"/>
  <c r="F2934" i="3"/>
  <c r="F2933" i="3"/>
  <c r="F2932" i="3"/>
  <c r="F2931" i="3"/>
  <c r="F2930" i="3"/>
  <c r="F2929" i="3"/>
  <c r="F2928" i="3"/>
  <c r="F2927" i="3"/>
  <c r="F2926" i="3"/>
  <c r="F2925" i="3"/>
  <c r="F2924" i="3"/>
  <c r="F2923" i="3"/>
  <c r="F2922" i="3"/>
  <c r="F2921" i="3"/>
  <c r="F2920" i="3"/>
  <c r="F2919" i="3"/>
  <c r="F2918" i="3"/>
  <c r="F2917" i="3"/>
  <c r="F2916" i="3"/>
  <c r="F2915" i="3"/>
  <c r="F2914" i="3"/>
  <c r="F2913" i="3"/>
  <c r="F2912" i="3"/>
  <c r="F2911" i="3"/>
  <c r="F2910" i="3"/>
  <c r="F2909" i="3"/>
  <c r="F2908" i="3"/>
  <c r="F2907" i="3"/>
  <c r="F2906" i="3"/>
  <c r="F2905" i="3"/>
  <c r="F2904" i="3"/>
  <c r="F2903" i="3"/>
  <c r="F2902" i="3"/>
  <c r="F2901" i="3"/>
  <c r="F2900" i="3"/>
  <c r="F2899" i="3"/>
  <c r="F2898" i="3"/>
  <c r="F2897" i="3"/>
  <c r="F2896" i="3"/>
  <c r="F2895" i="3"/>
  <c r="F2894" i="3"/>
  <c r="F2893" i="3"/>
  <c r="F2892" i="3"/>
  <c r="F2891" i="3"/>
  <c r="F2890" i="3"/>
  <c r="F2889" i="3"/>
  <c r="F2888" i="3"/>
  <c r="F2887" i="3"/>
  <c r="F2886" i="3"/>
  <c r="F2885" i="3"/>
  <c r="F2884" i="3"/>
  <c r="F2883" i="3"/>
  <c r="F2882" i="3"/>
  <c r="F2881" i="3"/>
  <c r="F2880" i="3"/>
  <c r="F2879" i="3"/>
  <c r="F2878" i="3"/>
  <c r="F2877" i="3"/>
  <c r="F2876" i="3"/>
  <c r="F2875" i="3"/>
  <c r="F2874" i="3"/>
  <c r="F2873" i="3"/>
  <c r="F2872" i="3"/>
  <c r="F2871" i="3"/>
  <c r="F2870" i="3"/>
  <c r="F2869" i="3"/>
  <c r="F2868" i="3"/>
  <c r="F2867" i="3"/>
  <c r="F2866" i="3"/>
  <c r="F2865" i="3"/>
  <c r="F2864" i="3"/>
  <c r="F2863" i="3"/>
  <c r="F2862" i="3"/>
  <c r="F2861" i="3"/>
  <c r="F2860" i="3"/>
  <c r="F2859" i="3"/>
  <c r="F2858" i="3"/>
  <c r="F2857" i="3"/>
  <c r="F2856" i="3"/>
  <c r="F2855" i="3"/>
  <c r="F2854" i="3"/>
  <c r="F2853" i="3"/>
  <c r="F2852" i="3"/>
  <c r="F2851" i="3"/>
  <c r="F2850" i="3"/>
  <c r="F2849" i="3"/>
  <c r="F2848" i="3"/>
  <c r="F2847" i="3"/>
  <c r="F2846" i="3"/>
  <c r="F2845" i="3"/>
  <c r="F2844" i="3"/>
  <c r="F2843" i="3"/>
  <c r="F2842" i="3"/>
  <c r="F2841" i="3"/>
  <c r="F2840" i="3"/>
  <c r="F2839" i="3"/>
  <c r="F2838" i="3"/>
  <c r="F2837" i="3"/>
  <c r="F2836" i="3"/>
  <c r="F2835" i="3"/>
  <c r="F2834" i="3"/>
  <c r="F2833" i="3"/>
  <c r="F2832" i="3"/>
  <c r="F2831" i="3"/>
  <c r="F2830" i="3"/>
  <c r="F2829" i="3"/>
  <c r="F2828" i="3"/>
  <c r="F2827" i="3"/>
  <c r="F2826" i="3"/>
  <c r="F2825" i="3"/>
  <c r="F2824" i="3"/>
  <c r="F2823" i="3"/>
  <c r="F2822" i="3"/>
  <c r="F2821" i="3"/>
  <c r="F2820" i="3"/>
  <c r="F2819" i="3"/>
  <c r="F2818" i="3"/>
  <c r="F2817" i="3"/>
  <c r="F2816" i="3"/>
  <c r="F2815" i="3"/>
  <c r="F2814" i="3"/>
  <c r="F2813" i="3"/>
  <c r="F2812" i="3"/>
  <c r="F2811" i="3"/>
  <c r="F2810" i="3"/>
  <c r="F2809" i="3"/>
  <c r="F2808" i="3"/>
  <c r="F2807" i="3"/>
  <c r="F2806" i="3"/>
  <c r="F2805" i="3"/>
  <c r="F2804" i="3"/>
  <c r="F2803" i="3"/>
  <c r="F2802" i="3"/>
  <c r="F2801" i="3"/>
  <c r="F2800" i="3"/>
  <c r="F2799" i="3"/>
  <c r="F2798" i="3"/>
  <c r="F2797" i="3"/>
  <c r="F2796" i="3"/>
  <c r="F2795" i="3"/>
  <c r="F2794" i="3"/>
  <c r="F2793" i="3"/>
  <c r="F2792" i="3"/>
  <c r="F2791" i="3"/>
  <c r="F2790" i="3"/>
  <c r="F2789" i="3"/>
  <c r="F2788" i="3"/>
  <c r="F2787" i="3"/>
  <c r="F2786" i="3"/>
  <c r="F2785" i="3"/>
  <c r="F2784" i="3"/>
  <c r="F2783" i="3"/>
  <c r="F2782" i="3"/>
  <c r="F2781" i="3"/>
  <c r="F2780" i="3"/>
  <c r="F2779" i="3"/>
  <c r="F2778" i="3"/>
  <c r="F2777" i="3"/>
  <c r="F2776" i="3"/>
  <c r="F2775" i="3"/>
  <c r="F2774" i="3"/>
  <c r="F2773" i="3"/>
  <c r="F2772" i="3"/>
  <c r="F2771" i="3"/>
  <c r="F2770" i="3"/>
  <c r="F2769" i="3"/>
  <c r="F2768" i="3"/>
  <c r="F2767" i="3"/>
  <c r="F2766" i="3"/>
  <c r="F2765" i="3"/>
  <c r="F2764" i="3"/>
  <c r="F2763" i="3"/>
  <c r="F2762" i="3"/>
  <c r="F2761" i="3"/>
  <c r="F2760" i="3"/>
  <c r="F2759" i="3"/>
  <c r="F2758" i="3"/>
  <c r="F2757" i="3"/>
  <c r="F2756" i="3"/>
  <c r="F2755" i="3"/>
  <c r="F2754" i="3"/>
  <c r="F2753" i="3"/>
  <c r="F2752" i="3"/>
  <c r="F2751" i="3"/>
  <c r="F2750" i="3"/>
  <c r="F2749" i="3"/>
  <c r="F2748" i="3"/>
  <c r="F2747" i="3"/>
  <c r="F2746" i="3"/>
  <c r="F2745" i="3"/>
  <c r="F2744" i="3"/>
  <c r="F2743" i="3"/>
  <c r="F2742" i="3"/>
  <c r="F2741" i="3"/>
  <c r="F2740" i="3"/>
  <c r="F2739" i="3"/>
  <c r="F2738" i="3"/>
  <c r="F2737" i="3"/>
  <c r="F2736" i="3"/>
  <c r="F2735" i="3"/>
  <c r="F2734" i="3"/>
  <c r="F2733" i="3"/>
  <c r="F2732" i="3"/>
  <c r="F2731" i="3"/>
  <c r="F2730" i="3"/>
  <c r="F2729" i="3"/>
  <c r="F2728" i="3"/>
  <c r="F2727" i="3"/>
  <c r="F2726" i="3"/>
  <c r="F2725" i="3"/>
  <c r="F2724" i="3"/>
  <c r="F2723" i="3"/>
  <c r="F2722" i="3"/>
  <c r="F2721" i="3"/>
  <c r="F2720" i="3"/>
  <c r="F2719" i="3"/>
  <c r="F2718" i="3"/>
  <c r="F2717" i="3"/>
  <c r="F2716" i="3"/>
  <c r="F2715" i="3"/>
  <c r="F2714" i="3"/>
  <c r="F2713" i="3"/>
  <c r="F2712" i="3"/>
  <c r="F2711" i="3"/>
  <c r="F2710" i="3"/>
  <c r="F2709" i="3"/>
  <c r="F2708" i="3"/>
  <c r="F2707" i="3"/>
  <c r="F2706" i="3"/>
  <c r="F2705" i="3"/>
  <c r="F2704" i="3"/>
  <c r="F2703" i="3"/>
  <c r="F2702" i="3"/>
  <c r="F2701" i="3"/>
  <c r="F2700" i="3"/>
  <c r="F2699" i="3"/>
  <c r="F2698" i="3"/>
  <c r="F2697" i="3"/>
  <c r="F2696" i="3"/>
  <c r="F2695" i="3"/>
  <c r="F2694" i="3"/>
  <c r="F2693" i="3"/>
  <c r="F2692" i="3"/>
  <c r="F2691" i="3"/>
  <c r="F2690" i="3"/>
  <c r="F2689" i="3"/>
  <c r="F2688" i="3"/>
  <c r="F2687" i="3"/>
  <c r="F2686" i="3"/>
  <c r="F2685" i="3"/>
  <c r="F2684" i="3"/>
  <c r="F2683" i="3"/>
  <c r="F2682" i="3"/>
  <c r="F2681" i="3"/>
  <c r="F2680" i="3"/>
  <c r="F2679" i="3"/>
  <c r="F2678" i="3"/>
  <c r="F2677" i="3"/>
  <c r="F2676" i="3"/>
  <c r="F2675" i="3"/>
  <c r="F2674" i="3"/>
  <c r="F2673" i="3"/>
  <c r="F2672" i="3"/>
  <c r="F2671" i="3"/>
  <c r="F2670" i="3"/>
  <c r="F2669" i="3"/>
  <c r="F2668" i="3"/>
  <c r="F2667" i="3"/>
  <c r="F2666" i="3"/>
  <c r="F2665" i="3"/>
  <c r="F2664" i="3"/>
  <c r="F2663" i="3"/>
  <c r="F2662" i="3"/>
  <c r="F2661" i="3"/>
  <c r="F2660" i="3"/>
  <c r="F2659" i="3"/>
  <c r="F2658" i="3"/>
  <c r="F2657" i="3"/>
  <c r="F2656" i="3"/>
  <c r="F2655" i="3"/>
  <c r="F2654" i="3"/>
  <c r="F2653" i="3"/>
  <c r="F2652" i="3"/>
  <c r="F2651" i="3"/>
  <c r="F2650" i="3"/>
  <c r="F2649" i="3"/>
  <c r="F2648" i="3"/>
  <c r="F2647" i="3"/>
  <c r="F2646" i="3"/>
  <c r="F2645" i="3"/>
  <c r="F2644" i="3"/>
  <c r="F2643" i="3"/>
  <c r="F2642" i="3"/>
  <c r="F2641" i="3"/>
  <c r="F2640" i="3"/>
  <c r="F2639" i="3"/>
  <c r="F2638" i="3"/>
  <c r="F2637" i="3"/>
  <c r="F2636" i="3"/>
  <c r="F2635" i="3"/>
  <c r="F2634" i="3"/>
  <c r="F2633" i="3"/>
  <c r="F2632" i="3"/>
  <c r="F2631" i="3"/>
  <c r="F2630" i="3"/>
  <c r="F2629" i="3"/>
  <c r="F2628" i="3"/>
  <c r="F2627" i="3"/>
  <c r="F2626" i="3"/>
  <c r="F2625" i="3"/>
  <c r="F2624" i="3"/>
  <c r="F2623" i="3"/>
  <c r="F2622" i="3"/>
  <c r="F2621" i="3"/>
  <c r="F2620" i="3"/>
  <c r="F2619" i="3"/>
  <c r="F2618" i="3"/>
  <c r="F2617" i="3"/>
  <c r="F2616" i="3"/>
  <c r="F2615" i="3"/>
  <c r="F2614" i="3"/>
  <c r="F2613" i="3"/>
  <c r="F2612" i="3"/>
  <c r="F2611" i="3"/>
  <c r="F2610" i="3"/>
  <c r="F2609" i="3"/>
  <c r="F2608" i="3"/>
  <c r="F2607" i="3"/>
  <c r="F2606" i="3"/>
  <c r="F2605" i="3"/>
  <c r="F2604" i="3"/>
  <c r="F2603" i="3"/>
  <c r="F2602" i="3"/>
  <c r="F2601" i="3"/>
  <c r="F2600" i="3"/>
  <c r="F2599" i="3"/>
  <c r="F2598" i="3"/>
  <c r="F2597" i="3"/>
  <c r="F2596" i="3"/>
  <c r="F2595" i="3"/>
  <c r="F2594" i="3"/>
  <c r="F2593" i="3"/>
  <c r="F2592" i="3"/>
  <c r="F2591" i="3"/>
  <c r="F2590" i="3"/>
  <c r="F2589" i="3"/>
  <c r="F2588" i="3"/>
  <c r="F2587" i="3"/>
  <c r="F2586" i="3"/>
  <c r="F2585" i="3"/>
  <c r="F2584" i="3"/>
  <c r="F2583" i="3"/>
  <c r="F2582" i="3"/>
  <c r="F2581" i="3"/>
  <c r="F2580" i="3"/>
  <c r="F2579" i="3"/>
  <c r="F2578" i="3"/>
  <c r="F2577" i="3"/>
  <c r="F2576" i="3"/>
  <c r="F2575" i="3"/>
  <c r="F2574" i="3"/>
  <c r="F2573" i="3"/>
  <c r="F2572" i="3"/>
  <c r="F2571" i="3"/>
  <c r="F2570" i="3"/>
  <c r="F2569" i="3"/>
  <c r="F2568" i="3"/>
  <c r="F2567" i="3"/>
  <c r="F2566" i="3"/>
  <c r="F2565" i="3"/>
  <c r="F2564" i="3"/>
  <c r="F2563" i="3"/>
  <c r="F2562" i="3"/>
  <c r="F2561" i="3"/>
  <c r="F2560" i="3"/>
  <c r="F2559" i="3"/>
  <c r="F2558" i="3"/>
  <c r="F2557" i="3"/>
  <c r="F2556" i="3"/>
  <c r="F2555" i="3"/>
  <c r="F2554" i="3"/>
  <c r="F2553" i="3"/>
  <c r="F2552" i="3"/>
  <c r="F2551" i="3"/>
  <c r="F2550" i="3"/>
  <c r="F2549" i="3"/>
  <c r="F2548" i="3"/>
  <c r="F2547" i="3"/>
  <c r="F2546" i="3"/>
  <c r="F2545" i="3"/>
  <c r="F2544" i="3"/>
  <c r="F2543" i="3"/>
  <c r="F2542" i="3"/>
  <c r="F2541" i="3"/>
  <c r="F2540" i="3"/>
  <c r="F2539" i="3"/>
  <c r="F2538" i="3"/>
  <c r="F2537" i="3"/>
  <c r="F2536" i="3"/>
  <c r="F2535" i="3"/>
  <c r="F2534" i="3"/>
  <c r="F2533" i="3"/>
  <c r="F2532" i="3"/>
  <c r="F2531" i="3"/>
  <c r="F2530" i="3"/>
  <c r="F2529" i="3"/>
  <c r="F2528" i="3"/>
  <c r="F2527" i="3"/>
  <c r="F2526" i="3"/>
  <c r="F2525" i="3"/>
  <c r="F2524" i="3"/>
  <c r="F2523" i="3"/>
  <c r="F2522" i="3"/>
  <c r="F2521" i="3"/>
  <c r="F2520" i="3"/>
  <c r="F2519" i="3"/>
  <c r="F2518" i="3"/>
  <c r="F2517" i="3"/>
  <c r="F2516" i="3"/>
  <c r="F2515" i="3"/>
  <c r="F2514" i="3"/>
  <c r="F2513" i="3"/>
  <c r="F2512" i="3"/>
  <c r="F2511" i="3"/>
  <c r="F2510" i="3"/>
  <c r="F2509" i="3"/>
  <c r="F2508" i="3"/>
  <c r="F2507" i="3"/>
  <c r="F2506" i="3"/>
  <c r="F2505" i="3"/>
  <c r="F2504" i="3"/>
  <c r="F2503" i="3"/>
  <c r="F2502" i="3"/>
  <c r="F2501" i="3"/>
  <c r="F2500" i="3"/>
  <c r="F2499" i="3"/>
  <c r="F2498" i="3"/>
  <c r="F2497" i="3"/>
  <c r="F2496" i="3"/>
  <c r="F2495" i="3"/>
  <c r="F2494" i="3"/>
  <c r="F2493" i="3"/>
  <c r="F2492" i="3"/>
  <c r="F2491" i="3"/>
  <c r="F2490" i="3"/>
  <c r="F2489" i="3"/>
  <c r="F2488" i="3"/>
  <c r="F2487" i="3"/>
  <c r="F2486" i="3"/>
  <c r="F2485" i="3"/>
  <c r="F2484" i="3"/>
  <c r="F2483" i="3"/>
  <c r="F2482" i="3"/>
  <c r="F2481" i="3"/>
  <c r="F2480" i="3"/>
  <c r="F2479" i="3"/>
  <c r="F2478" i="3"/>
  <c r="F2477" i="3"/>
  <c r="F2476" i="3"/>
  <c r="F2475" i="3"/>
  <c r="F2474" i="3"/>
  <c r="F2473" i="3"/>
  <c r="F2472" i="3"/>
  <c r="F2471" i="3"/>
  <c r="F2470" i="3"/>
  <c r="F2469" i="3"/>
  <c r="F2468" i="3"/>
  <c r="F2467" i="3"/>
  <c r="F2466" i="3"/>
  <c r="F2465" i="3"/>
  <c r="F2464" i="3"/>
  <c r="F2463" i="3"/>
  <c r="F2462" i="3"/>
  <c r="F2461" i="3"/>
  <c r="F2460" i="3"/>
  <c r="F2459" i="3"/>
  <c r="F2458" i="3"/>
  <c r="F2457" i="3"/>
  <c r="F2456" i="3"/>
  <c r="F2455" i="3"/>
  <c r="F2454" i="3"/>
  <c r="F2453" i="3"/>
  <c r="F2452" i="3"/>
  <c r="F2451" i="3"/>
  <c r="F2450" i="3"/>
  <c r="F2449" i="3"/>
  <c r="F2448" i="3"/>
  <c r="F2447" i="3"/>
  <c r="F2446" i="3"/>
  <c r="F2445" i="3"/>
  <c r="F2444" i="3"/>
  <c r="F2443" i="3"/>
  <c r="F2442" i="3"/>
  <c r="F2441" i="3"/>
  <c r="F2440" i="3"/>
  <c r="F2439" i="3"/>
  <c r="F2438" i="3"/>
  <c r="F2437" i="3"/>
  <c r="F2436" i="3"/>
  <c r="F2435" i="3"/>
  <c r="F2434" i="3"/>
  <c r="F2433" i="3"/>
  <c r="F2432" i="3"/>
  <c r="F2431" i="3"/>
  <c r="F2430" i="3"/>
  <c r="F2429" i="3"/>
  <c r="F2428" i="3"/>
  <c r="F2427" i="3"/>
  <c r="F2426" i="3"/>
  <c r="F2425" i="3"/>
  <c r="F2424" i="3"/>
  <c r="F2423" i="3"/>
  <c r="F2422" i="3"/>
  <c r="F2421" i="3"/>
  <c r="F2420" i="3"/>
  <c r="F2419" i="3"/>
  <c r="F2418" i="3"/>
  <c r="F2417" i="3"/>
  <c r="F2416" i="3"/>
  <c r="F2415" i="3"/>
  <c r="F2414" i="3"/>
  <c r="F2413" i="3"/>
  <c r="F2412" i="3"/>
  <c r="F2411" i="3"/>
  <c r="F2410" i="3"/>
  <c r="F2409" i="3"/>
  <c r="F2408" i="3"/>
  <c r="F2407" i="3"/>
  <c r="F2406" i="3"/>
  <c r="F2405" i="3"/>
  <c r="F2404" i="3"/>
  <c r="F2403" i="3"/>
  <c r="F2402" i="3"/>
  <c r="F2401" i="3"/>
  <c r="F2400" i="3"/>
  <c r="F2399" i="3"/>
  <c r="F2398" i="3"/>
  <c r="F2397" i="3"/>
  <c r="F2396" i="3"/>
  <c r="F2395" i="3"/>
  <c r="F2394" i="3"/>
  <c r="F2393" i="3"/>
  <c r="F2392" i="3"/>
  <c r="F2391" i="3"/>
  <c r="F2390" i="3"/>
  <c r="F2389" i="3"/>
  <c r="F2388" i="3"/>
  <c r="F2387" i="3"/>
  <c r="F2386" i="3"/>
  <c r="F2385" i="3"/>
  <c r="F2384" i="3"/>
  <c r="F2383" i="3"/>
  <c r="F2382" i="3"/>
  <c r="F2381" i="3"/>
  <c r="F2380" i="3"/>
  <c r="F2379" i="3"/>
  <c r="F2378" i="3"/>
  <c r="F2377" i="3"/>
  <c r="F2376" i="3"/>
  <c r="F2375" i="3"/>
  <c r="F2374" i="3"/>
  <c r="F2373" i="3"/>
  <c r="F2372" i="3"/>
  <c r="F2371" i="3"/>
  <c r="F2370" i="3"/>
  <c r="F2369" i="3"/>
  <c r="F2368" i="3"/>
  <c r="F2367" i="3"/>
  <c r="F2366" i="3"/>
  <c r="F2365" i="3"/>
  <c r="F2364" i="3"/>
  <c r="F2363" i="3"/>
  <c r="F2362" i="3"/>
  <c r="F2361" i="3"/>
  <c r="F2360" i="3"/>
  <c r="F2359" i="3"/>
  <c r="F2358" i="3"/>
  <c r="F2357" i="3"/>
  <c r="F2356" i="3"/>
  <c r="F2355" i="3"/>
  <c r="F2354" i="3"/>
  <c r="F2353" i="3"/>
  <c r="F2352" i="3"/>
  <c r="F2351" i="3"/>
  <c r="F2350" i="3"/>
  <c r="F2349" i="3"/>
  <c r="F2348" i="3"/>
  <c r="F2347" i="3"/>
  <c r="F2346" i="3"/>
  <c r="F2345" i="3"/>
  <c r="F2344" i="3"/>
  <c r="F2343" i="3"/>
  <c r="F2342" i="3"/>
  <c r="F2341" i="3"/>
  <c r="F2340" i="3"/>
  <c r="F2339" i="3"/>
  <c r="F2338" i="3"/>
  <c r="F2337" i="3"/>
  <c r="F2336" i="3"/>
  <c r="F2335" i="3"/>
  <c r="F2334" i="3"/>
  <c r="F2333" i="3"/>
  <c r="F2332" i="3"/>
  <c r="F2331" i="3"/>
  <c r="F2330" i="3"/>
  <c r="F2329" i="3"/>
  <c r="F2328" i="3"/>
  <c r="F2327" i="3"/>
  <c r="F2326" i="3"/>
  <c r="F2325" i="3"/>
  <c r="F2324" i="3"/>
  <c r="F2323" i="3"/>
  <c r="F2322" i="3"/>
  <c r="F2321" i="3"/>
  <c r="F2320" i="3"/>
  <c r="F2319" i="3"/>
  <c r="F2318" i="3"/>
  <c r="F2317" i="3"/>
  <c r="F2316" i="3"/>
  <c r="F2315" i="3"/>
  <c r="F2314" i="3"/>
  <c r="F2313" i="3"/>
  <c r="F2312" i="3"/>
  <c r="F2311" i="3"/>
  <c r="F2310" i="3"/>
  <c r="F2309" i="3"/>
  <c r="F2308" i="3"/>
  <c r="F2307" i="3"/>
  <c r="F2306" i="3"/>
  <c r="F2305" i="3"/>
  <c r="F2304" i="3"/>
  <c r="F2303" i="3"/>
  <c r="F2302" i="3"/>
  <c r="F2301" i="3"/>
  <c r="F2300" i="3"/>
  <c r="F2299" i="3"/>
  <c r="F2298" i="3"/>
  <c r="F2297" i="3"/>
  <c r="F2296" i="3"/>
  <c r="F2295" i="3"/>
  <c r="F2294" i="3"/>
  <c r="F2293" i="3"/>
  <c r="F2292" i="3"/>
  <c r="F2291" i="3"/>
  <c r="F2290" i="3"/>
  <c r="F2289" i="3"/>
  <c r="F2288" i="3"/>
  <c r="F2287" i="3"/>
  <c r="F2286" i="3"/>
  <c r="F2285" i="3"/>
  <c r="F2284" i="3"/>
  <c r="F2283" i="3"/>
  <c r="F2282" i="3"/>
  <c r="F2281" i="3"/>
  <c r="F2280" i="3"/>
  <c r="F2279" i="3"/>
  <c r="F2278" i="3"/>
  <c r="F2277" i="3"/>
  <c r="F2276" i="3"/>
  <c r="F2275" i="3"/>
  <c r="F2274" i="3"/>
  <c r="F2273" i="3"/>
  <c r="F2272" i="3"/>
  <c r="F2271" i="3"/>
  <c r="F2270" i="3"/>
  <c r="F2269" i="3"/>
  <c r="F2268" i="3"/>
  <c r="F2267" i="3"/>
  <c r="F2266" i="3"/>
  <c r="F2265" i="3"/>
  <c r="F2264" i="3"/>
  <c r="F2263" i="3"/>
  <c r="F2262" i="3"/>
  <c r="F2261" i="3"/>
  <c r="F2260" i="3"/>
  <c r="F2259" i="3"/>
  <c r="F2258" i="3"/>
  <c r="F2257" i="3"/>
  <c r="F2256" i="3"/>
  <c r="F2255" i="3"/>
  <c r="F2254" i="3"/>
  <c r="F2253" i="3"/>
  <c r="F2252" i="3"/>
  <c r="F2251" i="3"/>
  <c r="F2250" i="3"/>
  <c r="F2249" i="3"/>
  <c r="F2248" i="3"/>
  <c r="F2247" i="3"/>
  <c r="F2246" i="3"/>
  <c r="F2245" i="3"/>
  <c r="F2244" i="3"/>
  <c r="F2243" i="3"/>
  <c r="F2242" i="3"/>
  <c r="F2241" i="3"/>
  <c r="F2240" i="3"/>
  <c r="F2239" i="3"/>
  <c r="F2238" i="3"/>
  <c r="F2237" i="3"/>
  <c r="F2236" i="3"/>
  <c r="F2235" i="3"/>
  <c r="F2234" i="3"/>
  <c r="F2233" i="3"/>
  <c r="F2232" i="3"/>
  <c r="F2231" i="3"/>
  <c r="F2230" i="3"/>
  <c r="F2229" i="3"/>
  <c r="F2228" i="3"/>
  <c r="F2227" i="3"/>
  <c r="F2226" i="3"/>
  <c r="F2225" i="3"/>
  <c r="F2224" i="3"/>
  <c r="F2223" i="3"/>
  <c r="F2222" i="3"/>
  <c r="F2221" i="3"/>
  <c r="F2220" i="3"/>
  <c r="F2219" i="3"/>
  <c r="F2218" i="3"/>
  <c r="F2217" i="3"/>
  <c r="F2216" i="3"/>
  <c r="F2215" i="3"/>
  <c r="F2214" i="3"/>
  <c r="F2213" i="3"/>
  <c r="F2212" i="3"/>
  <c r="F2211" i="3"/>
  <c r="F2210" i="3"/>
  <c r="F2209" i="3"/>
  <c r="F2208" i="3"/>
  <c r="F2207" i="3"/>
  <c r="F2206" i="3"/>
  <c r="F2205" i="3"/>
  <c r="F2204" i="3"/>
  <c r="F2203" i="3"/>
  <c r="F2202" i="3"/>
  <c r="F2201" i="3"/>
  <c r="F2200" i="3"/>
  <c r="F2199" i="3"/>
  <c r="F2198" i="3"/>
  <c r="F2197" i="3"/>
  <c r="F2196" i="3"/>
  <c r="F2195" i="3"/>
  <c r="F2194" i="3"/>
  <c r="F2193" i="3"/>
  <c r="F2192" i="3"/>
  <c r="F2191" i="3"/>
  <c r="F2190" i="3"/>
  <c r="F2189" i="3"/>
  <c r="F2188" i="3"/>
  <c r="F2187" i="3"/>
  <c r="F2186" i="3"/>
  <c r="F2185" i="3"/>
  <c r="F2184" i="3"/>
  <c r="F2183" i="3"/>
  <c r="F2182" i="3"/>
  <c r="F2181" i="3"/>
  <c r="F2180" i="3"/>
  <c r="F2179" i="3"/>
  <c r="F2178" i="3"/>
  <c r="F2177" i="3"/>
  <c r="F2176" i="3"/>
  <c r="F2175" i="3"/>
  <c r="F2174" i="3"/>
  <c r="F2173" i="3"/>
  <c r="F2172" i="3"/>
  <c r="F2171" i="3"/>
  <c r="F2170" i="3"/>
  <c r="F2169" i="3"/>
  <c r="F2168" i="3"/>
  <c r="F2167" i="3"/>
  <c r="F2166" i="3"/>
  <c r="F2165" i="3"/>
  <c r="F2164" i="3"/>
  <c r="F2163" i="3"/>
  <c r="F2162" i="3"/>
  <c r="F2161" i="3"/>
  <c r="F2160" i="3"/>
  <c r="F2159" i="3"/>
  <c r="F2158" i="3"/>
  <c r="F2157" i="3"/>
  <c r="F2156" i="3"/>
  <c r="F2155" i="3"/>
  <c r="F2154" i="3"/>
  <c r="F2153" i="3"/>
  <c r="F2152" i="3"/>
  <c r="F2151" i="3"/>
  <c r="F2150" i="3"/>
  <c r="F2149" i="3"/>
  <c r="F2148" i="3"/>
  <c r="F2147" i="3"/>
  <c r="F2146" i="3"/>
  <c r="F2145" i="3"/>
  <c r="F2144" i="3"/>
  <c r="F2143" i="3"/>
  <c r="F2142" i="3"/>
  <c r="F2141" i="3"/>
  <c r="F2140" i="3"/>
  <c r="F2139" i="3"/>
  <c r="F2138" i="3"/>
  <c r="F2137" i="3"/>
  <c r="F2136" i="3"/>
  <c r="F2135" i="3"/>
  <c r="F2134" i="3"/>
  <c r="F2133" i="3"/>
  <c r="F2132" i="3"/>
  <c r="F2131" i="3"/>
  <c r="F2130" i="3"/>
  <c r="F2129" i="3"/>
  <c r="F2128" i="3"/>
  <c r="F2127" i="3"/>
  <c r="F2126" i="3"/>
  <c r="F2125" i="3"/>
  <c r="F2124" i="3"/>
  <c r="F2123" i="3"/>
  <c r="F2122" i="3"/>
  <c r="F2121" i="3"/>
  <c r="F2120" i="3"/>
  <c r="F2119" i="3"/>
  <c r="F2118" i="3"/>
  <c r="F2117" i="3"/>
  <c r="F2116" i="3"/>
  <c r="F2115" i="3"/>
  <c r="F2114" i="3"/>
  <c r="F2113" i="3"/>
  <c r="F2112" i="3"/>
  <c r="F2111" i="3"/>
  <c r="F2110" i="3"/>
  <c r="F2109" i="3"/>
  <c r="F2108" i="3"/>
  <c r="F2107" i="3"/>
  <c r="F2106" i="3"/>
  <c r="F2105" i="3"/>
  <c r="F2104" i="3"/>
  <c r="F2103" i="3"/>
  <c r="F2102" i="3"/>
  <c r="F2101" i="3"/>
  <c r="F2100" i="3"/>
  <c r="F2099" i="3"/>
  <c r="F2098" i="3"/>
  <c r="F2097" i="3"/>
  <c r="F2096" i="3"/>
  <c r="F2095" i="3"/>
  <c r="F2094" i="3"/>
  <c r="F2093" i="3"/>
  <c r="F2092" i="3"/>
  <c r="F2091" i="3"/>
  <c r="F2090" i="3"/>
  <c r="F2089" i="3"/>
  <c r="F2088" i="3"/>
  <c r="F2087" i="3"/>
  <c r="F2086" i="3"/>
  <c r="F2085" i="3"/>
  <c r="F2084" i="3"/>
  <c r="F2083" i="3"/>
  <c r="F2082" i="3"/>
  <c r="F2081" i="3"/>
  <c r="F2080" i="3"/>
  <c r="F2079" i="3"/>
  <c r="F2078" i="3"/>
  <c r="F2077" i="3"/>
  <c r="F2076" i="3"/>
  <c r="F2075" i="3"/>
  <c r="F2074" i="3"/>
  <c r="F2073" i="3"/>
  <c r="F2072" i="3"/>
  <c r="F2071" i="3"/>
  <c r="F2070" i="3"/>
  <c r="F2069" i="3"/>
  <c r="F2068" i="3"/>
  <c r="F2067" i="3"/>
  <c r="F2066" i="3"/>
  <c r="F2065" i="3"/>
  <c r="F2064" i="3"/>
  <c r="F2063" i="3"/>
  <c r="F2062" i="3"/>
  <c r="F2061" i="3"/>
  <c r="F2060" i="3"/>
  <c r="F2059" i="3"/>
  <c r="F2058" i="3"/>
  <c r="F2057" i="3"/>
  <c r="F2056" i="3"/>
  <c r="F2055" i="3"/>
  <c r="F2054" i="3"/>
  <c r="F2053" i="3"/>
  <c r="F2052" i="3"/>
  <c r="F2051" i="3"/>
  <c r="F2050" i="3"/>
  <c r="F2049" i="3"/>
  <c r="F2048" i="3"/>
  <c r="F2047" i="3"/>
  <c r="F2046" i="3"/>
  <c r="F2045" i="3"/>
  <c r="F2044" i="3"/>
  <c r="F2043" i="3"/>
  <c r="F2042" i="3"/>
  <c r="F2041" i="3"/>
  <c r="F2040" i="3"/>
  <c r="F2039" i="3"/>
  <c r="F2038" i="3"/>
  <c r="F2037" i="3"/>
  <c r="F2036" i="3"/>
  <c r="F2035" i="3"/>
  <c r="F2034" i="3"/>
  <c r="F2033" i="3"/>
  <c r="F2032" i="3"/>
  <c r="F2031" i="3"/>
  <c r="F2030" i="3"/>
  <c r="F2029" i="3"/>
  <c r="F2028" i="3"/>
  <c r="F2027" i="3"/>
  <c r="F2026" i="3"/>
  <c r="F2025" i="3"/>
  <c r="F2024" i="3"/>
  <c r="F2023" i="3"/>
  <c r="F2022" i="3"/>
  <c r="F2021" i="3"/>
  <c r="F2020" i="3"/>
  <c r="F2019" i="3"/>
  <c r="F2018" i="3"/>
  <c r="F2017" i="3"/>
  <c r="F2016" i="3"/>
  <c r="F2015" i="3"/>
  <c r="F2014" i="3"/>
  <c r="F2013" i="3"/>
  <c r="F2012" i="3"/>
  <c r="F2011" i="3"/>
  <c r="F2010" i="3"/>
  <c r="F2009" i="3"/>
  <c r="F2008" i="3"/>
  <c r="F2007" i="3"/>
  <c r="F2006" i="3"/>
  <c r="F2005" i="3"/>
  <c r="F2004" i="3"/>
  <c r="F2003" i="3"/>
  <c r="F2002" i="3"/>
  <c r="F2001" i="3"/>
  <c r="F2000" i="3"/>
  <c r="F1999" i="3"/>
  <c r="F1998" i="3"/>
  <c r="F1997" i="3"/>
  <c r="F1996" i="3"/>
  <c r="F1995" i="3"/>
  <c r="F1994" i="3"/>
  <c r="F1993" i="3"/>
  <c r="F1992" i="3"/>
  <c r="F1991" i="3"/>
  <c r="F1990" i="3"/>
  <c r="F1989" i="3"/>
  <c r="F1988" i="3"/>
  <c r="F1987" i="3"/>
  <c r="F1986" i="3"/>
  <c r="F1985" i="3"/>
  <c r="F1984" i="3"/>
  <c r="F1983" i="3"/>
  <c r="F1982" i="3"/>
  <c r="F1981" i="3"/>
  <c r="F1980" i="3"/>
  <c r="F1979" i="3"/>
  <c r="F1978" i="3"/>
  <c r="F1977" i="3"/>
  <c r="F1976" i="3"/>
  <c r="F1975" i="3"/>
  <c r="F1974" i="3"/>
  <c r="F1973" i="3"/>
  <c r="F1972" i="3"/>
  <c r="F1971" i="3"/>
  <c r="F1970" i="3"/>
  <c r="F1969" i="3"/>
  <c r="F1968" i="3"/>
  <c r="F1967" i="3"/>
  <c r="F1966" i="3"/>
  <c r="F1965" i="3"/>
  <c r="F1964" i="3"/>
  <c r="F1963" i="3"/>
  <c r="F1962" i="3"/>
  <c r="F1961" i="3"/>
  <c r="F1960" i="3"/>
  <c r="F1959" i="3"/>
  <c r="F1958" i="3"/>
  <c r="F1957" i="3"/>
  <c r="F1956" i="3"/>
  <c r="F1955" i="3"/>
  <c r="F1954" i="3"/>
  <c r="F1953" i="3"/>
  <c r="F1952" i="3"/>
  <c r="F1951" i="3"/>
  <c r="F1950" i="3"/>
  <c r="F1949" i="3"/>
  <c r="F1948" i="3"/>
  <c r="F1947" i="3"/>
  <c r="F1946" i="3"/>
  <c r="F1945" i="3"/>
  <c r="F1944" i="3"/>
  <c r="F1943" i="3"/>
  <c r="F1942" i="3"/>
  <c r="F1941" i="3"/>
  <c r="F1940" i="3"/>
  <c r="F1939" i="3"/>
  <c r="F1938" i="3"/>
  <c r="F1937" i="3"/>
  <c r="F1936" i="3"/>
  <c r="F1935" i="3"/>
  <c r="F1934" i="3"/>
  <c r="F1933" i="3"/>
  <c r="F1932" i="3"/>
  <c r="F1931" i="3"/>
  <c r="F1930" i="3"/>
  <c r="F1929" i="3"/>
  <c r="F1928" i="3"/>
  <c r="F1927" i="3"/>
  <c r="F1926" i="3"/>
  <c r="F1925" i="3"/>
  <c r="F1924" i="3"/>
  <c r="F1923" i="3"/>
  <c r="F1922" i="3"/>
  <c r="F1921" i="3"/>
  <c r="F1920" i="3"/>
  <c r="F1919" i="3"/>
  <c r="F1918" i="3"/>
  <c r="F1917" i="3"/>
  <c r="F1916" i="3"/>
  <c r="F1915" i="3"/>
  <c r="F1914" i="3"/>
  <c r="F1913" i="3"/>
  <c r="F1912" i="3"/>
  <c r="F1911" i="3"/>
  <c r="F1910" i="3"/>
  <c r="F1909" i="3"/>
  <c r="F1908" i="3"/>
  <c r="F1907" i="3"/>
  <c r="F1906" i="3"/>
  <c r="F1905" i="3"/>
  <c r="F1904" i="3"/>
  <c r="F1903" i="3"/>
  <c r="F1902" i="3"/>
  <c r="F1901" i="3"/>
  <c r="F1900" i="3"/>
  <c r="F1899" i="3"/>
  <c r="F1898" i="3"/>
  <c r="F1897" i="3"/>
  <c r="F1896" i="3"/>
  <c r="F1895" i="3"/>
  <c r="F1894" i="3"/>
  <c r="F1893" i="3"/>
  <c r="F1892" i="3"/>
  <c r="F1891" i="3"/>
  <c r="F1890" i="3"/>
  <c r="F1889" i="3"/>
  <c r="F1888" i="3"/>
  <c r="F1887" i="3"/>
  <c r="F1886" i="3"/>
  <c r="F1885" i="3"/>
  <c r="F1884" i="3"/>
  <c r="F1883" i="3"/>
  <c r="F1882" i="3"/>
  <c r="F1881" i="3"/>
  <c r="F1880" i="3"/>
  <c r="F1879" i="3"/>
  <c r="F1878" i="3"/>
  <c r="F1877" i="3"/>
  <c r="F1876" i="3"/>
  <c r="F1875" i="3"/>
  <c r="F1874" i="3"/>
  <c r="F1873" i="3"/>
  <c r="F1872" i="3"/>
  <c r="F1871" i="3"/>
  <c r="F1870" i="3"/>
  <c r="F1869" i="3"/>
  <c r="F1868" i="3"/>
  <c r="F1867" i="3"/>
  <c r="F1866" i="3"/>
  <c r="F1865" i="3"/>
  <c r="F1864" i="3"/>
  <c r="F1863" i="3"/>
  <c r="F1862" i="3"/>
  <c r="F1861" i="3"/>
  <c r="F1860" i="3"/>
  <c r="F1859" i="3"/>
  <c r="F1858" i="3"/>
  <c r="F1857" i="3"/>
  <c r="F1856" i="3"/>
  <c r="F1855" i="3"/>
  <c r="F1854" i="3"/>
  <c r="F1853" i="3"/>
  <c r="F1852" i="3"/>
  <c r="F1851" i="3"/>
  <c r="F1850" i="3"/>
  <c r="F1849" i="3"/>
  <c r="F1848" i="3"/>
  <c r="F1847" i="3"/>
  <c r="F1846" i="3"/>
  <c r="F1845" i="3"/>
  <c r="F1844" i="3"/>
  <c r="F1843" i="3"/>
  <c r="F1842" i="3"/>
  <c r="F1841" i="3"/>
  <c r="F1840" i="3"/>
  <c r="F1839" i="3"/>
  <c r="F1838" i="3"/>
  <c r="F1837" i="3"/>
  <c r="F1836" i="3"/>
  <c r="F1835" i="3"/>
  <c r="F1834" i="3"/>
  <c r="F1833" i="3"/>
  <c r="F1832" i="3"/>
  <c r="F1831" i="3"/>
  <c r="F1830" i="3"/>
  <c r="F1829" i="3"/>
  <c r="F1828" i="3"/>
  <c r="F1827" i="3"/>
  <c r="F1826" i="3"/>
  <c r="F1825" i="3"/>
  <c r="F1824" i="3"/>
  <c r="F1823" i="3"/>
  <c r="F1822" i="3"/>
  <c r="F1821" i="3"/>
  <c r="F1820" i="3"/>
  <c r="F1819" i="3"/>
  <c r="F1818" i="3"/>
  <c r="F1817" i="3"/>
  <c r="F1816" i="3"/>
  <c r="F1815" i="3"/>
  <c r="F1814" i="3"/>
  <c r="F1813" i="3"/>
  <c r="F1812" i="3"/>
  <c r="F1811" i="3"/>
  <c r="F1810" i="3"/>
  <c r="F1809" i="3"/>
  <c r="F1808" i="3"/>
  <c r="F1807" i="3"/>
  <c r="F1806" i="3"/>
  <c r="F1805" i="3"/>
  <c r="F1804" i="3"/>
  <c r="F1803" i="3"/>
  <c r="F1802" i="3"/>
  <c r="F1801" i="3"/>
  <c r="F1800" i="3"/>
  <c r="F1799" i="3"/>
  <c r="F1798" i="3"/>
  <c r="F1797" i="3"/>
  <c r="F1796" i="3"/>
  <c r="F1795" i="3"/>
  <c r="F1794" i="3"/>
  <c r="F1793" i="3"/>
  <c r="F1792" i="3"/>
  <c r="F1791" i="3"/>
  <c r="F1790" i="3"/>
  <c r="F1789" i="3"/>
  <c r="F1788" i="3"/>
  <c r="F1787" i="3"/>
  <c r="F1786" i="3"/>
  <c r="F1785" i="3"/>
  <c r="F1784" i="3"/>
  <c r="F1783" i="3"/>
  <c r="F1782" i="3"/>
  <c r="F1781" i="3"/>
  <c r="F1780" i="3"/>
  <c r="F1779" i="3"/>
  <c r="F1778" i="3"/>
  <c r="F1777" i="3"/>
  <c r="F1776" i="3"/>
  <c r="F1775" i="3"/>
  <c r="F1774" i="3"/>
  <c r="F1773" i="3"/>
  <c r="F1772" i="3"/>
  <c r="F1771" i="3"/>
  <c r="F1770" i="3"/>
  <c r="F1769" i="3"/>
  <c r="F1768" i="3"/>
  <c r="F1767" i="3"/>
  <c r="F1766" i="3"/>
  <c r="F1765" i="3"/>
  <c r="F1764" i="3"/>
  <c r="F1763" i="3"/>
  <c r="F1762" i="3"/>
  <c r="F1761" i="3"/>
  <c r="F1760" i="3"/>
  <c r="F1759" i="3"/>
  <c r="F1758" i="3"/>
  <c r="F1757" i="3"/>
  <c r="F1756" i="3"/>
  <c r="F1755" i="3"/>
  <c r="F1754" i="3"/>
  <c r="F1753" i="3"/>
  <c r="F1752" i="3"/>
  <c r="F1751" i="3"/>
  <c r="F1750" i="3"/>
  <c r="F1749" i="3"/>
  <c r="F1748" i="3"/>
  <c r="F1747" i="3"/>
  <c r="F1746" i="3"/>
  <c r="F1745" i="3"/>
  <c r="F1744" i="3"/>
  <c r="F1743" i="3"/>
  <c r="F1742" i="3"/>
  <c r="F1741" i="3"/>
  <c r="F1740" i="3"/>
  <c r="F1739" i="3"/>
  <c r="F1738" i="3"/>
  <c r="F1737" i="3"/>
  <c r="F1736" i="3"/>
  <c r="F1735" i="3"/>
  <c r="F1734" i="3"/>
  <c r="F1733" i="3"/>
  <c r="F1732" i="3"/>
  <c r="F1731" i="3"/>
  <c r="F1730" i="3"/>
  <c r="F1729" i="3"/>
  <c r="F1728" i="3"/>
  <c r="F1727" i="3"/>
  <c r="F1726" i="3"/>
  <c r="F1725" i="3"/>
  <c r="F1724" i="3"/>
  <c r="F1723" i="3"/>
  <c r="F1722" i="3"/>
  <c r="F1721" i="3"/>
  <c r="F1720" i="3"/>
  <c r="F1719" i="3"/>
  <c r="F1718" i="3"/>
  <c r="F1717" i="3"/>
  <c r="F1716" i="3"/>
  <c r="F1715" i="3"/>
  <c r="F1714" i="3"/>
  <c r="F1713" i="3"/>
  <c r="F1712" i="3"/>
  <c r="F1711" i="3"/>
  <c r="F1710" i="3"/>
  <c r="F1709" i="3"/>
  <c r="F1708" i="3"/>
  <c r="F1707" i="3"/>
  <c r="F1706" i="3"/>
  <c r="F1705" i="3"/>
  <c r="F1704" i="3"/>
  <c r="F1703" i="3"/>
  <c r="F1702" i="3"/>
  <c r="F1701" i="3"/>
  <c r="F1700" i="3"/>
  <c r="F1699" i="3"/>
  <c r="F1698" i="3"/>
  <c r="F1697" i="3"/>
  <c r="F1696" i="3"/>
  <c r="F1695" i="3"/>
  <c r="F1694" i="3"/>
  <c r="F1693" i="3"/>
  <c r="F1692" i="3"/>
  <c r="F1691" i="3"/>
  <c r="F1690" i="3"/>
  <c r="F1689" i="3"/>
  <c r="F1688" i="3"/>
  <c r="F1687" i="3"/>
  <c r="F1686" i="3"/>
  <c r="F1685" i="3"/>
  <c r="F1684" i="3"/>
  <c r="F1683" i="3"/>
  <c r="F1682" i="3"/>
  <c r="F1681" i="3"/>
  <c r="F1680" i="3"/>
  <c r="F1679" i="3"/>
  <c r="F1678" i="3"/>
  <c r="F1677" i="3"/>
  <c r="F1676" i="3"/>
  <c r="F1675" i="3"/>
  <c r="F1674" i="3"/>
  <c r="F1673" i="3"/>
  <c r="F1672" i="3"/>
  <c r="F1671" i="3"/>
  <c r="F1670" i="3"/>
  <c r="F1669" i="3"/>
  <c r="F1668" i="3"/>
  <c r="F1667" i="3"/>
  <c r="F1666" i="3"/>
  <c r="F1665" i="3"/>
  <c r="F1664" i="3"/>
  <c r="F1663" i="3"/>
  <c r="F1662" i="3"/>
  <c r="F1661" i="3"/>
  <c r="F1660" i="3"/>
  <c r="F1659" i="3"/>
  <c r="F1658" i="3"/>
  <c r="F1657" i="3"/>
  <c r="F1656" i="3"/>
  <c r="F1655" i="3"/>
  <c r="F1654" i="3"/>
  <c r="F1653" i="3"/>
  <c r="F1652" i="3"/>
  <c r="F1651" i="3"/>
  <c r="F1650" i="3"/>
  <c r="F1649" i="3"/>
  <c r="F1648" i="3"/>
  <c r="F1647" i="3"/>
  <c r="F1646" i="3"/>
  <c r="F1645" i="3"/>
  <c r="F1644" i="3"/>
  <c r="F1643" i="3"/>
  <c r="F1642" i="3"/>
  <c r="F1641" i="3"/>
  <c r="F1640" i="3"/>
  <c r="F1639" i="3"/>
  <c r="F1638" i="3"/>
  <c r="F1637" i="3"/>
  <c r="F1636" i="3"/>
  <c r="F1635" i="3"/>
  <c r="F1634" i="3"/>
  <c r="F1633" i="3"/>
  <c r="F1632" i="3"/>
  <c r="F1631" i="3"/>
  <c r="F1630" i="3"/>
  <c r="F1629" i="3"/>
  <c r="F1628" i="3"/>
  <c r="F1627" i="3"/>
  <c r="F1626" i="3"/>
  <c r="F1625" i="3"/>
  <c r="F1624" i="3"/>
  <c r="F1623" i="3"/>
  <c r="F1622" i="3"/>
  <c r="F1621" i="3"/>
  <c r="F1620" i="3"/>
  <c r="F1619" i="3"/>
  <c r="F1618" i="3"/>
  <c r="F1617" i="3"/>
  <c r="F1616" i="3"/>
  <c r="F1615" i="3"/>
  <c r="F1614" i="3"/>
  <c r="F1613" i="3"/>
  <c r="F1612" i="3"/>
  <c r="F1611" i="3"/>
  <c r="F1610" i="3"/>
  <c r="F1609" i="3"/>
  <c r="F1608" i="3"/>
  <c r="F1607" i="3"/>
  <c r="F1606" i="3"/>
  <c r="F1605" i="3"/>
  <c r="F1604" i="3"/>
  <c r="F1603" i="3"/>
  <c r="F1602" i="3"/>
  <c r="F1601" i="3"/>
  <c r="F1600" i="3"/>
  <c r="F1599" i="3"/>
  <c r="F1598" i="3"/>
  <c r="F1597" i="3"/>
  <c r="F1596" i="3"/>
  <c r="F1595" i="3"/>
  <c r="F1594" i="3"/>
  <c r="F1593" i="3"/>
  <c r="F1592" i="3"/>
  <c r="F1591" i="3"/>
  <c r="F1590" i="3"/>
  <c r="F1589" i="3"/>
  <c r="F1588" i="3"/>
  <c r="F1587" i="3"/>
  <c r="F1586" i="3"/>
  <c r="F1585" i="3"/>
  <c r="F1584" i="3"/>
  <c r="F1583" i="3"/>
  <c r="F1582" i="3"/>
  <c r="F1581" i="3"/>
  <c r="F1580" i="3"/>
  <c r="F1579" i="3"/>
  <c r="F1578" i="3"/>
  <c r="F1577" i="3"/>
  <c r="F1576" i="3"/>
  <c r="F1575" i="3"/>
  <c r="F1574" i="3"/>
  <c r="F1573" i="3"/>
  <c r="F1572" i="3"/>
  <c r="F1571" i="3"/>
  <c r="F1570" i="3"/>
  <c r="F1569" i="3"/>
  <c r="F1568" i="3"/>
  <c r="F1567" i="3"/>
  <c r="F1566" i="3"/>
  <c r="F1565" i="3"/>
  <c r="F1564" i="3"/>
  <c r="F1563" i="3"/>
  <c r="F1562" i="3"/>
  <c r="F1561" i="3"/>
  <c r="F1560" i="3"/>
  <c r="F1559" i="3"/>
  <c r="F1558" i="3"/>
  <c r="F1557" i="3"/>
  <c r="F1556" i="3"/>
  <c r="F1555" i="3"/>
  <c r="F1554" i="3"/>
  <c r="F1553" i="3"/>
  <c r="F1552" i="3"/>
  <c r="F1551" i="3"/>
  <c r="F1550" i="3"/>
  <c r="F1549" i="3"/>
  <c r="F1548" i="3"/>
  <c r="F1547" i="3"/>
  <c r="F1546" i="3"/>
  <c r="F1545" i="3"/>
  <c r="F1544" i="3"/>
  <c r="F1543" i="3"/>
  <c r="F1542" i="3"/>
  <c r="F1541" i="3"/>
  <c r="F1540" i="3"/>
  <c r="F1539" i="3"/>
  <c r="F1538" i="3"/>
  <c r="F1537" i="3"/>
  <c r="F1536" i="3"/>
  <c r="F1535" i="3"/>
  <c r="F1534" i="3"/>
  <c r="F1533" i="3"/>
  <c r="F1532" i="3"/>
  <c r="F1531" i="3"/>
  <c r="F1530" i="3"/>
  <c r="F1529" i="3"/>
  <c r="F1528" i="3"/>
  <c r="F1527" i="3"/>
  <c r="F1526" i="3"/>
  <c r="F1525" i="3"/>
  <c r="F1524" i="3"/>
  <c r="F1523" i="3"/>
  <c r="F1522" i="3"/>
  <c r="F1521" i="3"/>
  <c r="F1520" i="3"/>
  <c r="F1519" i="3"/>
  <c r="F1518" i="3"/>
  <c r="F1517" i="3"/>
  <c r="F1516" i="3"/>
  <c r="F1515" i="3"/>
  <c r="F1514" i="3"/>
  <c r="F1513" i="3"/>
  <c r="F1512" i="3"/>
  <c r="F1511" i="3"/>
  <c r="F1510" i="3"/>
  <c r="F1509" i="3"/>
  <c r="F1508" i="3"/>
  <c r="F1507" i="3"/>
  <c r="F1506" i="3"/>
  <c r="F1505" i="3"/>
  <c r="F1504" i="3"/>
  <c r="F1503" i="3"/>
  <c r="F1502" i="3"/>
  <c r="F1501" i="3"/>
  <c r="F1500" i="3"/>
  <c r="F1499" i="3"/>
  <c r="F1498" i="3"/>
  <c r="F1497" i="3"/>
  <c r="F1496" i="3"/>
  <c r="F1495" i="3"/>
  <c r="F1494" i="3"/>
  <c r="F1493" i="3"/>
  <c r="F1492" i="3"/>
  <c r="F1491" i="3"/>
  <c r="F1490" i="3"/>
  <c r="F1489" i="3"/>
  <c r="F1488" i="3"/>
  <c r="F1487" i="3"/>
  <c r="F1486" i="3"/>
  <c r="F1485" i="3"/>
  <c r="F1484" i="3"/>
  <c r="F1483" i="3"/>
  <c r="F1482" i="3"/>
  <c r="F1481" i="3"/>
  <c r="F1480" i="3"/>
  <c r="F1479" i="3"/>
  <c r="F1478" i="3"/>
  <c r="F1477" i="3"/>
  <c r="F1476" i="3"/>
  <c r="F1475" i="3"/>
  <c r="F1474" i="3"/>
  <c r="F1473" i="3"/>
  <c r="F1472" i="3"/>
  <c r="F1471" i="3"/>
  <c r="F1470" i="3"/>
  <c r="F1469" i="3"/>
  <c r="F1468" i="3"/>
  <c r="F1467" i="3"/>
  <c r="F1466" i="3"/>
  <c r="F1465" i="3"/>
  <c r="F1464" i="3"/>
  <c r="F1463" i="3"/>
  <c r="F1462" i="3"/>
  <c r="F1461" i="3"/>
  <c r="F1460" i="3"/>
  <c r="F1459" i="3"/>
  <c r="F1458" i="3"/>
  <c r="F1457" i="3"/>
  <c r="F1456" i="3"/>
  <c r="F1455" i="3"/>
  <c r="F1454" i="3"/>
  <c r="F1453" i="3"/>
  <c r="F1452" i="3"/>
  <c r="F1451" i="3"/>
  <c r="F1450" i="3"/>
  <c r="F1449" i="3"/>
  <c r="F1448" i="3"/>
  <c r="F1447" i="3"/>
  <c r="F1446" i="3"/>
  <c r="F1445" i="3"/>
  <c r="F1444" i="3"/>
  <c r="F1443" i="3"/>
  <c r="F1442" i="3"/>
  <c r="F1441" i="3"/>
  <c r="F1440" i="3"/>
  <c r="F1439" i="3"/>
  <c r="F1438" i="3"/>
  <c r="F1437" i="3"/>
  <c r="F1436" i="3"/>
  <c r="F1435" i="3"/>
  <c r="F1434" i="3"/>
  <c r="F1433" i="3"/>
  <c r="F1432" i="3"/>
  <c r="F1431" i="3"/>
  <c r="F1430" i="3"/>
  <c r="F1429" i="3"/>
  <c r="F1428" i="3"/>
  <c r="F1427" i="3"/>
  <c r="F1426" i="3"/>
  <c r="F1425" i="3"/>
  <c r="F1424" i="3"/>
  <c r="F1423" i="3"/>
  <c r="F1422" i="3"/>
  <c r="F1421" i="3"/>
  <c r="F1420" i="3"/>
  <c r="F1419" i="3"/>
  <c r="F1418" i="3"/>
  <c r="F1417" i="3"/>
  <c r="F1416" i="3"/>
  <c r="F1415" i="3"/>
  <c r="F1414" i="3"/>
  <c r="F1413" i="3"/>
  <c r="F1412" i="3"/>
  <c r="F1411" i="3"/>
  <c r="F1410" i="3"/>
  <c r="F1409" i="3"/>
  <c r="F1408" i="3"/>
  <c r="F1407" i="3"/>
  <c r="F1406" i="3"/>
  <c r="F1405" i="3"/>
  <c r="F1404" i="3"/>
  <c r="F1403" i="3"/>
  <c r="F1402" i="3"/>
  <c r="F1401" i="3"/>
  <c r="F1400" i="3"/>
  <c r="F1399" i="3"/>
  <c r="F1398" i="3"/>
  <c r="F1397" i="3"/>
  <c r="F1396" i="3"/>
  <c r="F1395" i="3"/>
  <c r="F1394" i="3"/>
  <c r="F1393" i="3"/>
  <c r="F1392" i="3"/>
  <c r="F1391" i="3"/>
  <c r="F1390" i="3"/>
  <c r="F1389" i="3"/>
  <c r="F1388" i="3"/>
  <c r="F1387" i="3"/>
  <c r="F1386" i="3"/>
  <c r="F1385" i="3"/>
  <c r="F1384" i="3"/>
  <c r="F1383" i="3"/>
  <c r="F1382" i="3"/>
  <c r="F1381" i="3"/>
  <c r="F1380" i="3"/>
  <c r="F1379" i="3"/>
  <c r="F1378" i="3"/>
  <c r="F1377" i="3"/>
  <c r="F1376" i="3"/>
  <c r="F1375" i="3"/>
  <c r="F1374" i="3"/>
  <c r="F1373" i="3"/>
  <c r="F1372" i="3"/>
  <c r="F1371" i="3"/>
  <c r="F1370" i="3"/>
  <c r="F1369" i="3"/>
  <c r="F1368" i="3"/>
  <c r="F1367" i="3"/>
  <c r="F1366" i="3"/>
  <c r="F1365" i="3"/>
  <c r="F1364" i="3"/>
  <c r="F1363" i="3"/>
  <c r="F1362" i="3"/>
  <c r="F1361" i="3"/>
  <c r="F1360" i="3"/>
  <c r="F1359" i="3"/>
  <c r="F1358" i="3"/>
  <c r="F1357" i="3"/>
  <c r="F1356" i="3"/>
  <c r="F1355" i="3"/>
  <c r="F1354" i="3"/>
  <c r="F1353" i="3"/>
  <c r="F1352" i="3"/>
  <c r="F1351" i="3"/>
  <c r="F1350" i="3"/>
  <c r="F1349" i="3"/>
  <c r="F1348" i="3"/>
  <c r="F1347" i="3"/>
  <c r="F1346" i="3"/>
  <c r="F1345" i="3"/>
  <c r="F1344" i="3"/>
  <c r="F1343" i="3"/>
  <c r="F1342" i="3"/>
  <c r="F1341" i="3"/>
  <c r="F1340" i="3"/>
  <c r="F1339" i="3"/>
  <c r="F1338" i="3"/>
  <c r="F1337" i="3"/>
  <c r="F1336" i="3"/>
  <c r="F1335" i="3"/>
  <c r="F1334" i="3"/>
  <c r="F1333" i="3"/>
  <c r="F1332" i="3"/>
  <c r="F1331" i="3"/>
  <c r="F1330" i="3"/>
  <c r="F1329" i="3"/>
  <c r="F1328" i="3"/>
  <c r="F1327" i="3"/>
  <c r="F1326" i="3"/>
  <c r="F1325" i="3"/>
  <c r="F1324" i="3"/>
  <c r="F1323" i="3"/>
  <c r="F1322" i="3"/>
  <c r="F1321" i="3"/>
  <c r="F1320" i="3"/>
  <c r="F1319" i="3"/>
  <c r="F1318" i="3"/>
  <c r="F1317" i="3"/>
  <c r="F1316" i="3"/>
  <c r="F1315" i="3"/>
  <c r="F1314" i="3"/>
  <c r="F1313" i="3"/>
  <c r="F1312" i="3"/>
  <c r="F1311" i="3"/>
  <c r="F1310" i="3"/>
  <c r="F1309" i="3"/>
  <c r="F1308" i="3"/>
  <c r="F1307" i="3"/>
  <c r="F1306" i="3"/>
  <c r="F1305" i="3"/>
  <c r="F1304" i="3"/>
  <c r="F1303" i="3"/>
  <c r="F1302" i="3"/>
  <c r="F1301" i="3"/>
  <c r="F1300" i="3"/>
  <c r="F1299" i="3"/>
  <c r="F1298" i="3"/>
  <c r="F1297" i="3"/>
  <c r="F1296" i="3"/>
  <c r="F1295" i="3"/>
  <c r="F1294" i="3"/>
  <c r="F1293" i="3"/>
  <c r="F1292" i="3"/>
  <c r="F1291" i="3"/>
  <c r="F1290" i="3"/>
  <c r="F1289" i="3"/>
  <c r="F1288" i="3"/>
  <c r="F1287" i="3"/>
  <c r="F1286" i="3"/>
  <c r="F1285" i="3"/>
  <c r="F1284" i="3"/>
  <c r="F1283" i="3"/>
  <c r="F1282" i="3"/>
  <c r="F1281" i="3"/>
  <c r="F1280" i="3"/>
  <c r="F1279" i="3"/>
  <c r="F1278" i="3"/>
  <c r="F1277" i="3"/>
  <c r="F1276" i="3"/>
  <c r="F1275" i="3"/>
  <c r="F1274" i="3"/>
  <c r="F1273" i="3"/>
  <c r="F1272" i="3"/>
  <c r="F1271" i="3"/>
  <c r="F1270" i="3"/>
  <c r="F1269" i="3"/>
  <c r="F1268" i="3"/>
  <c r="F1267" i="3"/>
  <c r="F1266" i="3"/>
  <c r="F1265" i="3"/>
  <c r="F1264" i="3"/>
  <c r="F1263" i="3"/>
  <c r="F1262" i="3"/>
  <c r="F1261" i="3"/>
  <c r="F1260" i="3"/>
  <c r="F1259" i="3"/>
  <c r="F1258" i="3"/>
  <c r="F1257" i="3"/>
  <c r="F1256" i="3"/>
  <c r="F1255" i="3"/>
  <c r="F1254" i="3"/>
  <c r="F1253" i="3"/>
  <c r="F1252" i="3"/>
  <c r="F1251" i="3"/>
  <c r="F1250" i="3"/>
  <c r="F1249" i="3"/>
  <c r="F1248" i="3"/>
  <c r="F1247" i="3"/>
  <c r="F1246" i="3"/>
  <c r="F1245" i="3"/>
  <c r="F1244" i="3"/>
  <c r="F1243" i="3"/>
  <c r="F1242" i="3"/>
  <c r="F1241" i="3"/>
  <c r="F1240" i="3"/>
  <c r="F1239" i="3"/>
  <c r="F1238" i="3"/>
  <c r="F1237" i="3"/>
  <c r="F1236" i="3"/>
  <c r="F1235" i="3"/>
  <c r="F1234" i="3"/>
  <c r="F1233" i="3"/>
  <c r="F1232" i="3"/>
  <c r="F1231" i="3"/>
  <c r="F1230" i="3"/>
  <c r="F1229" i="3"/>
  <c r="F1228" i="3"/>
  <c r="F1227" i="3"/>
  <c r="F1226" i="3"/>
  <c r="F1225" i="3"/>
  <c r="F1224" i="3"/>
  <c r="F1223" i="3"/>
  <c r="F1222" i="3"/>
  <c r="F1221" i="3"/>
  <c r="F1220" i="3"/>
  <c r="F1219" i="3"/>
  <c r="F1218" i="3"/>
  <c r="F1217" i="3"/>
  <c r="F1216" i="3"/>
  <c r="F1215" i="3"/>
  <c r="F1214" i="3"/>
  <c r="F1213" i="3"/>
  <c r="F1212" i="3"/>
  <c r="F1211" i="3"/>
  <c r="F1210" i="3"/>
  <c r="F1209" i="3"/>
  <c r="F1208" i="3"/>
  <c r="F1207" i="3"/>
  <c r="F1206" i="3"/>
  <c r="F1205" i="3"/>
  <c r="F1204" i="3"/>
  <c r="F1203" i="3"/>
  <c r="F1202" i="3"/>
  <c r="F1201" i="3"/>
  <c r="F1200" i="3"/>
  <c r="F1199" i="3"/>
  <c r="F1198" i="3"/>
  <c r="F1197" i="3"/>
  <c r="F1196" i="3"/>
  <c r="F1195" i="3"/>
  <c r="F1194" i="3"/>
  <c r="F1193" i="3"/>
  <c r="F1192" i="3"/>
  <c r="F1191" i="3"/>
  <c r="F1190" i="3"/>
  <c r="F1189" i="3"/>
  <c r="F1188" i="3"/>
  <c r="F1187" i="3"/>
  <c r="F1186" i="3"/>
  <c r="F1185" i="3"/>
  <c r="F1184" i="3"/>
  <c r="F1183" i="3"/>
  <c r="F1182" i="3"/>
  <c r="F1181" i="3"/>
  <c r="F1180" i="3"/>
  <c r="F1179" i="3"/>
  <c r="F1178" i="3"/>
  <c r="F1177" i="3"/>
  <c r="F1176" i="3"/>
  <c r="F1175" i="3"/>
  <c r="F1174" i="3"/>
  <c r="F1173" i="3"/>
  <c r="F1172" i="3"/>
  <c r="F1171" i="3"/>
  <c r="F1170" i="3"/>
  <c r="F1169" i="3"/>
  <c r="F1168" i="3"/>
  <c r="F1167" i="3"/>
  <c r="F1166" i="3"/>
  <c r="F1165" i="3"/>
  <c r="F1164" i="3"/>
  <c r="F1163" i="3"/>
  <c r="F1162" i="3"/>
  <c r="F1161" i="3"/>
  <c r="F1160" i="3"/>
  <c r="F1159" i="3"/>
  <c r="F1158" i="3"/>
  <c r="F1157" i="3"/>
  <c r="F1156" i="3"/>
  <c r="F1155" i="3"/>
  <c r="F1154" i="3"/>
  <c r="F1153" i="3"/>
  <c r="F1152" i="3"/>
  <c r="F1151" i="3"/>
  <c r="F1150" i="3"/>
  <c r="F1149" i="3"/>
  <c r="F1148" i="3"/>
  <c r="F1147" i="3"/>
  <c r="F1146" i="3"/>
  <c r="F1145" i="3"/>
  <c r="F1144" i="3"/>
  <c r="F1143" i="3"/>
  <c r="F1142" i="3"/>
  <c r="F1141" i="3"/>
  <c r="F1140" i="3"/>
  <c r="F1139" i="3"/>
  <c r="F1138" i="3"/>
  <c r="F1137" i="3"/>
  <c r="F1136" i="3"/>
  <c r="F1135" i="3"/>
  <c r="F1134" i="3"/>
  <c r="F1133" i="3"/>
  <c r="F1132" i="3"/>
  <c r="F1131" i="3"/>
  <c r="F1130" i="3"/>
  <c r="F1129" i="3"/>
  <c r="F1128" i="3"/>
  <c r="F1127" i="3"/>
  <c r="F1126" i="3"/>
  <c r="F1125" i="3"/>
  <c r="F1124" i="3"/>
  <c r="F1123" i="3"/>
  <c r="F1122" i="3"/>
  <c r="F1121" i="3"/>
  <c r="F1120" i="3"/>
  <c r="F1119" i="3"/>
  <c r="F1118" i="3"/>
  <c r="F1117" i="3"/>
  <c r="F1116" i="3"/>
  <c r="F1115" i="3"/>
  <c r="F1114" i="3"/>
  <c r="F1113" i="3"/>
  <c r="F1112" i="3"/>
  <c r="F1111" i="3"/>
  <c r="F1110" i="3"/>
  <c r="F1109" i="3"/>
  <c r="F1108" i="3"/>
  <c r="F1107" i="3"/>
  <c r="F1106" i="3"/>
  <c r="F1105" i="3"/>
  <c r="F1104" i="3"/>
  <c r="F1103" i="3"/>
  <c r="F1102" i="3"/>
  <c r="F1101" i="3"/>
  <c r="F1100" i="3"/>
  <c r="F1099" i="3"/>
  <c r="F1098" i="3"/>
  <c r="F1097" i="3"/>
  <c r="F1096" i="3"/>
  <c r="F1095" i="3"/>
  <c r="F1094" i="3"/>
  <c r="F1093" i="3"/>
  <c r="F1092" i="3"/>
  <c r="F1091" i="3"/>
  <c r="F1090" i="3"/>
  <c r="F1089" i="3"/>
  <c r="F1088" i="3"/>
  <c r="F1087" i="3"/>
  <c r="F1086" i="3"/>
  <c r="F1085" i="3"/>
  <c r="F1084" i="3"/>
  <c r="F1083" i="3"/>
  <c r="F1082" i="3"/>
  <c r="F1081" i="3"/>
  <c r="F1080" i="3"/>
  <c r="F1079" i="3"/>
  <c r="F1078" i="3"/>
  <c r="F1077" i="3"/>
  <c r="F1076" i="3"/>
  <c r="F1075" i="3"/>
  <c r="F1074" i="3"/>
  <c r="F1073" i="3"/>
  <c r="F1072" i="3"/>
  <c r="F1071" i="3"/>
  <c r="F1070" i="3"/>
  <c r="F1069" i="3"/>
  <c r="F1068" i="3"/>
  <c r="F1067" i="3"/>
  <c r="F1066" i="3"/>
  <c r="F1065" i="3"/>
  <c r="F1064" i="3"/>
  <c r="F1063" i="3"/>
  <c r="F1062" i="3"/>
  <c r="F1061" i="3"/>
  <c r="F1060" i="3"/>
  <c r="F1059" i="3"/>
  <c r="F1058" i="3"/>
  <c r="F1057" i="3"/>
  <c r="F1056" i="3"/>
  <c r="F1055" i="3"/>
  <c r="F1054" i="3"/>
  <c r="F1053" i="3"/>
  <c r="F1052" i="3"/>
  <c r="F1051" i="3"/>
  <c r="F1050" i="3"/>
  <c r="F1049" i="3"/>
  <c r="F1048" i="3"/>
  <c r="F1047" i="3"/>
  <c r="F1046" i="3"/>
  <c r="F1045" i="3"/>
  <c r="F1044" i="3"/>
  <c r="F1043" i="3"/>
  <c r="F1042" i="3"/>
  <c r="F1041" i="3"/>
  <c r="F1040" i="3"/>
  <c r="F1039" i="3"/>
  <c r="F1038" i="3"/>
  <c r="F1037" i="3"/>
  <c r="F1036" i="3"/>
  <c r="F1035" i="3"/>
  <c r="F1034" i="3"/>
  <c r="F1033" i="3"/>
  <c r="F1032" i="3"/>
  <c r="F1031" i="3"/>
  <c r="F1030" i="3"/>
  <c r="F1029" i="3"/>
  <c r="F1028" i="3"/>
  <c r="F1027" i="3"/>
  <c r="F1026" i="3"/>
  <c r="F1025" i="3"/>
  <c r="F1024" i="3"/>
  <c r="F1023" i="3"/>
  <c r="F1022" i="3"/>
  <c r="F1021" i="3"/>
  <c r="F1020" i="3"/>
  <c r="F1019" i="3"/>
  <c r="F1018" i="3"/>
  <c r="F1017" i="3"/>
  <c r="F1016" i="3"/>
  <c r="F1015" i="3"/>
  <c r="F1014" i="3"/>
  <c r="F1013" i="3"/>
  <c r="F1012" i="3"/>
  <c r="F1011" i="3"/>
  <c r="F1010" i="3"/>
  <c r="F1009" i="3"/>
  <c r="F1008" i="3"/>
  <c r="F1007" i="3"/>
  <c r="F1006" i="3"/>
  <c r="F1005" i="3"/>
  <c r="F1004" i="3"/>
  <c r="F1003" i="3"/>
  <c r="F1002" i="3"/>
  <c r="F1001" i="3"/>
  <c r="F1000" i="3"/>
  <c r="F999" i="3"/>
  <c r="F998" i="3"/>
  <c r="F997" i="3"/>
  <c r="F996" i="3"/>
  <c r="F995" i="3"/>
  <c r="F994" i="3"/>
  <c r="F993" i="3"/>
  <c r="F992" i="3"/>
  <c r="F991" i="3"/>
  <c r="F990" i="3"/>
  <c r="F989" i="3"/>
  <c r="F988" i="3"/>
  <c r="F987" i="3"/>
  <c r="F986" i="3"/>
  <c r="F985" i="3"/>
  <c r="F984" i="3"/>
  <c r="F983" i="3"/>
  <c r="F982" i="3"/>
  <c r="F981" i="3"/>
  <c r="F980" i="3"/>
  <c r="F979" i="3"/>
  <c r="F978" i="3"/>
  <c r="F977" i="3"/>
  <c r="F976" i="3"/>
  <c r="F975" i="3"/>
  <c r="F974" i="3"/>
  <c r="F973" i="3"/>
  <c r="F972" i="3"/>
  <c r="F971" i="3"/>
  <c r="F970" i="3"/>
  <c r="F969" i="3"/>
  <c r="F968" i="3"/>
  <c r="F967" i="3"/>
  <c r="F966" i="3"/>
  <c r="F965" i="3"/>
  <c r="F964" i="3"/>
  <c r="F963" i="3"/>
  <c r="F962" i="3"/>
  <c r="F961" i="3"/>
  <c r="F960" i="3"/>
  <c r="F959" i="3"/>
  <c r="F958" i="3"/>
  <c r="F957" i="3"/>
  <c r="F956" i="3"/>
  <c r="F955" i="3"/>
  <c r="F954" i="3"/>
  <c r="F953" i="3"/>
  <c r="F952" i="3"/>
  <c r="F951" i="3"/>
  <c r="F950" i="3"/>
  <c r="F949" i="3"/>
  <c r="F948" i="3"/>
  <c r="F947" i="3"/>
  <c r="F946" i="3"/>
  <c r="F945" i="3"/>
  <c r="F944" i="3"/>
  <c r="F943" i="3"/>
  <c r="F942" i="3"/>
  <c r="F941" i="3"/>
  <c r="F940" i="3"/>
  <c r="F939" i="3"/>
  <c r="F938" i="3"/>
  <c r="F937" i="3"/>
  <c r="F936" i="3"/>
  <c r="F935" i="3"/>
  <c r="F934" i="3"/>
  <c r="F933" i="3"/>
  <c r="F932" i="3"/>
  <c r="F931" i="3"/>
  <c r="F930" i="3"/>
  <c r="F929" i="3"/>
  <c r="F928" i="3"/>
  <c r="F927" i="3"/>
  <c r="F926" i="3"/>
  <c r="F925" i="3"/>
  <c r="F924" i="3"/>
  <c r="F923" i="3"/>
  <c r="F922" i="3"/>
  <c r="F921" i="3"/>
  <c r="F920" i="3"/>
  <c r="F919" i="3"/>
  <c r="F918" i="3"/>
  <c r="F917" i="3"/>
  <c r="F916" i="3"/>
  <c r="F915" i="3"/>
  <c r="F914" i="3"/>
  <c r="F913" i="3"/>
  <c r="F912" i="3"/>
  <c r="F911" i="3"/>
  <c r="F910" i="3"/>
  <c r="F909" i="3"/>
  <c r="F908" i="3"/>
  <c r="F907" i="3"/>
  <c r="F906" i="3"/>
  <c r="F905" i="3"/>
  <c r="F904" i="3"/>
  <c r="F903" i="3"/>
  <c r="F902" i="3"/>
  <c r="F901" i="3"/>
  <c r="F900" i="3"/>
  <c r="F899" i="3"/>
  <c r="F898" i="3"/>
  <c r="F897" i="3"/>
  <c r="F896" i="3"/>
  <c r="F895" i="3"/>
  <c r="F894" i="3"/>
  <c r="F893" i="3"/>
  <c r="F892" i="3"/>
  <c r="F891" i="3"/>
  <c r="F890" i="3"/>
  <c r="F889" i="3"/>
  <c r="F888" i="3"/>
  <c r="F887" i="3"/>
  <c r="F886" i="3"/>
  <c r="F885" i="3"/>
  <c r="F884" i="3"/>
  <c r="F883" i="3"/>
  <c r="F882" i="3"/>
  <c r="F881" i="3"/>
  <c r="F880" i="3"/>
  <c r="F879" i="3"/>
  <c r="F878" i="3"/>
  <c r="F877" i="3"/>
  <c r="F876" i="3"/>
  <c r="F875" i="3"/>
  <c r="F874" i="3"/>
  <c r="F873" i="3"/>
  <c r="F872" i="3"/>
  <c r="F871" i="3"/>
  <c r="F870" i="3"/>
  <c r="F869" i="3"/>
  <c r="F868" i="3"/>
  <c r="F867" i="3"/>
  <c r="F866" i="3"/>
  <c r="F865" i="3"/>
  <c r="F864" i="3"/>
  <c r="F863" i="3"/>
  <c r="F862" i="3"/>
  <c r="F861" i="3"/>
  <c r="F860" i="3"/>
  <c r="F859" i="3"/>
  <c r="F858" i="3"/>
  <c r="F857" i="3"/>
  <c r="F856" i="3"/>
  <c r="F855" i="3"/>
  <c r="F854" i="3"/>
  <c r="F853" i="3"/>
  <c r="F852" i="3"/>
  <c r="F851" i="3"/>
  <c r="F850" i="3"/>
  <c r="F849" i="3"/>
  <c r="F848" i="3"/>
  <c r="F847" i="3"/>
  <c r="F846" i="3"/>
  <c r="F845" i="3"/>
  <c r="F844" i="3"/>
  <c r="F843" i="3"/>
  <c r="F842" i="3"/>
  <c r="F841" i="3"/>
  <c r="F840" i="3"/>
  <c r="F839" i="3"/>
  <c r="F838" i="3"/>
  <c r="F837" i="3"/>
  <c r="F836" i="3"/>
  <c r="F835" i="3"/>
  <c r="F834" i="3"/>
  <c r="F833" i="3"/>
  <c r="F832" i="3"/>
  <c r="F831" i="3"/>
  <c r="F830" i="3"/>
  <c r="F829" i="3"/>
  <c r="F828" i="3"/>
  <c r="F827" i="3"/>
  <c r="F826" i="3"/>
  <c r="F825" i="3"/>
  <c r="F824" i="3"/>
  <c r="F823" i="3"/>
  <c r="F822" i="3"/>
  <c r="F821" i="3"/>
  <c r="F820" i="3"/>
  <c r="F819" i="3"/>
  <c r="F818" i="3"/>
  <c r="F817" i="3"/>
  <c r="F816" i="3"/>
  <c r="F815" i="3"/>
  <c r="F814" i="3"/>
  <c r="F813" i="3"/>
  <c r="F812" i="3"/>
  <c r="F811" i="3"/>
  <c r="F810" i="3"/>
  <c r="F809" i="3"/>
  <c r="F808" i="3"/>
  <c r="F807" i="3"/>
  <c r="F806" i="3"/>
  <c r="F805" i="3"/>
  <c r="F804" i="3"/>
  <c r="F803" i="3"/>
  <c r="F802" i="3"/>
  <c r="F801" i="3"/>
  <c r="F800" i="3"/>
  <c r="F799" i="3"/>
  <c r="F798" i="3"/>
  <c r="F797" i="3"/>
  <c r="F796" i="3"/>
  <c r="F795" i="3"/>
  <c r="F794" i="3"/>
  <c r="F793" i="3"/>
  <c r="F792" i="3"/>
  <c r="F791" i="3"/>
  <c r="F790" i="3"/>
  <c r="F789" i="3"/>
  <c r="F788" i="3"/>
  <c r="F787" i="3"/>
  <c r="F786" i="3"/>
  <c r="F785" i="3"/>
  <c r="F784" i="3"/>
  <c r="F783" i="3"/>
  <c r="F782" i="3"/>
  <c r="F781" i="3"/>
  <c r="F780" i="3"/>
  <c r="F779" i="3"/>
  <c r="F778" i="3"/>
  <c r="F777" i="3"/>
  <c r="F776" i="3"/>
  <c r="F775" i="3"/>
  <c r="F774" i="3"/>
  <c r="F773" i="3"/>
  <c r="F772" i="3"/>
  <c r="F771" i="3"/>
  <c r="F770" i="3"/>
  <c r="F769" i="3"/>
  <c r="F768" i="3"/>
  <c r="F767" i="3"/>
  <c r="F766" i="3"/>
  <c r="F765" i="3"/>
  <c r="F764" i="3"/>
  <c r="F763" i="3"/>
  <c r="F762" i="3"/>
  <c r="F761" i="3"/>
  <c r="F760" i="3"/>
  <c r="F759" i="3"/>
  <c r="F758" i="3"/>
  <c r="F757" i="3"/>
  <c r="F756" i="3"/>
  <c r="F755" i="3"/>
  <c r="F754" i="3"/>
  <c r="F753" i="3"/>
  <c r="F752" i="3"/>
  <c r="F751" i="3"/>
  <c r="F750" i="3"/>
  <c r="F749" i="3"/>
  <c r="F748" i="3"/>
  <c r="F747" i="3"/>
  <c r="F746" i="3"/>
  <c r="F745" i="3"/>
  <c r="F744" i="3"/>
  <c r="F743" i="3"/>
  <c r="F742" i="3"/>
  <c r="F741" i="3"/>
  <c r="F740" i="3"/>
  <c r="F739" i="3"/>
  <c r="F738" i="3"/>
  <c r="F737" i="3"/>
  <c r="F736" i="3"/>
  <c r="F735" i="3"/>
  <c r="F734" i="3"/>
  <c r="F733" i="3"/>
  <c r="F732" i="3"/>
  <c r="F731" i="3"/>
  <c r="F730" i="3"/>
  <c r="F729" i="3"/>
  <c r="F728" i="3"/>
  <c r="F727" i="3"/>
  <c r="F726" i="3"/>
  <c r="F725" i="3"/>
  <c r="F724" i="3"/>
  <c r="F723" i="3"/>
  <c r="F722" i="3"/>
  <c r="F721" i="3"/>
  <c r="F720" i="3"/>
  <c r="F719" i="3"/>
  <c r="F718" i="3"/>
  <c r="F717" i="3"/>
  <c r="F716" i="3"/>
  <c r="F715" i="3"/>
  <c r="F714" i="3"/>
  <c r="F713" i="3"/>
  <c r="F712" i="3"/>
  <c r="F711" i="3"/>
  <c r="F710" i="3"/>
  <c r="F709" i="3"/>
  <c r="F708" i="3"/>
  <c r="F707" i="3"/>
  <c r="F706" i="3"/>
  <c r="F705" i="3"/>
  <c r="F704" i="3"/>
  <c r="F703" i="3"/>
  <c r="F702" i="3"/>
  <c r="F701" i="3"/>
  <c r="F700" i="3"/>
  <c r="F699" i="3"/>
  <c r="F698" i="3"/>
  <c r="F697" i="3"/>
  <c r="F696" i="3"/>
  <c r="F695" i="3"/>
  <c r="F694" i="3"/>
  <c r="F693" i="3"/>
  <c r="F692" i="3"/>
  <c r="F691" i="3"/>
  <c r="F690" i="3"/>
  <c r="F689" i="3"/>
  <c r="F688" i="3"/>
  <c r="F687" i="3"/>
  <c r="F686" i="3"/>
  <c r="F685" i="3"/>
  <c r="F684" i="3"/>
  <c r="F683" i="3"/>
  <c r="F682" i="3"/>
  <c r="F681" i="3"/>
  <c r="F680" i="3"/>
  <c r="F679" i="3"/>
  <c r="F678" i="3"/>
  <c r="F677" i="3"/>
  <c r="F676" i="3"/>
  <c r="F675" i="3"/>
  <c r="F674" i="3"/>
  <c r="F673" i="3"/>
  <c r="F672" i="3"/>
  <c r="F671" i="3"/>
  <c r="F670" i="3"/>
  <c r="F669" i="3"/>
  <c r="F668" i="3"/>
  <c r="F667" i="3"/>
  <c r="F666" i="3"/>
  <c r="F665" i="3"/>
  <c r="F664" i="3"/>
  <c r="F663" i="3"/>
  <c r="F662" i="3"/>
  <c r="F661" i="3"/>
  <c r="F660" i="3"/>
  <c r="F659" i="3"/>
  <c r="F658" i="3"/>
  <c r="F657" i="3"/>
  <c r="F656" i="3"/>
  <c r="F655" i="3"/>
  <c r="F654" i="3"/>
  <c r="F653" i="3"/>
  <c r="F652" i="3"/>
  <c r="F651" i="3"/>
  <c r="F650" i="3"/>
  <c r="F649" i="3"/>
  <c r="F648" i="3"/>
  <c r="F647" i="3"/>
  <c r="F646" i="3"/>
  <c r="F645" i="3"/>
  <c r="F644" i="3"/>
  <c r="F643" i="3"/>
  <c r="F642" i="3"/>
  <c r="F641" i="3"/>
  <c r="F640" i="3"/>
  <c r="F639" i="3"/>
  <c r="F638" i="3"/>
  <c r="F637" i="3"/>
  <c r="F636" i="3"/>
  <c r="F635" i="3"/>
  <c r="F634" i="3"/>
  <c r="F633" i="3"/>
  <c r="F632" i="3"/>
  <c r="F631" i="3"/>
  <c r="F630" i="3"/>
  <c r="F629" i="3"/>
  <c r="F628" i="3"/>
  <c r="F627" i="3"/>
  <c r="F626" i="3"/>
  <c r="F625" i="3"/>
  <c r="F624" i="3"/>
  <c r="F623" i="3"/>
  <c r="F622" i="3"/>
  <c r="F621" i="3"/>
  <c r="F620" i="3"/>
  <c r="F619" i="3"/>
  <c r="F618" i="3"/>
  <c r="F617" i="3"/>
  <c r="F616" i="3"/>
  <c r="F615" i="3"/>
  <c r="F614" i="3"/>
  <c r="F613" i="3"/>
  <c r="F612" i="3"/>
  <c r="F611" i="3"/>
  <c r="F610" i="3"/>
  <c r="F609" i="3"/>
  <c r="F608" i="3"/>
  <c r="F607" i="3"/>
  <c r="F606" i="3"/>
  <c r="F605" i="3"/>
  <c r="F604" i="3"/>
  <c r="F603" i="3"/>
  <c r="F602" i="3"/>
  <c r="F601" i="3"/>
  <c r="F600" i="3"/>
  <c r="F599" i="3"/>
  <c r="F598" i="3"/>
  <c r="F597" i="3"/>
  <c r="F596" i="3"/>
  <c r="F595" i="3"/>
  <c r="F594" i="3"/>
  <c r="F593" i="3"/>
  <c r="F592" i="3"/>
  <c r="F591" i="3"/>
  <c r="F590" i="3"/>
  <c r="F589" i="3"/>
  <c r="F588" i="3"/>
  <c r="F587" i="3"/>
  <c r="F586" i="3"/>
  <c r="F585" i="3"/>
  <c r="F584" i="3"/>
  <c r="F583" i="3"/>
  <c r="F582" i="3"/>
  <c r="F581" i="3"/>
  <c r="F580" i="3"/>
  <c r="F579" i="3"/>
  <c r="F578" i="3"/>
  <c r="F577" i="3"/>
  <c r="F576" i="3"/>
  <c r="F575" i="3"/>
  <c r="F574" i="3"/>
  <c r="F573" i="3"/>
  <c r="F572" i="3"/>
  <c r="F571" i="3"/>
  <c r="F570" i="3"/>
  <c r="F569" i="3"/>
  <c r="F568" i="3"/>
  <c r="F567" i="3"/>
  <c r="F566" i="3"/>
  <c r="F565" i="3"/>
  <c r="F564" i="3"/>
  <c r="F563" i="3"/>
  <c r="F562" i="3"/>
  <c r="F561" i="3"/>
  <c r="F560" i="3"/>
  <c r="F559" i="3"/>
  <c r="F558" i="3"/>
  <c r="F557" i="3"/>
  <c r="F556" i="3"/>
  <c r="F555" i="3"/>
  <c r="F554" i="3"/>
  <c r="F553" i="3"/>
  <c r="F552" i="3"/>
  <c r="F551" i="3"/>
  <c r="F550" i="3"/>
  <c r="F549" i="3"/>
  <c r="F548" i="3"/>
  <c r="F547" i="3"/>
  <c r="F546" i="3"/>
  <c r="F545" i="3"/>
  <c r="F544" i="3"/>
  <c r="F543" i="3"/>
  <c r="F542" i="3"/>
  <c r="F541" i="3"/>
  <c r="F540" i="3"/>
  <c r="F539" i="3"/>
  <c r="F538" i="3"/>
  <c r="F537" i="3"/>
  <c r="F536" i="3"/>
  <c r="F535" i="3"/>
  <c r="F534" i="3"/>
  <c r="F533" i="3"/>
  <c r="F532" i="3"/>
  <c r="F531" i="3"/>
  <c r="F530" i="3"/>
  <c r="F529" i="3"/>
  <c r="F528" i="3"/>
  <c r="F527" i="3"/>
  <c r="F526" i="3"/>
  <c r="F525" i="3"/>
  <c r="F524" i="3"/>
  <c r="F523" i="3"/>
  <c r="F522" i="3"/>
  <c r="F521" i="3"/>
  <c r="F520" i="3"/>
  <c r="F519" i="3"/>
  <c r="F518" i="3"/>
  <c r="F517" i="3"/>
  <c r="F516" i="3"/>
  <c r="F515" i="3"/>
  <c r="F514" i="3"/>
  <c r="F513" i="3"/>
  <c r="F512" i="3"/>
  <c r="F511" i="3"/>
  <c r="F510" i="3"/>
  <c r="F509" i="3"/>
  <c r="F508" i="3"/>
  <c r="F507" i="3"/>
  <c r="F506" i="3"/>
  <c r="F505" i="3"/>
  <c r="F504" i="3"/>
  <c r="F503" i="3"/>
  <c r="F502" i="3"/>
  <c r="F501" i="3"/>
  <c r="F500" i="3"/>
  <c r="F499" i="3"/>
  <c r="F498" i="3"/>
  <c r="F497" i="3"/>
  <c r="F496" i="3"/>
  <c r="F495" i="3"/>
  <c r="F494" i="3"/>
  <c r="F493" i="3"/>
  <c r="F492" i="3"/>
  <c r="F491" i="3"/>
  <c r="F490" i="3"/>
  <c r="F489" i="3"/>
  <c r="F488" i="3"/>
  <c r="F487" i="3"/>
  <c r="F486" i="3"/>
  <c r="F485" i="3"/>
  <c r="F484" i="3"/>
  <c r="F483" i="3"/>
  <c r="F482" i="3"/>
  <c r="F481" i="3"/>
  <c r="F480" i="3"/>
  <c r="F479" i="3"/>
  <c r="F478" i="3"/>
  <c r="F477" i="3"/>
  <c r="F476" i="3"/>
  <c r="F475" i="3"/>
  <c r="F474" i="3"/>
  <c r="F473" i="3"/>
  <c r="F472" i="3"/>
  <c r="F471" i="3"/>
  <c r="F470" i="3"/>
  <c r="F469" i="3"/>
  <c r="F468" i="3"/>
  <c r="F467" i="3"/>
  <c r="F466" i="3"/>
  <c r="F465" i="3"/>
  <c r="F464" i="3"/>
  <c r="F463" i="3"/>
  <c r="F462" i="3"/>
  <c r="F461" i="3"/>
  <c r="F460" i="3"/>
  <c r="F459" i="3"/>
  <c r="F458" i="3"/>
  <c r="F457" i="3"/>
  <c r="F456" i="3"/>
  <c r="F455" i="3"/>
  <c r="F454" i="3"/>
  <c r="F453" i="3"/>
  <c r="F452" i="3"/>
  <c r="F451" i="3"/>
  <c r="F450" i="3"/>
  <c r="F449" i="3"/>
  <c r="F448" i="3"/>
  <c r="F447" i="3"/>
  <c r="F446" i="3"/>
  <c r="F445" i="3"/>
  <c r="F444" i="3"/>
  <c r="F443" i="3"/>
  <c r="F442" i="3"/>
  <c r="F441" i="3"/>
  <c r="F440" i="3"/>
  <c r="F439" i="3"/>
  <c r="F438" i="3"/>
  <c r="F437" i="3"/>
  <c r="F436" i="3"/>
  <c r="F435" i="3"/>
  <c r="F434" i="3"/>
  <c r="F433" i="3"/>
  <c r="F432" i="3"/>
  <c r="F431" i="3"/>
  <c r="F430" i="3"/>
  <c r="F429" i="3"/>
  <c r="F428" i="3"/>
  <c r="F427" i="3"/>
  <c r="F426" i="3"/>
  <c r="F425" i="3"/>
  <c r="F424" i="3"/>
  <c r="F423" i="3"/>
  <c r="F422" i="3"/>
  <c r="F421" i="3"/>
  <c r="F420" i="3"/>
  <c r="F419" i="3"/>
  <c r="F418" i="3"/>
  <c r="F417" i="3"/>
  <c r="F416" i="3"/>
  <c r="F415" i="3"/>
  <c r="F414" i="3"/>
  <c r="F413" i="3"/>
  <c r="F412" i="3"/>
  <c r="F411" i="3"/>
  <c r="F410" i="3"/>
  <c r="F409" i="3"/>
  <c r="F408" i="3"/>
  <c r="F407" i="3"/>
  <c r="F406" i="3"/>
  <c r="F405" i="3"/>
  <c r="F404" i="3"/>
  <c r="F403" i="3"/>
  <c r="F402" i="3"/>
  <c r="F401" i="3"/>
  <c r="F400" i="3"/>
  <c r="F399" i="3"/>
  <c r="F398" i="3"/>
  <c r="F397" i="3"/>
  <c r="F396" i="3"/>
  <c r="F395" i="3"/>
  <c r="F394" i="3"/>
  <c r="F393" i="3"/>
  <c r="F392" i="3"/>
  <c r="F391" i="3"/>
  <c r="F390" i="3"/>
  <c r="F389" i="3"/>
  <c r="F388" i="3"/>
  <c r="F387" i="3"/>
  <c r="F386" i="3"/>
  <c r="F385" i="3"/>
  <c r="F384" i="3"/>
  <c r="F383" i="3"/>
  <c r="F382" i="3"/>
  <c r="F381" i="3"/>
  <c r="F380" i="3"/>
  <c r="F379" i="3"/>
  <c r="F378" i="3"/>
  <c r="F377" i="3"/>
  <c r="F376" i="3"/>
  <c r="F375" i="3"/>
  <c r="F374" i="3"/>
  <c r="F373" i="3"/>
  <c r="F372" i="3"/>
  <c r="F371" i="3"/>
  <c r="F370" i="3"/>
  <c r="F369" i="3"/>
  <c r="F368" i="3"/>
  <c r="F367" i="3"/>
  <c r="F366" i="3"/>
  <c r="F365" i="3"/>
  <c r="F364" i="3"/>
  <c r="F363" i="3"/>
  <c r="F362" i="3"/>
  <c r="F361" i="3"/>
  <c r="F360" i="3"/>
  <c r="F359" i="3"/>
  <c r="F358" i="3"/>
  <c r="F357" i="3"/>
  <c r="F356" i="3"/>
  <c r="F355" i="3"/>
  <c r="F354" i="3"/>
  <c r="F353" i="3"/>
  <c r="F352" i="3"/>
  <c r="F351" i="3"/>
  <c r="F350" i="3"/>
  <c r="F349" i="3"/>
  <c r="F348" i="3"/>
  <c r="F347" i="3"/>
  <c r="F346" i="3"/>
  <c r="F345" i="3"/>
  <c r="F344" i="3"/>
  <c r="F343" i="3"/>
  <c r="F342" i="3"/>
  <c r="F341" i="3"/>
  <c r="F340" i="3"/>
  <c r="F339" i="3"/>
  <c r="F338" i="3"/>
  <c r="F337" i="3"/>
  <c r="F336" i="3"/>
  <c r="F335" i="3"/>
  <c r="F334" i="3"/>
  <c r="F333" i="3"/>
  <c r="F332" i="3"/>
  <c r="F331" i="3"/>
  <c r="F330" i="3"/>
  <c r="F329" i="3"/>
  <c r="F328" i="3"/>
  <c r="F327" i="3"/>
  <c r="F326" i="3"/>
  <c r="F325" i="3"/>
  <c r="F324" i="3"/>
  <c r="F323" i="3"/>
  <c r="F322" i="3"/>
  <c r="F321" i="3"/>
  <c r="F320" i="3"/>
  <c r="F319" i="3"/>
  <c r="F318" i="3"/>
  <c r="F317" i="3"/>
  <c r="F316" i="3"/>
  <c r="F315" i="3"/>
  <c r="F314" i="3"/>
  <c r="F313" i="3"/>
  <c r="F312" i="3"/>
  <c r="F311" i="3"/>
  <c r="F310" i="3"/>
  <c r="F309" i="3"/>
  <c r="F308" i="3"/>
  <c r="F307" i="3"/>
  <c r="F306" i="3"/>
  <c r="F305" i="3"/>
  <c r="F304" i="3"/>
  <c r="F303" i="3"/>
  <c r="F302" i="3"/>
  <c r="F301" i="3"/>
  <c r="F300" i="3"/>
  <c r="F299" i="3"/>
  <c r="F298" i="3"/>
  <c r="F297" i="3"/>
  <c r="F296" i="3"/>
  <c r="F295" i="3"/>
  <c r="F294" i="3"/>
  <c r="F293" i="3"/>
  <c r="F292" i="3"/>
  <c r="F291" i="3"/>
  <c r="F290" i="3"/>
  <c r="F289" i="3"/>
  <c r="F288" i="3"/>
  <c r="F287" i="3"/>
  <c r="F286" i="3"/>
  <c r="F285" i="3"/>
  <c r="F284" i="3"/>
  <c r="F283" i="3"/>
  <c r="F282" i="3"/>
  <c r="F281" i="3"/>
  <c r="F280" i="3"/>
  <c r="F279" i="3"/>
  <c r="F278" i="3"/>
  <c r="F277" i="3"/>
  <c r="F276" i="3"/>
  <c r="F275" i="3"/>
  <c r="F274" i="3"/>
  <c r="F273" i="3"/>
  <c r="F272" i="3"/>
  <c r="F271" i="3"/>
  <c r="F270" i="3"/>
  <c r="F269" i="3"/>
  <c r="F268" i="3"/>
  <c r="F267" i="3"/>
  <c r="F266" i="3"/>
  <c r="F265" i="3"/>
  <c r="F264" i="3"/>
  <c r="F263" i="3"/>
  <c r="F262" i="3"/>
  <c r="F261" i="3"/>
  <c r="F260" i="3"/>
  <c r="F259" i="3"/>
  <c r="F258" i="3"/>
  <c r="F257" i="3"/>
  <c r="F256" i="3"/>
  <c r="F255" i="3"/>
  <c r="F254" i="3"/>
  <c r="F253" i="3"/>
  <c r="F252" i="3"/>
  <c r="F251" i="3"/>
  <c r="F250" i="3"/>
  <c r="F249" i="3"/>
  <c r="F248" i="3"/>
  <c r="F247" i="3"/>
  <c r="F246" i="3"/>
  <c r="F245" i="3"/>
  <c r="F244" i="3"/>
  <c r="F243" i="3"/>
  <c r="F242" i="3"/>
  <c r="F241" i="3"/>
  <c r="F240" i="3"/>
  <c r="F239" i="3"/>
  <c r="F238" i="3"/>
  <c r="F237" i="3"/>
  <c r="F236" i="3"/>
  <c r="F235" i="3"/>
  <c r="F234" i="3"/>
  <c r="F233" i="3"/>
  <c r="F232" i="3"/>
  <c r="F231" i="3"/>
  <c r="F230" i="3"/>
  <c r="F229" i="3"/>
  <c r="F228" i="3"/>
  <c r="F227" i="3"/>
  <c r="F226" i="3"/>
  <c r="F225" i="3"/>
  <c r="F224" i="3"/>
  <c r="F223" i="3"/>
  <c r="F222" i="3"/>
  <c r="F221" i="3"/>
  <c r="F220" i="3"/>
  <c r="F219" i="3"/>
  <c r="F218" i="3"/>
  <c r="F217" i="3"/>
  <c r="F216" i="3"/>
  <c r="F215" i="3"/>
  <c r="F214" i="3"/>
  <c r="F213" i="3"/>
  <c r="F212" i="3"/>
  <c r="F211" i="3"/>
  <c r="F210" i="3"/>
  <c r="F209" i="3"/>
  <c r="F208" i="3"/>
  <c r="F207" i="3"/>
  <c r="F206" i="3"/>
  <c r="F205" i="3"/>
  <c r="F204" i="3"/>
  <c r="F203" i="3"/>
  <c r="F202" i="3"/>
  <c r="F201" i="3"/>
  <c r="F200" i="3"/>
  <c r="F199" i="3"/>
  <c r="F198" i="3"/>
  <c r="F197" i="3"/>
  <c r="F196" i="3"/>
  <c r="F195" i="3"/>
  <c r="F194" i="3"/>
  <c r="F193" i="3"/>
  <c r="F192" i="3"/>
  <c r="F191" i="3"/>
  <c r="F190" i="3"/>
  <c r="F189" i="3"/>
  <c r="F188" i="3"/>
  <c r="F187" i="3"/>
  <c r="F186" i="3"/>
  <c r="F185" i="3"/>
  <c r="F184" i="3"/>
  <c r="F183" i="3"/>
  <c r="F182" i="3"/>
  <c r="F181" i="3"/>
  <c r="F180" i="3"/>
  <c r="F179" i="3"/>
  <c r="F178" i="3"/>
  <c r="F177" i="3"/>
  <c r="F176" i="3"/>
  <c r="F175" i="3"/>
  <c r="F174" i="3"/>
  <c r="F173" i="3"/>
  <c r="F172" i="3"/>
  <c r="F171" i="3"/>
  <c r="F170" i="3"/>
  <c r="F169" i="3"/>
  <c r="F168" i="3"/>
  <c r="F167" i="3"/>
  <c r="F166" i="3"/>
  <c r="F165" i="3"/>
  <c r="F164" i="3"/>
  <c r="F163" i="3"/>
  <c r="F162" i="3"/>
  <c r="F161" i="3"/>
  <c r="F160" i="3"/>
  <c r="F159" i="3"/>
  <c r="F158" i="3"/>
  <c r="F157" i="3"/>
  <c r="F156" i="3"/>
  <c r="F155" i="3"/>
  <c r="F154" i="3"/>
  <c r="F153" i="3"/>
  <c r="F152" i="3"/>
  <c r="F151" i="3"/>
  <c r="F150" i="3"/>
  <c r="F149" i="3"/>
  <c r="F148" i="3"/>
  <c r="F147" i="3"/>
  <c r="F146" i="3"/>
  <c r="F145" i="3"/>
  <c r="F144" i="3"/>
  <c r="F143" i="3"/>
  <c r="F142" i="3"/>
  <c r="F141" i="3"/>
  <c r="F140" i="3"/>
  <c r="F139" i="3"/>
  <c r="F138" i="3"/>
  <c r="F137" i="3"/>
  <c r="F136" i="3"/>
  <c r="F135" i="3"/>
  <c r="F134" i="3"/>
  <c r="F133" i="3"/>
  <c r="F132" i="3"/>
  <c r="F131" i="3"/>
  <c r="F130" i="3"/>
  <c r="F129" i="3"/>
  <c r="F128" i="3"/>
  <c r="F127" i="3"/>
  <c r="F126" i="3"/>
  <c r="F125" i="3"/>
  <c r="F124" i="3"/>
  <c r="F123" i="3"/>
  <c r="F122" i="3"/>
  <c r="F121" i="3"/>
  <c r="F120" i="3"/>
  <c r="F119" i="3"/>
  <c r="F118" i="3"/>
  <c r="F117" i="3"/>
  <c r="F116" i="3"/>
  <c r="F115" i="3"/>
  <c r="F114" i="3"/>
  <c r="F113" i="3"/>
  <c r="F112" i="3"/>
  <c r="F111" i="3"/>
  <c r="F110" i="3"/>
  <c r="F109" i="3"/>
  <c r="F108" i="3"/>
  <c r="F107" i="3"/>
  <c r="F106" i="3"/>
  <c r="F105" i="3"/>
  <c r="F104" i="3"/>
  <c r="F103" i="3"/>
  <c r="F102" i="3"/>
  <c r="F101" i="3"/>
  <c r="F100" i="3"/>
  <c r="F99" i="3"/>
  <c r="F98" i="3"/>
  <c r="F97" i="3"/>
  <c r="F96" i="3"/>
  <c r="F95" i="3"/>
  <c r="F94" i="3"/>
  <c r="F93" i="3"/>
  <c r="F92" i="3"/>
  <c r="F91" i="3"/>
  <c r="F90" i="3"/>
  <c r="F89" i="3"/>
  <c r="F88" i="3"/>
  <c r="F87" i="3"/>
  <c r="F86" i="3"/>
  <c r="F85" i="3"/>
  <c r="F84" i="3"/>
  <c r="F83" i="3"/>
  <c r="F82" i="3"/>
  <c r="F81" i="3"/>
  <c r="F80" i="3"/>
  <c r="F79" i="3"/>
  <c r="F78" i="3"/>
  <c r="F77" i="3"/>
  <c r="F76" i="3"/>
  <c r="F75" i="3"/>
  <c r="F74" i="3"/>
  <c r="F73" i="3"/>
  <c r="F72" i="3"/>
  <c r="F71" i="3"/>
  <c r="F70" i="3"/>
  <c r="F69" i="3"/>
  <c r="F68" i="3"/>
  <c r="F67" i="3"/>
  <c r="F66" i="3"/>
  <c r="F65" i="3"/>
  <c r="F64" i="3"/>
  <c r="F63" i="3"/>
  <c r="F62" i="3"/>
  <c r="F61" i="3"/>
  <c r="F60" i="3"/>
  <c r="F59" i="3"/>
  <c r="F58" i="3"/>
  <c r="F57" i="3"/>
  <c r="F56" i="3"/>
  <c r="F55" i="3"/>
  <c r="F54" i="3"/>
  <c r="F53" i="3"/>
  <c r="F52" i="3"/>
  <c r="F51" i="3"/>
  <c r="F50" i="3"/>
  <c r="F49" i="3"/>
  <c r="F48" i="3"/>
  <c r="F47" i="3"/>
  <c r="F46" i="3"/>
  <c r="F45" i="3"/>
  <c r="F44" i="3"/>
  <c r="F43" i="3"/>
  <c r="F42" i="3"/>
  <c r="F41" i="3"/>
  <c r="F40" i="3"/>
  <c r="F39" i="3"/>
  <c r="F38" i="3"/>
  <c r="F37" i="3"/>
  <c r="F36" i="3"/>
  <c r="F35" i="3"/>
  <c r="F34" i="3"/>
  <c r="F33" i="3"/>
  <c r="F32" i="3"/>
  <c r="F31" i="3"/>
  <c r="F30" i="3"/>
  <c r="F29" i="3"/>
  <c r="F28" i="3"/>
  <c r="F27" i="3"/>
  <c r="F26" i="3"/>
  <c r="F25" i="3"/>
  <c r="F24" i="3"/>
  <c r="F23" i="3"/>
  <c r="F22" i="3"/>
  <c r="F21" i="3"/>
  <c r="F20" i="3"/>
  <c r="F19" i="3"/>
  <c r="F18" i="3"/>
  <c r="F17" i="3"/>
  <c r="F16" i="3"/>
  <c r="F15" i="3"/>
  <c r="F14" i="3"/>
  <c r="F13" i="3"/>
  <c r="F12" i="3"/>
  <c r="F11" i="3"/>
  <c r="F10" i="3"/>
  <c r="F9" i="3"/>
  <c r="F8" i="3"/>
  <c r="F7" i="3"/>
  <c r="F6" i="3"/>
  <c r="F5" i="3"/>
  <c r="F4" i="3"/>
  <c r="F3" i="3"/>
  <c r="F2" i="3"/>
  <c r="F1" i="3"/>
  <c r="R26" i="7" l="1"/>
  <c r="R34" i="7"/>
  <c r="R33" i="7"/>
  <c r="R32" i="7"/>
  <c r="R31" i="7"/>
  <c r="R29" i="7"/>
  <c r="R36" i="7"/>
  <c r="R35" i="7"/>
  <c r="R25" i="7"/>
  <c r="R30" i="7"/>
  <c r="R38" i="7"/>
  <c r="R39" i="7"/>
  <c r="L27" i="7"/>
  <c r="N27" i="7"/>
  <c r="F27" i="7"/>
  <c r="J27" i="7"/>
  <c r="P27" i="7"/>
  <c r="H27" i="7"/>
  <c r="I390" i="1"/>
  <c r="D49" i="7" s="1"/>
  <c r="J22" i="7"/>
  <c r="F22" i="7"/>
  <c r="R27" i="7" l="1"/>
  <c r="K21" i="1"/>
  <c r="R22" i="7"/>
  <c r="P42" i="7" l="1"/>
  <c r="H42" i="7"/>
  <c r="N42" i="7"/>
  <c r="F42" i="7"/>
  <c r="L42" i="7"/>
  <c r="D44" i="7"/>
  <c r="C29" i="7" l="1"/>
  <c r="C28" i="7"/>
  <c r="C23" i="7"/>
  <c r="C31" i="7"/>
  <c r="C39" i="7"/>
  <c r="C33" i="7"/>
  <c r="C36" i="7"/>
  <c r="C24" i="7"/>
  <c r="C32" i="7"/>
  <c r="C40" i="7"/>
  <c r="C25" i="7"/>
  <c r="C37" i="7"/>
  <c r="C26" i="7"/>
  <c r="C34" i="7"/>
  <c r="C30" i="7"/>
  <c r="C38" i="7"/>
  <c r="C35" i="7"/>
  <c r="C27" i="7"/>
  <c r="K42" i="7"/>
  <c r="M42" i="7"/>
  <c r="G42" i="7"/>
  <c r="O42" i="7"/>
  <c r="C22" i="7"/>
  <c r="J42" i="7"/>
  <c r="I42" i="7" s="1"/>
  <c r="E42" i="7"/>
  <c r="Q42" i="7" l="1"/>
  <c r="D50" i="7" s="1"/>
  <c r="R42" i="7"/>
</calcChain>
</file>

<file path=xl/sharedStrings.xml><?xml version="1.0" encoding="utf-8"?>
<sst xmlns="http://schemas.openxmlformats.org/spreadsheetml/2006/main" count="87054" uniqueCount="48387">
  <si>
    <t>M</t>
  </si>
  <si>
    <t>C1863</t>
  </si>
  <si>
    <t>C0005</t>
  </si>
  <si>
    <t>C2284</t>
  </si>
  <si>
    <t>C2285</t>
  </si>
  <si>
    <t>UND</t>
  </si>
  <si>
    <t>AC</t>
  </si>
  <si>
    <t>R</t>
  </si>
  <si>
    <t>DF</t>
  </si>
  <si>
    <t>L</t>
  </si>
  <si>
    <t>LUCRO</t>
  </si>
  <si>
    <t>I</t>
  </si>
  <si>
    <t>IMPOSTOS</t>
  </si>
  <si>
    <t>ELETRODUTOS, DUTOS E CONEXÕES</t>
  </si>
  <si>
    <t>ELETRODUTO RÍGIDO ROSCÁVEL, PVC, DN 25 MM (3/4"), PARA CIRCUITOS TERMINAIS, INSTALADO EM FORRO - FORNECIMENTO E INSTALAÇÃO. AF_03/2023</t>
  </si>
  <si>
    <t>SINAPI</t>
  </si>
  <si>
    <t>ELETRODUTO RÍGIDO ROSCÁVEL, PVC, DN 25 MM (3/4"), PARA CIRCUITOS TERMINAIS, INSTALADO EM PAREDE - FORNECIMENTO E INSTALAÇÃO. AF_03/2023</t>
  </si>
  <si>
    <t>ELETRODUTO RÍGIDO ROSCÁVEL, PVC, DN 32 MM (1"), PARA CIRCUITOS TERMINAIS, INSTALADO EM FORRO - FORNECIMENTO E INSTALAÇÃO. AF_03/2023</t>
  </si>
  <si>
    <t>ELETRODUTO RÍGIDO ROSCÁVEL, PVC, DN 32 MM (1"), PARA CIRCUITOS TERMINAIS, INSTALADO EM PAREDE - FORNECIMENTO E INSTALAÇÃO. AF_03/2023</t>
  </si>
  <si>
    <t>SUPORTE PARA 2 TUBOS VERTICAIS, ESPAÇADO A CADA 150 CM, EM PERFILADO COM COMPRIMENTO DE 25 CM FIXADO EM PAREDE, POR METRO DE TUBULAÇÃO FIXADA. AF_09/2023</t>
  </si>
  <si>
    <t>FIXAÇÃO DE ELETRODUTOS, DIÂMETROS MENORES OU IGUAIS A 40 MM, COM ABRAÇADEIRA METÁLICA RÍGIDA TIPO D COM PARAFUSO DE FIXAÇÃO 1 1/4", FIXADA DIRETAMENTE NA LAJE OU PAREDE. AF_09/2023</t>
  </si>
  <si>
    <t>FIOS, CABOS E ACESSÓRIOS</t>
  </si>
  <si>
    <t>CABO DE COBRE FLEXÍVEL ISOLADO, 2,5 MM², ANTI-CHAMA 450/750 V, PARA CIRCUITOS TERMINAIS - FORNECIMENTO E INSTALAÇÃO. AF_03/2023</t>
  </si>
  <si>
    <t>C4802</t>
  </si>
  <si>
    <t>LUMINÁRIA DE SOBREPOR/EMBUTIR RETANGULAR EM PA(POLYAMIDE) COM REFLETOR EM PMMA OPTICO PARA 2 LED'S TUBULARES T5 DE 20W, TONALIDADE 5000K, COR BRANCA, GRAU DE PROTEÇÃO IP20 E 1 LED DRIVER - COMPLETA</t>
  </si>
  <si>
    <t>SEINFRA</t>
  </si>
  <si>
    <t>UN</t>
  </si>
  <si>
    <t>C4809</t>
  </si>
  <si>
    <t>LUMINÁRIA DE EMBUTIR, EM LED, CORPO EM ALUMÍNIO E REFLETOR EM ALUMÍNIO ANODIZADO DE ALTO BRILHO, POTÊNCIA MINIMA 40W E MAXIMA DE 50W</t>
  </si>
  <si>
    <t>TOMADA MÉDIA DE EMBUTIR (2 MÓDULOS), 2P+T 10 A, INCLUINDO SUPORTE E PLACA - FORNECIMENTO E INSTALAÇÃO. AF_03/2023</t>
  </si>
  <si>
    <t>TOMADA ALTA DE EMBUTIR (1 MÓDULO), 2P+T 10 A, INCLUINDO SUPORTE E PLACA - FORNECIMENTO E INSTALAÇÃO. AF_03/2023</t>
  </si>
  <si>
    <t>INTERRUPTOR SIMPLES (3 MÓDULOS), 10A/250V, INCLUINDO SUPORTE E PLACA - FORNECIMENTO E INSTALAÇÃO. AF_03/2023</t>
  </si>
  <si>
    <t>INTERRUPTOR SIMPLES (2 MÓDULOS) COM 1 TOMADA DE EMBUTIR 2P+T 10 A, INCLUINDO SUPORTE E PLACA - FORNECIMENTO E INSTALAÇÃO. AF_03/2023</t>
  </si>
  <si>
    <t>INTERRUPTOR SIMPLES (1 MÓDULO), 10A/250V, INCLUINDO SUPORTE E PLACA - FORNECIMENTO E INSTALAÇÃO. AF_03/2023</t>
  </si>
  <si>
    <t>CAIXA RETANGULAR 4" X 4" ALTA (2,00 M DO PISO), PVC, INSTALADA EM PAREDE - FORNECIMENTO E INSTALAÇÃO. AF_03/2023</t>
  </si>
  <si>
    <t>C0628</t>
  </si>
  <si>
    <t>CAIXA DE PASSAGEM COM TAMPA PARAFUSADA 200X200X100mm</t>
  </si>
  <si>
    <t>QUADRO DE DISTRIBUIÇÃO DE ENERGIA EM CHAPA DE AÇO GALVANIZADO, DE EMBUTIR, COM BARRAMENTO TRIFÁSICO, PARA 24 DISJUNTORES DIN 100A - FORNECIMENTO E INSTALAÇÃO. AF_10/2020</t>
  </si>
  <si>
    <t>DISJUNTOR MONOPOLAR TIPO DIN, CORRENTE NOMINAL DE 16A - FORNECIMENTO E INSTALAÇÃO. AF_10/2020</t>
  </si>
  <si>
    <t>C4530</t>
  </si>
  <si>
    <t>DISJUNTOR DIFERENCIAL DR-16A - 40A, 30mA</t>
  </si>
  <si>
    <t>C3482</t>
  </si>
  <si>
    <t>TERMINAL OLHAL PARA CABO DE 1,50MM2 À 2,50MM2</t>
  </si>
  <si>
    <t>QUADRO DE DISTRIBUIÇÃO DE ENERGIA EM CHAPA DE AÇO GALVANIZADO, DE EMBUTIR, COM BARRAMENTO TRIFÁSICO, PARA 18 DISJUNTORES DIN 100A - FORNECIMENTO E INSTALAÇÃO. AF_10/2020</t>
  </si>
  <si>
    <t>C3483</t>
  </si>
  <si>
    <t>TERMINAL OLHAL PARA CABO DE 4,00MM2 À 6,00MM2</t>
  </si>
  <si>
    <t>CABO DE COBRE FLEXÍVEL ISOLADO, 4 MM², ANTI-CHAMA 450/750 V, PARA CIRCUITOS TERMINAIS - FORNECIMENTO E INSTALAÇÃO. AF_03/2023</t>
  </si>
  <si>
    <t>CABO DE COBRE FLEXÍVEL ISOLADO, 16 MM², 0,6/1,0 KV, PARA REDE AÉREA DE DISTRIBUIÇÃO DE ENERGIA ELÉTRICA DE BAIXA TENSÃO - FORNECIMENTO E INSTALAÇÃO. AF_07/2020</t>
  </si>
  <si>
    <t>CABO DE COBRE FLEXÍVEL ISOLADO, 25 MM², ANTI-CHAMA 0,6/1,0 KV, PARA REDE ENTERRADA DE DISTRIBUIÇÃO DE ENERGIA ELÉTRICA - FORNECIMENTO E INSTALAÇÃO. AF_12/2021</t>
  </si>
  <si>
    <t>C0627</t>
  </si>
  <si>
    <t>CAIXA DE PASSAGEM COM TAMPA PARAFUSADA 150X150X80mm</t>
  </si>
  <si>
    <t>CAIXA ENTERRADA ELÉTRICA RETANGULAR, EM ALVENARIA COM BLOCOS DE CONCRETO, FUNDO COM BRITA, DIMENSÕES INTERNAS: 0,8X0,8X0,6 M. AF_12/2020</t>
  </si>
  <si>
    <t>CÓDIGO</t>
  </si>
  <si>
    <t>DESCRIÇÃO(COMPOSIÇÕES)</t>
  </si>
  <si>
    <t>UNIDADE</t>
  </si>
  <si>
    <t>PREÇO
UNITÁRIO</t>
  </si>
  <si>
    <t>TUBO DE PVC PARA REDE COLETORA DE ESGOTO DE PAREDE MACIÇA, DN 100 MM, JUNTA ELÁSTICA - FORNECIMENTO E ASSENTAMENTO. AF_01/2021</t>
  </si>
  <si>
    <t>TUBO DE PVC PARA REDE COLETORA DE ESGOTO DE PAREDE MACIÇA, DN 200 MM, JUNTA ELÁSTICA -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</si>
  <si>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</si>
  <si>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</si>
  <si>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</si>
  <si>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</si>
  <si>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</si>
  <si>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</si>
  <si>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</si>
  <si>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</si>
  <si>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</si>
  <si>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</si>
  <si>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</si>
  <si>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</si>
  <si>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</si>
  <si>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</si>
  <si>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</si>
  <si>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</si>
  <si>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</si>
  <si>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</si>
  <si>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</si>
  <si>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</si>
  <si>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</si>
  <si>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</si>
  <si>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</si>
  <si>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</si>
  <si>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</si>
  <si>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</si>
  <si>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</si>
  <si>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</si>
  <si>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</si>
  <si>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</si>
  <si>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</si>
  <si>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TUBO DE PEAD CORRUGADO DE DUPLA PAREDE PARA REDE COLETORA DE ESGOTO, DN 800 MM, JUNTA ELÁSTICA INTEGRADA - FORNECIMENTO E ASSENTAMENTO.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</si>
  <si>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</si>
  <si>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</si>
  <si>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</si>
  <si>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</si>
  <si>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</si>
  <si>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</si>
  <si>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</si>
  <si>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</si>
  <si>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</si>
  <si>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</si>
  <si>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</si>
  <si>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</si>
  <si>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TUBO DE CONCRETO PARA REDES COLETORAS DE ESGOTO SANITÁRIO, DIÂMETRO DE 300 MM, JUNTA ELÁSTICA, INSTALADO EM LOCAL COM BAIXO NÍVEL DE INTERFERÊNCIAS - FORNECIMENTO E ASSENTAMENTO. AF_03/2024</t>
  </si>
  <si>
    <t>ASSENTAMENTO DE TUBO DE CONCRETO PARA REDES COLETORAS DE ESGOTO SANITÁRIO, DIÂMETRO DE 300 MM, JUNTA ELÁSTICA, INSTALADO EM LOCAL COM BAIXO NÍVEL DE INTERFERÊNCIAS (NÃO INCLUI FORNECIMENTO). AF_03/2024</t>
  </si>
  <si>
    <t>TUBO DE CONCRETO PARA REDES COLETORAS DE ESGOTO SANITÁRIO, DIÂMETRO DE 400 MM, JUNTA ELÁSTICA, INSTALADO EM LOCAL COM BAIXO NÍVEL DE INTERFERÊNCIAS - FORNECIMENTO E ASSENTAMENTO. AF_03/2024</t>
  </si>
  <si>
    <t>ASSENTAMENTO DE TUBO DE CONCRETO PARA REDES COLETORAS DE ESGOTO SANITÁRIO, DIÂMETRO DE 400 MM, JUNTA ELÁSTICA, INSTALADO EM LOCAL COM BAIXO NÍVEL DE INTERFERÊNCIAS (NÃO INCLUI FORNECIMENTO). AF_03/2024</t>
  </si>
  <si>
    <t>TUBO DE CONCRETO PARA REDES COLETORAS DE ESGOTO SANITÁRIO, DIÂMETRO DE 500 MM, JUNTA ELÁSTICA, INSTALADO EM LOCAL COM BAIXO NÍVEL DE INTERFERÊNCIAS - FORNECIMENTO E ASSENTAMENTO. AF_03/2024</t>
  </si>
  <si>
    <t>ASSENTAMENTO DE TUBO DE CONCRETO PARA REDES COLETORAS DE ESGOTO SANITÁRIO, DIÂMETRO DE 500 MM, JUNTA ELÁSTICA, INSTALADO EM LOCAL COM BAIXO NÍVEL DE INTERFERÊNCIAS (NÃO INCLUI FORNECIMENTO). AF_03/2024</t>
  </si>
  <si>
    <t>TUBO DE CONCRETO PARA REDES COLETORAS DE ESGOTO SANITÁRIO, DIÂMETRO DE 600 MM, JUNTA ELÁSTICA, INSTALADO EM LOCAL COM BAIXO NÍVEL DE INTERFERÊNCIAS - FORNECIMENTO E ASSENTAMENTO. AF_03/2024</t>
  </si>
  <si>
    <t>ASSENTAMENTO DE TUBO DE CONCRETO PARA REDES COLETORAS DE ESGOTO SANITÁRIO, DIÂMETRO DE 600 MM, JUNTA ELÁSTICA, INSTALADO EM LOCAL COM BAIXO NÍVEL DE INTERFERÊNCIAS (NÃO INCLUI FORNECIMENTO). AF_03/2024</t>
  </si>
  <si>
    <t>TUBO DE CONCRETO PARA REDES COLETORAS DE ESGOTO SANITÁRIO, DIÂMETRO DE 700 MM, JUNTA ELÁSTICA, INSTALADO EM LOCAL COM BAIXO NÍVEL DE INTERFERÊNCIAS - FORNECIMENTO E ASSENTAMENTO. AF_03/2024</t>
  </si>
  <si>
    <t>ASSENTAMENTO DE TUBO DE CONCRETO PARA REDES COLETORAS DE ESGOTO SANITÁRIO, DIÂMETRO DE 700 MM, JUNTA ELÁSTICA, INSTALADO EM LOCAL COM BAIXO NÍVEL DE INTERFERÊNCIAS (NÃO INCLUI FORNECIMENTO). AF_03/2024</t>
  </si>
  <si>
    <t>TUBO DE CONCRETO PARA REDES COLETORAS DE ESGOTO SANITÁRIO, DIÂMETRO DE 800 MM, JUNTA ELÁSTICA, INSTALADO EM LOCAL COM BAIXO NÍVEL DE INTERFERÊNCIAS - FORNECIMENTO E ASSENTAMENTO. AF_03/2024</t>
  </si>
  <si>
    <t>ASSENTAMENTO DE TUBO DE CONCRETO PARA REDES COLETORAS DE ESGOTO SANITÁRIO, DIÂMETRO DE 800 MM, JUNTA ELÁSTICA, INSTALADO EM LOCAL COM BAIXO NÍVEL DE INTERFERÊNCIAS (NÃO INCLUI FORNECIMENTO). AF_03/2024</t>
  </si>
  <si>
    <t>TUBO DE CONCRETO PARA REDES COLETORAS DE ESGOTO SANITÁRIO, DIÂMETRO DE 900 MM, JUNTA ELÁSTICA, INSTALADO EM LOCAL COM BAIXO NÍVEL DE INTERFERÊNCIAS - FORNECIMENTO E ASSENTAMENTO. AF_03/2024</t>
  </si>
  <si>
    <t>ASSENTAMENTO DE TUBO DE CONCRETO PARA REDES COLETORAS DE ESGOTO SANITÁRIO, DIÂMETRO DE 900 MM, JUNTA ELÁSTICA, INSTALADO EM LOCAL COM BAIXO NÍVEL DE INTERFERÊNCIAS (NÃO INCLUI FORNECIMENTO). AF_03/2024</t>
  </si>
  <si>
    <t>TUBO DE CONCRETO PARA REDES COLETORAS DE ESGOTO SANITÁRIO, DIÂMETRO DE 1000 MM, JUNTA ELÁSTICA, INSTALADO EM LOCAL COM BAIXO NÍVEL DE INTERFERÊNCIAS - FORNECIMENTO E ASSENTAMENTO. AF_03/2024</t>
  </si>
  <si>
    <t>ASSENTAMENTO DE TUBO DE CONCRETO PARA REDES COLETORAS DE ESGOTO SANITÁRIO, DIÂMETRO DE 1000 MM, JUNTA ELÁSTICA, INSTALADO EM LOCAL COM BAIXO NÍVEL DE INTERFERÊNCIAS (NÃO INCLUI FORNECIMENTO). AF_03/2024</t>
  </si>
  <si>
    <t>TUBO DE CONCRETO PARA REDES COLETORAS DE ESGOTO SANITÁRIO, DIÂMETRO DE 300 MM, JUNTA ELÁSTICA, INSTALADO EM LOCAL COM ALTO NÍVEL DE INTERFERÊNCIAS - FORNECIMENTO E ASSENTAMENTO. AF_03/2024</t>
  </si>
  <si>
    <t>ASSENTAMENTO DE TUBO DE CONCRETO PARA REDES COLETORAS DE ESGOTO SANITÁRIO, DIÂMETRO DE 300 MM, JUNTA ELÁSTICA, INSTALADO EM LOCAL COM ALTO NÍVEL DE INTERFERÊNCIAS (NÃO INCLUI FORNECIMENTO). AF_03/2024</t>
  </si>
  <si>
    <t>TUBO DE CONCRETO PARA REDES COLETORAS DE ESGOTO SANITÁRIO, DIÂMETRO DE 400 MM, JUNTA ELÁSTICA, INSTALADO EM LOCAL COM ALTO NÍVEL DE INTERFERÊNCIAS - FORNECIMENTO E ASSENTAMENTO. AF_03/2024</t>
  </si>
  <si>
    <t>ASSENTAMENTO DE TUBO DE CONCRETO PARA REDES COLETORAS DE ESGOTO SANITÁRIO, DIÂMETRO DE 400 MM, JUNTA ELÁSTICA, INSTALADO EM LOCAL COM ALTO NÍVEL DE INTERFERÊNCIAS (NÃO INCLUI FORNECIMENTO). AF_03/2024</t>
  </si>
  <si>
    <t>TUBO DE CONCRETO PARA REDES COLETORAS DE ESGOTO SANITÁRIO, DIÂMETRO DE 500 MM, JUNTA ELÁSTICA, INSTALADO EM LOCAL COM ALTO NÍVEL DE INTERFERÊNCIAS - FORNECIMENTO E ASSENTAMENTO. AF_03/2024</t>
  </si>
  <si>
    <t>ASSENTAMENTO DE TUBO DE CONCRETO PARA REDES COLETORAS DE ESGOTO SANITÁRIO, DIÂMETRO DE 500 MM, JUNTA ELÁSTICA, INSTALADO EM LOCAL COM ALTO NÍVEL DE INTERFERÊNCIAS (NÃO INCLUI FORNECIMENTO). AF_03/2024</t>
  </si>
  <si>
    <t>TUBO DE CONCRETO PARA REDES COLETORAS DE ESGOTO SANITÁRIO, DIÂMETRO DE 600 MM, JUNTA ELÁSTICA, INSTALADO EM LOCAL COM ALTO NÍVEL DE INTERFERÊNCIAS - FORNECIMENTO E ASSENTAMENTO. AF_03/2024</t>
  </si>
  <si>
    <t>ASSENTAMENTO DE TUBO DE CONCRETO PARA REDES COLETORAS DE ESGOTO SANITÁRIO, DIÂMETRO DE 600 MM, JUNTA ELÁSTICA, INSTALADO EM LOCAL COM ALTO NÍVEL DE INTERFERÊNCIAS (NÃO INCLUI FORNECIMENTO). AF_03/2024</t>
  </si>
  <si>
    <t>TUBO DE CONCRETO PARA REDES COLETORAS DE ESGOTO SANITÁRIO, DIÂMETRO DE 700 MM, JUNTA ELÁSTICA, INSTALADO EM LOCAL COM ALTO NÍVEL DE INTERFERÊNCIAS - FORNECIMENTO E ASSENTAMENTO. AF_03/2024</t>
  </si>
  <si>
    <t>ASSENTAMENTO DE TUBO DE CONCRETO PARA REDES COLETORAS DE ESGOTO SANITÁRIO, DIÂMETRO DE 700 MM, JUNTA ELÁSTICA, INSTALADO EM LOCAL COM ALTO NÍVEL DE INTERFERÊNCIAS (NÃO INCLUI FORNECIMENTO). AF_03/2024</t>
  </si>
  <si>
    <t>TUBO DE CONCRETO PARA REDES COLETORAS DE ESGOTO SANITÁRIO, DIÂMETRO DE 800 MM, JUNTA ELÁSTICA, INSTALADO EM LOCAL COM ALTO NÍVEL DE INTERFERÊNCIAS - FORNECIMENTO E ASSENTAMENTO. AF_03/2024</t>
  </si>
  <si>
    <t>ASSENTAMENTO DE TUBO DE CONCRETO PARA REDES COLETORAS DE ESGOTO SANITÁRIO, DIÂMETRO DE 800 MM, JUNTA ELÁSTICA, INSTALADO EM LOCAL COM ALTO NÍVEL DE INTERFERÊNCIAS (NÃO INCLUI FORNECIMENTO). AF_03/2024</t>
  </si>
  <si>
    <t>TUBO DE CONCRETO PARA REDES COLETORAS DE ESGOTO SANITÁRIO, DIÂMETRO DE 900 MM, JUNTA ELÁSTICA, INSTALADO EM LOCAL COM ALTO NÍVEL DE INTERFERÊNCIAS - FORNECIMENTO E ASSENTAMENTO. AF_03/2024</t>
  </si>
  <si>
    <t>ASSENTAMENTO DE TUBO DE CONCRETO PARA REDES COLETORAS DE ESGOTO SANITÁRIO, DIÂMETRO DE 900 MM, JUNTA ELÁSTICA, INSTALADO EM LOCAL COM ALTO NÍVEL DE INTERFERÊNCIAS (NÃO INCLUI FORNECIMENTO). AF_03/2024</t>
  </si>
  <si>
    <t>TUBO DE CONCRETO PARA REDES COLETORAS DE ESGOTO SANITÁRIO, DIÂMETRO DE 1000 MM, JUNTA ELÁSTICA, INSTALADO EM LOCAL COM ALTO NÍVEL DE INTERFERÊNCIAS - FORNECIMENTO E ASSENTAMENTO. AF_03/2024</t>
  </si>
  <si>
    <t>ASSENTAMENTO DE TUBO DE CONCRETO PARA REDES COLETORAS DE ESGOTO SANITÁRIO, DIÂMETRO DE 1000 MM, JUNTA ELÁSTICA, INSTALADO EM LOCAL COM ALTO NÍVEL DE INTERFERÊNCIAS (NÃO INCLUI FORNECIMENTO). AF_03/2024</t>
  </si>
  <si>
    <t>TUBO DE CONCRETO PARA REDES COLETORAS DE ÁGUAS PLUVIAIS, DIÂMETRO DE 400 MM, JUNTA RÍGIDA, INSTALADO EM LOCAL COM BAIXO NÍVEL DE INTERFERÊNCIAS - FORNECIMENTO E ASSENTAMENTO. AF_03/2024</t>
  </si>
  <si>
    <t>TUBO DE CONCRETO PARA REDES COLETORAS DE ÁGUAS PLUVIAIS, DIÂMETRO DE 500 MM, JUNTA RÍGIDA, INSTALADO EM LOCAL COM BAIXO NÍVEL DE INTERFERÊNCIAS - FORNECIMENTO E ASSENTAMENTO. AF_03/2024</t>
  </si>
  <si>
    <t>TUBO DE CONCRETO PARA REDES COLETORAS DE ÁGUAS PLUVIAIS, DIÂMETRO DE 600 MM, JUNTA RÍGIDA, INSTALADO EM LOCAL COM BAIXO NÍVEL DE INTERFERÊNCIAS - FORNECIMENTO E ASSENTAMENTO. AF_03/2024</t>
  </si>
  <si>
    <t>TUBO DE CONCRETO PARA REDES COLETORAS DE ÁGUAS PLUVIAIS, DIÂMETRO DE 700 MM, JUNTA RÍGIDA, INSTALADO EM LOCAL COM BAIXO NÍVEL DE INTERFERÊNCIAS - FORNECIMENTO E ASSENTAMENTO. AF_03/2024</t>
  </si>
  <si>
    <t>TUBO DE CONCRETO PARA REDES COLETORAS DE ÁGUAS PLUVIAIS, DIÂMETRO DE 800 MM, JUNTA RÍGIDA, INSTALADO EM LOCAL COM BAIXO NÍVEL DE INTERFERÊNCIAS - FORNECIMENTO E ASSENTAMENTO. AF_03/2024</t>
  </si>
  <si>
    <t>TUBO DE CONCRETO PARA REDES COLETORAS DE ÁGUAS PLUVIAIS, DIÂMETRO DE 900 MM, JUNTA RÍGIDA, INSTALADO EM LOCAL COM BAIXO NÍVEL DE INTERFERÊNCIAS - FORNECIMENTO E ASSENTAMENTO. AF_03/2024</t>
  </si>
  <si>
    <t>TUBO DE CONCRETO PARA REDES COLETORAS DE ÁGUAS PLUVIAIS, DIÂMETRO DE 1000 MM, JUNTA RÍGIDA, INSTALADO EM LOCAL COM BAIXO NÍVEL DE INTERFERÊNCIAS - FORNECIMENTO E ASSENTAMENTO. AF_03/2024</t>
  </si>
  <si>
    <t>TUBO DE CONCRETO PARA REDES COLETORAS DE ÁGUAS PLUVIAIS, DIÂMETRO DE 400 MM, JUNTA RÍGIDA, INSTALADO EM LOCAL COM ALTO NÍVEL DE INTERFERÊNCIAS - FORNECIMENTO E ASSENTAMENTO. AF_03/2024</t>
  </si>
  <si>
    <t>TUBO DE CONCRETO PARA REDES COLETORAS DE ÁGUAS PLUVIAIS, DIÂMETRO DE 500 MM, JUNTA RÍGIDA, INSTALADO EM LOCAL COM ALTO NÍVEL DE INTERFERÊNCIAS - FORNECIMENTO E ASSENTAMENTO. AF_03/2024</t>
  </si>
  <si>
    <t>TUBO DE CONCRETO PARA REDES COLETORAS DE ÁGUAS PLUVIAIS, DIÂMETRO DE 600 MM, JUNTA RÍGIDA, INSTALADO EM LOCAL COM ALTO NÍVEL DE INTERFERÊNCIAS - FORNECIMENTO E ASSENTAMENTO. AF_03/2024</t>
  </si>
  <si>
    <t>TUBO DE CONCRETO PARA REDES COLETORAS DE ÁGUAS PLUVIAIS, DIÂMETRO DE 700 MM, JUNTA RÍGIDA, INSTALADO EM LOCAL COM ALTO NÍVEL DE INTERFERÊNCIAS - FORNECIMENTO E ASSENTAMENTO. AF_03/2024</t>
  </si>
  <si>
    <t>TUBO DE CONCRETO PARA REDES COLETORAS DE ÁGUAS PLUVIAIS, DIÂMETRO DE 800 MM, JUNTA RÍGIDA, INSTALADO EM LOCAL COM ALTO NÍVEL DE INTERFERÊNCIAS - FORNECIMENTO E ASSENTAMENTO. AF_03/2024</t>
  </si>
  <si>
    <t>TUBO DE CONCRETO PARA REDES COLETORAS DE ÁGUAS PLUVIAIS, DIÂMETRO DE 900 MM, JUNTA RÍGIDA, INSTALADO EM LOCAL COM ALTO NÍVEL DE INTERFERÊNCIAS - FORNECIMENTO E ASSENTAMENTO. AF_03/2024</t>
  </si>
  <si>
    <t>TUBO DE CONCRETO PARA REDES COLETORAS DE ÁGUAS PLUVIAIS, DIÂMETRO DE 1000 MM, JUNTA RÍGIDA, INSTALADO EM LOCAL COM ALTO NÍVEL DE INTERFERÊNCIAS - FORNECIMENTO E ASSENTAMENTO. AF_03/2024</t>
  </si>
  <si>
    <t>ASSENTAMENTO DE TUBO DE CONCRETO PARA REDES COLETORAS DE ÁGUAS PLUVIAIS, DIÂMETRO DE 300 MM, JUNTA RÍGIDA, INSTALADO EM LOCAL COM BAIXO NÍVEL DE INTERFERÊNCIAS (NÃO INCLUI FORNECIMENTO). AF_03/2024</t>
  </si>
  <si>
    <t>ASSENTAMENTO DE TUBO DE CONCRETO PARA REDES COLETORAS DE ÁGUAS PLUVIAIS, DIÂMETRO DE 400 MM, JUNTA RÍGIDA, INSTALADO EM LOCAL COM BAIXO NÍVEL DE INTERFERÊNCIAS (NÃO INCLUI FORNECIMENTO). AF_03/2024</t>
  </si>
  <si>
    <t>ASSENTAMENTO DE TUBO DE CONCRETO PARA REDES COLETORAS DE ÁGUAS PLUVIAIS, DIÂMETRO DE 500 MM, JUNTA RÍGIDA, INSTALADO EM LOCAL COM BAIXO NÍVEL DE INTERFERÊNCIAS (NÃO INCLUI FORNECIMENTO). AF_03/2024</t>
  </si>
  <si>
    <t>ASSENTAMENTO DE TUBO DE CONCRETO PARA REDES COLETORAS DE ÁGUAS PLUVIAIS, DIÂMETRO DE 600 MM, JUNTA RÍGIDA, INSTALADO EM LOCAL COM BAIXO NÍVEL DE INTERFERÊNCIAS (NÃO INCLUI FORNECIMENTO). AF_03/2024</t>
  </si>
  <si>
    <t>ASSENTAMENTO DE TUBO DE CONCRETO PARA REDES COLETORAS DE ÁGUAS PLUVIAIS, DIÂMETRO DE 700 MM, JUNTA RÍGIDA, INSTALADO EM LOCAL COM BAIXO NÍVEL DE INTERFERÊNCIAS (NÃO INCLUI FORNECIMENTO). AF_03/2024</t>
  </si>
  <si>
    <t>ASSENTAMENTO DE TUBO DE CONCRETO PARA REDES COLETORAS DE ÁGUAS PLUVIAIS, DIÂMETRO DE 800 MM, JUNTA RÍGIDA, INSTALADO EM LOCAL COM BAIXO NÍVEL DE INTERFERÊNCIAS (NÃO INCLUI FORNECIMENTO). AF_03/2024</t>
  </si>
  <si>
    <t>ASSENTAMENTO DE TUBO DE CONCRETO PARA REDES COLETORAS DE ÁGUAS PLUVIAIS, DIÂMETRO DE 900 MM, JUNTA RÍGIDA, INSTALADO EM LOCAL COM BAIXO NÍVEL DE INTERFERÊNCIAS (NÃO INCLUI FORNECIMENTO). AF_03/2024</t>
  </si>
  <si>
    <t>ASSENTAMENTO DE TUBO DE CONCRETO PARA REDES COLETORAS DE ÁGUAS PLUVIAIS, DIÂMETRO DE 1000 MM, JUNTA RÍGIDA, INSTALADO EM LOCAL COM BAIXO NÍVEL DE INTERFERÊNCIAS (NÃO INCLUI FORNECIMENTO). AF_03/2024</t>
  </si>
  <si>
    <t>TUBO DE CONCRETO PARA REDES COLETORAS DE ÁGUAS PLUVIAIS, DIÂMETRO DE 1200 MM, JUNTA RÍGIDA, INSTALADO EM LOCAL COM BAIXO NÍVEL DE INTERFERÊNCIAS - FORNECIMENTO E ASSENTAMENTO. AF_03/2024</t>
  </si>
  <si>
    <t>ASSENTAMENTO DE TUBO DE CONCRETO PARA REDES COLETORAS DE ÁGUAS PLUVIAIS, DIÂMETRO DE 1200 MM, JUNTA RÍGIDA, INSTALADO EM LOCAL COM BAIXO NÍVEL DE INTERFERÊNCIAS (NÃO INCLUI FORNECIMENTO). AF_03/2024</t>
  </si>
  <si>
    <t>TUBO DE CONCRETO PARA REDES COLETORAS DE ÁGUAS PLUVIAIS, DIÂMETRO DE 1500 MM, JUNTA RÍGIDA, INSTALADO EM LOCAL COM BAIXO NÍVEL DE INTERFERÊNCIAS - FORNECIMENTO E ASSENTAMENTO. AF_03/2024</t>
  </si>
  <si>
    <t>ASSENTAMENTO DE TUBO DE CONCRETO PARA REDES COLETORAS DE ÁGUAS PLUVIAIS, DIÂMETRO DE 1500 MM, JUNTA RÍGIDA, INSTALADO EM LOCAL COM BAIXO NÍVEL DE INTERFERÊNCIAS (NÃO INCLUI FORNECIMENTO). AF_03/2024</t>
  </si>
  <si>
    <t>ASSENTAMENTO DE TUBO DE CONCRETO PARA REDES COLETORAS DE ÁGUAS PLUVIAIS, DIÂMETRO DE 300 MM, JUNTA RÍGIDA, INSTALADO EM LOCAL COM ALTO NÍVEL DE INTERFERÊNCIAS (NÃO INCLUI FORNECIMENTO). AF_03/2024</t>
  </si>
  <si>
    <t>ASSENTAMENTO DE TUBO DE CONCRETO PARA REDES COLETORAS DE ÁGUAS PLUVIAIS, DIÂMETRO DE 400 MM, JUNTA RÍGIDA, INSTALADO EM LOCAL COM ALTO NÍVEL DE INTERFERÊNCIAS (NÃO INCLUI FORNECIMENTO). AF_03/2024</t>
  </si>
  <si>
    <t>ASSENTAMENTO DE TUBO DE CONCRETO PARA REDES COLETORAS DE ÁGUAS PLUVIAIS, DIÂMETRO DE 500 MM, JUNTA RÍGIDA, INSTALADO EM LOCAL COM ALTO NÍVEL DE INTERFERÊNCIAS (NÃO INCLUI FORNECIMENTO). AF_03/2024</t>
  </si>
  <si>
    <t>ASSENTAMENTO DE TUBO DE CONCRETO PARA REDES COLETORAS DE ÁGUAS PLUVIAIS, DIÂMETRO DE 600 MM, JUNTA RÍGIDA, INSTALADO EM LOCAL COM ALTO NÍVEL DE INTERFERÊNCIAS (NÃO INCLUI FORNECIMENTO). AF_03/2024</t>
  </si>
  <si>
    <t>ASSENTAMENTO DE TUBO DE CONCRETO PARA REDES COLETORAS DE ÁGUAS PLUVIAIS, DIÂMETRO DE 700 MM, JUNTA RÍGIDA, INSTALADO EM LOCAL COM ALTO NÍVEL DE INTERFERÊNCIAS (NÃO INCLUI FORNECIMENTO). AF_03/2024</t>
  </si>
  <si>
    <t>ASSENTAMENTO DE TUBO DE CONCRETO PARA REDES COLETORAS DE ÁGUAS PLUVIAIS, DIÂMETRO DE 800 MM, JUNTA RÍGIDA, INSTALADO EM LOCAL COM ALTO NÍVEL DE INTERFERÊNCIAS (NÃO INCLUI FORNECIMENTO). AF_03/2024</t>
  </si>
  <si>
    <t>ASSENTAMENTO DE TUBO DE CONCRETO PARA REDES COLETORAS DE ÁGUAS PLUVIAIS, DIÂMETRO DE 900 MM, JUNTA RÍGIDA, INSTALADO EM LOCAL COM ALTO NÍVEL DE INTERFERÊNCIAS (NÃO INCLUI FORNECIMENTO). AF_03/2024</t>
  </si>
  <si>
    <t>ASSENTAMENTO DE TUBO DE CONCRETO PARA REDES COLETORAS DE ÁGUAS PLUVIAIS, DIÂMETRO DE 1000 MM, JUNTA RÍGIDA, INSTALADO EM LOCAL COM ALTO NÍVEL DE INTERFERÊNCIAS (NÃO INCLUI FORNECIMENTO). AF_03/2024</t>
  </si>
  <si>
    <t>TUBO DE CONCRETO PARA REDES COLETORAS DE ÁGUAS PLUVIAIS, DIÂMETRO DE 1200 MM, JUNTA RÍGIDA, INSTALADO EM LOCAL COM ALTO NÍVEL DE INTERFERÊNCIAS - FORNECIMENTO E ASSENTAMENTO. AF_03/2024</t>
  </si>
  <si>
    <t>ASSENTAMENTO DE TUBO DE CONCRETO PARA REDES COLETORAS DE ÁGUAS PLUVIAIS, DIÂMETRO DE 1200 MM, JUNTA RÍGIDA, INSTALADO EM LOCAL COM ALTO NÍVEL DE INTERFERÊNCIAS (NÃO INCLUI FORNECIMENTO). AF_03/2024</t>
  </si>
  <si>
    <t>TUBO DE CONCRETO PARA REDES COLETORAS DE ÁGUAS PLUVIAIS, DIÂMETRO DE 1500 MM, JUNTA RÍGIDA, INSTALADO EM LOCAL COM ALTO NÍVEL DE INTERFERÊNCIAS - FORNECIMENTO E ASSENTAMENTO. AF_03/2024</t>
  </si>
  <si>
    <t>ASSENTAMENTO DE TUBO DE CONCRETO PARA REDES COLETORAS DE ÁGUAS PLUVIAIS, DIÂMETRO DE 1500 MM, JUNTA RÍGIDA, INSTALADO EM LOCAL COM ALTO NÍVEL DE INTERFERÊNCIAS (NÃO INCLUI FORNECIMENTO). AF_03/2024</t>
  </si>
  <si>
    <t>TUBO DE CONCRETO PARA REDES COLETORAS DE ÁGUAS PLUVIAIS, DIÂMETRO DE 300MM, JUNTA RÍGIDA, INSTALADO EM LOCAL COM BAIXO NÍVEL DE INTERFERÊNCIAS - FORNECIMENTO E ASSENTAMENTO. AF_03/2024</t>
  </si>
  <si>
    <t>TUBO DE CONCRETO PARA REDES COLETORAS DE ÁGUAS PLUVIAIS, DIÂMETRO DE 300MM, JUNTA RÍGIDA, INSTALADO EM LOCAL COM ALTO NÍVEL DE INTERFERÊNCIAS - FORNECIMENTO E ASSENTAMENTO. AF_03/2024</t>
  </si>
  <si>
    <t>TUBO DE CONCRETO (SIMPLES) PARA REDES COLETORAS DE ÁGUAS PLUVIAIS, DIÂMETRO DE 300 MM, JUNTA RÍGIDA, INSTALADO EM LOCAL COM BAIXO NÍVEL DE INTERFERÊNCIAS - FORNECIMENTO E ASSENTAMENTO. AF_03/2024</t>
  </si>
  <si>
    <t>TUBO DE CONCRETO (SIMPLES) PARA REDES COLETORAS DE ÁGUAS PLUVIAIS, DIÂMETRO DE 400 MM, JUNTA RÍGIDA, INSTALADO EM LOCAL COM BAIXO NÍVEL DE INTERFERÊNCIAS - FORNECIMENTO E ASSENTAMENTO. AF_03/2024</t>
  </si>
  <si>
    <t>TUBO DE CONCRETO (SIMPLES) PARA REDES COLETORAS DE ÁGUAS PLUVIAIS, DIÂMETRO DE 500 MM, JUNTA RÍGIDA, INSTALADO EM LOCAL COM BAIXO NÍVEL DE INTERFERÊNCIAS - FORNECIMENTO E ASSENTAMENTO. AF_03/2024</t>
  </si>
  <si>
    <t>TUBO DE CONCRETO (SIMPLES) PARA REDES COLETORAS DE ÁGUAS PLUVIAIS, DIÂMETRO DE 300 MM, JUNTA RÍGIDA, INSTALADO EM LOCAL COM ALTO NÍVEL DE INTERFERÊNCIAS - FORNECIMENTO E ASSENTAMENTO. AF_03/2024</t>
  </si>
  <si>
    <t>TUBO DE CONCRETO (SIMPLES) PARA REDES COLETORAS DE ÁGUAS PLUVIAIS, DIÂMETRO DE 400 MM, JUNTA RÍGIDA, INSTALADO EM LOCAL COM ALTO NÍVEL DE INTERFERÊNCIAS - FORNECIMENTO E ASSENTAMENTO. AF_03/2024</t>
  </si>
  <si>
    <t>TUBO DE CONCRETO (SIMPLES) PARA REDES COLETORAS DE ÁGUAS PLUVIAIS, DIÂMETRO DE 500 MM, JUNTA RÍGIDA, INSTALADO EM LOCAL COM ALTO NÍVEL DE INTERFERÊNCIAS - FORNECIMENTO E ASSENTAMENTO. AF_03/2024</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</si>
  <si>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</si>
  <si>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</si>
  <si>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</si>
  <si>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</si>
  <si>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</si>
  <si>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</si>
  <si>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</si>
  <si>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</si>
  <si>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</si>
  <si>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</si>
  <si>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</si>
  <si>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</si>
  <si>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</si>
  <si>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</si>
  <si>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</si>
  <si>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</si>
  <si>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</si>
  <si>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</si>
  <si>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</si>
  <si>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</si>
  <si>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</si>
  <si>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</si>
  <si>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</si>
  <si>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</si>
  <si>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</si>
  <si>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</si>
  <si>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</si>
  <si>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</si>
  <si>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</si>
  <si>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</si>
  <si>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</si>
  <si>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</si>
  <si>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</si>
  <si>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</si>
  <si>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</si>
  <si>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</si>
  <si>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</si>
  <si>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</si>
  <si>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</si>
  <si>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</si>
  <si>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</si>
  <si>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</si>
  <si>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</si>
  <si>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</si>
  <si>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</si>
  <si>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</si>
  <si>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</si>
  <si>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</si>
  <si>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</si>
  <si>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</si>
  <si>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</si>
  <si>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</si>
  <si>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</si>
  <si>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</si>
  <si>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</si>
  <si>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</si>
  <si>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</si>
  <si>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</si>
  <si>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</si>
  <si>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</si>
  <si>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</si>
  <si>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</si>
  <si>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</si>
  <si>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</si>
  <si>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</si>
  <si>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</si>
  <si>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</si>
  <si>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</si>
  <si>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</si>
  <si>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</si>
  <si>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</si>
  <si>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</si>
  <si>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</si>
  <si>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</si>
  <si>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PAREDE DE MADEIRA COMPENSADA PARA CONSTRUÇÃO TEMPORÁRIA EM CHAPA SIMPLES, EXTERNA, SEM VÃO. AF_03/2024</t>
  </si>
  <si>
    <t>M2</t>
  </si>
  <si>
    <t>PAREDE DE MADEIRA COMPENSADA PARA CONSTRUÇÃO TEMPORÁRIA EM CHAPA SIMPLES, INTERNA, SEM VÃO. AF_03/2024</t>
  </si>
  <si>
    <t>PAREDE DE MADEIRA COMPENSADA PARA CONSTRUÇÃO TEMPORÁRIA EM CHAPA SIMPLES, EXTERNA, COM ÁREA LÍQUIDA MAIOR OU IGUAL A 6 M², COM VÃO. AF_03/2024</t>
  </si>
  <si>
    <t>PAREDE DE MADEIRA COMPENSADA PARA CONSTRUÇÃO TEMPORÁRIA EM CHAPA SIMPLES, EXTERNA, COM ÁREA LÍQUIDA MENOR QUE 6 M², COM VÃO. AF_03/2024</t>
  </si>
  <si>
    <t>PAREDE DE MADEIRA COMPENSADA PARA CONSTRUÇÃO TEMPORÁRIA EM CHAPA SIMPLES, INTERNA, COM ÁREA LÍQUIDA MAIOR OU IGUAL A 6 M², COM VÃO. AF_03/2024</t>
  </si>
  <si>
    <t>PAREDE DE MADEIRA COMPENSADA PARA CONSTRUÇÃO TEMPORÁRIA EM CHAPA SIMPLES, INTERNA, COM ÁREA LÍQUIDA MENOR QUE 6 M², COM VÃO. AF_03/2024</t>
  </si>
  <si>
    <t>PAREDE DE MADEIRA COMPENSADA PARA CONSTRUÇÃO TEMPORÁRIA EM CHAPA DUPLA, EXTERNA, SEM VÃO. AF_03/2024</t>
  </si>
  <si>
    <t>PAREDE DE MADEIRA COMPENSADA PARA CONSTRUÇÃO TEMPORÁRIA EM CHAPA DUPLA, INTERNA, SEM VÃO. AF_03/2024</t>
  </si>
  <si>
    <t>PAREDE DE MADEIRA COMPENSADA PARA CONSTRUÇÃO TEMPORÁRIA EM CHAPA DUPLA, EXTERNA, COM ÁREA LÍQUIDA MAIOR OU IGUAL A QUE 6 M², COM VÃO. AF_03/2024</t>
  </si>
  <si>
    <t>PAREDE DE MADEIRA COMPENSADA PARA CONSTRUÇÃO TEMPORÁRIA EM CHAPA DUPLA, EXTERNA, COM ÁREA LÍQUIDA MENOR QUE 6 M², COM VÃO. AF_03/2024</t>
  </si>
  <si>
    <t>PAREDE DE MADEIRA COMPENSADA PARA CONSTRUÇÃO TEMPORÁRIA EM CHAPA DUPLA, INTERNA, COM ÁREA LÍQUIDA MAIOR OU IGUAL A 6 M², COM VÃO. AF_03/2024</t>
  </si>
  <si>
    <t>PAREDE DE MADEIRA COMPENSADA PARA CONSTRUÇÃO TEMPORÁRIA EM CHAPA DUPLA, INTERNA, COM ÁREA LÍQUIDA MENOR QUE 6 M², COM VÃO. AF_03/2024</t>
  </si>
  <si>
    <t>TAPUME COM COMPENSADO DE MADEIRA. AF_03/2024</t>
  </si>
  <si>
    <t>TAPUME COM TELHA METÁLICA. AF_03/2024</t>
  </si>
  <si>
    <t>PISO PARA CONSTRUÇÃO TEMPORÁRIA EM MADEIRA, SEM REAPROVEITAMENTO. AF_03/2024</t>
  </si>
  <si>
    <t>EXECUÇÃO DOS APOIOS PARA CONTÊINER OU MÓDULO HABITÁVEL. AF_03/2024</t>
  </si>
  <si>
    <t>M3</t>
  </si>
  <si>
    <t>INSTALAÇÃO E DESINSTALAÇÃO MECANIZADA DE CONTÊINER OU MÓDULO HABITÁVEL DE USOS DIVERSOS. AF_03/2024</t>
  </si>
  <si>
    <t>INSTALAÇÃO E DESINSTALAÇÃO MANUAL DE CONTÊINER OU MÓDULO HABITÁVEL PEQUENO. AF_03/2024</t>
  </si>
  <si>
    <t>INSTALAÇÃO DE CONCERTINA SIMPLES, ESPIRAL DE 300 MM. AF_03/2024</t>
  </si>
  <si>
    <t>INSTALAÇÃO DE CONCERTINA DUPLA CLIPADA, ESPIRAL DE 300 MM. AF_03/2024</t>
  </si>
  <si>
    <t>INSTALAÇÃO DE CONCERTINA FLAT, ESPIRAL DE 300 MM. AF_03/2024</t>
  </si>
  <si>
    <t>EXECUÇÃO DE PILARETES PARA TAPUMES E CONSTRUÇÕES TEMPORÁRIAS. AF_03/2024</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</si>
  <si>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</si>
  <si>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</si>
  <si>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</si>
  <si>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</si>
  <si>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</si>
  <si>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</si>
  <si>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</si>
  <si>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</si>
  <si>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</si>
  <si>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</si>
  <si>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</si>
  <si>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</si>
  <si>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</si>
  <si>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</si>
  <si>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</si>
  <si>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</si>
  <si>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</si>
  <si>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</si>
  <si>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</si>
  <si>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</si>
  <si>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</si>
  <si>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</si>
  <si>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</si>
  <si>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</si>
  <si>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</si>
  <si>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</si>
  <si>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</si>
  <si>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</si>
  <si>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</si>
  <si>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</si>
  <si>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</si>
  <si>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</si>
  <si>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</si>
  <si>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AF_05/2023</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</si>
  <si>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</si>
  <si>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</si>
  <si>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</si>
  <si>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</si>
  <si>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</si>
  <si>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</si>
  <si>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</si>
  <si>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GRUPO DE SOLDAGEM COM GERADOR A DIESEL 60 CV PARA SOLDA ELÉTRICA, SOBRE 04 RODAS, COM MOTOR 4 CILINDROS 600 A - CHP DIURNO. AF_02/2016</t>
  </si>
  <si>
    <t>BETONEIRA CAPACIDADE NOMINAL 400 L, CAPACIDADE DE MISTURA 310 L, MOTOR A DIESEL POTÊNCIA 5,0 HP, SEM CARREGADOR - CHP DIURNO. AF_05/2023</t>
  </si>
  <si>
    <t>MISTURADOR DE ARGAMASSA, EIXO HORIZONTAL, CAPACIDADE DE MISTURA 300 KG, MOTOR ELÉTRICO POTÊNCIA 5 CV - CHP DIURNO. AF_05/2023</t>
  </si>
  <si>
    <t>MISTURADOR DE ARGAMASSA, EIXO HORIZONTAL, CAPACIDADE DE MISTURA 600 KG, MOTOR ELÉTRICO POTÊNCIA 7,5 CV - CHP DIURNO. AF_05/2023</t>
  </si>
  <si>
    <t>MISTURADOR DE ARGAMASSA, EIXO HORIZONTAL, CAPACIDADE DE MISTURA 160 KG, MOTOR ELÉTRICO POTÊNCIA 3 CV - CHP DIURNO. AF_05/2023</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</si>
  <si>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</si>
  <si>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</si>
  <si>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AF_05/2023</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</si>
  <si>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</si>
  <si>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</si>
  <si>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</si>
  <si>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AF_05/2023</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</si>
  <si>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</si>
  <si>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</si>
  <si>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AF_05/2023</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</si>
  <si>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</si>
  <si>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</si>
  <si>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</si>
  <si>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</si>
  <si>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</si>
  <si>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AF_05/2023</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</si>
  <si>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</si>
  <si>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</si>
  <si>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</si>
  <si>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</si>
  <si>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</si>
  <si>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</si>
  <si>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</si>
  <si>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</si>
  <si>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</si>
  <si>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</si>
  <si>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</si>
  <si>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AF_05/2023</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</si>
  <si>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</si>
  <si>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</si>
  <si>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AF_05/2023</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</si>
  <si>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</si>
  <si>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</si>
  <si>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</si>
  <si>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</si>
  <si>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</si>
  <si>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</si>
  <si>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</si>
  <si>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</si>
  <si>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</si>
  <si>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</si>
  <si>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</si>
  <si>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</si>
  <si>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</si>
  <si>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</si>
  <si>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AF_05/2023</t>
  </si>
  <si>
    <t>PENEIRA ROTATIVA COM MOTOR ELÉTRICO TRIFÁSICO DE 2 CV, CILINDRO DE 1 M X 0,60 M, COM FUROS DE 3,17 MM - CHP DIURNO. AF_05/2023</t>
  </si>
  <si>
    <t>DOSADOR DE AREIA, CAPACIDADE DE 26 LITROS - CHP DIURNO. AF_05/2023</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</si>
  <si>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</si>
  <si>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</si>
  <si>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</si>
  <si>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AF_05/2023</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</si>
  <si>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</si>
  <si>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</si>
  <si>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</si>
  <si>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</si>
  <si>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AF_05/2023</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</si>
  <si>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</si>
  <si>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</si>
  <si>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</si>
  <si>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</si>
  <si>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</si>
  <si>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</si>
  <si>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AF_05/2023</t>
  </si>
  <si>
    <t>USINA DE ASFALTO À FRIO, CAPACIDADE DE 40 A 60 TON/HORA, ELÉTRICA POTÊNCIA 30 CV - CHP DIURNO. AF_05/2023</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</si>
  <si>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</si>
  <si>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</si>
  <si>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</si>
  <si>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</si>
  <si>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AF_05/2023</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</si>
  <si>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</si>
  <si>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</si>
  <si>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</si>
  <si>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AF_05/2023</t>
  </si>
  <si>
    <t>DESEMPENADEIRA DE CONCRETO, PESO DE 78 KG, 4 PÁS, MOTOR A GASOLINA, POTÊNCIA 5,5 HP - CHP DIURNO. AF_05/2023</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</si>
  <si>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</si>
  <si>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</si>
  <si>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</si>
  <si>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</si>
  <si>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</si>
  <si>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</si>
  <si>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</si>
  <si>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</si>
  <si>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</si>
  <si>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</si>
  <si>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</si>
  <si>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</si>
  <si>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</si>
  <si>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AF_05/2023</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</si>
  <si>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</si>
  <si>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</si>
  <si>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</si>
  <si>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TERMOFUSORA PARA TUBOS E CONEXÕES EM PPR COM DIÂMETROS DE 20 A 63 MM, POTÊNCIA DE 800 W, TENSAO 220 V - CHP DIURNO. AF_05/2022</t>
  </si>
  <si>
    <t>TERMOFUSORA PARA TUBOS E CONEXÕES EM PPR COM DIÂMETROS DE 75 A 110 MM, POTÊNCIA DE *1100* W, TENSÃO 220 V - CHP DIURNO. AF_05/2022</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</si>
  <si>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</si>
  <si>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</si>
  <si>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</si>
  <si>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</si>
  <si>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</si>
  <si>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</si>
  <si>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</si>
  <si>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</si>
  <si>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</si>
  <si>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</si>
  <si>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</si>
  <si>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</si>
  <si>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</si>
  <si>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</si>
  <si>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</si>
  <si>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</si>
  <si>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</si>
  <si>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</si>
  <si>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</si>
  <si>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</si>
  <si>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</si>
  <si>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</si>
  <si>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</si>
  <si>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</si>
  <si>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</si>
  <si>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</si>
  <si>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</si>
  <si>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</si>
  <si>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</si>
  <si>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</si>
  <si>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</si>
  <si>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</si>
  <si>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</si>
  <si>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</si>
  <si>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AF_05/2023</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</si>
  <si>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</si>
  <si>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</si>
  <si>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</si>
  <si>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</si>
  <si>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</si>
  <si>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BETONEIRA CAPACIDADE NOMINAL 400 L, CAPACIDADE DE MISTURA 310 L, MOTOR A DIESEL POTÊNCIA 5,0 HP, SEM CARREGADOR - CHI DIURNO. AF_05/2023</t>
  </si>
  <si>
    <t>MISTURADOR DE ARGAMASSA, EIXO HORIZONTAL, CAPACIDADE DE MISTURA 300 KG, MOTOR ELÉTRICO POTÊNCIA 5 CV - CHI DIURNO. AF_05/2023</t>
  </si>
  <si>
    <t>MISTURADOR DE ARGAMASSA, EIXO HORIZONTAL, CAPACIDADE DE MISTURA 600 KG, MOTOR ELÉTRICO POTÊNCIA 7,5 CV - CHI DIURNO. AF_05/2023</t>
  </si>
  <si>
    <t>MISTURADOR DE ARGAMASSA, EIXO HORIZONTAL, CAPACIDADE DE MISTURA 160 KG, MOTOR ELÉTRICO POTÊNCIA 3 CV - CHI DIURNO. AF_05/2023</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</si>
  <si>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</si>
  <si>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</si>
  <si>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AF_05/2023</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</si>
  <si>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</si>
  <si>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</si>
  <si>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</si>
  <si>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AF_05/2023</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</si>
  <si>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</si>
  <si>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</si>
  <si>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</si>
  <si>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AF_05/2023</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</si>
  <si>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</si>
  <si>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</si>
  <si>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</si>
  <si>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</si>
  <si>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</si>
  <si>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AF_05/2023</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</si>
  <si>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</si>
  <si>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</si>
  <si>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</si>
  <si>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</si>
  <si>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</si>
  <si>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</si>
  <si>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</si>
  <si>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</si>
  <si>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</si>
  <si>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</si>
  <si>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AF_05/2023</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</si>
  <si>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</si>
  <si>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</si>
  <si>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AF_05/2023</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</si>
  <si>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</si>
  <si>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</si>
  <si>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</si>
  <si>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</si>
  <si>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</si>
  <si>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</si>
  <si>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</si>
  <si>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</si>
  <si>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</si>
  <si>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</si>
  <si>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</si>
  <si>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</si>
  <si>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</si>
  <si>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</si>
  <si>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</si>
  <si>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AF_05/2023</t>
  </si>
  <si>
    <t>PENEIRA ROTATIVA COM MOTOR ELÉTRICO TRIFÁSICO DE 2 CV, CILINDRO DE 1 M X 0,60 M, COM FUROS DE 3,17 MM - CHI DIURNO. AF_05/2023</t>
  </si>
  <si>
    <t>DOSADOR DE AREIA, CAPACIDADE DE 26 LITROS - CHI DIURNO. AF_05/2023</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</si>
  <si>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</si>
  <si>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</si>
  <si>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</si>
  <si>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AF_05/2023</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</si>
  <si>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</si>
  <si>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</si>
  <si>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</si>
  <si>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</si>
  <si>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</si>
  <si>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AF_05/2023</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</si>
  <si>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</si>
  <si>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</si>
  <si>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</si>
  <si>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</si>
  <si>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</si>
  <si>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</si>
  <si>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AF_05/2023</t>
  </si>
  <si>
    <t>USINA DE ASFALTO À FRIO, CAPACIDADE DE 40 A 60 TON/HORA, ELÉTRICA POTÊNCIA 30 CV - CHI DIURNO. AF_05/2023</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</si>
  <si>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</si>
  <si>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</si>
  <si>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</si>
  <si>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AF_05/2023</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</si>
  <si>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</si>
  <si>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</si>
  <si>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</si>
  <si>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AF_05/2023</t>
  </si>
  <si>
    <t>DESEMPENADEIRA DE CONCRETO, PESO DE 78 KG, 4 PÁS, MOTOR A GASOLINA, POTÊNCIA 5,5 HP - CHI DIURNO. AF_05/2023</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</si>
  <si>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</si>
  <si>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</si>
  <si>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</si>
  <si>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</si>
  <si>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</si>
  <si>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</si>
  <si>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</si>
  <si>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</si>
  <si>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</si>
  <si>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</si>
  <si>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</si>
  <si>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</si>
  <si>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</si>
  <si>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</si>
  <si>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AF_05/2023</t>
  </si>
  <si>
    <t>USINA DE MISTURA ASFÁLTICA À QUENTE, TIPO CONTRA FLUXO, PROD 100 A 140 TON/HORA - CHI DIURNO. AF_12/2019</t>
  </si>
  <si>
    <t>USINA DE ASFALTO, TIPO GRAVIMÉTRICA, PROD 150 TON/HORA - CHI DIURNO. AF_12/2019</t>
  </si>
  <si>
    <t>TERMOFUSORA PARA TUBOS E CONEXÕES EM PPR COM DIÂMETROS DE 20 A 63 MM, POTÊNCIA DE 800 W, TENSAO 220 V - CHI DIURNO. AF_05/2022</t>
  </si>
  <si>
    <t>TERMOFUSORA PARA TUBOS E CONEXÕES EM PPR COM DIÂMETROS DE 75 A 110 MM, POTÊNCIA DE *1100* W, TENSÃO 220 V - CHI DIURNO. AF_05/2022</t>
  </si>
  <si>
    <t>ROLO COMPACTADOR VIBRATÓRIO PÉ DE CARNEIRO PARA SOLOS, POTÊNCIA 80 HP, PESO OPERACIONAL SEM/COM LASTRO 7,4 / 8,8 T, LARGURA DE TRABALHO 1,68 M - MANUTENÇÃO. AF_02/2016</t>
  </si>
  <si>
    <t>H</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</si>
  <si>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</si>
  <si>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</si>
  <si>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</si>
  <si>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</si>
  <si>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</si>
  <si>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</si>
  <si>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</si>
  <si>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</si>
  <si>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</si>
  <si>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</si>
  <si>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</si>
  <si>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</si>
  <si>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</si>
  <si>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</si>
  <si>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</si>
  <si>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</si>
  <si>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</si>
  <si>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</si>
  <si>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</si>
  <si>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</si>
  <si>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</si>
  <si>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</si>
  <si>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</si>
  <si>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</si>
  <si>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</si>
  <si>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</si>
  <si>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</si>
  <si>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</si>
  <si>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</si>
  <si>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</si>
  <si>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</si>
  <si>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</si>
  <si>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</si>
  <si>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</si>
  <si>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</si>
  <si>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</si>
  <si>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</si>
  <si>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</si>
  <si>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</si>
  <si>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</si>
  <si>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</si>
  <si>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</si>
  <si>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</si>
  <si>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</si>
  <si>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</si>
  <si>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</si>
  <si>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</si>
  <si>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</si>
  <si>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</si>
  <si>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</si>
  <si>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</si>
  <si>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</si>
  <si>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</si>
  <si>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</si>
  <si>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</si>
  <si>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</si>
  <si>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</si>
  <si>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</si>
  <si>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</si>
  <si>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</si>
  <si>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</si>
  <si>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</si>
  <si>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</si>
  <si>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</si>
  <si>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</si>
  <si>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</si>
  <si>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</si>
  <si>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</si>
  <si>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</si>
  <si>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</si>
  <si>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</si>
  <si>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</si>
  <si>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</si>
  <si>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</si>
  <si>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</si>
  <si>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</si>
  <si>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</si>
  <si>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</si>
  <si>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</si>
  <si>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</si>
  <si>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</si>
  <si>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</si>
  <si>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</si>
  <si>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</si>
  <si>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</si>
  <si>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</si>
  <si>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</si>
  <si>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</si>
  <si>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</si>
  <si>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</si>
  <si>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</si>
  <si>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</si>
  <si>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</si>
  <si>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</si>
  <si>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</si>
  <si>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</si>
  <si>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</si>
  <si>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</si>
  <si>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</si>
  <si>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</si>
  <si>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</si>
  <si>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</si>
  <si>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</si>
  <si>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</si>
  <si>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</si>
  <si>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</si>
  <si>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</si>
  <si>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</si>
  <si>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</si>
  <si>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</si>
  <si>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</si>
  <si>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</si>
  <si>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</si>
  <si>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</si>
  <si>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</si>
  <si>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</si>
  <si>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</si>
  <si>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</si>
  <si>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</si>
  <si>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</si>
  <si>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</si>
  <si>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</si>
  <si>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</si>
  <si>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</si>
  <si>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</si>
  <si>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</si>
  <si>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</si>
  <si>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</si>
  <si>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</si>
  <si>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</si>
  <si>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</si>
  <si>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</si>
  <si>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</si>
  <si>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</si>
  <si>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</si>
  <si>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</si>
  <si>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</si>
  <si>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</si>
  <si>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</si>
  <si>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</si>
  <si>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</si>
  <si>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</si>
  <si>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</si>
  <si>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</si>
  <si>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</si>
  <si>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</si>
  <si>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</si>
  <si>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</si>
  <si>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</si>
  <si>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</si>
  <si>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</si>
  <si>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</si>
  <si>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</si>
  <si>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</si>
  <si>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</si>
  <si>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</si>
  <si>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</si>
  <si>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</si>
  <si>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</si>
  <si>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</si>
  <si>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</si>
  <si>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</si>
  <si>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</si>
  <si>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</si>
  <si>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</si>
  <si>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</si>
  <si>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</si>
  <si>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</si>
  <si>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</si>
  <si>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</si>
  <si>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</si>
  <si>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</si>
  <si>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</si>
  <si>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</si>
  <si>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</si>
  <si>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</si>
  <si>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</si>
  <si>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</si>
  <si>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</si>
  <si>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</si>
  <si>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</si>
  <si>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</si>
  <si>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</si>
  <si>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</si>
  <si>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</si>
  <si>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</si>
  <si>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</si>
  <si>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</si>
  <si>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</si>
  <si>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</si>
  <si>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</si>
  <si>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</si>
  <si>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</si>
  <si>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</si>
  <si>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</si>
  <si>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</si>
  <si>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</si>
  <si>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</si>
  <si>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</si>
  <si>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</si>
  <si>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</si>
  <si>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</si>
  <si>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</si>
  <si>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</si>
  <si>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</si>
  <si>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</si>
  <si>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</si>
  <si>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</si>
  <si>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</si>
  <si>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</si>
  <si>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</si>
  <si>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</si>
  <si>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</si>
  <si>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</si>
  <si>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</si>
  <si>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</si>
  <si>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</si>
  <si>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</si>
  <si>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</si>
  <si>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</si>
  <si>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</si>
  <si>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</si>
  <si>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</si>
  <si>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</si>
  <si>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</si>
  <si>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</si>
  <si>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</si>
  <si>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</si>
  <si>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</si>
  <si>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</si>
  <si>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</si>
  <si>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</si>
  <si>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</si>
  <si>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</si>
  <si>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</si>
  <si>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</si>
  <si>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</si>
  <si>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</si>
  <si>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</si>
  <si>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</si>
  <si>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</si>
  <si>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</si>
  <si>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</si>
  <si>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</si>
  <si>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</si>
  <si>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</si>
  <si>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</si>
  <si>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</si>
  <si>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</si>
  <si>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</si>
  <si>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</si>
  <si>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</si>
  <si>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</si>
  <si>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</si>
  <si>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</si>
  <si>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</si>
  <si>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</si>
  <si>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</si>
  <si>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</si>
  <si>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</si>
  <si>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</si>
  <si>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</si>
  <si>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</si>
  <si>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</si>
  <si>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</si>
  <si>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</si>
  <si>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</si>
  <si>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</si>
  <si>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</si>
  <si>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</si>
  <si>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</si>
  <si>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</si>
  <si>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</si>
  <si>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</si>
  <si>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</si>
  <si>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</si>
  <si>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</si>
  <si>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</si>
  <si>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</si>
  <si>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</si>
  <si>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</si>
  <si>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</si>
  <si>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</si>
  <si>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</si>
  <si>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</si>
  <si>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</si>
  <si>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</si>
  <si>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</si>
  <si>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</si>
  <si>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</si>
  <si>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</si>
  <si>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</si>
  <si>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</si>
  <si>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</si>
  <si>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</si>
  <si>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</si>
  <si>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</si>
  <si>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</si>
  <si>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</si>
  <si>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</si>
  <si>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</si>
  <si>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</si>
  <si>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</si>
  <si>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</si>
  <si>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</si>
  <si>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</si>
  <si>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</si>
  <si>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</si>
  <si>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</si>
  <si>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</si>
  <si>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</si>
  <si>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</si>
  <si>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</si>
  <si>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</si>
  <si>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</si>
  <si>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</si>
  <si>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</si>
  <si>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</si>
  <si>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</si>
  <si>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</si>
  <si>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</si>
  <si>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</si>
  <si>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</si>
  <si>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</si>
  <si>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</si>
  <si>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</si>
  <si>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</si>
  <si>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</si>
  <si>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</si>
  <si>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</si>
  <si>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</si>
  <si>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</si>
  <si>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</si>
  <si>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</si>
  <si>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</si>
  <si>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</si>
  <si>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</si>
  <si>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</si>
  <si>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</si>
  <si>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</si>
  <si>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</si>
  <si>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</si>
  <si>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</si>
  <si>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</si>
  <si>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</si>
  <si>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</si>
  <si>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</si>
  <si>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</si>
  <si>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</si>
  <si>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</si>
  <si>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</si>
  <si>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</si>
  <si>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</si>
  <si>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</si>
  <si>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</si>
  <si>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</si>
  <si>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</si>
  <si>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</si>
  <si>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</si>
  <si>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</si>
  <si>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</si>
  <si>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</si>
  <si>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</si>
  <si>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</si>
  <si>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</si>
  <si>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</si>
  <si>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</si>
  <si>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PARA EQUIPAMENTO DE LIMPEZA A SUCÇÃO COM CAMINHÃO TRUCADO DE PESO BRUTO TOTAL 23000 KG, CARGA ÚTIL MÁX. 15935 KG, DISTÂNCIA ENTRE EIXOS 4,80 M, POTÊNCIA 230 CV, INCLUSIVE LIMPADORA A SUCÇÃO, TANQUE 12000 L - MATERIAIS NA OPERAÇÃO.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</si>
  <si>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</si>
  <si>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</si>
  <si>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</si>
  <si>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</si>
  <si>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DOSADOR DE AREIA, CAPACIDADE DE 26 LITROS - DEPRECIAÇÃO. AF_05/2023</t>
  </si>
  <si>
    <t>DOSADOR DE AREIA, CAPACIDADE DE 26 LITROS - JUROS. AF_05/2023</t>
  </si>
  <si>
    <t>DOSADOR DE AREIA, CAPACIDADE DE 26 LITROS - MANUTENÇÃO. AF_05/2023</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</si>
  <si>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</si>
  <si>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</si>
  <si>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</si>
  <si>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</si>
  <si>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</si>
  <si>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</si>
  <si>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</si>
  <si>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</si>
  <si>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</si>
  <si>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</si>
  <si>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</si>
  <si>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</si>
  <si>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</si>
  <si>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</si>
  <si>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</si>
  <si>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</si>
  <si>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</si>
  <si>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</si>
  <si>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</si>
  <si>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</si>
  <si>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</si>
  <si>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</si>
  <si>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</si>
  <si>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</si>
  <si>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</si>
  <si>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</si>
  <si>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</si>
  <si>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</si>
  <si>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</si>
  <si>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</si>
  <si>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</si>
  <si>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</si>
  <si>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</si>
  <si>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</si>
  <si>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</si>
  <si>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</si>
  <si>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</si>
  <si>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</si>
  <si>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</si>
  <si>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</si>
  <si>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</si>
  <si>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</si>
  <si>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</si>
  <si>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</si>
  <si>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</si>
  <si>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</si>
  <si>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</si>
  <si>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</si>
  <si>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</si>
  <si>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</si>
  <si>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</si>
  <si>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</si>
  <si>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</si>
  <si>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</si>
  <si>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</si>
  <si>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</si>
  <si>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</si>
  <si>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</si>
  <si>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</si>
  <si>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</si>
  <si>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</si>
  <si>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</si>
  <si>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</si>
  <si>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</si>
  <si>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</si>
  <si>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</si>
  <si>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</si>
  <si>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</si>
  <si>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</si>
  <si>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</si>
  <si>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</si>
  <si>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</si>
  <si>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</si>
  <si>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</si>
  <si>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</si>
  <si>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</si>
  <si>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</si>
  <si>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</si>
  <si>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</si>
  <si>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</si>
  <si>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</si>
  <si>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</si>
  <si>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</si>
  <si>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</si>
  <si>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</si>
  <si>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</si>
  <si>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</si>
  <si>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</si>
  <si>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</si>
  <si>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</si>
  <si>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PULVERIZADOR DE TINTA ELÉTRICO/MÁQUINA DE PINTURA AIRLESS, VAZÃO 2 L/MIN - MATERIAIS NA OPERAÇÃO. AF_05/2023</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</si>
  <si>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</si>
  <si>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</si>
  <si>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</si>
  <si>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</si>
  <si>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</si>
  <si>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</si>
  <si>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</si>
  <si>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</si>
  <si>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</si>
  <si>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</si>
  <si>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</si>
  <si>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</si>
  <si>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</si>
  <si>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</si>
  <si>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</si>
  <si>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</si>
  <si>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</si>
  <si>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</si>
  <si>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</si>
  <si>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</si>
  <si>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</si>
  <si>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</si>
  <si>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</si>
  <si>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</si>
  <si>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</si>
  <si>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</si>
  <si>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</si>
  <si>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</si>
  <si>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</si>
  <si>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</si>
  <si>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</si>
  <si>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</si>
  <si>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</si>
  <si>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</si>
  <si>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</si>
  <si>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</si>
  <si>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</si>
  <si>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</si>
  <si>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</si>
  <si>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</si>
  <si>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</si>
  <si>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</si>
  <si>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</si>
  <si>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</si>
  <si>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</si>
  <si>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</si>
  <si>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</si>
  <si>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</si>
  <si>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</si>
  <si>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</si>
  <si>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</si>
  <si>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</si>
  <si>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</si>
  <si>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</si>
  <si>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</si>
  <si>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</si>
  <si>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</si>
  <si>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</si>
  <si>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</si>
  <si>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</si>
  <si>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</si>
  <si>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</si>
  <si>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</si>
  <si>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</si>
  <si>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</si>
  <si>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</si>
  <si>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PERFURATRIZ ROTATIVA SOBRE ESTEIRA, TORQUE MAXIMO 2500 KGM, POTENCIA 110 HP, MOTOR DIESEL - MATERIAIS NA OPERAÇÃO. AF_05/2017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</si>
  <si>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</si>
  <si>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</si>
  <si>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</si>
  <si>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</si>
  <si>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</si>
  <si>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</si>
  <si>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</si>
  <si>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</si>
  <si>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</si>
  <si>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</si>
  <si>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</si>
  <si>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</si>
  <si>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</si>
  <si>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</si>
  <si>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</si>
  <si>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</si>
  <si>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</si>
  <si>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</si>
  <si>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</si>
  <si>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</si>
  <si>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CALDEIRA A GÁS COM TERMOSTATO, CAPACIDADE 100 LITROS - MATERIAIS NA OPERAÇÃO. AF_05/2023</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</si>
  <si>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</si>
  <si>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AF_05/2023</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</si>
  <si>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</si>
  <si>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</si>
  <si>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</si>
  <si>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AF_05/2023</t>
  </si>
  <si>
    <t>MÁQUINA SOLDA ARCO COM PISTOLA DE SOLDAGEM PARA STUD BOLT DE 5 MM A 22 MM - MATERIAIS NA OPERAÇÃO. AF_05/2023</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</si>
  <si>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</si>
  <si>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</si>
  <si>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</si>
  <si>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ESCAVADEIRA HIDRÁULICA SOBRE ESTEIRA, PESO OPERACIONAL ENTRE 22,00 E 23,50 T, POTÊNCIA NOMINAL 139 HP, COM MARTELO ROMPEDOR HIDRÁULICO 1700 KG - MATERIAIS NA OPERAÇÃO. AF_04/2019</t>
  </si>
  <si>
    <t>UNIDADE DOSADORA AIRLESS TIPO HOT SPRAY - MATERIAIS NA OPERAÇÃO. AF_05/2023</t>
  </si>
  <si>
    <t>ENCERADEIRA INDUSTRIAL, 400 MM, 220V, 1 HP - MATERIAIS NA OPERAÇÃO. AF_05/2023</t>
  </si>
  <si>
    <t>SERRA FITA HORIZONTAL, ELÉTRICA, COM CONTROLE HIDRÁULICO, PAINEL DE COMANDO EM 24 V, MOTOR ELÉTRICO 1,5 CV, DIMENSÕES DA FITA 3880 X 27 X 0,9 MM, TRIFÁSICA - MATERIAIS NA OPERAÇÃO. AF_05/2023</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</si>
  <si>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</si>
  <si>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AF_05/2023</t>
  </si>
  <si>
    <t>TARTARUGA DE OXICORTE CG1, MONOFÁSICA, 220 V, FREQUÊNCIA 50 HZ, VELOCIDADE DE CORTE (MM/MIN) 50 A 750, DIÂMETRO MÍNIMO DO COMPASSO MM 200 - MATERIAIS NA OPERAÇÃO. AF_05/2023</t>
  </si>
  <si>
    <t>BETONEIRA CAPACIDADE NOMINAL DE 250 L, CAPACIDADE DE MISTURA DE 175 L, MOTOR ELÉTRICO MONOFÁSICO POTÊNCIA 1CV - MATERIAIS NA OPERAÇÃO. AF_05/2023</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</si>
  <si>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</si>
  <si>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AF_05/2023</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</si>
  <si>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</si>
  <si>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AF_05/2023</t>
  </si>
  <si>
    <t>MÁQUINA PARA SOLDA POR ELETROFUSÃO PARA TUBOS DE POLIETILENO DE ALTA DENSIDADE (PEAD) COM DIÂMETRO EXTERNO DE 20 A 1600 MM, POTÊNCIA DE 3500 W - MATERIAIS NA OPERAÇÃO. AF_05/2023</t>
  </si>
  <si>
    <t>MÁQUINA PARA SOLDA POR TERMOFUSÃO PARA TUBOS DE POLIETILENO DE ALTA DENSIDADE (PEAD) COM DIÂMETRO EXTERNO DE 90 A 315 MM, POTÊNCIA ENTRE 2500 E 5350 W - MATERIAIS NA OPERAÇÃO.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</si>
  <si>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</si>
  <si>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MATERIAIS NA OPERAÇÃO. AF_05/2023</t>
  </si>
  <si>
    <t>PERFURATRIZ PARA FURO DIRECIONAL HORIZONTAL (HDD) COM CAPACIDADE ATÉ 89 KN, POTÊNCIA 24,8 HP A 80 HP (INCLUSO FERRAMENTAS E LOCALIZADOR) - MATERIAIS NA OPERAÇÃO. AF_05/2023</t>
  </si>
  <si>
    <t>PERFURATRIZ PARA FURO DIRECIONAL HORIZONTAL (HDD) COM CAPACIDADE DE 90 KN A 200 KN, POTÊNCIA 100 HP A 160 HP (INCLUSO FERRAMENTAS E LOCALIZADOR) - MATERIAIS NA OPERAÇÃO. AF_05/2023</t>
  </si>
  <si>
    <t>PERFURATRIZ PARA FURO DIRECIONAL HORIZONTAL (HDD) COM CAPACIDADE DE 201 KN A 560 KN, POTÊNCIA 200 HP A 260 HP (INCLUSO FERRAMENTAS E LOCALIZADOR) - MATERIAIS NA OPERAÇÃO. AF_05/2023</t>
  </si>
  <si>
    <t>MISTURADOR PARA PREPARO DE LAMA ESTABILIZANTE COM CAPACIDADE DE *4000* L, COM BOMBA CENTRÍFUGA 5,5 HP A 23,07 HP, PARA SISTEMA DE FURO DIRECIONAL - MATERIAIS NA OPERAÇÃO. AF_05/2023</t>
  </si>
  <si>
    <t>VARREDEIRA DE GRAMA SINTÉTICA A GASOLINA, 2,4 CV, 4 TEMPOS - MATERIAIS NA OPERAÇÃO. AF_05/2023</t>
  </si>
  <si>
    <t>BATE ESTACA PARA INSTALAÇÃO DE DEFENSAS METÁLICAS (GUARD RAIL) FIXO, INCLUSIVE CAMINHÃO TOCO PBT 9.700 KG, POTÊNCIA DE 160 CV - MATERIAIS NA OPERAÇÃO. AF_05/2023</t>
  </si>
  <si>
    <t>MINI GUINDASTE ARANHA SOBRE ESTEIRAS E LANCA TELESCÓPICA, CAPACIDADE MÁXIMA DE CARGA 3,0 TON, RAIO MÁXIMO DE TRABALHO 8,25 M, ALTURA DE LANÇA DO SOLO 9,2 M, 55 M DE CABO DE AÇO 8 MM, MOTOR ELÉTRICO 220/380 VOLTS - MATERIAIS NA OPERAÇÃO. AF_03/2022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</si>
  <si>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</si>
  <si>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</si>
  <si>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</si>
  <si>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</si>
  <si>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</si>
  <si>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</si>
  <si>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</si>
  <si>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</si>
  <si>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LIXADEIRA DE PAREDE, COM LED, POTÊNCIA 750 W, FREQUÊNCIA 60 HZ, VELOCIDADE 1000 A 2100 RPM, DIÂMETRO DA LIXA 225 MM - MATERIAIS NA OPERAÇÃO. AF_12/2022</t>
  </si>
  <si>
    <t>MARTELETE PERFURADOR/ ROMPEDOR ELÉTRICO, POTÊNCIA 800 W, 220 V - MATERIAIS NA OPERAÇÃO. AF_05/2023</t>
  </si>
  <si>
    <t>GRUPO GERADOR DIESEL, COM CARENAGEM, POTÊNCIA STANDART ENTRE 400 E 460 KVA, VELOCIDADE DE 1800 RPM, FREQUÊNCIA DE 60 HZ - MATERIAIS NA OPERAÇÃO. AF_05/2023</t>
  </si>
  <si>
    <t>PERFURATRIZ DE COROA DIAMANTADA PARA CONCRETO, DIÂMETRO ATÉ 250 MM, MOTOR ELÉTRICO 220 V, POTÊNCIA 2.500 W - MATERIAIS NA OPERAÇÃO. AF_05/2023</t>
  </si>
  <si>
    <t>CAMINHÃO TANQUE PARA HIDROSSEMEADURA, COM CAPACIDADE DE 8.000 LITROS, INCLUINDO BOMBA PARA LANÇAMENTO COM MOTOR DIESEL COM POTÊNCIA DE 105 CV - MATERIAIS NA OPERAÇÃO. AF_06/2023</t>
  </si>
  <si>
    <t>GUINDASTE HIDRÁULICO AUTOPROPELIDO, COM LANÇA TRELICADA 41 M, CAPACIDADE MÁXIMA DE ELEVAÇÃO 43 T, POTÊNCIA 230 KW, EQUIPADO COM CAÇAMBA DE ARRASTO (DRAGLINE) DE 0,76 M3 - MATERIAIS NA OPERAÇÃO. AF_06/2023</t>
  </si>
  <si>
    <t>GUINDASTE HIDRÁULICO RODOVIÁRIO, LANCA TELESCÓPICA DE *50+20* M, CAPACIDADE MÁXIMA DE 90T, 4 EIXOS, POTÊNCIA 330 KW, MOTOR DIESEL - MATERIAIS NA OPERAÇÃO. AF_01/2024</t>
  </si>
  <si>
    <t>GUINDASTE DERRICK, LANÇA DE *20* M, CARGA MÁXIMA 10T, POTÊNCIA 45 KW - MATERIAIS NA OPERAÇÃO. AF_01/2024</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</si>
  <si>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</si>
  <si>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</si>
  <si>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</si>
  <si>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</si>
  <si>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</si>
  <si>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</si>
  <si>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</si>
  <si>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</si>
  <si>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</si>
  <si>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</si>
  <si>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</si>
  <si>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</si>
  <si>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</si>
  <si>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</si>
  <si>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</si>
  <si>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</si>
  <si>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</si>
  <si>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</si>
  <si>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</si>
  <si>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</si>
  <si>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</si>
  <si>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</si>
  <si>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</si>
  <si>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</si>
  <si>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</si>
  <si>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</si>
  <si>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</si>
  <si>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</si>
  <si>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</si>
  <si>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</si>
  <si>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</si>
  <si>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</si>
  <si>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</si>
  <si>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</si>
  <si>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</si>
  <si>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</si>
  <si>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</si>
  <si>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</si>
  <si>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</si>
  <si>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</si>
  <si>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</si>
  <si>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</si>
  <si>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</si>
  <si>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</si>
  <si>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</si>
  <si>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</si>
  <si>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</si>
  <si>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</si>
  <si>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</si>
  <si>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</si>
  <si>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</si>
  <si>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</si>
  <si>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</si>
  <si>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</si>
  <si>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</si>
  <si>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</si>
  <si>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</si>
  <si>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</si>
  <si>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</si>
  <si>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</si>
  <si>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</si>
  <si>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</si>
  <si>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</si>
  <si>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</si>
  <si>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</si>
  <si>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8 MM, COM ATÉ 2 ÁGUAS, INCLUSO IÇAMENTO. AF_07/2019_PS</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</si>
  <si>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</si>
  <si>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</si>
  <si>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</si>
  <si>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</si>
  <si>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</si>
  <si>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</si>
  <si>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</si>
  <si>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</si>
  <si>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</si>
  <si>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</si>
  <si>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</si>
  <si>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</si>
  <si>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</si>
  <si>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</si>
  <si>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</si>
  <si>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</si>
  <si>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</si>
  <si>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</si>
  <si>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</si>
  <si>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</si>
  <si>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</si>
  <si>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</si>
  <si>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</si>
  <si>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</si>
  <si>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</si>
  <si>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</si>
  <si>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</si>
  <si>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</si>
  <si>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</si>
  <si>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</si>
  <si>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</si>
  <si>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</si>
  <si>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</si>
  <si>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</si>
  <si>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</si>
  <si>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</si>
  <si>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</si>
  <si>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</si>
  <si>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</si>
  <si>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</si>
  <si>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</si>
  <si>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</si>
  <si>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</si>
  <si>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</si>
  <si>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</si>
  <si>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</si>
  <si>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</si>
  <si>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</si>
  <si>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</si>
  <si>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</si>
  <si>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</si>
  <si>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</si>
  <si>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</si>
  <si>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</si>
  <si>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</si>
  <si>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</si>
  <si>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KG</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</si>
  <si>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</si>
  <si>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</si>
  <si>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TRAMA DE AÇO COMPOSTA POR TERÇAS PARA TELHADOS DE ATÉ 2 ÁGUAS PARA TELHA ONDULADA DE FIBROCIMENTO, METÁLICA, PLÁSTICA OU TERMOACÚSTICA, INCLUSO TRANSPORTE VERTICAL (EM KG). AF_07/2019</t>
  </si>
  <si>
    <t>TELHAMENTO COM TELHA DE ENCAIXE, TIPO FRANCESA DE VIDRO, COM ATÉ 2 ÁGUAS, INCLUSO TRANSPORTE VERTICAL. AF_07/2019</t>
  </si>
  <si>
    <t>ESGOTAMENTO DE VALA COM BOMBA SUBMERSÍVEL. AF_12/2022</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</si>
  <si>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</si>
  <si>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</si>
  <si>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</si>
  <si>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</si>
  <si>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DRENO SUBSUPERFICIAL (SEÇÃO 0,40 X 0,40 M), COM TUBO DE PEAD CORRUGADO PERFURADO, DN 100 MM, ENCHIMENTO COM AREIA. AF_07/2021</t>
  </si>
  <si>
    <t>DRENO SUBSUPERFICIAL (SEÇÃO 0,40 X 0,40 M), COM TUBO DE PVC CORRUGADO RÍGIDO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</si>
  <si>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</si>
  <si>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</si>
  <si>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</si>
  <si>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</si>
  <si>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PVC CORRUGADO RÍGIDO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</si>
  <si>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</si>
  <si>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</si>
  <si>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PVC CORRUGADO RÍGIDO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</si>
  <si>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</si>
  <si>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</si>
  <si>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PVC CORRUGADO RÍGIDO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</si>
  <si>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</si>
  <si>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</si>
  <si>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</si>
  <si>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</si>
  <si>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PVC CORRUGADO RÍGIDO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</si>
  <si>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</si>
  <si>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</si>
  <si>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PVC CORRUGADO RÍGIDO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</si>
  <si>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</si>
  <si>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</si>
  <si>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PVC CORRUGADO RÍGIDO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</si>
  <si>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</si>
  <si>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</si>
  <si>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</si>
  <si>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PVC CORRUGADO RÍGIDO PERFURADO, DN 100 MM, ENCHIMENTO COM AREIA, INCLUSIVE CONEXÕES. AF_07/2021</t>
  </si>
  <si>
    <t>DRENO ESPINHA DE PEIXE (SEÇÃO 0,50 X 0,80 M), COM TUBO DE PEAD CORRUGADO PERFURADO, DN 100 MM, ENCHIMENTO COM BRITA, ENVOLVIDO COM MANTA GEOTÊXTIL, INCLUSIVE CONEXÕES. AF_07/2021</t>
  </si>
  <si>
    <t>DRENO ESPINHA DE PEIXE (SEÇÃO 0,50 X 0,80 M), COM TUBO DE PVC CORRUGADO RÍGIDO PERFURADO, DN 100 MM, ENCHIMENTO COM BRITA, ENVOLVIDO COM MANTA GEOTÊXTIL, INCLUSIVE CONEXÕES. AF_07/2021</t>
  </si>
  <si>
    <t>TUBO DE PEAD CORRUGADO PERFURADO, DN 100 MM, PARA DRENO - FORNECIMENTO E ASSENTAMENTO. AF_07/2021</t>
  </si>
  <si>
    <t>TUBO DE PVC CORRUGADO RÍGIDO PERFURADO, DN 100 MM, PARA DRENO - FORNECIMENTO E ASSENTAMENTO. AF_07/2021</t>
  </si>
  <si>
    <t>TUBO DE CONCRETO SIMPLES POROSO, DN 200 MM, PARA DRENO - FORNECIMENTO E ASSENTAMENTO. AF_07/2021</t>
  </si>
  <si>
    <t>JUNÇÃO SIMPLES DE PVC, 45 GRAUS, SÉRIE NORMAL, PARA ESGOTO PREDIAL, DN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</si>
  <si>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</si>
  <si>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</si>
  <si>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</si>
  <si>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</si>
  <si>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</si>
  <si>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</si>
  <si>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</si>
  <si>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</si>
  <si>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RÍGIDO PERFURADO, ENCHIMENTO COM BRITA, ENVOLVIDO COM MANTA GEOTÊXTIL. AF_07/2021</t>
  </si>
  <si>
    <t>DRENO BARBACÃ, DN 100 MM, COM MATERIAL DRENANTE. AF_07/2021</t>
  </si>
  <si>
    <t>DRENO BARBACÃ, DN 75 MM, COM MATERIAL DRENANTE. AF_07/2021</t>
  </si>
  <si>
    <t>DRENO BARBACÃ, DN 50 MM, COM MATERIAL DRENANTE. AF_07/2021</t>
  </si>
  <si>
    <t>GEOTÊXTIL NÃO TECIDO 100% POLIÉSTER, RESISTÊNCIA A TRAÇÃO DE 31 KN/M (RT-31), INSTALADO EM DRENO - FORNECIMENTO E INSTALAÇÃO. AF_07/2021</t>
  </si>
  <si>
    <t>EXECUÇÃO DE PROTEÇÃO DA CABEÇA DO TIRANTE COM USO DE FÔRMAS METÁLICAS, 50 UTILIZAÇÕES, E CONCRETO FCK =15 MPA. AF_11/2023</t>
  </si>
  <si>
    <t>EXECUÇÃO DE PERFURAÇÃO PARA TIRANTE, COMPRIMENTO MAIOR OU IGUAL A 14 M E MENOR QUE 22 M, COM DIÂMETRO DE FURO DE 100 MM EXECUTADO COM HASTE E TUBOS DE REVESTIMENTO UTILIZANDO PERFURATRIZ SOBRE ESTEIRA. AF_11/2023</t>
  </si>
  <si>
    <t>EXECUÇÃO DE PERFURAÇÃO PARA TIRANTE, COMPRIMENTO MAIOR OU IGUAL A 22 M E MENOR QUE 30 M, COM DIÂMETRO DE FURO DE 100 MM EXECUTADO COM HASTE E TUBOS DE REVESTIMENTO UTILIZANDO PERFURATRIZ SOBRE ESTEIRA. AF_11/2023</t>
  </si>
  <si>
    <t>EXECUÇÃO DE PERFURAÇÃO PARA TIRANTE, COMPRIMENTO MAIOR OU IGUAL A 6 M E MENOR QUE 14 M, COM DIÂMETRO DE FURO DE 150 MM EXECUTADO COM HASTE E TUBOS DE REVESTIMENTO UTILIZANDO PERFURATRIZ SOBRE ESTEIRA. AF_11/2023</t>
  </si>
  <si>
    <t>EXECUÇÃO DE PERFURAÇÃO PARA TIRANTE, COMPRIMENTO MAIOR OU IGUAL A 14 M E MENOR QUE 22 M, COM DIÂMETRO DE FURO DE 150 MM EXECUTADO COM HASTE E TUBOS DE REVESTIMENTO UTILIZANDO PERFURATRIZ SOBRE ESTEIRA. AF_11/2023</t>
  </si>
  <si>
    <t>EXECUÇÃO DE PERFURAÇÃO PARA TIRANTE, COMPRIMENTO MAIOR OU IGUAL A 6 M E MENOR QUE 14 M, COM DIÂMETRO DE FURO DE 200 MM EXECUTADO COM HASTE E TUBOS DE REVESTIMENTO UTILIZANDO PERFURATRIZ SOBRE ESTEIRA. AF_11/2023</t>
  </si>
  <si>
    <t>EXECUÇÃO DE PERFURAÇÃO PARA TIRANTE, COMPRIMENTO MAIOR OU IGUAL A 14 M E MENOR QUE 22 M, COM DIÂMETRO DE FURO DE 200 MM EXECUTADO COM HASTE E TUBOS DE REVESTIMENTO UTILIZANDO PERFURATRIZ SOBRE ESTEIRA. AF_11/2023</t>
  </si>
  <si>
    <t>EXECUÇÃO DE PERFURAÇÃO PARA TIRANTE, COMPRIMENTO MAIOR OU IGUAL A 22 M E MENOR QUE 30 M, COM DIÂMETRO DE FURO DE 200 MM EXECUTADO COM HASTE E TUBOS DE REVESTIMENTO UTILIZANDO PERFURATRIZ SOBRE ESTEIRA. AF_11/2023</t>
  </si>
  <si>
    <t>EXECUÇÃO DE PERFURAÇÃO PARA TIRANTE, COMPRIMENTO MAIOR OU IGUAL A 6 M E MENOR QUE 14 M, COM DIÂMETRO DE FURO DE 100 MM EXECUTADO COM HASTE UTILIZANDO PERFURATRIZ MANUAL SOBRE BASE DE MONTAGEM. AF_11/2023</t>
  </si>
  <si>
    <t>EXECUÇÃO DE PERFURAÇÃO PARA TIRANTE, COMPRIMENTO MAIOR OU IGUAL A 14 M E MENOR QUE 22 M, COM DIÂMETRO DE FURO DE 100 MM EXECUTADO COM HASTE UTILIZANDO PERFURATRIZ MANUAL SOBRE BASE DE MONTAGEM. AF_11/2023</t>
  </si>
  <si>
    <t>EXECUÇÃO DE PERFURAÇÃO PARA TIRANTE, COMPRIMENTO MAIOR OU IGUAL A 22 M E MENOR QUE 30 M, COM DIÂMETRO DE FURO DE 100 MM EXECUTADO COM HASTE UTILIZANDO PERFURATRIZ MANUAL SOBRE BASE DE MONTAGEM. AF_11/2023</t>
  </si>
  <si>
    <t>EXECUÇÃO DE PERFURAÇÃO PARA TIRANTE, COMPRIMENTO MAIOR OU IGUAL A 6 M E MENOR QUE 14 M, COM DIÂMETRO DE FURO DE 150 MM EXECUTADO COM HASTE UTILIZANDO PERFURATRIZ MANUAL SOBRE BASE DE MONTAGEM. AF_11/2023</t>
  </si>
  <si>
    <t>EXECUÇÃO DE PERFURAÇÃO PARA TIRANTE, COMPRIMENTO MAIOR OU IGUAL A 14 M E MENOR QUE 22 M, COM DIÂMETRO DE FURO DE 150 MM EXECUTADO COM HASTE UTILIZANDO PERFURATRIZ MANUAL SOBRE BASE DE MONTAGEM. AF_11/2023</t>
  </si>
  <si>
    <t>EXECUÇÃO DE PERFURAÇÃO PARA TIRANTE, COMPRIMENTO MAIOR OU IGUAL A 22 M E MENOR QUE 30 M, COM DIÂMETRO DE FURO DE 150 MM EXECUTADO COM HASTE UTILIZANDO PERFURATRIZ MANUAL SOBRE BASE DE MONTAGEM. AF_11/2023</t>
  </si>
  <si>
    <t>EXECUÇÃO DE PERFURAÇÃO PARA TIRANTE, COMPRIMENTO MAIOR OU IGUAL A 14 M E MENOR QUE 22 M, COM DIÂMETRO DE FURO DE 200 MM EXECUTADO COM HASTE UTILIZANDO PERFURATRIZ MANUAL SOBRE BASE DE MONTAGEM. AF_11/2023</t>
  </si>
  <si>
    <t>EXECUÇÃO DE PERFURAÇÃO PARA TIRANTE, COMPRIMENTO MAIOR OU IGUAL A 22 M E MENOR QUE 30 M, COM DIÂMETRO DE FURO DE 200 MM EXECUTADO COM HASTE UTILIZANDO PERFURATRIZ MANUAL SOBRE BASE DE MONTAGEM. AF_11/2023</t>
  </si>
  <si>
    <t>PERFURAÇÃO DE CORTINA PRÉ-MOLDADA COM MARTELETE ROMPEDOR. AF_11/2023</t>
  </si>
  <si>
    <t>EXECUÇÃO DE LONGARINA, PARA TIRANTES PROVISÓRIOS, COM PERFIL METÁLICO, INCLUINDO CUNHA E SOLIDARIZAÇÃO. AF_11/2023</t>
  </si>
  <si>
    <t>EXECUÇÃO DE LONGARINA, PARA TIRANTES PERMANENTES, COM PERFIL METÁLICO, INCLUINDO CUNHA E SOLIDARIZAÇÃO. AF_11/2023</t>
  </si>
  <si>
    <t>EXECUÇÃO DE PERFURAÇÃO PARA TIRANTE, COMPRIMENTO MAIOR OU IGUAL A 22 M E MENOR QUE 30 M, COM DIÂMETRO DE FURO DE 150 MM EXECUTADO COM HASTE E TUBOS DE REVESTIMENTO UTILIZANDO PERFURATRIZ SOBRE ESTEIRA. AF_11/2023</t>
  </si>
  <si>
    <t>EXECUÇÃO DE PERFURAÇÃO PARA TIRANTE, COMPRIMENTO MAIOR OU IGUAL A 6 M E MENOR QUE 14 M, COM DIÂMETRO DE FURO DE 200 MM EXECUTADO COM HASTE UTILIZANDO PERFURATRIZ MANUAL SOBRE BASE DE MONTAGEM. AF_11/2023</t>
  </si>
  <si>
    <t>EXECUÇÃO DE PERFURAÇÃO PARA TIRANTE, COMPRIMENTO MAIOR OU IGUAL A 6 M E MENOR QUE 14 M, COM DIÂMETRO DE FURO DE 100 MM EXECUTADO COM HASTE UTILIZANDO PERFURATRIZ SOBRE ESTEIRA. AF_11/2023</t>
  </si>
  <si>
    <t>EXECUÇÃO DE PERFURAÇÃO PARA TIRANTE, COMPRIMENTO MAIOR OU IGUAL A 14 M E MENOR QUE 22 M, COM DIÂMETRO DE FURO DE 100 MM EXECUTADO COM HASTE UTILIZANDO PERFURATRIZ SOBRE ESTEIRA. AF_11/2023</t>
  </si>
  <si>
    <t>EXECUÇÃO DE PERFURAÇÃO PARA TIRANTE, COMPRIMENTO MAIOR OU IGUAL A 22 M E MENOR QUE 30 M, COM DIÂMETRO DE FURO DE 100 MM EXECUTADO COM HASTE UTILIZANDO PERFURATRIZ SOBRE ESTEIRA. AF_11/2023</t>
  </si>
  <si>
    <t>EXECUÇÃO DE PERFURAÇÃO PARA TIRANTE, COMPRIMENTO MAIOR OU IGUAL A 6 M E MENOR QUE 14 M, COM DIÂMETRO DE FURO DE 200 MM EXECUTADO COM HASTE UTILIZANDO PERFURATRIZ SOBRE ESTEIRA. AF_11/2023</t>
  </si>
  <si>
    <t>EXECUÇÃO DE PERFURAÇÃO PARA TIRANTE, COMPRIMENTO MAIOR OU IGUAL A 14 M E MENOR QUE 22 M, COM DIÂMETRO DE FURO DE 200 MM EXECUTADO COM HASTE UTILIZANDO PERFURATRIZ SOBRE ESTEIRA. AF_11/2023</t>
  </si>
  <si>
    <t>EXECUÇÃO DE PERFURAÇÃO PARA TIRANTE, COMPRIMENTO MAIOR OU IGUAL A 22 M E MENOR QUE 30 M, COM DIÂMETRO DE FURO DE 200 MM EXECUTADO COM HASTE UTILIZANDO PERFURATRIZ SOBRE ESTEIRA. AF_11/2023</t>
  </si>
  <si>
    <t>EXECUÇÃO DE PERFURAÇÃO PARA TIRANTE, COMPRIMENTO MAIOR OU IGUAL A 6 M E MENOR QUE 14 M, COM DIÂMETRO DE FURO DE 100 MM EXECUTADO COM HASTE E TUBOS DE REVESTIMENTO UTILIZANDO PERFURATRIZ SOBRE ESTEIRA. AF_11/2023</t>
  </si>
  <si>
    <t>CAIXA COM GRELHA SIMPLES RETANGULAR, EM CONCRETO PRÉ-MOLDADO, DIMENSÕES INTERNAS: 0,6X1,0X1,0 M. AF_12/2020</t>
  </si>
  <si>
    <t>CAIXA COM GRELHA DUPLA RETANGULAR, EM CONCRETO PRÉ-MOLDADO, DIMENSÕES INTERNAS: 0,5X2,2X1,0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</si>
  <si>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</si>
  <si>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</si>
  <si>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</si>
  <si>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</si>
  <si>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</si>
  <si>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</si>
  <si>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</si>
  <si>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</si>
  <si>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</si>
  <si>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</si>
  <si>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</si>
  <si>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</si>
  <si>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</si>
  <si>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</si>
  <si>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</si>
  <si>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</si>
  <si>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</si>
  <si>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</si>
  <si>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</si>
  <si>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</si>
  <si>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</si>
  <si>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</si>
  <si>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</si>
  <si>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</si>
  <si>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</si>
  <si>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</si>
  <si>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</si>
  <si>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</si>
  <si>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</si>
  <si>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</si>
  <si>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</si>
  <si>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</si>
  <si>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</si>
  <si>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</si>
  <si>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</si>
  <si>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</si>
  <si>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</si>
  <si>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</si>
  <si>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</si>
  <si>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</si>
  <si>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</si>
  <si>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</si>
  <si>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</si>
  <si>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</si>
  <si>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</si>
  <si>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</si>
  <si>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</si>
  <si>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</si>
  <si>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CIRCULAR PARA ESGOTO, EM CONCRETO PRÉ-MOLDADO, DIÂMETRO INTERNO = 0,8 M.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</si>
  <si>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</si>
  <si>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</si>
  <si>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</si>
  <si>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</si>
  <si>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RETANGULAR PARA DRENAGEM, EM ALVENARIA COM BLOCOS DE CONCRETO, DIMENSÕES INTERNAS = 1,5X2 M. AF_12/2020</t>
  </si>
  <si>
    <t>ACRÉSCIMO PARA POÇO DE VISITA CIRCULAR PARA DRENAGEM, EM ALVENARIA COM TIJOLOS CERÂMICOS MACIÇOS, DIÂMETRO INTERNO = 1,5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</si>
  <si>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</si>
  <si>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</si>
  <si>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</si>
  <si>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</si>
  <si>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</si>
  <si>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</si>
  <si>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</si>
  <si>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</si>
  <si>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</si>
  <si>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</si>
  <si>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</si>
  <si>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</si>
  <si>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</si>
  <si>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</si>
  <si>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CIRCULAR PARA DRENAGEM, EM ALVENARIA COM TIJOLOS CERÂMICOS MACIÇOS, DIÂMETRO INTERNO = 1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</si>
  <si>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</si>
  <si>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</si>
  <si>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</si>
  <si>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</si>
  <si>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</si>
  <si>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</si>
  <si>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</si>
  <si>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</si>
  <si>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</si>
  <si>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</si>
  <si>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</si>
  <si>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</si>
  <si>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</si>
  <si>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</si>
  <si>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</si>
  <si>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</si>
  <si>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</si>
  <si>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</si>
  <si>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</si>
  <si>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</si>
  <si>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</si>
  <si>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</si>
  <si>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ASSENTAMENTO DE GUIA (MEIO-FIO) EM TRECHO RETO, CONFECCIONADA EM CONCRETO PRÉ-FABRICADO, DIMENSÕES 100X15X13X30 CM (COMPRIMENTO X BASE INFERIOR X BASE SUPERIOR X ALTURA). AF_01/2024</t>
  </si>
  <si>
    <t>ASSENTAMENTO DE GUIA (MEIO-FIO) EM TRECHO CURVO, CONFECCIONADA EM CONCRETO PRÉ-FABRICADO, DIMENSÕES 100X15X13X30 CM (COMPRIMENTO X BASE INFERIOR X BASE SUPERIOR X ALTURA). AF_01/2024</t>
  </si>
  <si>
    <t>ASSENTAMENTO DE GUIA (MEIO-FIO) EM TRECHO RETO, CONFECCIONADA EM CONCRETO PRÉ-FABRICADO, DIMENSÕES 100X15X13X20 CM (COMPRIMENTO X BASE INFERIOR X BASE SUPERIOR X ALTURA). AF_01/2024</t>
  </si>
  <si>
    <t>ASSENTAMENTO DE GUIA (MEIO-FIO) EM TRECHO CURVO, CONFECCIONADA EM CONCRETO PRÉ-FABRICADO, DIMENSÕES 100X15X13X20 CM (COMPRIMENTO X BASE INFERIOR X BASE SUPERIOR X ALTURA). AF_01/2024</t>
  </si>
  <si>
    <t>ASSENTAMENTO DE GUIA (MEIO-FIO) EM TRECHO RETO, CONFECCIONADA EM CONCRETO PRÉ-FABRICADO, DIMENSÕES 80X08X08X25 CM (COMPRIMENTO X BASE INFERIOR X BASE SUPERIOR X ALTURA). AF_01/2024</t>
  </si>
  <si>
    <t>ASSENTAMENTO DE GUIA (MEIO-FIO) EM TRECHO CURVO, CONFECCIONADA EM CONCRETO PRÉ-FABRICADO, DIMENSÕES 80X08X08X25 CM (COMPRIMENTO X BASE INFERIOR X BASE SUPERIOR X ALTURA). AF_01/2024</t>
  </si>
  <si>
    <t>ASSENTAMENTO DE GUIA (MEIO-FIO) EM TRECHO RETO, CONFECCIONADA EM CONCRETO PRÉ-FABRICADO, DIMENSÕES 39X6,5X6,5X19 CM (COMPRIMENTO X BASE INFERIOR X BASE SUPERIOR X ALTURA), PARA DELIMITAÇÃO DE JARDINS, PRAÇAS OU PASSEIOS. AF_01/2024</t>
  </si>
  <si>
    <t>ASSENTAMENTO DE GUIA (MEIO-FIO) EM TRECHO CURVO, CONFECCIONADA EM CONCRETO PRÉ-FABRICADO, DIMENSÕES 39X6,5X6,5X19 CM (COMPRIMENTO X BASE INFERIOR X BASE SUPERIOR X ALTURA), PARA DELIMITAÇÃO DE JARDINS, PRAÇAS OU PASSEIOS. AF_01/2024</t>
  </si>
  <si>
    <t>EXECUÇÃO DE ESCORAS DE CONCRETO PARA CONTENÇÃO DE GUIAS PRÉ-FABRICADAS. AF_01/2024</t>
  </si>
  <si>
    <t>APLICAÇÃO DE MANTA GEOTÊXTIL NAS JUNTAS RÍGIDAS DE ADUELAS PRÉ-MOLDADAS DE CONCRETO ARMADO. AF_01/2023</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</si>
  <si>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</si>
  <si>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</si>
  <si>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</si>
  <si>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</si>
  <si>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</si>
  <si>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</si>
  <si>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</si>
  <si>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</si>
  <si>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</si>
  <si>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</si>
  <si>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</si>
  <si>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</si>
  <si>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</si>
  <si>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</si>
  <si>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</si>
  <si>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</si>
  <si>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</si>
  <si>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</si>
  <si>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</si>
  <si>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</si>
  <si>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</si>
  <si>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</si>
  <si>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</si>
  <si>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</si>
  <si>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</si>
  <si>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</si>
  <si>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</si>
  <si>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</si>
  <si>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</si>
  <si>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</si>
  <si>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</si>
  <si>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</si>
  <si>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</si>
  <si>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</si>
  <si>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</si>
  <si>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</si>
  <si>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</si>
  <si>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</si>
  <si>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</si>
  <si>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</si>
  <si>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</si>
  <si>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</si>
  <si>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</si>
  <si>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</si>
  <si>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</si>
  <si>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</si>
  <si>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</si>
  <si>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</si>
  <si>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</si>
  <si>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</si>
  <si>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</si>
  <si>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</si>
  <si>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</si>
  <si>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</si>
  <si>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</si>
  <si>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</si>
  <si>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</si>
  <si>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</si>
  <si>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</si>
  <si>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</si>
  <si>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</si>
  <si>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</si>
  <si>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</si>
  <si>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</si>
  <si>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</si>
  <si>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</si>
  <si>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</si>
  <si>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</si>
  <si>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</si>
  <si>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</si>
  <si>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</si>
  <si>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</si>
  <si>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</si>
  <si>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</si>
  <si>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</si>
  <si>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</si>
  <si>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</si>
  <si>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</si>
  <si>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</si>
  <si>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</si>
  <si>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</si>
  <si>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</si>
  <si>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</si>
  <si>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</si>
  <si>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</si>
  <si>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</si>
  <si>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</si>
  <si>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</si>
  <si>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</si>
  <si>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</si>
  <si>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</si>
  <si>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</si>
  <si>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</si>
  <si>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</si>
  <si>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</si>
  <si>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</si>
  <si>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</si>
  <si>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</si>
  <si>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</si>
  <si>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</si>
  <si>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</si>
  <si>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</si>
  <si>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</si>
  <si>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</si>
  <si>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</si>
  <si>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</si>
  <si>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</si>
  <si>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</si>
  <si>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</si>
  <si>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</si>
  <si>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</si>
  <si>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</si>
  <si>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</si>
  <si>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</si>
  <si>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</si>
  <si>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</si>
  <si>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</si>
  <si>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</si>
  <si>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BATENTE PARA PORTA DE MADEIRA, FIXAÇÃO COM ARGAMASSA, PADRÃO MÉDIO - FORNECIMENTO E INSTALAÇÃO.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</si>
  <si>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</si>
  <si>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</si>
  <si>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</si>
  <si>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</si>
  <si>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</si>
  <si>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</si>
  <si>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</si>
  <si>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</si>
  <si>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</si>
  <si>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</si>
  <si>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</si>
  <si>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</si>
  <si>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</si>
  <si>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</si>
  <si>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</si>
  <si>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</si>
  <si>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</si>
  <si>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</si>
  <si>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</si>
  <si>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</si>
  <si>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</si>
  <si>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</si>
  <si>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</si>
  <si>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</si>
  <si>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</si>
  <si>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</si>
  <si>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</si>
  <si>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</si>
  <si>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</si>
  <si>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</si>
  <si>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</si>
  <si>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</si>
  <si>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</si>
  <si>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</si>
  <si>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</si>
  <si>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</si>
  <si>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</si>
  <si>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</si>
  <si>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</si>
  <si>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</si>
  <si>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</si>
  <si>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</si>
  <si>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</si>
  <si>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</si>
  <si>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</si>
  <si>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</si>
  <si>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</si>
  <si>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</si>
  <si>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</si>
  <si>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</si>
  <si>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</si>
  <si>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</si>
  <si>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</si>
  <si>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</si>
  <si>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</si>
  <si>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</si>
  <si>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</si>
  <si>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</si>
  <si>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</si>
  <si>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</si>
  <si>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</si>
  <si>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</si>
  <si>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</si>
  <si>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</si>
  <si>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</si>
  <si>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</si>
  <si>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</si>
  <si>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</si>
  <si>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</si>
  <si>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</si>
  <si>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</si>
  <si>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</si>
  <si>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</si>
  <si>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</si>
  <si>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</si>
  <si>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</si>
  <si>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</si>
  <si>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</si>
  <si>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</si>
  <si>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</si>
  <si>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</si>
  <si>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</si>
  <si>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</si>
  <si>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</si>
  <si>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</si>
  <si>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</si>
  <si>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</si>
  <si>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</si>
  <si>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</si>
  <si>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</si>
  <si>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</si>
  <si>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</si>
  <si>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</si>
  <si>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PORTA DE FERRO, DE ABRIR, TIPO GRADE COM CHAPA, COM GUARNIÇÕES. AF_12/2019</t>
  </si>
  <si>
    <t>GUARDA-CORPO DE AÇO GALVANIZADO DE 1,10M, MONTANTES TUBULARES DE 1.1/4" ESPAÇADOS DE 1,20M, TRAVESSA SUPERIOR DE 1.1/2", GRADIL FORMADO POR TUBOS HORIZONTAIS DE 1" E VERTICAIS DE 3/4", FIXADO COM CHUMBADOR MECÂNICO. AF_04/2019_PS</t>
  </si>
  <si>
    <t>GUARDA-CORPO PANORÂMICO COM PERFIS DE ALUMÍNIO E VIDRO LAMINADO 8 MM, FIXADO COM CHUMBADOR MECÂNICO. AF_04/2019_PS</t>
  </si>
  <si>
    <t>CORRIMÃO SIMPLES, DIÂMETRO EXTERNO = 1 1/2", EM AÇO GALVANIZADO. AF_04/2019_PS</t>
  </si>
  <si>
    <t>CORRIMÃO SIMPLES, DIÂMETRO EXTERNO = 1 1/2", EM ALUMÍNIO. AF_04/2019_PS</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</si>
  <si>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</si>
  <si>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</si>
  <si>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</si>
  <si>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</si>
  <si>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</si>
  <si>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</si>
  <si>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</si>
  <si>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</si>
  <si>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</si>
  <si>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</si>
  <si>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</si>
  <si>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</si>
  <si>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</si>
  <si>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</si>
  <si>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</si>
  <si>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</si>
  <si>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</si>
  <si>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</si>
  <si>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</si>
  <si>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</si>
  <si>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</si>
  <si>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</si>
  <si>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</si>
  <si>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</si>
  <si>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</si>
  <si>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</si>
  <si>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</si>
  <si>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</si>
  <si>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</si>
  <si>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</si>
  <si>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</si>
  <si>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</si>
  <si>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</si>
  <si>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</si>
  <si>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</si>
  <si>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</si>
  <si>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</si>
  <si>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</si>
  <si>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</si>
  <si>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</si>
  <si>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</si>
  <si>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</si>
  <si>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</si>
  <si>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</si>
  <si>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</si>
  <si>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</si>
  <si>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</si>
  <si>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</si>
  <si>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</si>
  <si>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</si>
  <si>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</si>
  <si>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</si>
  <si>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</si>
  <si>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</si>
  <si>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ALARGAMENTO DE BASE DE TUBULÃO A CÉU ABERTO, ESCAVAÇÃO MANUAL, CONCRETO FEITO EM OBRA E LANÇADO COM JERICA. AF_05/2020</t>
  </si>
  <si>
    <t>ALARGAMENTO DE BASE DE TUBULÃO A CÉU ABERTO, ESCAVAÇÃO MANUAL, CONCRETO USINADO E LANÇADO COM BOMBA OU DIRETAMENTE DO CAMINHÃO (EXCLUSIVE BOMBEAMENTO). AF_05/2020</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</si>
  <si>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</si>
  <si>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</si>
  <si>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</si>
  <si>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</si>
  <si>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</si>
  <si>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</si>
  <si>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</si>
  <si>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</si>
  <si>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</si>
  <si>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</si>
  <si>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</si>
  <si>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</si>
  <si>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</si>
  <si>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</si>
  <si>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</si>
  <si>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</si>
  <si>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</si>
  <si>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</si>
  <si>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</si>
  <si>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 DE CONCRETO MAGRO, APLICADO EM PISOS, LAJES SOBRE SOLO OU RADIERS, ESPESSURA DE 3 CM. AF_01/2024</t>
  </si>
  <si>
    <t>LASTRO DE CONCRETO MAGRO, APLICADO EM PISOS, LAJES SOBRE SOLO OU RADIERS, ESPESSURA DE 5 CM. AF_01/2024</t>
  </si>
  <si>
    <t>LASTRO DE CONCRETO MAGRO, APLICADO EM BLOCOS DE COROAMENTO OU SAPATAS. AF_01/2024</t>
  </si>
  <si>
    <t>LASTRO DE CONCRETO MAGRO, APLICADO EM BLOCOS DE COROAMENTO OU SAPATAS, ESPESSURA DE 3 CM. AF_01/2024</t>
  </si>
  <si>
    <t>LASTRO DE CONCRETO MAGRO, APLICADO EM BLOCOS DE COROAMENTO OU SAPATAS, ESPESSURA DE 5 CM. AF_01/2024</t>
  </si>
  <si>
    <t>LASTRO DE CONCRETO MAGRO, APLICADO EM PISOS, LAJES SOBRE SOLO OU RADIERS. AF_01/2024</t>
  </si>
  <si>
    <t>LASTRO COM MATERIAL GRANULAR, APLICAÇÃO EM BLOCOS DE COROAMENTO, ESPESSURA DE *5 CM*. AF_01/2024</t>
  </si>
  <si>
    <t>LASTRO COM MATERIAL GRANULAR, APLICADO EM PISOS OU LAJES SOBRE SOLO, ESPESSURA DE *5 CM*. AF_01/2024</t>
  </si>
  <si>
    <t>LASTRO COM MATERIAL GRANULAR, APLICADO EM BLOCOS DE COROAMENTO, ESPESSURA DE *10 CM*. AF_01/2024</t>
  </si>
  <si>
    <t>LASTRO COM MATERIAL GRANULAR (PEDRA BRITADA N.2), APLICADO EM PISOS OU LAJES SOBRE SOLO, ESPESSURA DE *10 CM*. AF_01/2024</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</si>
  <si>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</si>
  <si>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</si>
  <si>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</si>
  <si>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</si>
  <si>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</si>
  <si>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</si>
  <si>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</si>
  <si>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</si>
  <si>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</si>
  <si>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</si>
  <si>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</si>
  <si>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</si>
  <si>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</si>
  <si>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</si>
  <si>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</si>
  <si>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</si>
  <si>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LASTRO COM MATERIAL GRANULAR (PEDRA BRITADA N.3), APLICADO EM PISOS OU LAJES SOBRE SOLO, ESPESSURA DE *10 CM*. AF_01/2024</t>
  </si>
  <si>
    <t>LASTRO COM MATERIAL GRANULAR (AREIA MÉDIA), APLICADO EM PISOS OU LAJES SOBRE SOLO, ESPESSURA DE *10 CM*. AF_01/2024</t>
  </si>
  <si>
    <t>LASTRO COM MATERIAL GRANULAR (PEDRA BRITADA N.1 E PEDRA BRITADA N.2), APLICADO EM PISOS OU LAJES SOBRE SOLO, ESPESSURA DE *10 CM*. AF_01/2024</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</si>
  <si>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</si>
  <si>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</si>
  <si>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</si>
  <si>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</si>
  <si>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</si>
  <si>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</si>
  <si>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</si>
  <si>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</si>
  <si>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</si>
  <si>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</si>
  <si>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</si>
  <si>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</si>
  <si>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</si>
  <si>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</si>
  <si>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</si>
  <si>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</si>
  <si>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</si>
  <si>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</si>
  <si>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</si>
  <si>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</si>
  <si>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</si>
  <si>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</si>
  <si>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</si>
  <si>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</si>
  <si>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</si>
  <si>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</si>
  <si>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</si>
  <si>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</si>
  <si>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</si>
  <si>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</si>
  <si>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</si>
  <si>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</si>
  <si>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</si>
  <si>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</si>
  <si>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</si>
  <si>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</si>
  <si>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</si>
  <si>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</si>
  <si>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</si>
  <si>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</si>
  <si>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</si>
  <si>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</si>
  <si>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</si>
  <si>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</si>
  <si>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</si>
  <si>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</si>
  <si>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</si>
  <si>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</si>
  <si>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</si>
  <si>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</si>
  <si>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</si>
  <si>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</si>
  <si>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</si>
  <si>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</si>
  <si>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</si>
  <si>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</si>
  <si>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</si>
  <si>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</si>
  <si>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</si>
  <si>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</si>
  <si>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</si>
  <si>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</si>
  <si>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</si>
  <si>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</si>
  <si>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</si>
  <si>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</si>
  <si>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</si>
  <si>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</si>
  <si>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</si>
  <si>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</si>
  <si>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</si>
  <si>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</si>
  <si>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</si>
  <si>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</si>
  <si>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</si>
  <si>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</si>
  <si>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</si>
  <si>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</si>
  <si>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</si>
  <si>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</si>
  <si>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</si>
  <si>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</si>
  <si>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</si>
  <si>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</si>
  <si>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</si>
  <si>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</si>
  <si>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</si>
  <si>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</si>
  <si>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</si>
  <si>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</si>
  <si>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</si>
  <si>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</si>
  <si>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</si>
  <si>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</si>
  <si>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</si>
  <si>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</si>
  <si>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</si>
  <si>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</si>
  <si>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</si>
  <si>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</si>
  <si>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</si>
  <si>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</si>
  <si>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MONTAGEM E DESMONTAGEM DE FÔRMA PARA SAPATA, EM MADEIRA SERRADA, E=25 MM, 1 UTILIZAÇÃO. AF_01/2024</t>
  </si>
  <si>
    <t>FABRICAÇÃO, MONTAGEM E DESMONTAGEM DE FÔRMA PARA VIGA BALDRAME, EM MADEIRA SERRADA, E=25 MM, 1 UTILIZAÇÃO. AF_01/2024</t>
  </si>
  <si>
    <t>FABRICAÇÃO, MONTAGEM E DESMONTAGEM DE FÔRMA PARA BLOCO DE COROAMENTO, EM MADEIRA SERRADA, E=25 MM, 2 UTILIZAÇÕES. AF_01/2024</t>
  </si>
  <si>
    <t>FABRICAÇÃO, MONTAGEM E DESMONTAGEM DE FÔRMA PARA SAPATA, EM MADEIRA SERRADA, E=25 MM, 2 UTILIZAÇÕES. AF_01/2024</t>
  </si>
  <si>
    <t>FABRICAÇÃO, MONTAGEM E DESMONTAGEM DE FÔRMA PARA VIGA BALDRAME, EM MADEIRA SERRADA, E=25 MM, 2 UTILIZAÇÕES. AF_01/2024</t>
  </si>
  <si>
    <t>FABRICAÇÃO, MONTAGEM E DESMONTAGEM DE FÔRMA PARA BLOCO DE COROAMENTO, EM MADEIRA SERRADA, E=25 MM, 4 UTILIZAÇÕES. AF_01/2024</t>
  </si>
  <si>
    <t>FABRICAÇÃO, MONTAGEM E DESMONTAGEM DE FÔRMA PARA SAPATA, EM MADEIRA SERRADA, E=25 MM, 4 UTILIZAÇÕES. AF_01/2024</t>
  </si>
  <si>
    <t>FABRICAÇÃO, MONTAGEM E DESMONTAGEM DE FÔRMA PARA VIGA BALDRAME, EM MADEIRA SERRADA, E=25 MM, 4 UTILIZAÇÕES. AF_01/2024</t>
  </si>
  <si>
    <t>FABRICAÇÃO, MONTAGEM E DESMONTAGEM DE FÔRMA PARA BLOCO DE COROAMENTO, EM CHAPA DE MADEIRA COMPENSADA RESINADA, E=17 MM, 2 UTILIZAÇÕES. AF_01/2024</t>
  </si>
  <si>
    <t>FABRICAÇÃO, MONTAGEM E DESMONTAGEM DE FÔRMA PARA SAPATA, EM CHAPA DE MADEIRA COMPENSADA RESINADA, E=17 MM, 2 UTILIZAÇÕES. AF_01/2024</t>
  </si>
  <si>
    <t>FABRICAÇÃO, MONTAGEM E DESMONTAGEM DE FÔRMA PARA VIGA BALDRAME, EM CHAPA DE MADEIRA COMPENSADA RESINADA, E=17 MM, 2 UTILIZAÇÕES. AF_01/2024</t>
  </si>
  <si>
    <t>FABRICAÇÃO, MONTAGEM E DESMONTAGEM DE FÔRMA PARA BLOCO DE COROAMENTO, EM CHAPA DE MADEIRA COMPENSADA RESINADA, E=17 MM, 4 UTILIZAÇÕES. AF_01/2024</t>
  </si>
  <si>
    <t>FABRICAÇÃO, MONTAGEM E DESMONTAGEM DE FÔRMA PARA SAPATA, EM CHAPA DE MADEIRA COMPENSADA RESINADA, E=17 MM, 4 UTILIZAÇÕES. AF_01/2024</t>
  </si>
  <si>
    <t>FABRICAÇÃO, MONTAGEM E DESMONTAGEM DE FÔRMA PARA VIGA BALDRAME, EM CHAPA DE MADEIRA COMPENSADA RESINADA, E=17 MM, 4 UTILIZAÇÕES. AF_01/2024</t>
  </si>
  <si>
    <t>ARMAÇÃO DE BLOCO UTILIZANDO AÇO CA-60 DE 5 MM - MONTAGEM. AF_01/2024</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</si>
  <si>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</si>
  <si>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</si>
  <si>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</si>
  <si>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</si>
  <si>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</si>
  <si>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</si>
  <si>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</si>
  <si>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</si>
  <si>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</si>
  <si>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</si>
  <si>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</si>
  <si>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</si>
  <si>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</si>
  <si>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</si>
  <si>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</si>
  <si>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</si>
  <si>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</si>
  <si>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</si>
  <si>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</si>
  <si>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</si>
  <si>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</si>
  <si>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</si>
  <si>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</si>
  <si>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</si>
  <si>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</si>
  <si>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</si>
  <si>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</si>
  <si>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</si>
  <si>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</si>
  <si>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</si>
  <si>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</si>
  <si>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</si>
  <si>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</si>
  <si>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</si>
  <si>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</si>
  <si>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</si>
  <si>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</si>
  <si>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</si>
  <si>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</si>
  <si>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</si>
  <si>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</si>
  <si>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</si>
  <si>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</si>
  <si>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</si>
  <si>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</si>
  <si>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</si>
  <si>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</si>
  <si>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</si>
  <si>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</si>
  <si>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</si>
  <si>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</si>
  <si>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</si>
  <si>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</si>
  <si>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</si>
  <si>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</si>
  <si>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</si>
  <si>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</si>
  <si>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</si>
  <si>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</si>
  <si>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</si>
  <si>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</si>
  <si>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</si>
  <si>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</si>
  <si>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</si>
  <si>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</si>
  <si>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</si>
  <si>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</si>
  <si>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</si>
  <si>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</si>
  <si>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</si>
  <si>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</si>
  <si>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</si>
  <si>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</si>
  <si>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</si>
  <si>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</si>
  <si>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</si>
  <si>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</si>
  <si>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</si>
  <si>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</si>
  <si>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</si>
  <si>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</si>
  <si>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</si>
  <si>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</si>
  <si>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</si>
  <si>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FABRICAÇÃO, MONTAGEM E DESMONTAGEM DE FÔRMA PARA SAPATA CORRIDA, EM MADEIRA SERRADA, E=25 MM, 1 UTILIZAÇÃO. AF_01/2024</t>
  </si>
  <si>
    <t>FABRICAÇÃO, MONTAGEM E DESMONTAGEM DE FÔRMA PARA SAPATA CORRIDA, EM MADEIRA SERRADA, E=25 MM, 2 UTILIZAÇÕES. AF_01/2024</t>
  </si>
  <si>
    <t>FABRICAÇÃO, MONTAGEM E DESMONTAGEM DE FÔRMA PARA SAPATA CORRIDA, EM MADEIRA SERRADA, E=25 MM, 4 UTILIZAÇÕES. AF_01/2024</t>
  </si>
  <si>
    <t>FABRICAÇÃO, MONTAGEM E DESMONTAGEM DE FÔRMA PARA SAPATA CORRIDA, EM CHAPA DE MADEIRA COMPENSADA RESINADA, E=17 MM, 2 UTILIZAÇÕES. AF_01/2024</t>
  </si>
  <si>
    <t>FABRICAÇÃO, MONTAGEM E DESMONTAGEM DE FÔRMA PARA SAPATA CORRIDA, EM CHAPA DE MADEIRA COMPENSADA RESINADA, E=17 MM, 4 UTILIZAÇÕES. AF_01/2024</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</si>
  <si>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</si>
  <si>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</si>
  <si>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</si>
  <si>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</si>
  <si>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</si>
  <si>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</si>
  <si>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</si>
  <si>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</si>
  <si>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</si>
  <si>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</si>
  <si>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</si>
  <si>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</si>
  <si>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</si>
  <si>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</si>
  <si>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</si>
  <si>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</si>
  <si>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</si>
  <si>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</si>
  <si>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</si>
  <si>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</si>
  <si>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</si>
  <si>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</si>
  <si>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</si>
  <si>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</si>
  <si>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</si>
  <si>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</si>
  <si>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</si>
  <si>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</si>
  <si>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</si>
  <si>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</si>
  <si>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</si>
  <si>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</si>
  <si>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</si>
  <si>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</si>
  <si>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</si>
  <si>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</si>
  <si>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</si>
  <si>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</si>
  <si>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</si>
  <si>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</si>
  <si>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</si>
  <si>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</si>
  <si>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</si>
  <si>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</si>
  <si>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</si>
  <si>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</si>
  <si>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</si>
  <si>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</si>
  <si>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</si>
  <si>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</si>
  <si>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</si>
  <si>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</si>
  <si>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</si>
  <si>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</si>
  <si>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</si>
  <si>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</si>
  <si>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</si>
  <si>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</si>
  <si>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DE ESTACAS, DIÂMETRO = 32,0 MM. AF_09/2021_PS</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</si>
  <si>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</si>
  <si>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</si>
  <si>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</si>
  <si>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</si>
  <si>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</si>
  <si>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</si>
  <si>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</si>
  <si>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</si>
  <si>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</si>
  <si>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</si>
  <si>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UTILIZANDO AÇO CA-50 DE 6,3 MM - MONTAGEM. AF_01/2024</t>
  </si>
  <si>
    <t>ARMAÇÃO DE BLOCO UTILIZANDO AÇO CA-50 DE 8 MM - MONTAGEM. AF_01/2024</t>
  </si>
  <si>
    <t>ARMAÇÃO DE BLOCO UTILIZANDO AÇO CA-50 DE 10 MM - MONTAGEM. AF_01/2024</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</si>
  <si>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</si>
  <si>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</si>
  <si>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</si>
  <si>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</si>
  <si>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</si>
  <si>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</si>
  <si>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</si>
  <si>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</si>
  <si>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</si>
  <si>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</si>
  <si>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</si>
  <si>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</si>
  <si>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</si>
  <si>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ARMAÇÃO DE BLOCO E SAPATA UTILIZANDO AÇO CA-50 DE 25 MM - MONTAGEM. AF_01/2024</t>
  </si>
  <si>
    <t>ARMAÇÃO DE SAPATA ISOLADA, VIGA BALDRAME E SAPATA CORRIDA UTILIZANDO AÇO CA-50 DE 6,3 MM - MONTAGEM. AF_01/2024</t>
  </si>
  <si>
    <t>ARMAÇÃO DE SAPATA ISOLADA, VIGA BALDRAME E SAPATA CORRIDA UTILIZANDO AÇO CA-50 DE 8 MM - MONTAGEM. AF_01/2024</t>
  </si>
  <si>
    <t>ARMAÇÃO DE SAPATA ISOLADA, VIGA BALDRAME E SAPATA CORRIDA UTILIZANDO AÇO CA-50 DE 10 MM - MONTAGEM. AF_01/2024</t>
  </si>
  <si>
    <t>ARMAÇÃO DE BLOCO, SAPATA ISOLADA, VIGA BALDRAME E SAPATA CORRIDA UTILIZANDO AÇO CA-50 DE 12,5 MM - MONTAGEM. AF_01/2024</t>
  </si>
  <si>
    <t>ARMAÇÃO DE BLOCO, SAPATA ISOLADA, VIGA BALDRAME E SAPATA CORRIDA UTILIZANDO AÇO CA-50 DE 16 MM - MONTAGEM. AF_01/2024</t>
  </si>
  <si>
    <t>ARMAÇÃO DE BLOCO, SAPATA ISOLADA E SAPATA CORRIDA UTILIZANDO AÇO CA-50 DE 20 MM - MONTAGEM. AF_01/2024</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</si>
  <si>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</si>
  <si>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</si>
  <si>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</si>
  <si>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</si>
  <si>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</si>
  <si>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</si>
  <si>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</si>
  <si>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</si>
  <si>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</si>
  <si>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</si>
  <si>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</si>
  <si>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</si>
  <si>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</si>
  <si>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</si>
  <si>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</si>
  <si>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</si>
  <si>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</si>
  <si>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</si>
  <si>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</si>
  <si>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</si>
  <si>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</si>
  <si>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</si>
  <si>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</si>
  <si>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</si>
  <si>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</si>
  <si>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BLOCO DE COROAMENTO OU VIGA BALDRAME, FCK 30 MPA, COM USO DE JERICA - LANÇAMENTO, ADENSAMENTO E ACABAMENTO. AF_01/2024</t>
  </si>
  <si>
    <t>CONCRETAGEM DE SAPATA, FCK 30 MPA, COM USO DE JERICA - LANÇAMENTO, ADENSAMENTO E ACABAMENTO. AF_01/2024</t>
  </si>
  <si>
    <t>CONCRETAGEM DE BLOCO DE COROAMENTO OU VIGA BALDRAME, FCK 30 MPA, COM USO DE BOMBA - LANÇAMENTO, ADENSAMENTO E ACABAMENTO. AF_01/2024</t>
  </si>
  <si>
    <t>CONCRETAGEM DE SAPATA, FCK 30 MPA, COM USO DE BOMBA - LANÇAMENTO, ADENSAMENTO E ACABAMENTO. AF_01/2024</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</si>
  <si>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</si>
  <si>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</si>
  <si>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</si>
  <si>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</si>
  <si>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</si>
  <si>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</si>
  <si>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</si>
  <si>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</si>
  <si>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</si>
  <si>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</si>
  <si>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</si>
  <si>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</si>
  <si>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</si>
  <si>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</si>
  <si>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</si>
  <si>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</si>
  <si>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</si>
  <si>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AF_02/2022_PS</t>
  </si>
  <si>
    <t>LANÇAMENTO COM USO DE BOMBA, ADENSAMENTO E ACABAMENTO DE CONCRETO EM ESTRUTURAS. AF_02/2022</t>
  </si>
  <si>
    <t>CONCRETAGEM DE VIGAS E LAJES, FCK=25 MPA, PARA LAJES PREMOLDADAS COM USO DE BOMBA - LANÇAMENTO, ADENSAMENTO E ACABAMENTO. AF_02/2022_PS</t>
  </si>
  <si>
    <t>CONCRETAGEM DE VIGAS E LAJES, FCK=25 MPA, PARA LAJES MACIÇAS OU NERVURADAS COM USO DE BOMBA - LANÇAMENTO, ADENSAMENTO E ACABAMENTO. AF_02/2022_PS</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</si>
  <si>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</si>
  <si>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</si>
  <si>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</si>
  <si>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</si>
  <si>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</si>
  <si>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</si>
  <si>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AF_02/2022_PS</t>
  </si>
  <si>
    <t>CONCRETAGEM DE MURETAS, FCK=25 MPA, COM USO DE BOMBA - LANÇAMENTO, ADENSAMENTO E ACABAMENTO. AF_02/2022_PS</t>
  </si>
  <si>
    <t>CONCRETAGEM DE ESCADAS, FCK=25 MPA, COM USO DE BOMBA - LANÇAMENTO, ADENSAMENTO E ACABAMENTO. AF_02/2022_PS</t>
  </si>
  <si>
    <t>CONCRETAGEM DE PILARES, FCK=25 MPA, COM USO DE JERICAS EM ELEVADOR DE CABO - LANÇAMENTO, ADENSAMENTO E ACABAMENTO. AF_02/2022</t>
  </si>
  <si>
    <t>CONCRETAGEM DE PILARES, FCK=25 MPA, COM USO DE JERICAS EM CREMALHEIRA - LANÇAMENTO, ADENSAMENTO E ACABAMENTO. AF_02/2022</t>
  </si>
  <si>
    <t>ARMAÇÃO DE SAPATA ISOLADA, VIGA BALDRAME E SAPATA CORRIDA UTILIZANDO AÇO CA-60 DE 5 MM - MONTAGEM. AF_01/2024</t>
  </si>
  <si>
    <t>CONCRETAGEM DE SAPATA CORRIDA, FCK 30 MPA, COM USO DE JERICA - LANÇAMENTO, ADENSAMENTO E ACABAMENTO. AF_01/2024</t>
  </si>
  <si>
    <t>CONCRETAGEM DE SAPATA CORRIDA, FCK 30 MPA, COM USO DE BOMBA - LANÇAMENTO, ADENSAMENTO E ACABAMENTO. AF_01/2024</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</si>
  <si>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</si>
  <si>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</si>
  <si>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TRATAMENTO DE JUNTA DE DILATAÇÃO, COM TARUGO DE POLIETILENO E SELANTE PU, INCLUSO PREENCHIMENTO COM ESPUMA EXPANSIVA PU. AF_09/2023</t>
  </si>
  <si>
    <t>TRATAMENTO DE JUNTA DE DILATAÇÃO COM MANTA ASFÁLTICA ADERIDA COM MAÇARICO. AF_09/2023</t>
  </si>
  <si>
    <t>TRATAMENTO DE JUNTA SERRADA, COM TARUGO DE POLIETILENO E SELANTE À BASE DE SILICONE. AF_09/2023</t>
  </si>
  <si>
    <t>VERGA PRÉ-MOLDADA COM ATÉ 1,5 M DE VÃO, ESPESSURA DE *20* CM. AF_03/2024</t>
  </si>
  <si>
    <t>VERGA MOLDADA IN LOCO EM CONCRETO, ESPESSURA DE *20* CM. AF_03/2024</t>
  </si>
  <si>
    <t>VERGA MOLDADA IN LOCO COM UTILIZAÇÃO DE BLOCOS CANALETA, ESPESSURA DE *20* CM. AF_03/2024</t>
  </si>
  <si>
    <t>CONTRAVERGA PRÉ-MOLDADA, ESPESSURA DE *20* CM. AF_03/2024</t>
  </si>
  <si>
    <t>CONTRAVERGA MOLDADA IN LOCO EM CONCRETO, ESPESSURA DE *20* CM. AF_03/2024</t>
  </si>
  <si>
    <t>CONTRAVERGA MOLDADA IN LOCO COM UTILIZAÇÃO DE BLOCOS CANALETA, ESPESSURA DE *20* CM. AF_03/2024</t>
  </si>
  <si>
    <t>FIXAÇÃO (ENCUNHAMENTO) DE ALVENARIA DE VEDAÇÃO COM ARGAMASSA APLICADA COM BISNAGA. AF_03/2024</t>
  </si>
  <si>
    <t>FIXAÇÃO (ENCUNHAMENTO) DE ALVENARIA DE VEDAÇÃO COM TIJOLO MACIÇO. AF_03/2024</t>
  </si>
  <si>
    <t>FIXAÇÃO (ENCUNHAMENTO) DE ALVENARIA DE VEDAÇÃO COM ESPUMA DE POLIURETANO EXPANSIVA. AF_03/2024</t>
  </si>
  <si>
    <t>CINTA DE AMARRAÇÃO DE ALVENARIA MOLDADA IN LOCO COM UTILIZAÇÃO DE BLOCOS CANALETA, ESPESSURA DE *20* CM. AF_03/2024</t>
  </si>
  <si>
    <t>VERGA PRÉ-MOLDADA COM ATÉ 1,5 M DE VÃO, ESPESSURA DE *15* CM. AF_03/2024</t>
  </si>
  <si>
    <t>VERGA PRÉ-MOLDADA COM ATÉ 1,5 M DE VÃO, ESPESSURA DE *10* CM. AF_03/2024</t>
  </si>
  <si>
    <t>VERGA MOLDADA IN LOCO EM CONCRETO, ESPESSURA DE *15* CM. AF_03/2024</t>
  </si>
  <si>
    <t>VERGA MOLDADA IN LOCO EM CONCRETO, ESPESSURA DE *10* CM. AF_03/2024</t>
  </si>
  <si>
    <t>VERGA MOLDADA IN LOCO COM UTILIZAÇÃO DE BLOCOS CANALETA, ESPESSURA DE *15* CM. AF_03/2024</t>
  </si>
  <si>
    <t>VERGA MOLDADA IN LOCO COM UTILIZAÇÃO DE BLOCOS CANALETA, ESPESSURA DE *10* CM. AF_03/2024</t>
  </si>
  <si>
    <t>CONTRAVERGA PRÉ-MOLDADA, ESPESSURA DE *15* CM. AF_03/2024</t>
  </si>
  <si>
    <t>CONTRAVERGA PRÉ-MOLDADA, ESPESSURA DE *10* CM. AF_03/2024</t>
  </si>
  <si>
    <t>CONTRAVERGA MOLDADA IN LOCO EM CONCRETO, ESPESSURA DE *15* CM. AF_03/2024</t>
  </si>
  <si>
    <t>CONTRAVERGA MOLDADA IN LOCO EM CONCRETO, ESPESSURA DE *10* CM. AF_03/2024</t>
  </si>
  <si>
    <t>CONTRAVERGA MOLDADA IN LOCO COM UTILIZAÇÃO DE BLOCOS CANALETA, ESPESSURA DE *15* CM. AF_03/2024</t>
  </si>
  <si>
    <t>CONTRAVERGA MOLDADA IN LOCO COM UTILIZAÇÃO DE BLOCOS CANALETA, ESPESSURA DE *10* CM. AF_03/2024</t>
  </si>
  <si>
    <t>CINTA DE AMARRAÇÃO DE ALVENARIA MOLDADA IN LOCO COM UTILIZAÇÃO DE BLOCOS CANALETA, ESPESSURA DE *15* CM. AF_03/2024</t>
  </si>
  <si>
    <t>CINTA DE AMARRAÇÃO DE ALVENARIA MOLDADA IN LOCO COM UTILIZAÇÃO DE BLOCOS CANALETA, ESPESSURA DE *10* CM. AF_03/2024</t>
  </si>
  <si>
    <t>VERGA PRÉ-FABRICADA COM ATÉ 1,5 M DE VÃO, ESPESSURA DE *20* CM. AF_03/2024</t>
  </si>
  <si>
    <t>VERGA PRÉ-FABRICADA COM ATÉ 1,5 M DE VÃO, ESPESSURA DE *15* CM. AF_03/2024</t>
  </si>
  <si>
    <t>VERGA PRÉ-FABRICADA COM ATÉ 1,5 M DE VÃO, ESPESSURA DE *10* CM. AF_03/2024</t>
  </si>
  <si>
    <t>CONTRAVERGA PRÉ-FABRICADA, ESPESSURA DE *20* CM. AF_03/2024</t>
  </si>
  <si>
    <t>CONTRAVERGA PRÉ-FABRICADA, ESPESSURA DE *15* CM. AF_03/2024</t>
  </si>
  <si>
    <t>CONTRAVERGA PRÉ-FABRICADA, ESPESSURA DE *10* CM. AF_03/2024</t>
  </si>
  <si>
    <t>PEÇA RETANGULAR PRÉ-MOLDADA, VOLUME DE CONCRETO DE ATÉ 10 LITROS, TAXA DE AÇO APROXIMADA DE 30KG/M³. AF_03/2024</t>
  </si>
  <si>
    <t>PEÇA RETANGULAR PRÉ-MOLDADA, VOLUME DE CONCRETO DE 10 A 30 LITROS, TAXA DE AÇO APROXIMADA DE 30KG/M³. AF_03/2024</t>
  </si>
  <si>
    <t>PEÇA RETANGULAR PRÉ-MOLDADA, VOLUME DE CONCRETO DE 30 A 100 LITROS, TAXA DE AÇO APROXIMADA DE 30KG/M³. AF_03/2024</t>
  </si>
  <si>
    <t>PEÇA RETANGULAR PRÉ-MOLDADA, VOLUME DE CONCRETO ACIMA DE 100 LITROS, TAXA DE AÇO APROXIMADA DE 30KG/M³. AF_03/2024</t>
  </si>
  <si>
    <t>PEÇA CIRCULAR PRÉ-MOLDADA, VOLUME DE CONCRETO DE 30 A 100 LITROS, TAXA DE AÇO APROXIMADA DE 30KG/M³. AF_03/2024</t>
  </si>
  <si>
    <t>PEÇA CIRCULAR PRÉ-MOLDADA, VOLUME DE CONCRETO ACIMA DE 100 LITROS, TAXA DE AÇO APROXIMADA DE 30KG/M³. AF_03/2024</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</si>
  <si>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</si>
  <si>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</si>
  <si>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</si>
  <si>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</si>
  <si>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</si>
  <si>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</si>
  <si>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</si>
  <si>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</si>
  <si>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ARMAÇÃO DE DESCIDA D'ÁGUA UTILIZANDO AÇO CA-60 DE 5 MM - MONTAGEM.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</si>
  <si>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</si>
  <si>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</si>
  <si>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</si>
  <si>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</si>
  <si>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</si>
  <si>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</si>
  <si>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</si>
  <si>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</si>
  <si>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</si>
  <si>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</si>
  <si>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</si>
  <si>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</si>
  <si>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VIGA DE MADEIRA SERRADA, PINUS OU EQUIVALENTE DA REGIÃO, SEÇÃO RETANGULAR 7,5 X 10 CM. AF_03/2024</t>
  </si>
  <si>
    <t>PILAR DE MADEIRA ROLIÇA, EUCALIPTO OU EQUIVALENTE DA REGIÃO, FIXADO COM VERGALHÃO, DIÂMETRO DE 12 A 15 CM, APOIO ARTICULADO, COMPRIMENTO DE 3 M. AF_03/2024</t>
  </si>
  <si>
    <t>VIGA DE MADEIRA SERRADA, PINUS OU EQUIVALENTE DA REGIÃO, SEÇÃO RETANGULAR 7,5 X 15 CM. AF_03/2024</t>
  </si>
  <si>
    <t>PILAR DE MADEIRA ROLIÇA, EUCALIPTO OU EQUIVALENTE DA REGIÃO, FIXADO COM VERGALHÃO, DIÂMETRO DE 12 A 15 CM, APOIO ARTICULADO, COMPRIMENTO DE 6 M. AF_03/2024</t>
  </si>
  <si>
    <t>PILAR DE MADEIRA ROLIÇA, EUCALIPTO OU EQUIVALENTE DA REGIÃO, FIXADO COM VERGALHÃO, DIÂMETRO DE 21 A 29 CM, APOIO ARTICULADO, COMPRIMENTO DE 3 M. AF_03/2024</t>
  </si>
  <si>
    <t>PILAR DE MADEIRA ROLIÇA, EUCALIPTO OU EQUIVALENTE DA REGIÃO, FIXADO COM VERGALHÃO, DIÂMETRO DE 21 A 29 CM, APOIO ARTICULADO, COMPRIMENTO DE 6 M. AF_03/2024</t>
  </si>
  <si>
    <t>PILAR DE MADEIRA ROLIÇA, EUCALIPTO OU EQUIVALENTE DA REGIÃO, FIXADO COM VERGALHÃO, DIÂMETRO DE 30 A 34 CM, APOIO ARTICULADO, COMPRIMENTO DE 3 M. AF_03/2024</t>
  </si>
  <si>
    <t>PILAR DE MADEIRA ROLIÇA, EUCALIPTO OU EQUIVALENTE DA REGIÃO, FIXADO COM VERGALHÃO, DIÂMETRO DE 30 A 34 CM, APOIO ARTICULADO, COMPRIMENTO DE 6 M. AF_03/2024</t>
  </si>
  <si>
    <t>PILAR DE MADEIRA SERRADA, MAÇARANDUBA OU EQUIVALENTE DA REGIÃO, NÃO APARELHADO, FIXADO COM VERGALHÃO, SEÇÃO QUADRADA 10 X 10 CM, APOIO ARTICULADO, COMPRIMENTO DE 3 M. AF_03/2024</t>
  </si>
  <si>
    <t>PILAR DE MADEIRA SERRADA, MAÇARANDUBA OU EQUIVALENTE DA REGIÃO, NÃO APARELHADO, FIXADO COM VERGALHÃO, SEÇÃO QUADRADA 10 X 10 CM, APOIO ARTICULADO, COMPRIMENTO DE 6 M. AF_03/2024</t>
  </si>
  <si>
    <t>PILAR DE MADEIRA SERRADA, MAÇARANDUBA OU EQUIVALENTE DA REGIÃO, NÃO APARELHADO, FIXADO COM VERGALHÃO, SEÇÃO QUADRADA 15 X 15 CM, APOIO ARTICULADO, COMPRIMENTO DE 3 M. AF_03/2024</t>
  </si>
  <si>
    <t>PILAR DE MADEIRA SERRADA, MAÇARANDUBA OU EQUIVALENTE DA REGIÃO, NÃO APARELHADO, FIXADO COM VERGALHÃO, SEÇÃO QUADRADA 15 X 15 CM, APOIO ARTICULADO, COMPRIMENTO DE 6 M. AF_03/2024</t>
  </si>
  <si>
    <t>PILAR DE MADEIRA SERRADA, MAÇARANDUBA OU EQUIVALENTE DA REGIÃO, NÃO APARELHADO, FIXADO COM VERGALHÃO, SEÇÃO QUADRADA 20 X 20 CM, APOIO ARTICULADO, COMPRIMENTO DE 3 M. AF_03/2024</t>
  </si>
  <si>
    <t>PILAR DE MADEIRA SERRADA, MAÇARANDUBA OU EQUIVALENTE DA REGIÃO, NÃO APARELHADO, FIXADO COM VERGALHÃO, SEÇÃO QUADRADA 20 X 20 CM, APOIO ARTICULADO, COMPRIMENTO DE 6 M. AF_03/2024</t>
  </si>
  <si>
    <t>VIGA DE MADEIRA SERRADA, MAÇARANDUBA OU EQUIVALENTE DA REGIÃO, APARELHADA, SEÇÃO RETANGULAR 6 X 12 CM. AF_03/2024</t>
  </si>
  <si>
    <t>VIGA DE MADEIRA SERRADA, MAÇARANDUBA OU EQUIVALENTE DA REGIÃO, APARELHADA, SEÇÃO RETANGULAR 6 X 16 CM. AF_03/2024</t>
  </si>
  <si>
    <t>VIGA DE MADEIRA SERRADA, MAÇARANDUBA OU EQUIVALENTE DA REGIÃO, NÃO APARELHADA, SEÇÃO RETANGULAR 6 X 12 CM. AF_03/2024</t>
  </si>
  <si>
    <t>VIGA DE MADEIRA SERRADA, MAÇARANDUBA OU EQUIVALENTE DA REGIÃO, NÃO APARELHADA, SEÇÃO RETANGULAR 6 X 16 CM. AF_03/2024</t>
  </si>
  <si>
    <t>VIGA DE MADEIRA SERRADA, MAÇARANDUBA OU EQUIVALENTE DA REGIÃO, NÃO APARELHADA, SEÇÃO RETANGULAR 6 X 20 CM. AF_03/2024</t>
  </si>
  <si>
    <t>VIGA DE MADEIRA SERRADA, MAÇARANDUBA OU EQUIVALENTE DA REGIÃO, NÃO APARELHADA, SEÇÃO RETANGULAR 8 X 16 CM. AF_03/2024</t>
  </si>
  <si>
    <t>VIGA DE MADEIRA SERRADA, MAÇARANDUBA OU EQUIVALENTE DA REGIÃO, NÃO APARELHADA, SEÇÃO RETANGULAR 6 X 25 CM. AF_03/2024</t>
  </si>
  <si>
    <t>VIGA DE MADEIRA SERRADA, MAÇARANDUBA OU EQUIVALENTE DA REGIÃO, NÃO APARELHADA, SEÇÃO RETANGULAR 6 X 30 CM. AF_03/2024</t>
  </si>
  <si>
    <t>VIGA DE MADEIRA SERRADA, MAÇARANDUBA OU EQUIVALENTE DA REGIÃO, NÃO APARELHADA, SEÇÃO RETANGULAR 6 X 40 CM. AF_03/2024</t>
  </si>
  <si>
    <t>VIGA DE MADEIRA SERRADA, MAÇARANDUBA OU EQUIVALENTE DA REGIÃO, APARELHADA, SEÇÃO RETANGULAR 8 X 30 CM. AF_03/2024</t>
  </si>
  <si>
    <t>PISO DE MADEIRA, SOBRE VIGOTAS DE MADEIRA SEÇÃO 7,5 X 15 CM. AF_03/2024</t>
  </si>
  <si>
    <t>VIGA DE MADEIRA SERRADA, MAÇARANDUBA OU EQUIVALENTE DA REGIÃO, APARELHADA, SEÇÃO RETANGULAR 7,5 X 23 CM. AF_03/2024</t>
  </si>
  <si>
    <t>VIGA DE MADEIRA SERRADA, MAÇARANDUBA OU EQUIVALENTE DA REGIÃO, NÃO APARELHADA, SEÇÃO RETANGULAR 7,5 X 23 CM. AF_03/2024</t>
  </si>
  <si>
    <t>VIGA DE MADEIRA SERRADA, MAÇARANDUBA OU EQUIVALENTE DA REGIÃO, NÃO APARELHADA, SEÇÃO RETANGULAR 8 X 30 CM. AF_03/2024</t>
  </si>
  <si>
    <t>PILAR DE MADEIRA ROLIÇA, EUCALIPTO OU EQUIVALENTE DA REGIÃO, FIXADO COM VERGALHÃO, DIÂMETRO DE 16 A 20 CM, APOIO ARTICULADO, COMPRIMENTO DE 3 M. AF_03/2024</t>
  </si>
  <si>
    <t>PILAR DE MADEIRA ROLIÇA, EUCALIPTO OU EQUIVALENTE DA REGIÃO, FIXADO COM VERGALHÃO, DIÂMETRO DE 16 A 20 CM, APOIO ARTICULADO, COMPRIMENTO DE 6 M. AF_03/2024</t>
  </si>
  <si>
    <t>VIGA DE MADEIRA ROLIÇA, EUCALIPTO OU EQUIVALENTE DA REGIÃO, DIÂMETRO DE 12 A 15 CM. AF_03/2024</t>
  </si>
  <si>
    <t>VIGA DE MADEIRA ROLIÇA, EUCALIPTO OU EQUIVALENTE DA REGIÃO, DIÂMETRO DE 16 A 20 CM. AF_03/2024</t>
  </si>
  <si>
    <t>VIGA DE MADEIRA ROLIÇA, EUCALIPTO OU EQUIVALENTE DA REGIÃO, DIÂMETRO DE 21 A 29 CM. AF_03/2024</t>
  </si>
  <si>
    <t>VIGA DE MADEIRA ROLIÇA, EUCALIPTO OU EQUIVALENTE DA REGIÃO, DIÂMETRO DE 30 A 34 CM. AF_03/2024</t>
  </si>
  <si>
    <t>IMPERMEABILIZAÇÃO DE SUPERFÍCIE COM ARGAMASSA DE CIMENTO E AREIA, COM ADITIVO IMPERMEABILIZANTE, E = 1,5CM. AF_09/2023</t>
  </si>
  <si>
    <t>IMPERMEABILIZAÇÃO DE SUPERFÍCIE COM ARGAMASSA POLIMÉRICA / MEMBRANA ACRÍLICA, 3 DEMÃOS. AF_09/2023</t>
  </si>
  <si>
    <t>TRATAMENTO DE RALO OU PONTO EMERGENTE COM ARGAMASSA POLIMÉRICA / MEMBRANA ACRÍLICA REFORÇADO COM TELA DE POLIÉSTER (MAV). AF_09/2023</t>
  </si>
  <si>
    <t>TRATAMENTO DE RODAPÉ COM TELA DE POLIÉSTER. AF_09/2023</t>
  </si>
  <si>
    <t>IMPERMEABILIZAÇÃO DE SUPERFÍCIE COM MANTA ASFÁLTICA, UMA CAMADA, INCLUSIVE APLICAÇÃO DE PRIMER ASFÁLTICO, E=4MM. AF_09/2023</t>
  </si>
  <si>
    <t>IMPERMEABILIZAÇÃO DE SUPERFÍCIE COM MANTA ASFÁLTICA, DUAS CAMADAS, INCLUSIVE APLICAÇÃO DE PRIMER ASFÁLTICO, E=3MM E E=4MM. AF_09/2023</t>
  </si>
  <si>
    <t>IMPERMEABILIZAÇÃO DE SUPERFÍCIE COM MEMBRANA À BASE DE POLIURETANO, 2 DEMÃOS. AF_09/2023</t>
  </si>
  <si>
    <t>IMPERMEABILIZAÇÃO DE SUPERFÍCIE COM MEMBRANA À BASE DE RESINA ACRÍLICA, 3 DEMÃOS. AF_09/2023</t>
  </si>
  <si>
    <t>IMPERMEABILIZAÇÃO DE SUPERFÍCIE COM EMULSÃO ASFÁLTICA, 2 DEMÃOS. AF_09/2023</t>
  </si>
  <si>
    <t>PROTEÇÃO MECÂNICA DE SUPERFÍCIE HORIZONTAL COM ARGAMASSA DE CIMENTO E AREIA, TRAÇO 1:3, E=2CM. AF_09/2023</t>
  </si>
  <si>
    <t>PROTEÇÃO MECÂNICA DE SUPERFÍCIE VERTICAL COM ARGAMASSA DE CIMENTO E AREIA, TRAÇO 1:3, E=2CM. AF_09/2023</t>
  </si>
  <si>
    <t>PROTEÇÃO MECÂNICA DE SUPERFICIE HORIZONTAL COM ARGAMASSA DE CIMENTO E AREIA, TRAÇO 1:3, E=3CM. AF_09/2023</t>
  </si>
  <si>
    <t>PROTEÇÃO MECÂNICA DE SUPERFÍCIE VERTICAL COM ARGAMASSA DE CIMENTO E AREIA, TRAÇO 1:3, E=3CM. AF_09/2023</t>
  </si>
  <si>
    <t>PROTEÇÃO MECÂNICA DE SUPERFICIE HORIZONTAL COM ARGAMASSA DE CIMENTO E AREIA, TRAÇO 1:3, E=4CM. AF_09/2023</t>
  </si>
  <si>
    <t>PROTEÇÃO MECÂNICA DE SUPERFÍCIE VERTICAL COM ARGAMASSA DE CIMENTO E AREIA, TRAÇO 1:3, E=4CM. AF_09/2023</t>
  </si>
  <si>
    <t>PROTEÇÃO MECÂNICA DE SUPERFICIE HORIZONTAL COM ARGAMASSA DE CIMENTO E AREIA, TRAÇO 1:3, E=5CM. AF_09/2023</t>
  </si>
  <si>
    <t>PROTEÇÃO MECÂNICA DE SUPERFÍCIE VERTICAL COM ARGAMASSA DE CIMENTO E AREIA, TRAÇO 1:3, E=5CM. AF_09/2023</t>
  </si>
  <si>
    <t>PROTEÇÃO MECÂNICA DE SUPERFICIE HORIZONTAL COM CONCRETO 15 MPA, E=4CM. AF_09/2023</t>
  </si>
  <si>
    <t>PROTEÇÃO MECÂNICA DE SUPERFICIE HORIZONTAL COM CONCRETO 15 MPA, E=5CM. AF_09/2023</t>
  </si>
  <si>
    <t>PROTEÇÃO MECÂNICA DE SUPERFÍCIE VERTICAL COM CONCRETO 15 MPA, E=5CM. AF_09/2023</t>
  </si>
  <si>
    <t>ELETRODUTO FLEXÍVEL CORRUGADO REFORÇADO, PVC, DN 20 MM (1/2"), PARA CIRCUITOS TERMINAIS, INSTALADO EM LAJE - FORNECIMENTO E INSTALAÇÃO. AF_03/2023</t>
  </si>
  <si>
    <t>ELETRODUTO FLEXÍVEL CORRUGADO REFORÇADO, PVC, DN 25 MM (3/4"), PARA CIRCUITOS TERMINAIS, INSTALADO EM LAJE - FORNECIMENTO E INSTALAÇÃO. AF_03/2023</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</si>
  <si>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</si>
  <si>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</si>
  <si>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</si>
  <si>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</si>
  <si>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ELETRODUTO FLEXÍVEL CORRUGADO, PVC, DN 20 MM (1/2"), PARA CIRCUITOS TERMINAIS, INSTALADO EM PAREDE - FORNECIMENTO E INSTALAÇÃO. AF_03/2023</t>
  </si>
  <si>
    <t>ELETRODUTO FLEXÍVEL CORRUGADO REFORÇADO, PVC, DN 20 MM (1/2"), PARA CIRCUITOS TERMINAIS, INSTALADO EM PAREDE - FORNECIMENTO E INSTALAÇÃO. AF_03/2023</t>
  </si>
  <si>
    <t>ELETRODUTO FLEXÍVEL CORRUGADO, PVC, DN 25 MM (3/4"), PARA CIRCUITOS TERMINAIS, INSTALADO EM PAREDE - FORNECIMENTO E INSTALAÇÃO. AF_03/2023</t>
  </si>
  <si>
    <t>ELETRODUTO FLEXÍVEL CORRUGADO REFORÇADO, PVC, DN 25 MM (3/4"), PARA CIRCUITOS TERMINAIS, INSTALADO EM PAREDE - FORNECIMENTO E INSTALAÇÃO. AF_03/2023</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</si>
  <si>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</si>
  <si>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</si>
  <si>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ELETRODUTO FLEXÍVEL LISO, PEAD, DN 32 MM (1"), PARA CIRCUITOS TERMINAIS, INSTALADO EM PAREDE - FORNECIMENTO E INSTALAÇÃO. AF_03/2023</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</si>
  <si>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</si>
  <si>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</si>
  <si>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</si>
  <si>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40 MM (1 1/4"), PARA CIRCUITOS TERMINAIS, INSTALADO EM FORRO - FORNECIMENTO E INSTALAÇÃO. AF_03/2023</t>
  </si>
  <si>
    <t>ELETRODUTO RÍGIDO ROSCÁVEL, PVC, DN 20 MM (1/2"), PARA CIRCUITOS TERMINAIS, INSTALADO EM LAJE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</si>
  <si>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</si>
  <si>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</si>
  <si>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</si>
  <si>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ELETRODUTO RÍGIDO ROSCÁVEL, PVC, DN 20 MM (1/2"), PARA CIRCUITOS TERMINAIS, INSTALADO EM PAREDE - FORNECIMENTO E INSTALAÇÃO. AF_03/2023</t>
  </si>
  <si>
    <t>ELETRODUTO RÍGIDO ROSCÁVEL, PVC, DN 40 MM (1 1/4"), PARA CIRCUITOS TERMINAIS, INSTALADO EM PAREDE - FORNECIMENTO E INSTALAÇÃO. AF_03/2023</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</si>
  <si>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</si>
  <si>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</si>
  <si>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</si>
  <si>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</si>
  <si>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</si>
  <si>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</si>
  <si>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</si>
  <si>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</si>
  <si>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</si>
  <si>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20 MM (1/2"), PARA CIRCUITOS TERMINAIS, INSTALADA EM FORRO - FORNECIMENTO E INSTALAÇÃO. AF_03/2023</t>
  </si>
  <si>
    <t>LUVA PARA ELETRODUTO, PVC, ROSCÁVEL, DN 25 MM (3/4"), PARA CIRCUITOS TERMINAIS, INSTALADA EM FORRO - FORNECIMENTO E INSTALAÇÃO. AF_03/2023</t>
  </si>
  <si>
    <t>LUVA PARA ELETRODUTO, PVC, ROSCÁVEL, DN 32 MM (1"), PARA CIRCUITOS TERMINAIS, INSTALADA EM FORRO - FORNECIMENTO E INSTALAÇÃO. AF_03/2023</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</si>
  <si>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</si>
  <si>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</si>
  <si>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</si>
  <si>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</si>
  <si>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</si>
  <si>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</si>
  <si>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</si>
  <si>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</si>
  <si>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</si>
  <si>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</si>
  <si>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</si>
  <si>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25 MM (3/4"), PARA CIRCUITOS TERMINAIS, INSTALADA EM FORRO - FORNECIMENTO E INSTALAÇÃO. AF_03/2023</t>
  </si>
  <si>
    <t>CURVA 180 GRAUS PARA ELETRODUTO, PVC, ROSCÁVEL, DN 25 MM (3/4"), PARA CIRCUITOS TERMINAIS, INSTALADA EM FORRO - FORNECIMENTO E INSTALAÇÃO. AF_03/2023</t>
  </si>
  <si>
    <t>CURVA 90 GRAUS PARA ELETRODUTO, PVC, ROSCÁVEL, DN 32 MM (1"),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</si>
  <si>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</si>
  <si>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</si>
  <si>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</si>
  <si>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</si>
  <si>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</si>
  <si>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</si>
  <si>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</si>
  <si>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</si>
  <si>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</si>
  <si>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</si>
  <si>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</si>
  <si>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</si>
  <si>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CURVA 180 GRAUS PARA ELETRODUTO, PVC, ROSCÁVEL, DN 20 MM (1/2"),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</si>
  <si>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</si>
  <si>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</si>
  <si>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</si>
  <si>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</si>
  <si>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CURVA 90 GRAUS PARA ELETRODUTO, PVC, ROSCÁVEL, DN 40 MM (1 1/4"), PARA CIRCUITOS TERMINAIS, INSTALADA EM PAREDE - FORNECIMENTO E INSTALAÇÃO. AF_03/2023</t>
  </si>
  <si>
    <t>CURVA 180 GRAUS PARA ELETRODUTO, PVC, ROSCÁVEL, DN 40 MM (1 1/4"), PARA CIRCUITOS TERMINAIS, INSTALADA EM PAREDE - FORNECIMENTO E INSTALAÇÃO. AF_03/2023</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</si>
  <si>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</si>
  <si>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</si>
  <si>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</si>
  <si>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</si>
  <si>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</si>
  <si>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</si>
  <si>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</si>
  <si>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</si>
  <si>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</si>
  <si>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</si>
  <si>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</si>
  <si>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</si>
  <si>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</si>
  <si>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CONDULETE DE PVC, TIPO E, PARA ELETRODUTO DE PVC SOLDÁVEL DN 20 MM (1/2''), APARENTE - FORNECIMENTO E INSTALAÇÃO. AF_10/2022</t>
  </si>
  <si>
    <t>CABO DE COBRE FLEXÍVEL ISOLADO, 1,5 MM², ANTI-CHAMA 450/750 V, PARA CIRCUITOS TERMINAIS - FORNECIMENTO E INSTALAÇÃO. AF_03/2023</t>
  </si>
  <si>
    <t>CABO DE COBRE FLEXÍVEL ISOLADO, 1,5 MM², ANTI-CHAMA 0,6/1,0 KV, PARA CIRCUITOS TERMINAIS - FORNECIMENTO E INSTALAÇÃO. AF_03/2023</t>
  </si>
  <si>
    <t>CABO DE COBRE FLEXÍVEL ISOLADO, 2,5 MM², ANTI-CHAMA 0,6/1,0 KV, PARA CIRCUITOS TERMINAIS - FORNECIMENTO E INSTALAÇÃO. AF_03/2023</t>
  </si>
  <si>
    <t>CABO DE COBRE FLEXÍVEL ISOLADO, 4 MM², ANTI-CHAMA 0,6/1,0 KV, PARA CIRCUITOS TERMINAIS - FORNECIMENTO E INSTALAÇÃO. AF_03/2023</t>
  </si>
  <si>
    <t>CABO DE COBRE FLEXÍVEL ISOLADO, 6 MM², ANTI-CHAMA 450/750 V, PARA CIRCUITOS TERMINAIS - FORNECIMENTO E INSTALAÇÃO. AF_03/2023</t>
  </si>
  <si>
    <t>CABO DE COBRE FLEXÍVEL ISOLADO, 6 MM², ANTI-CHAMA 0,6/1,0 KV, PARA CIRCUITOS TERMINAIS - FORNECIMENTO E INSTALAÇÃO. AF_03/2023</t>
  </si>
  <si>
    <t>CABO DE COBRE FLEXÍVEL ISOLADO, 10 MM², ANTI-CHAMA 450/750 V, PARA CIRCUITOS TERMINAIS - FORNECIMENTO E INSTALAÇÃO. AF_03/2023</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</si>
  <si>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</si>
  <si>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</si>
  <si>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16 MM², ANTI-CHAMA 0,6/1,0 KV, PARA CIRCUITOS TERMINAIS - FORNECIMENTO E INSTALAÇÃO. AF_03/2023</t>
  </si>
  <si>
    <t>CABO DE COBRE FLEXÍVEL ISOLADO, 10 MM², ANTI-CHAMA 450/750 V, PARA DISTRIBUIÇÃO - FORNECIMENTO E INSTALAÇÃO. AF_10/2020</t>
  </si>
  <si>
    <t>CABO DE COBRE FLEXÍVEL ISOLADO, 10 MM², ANTI-CHAMA 0,6/1,0 KV, PARA DISTRIBUIÇÃO - FORNECIMENTO E INSTALAÇÃO. AF_10/2020</t>
  </si>
  <si>
    <t>CABO DE COBRE FLEXÍVEL ISOLADO, 16 MM², ANTI-CHAMA 450/750 V, PARA DISTRIBUIÇÃO - FORNECIMENTO E INSTALAÇÃO. AF_10/2020</t>
  </si>
  <si>
    <t>CABO DE COBRE FLEXÍVEL ISOLADO, 16 MM², ANTI-CHAMA 0,6/1,0 KV, PARA DISTRIBUIÇÃO - FORNECIMENTO E INSTALAÇÃO. AF_10/2020</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</si>
  <si>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</si>
  <si>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</si>
  <si>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</si>
  <si>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</si>
  <si>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</si>
  <si>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</si>
  <si>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</si>
  <si>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</si>
  <si>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</si>
  <si>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</si>
  <si>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</si>
  <si>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</si>
  <si>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</si>
  <si>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</si>
  <si>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</si>
  <si>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OCTOGONAL 4" X 4", PVC, INSTALADA EM LAJE - FORNECIMENTO E INSTALAÇÃO. AF_03/2023</t>
  </si>
  <si>
    <t>CAIXA OCTOGONAL 3" X 3", PVC, INSTALADA EM LAJE - FORNECIMENTO E INSTALAÇÃO. AF_03/2023</t>
  </si>
  <si>
    <t>CAIXA RETANGULAR 4" X 2" ALTA (2,00 M DO PISO), PVC, INSTALADA EM PAREDE - FORNECIMENTO E INSTALAÇÃO. AF_03/2023</t>
  </si>
  <si>
    <t>CAIXA RETANGULAR 4" X 2" MÉDIA (1,30 M DO PISO), PVC, INSTALADA EM PAREDE - FORNECIMENTO E INSTALAÇÃO. AF_03/2023</t>
  </si>
  <si>
    <t>CAIXA RETANGULAR 4" X 2" BAIXA (0,30 M DO PISO), PVC, INSTALADA EM PAREDE - FORNECIMENTO E INSTALAÇÃO. AF_03/2023</t>
  </si>
  <si>
    <t>CAIXA RETANGULAR 4" X 4" MÉDIA (1,30 M DO PISO), PVC, INSTALADA EM PAREDE - FORNECIMENTO E INSTALAÇÃO. AF_03/2023</t>
  </si>
  <si>
    <t>CAIXA RETANGULAR 4" X 4" BAIXA (0,30 M DO PISO), PVC, INSTALADA EM PAREDE - FORNECIMENTO E INSTALAÇÃO. AF_03/2023</t>
  </si>
  <si>
    <t>CAIXA OCTOGONAL 4" X 4", METÁLICA, INSTALADA EM LAJE - FORNECIMENTO E INSTALAÇÃO. AF_03/2023</t>
  </si>
  <si>
    <t>CAIXA SEXTAVADA 3" X 3", METÁLICA, INSTALADA EM LAJE - FORNECIMENTO E INSTALAÇÃO. AF_03/2023</t>
  </si>
  <si>
    <t>CAIXA RETANGULAR 4" X 2" ALTA (2,00 M DO PISO), METÁLICA, INSTALADA EM PAREDE - FORNECIMENTO E INSTALAÇÃO. AF_03/2023</t>
  </si>
  <si>
    <t>CAIXA RETANGULAR 4" X 2" MÉDIA (1,30 M DO PISO), METÁLICA, INSTALADA EM PAREDE - FORNECIMENTO E INSTALAÇÃO. AF_03/2023</t>
  </si>
  <si>
    <t>CAIXA RETANGULAR 4" X 2" BAIXA (0,30 M DO PISO), METÁLICA, INSTALADA EM PAREDE - FORNECIMENTO E INSTALAÇÃO. AF_03/2023</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</si>
  <si>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</si>
  <si>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</si>
  <si>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</si>
  <si>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</si>
  <si>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</si>
  <si>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</si>
  <si>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</si>
  <si>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</si>
  <si>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</si>
  <si>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</si>
  <si>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</si>
  <si>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</si>
  <si>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</si>
  <si>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</si>
  <si>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</si>
  <si>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</si>
  <si>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</si>
  <si>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</si>
  <si>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</si>
  <si>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</si>
  <si>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</si>
  <si>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</si>
  <si>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</si>
  <si>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</si>
  <si>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</si>
  <si>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</si>
  <si>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</si>
  <si>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</si>
  <si>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</si>
  <si>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</si>
  <si>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</si>
  <si>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</si>
  <si>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25 MM (3/4"), APARENTE - FORNECIMENTO E INSTALAÇÃO. AF_10/2022</t>
  </si>
  <si>
    <t>CONDULETE DE PVC, TIPO X, PARA ELETRODUTO DE PVC SOLDÁVEL DN 32 MM (1''), APARENTE - FORNECIMENTO E INSTALAÇÃO. AF_10/2022</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</si>
  <si>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</si>
  <si>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</si>
  <si>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</si>
  <si>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</si>
  <si>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</si>
  <si>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</si>
  <si>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</si>
  <si>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</si>
  <si>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</si>
  <si>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</si>
  <si>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</si>
  <si>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</si>
  <si>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1X1X0,6 M. AF_12/2020</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</si>
  <si>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</si>
  <si>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</si>
  <si>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</si>
  <si>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</si>
  <si>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</si>
  <si>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</si>
  <si>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</si>
  <si>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</si>
  <si>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</si>
  <si>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</si>
  <si>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DISJUNTOR MONOPOLAR TIPO DIN, CORRENTE NOMINAL DE 10A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</si>
  <si>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</si>
  <si>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</si>
  <si>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</si>
  <si>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</si>
  <si>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</si>
  <si>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</si>
  <si>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</si>
  <si>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</si>
  <si>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</si>
  <si>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</si>
  <si>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</si>
  <si>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</si>
  <si>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</si>
  <si>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</si>
  <si>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</si>
  <si>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</si>
  <si>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</si>
  <si>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</si>
  <si>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</si>
  <si>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</si>
  <si>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</si>
  <si>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</si>
  <si>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</si>
  <si>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</si>
  <si>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</si>
  <si>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</si>
  <si>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</si>
  <si>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</si>
  <si>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</si>
  <si>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</si>
  <si>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</si>
  <si>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</si>
  <si>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</si>
  <si>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</si>
  <si>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</si>
  <si>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</si>
  <si>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</si>
  <si>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</si>
  <si>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</si>
  <si>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</si>
  <si>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</si>
  <si>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SUPORTE PARAFUSADO COM PLACA DE ENCAIXE 4" X 2" ALTO (2,00 M DO PISO) PARA PONTO ELÉTRICO - FORNECIMENTO E INSTALAÇÃO. AF_03/2023</t>
  </si>
  <si>
    <t>SUPORTE PARAFUSADO COM PLACA DE ENCAIXE 4" X 2" MÉDIO (1,30 M DO PISO) PARA PONTO ELÉTRICO - FORNECIMENTO E INSTALAÇÃO. AF_03/2023</t>
  </si>
  <si>
    <t>SUPORTE PARAFUSADO COM PLACA DE ENCAIXE 4" X 2" BAIXO (0,30 M DO PISO) PARA PONTO ELÉTRICO - FORNECIMENTO E INSTALAÇÃO. AF_03/2023</t>
  </si>
  <si>
    <t>SUPORTE PARAFUSADO COM PLACA DE ENCAIXE 4" X 4" ALTO (2,00 M DO PISO) PARA PONTO ELÉTRICO - FORNECIMENTO E INSTALAÇÃO. AF_03/2023</t>
  </si>
  <si>
    <t>SUPORTE PARAFUSADO COM PLACA DE ENCAIXE 4" X 4" MÉDIO (1,30 M DO PISO) PARA PONTO ELÉTRICO - FORNECIMENTO E INSTALAÇÃO. AF_03/2023</t>
  </si>
  <si>
    <t>SUPORTE PARAFUSADO COM PLACA DE ENCAIXE 4" X 4" BAIXO (0,30 M DO PISO) PARA PONTO ELÉTRICO - FORNECIMENTO E INSTALAÇÃO. AF_03/2023</t>
  </si>
  <si>
    <t>INTERRUPTOR SIMPLES (1 MÓDULO), 10A/250V, SEM SUPORTE E SEM PLACA - FORNECIMENTO E INSTALAÇÃO. AF_03/2023</t>
  </si>
  <si>
    <t>INTERRUPTOR PARALELO (1 MÓDULO), 10A/250V, SEM SUPORTE E SEM PLACA - FORNECIMENTO E INSTALAÇÃO. AF_03/2023</t>
  </si>
  <si>
    <t>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</si>
  <si>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</si>
  <si>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(1 MÓDULO), 10A/250V, INCLUINDO SUPORTE E PLACA - FORNECIMENTO E INSTALAÇÃO. AF_03/2023</t>
  </si>
  <si>
    <t>INTERRUPTOR SIMPLES (2 MÓDULOS), 10A/250V, SEM SUPORTE E SEM PLACA - FORNECIMENTO E INSTALAÇÃO. AF_03/2023</t>
  </si>
  <si>
    <t>INTERRUPTOR SIMPLES (2 MÓDULOS), 10A/250V, INCLUINDO SUPORTE E PLACA - FORNECIMENTO E INSTALAÇÃO. AF_03/2023</t>
  </si>
  <si>
    <t>INTERRUPTOR PARALELO (2 MÓDULOS), 10A/250V, SEM SUPORTE E SEM PLACA - FORNECIMENTO E INSTALAÇÃO. AF_03/2023</t>
  </si>
  <si>
    <t>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</si>
  <si>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</si>
  <si>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</si>
  <si>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</si>
  <si>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</si>
  <si>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SIMPLES (3 MÓDULOS), 10A/250V, SEM SUPORTE E SEM PLACA - FORNECIMENTO E INSTALAÇÃO. AF_03/2023</t>
  </si>
  <si>
    <t>INTERRUPTOR PARALELO (3 MÓDULOS), 10A/250V, SEM SUPORTE E SEM PLACA - FORNECIMENTO E INSTALAÇÃO. AF_03/2023</t>
  </si>
  <si>
    <t>INTERRUPTOR PARALELO (3 MÓDULOS), 10A/250V, INCLUINDO SUPORTE E PLACA - FORNECIMENTO E INSTALAÇÃO. AF_03/2023</t>
  </si>
  <si>
    <t>INTERRUPTOR SIMPLES (3 MÓDULOS) COM INTERRUPTOR PARALELO (1 MÓDULO), 10A/250V, SEM SUPORTE E SEM PLACA - FORNECIMENTO E INSTALAÇÃO. AF_03/2023</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</si>
  <si>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</si>
  <si>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</si>
  <si>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</si>
  <si>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</si>
  <si>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</si>
  <si>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</si>
  <si>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</si>
  <si>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</si>
  <si>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INTERRUPTOR INTERMEDIÁRIO (1 MÓDULO), 10A/250V, INCLUINDO SUPORTE E PLACA - FORNECIMENTO E INSTALAÇÃO. AF_03/2023</t>
  </si>
  <si>
    <t>INTERRUPTOR BIPOLAR (1 MÓDULO), 10A/250V, SEM SUPORTE E SEM PLACA - FORNECIMENTO E INSTALAÇÃO. AF_03/2023</t>
  </si>
  <si>
    <t>INTERRUPTOR BIPOLAR (1 MÓDULO), 10A/250V, INCLUINDO SUPORTE E PLACA - FORNECIMENTO E INSTALAÇÃO. AF_03/2023</t>
  </si>
  <si>
    <t>DIMMER ROTATIVO (1 MÓDULO), 220V/600W, SEM SUPORTE E SEM PLACA - FORNECIMENTO E INSTALAÇÃO. AF_03/2023</t>
  </si>
  <si>
    <t>DIMMER ROTATIVO (1 MÓDULO), 220V/600W, INCLUINDO SUPORTE E PLACA - FORNECIMENTO E INSTALAÇÃO. AF_03/2023</t>
  </si>
  <si>
    <t>INTERRUPTOR PULSADOR CAMPAINHA (1 MÓDULO), 10A/250V, SEM SUPORTE E SEM PLACA - FORNECIMENTO E INSTALAÇÃO. AF_03/2023</t>
  </si>
  <si>
    <t>INTERRUPTOR PULSADOR CAMPAINHA (1 MÓDULO), 10A/250V, INCLUINDO SUPORTE E PLACA - FORNECIMENTO E INSTALAÇÃO. AF_03/2023</t>
  </si>
  <si>
    <t>CAMPAINHA CIGARRA (1 MÓDULO), 10A/250V, SEM SUPORTE E SEM PLACA - FORNECIMENTO E INSTALAÇÃO. AF_03/2023</t>
  </si>
  <si>
    <t>CAMPAINHA CIGARRA (1 MÓDULO), 10A/250V, INCLUINDO SUPORTE E PLACA - FORNECIMENTO E INSTALAÇÃO. AF_03/2023</t>
  </si>
  <si>
    <t>INTERRUPTOR PULSADOR MINUTERIA (1 MÓDULO), 10A/250V, SEM SUPORTE E SEM PLACA - FORNECIMENTO E INSTALAÇÃO. AF_03/2023</t>
  </si>
  <si>
    <t>INTERRUPTOR PULSADOR MINUTERIA (1 MÓDULO), 10A/250V, INCLUINDO SUPORTE E PLACA - FORNECIMENTO E INSTALAÇÃO. AF_03/2023</t>
  </si>
  <si>
    <t>TOMADA ALTA DE EMBUTIR (1 MÓDULO), 2P+T 10 A, SEM SUPORTE E SEM PLACA - FORNECIMENTO E INSTALAÇÃO. AF_03/2023</t>
  </si>
  <si>
    <t>TOMADA ALTA DE EMBUTIR (1 MÓDULO), 2P+T 20 A, SEM SUPORTE E SEM PLACA - FORNECIMENTO E INSTALAÇÃO. AF_03/2023</t>
  </si>
  <si>
    <t>TOMADA ALTA DE EMBUTIR (1 MÓDULO), 2P+T 20 A, INCLUINDO SUPORTE E PLACA - FORNECIMENTO E INSTALAÇÃO. AF_03/2023</t>
  </si>
  <si>
    <t>TOMADA MÉDIA DE EMBUTIR (1 MÓDULO), 2P+T 10 A, SEM SUPORTE E SEM PLACA - FORNECIMENTO E INSTALAÇÃO. AF_03/2023</t>
  </si>
  <si>
    <t>TOMADA MÉDIA DE EMBUTIR (1 MÓDULO), 2P+T 20 A, SEM SUPORTE E SEM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</si>
  <si>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</si>
  <si>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</si>
  <si>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</si>
  <si>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</si>
  <si>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BAIXA DE EMBUTIR (1 MÓDULO), 2P+T 10 A, INCLUINDO SUPORTE E PLACA - FORNECIMENTO E INSTALAÇÃO. AF_03/2023</t>
  </si>
  <si>
    <t>TOMADA BAIXA DE EMBUTIR (1 MÓDULO), 2P+T 20 A, INCLUINDO SUPORTE E PLACA - FORNECIMENTO E INSTALAÇÃO. AF_03/2023</t>
  </si>
  <si>
    <t>TOMADA MÉDIA DE EMBUTIR (2 MÓDULOS), 2P+T 10 A, SEM SUPORTE E SEM PLACA - FORNECIMENTO E INSTALAÇÃO. AF_03/2023</t>
  </si>
  <si>
    <t>TOMADA MÉDIA DE EMBUTIR (2 MÓDULOS), 2P+T 20 A, SEM SUPORTE E SEM PLACA - FORNECIMENTO E INSTALAÇÃO. AF_03/2023</t>
  </si>
  <si>
    <t>TOMADA MÉDIA DE EMBUTIR (2 MÓDULOS), 2P+T 20 A, INCLUINDO SUPORTE E PLACA - FORNECIMENTO E INSTALAÇÃO. AF_03/2023</t>
  </si>
  <si>
    <t>TOMADA BAIXA DE EMBUTIR (2 MÓDULOS), 2P+T 10 A, SEM SUPORTE E SEM PLACA - FORNECIMENTO E INSTALAÇÃO. AF_03/2023</t>
  </si>
  <si>
    <t>TOMADA BAIXA DE EMBUTIR (2 MÓDULOS), 2P+T 20 A, SEM SUPORTE E SEM PLACA - FORNECIMENTO E INSTALAÇÃO. AF_03/2023</t>
  </si>
  <si>
    <t>TOMADA BAIXA DE EMBUTIR (2 MÓDULOS), 2P+T 10 A, INCLUINDO SUPORTE E PLACA - FORNECIMENTO E INSTALAÇÃO. AF_03/2023</t>
  </si>
  <si>
    <t>TOMADA BAIXA DE EMBUTIR (2 MÓDULOS), 2P+T 20 A, INCLUINDO SUPORTE E PLACA - FORNECIMENTO E INSTALAÇÃO. AF_03/2023</t>
  </si>
  <si>
    <t>TOMADA MÉDIA DE EMBUTIR (3 MÓDULOS), 2P+T 10 A, SEM SUPORTE E SEM PLACA - FORNECIMENTO E INSTALAÇÃO. AF_03/2023</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</si>
  <si>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</si>
  <si>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</si>
  <si>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</si>
  <si>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</si>
  <si>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</si>
  <si>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</si>
  <si>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</si>
  <si>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</si>
  <si>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</si>
  <si>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</si>
  <si>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</si>
  <si>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SEM SUPORTE E SEM PLACA - FORNECIMENTO E INSTALAÇÃO. AF_03/2023</t>
  </si>
  <si>
    <t>INTERRUPTOR SIMPLES (1 MÓDULO) COM 1 TOMADA DE EMBUTIR 2P+T 10 A, INCLUINDO SUPORTE E PLACA - FORNECIMENTO E INSTALAÇÃO. AF_03/2023</t>
  </si>
  <si>
    <t>INTERRUPTOR SIMPLES (1 MÓDULO) COM 2 TOMADAS DE EMBUTIR 2P+T 10 A, SEM SUPORTE E SEM PLACA - FORNECIMENTO E INSTALAÇÃO. AF_03/2023</t>
  </si>
  <si>
    <t>INTERRUPTOR SIMPLES (1 MÓDULO) COM 2 TOMADAS DE EMBUTIR 2P+T 10 A, INCLUINDO SUPORTE E PLACA - FORNECIMENTO E INSTALAÇÃO. AF_03/2023</t>
  </si>
  <si>
    <t>INTERRUPTOR SIMPLES (2 MÓDULOS) COM 1 TOMADA DE EMBUTIR 2P+T 10 A, SEM SUPORTE E SEM PLACA - FORNECIMENTO E INSTALAÇÃO. AF_03/2023</t>
  </si>
  <si>
    <t>INTERRUPTOR PARALELO (1 MÓDULO) COM 1 TOMADA DE EMBUTIR 2P+T 10 A, SEM SUPORTE E SEM PLACA - FORNECIMENTO E INSTALAÇÃO. AF_03/2023</t>
  </si>
  <si>
    <t>INTERRUPTOR PARALELO (1 MÓDULO) COM 1 TOMADA DE EMBUTIR 2P+T 10 A, INCLUINDO SUPORTE E PLACA - FORNECIMENTO E INSTALAÇÃO. AF_03/2023</t>
  </si>
  <si>
    <t>INTERRUPTOR PARALELO (1 MÓDULO) COM 2 TOMADAS DE EMBUTIR 2P+T 10 A, SEM SUPORTE E SEM PLACA - FORNECIMENTO E INSTALAÇÃO. AF_03/2023</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</si>
  <si>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</si>
  <si>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</si>
  <si>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INTERRUPTOR PARALELO (2 MÓDULOS) COM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</si>
  <si>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</si>
  <si>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</si>
  <si>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</si>
  <si>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</si>
  <si>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</si>
  <si>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</si>
  <si>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</si>
  <si>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</si>
  <si>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</si>
  <si>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</si>
  <si>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</si>
  <si>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</si>
  <si>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</si>
  <si>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</si>
  <si>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</si>
  <si>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</si>
  <si>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</si>
  <si>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</si>
  <si>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</si>
  <si>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</si>
  <si>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</si>
  <si>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</si>
  <si>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</si>
  <si>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</si>
  <si>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</si>
  <si>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</si>
  <si>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</si>
  <si>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</si>
  <si>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</si>
  <si>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</si>
  <si>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</si>
  <si>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</si>
  <si>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</si>
  <si>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</si>
  <si>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</si>
  <si>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</si>
  <si>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</si>
  <si>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</si>
  <si>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</si>
  <si>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</si>
  <si>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</si>
  <si>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</si>
  <si>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</si>
  <si>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</si>
  <si>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</si>
  <si>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</si>
  <si>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</si>
  <si>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</si>
  <si>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</si>
  <si>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</si>
  <si>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</si>
  <si>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</si>
  <si>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</si>
  <si>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</si>
  <si>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</si>
  <si>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CABO DE COBRE FLEXÍVEL ISOLADO, 10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</si>
  <si>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</si>
  <si>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</si>
  <si>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</si>
  <si>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</si>
  <si>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</si>
  <si>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</si>
  <si>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</si>
  <si>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</si>
  <si>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</si>
  <si>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</si>
  <si>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</si>
  <si>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</si>
  <si>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</si>
  <si>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</si>
  <si>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</si>
  <si>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</si>
  <si>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</si>
  <si>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</si>
  <si>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CORDOALHA DE COBRE NU 35 MM², NÃO ENTERRADA, COM ISOLADOR - FORNECIMENTO E INSTALAÇÃO. AF_08/2023</t>
  </si>
  <si>
    <t>CORDOALHA DE COBRE NU 50 MM², NÃO ENTERRADA, COM ISOLADOR - FORNECIMENTO E INSTALAÇÃO. AF_08/2023</t>
  </si>
  <si>
    <t>CORDOALHA DE COBRE NU 70 MM², NÃO ENTERRADA, COM ISOLADOR - FORNECIMENTO E INSTALAÇÃO. AF_08/2023</t>
  </si>
  <si>
    <t>CORDOALHA DE COBRE NU 95 MM², NÃO ENTERRADA, COM ISOLADOR - FORNECIMENTO E INSTALAÇÃO. AF_08/2023</t>
  </si>
  <si>
    <t>CORDOALHA DE COBRE NU 50 MM², ENTERRADA - FORNECIMENTO E INSTALAÇÃO. AF_08/2023</t>
  </si>
  <si>
    <t>CORDOALHA DE COBRE NU 70 MM², ENTERRADA - FORNECIMENTO E INSTALAÇÃO. AF_08/2023</t>
  </si>
  <si>
    <t>CORDOALHA DE COBRE NU 95 MM², ENTERRADA - FORNECIMENTO E INSTALAÇÃO. AF_08/2023</t>
  </si>
  <si>
    <t>ELETRODUTO PVC RÍGIDO, DIÂMETRO 40MM, COM 3 METROS, PARA SPDA - FORNECIMENTO E INSTALAÇÃO. AF_08/2023</t>
  </si>
  <si>
    <t>HASTE DE ATERRAMENTO, DIÂMETRO 5/8", COM 3 METROS - FORNECIMENTO E INSTALAÇÃO. AF_08/2023</t>
  </si>
  <si>
    <t>HASTE DE ATERRAMENTO, DIÂMETRO 3/4", COM 3 METROS - FORNECIMENTO E INSTALAÇÃO. AF_08/2023</t>
  </si>
  <si>
    <t>MASTRO 1 ½", COM 3 METROS, PARA SPDA - FORNECIMENTO E INSTALAÇÃO. AF_08/2023</t>
  </si>
  <si>
    <t>CAPTOR TIPO FRANKLIN PARA SPDA - FORNECIMENTO E INSTALAÇÃO. AF_08/2023</t>
  </si>
  <si>
    <t>SUPORTE ISOLADOR PARA FIXAÇÃO DA CORDOALHA DE COBRE EM ALVENARIA OU CONCRETO - FORNECIMENTO E INSTALAÇÃO. AF_08/2023</t>
  </si>
  <si>
    <t>MINI CAPTOR PARA SPDA - FORNECIMENTO E INSTALAÇÃO. AF_08/2023</t>
  </si>
  <si>
    <t>CONECTOR GRAMPO METÁLICO TIPO OLHAL, PARA SPDA, PARA HASTE DE ATERRAMENTO DE 3/4'' E CABOS DE 10 A 50 MM2 - FORNECIMENTO E INSTALAÇÃO. AF_08/2023</t>
  </si>
  <si>
    <t>CONECTOR GRAMPO METÁLICO TIPO OLHAL, PARA SPDA, PARA HASTE DE ATERRAMENTO DE 5/8'' E CABOS DE 10 A 50 MM2 - FORNECIMENTO E INSTALAÇÃO. AF_08/2023</t>
  </si>
  <si>
    <t>CONECTOR GRAMPO PARALELO METÁLICO, PARA SPDA, PARA CABOS DE 6 A 50 MM2 - FORNECIMENTO E INSTALAÇÃO. AF_08/2023</t>
  </si>
  <si>
    <t>CONECTOR SPLIT-BOLT, PARA SPDA, PARA CABOS ATÉ 35 MM2 - FORNECIMENTO E INSTALAÇÃO. AF_08/2023</t>
  </si>
  <si>
    <t>CONECTOR SPLIT-BOLT, PARA SPDA, PARA CABOS ATÉ 50 MM2 - FORNECIMENTO E INSTALAÇÃO. AF_08/2023</t>
  </si>
  <si>
    <t>CONECTOR SPLIT-BOLT, PARA SPDA, PARA CABOS ATÉ 70 MM2 - FORNECIMENTO E INSTALAÇÃO. AF_08/2023</t>
  </si>
  <si>
    <t>CONECTOR SPLIT-BOLT, PARA SPDA, PARA CABOS ATÉ 95 MM2 - FORNECIMENTO E INSTALAÇÃO. AF_08/2023</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</si>
  <si>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</si>
  <si>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</si>
  <si>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FURO MANUAL EM ALVENARIA, PARA INSTALAÇÕES ELÉTRICAS, DIÂMETROS MENORES OU IGUAIS A 40 MM. AF_09/2023</t>
  </si>
  <si>
    <t>FURO MANUAL EM ALVENARIA, PARA INSTALAÇÕES ELÉTRICAS, DIÂMETROS MAIORES QUE 40 MM E MENORES OU IGUAIS A 75 MM. AF_09/2023</t>
  </si>
  <si>
    <t>FURO MANUAL EM ALVENARIA, PARA INSTALAÇÕES ELÉTRICAS, DIÂMETROS MAIORES QUE 75 MM E MENORES OU IGUAIS A 100 MM. AF_09/2023</t>
  </si>
  <si>
    <t>FURO MECANIZADO EM CONCRETO, COM MARTELO DEMOLIDOR, PARA INSTALAÇÕES ELÉTRICAS, DIÂMETROS MENORES OU IGUAIS A 40 MM. AF_09/2023</t>
  </si>
  <si>
    <t>FURO MECANIZADO EM CONCRETO, COM MARTELO DEMOLIDOR, PARA INSTALAÇÕES ELÉTRICAS, DIÂMETROS MAIORES QUE 40 MM E MENORES OU IGUAIS A 75 MM. AF_09/2023</t>
  </si>
  <si>
    <t>FURO MECANIZADO EM CONCRETO, COM MARTELO DEMOLIDOR, PARA INSTALAÇÕES ELÉTRICAS, DIÂMETROS MAIORES QUE 75 MM E MENORES OU IGUAIS A 150 MM. AF_09/2023</t>
  </si>
  <si>
    <t>SUPORTE PARA 2 ELETRODUTOS, ESPAÇADO A CADA 80 CM, EM PERFILADO COM COMPRIMENTO DE 25 CM FIXADO EM LAJE, POR METRO DE ELETRODUTO FIXADO. AF_09/2023</t>
  </si>
  <si>
    <t>SUPORTE PARA 4 ELETRODUTOS, ESPAÇADO A CADA 80 CM, EM PERFILADO COM COMPRIMENTO DE 42 CM FIXADO EM LAJE, POR METRO DE ELETRODUTO FIXADO. AF_09/2023</t>
  </si>
  <si>
    <t>CHUMBAMENTO LINEAR EM ALVENARIA PARA ELETRODUTOS COM DIÂMETROS MENORES OU IGUAIS A 40 MM. AF_09/2023</t>
  </si>
  <si>
    <t>FURO MECANIZADO EM ALVENARIA, PARA INSTALAÇÕES ELÉTRICAS, DIÂMETROS MENORES OU IGUAIS A 40 MM. AF_09/2023</t>
  </si>
  <si>
    <t>FURO MECANIZADO EM ALVENARIA, PARA INSTALAÇÕES ELÉTRICAS, DIÂMETROS MAIORES QUE 40 MM E MENORES OU IGUAIS A 75 MM. AF_09/2023</t>
  </si>
  <si>
    <t>FURO MECANIZADO EM ALVENARIA, PARA INSTALAÇÕES ELÉTRICAS, DIÂMETROS MAIORES QUE 75 MM E MENORES OU IGUAIS A 100 MM. AF_09/2023</t>
  </si>
  <si>
    <t>FURO MECANIZADO EM CONCRETO, COM PERFURATRIZ, PARA INSTALAÇÕES ELÉTRICAS, DIÂMETROS MENORES OU IGUAIS A 40 MM. AF_09/2023</t>
  </si>
  <si>
    <t>FURO MECANIZADO EM CONCRETO, COM PERFURATRIZ, PARA INSTALAÇÕES ELÉTRICAS, DIÂMETROS MAIORES QUE 40 MM E MENORES OU IGUAIS A 75 MM. AF_09/2023</t>
  </si>
  <si>
    <t>FURO MECANIZADO EM CONCRETO, COM PERFURATRIZ, PARA INSTALAÇÕES ELÉTRICAS, DIÂMETROS MAIORES QUE 75 MM E MENORES OU IGUAIS A 150 MM. AF_09/2023</t>
  </si>
  <si>
    <t>RASGO LINEAR MECANIZADO EM ALVENARIA, PARA ELETRODUTOS, DIÂMETROS MENORES OU IGUAIS A 40 MM. AF_09/2023</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</si>
  <si>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</si>
  <si>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</si>
  <si>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</si>
  <si>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</si>
  <si>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</si>
  <si>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</si>
  <si>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</si>
  <si>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</si>
  <si>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</si>
  <si>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</si>
  <si>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</si>
  <si>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</si>
  <si>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</si>
  <si>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</si>
  <si>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</si>
  <si>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</si>
  <si>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</si>
  <si>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</si>
  <si>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</si>
  <si>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</si>
  <si>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</si>
  <si>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</si>
  <si>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</si>
  <si>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</si>
  <si>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</si>
  <si>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</si>
  <si>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</si>
  <si>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</si>
  <si>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</si>
  <si>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</si>
  <si>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</si>
  <si>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</si>
  <si>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</si>
  <si>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</si>
  <si>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</si>
  <si>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</si>
  <si>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</si>
  <si>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</si>
  <si>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</si>
  <si>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</si>
  <si>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</si>
  <si>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</si>
  <si>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</si>
  <si>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</si>
  <si>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</si>
  <si>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</si>
  <si>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</si>
  <si>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</si>
  <si>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</si>
  <si>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</si>
  <si>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</si>
  <si>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</si>
  <si>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</si>
  <si>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</si>
  <si>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</si>
  <si>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</si>
  <si>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</si>
  <si>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</si>
  <si>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</si>
  <si>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PINTURA ANTICORROSIVA DE DUTO METÁLICO. AF_03/2024</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</si>
  <si>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</si>
  <si>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</si>
  <si>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</si>
  <si>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</si>
  <si>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</si>
  <si>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</si>
  <si>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</si>
  <si>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</si>
  <si>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</si>
  <si>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</si>
  <si>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</si>
  <si>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</si>
  <si>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</si>
  <si>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</si>
  <si>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</si>
  <si>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</si>
  <si>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</si>
  <si>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</si>
  <si>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</si>
  <si>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</si>
  <si>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</si>
  <si>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</si>
  <si>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</si>
  <si>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</si>
  <si>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</si>
  <si>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</si>
  <si>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</si>
  <si>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</si>
  <si>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RASGO E CHUMBAMENTO EM ALVENARIA PARA TUBOS DE SPLIT PAREDE DE 9000 A 24000 BTUS/H. AF_11/2021</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</si>
  <si>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</si>
  <si>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</si>
  <si>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</si>
  <si>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</si>
  <si>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</si>
  <si>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</si>
  <si>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CABO ELETRÔNICO CATEGORIA 6A, INSTALADO EM EDIFICAÇÃO RESIDENCIAL - FORNECIMENTO E INSTALAÇÃO. AF_11/2019</t>
  </si>
  <si>
    <t>CABO ELETRÔNICO CATEGORIA 6A, INSTALADO EM EDIFICAÇÃO INSTITUCIONAL - FORNECIMENTO E INSTALAÇÃO. AF_11/2019</t>
  </si>
  <si>
    <t>CABO COAXIAL RG6 95%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</si>
  <si>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</si>
  <si>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</si>
  <si>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</si>
  <si>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RACK FECHADO PARA SERVIDOR - FORNECIMENTO E INSTALAÇÃO. AF_11/2019</t>
  </si>
  <si>
    <t>BLOCO DE ENGATE RÁPIDO PARA BASTIDOR TIPO M10 - FORNECIMENTO E INSTALAÇÃO. AF_11/2019</t>
  </si>
  <si>
    <t>TOMADA DE REDE RJ45 - FORNECIMENTO E INSTALAÇÃO. AF_11/2019</t>
  </si>
  <si>
    <t>TOMADA PARA TELEFONE RJ11 - FORNECIMENTO E INSTALAÇÃO. AF_11/2019</t>
  </si>
  <si>
    <t>PATCH PANEL 48 PORTAS, CATEGORIA 5E - FORNECIMENTO E INSTALAÇÃO. AF_11/2019</t>
  </si>
  <si>
    <t>CABO COAXIAL RG11 95% - FORNECIMENTO E INSTALAÇÃO. AF_11/2019</t>
  </si>
  <si>
    <t>CABO COAXIAL RG59 95% - FORNECIMENTO E INSTALAÇÃO. AF_11/2019</t>
  </si>
  <si>
    <t>RACK ABERTO EM COLUNA 44U PARA SERVIDOR - FORNECIMENTO E INSTALAÇÃO. AF_11/2019</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</si>
  <si>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</si>
  <si>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</si>
  <si>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</si>
  <si>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</si>
  <si>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</si>
  <si>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</si>
  <si>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</si>
  <si>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</si>
  <si>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</si>
  <si>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</si>
  <si>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</si>
  <si>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</si>
  <si>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</si>
  <si>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</si>
  <si>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</si>
  <si>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</si>
  <si>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</si>
  <si>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</si>
  <si>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</si>
  <si>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</si>
  <si>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</si>
  <si>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</si>
  <si>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</si>
  <si>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</si>
  <si>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</si>
  <si>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</si>
  <si>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</si>
  <si>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</si>
  <si>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</si>
  <si>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</si>
  <si>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</si>
  <si>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</si>
  <si>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</si>
  <si>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</si>
  <si>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</si>
  <si>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</si>
  <si>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</si>
  <si>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</si>
  <si>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</si>
  <si>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</si>
  <si>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</si>
  <si>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</si>
  <si>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</si>
  <si>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</si>
  <si>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</si>
  <si>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</si>
  <si>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</si>
  <si>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</si>
  <si>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</si>
  <si>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</si>
  <si>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</si>
  <si>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</si>
  <si>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</si>
  <si>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</si>
  <si>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</si>
  <si>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</si>
  <si>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</si>
  <si>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</si>
  <si>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</si>
  <si>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</si>
  <si>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</si>
  <si>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</si>
  <si>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</si>
  <si>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</si>
  <si>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</si>
  <si>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</si>
  <si>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</si>
  <si>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</si>
  <si>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</si>
  <si>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</si>
  <si>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</si>
  <si>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</si>
  <si>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</si>
  <si>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</si>
  <si>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</si>
  <si>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</si>
  <si>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CONEXÃO SOLDADA, DN 40 (1 1/2"), INSTALADO EM REDE DE ALIMENTAÇÃO PARA HIDRANTE - FORNECIMENTO E INSTALAÇÃO. AF_10/2020</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</si>
  <si>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</si>
  <si>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</si>
  <si>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</si>
  <si>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</si>
  <si>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</si>
  <si>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</si>
  <si>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</si>
  <si>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</si>
  <si>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</si>
  <si>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</si>
  <si>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</si>
  <si>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</si>
  <si>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</si>
  <si>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</si>
  <si>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</si>
  <si>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</si>
  <si>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</si>
  <si>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</si>
  <si>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</si>
  <si>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</si>
  <si>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</si>
  <si>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</si>
  <si>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</si>
  <si>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</si>
  <si>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</si>
  <si>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</si>
  <si>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</si>
  <si>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</si>
  <si>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</si>
  <si>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</si>
  <si>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</si>
  <si>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</si>
  <si>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</si>
  <si>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</si>
  <si>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</si>
  <si>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</si>
  <si>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</si>
  <si>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</si>
  <si>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</si>
  <si>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</si>
  <si>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</si>
  <si>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</si>
  <si>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</si>
  <si>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</si>
  <si>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</si>
  <si>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</si>
  <si>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</si>
  <si>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</si>
  <si>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</si>
  <si>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</si>
  <si>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</si>
  <si>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</si>
  <si>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</si>
  <si>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</si>
  <si>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</si>
  <si>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</si>
  <si>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</si>
  <si>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</si>
  <si>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</si>
  <si>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</si>
  <si>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</si>
  <si>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</si>
  <si>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</si>
  <si>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</si>
  <si>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</si>
  <si>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</si>
  <si>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</si>
  <si>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</si>
  <si>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TUBO, PPR, DN 20, CLASSE PN25, INSTALADO EM RAMAL OU SUB-RAMAL DE ÁGUA - FORNECIMENTO E INSTALAÇÃO. AF_08/2022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</si>
  <si>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</si>
  <si>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</si>
  <si>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</si>
  <si>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</si>
  <si>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</si>
  <si>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</si>
  <si>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</si>
  <si>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</si>
  <si>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</si>
  <si>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</si>
  <si>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</si>
  <si>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</si>
  <si>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</si>
  <si>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</si>
  <si>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</si>
  <si>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</si>
  <si>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</si>
  <si>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</si>
  <si>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</si>
  <si>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CORRER, PVC, SOLDÁVEL, DN 25MM, INSTALADO EM RAMAL OU SUB-RAMAL DE ÁGUA - FORNECIMENTO E INSTALAÇÃO. AF_12/2014</t>
  </si>
  <si>
    <t>LUVA DE REDUÇÃO, PVC, SOLDÁVEL, DN 32MM X 25MM, INSTALADO EM RAMAL OU SUB-RAMAL DE ÁGUA - FORNECIMENTO E INSTALAÇÃO. AF_06/2022</t>
  </si>
  <si>
    <t>UNIÃO, PVC, SOLDÁVEL, DN 25MM, INSTALADO EM RAMAL OU SUB-RAMAL DE ÁGUA - FORNECIMENTO E INSTALAÇÃO. AF_06/2022</t>
  </si>
  <si>
    <t>LUVA, PVC, SOLDÁVEL, DN 32MM, INSTALADO EM RAMAL OU SUB-RAMAL DE ÁGUA - FORNECIMENTO E INSTALAÇÃO. AF_06/2022</t>
  </si>
  <si>
    <t>UNIÃO, PVC, SOLDÁVEL, DN 32MM, INSTALADO EM RAMAL OU SUB-RAMAL DE ÁGUA - FORNECIMENTO E INSTALAÇÃO. AF_06/2022</t>
  </si>
  <si>
    <t>TE, PVC, SOLDÁVEL, DN 20MM, INSTALADO EM RAMAL OU SUB-RAMAL DE ÁGUA - FORNECIMENTO E INSTALAÇÃO. AF_06/2022</t>
  </si>
  <si>
    <t>TE, PVC, SOLDÁVEL, DN 25MM,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</si>
  <si>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</si>
  <si>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</si>
  <si>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</si>
  <si>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</si>
  <si>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</si>
  <si>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</si>
  <si>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</si>
  <si>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</si>
  <si>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</si>
  <si>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</si>
  <si>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</si>
  <si>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</si>
  <si>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</si>
  <si>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</si>
  <si>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</si>
  <si>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</si>
  <si>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</si>
  <si>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</si>
  <si>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</si>
  <si>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</si>
  <si>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</si>
  <si>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</si>
  <si>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UNIÃO, PVC, SOLDÁVEL, DN 25MM, INSTALADO EM RAMAL DE DISTRIBUIÇÃO DE ÁGUA - FORNECIMENTO E INSTALAÇÃO. AF_06/2022</t>
  </si>
  <si>
    <t>LUVA, PVC, SOLDÁVEL, DN 32MM, INSTALADO EM RAMAL DE DISTRIBUIÇÃO DE ÁGUA - FORNECIMENTO E INSTALAÇÃO. AF_06/2022</t>
  </si>
  <si>
    <t>LUVA DE REDUÇÃO, PVC, SOLDÁVEL, DN 40MM X 32MM, INSTALADO EM RAMAL DE DISTRIBUIÇÃO DE ÁGUA - FORNECIMENTO E INSTALAÇÃO. AF_06/2022</t>
  </si>
  <si>
    <t>UNIÃO, PVC, SOLDÁVEL, DN 32MM, INSTALADO EM RAMAL DE DISTRIBUIÇÃO DE ÁGUA - FORNECIMENTO E INSTALAÇÃO. AF_06/2022</t>
  </si>
  <si>
    <t>TE, PVC, SOLDÁVEL, DN 20MM,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</si>
  <si>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</si>
  <si>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</si>
  <si>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</si>
  <si>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</si>
  <si>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</si>
  <si>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</si>
  <si>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</si>
  <si>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</si>
  <si>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</si>
  <si>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</si>
  <si>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</si>
  <si>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</si>
  <si>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</si>
  <si>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</si>
  <si>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</si>
  <si>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</si>
  <si>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</si>
  <si>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</si>
  <si>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</si>
  <si>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</si>
  <si>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</si>
  <si>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</si>
  <si>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</si>
  <si>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</si>
  <si>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</si>
  <si>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</si>
  <si>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</si>
  <si>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</si>
  <si>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</si>
  <si>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</si>
  <si>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</si>
  <si>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</si>
  <si>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</si>
  <si>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</si>
  <si>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</si>
  <si>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</si>
  <si>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</si>
  <si>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</si>
  <si>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</si>
  <si>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</si>
  <si>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</si>
  <si>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</si>
  <si>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</si>
  <si>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</si>
  <si>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</si>
  <si>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</si>
  <si>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</si>
  <si>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</si>
  <si>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</si>
  <si>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</si>
  <si>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</si>
  <si>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</si>
  <si>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</si>
  <si>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</si>
  <si>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</si>
  <si>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UNIÃO, PVC, SOLDÁVEL, DN 32MM, INSTALADO EM PRUMADA DE ÁGUA - FORNECIMENTO E INSTALAÇÃO. AF_06/2022</t>
  </si>
  <si>
    <t>LUVA SIMPLES, PVC, SERIE R, ÁGUA PLUVIAL, DN 100 MM, JUNTA ELÁSTICA, FORNECIDO E INSTALADO EM RAMAL DE ENCAMINHAMENTO.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</si>
  <si>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</si>
  <si>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</si>
  <si>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</si>
  <si>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</si>
  <si>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</si>
  <si>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</si>
  <si>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</si>
  <si>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</si>
  <si>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</si>
  <si>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</si>
  <si>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</si>
  <si>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</si>
  <si>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TÊ, PVC, SERIE R, ÁGUA PLUVIAL, DN 100 X 100 MM, JUNTA ELÁSTICA, FORNECIDO E INSTALADO EM RAMAL DE ENCAMINHAMENTO.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</si>
  <si>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</si>
  <si>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</si>
  <si>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</si>
  <si>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</si>
  <si>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</si>
  <si>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</si>
  <si>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</si>
  <si>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</si>
  <si>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</si>
  <si>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</si>
  <si>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</si>
  <si>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</si>
  <si>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</si>
  <si>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UNIÃO, PVC, SOLDÁVEL, DN 50MM, INSTALADO EM PRUMADA DE ÁGUA - FORNECIMENTO E INSTALAÇÃO. AF_06/2022</t>
  </si>
  <si>
    <t>LUVA, PVC, SOLDÁVEL, DN 60MM, INSTALADO EM PRUMADA DE ÁGUA -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</si>
  <si>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</si>
  <si>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</si>
  <si>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</si>
  <si>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</si>
  <si>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</si>
  <si>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</si>
  <si>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ADAPTADOR CURTO COM BOLSA E ROSCA PARA REGISTRO, PVC, SOLDÁVEL, DN 75MM X 2.1/2", INSTALADO EM PRUMADA DE ÁGUA - FORNECIMENTO E INSTALAÇÃO. AF_12/2014</t>
  </si>
  <si>
    <t>LUVA, PVC, SOLDÁVEL, DN 85MM, INSTALADO EM PRUMADA DE ÁGUA - FORNECIMENTO E INSTALAÇÃO. AF_06/2022</t>
  </si>
  <si>
    <t>UNIÃO, PVC, SOLDÁVEL, DN 85MM,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</si>
  <si>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</si>
  <si>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</si>
  <si>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</si>
  <si>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</si>
  <si>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</si>
  <si>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</si>
  <si>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</si>
  <si>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</si>
  <si>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</si>
  <si>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</si>
  <si>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</si>
  <si>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</si>
  <si>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</si>
  <si>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</si>
  <si>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</si>
  <si>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</si>
  <si>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</si>
  <si>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</si>
  <si>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</si>
  <si>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</si>
  <si>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</si>
  <si>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</si>
  <si>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</si>
  <si>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LUVA, CPVC, SOLDÁVEL, DN 15MM, INSTALADO EM RAMAL OU SUB-RAMAL DE ÁGUA - FORNECIMENTO E INSTALAÇÃO. AF_06/2022</t>
  </si>
  <si>
    <t>LUVA DE TRANSIÇÃO, CPVC, SOLDÁVEL, DN15MM X 1/2", INSTALADO EM RAMAL OU SUB-RAMAL DE ÁGUA - FORNECIMENTO E INSTALAÇÃO. AF_06/2022</t>
  </si>
  <si>
    <t>LUVA DE TRANSIÇÃO, CPVC, SOLDÁVEL, DN22MM X 25MM, INSTALADO EM RAMAL OU SUB-RAMAL DE ÁGUA -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</si>
  <si>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</si>
  <si>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</si>
  <si>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</si>
  <si>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DE CORRER, PVC, SERIE R, ÁGUA PLUVIAL, DN 100 MM, JUNTA ELÁSTICA, FORNECIDO E INSTALADO EM CONDUTORES VERTICAIS DE ÁGUAS PLUVIAIS. AF_06/2022</t>
  </si>
  <si>
    <t>REDUÇÃO EXCÊNTRICA, PVC, SERIE R, ÁGUA PLUVIAL, DN 100 X 75 MM, JUNTA ELÁSTICA, FORNECIDO E INSTALADO EM CONDUTORES VERTICAIS DE ÁGUAS PLUVIAIS. AF_06/2022</t>
  </si>
  <si>
    <t>TÊ DE INSPEÇÃO, PVC, SERIE R, ÁGUA PLUVIAL, DN 100 MM, JUNTA ELÁSTICA, FORNECIDO E INSTALADO EM CONDUTORES VERTICAIS DE ÁGUAS PLUVIAIS. AF_06/2022</t>
  </si>
  <si>
    <t>LUVA SIMPLES, PVC, SERIE R, ÁGUA PLUVIAL, DN 150 MM, JUNTA ELÁSTICA, FORNECIDO E INSTALADO EM CONDUTORES VERTICAIS DE ÁGUAS PLUVIAIS. AF_06/2022</t>
  </si>
  <si>
    <t>LUVA DE CORRER, PVC, SERIE R, ÁGUA PLUVIAL, DN 150 MM, JUNTA ELÁSTICA, FORNECIDO E INSTALADO EM CONDUTORES VERTICAIS DE ÁGUAS PLUVIAIS. AF_06/2022</t>
  </si>
  <si>
    <t>REDUÇÃO EXCÊNTRICA, PVC, SERIE R, ÁGUA PLUVIAL, DN 150 X 100 MM, JUNTA ELÁSTICA, FORNECIDO E INSTALADO EM CONDUTORES VERTICAIS DE ÁGUAS PLUVIAIS. AF_06/2022</t>
  </si>
  <si>
    <t>TÊ DE INSPEÇÃO, PVC, SERIE R, ÁGUA PLUVIAL, DN 150 X 100 MM, JUNTA ELÁSTICA, FORNECIDO E INSTALADO EM CONDUTORES VERTICAIS DE ÁGUAS PLUVIAIS. AF_06/2022</t>
  </si>
  <si>
    <t>JUNÇÃO SIMPLES, PVC, SERIE R, ÁGUA PLUVIAL, DN 75 X 75 MM, JUNTA ELÁSTICA, FORNECIDO E INSTALADO EM CONDUTORES VERTICAIS DE ÁGUAS PLUVIAIS. AF_06/2022</t>
  </si>
  <si>
    <t>TÊ, PVC, SERIE R, ÁGUA PLUVIAL, DN 75 X 75 MM, JUNTA ELÁSTICA, FORNECIDO E INSTALADO EM CONDUTORES VERTICAIS DE ÁGUAS PLUVIAIS.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</si>
  <si>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</si>
  <si>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</si>
  <si>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</si>
  <si>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</si>
  <si>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</si>
  <si>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</si>
  <si>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</si>
  <si>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</si>
  <si>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TÊ, PVC, SERIE R, ÁGUA PLUVIAL, DN 150 X 150 MM, JUNTA ELÁSTICA, FORNECIDO E INSTALADO EM CONDUTORES VERTICAIS DE ÁGUAS PLUVIAIS.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</si>
  <si>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</si>
  <si>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</si>
  <si>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CURVA 90 GRAUS, CPVC, SOLDÁVEL, DN 22MM, INSTALADO EM RAMAL DE DISTRIBUIÇÃO DE ÁGUA - FORNECIMENTO E INSTALAÇÃO. AF_06/2022</t>
  </si>
  <si>
    <t>JOELHO 90 GRAUS, PVC, SERIE NORMAL, ESGOTO PREDIAL, DN 40 MM, JUNTA SOLDÁVEL, FORNECIDO E INSTALADO EM RAMAL DE DESCARGA OU RAMAL DE ESGOTO SANITÁRIO. AF_08/2022</t>
  </si>
  <si>
    <t>JOELHO 45 GRAUS, PVC, SERIE NORMAL, ESGOTO PREDIAL, DN 40 MM, JUNTA SOLDÁVEL, FORNECIDO E INSTALADO EM RAMAL DE DESCARGA OU RAMAL DE ESGOTO SANITÁRIO. AF_08/2022</t>
  </si>
  <si>
    <t>CURVA CURTA 90 GRAUS, PVC, SERIE NORMAL, ESGOTO PREDIAL, DN 40 MM, JUNTA SOLDÁVEL, FORNECIDO E INSTALADO EM RAMAL DE DESCARGA OU RAMAL DE ESGOTO SANITÁRIO. AF_08/2022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</si>
  <si>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</si>
  <si>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</si>
  <si>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</si>
  <si>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</si>
  <si>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CURVA LONGA 90 GRAUS, PVC, SERIE NORMAL, ESGOTO PREDIAL, DN 50 MM, JUNTA ELÁSTICA, FORNECIDO E INSTALADO EM RAMAL DE DESCARGA OU RAMAL DE ESGOTO SANITÁRIO. AF_08/2022</t>
  </si>
  <si>
    <t>JOELHO 90 GRAUS, PVC, SERIE NORMAL, ESGOTO PREDIAL, DN 75 MM, JUNTA ELÁSTICA, FORNECIDO E INSTALADO EM RAMAL DE DESCARGA OU RAMAL DE ESGOTO SANITÁRIO. AF_08/2022</t>
  </si>
  <si>
    <t>JOELHO 45 GRAUS, PVC, SERIE NORMAL, ESGOTO PREDIAL, DN 75 MM, JUNTA ELÁSTICA, FORNECIDO E INSTALADO EM RAMAL DE DESCARGA OU RAMAL DE ESGOTO SANITÁRIO. AF_08/2022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</si>
  <si>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</si>
  <si>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</si>
  <si>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</si>
  <si>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</si>
  <si>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CURVA CURTA 90 GRAUS, PVC, SERIE NORMAL, ESGOTO PREDIAL, DN 100 MM, JUNTA ELÁSTICA, FORNECIDO E INSTALADO EM RAMAL DE DESCARGA OU RAMAL DE ESGOTO SANITÁRIO. AF_08/2022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</si>
  <si>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</si>
  <si>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</si>
  <si>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</si>
  <si>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</si>
  <si>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</si>
  <si>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</si>
  <si>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</si>
  <si>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</si>
  <si>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</si>
  <si>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</si>
  <si>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</si>
  <si>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</si>
  <si>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</si>
  <si>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</si>
  <si>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</si>
  <si>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</si>
  <si>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</si>
  <si>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</si>
  <si>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</si>
  <si>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</si>
  <si>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</si>
  <si>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</si>
  <si>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</si>
  <si>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</si>
  <si>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</si>
  <si>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</si>
  <si>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</si>
  <si>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</si>
  <si>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</si>
  <si>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</si>
  <si>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</si>
  <si>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</si>
  <si>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</si>
  <si>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</si>
  <si>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</si>
  <si>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</si>
  <si>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</si>
  <si>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</si>
  <si>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</si>
  <si>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</si>
  <si>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SIMPLES, PVC, SERIE NORMAL, ESGOTO PREDIAL, DN 75 MM, JUNTA ELÁSTICA, FORNECIDO E INSTALADO EM PRUMADA DE ESGOTO SANITÁRIO OU VENTILAÇÃO. AF_08/2022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</si>
  <si>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</si>
  <si>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</si>
  <si>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DE CORRER, PVC, SERIE NORMAL, ESGOTO PREDIAL, DN 100 MM, JUNTA ELÁSTICA, FORNECIDO E INSTALADO EM PRUMADA DE ESGOTO SANITÁRIO OU VENTILAÇÃO. AF_08/2022</t>
  </si>
  <si>
    <t>TE, PVC, SERIE NORMAL, ESGOTO PREDIAL, DN 50 X 50 MM, JUNTA ELÁSTICA, FORNECIDO E INSTALADO EM PRUMADA DE ESGOTO SANITÁRIO OU VENTILAÇÃO. AF_08/2022</t>
  </si>
  <si>
    <t>JUNÇÃO SIMPLES, PVC, SERIE NORMAL, ESGOTO PREDIAL, DN 50 X 50 MM, JUNTA ELÁSTICA, FORNECIDO E INSTALADO EM PRUMADA DE ESGOTO SANITÁRIO OU VENTILAÇÃO. AF_08/2022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</si>
  <si>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</si>
  <si>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</si>
  <si>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</si>
  <si>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</si>
  <si>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</si>
  <si>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</si>
  <si>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</si>
  <si>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</si>
  <si>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</si>
  <si>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</si>
  <si>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</si>
  <si>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</si>
  <si>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</si>
  <si>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</si>
  <si>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</si>
  <si>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</si>
  <si>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</si>
  <si>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</si>
  <si>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</si>
  <si>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</si>
  <si>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</si>
  <si>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</si>
  <si>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</si>
  <si>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</si>
  <si>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</si>
  <si>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</si>
  <si>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</si>
  <si>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</si>
  <si>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</si>
  <si>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</si>
  <si>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</si>
  <si>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</si>
  <si>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</si>
  <si>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</si>
  <si>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</si>
  <si>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</si>
  <si>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</si>
  <si>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</si>
  <si>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</si>
  <si>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</si>
  <si>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</si>
  <si>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</si>
  <si>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</si>
  <si>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</si>
  <si>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</si>
  <si>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</si>
  <si>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</si>
  <si>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</si>
  <si>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</si>
  <si>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</si>
  <si>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</si>
  <si>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</si>
  <si>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</si>
  <si>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</si>
  <si>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</si>
  <si>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</si>
  <si>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</si>
  <si>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</si>
  <si>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</si>
  <si>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</si>
  <si>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</si>
  <si>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</si>
  <si>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</si>
  <si>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</si>
  <si>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</si>
  <si>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</si>
  <si>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</si>
  <si>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</si>
  <si>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</si>
  <si>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</si>
  <si>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</si>
  <si>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</si>
  <si>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</si>
  <si>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</si>
  <si>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</si>
  <si>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</si>
  <si>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</si>
  <si>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</si>
  <si>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</si>
  <si>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</si>
  <si>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</si>
  <si>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</si>
  <si>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</si>
  <si>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</si>
  <si>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</si>
  <si>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</si>
  <si>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</si>
  <si>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</si>
  <si>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</si>
  <si>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</si>
  <si>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</si>
  <si>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</si>
  <si>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</si>
  <si>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</si>
  <si>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</si>
  <si>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</si>
  <si>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</si>
  <si>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</si>
  <si>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</si>
  <si>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</si>
  <si>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</si>
  <si>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</si>
  <si>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</si>
  <si>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</si>
  <si>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</si>
  <si>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</si>
  <si>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</si>
  <si>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</si>
  <si>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</si>
  <si>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</si>
  <si>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</si>
  <si>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</si>
  <si>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</si>
  <si>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</si>
  <si>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</si>
  <si>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</si>
  <si>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</si>
  <si>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</si>
  <si>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</si>
  <si>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</si>
  <si>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</si>
  <si>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</si>
  <si>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</si>
  <si>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</si>
  <si>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</si>
  <si>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</si>
  <si>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</si>
  <si>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</si>
  <si>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</si>
  <si>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</si>
  <si>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</si>
  <si>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</si>
  <si>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</si>
  <si>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</si>
  <si>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</si>
  <si>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</si>
  <si>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</si>
  <si>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</si>
  <si>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</si>
  <si>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</si>
  <si>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</si>
  <si>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</si>
  <si>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</si>
  <si>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</si>
  <si>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</si>
  <si>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</si>
  <si>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</si>
  <si>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</si>
  <si>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</si>
  <si>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</si>
  <si>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</si>
  <si>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</si>
  <si>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</si>
  <si>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</si>
  <si>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</si>
  <si>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</si>
  <si>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</si>
  <si>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</si>
  <si>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</si>
  <si>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</si>
  <si>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</si>
  <si>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</si>
  <si>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</si>
  <si>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</si>
  <si>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</si>
  <si>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</si>
  <si>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</si>
  <si>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</si>
  <si>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</si>
  <si>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</si>
  <si>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</si>
  <si>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</si>
  <si>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</si>
  <si>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</si>
  <si>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</si>
  <si>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</si>
  <si>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</si>
  <si>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</si>
  <si>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</si>
  <si>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</si>
  <si>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</si>
  <si>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</si>
  <si>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</si>
  <si>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</si>
  <si>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</si>
  <si>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</si>
  <si>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</si>
  <si>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</si>
  <si>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</si>
  <si>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</si>
  <si>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</si>
  <si>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</si>
  <si>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</si>
  <si>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</si>
  <si>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</si>
  <si>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</si>
  <si>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</si>
  <si>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</si>
  <si>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</si>
  <si>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</si>
  <si>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</si>
  <si>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</si>
  <si>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</si>
  <si>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</si>
  <si>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</si>
  <si>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</si>
  <si>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</si>
  <si>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</si>
  <si>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</si>
  <si>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</si>
  <si>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</si>
  <si>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</si>
  <si>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</si>
  <si>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</si>
  <si>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</si>
  <si>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</si>
  <si>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</si>
  <si>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</si>
  <si>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</si>
  <si>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</si>
  <si>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</si>
  <si>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</si>
  <si>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</si>
  <si>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</si>
  <si>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</si>
  <si>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</si>
  <si>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</si>
  <si>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</si>
  <si>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</si>
  <si>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</si>
  <si>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</si>
  <si>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</si>
  <si>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</si>
  <si>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</si>
  <si>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</si>
  <si>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</si>
  <si>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</si>
  <si>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</si>
  <si>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</si>
  <si>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</si>
  <si>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</si>
  <si>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</si>
  <si>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</si>
  <si>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</si>
  <si>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</si>
  <si>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</si>
  <si>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</si>
  <si>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</si>
  <si>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</si>
  <si>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</si>
  <si>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</si>
  <si>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</si>
  <si>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</si>
  <si>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</si>
  <si>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</si>
  <si>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</si>
  <si>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</si>
  <si>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</si>
  <si>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</si>
  <si>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</si>
  <si>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</si>
  <si>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</si>
  <si>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</si>
  <si>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</si>
  <si>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</si>
  <si>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</si>
  <si>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</si>
  <si>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</si>
  <si>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</si>
  <si>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</si>
  <si>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</si>
  <si>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</si>
  <si>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</si>
  <si>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</si>
  <si>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</si>
  <si>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SPRINKLER TIPO PENDENTE, 68 °C, UNIÃO POR ROSCA DN 15 (1/2") - FORNECIMENTO E INSTALAÇÃO. AF_10/2020</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</si>
  <si>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</si>
  <si>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</si>
  <si>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</si>
  <si>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</si>
  <si>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</si>
  <si>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</si>
  <si>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</si>
  <si>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</si>
  <si>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</si>
  <si>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</si>
  <si>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</si>
  <si>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</si>
  <si>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</si>
  <si>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</si>
  <si>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</si>
  <si>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</si>
  <si>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</si>
  <si>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</si>
  <si>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</si>
  <si>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</si>
  <si>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</si>
  <si>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</si>
  <si>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</si>
  <si>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</si>
  <si>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</si>
  <si>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</si>
  <si>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</si>
  <si>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</si>
  <si>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</si>
  <si>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</si>
  <si>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</si>
  <si>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</si>
  <si>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</si>
  <si>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</si>
  <si>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</si>
  <si>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</si>
  <si>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</si>
  <si>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</si>
  <si>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</si>
  <si>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</si>
  <si>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</si>
  <si>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</si>
  <si>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</si>
  <si>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</si>
  <si>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</si>
  <si>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</si>
  <si>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</si>
  <si>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</si>
  <si>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</si>
  <si>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</si>
  <si>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</si>
  <si>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</si>
  <si>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</si>
  <si>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</si>
  <si>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</si>
  <si>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</si>
  <si>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ROSCA FÊMEA, METÁLICO, PARA INSTALAÇÕES EM PEX ÁGUA, DN 16 MM X ½",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</si>
  <si>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</si>
  <si>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</si>
  <si>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</si>
  <si>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</si>
  <si>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</si>
  <si>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</si>
  <si>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</si>
  <si>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</si>
  <si>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</si>
  <si>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</si>
  <si>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</si>
  <si>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</si>
  <si>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</si>
  <si>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</si>
  <si>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</si>
  <si>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</si>
  <si>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</si>
  <si>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</si>
  <si>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</si>
  <si>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</si>
  <si>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</si>
  <si>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</si>
  <si>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</si>
  <si>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</si>
  <si>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</si>
  <si>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</si>
  <si>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</si>
  <si>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</si>
  <si>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</si>
  <si>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</si>
  <si>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</si>
  <si>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</si>
  <si>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</si>
  <si>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</si>
  <si>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</si>
  <si>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</si>
  <si>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</si>
  <si>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</si>
  <si>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</si>
  <si>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</si>
  <si>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</si>
  <si>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</si>
  <si>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</si>
  <si>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</si>
  <si>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EM AÇO, CONEXÃO SOLDADA, DN 32 (1 1/4"), INSTALADO EM REDE DE ALIMENTAÇÃO PARA HIDRANTE - FORNECIMENTO E INSTALAÇÃO. AF_10/2020</t>
  </si>
  <si>
    <t>LUVA, EM AÇO, CONEXÃO SOLDADA, DN 40 (1 1/2"),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</si>
  <si>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</si>
  <si>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</si>
  <si>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</si>
  <si>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</si>
  <si>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</si>
  <si>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</si>
  <si>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</si>
  <si>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</si>
  <si>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</si>
  <si>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</si>
  <si>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</si>
  <si>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</si>
  <si>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</si>
  <si>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</si>
  <si>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</si>
  <si>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</si>
  <si>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</si>
  <si>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</si>
  <si>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</si>
  <si>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</si>
  <si>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</si>
  <si>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</si>
  <si>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</si>
  <si>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</si>
  <si>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</si>
  <si>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</si>
  <si>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</si>
  <si>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EM AÇO, CONEXÃO SOLDADA, DN 40 (1 1/2"),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</si>
  <si>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</si>
  <si>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</si>
  <si>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</si>
  <si>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</si>
  <si>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</si>
  <si>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</si>
  <si>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</si>
  <si>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</si>
  <si>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</si>
  <si>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</si>
  <si>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</si>
  <si>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</si>
  <si>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</si>
  <si>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</si>
  <si>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</si>
  <si>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</si>
  <si>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</si>
  <si>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</si>
  <si>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</si>
  <si>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</si>
  <si>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</si>
  <si>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</si>
  <si>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</si>
  <si>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</si>
  <si>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</si>
  <si>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</si>
  <si>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</si>
  <si>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</si>
  <si>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</si>
  <si>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</si>
  <si>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</si>
  <si>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</si>
  <si>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</si>
  <si>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</si>
  <si>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</si>
  <si>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</si>
  <si>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</si>
  <si>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</si>
  <si>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</si>
  <si>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</si>
  <si>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</si>
  <si>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</si>
  <si>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</si>
  <si>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</si>
  <si>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</si>
  <si>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</si>
  <si>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</si>
  <si>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</si>
  <si>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</si>
  <si>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</si>
  <si>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</si>
  <si>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</si>
  <si>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</si>
  <si>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</si>
  <si>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</si>
  <si>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</si>
  <si>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</si>
  <si>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</si>
  <si>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</si>
  <si>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</si>
  <si>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</si>
  <si>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</si>
  <si>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</si>
  <si>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</si>
  <si>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</si>
  <si>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</si>
  <si>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</si>
  <si>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</si>
  <si>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</si>
  <si>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</si>
  <si>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</si>
  <si>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</si>
  <si>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</si>
  <si>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</si>
  <si>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</si>
  <si>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</si>
  <si>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</si>
  <si>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</si>
  <si>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</si>
  <si>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</si>
  <si>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</si>
  <si>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</si>
  <si>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</si>
  <si>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</si>
  <si>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</si>
  <si>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</si>
  <si>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</si>
  <si>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</si>
  <si>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</si>
  <si>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</si>
  <si>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</si>
  <si>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</si>
  <si>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</si>
  <si>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</si>
  <si>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</si>
  <si>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</si>
  <si>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</si>
  <si>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</si>
  <si>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</si>
  <si>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</si>
  <si>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</si>
  <si>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</si>
  <si>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</si>
  <si>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</si>
  <si>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</si>
  <si>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</si>
  <si>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</si>
  <si>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</si>
  <si>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</si>
  <si>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</si>
  <si>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</si>
  <si>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</si>
  <si>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</si>
  <si>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</si>
  <si>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</si>
  <si>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</si>
  <si>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</si>
  <si>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</si>
  <si>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</si>
  <si>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</si>
  <si>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</si>
  <si>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</si>
  <si>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</si>
  <si>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</si>
  <si>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</si>
  <si>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</si>
  <si>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</si>
  <si>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</si>
  <si>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</si>
  <si>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</si>
  <si>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</si>
  <si>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</si>
  <si>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</si>
  <si>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</si>
  <si>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</si>
  <si>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</si>
  <si>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</si>
  <si>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</si>
  <si>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</si>
  <si>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</si>
  <si>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</si>
  <si>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</si>
  <si>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</si>
  <si>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</si>
  <si>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</si>
  <si>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</si>
  <si>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</si>
  <si>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</si>
  <si>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</si>
  <si>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</si>
  <si>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</si>
  <si>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</si>
  <si>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</si>
  <si>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</si>
  <si>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</si>
  <si>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</si>
  <si>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</si>
  <si>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</si>
  <si>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</si>
  <si>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</si>
  <si>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</si>
  <si>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</si>
  <si>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</si>
  <si>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</si>
  <si>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</si>
  <si>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</si>
  <si>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</si>
  <si>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</si>
  <si>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</si>
  <si>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</si>
  <si>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</si>
  <si>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</si>
  <si>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</si>
  <si>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</si>
  <si>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</si>
  <si>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</si>
  <si>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</si>
  <si>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</si>
  <si>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</si>
  <si>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</si>
  <si>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</si>
  <si>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</si>
  <si>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</si>
  <si>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</si>
  <si>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</si>
  <si>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28 X 22 MM, INSTALADO EM RAMAL DE DISTRIBUIÇÃO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</si>
  <si>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</si>
  <si>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</si>
  <si>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</si>
  <si>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</si>
  <si>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</si>
  <si>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</si>
  <si>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</si>
  <si>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</si>
  <si>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</si>
  <si>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LUVA DE CORRER, PVC, SOLDÁVEL, DN 40MM,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</si>
  <si>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</si>
  <si>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</si>
  <si>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</si>
  <si>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</si>
  <si>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</si>
  <si>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</si>
  <si>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</si>
  <si>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</si>
  <si>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</si>
  <si>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</si>
  <si>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</si>
  <si>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</si>
  <si>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</si>
  <si>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</si>
  <si>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</si>
  <si>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</si>
  <si>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</si>
  <si>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</si>
  <si>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</si>
  <si>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</si>
  <si>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</si>
  <si>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</si>
  <si>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</si>
  <si>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</si>
  <si>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</si>
  <si>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</si>
  <si>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</si>
  <si>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</si>
  <si>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</si>
  <si>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</si>
  <si>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</si>
  <si>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</si>
  <si>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</si>
  <si>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</si>
  <si>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</si>
  <si>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</si>
  <si>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</si>
  <si>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</si>
  <si>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</si>
  <si>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</si>
  <si>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</si>
  <si>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</si>
  <si>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</si>
  <si>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</si>
  <si>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</si>
  <si>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</si>
  <si>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LUVA DE REDUÇÃO, PARA INSTALAÇÕES EM PEX ÁGUA, DN 20 X 16 MM, COM ANEL DESLIZANTE - FORNECIMENTO E INSTALAÇÃO. AF_02/2023</t>
  </si>
  <si>
    <t>LUVA DE REDUÇÃO, PARA INSTALAÇÕES EM PEX ÁGUA, DN 25 X 16 MM, COM ANEL DESLIZANTE - FORNECIMENTO E INSTALAÇÃO. AF_02/2023</t>
  </si>
  <si>
    <t>LUVA DE REDUÇÃO, PARA INSTALAÇÕES EM PEX ÁGUA, DN 25 X 20 MM, COM ANEL DESLIZANTE - FORNECIMENTO E INSTALAÇÃO. AF_02/2023</t>
  </si>
  <si>
    <t>LUVA DE REDUÇÃO, PARA INSTALAÇÕES EM PEX ÁGUA, DN 32 X 25 MM, COM ANEL DESLIZANTE - FORNECIMENTO E INSTALAÇÃO. AF_02/2023</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</si>
  <si>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</si>
  <si>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</si>
  <si>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</si>
  <si>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</si>
  <si>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</si>
  <si>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</si>
  <si>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</si>
  <si>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</si>
  <si>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</si>
  <si>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</si>
  <si>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</si>
  <si>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</si>
  <si>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</si>
  <si>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</si>
  <si>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</si>
  <si>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</si>
  <si>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</si>
  <si>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</si>
  <si>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</si>
  <si>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</si>
  <si>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</si>
  <si>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</si>
  <si>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</si>
  <si>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</si>
  <si>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</si>
  <si>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</si>
  <si>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</si>
  <si>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</si>
  <si>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</si>
  <si>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</si>
  <si>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</si>
  <si>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</si>
  <si>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</si>
  <si>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</si>
  <si>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</si>
  <si>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</si>
  <si>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</si>
  <si>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</si>
  <si>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</si>
  <si>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</si>
  <si>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</si>
  <si>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</si>
  <si>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</si>
  <si>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</si>
  <si>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</si>
  <si>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</si>
  <si>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</si>
  <si>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</si>
  <si>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</si>
  <si>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</si>
  <si>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</si>
  <si>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POLIETILENO, 3000 LITROS - FORNECIMENTO E INSTALAÇÃO. AF_06/2021</t>
  </si>
  <si>
    <t>CAIXA D´ÁGUA EM POLIÉSTER REFORÇADO COM FIBRA DE VIDRO, 500 LITROS - FORNECIMENTO E INSTALAÇÃO. AF_06/2021</t>
  </si>
  <si>
    <t>CAIXA D´ÁGUA EM POLIÉSTER REFORÇADO COM FIBRA DE VIDRO, 750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</si>
  <si>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</si>
  <si>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</si>
  <si>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</si>
  <si>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3000 LITROS - FORNECIMENTO E INSTALAÇÃO. AF_06/2021</t>
  </si>
  <si>
    <t>CAIXA D´ÁGUA EM POLIÉSTER REFORÇADO COM FIBRA DE VIDRO, 5000 LITROS - FORNECIMENTO E INSTALAÇÃO. AF_06/2021</t>
  </si>
  <si>
    <t>CAIXA D´ÁGUA EM POLIÉSTER REFORÇADO COM FIBRA DE VIDRO, 7000 LITROS - FORNECIMENTO E INSTALAÇÃO. AF_06/2021</t>
  </si>
  <si>
    <t>CAIXA D´ÁGUA EM POLIÉSTER REFORÇADO COM FIBRA DE VIDRO, 10000 LITROS - FORNECIMENTO E INSTALAÇÃO. AF_06/2021</t>
  </si>
  <si>
    <t>CAIXA D´ÁGUA EM POLIÉSTER REFORÇADO COM FIBRA DE VIDRO, 15000 LITROS - FORNECIMENTO E INSTALAÇÃO. AF_06/2021</t>
  </si>
  <si>
    <t>CAIXA D´ÁGUA EM POLIÉSTER REFORÇADO COM FIBRA DE VIDRO, 20000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</si>
  <si>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</si>
  <si>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</si>
  <si>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</si>
  <si>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</si>
  <si>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</si>
  <si>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</si>
  <si>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</si>
  <si>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</si>
  <si>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</si>
  <si>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</si>
  <si>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</si>
  <si>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</si>
  <si>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</si>
  <si>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TANQUE DE LOUÇA BRANCA COM COLUNA, 30L OU EQUIVALENTE - FORNECIMENTO E INSTALAÇÃO. AF_01/2020</t>
  </si>
  <si>
    <t>TANQUE DE LOUÇA BRANCA SUSPENSO, 18L OU EQUIVALENTE -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</si>
  <si>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</si>
  <si>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</si>
  <si>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</si>
  <si>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</si>
  <si>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</si>
  <si>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</si>
  <si>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ENGATE FLEXÍVEL EM PLÁSTICO BRANCO, 1/2" X 30CM - FORNECIMENTO E INSTALAÇÃO. AF_01/2020</t>
  </si>
  <si>
    <t>ENGATE FLEXÍVEL EM PLÁSTICO BRANCO,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</si>
  <si>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</si>
  <si>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</si>
  <si>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</si>
  <si>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</si>
  <si>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</si>
  <si>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</si>
  <si>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</si>
  <si>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</si>
  <si>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</si>
  <si>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</si>
  <si>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</si>
  <si>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</si>
  <si>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</si>
  <si>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</si>
  <si>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</si>
  <si>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</si>
  <si>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</si>
  <si>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</si>
  <si>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</si>
  <si>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</si>
  <si>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</si>
  <si>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</si>
  <si>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</si>
  <si>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</si>
  <si>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</si>
  <si>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</si>
  <si>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</si>
  <si>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</si>
  <si>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</si>
  <si>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</si>
  <si>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</si>
  <si>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</si>
  <si>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</si>
  <si>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</si>
  <si>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</si>
  <si>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</si>
  <si>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</si>
  <si>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</si>
  <si>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</si>
  <si>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</si>
  <si>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</si>
  <si>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</si>
  <si>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</si>
  <si>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</si>
  <si>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</si>
  <si>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</si>
  <si>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</si>
  <si>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</si>
  <si>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</si>
  <si>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</si>
  <si>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</si>
  <si>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</si>
  <si>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</si>
  <si>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</si>
  <si>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</si>
  <si>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</si>
  <si>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LAVATORIO, TIPO MONOCOMANDO. AF_01/2020</t>
  </si>
  <si>
    <t>TORNEIRA CROMADA DE MESA PARA LAVATÓRIO COM SENSOR DE PRESENCA.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</si>
  <si>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</si>
  <si>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</si>
  <si>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</si>
  <si>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</si>
  <si>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</si>
  <si>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</si>
  <si>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</si>
  <si>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</si>
  <si>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</si>
  <si>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</si>
  <si>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</si>
  <si>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PUXADOR PARA PCD, FIXADO NA PORTA - FORNECIMENTO E INSTALAÇÃO. AF_01/2020</t>
  </si>
  <si>
    <t>BANCO ARTICULADO, EM ACO INOX, PARA PCD, FIXADO NA PAREDE - FORNECIMENTO E INSTALAÇÃO. AF_01/2020</t>
  </si>
  <si>
    <t>VASO SANITÁRIO SIFONADO COM CAIXA ACOPLADA, LOUÇA BRANCA - PADRÃO ALTO - FORNECIMENTO E INSTALAÇÃO. AF_01/2020</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</si>
  <si>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</si>
  <si>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</si>
  <si>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</si>
  <si>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</si>
  <si>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</si>
  <si>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</si>
  <si>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</si>
  <si>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</si>
  <si>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</si>
  <si>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</si>
  <si>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</si>
  <si>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</si>
  <si>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</si>
  <si>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</si>
  <si>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</si>
  <si>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</si>
  <si>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</si>
  <si>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</si>
  <si>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</si>
  <si>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</si>
  <si>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</si>
  <si>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</si>
  <si>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</si>
  <si>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</si>
  <si>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</si>
  <si>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</si>
  <si>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</si>
  <si>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</si>
  <si>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</si>
  <si>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</si>
  <si>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</si>
  <si>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</si>
  <si>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</si>
  <si>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</si>
  <si>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</si>
  <si>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</si>
  <si>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</si>
  <si>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0,60 M E ALTURA = 0,10 M. AF_12/2020</t>
  </si>
  <si>
    <t>REGISTRO DE PRESSÃO BRUTO, LATÃO, ROSCÁVEL, 1/2"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</si>
  <si>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</si>
  <si>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</si>
  <si>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</si>
  <si>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</si>
  <si>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</si>
  <si>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</si>
  <si>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</si>
  <si>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</si>
  <si>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</si>
  <si>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</si>
  <si>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</si>
  <si>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</si>
  <si>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</si>
  <si>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</si>
  <si>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</si>
  <si>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</si>
  <si>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</si>
  <si>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</si>
  <si>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</si>
  <si>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</si>
  <si>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</si>
  <si>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</si>
  <si>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</si>
  <si>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</si>
  <si>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</si>
  <si>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</si>
  <si>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</si>
  <si>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</si>
  <si>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</si>
  <si>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</si>
  <si>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</si>
  <si>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</si>
  <si>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</si>
  <si>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</si>
  <si>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</si>
  <si>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</si>
  <si>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</si>
  <si>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</si>
  <si>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</si>
  <si>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</si>
  <si>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</si>
  <si>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</si>
  <si>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</si>
  <si>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</si>
  <si>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</si>
  <si>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</si>
  <si>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</si>
  <si>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</si>
  <si>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</si>
  <si>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</si>
  <si>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</si>
  <si>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</si>
  <si>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</si>
  <si>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</si>
  <si>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</si>
  <si>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</si>
  <si>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</si>
  <si>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</si>
  <si>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</si>
  <si>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</si>
  <si>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</si>
  <si>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</si>
  <si>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</si>
  <si>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</si>
  <si>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</si>
  <si>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</si>
  <si>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</si>
  <si>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</si>
  <si>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</si>
  <si>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KIT CAVALETE PARA MEDIÇÃO DE ÁGUA - ENTRADA PRINCIPAL, EM AÇO GALVANIZADO DN 25 MM (1") - FORNECIMENTO E INSTALAÇÃO (EXCLUSIVE HIDRÔMETRO). AF_03/2024</t>
  </si>
  <si>
    <t>KIT CAVALETE PARA MEDIÇÃO DE ÁGUA - ENTRADA PRINCIPAL, EM AÇO GALVANIZADO DN 32 MM (1 1/4") - FORNECIMENTO E INSTALAÇÃO (EXCLUSIVE HIDRÔMETRO). AF_03/2024</t>
  </si>
  <si>
    <t>KIT CAVALETE PARA MEDIÇÃO DE ÁGUA - ENTRADA PRINCIPAL, EM AÇO GALVANIZADO DN 40 MM (1 1/2") - FORNECIMENTO E INSTALAÇÃO (EXCLUSIVE HIDRÔMETRO). AF_03/2024</t>
  </si>
  <si>
    <t>KIT CAVALETE PARA MEDIÇÃO DE ÁGUA - ENTRADA PRINCIPAL, EM AÇO GALVANIZADO DN 50 MM (2") - FORNECIMENTO E INSTALAÇÃO (EXCLUSIVE HIDRÔMETRO). AF_03/2024</t>
  </si>
  <si>
    <t>KIT CAVALETE PARA MEDIÇÃO DE ÁGUA - ENTRADA INDIVIDUALIZADA, EM CPVC DN 28 MM (1"), PARA 1 MEDIDOR - FORNECIMENTO E INSTALAÇÃO (EXCLUSIVE HIDRÔMETRO). AF_03/2024</t>
  </si>
  <si>
    <t>KIT CAVALETE PARA MEDIÇÃO DE ÁGUA - ENTRADA INDIVIDUALIZADA, EM CPVC DN 28 MM (1"), PARA 2 MEDIDORES - FORNECIMENTO E INSTALAÇÃO (EXCLUSIVE HIDRÔMETRO). AF_03/2024</t>
  </si>
  <si>
    <t>KIT CAVALETE PARA MEDIÇÃO DE ÁGUA - ENTRADA INDIVIDUALIZADA, EM CPVC DN 28 MM (1"), PARA 3 MEDIDORES - FORNECIMENTO E INSTALAÇÃO (EXCLUSIVE HIDRÔMETRO). AF_03/2024</t>
  </si>
  <si>
    <t>KIT CAVALETE PARA MEDIÇÃO DE ÁGUA - ENTRADA INDIVIDUALIZADA, EM CPVC DN 28 MM (1"), PARA 4 MEDIDORES - FORNECIMENTO E INSTALAÇÃO (EXCLUSIVE HIDRÔMETRO). AF_03/2024</t>
  </si>
  <si>
    <t>KIT CAVALETE PARA MEDIÇÃO DE ÁGUA - ENTRADA INDIVIDUALIZADA, EM CPVC DN 35 MM (1 1/4"), PARA 1 MEDIDOR - FORNECIMENTO E INSTALAÇÃO (EXCLUSIVE HIDRÔMETRO). AF_03/2024</t>
  </si>
  <si>
    <t>KIT CAVALETE PARA MEDIÇÃO DE ÁGUA - ENTRADA INDIVIDUALIZADA, EM CPVC DN 35 MM (1 1/4"), PARA 2 MEDIDORES - FORNECIMENTO E INSTALAÇÃO (EXCLUSIVE HIDRÔMETRO). AF_03/2024</t>
  </si>
  <si>
    <t>KIT CAVALETE PARA MEDIÇÃO DE ÁGUA - ENTRADA INDIVIDUALIZADA, EM CPVC DN 35 MM (1 1/4"), PARA 3 MEDIDORES - FORNECIMENTO E INSTALAÇÃO (EXCLUSIVE HIDRÔMETRO). AF_03/2024</t>
  </si>
  <si>
    <t>KIT CAVALETE PARA MEDIÇÃO DE ÁGUA - ENTRADA INDIVIDUALIZADA, EM CPVC DN 35 MM (1 1/4"), PARA 4 MEDIDORES - FORNECIMENTO E INSTALAÇÃO (EXCLUSIVE HIDRÔMETRO). AF_03/2024</t>
  </si>
  <si>
    <t>KIT CAVALETE PARA MEDIÇÃO DE ÁGUA - ENTRADA INDIVIDUALIZADA, EM PPR PN20 DN 25 MM (3/4") PARA 1 MEDIDOR - FORNECIMENTO E INSTALAÇÃO (EXCLUSIVE HIDRÔMETRO). AF_03/2024</t>
  </si>
  <si>
    <t>KIT CAVALETE PARA MEDIÇÃO DE ÁGUA - ENTRADA INDIVIDUALIZADA, EM PPR PN20 DN 25 MM (3/4") PARA 2 MEDIDORES - FORNECIMENTO E INSTALAÇÃO (EXCLUSIVE HIDRÔMETRO). AF_03/2024</t>
  </si>
  <si>
    <t>KIT CAVALETE PARA MEDIÇÃO DE ÁGUA - ENTRADA INDIVIDUALIZADA, EM PPR PN20 DN 25 MM (3/4") PARA 3 MEDIDORES - FORNECIMENTO E INSTALAÇÃO (EXCLUSIVE HIDRÔMETRO). AF_03/2024</t>
  </si>
  <si>
    <t>KIT CAVALETE PARA MEDIÇÃO DE ÁGUA - ENTRADA INDIVIDUALIZADA, EM PPR PN20 DN 25 MM (3/4") PARA 4 MEDIDORES - FORNECIMENTO E INSTALAÇÃO (EXCLUSIVE HIDRÔMETRO). AF_03/2024</t>
  </si>
  <si>
    <t>KIT CAVALETE PARA MEDIÇÃO DE ÁGUA - ENTRADA INDIVIDUALIZADA, EM PPR PN20 DN 32 MM (1") PARA 1 MEDIDOR - FORNECIMENTO E INSTALAÇÃO (EXCLUSIVE HIDRÔMETRO). AF_03/2024</t>
  </si>
  <si>
    <t>KIT CAVALETE PARA MEDIÇÃO DE ÁGUA - ENTRADA INDIVIDUALIZADA, EM PPR PN20 DN 32 MM (1") PARA 2 MEDIDORES - FORNECIMENTO E INSTALAÇÃO (EXCLUSIVE HIDRÔMETRO). AF_03/2024</t>
  </si>
  <si>
    <t>KIT CAVALETE PARA MEDIÇÃO DE ÁGUA - ENTRADA INDIVIDUALIZADA, EM PPR PN20 DN 32 MM (1") PARA 3 MEDIDORES - FORNECIMENTO E INSTALAÇÃO (EXCLUSIVE HIDRÔMETRO). AF_03/2024</t>
  </si>
  <si>
    <t>KIT CAVALETE PARA MEDIÇÃO DE ÁGUA - ENTRADA INDIVIDUALIZADA, EM PPR PN20 DN 32 MM (1") PARA 4 MEDIDORES - FORNECIMENTO E INSTALAÇÃO (EXCLUSIVE HIDRÔMETRO). AF_03/2024</t>
  </si>
  <si>
    <t>KIT CAVALETE PARA MEDIÇÃO DE ÁGUA - ENTRADA INDIVIDUALIZADA, EM PPR PN25 DN 25 MM (3/4") PARA 1 MEDIDOR - FORNECIMENTO E INSTALAÇÃO (EXCLUSIVE HIDRÔMETRO). AF_03/2024</t>
  </si>
  <si>
    <t>KIT CAVALETE PARA MEDIÇÃO DE ÁGUA - ENTRADA INDIVIDUALIZADA, EM PPR PN25 DN 25 MM (3/4") PARA 2 MEDIDORES - FORNECIMENTO E INSTALAÇÃO (EXCLUSIVE HIDRÔMETRO). AF_03/2024</t>
  </si>
  <si>
    <t>KIT CAVALETE PARA MEDIÇÃO DE ÁGUA - ENTRADA INDIVIDUALIZADA, EM PPR PN25 DN 25 MM (3/4") PARA 3 MEDIDORES - FORNECIMENTO E INSTALAÇÃO (EXCLUSIVE HIDRÔMETRO). AF_03/2024</t>
  </si>
  <si>
    <t>KIT CAVALETE PARA MEDIÇÃO DE ÁGUA - ENTRADA INDIVIDUALIZADA, EM PPR PN25 DN 25 MM (3/4") PARA 4 MEDIDORES - FORNECIMENTO E INSTALAÇÃO (EXCLUSIVE HIDRÔMETRO). AF_03/2024</t>
  </si>
  <si>
    <t>KIT CAVALETE PARA MEDIÇÃO DE ÁGUA - ENTRADA INDIVIDUALIZADA, EM PPR PN25 DN 32 MM (1") PARA 1 MEDIDOR - FORNECIMENTO E INSTALAÇÃO (EXCLUSIVE HIDRÔMETRO). AF_03/2024</t>
  </si>
  <si>
    <t>KIT CAVALETE PARA MEDIÇÃO DE ÁGUA - ENTRADA INDIVIDUALIZADA, EM PPR PN25 DN 32 MM (1") PARA 2 MEDIDORES - FORNECIMENTO E INSTALAÇÃO (EXCLUSIVE HIDRÔMETRO). AF_03/2024</t>
  </si>
  <si>
    <t>KIT CAVALETE PARA MEDIÇÃO DE ÁGUA - ENTRADA INDIVIDUALIZADA, EM PPR PN25 DN 32 MM (1") PARA 3 MEDIDORES - FORNECIMENTO E INSTALAÇÃO (EXCLUSIVE HIDRÔMETRO). AF_03/2024</t>
  </si>
  <si>
    <t>KIT CAVALETE PARA MEDIÇÃO DE ÁGUA - ENTRADA INDIVIDUALIZADA, EM PPR PN25 DN 32 MM (1") PARA 4 MEDIDORES - FORNECIMENTO E INSTALAÇÃO (EXCLUSIVE HIDRÔMETRO). AF_03/2024</t>
  </si>
  <si>
    <t>HIDRÔMETRO DN 1/2", 1,5 M3/H - FORNECIMENTO E INSTALAÇÃO. AF_03/2024</t>
  </si>
  <si>
    <t>HIDRÔMETRO DN 1/2", 3,0 M3/H - FORNECIMENTO E INSTALAÇÃO. AF_03/2024</t>
  </si>
  <si>
    <t>HIDRÔMETRO DN 3/4", 5,0 M3/H - FORNECIMENTO E INSTALAÇÃO. AF_03/2024</t>
  </si>
  <si>
    <t>CAIXA EM CONCRETO PRÉ-MOLDADO PARA ABRIGO DE HIDRÔMETRO COM DN 20 MM - FORNECIMENTO E INSTALAÇÃO. AF_03/2024</t>
  </si>
  <si>
    <t>FURO MANUAL EM ALVENARIA, PARA INSTALAÇÕES HIDRÁULICAS, DIÂMETROS MENORES OU IGUAIS A 40 MM. AF_09/2023</t>
  </si>
  <si>
    <t>FURO MANUAL EM ALVENARIA, PARA INSTALAÇÕES HIDRÁULICAS, DIÂMETROS MAIORES QUE 40 MM E MENORES OU IGUAIS A 75 MM. AF_09/2023</t>
  </si>
  <si>
    <t>FURO MANUAL EM ALVENARIA, PARA INSTALAÇÕES HIDRÁULICAS, DIÂMETROS MAIORES QUE 75 MM E MENORES OU IGUAIS A 100 MM. AF_09/2023</t>
  </si>
  <si>
    <t>FURO MECANIZADO EM CONCRETO, COM MARTELO DEMOLIDOR, PARA INSTALAÇÕES HIDRÁULICAS, DIÂMETROS MENORES OU IGUAIS A 40 MM. AF_09/2023</t>
  </si>
  <si>
    <t>FURO MECANIZADO EM CONCRETO, COM MARTELO DEMOLIDOR, PARA INSTALAÇÕES HIDRÁULICAS, DIÂMETROS MAIORES QUE 40 MM E MENORES OU IGUAIS A 75 MM. AF_09/2023</t>
  </si>
  <si>
    <t>FURO MECANIZADO EM CONCRETO, COM MARTELO DEMOLIDOR, PARA INSTALAÇÕES HIDRÁULICAS, DIÂMETROS MAIORES QUE 75 MM E MENORES OU IGUAIS A 150 MM. AF_09/2023</t>
  </si>
  <si>
    <t>RASGO LINEAR MANUAL EM ALVENARIA, PARA RAMAIS/ DISTRIBUIÇÃO DE INSTALAÇÕES HIDRÁULICAS, DIÂMETROS MENORES OU IGUAIS A 40 MM. AF_09/2023</t>
  </si>
  <si>
    <t>RASGO LINEAR MECANIZADO EM CONTRAPISO, PARA RAMAIS/ DISTRIBUIÇÃO DE INSTALAÇÕES HIDRÁULICAS, DIÂMETROS MENORES OU IGUAIS A 40 MM. AF_09/2023_PS</t>
  </si>
  <si>
    <t>RASGO LINEAR MECANIZADO EM CONTRAPISO, PARA RAMAIS/ DISTRIBUIÇÃO DE INSTALAÇÕES HIDRÁULICAS, DIÂMETROS MAIORES QUE 40 MM E MENORES OU IGUAIS A 75 MM. AF_09/2023_PS</t>
  </si>
  <si>
    <t>RASGO LINEAR MECANIZADO EM CONTRAPISO, PARA RAMAIS/ DISTRIBUIÇÃO DE INSTALAÇÕES HIDRÁULICAS, DIÂMETROS MAIORES QUE 75 MM E MENORES OU IGUAIS A 100 MM. AF_09/2023_PS</t>
  </si>
  <si>
    <t>RASGO LINEAR MANUAL EM ALVENARIA, PARA ELETRODUTOS, DIÂMETROS MENORES OU IGUAIS A 40 MM. AF_09/2023</t>
  </si>
  <si>
    <t>PASSANTE TIPO PEÇA EM POLIESTIRENO (ISOPOR), FIXADO EM LAJE, PARA ABERTURA PARA PASSAGEM DE 1 TUBO DE ATÉ 50 MM DE DIÂMETRO. AF_09/2023</t>
  </si>
  <si>
    <t>PASSANTE TIPO PEÇA EM POLIESTIRENO (ISOPOR), FIXADO EM LAJE, PARA PASSAGEM DE NO MÁXIMO 5 TUBOS DE 50 MM DE DIÂMETRO. AF_09/2023</t>
  </si>
  <si>
    <t>PASSANTE TIPO TUBO COM DIÂMETRO DE 40 MM, FIXADO EM LAJE, PARA PASSAGEM DE TUBULAÇÕES COM NO MÁXIMO 32 MM DE DIÂMETRO. AF_09/2023</t>
  </si>
  <si>
    <t>PASSANTE TIPO TUBO COM DIÂMETRO DE 75 MM, FIXADO EM LAJE, PARA PASSAGEM DE TUBULAÇÕES COM NO MÁXIMO 50 MM DE DIÂMETRO. AF_09/2023</t>
  </si>
  <si>
    <t>PASSANTE TIPO TUBO COM DIÂMETRO DE 100 MM, FIXADO EM LAJE, PARA PASSAGEM DE TUBULAÇÕES COM NO MÁXIMO 75 MM DE DIÂMETRO. AF_09/2023</t>
  </si>
  <si>
    <t>QUEBRA EM ALVENARIA PARA INSTALAÇÃO DE CAIXA DE TOMADA (4X4 OU 4X2). AF_09/2023</t>
  </si>
  <si>
    <t>QUEBRA EM ALVENARIA PARA INSTALAÇÃO DE QUADRO DISTRIBUIÇÃO PEQUENO (19X25 CM). AF_09/2023</t>
  </si>
  <si>
    <t>QUEBRA EM ALVENARIA PARA INSTALAÇÃO DE QUADRO DISTRIBUIÇÃO GRANDE (76X40 CM). AF_09/2023</t>
  </si>
  <si>
    <t>QUEBRA EM ALVENARIA PARA INSTALAÇÃO DE ABRIGO PARA MANGUEIRAS (90X60 CM). AF_09/2023</t>
  </si>
  <si>
    <t>SUPORTE PARA 2 TUBOS HORIZONTAIS, ESPAÇADO A CADA 56 CM, EM PERFILADO COM COMPRIMENTO DE 25 CM FIXADO EM LAJE, POR METRO DE TUBULAÇÃO FIXADA. AF_09/2023</t>
  </si>
  <si>
    <t>SUPORTE PARA 4 TUBOS HORIZONTAIS, ESPAÇADO A CADA 56 CM, EM PERFILADO COM COMPRIMENTO DE 42 CM FIXADO EM LAJE, POR METRO DE TUBULAÇÃO FIXADA. AF_09/2023</t>
  </si>
  <si>
    <t>SUPORTE PARA 4 TUBOS VERTICAIS, ESPAÇADO A CADA 150 CM, EM PERFILADO COM COMPRIMENTO DE 42 CM FIXADO EM PAREDE, POR METRO DE TUBULAÇÃO FIXADA. AF_09/2023</t>
  </si>
  <si>
    <t>CHUMBAMENTO LINEAR EM ALVENARIA PARA RAMAIS/DISTRIBUIÇÃO DE INSTALAÇÕES HIDRÁULICAS COM DIÂMETROS MENORES OU IGUAIS A 40 MM. AF_09/2023</t>
  </si>
  <si>
    <t>CHUMBAMENTO LINEAR EM ALVENARIA PARA RAMAIS/DISTRIBUIÇÃO DE INSTALAÇÕES HIDRÁULICAS COM DIÂMETROS MAIORES QUE 40 MM E MENORES OU IGUAIS A 75 MM. AF_09/2023</t>
  </si>
  <si>
    <t>CHUMBAMENTO LINEAR EM CONTRAPISO PARA RAMAIS/DISTRIBUIÇÃO DE INSTALAÇÕES HIDRÁULICAS COM DIÂMETROS MENORES OU IGUAIS A 40 MM. AF_09/2023</t>
  </si>
  <si>
    <t>CHUMBAMENTO LINEAR EM CONTRAPISO PARA RAMAIS/DISTRIBUIÇÃO DE INSTALAÇÕES HIDRÁULICAS COM DIÂMETROS MAIORES QUE 40 MM E MENORES OU IGUAIS A 75 MM. AF_09/2023</t>
  </si>
  <si>
    <t>CHUMBAMENTO LINEAR EM CONTRAPISO PARA RAMAIS/DISTRIBUIÇÃO DE INSTALAÇÕES HIDRÁULICAS COM DIÂMETROS MAIORES QUE 75 MM E MENORES OU IGUAIS A 100 MM. AF_09/2023</t>
  </si>
  <si>
    <t>FIXAÇÃO DE TUBOS HORIZONTAIS DE PEX OU MULTICAMADAS, DIÂMETROS IGUAIS OU INFERIORES A 40 MM, COM ABRAÇADEIRA PLÁSTICA FIXADA EM LAJE. AF_09/2023_PE</t>
  </si>
  <si>
    <t>FIXAÇÃO DE TUBOS HORIZONTAIS DE PPR DIÂMETROS MENORES OU IGUAIS A 40 MM COM ABRAÇADEIRA METÁLICA RÍGIDA TIPO U PERFIL 1 1/4", FIXADA EM PERFILADO EM LAJE. AF_09/2023_PS</t>
  </si>
  <si>
    <t>FIXAÇÃO DE TUBOS HORIZONTAIS DE PVC ÁGUA, PVC ESGOTO, PVC ÁGUA PLUVIAL, CPVC, PPR, COBRE OU AÇO, DIÂMETROS MENORES OU IGUAIS A 40 MM, COM ABRAÇADEIRA METÁLICA RÍGIDA TIPO U PERFIL 1 1/4", FIXADA EM PERFILADO EM LAJE. AF_09/2023_PS</t>
  </si>
  <si>
    <t>FIXAÇÃO DE TUBOS HORIZONTAIS DE PVC ÁGUA, PVC ESGOTO, PVC ÁGUA PLUVIAL, CPVC, PPR, COBRE OU AÇO, DIÂMETROS MAIORES QUE 40 MM E MENORES OU IGUAIS A 75 MM, COM ABRAÇADEIRA METÁLICA RÍGIDA TIPO U PERFIL 2 1/2", FIXADA EM PERFILADO EM LAJE. AF_09/2023_PS</t>
  </si>
  <si>
    <t>FIXAÇÃO DE TUBOS HORIZONTAIS DE PVC ÁGUA, PVC ESGOTO, PVC ÁGUA PLUVIAL, CPVC, PPR, COBRE OU AÇO, DIÂMETROS MAIORES QUE 75 MM E MENORES OU IGUAIS A 100 MM, COM ABRAÇADEIRA METÁLICA RÍGIDA TIPO U PERFIL 4", FIXADA EM PERFILADO EM LAJE. AF_09/2023_PS</t>
  </si>
  <si>
    <t>FIXAÇÃO DE TUBOS VERTICAIS DE PVC ÁGUA, PVC ESGOTO, PVC ÁGUA PLUVIAL, CPVC, PPR, COBRE OU AÇO, DIÂMETROS MENORES OU IGUAIS A 40 MM, COM ABRAÇADEIRA METÁLICA RÍGIDA TIPO U PERFIL 1 1/4", FIXADA EM PERFILADO EM PAREDE. AF_09/2023_PS</t>
  </si>
  <si>
    <t>FIXAÇÃO DE TUBOS VERTICAIS DE PVC ÁGUA, PVC ESGOTO, PVC ÁGUA PLUVIAL, CPVC, PPR, COBRE OU AÇO, DIÂMETROS MAIORES QUE 40 MM E MENORES OU IGUAIS A 75 MM, COM ABRAÇADEIRA METÁLICA RÍGIDA TIPO U PERFIL 2 1/2", FIXADA EM PERFILADO EM PAREDE. AF_09/2023_PS</t>
  </si>
  <si>
    <t>FIXAÇÃO DE TUBOS VERTICAIS DE PVC ÁGUA, PVC ESGOTO, PVC ÁGUA PLUVIAL, CPVC, PPR, COBRE OU AÇO, DIÂMETROS MAIORES QUE 75 MM E MENORES OU IGUAIS A 100 MM, COM ABRAÇADEIRA METÁLICA RÍGIDA TIPO U PERFIL 4", FIXADA EM PERFILADO EM PAREDE. AF_09/2023_PS</t>
  </si>
  <si>
    <t>FIXAÇÃO DE TUBOS HORIZONTAIS DE PPR, DIÂMETROS MENORES OU IGUAIS A 40 MM, COM ABRAÇADEIRA METÁLICA FLEXÍVEL 18 MM, FIXADA DIRETAMENTE NA LAJE. AF_09/2023</t>
  </si>
  <si>
    <t>FIXAÇÃO DE TUBOS HORIZONTAIS DE PVC ÁGUA, PVC ESGOTO, PVC ÁGUA PLUVIAL, CPVC, PPR, COBRE OU AÇO, DIÂMETROS MENORES OU IGUAIS A 40 MM, COM ABRAÇADEIRA METÁLICA FLEXÍVEL 18 MM, FIXADA DIRETAMENTE NA LAJE. AF_09/2023</t>
  </si>
  <si>
    <t>FIXAÇÃO DE TUBOS HORIZONTAIS DE PVC ÁGUA, PVC ESGOTO, PVC ÁGUA PLUVIAL, CPVC, PPR, COBRE OU AÇO, DIÂMETROS MAIORES QUE 40 MM E MENORES OU IGUAIS A 75 MM, COM ABRAÇADEIRA METÁLICA FLEXÍVEL 18 MM, FIXADA DIRETAMENTE NA LAJE. AF_09/2023</t>
  </si>
  <si>
    <t>FIXAÇÃO DE TUBOS HORIZONTAIS DE PVC ÁGUA, PVC ESGOTO, PVC ÁGUA PLUVIAL, CPVC, PPR, COBRE OU AÇO, DIÂMETROS MAIORES QUE 75 MM E MENORES OU IGUAIS A 100 MM, COM ABRAÇADEIRA METÁLICA FLEXÍVEL 18 MM, FIXADA DIRETAMENTE NA LAJE. AF_09/2023</t>
  </si>
  <si>
    <t>CHUMBAMENTO PONTUAL EM PASSAGEM DE TUBO COM DIÂMETRO MENOR OU IGUAL A 40 MM. AF_09/2023</t>
  </si>
  <si>
    <t>CHUMBAMENTO PONTUAL EM PASSAGEM DE TUBO COM DIÂMETROS ENTRE 40 MM E 75 MM. AF_09/2023</t>
  </si>
  <si>
    <t>CHUMBAMENTO PONTUAL EM PASSAGEM DE TUBO COM DIÂMETRO MAIOR QUE 75 MM E MENORES OU IGUAIS A 150 MM. AF_09/2023</t>
  </si>
  <si>
    <t>RASGO LINEAR MANUAL EM ALVENARIA, PARA RAMAIS/ DISTRIBUIÇÃO DE INSTALAÇÕES HIDRÁULICAS, DIÂMETROS MAIORES QUE 40 MM E MENORES OU IGUAIS A 75 MM. AF_09/2023</t>
  </si>
  <si>
    <t>SUPORTE PARA DUTO EM CHAPA GALVANIZADA BITOLA 26, EM PERFILADO COM COMPRIMENTO DE 35 CM FIXADO EM LAJE, POR METRO DE DUTO FIXADO. AF_09/2023</t>
  </si>
  <si>
    <t>SUPORTE PARA DUTO EM CHAPA GALVANIZADA BITOLA 24, EM PERFILADO COM COMPRIMENTO DE 55 CM FIXADO EM LAJE, POR METRO DE DUTO FIXADO. AF_09/2023</t>
  </si>
  <si>
    <t>SUPORTE PARA ELETROCALHA LISA OU PERFURADA EM AÇO GALVANIZADO, LARGURA 400 MM, EM PERFILADO COM COMPRIMENTO DE 45 CM FIXADO EM LAJE, POR METRO DE ELETROCALHA FIXADA. AF_09/2023</t>
  </si>
  <si>
    <t>SUPORTE PARA ELETROCALHA LISA OU PERFURADA EM AÇO GALVANIZADO, LARGURA 800 MM, EM PERFILADO COM COMPRIMENTO DE 85 CM FIXADO EM LAJE, POR METRO DE ELETROCALHA FIXADA. AF_09/2023</t>
  </si>
  <si>
    <t>TIL (TUBO DE INSPEÇÃO E LIMPEZA) RADIAL PARA ESGOTO, EM PVC, DN 300X200 MM.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</si>
  <si>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</si>
  <si>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</si>
  <si>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</si>
  <si>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</si>
  <si>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</si>
  <si>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</si>
  <si>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</si>
  <si>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</si>
  <si>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</si>
  <si>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</si>
  <si>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</si>
  <si>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</si>
  <si>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</si>
  <si>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</si>
  <si>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</si>
  <si>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</si>
  <si>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</si>
  <si>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</si>
  <si>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</si>
  <si>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</si>
  <si>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</si>
  <si>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</si>
  <si>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</si>
  <si>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</si>
  <si>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</si>
  <si>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FURO MECANIZADO EM ALVENARIA, PARA INSTALAÇÕES HIDRÁULICAS, DIÂMETROS MENORES OU IGUAIS A 40 MM. AF_09/2023</t>
  </si>
  <si>
    <t>FURO MECANIZADO EM ALVENARIA, PARA INSTALAÇÕES HIDRÁULICAS, DIÂMETROS MAIORES QUE 40 MM E MENORES OU IGUAIS A 75 MM. AF_09/2023</t>
  </si>
  <si>
    <t>FURO MECANIZADO EM ALVENARIA, PARA INSTALAÇÕES HIDRÁULICAS, DIÂMETROS MAIORES QUE 75 MM E MENORES OU IGUAIS A 100 MM. AF_09/2023</t>
  </si>
  <si>
    <t>FURO MECANIZADO EM CONCRETO, COM PERFURATRIZ, PARA INSTALAÇÕES HIDRÁULICAS, DIÂMETROS MENORES OU IGUAIS A 40 MM. AF_09/2023</t>
  </si>
  <si>
    <t>FURO MECANIZADO EM CONCRETO, COM PERFURATRIZ, PARA INSTALAÇÕES HIDRÁULICAS, DIÂMETROS MAIORES QUE 40 MM E MENORES OU IGUAIS A 75 MM. AF_09/2023</t>
  </si>
  <si>
    <t>FURO MECANIZADO EM CONCRETO, COM PERFURATRIZ, PARA INSTALAÇÕES HIDRÁULICAS, DIÂMETROS MAIORES QUE 75 MM E MENORES OU IGUAIS A 150 MM. AF_09/2023</t>
  </si>
  <si>
    <t>RASGO LINEAR MECANIZADO EM ALVENARIA, PARA RAMAIS/ DISTRIBUIÇÃO DE INSTALAÇÕES HIDRÁULICAS, DIÂMETROS MENORES OU IGUAIS A 40 MM. AF_09/2023</t>
  </si>
  <si>
    <t>RASGO LINEAR MECANIZADO EM ALVENARIA, PARA RAMAIS/ DISTRIBUIÇÃO DE INSTALAÇÕES HIDRÁULICAS, DIÂMETROS MAIORES QUE 40 MM E MENORES OU IGUAIS A 75 MM. AF_09/2023</t>
  </si>
  <si>
    <t>PASSANTE TIPO PEÇA EM FÔRMA DE MADEIRA, FIXADO EM LAJE, PARA PASSAGEM DE NO MÁXIMO 5 TUBOS DE 50 MM DE DIÂMETRO. AF_09/2023</t>
  </si>
  <si>
    <t>PASSANTE TIPO TUBO COM DIÂMETRO DE 50 MM, FIXADO EM LAJE, PARA PASSAGEM DE TUBULAÇÕES COM NO MÁXIMO 40 MM DE DIÂMETRO. AF_09/2023</t>
  </si>
  <si>
    <t>PASSANTE TIPO TUBO COM DIÂMETRO DE 150 MM, FIXADO EM LAJE, PARA PASSAGEM DE TUBULAÇÕES COM NO MÁXIMO 100 MM DE DIÂMETRO. AF_09/2023</t>
  </si>
  <si>
    <t>RASGO LINEAR MECANIZADO EM CONCRETO, PARA RAMAIS/ DISTRIBUIÇÃO DE INSTALAÇÕES HIDRÁULICAS, DIÂMETROS MENORES OU IGUAIS A 40 MM. AF_09/2023</t>
  </si>
  <si>
    <t>RASGO LINEAR MECANIZADO EM CONCRETO, PARA RAMAIS/ DISTRIBUIÇÃO DE INSTALAÇÕES HIDRÁULICAS, DIÂMETROS MAIORES QUE 40 MM E MENORES OU IGUAIS A 75 MM. AF_09/2023</t>
  </si>
  <si>
    <t>RASGO LINEAR MECANIZADO EM CONCRETO, PARA RAMAIS/ DISTRIBUIÇÃO DE INSTALAÇÕES HIDRÁULICAS, DIÂMETROS MAIORES QUE 75 MM E MENORES OU IGUAIS A 100 MM. AF_09/2023</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</si>
  <si>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</si>
  <si>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</si>
  <si>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</si>
  <si>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</si>
  <si>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</si>
  <si>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</si>
  <si>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</si>
  <si>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</si>
  <si>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</si>
  <si>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</si>
  <si>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</si>
  <si>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</si>
  <si>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</si>
  <si>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</si>
  <si>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</si>
  <si>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</si>
  <si>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</si>
  <si>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</si>
  <si>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</si>
  <si>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</si>
  <si>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</si>
  <si>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</si>
  <si>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</si>
  <si>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</si>
  <si>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</si>
  <si>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</si>
  <si>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</si>
  <si>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</si>
  <si>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</si>
  <si>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</si>
  <si>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</si>
  <si>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</si>
  <si>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</si>
  <si>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</si>
  <si>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</si>
  <si>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</si>
  <si>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DRAGAGEM DE MATERIAIS DE 1A CATEGORIA E COMPOSTOS ORGÂNICOS E INORGÂNICOS COM RETROESCAVADEIRA (CAÇAMBA: 0,26 M3/88 HP). AF_03/2024</t>
  </si>
  <si>
    <t>DRAGAGEM DE MATERIAIS DE 1A CATEGORIA E COMPOSTOS ORGÂNICOS E INORGÂNICOS COM ESCAVADEIRA HIDRÁULICA (CAÇAMBA: 0,80 M3/111 HP). AF_03/2024</t>
  </si>
  <si>
    <t>ESCAVAÇÃO MECANIZADA PARA BLOCO DE COROAMENTO OU SAPATA COM RETROESCAVADEIRA (SEM ESCAVAÇÃO PARA COLOCAÇÃO DE FÔRMAS). AF_01/2024</t>
  </si>
  <si>
    <t>ESCAVAÇÃO MECANIZADA PARA BLOCO DE COROAMENTO OU SAPATA COM RETROESCAVADEIRA (INCLUINDO ESCAVAÇÃO PARA COLOCAÇÃO DE FÔRMAS). AF_01/2024</t>
  </si>
  <si>
    <t>ESCAVAÇÃO MANUAL PARA BLOCO DE COROAMENTO OU SAPATA (SEM ESCAVAÇÃO PARA COLOCAÇÃO DE FÔRMAS). AF_01/2024</t>
  </si>
  <si>
    <t>ESCAVAÇÃO MANUAL PARA BLOCO DE COROAMENTO OU SAPATA (INCLUINDO ESCAVAÇÃO PARA COLOCAÇÃO DE FÔRMAS). AF_01/2024</t>
  </si>
  <si>
    <t>ESCAVAÇÃO MECANIZADA PARA VIGA BALDRAME OU SAPATA CORRIDA COM MINI-ESCAVADEIRA (SEM ESCAVAÇÃO PARA COLOCAÇÃO DE FÔRMAS). AF_01/2024</t>
  </si>
  <si>
    <t>ESCAVAÇÃO MECANIZADA PARA VIGA BALDRAME OU SAPATA CORRIDA COM MINI-ESCAVADEIRA (INCLUINDO ESCAVAÇÃO PARA COLOCAÇÃO DE FÔRMAS). AF_01/2024</t>
  </si>
  <si>
    <t>ESCAVAÇÃO MANUAL PARA VIGA BALDRAME OU SAPATA CORRIDA (SEM ESCAVAÇÃO PARA COLOCAÇÃO DE FÔRMAS). AF_01/2024</t>
  </si>
  <si>
    <t>ESCAVAÇÃO MANUAL PARA VIGA BALDRAME OU SAPATA CORRIDA (INCLUINDO ESCAVAÇÃO PARA COLOCAÇÃO DE FÔRMAS). AF_01/2024</t>
  </si>
  <si>
    <t>FABRICAÇÃO, MONTAGEM E DESMONTAGEM DE FÔRMA PARA BLOCO DE COROAMENTO, EM MADEIRA SERRADA, E=25 MM, 1 UTILIZAÇÃO. AF_01/2024</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</si>
  <si>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</si>
  <si>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</si>
  <si>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</si>
  <si>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</si>
  <si>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</si>
  <si>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</si>
  <si>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</si>
  <si>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</si>
  <si>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</si>
  <si>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</si>
  <si>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</si>
  <si>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</si>
  <si>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</si>
  <si>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</si>
  <si>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</si>
  <si>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</si>
  <si>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</si>
  <si>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</si>
  <si>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</si>
  <si>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</si>
  <si>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</si>
  <si>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</si>
  <si>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</si>
  <si>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</si>
  <si>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</si>
  <si>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</si>
  <si>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</si>
  <si>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</si>
  <si>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</si>
  <si>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</si>
  <si>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</si>
  <si>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</si>
  <si>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</si>
  <si>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</si>
  <si>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</si>
  <si>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</si>
  <si>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</si>
  <si>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</si>
  <si>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</si>
  <si>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</si>
  <si>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</si>
  <si>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</si>
  <si>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</si>
  <si>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</si>
  <si>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</si>
  <si>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</si>
  <si>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</si>
  <si>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</si>
  <si>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</si>
  <si>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</si>
  <si>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</si>
  <si>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</si>
  <si>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</si>
  <si>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</si>
  <si>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</si>
  <si>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</si>
  <si>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</si>
  <si>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</si>
  <si>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</si>
  <si>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</si>
  <si>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</si>
  <si>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</si>
  <si>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</si>
  <si>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</si>
  <si>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</si>
  <si>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</si>
  <si>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</si>
  <si>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</si>
  <si>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</si>
  <si>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</si>
  <si>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</si>
  <si>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</si>
  <si>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</si>
  <si>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</si>
  <si>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</si>
  <si>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12 CAMINHÕES BASCULANTES DE 10 M³, DMT DE 6 KM E VELOCIDADE MÉDIA22 KM/H. AF_05/2020</t>
  </si>
  <si>
    <t>DESMONTE DE MATERIAL DE 3ª CATEGORIA (BLOCOS DE ROCHAS OU MATACOS), COM MARTELETE PNEUMÁTICO MANUAL - EXCLUSIVE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</si>
  <si>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</si>
  <si>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</si>
  <si>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ATERRO MECANIZADO DE VALA COM ESCAVADEIRA HIDRÁULICA (CAPACIDADE DA CAÇAMBA: 0,8 M³ / POTÊNCIA: 111 HP), LARGURA ATÉ 2,5 M, PROFUNDIDADE ATÉ 1,5 M, COM SOLO ARGILO-ARENOSO. AF_08/2023</t>
  </si>
  <si>
    <t>ATERRO MECANIZADO DE VALA COM ESCAVADEIRA HIDRÁULICA (CAPACIDADE DA CAÇAMBA: 0,8 M³ / POTÊNCIA: 111 HP), LARGURA ATÉ 2,5 M, PROFUNDIDADE DE 1,5 A 3,0 M, COM SOLO ARGILO-ARENOSO. AF_08/2023</t>
  </si>
  <si>
    <t>ATERRO MECANIZADO DE VALA COM ESCAVADEIRA HIDRÁULICA (CAPACIDADE DA CAÇAMBA: 0,8 M³/POTÊNCIA: 111 HP), LARGURA ATÉ 2,5 M, PROFUNDIDADE DE 3,0 A 6,0 M, COM SOLO ARGILO-ARENOSO. AF_08/2023</t>
  </si>
  <si>
    <t>ATERRO MECANIZADO DE VALA COM RETROESCAVADEIRA (CAPACIDADE DA CAÇAMBA DA RETRO: 0,26 M³ / POTÊNCIA: 88 HP), LARGURA ATÉ 1,5 M, PROFUNDIDADE ATÉ 1,5 M, COM SOLO ARGILO-ARENOSO. AF_08/2023</t>
  </si>
  <si>
    <t>ATERRO MECANIZADO DE VALA COM RETROESCAVADEIRA (CAPACIDADE DA CAÇAMBA DA RETRO: 0,26 M³ / POTÊNCIA: 88 HP), LARGURA ATÉ 1,5 M, PROFUNDIDADE DE 1,5 A 3,0 M, COM SOLO ARGILO-ARENOSO. AF_08/2023</t>
  </si>
  <si>
    <t>ATERRO MANUAL DE VALAS COM SOLO ARGILO-ARENOSO. AF_08/2023</t>
  </si>
  <si>
    <t>ATERRO MECANIZADO DE VALA COM ESCAVADEIRA HIDRÁULICA (CAPACIDADE DA CAÇAMBA: 0,8 M³/POTÊNCIA: 111 HP), LARGURA ATÉ 2,5 M, PROFUNDIDADE ATÉ 1,5 M, COM AREIA PARA ATERRO. AF_08/2023</t>
  </si>
  <si>
    <t>ATERRO MECANIZADO DE VALA COM ESCAVADEIRA HIDRÁULICA (CAPACIDADE DA CAÇAMBA: 0,8 M³/POTÊNCIA: 111 HP), LARGURA ATÉ 2,5 M, PROFUNDIDADE DE 1,5 A 3,0 M, COM AREIA PARA ATERRO. AF_08/2023</t>
  </si>
  <si>
    <t>ATERRO MECANIZADO DE VALA COM ESCAVADEIRA HIDRÁULICA (CAPACIDADE DA CAÇAMBA: 0,8 M³/POTÊNCIA: 111 HP), LARGURA ATÉ 2,5 M, PROFUNDIDADE DE 3,0 A 6,0 M, COM AREIA PARA ATERRO. AF_08/2023</t>
  </si>
  <si>
    <t>ATERRO MECANIZADO DE VALA COM RETROESCAVADEIRA (CAPACIDADE DA CAÇAMBA DA RETRO: 0,26 M³/POTÊNCIA: 88 HP), LARGURA ATÉ 1,5 M, PROFUNDIDADE ATÉ 1,5 M, COM AREIA PARA ATERRO. AF_08/2023</t>
  </si>
  <si>
    <t>ATERRO MECANIZADO DE VALA COM RETROESCAVADEIRA (CAPACIDADE DA CAÇAMBA DA RETRO: 0,26 M³/POTÊNCIA: 88 HP), LARGURA ATÉ 1,5 M, PROFUNDIDADE DE 1,5 A 3,0 M, COM AREIA PARA ATERRO. AF_08/2023</t>
  </si>
  <si>
    <t>ATERRO MANUAL DE VALAS COM AREIA PARA ATERRO. AF_08/2023</t>
  </si>
  <si>
    <t>REATERRO MECANIZADO DE VALA COM ESCAVADEIRA HIDRÁULICA (CAPACIDADE DA CAÇAMBA: 0,8 M³/POTÊNCIA: 111 HP), LARGURA DE 1,5 A 2,5 M, PROFUNDIDADE ATÉ 1,5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</si>
  <si>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COMPACTADOR DE SOLOS DE PERCUSSÃO. AF_08/2023</t>
  </si>
  <si>
    <t>REATERRO MECANIZADO DE VALA COM ESCAVADEIRA HIDRÁULICA (CAPACIDADE DA CAÇAMBA: 0,8 M³/POTÊNCIA: 111 HP), LARGURA 1,5 A 2,5 M, PROFUNDIDADE 1,5 A 3,0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</si>
  <si>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COMPACTADOR DE SOLOS DE PERCUSSÃO. AF_08/2023</t>
  </si>
  <si>
    <t>REATERRO MECANIZADO DE VALA COM ESCAVADEIRA HIDRÁULICA (CAPACIDADE DA CAÇAMBA: 0,8 M³/POTÊNCIA: 111 HP), LARGURA 1,5 A 2,5 M, PROFUNDIDADE 3,0 A 6,0 M, COM SOLO (SEM SUBSTITUIÇÃO) DE 1ª CATEGORIA, COM COMPACTADOR DE SOLOS DE PERCUSSÃO. AF_08/2023</t>
  </si>
  <si>
    <t>REATERRO MANUAL DE VALAS, COM COMPACTADOR DE SOLOS DE PERCUSSÃO. AF_08/2023</t>
  </si>
  <si>
    <t>REATERRO MECANIZADO DE VALA COM ESCAVADEIRA HIDRÁULICA (CAPACIDADE DA CAÇAMBA: 0,8 M³/POTÊNCIA: 111 HP), LARGURA DE 1,5 A 2,5 M, PROFUNDIDADE ATÉ 1,5 M, COM SOLO (SEM SUBSTITUIÇÃO) DE 1ª CATEGORIA, COM PLACA VIBRATÓRIA. AF_08/2023</t>
  </si>
  <si>
    <t>REATERRO MECANIZADO DE VALA COM ESCAVADEIRA HIDRÁULICA (CAPACIDADE DA CAÇAMBA: 0,8 M³/POTÊNCIA: 111 HP), LARGURA ATÉ 1,5 M, PROFUNDIDADE DE 1,5 A 3,0 M, COM SOLO (SEM SUBSTITUIÇÃO) DE 1ª CATEGORIA, COM PLACA VIBRATÓRIA. AF_08/2023</t>
  </si>
  <si>
    <t>REATERRO MECANIZADO DE VALA COM ESCAVADEIRA HIDRÁULICA (CAPACIDADE DA CAÇAMBA: 0,8 M³/POTÊNCIA: 111 HP), LARGURA DE 1,5 A 2,5 M, PROFUNDIDADE DE 1,5 A 3,0 M, COM SOLO (SEM SUBSTITUIÇÃO) DE 1ª CATEGORIA, COM PLACA VIBRATÓRIA. AF_08/2023</t>
  </si>
  <si>
    <t>REATERRO MECANIZADO DE VALA COM ESCAVADEIRA HIDRÁULICA (CAPACIDADE DA CAÇAMBA: 0,8 M³/POTÊNCIA: 111 HP), LARGURA ATÉ 1,5 M, PROFUNDIDADE DE 3,0 A 6,0 M, COM SOLO (SEM SUBSTITUIÇÃO) DE 1ª CATEGORIA, COM PLACA VIBRATÓRIA. AF_08/2023</t>
  </si>
  <si>
    <t>REATERRO MECANIZADO DE VALA COM ESCAVADEIRA HIDRÁULICA (CAPACIDADE DA CAÇAMBA: 0,8 M³/POTÊNCIA: 111 HP), LARGURA DE 1,5 A 2,5 M, PROFUNDIDADE DE 3,0 A 6,0 M, COM SOLO (SEM SUBSTITUIÇÃO) DE 1ª CATEGORIA, COM PLACA VIBRATÓRIA. AF_08/2023</t>
  </si>
  <si>
    <t>REATERRO MANUAL DE VALAS, COM PLACA VIBRATÓRIA. AF_08/2023</t>
  </si>
  <si>
    <t>ATERRO MECANIZADO DE VALA COM MINICARREGADEIRA, COM SOLO ARGILO-ARENOSO. AF_08/2023</t>
  </si>
  <si>
    <t>ATERRO MECANIZADO DE VALA COM MINICARREGADEIRA, COM AREIA PARA ATERRO. AF_08/2023</t>
  </si>
  <si>
    <t>REATERRO MECANIZADO DE VALA COM MINICARREGADEIRA, COM COMPACTADOR DE SOLOS DE PERCUSSÃO. AF_08/2023</t>
  </si>
  <si>
    <t>REATERRO MECANIZADO DE VALA COM MINICARREGADEIRA, COM PLACA VIBRATÓRIA. AF_08/2023</t>
  </si>
  <si>
    <t>COMPACTAÇÃO DE VALAS COM ROLO COMPRESSOR. AF_08/2023</t>
  </si>
  <si>
    <t>TRANSPORTE COM CAMINHÃO BASCULANTE DE 6 M³, EM VIA URBANA EM LEITO NATURAL (UNIDADE: TXKM). AF_07/2020</t>
  </si>
  <si>
    <t>TXKM</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</si>
  <si>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</si>
  <si>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</si>
  <si>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</si>
  <si>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</si>
  <si>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</si>
  <si>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</si>
  <si>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</si>
  <si>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</si>
  <si>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</si>
  <si>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</si>
  <si>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</si>
  <si>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</si>
  <si>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</si>
  <si>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ALVENARIA DE VEDAÇÃO DE BLOCOS CERÂMICOS MACIÇOS DE 5X10X20CM (ESPESSURA 10CM) E ARGAMASSA DE ASSENTAMENTO COM PREPARO EM BETONEIRA. AF_05/2020</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</si>
  <si>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</si>
  <si>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</si>
  <si>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</si>
  <si>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</si>
  <si>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</si>
  <si>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</si>
  <si>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</si>
  <si>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</si>
  <si>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</si>
  <si>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</si>
  <si>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</si>
  <si>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</si>
  <si>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</si>
  <si>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</si>
  <si>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</si>
  <si>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</si>
  <si>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</si>
  <si>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</si>
  <si>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</si>
  <si>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</si>
  <si>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</si>
  <si>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</si>
  <si>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</si>
  <si>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</si>
  <si>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</si>
  <si>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</si>
  <si>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ALVENARIA DE VEDAÇÃO DE BLOCOS DE GESSO DE 7X50X66CM (ESPESSURA 7CM). AF_05/2020</t>
  </si>
  <si>
    <t>ALVENARIA DE VEDAÇÃO DE BLOCOS DE GESSO DE 10X50X66CM (ESPESSURA 10CM). AF_05/2020</t>
  </si>
  <si>
    <t>ALVENARIA DE VEDAÇÃO COM ELEMENTO VAZADO DE CERÂMICA (COBOGÓ) DE 7X20X20CM E ARGAMASSA DE ASSENTAMENTO COM PREPARO EM BETONEIRA.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</si>
  <si>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</si>
  <si>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</si>
  <si>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</si>
  <si>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</si>
  <si>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</si>
  <si>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</si>
  <si>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</si>
  <si>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</si>
  <si>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14X19X29 CM (ESPESSURA 14 CM), FBK = 14,0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</si>
  <si>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</si>
  <si>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</si>
  <si>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</si>
  <si>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</si>
  <si>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</si>
  <si>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</si>
  <si>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</si>
  <si>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PAREDE COM SISTEMA EM CHAPAS DE GESSO PARA DRYWALL, USO INTERNO, COM DUAS FACES SIMPLES E ESTRUTURA METÁLICA COM GUIAS SIMPLES, SEM VÃOS. AF_07/2023_PS</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</si>
  <si>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</si>
  <si>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</si>
  <si>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DUPLAS PARA PAREDES COM ÁREA LÍQUIDA MAIOR OU IGUAL A 6 M2, COM VÃOS. AF_07/2023_PS</t>
  </si>
  <si>
    <t>PAREDE COM SISTEMA EM CHAPAS DE GESSO PARA DRYWALL, USO INTERNO, COM UMA FACE SIMPLES E OUTRA FACE DUPLA E ESTRUTURA METÁLICA COM GUIAS SIMPLES, SEM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</si>
  <si>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</si>
  <si>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DUPLAS, SEM VÃOS. AF_07/2023_PS</t>
  </si>
  <si>
    <t>PAREDE COM SISTEMA EM CHAPAS DE GESSO PARA DRYWALL, USO INTERNO, COM DUAS FACES DUPLAS E ESTRUTURA METÁLICA COM GUIAS SIMPLES, SEM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</si>
  <si>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</si>
  <si>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DUPLAS, SEM VÃOS. AF_07/2023_PS</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</si>
  <si>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</si>
  <si>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UMA FACE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</si>
  <si>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</si>
  <si>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INSTALAÇÃO DE REFORÇO METÁLICO EM PAREDE DRYWALL. AF_07/2023</t>
  </si>
  <si>
    <t>INSTALAÇÃO DE REFORÇO DE MADEIRA EM PAREDE DRYWALL. AF_07/2023</t>
  </si>
  <si>
    <t>DIVISÓRIA FIXA EM VIDRO TEMPERADO 10 MM, SEM ABERTURA. AF_01/2021_PS</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</si>
  <si>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</si>
  <si>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</si>
  <si>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</si>
  <si>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</si>
  <si>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</si>
  <si>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</si>
  <si>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PAREDE COM SISTEMA EM CHAPAS DE GESSO PARA DRYWALL, USO INTERNO, COM DUAS FACES SIMPLES E ESTRUTURA METÁLICA COM GUIAS SIMPLES PARA PAREDES COM ÁREA LÍQUIDA MENOR QUE 6 M2, COM VÃOS. AF_07/2023_PS</t>
  </si>
  <si>
    <t>PAREDE COM SISTEMA EM CHAPAS DE GESSO PARA DRYWALL, USO INTERNO, COM DUAS FACES SIMPLES E ESTRUTURA METÁLICA COM GUIAS DUPLAS PARA PAREDES COM ÁREA LÍQUIDA MENOR QUE 6 M2, COM VÃOS. AF_07/2023_PS</t>
  </si>
  <si>
    <t>PAREDE COM SISTEMA EM CHAPAS DE GESSO PARA DRYWALL, USO INTERNO, COM UMA FACE SIMPLES E OUTRA FACE DUPLA E ESTRUTURA METÁLICA COM GUIAS SIMPLES PARA PAREDES COM ÁREA LÍQUIDA MENOR QUE 6 M2, COM VÃOS. AF_07/2023_PS</t>
  </si>
  <si>
    <t>PAREDE COM SISTEMA EM CHAPAS DE GESSO PARA DRYWALL, USO INTERNO, COM UMA FACE SIMPLES E OUTRA FACE DUPLA E ESTRUTURA METÁLICA COM GUIAS DUPLAS PARA PAREDES COM ÁREA LÍQUIDA MENOR QUE 6 M2, COM VÃOS. AF_07/2023_PS</t>
  </si>
  <si>
    <t>PAREDE COM SISTEMA EM CHAPAS DE GESSO PARA DRYWALL, USO INTERNO, COM DUAS FACES DUPLAS E ESTRUTURA METÁLICA COM GUIAS SIMPLES PARA PAREDES COM ÁREA LÍQUIDA MENOR QUE 6 M2, COM VÃOS. AF_07/2023_PS</t>
  </si>
  <si>
    <t>PAREDE COM SISTEMA EM CHAPAS DE GESSO PARA DRYWALL, USO INTERNO, COM DUAS FACES DUPLAS E ESTRUTURA METÁLICA COM GUIAS DUPLAS PARA PAREDES COM ÁREA LÍQUIDA MENOR QUE 6 M2, COM VÃOS. AF_07/2023_PS</t>
  </si>
  <si>
    <t>PAREDE COM SISTEMA EM CHAPAS DE GESSO PARA DRYWALL, USO INTERNO, COM UMA FACE SIMPLES E ESTRUTURA METÁLICA COM GUIAS SIMPLES PARA PAREDES COM ÁREA LÍQUIDA MENOR QUE 6 M2, COM VÃOS. AF_07/2023_PS</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</si>
  <si>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</si>
  <si>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</si>
  <si>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</si>
  <si>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</si>
  <si>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</si>
  <si>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</si>
  <si>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</si>
  <si>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</si>
  <si>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</si>
  <si>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</si>
  <si>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</si>
  <si>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</si>
  <si>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</si>
  <si>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</si>
  <si>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</si>
  <si>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</si>
  <si>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</si>
  <si>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</si>
  <si>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</si>
  <si>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</si>
  <si>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</si>
  <si>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</si>
  <si>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</si>
  <si>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</si>
  <si>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</si>
  <si>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</si>
  <si>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</si>
  <si>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</si>
  <si>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</si>
  <si>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</si>
  <si>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</si>
  <si>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</si>
  <si>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</si>
  <si>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</si>
  <si>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</si>
  <si>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</si>
  <si>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</si>
  <si>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</si>
  <si>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</si>
  <si>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</si>
  <si>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</si>
  <si>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</si>
  <si>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</si>
  <si>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</si>
  <si>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</si>
  <si>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</si>
  <si>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</si>
  <si>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</si>
  <si>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</si>
  <si>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</si>
  <si>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</si>
  <si>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</si>
  <si>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</si>
  <si>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</si>
  <si>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</si>
  <si>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</si>
  <si>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</si>
  <si>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</si>
  <si>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</si>
  <si>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</si>
  <si>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</si>
  <si>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</si>
  <si>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</si>
  <si>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</si>
  <si>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</si>
  <si>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</si>
  <si>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</si>
  <si>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</si>
  <si>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</si>
  <si>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</si>
  <si>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</si>
  <si>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</si>
  <si>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</si>
  <si>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</si>
  <si>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</si>
  <si>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</si>
  <si>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</si>
  <si>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</si>
  <si>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</si>
  <si>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</si>
  <si>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</si>
  <si>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</si>
  <si>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</si>
  <si>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</si>
  <si>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</si>
  <si>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</si>
  <si>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</si>
  <si>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</si>
  <si>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</si>
  <si>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</si>
  <si>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</si>
  <si>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</si>
  <si>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</si>
  <si>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</si>
  <si>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</si>
  <si>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</si>
  <si>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</si>
  <si>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</si>
  <si>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</si>
  <si>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</si>
  <si>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</si>
  <si>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</si>
  <si>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</si>
  <si>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</si>
  <si>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FORNECIMENTO E INSTALAÇÃO DE PLACA DE OBRA COM CHAPA GALVANIZADA E ESTRUTURA DE MADEIRA. AF_03/2022_PS</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</si>
  <si>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</si>
  <si>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</si>
  <si>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</si>
  <si>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</si>
  <si>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</si>
  <si>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</si>
  <si>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</si>
  <si>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</si>
  <si>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</si>
  <si>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APLICAÇÃO MANUAL DE FUNDO SELADOR ACRÍLICO EM PANOS COM PRESENÇA DE VÃOS DE EDIFÍCIOS DE MÚLTIPLOS PAVIMENTOS. AF_03/2024</t>
  </si>
  <si>
    <t>APLICAÇÃO MANUAL DE FUNDO SELADOR ACRÍLICO EM PANOS CEGOS DE FACHADA (SEM PRESENÇA DE VÃOS) DE EDIFÍCIOS DE MÚLTIPLOS PAVIMENTOS. AF_03/2024</t>
  </si>
  <si>
    <t>APLICAÇÃO MANUAL DE FUNDO SELADOR ACRÍLICO EM SUPERFÍCIES EXTERNAS DE SACADA DE EDIFÍCIOS DE MÚLTIPLOS PAVIMENTOS. AF_03/2024</t>
  </si>
  <si>
    <t>APLICAÇÃO MANUAL DE FUNDO SELADOR ACRÍLICO EM SUPERFÍCIES INTERNAS DA SACADA DE EDIFÍCIOS DE MÚLTIPLOS PAVIMENTOS. AF_03/2024</t>
  </si>
  <si>
    <t>APLICAÇÃO MANUAL DE FUNDO SELADOR ACRÍLICO EM PAREDES EXTERNAS DE CASAS. AF_03/2024</t>
  </si>
  <si>
    <t>APLICAÇÃO MANUAL DE PINTURA COM TINTA TEXTURIZADA ACRÍLICA EM PANOS COM PRESENÇA DE VÃOS DE EDIFÍCIOS DE MÚLTIPLOS PAVIMENTOS, UMA COR. AF_03/2024</t>
  </si>
  <si>
    <t>APLICAÇÃO MANUAL DE PINTURA COM TINTA TEXTURIZADA ACRÍLICA EM PANOS CEGOS DE FACHADA (SEM PRESENÇA DE VÃOS) DE EDIFÍCIOS DE MÚLTIPLOS PAVIMENTOS, UMA COR. AF_03/2024</t>
  </si>
  <si>
    <t>APLICAÇÃO MANUAL DE PINTURA COM TINTA TEXTURIZADA ACRÍLICA EM SUPERFÍCIES EXTERNAS DE SACADA DE EDIFÍCIOS DE MÚLTIPLOS PAVIMENTOS, UMA COR. AF_03/2024</t>
  </si>
  <si>
    <t>APLICAÇÃO MANUAL DE PINTURA COM TINTA TEXTURIZADA ACRÍLICA EM SUPERFÍCIES INTERNAS DA SACADA DE EDIFÍCIOS DE MÚLTIPLOS PAVIMENTOS, UMA COR. AF_03/2024</t>
  </si>
  <si>
    <t>APLICAÇÃO MANUAL DE PINTURA COM TINTA TEXTURIZADA ACRÍLICA EM PAREDES EXTERNAS DE CASAS, UMA COR. AF_03/2024</t>
  </si>
  <si>
    <t>APLICAÇÃO MANUAL DE PINTURA COM TINTA TEXTURIZADA ACRÍLICA EM PANOS COM PRESENÇA DE VÃOS DE EDIFÍCIOS DE MÚLTIPLOS PAVIMENTOS, DUAS CORES. AF_03/2024</t>
  </si>
  <si>
    <t>APLICAÇÃO MANUAL DE PINTURA COM TINTA TEXTURIZADA ACRÍLICA EM PANOS CEGOS DE FACHADA (SEM PRESENÇA DE VÃOS) DE EDIFÍCIOS DE MÚLTIPLOS PAVIMENTOS, DUAS CORES. AF_03/2024</t>
  </si>
  <si>
    <t>APLICAÇÃO MANUAL DE PINTURA COM TINTA TEXTURIZADA ACRÍLICA EM SUPERFÍCIES EXTERNAS DE SACADA DE EDIFÍCIOS DE MÚLTIPLOS PAVIMENTOS, DUAS CORES. AF_03/2024</t>
  </si>
  <si>
    <t>APLICAÇÃO MANUAL DE PINTURA COM TINTA TEXTURIZADA ACRÍLICA EM SUPERFÍCIES INTERNAS DA SACADA DE EDIFÍCIOS DE MÚLTIPLOS PAVIMENTOS, DUAS CORES. AF_03/2024</t>
  </si>
  <si>
    <t>APLICAÇÃO MANUAL DE PINTURA COM TINTA TEXTURIZADA ACRÍLICA EM PAREDES EXTERNAS DE CASAS, DUAS CORES. AF_03/2024</t>
  </si>
  <si>
    <t>APLICAÇÃO MANUAL DE PINTURA COM TINTA TEXTURIZADA ACRÍLICA EM MOLDURAS DE EPS. AF_03/2024</t>
  </si>
  <si>
    <t>FUNDO SELADOR ACRÍLICO, APLICAÇÃO MANUAL EM TETO, UMA DEMÃO. AF_04/2023</t>
  </si>
  <si>
    <t>FUNDO SELADOR ACRÍLICO, APLICAÇÃO MANUAL EM PAREDE, UMA DEMÃO. AF_04/2023</t>
  </si>
  <si>
    <t>PINTURA LÁTEX ACRÍLICA PREMIUM, APLICAÇÃO MANUAL EM TETO, DUAS DEMÃOS. AF_04/2023</t>
  </si>
  <si>
    <t>PINTURA LÁTEX ACRÍLICA PREMIUM, APLICAÇÃO MANUAL EM PAREDES, DUAS DEMÃOS. AF_04/2023</t>
  </si>
  <si>
    <t>EMASSAMENTO COM MASSA LÁTEX, APLICAÇÃO EM TETO, UMA DEMÃO, LIXAMENTO MANUAL. AF_04/2023</t>
  </si>
  <si>
    <t>EMASSAMENTO COM MASSA LÁTEX, APLICAÇÃO EM PAREDE, UMA DEMÃO, LIXAMENTO MANUAL. AF_04/2023</t>
  </si>
  <si>
    <t>EMASSAMENTO COM MASSA LÁTEX, APLICAÇÃO EM TETO, DUAS DEMÃOS, LIXAMENTO MANUAL. AF_04/2023</t>
  </si>
  <si>
    <t>EMASSAMENTO COM MASSA LÁTEX, APLICAÇÃO EM PAREDE, DUAS DEMÃOS, LIXAMENTO MANUAL. AF_04/2023</t>
  </si>
  <si>
    <t>TEXTURA ACRÍLICA, APLICAÇÃO MANUAL EM PAREDE, UMA DEMÃO. AF_04/2023</t>
  </si>
  <si>
    <t>TEXTURA ACRÍLICA, APLICAÇÃO MANUAL EM TETO, UMA DEMÃO. AF_04/2023</t>
  </si>
  <si>
    <t>APLICAÇÃO MANUAL DE TINTA LÁTEX ACRÍLICA EM PANOS COM PRESENÇA DE VÃOS DE EDIFÍCIOS DE MÚLTIPLOS PAVIMENTOS, DUAS DEMÃOS. AF_03/2024</t>
  </si>
  <si>
    <t>APLICAÇÃO MANUAL DE TINTA LÁTEX ACRÍLICA EM PANOS SEM PRESENÇA DE VÃOS DE EDIFÍCIOS DE MÚLTIPLOS PAVIMENTOS, DUAS DEMÃOS. AF_03/2024</t>
  </si>
  <si>
    <t>APLICAÇÃO MANUAL DE TINTA LÁTEX ACRÍLICA EM SUPERFÍCIES EXTERNAS DE SACADA DE EDIFÍCIOS DE MÚLTIPLOS PAVIMENTOS, DUAS DEMÃOS. AF_03/2024</t>
  </si>
  <si>
    <t>APLICAÇÃO MANUAL DE TINTA LÁTEX ACRÍLICA EM SUPERFÍCIES INTERNAS DE SACADA DE EDIFÍCIOS DE MÚLTIPLOS PAVIMENTOS, DUAS DEMÃOS. AF_03/2024</t>
  </si>
  <si>
    <t>APLICAÇÃO MANUAL DE TINTA LÁTEX ACRÍLICA EM PAREDE EXTERNAS DE CASAS, DUAS DEMÃOS. AF_03/2024</t>
  </si>
  <si>
    <t>APLICAÇÃO MANUAL DE MASSA ACRÍLICA EM PANOS DE FACHADA COM PRESENÇA DE VÃOS, DE EDIFÍCIOS DE MÚLTIPLOS PAVIMENTOS, UMA DEMÃO. AF_03/2024</t>
  </si>
  <si>
    <t>APLICAÇÃO MANUAL DE MASSA ACRÍLICA EM PANOS DE FACHADA SEM PRESENÇA DE VÃOS, DE EDIFÍCIOS DE MÚLTIPLOS PAVIMENTOS, UMA DEMÃO. AF_03/2024</t>
  </si>
  <si>
    <t>APLICAÇÃO MANUAL DE MASSA ACRÍLICA EM SUPERFÍCIES EXTERNAS DE SACADA DE EDIFÍCIOS DE MÚLTIPLOS PAVIMENTOS, UMA DEMÃO. AF_03/2024</t>
  </si>
  <si>
    <t>APLICAÇÃO MANUAL DE MASSA ACRÍLICA EM SUPERFÍCIES INTERNAS DE SACADA DE EDIFÍCIOS DE MÚLTIPLOS PAVIMENTOS, UMA DEMÃO. AF_03/2024</t>
  </si>
  <si>
    <t>APLICAÇÃO MANUAL DE MASSA ACRÍLICA EM PAREDES EXTERNAS DE CASAS, UMA DEMÃO. AF_03/2024</t>
  </si>
  <si>
    <t>APLICAÇÃO MANUAL DE MASSA ACRÍLICA EM PANOS DE FACHADA COM PRESENÇA DE VÃOS, DE EDIFÍCIOS DE MÚLTIPLOS PAVIMENTOS, DUAS DEMÃOS. AF_03/2024</t>
  </si>
  <si>
    <t>APLICAÇÃO MANUAL DE MASSA ACRÍLICA EM PANOS DE FACHADA SEM PRESENÇA DE VÃOS, DE EDIFÍCIOS DE MÚLTIPLOS PAVIMENTOS, DUAS DEMÃOS. AF_03/2024</t>
  </si>
  <si>
    <t>APLICAÇÃO MANUAL DE MASSA ACRÍLICA EM SUPERFÍCIES EXTERNAS DE SACADA DE EDIFÍCIOS DE MÚLTIPLOS PAVIMENTOS, DUAS DEMÃOS. AF_03/2024</t>
  </si>
  <si>
    <t>APLICAÇÃO MANUAL DE MASSA ACRÍLICA EM SUPERFÍCIES INTERNAS DE SACADA DE EDIFÍCIOS DE MÚLTIPLOS PAVIMENTOS, DUAS DEMÃOS. AF_03/2024</t>
  </si>
  <si>
    <t>APLICAÇÃO MANUAL DE MASSA ACRÍLICA EM PAREDES EXTERNAS DE CASAS, DUAS DEMÃOS. AF_03/2024</t>
  </si>
  <si>
    <t>PINTURA LÁTEX ACRÍLICA ECONÔMICA, APLICAÇÃO MANUAL EM TETO, DUAS DEMÃOS. AF_04/2023</t>
  </si>
  <si>
    <t>PINTURA LÁTEX ACRÍLICA STANDARD, APLICAÇÃO MANUAL EM TETO, DUAS DEMÃOS. AF_04/2023</t>
  </si>
  <si>
    <t>PINTURA LÁTEX ACRÍLICA ECONÔMICA, APLICAÇÃO MANUAL EM PAREDES, DUAS DEMÃOS. AF_04/2023</t>
  </si>
  <si>
    <t>PINTURA LÁTEX ACRÍLICA STANDARD, APLICAÇÃO MANUAL EM PAREDES, DUAS DEMÃOS. AF_04/2023</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</si>
  <si>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</si>
  <si>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</si>
  <si>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</si>
  <si>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</si>
  <si>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ACRÍLICA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</si>
  <si>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</si>
  <si>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</si>
  <si>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</si>
  <si>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</si>
  <si>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</si>
  <si>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</si>
  <si>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</si>
  <si>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</si>
  <si>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</si>
  <si>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</si>
  <si>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</si>
  <si>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</si>
  <si>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</si>
  <si>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</si>
  <si>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</si>
  <si>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</si>
  <si>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</si>
  <si>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</si>
  <si>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</si>
  <si>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</si>
  <si>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</si>
  <si>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</si>
  <si>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</si>
  <si>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</si>
  <si>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</si>
  <si>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</si>
  <si>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</si>
  <si>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AF_01/2020_PE</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</si>
  <si>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</si>
  <si>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AF_01/2020_PE</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</si>
  <si>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</si>
  <si>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AF_01/2020_PE</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</si>
  <si>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</si>
  <si>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AF_01/2020_PE</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</si>
  <si>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</si>
  <si>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AF_01/2020_PE</t>
  </si>
  <si>
    <t>PINTURA COM TINTA EPOXÍDICA DE FUNDO APLICADA A ROLO OU PINCEL SOBRE PERFIL METÁLICO EXECUTADO EM FÁBRICA (POR DEMÃO). AF_01/2020</t>
  </si>
  <si>
    <t>PINTURA COM TINTA EPOXÍDICA DE ACABAMENTO PULVERIZADA SOBRE PERFIL METÁLICO EXECUTADO EM FÁBRICA (POR DEMÃO). AF_01/2020_PE</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</si>
  <si>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</si>
  <si>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AF_01/2020_PE</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</si>
  <si>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</si>
  <si>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AF_01/2020_PE</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</si>
  <si>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</si>
  <si>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AF_01/2020_PE</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</si>
  <si>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</si>
  <si>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AF_01/2020_PE</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</si>
  <si>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</si>
  <si>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</si>
  <si>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</si>
  <si>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AF_01/2020_PE</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</si>
  <si>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</si>
  <si>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AF_01/2020_PE</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</si>
  <si>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</si>
  <si>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AF_01/2020_PE</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</si>
  <si>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</si>
  <si>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AF_01/2020_PE</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</si>
  <si>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</si>
  <si>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AF_01/2020_PE</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</si>
  <si>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</si>
  <si>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AF_01/2020_PE</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</si>
  <si>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</si>
  <si>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AF_01/2020_PE</t>
  </si>
  <si>
    <t>PINTURA COM TINTA ALQUÍDICA DE ACABAMENTO (ESMALTE SINTÉTICO FOSCO) APLICADA A ROLO OU PINCEL SOBRE SUPERFÍCIES METÁLICAS (EXCETO PERFIL) EXECUTADO EM OBRA (02 DEMÃOS). AF_01/2020</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</si>
  <si>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</si>
  <si>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</si>
  <si>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</si>
  <si>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</si>
  <si>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</si>
  <si>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</si>
  <si>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</si>
  <si>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</si>
  <si>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</si>
  <si>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</si>
  <si>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</si>
  <si>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</si>
  <si>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</si>
  <si>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</si>
  <si>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TINTA RETRORREFLETIVA A BASE DE RESINA ACRÍLICA COM MICROESFERAS DE VIDRO, E = 30 CM, APLICAÇÃO MANUAL. AF_05/2021</t>
  </si>
  <si>
    <t>PINTURA DE SÍMBOLOS E TEXTOS COM TINTA ACRÍLICA, DEMARCAÇÃO COM FITA ADESIVA E APLICAÇÃO COM ROLO. AF_05/2021</t>
  </si>
  <si>
    <t>PINTURA DE SINALIZAÇÃO VERTICAL DE SEGURANÇA, FAIXAS AMARELA E PRETA, APLICAÇÃO MANUAL, 2 DEMÃOS. AF_05/2021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</si>
  <si>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</si>
  <si>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</si>
  <si>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</si>
  <si>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</si>
  <si>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</si>
  <si>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</si>
  <si>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</si>
  <si>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</si>
  <si>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PISO COM PLACAS TIPO PORCELANATO DE DIMENSÕES 80X80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</si>
  <si>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</si>
  <si>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</si>
  <si>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</si>
  <si>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</si>
  <si>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</si>
  <si>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</si>
  <si>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</si>
  <si>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</si>
  <si>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</si>
  <si>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</si>
  <si>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</si>
  <si>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</si>
  <si>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</si>
  <si>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</si>
  <si>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</si>
  <si>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</si>
  <si>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</si>
  <si>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ARDÓSIA ASSENTADO SOBRE ARGAMASSA 1:3 (CIMENTO E AREIA). AF_09/2020</t>
  </si>
  <si>
    <t>PISO PODOTÁTIL DE ALERTA OU DIRECIONAL, DE BORRACHA, ASSENTADO SOBRE ARGAMASSA. AF_05/2020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</si>
  <si>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</si>
  <si>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</si>
  <si>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</si>
  <si>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</si>
  <si>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</si>
  <si>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</si>
  <si>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</si>
  <si>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GRANILITE, MARMORITE OU GRANITINA EM AMBIENTES INTERNOS, COM ESPESSURA DE 8 MM, INCLUSO MISTURA EM BETONEIRA, COLOCAÇÃO DAS JUNTAS, APLICAÇÃO DO PISO, 4 POLIMENTOS COM POLITRIZ, ESTUCAMENTO, SELADOR E CERA. AF_06/2022</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</si>
  <si>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</si>
  <si>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</si>
  <si>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</si>
  <si>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</si>
  <si>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</si>
  <si>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</si>
  <si>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</si>
  <si>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</si>
  <si>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EXECUÇÃO DE PASSEIO (CALÇADA) OU PISO DE CONCRETO COM CONCRETO MOLDADO IN LOCO, FEITO EM OBRA, ACABAMENTO CONVENCIONAL, NÃO ARMADO. AF_08/2022</t>
  </si>
  <si>
    <t>EXECUÇÃO DE PASSEIO (CALÇADA) OU PISO DE CONCRETO COM CONCRETO MOLDADO IN LOCO, USINADO C20,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</si>
  <si>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</si>
  <si>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</si>
  <si>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</si>
  <si>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</si>
  <si>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PISO EM CONCRETO 20 MPA PREPARO MECÂNICO, ESPESSURA 7CM. AF_09/2020</t>
  </si>
  <si>
    <t>EXECUÇÃO DE PASSEIO (CALÇADA) OU PISO DE CONCRETO COM CONCRETO MOLDADO IN LOCO, USINADO C25, ACABAMENTO CONVENCIONAL, NÃO ARMADO. AF_03/2023</t>
  </si>
  <si>
    <t>PISO PODOTÁTIL DE ALERTA OU DIRECIONAL, DE CONCRETO, ASSENTADO SOBRE ARGAMASSA. AF_03/2024</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</si>
  <si>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</si>
  <si>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</si>
  <si>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</si>
  <si>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PRONTA, PREPARO MANUAL,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</si>
  <si>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</si>
  <si>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</si>
  <si>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</si>
  <si>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</si>
  <si>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</si>
  <si>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</si>
  <si>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</si>
  <si>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</si>
  <si>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</si>
  <si>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</si>
  <si>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</si>
  <si>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</si>
  <si>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</si>
  <si>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</si>
  <si>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</si>
  <si>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</si>
  <si>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</si>
  <si>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</si>
  <si>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</si>
  <si>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</si>
  <si>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</si>
  <si>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</si>
  <si>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</si>
  <si>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</si>
  <si>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</si>
  <si>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</si>
  <si>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</si>
  <si>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</si>
  <si>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</si>
  <si>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</si>
  <si>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</si>
  <si>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</si>
  <si>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</si>
  <si>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</si>
  <si>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</si>
  <si>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</si>
  <si>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</si>
  <si>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</si>
  <si>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</si>
  <si>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</si>
  <si>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</si>
  <si>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</si>
  <si>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</si>
  <si>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</si>
  <si>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</si>
  <si>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</si>
  <si>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</si>
  <si>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</si>
  <si>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</si>
  <si>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</si>
  <si>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</si>
  <si>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</si>
  <si>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</si>
  <si>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</si>
  <si>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REFORÇO SUPERFICIAL PARA CONTRAPISOS DE ARGAMASSA SEMI-SECA. AF_07/2021</t>
  </si>
  <si>
    <t>RODAPÉ BORRACHA LISO, ALTURA = 7CM, ESPESSURA = 2 MM, PARA ARGAMASSA. AF_09/2020</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</si>
  <si>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</si>
  <si>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</si>
  <si>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</si>
  <si>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</si>
  <si>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</si>
  <si>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</si>
  <si>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</si>
  <si>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EQUIPAMENTO DE PROJEÇÃO. ARGAMASSA TRAÇO 1:3 COM PREPARO MANUAL.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</si>
  <si>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</si>
  <si>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</si>
  <si>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</si>
  <si>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</si>
  <si>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</si>
  <si>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</si>
  <si>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APLICAÇÃO MANUAL DE GESSO DESEMPENADO (SEM TALISCAS) EM TETO DE AMBIENTES DE ÁREA ENTRE 5M² E 10M², ESPESSURA DE 1,0CM. AF_03/2023</t>
  </si>
  <si>
    <t>APLICAÇÃO MANUAL DE GESSO DESEMPENADO (SEM TALISCAS) EM TETO DE AMBIENTES DE ÁREA MENOR QUE 5M², ESPESSURA DE 1,0CM. AF_03/2023</t>
  </si>
  <si>
    <t>APLICAÇÃO MANUAL DE GESSO DESEMPENADO (SEM TALISCAS) EM PAREDES, ESPESSURA DE 0,5CM. AF_03/2023</t>
  </si>
  <si>
    <t>APLICAÇÃO MANUAL DE GESSO DESEMPENADO (SEM TALISCAS) EM PAREDES, ESPESSURA DE 1,0CM. AF_03/2023</t>
  </si>
  <si>
    <t>APLICAÇÃO MANUAL DE GESSO SARRAFEADO (COM TALISCAS) EM PAREDES, ESPESSURA DE 1,0CM. AF_03/2023</t>
  </si>
  <si>
    <t>APLICAÇÃO MANUAL DE GESSO SARRAFEADO (COM TALISCAS) EM PAREDES, ESPESSURA DE 1,5CM. AF_03/2023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</si>
  <si>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</si>
  <si>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</si>
  <si>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</si>
  <si>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</si>
  <si>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EMBOÇO, EM ARGAMASSA TRAÇO 1:2:8, PREPARO MECÂNICO, APLICADO MANUALMENTE EM PAREDES INTERNAS DE AMBIENTES COM ÁREA MENOR QUE 5M², E =17,5MM, COM TALISCAS. AF_03/2024</t>
  </si>
  <si>
    <t>EMBOÇO, EM ARGAMASSA TRAÇO 1:2:8, PREPARO MANUAL, APLICADO MANUALMENTE EM PAREDES INTERNAS DE AMBIENTES COM ÁREA MENOR QUE 5M², E = 17,5MM, COM TALISCAS. AF_03/2024</t>
  </si>
  <si>
    <t>MASSA ÚNICA, EM ARGAMASSA TRAÇO 1:2:8, PREPARO MECÂNICO, APLICADA MANUALMENTE EM PAREDES INTERNAS DE AMBIENTES COM ÁREA ENTRE 5M² E 10M², E = 17,5MM, COM TALISCAS. AF_03/2024</t>
  </si>
  <si>
    <t>MASSA ÚNICA, EM ARGAMASSA TRAÇO 1:2:8, PREPARO MANUAL, APLICADA MANUALMENTE EM PAREDES INTERNAS DE AMBIENTES COM ÁREA ENTRE 5M² E 10M², E = 17,5MM, COM TALISCAS. AF_03/2024</t>
  </si>
  <si>
    <t>EMBOÇO, EM ARGAMASSA TRAÇO 1:2:8, PREPARO MECÂNICO, APLICADO MANUALMENTE EM PAREDES INTERNAS DE AMBIENTES COM ÁREA ENTRE 5M² E 10M², E = 17,5MM, COM TALISCAS. AF_03/2024</t>
  </si>
  <si>
    <t>EMBOÇO, EM ARGAMASSA TRAÇO 1:2:8, PREPARO MANUAL, APLICADO MANUALMENTE EM PAREDES INTERNAS DE AMBIENTES COM ÁREA ENTRE 5M² E 10M², E = 17,5MM, COM TALISCAS. AF_03/2024</t>
  </si>
  <si>
    <t>EMBOÇO, EM ARGAMASSA TRAÇO 1:2:8, PREPARO MECÂNICO, APLICADO MANUALMENTE EM PAREDES INTERNAS DE AMBIENTES COM ÁREA MAIOR QUE 10M², E = 17,5MM, COM TALISCAS. AF_03/2024</t>
  </si>
  <si>
    <t>EMBOÇO, EM ARGAMASSA TRAÇO 1:2:8, PREPARO MANUAL, APLICADO MANUALMENTE EM PAREDES INTERNAS DE AMBIENTES COM ÁREA MAIOR QUE 10M², E = 17,5MM, COM TALISCAS. AF_03/2024</t>
  </si>
  <si>
    <t>EMBOÇO, EM ARGAMASSA INDUSTRIALIZADA, PREPARO MECÂNICO, APLICADO COM EQUIPAMENTO DE MISTURA E PROJEÇÃO DE ARGAMASSA EM PAREDES INTERNAS, E = 17,5MM, COM TALISCAS. AF_03/2024</t>
  </si>
  <si>
    <t>MASSA ÚNICA, EM ARGAMASSA INDUSTRIALIZADA, PREPARO MECÂNICO, APLICADA COM EQUIPAMENTO DE MISTURA E PROJEÇÃO DE ARGAMASSA EM PAREDES INTERNAS, E = 5MM, SEM TALISCAS. AF_03/2024</t>
  </si>
  <si>
    <t>EMBOÇO, EM ARGAMASSA TRAÇO 1:2:8, PREPARO MECÂNICO, APLICADO MANUALMENTE EM PAREDES INTERNAS, PARA AMBIENTES COM ÁREA MENOR QUE 5M², E = 10MM, COM TALISCAS. AF_03/2024</t>
  </si>
  <si>
    <t>EMBOÇO, EM ARGAMASSA TRAÇO 1:2:8, PREPARO MANUAL, APLICADO MANUALMENTE EM PAREDES INTERNAS, PARA AMBIENTES COM ÁREA MENOR QUE 5M², E = 10MM, COM TALISCAS. AF_03/2024</t>
  </si>
  <si>
    <t>MASSA ÚNICA, EM ARGAMASSA TRAÇO 1:2:8, PREPARO MECÂNICO, APLICADA MANUALMENTE EM PAREDES INTERNAS DE AMBIENTES COM ÁREA ENTRE 5M² E 10M², E = 10MM, COM TALISCAS. AF_03/2024</t>
  </si>
  <si>
    <t>MASSA ÚNICA, EM ARGAMASSA TRAÇO 1:2:8, PREPARO MANUAL, APLICADA MANUALMENTE EM PAREDES INTERNAS DE AMBIENTES COM ÁREA ENTRE 5M² E 10M², E = 10MM, COM TALISCAS. AF_03/2024</t>
  </si>
  <si>
    <t>EMBOÇO, EM ARGAMASSA TRAÇO 1:2:8, PREPARO MECÂNICO, APLICADO MANUALMENTE EM PAREDES INTERNAS DE AMBIENTES COM ÁREA ENTRE 5M² E 10M², E = 10MM, COM TALISCAS. AF_03/2024</t>
  </si>
  <si>
    <t>EMBOÇO, EM ARGAMASSA TRAÇO 1:2:8, PREPARO MANUAL, APLICADO MANUALMENTE EM PAREDES INTERNAS DE AMBIENTES COM ÁREA ENTRE 5M² E 10M², E = 10MM, COM TALISCAS. AF_03/2024</t>
  </si>
  <si>
    <t>EMBOÇO, EM ARGAMASSA TRAÇO 1:2:8, PREPARO MECÂNICO, APLICADO MANUALMENTE EM PAREDES INTERNAS DE AMBIENTES COM ÁREA MAIOR QUE 10M², E = 10MM, COM TALISCAS. AF_03/2024</t>
  </si>
  <si>
    <t>EMBOÇO, EM ARGAMASSA TRAÇO 1:2:8, PREPARO MANUAL, APLICADO MANUALMENTE EM PAREDES INTERNAS DE AMBIENTES COM ÁREA MAIOR QUE 10M², E = 10MM, COM TALISCAS. AF_03/2024</t>
  </si>
  <si>
    <t>EMBOÇO, EM ARGAMASSA INDUSTRIALIZADA, PREPARO MECÂNICO, APLICADO COM EQUIPAMENTO DE MISTURA E PROJEÇÃO DE ARGAMASSA EM PAREDES INTERNAS, E = 10MM, COM TALISCAS. AF_03/2024</t>
  </si>
  <si>
    <t>MASSA ÚNICA, EM ARGAMASSA INDUSTRIALIZADA, PREPARO MECÂNICO, APLICADA COM EQUIPAMENTO DE MISTURA E PROJEÇÃO DE ARGAMASSA EM PAREDES INTERNAS, E = 10MM, SEM TALISCAS. AF_03/2024</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</si>
  <si>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</si>
  <si>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</si>
  <si>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</si>
  <si>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</si>
  <si>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</si>
  <si>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</si>
  <si>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</si>
  <si>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</si>
  <si>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</si>
  <si>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</si>
  <si>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</si>
  <si>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</si>
  <si>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</si>
  <si>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</si>
  <si>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</si>
  <si>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</si>
  <si>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</si>
  <si>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</si>
  <si>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</si>
  <si>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</si>
  <si>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</si>
  <si>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</si>
  <si>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</si>
  <si>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</si>
  <si>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</si>
  <si>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</si>
  <si>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</si>
  <si>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</si>
  <si>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</si>
  <si>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</si>
  <si>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</si>
  <si>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</si>
  <si>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</si>
  <si>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TRAÇO 1:2:8, PREPARO MANUAL, APLICADA MANUALMENTE EM SUPERFÍCIES EXTERNAS DA SACADA, ESPESSURA MAIOR OU IGUAL A 50 MM, SEM USO DE TELA METÁLICA DE REFORÇO CONTRA FISSURAÇÃO.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</si>
  <si>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</si>
  <si>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</si>
  <si>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</si>
  <si>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</si>
  <si>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</si>
  <si>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</si>
  <si>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</si>
  <si>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REVESTIMENTO DECORATIVO MONOCAMADA EXECUTADO MANUALMENTE EM FACHADA DE UM EDIFÍCIO DE ESTRUTURA CONVENCIONAL E ACABAMENTO RASPADO. AF_03/2024</t>
  </si>
  <si>
    <t>REVESTIMENTO DECORATIVO MONOCAMADA EXECUTADO MANUALMENTE EM FACHADA DE UM EDIFÍCIO DE ALVENARIA ESTRUTURAL E ACABAMENTO RASPADO. AF_03/2024</t>
  </si>
  <si>
    <t>REVESTIMENTO DECORATIVO MONOCAMADA EXECUTADO COM EQUIPAMENTO DE PROJEÇÃO EM FACHADA DE UM EDIFÍCIO DE ESTRUTURA CONVENCIONAL E ACABAMENTO RASPADO. AF_03/2024</t>
  </si>
  <si>
    <t>REVESTIMENTO DECORATIVO MONOCAMADA EXECUTADO COM EQUIPAMENTO DE PROJEÇÃO EM FACHADA DE UM EDIFÍCIO DE ALVENARIA ESTRUTURAL E ACABAMENTO RASPADO. AF_03/2024</t>
  </si>
  <si>
    <t>REVESTIMENTO DECORATIVO MONOCAMADA EXECUTADO MANUALMENTE EM FACHADA DE UM EDIFÍCIO DE ESTRUTURA CONVENCIONAL E ACABAMENTO TRAVERTINO. AF_03/2024</t>
  </si>
  <si>
    <t>REVESTIMENTO DECORATIVO MONOCAMADA EXECUTADO MANUALMENTE EM FACHADA DE UM EDIFÍCIO DE ALVENARIA ESTRUTURAL E ACABAMENTO TRAVERTINO. AF_03/2024</t>
  </si>
  <si>
    <t>REVESTIMENTO DECORATIVO MONOCAMADA EXECUTADO COM EQUIPAMENTO DE PROJEÇÃO EM FACHADA DE UM EDIFÍCIO DE ESTRUTURA CONVENCIONAL E ACABAMENTO TRAVERTINO. AF_03/2024</t>
  </si>
  <si>
    <t>REVESTIMENTO DECORATIVO MONOCAMADA EXECUTADO COM EQUIPAMENTO DE PROJEÇÃO EM FACHADA DE UM EDIFÍCIO DE ALVENARIA ESTRUTURAL E ACABAMENTO TRAVERTINO. AF_03/2024</t>
  </si>
  <si>
    <t>MASSA ÚNICA, EM ARGAMASSA TRAÇO 1:2:8, PREPARO MECÂNICO, APLICADA MANUALMENTE EM TETO, E = 17,5MM, COM TALISCAS. AF_03/2024</t>
  </si>
  <si>
    <t>MASSA ÚNICA, EM ARGAMASSA TRAÇO 1:2:8, PREPARO MECÂNICO, APLICADA MANUALMENTE EM TETO, E = 10MM, COM TALISCAS. AF_03/2024</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</si>
  <si>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</si>
  <si>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</si>
  <si>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</si>
  <si>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</si>
  <si>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</si>
  <si>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</si>
  <si>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</si>
  <si>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</si>
  <si>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</si>
  <si>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</si>
  <si>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</si>
  <si>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</si>
  <si>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</si>
  <si>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</si>
  <si>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</si>
  <si>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</si>
  <si>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</si>
  <si>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</si>
  <si>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</si>
  <si>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</si>
  <si>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</si>
  <si>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</si>
  <si>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</si>
  <si>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</si>
  <si>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</si>
  <si>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</si>
  <si>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</si>
  <si>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</si>
  <si>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</si>
  <si>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</si>
  <si>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</si>
  <si>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</si>
  <si>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</si>
  <si>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</si>
  <si>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</si>
  <si>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</si>
  <si>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</si>
  <si>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</si>
  <si>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</si>
  <si>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</si>
  <si>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</si>
  <si>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</si>
  <si>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</si>
  <si>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</si>
  <si>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</si>
  <si>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</si>
  <si>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</si>
  <si>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</si>
  <si>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</si>
  <si>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</si>
  <si>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</si>
  <si>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</si>
  <si>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</si>
  <si>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</si>
  <si>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</si>
  <si>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</si>
  <si>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</si>
  <si>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</si>
  <si>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</si>
  <si>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</si>
  <si>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</si>
  <si>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</si>
  <si>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MENOR QUE 5M², ESPESSURA DE 1,0CM.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</si>
  <si>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</si>
  <si>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</si>
  <si>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SARRAFEADO (COM TALISCAS) EM PAREDES COM PÉ DIREITO DUPLO, ESPESSURA DE 1,0CM. AF_03/2023</t>
  </si>
  <si>
    <t>APLICAÇÃO MANUAL DE GESSO SARRAFEADO (COM TALISCAS) EM PAREDES COM PÉ DIREITO DUPLO, ESPESSURA DE 1,5CM. AF_03/2023</t>
  </si>
  <si>
    <t>MASSA ÚNICA, EM ARGAMASSA TRAÇO 1:2:8, PREPARO MECÂNICO, APLICADA MANUALMENTE EM PAREDES INTERNAS DE AMBIENTES COM ÁREA MAIOR QUE 10M², E = 17,5MM, COM TALISCAS. AF_03/2024</t>
  </si>
  <si>
    <t>MASSA ÚNICA, EM ARGAMASSA TRAÇO 1:2:8, PREPARO MANUAL, APLICADA MANUALMENTE EM PAREDES INTERNAS DE AMBIENTES COM ÁREA MAIOR QUE 10M², E = 17,5MM, COM TALISCAS. AF_03/2024</t>
  </si>
  <si>
    <t>MASSA ÚNICA, EM ARGAMASSA INDUSTRIALIZADA, PREPARO MECÂNICO, APLICADA COM EQUIPAMENTO DE MISTURA E PROJEÇÃO DE ARGAMASSA EM PAREDES INTERNAS, E = 17,5MM, COM TALISCAS. AF_03/2024</t>
  </si>
  <si>
    <t>EMBOÇO, EM ARGAMASSA TRAÇO 1:2:8, PREPARO MANUAL, APLICADO MANUALMENTE EM PAREDES INTERNAS DE AMBIENTES COM PÉ-DIREITO DUPLO E ÁREA ENTRE 5M² E 10M², E = 17,5MM, COM TALISCAS. AF_03/2024</t>
  </si>
  <si>
    <t>MASSA ÚNICA, EM ARGAMASSA TRAÇO 1:2:8, PREPARO MECÂNICO, APLICADA MANUALMENTE EM PAREDES INTERNAS DE AMBIENTES COM PÉ-DIREITO DUPLO E ÁREA MAIOR QUE 10M², E = 17,5MM, COM TALISCAS. AF_03/2024</t>
  </si>
  <si>
    <t>MASSA ÚNICA, EM ARGAMASSA TRAÇO 1:2:8, PREPARO MANUAL, APLICADA MANUALMENTE EM PAREDES INTERNAS DE AMBIENTES COM PÉ-DIREITO DUPLO E ÁREA MAIOR QUE 10M², E = 17,5MM, COM TALISCAS. AF_03/2024</t>
  </si>
  <si>
    <t>EMBOÇO, EM ARGAMASSA TRAÇO 1:2:8, PREPARO MECÂNICO, APLICADO MANUALMENTE EM PAREDES INTERNAS DE AMBIENTES COM PÉ-DIREITO DUPLO E ÁREA MAIOR QUE 10M², E = 17,5MM, COM TALISCAS. AF_03/2024</t>
  </si>
  <si>
    <t>MASSA ÚNICA, EM ARGAMASSA TRAÇO 1:2:8 PREPARO MECÂNICO, APLICADA MANUALMENTE EM PAREDES INTERNAS DE AMBIENTES COM ÁREA MAIOR QUE 10M², E = 10MM, COM TALISCAS. AF_03/2024</t>
  </si>
  <si>
    <t>MASSA ÚNICA, EM ARGAMASSA TRAÇO 1:2:8 PREPARO MANUAL, APLICADA MANUALMENTE EM PAREDES INTERNAS DE AMBIENTES COM ÁREA MAIOR QUE 10M², E = 10MM, COM TALISCAS. AF_03/2024</t>
  </si>
  <si>
    <t>MASSA ÚNICA, EM ARGAMASSA INDUSTRIALIZADA, PREPARO MECÂNICO, APLICADA COM EQUIPAMENTO DE MISTURA E PROJEÇÃO DE ARGAMASSA EM PAREDES INTERNAS, E = 10MM, COM TALISCAS. AF_03/2024</t>
  </si>
  <si>
    <t>EMBOÇO, EM ARGAMASSA TRAÇO 1:2:8, PREPARO MECÂNICO, APLICADO MANUALMENTE EM PAREDES INTERNAS DE AMBIENTES COM PÉ-DIREITO DUPLO E ÁREA MENOR QUE 5M², E = 17,5MM, COM TALISCAS. AF_03/2024</t>
  </si>
  <si>
    <t>EMBOÇO, EM ARGAMASSA TRAÇO 1:2:8, PREPARO MANUAL, APLICADO MANUALMENTE EM PAREDES INTERNAS DE AMBIENTES COM PÉ-DIREITO DUPLO E ÁREA MENOR QUE 5M², E = 17,5MM, COM TALISCAS. AF_03/2024</t>
  </si>
  <si>
    <t>MASSA ÚNICA, EM ARGAMASSA TRAÇO 1:2:8, PREPARO MECÂNICO, APLICADA MANUALMENTE EM PAREDES INTERNAS DE AMBIENTES COM PÉ-DIREITO DUPLO E ÁREA ENTRE 5M² E 10M², E = 17,5MM, COM TALISCAS. AF_03/2024</t>
  </si>
  <si>
    <t>MASSA ÚNICA, EM ARGAMASSA TRAÇO 1:2:8, PREPARO MANUAL, APLICADA MANUALMENTE EM PAREDES INTERNAS DE AMBIENTES COM PÉ-DIREITO DUPLO E ÁREA ENTRE 5M² E 10M², E = 17,5MM, COM TALISCAS. AF_03/2024</t>
  </si>
  <si>
    <t>EMBOÇO, EM ARGAMASSA TRAÇO 1:2:8, PREPARO MECÂNICO, APLICADO MANUALMENTE EM PAREDES INTERNAS DE AMBIENTES COM PÉ-DIREITO DUPLO E ÁREA ENTRE 5M² E 10M², E = 17,5MM, COM TALISCAS. AF_03/2024</t>
  </si>
  <si>
    <t>EMBOÇO, EM ARGAMASSA TRAÇO 1:2:8, PREPARO MANUAL, APLICADO MANUALMENTE EM PAREDES INTERNAS DE AMBIENTES COM PÉ-DIREITO DUPLO E ÁREA MAIOR QUE 10M², E = 17,5MM, COM TALISCAS. AF_03/2024</t>
  </si>
  <si>
    <t>EMBOÇO, EM ARGAMASSA TRAÇO 1:2:8, PREPARO MECÂNICO, APLICADO MANUALMENTE EM PAREDES INTERNAS DE AMBIENTES COM PÉ-DIREITO DUPLO E ÁREA MENOR QUE 5M², E = 10MM, COM TALISCAS. AF_03/2024</t>
  </si>
  <si>
    <t>EMBOÇO, EM ARGAMASSA TRAÇO 1:2:8, PREPARO MANUAL, APLICADO MANUALMENTE EM PAREDES INTERNAS DE AMBIENTES COM PÉ-DIREITO DUPLO E ÁREA MENOR QUE 5M², E = 10MM, COM TALISCAS. AF_03/2024</t>
  </si>
  <si>
    <t>MASSA ÚNICA, EM ARGAMASSA TRAÇO 1:2:8, PREPARO MECÂNICO, APLICADA MANUALMENTE EM PAREDES INTERNAS DE AMBIENTES COM PÉ-DIREITO DUPLO E ÁREA ENTRE 5M² E 10M², E = 10MM, COM TALISCAS. AF_03/2024</t>
  </si>
  <si>
    <t>MASSA ÚNICA, EM ARGAMASSA TRAÇO 1:2:8, PREPARO MANUAL, APLICADA MANUALMENTE EM PAREDES INTERNAS DE AMBIENTES COM PÉ-DIREITO DUPLO E ÁREA ENTRE 5M² E 10M², E = 10MM, COM TALISCAS. AF_03/2024</t>
  </si>
  <si>
    <t>EMBOÇO, EM ARGAMASSA TRAÇO 1:2:8, PREPARO MECÂNICO, APLICADO MANUALMENTE EM PAREDES INTERNAS DE AMBIENTES COM PÉ-DIREITO DUPLO E ÁREA ENTRE 5M² E 10M², E = 10MM, COM TALISCAS. AF_03/2024</t>
  </si>
  <si>
    <t>EMBOÇO, EM ARGAMASSA TRAÇO 1:2:8, PREPARO MANUAL, APLICADO MANUALMENTE EM PAREDES INTERNAS DE AMBIENTES COM PÉ-DIREITO DUPLO E ÁREA ENTRE 5M² E 10M², E = 10MM, COM TALISCAS. AF_03/2024</t>
  </si>
  <si>
    <t>MASSA ÚNICA, EM ARGAMASSA TRAÇO 1:2:8, PREPARO MECÂNICO, APLICADA MANUALMENTE EM PAREDES INTERNAS DE AMBIENTES COM PÉ-DIREITO DUPLO ÁREA MAIOR QUE 10M², E = 10MM, COM TALISCAS. AF_03/2024</t>
  </si>
  <si>
    <t>MASSA ÚNICA, EM ARGAMASSA TRAÇO 1:2:8, PREPARO MANUAL, APLICADA MANUALMENTE EM PAREDES INTERNAS DE AMBIENTES COM PÉ-DIREITO DUPLO ÁREA MAIOR QUE 10M², E = 10MM, COM TALISCAS. AF_03/2024</t>
  </si>
  <si>
    <t>EMBOÇO, EM ARGAMASSA TRAÇO 1:2:8, PREPARO MECÂNICO, APLICADO MANUALMENTE EM PAREDES INTERNAS DE AMBIENTES COM PÉ-DIREITO DUPLO E ÁREA MAIOR QUE 10M², E = 10MM, COM TALISCAS. AF_03/2024</t>
  </si>
  <si>
    <t>EMBOÇO, EM ARGAMASSA TRAÇO 1:2:8, PREPARO MANUAL, APLICADO MANUALMENTE EM PAREDES INTERNAS DE AMBIENTES COM PÉ-DIREITO DUPLO E ÁREA MAIOR QUE 10M², E = 10MM, COM TALISCAS. AF_03/2024</t>
  </si>
  <si>
    <t>MASSA ÚNICA, EM ARGAMASSA TRAÇO 1:2:8, PREPARO MECÂNICO, APLICADA MANUALMENTE EM TETO DE AMBIENTES COM PAREDES EM PÉ-DIREITO DUPLO, E = 17,5MM, COM TALISCAS. AF_03/2024</t>
  </si>
  <si>
    <t>MASSA ÚNICA, EM ARGAMASSA TRAÇO 1:2:8, PREPARO MECÂNICO, APLICADA MANUALMENTE EM TETO DE AMBIENTES COM PAREDES EM PÉ-DIREITO DUPLO, E = 10MM, COM TALISCAS. AF_03/2024</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</si>
  <si>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</si>
  <si>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</si>
  <si>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</si>
  <si>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</si>
  <si>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REVESTIMENTO CERÂMICO PARA PAREDES INTERNAS COM PLACAS TIPO PASTILHA DE DIMENSÕES 5 X 5 CM (PLACAS DE 30 X 30 CM) CM APLICADAS NA ALTURA INTEIRA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</si>
  <si>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</si>
  <si>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</si>
  <si>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A MEIA ALTURA DAS PAREDES. AF_02/2023</t>
  </si>
  <si>
    <t>CHAPIM SOBRE MUROS LINEARES, EM GRANITO OU MÁRMORE, L = 25 CM, ASSENTADO COM ARGAMASSA 1:6 COM ADITIVO. AF_11/2020</t>
  </si>
  <si>
    <t>CHAPIM (RUFO CAPA) EM AÇO GALVANIZADO, CORTE 33. AF_11/2020</t>
  </si>
  <si>
    <t>FORRO EM MADEIRA PINUS, PARA AMBIENTES RESIDENCIAIS, INCLUSIVE ESTRUTURA UNIDIRECIONAL DE FIXAÇÃO. AF_08/2023</t>
  </si>
  <si>
    <t>ACABAMENTOS PARA FORRO (RODA-FORRO EM MADEIRA PINUS). AF_08/2023</t>
  </si>
  <si>
    <t>FORRO EM MADEIRA PINUS, PARA AMBIENTES RESIDENCIAIS E COMERCIAIS, INCLUSIVE ESTRUTURA BIDIRECIONAL DE FIXAÇÃO. AF_08/2023</t>
  </si>
  <si>
    <t>FORRO EM PLACAS DE GESSO, PARA AMBIENTES RESIDENCIAIS. AF_08/2023_PS</t>
  </si>
  <si>
    <t>FORRO EM DRYWALL PARA AMBIENTES RESIDENCIAIS, INCLUSIVE ESTRUTURA UNIDIRECIONAL DE FIXAÇÃO. AF_08/2023_PS</t>
  </si>
  <si>
    <t>FORRO EM PLACAS DE GESSO, PARA AMBIENTES COMERCIAIS. AF_08/2023_PS</t>
  </si>
  <si>
    <t>FORRO EM DRYWALL, PARA AMBIENTES COMERCIAIS, INCLUSIVE ESTRUTURA BIRECIONAL DE FIXAÇÃO. AF_08/2023_PS</t>
  </si>
  <si>
    <t>ACABAMENTOS PARA FORRO (MOLDURA DE GESSO). AF_08/2023</t>
  </si>
  <si>
    <t>ACABAMENTOS PARA FORRO (MOLDURA EM DRYWALL, COM LARGURA DE 15 CM). AF_08/2023_PS</t>
  </si>
  <si>
    <t>ACABAMENTOS PARA FORRO (SANCA DE GESSO, MONTADA NA OBRA). AF_08/2023_PS</t>
  </si>
  <si>
    <t>FORRO EM RÉGUAS DE PVC, FRISADO, PARA AMBIENTES RESIDENCIAIS, INCLUSIVE ESTRUTURA UNIDIRECIONAL DE FIXAÇÃO. AF_08/2023_PS</t>
  </si>
  <si>
    <t>FORRO EM RÉGUAS DE PVC, FRISADO, PARA AMBIENTES COMERCIAIS, INCLUSIVE ESTRUTURA BIDIRECIONAL DE FIXAÇÃO. AF_08/2023_PS</t>
  </si>
  <si>
    <t>ACABAMENTOS PARA FORRO (RODA-FORRO EM PERFIL METÁLICO E PLÁSTICO). AF_08/2023</t>
  </si>
  <si>
    <t>FORRO EM RÉGUAS DE PVC, LISO, PARA AMBIENTES RESIDENCIAIS, INCLUSIVE ESTRUTURA UNIDIRECIONAL DE FIXAÇÃO. AF_08/2023_PS</t>
  </si>
  <si>
    <t>FORRO EM RÉGUAS DE PVC, LISO, PARA AMBIENTES COMERCIAIS, INCLUSIVE ESTRUTURA BIDIRECIONAL DE FIXAÇÃO. AF_08/2023_PS</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</si>
  <si>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</si>
  <si>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</si>
  <si>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</si>
  <si>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</si>
  <si>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</si>
  <si>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</si>
  <si>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</si>
  <si>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</si>
  <si>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</si>
  <si>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</si>
  <si>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</si>
  <si>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</si>
  <si>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</si>
  <si>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</si>
  <si>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</si>
  <si>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</si>
  <si>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</si>
  <si>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</si>
  <si>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</si>
  <si>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</si>
  <si>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</si>
  <si>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</si>
  <si>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</si>
  <si>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</si>
  <si>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</si>
  <si>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</si>
  <si>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</si>
  <si>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</si>
  <si>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</si>
  <si>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</si>
  <si>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</si>
  <si>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</si>
  <si>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</si>
  <si>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</si>
  <si>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</si>
  <si>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</si>
  <si>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</si>
  <si>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</si>
  <si>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</si>
  <si>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</si>
  <si>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</si>
  <si>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</si>
  <si>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</si>
  <si>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</si>
  <si>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</si>
  <si>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</si>
  <si>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</si>
  <si>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</si>
  <si>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</si>
  <si>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</si>
  <si>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</si>
  <si>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</si>
  <si>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</si>
  <si>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</si>
  <si>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</si>
  <si>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</si>
  <si>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</si>
  <si>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</si>
  <si>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</si>
  <si>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</si>
  <si>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</si>
  <si>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</si>
  <si>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</si>
  <si>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</si>
  <si>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</si>
  <si>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</si>
  <si>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</si>
  <si>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</si>
  <si>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</si>
  <si>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</si>
  <si>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</si>
  <si>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</si>
  <si>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</si>
  <si>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</si>
  <si>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</si>
  <si>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</si>
  <si>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</si>
  <si>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</si>
  <si>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</si>
  <si>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</si>
  <si>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</si>
  <si>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</si>
  <si>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</si>
  <si>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</si>
  <si>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</si>
  <si>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</si>
  <si>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</si>
  <si>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</si>
  <si>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</si>
  <si>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</si>
  <si>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</si>
  <si>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</si>
  <si>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</si>
  <si>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</si>
  <si>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</si>
  <si>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</si>
  <si>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</si>
  <si>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</si>
  <si>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</si>
  <si>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</si>
  <si>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</si>
  <si>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</si>
  <si>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</si>
  <si>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</si>
  <si>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</si>
  <si>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</si>
  <si>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</si>
  <si>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</si>
  <si>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</si>
  <si>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</si>
  <si>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</si>
  <si>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</si>
  <si>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</si>
  <si>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</si>
  <si>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</si>
  <si>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</si>
  <si>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</si>
  <si>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</si>
  <si>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</si>
  <si>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</si>
  <si>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</si>
  <si>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</si>
  <si>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</si>
  <si>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</si>
  <si>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</si>
  <si>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</si>
  <si>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</si>
  <si>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</si>
  <si>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</si>
  <si>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</si>
  <si>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</si>
  <si>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</si>
  <si>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</si>
  <si>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</si>
  <si>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</si>
  <si>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</si>
  <si>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</si>
  <si>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</si>
  <si>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</si>
  <si>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</si>
  <si>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</si>
  <si>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</si>
  <si>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</si>
  <si>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</si>
  <si>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</si>
  <si>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</si>
  <si>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</si>
  <si>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</si>
  <si>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</si>
  <si>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</si>
  <si>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</si>
  <si>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</si>
  <si>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M3XKM</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</si>
  <si>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</si>
  <si>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</si>
  <si>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</si>
  <si>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</si>
  <si>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</si>
  <si>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</si>
  <si>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</si>
  <si>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</si>
  <si>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</si>
  <si>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</si>
  <si>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</si>
  <si>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</si>
  <si>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</si>
  <si>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</si>
  <si>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</si>
  <si>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</si>
  <si>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</si>
  <si>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</si>
  <si>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</si>
  <si>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</si>
  <si>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</si>
  <si>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</si>
  <si>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</si>
  <si>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</si>
  <si>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</si>
  <si>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</si>
  <si>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</si>
  <si>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</si>
  <si>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</si>
  <si>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</si>
  <si>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</si>
  <si>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</si>
  <si>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</si>
  <si>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</si>
  <si>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</si>
  <si>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</si>
  <si>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</si>
  <si>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</si>
  <si>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</si>
  <si>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</si>
  <si>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</si>
  <si>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</si>
  <si>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</si>
  <si>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</si>
  <si>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</si>
  <si>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</si>
  <si>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</si>
  <si>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</si>
  <si>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</si>
  <si>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</si>
  <si>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</si>
  <si>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</si>
  <si>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</si>
  <si>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</si>
  <si>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</si>
  <si>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</si>
  <si>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</si>
  <si>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</si>
  <si>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</si>
  <si>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</si>
  <si>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</si>
  <si>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</si>
  <si>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</si>
  <si>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</si>
  <si>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</si>
  <si>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</si>
  <si>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</si>
  <si>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</si>
  <si>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</si>
  <si>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</si>
  <si>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</si>
  <si>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</si>
  <si>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</si>
  <si>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</si>
  <si>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</si>
  <si>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</si>
  <si>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</si>
  <si>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</si>
  <si>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</si>
  <si>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</si>
  <si>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</si>
  <si>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</si>
  <si>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</si>
  <si>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</si>
  <si>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</si>
  <si>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</si>
  <si>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</si>
  <si>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</si>
  <si>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PORCELANATO UTILIZANDO DETERGENTE NEUTRO E ESCOVAÇÃO MANUAL. AF_04/2019</t>
  </si>
  <si>
    <t>LIMPEZA DE PISO CERÂMICO OU COM PEDRAS RÚSTICAS UTILIZANDO ÁCIDO MURIÁTICO. AF_04/2019</t>
  </si>
  <si>
    <t>LIMPEZA DE REVESTIMENTO CERÂMICO EM PAREDE COM PANO ÚMIDO AF_04/2019</t>
  </si>
  <si>
    <t>LIMPEZA DE REVESTIMENTO CERÂMICO EM PAREDE UTILIZANDO DETERGENTE NEUTRO E ESCOVAÇÃO MANUAL. AF_04/2019</t>
  </si>
  <si>
    <t>LIMPEZA DE REVESTIMENTO CERÂMICO EM PAREDE UTILIZANDO ÁCIDO MURIÁTICO. AF_04/2019</t>
  </si>
  <si>
    <t>LIMPEZA DE PISO DE LADRILHO HIDRÁULICO COM PANO ÚMIDO. AF_04/2019</t>
  </si>
  <si>
    <t>LIMPEZA DE PISO DE MÁRMORE/GRANITO UTILIZANDO DETERGENTE NEUTRO E ESCOVAÇÃO MANUAL. AF_04/2019</t>
  </si>
  <si>
    <t>LIMPEZA DE CONTRAPISO COM VASSOURA A SECO. AF_04/2019</t>
  </si>
  <si>
    <t>LIMPEZA DE LADRILHO HIDRÁULICO EM PAREDE COM PANO ÚMIDO. AF_04/2019</t>
  </si>
  <si>
    <t>LIMPEZA DE MÁRMORE/GRANITO EM PAREDE UTILIZANDO DETERGENTE NEUTRO E ESCOVAÇÃO MANUAL. AF_04/2019</t>
  </si>
  <si>
    <t>LIMPEZA DE SUPERFÍCIE COM JATO DE ALTA PRESSÃO.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</si>
  <si>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</si>
  <si>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</si>
  <si>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</si>
  <si>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</si>
  <si>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</si>
  <si>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</si>
  <si>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</si>
  <si>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DE MADEIRA. AF_04/2019</t>
  </si>
  <si>
    <t>LIMPEZA DE PORTA INTEIRAMENTE DE VIDRO. AF_04/2019</t>
  </si>
  <si>
    <t>LIMPEZA DE PORTA EM AÇO/ALUMÍNIO. AF_04/2019</t>
  </si>
  <si>
    <t>LIMPEZA DE PORTA DE VIDRO COM CAIXILHO EM AÇO/ ALUMÍNIO/ PVC. AF_04/2019</t>
  </si>
  <si>
    <t>LIMPEZA DE FORRO REMOVÍVEL COM PANO ÚMIDO. AF_04/2019</t>
  </si>
  <si>
    <t>GUARDA-CORPO FIXADO EM FÔRMA DE MADEIRA COM MONTANTES E TRAVESSÕES EM MADEIRA E FECHAMENTO EM PLACA COMPENSADO PARA EDIFÍCIOS COM ATÉ 2 PAVIMENTOS. AF_03/2024</t>
  </si>
  <si>
    <t>GUARDA-CORPO FIXADO EM FÔRMA DE MADEIRA COM MONTANTES E TRAVESSÕES EM MADEIRA E FECHAMENTO EM PLACA COMPENSADO PARA EDIFÍCIOS COM 3 PAVIMENTOS. AF_03/2024</t>
  </si>
  <si>
    <t>GUARDA-CORPO FIXADO EM FÔRMA DE MADEIRA COM MONTANTES E TRAVESSÕES EM MADEIRA E FECHAMENTO EM PLACA COMPENSADO PARA EDIFÍCIOS COM ALTURA IGUAL OU SUPERIOR A 4 PAVIMENTOS. AF_03/2024</t>
  </si>
  <si>
    <t>GUARDA-CORPO FIXADO EM FÔRMA DE MADEIRA COM MONTANTES E TRAVESSÕES EM MADEIRA PRÉ-MONTADOS PARA EDIFÍCIOS COM ATÉ 2 PAVIMENTOS. AF_03/2024</t>
  </si>
  <si>
    <t>GUARDA-CORPO FIXADO EM FÔRMA DE MADEIRA COM MONTANTES E TRAVESSÕES EM MADEIRA PRÉ-MONTADOS PARA EDIFÍCIOS COM 3 PAVIMENTOS. AF_03/2024</t>
  </si>
  <si>
    <t>GUARDA-CORPO FIXADO EM FÔRMA DE MADEIRA COM MONTANTES E TRAVESSÕES EM MADEIRA PRÉ-MONTADOS PARA EDIFÍCIOS COM ALTURA IGUAL OU SUPERIOR A 4 PAVIMENTOS. AF_03/2024</t>
  </si>
  <si>
    <t>GUARDA-CORPO EM LAJE PÓS-DESFÔRMA COM ESCORAS DE MADEIRA ESTRONCADAS NA ESTRUTURA, TRAVESSÕES DE MADEIRA E FECHAMENTO EM TELA DE POLIPROPILENO PARA EDIFÍCIOS COM ATÉ 4 PAVIMENTOS (1 MONTAGEM). AF_03/2024</t>
  </si>
  <si>
    <t>GUARDA-CORPO EM LAJE PÓS-DESFÔRMA COM ESCORAS DE MADEIRA ESTRONCADAS NA ESTRUTURA, TRAVESSÕES DE MADEIRA E FECHAMENTO EM TELA DE POLIPROPILENO PARA EDIFÍCIOS ACIMA DE 4 PAVIMENTOS (2 MONTAGENS). AF_03/2024</t>
  </si>
  <si>
    <t>GUARDA-CORPO EM LAJE PÓS-DESFÔRMA COM ESCORAS METÁLICAS ESTRONCADAS NA ESTRUTURA, TRAVESSÕES DE MADEIRA E FECHAMENTO EM TELA DE POLIPROPILENO PARA EDIFÍCIOS COM ATÉ 4 PAVIMENTOS (1 MONTAGEM). AF_03/2024_PS</t>
  </si>
  <si>
    <t>GUARDA-CORPO EM LAJE PÓS-DESFÔRMA COM ESCORAS METÁLICAS ESTRONCADAS NA ESTRUTURA, TRAVESSÕES DE MADEIRA E FECHAMENTO EM TELA DE POLIPROPILENO PARA EDIFÍCIOS ACIMA DE 4 PAVIMENTOS (2 MONTAGENS). AF_03/2024_PS</t>
  </si>
  <si>
    <t>FECHAMENTO REMOVÍVEL DE VÃO DE PORTAS EM MADEIRA (VÃO DO ELEVADOR) - 1 MONTAGEM EM OBRA. AF_03/2024</t>
  </si>
  <si>
    <t>FECHAMENTO REMOVÍVEL DE ABERTURA DE CAIXILHO EM MADEIRA - 4 MONTAGENS EM OBRA. AF_03/2024</t>
  </si>
  <si>
    <t>PONTEIRAS DE PROTEÇÃO DE PONTAS E VERGALHÕES EXPOSTOS EM ESTRUTURAS DE CONCRETO ARMADO CONVENCIONAL. AF_03/2024</t>
  </si>
  <si>
    <t>PONTEIRAS DE PROTEÇÃO DE PONTAS E VERGALHÕES EXPOSTOS EM ALVENARIA ESTRUTURAL. AF_03/2024</t>
  </si>
  <si>
    <t>INSTALAÇÃO DE SINALIZADOR NOTURNO LED. AF_03/2024</t>
  </si>
  <si>
    <t>COLOCAÇÃO DE TELA EM ANDAIME FACHADEIRO. AF_03/2024</t>
  </si>
  <si>
    <t>MONTAGEM E DESMONTAGEM DE ANDAIME MODULAR FACHADEIRO, COM PISO METÁLICO, PARA EDIFÍCIOS COM MULTIPLOS PAVIMENTOS (EXCLUSIVE ANDAIME E LIMPEZA). AF_03/2024</t>
  </si>
  <si>
    <t>MONTAGEM E DESMONTAGEM DE ANDAIME MULTIDIRECIONAL (EXCLUSIVE ANDAIME E LIMPEZA). AF_03/2024</t>
  </si>
  <si>
    <t>PROTEÇÃO DE PEDESTRES, INCLUSIVE MONTAGEM E DESMONTAGEM. AF_03/2024_PS</t>
  </si>
  <si>
    <t>PLATAFORMA DE PROTEÇÃO PRINCIPAL PARA ALVENARIA ESTRUTURAL PARA SER APOIADA EM ANDAIME, INCLUSIVE MONTAGEM E DESMONTAGEM. AF_03/2024</t>
  </si>
  <si>
    <t>ASCENSÃO E DESCIDA DE ELEVADOR DE CREMALHEIRA. AF_03/2024</t>
  </si>
  <si>
    <t>MONTAGEM E DESMONTAGEM DE MINI GRUA. AF_03/2024</t>
  </si>
  <si>
    <t>ASCENSÃO DE MINI GRUA. AF_03/2024</t>
  </si>
  <si>
    <t>MONTAGEM E DESMONTAGEM DE TRECHO INICIAL DE ELEVADOR DE CREMALHEIRA, CABINE SIMPLES - EXCLUSO FUNDAÇÕES. AF_03/2024</t>
  </si>
  <si>
    <t>MONTAGEM E DESMONTAGEM DE TRECHO INICIAL DE ELEVADOR DE CREMALHEIRA, CABINE DUPLA - EXCLUSO FUNDAÇÕES. AF_03/2024</t>
  </si>
  <si>
    <t>ASCENSÃO DE GRUA ASCENSIONAL. AF_03/2024</t>
  </si>
  <si>
    <t>MONTAGEM E DESMONTAGEM DO TRECHO INICIAL DE GRUA FIXA (ALTURA LIVRE) - EXCLUSO FUNDAÇÕES. AF_03/2024</t>
  </si>
  <si>
    <t>ASCENSÃO E DESCIDA DE GRUA FIXA. AF_03/2024</t>
  </si>
  <si>
    <t>DEMOLIÇÃO DE ALVENARIA DE BLOCO FURADO, DE FORMA MANUAL, COM REAPROVEITAMENTO. AF_09/2023</t>
  </si>
  <si>
    <t>DEMOLIÇÃO DE ALVENARIA DE BLOCO FURADO, DE FORMA MANUAL, SEM REAPROVEITAMENTO. AF_09/2023</t>
  </si>
  <si>
    <t>DEMOLIÇÃO DE ALVENARIA DE TIJOLO MACIÇO, DE FORMA MANUAL, COM REAPROVEITAMENTO. AF_09/2023</t>
  </si>
  <si>
    <t>DEMOLIÇÃO DE ALVENARIA DE TIJOLO MACIÇO, DE FORMA MANUAL, SEM REAPROVEITAMENTO. AF_09/2023</t>
  </si>
  <si>
    <t>DEMOLIÇÃO DE ALVENARIA PARA QUALQUER TIPO DE BLOCO, DE FORMA MECANIZADA, SEM REAPROVEITAMENTO. AF_09/2023</t>
  </si>
  <si>
    <t>DEMOLIÇÃO DE PILARES E VIGAS EM CONCRETO ARMADO, DE FORMA MANUAL, SEM REAPROVEITAMENTO. AF_09/2023</t>
  </si>
  <si>
    <t>DEMOLIÇÃO DE PILARES E VIGAS EM CONCRETO ARMADO, DE FORMA MECANIZADA COM MARTELETE, SEM REAPROVEITAMENTO. AF_09/2023</t>
  </si>
  <si>
    <t>DEMOLIÇÃO DE LAJES, EM CONCRETO ARMADO, DE FORMA MANUAL, SEM REAPROVEITAMENTO. AF_09/2023</t>
  </si>
  <si>
    <t>DEMOLIÇÃO DE LAJES, EM CONCRETO ARMADO, DE FORMA MECANIZADA COM MARTELETE, SEM REAPROVEITAMENTO. AF_09/2023</t>
  </si>
  <si>
    <t>DEMOLIÇÃO DE ARGAMASSAS, DE FORMA MANUAL, SEM REAPROVEITAMENTO. AF_09/2023</t>
  </si>
  <si>
    <t>DEMOLIÇÃO DE RODAPÉ CERÂMICO, DE FORMA MANUAL, SEM REAPROVEITAMENTO. AF_09/2023</t>
  </si>
  <si>
    <t>DEMOLIÇÃO DE REVESTIMENTO CERÂMICO, DE FORMA MANUAL, SEM REAPROVEITAMENTO. AF_09/2023</t>
  </si>
  <si>
    <t>DEMOLIÇÃO DE REVESTIMENTO CERÂMICO, DE FORMA MECANIZADA COM MARTELETE, SEM REAPROVEITAMENTO. AF_09/2023</t>
  </si>
  <si>
    <t>REMOÇÃO DE PISO DE BLOCO INTERTRAVADO OU DE PEDRA PORTUGUESA, DE FORMA MANUAL, COM REAPROVEITAMENTO. AF_09/2023</t>
  </si>
  <si>
    <t>DEMOLIÇÃO PARCIAL DE PAVIMENTO ASFÁLTICO, DE FORMA MECANIZADA, SEM REAPROVEITAMENTO. AF_09/2023</t>
  </si>
  <si>
    <t>REMOÇÃO DE TAPUME/ CHAPAS METÁLICAS E DE MADEIRA, DE FORMA MANUAL, SEM REAPROVEITAMENTO. AF_09/2023</t>
  </si>
  <si>
    <t>REMOÇÃO DE CHAPAS E PERFIS DE DRYWALL, DE FORMA MANUAL, SEM REAPROVEITAMENTO. AF_09/2023</t>
  </si>
  <si>
    <t>REMOÇÃO DE PLACAS E PILARETES DE CONCRETO, DE FORMA MANUAL, SEM REAPROVEITAMENTO. AF_09/2023</t>
  </si>
  <si>
    <t>REMOÇÃO DE FORROS DE DRYWALL, PVC E FIBROMINERAL, DE FORMA MANUAL, SEM REAPROVEITAMENTO. AF_09/2023</t>
  </si>
  <si>
    <t>REMOÇÃO DE FORRO DE GESSO, DE FORMA MANUAL, SEM REAPROVEITAMENTO. AF_09/2023</t>
  </si>
  <si>
    <t>REMOÇÃO DE TRAMA METÁLICA OU DE MADEIRA PARA FORRO, DE FORMA MANUAL, SEM REAPROVEITAMENTO. AF_09/2023</t>
  </si>
  <si>
    <t>REMOÇÃO DE PISO DE MADEIRA (ASSOALHO E BARROTE), DE FORMA MANUAL, SEM REAPROVEITAMENTO. AF_09/2023</t>
  </si>
  <si>
    <t>REMOÇÃO DE PORTAS, DE FORMA MANUAL, SEM REAPROVEITAMENTO. AF_09/2023</t>
  </si>
  <si>
    <t>REMOÇÃO DE JANELAS, DE FORMA MANUAL, SEM REAPROVEITAMENTO. AF_09/2023</t>
  </si>
  <si>
    <t>REMOÇÃO DE TELHAS DE FIBROCIMENTO METÁLICA E CERÂMICA, DE FORMA MANUAL, SEM REAPROVEITAMENTO. AF_09/2023</t>
  </si>
  <si>
    <t>REMOÇÃO DE PROTEÇÃO TÉRMICA PARA COBERTURA EM EPS, DE FORMA MANUAL, SEM REAPROVEITAMENTO. AF_09/2023</t>
  </si>
  <si>
    <t>REMOÇÃO DE TELHAS DE FIBROCIMENTO, METÁLICA E CERÂMICA, DE FORMA MECANIZADA, COM USO DE GUINDASTE, SEM REAPROVEITAMENTO. AF_09/2023</t>
  </si>
  <si>
    <t>REMOÇÃO DE TRAMA DE MADEIRA PARA COBERTURA, DE FORMA MANUAL, SEM REAPROVEITAMENTO. AF_09/2023</t>
  </si>
  <si>
    <t>REMOÇÃO DE TESOURAS DE MADEIRA, COM VÃO MENOR QUE 8M, DE FORMA MANUAL, SEM REAPROVEITAMENTO. AF_09/2023</t>
  </si>
  <si>
    <t>REMOÇÃO DE TESOURAS DE MADEIRA, COM VÃO MAIOR OU IGUAL A 8M, DE FORMA MANUAL, SEM REAPROVEITAMENTO. AF_09/2023</t>
  </si>
  <si>
    <t>REMOÇÃO DE TESOURAS DE MADEIRA, COM VÃO MENOR QUE 8M, DE FORMA MECANIZADA, COM REAPROVEITAMENTO. AF_09/2023</t>
  </si>
  <si>
    <t>REMOÇÃO DE TESOURAS DE MADEIRA, COM VÃO MAIOR OU IGUAL A 8M, DE FORMA MECANIZADA, COM REAPROVEITAMENTO. AF_09/2023</t>
  </si>
  <si>
    <t>REMOÇÃO DE TRAMA METÁLICA PARA COBERTURA, DE FORMA MANUAL, SEM REAPROVEITAMENTO. AF_09/2023</t>
  </si>
  <si>
    <t>REMOÇÃO DE TESOURAS METÁLICAS, COM VÃO MENOR QUE 8M, DE FORMA MANUAL, SEM REAPROVEITAMENTO. AF_09/2023</t>
  </si>
  <si>
    <t>REMOÇÃO DE TESOURAS METÁLICAS, COM VÃO MAIOR OU IGUAL A 8M, DE FORMA MANUAL, SEM REAPROVEITAMENTO. AF_09/2023</t>
  </si>
  <si>
    <t>REMOÇÃO DE TESOURAS METÁLICAS, COM VÃO MENOR QUE 8M, DE FORMA MECANIZADA, COM REAPROVEITAMENTO. AF_09/2023</t>
  </si>
  <si>
    <t>REMOÇÃO DE TESOURAS METÁLICAS, COM VÃO MAIOR OU IGUAL A 8M, DE FORMA MECANIZADA, COM REAPROVEITAMENTO. AF_09/2023</t>
  </si>
  <si>
    <t>REMOÇÃO DE INTERRUPTORES/TOMADAS ELÉTRICAS, DE FORMA MANUAL, SEM REAPROVEITAMENTO. AF_09/2023</t>
  </si>
  <si>
    <t>REMOÇÃO DE CABOS ELÉTRICOS, COM SEÇÃO DE 10 MM², FORMA MANUAL, SEM REAPROVEITAMENTO. AF_09/2023</t>
  </si>
  <si>
    <t>REMOÇÃO DE TUBULAÇÕES (TUBOS E CONEXÕES) DE ÁGUA FRIA, DE FORMA MANUAL, SEM REAPROVEITAMENTO. AF_09/2023</t>
  </si>
  <si>
    <t>REMOÇÃO DE LOUÇAS, DE FORMA MANUAL, SEM REAPROVEITAMENTO. AF_09/2023</t>
  </si>
  <si>
    <t>REMOÇÃO DE ACESSÓRIOS, DE FORMA MANUAL, SEM REAPROVEITAMENTO. AF_09/2023</t>
  </si>
  <si>
    <t>REMOÇÃO DE LUMINÁRIAS, DE FORMA MANUAL, SEM REAPROVEITAMENTO. AF_09/2023</t>
  </si>
  <si>
    <t>REMOÇÃO DE METAIS SANITÁRIOS, DE FORMA MANUAL, SEM REAPROVEITAMENTO. AF_09/2023</t>
  </si>
  <si>
    <t>DEMOLIÇÃO DE PISO DE CONCRETO SIMPLES, DE FORMA MANUAL, SEM REAPROVEITAMENTO. AF_09/2023</t>
  </si>
  <si>
    <t>DEMOLIÇÃO DE PISO DE CONCRETO SIMPLES, DE FORMA MECANIZADA COM MARTELETE, SEM REAPROVEITAMENTO. AF_09/2023</t>
  </si>
  <si>
    <t>DEMOLIÇÃO DE ARGAMASSAS, DE FORMA DE FORMA MECANIZADA COM MARTELETE, SEM REAPROVEITAMENTO. AF_09/2023</t>
  </si>
  <si>
    <t>REMOÇÃO DE CABOS ELÉTRICOS, COM SEÇÃO DE ATÉ 2,5 MM², DE FORMA MANUAL, SEM REAPROVEITAMENTO. AF_09/2023</t>
  </si>
  <si>
    <t>REMOÇÃO DE CABOS ELÉTRICOS, COM SEÇÃO MAIOR QUE 2,5 MM² E MENOR QUE 10 MM², DE FORMA MANUAL, SEM REAPROVEITAMENTO. AF_09/2023</t>
  </si>
  <si>
    <t>REMOÇÃO DE CABOS ELÉTRICOS, COM SEÇÃO DE 16 MM², FORMA MANUAL, SEM REAPROVEITAMENTO. AF_09/2023</t>
  </si>
  <si>
    <t>REMOÇÃO DE CABOS ELÉTRICOS, COM SEÇÃO DE 25 MM², FORMA MANUAL, SEM REAPROVEITAMENTO. AF_09/2023</t>
  </si>
  <si>
    <t>DEMOLIÇÃO DE GUIAS, SARJETAS OU SARJETÕES, DE FORMA MECANIZADA, SEM REAPROVEITAMENTO. AF_09/2023</t>
  </si>
  <si>
    <t>REMOÇAO DE GUIAS PRÉ-FABRICADAS DE CONCRETO, DE FORMA MECANIZADA, COM REAPROVEITAMENTO. AF_09/2023</t>
  </si>
  <si>
    <t>REMOÇÃO DE SUPORTE METÁLICO OU DE MADEIRA PARA PLACAS DE SINALIZAÇÃO VIÁRIA, DE FORMA MANUAL, SEM REAPROVEITAMENTO. AF_09/2023</t>
  </si>
  <si>
    <t>REMOÇÃO DE PLACAS DE SINALIZAÇÃO VIÁRIA, DE FORMA MANUAL, SEM REAPROVEITAMENTO. AF_09/2023</t>
  </si>
  <si>
    <t>REMOÇÃO DE CERCAS E MOURÕES, DE FORMA MANUAL, SEM REAPROVEITAMENTO. AF_09/2023</t>
  </si>
  <si>
    <t>REMOÇÃO DE ALAMBRADOS PARA QUADRAS POLIESPORTIVAS, ESTRUTURADO POR TUBOS DE AÇO GALVANIZADO, COM TELA DE ARAME GALVANIZADO, DE FORMA MANUAL, SEM REAPROVEITAMENTO. AF_09/2023</t>
  </si>
  <si>
    <t>REMOÇÃO DE TELA DE ARAME GALVANIZADO DE ALAMBRADOS PARA QUADRAS POLIESPORTIVAS, DE FORMA MANUAL, SEM REMOÇÃO DA ESTRUTURA DE SUSTENTAÇÃO, SEM REAPROVEITAMENTO. AF_09/2023</t>
  </si>
  <si>
    <t>REMOÇÃO CALHAS E RUFOS, DE FORMA MANUAL, SEM REAPROVEITAMENTO. AF_09/2023</t>
  </si>
  <si>
    <t>SERVIÇOS TÉCNICOS ESPECIALIZADOS PARA ACOMPANHAMENTO DE EXECUÇÃO DE FUNDAÇÕES PROFUNDAS E ESTRUTURAS DE CONTENÇÃO</t>
  </si>
  <si>
    <t>LOCAÇÃO COM CAVALETE COM ALTURA DE 1,00 M - 2 UTILIZAÇÕES. AF_03/2024</t>
  </si>
  <si>
    <t>LOCAÇÃO COM CAVALETE COM ALTURA DE 0,50 M - 2 UTILIZAÇÕES. AF_03/2024</t>
  </si>
  <si>
    <t>MARCAÇÃO DE PONTOS EM GABARITO OU CAVALETE. AF_03/2024</t>
  </si>
  <si>
    <t>LOCAÇÃO DE REDE DE ÁGUA OU ESGOTO. AF_03/2024</t>
  </si>
  <si>
    <t>LOCAÇÃO DE PRAÇAS EM PONTALETEAMENTO. AF_03/2024</t>
  </si>
  <si>
    <t>EXECUÇÃO DE LINHAS DE REFERÊNCIA EM GABARITO OU CAVALETE. AF_03/2024</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</si>
  <si>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</si>
  <si>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</si>
  <si>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</si>
  <si>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</si>
  <si>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</si>
  <si>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</si>
  <si>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</si>
  <si>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</si>
  <si>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</si>
  <si>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</si>
  <si>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</si>
  <si>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</si>
  <si>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</si>
  <si>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</si>
  <si>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</si>
  <si>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</si>
  <si>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</si>
  <si>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</si>
  <si>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</si>
  <si>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</si>
  <si>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</si>
  <si>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</si>
  <si>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</si>
  <si>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</si>
  <si>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</si>
  <si>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</si>
  <si>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</si>
  <si>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</si>
  <si>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</si>
  <si>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</si>
  <si>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</si>
  <si>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</si>
  <si>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</si>
  <si>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</si>
  <si>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</si>
  <si>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</si>
  <si>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</si>
  <si>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</si>
  <si>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</si>
  <si>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</si>
  <si>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</si>
  <si>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</si>
  <si>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</si>
  <si>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</si>
  <si>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</si>
  <si>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</si>
  <si>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</si>
  <si>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</si>
  <si>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</si>
  <si>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</si>
  <si>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</si>
  <si>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</si>
  <si>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</si>
  <si>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</si>
  <si>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20000 L, EM VIA URBANA EM LEITO NATURAL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</si>
  <si>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</si>
  <si>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</si>
  <si>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</si>
  <si>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</si>
  <si>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</si>
  <si>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T</t>
  </si>
  <si>
    <t>CARGA, MANOBRA E DESCARGA MANUAL DE TUBOS PLÁSTICOS, DN 200 MM, EM CAMINHÃO CARROCERIA 9T. AF_07/2020</t>
  </si>
  <si>
    <t>CARGA, MANOBRA E DESCARGA MANUAL DE TUBOS PLÁSTICOS, DN 150 MM, EM CAMINHÃO CARROCERIA 9T. AF_06/2021</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</si>
  <si>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</si>
  <si>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</si>
  <si>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</si>
  <si>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</si>
  <si>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</si>
  <si>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</si>
  <si>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</si>
  <si>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</si>
  <si>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</si>
  <si>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</si>
  <si>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</si>
  <si>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</si>
  <si>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</si>
  <si>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</si>
  <si>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</si>
  <si>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</si>
  <si>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</si>
  <si>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</si>
  <si>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</si>
  <si>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</si>
  <si>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</si>
  <si>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</si>
  <si>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</si>
  <si>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</si>
  <si>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</si>
  <si>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</si>
  <si>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</si>
  <si>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</si>
  <si>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</si>
  <si>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</si>
  <si>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</si>
  <si>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</si>
  <si>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</si>
  <si>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</si>
  <si>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</si>
  <si>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</si>
  <si>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</si>
  <si>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</si>
  <si>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</si>
  <si>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</si>
  <si>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</si>
  <si>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</si>
  <si>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</si>
  <si>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</si>
  <si>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</si>
  <si>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</si>
  <si>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</si>
  <si>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</si>
  <si>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</si>
  <si>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</si>
  <si>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</si>
  <si>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</si>
  <si>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</si>
  <si>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</si>
  <si>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</si>
  <si>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</si>
  <si>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</si>
  <si>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</si>
  <si>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</si>
  <si>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</si>
  <si>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</si>
  <si>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</si>
  <si>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</si>
  <si>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</si>
  <si>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</si>
  <si>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</si>
  <si>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</si>
  <si>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</si>
  <si>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</si>
  <si>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</si>
  <si>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</si>
  <si>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</si>
  <si>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</si>
  <si>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</si>
  <si>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</si>
  <si>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</si>
  <si>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</si>
  <si>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ALAMBRADO EM MOURÕES DE CONCRETO, COM TELA DE ARAME GALVANIZADO (INCLUSIVE MURETA EM CONCRETO). AF_05/2018</t>
  </si>
  <si>
    <t>LIMPEZA MANUAL DE VEGETAÇÃO EM TERRENO COM ENXADA. AF_03/2024</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</si>
  <si>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</si>
  <si>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</si>
  <si>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</si>
  <si>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</si>
  <si>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</si>
  <si>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</si>
  <si>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</si>
  <si>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</si>
  <si>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</si>
  <si>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</si>
  <si>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</si>
  <si>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</si>
  <si>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</si>
  <si>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</si>
  <si>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</si>
  <si>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</si>
  <si>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</si>
  <si>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</si>
  <si>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</si>
  <si>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</si>
  <si>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</si>
  <si>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</si>
  <si>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PAR DE TABELAS DE BASQUETE DE COMPENSADO NAVAL, COM AROS E REDES - FORNECIMENTO E INSTALAÇÃO. AF_03/2022</t>
  </si>
  <si>
    <t>LIMPEZA MECANIZADA DE CAMADA VEGETAL, VEGETAÇÃO E PEQUENAS ÁRVORES (DIÂMETRO DE TRONCO MENOR QUE 0,20 M), COM TRATOR DE ESTEIRAS. AF_03/2024</t>
  </si>
  <si>
    <t>REMOÇÃO DE RAÍZES REMANESCENTES DE TRONCO DE ÁRVORE COM DIÂMETRO MAIOR OU IGUAL A 0,20 M E MENOR QUE 0,40 M. AF_03/2024</t>
  </si>
  <si>
    <t>REMOÇÃO DE RAÍZES REMANESCENTES DE TRONCO DE ÁRVORE COM DIÂMETRO MAIOR OU IGUAL A 0,40 M E MENOR QUE 0,60 M. AF_03/2024</t>
  </si>
  <si>
    <t>REMOÇÃO DE RAÍZES REMANESCENTES DE TRONCO DE ÁRVORE COM DIÂMETRO MAIOR OU IGUAL A 0,60 M. AF_03/2024</t>
  </si>
  <si>
    <t>CORTE RASO E RECORTE DE ÁRVORE COM DIÂMETRO DE TRONCO MAIOR OU IGUAL A 0,20 M E MENOR QUE 0,40 M. AF_03/2024</t>
  </si>
  <si>
    <t>CORTE RASO E RECORTE DE ÁRVORE COM DIÂMETRO DE TRONCO MAIOR OU IGUAL A 0,40 M E MENOR QUE 0,60 M. AF_03/2024</t>
  </si>
  <si>
    <t>CORTE RASO E RECORTE DE ÁRVORE COM DIÂMETRO DE TRONCO MAIOR OU IGUAL A 0,60 M. AF_03/2024</t>
  </si>
  <si>
    <t>PODA EM ALTURA DE ÁRVORE COM DIÂMETRO DE TRONCO MENOR QUE 0,20 M. AF_03/2024</t>
  </si>
  <si>
    <t>PODA EM ALTURA DE ÁRVORE COM DIÂMETRO DE TRONCO MAIOR OU IGUAL A 0,20 M E MENOR QUE 0,40 M. AF_03/2024</t>
  </si>
  <si>
    <t>PODA EM ALTURA DE ÁRVORE COM DIÂMETRO DE TRONCO MAIOR OU IGUAL A 0,40 M E MENOR QUE 0,60 M. AF_03/2024</t>
  </si>
  <si>
    <t>PODA EM ALTURA DE ÁRVORE COM DIÂMETRO DE TRONCO MAIOR OU IGUAL A 0,60 M. AF_03/2024</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</si>
  <si>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</si>
  <si>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</si>
  <si>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</si>
  <si>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</si>
  <si>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</si>
  <si>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</si>
  <si>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</si>
  <si>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</si>
  <si>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</si>
  <si>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</si>
  <si>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</si>
  <si>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</si>
  <si>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</si>
  <si>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</si>
  <si>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</si>
  <si>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</si>
  <si>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</si>
  <si>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</si>
  <si>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</si>
  <si>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</si>
  <si>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</si>
  <si>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</si>
  <si>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</si>
  <si>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</si>
  <si>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</si>
  <si>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</si>
  <si>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</si>
  <si>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</si>
  <si>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</si>
  <si>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</si>
  <si>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</si>
  <si>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</si>
  <si>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</si>
  <si>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</si>
  <si>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</si>
  <si>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</si>
  <si>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</si>
  <si>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VEÍCULO LEVE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</si>
  <si>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</si>
  <si>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</si>
  <si>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</si>
  <si>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</si>
  <si>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</si>
  <si>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</si>
  <si>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</si>
  <si>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</si>
  <si>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</si>
  <si>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</si>
  <si>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</si>
  <si>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</si>
  <si>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</si>
  <si>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</si>
  <si>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</si>
  <si>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</si>
  <si>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</si>
  <si>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</si>
  <si>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</si>
  <si>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</si>
  <si>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</si>
  <si>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</si>
  <si>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</si>
  <si>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</si>
  <si>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</si>
  <si>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</si>
  <si>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</si>
  <si>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</si>
  <si>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</si>
  <si>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</si>
  <si>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</si>
  <si>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</si>
  <si>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</si>
  <si>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</si>
  <si>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OPERADOR DE BETONEIRA ESTACIONÁRIA/MISTURADOR COM ENCARGOS COMPLEMENTARES</t>
  </si>
  <si>
    <t>JARDINEIRO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</si>
  <si>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</si>
  <si>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</si>
  <si>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</si>
  <si>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</si>
  <si>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</si>
  <si>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ESCRITORIO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</si>
  <si>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</si>
  <si>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</si>
  <si>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</si>
  <si>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</si>
  <si>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</si>
  <si>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</si>
  <si>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</si>
  <si>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</si>
  <si>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</si>
  <si>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</si>
  <si>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</si>
  <si>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</si>
  <si>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</si>
  <si>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</si>
  <si>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</si>
  <si>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</si>
  <si>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</si>
  <si>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</si>
  <si>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</si>
  <si>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</si>
  <si>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</si>
  <si>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</si>
  <si>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</si>
  <si>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</si>
  <si>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</si>
  <si>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</si>
  <si>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</si>
  <si>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</si>
  <si>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</si>
  <si>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</si>
  <si>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</si>
  <si>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</si>
  <si>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</si>
  <si>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</si>
  <si>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</si>
  <si>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</si>
  <si>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</si>
  <si>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</si>
  <si>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</si>
  <si>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</si>
  <si>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</si>
  <si>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</si>
  <si>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</si>
  <si>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</si>
  <si>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</si>
  <si>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</si>
  <si>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</si>
  <si>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</si>
  <si>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</si>
  <si>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</si>
  <si>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</si>
  <si>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</si>
  <si>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</si>
  <si>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</si>
  <si>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</si>
  <si>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</si>
  <si>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</si>
  <si>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</si>
  <si>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</si>
  <si>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</si>
  <si>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</si>
  <si>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</si>
  <si>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</si>
  <si>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</si>
  <si>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</si>
  <si>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</si>
  <si>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</si>
  <si>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</si>
  <si>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</si>
  <si>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</si>
  <si>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</si>
  <si>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</si>
  <si>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</si>
  <si>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</si>
  <si>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</si>
  <si>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</si>
  <si>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</si>
  <si>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</si>
  <si>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</si>
  <si>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</si>
  <si>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</si>
  <si>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</si>
  <si>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</si>
  <si>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OPERADOR DE BETONEIRA ESTACIONÁRIA/MISTURADOR (ENCARGOS COMPLEMENTARES) - HORISTA</t>
  </si>
  <si>
    <t>CURSO DE CAPACITAÇÃO PARA JARDINEIRO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</si>
  <si>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</si>
  <si>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</si>
  <si>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</si>
  <si>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</si>
  <si>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</si>
  <si>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ESCRITÓRIO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</si>
  <si>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</si>
  <si>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</si>
  <si>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</si>
  <si>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</si>
  <si>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</si>
  <si>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</si>
  <si>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</si>
  <si>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DESENHISTA PROJETISTA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</si>
  <si>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</si>
  <si>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</si>
  <si>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</si>
  <si>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</si>
  <si>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</si>
  <si>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</si>
  <si>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</si>
  <si>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</si>
  <si>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</si>
  <si>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</si>
  <si>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</si>
  <si>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</si>
  <si>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</si>
  <si>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</si>
  <si>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AJUDANTE DE PINTOR (ENCARGOS COMPLEMENTARES) - HORISTA</t>
  </si>
  <si>
    <t>CURSO DE CAPACITAÇÃO PARA AUXILIAR DE AZULEJISTA (ENCARGOS COMPLEMENTARES) - HORISTA</t>
  </si>
  <si>
    <t>CURSO DE CAPACITAÇÃO PARA MONTADOR DE ELETROELETRONICOS (ENCARGOS COMPLEMENTARES) - HORISTA</t>
  </si>
  <si>
    <t>CURSO DE CAPACITAÇÃO PARA MECÂNICO DE REFRIGERAÇÃO (ENCARGOS COMPLEMENTARES) - HORISTA</t>
  </si>
  <si>
    <t>CURSO DE CAPACITAÇÃO PARA TÉCNICO EM SEGURANÇA DO TRABALHO (ENCARGOS COMPLEMENTARES) - HORISTA</t>
  </si>
  <si>
    <t>AJUDANTE DE PINTOR COM ENCARGOS COMPLEMENTARES</t>
  </si>
  <si>
    <t>AUXILIAR DE AZULEJISTA COM ENCARGOS COMPLEMENTARES</t>
  </si>
  <si>
    <t>MONTADOR DE ELETROELETRÔNICOS COM ENCARGOS COMPLEMENTARES</t>
  </si>
  <si>
    <t>MECÂNICO DE REFRIGERAÇÃO COM ENCARGOS COMPLEMENTARES</t>
  </si>
  <si>
    <t>TÉCNICO EM SEGURANÇA DO TRABALHO COM ENCARGOS COMPLEMENTARES</t>
  </si>
  <si>
    <t>CURSO DE CAPACITAÇÃO PARA TÉCNICO EM SEGURANÇA DO TRABALHO (ENCARGOS COMPLEMENTARES) - MENSALISTA</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</si>
  <si>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</si>
  <si>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</si>
  <si>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</si>
  <si>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</si>
  <si>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</si>
  <si>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</si>
  <si>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</si>
  <si>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</si>
  <si>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</si>
  <si>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</si>
  <si>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</si>
  <si>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</si>
  <si>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</si>
  <si>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</si>
  <si>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</si>
  <si>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</si>
  <si>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</si>
  <si>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</si>
  <si>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</si>
  <si>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</si>
  <si>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</si>
  <si>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</si>
  <si>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</si>
  <si>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</si>
  <si>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</si>
  <si>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</si>
  <si>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</si>
  <si>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</si>
  <si>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</si>
  <si>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</si>
  <si>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ELETROTÉCNICO (ENCARGOS COMPLEMENTARES) - MENSALISTA</t>
  </si>
  <si>
    <t>CURSO DE CAPACITAÇÃO PARA ENCANADOR OU BOMBEIRO HIDRÁULICO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</si>
  <si>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</si>
  <si>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</si>
  <si>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</si>
  <si>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</si>
  <si>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</si>
  <si>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</si>
  <si>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</si>
  <si>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</si>
  <si>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</si>
  <si>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</si>
  <si>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</si>
  <si>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</si>
  <si>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</si>
  <si>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</si>
  <si>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</si>
  <si>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</si>
  <si>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</si>
  <si>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</si>
  <si>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</si>
  <si>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</si>
  <si>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</si>
  <si>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</si>
  <si>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</si>
  <si>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</si>
  <si>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</si>
  <si>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</si>
  <si>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</si>
  <si>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</si>
  <si>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</si>
  <si>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</si>
  <si>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</si>
  <si>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</si>
  <si>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</si>
  <si>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</si>
  <si>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</si>
  <si>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</si>
  <si>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</si>
  <si>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</si>
  <si>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</si>
  <si>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</si>
  <si>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</si>
  <si>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</si>
  <si>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</si>
  <si>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</si>
  <si>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</si>
  <si>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</si>
  <si>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</si>
  <si>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</si>
  <si>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</si>
  <si>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</si>
  <si>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</si>
  <si>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</si>
  <si>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</si>
  <si>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</si>
  <si>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</si>
  <si>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</si>
  <si>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</si>
  <si>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</si>
  <si>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</si>
  <si>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INSTALADOR DE TUBULAÇÕES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</si>
  <si>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</si>
  <si>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</si>
  <si>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</si>
  <si>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</si>
  <si>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</si>
  <si>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</si>
  <si>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</si>
  <si>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</si>
  <si>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</si>
  <si>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OPERADOR DE CAMINHÃO COM MUNCK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</si>
  <si>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</si>
  <si>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</si>
  <si>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</si>
  <si>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</si>
  <si>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</si>
  <si>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</si>
  <si>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</si>
  <si>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</si>
  <si>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</si>
  <si>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</si>
  <si>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</si>
  <si>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</si>
  <si>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</si>
  <si>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</si>
  <si>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</si>
  <si>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SC25KG</t>
  </si>
  <si>
    <t>M2XMES</t>
  </si>
  <si>
    <t>UNXMES</t>
  </si>
  <si>
    <t>DESCRIÇÃO</t>
  </si>
  <si>
    <t>SERVICOS PRELIMINARES</t>
  </si>
  <si>
    <t>SONDAGENS</t>
  </si>
  <si>
    <t>C2820</t>
  </si>
  <si>
    <t>EXECUÇÃO DE SONDAGEM ELÉTRICA VERTICAL AB/2 ATÉ 150m - SEV</t>
  </si>
  <si>
    <t>C2818</t>
  </si>
  <si>
    <t>EXECUÇÃO DE SONDAGEM ELÉTRICA VERTICAL AB/2 &gt;150m a 500m-SEV</t>
  </si>
  <si>
    <t>C2819</t>
  </si>
  <si>
    <t>EXECUÇÃO DE SONDAGEM ELÉTRICA VERTICAL AB/2 &gt;500m - SEV</t>
  </si>
  <si>
    <t>C2833</t>
  </si>
  <si>
    <t>FOTOGEOLOGIA</t>
  </si>
  <si>
    <t>C0053</t>
  </si>
  <si>
    <t>LEVANTAMENTO BATIMÉTRICO</t>
  </si>
  <si>
    <t>C2937</t>
  </si>
  <si>
    <t>RELATÓRIO FINAL DE SONDAGEM</t>
  </si>
  <si>
    <t>C0333</t>
  </si>
  <si>
    <t>SERVIÇOS DE SONDAGEM GEOTÉCNICA MISTA EM ROCHA</t>
  </si>
  <si>
    <t>C0143</t>
  </si>
  <si>
    <t>SERVIÇOS DE SONDAGEM GEOTÉCNICA MISTA EM SOLOS</t>
  </si>
  <si>
    <t>C2290</t>
  </si>
  <si>
    <t>SONDAGEM  À PERCUSSÃO P/RECONHECIMENTO DO SUBSOLO</t>
  </si>
  <si>
    <t>C3955</t>
  </si>
  <si>
    <t>SONDAGEM ROTATIVA P/ RECONHECIMENTO DO SUBSOLO</t>
  </si>
  <si>
    <t>CADASTRO</t>
  </si>
  <si>
    <t>C0580</t>
  </si>
  <si>
    <t>CADASTRO DE ADUTORA</t>
  </si>
  <si>
    <t>C0581</t>
  </si>
  <si>
    <t>CADASTRO DE LIGAÇÃO</t>
  </si>
  <si>
    <t>C0582</t>
  </si>
  <si>
    <t>CADASTRO DE OBRAS LOCALIZADAS</t>
  </si>
  <si>
    <t>C0583</t>
  </si>
  <si>
    <t>CADASTRO DE REDE DE ÁGUA (MEIO MAGNÉTICO)</t>
  </si>
  <si>
    <t>C0584</t>
  </si>
  <si>
    <t>CADASTRO DE REDE DE ESGOTO/EMISSÁRIO/DRENAGEM (MEIO MAGNÉTICO)</t>
  </si>
  <si>
    <t>C3427</t>
  </si>
  <si>
    <t>CADASTRO OPERACIONAL DE CLIENTE CAPITAL - PADRÃO</t>
  </si>
  <si>
    <t>IMÓVEL</t>
  </si>
  <si>
    <t>C3428</t>
  </si>
  <si>
    <t>CADASTRO OPERACIONAL DE CLIENTE INTERIOR - PADRÃO</t>
  </si>
  <si>
    <t>C4579</t>
  </si>
  <si>
    <t>CENSO DE CAMPO - CAPITAL</t>
  </si>
  <si>
    <t>C4580</t>
  </si>
  <si>
    <t>CENSO DE CAMPO - INTERIOR</t>
  </si>
  <si>
    <t>C4581</t>
  </si>
  <si>
    <t>SERVIÇO DE OBTENÇÃO / ATUALIZAÇÃO DE PLANTA EM CAMPO MEIO DIGITAL</t>
  </si>
  <si>
    <t>QUADRA</t>
  </si>
  <si>
    <t>C4582</t>
  </si>
  <si>
    <t>SERVIÇO DE OBTENÇÃO / ATUALIZAÇÃO DE QUADRAS (OVERLAYS)</t>
  </si>
  <si>
    <t>PROJETOS</t>
  </si>
  <si>
    <t>C3507</t>
  </si>
  <si>
    <t>ELABORAÇÃO DE PROJETO DE CÁLCULO ESTRUTURAL (RESERVATÓRIO ELEVADO)</t>
  </si>
  <si>
    <t>M2xARF</t>
  </si>
  <si>
    <t>C3508</t>
  </si>
  <si>
    <t>ELABORAÇÃO DE PROJETO DE CÁLCULO ESTRUTURAL (RESERVATÓRIO APOIADO, ELEVATÓRIA E  CAIXA DE AREIA)</t>
  </si>
  <si>
    <t>PREPARAÇÃO DO TERRENO</t>
  </si>
  <si>
    <t>C0927</t>
  </si>
  <si>
    <t>CORTE DE CAPOEIRA FINA A FOICE</t>
  </si>
  <si>
    <t>C4919</t>
  </si>
  <si>
    <t>LIMPEZA MECANIZADA DE TERRENO COM REMOCAO DE CAMADA VEGETAL, UTILIZANDO TRATOR DE ESTEIRAS</t>
  </si>
  <si>
    <t>C2102</t>
  </si>
  <si>
    <t>RASPAGEM E LIMPEZA DO TERRENO</t>
  </si>
  <si>
    <t>C2204</t>
  </si>
  <si>
    <t>RETIRADA DE ÁRVORES</t>
  </si>
  <si>
    <t>CONSTRUÇÃO DO CANTEIRO DA OBRA</t>
  </si>
  <si>
    <t>C0002</t>
  </si>
  <si>
    <t>ABRIGO PROVISÓRIO C/1 PAVIMENTO P/ALOJAMENTO E DEPÓSITO</t>
  </si>
  <si>
    <t>C0003</t>
  </si>
  <si>
    <t>ABRIGO PROVISÓRIO C/2 PAVIMENTOS P/ALOJAMENTO E DEPÓSITO</t>
  </si>
  <si>
    <t>C0043</t>
  </si>
  <si>
    <t>ALOJAMENTO</t>
  </si>
  <si>
    <t>C0369</t>
  </si>
  <si>
    <t>BARRACÃO ABERTO</t>
  </si>
  <si>
    <t>C0370</t>
  </si>
  <si>
    <t>BARRACÃO PARA ESCRITÓRIO TIPO A1</t>
  </si>
  <si>
    <t>C0371</t>
  </si>
  <si>
    <t>BARRACÃO PARA ESCRITÓRIO TIPO A2</t>
  </si>
  <si>
    <t>C0372</t>
  </si>
  <si>
    <t>BARRACÃO PARA ESCRITÓRIO TIPO A3</t>
  </si>
  <si>
    <t>C0373</t>
  </si>
  <si>
    <t>BARRACÃO PARA ESCRITÓRIO TIPO A4</t>
  </si>
  <si>
    <t>C0374</t>
  </si>
  <si>
    <t>BARRACÃO PARA ESCRITÓRIO TIPO A5</t>
  </si>
  <si>
    <t>C4991</t>
  </si>
  <si>
    <t>DESMOBILIZAÇÃO DE EQUIPAMENTOS EM CAMINHÃO EQUIPADO COM GUINDASTE</t>
  </si>
  <si>
    <t>KM</t>
  </si>
  <si>
    <t>C4993</t>
  </si>
  <si>
    <t>DESMOBILIZAÇÃO DE EQUIPAMENTOS EM CAVALO MECÂNICO C/ PRANCHA DE 3 EIXOS</t>
  </si>
  <si>
    <t>C2831</t>
  </si>
  <si>
    <t>FOSSA SUMIDOURO PARA BARRACÃO</t>
  </si>
  <si>
    <t>C2851</t>
  </si>
  <si>
    <t>INSTALAÇÕES PROVISÓRIAS DE ÁGUA</t>
  </si>
  <si>
    <t>C2849</t>
  </si>
  <si>
    <t>INSTALAÇÕES PROVISÓRIAS DE ESGOTO</t>
  </si>
  <si>
    <t>C2850</t>
  </si>
  <si>
    <t>INSTALAÇÕES PROVISÓRIAS DE LUZ , FORÇA,TELEFONE E LÓGICA</t>
  </si>
  <si>
    <t>C1622</t>
  </si>
  <si>
    <t>LIGAÇÃO PROVISÓRIA DE ÁGUA E SANITÁRIO</t>
  </si>
  <si>
    <t>C4990</t>
  </si>
  <si>
    <t>MOBILIZAÇÃO DE EQUIPAMENTOS EM CAMINHÃO EQUIPADO COM GUINDASTE</t>
  </si>
  <si>
    <t>C4992</t>
  </si>
  <si>
    <t>MOBILIZAÇÃO DE EQUIPAMENTOS EM CAVALO MECÂNICO C/ PRANCHA DE 3 EIXOS</t>
  </si>
  <si>
    <t>C4541</t>
  </si>
  <si>
    <t>PLACA PADRÃO DE OBRA, TIPO BANNER</t>
  </si>
  <si>
    <t>C1937</t>
  </si>
  <si>
    <t>PLACAS PADRÃO DE OBRA</t>
  </si>
  <si>
    <t>C2936</t>
  </si>
  <si>
    <t>REFEITÓRIOS</t>
  </si>
  <si>
    <t>C2946</t>
  </si>
  <si>
    <t>SANITÁRIOS E CHUVEIROS</t>
  </si>
  <si>
    <t>C2316</t>
  </si>
  <si>
    <t>TAPUME DE CHAPA DE MADEIRA COMPENSADA E= 6mm C/ABERTURA E PORTÃO</t>
  </si>
  <si>
    <t>C3974</t>
  </si>
  <si>
    <t>TAPUME DE ESTRUTURA DE MADEIRA C/ FECHAMENTO EM CHAPA DE AÇO GALVANIZADO DE 0,3 mm e ALTURA DE 2 M</t>
  </si>
  <si>
    <t>C2317</t>
  </si>
  <si>
    <t>TAPUME DE TÁBUAS DE 3.ª C/ABERTURA E PORTÃO</t>
  </si>
  <si>
    <t>C2318</t>
  </si>
  <si>
    <t>TAPUME DE TÁBUAS DE 3.ª SOBREPOSTAS</t>
  </si>
  <si>
    <t>ALUGUEL DE CONTAINER</t>
  </si>
  <si>
    <t>C5208</t>
  </si>
  <si>
    <t>LOCAÇÃO DE BANHEIRO QUÍMICO - INCLUSO TRANSPORTE, INSTALAÇÃO E MANUTENÇÃO</t>
  </si>
  <si>
    <t>UNXMÊS</t>
  </si>
  <si>
    <t>C4994</t>
  </si>
  <si>
    <t>LOCAÇÃO DE CONTÊINER ALMOXARIFADO COM PISO NAVAL - 6,00M X 2,35M</t>
  </si>
  <si>
    <t>MÊS</t>
  </si>
  <si>
    <t>C4995</t>
  </si>
  <si>
    <t>LOCAÇÃO DE CONTÊINER BANHEIRO COM 02 VASOS SANITÁRIOS, 01 LAVATÓRIO E 04 CHUVEIROS - 6,00 X 2,35M</t>
  </si>
  <si>
    <t>C4996</t>
  </si>
  <si>
    <t>LOCAÇÃO DE CONTÊINER BANHEIRO COM 04 VASOS SANITÁRIOS, 02 LAVATÓRIOS, 01 MICTÓRIO CALHA E 04 CHUVEIROS - 6,00 X 2,35M</t>
  </si>
  <si>
    <t>C4997</t>
  </si>
  <si>
    <t>LOCAÇÃO DE CONTÊINER ESCRITÓRIO COM BANHEIRO (01 VASO SANITÁRIO, 01 LAVATÓRIO E 01 CHUVEIRO), JANELA EM VIDRO, PORTAS, LUMINÁRIAS, TOMADAS, FORRO EM PVC, AR CONDICIONADO E ISOLAMENTO TERMO-ACÚSTICO EM ISOPOR - 6,00 X 2,35M</t>
  </si>
  <si>
    <t>LOCAÇÃO DA OBRA</t>
  </si>
  <si>
    <t>C1630</t>
  </si>
  <si>
    <t>LOCAÇÃO DA OBRA - EXECUÇÃO DE GABARITO</t>
  </si>
  <si>
    <t>C2872</t>
  </si>
  <si>
    <t>LOCAÇÃO DA OBRA COM AUXÍLIO TOPOGRÁFICO (ÁREA &gt;5000 M2)</t>
  </si>
  <si>
    <t>HA</t>
  </si>
  <si>
    <t>C2873</t>
  </si>
  <si>
    <t>LOCAÇÃO DA OBRA COM AUXÍLIO TOPOGRÁFICO (ÁREA ATÉ 5000 M2)</t>
  </si>
  <si>
    <t>C2874</t>
  </si>
  <si>
    <t>LOCAÇÃO DE REDE DE ÁGUA</t>
  </si>
  <si>
    <t>C0774</t>
  </si>
  <si>
    <t>LOCAÇÃO DE OBRAS EM MAR</t>
  </si>
  <si>
    <t>C0775</t>
  </si>
  <si>
    <t>LOCAÇÃO DE JAZIDAS EM MAR</t>
  </si>
  <si>
    <t>C2875</t>
  </si>
  <si>
    <t>LOCAÇÃO E NIVELAMENTO DE ADUTORA</t>
  </si>
  <si>
    <t>C2876</t>
  </si>
  <si>
    <t>LOCAÇÃO E NIVELAMENTO DE REDE DE ESGOTO/EMISSÁRIO/DRENAGEM</t>
  </si>
  <si>
    <t>C3528</t>
  </si>
  <si>
    <t>MUTIRÃO MISTO - LOCAÇÃO DA OBRA - EXECUÇÃO DE GABARITO</t>
  </si>
  <si>
    <t>DEMOLIÇÕES E RETIRADAS</t>
  </si>
  <si>
    <t>C2992</t>
  </si>
  <si>
    <t>DEMOLIÇÃO DE ALVENARIA DE PEDRA COM REMOÇÃO LATERAL</t>
  </si>
  <si>
    <t>C1042</t>
  </si>
  <si>
    <t>DEMOLIÇÃO DE ALVENARIA DE TIJOLOS  C/ REAPROVEITAMENTO</t>
  </si>
  <si>
    <t>C1043</t>
  </si>
  <si>
    <t>DEMOLIÇÃO DE ALVENARIA DE TIJOLOS S/ REAPROVEITAMENTO</t>
  </si>
  <si>
    <t>C1044</t>
  </si>
  <si>
    <t>DEMOLIÇÃO DE CALHAS</t>
  </si>
  <si>
    <t>C1045</t>
  </si>
  <si>
    <t>DEMOLIÇÃO DE COBERTURA C/TELHAS CERÂMICAS</t>
  </si>
  <si>
    <t>C1046</t>
  </si>
  <si>
    <t>DEMOLIÇÃO DE COBERTURA C/TELHAS ONDULADAS DE FIBROCIMENTO</t>
  </si>
  <si>
    <t>C1047</t>
  </si>
  <si>
    <t>DEMOLIÇÃO DE COBOGÓS</t>
  </si>
  <si>
    <t>C1048</t>
  </si>
  <si>
    <t>DEMOLIÇÃO DE CONCRETO ARMADO C/MARTELETE PNEUMÁTICO</t>
  </si>
  <si>
    <t>C1049</t>
  </si>
  <si>
    <t>DEMOLIÇÃO DE CONCRETO SIMPLES</t>
  </si>
  <si>
    <t>C1058</t>
  </si>
  <si>
    <t>DEMOLIÇÃO DE DEGRAUS DE PEDRA</t>
  </si>
  <si>
    <t>C1050</t>
  </si>
  <si>
    <t>DEMOLIÇÃO DE DIVISÓRIA LEVE</t>
  </si>
  <si>
    <t>C1051</t>
  </si>
  <si>
    <t>DEMOLIÇÃO DE DIVISÓRIA OUTRAS (PRÉ MOLDADO)</t>
  </si>
  <si>
    <t>C1052</t>
  </si>
  <si>
    <t>DEMOLIÇÃO DE ESTRUTURA DE MADEIRA P/TELHADOS</t>
  </si>
  <si>
    <t>C1053</t>
  </si>
  <si>
    <t>DEMOLIÇÃO DE ESTRUTURA METÁLICA</t>
  </si>
  <si>
    <t>C1054</t>
  </si>
  <si>
    <t>DEMOLIÇÃO DE FORRO DE PVC</t>
  </si>
  <si>
    <t>C1055</t>
  </si>
  <si>
    <t>DEMOLIÇÃO DE FORRO DE TÁBUAS DE PINHO</t>
  </si>
  <si>
    <t>C1056</t>
  </si>
  <si>
    <t>DEMOLIÇÃO DE FORRO DE GESSO</t>
  </si>
  <si>
    <t>C1057</t>
  </si>
  <si>
    <t>DEMOLIÇÃO DE FORRO PACOTE</t>
  </si>
  <si>
    <t>C2993</t>
  </si>
  <si>
    <t>DEMOLIÇÃO DE FORRO DE LAMBRI</t>
  </si>
  <si>
    <t>C1061</t>
  </si>
  <si>
    <t>DEMOLIÇÃO DE LOUÇA SANITÁRIA</t>
  </si>
  <si>
    <t>C1062</t>
  </si>
  <si>
    <t>DEMOLIÇÃO DE PAVIMENTAÇÃO ASFÁLTICA C/MARTELETE PNEUMÁTICO</t>
  </si>
  <si>
    <t>C1063</t>
  </si>
  <si>
    <t>DEMOLIÇÃO DE PÉRGOLAS OU BRISES</t>
  </si>
  <si>
    <t>C1064</t>
  </si>
  <si>
    <t>DEMOLIÇÃO DE PISO CERÂMICO</t>
  </si>
  <si>
    <t>C1065</t>
  </si>
  <si>
    <t>DEMOLIÇÃO DE PISO CERÂMICO SOBRE LASTRO DE CONCRETO</t>
  </si>
  <si>
    <t>C1066</t>
  </si>
  <si>
    <t>DEMOLIÇÃO DE PISO CIMENTADO SOBRE LASTRO DE CONCRETO</t>
  </si>
  <si>
    <t>C2716</t>
  </si>
  <si>
    <t>DEMOLIÇÃO DE PISO DE LADRILHO</t>
  </si>
  <si>
    <t>C1067</t>
  </si>
  <si>
    <t>DEMOLIÇÃO DE PISO DE TÁBUAS DE PEROBA</t>
  </si>
  <si>
    <t>C1068</t>
  </si>
  <si>
    <t>DEMOLIÇÃO DE PISO E VIGAS DE MADEIRA</t>
  </si>
  <si>
    <t>C1069</t>
  </si>
  <si>
    <t>DEMOLIÇÃO DE PISO INDUSTRIAL</t>
  </si>
  <si>
    <t>C1070</t>
  </si>
  <si>
    <t>DEMOLIÇÃO DE REVESTIMENTO C/ARGAMASSA</t>
  </si>
  <si>
    <t>C1071</t>
  </si>
  <si>
    <t>DEMOLIÇÃO DE REVESTIMENTO C/AZULEJOS</t>
  </si>
  <si>
    <t>C1074</t>
  </si>
  <si>
    <t>DEMOLIÇÃO DE REVESTIMENTO C/CERÂMICAS</t>
  </si>
  <si>
    <t>C1072</t>
  </si>
  <si>
    <t>DEMOLIÇÃO DE REVESTIMENTO C/LAMBRIS</t>
  </si>
  <si>
    <t>C1073</t>
  </si>
  <si>
    <t>DEMOLIÇÃO DE REVESTIMENTO C/ PEDRAS NATURAIS</t>
  </si>
  <si>
    <t>C1075</t>
  </si>
  <si>
    <t>DEMOLIÇÃO DE SARJETA OU SARJETÃO DE CONCRETO</t>
  </si>
  <si>
    <t>C1076</t>
  </si>
  <si>
    <t>DEMOLIÇÃO DE SOLEIRAS, PEITORIS E DEGRAUS</t>
  </si>
  <si>
    <t>C1077</t>
  </si>
  <si>
    <t>DEMOLIÇÃO DE VIGAS DE FERRO</t>
  </si>
  <si>
    <t>C3064</t>
  </si>
  <si>
    <t>DEMOLIÇÃO E REMOÇÃO MANUAL DE PAVIMENTO EM PARALELEPIPEDO E POLIÉDRICO</t>
  </si>
  <si>
    <t>C3063</t>
  </si>
  <si>
    <t>DEMOLIÇÃO E REMOÇÃO DE PAREDES DE TAIPA</t>
  </si>
  <si>
    <t>C2717</t>
  </si>
  <si>
    <t>DEMOLIÇÃO MANUAL DE CONCRETO ARMADO</t>
  </si>
  <si>
    <t>C3103</t>
  </si>
  <si>
    <t>REMOÇÃO DE BUEIROS EXISTENTES</t>
  </si>
  <si>
    <t>C3104</t>
  </si>
  <si>
    <t>REMOÇÃO DE CERCAS</t>
  </si>
  <si>
    <t>C2197</t>
  </si>
  <si>
    <t>REMOÇÃO DE PINTURA ANTIGA A CAL</t>
  </si>
  <si>
    <t>C2198</t>
  </si>
  <si>
    <t>REMOÇÃO DE PINTURA ANTIGA À TEMPERA</t>
  </si>
  <si>
    <t>C4914</t>
  </si>
  <si>
    <t>REMOÇÃO DE PINTURA À ÓLEO OU ESMALTE</t>
  </si>
  <si>
    <t>C4913</t>
  </si>
  <si>
    <t>REMOÇÃO DE PINTURA LÁTEX (RASPAGEM E/OU LIXAMENTO E/OU ESCOVAÇÃO)</t>
  </si>
  <si>
    <t>C3038</t>
  </si>
  <si>
    <t>RETIRADA DE CAIXA DE AR CONDICIONADO</t>
  </si>
  <si>
    <t>C3039</t>
  </si>
  <si>
    <t>RETIRADA DE CARPETE S/REAPROVEITAMENTO</t>
  </si>
  <si>
    <t>C3376</t>
  </si>
  <si>
    <t>RETIRADA DE COLETOR EM CONCRETO ATÉ 400mm</t>
  </si>
  <si>
    <t>C2206</t>
  </si>
  <si>
    <t>RETIRADA DE ESQUADRIAS METÁLICAS</t>
  </si>
  <si>
    <t>C3040</t>
  </si>
  <si>
    <t>RETIRADA DE GRADE DE FERRO</t>
  </si>
  <si>
    <t>C2207</t>
  </si>
  <si>
    <t>RETIRADA DE GUIAS PRÉ FABRICADAS DE CONCRETO</t>
  </si>
  <si>
    <t>C3373</t>
  </si>
  <si>
    <t>RETIRADA DE MEIO FIO DE PEDRA GRANÍTICA</t>
  </si>
  <si>
    <t>C2938</t>
  </si>
  <si>
    <t>RETIRADA DE PAVIMENTAÇÃO ASFÁLTICA COM BASE EM PEDRA</t>
  </si>
  <si>
    <t>C2939</t>
  </si>
  <si>
    <t>RETIRADA DE PAVIMENTAÇÃO EM BLOCO DE CONCRETO</t>
  </si>
  <si>
    <t>C3041</t>
  </si>
  <si>
    <t>RETIRADA DE PAVIMENTAÇÃO EM BLOKRET C/ REMOÇÃO LATERAL</t>
  </si>
  <si>
    <t>C2940</t>
  </si>
  <si>
    <t>RETIRADA DE PAVIMENTAÇÃO EM PARALELEPÍPEDO OU PEDRA TOSCA</t>
  </si>
  <si>
    <t>C2941</t>
  </si>
  <si>
    <t>RETIRADA DE PAVIMENTAÇÃO EM PASSEIO CIMENTADO</t>
  </si>
  <si>
    <t>C2942</t>
  </si>
  <si>
    <t>RETIRADA DE PAVIMENTAÇÃO EM PEDRA PORTUGUESA</t>
  </si>
  <si>
    <t>C2209</t>
  </si>
  <si>
    <t>RETIRADA DE PISO PAVIFLEX</t>
  </si>
  <si>
    <t>C2210</t>
  </si>
  <si>
    <t>RETIRADA DE PORTAS E JANELAS, INCLUSIVE BATENTES</t>
  </si>
  <si>
    <t>C3047</t>
  </si>
  <si>
    <t>RETIRADA DE TUBO PVC ENTERRADO DN=50mm</t>
  </si>
  <si>
    <t>C3048</t>
  </si>
  <si>
    <t>RETIRADA DE TUBO PVC ENTERRADO DN=75mm</t>
  </si>
  <si>
    <t>C3049</t>
  </si>
  <si>
    <t>RETIRADA DE TUBO PVC ENTERRADO DN=85mm</t>
  </si>
  <si>
    <t>C3042</t>
  </si>
  <si>
    <t>RETIRADA DE TUBO PVC ENTERRADO DN=100mm</t>
  </si>
  <si>
    <t>C3043</t>
  </si>
  <si>
    <t>RETIRADA DE TUBO PVC ENTERRADO DN=150mm</t>
  </si>
  <si>
    <t>C3044</t>
  </si>
  <si>
    <t>RETIRADA DE TUBO PVC ENTERRADO DN=200mm</t>
  </si>
  <si>
    <t>C3045</t>
  </si>
  <si>
    <t>RETIRADA DE TUBO PVC ENTERRADO DN=250mm</t>
  </si>
  <si>
    <t>C3046</t>
  </si>
  <si>
    <t>RETIRADA DE TUBO PVC ENTERRADO DN=300mm</t>
  </si>
  <si>
    <t>C3054</t>
  </si>
  <si>
    <t>RETIRADA DE TUBOS DE CONCRETO D=30cm</t>
  </si>
  <si>
    <t>C3055</t>
  </si>
  <si>
    <t>RETIRADA DE TUBOS DE CONCRETO D=40cm</t>
  </si>
  <si>
    <t>C3056</t>
  </si>
  <si>
    <t>RETIRADA DE TUBOS DE CONCRETO D=50cm</t>
  </si>
  <si>
    <t>C3057</t>
  </si>
  <si>
    <t>RETIRADA DE TUBOS DE CONCRETO D=60cm</t>
  </si>
  <si>
    <t>C3050</t>
  </si>
  <si>
    <t>RETIRADA DE TUBOS DE CONCRETO D=80cm</t>
  </si>
  <si>
    <t>C3051</t>
  </si>
  <si>
    <t>RETIRADA DE TUBOS DE CONCRETO D=100cm</t>
  </si>
  <si>
    <t>C3052</t>
  </si>
  <si>
    <t>RETIRADA DE TUBOS DE CONCRETO D=120cm</t>
  </si>
  <si>
    <t>C3053</t>
  </si>
  <si>
    <t>RETIRADA DE TUBOS DE CONCRETO D=150cm</t>
  </si>
  <si>
    <t>C3377</t>
  </si>
  <si>
    <t>RETIRADA DE TUBOS E CONEXÕES EM PVC JE DN 50MM</t>
  </si>
  <si>
    <t>C3378</t>
  </si>
  <si>
    <t>RETIRADA DE TUBOS E CONEXÕES EM PVC JE DN 75MM</t>
  </si>
  <si>
    <t>C3379</t>
  </si>
  <si>
    <t>RETIRADA DE TUBOS E CONEXÕES EM PVC JE DN 100MM</t>
  </si>
  <si>
    <t>C3380</t>
  </si>
  <si>
    <t>RETIRADA DE TUBOS E CONEXÕES EM PVC JE DN 125MM</t>
  </si>
  <si>
    <t>C3381</t>
  </si>
  <si>
    <t>RETIRADA DE TUBOS E CONEXÕES EM PVC JE DN 150MM</t>
  </si>
  <si>
    <t>C3382</t>
  </si>
  <si>
    <t>RETIRADA DE TUBOS E CONEXÕES EM PVC JE DN 200MM</t>
  </si>
  <si>
    <t>C3383</t>
  </si>
  <si>
    <t>RETIRADA DE TUBOS E CONEXÕES EM PVC JE DN 250MM</t>
  </si>
  <si>
    <t>C3384</t>
  </si>
  <si>
    <t>RETIRADA DE TUBOS E CONEXÕES EM PVC JE DN 300MM</t>
  </si>
  <si>
    <t>C3385</t>
  </si>
  <si>
    <t>RETIRADA DE TUBOS E CONEXÕES EM PVC JE DN 350MM</t>
  </si>
  <si>
    <t>C3386</t>
  </si>
  <si>
    <t>RETIRADA DE TUBOS E CONEXÕES EM PVC JE DN 400MM</t>
  </si>
  <si>
    <t>C3387</t>
  </si>
  <si>
    <t>RETIRADA DE TUBOS, PEÇAS E CONEXÕES EM FoFo JE DN 50MM</t>
  </si>
  <si>
    <t>C3388</t>
  </si>
  <si>
    <t>RETIRADA DE TUBOS, PEÇAS E CONEXÕES EM FoFo JE DN 75MM</t>
  </si>
  <si>
    <t>C3389</t>
  </si>
  <si>
    <t>RETIRADA DE TUBOS, PEÇAS E CONEXÕES EM FoFo JE DN 100MM</t>
  </si>
  <si>
    <t>C3390</t>
  </si>
  <si>
    <t>RETIRADA DE TUBOS, PEÇAS E CONEXÕES EM FoFo JE DN 150MM</t>
  </si>
  <si>
    <t>C3391</t>
  </si>
  <si>
    <t>RETIRADA DE TUBOS, PEÇAS E CONEXÕES EM FoFo JE DN 200MM</t>
  </si>
  <si>
    <t>C3392</t>
  </si>
  <si>
    <t>RETIRADA DE TUBOS, PEÇAS E CONEXÕES EM FoFo JE DN 250MM</t>
  </si>
  <si>
    <t>C3393</t>
  </si>
  <si>
    <t>RETIRADA DE TUBOS, PEÇAS E CONEXÕES EM FoFo JE DN 300MM</t>
  </si>
  <si>
    <t>C3394</t>
  </si>
  <si>
    <t>RETIRADA DE TUBOS, PEÇAS E CONEXÕES EM FoFo JE DN 350MM</t>
  </si>
  <si>
    <t>C3395</t>
  </si>
  <si>
    <t>RETIRADA DE TUBOS, PEÇAS E CONEXÕES EM FoFo JE DN 400MM</t>
  </si>
  <si>
    <t>C3396</t>
  </si>
  <si>
    <t>RETIRADA DE TUBOS, PEÇAS E CONEXÕES EM FoFo JE DN 450MM</t>
  </si>
  <si>
    <t>C3397</t>
  </si>
  <si>
    <t>RETIRADA DE TUBOS, PEÇAS E CONEXÕES EM FoFo JE DN 500MM</t>
  </si>
  <si>
    <t>C3398</t>
  </si>
  <si>
    <t>RETIRADA DE TUBOS, PEÇAS E CONEXÕES EM FoFo JE DN 600MM</t>
  </si>
  <si>
    <t>C3399</t>
  </si>
  <si>
    <t>RETIRADA DE TUBOS, PEÇAS E CONEXÕES EM FoFo JE DN 700MM</t>
  </si>
  <si>
    <t>C2211</t>
  </si>
  <si>
    <t>RETIRADA DE VIDROS C/ REAPROVEITAMENTO</t>
  </si>
  <si>
    <t>TRÂNSITO E SEGURANÇA</t>
  </si>
  <si>
    <t>C0375</t>
  </si>
  <si>
    <t>BARREIRA DE CONCRETO (NEW JERSEY) SIMPLES</t>
  </si>
  <si>
    <t>C2891</t>
  </si>
  <si>
    <t>PASSADIÇOS COM CHAPAS DE AÇO</t>
  </si>
  <si>
    <t>C2892</t>
  </si>
  <si>
    <t>PASSADIÇOS COM PRANCHAS DE MADEIRA</t>
  </si>
  <si>
    <t>C2947</t>
  </si>
  <si>
    <t>SINALIZAÇÃO DE ADVERTÊNCIA</t>
  </si>
  <si>
    <t>C2948</t>
  </si>
  <si>
    <t>SINALIZAÇÃO DE TRÂNSITO COM BARREIRAS</t>
  </si>
  <si>
    <t>C2949</t>
  </si>
  <si>
    <t>SINALIZAÇÃO DE TRÂNSITO NOTURNA</t>
  </si>
  <si>
    <t>C2950</t>
  </si>
  <si>
    <t>SINALIZAÇÃO EM TAPUME COM INDICATIVO DE FLUXO</t>
  </si>
  <si>
    <t>C2978</t>
  </si>
  <si>
    <t>SINALIZAÇÃO EM TAPUME DE PROTEÇÃO COM CHAPAS COMPENSADAS E= 12mm</t>
  </si>
  <si>
    <t>MOVIMENTO DE TERRA</t>
  </si>
  <si>
    <t>ESCAVAÇÕES EM CAMPO ABERTO</t>
  </si>
  <si>
    <t>C5011</t>
  </si>
  <si>
    <t>ESCAVAÇÃO DE MATERIAL DE 3ª CATEGORIA COM ESCAVADEIRA E ROMPEDOR HIDRÁULICO DE 1700KG</t>
  </si>
  <si>
    <t>C2779</t>
  </si>
  <si>
    <t>ESCAVAÇÃO EM S.Q.N SATURADO, PROF.2.0 a 12.0m (POÇO AMAZONAS)</t>
  </si>
  <si>
    <t>C1263</t>
  </si>
  <si>
    <t>ESCAVAÇÃO MANUAL CAMPO ABERTO EM ROCHA C/EXPLOS.PERF.MAN. ATÉ 2M</t>
  </si>
  <si>
    <t>C1260</t>
  </si>
  <si>
    <t>ESCAVAÇÃO MANUAL CAMPO ABERTO EM ROCHA C/EXPLOS.PERF.MAN. - 2,01 A 4,00M</t>
  </si>
  <si>
    <t>C1261</t>
  </si>
  <si>
    <t>ESCAVAÇÃO MANUAL CAMPO ABERTO EM ROCHA C/EXPLOS.PERF.MAN. - 4,01 A 6,00M</t>
  </si>
  <si>
    <t>C1262</t>
  </si>
  <si>
    <t>ESCAVAÇÃO MANUAL CAMPO ABERTO EM ROCHA C/EXPLOS.PERF.MAN. - 6,01 A 8,00M</t>
  </si>
  <si>
    <t>C1266</t>
  </si>
  <si>
    <t>ESCAVAÇÃO MANUAL CAMPO ABERTO EM ROCHA C/EXPLOS.PERF.MEC. ATÉ 2M</t>
  </si>
  <si>
    <t>C1264</t>
  </si>
  <si>
    <t>ESCAVAÇÃO MANUAL CAMPO ABERTO EM ROCHA C/EXPLOS.PERF.MEC. - 2,01 A 4,00M</t>
  </si>
  <si>
    <t>C1265</t>
  </si>
  <si>
    <t>ESCAVAÇÃO MANUAL CAMPO ABERTO EM ROCHA C/EXPLOS.PERF.MEC. - 4,01 A 6,00M</t>
  </si>
  <si>
    <t>C1254</t>
  </si>
  <si>
    <t>ESCAVAÇÃO MANUAL CAMPO ABERTO EM ROCHA C/EXPLOS.PERF.MEC. - 6,01 A 8,00M</t>
  </si>
  <si>
    <t>C1256</t>
  </si>
  <si>
    <t>ESCAVAÇÃO MANUAL CAMPO ABERTO EM TERRA ATÉ 2M</t>
  </si>
  <si>
    <t>C1257</t>
  </si>
  <si>
    <t>ESCAVAÇÃO MANUAL CAMPO ABERTO EM TERRA, DE 2,01 A 4,00M</t>
  </si>
  <si>
    <t>C1258</t>
  </si>
  <si>
    <t>ESCAVAÇÃO MANUAL CAMPO ABERTO EM TERRA, DE 4,00 A 6,00M</t>
  </si>
  <si>
    <t>C1259</t>
  </si>
  <si>
    <t>ESCAVAÇÃO MANUAL CAMPO ABERTO EM TERRA, DE 6,00 A 8,00M</t>
  </si>
  <si>
    <t>C1267</t>
  </si>
  <si>
    <t>ESCAVAÇÃO MECAN. CAMPO ABERTO EM TERRA EXCETO ROCHA ATÉ 2M</t>
  </si>
  <si>
    <t>C1268</t>
  </si>
  <si>
    <t>ESCAVAÇÃO MECAN. CAMPO ABERTO EM TERRA EXCETO ROCHA ATÉ 4M</t>
  </si>
  <si>
    <t>C1269</t>
  </si>
  <si>
    <t>ESCAVAÇÃO MECAN. CAMPO ABERTO EM TERRA EXCETO ROCHA ATÉ 6M</t>
  </si>
  <si>
    <t>C1270</t>
  </si>
  <si>
    <t>ESCAVAÇÃO MECAN. CAMPO ABERTO EM TERRA EXCETO ROCHA ATÉ 8M</t>
  </si>
  <si>
    <t>C4899</t>
  </si>
  <si>
    <t>ESCAVAÇÃO MECANIZADA CAMPO ABERTO EM TERRA EXCETO ROCHA ATÉ 10M</t>
  </si>
  <si>
    <t>ESCAVAÇÃO E CARGA DE MATERIAL</t>
  </si>
  <si>
    <t>C3208</t>
  </si>
  <si>
    <t>ESCAVAÇÃO E CARGA DE MATERIAL 1-CAT.</t>
  </si>
  <si>
    <t>C3209</t>
  </si>
  <si>
    <t>ESCAVAÇÃO E CARGA DE MATERIAL 2-CAT.</t>
  </si>
  <si>
    <t>C3210</t>
  </si>
  <si>
    <t>ESCAVAÇÃO E CARGA DE MATERIAL 3-CAT.</t>
  </si>
  <si>
    <t>C3212</t>
  </si>
  <si>
    <t>ESCAVAÇÃO E CARGA DE SOLO MOLE</t>
  </si>
  <si>
    <t>C2797</t>
  </si>
  <si>
    <t>ESCAVAÇÃO SUBMERSA (DRAGAGEM)</t>
  </si>
  <si>
    <t>CARGA,TRANSPORTE E DESCARGA DE MATERIAL</t>
  </si>
  <si>
    <t>C0702</t>
  </si>
  <si>
    <t>CARGA MANUAL DE ENTULHO EM CAMINHÃO BASCULANTE</t>
  </si>
  <si>
    <t>C0706</t>
  </si>
  <si>
    <t>CARGA MANUAL DE ROCHA EM CAMINHÃO BASCULANTE</t>
  </si>
  <si>
    <t>C0707</t>
  </si>
  <si>
    <t>CARGA MANUAL DE TERRA EM CAMINHÃO BASCULANTE</t>
  </si>
  <si>
    <t>C0708</t>
  </si>
  <si>
    <t>CARGA MECANIZADA DE ENTULHO EM CAMINHÃO BASCULANTE</t>
  </si>
  <si>
    <t>C0709</t>
  </si>
  <si>
    <t>CARGA MECANIZADA DE ROCHA EM CAMINHÃO BASCULANTE</t>
  </si>
  <si>
    <t>C0710</t>
  </si>
  <si>
    <t>CARGA MECANIZADA DE TERRA EM CAMINHÃO BASCULANTE</t>
  </si>
  <si>
    <t>C2987</t>
  </si>
  <si>
    <t>COMPLEMENTAÇÃO DE TRANSPORTE EM CAMINHÃO BASCULANTE</t>
  </si>
  <si>
    <t>M3xKM</t>
  </si>
  <si>
    <t>C2529</t>
  </si>
  <si>
    <t>TRANSPORTE DE MATERIAL, EXCETO ROCHA EM CAMINHÃO ATÉ 0.5 KM</t>
  </si>
  <si>
    <t>C2531</t>
  </si>
  <si>
    <t>TRANSPORTE DE MATERIAL, EXCETO ROCHA EM CAMINHÃO ATÉ 1KM</t>
  </si>
  <si>
    <t>C2533</t>
  </si>
  <si>
    <t>TRANSPORTE DE MATERIAL, EXCETO ROCHA EM CAMINHÃO ATÉ 5 KM</t>
  </si>
  <si>
    <t>C2530</t>
  </si>
  <si>
    <t>TRANSPORTE DE MATERIAL, EXCETO ROCHA EM CAMINHÃO ATÉ 10KM</t>
  </si>
  <si>
    <t>C2532</t>
  </si>
  <si>
    <t>TRANSPORTE DE MATERIAL, EXCETO ROCHA EM CAMINHÃO ATÉ 20KM</t>
  </si>
  <si>
    <t>C2536</t>
  </si>
  <si>
    <t>TRANSPORTE HORIZONTAL ATÉ 30M DE MATERIAIS À GRANEL</t>
  </si>
  <si>
    <t>C2537</t>
  </si>
  <si>
    <t>TRANSPORTE HORIZONTAL DE 30,00 ATÉ 60,00M DE MATERIAIS À GRANEL</t>
  </si>
  <si>
    <t>C2535</t>
  </si>
  <si>
    <t>TRANSPORTE HORIZONTAL DE 60,01 ATÉ 100,00M DE MATERIAIS À GRANEL</t>
  </si>
  <si>
    <t>C2538</t>
  </si>
  <si>
    <t>TRANSPORTE VERTICAL DE MATERIAIS À GRANEL P/ A 1A LAJE</t>
  </si>
  <si>
    <t>C2539</t>
  </si>
  <si>
    <t>TRANSPORTE VERTICAL DE MATERIAIS À GRANEL P/ A 2A LAJE</t>
  </si>
  <si>
    <t>ESCAVAÇÃO, CARGA, TRANSPORTE E DESCARGA DE MATERIAL</t>
  </si>
  <si>
    <t>C3131</t>
  </si>
  <si>
    <t>ARRASAMENTO ATERRO (ESCALONAMENTO) DMT ATÉ 50M</t>
  </si>
  <si>
    <t>C3182</t>
  </si>
  <si>
    <t>ESCAVAÇÃO CARGA TRANSP. 1-CAT ATÉ 200M</t>
  </si>
  <si>
    <t>C3178</t>
  </si>
  <si>
    <t>ESCAVAÇÃO CARGA TRANSP. 1-CAT 201 A 400M</t>
  </si>
  <si>
    <t>C3180</t>
  </si>
  <si>
    <t>ESCAVAÇÃO CARGA TRANSP. 1-CAT 401 A 600M</t>
  </si>
  <si>
    <t>C3169</t>
  </si>
  <si>
    <t>ESCAVACAO CARGA TRANSP. 1-CAT 601 A 800M</t>
  </si>
  <si>
    <t>C3181</t>
  </si>
  <si>
    <t>ESCAVAÇÃO CARGA TRANSP. 1-CAT 801 A 1000M</t>
  </si>
  <si>
    <t>C3175</t>
  </si>
  <si>
    <t>ESCAVAÇÃO CARGA TRANSP. 1-CAT 1001 A 1200M</t>
  </si>
  <si>
    <t>C3165</t>
  </si>
  <si>
    <t>ESCAVACÃO CARGA TRANSP. 1-CAT 1201 A 1400M</t>
  </si>
  <si>
    <t>C3176</t>
  </si>
  <si>
    <t>ESCAVAÇÃO CARGA TRANSP. 1-CAT 1401 A 1600M</t>
  </si>
  <si>
    <t>C3177</t>
  </si>
  <si>
    <t>ESCAVAÇÃO CARGA TRANSP. 1-CAT 1601 A 1800M</t>
  </si>
  <si>
    <t>C3166</t>
  </si>
  <si>
    <t>ESCAVAÇÃO CARGA TRANSP. 1-CAT 1801 A 2000M</t>
  </si>
  <si>
    <t>C3167</t>
  </si>
  <si>
    <t>ESCAVAÇÃO CARGA TRANSP. 1-CAT 2001 A 3000M</t>
  </si>
  <si>
    <t>C3168</t>
  </si>
  <si>
    <t>ESCAVAÇÃO CARGA TRANSP. 1-CAT 3001 A 4000M</t>
  </si>
  <si>
    <t>C3179</t>
  </si>
  <si>
    <t>ESCAVAÇÃO CARGA TRANSP. 1-CAT 4001 A 5000M</t>
  </si>
  <si>
    <t>C3192</t>
  </si>
  <si>
    <t>ESCAVAÇÃO CARGA TRANSP. 2-CAT ATÉ 200M</t>
  </si>
  <si>
    <t>C3187</t>
  </si>
  <si>
    <t>ESCAVAÇÃO CARGA TRANSP. 2-CAT 201 A 400M</t>
  </si>
  <si>
    <t>C3189</t>
  </si>
  <si>
    <t>ESCAVAÇÃO CARGA TRANSP. 2-CAT 401 A 600M</t>
  </si>
  <si>
    <t>C3190</t>
  </si>
  <si>
    <t>ESCAVAÇÃO CARGA TRANSP. 2-CAT 601 A 800M</t>
  </si>
  <si>
    <t>C3191</t>
  </si>
  <si>
    <t>ESCAVAÇÃO CARGA TRANSP. 2-CAT 801 A 1000M</t>
  </si>
  <si>
    <t>C3170</t>
  </si>
  <si>
    <t>ESCAVAÇÃO CARGA TRANSP. 2-CAT 1001 A 1200M</t>
  </si>
  <si>
    <t>C3183</t>
  </si>
  <si>
    <t>ESCAVAÇÃO CARGA TRANSP. 2-CAT 1201 A 1400M</t>
  </si>
  <si>
    <t>C3184</t>
  </si>
  <si>
    <t>ESCAVAÇÃO CARGA TRANSP. 2-CAT 1401 A 1600M</t>
  </si>
  <si>
    <t>C3185</t>
  </si>
  <si>
    <t>ESCAVAÇÃO CARGA TRANSP. 2-CAT 1601 A 1800M</t>
  </si>
  <si>
    <t>C3186</t>
  </si>
  <si>
    <t>ESCAVAÇÃO CARGA TRANSP. 2-CAT 1801 A 2000M</t>
  </si>
  <si>
    <t>C3171</t>
  </si>
  <si>
    <t>ESCAVAÇÃO CARGA TRANSP. 2-CAT 2001 A 3000M</t>
  </si>
  <si>
    <t>C3188</t>
  </si>
  <si>
    <t>ESCAVAÇÃO CARGA TRANSP. 2-CAT 3001 A 4000M</t>
  </si>
  <si>
    <t>C3172</t>
  </si>
  <si>
    <t>ESCAVAÇÃO CARGA TRANSP. 2-CAT 4001 A 5000M</t>
  </si>
  <si>
    <t>C3205</t>
  </si>
  <si>
    <t>ESCAVAÇÃO CARGA TRANSP. 3-CAT ATÉ 50M</t>
  </si>
  <si>
    <t>C3202</t>
  </si>
  <si>
    <t>ESCAVAÇÃO CARGA TRANSP. 3-CAT 51 A 100M</t>
  </si>
  <si>
    <t>C3194</t>
  </si>
  <si>
    <t>ESCAVAÇÃO CARGA TRANSP. 3-CAT 101 A 200M</t>
  </si>
  <si>
    <t>C3200</t>
  </si>
  <si>
    <t>ESCAVAÇÃO CARGA TRANSP. 3-CAT 201 A 400M</t>
  </si>
  <si>
    <t>C3201</t>
  </si>
  <si>
    <t>ESCAVAÇÃO CARGA TRANSP. 3-CAT 401 A 600M</t>
  </si>
  <si>
    <t>C3203</t>
  </si>
  <si>
    <t>ESCAVAÇÃO CARGA TRANSP. 3-CAT 601 A 800M</t>
  </si>
  <si>
    <t>C3204</t>
  </si>
  <si>
    <t>ESCAVAÇÃO CARGA TRANSP. 3-CAT 801 A 1000M</t>
  </si>
  <si>
    <t>C3193</t>
  </si>
  <si>
    <t>ESCAVAÇÃO CARGA TRANSP. 3-CAT 1001 A 1200M</t>
  </si>
  <si>
    <t>C3195</t>
  </si>
  <si>
    <t>ESCAVAÇÃO CARGA TRANSP. 3-CAT 1201 A 1400M</t>
  </si>
  <si>
    <t>C3196</t>
  </si>
  <si>
    <t>ESCAVAÇÃO CARGA TRANSP. 3-CAT 1401 A 1600M</t>
  </si>
  <si>
    <t>C3197</t>
  </si>
  <si>
    <t>ESCAVAÇÃO CARGA TRANSP. 3-CAT 1601 A 1800M</t>
  </si>
  <si>
    <t>C3198</t>
  </si>
  <si>
    <t>ESCAVAÇÃO CARGA TRANSP. 3-CAT 1801 A 2000M</t>
  </si>
  <si>
    <t>C3199</t>
  </si>
  <si>
    <t>ESCAVAÇÃO CARGA TRANSP. 3-CAT 2001 A 3000M</t>
  </si>
  <si>
    <t>C3173</t>
  </si>
  <si>
    <t>ESCAVAÇÃO CARGA TRANSP. 3-CAT 3001 A 4000M</t>
  </si>
  <si>
    <t>C3174</t>
  </si>
  <si>
    <t>ESCAVAÇÃO CARGA TRANSP. 3-CAT 4001 A 5000M</t>
  </si>
  <si>
    <t>ESCAVAÇÕES EM VALAS,VALETAS,CANAIS E FUNDAÇÕES</t>
  </si>
  <si>
    <t>C3280</t>
  </si>
  <si>
    <t>ESCAVAÇÃO DE BASE DE TUBULÃO A AR COMPRIMIDO ATÉ 12M</t>
  </si>
  <si>
    <t>C3281</t>
  </si>
  <si>
    <t>ESCAVAÇÃO DE BASE DE TUBULÃO A AR COMPRIMIDO DE 12,00 A 18M</t>
  </si>
  <si>
    <t>C3282</t>
  </si>
  <si>
    <t>ESCAVAÇÃO DE BASE DE TUBULÃO A CEU ABERTO</t>
  </si>
  <si>
    <t>C2777</t>
  </si>
  <si>
    <t>ESCAVAÇÃO DE MATERIAL DE 3A. CAT A FOGO</t>
  </si>
  <si>
    <t>C3206</t>
  </si>
  <si>
    <t>ESCAVAÇÃO DE POÇO TUBULÃO A AR COMPRIMIDO C/ DESCIDA DE CAMISA DE CONCRETO ARMADO ATÉ 12m</t>
  </si>
  <si>
    <t>C3213</t>
  </si>
  <si>
    <t>ESCAVAÇÃO DE POÇO TUBULÃO A AR COMPRIMIDO C/DESCIDA DE CAMISA DE CONCRETO ARMADO 12,01 A 18,00M</t>
  </si>
  <si>
    <t>C3207</t>
  </si>
  <si>
    <t>ESCAVAÇÃO DE POÇO TUBULÃO A CEU ABERTO  C/ DESCIDA DE CAMISA DE CONCRETO ARMADO</t>
  </si>
  <si>
    <t>C5012</t>
  </si>
  <si>
    <t>ESCAVAÇÃO DE VALA EM MATERIAL DE 3ª CATEGORIA COM ESCAVADEIRA E ROMPEDOR HIDRÁULICO DE 1700KG</t>
  </si>
  <si>
    <t>C5177</t>
  </si>
  <si>
    <t>ESCAVAÇÃO EM ROCHA BRANDA A FRIO COM ESCAVADEIRA HIDRÁULICA E ROMPEDOR ACOPLADO</t>
  </si>
  <si>
    <t>C1255</t>
  </si>
  <si>
    <t>ESCAVAÇÃO MANUAL C/ APIL. FUNDO P/ CAIXA EM ALVENARIA</t>
  </si>
  <si>
    <t>C2784</t>
  </si>
  <si>
    <t>ESCAVAÇÃO MANUAL SOLO DE 1A.CAT. PROF. ATÉ 1.50m</t>
  </si>
  <si>
    <t>C2781</t>
  </si>
  <si>
    <t>ESCAVAÇÃO MANUAL SOLO DE 1A CAT. PROF. DE 1.51 a 3.00m</t>
  </si>
  <si>
    <t>C2782</t>
  </si>
  <si>
    <t>ESCAVAÇÃO MANUAL SOLO DE 1A CAT. PROF. DE 3.01 a 4.50m</t>
  </si>
  <si>
    <t>C2783</t>
  </si>
  <si>
    <t>ESCAVAÇÃO MANUAL SOLO DE 1A CAT. PROF. DE 4.51 a 6.00m</t>
  </si>
  <si>
    <t>C2785</t>
  </si>
  <si>
    <t>ESCAVAÇÃO MANUAL SOLO DE 2A CAT. PROF. ATÉ 1.50m</t>
  </si>
  <si>
    <t>C2786</t>
  </si>
  <si>
    <t>ESCAVAÇÃO MANUAL SOLO DE 2A CAT. PROF. DE 1.51 a 3.00m</t>
  </si>
  <si>
    <t>C2787</t>
  </si>
  <si>
    <t>ESCAVAÇÃO MANUAL SOLO DE 2A CAT. PROF. DE 3.01 a 4.50m</t>
  </si>
  <si>
    <t>C2788</t>
  </si>
  <si>
    <t>ESCAVAÇÃO MANUAL SOLO DE 2A CAT. PROF. DE 4.51 a 6.00m</t>
  </si>
  <si>
    <t>C2789</t>
  </si>
  <si>
    <t>ESCAVAÇÃO MECÂNICA SOLO DE 1A CAT. PROF. ATÉ 2.00m</t>
  </si>
  <si>
    <t>C2790</t>
  </si>
  <si>
    <t>ESCAVAÇÃO MECÂNICA SOLO DE 1A CAT. PROF. DE 2.01 a 4.00m</t>
  </si>
  <si>
    <t>C2791</t>
  </si>
  <si>
    <t>ESCAVAÇÃO MECÂNICA SOLO DE 1A CAT. PROF. DE 4.01 a 6.00m</t>
  </si>
  <si>
    <t>C2792</t>
  </si>
  <si>
    <t>ESCAVAÇÃO MECÂNICA SOLO DE 1A CAT. PROF. DE 6.01 a 8.00m</t>
  </si>
  <si>
    <t>C2796</t>
  </si>
  <si>
    <t>ESCAVAÇÃO MECÂNICA SOLO DE 2A.CAT. PROF. ATÉ 2.00m</t>
  </si>
  <si>
    <t>C2793</t>
  </si>
  <si>
    <t>ESCAVAÇÃO MECÂNICA SOLO DE 2A CAT. PROF. DE 2.01 a 4.00m</t>
  </si>
  <si>
    <t>C2794</t>
  </si>
  <si>
    <t>ESCAVAÇÃO MECÂNICA SOLO DE 2A CAT. PROF. DE 4.01 a 6.00m</t>
  </si>
  <si>
    <t>C2795</t>
  </si>
  <si>
    <t>ESCAVAÇÃO MECÂNICA SOLO DE 2A. CAT. PROF. DE 6.01 a 8.00m</t>
  </si>
  <si>
    <t>C3474</t>
  </si>
  <si>
    <t>TRAVESSIA MÉTODO NÃO DESTRUTIVO P/ TUBO ATÉ DN 100 (COMPLETO)</t>
  </si>
  <si>
    <t>C3475</t>
  </si>
  <si>
    <t>TRAVESSIA MÉTODO NÃO DESTRUTIVO P/ TUBO 100&lt;DN&lt;=200 (COMPLETO)</t>
  </si>
  <si>
    <t>C3476</t>
  </si>
  <si>
    <t>TRAVESSIA MÉTODO NÃO DESTRUTIVO P/ TUBO 200&lt;DN&lt;=300 (COMPLETO)</t>
  </si>
  <si>
    <t>C4218</t>
  </si>
  <si>
    <t>TRAVESSIA MÉTODO NÃO DESTRUTIVO P/ TUBO 300&lt;DN&lt;=500 (COMPLETO)</t>
  </si>
  <si>
    <t>ATERRO,REATERRO E COMPACTAÇÃO</t>
  </si>
  <si>
    <t>C0095</t>
  </si>
  <si>
    <t>APILOAMENTO DE PISO OU FUNDO DE VALAS C/MAÇO DE 30 A 60 KG</t>
  </si>
  <si>
    <t>C0328</t>
  </si>
  <si>
    <t>ATERRO C/COMPACTAÇÃO MECÂNICA E CONTROLE, MAT. DE AQUISIÇÃO</t>
  </si>
  <si>
    <t>C0329</t>
  </si>
  <si>
    <t>ATERRO C/COMPACTAÇÃO MECÂNICA E CONTROLE, MAT. PRODUZIDO (S/TRANSP.)</t>
  </si>
  <si>
    <t>C0330</t>
  </si>
  <si>
    <t>ATERRO C/COMPACTAÇÃO MANUAL S/CONTROLE, MAT. C/AQUISIÇÃO</t>
  </si>
  <si>
    <t>C0331</t>
  </si>
  <si>
    <t>ATERRO C/COMPACTAÇÃO MANUAL S/CONTROLE, MAT. PRODUZIDO (S/TRANSP.)</t>
  </si>
  <si>
    <t>C4814</t>
  </si>
  <si>
    <t>ATERRO COM PÓ DE PEDRA, ESPALHAMENTO E COMPACTAÇÃO MECÂNICA, C/ CONTROLE, MAT. DE AQUISIÇÃO</t>
  </si>
  <si>
    <t>C3145</t>
  </si>
  <si>
    <t>COMPACTAÇÃO DE ATERROS  95% P.N</t>
  </si>
  <si>
    <t>C3146</t>
  </si>
  <si>
    <t>COMPACTAÇÃO DE ATERROS 100% P.N</t>
  </si>
  <si>
    <t>C4665</t>
  </si>
  <si>
    <t>COMPACTAÇÃO DE ATERROS 95% P.I. P/ OBRAS AEROPORTUÁRIAS</t>
  </si>
  <si>
    <t>C4666</t>
  </si>
  <si>
    <t>COMPACTAÇÃO DE ATERROS 100% P.I. P/ OBRAS AEROPORTUÁRIAS</t>
  </si>
  <si>
    <t>C4667</t>
  </si>
  <si>
    <t>COMPACTAÇÃO DE ATERROS 95% P.M. P/ OBRAS AEROPORTUÁRIAS</t>
  </si>
  <si>
    <t>C4668</t>
  </si>
  <si>
    <t>COMPACTAÇÃO DE ATERROS 100% P.M. P/ OBRAS AEROPORTUÁRIAS</t>
  </si>
  <si>
    <t>C0821</t>
  </si>
  <si>
    <t>COMPACTAÇÃO MECÂNICA DE CALÇAMENTO C/COMPACTADOR TIPO SAPO</t>
  </si>
  <si>
    <t>C0822</t>
  </si>
  <si>
    <t>COMPACTAÇÃO MECÂNICA DO CALÇAMENTO C/ ROLO LISO</t>
  </si>
  <si>
    <t>C0928</t>
  </si>
  <si>
    <t>CORTE E ATERRO COMPENSADO S/CONTROLE DO GRAU DE COMPACTAÇÃO</t>
  </si>
  <si>
    <t>C0930</t>
  </si>
  <si>
    <t>CORTE MANUAL EM TERRA</t>
  </si>
  <si>
    <t>C3214</t>
  </si>
  <si>
    <t>ESPALHAMENTO E ADENSAMENTO DE AREIA</t>
  </si>
  <si>
    <t>C2989</t>
  </si>
  <si>
    <t>ESPALHAMENTO MECÂNICO DE SOLO EM BOTA FORA</t>
  </si>
  <si>
    <t>C3530</t>
  </si>
  <si>
    <t>MUTIRÃO MISTO - ATERRO COM COMPACTAÇÃO MANUAL S/CONTROLE, MAT. C/AQUISIÇÃO</t>
  </si>
  <si>
    <t>C2921</t>
  </si>
  <si>
    <t>REATERRO C/COMPACTAÇÃO MANUAL S/CONTROLE, MATERIAL DA VALA</t>
  </si>
  <si>
    <t>C2920</t>
  </si>
  <si>
    <t>REATERRO C/COMPACTAÇÃO MECÂNICA, E CONTROLE, MATERIAL DA VALA</t>
  </si>
  <si>
    <t>CARGA, TRANSPORTE E DESCARGA DE TUBOS E CONEXÕES</t>
  </si>
  <si>
    <t>C0717</t>
  </si>
  <si>
    <t>CARGA, DESCARGA E TRANSP. DE TUBOS E CONEXÕES EM MBV DN 100mm ATÉ 15km</t>
  </si>
  <si>
    <t>C0711</t>
  </si>
  <si>
    <t>CARGA, DESCARGA E TRANSP. DE TUBOS E CONEXÕES EM MBV DN 150mm ATÉ 15km</t>
  </si>
  <si>
    <t>C0712</t>
  </si>
  <si>
    <t>CARGA, DESCARGA E TRANSP. DE TUBOS E CONEXÕES EM MBV DN 200mm ATÉ 15km</t>
  </si>
  <si>
    <t>C0713</t>
  </si>
  <si>
    <t>CARGA, DESCARGA E TRANSP. DE TUBOS E CONEXÕES EM MBV DN 250mm ATÉ 15km</t>
  </si>
  <si>
    <t>C0714</t>
  </si>
  <si>
    <t>CARGA, DESCARGA E TRANSP. DE TUBOS E CONEXÕES EM MBV DN 300mm ATÉ 15km</t>
  </si>
  <si>
    <t>C0715</t>
  </si>
  <si>
    <t>CARGA, DESCARGA E TRANSP. DE TUBOS E CONEXÕES EM MBV DN 350mm ATÉ 15km</t>
  </si>
  <si>
    <t>C0716</t>
  </si>
  <si>
    <t>CARGA, DESCARGA E TRANSP. DE TUBOS E CONEXÕES EM MBV DN 400mm ATÉ 15km</t>
  </si>
  <si>
    <t>C4672</t>
  </si>
  <si>
    <t>CARGA E DESCARGA DE TUBOS CORRUGADOS DE DUPLA PAREDE E CONEXÕES EM PEAD</t>
  </si>
  <si>
    <t>C0703</t>
  </si>
  <si>
    <t>CARGA E DESCARGA DE TUBOS DE CONCRETO</t>
  </si>
  <si>
    <t>C0704</t>
  </si>
  <si>
    <t>CARGA E DESCARGA DE TUBOS E CONEXÕES EM AÇO</t>
  </si>
  <si>
    <t>C0705</t>
  </si>
  <si>
    <t>CARGA E DESCARGA DE TUBOS E CONEXÕES EM FoFo</t>
  </si>
  <si>
    <t>C0727</t>
  </si>
  <si>
    <t>CARGA, TRANSPORTE E DESCARGA DE TUBOS E PEÇAS EM PVC DN 50mm ATÉ 15km</t>
  </si>
  <si>
    <t>C0728</t>
  </si>
  <si>
    <t>CARGA, TRANSPORTE E DESCARGA DE TUBOS E PEÇAS EM PVC DN 75mm ATÉ 15km</t>
  </si>
  <si>
    <t>C0718</t>
  </si>
  <si>
    <t>CARGA, TRANSPORTE E DESCARGA DE TUBOS E PEÇAS EM PVC DN 100mm ATÉ 15km</t>
  </si>
  <si>
    <t>C0719</t>
  </si>
  <si>
    <t>CARGA, TRANSPORTE E DESCARGA DE TUBOS E PEÇAS EM PVC DN 150mm ATÉ 15km</t>
  </si>
  <si>
    <t>C0720</t>
  </si>
  <si>
    <t>CARGA, TRANSPORTE E DESCARGA DE TUBOS E PEÇAS EM PVC DN 200mm ATÉ 15km</t>
  </si>
  <si>
    <t>C0721</t>
  </si>
  <si>
    <t>CARGA, TRANSPORTE E DESCARGA DE TUBOS E PEÇAS EM PVC DN 250mm ATÉ 15km</t>
  </si>
  <si>
    <t>C0722</t>
  </si>
  <si>
    <t>CARGA, TRANSPORTE E DESCARGA DE TUBOS E PEÇAS EM PVC DN 300mm ATÉ 15km</t>
  </si>
  <si>
    <t>C0723</t>
  </si>
  <si>
    <t>CARGA, TRANSPORTE E DESCARGA DE TUBOS E PEÇAS EM PVC DN 350mm ATÉ 15km</t>
  </si>
  <si>
    <t>C0724</t>
  </si>
  <si>
    <t>CARGA, TRANSPORTE E DESCARGA DE TUBOS E PEÇAS EM PVC DN 400mm ATÉ 15km</t>
  </si>
  <si>
    <t>C0725</t>
  </si>
  <si>
    <t>CARGA, TRANSPORTE E DESCARGA DE TUBOS E PEÇAS EM PVC DN 450mm ATÉ 15km</t>
  </si>
  <si>
    <t>C0726</t>
  </si>
  <si>
    <t>CARGA, TRANSPORTE E DESCARGA DE TUBOS E PEÇAS EM PVC DN 500mm ATÉ 15km</t>
  </si>
  <si>
    <t>C2980</t>
  </si>
  <si>
    <t>TRANSPORTE DE TUBOS E CONEXÕES DE FoFo, AÇO OU CONCRETO</t>
  </si>
  <si>
    <t>SERVIÇOS AUXILIARES</t>
  </si>
  <si>
    <t>SERVIÇOS PREPARATÓRIOS</t>
  </si>
  <si>
    <t>C3160</t>
  </si>
  <si>
    <t>DESMATAMENTO DE JAZIDA</t>
  </si>
  <si>
    <t>C3161</t>
  </si>
  <si>
    <t>DESMATAMENTO DESTOCAMENTO DE ÁRVORE E LIMPEZA</t>
  </si>
  <si>
    <t>C3211</t>
  </si>
  <si>
    <t>ESCAVAÇÃO E CARGA DE MATERIAL DE JAZIDA</t>
  </si>
  <si>
    <t>C3218</t>
  </si>
  <si>
    <t>EXPURGO DE JAZIDA</t>
  </si>
  <si>
    <t>C3319</t>
  </si>
  <si>
    <t>NIVELAMENTO DE FUNDO DE VALAS</t>
  </si>
  <si>
    <t>C2990</t>
  </si>
  <si>
    <t>REGULARIZAÇÃO DE TALUDES</t>
  </si>
  <si>
    <t>SUSTENTAÇÕES DIVERSAS</t>
  </si>
  <si>
    <t>C0083</t>
  </si>
  <si>
    <t>ANDAIME METÁLICO DE ENCAIXE P/FACHADAS-LOCAÇÃO MENSAL</t>
  </si>
  <si>
    <t>C0084</t>
  </si>
  <si>
    <t>ANDAIME P/1 M3 DE CONCRETO ARMADO</t>
  </si>
  <si>
    <t>C0086</t>
  </si>
  <si>
    <t>ANDAIME P/ALVENARIA DE 1/2 TIJOLO</t>
  </si>
  <si>
    <t>C0085</t>
  </si>
  <si>
    <t>ANDAIME P/ALVENARIA DE 1 TIJOLO</t>
  </si>
  <si>
    <t>C0087</t>
  </si>
  <si>
    <t>ANDAIME P/REVESTIMENTO DE FORROS</t>
  </si>
  <si>
    <t>C0088</t>
  </si>
  <si>
    <t>ANDAIME PRINCIPAL VERTICAL INCLUSIVE DEMOLIÇÃO</t>
  </si>
  <si>
    <t>C3352</t>
  </si>
  <si>
    <t>ANDAIME SUSPENSO E PLATAFORMA DE MADEIRA</t>
  </si>
  <si>
    <t>C0364</t>
  </si>
  <si>
    <t>BANDEJA SALVA-VIDAS C/TÁBUAS DE 1"x12" DE 2ª</t>
  </si>
  <si>
    <t>C3320</t>
  </si>
  <si>
    <t>CIMBRAMENTO DE MADEIRA</t>
  </si>
  <si>
    <t>C1236</t>
  </si>
  <si>
    <t>ENCAIXOTAMENTO DE EDIFICAÇÕES</t>
  </si>
  <si>
    <t>C1246</t>
  </si>
  <si>
    <t>ENTELAMENTO DE EDIFICAÇÕES C/PASSARELA DE TÁBUAS DE 1"x12" DE 2º</t>
  </si>
  <si>
    <t>C2804</t>
  </si>
  <si>
    <t>ESCORAMENTO DE ÁRVORES</t>
  </si>
  <si>
    <t>C2803</t>
  </si>
  <si>
    <t>ESCORAMENTO DE POSTES</t>
  </si>
  <si>
    <t>C3351</t>
  </si>
  <si>
    <t>ESCORAMENTO P/ OBRAS D'ARTES CORRENTES</t>
  </si>
  <si>
    <t>C3081</t>
  </si>
  <si>
    <t>ESCORAMENTO TUBULAR TIPO CONVENCIONAL</t>
  </si>
  <si>
    <t>C1274</t>
  </si>
  <si>
    <t>ESCORAMENTO DE PROTEÇÃO EM EDIFICAÇÕES VIZINHAS</t>
  </si>
  <si>
    <t>C4166</t>
  </si>
  <si>
    <t>ESTRUTURA DE SUSTENTAÇÃO EM VIGAS TRELIÇADAS E TABLADO DE MADEIRA</t>
  </si>
  <si>
    <t>C3466</t>
  </si>
  <si>
    <t>EXECUÇÃO DE ESTRUTURA METÁLICA P/ IÇAMENTO D0 RESERVATÓRIO</t>
  </si>
  <si>
    <t>C4766</t>
  </si>
  <si>
    <t>LOCAÇÃO DE CUBETAS (61X61)CM H=21CM, PARA LAJE NERVURADA - FORNECIMENTO</t>
  </si>
  <si>
    <t>M2XMÊS</t>
  </si>
  <si>
    <t>C5211</t>
  </si>
  <si>
    <t>LOCAÇÃO DE CUBETAS (80X80)CM H=20CM, PARA LAJE NERVRURADA - FORNECIMENTO</t>
  </si>
  <si>
    <t>C5212</t>
  </si>
  <si>
    <t>LOCAÇÃO DE CUBETAS (80X80)CM H=25CM, PARA LAJE NERVRURADA - FORNECIMENTO</t>
  </si>
  <si>
    <t>C5213</t>
  </si>
  <si>
    <t>LOCAÇÃO DE CUBETAS (80X80)CM H=30CM, PARA LAJE NERVRURADA - FORNECIMENTO</t>
  </si>
  <si>
    <t>C4125</t>
  </si>
  <si>
    <t>LOCAÇÃO MENSAL DE ANDAIME METÁLICO</t>
  </si>
  <si>
    <t>C3470</t>
  </si>
  <si>
    <t>LOCAÇÃO MENSAL DE CIMBRAMENTO METÁLICO</t>
  </si>
  <si>
    <t>C1271</t>
  </si>
  <si>
    <t>LOCAÇÃO MENSAL DE ESCORA METÁLICA P/VIGAS/LAJES</t>
  </si>
  <si>
    <t>C4129</t>
  </si>
  <si>
    <t>LOCAÇÃO MENSAL DE ESCORAMENTO TUBULAR</t>
  </si>
  <si>
    <t>C4782</t>
  </si>
  <si>
    <t>LOCAÇÃO MENSAL PARA ESCORAMENTO E CIMBRAMENTO P/ LAJES NERVURADAS</t>
  </si>
  <si>
    <t>C3468</t>
  </si>
  <si>
    <t>MONTAGEM E DESMONTAGEM DE ESTRUTURA METÁLICA P/ IÇAMENTO</t>
  </si>
  <si>
    <t>C4754</t>
  </si>
  <si>
    <t xml:space="preserve">PLATAFORMA EM TÁBUAS DE PINHO, INCLUSIVE MOVIMENTAÇÃO (UTIL. 6X)                                   
</t>
  </si>
  <si>
    <t>C2154</t>
  </si>
  <si>
    <t>REFORMA DE ANDAIME EXTERNO ATÉ 3 ANDARES</t>
  </si>
  <si>
    <t>C2155</t>
  </si>
  <si>
    <t>REFORMA DE ANDAIME EXTERNO MAIOR QUE 3 ANDARES</t>
  </si>
  <si>
    <t>C2967</t>
  </si>
  <si>
    <t>SUSTENTAÇÃO DE TUBULAÇÕES EXISTENTES - MADEIRA</t>
  </si>
  <si>
    <t>C2968</t>
  </si>
  <si>
    <t>SUSTENTAÇÃO DE TUBULAÇÕES EXISTENTES - METÁLICA</t>
  </si>
  <si>
    <t>ESCORAMENTO DE MADEIRA  EM VALAS E CAVAS</t>
  </si>
  <si>
    <t>C1272</t>
  </si>
  <si>
    <t>ESCORAMENTO COMUM DE VALAS TIPO CONTÍNUO C/PRANCHAS PEROBA</t>
  </si>
  <si>
    <t>C2798</t>
  </si>
  <si>
    <t>ESCORAMENTO CONTÍNUO COM CHAPA COMPENSADA DE 12mm</t>
  </si>
  <si>
    <t>C1273</t>
  </si>
  <si>
    <t>ESCORAMENTO CONTÍNUO P/GALERIA MOLDADA</t>
  </si>
  <si>
    <t>C2805</t>
  </si>
  <si>
    <t>ESCORAMENTO DESCONTÍNUO COM PRANCHAS DE MADEIRA</t>
  </si>
  <si>
    <t>ESCORAMENTO METÁLICO EM VALAS,CAVAS OU POÇOS</t>
  </si>
  <si>
    <t>C5178</t>
  </si>
  <si>
    <t>ESCORAMENTO CONTÍNUO DE VALAS C/BLINDADOS METÁLICOS DE 2,00M</t>
  </si>
  <si>
    <t>C5179</t>
  </si>
  <si>
    <t>ESCORAMENTO CONTÍNUO DE VALAS C/BLINDADOS METÁLICOS DE 4,00M</t>
  </si>
  <si>
    <t>C5180</t>
  </si>
  <si>
    <t>ESCORAMENTO CONTÍNUO DE VALAS C/BLINDADOS METÁLICOS DE 6,00M</t>
  </si>
  <si>
    <t>C2799</t>
  </si>
  <si>
    <t>ESCORAMENTO CONTÍNUO DE VALAS C/PRANCHAS METÁLICAS DE 2.00M</t>
  </si>
  <si>
    <t>C2800</t>
  </si>
  <si>
    <t>ESCORAMENTO CONTÍNUO DE VALAS C/PRANCHAS METÁLICAS DE 3.00M</t>
  </si>
  <si>
    <t>C2801</t>
  </si>
  <si>
    <t>ESCORAMENTO CONTÍNUO DE VALAS C/PRANCHAS METÁLICAS DE 4.00M</t>
  </si>
  <si>
    <t>C2802</t>
  </si>
  <si>
    <t>ESCORAMENTO CONTÍNUO DE VALAS C/PRANCHAS METÁLICAS DE 6.00M</t>
  </si>
  <si>
    <t>INSTALAÇÃO DE GUINCHO</t>
  </si>
  <si>
    <t>C1355</t>
  </si>
  <si>
    <t>EXECUÇÃO DE BASE DA CAÇAMBA E INSTALAÇÃO DO GUINCHO</t>
  </si>
  <si>
    <t>C2508</t>
  </si>
  <si>
    <t>TORRE PARA GUINCHO</t>
  </si>
  <si>
    <t>PRODUÇÃO DE MATERIAIS</t>
  </si>
  <si>
    <t>C3129</t>
  </si>
  <si>
    <t>AREIA DE CAMPO - EXTRAÇÃO</t>
  </si>
  <si>
    <t>C3130</t>
  </si>
  <si>
    <t>AREIA DE RIO - EXTRAÇÃO</t>
  </si>
  <si>
    <t>C3139</t>
  </si>
  <si>
    <t>BRITA PRODUZIDA PARA BASES</t>
  </si>
  <si>
    <t>C3252</t>
  </si>
  <si>
    <t>BRITA PRODUZIDA PARA REVESTIMENTOS BETUMINOSOS</t>
  </si>
  <si>
    <t>C3253</t>
  </si>
  <si>
    <t>BRITA PRODUZIDA PARA USOS DIVERSOS</t>
  </si>
  <si>
    <t>C3227</t>
  </si>
  <si>
    <t>PEDRA DE MÃO/POLIÉDRICA</t>
  </si>
  <si>
    <t>C3235</t>
  </si>
  <si>
    <t>ROCHA PARA BRITAGEM</t>
  </si>
  <si>
    <t>LASTROS</t>
  </si>
  <si>
    <t>C2860</t>
  </si>
  <si>
    <t>LASTRO DE AREIA ADQUIRIDA</t>
  </si>
  <si>
    <t>C2861</t>
  </si>
  <si>
    <t>LASTRO DE AREIA EXTRAIDA (S/ TRANSPORTE)</t>
  </si>
  <si>
    <t>C2862</t>
  </si>
  <si>
    <t>LASTRO DE BRITA</t>
  </si>
  <si>
    <t>C1605</t>
  </si>
  <si>
    <t>LASTRO DE BRITA  APILOADO MANUALMENTE</t>
  </si>
  <si>
    <t>C1606</t>
  </si>
  <si>
    <t>LASTRO DE BRITA ESP.= 10CM, P/CAIXA EM ALVENARIA</t>
  </si>
  <si>
    <t>C1607</t>
  </si>
  <si>
    <t>LASTRO DE CONCRETO IMPERMEABILIZADO E=6CM</t>
  </si>
  <si>
    <t>C1608</t>
  </si>
  <si>
    <t>LASTRO DE CONCRETO IMPERMEABILIZADO E=8CM</t>
  </si>
  <si>
    <t>C1609</t>
  </si>
  <si>
    <t>LASTRO DE CONCRETO INCLUINDO PREPARO E LANÇAMENTO</t>
  </si>
  <si>
    <t>C1611</t>
  </si>
  <si>
    <t>LASTRO DE CONCRETO REGULARIZADO ESP.= 5CM</t>
  </si>
  <si>
    <t>C2863</t>
  </si>
  <si>
    <t>LASTRO DE PEDRA DE MÃO</t>
  </si>
  <si>
    <t>C2864</t>
  </si>
  <si>
    <t>LASTRO DE PÓ DE PEDRA</t>
  </si>
  <si>
    <t>SERVIÇOS DE USINAGEM</t>
  </si>
  <si>
    <t>C3315</t>
  </si>
  <si>
    <t>USINAGEM DE MISTURAS BETUMINOSAS A FRIO</t>
  </si>
  <si>
    <t>C3316</t>
  </si>
  <si>
    <t>USINAGEM DE MISTURAS BETUMINOSAS A QUENTE</t>
  </si>
  <si>
    <t>C3244</t>
  </si>
  <si>
    <t>USINAGEM DE MISTURAS DE AGREGADOS</t>
  </si>
  <si>
    <t>TRANSPORTE COM ELEVADOR</t>
  </si>
  <si>
    <t>C2540</t>
  </si>
  <si>
    <t>TRANSPORTE VERTICAL DE MATERIAIS A GRANEL P/ A 2a. LAJE</t>
  </si>
  <si>
    <t>C2541</t>
  </si>
  <si>
    <t>TRANSPORTE VERTICAL DE MATERIAIS A GRANEL P/ A 5a. LAJE</t>
  </si>
  <si>
    <t>TRANSPORTE COM GUINDASTE</t>
  </si>
  <si>
    <t>C2525</t>
  </si>
  <si>
    <t>TRANSPORTE C/GUINDASTE DE TORRE CAP. 1200KG</t>
  </si>
  <si>
    <t>CICLO</t>
  </si>
  <si>
    <t>C2526</t>
  </si>
  <si>
    <t>TRANSPORTE C/GUINDASTE ESTACIONÁRIO CAP. 1100KG</t>
  </si>
  <si>
    <t>C2528</t>
  </si>
  <si>
    <t>TRANSPORTE C/GUINDASTE SOBRE TRILHO CAP. 1100KG</t>
  </si>
  <si>
    <t>C2527</t>
  </si>
  <si>
    <t>TRANSPORTE C/GUINDASTE SOBRE TRILHO CAP. 1200KG</t>
  </si>
  <si>
    <t>OBRAS DE DRENAGEM</t>
  </si>
  <si>
    <t>ESGOTAMENTO DE ÁREAS E VALAS</t>
  </si>
  <si>
    <t>C1278</t>
  </si>
  <si>
    <t>ESGOTAMENTO C/BOMBA ELÉTRICA DE IMERSÃO 1KW ATÉ 8M</t>
  </si>
  <si>
    <t>C1277</t>
  </si>
  <si>
    <t>ESGOTAMENTO C/BOMBA ELÉTRICA DE IMERSÃO  2.7KW ATÉ 8M</t>
  </si>
  <si>
    <t>C2806</t>
  </si>
  <si>
    <t>ESGOTAMENTO COM CONJUNTO MOTO-BOMBA DE 20m3/h, H=6m.c.a</t>
  </si>
  <si>
    <t>C2807</t>
  </si>
  <si>
    <t>ESGOTAMENTO COM CUNJUNTO MOTO-BOMBA DE 20m3/h, H=10m.c.a</t>
  </si>
  <si>
    <t>REBAIXAMENTO DO LENÇOL FREÁTICO</t>
  </si>
  <si>
    <t>C2924</t>
  </si>
  <si>
    <t>REBAIXAMENTO DE LENÇOL FREÁTICO EM ÁREAS</t>
  </si>
  <si>
    <t>PTxDIA</t>
  </si>
  <si>
    <t>C2922</t>
  </si>
  <si>
    <t>REBAIXAMENTO DE LENÇOL FREÁTICO EM ÁREAS (POÇOS DE VISITA)</t>
  </si>
  <si>
    <t>C2923</t>
  </si>
  <si>
    <t>REBAIXAMENTO DE LENÇOL FREÁTICO EM VALAS</t>
  </si>
  <si>
    <t>OBRAS D' ARTE CORRENTE</t>
  </si>
  <si>
    <t>C0109</t>
  </si>
  <si>
    <t>AQUISIÇÃO, ASSENT. E REJUNT. DE TUBO DE CONCRETO SIMPLES D=30cm</t>
  </si>
  <si>
    <t>C0110</t>
  </si>
  <si>
    <t>AQUISIÇÃO, ASSENT. E REJUNT. DE TUBO DE CONCRETO SIMPLES D=40cm</t>
  </si>
  <si>
    <t>C0105</t>
  </si>
  <si>
    <t>AQUISIÇÃO, ASSENT. E REJUNT. DE TUBO DE CONCRETO ARMADO D= 60cm</t>
  </si>
  <si>
    <t>C0108</t>
  </si>
  <si>
    <t>AQUISIÇÃO, ASSENT. E REJUNT. DE TUBO DE CONCRETO ARMADO D=80cm</t>
  </si>
  <si>
    <t>C0104</t>
  </si>
  <si>
    <t>AQUISIÇÃO, ASSENT. E REJUNT. DE TUBO DE CONCRETO ARMADO D= 100cm</t>
  </si>
  <si>
    <t>C4325</t>
  </si>
  <si>
    <t>AQUISIÇÃO, ASSENT. E REJUNT. DE TUBO DE CONCRETO ARMADO D=100 cm, SOBRE BERÇO DE CONCRETO MOLDADO "IN LOCO", FCK &gt; 10MPa</t>
  </si>
  <si>
    <t>C0106</t>
  </si>
  <si>
    <t>AQUISIÇÃO, ASSENT. E REJUNT. DE TUBO DE CONCRETO ARMADO D=120cm</t>
  </si>
  <si>
    <t>C0107</t>
  </si>
  <si>
    <t>AQUISIÇÃO, ASSENT. E REJUNT. DE TUBO DE CONCRETO ARMADO D=150cm</t>
  </si>
  <si>
    <t>C4673</t>
  </si>
  <si>
    <t>AQUISIÇÃO E ASSENTAMENTO DE TUBO CORRUGADO DE DUPLA PAREDE PEAD D=37,5cm</t>
  </si>
  <si>
    <t>C4674</t>
  </si>
  <si>
    <t>AQUISIÇÃO E ASSENTAMENTO DE TUBO CORRUGADO DE DUPLA PAREDE PEAD D=45,0cm</t>
  </si>
  <si>
    <t>C4675</t>
  </si>
  <si>
    <t>AQUISIÇÃO E ASSENTAMENTO DE TUBO CORRUGADO DE DUPLA PAREDE PEAD D=60,0cm</t>
  </si>
  <si>
    <t>C4676</t>
  </si>
  <si>
    <t>AQUISIÇÃO E ASSENTAMENTO DE TUBO CORRUGADO DE DUPLA PAREDE PEAD D=75,0cm</t>
  </si>
  <si>
    <t>C4677</t>
  </si>
  <si>
    <t>AQUISIÇÃO E ASSENTAMENTO DE TUBO CORRUGADO DE DUPLA PAREDE PEAD D=90,0cm</t>
  </si>
  <si>
    <t>C4678</t>
  </si>
  <si>
    <t>AQUISIÇÃO E ASSENTAMENTO DE TUBO CORRUGADO DE DUPLA PAREDE PEAD D=105,0cm</t>
  </si>
  <si>
    <t>C4679</t>
  </si>
  <si>
    <t>AQUISIÇÃO E ASSENTAMENTO DE TUBO CORRUGADO DE DUPLA PAREDE PEAD D=120,0cm</t>
  </si>
  <si>
    <t>C0424</t>
  </si>
  <si>
    <t>BOCA DE BUEIRO SIMPLES TUBULAR  D= 80cm</t>
  </si>
  <si>
    <t>C0423</t>
  </si>
  <si>
    <t>BOCA DE BUEIRO SIMPLES TUBULAR  D= 100cm</t>
  </si>
  <si>
    <t>C0406</t>
  </si>
  <si>
    <t>BOCA DE BUEIRO DUPLO TUBULAR    D= 80cm</t>
  </si>
  <si>
    <t>C0407</t>
  </si>
  <si>
    <t>BOCA DE BUEIRO DUPLO TUBULAR    D=100cm</t>
  </si>
  <si>
    <t>C0440</t>
  </si>
  <si>
    <t>BOCA DE BUEIRO TRIPLO TUBULAR   D=100cm</t>
  </si>
  <si>
    <t>C0408</t>
  </si>
  <si>
    <t>BOCA DE BUEIRO SIMPLES CAPEADO  (1.00 X 1.00m)</t>
  </si>
  <si>
    <t>C0409</t>
  </si>
  <si>
    <t>BOCA DE BUEIRO SIMPLES CAPEADO  (1.50 X 1.00m)</t>
  </si>
  <si>
    <t>C0410</t>
  </si>
  <si>
    <t>BOCA DE BUEIRO SIMPLES CAPEADO  (1.50 X 1.50m)</t>
  </si>
  <si>
    <t>C0411</t>
  </si>
  <si>
    <t>BOCA DE BUEIRO SIMPLES CAPEADO  (2.00 X 1.00m)</t>
  </si>
  <si>
    <t>C0412</t>
  </si>
  <si>
    <t>BOCA DE BUEIRO SIMPLES CAPEADO  (2.00 X 1.50m)</t>
  </si>
  <si>
    <t>C0413</t>
  </si>
  <si>
    <t>BOCA DE BUEIRO SIMPLES CAPEADO  (2.00 X 2.00m)</t>
  </si>
  <si>
    <t>C0414</t>
  </si>
  <si>
    <t>BOCA DE BUEIRO SIMPLES CAPEADO  (2.50 X 1.00m)</t>
  </si>
  <si>
    <t>C0415</t>
  </si>
  <si>
    <t>BOCA DE BUEIRO SIMPLES CAPEADO  (2.50 X 1.50m)</t>
  </si>
  <si>
    <t>C0416</t>
  </si>
  <si>
    <t>BOCA DE BUEIRO SIMPLES CAPEADO  (2.50 X 2.00m)</t>
  </si>
  <si>
    <t>C0417</t>
  </si>
  <si>
    <t>BOCA DE BUEIRO SIMPLES CAPEADO  (2.50 X 2.50m)</t>
  </si>
  <si>
    <t>C0418</t>
  </si>
  <si>
    <t>BOCA DE BUEIRO SIMPLES CAPEADO  (3.00 X 1.00m)</t>
  </si>
  <si>
    <t>C0419</t>
  </si>
  <si>
    <t>BOCA DE BUEIRO SIMPLES CAPEADO  (3.00 X 1.50m)</t>
  </si>
  <si>
    <t>C0420</t>
  </si>
  <si>
    <t>BOCA DE BUEIRO SIMPLES CAPEADO  (3.00 X 2.00m)</t>
  </si>
  <si>
    <t>C0421</t>
  </si>
  <si>
    <t>BOCA DE BUEIRO SIMPLES CAPEADO  (3.00 X 2.50m)</t>
  </si>
  <si>
    <t>C0422</t>
  </si>
  <si>
    <t>BOCA DE BUEIRO SIMPLES CAPEADO  (3.00 X 3.00m)</t>
  </si>
  <si>
    <t>C0391</t>
  </si>
  <si>
    <t>BOCA DE BUEIRO DUPLO CAPEADO    (1.00 X 1.00m)</t>
  </si>
  <si>
    <t>C0392</t>
  </si>
  <si>
    <t>BOCA DE BUEIRO DUPLO CAPEADO    (1.50 X 1.00m)</t>
  </si>
  <si>
    <t>C0393</t>
  </si>
  <si>
    <t>BOCA DE BUEIRO DUPLO CAPEADO    (1.50 X 1.50m)</t>
  </si>
  <si>
    <t>C0394</t>
  </si>
  <si>
    <t>BOCA DE BUEIRO DUPLO CAPEADO    (2.00 X 1.00m)</t>
  </si>
  <si>
    <t>C0395</t>
  </si>
  <si>
    <t>BOCA DE BUEIRO DUPLO CAPEADO    (2.00 X 1.50m)</t>
  </si>
  <si>
    <t>C0396</t>
  </si>
  <si>
    <t>BOCA DE BUEIRO DUPLO CAPEADO    (2.00 X 2.00m)</t>
  </si>
  <si>
    <t>C0397</t>
  </si>
  <si>
    <t>BOCA DE BUEIRO DUPLO CAPEADO    (2.50 X 1.00m)</t>
  </si>
  <si>
    <t>C0398</t>
  </si>
  <si>
    <t>BOCA DE BUEIRO DUPLO CAPEADO    (2.50 X 1.50m)</t>
  </si>
  <si>
    <t>C0399</t>
  </si>
  <si>
    <t>BOCA DE BUEIRO DUPLO CAPEADO    (2.50 X 2.00m)</t>
  </si>
  <si>
    <t>C0400</t>
  </si>
  <si>
    <t>BOCA DE BUEIRO DUPLO CAPEADO    (2.50 X 2.50m)</t>
  </si>
  <si>
    <t>C0401</t>
  </si>
  <si>
    <t>BOCA DE BUEIRO DUPLO CAPEADO    (3.00 X 1.00m)</t>
  </si>
  <si>
    <t>C0402</t>
  </si>
  <si>
    <t>BOCA DE BUEIRO DUPLO CAPEADO    (3.00 X 1.50m)</t>
  </si>
  <si>
    <t>C0403</t>
  </si>
  <si>
    <t>BOCA DE BUEIRO DUPLO CAPEADO    (3.00 X 2.00m)</t>
  </si>
  <si>
    <t>C0404</t>
  </si>
  <si>
    <t>BOCA DE BUEIRO DUPLO CAPEADO    (3.00 X 2.50m)</t>
  </si>
  <si>
    <t>C0405</t>
  </si>
  <si>
    <t>BOCA DE BUEIRO DUPLO CAPEADO    (3.00 X 3.00m)</t>
  </si>
  <si>
    <t>C0425</t>
  </si>
  <si>
    <t>BOCA DE BUEIRO TRIPLO CAPEADO   (1.00 X 1.00m)</t>
  </si>
  <si>
    <t>C0426</t>
  </si>
  <si>
    <t>BOCA DE BUEIRO TRIPLO CAPEADO   (1.50 X 1.00m)</t>
  </si>
  <si>
    <t>C0427</t>
  </si>
  <si>
    <t>BOCA DE BUEIRO TRIPLO CAPEADO   (1.50 X 1.50m)</t>
  </si>
  <si>
    <t>C0428</t>
  </si>
  <si>
    <t>BOCA DE BUEIRO TRIPLO CAPEADO   (2.00 X 1.00m)</t>
  </si>
  <si>
    <t>C0431</t>
  </si>
  <si>
    <t>BOCA DE BUEIRO TRIPLO CAPEADO   (2.50 X 1.00m)</t>
  </si>
  <si>
    <t>C0429</t>
  </si>
  <si>
    <t>BOCA DE BUEIRO TRIPLO CAPEADO   (2.00 X 1.50m)</t>
  </si>
  <si>
    <t>C0430</t>
  </si>
  <si>
    <t>BOCA DE BUEIRO TRIPLO CAPEADO   (2.00 X 2.00m)</t>
  </si>
  <si>
    <t>C0432</t>
  </si>
  <si>
    <t>BOCA DE BUEIRO TRIPLO CAPEADO   (2.50 X 1.50m)</t>
  </si>
  <si>
    <t>C0433</t>
  </si>
  <si>
    <t>BOCA DE BUEIRO TRIPLO CAPEADO   (2.50 X 2.00m)</t>
  </si>
  <si>
    <t>C0434</t>
  </si>
  <si>
    <t>BOCA DE BUEIRO TRIPLO CAPEADO   (2.50 X 2.50m)</t>
  </si>
  <si>
    <t>C0435</t>
  </si>
  <si>
    <t>BOCA DE BUEIRO TRIPLO CAPEADO   (3.00 X 1.00m)</t>
  </si>
  <si>
    <t>C0436</t>
  </si>
  <si>
    <t>BOCA DE BUEIRO TRIPLO CAPEADO   (3.00 X 1.50m)</t>
  </si>
  <si>
    <t>C0437</t>
  </si>
  <si>
    <t>BOCA DE BUEIRO TRIPLO CAPEADO   (3.00 X 2.00m)</t>
  </si>
  <si>
    <t>C0438</t>
  </si>
  <si>
    <t>BOCA DE BUEIRO TRIPLO CAPEADO   (3.00 X 2.50m)</t>
  </si>
  <si>
    <t>C0439</t>
  </si>
  <si>
    <t>BOCA DE BUEIRO TRIPLO CAPEADO   (3.00 X 3.00m)</t>
  </si>
  <si>
    <t>C0919</t>
  </si>
  <si>
    <t>CORPO DE BUEIRO SIMPLES TUBULAR  D= 80cm</t>
  </si>
  <si>
    <t>C0920</t>
  </si>
  <si>
    <t>CORPO DE BUEIRO SIMPLES TUBULAR  D=100cm</t>
  </si>
  <si>
    <t>C0886</t>
  </si>
  <si>
    <t>CORPO DE BUEIRO DUPLO TUBULAR   D=  80cm</t>
  </si>
  <si>
    <t>C0887</t>
  </si>
  <si>
    <t>CORPO DE BUEIRO DUPLO TUBULAR   D= 100cm</t>
  </si>
  <si>
    <t>C0918</t>
  </si>
  <si>
    <t>CORPO DE BUEIRO TRIPLO TUBULAR  D= 100cm</t>
  </si>
  <si>
    <t>C0888</t>
  </si>
  <si>
    <t>CORPO DE BUEIRO SIMPLES CAPEADO (1.00 X 1.00m)</t>
  </si>
  <si>
    <t>C0889</t>
  </si>
  <si>
    <t>CORPO DE BUEIRO SIMPLES CAPEADO (1.50 X 1.00m)</t>
  </si>
  <si>
    <t>C0890</t>
  </si>
  <si>
    <t>CORPO DE BUEIRO SIMPLES CAPEADO (1.50 X 1.50m)</t>
  </si>
  <si>
    <t>C0891</t>
  </si>
  <si>
    <t>CORPO DE BUEIRO SIMPLES CAPEADO (2.00 X 1.00m)</t>
  </si>
  <si>
    <t>C0892</t>
  </si>
  <si>
    <t>CORPO DE BUEIRO SIMPLES CAPEADO (2.00 X 1.50m)</t>
  </si>
  <si>
    <t>C0893</t>
  </si>
  <si>
    <t>CORPO DE BUEIRO SIMPLES CAPEADO (2.00 X 2.00m)</t>
  </si>
  <si>
    <t>C0894</t>
  </si>
  <si>
    <t>CORPO DE BUEIRO SIMPLES CAPEADO (2.50 X 1.00m)</t>
  </si>
  <si>
    <t>C0895</t>
  </si>
  <si>
    <t>CORPO DE BUEIRO SIMPLES CAPEADO (2.50 X 1.50m)</t>
  </si>
  <si>
    <t>C0897</t>
  </si>
  <si>
    <t>CORPO DE BUEIRO SIMPLES CAPEADO (2.50 X 2.50m)</t>
  </si>
  <si>
    <t>C0896</t>
  </si>
  <si>
    <t>CORPO DE BUEIRO SIMPLES CAPEADO (2.50 X 2.00m)</t>
  </si>
  <si>
    <t>C0898</t>
  </si>
  <si>
    <t>CORPO DE BUEIRO SIMPLES CAPEADO (3.00 X 1.00m)</t>
  </si>
  <si>
    <t>C0899</t>
  </si>
  <si>
    <t>CORPO DE BUEIRO SIMPLES CAPEADO (3.00 X 1.50m)</t>
  </si>
  <si>
    <t>C0900</t>
  </si>
  <si>
    <t>CORPO DE BUEIRO SIMPLES CAPEADO (3.00 X 2.00m)</t>
  </si>
  <si>
    <t>C0901</t>
  </si>
  <si>
    <t>CORPO DE BUEIRO SIMPLES CAPEADO (3.00 X 2.50m)</t>
  </si>
  <si>
    <t>C0902</t>
  </si>
  <si>
    <t>CORPO DE BUEIRO SIMPLES CAPEADO (3.00 X 3.00m)</t>
  </si>
  <si>
    <t>C0872</t>
  </si>
  <si>
    <t>CORPO DE BUEIRO DUPLO CAPEADO   (1.00 X 1.00m)</t>
  </si>
  <si>
    <t>C0873</t>
  </si>
  <si>
    <t>CORPO DE BUEIRO DUPLO CAPEADO   (1.50 X 1.00m)</t>
  </si>
  <si>
    <t>C0874</t>
  </si>
  <si>
    <t>CORPO DE BUEIRO DUPLO CAPEADO   (1.50 X 1.50m)</t>
  </si>
  <si>
    <t>C0875</t>
  </si>
  <si>
    <t>CORPO DE BUEIRO DUPLO CAPEADO   (2.00 X 1.00m)</t>
  </si>
  <si>
    <t>C0876</t>
  </si>
  <si>
    <t>CORPO DE BUEIRO DUPLO CAPEADO   (2.00 X 1.50m)</t>
  </si>
  <si>
    <t>C0877</t>
  </si>
  <si>
    <t>CORPO DE BUEIRO DUPLO CAPEADO   (2.00 X 2.00m)</t>
  </si>
  <si>
    <t>C0878</t>
  </si>
  <si>
    <t>CORPO DE BUEIRO DUPLO CAPEADO   (2.50 X 1.00m)</t>
  </si>
  <si>
    <t>C0879</t>
  </si>
  <si>
    <t>CORPO DE BUEIRO DUPLO CAPEADO   (2.50 X 1.50m)</t>
  </si>
  <si>
    <t>C0880</t>
  </si>
  <si>
    <t>CORPO DE BUEIRO DUPLO CAPEADO   (2.50 X 2.00m)</t>
  </si>
  <si>
    <t>C0921</t>
  </si>
  <si>
    <t>CORPO DE BUEIRO DUPLO CAPEADO   (2.50 X 2.50m)</t>
  </si>
  <si>
    <t>C0881</t>
  </si>
  <si>
    <t>CORPO DE BUEIRO DUPLO CAPEADO   (3.00 X 1.00m)</t>
  </si>
  <si>
    <t>C0882</t>
  </si>
  <si>
    <t>CORPO DE BUEIRO DUPLO CAPEADO   (3.00 X 1.50m)</t>
  </si>
  <si>
    <t>C0883</t>
  </si>
  <si>
    <t>CORPO DE BUEIRO DUPLO CAPEADO   (3.00 X 2.00m)</t>
  </si>
  <si>
    <t>C0884</t>
  </si>
  <si>
    <t>CORPO DE BUEIRO DUPLO CAPEADO   (3.00 X 2.50m)</t>
  </si>
  <si>
    <t>C0885</t>
  </si>
  <si>
    <t>CORPO DE BUEIRO DUPLO CAPEADO   (3.00 X 3.00m)</t>
  </si>
  <si>
    <t>C0903</t>
  </si>
  <si>
    <t>CORPO DE BUEIRO TRIPLO CAPEADO  (1.00 X 1.00m)</t>
  </si>
  <si>
    <t>C0905</t>
  </si>
  <si>
    <t>CORPO DE BUEIRO TRIPLO CAPEADO  (1.50 X 1.50m)</t>
  </si>
  <si>
    <t>C0904</t>
  </si>
  <si>
    <t>CORPO DE BUEIRO TRIPLO CAPEADO  (1.50 X 1.00m)</t>
  </si>
  <si>
    <t>C0907</t>
  </si>
  <si>
    <t>CORPO DE BUEIRO TRIPLO CAPEADO  (2.00 X 1.50m)</t>
  </si>
  <si>
    <t>C0906</t>
  </si>
  <si>
    <t>CORPO DE BUEIRO TRIPLO CAPEADO  (2.00 X 1.00m)</t>
  </si>
  <si>
    <t>C0908</t>
  </si>
  <si>
    <t>CORPO DE BUEIRO TRIPLO CAPEADO  (2.00 X 2.00m)</t>
  </si>
  <si>
    <t>C0909</t>
  </si>
  <si>
    <t>CORPO DE BUEIRO TRIPLO CAPEADO  (2.50 X 1.00m)</t>
  </si>
  <si>
    <t>C0910</t>
  </si>
  <si>
    <t>CORPO DE BUEIRO TRIPLO CAPEADO  (2.50 X 1.50m)</t>
  </si>
  <si>
    <t>C0911</t>
  </si>
  <si>
    <t>CORPO DE BUEIRO TRIPLO CAPEADO  (2.50 X 2.00m)</t>
  </si>
  <si>
    <t>C0912</t>
  </si>
  <si>
    <t>CORPO DE BUEIRO TRIPLO CAPEADO  (2.50 X 2.50m)</t>
  </si>
  <si>
    <t>C0913</t>
  </si>
  <si>
    <t>CORPO DE BUEIRO TRIPLO CAPEADO  (3.00 X 1.00m)</t>
  </si>
  <si>
    <t>C0914</t>
  </si>
  <si>
    <t>CORPO DE BUEIRO TRIPLO CAPEADO  (3.00 X 1.50m)</t>
  </si>
  <si>
    <t>C0915</t>
  </si>
  <si>
    <t>CORPO DE BUEIRO TRIPLO CAPEADO  (3.00 X 2.00m)</t>
  </si>
  <si>
    <t>C0916</t>
  </si>
  <si>
    <t>CORPO DE BUEIRO TRIPLO CAPEADO  (3.00 X 2.50m)</t>
  </si>
  <si>
    <t>C0917</t>
  </si>
  <si>
    <t>CORPO DE BUEIRO TRIPLO CAPEADO  (3.00 X 3.00m)</t>
  </si>
  <si>
    <t>C4687</t>
  </si>
  <si>
    <t>CORPO DE BUEIRO SIMPLES - TUBO CORRUGADO DE DUPLA PAREDE PEAD D=120,0cm</t>
  </si>
  <si>
    <t>C4688</t>
  </si>
  <si>
    <t>CORPO DE BUEIRO DUPLO - TUBO CORRUGADO DE DUPLA PAREDE PEAD D=120,0cm</t>
  </si>
  <si>
    <t>C4689</t>
  </si>
  <si>
    <t>CORPO DE BUEIRO TRIPLO - TUBO CORRUGADO DE DUPLA PAREDE PEAD D=120,0cm</t>
  </si>
  <si>
    <t>C3630</t>
  </si>
  <si>
    <t>GALERIA EM PVC HELICOIDAL TIPO RIB LOC D=0,40m</t>
  </si>
  <si>
    <t>C3632</t>
  </si>
  <si>
    <t>GALERIA EM PVC HELICOIDAL TIPO RIB LOC D=0,60m</t>
  </si>
  <si>
    <t>C3633</t>
  </si>
  <si>
    <t>GALERIA EM PVC HELICOIDAL TIPO RIB LOC D=0,70m</t>
  </si>
  <si>
    <t>C3631</t>
  </si>
  <si>
    <t>GALERIA EM PVC HELICOIDAL TIPO RIB LOC D=0,50m</t>
  </si>
  <si>
    <t>C3634</t>
  </si>
  <si>
    <t>GALERIA EM PVC HELICOIDAL TIPO RIB LOC D=0,80m</t>
  </si>
  <si>
    <t>C3635</t>
  </si>
  <si>
    <t>GALERIA EM PVC HELICOIDAL TIPO RIB LOC D=0,90m</t>
  </si>
  <si>
    <t>C3636</t>
  </si>
  <si>
    <t>GALERIA EM PVC HELICOIDAL TIPO RIB LOC D=1,00m</t>
  </si>
  <si>
    <t>C3637</t>
  </si>
  <si>
    <t>GALERIA EM PVC HELICOIDAL TIPO RIB LOC D=1,20m</t>
  </si>
  <si>
    <t>C4680</t>
  </si>
  <si>
    <t>GALERIA EM TUBO CORRUGADO DE DUPLA PAREDE PEAD D=37,5cm</t>
  </si>
  <si>
    <t>C4681</t>
  </si>
  <si>
    <t>GALERIA EM TUBO CORRUGADO DE DUPLA PAREDE PEAD D=45,0cm</t>
  </si>
  <si>
    <t>C4682</t>
  </si>
  <si>
    <t>GALERIA EM TUBO CORRUGADO DE DUPLA PAREDE PEAD D=60,0cm</t>
  </si>
  <si>
    <t>C4683</t>
  </si>
  <si>
    <t>GALERIA EM TUBO CORRUGADO DE DUPLA PAREDE PEAD D=75,0cm</t>
  </si>
  <si>
    <t>C4684</t>
  </si>
  <si>
    <t>GALERIA EM TUBO CORRUGADO DE DUPLA PAREDE PEAD D=90,0cm</t>
  </si>
  <si>
    <t>C4685</t>
  </si>
  <si>
    <t>GALERIA EM TUBO CORRUGADO DE DUPLA PAREDE PEAD D=105,0cm</t>
  </si>
  <si>
    <t>C4686</t>
  </si>
  <si>
    <t>GALERIA EM TUBO CORRUGADO DE DUPLA PAREDE PEAD D=120,0cm</t>
  </si>
  <si>
    <t>DRENAGEM PROFUNDA</t>
  </si>
  <si>
    <t>C3401</t>
  </si>
  <si>
    <t>COLOCAÇÃO DE MATERIAL PARA O LEITO FILTRANTE</t>
  </si>
  <si>
    <t>C2728</t>
  </si>
  <si>
    <t>DRENAGEM COM TUBO CERÂMICO PERFURADO, D= 10cm</t>
  </si>
  <si>
    <t>C2729</t>
  </si>
  <si>
    <t>DRENAGEM COM TUBO CERÂMICO PERFURADO, D= 15cm</t>
  </si>
  <si>
    <t>C2730</t>
  </si>
  <si>
    <t>DRENAGEM COM TUBO CERÂMICO PERFURADO, D= 20cm</t>
  </si>
  <si>
    <t>C2731</t>
  </si>
  <si>
    <t>DRENAGEM COM TUBO DE CONCRETO POROSO, D= 15cm</t>
  </si>
  <si>
    <t>C2732</t>
  </si>
  <si>
    <t>DRENAGEM COM TUBO DE CONCRETO POROSO, D= 20cm</t>
  </si>
  <si>
    <t>C2733</t>
  </si>
  <si>
    <t>DRENAGEM COM TUBO DE CONCRETO POROSO, D= 30cm</t>
  </si>
  <si>
    <t>C3071</t>
  </si>
  <si>
    <t>DRENO PROFUNDO C/TUBO POROSO D=20cm/AREIA</t>
  </si>
  <si>
    <t>C3070</t>
  </si>
  <si>
    <t>DRENO PROFUNDO C/TUBO POROSO D=20cm/AREIA:BRITA</t>
  </si>
  <si>
    <t>C3072</t>
  </si>
  <si>
    <t>DRENO PROFUNDO C/TUBO POROSO D=20cm/BRITA</t>
  </si>
  <si>
    <t>C3073</t>
  </si>
  <si>
    <t>DRENO PROFUNDO COM ENCHIMENTO DE AREIA</t>
  </si>
  <si>
    <t>C3074</t>
  </si>
  <si>
    <t>DRENO PROFUNDO COM ENCHIMENTO DE BRITA</t>
  </si>
  <si>
    <t>C3085</t>
  </si>
  <si>
    <t>EXTREMIDADE PARA DRENO PROFUNDO</t>
  </si>
  <si>
    <t>C2590</t>
  </si>
  <si>
    <t>TUBO DE PVC CORRUGADO PERFURADO D= 10cm</t>
  </si>
  <si>
    <t>C2591</t>
  </si>
  <si>
    <t>TUBO DE PVC CORRUGADO PERFURADO D= 15cm</t>
  </si>
  <si>
    <t>C2592</t>
  </si>
  <si>
    <t>TUBO DE PVC CORRUGADO PERFURADO D= 20cm</t>
  </si>
  <si>
    <t>DRENAGEM SUB-SUPERFICIAL</t>
  </si>
  <si>
    <t>C4661</t>
  </si>
  <si>
    <t>BARBACÃ C/ TUBO PVC ESGOTO 50 mm, INCLUSIVE GEOTÊXTIL NÃO-TECIDO 100% POLIÉSTER COM RESISTÊNCIA A TRAÇÃO LONGITUDINAL MÍNIMA DE 8 kN/m (BIDIM RT-08 OU SIMILAR) E BRITA</t>
  </si>
  <si>
    <t>C4662</t>
  </si>
  <si>
    <t>BARBACÃ C/ TUBO PVC ESGOTO 75 mm, INCLUSIVE GEOTÊXTIL NÃO-TECIDO 100% POLIÉSTER COM RESISTÊNCIA A TRAÇÃO LONGITUDINAL MÍNIMA DE 8 kN/m (BIDIM RT-08 OU SIMILAR) E BRITA</t>
  </si>
  <si>
    <t>C4663</t>
  </si>
  <si>
    <t>BARBACÃ C/ TUBO PVC ESGOTO 100 mm, INCLUSIVE GEOTÊXTIL NÃO-TECIDO 100% POLIÉSTER COM RESISTÊNCIA A TRAÇÃO LONGITUDINAL MÍNIMA DE 8 kN/m (BIDIM RT-08 OU SIMILAR) E BRITA</t>
  </si>
  <si>
    <t>C3141</t>
  </si>
  <si>
    <t>COLCHÃO DRENANTE DE AREIA ( S/TRANSP)</t>
  </si>
  <si>
    <t>C3142</t>
  </si>
  <si>
    <t>COLCHÃO DRENANTE DE BRITA ( S/TRANSP)</t>
  </si>
  <si>
    <t>C3076</t>
  </si>
  <si>
    <t>DRENO SUB-SUPERFICIAL C/ENCHIMENTO DE BRITA</t>
  </si>
  <si>
    <t>C4660</t>
  </si>
  <si>
    <t>DRENO SUB-SUPERFICIAL C/ GEOTÊXTIL NÃO TECIDO 100% POLIÉSTER COM RESISTÊNCIA A TRAÇÃO LONGITUDINAL MÍNIMA DE 9 kN/m (BIDIM RT-09 OU SIMILAR) INCLUSIVE ENCHIMENTO DE BRITA</t>
  </si>
  <si>
    <t>C3086</t>
  </si>
  <si>
    <t>EXTREMIDADE PARA DRENO SUB-SUPERFICIAL</t>
  </si>
  <si>
    <t>C4659</t>
  </si>
  <si>
    <t>GEOTEXTIL NÃO TECIDO 100% POLIÉSTER COM RESISTÊNCIA AO PUNCIONAMENTO CBR MÍNIMA DE 2 kN</t>
  </si>
  <si>
    <t>C4650</t>
  </si>
  <si>
    <t>GEOTÊXTIL NÃO-TECIDO 100% POLIÉSTER COM RESISTÊNCIA AO PUNCIONAMENTO CBR MÍNIMA DE 5,5 kN (BIDIM RT-31 OU SIMILAR) PARA ÁREAS SUBMERSAS</t>
  </si>
  <si>
    <t>C4651</t>
  </si>
  <si>
    <t>GEOTÊXTIL NÃO-TECIDO 100% POLIÉSTER COM RESISTÊNCIA A TRAÇÃO LONGITUDINAL MÍNIMA DE 7 kN/m (BIDIM RT-07 OU SIMILAR)</t>
  </si>
  <si>
    <t>C4652</t>
  </si>
  <si>
    <t>GEOTÊXTIL NÃO-TECIDO 100% POLIÉSTER COM RESISTÊNCIA A TRAÇÃO LONGITUDINAL MÍNIMA DE 8 kN/m (BIDIM RT-08 OU SIMILAR)</t>
  </si>
  <si>
    <t>C4653</t>
  </si>
  <si>
    <t>GEOTÊXTIL NÃO-TECIDO 100% POLIÉSTER COM RESISTÊNCIA A TRAÇÃO LONGITUDINAL MÍNIMA DE 9 kN/m (BIDIM RT-09 OU SIMILAR)</t>
  </si>
  <si>
    <t>C4586</t>
  </si>
  <si>
    <t>GEOTÊXTIL NÃO-TECIDO 100% POLIÉSTER COM RESISTÊNCIA A TRAÇÃO LONGITUDINAL MÍNIMA DE 10 kN/m (BIDIM RT-10 OU SIMILAR)</t>
  </si>
  <si>
    <t>C4654</t>
  </si>
  <si>
    <t>GEOTÊXTIL NÃO-TECIDO 100% POLIÉSTER COM RESISTÊNCIA A TRAÇÃO LONGITUDINAL MÍNIMA DE 14 kN/m (BIDIM RT-14 OU SIMILAR)</t>
  </si>
  <si>
    <t>C4655</t>
  </si>
  <si>
    <t>GEOTÊXTIL NÃO-TECIDO 100% POLIÉSTER COM RESISTÊNCIA A TRAÇÃO LONGITUDINAL MÍNIMA DE 16 kN/m (BIDIM RT-16 OU SIMILAR)</t>
  </si>
  <si>
    <t>C4656</t>
  </si>
  <si>
    <t>GEOTÊXTIL NÃO-TECIDO 100% POLIÉSTER COM RESISTÊNCIA A TRAÇÃO LONGITUDINAL MÍNIMA DE 21 kN/m (BIDIM RT-21 OU SIMILAR)</t>
  </si>
  <si>
    <t>C4657</t>
  </si>
  <si>
    <t>GEOTÊXTIL NÃO-TECIDO 100% POLIÉSTER COM RESISTÊNCIA A TRAÇÃO LONGITUDINAL MÍNIMA DE 26 kN/m (BIDIM RT-26 OU SIMILAR)</t>
  </si>
  <si>
    <t>C4658</t>
  </si>
  <si>
    <t>GEOTÊXTIL NÃO-TECIDO 100% POLIÉSTER COM RESISTÊNCIA A TRAÇÃO LONGITUDINAL MÍNIMA DE 31 kN/m (BIDIM RT-31 OU SIMILAR)</t>
  </si>
  <si>
    <t>C4752</t>
  </si>
  <si>
    <t>MANTA GEOTEXTIL, TECIDA 100% POLIPROPILENO, RESISTÊNCIA A TRAÇÃO DE 55KN/M E DEFORMAÇÃO INFERIOR A 15% (FORNECIMENTO E ASSENTAMENTO)</t>
  </si>
  <si>
    <t>C4753</t>
  </si>
  <si>
    <t>PEÇA EM MADEIRA MUIRACATIARA (2,50X5,00CM) PARA FIXAÇÃO DA MANTA GEOTEXTIL</t>
  </si>
  <si>
    <t>DRENAGEM SUPERFICIAL</t>
  </si>
  <si>
    <t>C0365</t>
  </si>
  <si>
    <t xml:space="preserve">BANQUETA/ MEIO FIO DE CONCRETO MOLDADO NO LOCAL </t>
  </si>
  <si>
    <t>C0367</t>
  </si>
  <si>
    <t>BANQUETA/ MEIO FIO DE CONCRETO PRÉ-MOLDADO (1,00x0,25x0,15m)</t>
  </si>
  <si>
    <t>C0366</t>
  </si>
  <si>
    <t>BANQUETA/ MEIO FIO DE CONCRETO P/ VIAS URBANAS (1,00x0,35x0,15m)</t>
  </si>
  <si>
    <t>C0368</t>
  </si>
  <si>
    <t>BANQUETA/ MEIO FIO DE TIJOLO MACIÇO</t>
  </si>
  <si>
    <t>C3065</t>
  </si>
  <si>
    <t>DESCIDA D'ÁGUA DE CONCRETO ARMADO PADRÃO DERT</t>
  </si>
  <si>
    <t>C3066</t>
  </si>
  <si>
    <t>DESCIDA D'ÁGUA DE CONCRETO ARMADO TIPO U</t>
  </si>
  <si>
    <t>C3067</t>
  </si>
  <si>
    <t>DESCIDA D'AGUA EM CALHA PRÉ-MOLDADA DE CONCRETO D= 0,40m</t>
  </si>
  <si>
    <t>C2727</t>
  </si>
  <si>
    <t>DRENAGEM COM CALHA PRÉ-MOLDADA DE CONCRETO D= 0,30m</t>
  </si>
  <si>
    <t>C4583</t>
  </si>
  <si>
    <t>MEIO FIO CONJUGADO C/ SARJETA, EXTRUSADO COM CONCRETO FCK 20 MPa</t>
  </si>
  <si>
    <t>C3097</t>
  </si>
  <si>
    <t>MEIO FIO DE PEDRA GRANÍTICA</t>
  </si>
  <si>
    <t>C3449</t>
  </si>
  <si>
    <t>MEIO FIO PRÉ MOLDADO (0,07x0,30x1,00)m C/REJUNTAMENTO</t>
  </si>
  <si>
    <t>C2018</t>
  </si>
  <si>
    <t>POÇO DE VISITA DE ALVENARIA P/ GALERIA DE ÁGUAS PLUVIAIS DIAM. = 1m  E PROFUNDIDADE= 2m</t>
  </si>
  <si>
    <t>C2019</t>
  </si>
  <si>
    <t>POÇO DE VISITA DE ALVENARIA P/ GALERIA DE ÁGUAS PLUVIAIS DIAM. = 1m  E PROFUNDIDADE= 4m</t>
  </si>
  <si>
    <t>C2020</t>
  </si>
  <si>
    <t>POÇO DE VISITA DE ALVENARIA P/ GALERIA DE ÁGUAS PLUVIAIS DIAM.= 1m  E PROFUNDIDADE= 6m</t>
  </si>
  <si>
    <t>C3110</t>
  </si>
  <si>
    <t>SAIDA D'AGUA C/ DISSIPADOR DE ENERGIA</t>
  </si>
  <si>
    <t>C3322</t>
  </si>
  <si>
    <t>SARJETA CONJUGADA COM BANQUETA EM CONCRETO SIMPLES</t>
  </si>
  <si>
    <t>C3111</t>
  </si>
  <si>
    <t>SARJETA DE CONCRETO SIMPLES "U" C/H=0,35m/E=0,08m</t>
  </si>
  <si>
    <t>C3112</t>
  </si>
  <si>
    <t>SARJETA DE CONCRETO SIMPLES C/L=1,00m/E=0,08m</t>
  </si>
  <si>
    <t>C3113</t>
  </si>
  <si>
    <t>SARJETA DE CONCRETO SIMPLES C/L=1,20m/E=0,08m</t>
  </si>
  <si>
    <t>C2310</t>
  </si>
  <si>
    <t>TAMPÃO DE FERRO FUNDIDO P/ POÇO DE VISITA  DE DIAM-=1 M</t>
  </si>
  <si>
    <t>C4874</t>
  </si>
  <si>
    <t>TAMPONAMENTO PROVISÓRIO EM CAIXA DE VISITA</t>
  </si>
  <si>
    <t>ARGAMASSAS</t>
  </si>
  <si>
    <t>PREPARAÇÃO DE MATERIAIS</t>
  </si>
  <si>
    <t>C0115</t>
  </si>
  <si>
    <t>AREIA SECA MEIO PENEIRADA</t>
  </si>
  <si>
    <t>C0116</t>
  </si>
  <si>
    <t>AREIA SECA PENEIRADA</t>
  </si>
  <si>
    <t>ARGAMASSA DE CIMENTO</t>
  </si>
  <si>
    <t>C0117</t>
  </si>
  <si>
    <t>ARGAMASSA DE CIMENTO ARENOSO E AREIA S/PEN. TRAÇO 1:2:4</t>
  </si>
  <si>
    <t>C0129</t>
  </si>
  <si>
    <t>ARGAMASSA DE CIMENTO ARENOSO E AREIA S/PEN. TRAÇO 1:2:6</t>
  </si>
  <si>
    <t>C0133</t>
  </si>
  <si>
    <t>ARGAMASSA DE CIMENTO ARENOSO E AREIA S/PEN. TRAÇO1:2.5:3.5</t>
  </si>
  <si>
    <t>C0130</t>
  </si>
  <si>
    <t>ARGAMASSA DE CIMENTO ARENOSO E AREIA S/PEN. TRAÇO 1:3:3</t>
  </si>
  <si>
    <t>C0131</t>
  </si>
  <si>
    <t>ARGAMASSA DE CIMENTO ARENOSO E AREIA S/PEN. TRAÇO 1:3:5</t>
  </si>
  <si>
    <t>C0132</t>
  </si>
  <si>
    <t>ARGAMASSA DE CIMENTO ARENOSO E AREIA S/PEN. TRAÇO 1:3:7</t>
  </si>
  <si>
    <t>C0181</t>
  </si>
  <si>
    <t>ARGAMASSA DE CIMENTO ARENOSO E AREIA S/PEN. TRAÇO 1:3.5:2.5</t>
  </si>
  <si>
    <t>C0118</t>
  </si>
  <si>
    <t>ARGAMASSA DE CIMENTO ARENOSO E AREIA S/PEN. TRAÇO 1:4:2</t>
  </si>
  <si>
    <t>C0119</t>
  </si>
  <si>
    <t>ARGAMASSA DE CIMENTO ARENOSO E AREIA S/PEN. TRAÇO 1:4:4</t>
  </si>
  <si>
    <t>C0120</t>
  </si>
  <si>
    <t>ARGAMASSA DE CIMENTO ARENOSO E AREIA S/PEN. TRAÇO 1:4:6</t>
  </si>
  <si>
    <t>C0121</t>
  </si>
  <si>
    <t>ARGAMASSA DE CIMENTO ARENOSO E AREIA S/PEN. TRAÇO 1:4:8</t>
  </si>
  <si>
    <t>C0122</t>
  </si>
  <si>
    <t>ARGAMASSA DE CIMENTO ARENOSO E AREIA S/PEN. TRAÇO 1:5:3</t>
  </si>
  <si>
    <t>C0128</t>
  </si>
  <si>
    <t>ARGAMASSA DE CIMENTO ARENOSO E AREIA S/PEN. TRAÇO 1:5:5</t>
  </si>
  <si>
    <t>C0123</t>
  </si>
  <si>
    <t>ARGAMASSA DE CIMENTO ARENOSO E AREIA S/PEN. TRAÇO 1:5:7</t>
  </si>
  <si>
    <t>C0179</t>
  </si>
  <si>
    <t>ARGAMASSA DE CIMENTO ARENOSO E AREIA S/PEN. TRAÇO 1:6:2</t>
  </si>
  <si>
    <t>C0124</t>
  </si>
  <si>
    <t>ARGAMASSA DE CIMENTO ARENOSO E AREIA S/PEN. TRAÇO 1:6:4</t>
  </si>
  <si>
    <t>C0125</t>
  </si>
  <si>
    <t>ARGAMASSA DE CIMENTO ARENOSO E AREIA S/PEN. TRAÇO 1:6:6</t>
  </si>
  <si>
    <t>C0180</t>
  </si>
  <si>
    <t>ARGAMASSA DE CIMENTO ARENOSO E AREIA S/PEN. TRAÇO 1:7:3</t>
  </si>
  <si>
    <t>C0126</t>
  </si>
  <si>
    <t>ARGAMASSA DE CIMENTO ARENOSO E AREIA S/PEN. TRAÇO 1:7:5</t>
  </si>
  <si>
    <t>C0127</t>
  </si>
  <si>
    <t>ARGAMASSA DE CIMENTO ARENOSO E AREIA S/PEN. TRAÇO 1:8:4</t>
  </si>
  <si>
    <t>C0162</t>
  </si>
  <si>
    <t>ARGAMASSA DE CIMENTO BRANCO E PÓ DE MÁRMORE TRAÇO 1:3</t>
  </si>
  <si>
    <t>C0160</t>
  </si>
  <si>
    <t>ARGAMASSA DE CIMENTO E AREIA FINA PENEIRADA E ADITIVO AGLUTINANTE ORGANO-SINTÉTICO NO TRAÇO 1:8</t>
  </si>
  <si>
    <t>C0161</t>
  </si>
  <si>
    <t>ARGAMASSA DE CIMENTO E AREIA MEDIA PENEIRADA E ADITIVO AGLUTINANTE ORGANO-SINTÉTICO NO TRAÇO 1:8</t>
  </si>
  <si>
    <t>C0155</t>
  </si>
  <si>
    <t>ARGAMASSA DE CIMENTO E AREIA PENEIRADA C/ IMPERMEABILIZANTE TRAÇO 1:1.5</t>
  </si>
  <si>
    <t>C0154</t>
  </si>
  <si>
    <t>ARGAMASSA DE CIMENTO E AREIA PENEIRADA C/ IMPERMEABILIZANTE TRAÇO 1:4</t>
  </si>
  <si>
    <t>C0163</t>
  </si>
  <si>
    <t>ARGAMASSA DE CIMENTO E AREIA PEN. TRAÇO 1:2</t>
  </si>
  <si>
    <t>C0164</t>
  </si>
  <si>
    <t>ARGAMASSA DE CIMENTO E AREIA PEN. TRAÇO 1:3</t>
  </si>
  <si>
    <t>C0165</t>
  </si>
  <si>
    <t>ARGAMASSA DE CIMENTO E AREIA PEN. TRAÇO 1:4</t>
  </si>
  <si>
    <t>C4429</t>
  </si>
  <si>
    <t>ARGAMASSA DE CIMENTO E AREIA PEN. TRAÇO 1:5</t>
  </si>
  <si>
    <t>C4430</t>
  </si>
  <si>
    <t>ARGAMASSA DE CIMENTO E AREIA PEN. TRAÇO 1:6</t>
  </si>
  <si>
    <t>C3009</t>
  </si>
  <si>
    <t>ARGAMASSA DE CIMENTO E AREIA PEN. TRAÇO 1:7</t>
  </si>
  <si>
    <t>C0156</t>
  </si>
  <si>
    <t>ARGAMASSA DE CIMENTO E AREIA S/PEN. C/IMPERMEAB. TRAÇO 1:2</t>
  </si>
  <si>
    <t>C0157</t>
  </si>
  <si>
    <t>ARGAMASSA DE CIMENTO E AREIA S/PEN. C/IMPERMEAB. TRAÇO 1:3</t>
  </si>
  <si>
    <t>C0158</t>
  </si>
  <si>
    <t>ARGAMASSA DE CIMENTO E AREIA S/PEN. C/IMPERMEAB. TRAÇO 1:4</t>
  </si>
  <si>
    <t>C0159</t>
  </si>
  <si>
    <t>ARGAMASSA DE CIMENTO E AREIA S/PEN. C/IMPERMEAB. TRAÇO 1:5</t>
  </si>
  <si>
    <t>C0166</t>
  </si>
  <si>
    <t>ARGAMASSA DE CIMENTO E AREIA S/PEN. TRAÇO 1:1</t>
  </si>
  <si>
    <t>C0167</t>
  </si>
  <si>
    <t>ARGAMASSA DE CIMENTO E AREIA S/PEN. TRAÇO 1:1.5</t>
  </si>
  <si>
    <t>C0168</t>
  </si>
  <si>
    <t>ARGAMASSA DE CIMENTO E AREIA S/PEN. TRAÇO 1:2</t>
  </si>
  <si>
    <t>C0169</t>
  </si>
  <si>
    <t>ARGAMASSA DE CIMENTO E AREIA S/PEN. TRAÇO 1:2.5</t>
  </si>
  <si>
    <t>C0170</t>
  </si>
  <si>
    <t>ARGAMASSA DE CIMENTO E AREIA S/PEN. TRAÇO 1:3</t>
  </si>
  <si>
    <t>C0171</t>
  </si>
  <si>
    <t>ARGAMASSA DE CIMENTO E AREIA S/PEN. TRAÇO 1:4</t>
  </si>
  <si>
    <t>C0172</t>
  </si>
  <si>
    <t>ARGAMASSA DE CIMENTO E AREIA S/PEN. TRAÇO 1:5</t>
  </si>
  <si>
    <t>C0173</t>
  </si>
  <si>
    <t>ARGAMASSA DE CIMENTO E AREIA S/PEN. TRAÇO 1:6</t>
  </si>
  <si>
    <t>C0174</t>
  </si>
  <si>
    <t>ARGAMASSA DE CIMENTO E AREIA S/PEN. TRAÇO 1:7</t>
  </si>
  <si>
    <t>C3323</t>
  </si>
  <si>
    <t>ARGAMASSA DE CIMENTO E AREIA TRAÇO 1:3 COM AREIA PRODUZIDA</t>
  </si>
  <si>
    <t>C3324</t>
  </si>
  <si>
    <t>ARGAMASSA DE CIMENTO E AREIA TRAÇO 1:4 COM AREIA PRODUZIDA</t>
  </si>
  <si>
    <t>C0175</t>
  </si>
  <si>
    <t>ARGAMASSA DE CIMENTO E PEDRISCO TRAÇO 1:4</t>
  </si>
  <si>
    <t>C3554</t>
  </si>
  <si>
    <t>MUTIRÃO MISTO - ARGAMASSA DE CIMENTO E AREIA S/PEN. TRAÇO 1:3</t>
  </si>
  <si>
    <t>C3553</t>
  </si>
  <si>
    <t>MUTIRÃO MISTO - ARGAMASSA DE CIMENTO E AREIA S/PEN. TRAÇO 1:6</t>
  </si>
  <si>
    <t>ARGAMASSA MISTA</t>
  </si>
  <si>
    <t>C0185</t>
  </si>
  <si>
    <t>ARGAMASSA MISTA DE CAL EM PASTA E AREIA S/PEN. TRAÇO 1:4  C/100 KG DE CIMENTO</t>
  </si>
  <si>
    <t>C0189</t>
  </si>
  <si>
    <t>ARGAMASSA MISTA DE CAL HIDR. E AREIA S/PEN. TRAÇO 1:3 C/100KG DE CIMENTO</t>
  </si>
  <si>
    <t>C0192</t>
  </si>
  <si>
    <t>ARGAMASSA MISTA DE CAL HIDR. E AREIA S/PEN. TRAÇO 1:4 C/100KG DE CIMENTO</t>
  </si>
  <si>
    <t>C0194</t>
  </si>
  <si>
    <t>ARGAMASSA MISTA DE CIMENTO CAL HIDR. E AREIA PEN.  TRAÇO 1:2:8</t>
  </si>
  <si>
    <t>C0197</t>
  </si>
  <si>
    <t>ARGAMASSA MISTA DE CIMENTO CAL HIDR. E AREIA S/PEN. TRAÇO 1:1:4</t>
  </si>
  <si>
    <t>C0205</t>
  </si>
  <si>
    <t>ARGAMASSA MISTA DE CIMENTO CAL HIDR. E AREIA S/PEN. TRAÇO 1:2:8</t>
  </si>
  <si>
    <t>C0200</t>
  </si>
  <si>
    <t>ARGAMASSA MISTA DE CIMENTO CAL HIDR. E AREIA S/PEN. TRAÇO 1:2:9</t>
  </si>
  <si>
    <t>C1439</t>
  </si>
  <si>
    <t>GROUT CIMENTO, CAL HIDR., AREIA E PEDRISCO  TRAÇO 1:0.1:3:2</t>
  </si>
  <si>
    <t>ARGAMASSA INDUSTRIALIZADA</t>
  </si>
  <si>
    <t>C0210</t>
  </si>
  <si>
    <t>ARGAMASSA PRÉ-FABRICADA P/REBOCO</t>
  </si>
  <si>
    <t>C0211</t>
  </si>
  <si>
    <t>ARGAMASSA PRÉ-FABRICADA P/REBOCO IMITAÇÃO TRAVERTINO</t>
  </si>
  <si>
    <t>C0212</t>
  </si>
  <si>
    <t>ARGAMASSA PRÉ-FABRICADA P/REBOCO TIPO MASSA RASPADA</t>
  </si>
  <si>
    <t>C1848</t>
  </si>
  <si>
    <t>PASTA DE CIMENTO COLANTE</t>
  </si>
  <si>
    <t>FUNDAÇÕES E  ESTRUTURAS</t>
  </si>
  <si>
    <t>TUBULÕES A CÉU ABERTO</t>
  </si>
  <si>
    <t>C0825</t>
  </si>
  <si>
    <t>CONCRETAGEM DE BASE DE TUBULÃO À CÉU ABERTO</t>
  </si>
  <si>
    <t>C0826</t>
  </si>
  <si>
    <t>CONCRETAGEM DE TUBULÃO (CAMISA/ENCHIM.)   À CÉU ABERTO  D=1,20m</t>
  </si>
  <si>
    <t>C0827</t>
  </si>
  <si>
    <t>CONCRETAGEM DE TUBULÃO (CAMISA/ENCHIM.)   À CÉU ABERTO  D=1,40m</t>
  </si>
  <si>
    <t>C0828</t>
  </si>
  <si>
    <t>CONCRETAGEM DE TUBULÃO (CAMISA/ENCHIM.)   À CÉU ABERTO  D=1,60m</t>
  </si>
  <si>
    <t>C2636</t>
  </si>
  <si>
    <t>TUBULÃO - CEU ABERTO - C/CONCRETO FCK 13.5 MPa</t>
  </si>
  <si>
    <t>C2637</t>
  </si>
  <si>
    <t>TUBULÃO - CEU ABERTO - C/CONCRETO FCK 13.5 MPa C/RACHÃO</t>
  </si>
  <si>
    <t>C2638</t>
  </si>
  <si>
    <t>TUBULÃO - CEU ABERTO - C/CONCRETO FCK 15 MPa</t>
  </si>
  <si>
    <t>C2634</t>
  </si>
  <si>
    <t>TUBULAO - CEU ABERTO - C/CONCRETO FCK 15 MPa C/RACHÃO</t>
  </si>
  <si>
    <t>C2639</t>
  </si>
  <si>
    <t>TUBULÃO - CEU ABERTO - C/CONCRETO FCK 18 MPa</t>
  </si>
  <si>
    <t>C2635</t>
  </si>
  <si>
    <t>TUBULAO - CEU ABERTO - C/CONCRETO FCK 18 MPa  C/RACHÃO</t>
  </si>
  <si>
    <t>C2641</t>
  </si>
  <si>
    <t>TUBULÃO - CEU ABERTO - C/CONCRETO USINADO FCK 15 MPa</t>
  </si>
  <si>
    <t>C2642</t>
  </si>
  <si>
    <t>TUBULÃO - CEU ABERTO - C/CONCRETO USINADO FCK 20 MPa</t>
  </si>
  <si>
    <t>TUBULÕES A AR COMPRIMIDO</t>
  </si>
  <si>
    <t>C3148</t>
  </si>
  <si>
    <t>CONCRETAGEM DE BASES TUBULÃO AR COMPRIMIDO ATE 12m</t>
  </si>
  <si>
    <t>C3147</t>
  </si>
  <si>
    <t>CONCRETAGEM DE BASES TUBULÃO AR COMPRIMIDO 12/18m</t>
  </si>
  <si>
    <t>C3149</t>
  </si>
  <si>
    <t>CONCRETAGEM DE TUBULÃO (CAMISA/ENCHIM.)   AR COMP. D=1,20m  ATÉ 12m</t>
  </si>
  <si>
    <t>C3150</t>
  </si>
  <si>
    <t>CONCRETAGEM DE TUBULÃO (CAMISA/ENCHIM.)   AR COMP. D=1,20m  DE 12/18m</t>
  </si>
  <si>
    <t>C3151</t>
  </si>
  <si>
    <t>CONCRETAGEM DE TUBULÃO (CAMISA/ENCHIM.)   AR COMP. D=1,40m  ATÉ 12m</t>
  </si>
  <si>
    <t>C3152</t>
  </si>
  <si>
    <t>CONCRETAGEM DE TUBULÃO (CAMISA/ENCHIM.)   AR COMP. D=1,40m  DE 12/18m</t>
  </si>
  <si>
    <t>C3153</t>
  </si>
  <si>
    <t>CONCRETAGEM DE TUBULÃO (CAMISA/ENCHIM.)   AR COMP. D=1,60m  ATÉ 12m</t>
  </si>
  <si>
    <t>C3154</t>
  </si>
  <si>
    <t>CONCRETAGEM DE TUBULÃO (CAMISA/ENCHIM.)   AR COMP. D=1,60m DE 12/18m</t>
  </si>
  <si>
    <t>C0963</t>
  </si>
  <si>
    <t>CRAVAÇÃO DE CAMISA METÁLICA P/ TUBULÃO, INCLUSIVE ESCAVAÇÃO MECÂNICA</t>
  </si>
  <si>
    <t>C2643</t>
  </si>
  <si>
    <t>TUBULÃO SOB AR COMPRIMIDO - C/CONCRETO FCK 15 MPa</t>
  </si>
  <si>
    <t>ESTACAS</t>
  </si>
  <si>
    <t>C5046</t>
  </si>
  <si>
    <t>CORTE OXI-ACETILENO EM CHAPA DE AÇO  6,3MM</t>
  </si>
  <si>
    <t>C5047</t>
  </si>
  <si>
    <t>CORTE OXI-ACETILENO EM CHAPA DE AÇO  8,0MM</t>
  </si>
  <si>
    <t>C5048</t>
  </si>
  <si>
    <t>CORTE OXI-ACETILENO EM CHAPA DE AÇO  9,5MM</t>
  </si>
  <si>
    <t>C5049</t>
  </si>
  <si>
    <t>CORTE OXI-ACETILENO EM CHAPA DE AÇO 12,5MM</t>
  </si>
  <si>
    <t>C0938</t>
  </si>
  <si>
    <t>CORTE PERFIL METÁLICO ' I ' DE 10"X4"X5/8"  P/EMPREITADA</t>
  </si>
  <si>
    <t>C0939</t>
  </si>
  <si>
    <t>CORTE PERFIL METÁLICO ' I '  DE 12"X5"X1/4" P/EMPREITADA</t>
  </si>
  <si>
    <t>C0936</t>
  </si>
  <si>
    <t>CORTE PERFIL METÁLICO DUPLO I DE 10"X4"X5/8" P/EMPREITADA</t>
  </si>
  <si>
    <t>C0937</t>
  </si>
  <si>
    <t>CORTE PERFIL METÁLICO DUPLO ' I '  DE 12"X5"X1/4" P/EMPREITADA</t>
  </si>
  <si>
    <t>C1292</t>
  </si>
  <si>
    <t>ESTACA DE MADEIRA CONDIÇÕES FAVORÁVEIS D= 22cm P/6 A 8T</t>
  </si>
  <si>
    <t>C1293</t>
  </si>
  <si>
    <t>ESTACA DE MADEIRA CONDIÇÕES FAVORÁVEIS D= 25cm P/8 A 10T</t>
  </si>
  <si>
    <t>C1290</t>
  </si>
  <si>
    <t>ESTACA DE MADEIRA CONDIÇÕES POUCO FAVORÁVEIS D= 22cm P/6 A 8T</t>
  </si>
  <si>
    <t>C1291</t>
  </si>
  <si>
    <t>ESTACA DE MADEIRA CONDIÇÕES POUCO FAVORÁVEIS D= 25cm P/8 A 10T</t>
  </si>
  <si>
    <t>C5221</t>
  </si>
  <si>
    <t>ESTACA HÉLICE CONTÍNUA, DIÂMETRO DE 30 CM (EXCLUSIVE MOBILIZAÇÃO, DESMOBILIZAÇÃO, ARMADURA, CONCRETO E BOMBEAMENTO)</t>
  </si>
  <si>
    <t>C5222</t>
  </si>
  <si>
    <t>ESTACA HÉLICE CONTÍNUA, DIÂMETRO DE 40 CM (EXCLUSIVE MOBILIZAÇÃO, DESMOBILIZAÇÃO, ARMADURA, CONCRETO E BOMBEAMENTO)</t>
  </si>
  <si>
    <t>C5223</t>
  </si>
  <si>
    <t>ESTACA HÉLICE CONTÍNUA, DIÂMETRO DE 50 CM (EXCLUSIVE MOBILIZAÇÃO, DESMOBILIZAÇÃO, ARMADURA, CONCRETO E BOMBEAMENTO)</t>
  </si>
  <si>
    <t>C5224</t>
  </si>
  <si>
    <t>ESTACA HÉLICE CONTÍNUA, DIÂMETRO DE 70 CM (EXCLUSIVE MOBILIZAÇÃO, DESMOBILIZAÇÃO, ARMADURA, CONCRETO E BOMBEAMENTO)</t>
  </si>
  <si>
    <t>IM</t>
  </si>
  <si>
    <t>C4690</t>
  </si>
  <si>
    <t>ESTACA RAIZ DIÂMETRO 160mm - ATÉ 30 Tf</t>
  </si>
  <si>
    <t>C4691</t>
  </si>
  <si>
    <t>ESTACA RAIZ DIÂMETRO 200mm - ATÉ 40 Tf</t>
  </si>
  <si>
    <t>C4692</t>
  </si>
  <si>
    <t>ESTACA RAIZ DIÂMETRO 250mm - ATÉ 60 Tf</t>
  </si>
  <si>
    <t>C4693</t>
  </si>
  <si>
    <t>ESTACA RAIZ DIÂMETRO 310mm - ATÉ 90 Tf</t>
  </si>
  <si>
    <t>C4697</t>
  </si>
  <si>
    <t>ESTACA RAIZ DIÂMETRO 350mm - ATÉ 110 Tf</t>
  </si>
  <si>
    <t>C4694</t>
  </si>
  <si>
    <t>ESTACA RAIZ DIÂMETRO 410mm - ATÉ 125 Tf</t>
  </si>
  <si>
    <t>C4695</t>
  </si>
  <si>
    <t>ESTACA RAIZ DIÂMETRO 450mm - ATÉ 145 Tf</t>
  </si>
  <si>
    <t>C4696</t>
  </si>
  <si>
    <t>ESTACA RAIZ DIÂMETRO 450mm - ATÉ 169 Tf</t>
  </si>
  <si>
    <t>C4698</t>
  </si>
  <si>
    <t>PERFIL METÁLICO "I" OU "H" COM CRAVAÇÃO EMPREITADA</t>
  </si>
  <si>
    <t>C4699</t>
  </si>
  <si>
    <t>SOLDA DE TOPO EM PERFIL "I" OU "H"</t>
  </si>
  <si>
    <t>C2282</t>
  </si>
  <si>
    <t>SOLDA LONGITUDINAL EM PERFIL METÁLICO P/EMPREITADA</t>
  </si>
  <si>
    <t>C5042</t>
  </si>
  <si>
    <t xml:space="preserve">SOLDA OXI-ACETILENO EM CHAPA DE AÇO  6,3MM </t>
  </si>
  <si>
    <t>C5043</t>
  </si>
  <si>
    <t>SOLDA OXI-ACETILENO EM CHAPA DE AÇO  8,0MM</t>
  </si>
  <si>
    <t>C5044</t>
  </si>
  <si>
    <t>SOLDA OXI-ACETILENO EM CHAPA DE AÇO  9,5MM</t>
  </si>
  <si>
    <t>C5045</t>
  </si>
  <si>
    <t>SOLDA OXI-ACETILENO EM CHAPA DE AÇO 12,5MM</t>
  </si>
  <si>
    <t>EMBASAMENTOS E BALDRAMES</t>
  </si>
  <si>
    <t>C0054</t>
  </si>
  <si>
    <t>ALVENARIA DE EMBASAMENTO DE PEDRA ARGAMASSADA</t>
  </si>
  <si>
    <t>C0055</t>
  </si>
  <si>
    <t>ALVENARIA DE EMBASAMENTO DE TIJOLO COMUM, C/ARGAMASSA MISTA C/ CAL HIDRATADA</t>
  </si>
  <si>
    <t>C0056</t>
  </si>
  <si>
    <t>ALVENARIA DE EMBASAMENTO DE TIJOLO FURADO, C/ ARGAMASSA MISTA C/ CAL HIDRATADA (1:2:8)</t>
  </si>
  <si>
    <t>C4592</t>
  </si>
  <si>
    <t>ALVENARIA DE EMBASAMENTO EM TIJOLO CERÂMICO FURADO C/ ARGAMASSA CIMENTO E AREIA 1:4</t>
  </si>
  <si>
    <t>C0089</t>
  </si>
  <si>
    <t>ANEL DE IMPERMEABILIZAÇÃO C/ARMAÇÃO EM FERRO</t>
  </si>
  <si>
    <t>C0471</t>
  </si>
  <si>
    <t>BROCA D= 20cm COM CONCRETO FCK=13.5MPa, MAIS VIGA BALDRAME 20X20cm E UMA FIADA DE BLOCO DE CONCRETO 14X19X39cm</t>
  </si>
  <si>
    <t>C3604</t>
  </si>
  <si>
    <t>MUTIRÃO MISTO - ALVENARIA DE EMBASAMENTO C/TIJ. FURADO, C/ ARG. MISTA C/CAL HIDRATADA</t>
  </si>
  <si>
    <t>FORMAS</t>
  </si>
  <si>
    <t>C4713</t>
  </si>
  <si>
    <t>CONFECÇÃO DE FORMA ACRÍLICA 5MM P/ LOGOMARCAS EM PREMOLDADOS DE CONCRETO (ABRIGO PARADA DE ÔNIBUS), PARA UTIL. 40 X</t>
  </si>
  <si>
    <t>C4710</t>
  </si>
  <si>
    <t>CONFECÇÃO DE FORMA METÁLICA P/ PEÇAS PREMOLDADAS DE CONCRETO (ABRIGO PARADA DE ÔNIBUS), PARA UTIL. 15 X</t>
  </si>
  <si>
    <t>C2822</t>
  </si>
  <si>
    <t>FORMA CURVA CHAPA COMPENSADA PLASTIFICADA, ESP.= 12mm</t>
  </si>
  <si>
    <t>C3990</t>
  </si>
  <si>
    <t>FORMA CURVA CHAPA COMPENSADA PLASTIFICADA, ESP.= 18mm</t>
  </si>
  <si>
    <t>C2823</t>
  </si>
  <si>
    <t>FORMA CURVA CHAPA COMPENSADA RESINADA, ESP.=  6mm</t>
  </si>
  <si>
    <t>C2824</t>
  </si>
  <si>
    <t xml:space="preserve">FORMA CURVA CHAPA COMPENSADA RESINADA, ESP.= 10mm </t>
  </si>
  <si>
    <t>C2825</t>
  </si>
  <si>
    <t>FORMA CURVA CHAPA COMPENSADA RESINADA, ESP.= 12mm</t>
  </si>
  <si>
    <t>C3981</t>
  </si>
  <si>
    <t>FORMA DE PAPELÃO RESINADO TIPO ESTRUTUBOS D=1,20 M  (FORNECIMENTO/MONTAGEM/DESMONTAGEM)</t>
  </si>
  <si>
    <t>C1400</t>
  </si>
  <si>
    <t>FORMA DE TÁBUAS DE 1" DE 3A. P/FUNDAÇÕES UTIL. 5 X</t>
  </si>
  <si>
    <t>C1401</t>
  </si>
  <si>
    <t>FORMA DE TÁBUAS DE 1" DE 3A. P/SUPERESTRUTURA - UTIL. 2 X</t>
  </si>
  <si>
    <t>C4158</t>
  </si>
  <si>
    <t>FORMA METÁLICA P/ PILAR</t>
  </si>
  <si>
    <t>C4282</t>
  </si>
  <si>
    <t>FORMA P/ CONCRETO "IN LOCO" (APLICAÇÃO)</t>
  </si>
  <si>
    <t>C4281</t>
  </si>
  <si>
    <t>FORMA P/ CONCRETO "IN LOCO" (FABRICAÇÃO)</t>
  </si>
  <si>
    <t>C1404</t>
  </si>
  <si>
    <t>CONFECÇÃO DE FORMA  P/ PEÇAS PRÉ-MOLDADAS DE CONCRETO PROTENDIDO, REVESTIDAS C/CHAPA METÁLICA.UTIL(10 A 15X)</t>
  </si>
  <si>
    <t>C1403</t>
  </si>
  <si>
    <t>FORMA P/ PEÇAS PRÉ-MOLDADAS DE CONCRETO PROTENDIDO, REVESTIDAS C/CHAPA COMPENSADA PLASTIFICADA (12X)</t>
  </si>
  <si>
    <t>C4301</t>
  </si>
  <si>
    <t>FORMA PARA CONCRETO "IN LOCO", INCLUSIVE DESFORMA</t>
  </si>
  <si>
    <t>C4302</t>
  </si>
  <si>
    <t>FORMA PARA CONCRETO PRÉ-MOLDADO, INCLUSIVE DESFORMA</t>
  </si>
  <si>
    <t>C1399</t>
  </si>
  <si>
    <t>FORMA PLANA CHAPA COMPENSADA PLASTIFICADA, ESP.= 12mm UTIL. 5X</t>
  </si>
  <si>
    <t>C3991</t>
  </si>
  <si>
    <t>FORMA PLANA CHAPA COMPENSADA PLASTIFICADA, ESP.= 18mm UTIL. 5X</t>
  </si>
  <si>
    <t>C1402</t>
  </si>
  <si>
    <t>FORMA PLANA CHAPA COMPENSADA RESINADA, ESP.= 10mm P/GALERIA  E BUEIROS CAPEADOS</t>
  </si>
  <si>
    <t>C2827</t>
  </si>
  <si>
    <t>FORMA PLANA CHAPA COMPENSADA RESINADA, ESP.= 10mm UTIL. 3X</t>
  </si>
  <si>
    <t>C1405</t>
  </si>
  <si>
    <t>FORMA PLANA CHAPA COMPENSADA RESINADA, ESP.= 12mm UTIL. 3 X</t>
  </si>
  <si>
    <t>C4711</t>
  </si>
  <si>
    <t>MONTAGEM DE FORMA METÁLICA P/ CONCRETO PREMOLDADO (ABRIGO PARADA DE ÔNIBUS), INCL. DESFORMA</t>
  </si>
  <si>
    <t>C1799</t>
  </si>
  <si>
    <t>MONTAGEM, DESMONTAGEM E REPAROS EM FORMAS P/PRE-MOLDADOS</t>
  </si>
  <si>
    <t>C4759</t>
  </si>
  <si>
    <t xml:space="preserve">MONTAGEM E DESMONTAGEM DAS FORMAS/ESCORAMENTOS ESPECIAIS P/ LAJE NERVURADA INCLUSIVE DESMOLDANTE                                        
</t>
  </si>
  <si>
    <t>ARMADURAS</t>
  </si>
  <si>
    <t>C3331</t>
  </si>
  <si>
    <t>ANCORAGEM ATIVA PARA CABO COM 1 CORDOALHA DE 12,7mm</t>
  </si>
  <si>
    <t>C3332</t>
  </si>
  <si>
    <t>ANCORAGEM ATIVA PARA CABO COM 2 CORDOALHA DE 12,7mm</t>
  </si>
  <si>
    <t>C3333</t>
  </si>
  <si>
    <t>ANCORAGEM ATIVA PARA CABO COM 4 CORDOALHA DE 12,7mm</t>
  </si>
  <si>
    <t>C3334</t>
  </si>
  <si>
    <t>ANCORAGEM ATIVA PARA CABO COM 6 CORDOALHA DE 12,7mm</t>
  </si>
  <si>
    <t>C3335</t>
  </si>
  <si>
    <t>ANCORAGEM ATIVA PARA CABO COM 7 CORDOALHA DE 12,7mm</t>
  </si>
  <si>
    <t>C3336</t>
  </si>
  <si>
    <t>ANCORAGEM ATIVA PARA CABO COM 12 CORDOALHA DE 12,7mm</t>
  </si>
  <si>
    <t>C3337</t>
  </si>
  <si>
    <t>ANCORAGEM PASSIVA PARA CABO COM 1 CORDOALHA DE 12,7mm</t>
  </si>
  <si>
    <t>C3338</t>
  </si>
  <si>
    <t>ANCORAGEM PASSIVA PARA CABO COM 2 CORDOALHA DE 12,7mm</t>
  </si>
  <si>
    <t>C3339</t>
  </si>
  <si>
    <t>ANCORAGEM PASSIVA PARA CABO COM 4 CORDOALHA DE 12,7mm</t>
  </si>
  <si>
    <t>C3340</t>
  </si>
  <si>
    <t xml:space="preserve">ANCORAGEM PASSIVA PARA CABO COM 6 CORDOALHA DE 12,7mm </t>
  </si>
  <si>
    <t>C3341</t>
  </si>
  <si>
    <t>ANCORAGEM PASSIVA PARA CABO COM 7 CORDOALHA DE 12,7mm</t>
  </si>
  <si>
    <t>C3342</t>
  </si>
  <si>
    <t>ANCORAGEM PASSIVA PARA CABO COM 12 CORDOALHA DE 12,7mm</t>
  </si>
  <si>
    <t>C4132</t>
  </si>
  <si>
    <t>ARMADURA  P/ ESTACAS PRÉ-MOLDADAS DE CONCRETO (APLICAÇÃO)</t>
  </si>
  <si>
    <t>C0213</t>
  </si>
  <si>
    <t>ARMADURA CA-25 GROSSA D= 12,5 A 25,0mm</t>
  </si>
  <si>
    <t>C0214</t>
  </si>
  <si>
    <t>ARMADURA CA-25 MÉDIA D= 6,3 A 10,0mm</t>
  </si>
  <si>
    <t>C0215</t>
  </si>
  <si>
    <t>ARMADURA CA-50A GROSSA D= 12,5 A 25,0mm</t>
  </si>
  <si>
    <t>C0216</t>
  </si>
  <si>
    <t>ARMADURA CA-50A MÉDIA D= 6,3 A 10,0mm</t>
  </si>
  <si>
    <t>C0217</t>
  </si>
  <si>
    <t>ARMADURA CA-60 FINA D=3,40 A 6,40mm</t>
  </si>
  <si>
    <t>C0218</t>
  </si>
  <si>
    <t>ARMADURA CA-60 MÉDIA D= 6,4 A 9,5mm</t>
  </si>
  <si>
    <t>C4151</t>
  </si>
  <si>
    <t>ARMADURA DE AÇO CA 50/60</t>
  </si>
  <si>
    <t>C3985</t>
  </si>
  <si>
    <t>ARMADURA DE CORDOALHA CP-190RB</t>
  </si>
  <si>
    <t>C0219</t>
  </si>
  <si>
    <t>ARMADURA DE TELA DE AÇO</t>
  </si>
  <si>
    <t>C0220</t>
  </si>
  <si>
    <t>ARMADURA EM TELA SOLDADA DE AÇO CA-60B</t>
  </si>
  <si>
    <t>C4071</t>
  </si>
  <si>
    <t>ARMADURA EM TELA SOLDÁVEL Q-92</t>
  </si>
  <si>
    <t>C4131</t>
  </si>
  <si>
    <t>ARMADURA P/ ESTACAS PRÉ-MOLDADAS DE CONCRETO (FABRICAÇÃO)</t>
  </si>
  <si>
    <t>C3344</t>
  </si>
  <si>
    <t>CONFECÇÃO E COLOCAÇÃO DE CABO COM 1 CORDOALHA DE D=12,7mm COM BAINHA</t>
  </si>
  <si>
    <t>C3325</t>
  </si>
  <si>
    <t>CONFECÇÃO E COLOCAÇÃO DE CABO COM 2 CORDOALHA DE D=12,7mm COM BAINHA</t>
  </si>
  <si>
    <t>C3326</t>
  </si>
  <si>
    <t>CONFECÇÃO E COLOCAÇÃO DE CABO COM 4 CORDOALHA DE D=12,7mm COM BAINHA</t>
  </si>
  <si>
    <t>C3327</t>
  </si>
  <si>
    <t>CONFECÇAO E COLOCAÇAO DE CABO COM 6 CORDOALHA DE D=12,7mm COM BAINHA</t>
  </si>
  <si>
    <t>C3328</t>
  </si>
  <si>
    <t>CONFECÇÃO E COLOCAÇÃO DE CABO COM 7 CORDOALHAS DE D=12,7mm COM BAINHA</t>
  </si>
  <si>
    <t>C3329</t>
  </si>
  <si>
    <t>CONFECÇÃO E COLOCAÇÃO DE CABO COM 12 CORDOALHAS DE D=12,7mm COM BAINHA</t>
  </si>
  <si>
    <t>C3343</t>
  </si>
  <si>
    <t>PROTENSÃO E INJEÇÃO EM CABO COM CORDOALHA DE 12,7mm</t>
  </si>
  <si>
    <t>C3330</t>
  </si>
  <si>
    <t>PURGADOR PARA ANCORAGEM</t>
  </si>
  <si>
    <t>CONCRETOS</t>
  </si>
  <si>
    <t>C0006</t>
  </si>
  <si>
    <t>ACABAMENTO DE SUPERFÍCIES C/DESEMPENADEIRA MECÂNICA</t>
  </si>
  <si>
    <t>C0028</t>
  </si>
  <si>
    <t>ADENSAMENTO/REGULARIZAÇÃO SUP.CONCRETO RÉGUA DUPLA L=3 A 6m</t>
  </si>
  <si>
    <t>C0027</t>
  </si>
  <si>
    <t>ADENSAMENTO/REGULARIZAÇÃO SUPERFICIAL DE CONCRETO C/RÉGUA SIMPLES L= 3m</t>
  </si>
  <si>
    <t>C0034</t>
  </si>
  <si>
    <t>ADIÇÃO DE IMPERMEABILIZANTE PARA CONCRETO ESTRUTURAL</t>
  </si>
  <si>
    <t>C0461</t>
  </si>
  <si>
    <t>BOMBEAMENTO DE CONCRETO</t>
  </si>
  <si>
    <t>C0829</t>
  </si>
  <si>
    <t>CONCRETO CICLÓPICO FCK 10 MPa  COM AGREGADO PRODUZIDO (S/TRANSP)</t>
  </si>
  <si>
    <t>C0830</t>
  </si>
  <si>
    <t>CONCRETO CICLÓPICO FCK 15 MPa COM AGREGADO ADQUIRIDO</t>
  </si>
  <si>
    <t>C4134</t>
  </si>
  <si>
    <t>CONCRETO DE ALTO DESEMPENHO FCK &gt; 50 MPa / EXECUTADO EM CENTRAL DOSADORA</t>
  </si>
  <si>
    <t>C4438</t>
  </si>
  <si>
    <t>CONCRETO FCK &gt; 30 MPa SUBMERSO C/ PLATAFORMA FLUTUANTE, INCLUSIVE LANÇAMENTO, CURA E TRANSPORTE</t>
  </si>
  <si>
    <t>C0834</t>
  </si>
  <si>
    <t>CONCRETO GROUT (ARGAMASSA AUTONIVELANTE), LANÇAMENTO E CURA</t>
  </si>
  <si>
    <t>C0833</t>
  </si>
  <si>
    <t>CONCRETO GROUT C/ATÉ 50% DE PEDRISCO EM PESO, LANÇAMENTO E CURA</t>
  </si>
  <si>
    <t>C4291</t>
  </si>
  <si>
    <t>CONCRETO MOLDADO "IN LOCO" FCK ACIMA DE 10 MPa, INCLUSIVE LANÇAMENTO E CURA</t>
  </si>
  <si>
    <t>C4292</t>
  </si>
  <si>
    <t>CONCRETO MOLDADO "IN LOCO" FCK ACIMA DE 50 MPa, INCLUSIVE LANÇAMENTO E CURA</t>
  </si>
  <si>
    <t>C0836</t>
  </si>
  <si>
    <t>CONCRETO NÃO ESTRUTURAL PREPARO MANUAL</t>
  </si>
  <si>
    <t>C3268</t>
  </si>
  <si>
    <t xml:space="preserve">CONCRETO P/VIBR., FCK=10MPa COM AGREGADO PRODUZIDO (S/TRANSP.) </t>
  </si>
  <si>
    <t>C3269</t>
  </si>
  <si>
    <t>CONCRETO P/VIBR., FCK=13,5MPa COM AGREGADO PRODUZIDO (S/TRANSP.)</t>
  </si>
  <si>
    <t>C3270</t>
  </si>
  <si>
    <t>CONCRETO P/VIBR., FCK=15MPa COM AGREGADO PRODUZIDO (S/ TRANSP.)</t>
  </si>
  <si>
    <t>C3271</t>
  </si>
  <si>
    <t>CONCRETO P/VIBR., FCK=18MPA COM AGREGADO PRODUZIDO (S/ TRANSP.)</t>
  </si>
  <si>
    <t>C3272</t>
  </si>
  <si>
    <t>CONCRETO P/VIBR., FCK=20MPa COM AGREGADO PRODUZIDO (S/TRANSP.)</t>
  </si>
  <si>
    <t>C3273</t>
  </si>
  <si>
    <t>CONCRETO P/VIBR., FCK=25MPa COM AGREGADO PRODUZIDO (S/TRANSP.)</t>
  </si>
  <si>
    <t>C3274</t>
  </si>
  <si>
    <t>CONCRETO P/VIBR., FCK=30MPa COM AGREGADO PRODUZIDO (S/TRANSP.)</t>
  </si>
  <si>
    <t>C3275</t>
  </si>
  <si>
    <t>CONCRETO P/VIBR., FCK=35MPa COM AGREGADO PRODUZIDO (S/TRANSP.)</t>
  </si>
  <si>
    <t>C3276</t>
  </si>
  <si>
    <t>CONCRETO P/VIBR., FCK=40MPa COM AGREGADO PRODUZIDO (S/TRANSP.)</t>
  </si>
  <si>
    <t>C0838</t>
  </si>
  <si>
    <t>CONCRETO P/VIBR., FCK 10 MPa COM AGREGADO ADQUIRIDO</t>
  </si>
  <si>
    <t>C0839</t>
  </si>
  <si>
    <t>CONCRETO P/VIBR., FCK 13.5 MPa COM AGREGADO ADQUIRIDO</t>
  </si>
  <si>
    <t>C0840</t>
  </si>
  <si>
    <t>CONCRETO P/VIBR., FCK 15 MPa COM AGREGADO ADQUIRIDO</t>
  </si>
  <si>
    <t>C0841</t>
  </si>
  <si>
    <t>CONCRETO P/VIBR., FCK 18 MPa COM AGREGADO ADQUIRIDO</t>
  </si>
  <si>
    <t>C0842</t>
  </si>
  <si>
    <t>CONCRETO P/VIBR., FCK 20 MPa COM AGREGADO ADQUIRIDO</t>
  </si>
  <si>
    <t>C0843</t>
  </si>
  <si>
    <t>CONCRETO P/VIBR., FCK 25 MPa COM AGREGADO ADQUIRIDO</t>
  </si>
  <si>
    <t>C0844</t>
  </si>
  <si>
    <t>CONCRETO P/VIBR., FCK 30 MPa COM AGREGADO ADQUIRIDO</t>
  </si>
  <si>
    <t>C0845</t>
  </si>
  <si>
    <t>CONCRETO P/VIBR., FCK 35 MPa COM AGREGADO ADQUIRIDO</t>
  </si>
  <si>
    <t>C0846</t>
  </si>
  <si>
    <t>CONCRETO P/VIBR., FCK 40 MPa COM AGREGADO ADQUIRIDO</t>
  </si>
  <si>
    <t>C3731</t>
  </si>
  <si>
    <t>CONCRETO P/VIBR., FCK 50MPa COM AGREGADO ADQUIRIDO</t>
  </si>
  <si>
    <t>C0847</t>
  </si>
  <si>
    <t>CONCRETO PRE-MISTURADO FCK=10 MPa</t>
  </si>
  <si>
    <t>C0848</t>
  </si>
  <si>
    <t>CONCRETO PRE-MISTURADO FCK 15 MPa</t>
  </si>
  <si>
    <t>C0849</t>
  </si>
  <si>
    <t>CONCRETO PRE-MISTURADO FCK 20 MPa</t>
  </si>
  <si>
    <t>C0850</t>
  </si>
  <si>
    <t>CONCRETO PRE-MISTURADO FCK 25 MPa</t>
  </si>
  <si>
    <t>C0851</t>
  </si>
  <si>
    <t>CONCRETO PRE-MISTURADO FCK 30 MPa</t>
  </si>
  <si>
    <t>C0852</t>
  </si>
  <si>
    <t>CONCRETO PRE-MISTURADO FCK 35 MPa</t>
  </si>
  <si>
    <t>C4169</t>
  </si>
  <si>
    <t>CONCRETO PRE-MISTURADO FCK 50 MPa</t>
  </si>
  <si>
    <t>C0853</t>
  </si>
  <si>
    <t>CONCRETO PRE-MISTURADO FCK 40 MPa</t>
  </si>
  <si>
    <t>C4170</t>
  </si>
  <si>
    <t>CONCRETO PRE-MISTURADO FCK 50 MPa - ALTO DESEMPENHO</t>
  </si>
  <si>
    <t>C4293</t>
  </si>
  <si>
    <t>CONCRETO PRÉ-MOLDADO FCK ACIMA DE 50 MPa INCLUSIVE LANÇAMENTO, CURA E TRANSPORTE</t>
  </si>
  <si>
    <t>C4303</t>
  </si>
  <si>
    <t>INJEÇÃO DE CONCRETO SUBMERSO C/ PLATAFORMA FLUTUANTE</t>
  </si>
  <si>
    <t>C4135</t>
  </si>
  <si>
    <t>LANÇAMENTO DE CONCRETO EM PRÉ-MOLDADO</t>
  </si>
  <si>
    <t>C1603</t>
  </si>
  <si>
    <t>LANÇAMENTO E APLICAÇÃO DE CONCRETO C/ ELEVAÇÃO</t>
  </si>
  <si>
    <t>C1604</t>
  </si>
  <si>
    <t>LANÇAMENTO E APLICAÇÃO DE CONCRETO S/ ELEVAÇÃO</t>
  </si>
  <si>
    <t>C3531</t>
  </si>
  <si>
    <t>MUTIRÃO MISTO - CONCRETO P/VIBR., FCK 13.5 MPa COM AGREGADO ADQUIRIDO</t>
  </si>
  <si>
    <t>ELEMENTOS DE CONCRETO PRÉ FABRICADO</t>
  </si>
  <si>
    <t>C3250</t>
  </si>
  <si>
    <t>CONFECÇÃO DE BANQUETA / MEIO FIO PRÉ-MOLDADA DE CONCRETO (1,00 x 0,25 x 0,15 m)</t>
  </si>
  <si>
    <t>C3251</t>
  </si>
  <si>
    <t>CONFECÇÃO DE BANQUETA / MEIO FIO  PRÉ-MOLDADA DE CONCRETO PARA VIAS URBANAS (1,00 x 0,35 x 0,15m)</t>
  </si>
  <si>
    <t>C3606</t>
  </si>
  <si>
    <t>CONFECÇÃO E MONTAGEM DE ABÓBADAS PRÉ-MOLDADAS DE CONCRETO P/TERMINAL RODOVIARIO  TIPO "A"</t>
  </si>
  <si>
    <t>C3609</t>
  </si>
  <si>
    <t>CONFECÇÃO E MONTAGEM DE PILAR PRÉ-MOLDADO DE CONCRETO P/TERMINAL RODOVIARIO  TIPO "A"</t>
  </si>
  <si>
    <t>C3607</t>
  </si>
  <si>
    <t>CONFECÇÃO E MONTAGEM DE PÓRTICO INDICATIVO PRÉ-MOLDADO DE CONCRETO P/TERMINAL RODOVIÁRIO</t>
  </si>
  <si>
    <t>C3608</t>
  </si>
  <si>
    <t>CONFECÇÃO E MONTAGEM DE SAPATA PRÉ-MOLDADA DE CONCRETO P/TERMINAL RODOVIÁRIO  TIPO "A"</t>
  </si>
  <si>
    <t>C3610</t>
  </si>
  <si>
    <t>CONFECÇÃO E MONTAGEM DE VIGA CALHA PRÉ-MOLDADA DE CONCRETO P/TERMINAL RODOVIÁRIO  TIPO "A"</t>
  </si>
  <si>
    <t>C3284</t>
  </si>
  <si>
    <t>ESTACAS DE CONCRETO ARMADO (2,20 x 0,10 x 0,10 M) P/ CERCAS</t>
  </si>
  <si>
    <t>C4449</t>
  </si>
  <si>
    <t>LAJE PRÉ-FABRICADA P/ FÔRRO - VÃO ATÉ 2 m</t>
  </si>
  <si>
    <t>C4418</t>
  </si>
  <si>
    <t>LAJE PRÉ-FABRICADA P/ FÔRRO - VÃO DE 2,01 A 3 m</t>
  </si>
  <si>
    <t>C4419</t>
  </si>
  <si>
    <t>LAJE PRÉ-FABRICADA P/ FÔRRO - VÃO DE 3,01 A 4 m</t>
  </si>
  <si>
    <t>C4420</t>
  </si>
  <si>
    <t>LAJE PRÉ-FABRICADA P/ FÔRRO - VÃO ACIMA DE 4,01 m</t>
  </si>
  <si>
    <t>C4448</t>
  </si>
  <si>
    <t>LAJE PRÉ-FABRICADA P/ PISO - VÃO ATÉ 2 m</t>
  </si>
  <si>
    <t>C4415</t>
  </si>
  <si>
    <t>LAJE PRÉ-FABRICADA P/ PISO - VÃO DE 2,01 A 3 m</t>
  </si>
  <si>
    <t>C4416</t>
  </si>
  <si>
    <t>LAJE PRÉ-FABRICADA P/ PISO - VÃO DE 3,01 A 4 m</t>
  </si>
  <si>
    <t>C4417</t>
  </si>
  <si>
    <t>LAJE PRÉ-FABRICADA P/ PISO - VÃO ACIMA DE 4,01 m</t>
  </si>
  <si>
    <t>C4455</t>
  </si>
  <si>
    <t>LAJE PRÉ-FABRICADA TRELIÇADA P/ FÔRRO - VÃO ATÉ 2,80 m</t>
  </si>
  <si>
    <t>C4456</t>
  </si>
  <si>
    <t>LAJE PRÉ-FABRICADA TRELIÇADA P/ FÔRRO - VÃO  DE 2,81 A 3,80 m</t>
  </si>
  <si>
    <t>C4457</t>
  </si>
  <si>
    <t>LAJE PRÉ-FABRICADA TRELIÇADA P/ FÔRRO - VÃO  DE 3,81 A 4,80 m</t>
  </si>
  <si>
    <t>C4458</t>
  </si>
  <si>
    <t>LAJE PRÉ-FABRICADA TRELIÇADA P/ FÔRRO - VÃO  ACIMA DE 4,81 m</t>
  </si>
  <si>
    <t>C4450</t>
  </si>
  <si>
    <t>LAJE PRÉ-FABRICADA TRELIÇADA P/ PISO - VÃO ATÉ 1,80 m</t>
  </si>
  <si>
    <t>C4451</t>
  </si>
  <si>
    <t>LAJE PRÉ-FABRICADA TRELIÇADA P/ PISO - VÃO DE 1,81 A 2,80 m</t>
  </si>
  <si>
    <t>C4452</t>
  </si>
  <si>
    <t>LAJE PRÉ-FABRICADA TRELIÇADA P/ PISO - VÃO DE 2,81 A 3,80 m</t>
  </si>
  <si>
    <t>C4453</t>
  </si>
  <si>
    <t>LAJE PRÉ-FABRICADA TRELIÇADA P/ PISO - VÃO DE 3,81 A 4,80 m</t>
  </si>
  <si>
    <t>C4454</t>
  </si>
  <si>
    <t>LAJE PRÉ-FABRICADA TRELIÇADA P/ PISO - VÃO ACIMA DE 4,81 m</t>
  </si>
  <si>
    <t>C2881</t>
  </si>
  <si>
    <t>MONTAGEM DE ANEL PRÉ-MOLDADO D=0,60m, h=0,50m</t>
  </si>
  <si>
    <t>C3459</t>
  </si>
  <si>
    <t>MONTAGEM  DE ANEL PRÉ-MOLDADO D=1,00m  h=0,50m</t>
  </si>
  <si>
    <t>C4598</t>
  </si>
  <si>
    <t>MONTAGEM DE ANEL PREMOLDADO D=1,20m h=0,50m MSD FUNASA TIPO 10 (MATERIAL E EXECUÇÃO)</t>
  </si>
  <si>
    <t>C3460</t>
  </si>
  <si>
    <t>MONTAGEM  DE ANEL PRÉ-MOLDADO D=1,50m  h=0,50m</t>
  </si>
  <si>
    <t>C2882</t>
  </si>
  <si>
    <t>MONTAGEM DE ANEL PRÉ-MOLDADO P/DECANTO DIGESTOR/FILTRO ANAERÓBIO</t>
  </si>
  <si>
    <t>C2883</t>
  </si>
  <si>
    <t>MONTAGEM DE CALHA VERTEDOURA PRÉ-MOLDADA P/FILTRO ANAERÓBIO</t>
  </si>
  <si>
    <t>C2884</t>
  </si>
  <si>
    <t>MONTAGEM DE CÂMARA DE DECANTAÇÃO PRÉ-MOLDADA</t>
  </si>
  <si>
    <t>C2885</t>
  </si>
  <si>
    <t>MONTAGEM DE TAMPA DE FECHAMENTO/LAJE DE FUNDO P/ANEL D=600MM</t>
  </si>
  <si>
    <t>C2886</t>
  </si>
  <si>
    <t>MONTAGEM DE TAMPA PRÉ-MOLDADA P/DECANTO/FILTRO/FUNDO FALSO</t>
  </si>
  <si>
    <t>C3289</t>
  </si>
  <si>
    <t>MOURÃO DE CONCRETO (2,20 x 0,15 x 0,15 M)</t>
  </si>
  <si>
    <t>C1838</t>
  </si>
  <si>
    <t>PAINEL PROTENDIDO P/PISOS/PAREDES DE VEDAÇÃO ESP.=10cm</t>
  </si>
  <si>
    <t>C1839</t>
  </si>
  <si>
    <t>PAINEL PROTENDIDO P/PISOS/PAREDES DE VEDAÇÃO ESP.=15cm</t>
  </si>
  <si>
    <t>C1840</t>
  </si>
  <si>
    <t>PAINEL PROTENDIDO P/PISOS/PAREDES DE VEDAÇÃO ESP.=20cm</t>
  </si>
  <si>
    <t>C1841</t>
  </si>
  <si>
    <t>PAINEL PROTENDIDO P/PISOS/PAREDES DE VEDAÇÃO ESP.=25cm</t>
  </si>
  <si>
    <t>C1842</t>
  </si>
  <si>
    <t>PAINEL-COBERTURA DE CONCRETO CELULAR AUTOCLAVADO ARMADO, C/ DIMENSÕES 7,5X40X280cm</t>
  </si>
  <si>
    <t>C1843</t>
  </si>
  <si>
    <t>PAINEL-LAJE DE CONCRETO CELULAR AUTOCLAVADO, C/ DIMENSÕES 10X40X280cm</t>
  </si>
  <si>
    <t>C1899</t>
  </si>
  <si>
    <t>PEÇAS PRÉ- MOLDADAS (PM) DE CONCRETO, ESP.= 3cm</t>
  </si>
  <si>
    <t>C1900</t>
  </si>
  <si>
    <t>PEÇAS PRÉ- MOLDADAS (PM) DE CONCRETO, ESP.= 4cm</t>
  </si>
  <si>
    <t>C1901</t>
  </si>
  <si>
    <t>PEÇAS PRÉ- MOLDADAS (PM) DE CONCRETO, ESP.= 5cm</t>
  </si>
  <si>
    <t>C1886</t>
  </si>
  <si>
    <t>PÉRGOLAS PRÉ-MOLDADAS (PM) DE CONCRETO, ESP.= 5cm</t>
  </si>
  <si>
    <t>JUNTA DE DILATAÇÃO</t>
  </si>
  <si>
    <t>C4998</t>
  </si>
  <si>
    <t>FUNGENBAND PARA JUNTA DE DILATAÇÃO, O-22, ATÉ  5MCA</t>
  </si>
  <si>
    <t>C4999</t>
  </si>
  <si>
    <t>FUNGENBAND PARA JUNTA DE DILATAÇÃO, O-22, ATÉ 30MCA</t>
  </si>
  <si>
    <t>C5000</t>
  </si>
  <si>
    <t>FUNGENBAND PARA JUNTA DE DILATAÇÃO, O-35/06, ATÉ 100MCA</t>
  </si>
  <si>
    <t>C5001</t>
  </si>
  <si>
    <t>FUNGENBAND PARA JUNTA DE DILATAÇÃO, O-35/10, ATÉ 100MCA</t>
  </si>
  <si>
    <t>C4073</t>
  </si>
  <si>
    <t>JUNTA ASFÁLTICA NAS PLACAS DOS TALUDES DAS LAGOAS (SEÇÃO 1,5 x 3,0 cm)</t>
  </si>
  <si>
    <t>C3732</t>
  </si>
  <si>
    <t>JUNTA DE DILATAÇÃO À BASE DE MASTIQUE (1.00 x 1.00cm)</t>
  </si>
  <si>
    <t>C4209</t>
  </si>
  <si>
    <t>JUNTA DILATAÇÃO COM CORDA DE SISAL E ASFALTO OXIDADO (SEÇÃO 1,5 x 3 cm)</t>
  </si>
  <si>
    <t>C5009</t>
  </si>
  <si>
    <t xml:space="preserve">JUNTA DE MOVIMENTAÇÃO PARA ESTRUTURA DE CONCRETO DE 20 X 40 MM (TIPO JUNTA JEENE 20/30 VV OU SIMILAR)
</t>
  </si>
  <si>
    <t>C5008</t>
  </si>
  <si>
    <t xml:space="preserve">JUNTA DE MOVIMENTAÇÃO PARA ESTRUTURA DE CONCRETO DE 25 X 50 MM (TIPO JUNTA JEENE 25/40 VV OU SIMILAR)
</t>
  </si>
  <si>
    <t>C5007</t>
  </si>
  <si>
    <t>JUNTA DE MOVIMENTAÇÃO PARA ESTRUTURA DE CONCRETO DE 35 X 60 MM (TIPO JUNTA JEENE 35/50 VV OU SIMILAR)</t>
  </si>
  <si>
    <t>C5010</t>
  </si>
  <si>
    <t xml:space="preserve">JUNTA DE MOVIMENTAÇÃO PARA ESTRUTURA DE CONCRETO DE 50 X 80 MM (TIPO JUNTA JEENE 50/70 VV OU SIMILAR)
</t>
  </si>
  <si>
    <t>C4571</t>
  </si>
  <si>
    <t>MASTIQUE BETUMINOSO MODIFICADO COM POLIURETANO, TIXOTRÓPICO, BICOMPONENTE PARA JUNTA DE DILATAÇÃO</t>
  </si>
  <si>
    <t>C1814</t>
  </si>
  <si>
    <t>NEOPRENE P/ JUNTAS DE DILATAÇÃO</t>
  </si>
  <si>
    <t>C2268</t>
  </si>
  <si>
    <t>SELANTE ELASTRÔMETRO P/ JUNTA DE DILATAÇÃO</t>
  </si>
  <si>
    <t>RECUPERAÇÃO ESTRUTURAL</t>
  </si>
  <si>
    <t>ACABAMENTO DE PEDREIRO</t>
  </si>
  <si>
    <t>C0094</t>
  </si>
  <si>
    <t>APICOAMENTO EM CONCRETO/PREPARO DA SUPERFÍCIE</t>
  </si>
  <si>
    <t>C0098</t>
  </si>
  <si>
    <t>APLICAÇÃO DE ADESIVO ESTRUTURAL BASE EPOXI</t>
  </si>
  <si>
    <t>C0809</t>
  </si>
  <si>
    <t>COLOCAÇÃO DE INJETORES</t>
  </si>
  <si>
    <t>C3156</t>
  </si>
  <si>
    <t>CONCRETO PROJETADO (MEDIDO NA MÁQUINA 35MPa)</t>
  </si>
  <si>
    <t>C0929</t>
  </si>
  <si>
    <t>CORTE EM CONCRETO DETERIORADO</t>
  </si>
  <si>
    <t>C3083</t>
  </si>
  <si>
    <t>EXECUÇÃO DE FUROS EM CONCRETO C/BROCA 1/2"&lt;= D &lt;=1"</t>
  </si>
  <si>
    <t>C3082</t>
  </si>
  <si>
    <t>EXECUÇÃO DE FUROS EM CONCRETO C/BROCA 1"&lt; D &lt;=1 1/2"</t>
  </si>
  <si>
    <t>C4410</t>
  </si>
  <si>
    <t>EXECUÇÃO DE FURO EM CONCRETO COM BROCA - Ø 1 1/2" A 2"</t>
  </si>
  <si>
    <t>C3084</t>
  </si>
  <si>
    <t>EXECUÇÃO DE PINGADEIRAS</t>
  </si>
  <si>
    <t>C3467</t>
  </si>
  <si>
    <t>FORNECIMENTO E COLOCAÇÃO DE CHUMBADOR PARABOULT DE  3/4" a 1"</t>
  </si>
  <si>
    <t>C2830</t>
  </si>
  <si>
    <t>FORNECIMENTO E CRAVAÇÃO DE PINOS C/PISTOLA P/FIXAÇÃO DE TELA</t>
  </si>
  <si>
    <t>C1523</t>
  </si>
  <si>
    <t>JATEAMENTO DE AR COMPRIMIDO, P/LIMPEZA DE SUPERFÍCIES</t>
  </si>
  <si>
    <t>C1524</t>
  </si>
  <si>
    <t>JATEAMENTO DE AREIA À SECO EM SUPERFÍCIES</t>
  </si>
  <si>
    <t>C3091</t>
  </si>
  <si>
    <t>LIMPEZA COM JATO DE AREIA/ÁGUA</t>
  </si>
  <si>
    <t>C3095</t>
  </si>
  <si>
    <t>LIMPEZA DE SUPERFÍCIE C/ ESCOVA DE AÇO</t>
  </si>
  <si>
    <t>C2900</t>
  </si>
  <si>
    <t>PINTURA PROTEÇÃO C/INIBIDOR MIGRATÓRIO CORROSÃO, 3 DEMÃOS</t>
  </si>
  <si>
    <t>C4738</t>
  </si>
  <si>
    <t>RECUPERAÇÃO CONCRETO, C/REFORÇO E RECONSTITUIÇÃO “GROUNT”, ESP.=60MM</t>
  </si>
  <si>
    <t>C4737</t>
  </si>
  <si>
    <t xml:space="preserve">RECUPERAÇÃO CONCRETO, C/MICROCONCRETO FLUIDO, ESP.=300MM
</t>
  </si>
  <si>
    <t>C4739</t>
  </si>
  <si>
    <t>RECUPERAÇÃO CONCRETO, S/REFORÇO E RECONSTITUIÇÃO “GROUNT”, ESP.=60MM</t>
  </si>
  <si>
    <t>C4740</t>
  </si>
  <si>
    <t>RECUPERAÇÃO CONCRETO, S/REFORÇO RECONSTITUIÇÃO C/ ARGAMASSA POLIMÉRICA ESP.=25MM</t>
  </si>
  <si>
    <t>C4741</t>
  </si>
  <si>
    <t>RECUPERAÇÃO CONCRETO, SÓ REFORÇO DA ARMADURA</t>
  </si>
  <si>
    <t>C3102</t>
  </si>
  <si>
    <t>RECUPERAÇÃO DE GUARDA CORPO</t>
  </si>
  <si>
    <t>C3106</t>
  </si>
  <si>
    <t>REPOSIÇÃO DE ARMADURA OXIDADA (REFORÇO, FORNECIMENTO, DOBBRAGEM E COLOCAÇÃO)</t>
  </si>
  <si>
    <t>C3114</t>
  </si>
  <si>
    <t>SELAGEM DE FISSURAS C/ INJEÇÃO DE RESINAS</t>
  </si>
  <si>
    <t>RASGO EM CONCRETO  PARA TUBULAÇÕES</t>
  </si>
  <si>
    <t>C2098</t>
  </si>
  <si>
    <t>RASGO EM CONCRETO P/TUBULAÇÕES D=15 A 25mm (1/2" A 1")</t>
  </si>
  <si>
    <t>C2099</t>
  </si>
  <si>
    <t>RASGO EM CONCRETO P/TUBULAÇÕES D=32 A 50mm (1 1/4" A 2")</t>
  </si>
  <si>
    <t>C2100</t>
  </si>
  <si>
    <t>RASGO EM CONCRETO P/TUBULAÇÕES D=65 A 100mm (2 1/2" A 4")</t>
  </si>
  <si>
    <t>OUTROS ELEMENTOS</t>
  </si>
  <si>
    <t>C0090</t>
  </si>
  <si>
    <t>APARELHO DE APOIO EM NEOPRENE</t>
  </si>
  <si>
    <t>C3402</t>
  </si>
  <si>
    <t>BLOCO DE ANCORAGEM EM CONCRETO CICLÓPICO</t>
  </si>
  <si>
    <t>C3403</t>
  </si>
  <si>
    <t>BLOCO DE ANCORAGEM EM CONCRETO SIMPLES FCK=10MPa</t>
  </si>
  <si>
    <t>C3404</t>
  </si>
  <si>
    <t>BLOCO DE ANCORAGEM EM CONCRETO ESTRUTURAL FCK=15MPa</t>
  </si>
  <si>
    <t>C4098</t>
  </si>
  <si>
    <t>BLOCO DE POLIESTIRENO EXPANDIDO (ISOPOR) EM CAIXÃO PERDIDO</t>
  </si>
  <si>
    <t>C4379</t>
  </si>
  <si>
    <t>CANTONEIRA EM AÇO (6 x 6 x 1/2") - FORNECIMENTO E COLOCAÇÃO</t>
  </si>
  <si>
    <t>C3068</t>
  </si>
  <si>
    <t>DRENO DE PVC D= 75mm</t>
  </si>
  <si>
    <t>C4297</t>
  </si>
  <si>
    <t>DRENOS DE PVC D=75mm</t>
  </si>
  <si>
    <t>C3069</t>
  </si>
  <si>
    <t>DRENO DE PVC D=100mm</t>
  </si>
  <si>
    <t>C4326</t>
  </si>
  <si>
    <t>FORNECIMENTO E COLOCAÇÃO DE CANTONEIRA EM AÇO SAC (3"X3"X5/16")</t>
  </si>
  <si>
    <t>C3088</t>
  </si>
  <si>
    <t>FORNECIMENTO E COLOCAÇÃO DE CANTONEIRA DE FERRO (4"X4"X3/8")</t>
  </si>
  <si>
    <t>C2829</t>
  </si>
  <si>
    <t>FORNECIMENTO E COLOCAÇÃO DE ISOPOR 20MM (PLACA DE 1,20 X 0,60M)</t>
  </si>
  <si>
    <t xml:space="preserve"> M2</t>
  </si>
  <si>
    <t>C3089</t>
  </si>
  <si>
    <t>GUARDA CORPO (VARANDA)</t>
  </si>
  <si>
    <t>C1094</t>
  </si>
  <si>
    <t>MONTAGEM DE APOIO AOS PÓRTICOS</t>
  </si>
  <si>
    <t>CONTENÇÕES</t>
  </si>
  <si>
    <t>ENROCAMENTO E PROTEÇÃO DE TALUDES</t>
  </si>
  <si>
    <t>C3077</t>
  </si>
  <si>
    <t>ENROCAMENTO DE PEDRA ARRUMADA (PRODUZIDA) (S/TRANSPORTE)</t>
  </si>
  <si>
    <t>C2764</t>
  </si>
  <si>
    <t>ENROCAMENTO DE PEDRA DE MÃO ARRUMADA (ADQUIRIDA)</t>
  </si>
  <si>
    <t>C2765</t>
  </si>
  <si>
    <t>ENROCAMENTO DE PEDRA DE MÃO JOGADA (ADQUIRIDA)</t>
  </si>
  <si>
    <t>C3078</t>
  </si>
  <si>
    <t>ENROCAMENTO DE PEDRA JOGADA (PRODUZIDA) (S/TRANSPORTE)</t>
  </si>
  <si>
    <t>C3079</t>
  </si>
  <si>
    <t>ENROCAMENTO DE PEDRA JOGADA DE CORTE DE 3.ª CATEGORIA (S/TRANSPORTE)</t>
  </si>
  <si>
    <t>ENSECADEIRAS</t>
  </si>
  <si>
    <t>C2767</t>
  </si>
  <si>
    <t>ENSECADEIRA COM SACOS DE AREIA, S/ FORNECIMENTO DE AREIA</t>
  </si>
  <si>
    <t>C1244</t>
  </si>
  <si>
    <t>ENSECADEIRA DE PAREDE SIMPLES</t>
  </si>
  <si>
    <t>C1243</t>
  </si>
  <si>
    <t>ENSECADEIRA DE PAREDE DUPLA</t>
  </si>
  <si>
    <t>MURO DE ARRIMO</t>
  </si>
  <si>
    <t>C1808</t>
  </si>
  <si>
    <t>MURO DE ARRIMO C/ BLOCOS DE CONCRETO ARTICULADO (30X15X28)cm</t>
  </si>
  <si>
    <t>C1809</t>
  </si>
  <si>
    <t>MURO DE ARRIMO C/ BLOCOS DE CONCRETO ARTICULADO (60X45X15)cm  C/INJEÇÃO ATÉ 2,5m</t>
  </si>
  <si>
    <t>C1810</t>
  </si>
  <si>
    <t>MURO DE ARRIMO C/GABIÃO, ALTURA 2m</t>
  </si>
  <si>
    <t>C1811</t>
  </si>
  <si>
    <t>MURO DE ARRIMO C/GABIÃO, ALTURA 4m</t>
  </si>
  <si>
    <t>GABIÕES</t>
  </si>
  <si>
    <t>C2763</t>
  </si>
  <si>
    <t>ENCHIMENTO DE GABIÃO COM PEDRA DE MÃO</t>
  </si>
  <si>
    <t>C1317</t>
  </si>
  <si>
    <t>ESTIVAS - ESTRUTURAS SUBMERSAS C/GABIÕES-SACO ALT.= 1m</t>
  </si>
  <si>
    <t>C1422</t>
  </si>
  <si>
    <t>GABIÃO COLCHÃO ESP.= 30cm</t>
  </si>
  <si>
    <t>C1420</t>
  </si>
  <si>
    <t>GABIÃO P/EXECUÇÃO DE OBRAS</t>
  </si>
  <si>
    <t>C2834</t>
  </si>
  <si>
    <t>GABIÃO TELA GALV. REVEST. PVC TIPO CAIXA ALT.=0,50m</t>
  </si>
  <si>
    <t>C2835</t>
  </si>
  <si>
    <t>GABIÃO TELA GALV. REVEST. PVC TIPO CAIXA ALT.=1,00m</t>
  </si>
  <si>
    <t>C2836</t>
  </si>
  <si>
    <t>GABIÃO TELA GALV. REVEST. PVC TIPO COLCHÃO RENO ALT.=0,17m</t>
  </si>
  <si>
    <t>C2837</t>
  </si>
  <si>
    <t>GABIÃO TELA GALV. REVEST. PVC TIPO COLCHÃO RENO ALT.=0,23m</t>
  </si>
  <si>
    <t>C2838</t>
  </si>
  <si>
    <t>GABIÃO TELA GALV. REVEST. PVC TIPO COLCHÃO RENO ALT.=0,30m</t>
  </si>
  <si>
    <t>PAREDES E PAINÉIS</t>
  </si>
  <si>
    <t>ALVENARIA DE ELEVAÇÃO</t>
  </si>
  <si>
    <t>C0047</t>
  </si>
  <si>
    <t>ALVENARIA DE BLOCO CERÂMICO FURADO (9x19x39)cm  C/ARGAMASSA MISTA DE CAL HIDRATADA, ESP=9 cm</t>
  </si>
  <si>
    <t>C0046</t>
  </si>
  <si>
    <t>ALVENARIA DE BLOCO CERÂMICO FURADO (19x19x39)cm C/ARGAMASSA MISTA DE CAL HIDRATADA ESP=19 cm</t>
  </si>
  <si>
    <t>C3612</t>
  </si>
  <si>
    <t>ALVENARIA DE BLOCO DE CONCRETO TIPO STONE CINZA (14x19x49)cm C/ARGAMASSA MISTA DE CAL HIDRATADA ESP=14 CM</t>
  </si>
  <si>
    <t>C3613</t>
  </si>
  <si>
    <t xml:space="preserve">ALVENARIA DE BLOCO DE CONCRETO TIPO STONE COLORIDO (14x19x49)cm C/ARGAMASSA MISTA DE CAL HIDRATADA ESP=14 cm
</t>
  </si>
  <si>
    <t>C3743</t>
  </si>
  <si>
    <t>ALVENARIA DE BLOCO DE CONCRETO (9x19x39)cm C/ARGAMASSA MISTA DE CAL HIDRATADA ESP=9 cm</t>
  </si>
  <si>
    <t>C3744</t>
  </si>
  <si>
    <t>ALVENARIA DE BLOCO DE CONCRETO (14x19x39)cm C/ARGAMASSA MISTA DE CAL HIDRATADA ESP=14 cm</t>
  </si>
  <si>
    <t>C0048</t>
  </si>
  <si>
    <t>ALVENARIA DE BLOCO DE CONCRETO (19x19x39)cm C/ARGAMASSA MISTA DE CAL HIDRATADA ESP=19 cm</t>
  </si>
  <si>
    <t>C0050</t>
  </si>
  <si>
    <t>ALVENARIA DE BLOCO DE VIDRO C/ARGAMASSA MISTA DE CAL HIDRATADA ESP=10 cm</t>
  </si>
  <si>
    <t>C0073</t>
  </si>
  <si>
    <t>ALVENARIA DE TIJOLO CERÂMICO FURADO (9x19x19)cm C/ARGAMASSA MISTA DE CAL HIDRATADA ESP.=10cm (1:2:8)</t>
  </si>
  <si>
    <t>C0074</t>
  </si>
  <si>
    <t>ALVENARIA DE TIJOLO CERÂMICO FURADO (9x19x19)cm C/ARGAMASSA MISTA DE CAL HIDRATADA ESP=20 cm</t>
  </si>
  <si>
    <t>C3658</t>
  </si>
  <si>
    <t>ALVENARIA DE TIJOLO CERÂMICO FURADO (9x19x19)cm C/ARGAMASSA MISTA DE CAL HIDRATADA, ESP=30cm</t>
  </si>
  <si>
    <t>C0075</t>
  </si>
  <si>
    <t>ALVENARIA DE TIJOLO COMUM C/ARGAMASSA MISTA DE CAL HIDRATADA 1:2:8   ESP=5 cm</t>
  </si>
  <si>
    <t>C0076</t>
  </si>
  <si>
    <t>ALVENARIA DE TIJOLO COMUM C/ARGAMASSA MISTA DE CAL HIDRATADA 1:2:8   ESP=10 cm</t>
  </si>
  <si>
    <t>C0077</t>
  </si>
  <si>
    <t>ALVENARIA DE TIJOLO COMUM C/ARGAMASSA MISTA DE CAL HIDRATADA 1:2:8   ESP=20 cm</t>
  </si>
  <si>
    <t>C0078</t>
  </si>
  <si>
    <t>ALVENARIA DE TIJOLO COMUM C/ARGAMASSA MISTA DE CAL HIDRATADA 1:2:8   ESP=30 cm</t>
  </si>
  <si>
    <t>C3614</t>
  </si>
  <si>
    <t>ALVENARIA DE TIJOLO MACIÇO APARENTE (23x11x5)cm C/ARGAMASSA MISTA DE CAL HIDRATADA, ESP=11 cm</t>
  </si>
  <si>
    <t>C3615</t>
  </si>
  <si>
    <t>ALVENARIA DE TIJOLO MACIÇO APARENTE (23x11x5)cm C/ARGAMASSA MISTA DE CAL HIDRATADA ESP=22 cm</t>
  </si>
  <si>
    <t>C0061</t>
  </si>
  <si>
    <t>ALVENARIA DE TIJOLO REFRATÁRIO 1/2 VEZ C/ARGAMASSA 1:4+100 Kg CIMENTO</t>
  </si>
  <si>
    <t>C0060</t>
  </si>
  <si>
    <t>ALVENARIA DE TIJOLO REFRATÁRIO 1 VEZ C/ARGAMASSA 1:4+100 Kg CIMENTO</t>
  </si>
  <si>
    <t>C3533</t>
  </si>
  <si>
    <t>MUTIRÃO MISTO - ALVENARIA DE TIJOLO CERÂMICO FURADO (9X19X19)cm ARGAMASSA MISTA DE CAL HIDRATADA ESP=10CM</t>
  </si>
  <si>
    <t>C4507</t>
  </si>
  <si>
    <t>PAREDE DE BLOCO DE GESSO STAND, INCLUSIVE EMASSAMENTO - FORNECIMENTO E EXECUÇÃO</t>
  </si>
  <si>
    <t>C4508</t>
  </si>
  <si>
    <t>PAREDE DE BLOCO DE GESSO HIDROFUGANTE, INCLUSIVE EMASSAMENTO - FORNECIMENTO E EXECUÇÃO</t>
  </si>
  <si>
    <t>ALVENARIA ESTRUTURAL</t>
  </si>
  <si>
    <t>C0068</t>
  </si>
  <si>
    <t>ALVENARIA ESTRUTURAL DE BLOCO DE CONCRETO (14x19x39)cm C/ARGAMASSA MISTA DE CAL HIDRATADA ESP=14 cm</t>
  </si>
  <si>
    <t>C0069</t>
  </si>
  <si>
    <t>ALVENARIA ESTRUTURAL DE BLOCO DE CONCRETO (19x19x39)cm C/ARGAMASSA MISTA DE CAL HIDRATADA ESP=19 cm</t>
  </si>
  <si>
    <t>C0064</t>
  </si>
  <si>
    <t>ALVENARIA ESTRUTURAL DE BLOCO CERÂMICO (9X19X39cm) ESP.=9cm</t>
  </si>
  <si>
    <t>C0062</t>
  </si>
  <si>
    <t>ALVENARIA ESTRUTURAL DE BLOCO CERÂMICO (14X19X39cm) ESP.=14cm</t>
  </si>
  <si>
    <t>C4542</t>
  </si>
  <si>
    <t>ALVENARIA ESTRUTURAL DE BLOCO CERÂMICO (14X19X39cm) ESP.=14cm - COM SUPERFÍCIE EXTERNA LISA PARA ACABAMENTO APARENTE</t>
  </si>
  <si>
    <t>C0063</t>
  </si>
  <si>
    <t>ALVENARIA ESTRUTURAL DE BLOCO CERÂMICO (19X19X39cm) ESP.=19cm</t>
  </si>
  <si>
    <t>C4585</t>
  </si>
  <si>
    <t>ALVENARIA ESTRUTURAL DE BLOCO CERÂMICO COM SUPERFÍCIES EXTERNA LISA, PARA ACABAMENTO APARENTE (14x19x29)cm ESP. 14cm, INCLUSIVE PEÇAS ESPECIAIS CALHA U E J</t>
  </si>
  <si>
    <t>C0079</t>
  </si>
  <si>
    <t>AMARRAÇÃO EM PAREDES, COM FERRO</t>
  </si>
  <si>
    <t>C4952</t>
  </si>
  <si>
    <t>PAREDE PRÉ-MOLDADA EM CONCRETO ARMADO, REFORÇADA PARA PENITENCIÁRIA, ESP.=13CM,
INCLUSIVE TRANSPORTE E MONTAGEM</t>
  </si>
  <si>
    <t>C4953</t>
  </si>
  <si>
    <t>PAREDE PRÉ-MOLDADA EM CONCRETO ARMADO, REFORÇADA PARA PENITENCIÁRIA, ESP.=16CM, INCLUSIVE TRANSPORTE E MONTAGEM</t>
  </si>
  <si>
    <t>ALVENARIA DE PEDRA</t>
  </si>
  <si>
    <t>C3345</t>
  </si>
  <si>
    <t>ALVENARIA DE PEDRA ARGAMASSADA (TRAÇO 1:3) C/AGREGADOS ADQUIRIDOS</t>
  </si>
  <si>
    <t>C3346</t>
  </si>
  <si>
    <t>ALVENARIA DE PEDRA ARGAMASSADA (TRAÇO 1:3) C/AGREGADOS PRODUZIDOS (S/TRANSP)</t>
  </si>
  <si>
    <t>C3347</t>
  </si>
  <si>
    <t>ALVENARIA DE PEDRA ARGAMASSADA (TRAÇO 1:4) C/AGREGADOS ADQUIRIDOS</t>
  </si>
  <si>
    <t>C0057</t>
  </si>
  <si>
    <t>ALVENARIA DE PEDRA ARGAMASSADA (TRAÇO 1:4) C/AGREGADOS PRODUZIDOS (S/TRANSP)</t>
  </si>
  <si>
    <t>C3723</t>
  </si>
  <si>
    <t>ALVENARIA DE PEDRA ARGAMASSADA (TRAÇO 1:6) C/AGREGADOS ADQUIRIDOS</t>
  </si>
  <si>
    <t>C0058</t>
  </si>
  <si>
    <t>ALVENARIA DE PEDRA ARGAMASSADA (TRAÇO 1:2:8) C/ AGREGADOS ADQUIRIDOS</t>
  </si>
  <si>
    <t>C3529</t>
  </si>
  <si>
    <t>MUTIRÃO MISTO - ALVENARIA DE PEDRA ARGAMASSADA (TRAÇO 1:6) C/AGREGADOS ADQUIRIDOS</t>
  </si>
  <si>
    <t>RASGO EM ALVENARIA P/ TUBULAÇÕES</t>
  </si>
  <si>
    <t>C2095</t>
  </si>
  <si>
    <t>RASGO EM ALVENARIA P/TUBULAÇÕES D=15 A 25mm (1/2" A 1")</t>
  </si>
  <si>
    <t>C2096</t>
  </si>
  <si>
    <t>RASGO EM ALVENARIA P/TUBULAÇÕES D=32 A 50mm (1 1/4" A 2")</t>
  </si>
  <si>
    <t>C2097</t>
  </si>
  <si>
    <t>RASGO EM ALVENARIA P/TUBULAÇÕES D=65 A 100mm (2 1/2" A 4")</t>
  </si>
  <si>
    <t>DIVISÓRIAS</t>
  </si>
  <si>
    <t>C4495</t>
  </si>
  <si>
    <t>DIVISÓRIA DE GESSO ACARTONADO e=48mm, S/ REVESTIMENTO - FORNECIMENTO E MONTAGEM</t>
  </si>
  <si>
    <t>C4496</t>
  </si>
  <si>
    <t>DIVISÓRIA DE GESSO ACARTONADO e=70mm, S/ REVESTIMENTO - FORNECIMENTO E MONTAGEM</t>
  </si>
  <si>
    <t>C1134</t>
  </si>
  <si>
    <t>DIVISÓRIA DE GRANILITE C/ARGAMASSA DE CIMENTO E AREIA</t>
  </si>
  <si>
    <t>C4070</t>
  </si>
  <si>
    <t>DIVISÓRIA DE GRANITO CINZA E=2cm</t>
  </si>
  <si>
    <t>C4096</t>
  </si>
  <si>
    <t>DIVISÓRIA DE GRANITO CINZA E=3cm</t>
  </si>
  <si>
    <t>C1142</t>
  </si>
  <si>
    <t>DIVISÓRIA PRÉ-MOLDADA EM CONCRETO ESP.=5cm</t>
  </si>
  <si>
    <t>C4486</t>
  </si>
  <si>
    <t>DIVISÓRIA PAINEL CELULAR, MONTANTE/RODAPÉ SIMPLES, PERFIL EM AÇO - FORNECIMENTO E MONTAGEM</t>
  </si>
  <si>
    <t>C4488</t>
  </si>
  <si>
    <t>DIVISÓRIA PAINEL CELULAR, MONTANTE/RODAPÉ SIMPLES, PERFIL EM ALUMÍNIO - FORNECIMENTO E MONTAGEM</t>
  </si>
  <si>
    <t>C4487</t>
  </si>
  <si>
    <t>DIVISÓRIA PAINEL CELULAR, MONTANTE/RODAPÉ DUPLO, PERFIL EM AÇO - FORNECIMENTO E MONTAGEM</t>
  </si>
  <si>
    <t>C4489</t>
  </si>
  <si>
    <t>DIVISÓRIA PAINEL CELULAR, MONTANTE/RODAPÉ DUPLO, PERFIL EM ALUMÍNIO - FORNECIMENTO E MONTAGEM</t>
  </si>
  <si>
    <t>C4497</t>
  </si>
  <si>
    <t>DIVISÓRIA PAINEL FIBRAROC, MONTANTE/RODAPÉ SIMPLES, PERFIL EM AÇO - FORNECIMENTO E MONTAGEM</t>
  </si>
  <si>
    <t>C4498</t>
  </si>
  <si>
    <t>DIVISÓRIA PAINEL FIBRAROC, MONTANTE/RODAPÉ SIMPLES, PERFIL EM ALUMÍNIO - FORNECIMENTO E MONTAGEM</t>
  </si>
  <si>
    <t>C4499</t>
  </si>
  <si>
    <t>DIVISÓRIA PAINEL FIBRAROC, MONTANTE/RODAPÉ DUPLO, PERFIL EM AÇO - FORNECIMENTO E MONTAGEM</t>
  </si>
  <si>
    <t>C4500</t>
  </si>
  <si>
    <t>DIVISÓRIA PAINEL FIBRAROC, MONTANTE/RODAPÉ DUPLO, PERFIL EM ALUMÍNIO - FORNECIMENTO E MONTAGEM</t>
  </si>
  <si>
    <t>C4493</t>
  </si>
  <si>
    <t>DIVISÓRIA PAINEL PVC, MONTANTE/RODAPÉ SIMPLES, PERFIL EM AÇO - FORNECIMENTO E MONTAGEM</t>
  </si>
  <si>
    <t>C4494</t>
  </si>
  <si>
    <t>DIVISÓRIA PAINEL PVC, MONTANTE/RODAPÉ SIMPLES, PERFIL EM ALUMÍNIO - FORNECIMENTO E MONTAGEM</t>
  </si>
  <si>
    <t>C5214</t>
  </si>
  <si>
    <t>REMANEJAMENTO DE DIVISÓRIA LEVE - DESMONTAGEM E REMONTAGEM</t>
  </si>
  <si>
    <t>C4490</t>
  </si>
  <si>
    <t>VÃO DE PORTA - PORTA COMPLETA C/ FECHADURA TIPO CILINDRO, P/ DIVISÓRIAS EM GERAL (SEM REQUADRO) - FORNECIMENTO E MONTAGEM</t>
  </si>
  <si>
    <t>C4491</t>
  </si>
  <si>
    <t>VÃO DE PORTA - PORTA COMPLETA C/ FECHADURA TIPO CILINDRO, P/ DIVISÓRIAS EM GERAL (COM REQUADRO EM ALUMÍNIO) - FORNECIMENTO E MONTAGEM</t>
  </si>
  <si>
    <t>C4492</t>
  </si>
  <si>
    <t>VIDRO TRANSPARENTE LISO 4mm, P/ DIVISÓRIAS EM GERAL FORNECIMENTO E MONTAGEM</t>
  </si>
  <si>
    <t>ELEMENTOS VAZADOS</t>
  </si>
  <si>
    <t>C1177</t>
  </si>
  <si>
    <t>ALVENARIA DE BLOCOS DE VIDRO (20x20x10)cm</t>
  </si>
  <si>
    <t>C1174</t>
  </si>
  <si>
    <t>ALVENARIA DE ELEMENTO VAZADO CERÂMICO (20X20X10cm) C/ARG. CIMENTO E AREIA TRAÇO 1:3</t>
  </si>
  <si>
    <t>C1175</t>
  </si>
  <si>
    <t>ALVENARIA DE ELEMENTO VAZADO DE CONCRETO (20X10X6cm) C/ARG. CIMENTO E AREIA TRAÇO 1:3 ANTI-CHUVA</t>
  </si>
  <si>
    <t>C1176</t>
  </si>
  <si>
    <t>ALVENARIA DE ELEMENTO VAZADO DE CONCRETO (20X20X20cm) C/ARG. CIMENTO E AREIA TRAÇO 1:3</t>
  </si>
  <si>
    <t>C0051</t>
  </si>
  <si>
    <t>ALVENARIA DE ELEMENTO VAZADO DE CONCRETO (32X12X6cm) C/ARG. CIMENTO E AREIA TRAÇO 1:3 TIPO PESTANA</t>
  </si>
  <si>
    <t>C0052</t>
  </si>
  <si>
    <t>ALVENARIA DE ELEMENTO VAZADO DE CONCRETO (50X50X6cm) C/ARG. CIMENTO E AREIA TRAÇO 1:3 ANTI-CHUVA</t>
  </si>
  <si>
    <t>C0804</t>
  </si>
  <si>
    <t>COBOGÓ ANTI-CHUVA (50x40)cm C/ARG. CIMENTO E AREIA TRAÇO 1:3</t>
  </si>
  <si>
    <t>C0805</t>
  </si>
  <si>
    <t>COBOGÓ DE CIMENTO TIPO DIAMANTE</t>
  </si>
  <si>
    <t>C0806</t>
  </si>
  <si>
    <t>COBOGÓ DE CIMENTO TIPO VENEZIANO (50X50X6)cm C/ARG. CIMENTO E AREIA TRAÇO 1:3</t>
  </si>
  <si>
    <t>C4525</t>
  </si>
  <si>
    <t>COBOGÓ DE VIDRO (20x10x18)cm</t>
  </si>
  <si>
    <t>C3534</t>
  </si>
  <si>
    <t>MUTIRÃO MISTO - COBOGÓ ANTI-CHUVA (50X40)cm</t>
  </si>
  <si>
    <t>VERGAS E CHAPIM</t>
  </si>
  <si>
    <t>C3521</t>
  </si>
  <si>
    <t>CHAPIM EM GRANITO VERDE MERUOCA</t>
  </si>
  <si>
    <t>C0773</t>
  </si>
  <si>
    <t>CHAPIM PRÉ-MOLDADO DE CONCRETO</t>
  </si>
  <si>
    <t>C3532</t>
  </si>
  <si>
    <t>MUTIRÃO MISTO - VERGA RETA DE CONCRETO ARMADO</t>
  </si>
  <si>
    <t>C2665</t>
  </si>
  <si>
    <t>VERGA EM ARCO DE CONCRETO ARMADO</t>
  </si>
  <si>
    <t>C2666</t>
  </si>
  <si>
    <t>VERGA RETA DE CONCRETO ARMADO</t>
  </si>
  <si>
    <t>C0383</t>
  </si>
  <si>
    <t>BATE-MACAS EM AÇO INOXIDÁVEL CONTRA IMPACTO EM PAREDE</t>
  </si>
  <si>
    <t>C0384</t>
  </si>
  <si>
    <t>BATE-MACAS EM MADEIRA BOLEADA</t>
  </si>
  <si>
    <t>C4501</t>
  </si>
  <si>
    <t>FACHADA DE VIDRO TEMPERADO DE 10mm FIXADO COM SPIDER GLASS</t>
  </si>
  <si>
    <t>C4444</t>
  </si>
  <si>
    <t>FACHADA METÁLICA PADRÃO PARA DELEGACIAS</t>
  </si>
  <si>
    <t>C1391</t>
  </si>
  <si>
    <t>FLANELÓGRAFO EM MONTANTE DE MADEIRA</t>
  </si>
  <si>
    <t>C1791</t>
  </si>
  <si>
    <t>MESA EM ALVENARIA, TAMPO CONCRETO PRÉ-MOLDADO, ACABADA</t>
  </si>
  <si>
    <t>C1836</t>
  </si>
  <si>
    <t>PAINEL ESTRUTURADO AÇO INOX, ESCOVADO CHAPA 20</t>
  </si>
  <si>
    <t>C1837</t>
  </si>
  <si>
    <t>PAINEL INFORMATIVO DUPLO C/PORTA DE CORRER EM VIDRO</t>
  </si>
  <si>
    <t>C1897</t>
  </si>
  <si>
    <t>PEÇA DE MADEIRA BOLEADA NAS QUINAS FIXADAS EM PAREDES</t>
  </si>
  <si>
    <t>C0032</t>
  </si>
  <si>
    <t>PORTA EM PVC P/DIVISÓRIA (0,80X2,10)M COMPLETA - FORNECIMENTO E MONTAGEM</t>
  </si>
  <si>
    <t>C4756</t>
  </si>
  <si>
    <t xml:space="preserve">PRATELEIRA DE GRANITO CINZA ESP.=2CM                                    
</t>
  </si>
  <si>
    <t>C2910</t>
  </si>
  <si>
    <t>PRATELEIRA DE MADEIRA DE LEI PLAINADA</t>
  </si>
  <si>
    <t>C2023</t>
  </si>
  <si>
    <t>PRATELEIRA DE MÁRMORE NATURAL POLIDA DE 1 FACE</t>
  </si>
  <si>
    <t>C2024</t>
  </si>
  <si>
    <t>PRATELEIRA DE MÁRMORE NATURAL POLIDA DE 2 FACES</t>
  </si>
  <si>
    <t>C2021</t>
  </si>
  <si>
    <t>PRATELEIRA DE MARMORITE NATURAL POLIDA DE 1 FACE</t>
  </si>
  <si>
    <t>C2022</t>
  </si>
  <si>
    <t>PRATELEIRA DE MARMORITE NATURAL POLIDA DE 2 FACES</t>
  </si>
  <si>
    <t>C4757</t>
  </si>
  <si>
    <t xml:space="preserve">PRATELEIRA PRÉ-MOLDADA "IN LOCO" DE CONCRETO ESP.=5,0CM                                
</t>
  </si>
  <si>
    <t>C3674</t>
  </si>
  <si>
    <t>SUPORTE EM BARRA CHATA DE FERRO ENGASTADO NA PAREDE P/BANCADAS E/OU PRATELEIRAS</t>
  </si>
  <si>
    <t>ESQUADRIAS E FERRAGENS</t>
  </si>
  <si>
    <t>ESQUADRIAS DE MADEIRA</t>
  </si>
  <si>
    <t>C0363</t>
  </si>
  <si>
    <t>BANDEIROLA EM MADEIRA</t>
  </si>
  <si>
    <t>C1284</t>
  </si>
  <si>
    <t>ESQUADRIAS DE MADEIRA E VIDRO</t>
  </si>
  <si>
    <t>C3544</t>
  </si>
  <si>
    <t>JANELA TIPO FICHA (1.40X1.10)m - MADEIRA MISTA - COMPLETA - PADRÃO POPULAR</t>
  </si>
  <si>
    <t>C1519</t>
  </si>
  <si>
    <t>JANELA VENEZIANA MÓVEL (S/ACESSÓRIOS)</t>
  </si>
  <si>
    <t>C3543</t>
  </si>
  <si>
    <t>MUTIRÃO MISTO - JANELA TIPO FICHA (1.40X1.10)m - MADEIRA MISTA - COMPLETA</t>
  </si>
  <si>
    <t>C3541</t>
  </si>
  <si>
    <t>MUTIRÃO MISTO - PORTA TIPO FICHA (0.60X2.10)m - MADEIRA MISTA - COMPLETA</t>
  </si>
  <si>
    <t>C3537</t>
  </si>
  <si>
    <t>MUTIRÃO MISTO - PORTA TIPO FICHA (0.80X2.10)m - ROLADA MADEIRA MISTA - COMPLETA C/FECHADURA</t>
  </si>
  <si>
    <t>C3539</t>
  </si>
  <si>
    <t>MUTIRÃO MISTO - PORTA TIPO FICHA (0.80X2.10)m - ROLADA MADEIRA MISTA - COMPLETA S/FECHADURA</t>
  </si>
  <si>
    <t>C1959</t>
  </si>
  <si>
    <t>PORTA COMPENSADO P/ARMÁRIO EMBUTIDO C/BATENTE DE (7X1.5)cm</t>
  </si>
  <si>
    <t>C1960</t>
  </si>
  <si>
    <t>PORTA COMPENSADO P/ARMÁRIO SOB PIA</t>
  </si>
  <si>
    <t>C1962</t>
  </si>
  <si>
    <t>PORTA COMPLETA, BLINDOR/CHUMBO (0,60X2.1O)m (S/ACESSÓRIOS)</t>
  </si>
  <si>
    <t>C1963</t>
  </si>
  <si>
    <t>PORTA COMPLETA, BLINDOR/CHUMBO (0,80X2,10)m  (S/ACESSÓRIOS)</t>
  </si>
  <si>
    <t>C1961</t>
  </si>
  <si>
    <t>PORTA COMPLETA, BLINDOR/CHUMBO (1,20X2,10)m (S/ACESSÓRIOS)</t>
  </si>
  <si>
    <t>C1977</t>
  </si>
  <si>
    <t>PORTA EXTERNA DE CEDRO LISA COMPLETA UMA FOLHA (0.80X 2.10)m</t>
  </si>
  <si>
    <t>C1978</t>
  </si>
  <si>
    <t>PORTA EXTERNA DE CEDRO LISA COMPLETA UMA FOLHA (0.90X2.10)m</t>
  </si>
  <si>
    <t>C1979</t>
  </si>
  <si>
    <t>PORTA EXTERNA DE CEDRO LISA COMPLETA UMA FOLHA (1.00X2.10)m</t>
  </si>
  <si>
    <t>C1985</t>
  </si>
  <si>
    <t>PORTA INTERNA DE CEDRO LISA COMPLETA UMA FOLHA (0.60X 2.10)m</t>
  </si>
  <si>
    <t>C1986</t>
  </si>
  <si>
    <t>PORTA INTERNA DE CEDRO LISA COMPLETA UMA FOLHA (0.70X 2.10)m</t>
  </si>
  <si>
    <t>C1987</t>
  </si>
  <si>
    <t>PORTA INTERNA DE CEDRO LISA COMPLETA UMA FOLHA (0.80X 2.10)m</t>
  </si>
  <si>
    <t>C1988</t>
  </si>
  <si>
    <t>PORTA INTERNA DE CEDRO LISA COMPLETA UMA FOLHA (0.90X 2.10)m</t>
  </si>
  <si>
    <t>C1989</t>
  </si>
  <si>
    <t>PORTA INTERNA DE CEDRO LISA COMPLETA UMA FOLHA (1.00X 2.10)m</t>
  </si>
  <si>
    <t>C1974</t>
  </si>
  <si>
    <t>PORTA EXTERNA DE CEDRO LISA COMPLETA DUAS FOLHAS (1.60X2.10)m</t>
  </si>
  <si>
    <t>C1975</t>
  </si>
  <si>
    <t>PORTA EXTERNA DE CEDRO LISA COMPLETA DUAS FOLHAS (1.80X2.10)m</t>
  </si>
  <si>
    <t>C1976</t>
  </si>
  <si>
    <t>PORTA EXTERNA DE CEDRO LISA COMPLETA DUAS FOLHAS (2.00X2.10)m</t>
  </si>
  <si>
    <t>C1980</t>
  </si>
  <si>
    <t>PORTA INTERNA DE CEDRO LISA COMPLETA DUAS FOLHAS (1.20X 2.10)m</t>
  </si>
  <si>
    <t>C1981</t>
  </si>
  <si>
    <t>PORTA INTERNA DE CEDRO LISA COMPLETA DUAS FOLHAS (1.40X 2.10)m</t>
  </si>
  <si>
    <t>C1982</t>
  </si>
  <si>
    <t>PORTA INTERNA DE CEDRO LISA COMPLETA DUAS FOLHAS (1.60X 2.10)m</t>
  </si>
  <si>
    <t>C1983</t>
  </si>
  <si>
    <t>PORTA INTERNA DE CEDRO LISA COMPLETA DUAS FOLHAS (1.80X 2.10)m</t>
  </si>
  <si>
    <t>C1984</t>
  </si>
  <si>
    <t>PORTA INTERNA DE CEDRO LISA COMPLETA DUAS FOLHAS (2.00X 2.10)m</t>
  </si>
  <si>
    <t>C4604</t>
  </si>
  <si>
    <t>PORTA EXTERNA DE MUIRACATIARA 1 FOLHA COMPLETA (0,60x2,10x0,03m)</t>
  </si>
  <si>
    <t>C1992</t>
  </si>
  <si>
    <t>PORTA TIPO EUCATEX  (S/ACESSÓRIOS)</t>
  </si>
  <si>
    <t>C3405</t>
  </si>
  <si>
    <t>PORTA TIPO FICHA  EXTERNA-PADRÃO FUNASA (0,55X1,90m)</t>
  </si>
  <si>
    <t>C3542</t>
  </si>
  <si>
    <t>PORTA TIPO FICHA (0.60X2.10)m - MADEIRA MISTA - COMPLETA - PADRÃO POPULAR</t>
  </si>
  <si>
    <t>C3538</t>
  </si>
  <si>
    <t>PORTA TIPO FICHA (0.80X2.10)m - ROLADA MADEIRA MISTA - COMPLETA C/FECHADURA - PADRÃO POPULAR</t>
  </si>
  <si>
    <t>C3540</t>
  </si>
  <si>
    <t>PORTA TIPO FICHA (0.80X2.10)m - ROLADA MADEIRA MISTA - COMPLETA S/FECHADURA - PADRÃO POPULAR</t>
  </si>
  <si>
    <t>C1993</t>
  </si>
  <si>
    <t>PORTA TIPO FICHA EMBUTIDA (S/ACESSÓRIOS)</t>
  </si>
  <si>
    <t>C1994</t>
  </si>
  <si>
    <t>PORTA TIPO PARANÁ (S/ACESSÓRIOS)</t>
  </si>
  <si>
    <t>C4423</t>
  </si>
  <si>
    <t>PORTA TIPO PARANÁ (0,60 x 2,10 m), C/ FERRAGENS</t>
  </si>
  <si>
    <t>C4424</t>
  </si>
  <si>
    <t>PORTA TIPO PARANÁ (0,60 x 2,10 m), COMPLETA</t>
  </si>
  <si>
    <t>C4425</t>
  </si>
  <si>
    <t>PORTA TIPO PARANÁ (0,70 x 2,10 m), C/ FERRAGENS</t>
  </si>
  <si>
    <t>C4426</t>
  </si>
  <si>
    <t>PORTA TIPO PARANÁ (0,70 x 2,10 m), COMPLETA</t>
  </si>
  <si>
    <t>C4427</t>
  </si>
  <si>
    <t>PORTA TIPO PARANÁ (0,80 x 2,10 m), C/ FERRAGENS</t>
  </si>
  <si>
    <t>C4428</t>
  </si>
  <si>
    <t>PORTA TIPO PARANÁ (0,80 x 2,10 m), COMPLETA</t>
  </si>
  <si>
    <t>C4396</t>
  </si>
  <si>
    <t>PORTA TIPO VENEZIANA  0,60x1.80 (FORNECIMENTO E MONTAGEM)</t>
  </si>
  <si>
    <t>ESQUADRIAS METÁLICAS</t>
  </si>
  <si>
    <t>C0807</t>
  </si>
  <si>
    <t>COFRE-TRANCA PARA GRADES DE FERRO SEGURANÇA MÁXIMA</t>
  </si>
  <si>
    <t>C4560</t>
  </si>
  <si>
    <t>GRADE DE ALUMÍNIO DE PROTEÇÃO</t>
  </si>
  <si>
    <t>C1426</t>
  </si>
  <si>
    <t>GRADE DE FERRO DE PROTEÇÃO</t>
  </si>
  <si>
    <t>C3681</t>
  </si>
  <si>
    <t>GRADE DE FERRO TUBULAR C/MOLDURA EM BARRA CHATA DE FERRO</t>
  </si>
  <si>
    <t>C4955</t>
  </si>
  <si>
    <t>GRADE DE FERRO P/CELAS DE SEGURANÇA MÁXIMA, EM FERRO CHATO 2" X 3/8" (40KG/M2) E AÇO CA-60 (32KG/M2)</t>
  </si>
  <si>
    <t>C1437</t>
  </si>
  <si>
    <t>GRELHA DE FERRO P/CANALETAS</t>
  </si>
  <si>
    <t>C4830</t>
  </si>
  <si>
    <t>JANELA BASCULANTE EM ALUMÍNIO ANODIZADO NATURAL, EXCLUSIVE VIDRO</t>
  </si>
  <si>
    <t>C1516</t>
  </si>
  <si>
    <t>JANELA DE ALUMÍNIO, TIPO VENEZIANA</t>
  </si>
  <si>
    <t>C1517</t>
  </si>
  <si>
    <t>JANELA DE FERRO TIPO CAIXILHO BASCULANTE OU FIXO</t>
  </si>
  <si>
    <t>C1518</t>
  </si>
  <si>
    <t>JANELA DE FERRO TIPO CAIXILHO DE CORRER OU MAXIMAR</t>
  </si>
  <si>
    <t>C4515</t>
  </si>
  <si>
    <t>JANELA EM ALUMÍNIO ANODIZADO NATURAL/FOSCO, DE CORRER, COM BANDEIROLA E/OU PEITORIL, SEM VIDRO - FORNECIMENTO E MONTAGEM</t>
  </si>
  <si>
    <t>C4513</t>
  </si>
  <si>
    <t>JANELA EM ALUMÍNIO ANODIZADO NATURAL/FOSCO, DE CORRER, SEM BANDEIROLA E/OU PEITORIL, SEM VIDRO - FORNECIMENTO E MONTAGEM</t>
  </si>
  <si>
    <t>C4519</t>
  </si>
  <si>
    <t>JANELA EM ALUMÍNIO ANODIZADO PRETO, DE CORRER, SEM BANDEIROLA E/OU PEITORIL, SEM VIDRO - FORNECIMENTO E MONTAGEM</t>
  </si>
  <si>
    <t>C4521</t>
  </si>
  <si>
    <t>JANELA EM ALUMÍNIO ANODIZADO PRETO, DE CORRER, COM BANDEIROLA E/OU PEITORIL, SEM VIDRO - FORNECIMENTO E MONTAGEM</t>
  </si>
  <si>
    <t>C1958</t>
  </si>
  <si>
    <t>PORTA DE FERRO COMPACTA EM CHAPA, INCLUS. BATENTES E FERRAGENS</t>
  </si>
  <si>
    <t>C1966</t>
  </si>
  <si>
    <t>PORTA CORTA-FOGO UMA FOLHA (0,80X2,10)m  OU  (0,90x2,10)m</t>
  </si>
  <si>
    <t>C1964</t>
  </si>
  <si>
    <t>PORTA CORTA-FOGO DUAS FOLHAS LARG.=1,20 A 2,20m  E ALT.=2,10 A 2,40 m</t>
  </si>
  <si>
    <t>C1965</t>
  </si>
  <si>
    <t>PORTA CORTA-FOGO INDUSTRIAL DE CORRER</t>
  </si>
  <si>
    <t>C1969</t>
  </si>
  <si>
    <t>PORTA DE AÇO EM CHAPA ONDULADA OU GRADES DE ENROLAR</t>
  </si>
  <si>
    <t>C1967</t>
  </si>
  <si>
    <t>PORTA DE ALUMÍNIO ANODIZADO COMPACTA</t>
  </si>
  <si>
    <t>C1968</t>
  </si>
  <si>
    <t>PORTA DE ALUMÍNIO C/VIDRO CRISTAL TEMPERADO</t>
  </si>
  <si>
    <t>C1973</t>
  </si>
  <si>
    <t>PORTA DE ALUMÍNIO E ACRÍLICO</t>
  </si>
  <si>
    <t>C1970</t>
  </si>
  <si>
    <t>PORTA DE FERRO EM CHAPA</t>
  </si>
  <si>
    <t>C4518</t>
  </si>
  <si>
    <t>PORTA EM ALUMÍNIO ANODIZADO NATURAL/FOSCO, DE ABRIR, COM BANDEIROLA E/OU PEITORIL, SEM VIDRO - FORNECIMENTO E MONTAGEM</t>
  </si>
  <si>
    <t>C4517</t>
  </si>
  <si>
    <t>PORTA EM ALUMÍNIO ANODIZADO NATURAL/FOSCO, DE ABRIR, SEM BANDEIROLA E/OU PEITORIL, SEM VIDRO - FORNECIMENTO E MONTAGEM</t>
  </si>
  <si>
    <t>C4516</t>
  </si>
  <si>
    <t>PORTA EM ALUMÍNIO ANODIZADO NATURAL/FOSCO, DE CORRER, COM BANDEIROLA E/OU PEITORIL, SEM VIDRO - FORNECIMENTO E MONTAGEM</t>
  </si>
  <si>
    <t>C4514</t>
  </si>
  <si>
    <t>PORTA EM ALUMÍNIO ANODIZADO NATURAL/FOSCO, DE CORRER, SEM BANDEIROLA E/OU PEITORIL, SEM VIDRO - FORNECIMENTO E MONTAGEM</t>
  </si>
  <si>
    <t>C4524</t>
  </si>
  <si>
    <t>PORTA EM ALUMÍNIO ANODIZADO PRETO, DE ABRIR, COM BANDEIROLA E/OU PEITORIL, SEM VIDRO - FORNECIMENTO E MONTAGEM</t>
  </si>
  <si>
    <t>C4523</t>
  </si>
  <si>
    <t>PORTA EM ALUMÍNIO ANODIZADO PRETO, DE ABRIR, SEM BANDEIROLA E/OU PEITORIL, SEM VIDRO - FORNECIMENTO E MONTAGEM</t>
  </si>
  <si>
    <t>C4522</t>
  </si>
  <si>
    <t>PORTA EM ALUMÍNIO ANODIZADO PRETO, DE CORRER, COM BANDEIROLA E/OU PEITORIL, SEM VIDRO - FORNECIMENTO E MONTAGEM</t>
  </si>
  <si>
    <t>C4520</t>
  </si>
  <si>
    <t>PORTA EM ALUMÍNIO ANODIZADO PRETO, DE CORRER, SEM BANDEIROLA E/OU PEITORIL, SEM VIDRO - FORNECIMENTO E MONTAGEM</t>
  </si>
  <si>
    <t>C3737</t>
  </si>
  <si>
    <t>PORTA FRIGORÍFICA TERMO-ISOLANTE DE ACIONAMENTO MANUAL C/AQUECIMENTO. 2100X1000X150MM -( FORNECIMENTO</t>
  </si>
  <si>
    <t>C1991</t>
  </si>
  <si>
    <t>PORTA SASAZAKI-VENEZIANA, INCLUSIVE BATENTES E FERRAGENS</t>
  </si>
  <si>
    <t>C4872</t>
  </si>
  <si>
    <t>PORTÃO COM PERFIL EM TUBO DE AÇO GALVANIZADO DE 2" (1X2,5)m, INCL. PILARES DE SUSTENTAÇÃO</t>
  </si>
  <si>
    <t>C4873</t>
  </si>
  <si>
    <t>PORTÃO COM PERFIL EM TUBO DE AÇO GALVANIZADO DE 2" (4X2,5)m, INCL. PILARES DE SUSTENTAÇÃO</t>
  </si>
  <si>
    <t>C3733</t>
  </si>
  <si>
    <t>PORTÃO DE ALUMÍNIO ANODIZADO NATURAL, FECHAMENTO TOTAL C/ LAMBRI BOLA E CORREDIÇO (FORNECIMENTO E MONTAGEM)</t>
  </si>
  <si>
    <t>C4397</t>
  </si>
  <si>
    <t>PORTÃO DE ALUMÍNIO EM TUBOS DE 20 mm (FORNECIMENTO E MONTAGEM)</t>
  </si>
  <si>
    <t>C1999</t>
  </si>
  <si>
    <t>PORTÃO DE FERRO EM BARRA CHATA TIPO TIJOLINHO</t>
  </si>
  <si>
    <t>C3659</t>
  </si>
  <si>
    <t>PORTÃO DE METALON E BARRA CHATA DE FERRO C/FECHADURA E DOBRADIÇA, INCLUS. PINTURA ESMALTE SINTÉTICO</t>
  </si>
  <si>
    <t>C2903</t>
  </si>
  <si>
    <t>PORTÃO DE TUBO DE AÇO GALVANIZADO DE 2" (1X2)m, INCL. PILARES DE SUSTENTAÇÃO</t>
  </si>
  <si>
    <t>C2904</t>
  </si>
  <si>
    <t>PORTÃO DE TUBO DE AÇO GALVANIZADO DE 2" (4X2)m, INCL.. PILARES DE SUSTENTAÇÃO</t>
  </si>
  <si>
    <t>C3729</t>
  </si>
  <si>
    <t>REMANEJAMENTO DE ESQUADRIAS DE ALUMÍNIO</t>
  </si>
  <si>
    <t>C2423</t>
  </si>
  <si>
    <t>TELA METÁLICA AÇO GALVANIZADO, MALHA (13 X 13)MM2</t>
  </si>
  <si>
    <t>C3249</t>
  </si>
  <si>
    <t>TRANCA EM FERRO PARA CELAS PRISIONAIS</t>
  </si>
  <si>
    <t>C4400</t>
  </si>
  <si>
    <t>TELA DE AÇO ELETROSOLDADA COM FIOS DE 3,4mm C/ 15 cm (INSTALADO)</t>
  </si>
  <si>
    <t>C4401</t>
  </si>
  <si>
    <t>TELA DE AÇO ELETROSOLDADA COM FIOS DE 5,0mm C/ 15 cm (INSTALADO)</t>
  </si>
  <si>
    <t>MOBILIÁRIO</t>
  </si>
  <si>
    <t>C0221</t>
  </si>
  <si>
    <t>ARMÁRIO ALTO EM DIVISÓRIA (ABERTO)</t>
  </si>
  <si>
    <t>C0222</t>
  </si>
  <si>
    <t>ARMÁRIO BAIXO EM DIVISÓRIA (FECHADO)</t>
  </si>
  <si>
    <t>C0223</t>
  </si>
  <si>
    <t>ARMÁRIO DE AÇO P/ UTENSÍLIOS (1.90X0.90X0.50)m</t>
  </si>
  <si>
    <t>C0224</t>
  </si>
  <si>
    <t>ARMÁRIO DE AÇO TIPO ESCANINHO - MODELO 3 PORTAS</t>
  </si>
  <si>
    <t>C0226</t>
  </si>
  <si>
    <t>ARMÁRIO EM BRUMASA REVESTIDO COM FÓRMICA</t>
  </si>
  <si>
    <t>C0227</t>
  </si>
  <si>
    <t>ARMÁRIO SOBREPOR EM MADEIRA C/ CAPEADO EM CEREJEIRA</t>
  </si>
  <si>
    <t>C0228</t>
  </si>
  <si>
    <t>ARMÁRIO SOBREPOR EM MADEIRA SUCUPIRA</t>
  </si>
  <si>
    <t>C0353</t>
  </si>
  <si>
    <t>BALCÃO EM BRUMASA REVESTIDO EM FÓRMICA</t>
  </si>
  <si>
    <t>C1450</t>
  </si>
  <si>
    <t>GUARDA-ROUPA EM MADEIRA SUCUPIRA</t>
  </si>
  <si>
    <t>C2134</t>
  </si>
  <si>
    <t>RECIPIENTE PRÉ-MOLDADO C/PORTA EM CHAPA DE AÇO, P/GUARDAR TELEVISÃO</t>
  </si>
  <si>
    <t>C2295</t>
  </si>
  <si>
    <t>SUPORTE METÁLICO PARA TELEVISÃO</t>
  </si>
  <si>
    <t>C0042</t>
  </si>
  <si>
    <t>ALIZAR (GUARNIÇÃO) DE MADEIRA</t>
  </si>
  <si>
    <t>C4422</t>
  </si>
  <si>
    <t>ALIZAR DE MADEIRA L= 5 cm (1 FACE)</t>
  </si>
  <si>
    <t>CJ</t>
  </si>
  <si>
    <t>C3437</t>
  </si>
  <si>
    <t>ARMADOR DE EMBUTIR</t>
  </si>
  <si>
    <t>C3438</t>
  </si>
  <si>
    <t>ARMADOR TIPO RABO DE ANDORINHA</t>
  </si>
  <si>
    <t>C3651</t>
  </si>
  <si>
    <t>BATE-MACAS EM AÇO INOXIDÁVEL CONTRA IMPACTO EM PORTA DE MADEIRA</t>
  </si>
  <si>
    <t>C0585</t>
  </si>
  <si>
    <t>CADEADO GRANDE PARA CELAS</t>
  </si>
  <si>
    <t>C0586</t>
  </si>
  <si>
    <t>CADEADO MÉDIO</t>
  </si>
  <si>
    <t>C0587</t>
  </si>
  <si>
    <t>CADEADO PEQUENO</t>
  </si>
  <si>
    <t>C0699</t>
  </si>
  <si>
    <t>CAPEADO DE CEREJEIRA C/APLICAÇÃO</t>
  </si>
  <si>
    <t>C0700</t>
  </si>
  <si>
    <t>CAPEADO DE MOGNO C/ APLICAÇÃO</t>
  </si>
  <si>
    <t>C0701</t>
  </si>
  <si>
    <t>CAPEADO DE PAU-MARFIM C/ APLICAÇÃO</t>
  </si>
  <si>
    <t>C0922</t>
  </si>
  <si>
    <t>CORRIMÃO EM ALUMÍNIO ANODIZADO</t>
  </si>
  <si>
    <t>C0923</t>
  </si>
  <si>
    <t>CORRIMÃO EM MADEIRA MACIÇA ( PINTADA )</t>
  </si>
  <si>
    <t>C0924</t>
  </si>
  <si>
    <t>CORRIMÃO EM TUBO DE AÇO INOX</t>
  </si>
  <si>
    <t>C1144</t>
  </si>
  <si>
    <t>DOBRADIÇA CROMADA 3" X 2 1/2"</t>
  </si>
  <si>
    <t>C1143</t>
  </si>
  <si>
    <t>DOBRADIÇA CROMADA 3 1/2" X 3"</t>
  </si>
  <si>
    <t>C1145</t>
  </si>
  <si>
    <t>DOBRADIÇA CROMADA TIPO PALMELA</t>
  </si>
  <si>
    <t>C1146</t>
  </si>
  <si>
    <t>DOBRADIÇA CROMADA TIPO VAI - VEM</t>
  </si>
  <si>
    <t>C4588</t>
  </si>
  <si>
    <t>DOBRADIÇA DE FERRO (PADRÃO POPULAR)</t>
  </si>
  <si>
    <t>C4552</t>
  </si>
  <si>
    <t>DOBRADIÇA PARA FIXAÇÃO EM GRANITO</t>
  </si>
  <si>
    <t>C1360</t>
  </si>
  <si>
    <t>FECHADURA COMPLETA PARA PORTA EXTERNA</t>
  </si>
  <si>
    <t>C1361</t>
  </si>
  <si>
    <t>FECHADURA COMPLETA PARA PORTA INTERNA</t>
  </si>
  <si>
    <t>C1362</t>
  </si>
  <si>
    <t>FECHADURA DE TARJETA (LIVRE-OCUPADA)</t>
  </si>
  <si>
    <t>C4553</t>
  </si>
  <si>
    <t>FECHADURA DE TARJETA (LIVRE-OCUPADA) PARA FIXAÇÃO EM GRANITO</t>
  </si>
  <si>
    <t>C4587</t>
  </si>
  <si>
    <t>FECHADURA DE SOBREPOR (PADRÃO POPULAR)</t>
  </si>
  <si>
    <t>C1364</t>
  </si>
  <si>
    <t>FERROLHO DE SOBREPOR OU EMBUTIR GRANDE</t>
  </si>
  <si>
    <t>C1365</t>
  </si>
  <si>
    <t>FERROLHO DE SOBREPOR OU EMBUTIR MÉDIO</t>
  </si>
  <si>
    <t>C1366</t>
  </si>
  <si>
    <t>FERROLHO DE SOBREPOR OU EMBUTIR PEQUENO</t>
  </si>
  <si>
    <t>C1407</t>
  </si>
  <si>
    <t>FORRAMENTO EM AÇO (BATENTAÇO) LARG. =12cm</t>
  </si>
  <si>
    <t>C3673</t>
  </si>
  <si>
    <t>FORRAMENTO EM AÇO C/PERFIL "U"  L=15CM  - PARA PRESÍDIOS</t>
  </si>
  <si>
    <t>C4421</t>
  </si>
  <si>
    <t>FORRAMENTO DE MADEIRA L = 15 cm</t>
  </si>
  <si>
    <t>C1408</t>
  </si>
  <si>
    <t>FORRAMENTO OU BATENTE DE MADEIRA</t>
  </si>
  <si>
    <t>C1447</t>
  </si>
  <si>
    <t>GUARDA CORPO C/BARRA CHATA DE FERRO E CORRIMÃO EM MADEIRA MACIÇA</t>
  </si>
  <si>
    <t>C3683</t>
  </si>
  <si>
    <t>GUARDA CORPO DE MADEIRA E CORDA DE SISAL</t>
  </si>
  <si>
    <t>C1449</t>
  </si>
  <si>
    <t>GUARDA CORPO METÁLICO EM TUBO DE AÇO GALVANIZADO DE 2 1/2"</t>
  </si>
  <si>
    <t>C1795</t>
  </si>
  <si>
    <t>MOLA HIDRÁULICA P/PORTA DE VIDRO</t>
  </si>
  <si>
    <t>C4954</t>
  </si>
  <si>
    <t>MOLA PNEUMÁTICA DE PISO, EM AÇO INOX, BLINDADA, P/ PORTAS DE ATÉ 120KG E LARGURA ATÉ 1,20M, COMPLETA</t>
  </si>
  <si>
    <t>C1796</t>
  </si>
  <si>
    <t>MOLA P/ PORTA TIPO COIMBRA</t>
  </si>
  <si>
    <t>C3552</t>
  </si>
  <si>
    <t>MUTIRÃO MISTO - ARMADOR RABO DE ANDORINHA</t>
  </si>
  <si>
    <t>C1868</t>
  </si>
  <si>
    <t>PEGADOR METÁLICO P/PORTA (INTERNO)</t>
  </si>
  <si>
    <t>C3522</t>
  </si>
  <si>
    <t>PILAR EM MADEIRA LIMPA DE 1a. QUALIDADE 20cmX20cm</t>
  </si>
  <si>
    <t>C3676</t>
  </si>
  <si>
    <t>PORTA DE PVC SANFONADA (0,80 X 2,10) COMPLETA - FORNECIMENTO E MONTAGEM</t>
  </si>
  <si>
    <t>C4556</t>
  </si>
  <si>
    <t>PORTÃO PIVOTANTE NYLOFOR, COMPOSTO DE QUADRO, PAINÉIS E ACESSÓRIOS COM PINTURA ELETROSTÁTICA COM TINTA POLIESTER, NAS CORES VERDE OU BRANCA, COM POSTE EM AÇO REVESTIDO, COR VERDE OU BRANCA - FORNECIMENTO E MONTAGEM</t>
  </si>
  <si>
    <t>C4557</t>
  </si>
  <si>
    <t xml:space="preserve">PORTÃO DESLIZANTE NYLOFOR, COMPOSTO DE QUADRO, PAINÉIS E ACESSÓRIOS COM PINTURA ELETROSTÁTICA COM TINTA POLIESTER, NAS CORES VERDE OU BRANCA, COM POSTE EM AÇO REVESTIDO, COR VERDE OU BRANCA - FORNECIMENTO E MONTAGEM								
</t>
  </si>
  <si>
    <t>C2031</t>
  </si>
  <si>
    <t>PRENDEDOR METÁLICO PARA PORTA</t>
  </si>
  <si>
    <t>C2215</t>
  </si>
  <si>
    <t>REVESTIMENTO DE FÓRMICA EM ESQUADRIAS OU MÓVEIS</t>
  </si>
  <si>
    <t>C2319</t>
  </si>
  <si>
    <t>TARJETA CROMADA P/ JANELAS VENEZIANAS</t>
  </si>
  <si>
    <t>C3675</t>
  </si>
  <si>
    <t>VENEZIANA INDUSTRIAL DE PVC RÍGIDO, TRANSLÚCIDO E MONTANTES EM AÇO GALVANIZADO OU ALUMÍNIO (FORNECIM</t>
  </si>
  <si>
    <t>VIDROS</t>
  </si>
  <si>
    <t>CRISTAL COMUM</t>
  </si>
  <si>
    <t>C2670</t>
  </si>
  <si>
    <t>VIDRO COMUM EM CAIXILHOS C/MASSA ESP.= 4mm, COLOCADO</t>
  </si>
  <si>
    <t>C2671</t>
  </si>
  <si>
    <t>VIDRO COMUM EM CAIXILHOS C/MASSA ESP.= 5mm, COLOCADO</t>
  </si>
  <si>
    <t>C2672</t>
  </si>
  <si>
    <t>VIDRO COMUM EM CAIXILHOS C/MASSA ESP.= 6mm, COLOCADO</t>
  </si>
  <si>
    <t>C2673</t>
  </si>
  <si>
    <t>VIDRO COMUM FUMÊ EM CAIXILHOS C/MASSA E= 4mm, COLOCADO</t>
  </si>
  <si>
    <t>C2674</t>
  </si>
  <si>
    <t>VIDRO COMUM FUMÊ EM CAIXILHOS C/MASSA E= 5mm, COLOCADO</t>
  </si>
  <si>
    <t>C2675</t>
  </si>
  <si>
    <t>VIDRO COMUM FUMÊ EM CAIXILHOS C/MASSA E= 6mm, COLOCADO</t>
  </si>
  <si>
    <t>C4826</t>
  </si>
  <si>
    <t>VIDRO LAMINADO DUPLO, INCOLOR, C/MASSA PARA CAIXILHOS E=6MM (FORNECIMENTO E COLOCAÇÃO)</t>
  </si>
  <si>
    <t>C2984</t>
  </si>
  <si>
    <t>VIDRO TRANSLÚCIDO CANELADO OU MARTELADO E=3mm (COLOCADO)</t>
  </si>
  <si>
    <t>CRISTAL TEMPERADO</t>
  </si>
  <si>
    <t>C1382</t>
  </si>
  <si>
    <t>FIXO 2 FOLHAS E BASCULANTE DE VIDRO TEMPERADO (1.80X2.10)m  E=10mm</t>
  </si>
  <si>
    <t>C1383</t>
  </si>
  <si>
    <t>FIXO 2 FOLHAS. 2  BANDEIRAS E 1 CONTRAVENTAMENTO DE VIDRO TEMPERADO (1.80 X 3.50)m  E=10mm</t>
  </si>
  <si>
    <t>C1384</t>
  </si>
  <si>
    <t>FIXO 3 FOLHAS 3 BANDEIRAS E 2 CONTRAVENTAMENTO DE VIDRO TEMPERADO (2.70 X3.50)m  E=10mm</t>
  </si>
  <si>
    <t>C1385</t>
  </si>
  <si>
    <t>FIXO 3 FOLHAS E BASCULANTES 2 FOLHAS DE VIDRO TEMPERADO (0.70X2.10)m  E=10mm</t>
  </si>
  <si>
    <t>C1386</t>
  </si>
  <si>
    <t>FIXO DE VIDRO TEMPERADO C/BANDEIRA (0.90X3.50)m  E=10mm</t>
  </si>
  <si>
    <t>C1387</t>
  </si>
  <si>
    <t>FIXO DE VIDRO TEMPERADO 1 FOLHA   (0.90X2.10)m  E=10mm</t>
  </si>
  <si>
    <t>C1388</t>
  </si>
  <si>
    <t>FIXO DE VIDRO TEMPERADO 2 FOLHAS (1.80X2.10)m  E=10mm</t>
  </si>
  <si>
    <t>C1389</t>
  </si>
  <si>
    <t>FIXO DE VIDRO TEMPERADO 3 FOLHAS (2.70X2.10)m  E=10mm</t>
  </si>
  <si>
    <t>C1390</t>
  </si>
  <si>
    <t>FIXO E BASCULANTE DE VIDRO TEMPERADO  (0.90X2.10)m  E=10mm</t>
  </si>
  <si>
    <t>C1952</t>
  </si>
  <si>
    <t>PORTA 2 FOLHAS C/BANDEIRA DE VIDRO TEMPERADO E=10mm C/MOLA (1.80X2.90)m</t>
  </si>
  <si>
    <t>C1953</t>
  </si>
  <si>
    <t>PORTA 2 FOLHAS C/BANDEIRA DE VIDRO TEMPERADO E=10mm C/MOLA (1.80X3.50)m</t>
  </si>
  <si>
    <t>C1954</t>
  </si>
  <si>
    <t>PORTA 2 FOLHAS C/BANDEIRA E FIXO 2 FLS. DE VIDRO TEMPERADO E=10mm (3.60X2.90)m</t>
  </si>
  <si>
    <t>C1955</t>
  </si>
  <si>
    <t>PORTA 2 FOLHAS. FIXA 2 FOLHAS. 3 BANDEIRAS 2 CONTRAVENTAMENTO DE VIDRO TEMPERADO DE10mm (3.60X3.50)m</t>
  </si>
  <si>
    <t>C1956</t>
  </si>
  <si>
    <t xml:space="preserve">PORTA C/BANDEIRA DE VIDRO TEMPERADO E=10mm C/MOLA (0.90X2.90)m  </t>
  </si>
  <si>
    <t>C1957</t>
  </si>
  <si>
    <t>PORTA C/BANDEIRA DE VIDRO TEMPERADO E=10mm C/MOLA (0.90X3.50)m</t>
  </si>
  <si>
    <t>C1972</t>
  </si>
  <si>
    <t>PORTA DE VIDRO TEMPERADO 1 FOLHA (0.90X2.10)m  E=10mm</t>
  </si>
  <si>
    <t>C1971</t>
  </si>
  <si>
    <t>PORTA DE VIDRO TEMPERADO  2 FOLHAS (1.80X2.10)m  E=10mm</t>
  </si>
  <si>
    <t>C4949</t>
  </si>
  <si>
    <t>VIDRO TEMPERADO INCOLOR C/MASSA E=6MM, COLOCADO</t>
  </si>
  <si>
    <t>C4950</t>
  </si>
  <si>
    <t>VIDRO TEMPERADO INCOLOR C/MASSA E=8MM, COLOCADO</t>
  </si>
  <si>
    <t>C4951</t>
  </si>
  <si>
    <t>VIDRO TEMPERADO INCOLOR C/MASSA E=10MM, COLOCADO</t>
  </si>
  <si>
    <t xml:space="preserve">OUTROS  ELEMENTOS </t>
  </si>
  <si>
    <t>C3650</t>
  </si>
  <si>
    <t>GUICHÊ EM AÇO INOX E VIDRO TEMPERADO E=6MM</t>
  </si>
  <si>
    <t>C1451</t>
  </si>
  <si>
    <t>GUICHÊ EM ALUMÍNIO E VIDRO TEMPERADO E=10mm</t>
  </si>
  <si>
    <t>C1873</t>
  </si>
  <si>
    <t>PELÍCULA DE INSULFILM</t>
  </si>
  <si>
    <t>C1874</t>
  </si>
  <si>
    <t>PELÍCULA DE POLIÉSTER, INVESTIGAÇÃO</t>
  </si>
  <si>
    <t>C3649</t>
  </si>
  <si>
    <t>VISOR COM VIDRO TEMPERADO E=6MM E MOLDURA DE AÇO INOX</t>
  </si>
  <si>
    <t>C2679</t>
  </si>
  <si>
    <t>VISOR COM VIDRO TEMPERADO E=6mm E MOLDURA DE ALUMÍNIO</t>
  </si>
  <si>
    <t>C2680</t>
  </si>
  <si>
    <t>VISOR COM VIDRO TEMPERADO E=6mm E MOLDURA DE MADEIRA</t>
  </si>
  <si>
    <t>COBERTURA</t>
  </si>
  <si>
    <t>ESTRUTURA DE MADEIRA</t>
  </si>
  <si>
    <t>C3722</t>
  </si>
  <si>
    <t>ESTRUTURA DE MADEIRA P/ COBERTA DE PALHA DE CARNÁUBA</t>
  </si>
  <si>
    <t>C1336</t>
  </si>
  <si>
    <t>ESTRUTURA DE MADEIRA P/ TELHA CERÂMICA OU CONCRETO VÃO 3 A 7m (TESOURAS / TERÇAS / CONTRAVENTAMENTOS / FERRAGENS)</t>
  </si>
  <si>
    <t>C1337</t>
  </si>
  <si>
    <t>ESTRUTURA DE MADEIRA P/ TELHA CERÂMICA OU CONCRETO VÃO 7 A 10m (TESOURAS / TERÇAS / CONTRAVENTAMENTOS / FERRAGENS)</t>
  </si>
  <si>
    <t>C1335</t>
  </si>
  <si>
    <t>ESTRUTURA DE MADEIRA P/ TELHA CERÂMICA OU CONCRETO VÃO 10 A 13m (TESOURAS / TERÇAS / CONTRAVENTAMENTOS / FERRAGENS)</t>
  </si>
  <si>
    <t>C1338</t>
  </si>
  <si>
    <t>ESTRUTURA DE MADEIRA P/ TELHA ONDULADA DE FIBROCIMENTO, ALUMÍNIO OU PLÁSTICAS, VÃO 10m</t>
  </si>
  <si>
    <t>C1339</t>
  </si>
  <si>
    <t>ESTRUTURA DE MADEIRA P/ TELHA ONDULADA DE FIBROCIMENTO, ALUMÍNIO OU PLÁSTICAS,  VÃO 15m</t>
  </si>
  <si>
    <t>C1340</t>
  </si>
  <si>
    <t>ESTRUTURA DE MADEIRA P/ TELHA ONDULADA DE FIBROCIMENTO, ALUMÍNIO OU PLÁSTICAS, VÃO 20m</t>
  </si>
  <si>
    <t>C4511</t>
  </si>
  <si>
    <t>ESTRUTURA DE MADEIRA P/ TELHAS ONDULADAS DE FIBROCIMENTO, ALUMÍNIO OU PLÁSTICAS, APOIADA SOBRE PAREDES E/OU LAJES DE FORRO</t>
  </si>
  <si>
    <t>C1341</t>
  </si>
  <si>
    <t>ESTRUTURA DE MADEIRA P/ TELHA ESTRUTURAL DE FIBROCIMENTO ANCORADA EM LAJES OU EM PAREDES</t>
  </si>
  <si>
    <t>C3005</t>
  </si>
  <si>
    <t>MADEIRAMENTO P/TELHA CERÂMICA C/ REAPROVEITAMENTO</t>
  </si>
  <si>
    <t>C4459</t>
  </si>
  <si>
    <t>MADEIRAMENTO P/ TELHA CERÂMICA - (RIPA, CAIBRO)</t>
  </si>
  <si>
    <t>C4460</t>
  </si>
  <si>
    <t>MADEIRAMENTO P/ TELHA CERÂMICA - (RIPA, CAIBRO, LINHA)</t>
  </si>
  <si>
    <t>C4467</t>
  </si>
  <si>
    <t>MADEIRAMENTO P/TELHA CERÂMICA - (RIPA, CAIBRO, LINHA) - CASA POPULAR</t>
  </si>
  <si>
    <t>C3006</t>
  </si>
  <si>
    <t>MADEIRAMENTO P/TELHA FIBROCIMENTO C/ REAPROVEITAMENTO</t>
  </si>
  <si>
    <t>C2237</t>
  </si>
  <si>
    <t>RIPA DE PEROBA (2X8)cm</t>
  </si>
  <si>
    <t>C2460</t>
  </si>
  <si>
    <t>TESOURA EM MASSARANDUBA C/ACESSÓRIOS</t>
  </si>
  <si>
    <t>C2678</t>
  </si>
  <si>
    <t>VIGA DE MADEIRA MACIÇA 6" X 3"</t>
  </si>
  <si>
    <t>C3721</t>
  </si>
  <si>
    <t>VIGA DE MADEIRA MACIÇA 10"x 4"</t>
  </si>
  <si>
    <t>ESTRUTURA METÁLICA</t>
  </si>
  <si>
    <t>C0818</t>
  </si>
  <si>
    <t>COLUNAS P/PÉ DIREITO DE 6m  VÃO DE 20m</t>
  </si>
  <si>
    <t>C0819</t>
  </si>
  <si>
    <t>COLUNAS P/PÉ DIREITO DE 6m  VÃO DE 30m</t>
  </si>
  <si>
    <t>C0820</t>
  </si>
  <si>
    <t>COLUNAS P/PÉ DIREITO DE 6m  VÃO DE 40m</t>
  </si>
  <si>
    <t>C1318</t>
  </si>
  <si>
    <t>ESTRUTURA DE ALUMÍNIO EM ARCO VÃO DE 20m</t>
  </si>
  <si>
    <t>C1319</t>
  </si>
  <si>
    <t>ESTRUTURA DE ALUMÍNIO EM ARCO VÃO DE 30m</t>
  </si>
  <si>
    <t>C1320</t>
  </si>
  <si>
    <t>ESTRUTURA DE ALUMÍNIO EM ARCO VÃO DE 40m</t>
  </si>
  <si>
    <t>C1324</t>
  </si>
  <si>
    <t>ESTRUTURA DE ALUMÍNIO EM DUAS ÁGUAS VÃO DE 20m</t>
  </si>
  <si>
    <t>C1321</t>
  </si>
  <si>
    <t>ESTRUTURA DE ALUMÍNIO EM DUAS ÁGUAS VÃO DE 25m</t>
  </si>
  <si>
    <t>C1322</t>
  </si>
  <si>
    <t>ESTRUTURA DE ALUMÍNIO EM DUAS ÁGUAS VÃO DE 30m</t>
  </si>
  <si>
    <t>C1323</t>
  </si>
  <si>
    <t>ESTRUTURA DE ALUMÍNIO EM DUAS ÁGUAS VÃO DE 40m</t>
  </si>
  <si>
    <t>C1325</t>
  </si>
  <si>
    <t>ESTRUTURA DE ALUMÍNIO EM SHED VÃO DE 20 A 30m</t>
  </si>
  <si>
    <t>C1342</t>
  </si>
  <si>
    <t>ESTRUTURA ESPACIAL DE ALUMÍNIO VÃO DE 20m</t>
  </si>
  <si>
    <t>C1343</t>
  </si>
  <si>
    <t>ESTRUTURA ESPACIAL DE ALUMÍNIO VÃO DE 30m</t>
  </si>
  <si>
    <t>C1344</t>
  </si>
  <si>
    <t>ESTRUTURA ESPACIAL DE ALUMÍNIO VÃO DE 40m</t>
  </si>
  <si>
    <t>C1345</t>
  </si>
  <si>
    <t>ESTRUTURA ESPACIAL DE ALUMÍNIO VÃO DE 50m</t>
  </si>
  <si>
    <t>C1346</t>
  </si>
  <si>
    <t>ESTRUTURA ESPACIAL DE ALUMÍNIO VÃO DE 60m</t>
  </si>
  <si>
    <t>C1352</t>
  </si>
  <si>
    <t>ESTRUTURA METÁLICA EM TUBO DE AÇO 150mm, INCLUS. PINTURA</t>
  </si>
  <si>
    <t>C1353</t>
  </si>
  <si>
    <t>ESTRUTURA METÁLICA TRELIÇADA EM AÇO, EM MARQUISES</t>
  </si>
  <si>
    <t>C5217</t>
  </si>
  <si>
    <t xml:space="preserve">ESTRUTURA TRELIÇADA DE COBERTURA, TIPO ARCO, COM LIGAÇÕES PARAFUSADAS, INCLUSOS PERFIS METÁLICOS, CHAPAS METÁLICAS, TRANSPORTE COM GUINDASTE, JATEAMENTO E PINTURA
</t>
  </si>
  <si>
    <t>C5218</t>
  </si>
  <si>
    <t>ESTRUTURA TRELIÇADA DE COBERTURA, TIPO ARCO, COM LIGAÇÕES SOLDADAS, INCLUSOS PERFIS METÁLICOS, CHAPAS METÁLICAS, TRANSPORTE COM GUINDASTE, JATEAMENTO E PINTURA</t>
  </si>
  <si>
    <t>C5215</t>
  </si>
  <si>
    <t>ESTRUTURA TRELIÇADA DE COBERTURA, TIPO FINK, COM LIGAÇÕES PARAFUSADAS, INCLUSOS PERFIS METÁLICOS, CHAPAS METÁLICAS, TRANSPORTE COM GUINDASTE, JATEAMENTO E PINTURA</t>
  </si>
  <si>
    <t>C5216</t>
  </si>
  <si>
    <t xml:space="preserve">ESTRUTURA TRELIÇADA DE COBERTURA, TIPO FINK, COM LIGAÇÕES SOLDADAS, INCLUSOS PERFIS METÁLICOS, CHAPAS METÁLICAS, TRANSPORTE COM GUINDASTE, JATEAMENTO E PINTURA
</t>
  </si>
  <si>
    <t>C5219</t>
  </si>
  <si>
    <t>ESTRUTURA TRELIÇADA DE COBERTURA, TIPO SHED, COM LIGAÇÕES PARAFUSADAS, INCLUSOS PERFIS METÁLICOS, CHAPAS METÁLICAS, TRANSPORTE COM GUINDASTE, JATEAMENTO E PINTURA</t>
  </si>
  <si>
    <t>C5220</t>
  </si>
  <si>
    <t>ESTRUTURA TRELIÇADA DE COBERTURA, TIPO SHED, COM LIGAÇÕES SOLDADAS, INCLUSOS PERFIS METÁLICOS, CHAPAS METÁLICAS, TRANSPORTE COM GUINDASTE, JATEAMENTO E PINTURA</t>
  </si>
  <si>
    <t>C1600</t>
  </si>
  <si>
    <t>LANTERNIM SIMPLES VÃO DE 20m</t>
  </si>
  <si>
    <t>C1601</t>
  </si>
  <si>
    <t>LANTERNIM SIMPLES VÃO DE 30m</t>
  </si>
  <si>
    <t>C1602</t>
  </si>
  <si>
    <t>LANTERNIM SIMPLES VÃO DE 40m</t>
  </si>
  <si>
    <t>C1597</t>
  </si>
  <si>
    <t>LANTERNIM DUPLO VÃO DE 20m</t>
  </si>
  <si>
    <t>C1598</t>
  </si>
  <si>
    <t>LANTERNIM DUPLO VÃO DE 30m</t>
  </si>
  <si>
    <t>C1599</t>
  </si>
  <si>
    <t>LANTERNIM DUPLO VÃO DE 40m</t>
  </si>
  <si>
    <t>C1879</t>
  </si>
  <si>
    <t>PERFIL METÁLICO ' I ', PRÉ-PINTADO C/ H=200mm</t>
  </si>
  <si>
    <t>C1878</t>
  </si>
  <si>
    <t>PERFIL METÁLICO  ' I ', PRÉ-PINTADO C/ H=300mm</t>
  </si>
  <si>
    <t>C1880</t>
  </si>
  <si>
    <t>PERFIL METÁLICO ' I ', PRÉ-PINTADO C/ H=400mm</t>
  </si>
  <si>
    <t>C1881</t>
  </si>
  <si>
    <t>PERFIL METÁLICO ' I ', PRÉ-PINTADO C/ H=500mm</t>
  </si>
  <si>
    <t>C4395</t>
  </si>
  <si>
    <t>PERFIL "U" EM ALUMÍNIO 3/4" x 3/4" P/ COBERTURA</t>
  </si>
  <si>
    <t>TELHAS</t>
  </si>
  <si>
    <t>C0041</t>
  </si>
  <si>
    <t>ALGEIROZ EM TELHAMENTO COLONIAL</t>
  </si>
  <si>
    <t>C0387</t>
  </si>
  <si>
    <t>BEIRA E BICA EM TELHA COLONIAL</t>
  </si>
  <si>
    <t>C0675</t>
  </si>
  <si>
    <t>CANTONEIRA DE FIBROCIMENTO P/TELHA ONDULADA</t>
  </si>
  <si>
    <t>C0803</t>
  </si>
  <si>
    <t>COBERTURA C/TELHA PVC RÍGIDO INCLINAÇÃO 27%</t>
  </si>
  <si>
    <t>C0987</t>
  </si>
  <si>
    <t>CUMEEIRA ARTICULADA DE FIBROCIMENTO P/TELHA MODULADA</t>
  </si>
  <si>
    <t>C0988</t>
  </si>
  <si>
    <t>CUMEEIRA ARTICULADA DE FIBROCIMENTO P/TELHA VOGATEX</t>
  </si>
  <si>
    <t>C0989</t>
  </si>
  <si>
    <t>CUMEEIRA CERÂMICA DA TELHA CANAL "TIMOM"</t>
  </si>
  <si>
    <t>C0990</t>
  </si>
  <si>
    <t>CUMEEIRA CERÂMICA DA TELHA RETANGULAR "TIMOM"</t>
  </si>
  <si>
    <t>C0994</t>
  </si>
  <si>
    <t>CUMEEIRA DE CONCRETO COLORIDA INCLUSIVE EMBOÇAMENTO</t>
  </si>
  <si>
    <t>C0995</t>
  </si>
  <si>
    <t>CUMEEIRA NORMAL DE FIBROCIMENTO P/TELHA CANALETE 49</t>
  </si>
  <si>
    <t>C0996</t>
  </si>
  <si>
    <t>CUMEEIRA NORMAL DE FIBROCIMENTO P/TELHA CANALETE 90</t>
  </si>
  <si>
    <t>C0997</t>
  </si>
  <si>
    <t>CUMEEIRA NORMAL DE FIBROCIMENTO P/TELHA KALHETA DELTA</t>
  </si>
  <si>
    <t>C0998</t>
  </si>
  <si>
    <t>CUMEEIRA NORMAL DE FIBROCIMENTO P/TELHA KALHETÃO</t>
  </si>
  <si>
    <t>C0999</t>
  </si>
  <si>
    <t>CUMEEIRA NORMAL DE FIBROCIMENTO P/TELHA MAXIPLAC</t>
  </si>
  <si>
    <t>C1000</t>
  </si>
  <si>
    <t>CUMEEIRA NORMAL DE FIBROCIMENTO P/TELHA ONDULADA</t>
  </si>
  <si>
    <t>C1001</t>
  </si>
  <si>
    <t>CUMEEIRA NORMAL PARA TELHA DE MADEIRA</t>
  </si>
  <si>
    <t>C5202</t>
  </si>
  <si>
    <t>CUMEEIRA ONDULADA DE ALUMÍNIO</t>
  </si>
  <si>
    <t>C4463</t>
  </si>
  <si>
    <t>CUMEEIRA TELHA CERÂMICA, EMBOÇADA</t>
  </si>
  <si>
    <t>C1002</t>
  </si>
  <si>
    <t>CUMEEIRA TERMOACÚSTICA</t>
  </si>
  <si>
    <t>C1003</t>
  </si>
  <si>
    <t>CUMEEIRA TIPO ONDULINE EM ESTRUTURA DE MADEIRA</t>
  </si>
  <si>
    <t>C1004</t>
  </si>
  <si>
    <t>CUMEEIRA TIPO ONDULINE EM ESTRUTURA METÁLICA</t>
  </si>
  <si>
    <t>C1005</t>
  </si>
  <si>
    <t>CUMEEIRA TIPO SHED OU RUFO DE FIBROCIMENTO P/TELHA ONDULADA</t>
  </si>
  <si>
    <t>C1006</t>
  </si>
  <si>
    <t>CUMEEIRA UNIVERSAL DE FIBROCIMENTO P/TELHA ONDULADA</t>
  </si>
  <si>
    <t>C3858</t>
  </si>
  <si>
    <t>DESMONTAGEM DE TELHAMENTO EM ESTRUTURAS METÁLICAS</t>
  </si>
  <si>
    <t>C4464</t>
  </si>
  <si>
    <t>EMBOÇAMENTO DA ÚLTIMA FIADA TELHA CERÂMICA</t>
  </si>
  <si>
    <t>C1363</t>
  </si>
  <si>
    <t>FECHAMENTO LATERAL C/TELHA DE FIBROCIMENTO ONDULADA E=6mm</t>
  </si>
  <si>
    <t>C1380</t>
  </si>
  <si>
    <t>FIXAÇÃO DE TELHAS CANALETE 90-(LINHA DE FIXAÇÃO)</t>
  </si>
  <si>
    <t>C1381</t>
  </si>
  <si>
    <t>FIXAÇÃO DE TELHAS KALHETÃO (LINHA DE FIXAÇÃO)</t>
  </si>
  <si>
    <t>C3859</t>
  </si>
  <si>
    <t>MONTAGEM DE TELHAMENTO EM ESTRUTURAS METÁLICAS</t>
  </si>
  <si>
    <t>C2199</t>
  </si>
  <si>
    <t>RETELHAMENTO C/ OUTROS TIPOS DE TELHA MAT. FIXAÇÃO</t>
  </si>
  <si>
    <t>C2200</t>
  </si>
  <si>
    <t>RETELHAMENTO C/ TELHA CERÂMICA  ATE 20% NOVA</t>
  </si>
  <si>
    <t>C2201</t>
  </si>
  <si>
    <t>RETELHAMENTO C/ TELHA CERÂMICA COM 50% NOVA</t>
  </si>
  <si>
    <t>C2203</t>
  </si>
  <si>
    <t>RETELHAMENTO C/ TELHA FIBROCIMENTO MAT. DE FIXAÇÃO</t>
  </si>
  <si>
    <t>C2303</t>
  </si>
  <si>
    <t>TAMPÃO DE FIBROCIMENTO P/TELHA KALHETA DELTA</t>
  </si>
  <si>
    <t>C2304</t>
  </si>
  <si>
    <t>TAMPÃO DE FIBROCIMENTO P/TELHA KALHETÃO</t>
  </si>
  <si>
    <t>C2305</t>
  </si>
  <si>
    <t>TAMPÃO E RUFO DE FIBROCIMENTO</t>
  </si>
  <si>
    <t>C4462</t>
  </si>
  <si>
    <t>TELHA CERÂMICA</t>
  </si>
  <si>
    <t>C2429</t>
  </si>
  <si>
    <t>TELHA CERÂMICA TIPO CANAL C/ ESBARRO "TIMON"</t>
  </si>
  <si>
    <t>C2430</t>
  </si>
  <si>
    <t>TELHA CERÂMICA TIPO RETANGULAR C/ ESBARRO "TIMOM"</t>
  </si>
  <si>
    <t>C2431</t>
  </si>
  <si>
    <t>TELHA DE AÇO ZINCADA PRÉ-PINTADA INCLINAÇÃO 1%.VAO 10.5m</t>
  </si>
  <si>
    <t>C2432</t>
  </si>
  <si>
    <t>TELHA DE AÇO ZINCADA PRÉ-PINTADA INCLINAÇÃO 2.75% VÃO 16m</t>
  </si>
  <si>
    <t>C2433</t>
  </si>
  <si>
    <t>TELHA DE AÇO ZINCADA PRÉ-PINTADA INCLINAÇÃO 3%.VÃO 22m</t>
  </si>
  <si>
    <t>C2434</t>
  </si>
  <si>
    <t>TELHA DE AÇO ZINCADA PRÉ-PINTADA INCLINAÇÃO 3%.VÃO 24m</t>
  </si>
  <si>
    <t>C2435</t>
  </si>
  <si>
    <t>TELHA DE AÇO ZINCADA PRÉ-PINTADA INCLINAÇÃO 3%.VÃO 26m</t>
  </si>
  <si>
    <t>C2425</t>
  </si>
  <si>
    <t>TELHA DE ALUMÍNIO C/ MIOLO POLIURETANO, TRAPEZOIDAL + LISA</t>
  </si>
  <si>
    <t>C2426</t>
  </si>
  <si>
    <t>TELHA DE ALUMÍNIO C/MIOLO POLIURETANO, TRAPEZOIDAL+TRAPEZOIDAL</t>
  </si>
  <si>
    <t>C4827</t>
  </si>
  <si>
    <t>TELHA DE ALUMÍNIO ONDULADA, ESP.=0,7MM</t>
  </si>
  <si>
    <t>C4554</t>
  </si>
  <si>
    <t>TELHA DE ALUMÍNIO, TRAPEZOIDAL e = 0,7mm</t>
  </si>
  <si>
    <t>C2436</t>
  </si>
  <si>
    <t>TELHA DE CONCRETO COLORIDA INCLINAÇÃO ACIMA DE 30%</t>
  </si>
  <si>
    <t>C2437</t>
  </si>
  <si>
    <t>TELHA DE FIBROCIMENTO CANALETE 49 INCLINAÇÃO 3%</t>
  </si>
  <si>
    <t>C2438</t>
  </si>
  <si>
    <t>TELHA DE FIBROCIMENTO CANALETE 90 INCLINAÇÃO 3%</t>
  </si>
  <si>
    <t>C2439</t>
  </si>
  <si>
    <t>TELHA DE FIBROCIMENTO CANALETE 90 INCLINAÇÃO 9%</t>
  </si>
  <si>
    <t>C2440</t>
  </si>
  <si>
    <t>TELHA DE FIBROCIMENTO KALHETA DELTA INCLINAÇÃO 3%</t>
  </si>
  <si>
    <t>C2441</t>
  </si>
  <si>
    <t>TELHA DE FIBROCIMENTO KALHETÃO INCLINAÇÃO 3%</t>
  </si>
  <si>
    <t>C2442</t>
  </si>
  <si>
    <t>TELHA DE FIBROCIMENTO KALHETÃO INCLINAÇÃO 9%</t>
  </si>
  <si>
    <t>C2443</t>
  </si>
  <si>
    <t>TELHA DE FIBROCIMENTO MAXIPLAC E=6mm INCLINAÇÃO 27%</t>
  </si>
  <si>
    <t>C2444</t>
  </si>
  <si>
    <t>TELHA DE FIBROCIMENTO MODULADA, INCLINAÇÃO 18%</t>
  </si>
  <si>
    <t>C2446</t>
  </si>
  <si>
    <t>TELHA DE FIBROCIMENTO ONDULADA E=6mm EM ARCO</t>
  </si>
  <si>
    <t>C2445</t>
  </si>
  <si>
    <t>TELHA DE FIBROCIMENTO ONDULADA E=6mm , INCLINAÇÃO 27%</t>
  </si>
  <si>
    <t>C3745</t>
  </si>
  <si>
    <t>TELHA DE FIBROCIMENTO ONDULADA E= 8mm, INCLINAÇÃO 27%</t>
  </si>
  <si>
    <t>C2447</t>
  </si>
  <si>
    <t>TELHA DE FIBROCIMENTO VOGATEX, INCLINAÇÃO 27%</t>
  </si>
  <si>
    <t>C2448</t>
  </si>
  <si>
    <t>TELHA DE MADEIRA COMPENSADA ONDULADA E=6mm</t>
  </si>
  <si>
    <t>C2449</t>
  </si>
  <si>
    <t>TELHA DE POLIESTER REFORÇADO</t>
  </si>
  <si>
    <t>C2450</t>
  </si>
  <si>
    <t>TELHA TERMOACÚSTICA TRAPEZOIDAL INCLINAÇÃO 17.6%</t>
  </si>
  <si>
    <t>C2451</t>
  </si>
  <si>
    <t>TELHA TIPO ONDULINE EM ESTRUTURA DE MADEIRA</t>
  </si>
  <si>
    <t>C2452</t>
  </si>
  <si>
    <t>TELHA TIPO ONDULINE EM ESTRUTURA METÁLICA</t>
  </si>
  <si>
    <t>C2453</t>
  </si>
  <si>
    <t>TELHA TRANSPARENTE ONDULADA</t>
  </si>
  <si>
    <t>COBERTURA (MADEIRAMENTO E TELHAMENTO)</t>
  </si>
  <si>
    <t>C0800</t>
  </si>
  <si>
    <t>COBERTURA C/TELHA ESTRUTURAL DE FIBRO-CIMENTO, CANALETE 49 C/ APOIOS</t>
  </si>
  <si>
    <t>C0801</t>
  </si>
  <si>
    <t>COBERTURA C/TELHA ESTRUTURAL DE FIBRO-CIMENTO, CANALETE 90 C/ APOIOS</t>
  </si>
  <si>
    <t>C0802</t>
  </si>
  <si>
    <t>COBERTURA C/TELHA ONDULADA DE FIBRO-CIMENTO E= 6mm ( C/MADEIRAMENTO )</t>
  </si>
  <si>
    <t>C4465</t>
  </si>
  <si>
    <t>COBERTURA TELHA CERÂMICA - (RIPA, CAIBRO)</t>
  </si>
  <si>
    <t>C4466</t>
  </si>
  <si>
    <t>COBERTURA TELHA CERÂMICA (RIPA, CAIBRO, LINHA)</t>
  </si>
  <si>
    <t>DOMOS</t>
  </si>
  <si>
    <t>C4370</t>
  </si>
  <si>
    <t>ABÓBADA DE POLICARBONATO TRANSPARENTE (FORN./MONTAGEM)</t>
  </si>
  <si>
    <t>C0769</t>
  </si>
  <si>
    <t>CHAPA POLICARBONATO  ALVEOLAR CRISTAL ESP.= 6mm</t>
  </si>
  <si>
    <t>C0770</t>
  </si>
  <si>
    <t>CHAPA POLICARBONATO COMPACTO CRISTAL ESP.= 6mm</t>
  </si>
  <si>
    <t>C0771</t>
  </si>
  <si>
    <t>CHAPA POLICARBONATO FUMÊ ESP.= 4mm</t>
  </si>
  <si>
    <t>C1147</t>
  </si>
  <si>
    <t>DOMO INDIVIDUAL DE ACRÍLICO</t>
  </si>
  <si>
    <t>C1148</t>
  </si>
  <si>
    <t>DOMO INDIVIDUAL DE FIBRA DE VIDRO</t>
  </si>
  <si>
    <t>C1149</t>
  </si>
  <si>
    <t>DOMO MODULAR DE ACRÍLICO</t>
  </si>
  <si>
    <t>C1150</t>
  </si>
  <si>
    <t>DOMO MODULAR DE FIBRA DE VIDRO</t>
  </si>
  <si>
    <t>C3448</t>
  </si>
  <si>
    <t>BEIRAL DE MADEIRA (1X10)cm</t>
  </si>
  <si>
    <t>C0388</t>
  </si>
  <si>
    <t>BEIRAL DE MADEIRA DE (2 X 8)cm, INCLUSIVE PINTURA</t>
  </si>
  <si>
    <t>C0657</t>
  </si>
  <si>
    <t>CALHA DE ALUMÍNIO DESENVOLVIMENTO DE 25cm</t>
  </si>
  <si>
    <t>C0658</t>
  </si>
  <si>
    <t>CALHA DE CHAPA COBRE 26 DESENVOLVIMENTO 33cm</t>
  </si>
  <si>
    <t>C0659</t>
  </si>
  <si>
    <t>CALHA DE CHAPA COBRE 26 DESENVOLVIMENTO 50cm</t>
  </si>
  <si>
    <t>C0660</t>
  </si>
  <si>
    <t>CALHA DE CHAPA GALVANIZADA 26 DESENVOLVIMENTO 33cm</t>
  </si>
  <si>
    <t>C0661</t>
  </si>
  <si>
    <t>CALHA DE CHAPA GALVANIZADA 26 DESENVOLVIMENTO 50cm</t>
  </si>
  <si>
    <t>C0662</t>
  </si>
  <si>
    <t>CALHA DE FIBERGLASS ESP.= 2mm  DESENVOLVIMENTO 30cm</t>
  </si>
  <si>
    <t>C4910</t>
  </si>
  <si>
    <t>CALHA EM CHAPA DE ALUMÍNIO LISA 22, ESP.=0,71MM, INCLUSO TRANSPORTE VERTICAL</t>
  </si>
  <si>
    <t>C3684</t>
  </si>
  <si>
    <t>COBERTA EM PALHA DE CARNAÚBA</t>
  </si>
  <si>
    <t>C3746</t>
  </si>
  <si>
    <t>ESTACIONAMENTO COBERTO C/ TELHA DE FIBROCIMENTO - VAGA (4,50x2,75)</t>
  </si>
  <si>
    <t>C1631</t>
  </si>
  <si>
    <t>LONA PLÁSTICA PRETA, P/SERVIÇOS EM COBERTAS</t>
  </si>
  <si>
    <t>C2248</t>
  </si>
  <si>
    <t>RUFO DE CHAPA COBRE 26 DESENVOLVIMENTO 33cm</t>
  </si>
  <si>
    <t>C2249</t>
  </si>
  <si>
    <t>RUFO DE CHAPA GALVANIZADA 26 DESENVOLVIMENTO 33cm</t>
  </si>
  <si>
    <t>C2250</t>
  </si>
  <si>
    <t>RUFO DE FIBROCIMENTO</t>
  </si>
  <si>
    <t>C2251</t>
  </si>
  <si>
    <t>RUFO DE FIBROCIMENTO C/ VEDAÇÃO ELÁSTICA</t>
  </si>
  <si>
    <t>C2252</t>
  </si>
  <si>
    <t>RUFO DE FIBROCIMENTO P/TELHA MAXIPLAC</t>
  </si>
  <si>
    <t>C2253</t>
  </si>
  <si>
    <t>RUFO DE FIBROCIMENTO P/TELHA ONDULADA</t>
  </si>
  <si>
    <t>C3652</t>
  </si>
  <si>
    <t>RUFO/ALGEIROZ EM CONCRETO PRÉ-MOLDADO L=30CM</t>
  </si>
  <si>
    <t>C4911</t>
  </si>
  <si>
    <t>RUFO EM CHAPA DE ALUMÍNIO LISA 22, ESP.=0,71MM, INCLUSO TRANSPORTE VERTICAL</t>
  </si>
  <si>
    <t>C2479</t>
  </si>
  <si>
    <t>TOLDO COM ESTRUTURA METÁLICA</t>
  </si>
  <si>
    <t>IMPERMEABILIZAÇÃO</t>
  </si>
  <si>
    <t>BALDRAMES</t>
  </si>
  <si>
    <t>C1462</t>
  </si>
  <si>
    <t>IMPERMEABILIZAÇÃO DE ALVENARIA DE EMBASAMENTO NO RESPALDO C/ARGAMASSA CIMENTO E AREIA S/ PENEIRAMENTO, TRAÇO 1:3, ESP.=2cm C/ ADITIVO IMPERMABILIZANTE</t>
  </si>
  <si>
    <t>C1466</t>
  </si>
  <si>
    <t>IMPERMEABILIZAÇÃO HORIZONTAL DE ALICERCES C/MANTA BUTÍLICA EM PAREDES DE 1 ½  TIJOLO</t>
  </si>
  <si>
    <t>PISOS</t>
  </si>
  <si>
    <t>C1424</t>
  </si>
  <si>
    <t>GEOTEXTIL COMO CAMADA  DE DESLIZAMENTO / SEPARAÇÃO OU COMO CAMADA DE BERÇO E/OU AMORTECIMENTO</t>
  </si>
  <si>
    <t>C1465</t>
  </si>
  <si>
    <t>IMPERMEABILIZAÇÃO DE ÁREAS SUJEITAS A INFILTRAÇÃO POR LENÇOL FREÁTICO</t>
  </si>
  <si>
    <t>C1472</t>
  </si>
  <si>
    <t>IMPERMEABILIZAÇÃO P/ REBAIXO BANHEIRO E COZINHA C/TINTA ASFÁLTICA</t>
  </si>
  <si>
    <t>C2057</t>
  </si>
  <si>
    <t>PROTEÇÃO DE SUPERFÍCIES IMPERMEABILIZADAS</t>
  </si>
  <si>
    <t>CALHAS</t>
  </si>
  <si>
    <t>C1458</t>
  </si>
  <si>
    <t>IMPERMEABILIZAÇÃO C/ IMPERMEABILIZANTE ESTRUTURAL E APLICAÇÃO DE MEMBRANA DE BASE ACRÍLICA</t>
  </si>
  <si>
    <t>C1463</t>
  </si>
  <si>
    <t>IMPERMEABILIZAÇÃO DE CALHA, VIGA-CALHA, JARDINEIRA C/MANTA ASFÁLTICA .AUTO-ADESIVA</t>
  </si>
  <si>
    <t>C1470</t>
  </si>
  <si>
    <t>IMPERMEABILIZAÇÃO JARDINEIRAS C/ARGAMASSA DE CIMENTO E AREIA S/ PENEIRAMENTO, TRAÇO 1:3 - ESP.= 3cm</t>
  </si>
  <si>
    <t>COBERTURAS</t>
  </si>
  <si>
    <t>C1476</t>
  </si>
  <si>
    <t>IMPERMEABILIZAÇÃO À BASE DE ELASTÔMEROS  SINTÉTICOS CALANDRADOS E PRÉ-VULCANIZADOS C/ MANTA BUTÍLICA</t>
  </si>
  <si>
    <t>C1173</t>
  </si>
  <si>
    <t>IMPERMEABILIZAÇÃO À BASE DE ELASTÔMEROS SINTÉTICOS "NEOPRENE + HYPALON"</t>
  </si>
  <si>
    <t>C1232</t>
  </si>
  <si>
    <t>IMPERMEABILIZAÇÃO À BASE DE EMULSÃO ASFÁLTICA ESTRUTURADA C/ VÉU DE FIBRA DE VIDRO C/ PINTURA DEFLETIVA</t>
  </si>
  <si>
    <t>C1459</t>
  </si>
  <si>
    <t>IMPERMEABLIZAÇÃO C/ APLICAÇÃO DIRETA DE IMPERMEABILIZANTE ESTRUTURAL SEGUIDA DE APLICAÇÃO DE MEMBRANA DE BASE ACRÍLICA</t>
  </si>
  <si>
    <t>C1779</t>
  </si>
  <si>
    <t>IMPERMEABILIZAÇÃO DE LAJES C/ MANTA ASFÁLTICA PRÉ-FABRICADA, C/ VÉU DE POLIÉSTER</t>
  </si>
  <si>
    <t>RESERVATÓRIOS</t>
  </si>
  <si>
    <t>C1473</t>
  </si>
  <si>
    <t>IMPERMEABILIZAÇÃO DE RESERVATÓRIOS E PISCINAS ELEVADAS C/ IMPERMEABILIZANTE ESTRUTURAL C/ APLICAÇÃO DE MEMBRANA ELÁSTICA BI-COMPONENTE</t>
  </si>
  <si>
    <t>C1475</t>
  </si>
  <si>
    <t>IMPERMEABILIZAÇÃO DE SUPERFÍCIES INTERNAS DE RESERVATÓRIOS ENTERRADOS</t>
  </si>
  <si>
    <t>C1469</t>
  </si>
  <si>
    <t>IMPERMEABILIZAÇÃO INTERNA E EXTERNA P/RESERVATÓRIO ENTERRADO</t>
  </si>
  <si>
    <t>C1460</t>
  </si>
  <si>
    <t>IMPERMEABILIZAÇÃO INTERNA C/ CIMENTO IMPERMEABILIZANTE ESTRUTURAL</t>
  </si>
  <si>
    <t>C1467</t>
  </si>
  <si>
    <t>IMPERMEABILIZAÇÃO INTERNA DE PISCINAS ENTERRADAS C/CIMENTO IMPERMEABILIZANTE ESTRUTURAL</t>
  </si>
  <si>
    <t>C2033</t>
  </si>
  <si>
    <t>PREPARO DE SUPERFÍCIE INTERNA EM RESERVATÓRIOS A SEREM IMPERMEABILIZADOS</t>
  </si>
  <si>
    <t>CORTINA</t>
  </si>
  <si>
    <t>C0667</t>
  </si>
  <si>
    <t>CAMADA PROTETORA DE SUPERFÍCIES HORIZONTAIS C/ ARGAMASSA DE CIMENTO E AREIA S/ PENEIRAMENTO TRAÇO 1:5 - ESP.= 1 A 2 cm</t>
  </si>
  <si>
    <t>C0668</t>
  </si>
  <si>
    <t>CAMADA PROTETORA DE SUPERFÍCIES VERTICAIS C/ PINTURA DE EMULSÃO ASFÁLTICA E ARGAMASSA DE CIMENTO E AREIA S/ PENEIRAMENTO TRAÇO 1:5, ESP.= 1 A 2 cm</t>
  </si>
  <si>
    <t>C1461</t>
  </si>
  <si>
    <t>IMPERMEABILIZAÇÃO DE ÁREAS SUJEITAS À UMIDADE C/ APLICAÇÃO DE DUAS DEMÃOS DE IMPERMEABILIZANTE ESTRUTURAL DILUÍDO C/ ÁGUA E EMULSÃO ADESIVA TRAÇO 12:4:1</t>
  </si>
  <si>
    <t>C2188</t>
  </si>
  <si>
    <t>REGULARIZAÇÃO DE SUPERFÍCIES HORIZONTAIS E VERTICAIS C/ ARGAMASSA DE CIMENTO E AREIA S/ PENEIRAMENTO, TRAÇO 1:3, ESP.= 6cm P/ APLICAÇÃO DE IMPERMEABILIZAÇÃO</t>
  </si>
  <si>
    <t>C2217</t>
  </si>
  <si>
    <t>REVESTIMENTO DE SUPERFÍCIE HORIZONTAL OU VERTICAL C/ARGAMASSA DE CIMENTO E AREIA S/ PENEIRAMENTO TRAÇO 1:3, ESP.= 5cm</t>
  </si>
  <si>
    <t>C4723</t>
  </si>
  <si>
    <t xml:space="preserve">IMPERMEABILIZAÇÃO À BASE DE ARGAMASSA POLIMÉRICA E RESINA EPOXI(SUPERFÍCIES EM CONTATO DIRETO COM ÁGUA RESIDUÁRIAS OU CONTATO COM GASES                                                                                                                                                  </t>
  </si>
  <si>
    <t>C4722</t>
  </si>
  <si>
    <t>IMPERMEABILIZAÇÃO À BASE DE ARGAMASSA POLIMÉRICA, RESINA TERMOPLÁSTICA E TELA DE POLIESTER MALHA 2X2MM (SUPERFÍCIE EM CONTATO DIRETO COM A ÁGUA)</t>
  </si>
  <si>
    <t>C4724</t>
  </si>
  <si>
    <t>IMPERMEABILIZAÇÃO À BASE DE ARGAMASSA POLIMÉRICA (LAJE DE RESERVATÓRIO SOB AÇÃO DE GASES)</t>
  </si>
  <si>
    <t>C2841</t>
  </si>
  <si>
    <t>IMPERMEABILIZAÇÃO C/ ARGAMASSA DE  CIMENTO E AREIA 1:3 ADITIVADA, ESP.= 2.50cm</t>
  </si>
  <si>
    <t>C2842</t>
  </si>
  <si>
    <t>IMPERMEABILIZAÇÃO C/ CIMENTO CRISTALIZANTE, BASE ACRÍLICA</t>
  </si>
  <si>
    <t>C2843</t>
  </si>
  <si>
    <t>IMPERMEABILIZAÇÃO C/ EMULSÃO ASFÁLTICA CONSUMO 2kg/m²</t>
  </si>
  <si>
    <t>C3444</t>
  </si>
  <si>
    <t>IMPERMEABILIZAÇÃO C/ SIKA E IGOL P/ CX. D´ÁGUA</t>
  </si>
  <si>
    <t>C4021</t>
  </si>
  <si>
    <t>IMPERMEABILIZAÇÃO DE ACABAMENTO C/ HEYDICRYL PLUS, COR BRANCA, CONSUMO 3,0 KG/M2, REFORÇADA C/ TELA</t>
  </si>
  <si>
    <t>IMPERMEABILIZAÇÃO UTILIZANDO MANTA ASFÁLTICA (ABNT NBR 9952:2014)</t>
  </si>
  <si>
    <t>C5013</t>
  </si>
  <si>
    <t xml:space="preserve">IMPERMEABILIZAÇÃO COM MANTA ASFÁLTICA, CLASSE B, ESTRUTURADA COM POLIESTER NÃO TECIDO, FACE EXPOSTA EM ALUMÍNIO, TIPO II, E=3MM
</t>
  </si>
  <si>
    <t>C5014</t>
  </si>
  <si>
    <t xml:space="preserve">IMPERMEABILIZAÇÃO COM MANTA ASFÁLTICA, CLASSE B, ESTRUTURADA COM POLIESTER NÃO TECIDO, FACE EXPOSTA EM ALUMÍNIO, TIPO II, E=4MM
</t>
  </si>
  <si>
    <t>C5015</t>
  </si>
  <si>
    <t>C5016</t>
  </si>
  <si>
    <t xml:space="preserve">IMPERMEABILIZAÇÃO COM MANTA ASFÁLTICA, CLASSE B, ESTRUTURADA COM POLIESTER NÃO TECIDO, FACE EXPOSTA EM ALUMÍNIO, TIPO III, E=4MM
</t>
  </si>
  <si>
    <t>C5017</t>
  </si>
  <si>
    <t>IMPERMEABILIZAÇÃO COM MANTA ASFÁLTICA, CLASSE B, ESTRUTURADA COM POLIESTER NÃO TECIDO, FACES EM POLIETILENO, TIPO II, E=3MM</t>
  </si>
  <si>
    <t>C5018</t>
  </si>
  <si>
    <t>IMPERMEABILIZAÇÃO COM MANTA ASFÁLTICA, CLASSE B, ESTRUTURADA COM POLIESTER NÃO TECIDO, FACES EM POLIETILENO, TIPO II, E=4MM</t>
  </si>
  <si>
    <t>C5019</t>
  </si>
  <si>
    <t>IMPERMEABILIZAÇÃO COM MANTA ASFÁLTICA, CLASSE B, ESTRUTURADA COM POLIESTER NÃO TECIDO, FACES EM POLIETILENO, TIPO III, E=3MM</t>
  </si>
  <si>
    <t>C5020</t>
  </si>
  <si>
    <t>IMPERMEABILIZAÇÃO COM MANTA ASFÁLTICA, CLASSE B, ESTRUTURADA COM POLIESTER NÃO TECIDO, FACES EM POLIETILENO, TIPO III, E=4MM</t>
  </si>
  <si>
    <t>C5021</t>
  </si>
  <si>
    <t>IMPERMEABILIZAÇÃO COM MANTA ASFÁLTICA, CLASSE B, ESTRUTURADA COM POLIESTER NÃO TECIDO, FACES EM POLIETILENO, TIPO IV, E=3MM</t>
  </si>
  <si>
    <t>C5022</t>
  </si>
  <si>
    <t>IMPERMEABILIZAÇÃO COM MANTA ASFÁLTICA, CLASSE B, ESTRUTURADA COM POLIESTER NÃO TECIDO, FACES EM POLIETILENO, TIPO IV, E=4MM</t>
  </si>
  <si>
    <t>C5023</t>
  </si>
  <si>
    <t>IMPERMEABILIZAÇÃO COM MANTA ASFÁLTICA, CLASSE B, EM DUAS CAMADAS TIPO II, E=3MM E E=4MM</t>
  </si>
  <si>
    <t>C5024</t>
  </si>
  <si>
    <t>IMPERMEABILIZAÇÃO COM MANTA ASFÁLTICA, CLASSE B, EM DUAS CAMADAS, TIPO II DE E=3MM E TIPO III DE E=4MM</t>
  </si>
  <si>
    <t>C5029</t>
  </si>
  <si>
    <t>IMPERMEABILIZAÇÃO COM MANTA ASFÁLTICA, CLASSE B, EM DUAS CAMADAS TIPO III, E=3MM E E=4MM</t>
  </si>
  <si>
    <t>C5025</t>
  </si>
  <si>
    <t>PROTEÇÃO MECÂNICA, COM ARGAMASSA DE CIMENTO E AREIA TRAÇO 1:4, E=2CM</t>
  </si>
  <si>
    <t>C5026</t>
  </si>
  <si>
    <t>PROTEÇÃO MECÂNICA, COM CAMADA SEPARADORA DE FILME DE POLIETILENO, COM ARGAMASSA DE CIMENTO E AREIA TRAÇO 1:4, E=2CM</t>
  </si>
  <si>
    <t>PROTEÇÃO TÉRMICA</t>
  </si>
  <si>
    <t>ISOLAMENTO DE PAREDES</t>
  </si>
  <si>
    <t>C1505</t>
  </si>
  <si>
    <t>ISOLAMENTO TÉRMICO C/PAINEL DE FIBRA DE VIDRO FLEXÍVEL ESP.=50mm FIXADO COM ADESIVO HIDRO-ASFÁLTICO</t>
  </si>
  <si>
    <t>C1503</t>
  </si>
  <si>
    <t>ISOLAMENTO TÉRMICO C/PAINEL DE FIBRA DE VIDRO RÍGIDO ESP.= 25mm FIXADO COM ASFALTO OXIDADO (MODIFICADO)</t>
  </si>
  <si>
    <t>C1506</t>
  </si>
  <si>
    <t>ISOLAMENTO TÉRMICO C/PAINEL DE FIBRA DE VIDRO SEMI-RÍGIDO ESP.= 50mm FIXADO C/ARAME E TELA</t>
  </si>
  <si>
    <t>C1504</t>
  </si>
  <si>
    <t>ISOLAMENTO TÉRMICO C/TIJOLO CERÂMICO FURADO (30X20X10)cm</t>
  </si>
  <si>
    <t>ISOLAMENTO DE COBERTURAS E LAJES</t>
  </si>
  <si>
    <t>C1500</t>
  </si>
  <si>
    <t>ISOLAMENTO TÉRMICO C/ARGILA EXPANDIDA AGLOMERADA ESP.= 20cm</t>
  </si>
  <si>
    <t>C1508</t>
  </si>
  <si>
    <t>ISOLAMENTO TÉRMICO C/LAJOTAS PRE-MOLDADAS DE CONCRETO</t>
  </si>
  <si>
    <t>C1510</t>
  </si>
  <si>
    <t>ISOLAMENTO TÉRMICO C/PEDRA BRITADA SOLTA ESP.= 25cm, SOBRE ARGAMASA DE PROTEÇÃO P/IMPERMEABILIZAÇÃO</t>
  </si>
  <si>
    <t>C1511</t>
  </si>
  <si>
    <t>ISOLAMENTO TÉRMICO C/PLACAS DE CONCRETO CELULAR ESP.= 5cm</t>
  </si>
  <si>
    <t>C1512</t>
  </si>
  <si>
    <t>ISOLAMENTO TÉRMICO C/PLACAS DE POLIESTIRENO EXPANDIDO ESP.= 5cm</t>
  </si>
  <si>
    <t>C1513</t>
  </si>
  <si>
    <t>ISOLAMENTO TÉRMICO C/VERMICULITA AGLOMERADA C/CIMENTO E AREIA ESP.= 15cm</t>
  </si>
  <si>
    <t>ISOLAMENTO DE TUBOS DE AÇO</t>
  </si>
  <si>
    <t>C3717</t>
  </si>
  <si>
    <t>ISOLAMENTO TÉRMICO COM POLIESTIRENO EXPANDIDO (ISOPOR) EM TUBO DE AÇO PRETO  DE 2"</t>
  </si>
  <si>
    <t>C3718</t>
  </si>
  <si>
    <t>ISOLAMENTO TÉRMICO COM POLIESTIRENO EXPANDIDO (ISOPOR) EM TUBO DE AÇO PRETO  DE 2 1/2"</t>
  </si>
  <si>
    <t>REVESTIMENTOS</t>
  </si>
  <si>
    <t>ARGAMASSAS PARA PAREDES INTERNAS E EXTERNAS</t>
  </si>
  <si>
    <t>C0776</t>
  </si>
  <si>
    <t>CHAPISCO C/ ARGAMASSA DE CIMENTO E AREIA S/PENEIRAR TRAÇO 1:3  ESP.= 5mm P/ PAREDE</t>
  </si>
  <si>
    <t>C0777</t>
  </si>
  <si>
    <t>CHAPISCO C/ ARGAMASSA DE CIMENTO E PEDRISCO TRAÇO 1:4  ESP.= 7mm P/ PAREDE</t>
  </si>
  <si>
    <t>C1220</t>
  </si>
  <si>
    <t>EMBOÇO C/ ARGAMASSA DE CIMENTO E AREIA S/ PENEIRAR, TRAÇO 1:3</t>
  </si>
  <si>
    <t>C1221</t>
  </si>
  <si>
    <t>EMBOÇO C/ ARGAMASSA DE CIMENTO E AREIA S/ PENEIRAR, TRAÇO 1:4</t>
  </si>
  <si>
    <t>C1226</t>
  </si>
  <si>
    <t>EMBOÇO C/ ARGAMASSA DE CIMENTO E AREIA S/ PENEIRAR, TRAÇO 1:5</t>
  </si>
  <si>
    <t>C3245</t>
  </si>
  <si>
    <t>EMBOÇO C/ ARGAMASSA DE CIMENTO E AREIA S/ PENEIRAR, TRAÇO 1:6</t>
  </si>
  <si>
    <t>C3246</t>
  </si>
  <si>
    <t>EMBOÇO C/ ARGAMASSA DE CIMENTO E AREIA S/ PENEIRAR, TRAÇO 1:7</t>
  </si>
  <si>
    <t>C1211</t>
  </si>
  <si>
    <t>EMBOÇO C/ ARGAMASSA DE CIMENTO, ARENOSO E AREIA S/PENEIRAR TRAÇO 1:7:3  ESP.= 20mm P/ PAREDE</t>
  </si>
  <si>
    <t>C3023</t>
  </si>
  <si>
    <t>EMBOÇO C/ ARGAMASSA DE CIMENTO E AREIA PENEIRADA, TRAÇO 1:3</t>
  </si>
  <si>
    <t>C3029</t>
  </si>
  <si>
    <t>EMBOÇO C/ ARGAMASSA DE CIMENTO E AREIA PENEIRADA, TRAÇO 1:4</t>
  </si>
  <si>
    <t>C3080</t>
  </si>
  <si>
    <t>EMBOÇO C/ ARGAMASSA DE CIMENTO E AREIA PENEIRADA, TRAÇO 1:5</t>
  </si>
  <si>
    <t>C3120</t>
  </si>
  <si>
    <t>EMBOÇO C/ ARGAMASSA DE CIMENTO E AREIA PENEIRADA, TRAÇO 1:6</t>
  </si>
  <si>
    <t>C3122</t>
  </si>
  <si>
    <t>EMBOÇO C/ ARGAMASSA DE CIMENTO E AREIA PENEIRADA, TRAÇO 1:7</t>
  </si>
  <si>
    <t>C1212</t>
  </si>
  <si>
    <t>EMBOÇO C/ ARGAMASSA MISTA DE CIMENTO, CAL EM PASTA E AREIA S/PENEIRAR TRAÇO 1:1.5:9  ESP.= 20mm P/ PAREDE</t>
  </si>
  <si>
    <t>C1213</t>
  </si>
  <si>
    <t>EMBOÇO C/ ARGAMASSA MISTA DE CIMENTO, CAL HIDRATADA E AREIA S/PENEIRAR TRAÇO 1:2:9  ESP.= 20mm P/ PAREDE</t>
  </si>
  <si>
    <t>C1238</t>
  </si>
  <si>
    <t>ENCHIMENTO DE RASGO C/ARGAMASSA DIAM.= 15 A 25mm (1/2" A 1")</t>
  </si>
  <si>
    <t>C1239</t>
  </si>
  <si>
    <t>ENCHIMENTO DE RASGO C/ARGAMASSA DIAM.= 32 A 50mm (1 1/4" A 2")</t>
  </si>
  <si>
    <t>C1240</t>
  </si>
  <si>
    <t>ENCHIMENTO DE RASGO C/ARGAMASSA DIAM.= 65 A100mm  (2 1/2" A 4")</t>
  </si>
  <si>
    <t>C1245</t>
  </si>
  <si>
    <t>ENTELAMENTO CORRETIVO DE SUPERFÍCIE C/TRINCA P/RETRAÇÃO OU DILATAÇÃO TELA LARG.=15cm REF. CENT.LARG.=5cm</t>
  </si>
  <si>
    <t>C1247</t>
  </si>
  <si>
    <t>ENTELAMENTO PREVENTIVO DE SUPERFÍCIE SUJEITA A TRINCAS P/RETRAÇÃO OU DILATAÇÃO TELA LARG.= 25cm</t>
  </si>
  <si>
    <t>C3545</t>
  </si>
  <si>
    <t>MUTIRÃO MISTO - CHAPISCO C/ARGAMASSA DE CIMENTO E PEDRISCO TRAÇO 1:4  ESP.=7mm P/PAREDE</t>
  </si>
  <si>
    <t>C3546</t>
  </si>
  <si>
    <t>MUTIRÃO MISTO - REBOCO C/ ARGAMASSA DE CAL TRAÇO 1:4 P/PAREDE</t>
  </si>
  <si>
    <t>C4831</t>
  </si>
  <si>
    <t>REBOCO ACÚSTICO C/VERMICULITA AGLOMERADA C/CIMENTO E AREIA ESP=25MM</t>
  </si>
  <si>
    <t>C2110</t>
  </si>
  <si>
    <t>REBOCO C/ACABAMENTO.LISO.C/ARGAMASSA DE CIMENTO E AREIA PENEIRADA E ADITIVO IMPERMEABILIZANTE TRAÇO 1:1.5 ESP=5 mm</t>
  </si>
  <si>
    <t>C2121</t>
  </si>
  <si>
    <t>REBOCO C/ARGAMASSA DE CAL EM PASTA E AREIA PENEIRADA TRAÇO 1:3  ESP=5 mm P/PAREDE</t>
  </si>
  <si>
    <t>C2122</t>
  </si>
  <si>
    <t>REBOCO C/ARGAMASSA DE CAL EM PASTA E AREIA PENEIRADA TRAÇO 1:4  ESP=5 mm P/PAREDE</t>
  </si>
  <si>
    <t>C2123</t>
  </si>
  <si>
    <t>REBOCO C/ARGAMASSA DE CAL HIDRATADA E AREIA PENEIRADA TRAÇO 1:3  ESP=5 mm P/PAREDE</t>
  </si>
  <si>
    <t>C3408</t>
  </si>
  <si>
    <t>REBOCO C/ ARGAMASSA DE CIMENTO E AREIA S/ PENEIRAR, TRAÇO 1:3</t>
  </si>
  <si>
    <t>C3409</t>
  </si>
  <si>
    <t>REBOCO C/ ARGAMASSA DE CIMENTO E AREIA S/ PENEIRAR, TRAÇO 1:4</t>
  </si>
  <si>
    <t>C3124</t>
  </si>
  <si>
    <t>REBOCO C/ ARGAMASSA DE CIMENTO E AREIA S/ PENEIRAR, TRAÇO 1:5</t>
  </si>
  <si>
    <t>C3407</t>
  </si>
  <si>
    <t>REBOCO C/ ARGAMASSA DE CIMENTO E AREIA S/ PENEIRAR, TRAÇO 1:6</t>
  </si>
  <si>
    <t>C3162</t>
  </si>
  <si>
    <t>REBOCO C/ ARGAMASSA DE CIMENTO E AREIA S/ PENEIRAR, TRAÇO 1:7</t>
  </si>
  <si>
    <t>C3028</t>
  </si>
  <si>
    <t>REBOCO C/ ARGAMASSA DE CIMENTO E AREIA PENEIRADA, TRAÇO 1:3</t>
  </si>
  <si>
    <t>C3037</t>
  </si>
  <si>
    <t>REBOCO C/ ARGAMASSA DE CIMENTO E AREIA PENEIRADA, TRAÇO 1:4</t>
  </si>
  <si>
    <t>C3087</t>
  </si>
  <si>
    <t>REBOCO C/ ARGAMASSA DE CIMENTO E AREIA PENEIRADA, TRAÇO 1:5</t>
  </si>
  <si>
    <t>C3121</t>
  </si>
  <si>
    <t>REBOCO C/ ARGAMASSA DE CIMENTO E AREIA PENEIRADA, TRAÇO 1:6</t>
  </si>
  <si>
    <t>C3123</t>
  </si>
  <si>
    <t>REBOCO C/ ARGAMASSA DE CIMENTO E AREIA PENEIRADA, TRAÇO 1:7</t>
  </si>
  <si>
    <t>C2126</t>
  </si>
  <si>
    <t>REBOCO C/ARGAMASSA PRÉ-FABRICADA ESP=5 mm P/ PAREDE</t>
  </si>
  <si>
    <t>C4002</t>
  </si>
  <si>
    <t>REBOCO C/ ARGAMASSA PRÉ-FABRICADA ESP=20 mm P/ PAREDE</t>
  </si>
  <si>
    <t>C2108</t>
  </si>
  <si>
    <t>REBOCO C/ARGAMASSA PRÉ-FABRICADA,  ADESIVO DE ALTA RESISTÊNCIA P/TINTA EPÓXI ESP= 5mm P/PAREDE</t>
  </si>
  <si>
    <t>C2127</t>
  </si>
  <si>
    <t>REBOCO COM BARITA ESP.=1CM</t>
  </si>
  <si>
    <t>C4510</t>
  </si>
  <si>
    <t>REBOCO DE GESSO SOBRE BLOCO DE CONCRETO E/OU TIJOLO CERÂMICO - FORNECIMENTO E EXECUÇÃO</t>
  </si>
  <si>
    <t>C4509</t>
  </si>
  <si>
    <t>REBOCO DE GESSO SOBRE GESSO E/OU EMBOÇO - FORNECIMENTO E EXECUÇÃO</t>
  </si>
  <si>
    <t>C2205</t>
  </si>
  <si>
    <t>RETIRADA DE AZULEJOS DAS CAIXAS E IMERSÃO EM ÁGUA</t>
  </si>
  <si>
    <t>ACABAMENTOS DE PAREDES INTERNAS E EXTERNAS</t>
  </si>
  <si>
    <t>C0007</t>
  </si>
  <si>
    <t>ACABAMENTO INTERNO E EXTERNO EM PAREDE DE CONCRETO C/CIMENTO  ESP= 2 mm</t>
  </si>
  <si>
    <t>C0334</t>
  </si>
  <si>
    <t>AZULEJOS JUNTA A PRUMO C/ARGAMASSA MISTA CIMENTO,  CAL HIDRATADA .E AREIA TRAÇO 1:2:8</t>
  </si>
  <si>
    <t>C0335</t>
  </si>
  <si>
    <t>AZULEJOS JUNTA A PRUMO C/ARGAMASSA DE CAL EM PASTA E AREIA TRAÇO 1:3.C/100KG DE CIMENTO</t>
  </si>
  <si>
    <t>C0336</t>
  </si>
  <si>
    <t>AZULEJOS JUNTA À PRUMO C/CIMENTO COLANTE</t>
  </si>
  <si>
    <t>C0337</t>
  </si>
  <si>
    <t>AZULEJOS JUNTA À PRUMO C/COLA A BASE DE PVA</t>
  </si>
  <si>
    <t>C0338</t>
  </si>
  <si>
    <t>AZULEJOS JUNTA AMARRADA C/ARGAMASSA MISTA CIMENTO, CAL HIDRATADA E AREIA TRAÇO 1:2:8</t>
  </si>
  <si>
    <t>C0339</t>
  </si>
  <si>
    <t>AZULEJOS JUNTA AMARRADA C/ARGAMASSA DE CAL VIRGEM E AREIA TRAÇO 1:3.C/100Kg DE CIMENTO</t>
  </si>
  <si>
    <t>C0340</t>
  </si>
  <si>
    <t>AZULEJOS JUNTA AMARRADA C/CIMENTO COLANTE</t>
  </si>
  <si>
    <t>C0341</t>
  </si>
  <si>
    <t>AZULEJOS JUNTA AMARRADA C/COLA À BASE DE PVA</t>
  </si>
  <si>
    <t>C0342</t>
  </si>
  <si>
    <t>AZULEJOS JUNTA DIAGONAL C/ARGAMASSA DE CAL EM PASTA E AREIA TRAÇO 1:3 C/100KG DE CIMENTO</t>
  </si>
  <si>
    <t>C0343</t>
  </si>
  <si>
    <t>AZULEJOS JUNTA DIAGONAL C/ARGAMASSA MISTA CIMENTO, CAL HIDRATADA E AREIA TRAÇO 1:2:8</t>
  </si>
  <si>
    <t>C0344</t>
  </si>
  <si>
    <t>AZULEJOS JUNTA DIAGONAL C/CIMENTO COLANTE</t>
  </si>
  <si>
    <t>C0345</t>
  </si>
  <si>
    <t>AZULEJOS JUNTA DIAGONAL C/COLA A BASE DE PVA</t>
  </si>
  <si>
    <t>C0674</t>
  </si>
  <si>
    <t>CANTONEIRA DE ALUMÍNIO P/ AZULEJOS</t>
  </si>
  <si>
    <t>C4832</t>
  </si>
  <si>
    <t>CANTONEIRA DE ALUMÍNIO 1 1/4" X 1 1/4"</t>
  </si>
  <si>
    <t>C4431</t>
  </si>
  <si>
    <t>CERÂMICA ESMALTADA C/ ARG. CIMENTO E AREIA ATÉ 10x10cm (100 cm²) - DECORATIVA P/ PAREDE</t>
  </si>
  <si>
    <t>C4432</t>
  </si>
  <si>
    <t>CERÂMICA ESMALTADA RETIFICADA C/ ARG. CIMENTO E AREIA ATÉ 30x30cm (900 cm²) - PEI-5/PEI-4 P/ PAREDE</t>
  </si>
  <si>
    <t>C4434</t>
  </si>
  <si>
    <t>CERÂMICA ESMALTADA RETIFICADA C/ ARG. CIMENTO E AREIA ACIMA DE 30x30cm (900 cm²) - PEI-5/PEI-4 P/ PAREDE</t>
  </si>
  <si>
    <t>C4442</t>
  </si>
  <si>
    <t>CERÂMICA ESMALTADA C/ ARG. PRÉ-FABRICADA ATÉ 10x10cm (100cm²) - DECORATIVA - P/ PAREDE</t>
  </si>
  <si>
    <t>C4443</t>
  </si>
  <si>
    <t>CERÂMICA ESMALTADA RETIFICADA C/ ARG. PRÉ-FABRICADA ATÉ 30x30cm (900cm²) - PEI-5/PEI-4 - P/ PAREDE</t>
  </si>
  <si>
    <t>C4445</t>
  </si>
  <si>
    <t>CERÂMICA ESMALTADA RETIFICADA C/ ARG. PRÉ-FABRICADA ACIMA DE 30x30cm (900cm²) - PEI-5/PEI-4 - P/ PAREDE</t>
  </si>
  <si>
    <t>C0766</t>
  </si>
  <si>
    <t>CERÂMICA VERMELHA (7.5X15)cm C/ARGAMASSA MISTA CIMENTO CAL HIDRATADA E AREIA</t>
  </si>
  <si>
    <t>C0782</t>
  </si>
  <si>
    <t>CHAPISCO MECÂNICO DE ADÔRNO</t>
  </si>
  <si>
    <t>C1367</t>
  </si>
  <si>
    <t>FILETE DE GRANITO LARG.= 4cm</t>
  </si>
  <si>
    <t>C4411</t>
  </si>
  <si>
    <t>PASTILHA (5x5)cm EM CORES, COM ARGAMASSA PRÉ-FABRICADA</t>
  </si>
  <si>
    <t>C1849</t>
  </si>
  <si>
    <t>PASTILHAS DE PORCELANA C/ARGAMASSA PRÉ-FABRICADA</t>
  </si>
  <si>
    <t>C1850</t>
  </si>
  <si>
    <t>PASTILHAS DE PORCELANA EM SUPERFÍCIES CURVAS</t>
  </si>
  <si>
    <t>C1851</t>
  </si>
  <si>
    <t>PASTILHAS DE PORCELANA C/ARGAMASSA MISTA CIMENTO, CAL HIDRATADA E AREIA TRAÇO 1:3:9</t>
  </si>
  <si>
    <t>C1853</t>
  </si>
  <si>
    <t>PASTILHAS DE PORCELANA C/CIMENTO COLANTE INCLUSIVE LIMPEZA</t>
  </si>
  <si>
    <t>C1861</t>
  </si>
  <si>
    <t>PASTILHAS DE PORCELANA EM FAIXAS ATÉ 40cm DE LARGURA C/ARGAMASSA PRÉ-FABRICADA</t>
  </si>
  <si>
    <t>C1857</t>
  </si>
  <si>
    <t>PASTILHAS DE PORCELANA EM FAIXAS DE ATÉ 4cm, C/ARGAMASSA MISTA DE CIMENTO, CAL HIDRATADA E AREIA</t>
  </si>
  <si>
    <t>C1856</t>
  </si>
  <si>
    <t>PASTILHAS DE PORCELANA EM FAIXAS DE 5 A 14cm, C/ARGAMASSA MISTA DE CIMENTO, CAL HIDRATADA E AREIA</t>
  </si>
  <si>
    <t>C1854</t>
  </si>
  <si>
    <t>PASTILHAS DE PORCELANA EM FAIXAS DE 15 A 24cm, C/ARGAMASSA MISTA DE CIMENTO, CAL HIDRATADA E AREIA</t>
  </si>
  <si>
    <t>C1855</t>
  </si>
  <si>
    <t>PASTILHAS DE PORCELANA EM FAIXAS DE 25 A 40cm, C/ARGAMASSA MISTA DE CIMENTO, CAL HIDRATADA  E AREIA</t>
  </si>
  <si>
    <t>C1858</t>
  </si>
  <si>
    <t>PASTILHAS DE PORCELANA EM SUPERFICIES CURVAS</t>
  </si>
  <si>
    <t>C1801</t>
  </si>
  <si>
    <t>PASTILHA DE VIDRO (MOSAICO VIDROSO) 2X2CM C/ARGAMASSA MISTA CIMENTO,CAL E AREIA  TRAÇO 1:1:6  INCLUSIVE. LIMPEZA</t>
  </si>
  <si>
    <t>C1866</t>
  </si>
  <si>
    <t>PEDRAS NATURAIS DECORATIVAS POLIDAS, C/ARGAMASSA MISTA CIMENTO CAL HIDRATADA E AREIA</t>
  </si>
  <si>
    <t>C1867</t>
  </si>
  <si>
    <t>PEDRAS NATURAIS DECORATIVAS, C/ARGAMASSA MISTA CIMENTO. CAL HIDRATADA E AREIA</t>
  </si>
  <si>
    <t>C1877</t>
  </si>
  <si>
    <t>PERFIL DE ALUMÍNIO TIPO ( L- T- U )</t>
  </si>
  <si>
    <t>C1904</t>
  </si>
  <si>
    <t>PINGADOR METÁLICO/ALUMÍNIO ( 1 X 1)cm  P/ FACHADAS</t>
  </si>
  <si>
    <t>C1936</t>
  </si>
  <si>
    <t>PLACAS DE MÁRMORE PADRONIZADO C/CIMENTO COLANTE</t>
  </si>
  <si>
    <t>C4436</t>
  </si>
  <si>
    <t>PORCELANATO RETIFICADO NATURAL (FOSCO) C/ ARG. CIMENTO E AREIA P/ PAREDE</t>
  </si>
  <si>
    <t>C4447</t>
  </si>
  <si>
    <t>PORCELANATO RETIFICADO NATURAL (FOSCO) C/ ARG. PRÉ-FABRICADA - P/ PAREDE</t>
  </si>
  <si>
    <t>C4435</t>
  </si>
  <si>
    <t>PORCELANATO RETIFICADO POLIDO C/ ARG. CIMENTO E AREIA P/ PAREDE</t>
  </si>
  <si>
    <t>C4446</t>
  </si>
  <si>
    <t>PORCELANATO RETIFICADO POLIDO C/ ARG. PRÉ-FABRICADA - P/ PAREDE</t>
  </si>
  <si>
    <t>C1102</t>
  </si>
  <si>
    <t>REJUNTAMENTO C/ ARG. PRÉ-FABRICADA, JUNTA ATÉ 2mm EM CERÂMICA, ATÉ 10x10 cm (100 cm²) - DECORATIVA (PAREDE/PISO)</t>
  </si>
  <si>
    <t>C1120</t>
  </si>
  <si>
    <t>REJUNTAMENTO C/ ARG. PRÉ-FABRICADA, JUNTA ATÉ 2mm EM CERÂMICA, ATÉ 30x30 cm (900 cm²) (PAREDE/PISO)</t>
  </si>
  <si>
    <t>C1123</t>
  </si>
  <si>
    <t>REJUNTAMENTO C/ ARG. PRÉ-FABRICADA, JUNTA ATÉ 2mm EM CERÂMICA, ACIMA DE 30x30 cm (900 cm²) E PORCELANATOS (PAREDE/PISO)</t>
  </si>
  <si>
    <t>C1126</t>
  </si>
  <si>
    <t>REJUNTAMENTO C/ ARG. PRÉ-FABRICADA, JUNTA ENTRE 2mm E 6mm EM CERÂMICA, ATÉ 10x10 cm (100 cm²) - DECORATIVA (PAREDE/PISO)</t>
  </si>
  <si>
    <t>C1129</t>
  </si>
  <si>
    <t>REJUNTAMENTO C/ ARG. PRÉ-FABRICADA, JUNTA ENTRE 2mm E 6mm EM CERÂMICA, ATÉ 30x30 cm (900 cm²) (PAREDE/PISO)</t>
  </si>
  <si>
    <t>C1427</t>
  </si>
  <si>
    <t>REJUNTAMENTO C/ ARG. PRÉ-FABRICADA, JUNTA ENTRE 2mm E 6mm EM CERÂMICA, ACIMA DE 30x30 cm (900 cm²) E PORCELANATOS (PAREDE/PISO)</t>
  </si>
  <si>
    <t>C2058</t>
  </si>
  <si>
    <t>REJUNTAMENTO C/ ARG. PRÉ-FABRICADA, JUNTA ENTRE 6mm E 10mm EM CERÂMICA, ATÉ 10x10 cm (100 cm²) - DECORATIVA (PAREDE/PISO)</t>
  </si>
  <si>
    <t>C2780</t>
  </si>
  <si>
    <t>REJUNTAMENTO C/ ARG. PRÉ-FABRICADA, JUNTA ENTRE 6mm E 10mm EM CERÂMICA, ATÉ 30x30 cm (900 cm²) (PAREDE/PISO)</t>
  </si>
  <si>
    <t>C2828</t>
  </si>
  <si>
    <t>REJUNTAMENTO C/ ARG. PRÉ-FABRICADA, JUNTA ENTRE 6mm E 10mm EM CERÂMICA, ACIMA DE 30x30 cm (900 cm²) E PORCELANATOS (PAREDE/PISO)</t>
  </si>
  <si>
    <t>C2190</t>
  </si>
  <si>
    <t>REJUNTAMENTO P/AZULEJO C/ARGAMASSA PRÉ FABRICADA  ESP.= 3mm</t>
  </si>
  <si>
    <t>C2191</t>
  </si>
  <si>
    <t>REJUNTAMENTO P/AZULEJO C/CIMENTO BRANCO ESP.= 3mm</t>
  </si>
  <si>
    <t>C2103</t>
  </si>
  <si>
    <t>REJUNTAMENTO P/CERÂMICA C/ L-FLEX E EPOXI (PAREDE/PISO)</t>
  </si>
  <si>
    <t>C2212</t>
  </si>
  <si>
    <t>REVESTIMENTO C/CARPETE ESP= 4mm</t>
  </si>
  <si>
    <t>C2223</t>
  </si>
  <si>
    <t>REVESTIMENTO C/CHAPAS FIBROCIMENTO SOBRE CAIBROS VERTICAIS</t>
  </si>
  <si>
    <t>C2224</t>
  </si>
  <si>
    <t>REVESTIMENTO C/CHAPAS FIBROCIMENTO SOBRE PERFIS ESTRUTURAIS ESP.= 35mm</t>
  </si>
  <si>
    <t>C2225</t>
  </si>
  <si>
    <t>REVESTIMENTO C/CHAPAS FIBROCIMENTO SOBRE PERFIS ESTRUTURAIS ESP.= 50mm</t>
  </si>
  <si>
    <t>C2226</t>
  </si>
  <si>
    <t xml:space="preserve">REVESTIMENTO C/CHAPAS FIBROCIMENTO SOBRE PERFIS ESTRUTURAIS TIPO " I " </t>
  </si>
  <si>
    <t>C2227</t>
  </si>
  <si>
    <t>REVESTIMENTO C/CHAPAS FIBROCIMENTO SOBRE SARRAFOS</t>
  </si>
  <si>
    <t>C2228</t>
  </si>
  <si>
    <t>REVESTIMENTO C/CHAPAS FIBROCIMENTO SOBRE SARRAFOS VERTICAIS</t>
  </si>
  <si>
    <t>C2216</t>
  </si>
  <si>
    <t>REVESTIMENTO C/LAMINADO MELAMÍNICO COLADO</t>
  </si>
  <si>
    <t>C2213</t>
  </si>
  <si>
    <t>REVESTIMENTO C/CORTIÇA ESP= 12mm</t>
  </si>
  <si>
    <t>C2218</t>
  </si>
  <si>
    <t>REVESTIMENTO C/PEDRAS GRANÍTICAS</t>
  </si>
  <si>
    <t>C2214</t>
  </si>
  <si>
    <t>REVESTIMENTO C/QUARTZOLITE</t>
  </si>
  <si>
    <t>C2221</t>
  </si>
  <si>
    <t>REVESTIMENTO INTERNO C/PAPEL DE PAREDE</t>
  </si>
  <si>
    <t>C2222</t>
  </si>
  <si>
    <t>REVESTIMENTO METÁLICO, TIPO "REYNOBOND" DUAS CHAPAS</t>
  </si>
  <si>
    <t>C4128</t>
  </si>
  <si>
    <t>TIJOLINHO APARENTE 6,50x18cm C/ ARGAMASSA DE CIMENTO E AREIA 1:3</t>
  </si>
  <si>
    <t>ARGAMASSAS PARA TETOS</t>
  </si>
  <si>
    <t>C0778</t>
  </si>
  <si>
    <t>CHAPISCO C/ ARGAMASSA DE CIMENTO E AREIA  S/ PENEIRAR TRAÇO 1:3  ESP=5 mm P/ TETO</t>
  </si>
  <si>
    <t>C0779</t>
  </si>
  <si>
    <t>CHAPISCO C/ PASTA DE CIMENTO COLANTE P/ TETO</t>
  </si>
  <si>
    <t>C0781</t>
  </si>
  <si>
    <t>CHAPISCO C/ ARGAMASSA DE CIMENTO E AREIA S/ PENEIRAR TRAÇO 1:4 P/ TETO</t>
  </si>
  <si>
    <t>C3034</t>
  </si>
  <si>
    <t>REBOCO C/ ARGAMASSA MISTA DE CIMENTO, CAL HIDRATADA E AREIA S/ PENEIRAR, TRAÇO 1:2:8, ESP=20 mm P/ TETO</t>
  </si>
  <si>
    <t>C1218</t>
  </si>
  <si>
    <t>EMBOÇO C/ ARGAMASSA MISTA DE CIMENTO, CAL HIDRATADA E AREIA S/ PENEIRAR TRAÇO 1:2:9  ESP=20 mm P/ TETO</t>
  </si>
  <si>
    <t>C1217</t>
  </si>
  <si>
    <t>EMBOÇO C/ ARGAMASSA MISTA CIMENTO, CAL HIDRATADA E AREIA S/ PENEIRAR TRAÇO 1:2:11 ESP=20 mm P/ TETO</t>
  </si>
  <si>
    <t>C2111</t>
  </si>
  <si>
    <t>REBOCO C/ ARGAMASSA DE CAL EM PASTA E AREIA PENEIRADA TRAÇO 1:2  ESP=5 mm P/ TETO</t>
  </si>
  <si>
    <t>C2107</t>
  </si>
  <si>
    <t>REBOCO  C/ ARGAMASSA DE CAL EM PASTA E AREIA PENEIRADA TRAÇO 1:1.5  ESP=5 mm P/ TETO</t>
  </si>
  <si>
    <t>C2112</t>
  </si>
  <si>
    <t>REBOCO C/ ARGAMASSA DE CAL EM PASTA E AREIA PENEIRADA TRAÇO 1:3  ESP=5 mm P/ TETO</t>
  </si>
  <si>
    <t>C2113</t>
  </si>
  <si>
    <t>REBOCO C/ ARGAMASSA DE CAL EM PASTA E AREIA PENEIRADA TRAÇO 1:4  ESP=5 mm P/ TETO</t>
  </si>
  <si>
    <t>C2116</t>
  </si>
  <si>
    <t>REBOCO C/ ARGAMASSA DE CAL HIDRATADA E AREIA PENEIRADA TRAÇO 1:3  ESP=5 mm P/ TETO</t>
  </si>
  <si>
    <t>C2125</t>
  </si>
  <si>
    <t>REBOCO C/ ARGAMASSA DE CAL HIDRATADA E AREIA PENEIRADA, TRAÇO 1:4.5  ESP=5 mm P/ TETO</t>
  </si>
  <si>
    <t>C3032</t>
  </si>
  <si>
    <t>REBOCO  C/ ARGAMASSA DE CAL HIDRATADA E AREIA S/ PENEIRAR, TRAÇO 1:3, C/ 100 KG DE CIMENTO E ESP=20 mm P/ TETO</t>
  </si>
  <si>
    <t>C3033</t>
  </si>
  <si>
    <t>REBOCO C/ ARGAMASSA DE CAL HIDRATADA E AREIA S/ PENEIRAR TRAÇO 1:4, C/ 100 KG DE CIMENTO E ESP=20 mm P/ TETO</t>
  </si>
  <si>
    <t>C3035</t>
  </si>
  <si>
    <t>REBOCO C/ ARGAMASSA DE CIMENTO E AREIA S/ PENEIRAR TRAÇO 1:6, ESP=20 mm P/ TETO</t>
  </si>
  <si>
    <t>ACABAMENTOS PARA TETOS</t>
  </si>
  <si>
    <t>C4479</t>
  </si>
  <si>
    <t>FORRO ACÚSTICO EM PLACAS DE FIBRA MINERAL C/PERFIL "T" EM AÇO - FORNECIMENTO E MONTAGEM</t>
  </si>
  <si>
    <t>C4480</t>
  </si>
  <si>
    <t>FORRO ACÚSTICO EM PLACAS DE FIBRA MINERAL C/PERFIL "T" EM ALUMÍNIO - FORNECIMENTO E MONTAGEM</t>
  </si>
  <si>
    <t>C4481</t>
  </si>
  <si>
    <t>FORRO ACÚSTICO EM PLACAS DE FIBRA MINERAL C/PERFIL "CARTOLA" EM ALUMÍNIO - FORNECIMENTO E MONTAGEM</t>
  </si>
  <si>
    <t>C4790</t>
  </si>
  <si>
    <t>FORRO BOREAL MODULADO ESTRUTURADO (25X625X1250MM), COM PERFIL T LEVE EM AÇO BRANCO E TRATAMENTO TERMO-ACÚSTICO EM LÃ DE VIDRO, FECHAMENTO EM PELÍCULA DE PVC PERFURADO OU EQUIVALENTE - FORNECIMENTO E INSTALAÇÃO</t>
  </si>
  <si>
    <t>C4285</t>
  </si>
  <si>
    <t>FORRO DE GESSO ACARTONADO ARAMADO - FORNECIMENTO E MONTAGEM</t>
  </si>
  <si>
    <t>C4294</t>
  </si>
  <si>
    <t>FORRO DE GESSO ACARTONADO ESTRUTURADO - FORNECIMENTO E MONTAGEM</t>
  </si>
  <si>
    <t>C3970</t>
  </si>
  <si>
    <t>FORRO DE GESSO CONVENCIONAL (60x60)cm COM TIRO E ARAME GALVANIZADO ENCAPADO - FORNECIMENTO E MONTAGEM</t>
  </si>
  <si>
    <t>C3971</t>
  </si>
  <si>
    <t>FORRO DE GESSO CONVENCIONAL (60x60)cm SEM TIRO E ARAME GALVANIZADO ENCAPADO - FORNECIMENTO E MONTAGEM</t>
  </si>
  <si>
    <t>C2998</t>
  </si>
  <si>
    <t>FORRO DE LAMBRI DE MADEIRA (7x1)cm</t>
  </si>
  <si>
    <t>C4484</t>
  </si>
  <si>
    <t>FORRO PACOTE C/ PERFIL "CARTOLA" EM AÇO - FORNECIMENTO E MONTAGEM</t>
  </si>
  <si>
    <t>C4485</t>
  </si>
  <si>
    <t>FORRO PACOTE C/ PERFIL "CARTOLA" EM ALUMÍNIO - FORNECIMENTO E MONTAGEM</t>
  </si>
  <si>
    <t>C4482</t>
  </si>
  <si>
    <t>FORRO PACOTE C/ PERFIL "T" EM AÇO - FORNECIMENTO E MONTAGEM</t>
  </si>
  <si>
    <t>C4483</t>
  </si>
  <si>
    <t>FORRO PACOTE C/ PERFIL "T" EM ALUMÍNIO - FORNECIMENTO E MONTAGEM</t>
  </si>
  <si>
    <t>C4472</t>
  </si>
  <si>
    <t>FORRO PVC - COLMÉIA - FORNECIMENTO E MONTAGEM</t>
  </si>
  <si>
    <t>C4468</t>
  </si>
  <si>
    <t>FORRO PVC - LAMBRI (100x6000 OU 200x6000)mm - FORNECIMENTO E MONTAGEM</t>
  </si>
  <si>
    <t>C4471</t>
  </si>
  <si>
    <t>FORRO PVC - MODULADO (618x1250)mm C/ PERFIL "CARTOLA" EM ALUMÍNIO - FORNECIMENTO E MONTAGEM</t>
  </si>
  <si>
    <t>C4469</t>
  </si>
  <si>
    <t>FORRO PVC - MODULADO (618x1250)mm C/ PERFIL "T" EM AÇO - FORNECIMENTO E MONTAGEM</t>
  </si>
  <si>
    <t>C4470</t>
  </si>
  <si>
    <t>FORRO PVC - MODULADO (618x1250)mm C/ PERFIL "T" EM ALUMÍNIO - FORNECIMENTO E MONTAGEM</t>
  </si>
  <si>
    <t>C4512</t>
  </si>
  <si>
    <t>REMANEJAMENTO DE FORROS (PACOTE / MODULADOS) - EXECUÇÃO</t>
  </si>
  <si>
    <t>C4506</t>
  </si>
  <si>
    <t>SANCA DE GESSO P/ FORRO ACARTONADO - FORNECIMENTO E MONTAGEM</t>
  </si>
  <si>
    <t>C4284</t>
  </si>
  <si>
    <t>SANCA DE GESSO P/ FORRO CONVENCIONAL - FORNECIMENTO E MONTAGEM</t>
  </si>
  <si>
    <t>C2478</t>
  </si>
  <si>
    <t>TIROS E PINO DE AÇO PARA FIXAÇÃO</t>
  </si>
  <si>
    <t>PISOS INTERNOS</t>
  </si>
  <si>
    <t>C0099</t>
  </si>
  <si>
    <t>APLICAÇÃO DE SINTECO EM PISOS C/MADEIRA</t>
  </si>
  <si>
    <t>C4437</t>
  </si>
  <si>
    <t>CERÂMICA ESMALTADA RETIFICADA C/ ARG. CIMENTO E AREIA ATÉ 30x30cm (900 cm²) - PEI-5/PEI-4 P/ PISO</t>
  </si>
  <si>
    <t>C4439</t>
  </si>
  <si>
    <t>CERÂMICA ESMALTADA RETIFICADA C/ ARG. CIMENTO E AREIA ACIMA DE 30x30cm (900 cm²) - PEI-5/PEI-4 P/ PISO</t>
  </si>
  <si>
    <t>C2996</t>
  </si>
  <si>
    <t>CERÂMICA ESMALTADA RETIFICADA C/ ARG. PRÉ-FABRICADA ATÉ 30x30 cm (900 cm²) - PEI-5/PEI-4 - P/ PISO</t>
  </si>
  <si>
    <t>C3001</t>
  </si>
  <si>
    <t>CERÂMICA ESMALTADA RETIFICADA C/ ARG. PRÉ-FABRICADA ACIMA DE 30x30 cm (900 cm²) - PEI-5/PEI-4 - P/ PISO</t>
  </si>
  <si>
    <t>C0837</t>
  </si>
  <si>
    <t>CONCRETO NÃO-ESTRUTURAL S/BETONEIRA P/LASTRO</t>
  </si>
  <si>
    <t>C0871</t>
  </si>
  <si>
    <t>CORDÃO DE PEROBA P/RODAPÉS</t>
  </si>
  <si>
    <t>C1032</t>
  </si>
  <si>
    <t>DEGRAU COM FORRAÇÃO TÊXTIL (20X30)cm</t>
  </si>
  <si>
    <t>C1033</t>
  </si>
  <si>
    <t xml:space="preserve">DEGRAU COM PLACAS LISAS DE BORRACHA (50X32X2.5)cm  </t>
  </si>
  <si>
    <t>C1034</t>
  </si>
  <si>
    <t>DEGRAU DE GRANILITE MOLDADO NO LOCAL (20X30)cm</t>
  </si>
  <si>
    <t>C1035</t>
  </si>
  <si>
    <t>DEGRAU DE MÁRMORE (20X30)cm</t>
  </si>
  <si>
    <t>C1036</t>
  </si>
  <si>
    <t>DEGRAU INDUSTRIAL MONOLÍTICO C/PINGADEIRA</t>
  </si>
  <si>
    <t>C1037</t>
  </si>
  <si>
    <t>DEGRAU INDUSTRIAL MONOLÍTICO S/PINGADEIRA</t>
  </si>
  <si>
    <t>C1038</t>
  </si>
  <si>
    <t>DEGRAU PRÉ-MOLDADO DE GRANILITE</t>
  </si>
  <si>
    <t>C1237</t>
  </si>
  <si>
    <t>ENCERAMENTO DE PISOS C/ DUAS DEMÃOS DE CÊRA</t>
  </si>
  <si>
    <t>C4066</t>
  </si>
  <si>
    <t>GRANITO POLIDO E=2cm, BRANCO, ARGAMASSA CIMENTO E AREIA 1:4, C/ REJUNTAMENTO</t>
  </si>
  <si>
    <t>C4065</t>
  </si>
  <si>
    <t>GRANITO POLIDO E=2cm, CINZA, ARGAMASSA DE CIMENTO E AREIA 1:4, C/ REJUNTAMENTO</t>
  </si>
  <si>
    <t>C4067</t>
  </si>
  <si>
    <t>GRANITO POLIDO E=2cm, OUTRAS CORES, ARGAMASSA CIMENTO E AREIA 1:4, C/ REJUNTAMENTO</t>
  </si>
  <si>
    <t>C4064</t>
  </si>
  <si>
    <t>GRANITO POLIDO E=2cm, PRETO,  ARGAMASSA CIMENTO E AREIA 1:4, C/ REJUNTAMENTO</t>
  </si>
  <si>
    <t>C1623</t>
  </si>
  <si>
    <t>LIMPEZA DE BASE OU LASTRO</t>
  </si>
  <si>
    <t>C3547</t>
  </si>
  <si>
    <t>MUTIRÃO MISTO - PEITORIL DE CIMENTO</t>
  </si>
  <si>
    <t>C3549</t>
  </si>
  <si>
    <t>MUTIRÃO MISTO - PISO CIMENTADO ESP.=1.5cm</t>
  </si>
  <si>
    <t>C3548</t>
  </si>
  <si>
    <t>MUTIRÃO MISTO - PISO MORTO DE CONCRETO FCK=13.5 MPa C/PREPARO E LANÇAMENTO</t>
  </si>
  <si>
    <t>C1846</t>
  </si>
  <si>
    <t>PARQUETES DE MADEIRA FIXADOS C/COLA A BASE DE PVA</t>
  </si>
  <si>
    <t>C1852</t>
  </si>
  <si>
    <t>PASTILHAS DE PORCELANA C/CIMENTO COLANTE</t>
  </si>
  <si>
    <t>C1859</t>
  </si>
  <si>
    <t>PASTILHAS DE PORCELANA C/ARGAMASSA MISTA CIMENTO, CAL HIDRATADA E AREIA</t>
  </si>
  <si>
    <t>C3015</t>
  </si>
  <si>
    <t>PEITORIL DE CIMENTO</t>
  </si>
  <si>
    <t>C1869</t>
  </si>
  <si>
    <t>PEITORIL DE GRANITO L= 15 cm</t>
  </si>
  <si>
    <t>C1870</t>
  </si>
  <si>
    <t>PEITORIL DE MARMORE L= 15cm</t>
  </si>
  <si>
    <t>C1871</t>
  </si>
  <si>
    <t>PEITORIL DE MÁRMORE  L= 25cm</t>
  </si>
  <si>
    <t>C3016</t>
  </si>
  <si>
    <t>PEITORIL DE MARMORITE</t>
  </si>
  <si>
    <t>C1872</t>
  </si>
  <si>
    <t>PEITORIL PRÉ-MOLDADO DE GRANILITE L= 10cm</t>
  </si>
  <si>
    <t>C1912</t>
  </si>
  <si>
    <t>PISO ANTIDERRAPANTE NITOPISO TF-5000, SELADO C/NITOP. FC-140</t>
  </si>
  <si>
    <t>C1914</t>
  </si>
  <si>
    <t>PISO C/FORRAÇÃO TÊXTIL ( CARPETE  E = 4mm )</t>
  </si>
  <si>
    <t>C1915</t>
  </si>
  <si>
    <t>PISO CIMENTADO C/ ARGAMASSA DE CIMENTO E AREIA S/ PENEIRAR, TRAÇO 1:4, ESP.= 1.5cm</t>
  </si>
  <si>
    <t>C1916</t>
  </si>
  <si>
    <t>PISO CIMENTADO C/ ARGAMASSA DE CIMENTO E AREIA S/ PENEIRAR, TRAÇO 1:4, ESP.= 1,5cm C/ IMPERMEABILIZANTE</t>
  </si>
  <si>
    <t>C4601</t>
  </si>
  <si>
    <t>PISO CIMENTADO COM ARGAMASSA DE CIMENTO E AREIA S/ PENEIRAR ESP. 2,0 cm</t>
  </si>
  <si>
    <t>C2901</t>
  </si>
  <si>
    <t>PISO DE BORRACHA ANTI-DERRAPANTE (COLOCADO)</t>
  </si>
  <si>
    <t>C1921</t>
  </si>
  <si>
    <t>PISO DE BORRACHA (LENÇOL) ANTIDERRAPANTE TIPO GRÃO DE ARROZ,  ESP.= 3mm</t>
  </si>
  <si>
    <t>C4833</t>
  </si>
  <si>
    <t>PISO EMBORRACHADO, DRENANTE E ANTI-IMPACTO, COMPOSTO POR PARTÍCULAS DE BORRACHA RECICLADA PRENSADA, PIGMENTADA E ATÓXICA, 50X50X2,5CM  (FORNECIMENTO E EXECUÇÃO)</t>
  </si>
  <si>
    <t>C5210</t>
  </si>
  <si>
    <t>PISO EMBORRACHADO DRENANTE E ANTI-IMPACTO, COMPOSTO POR PARTÍCULAS DE BORRACHA RECICLADA PRENSADA, PIGMENTADA E ATÓXICA, 50X50X4CM (FORNECIMENTO E EXECUÇÃO)</t>
  </si>
  <si>
    <t>C3024</t>
  </si>
  <si>
    <t>PISO EM MÁRMORE BRANCO ESP.= 3cm</t>
  </si>
  <si>
    <t>C1919</t>
  </si>
  <si>
    <t>PISO INDUSTRIAL NATURAL  ESP.= 12mm, INCLUS. POLIMENTO (EXTERNO)</t>
  </si>
  <si>
    <t>C1920</t>
  </si>
  <si>
    <t>PISO INDUSTRIAL NATURAL  ESP.= 12mm, INCLUS. POLIMENTO (INTERNO)</t>
  </si>
  <si>
    <t>C1922</t>
  </si>
  <si>
    <t>PISO MONOLÍTICO C/ARGAMASSA A BASE DE EPOXI</t>
  </si>
  <si>
    <t>C3025</t>
  </si>
  <si>
    <t>PISO MORTO CONCRETO FCK=13,5MPa C/PREPARO E LANÇAMENTO</t>
  </si>
  <si>
    <t>C3026</t>
  </si>
  <si>
    <t>PISO MORTO DE TIJOLO MACIÇO C/REJUNTAMENTO</t>
  </si>
  <si>
    <t>C3027</t>
  </si>
  <si>
    <t>PISO MORTO DE TIJOLO MACIÇO S/REJUNTAMENTO</t>
  </si>
  <si>
    <t>C2902</t>
  </si>
  <si>
    <t>PISO TIPO MONOLÍTICO DE ALTA RESISTÊNCIA</t>
  </si>
  <si>
    <t>C4022</t>
  </si>
  <si>
    <t>PISO TIPO MONOLÍTICO DE ALTA RESISTÊNCIA, DE BAIXA ESPESSURA, DE POLIURETANO ANTIDERRAPANTE, S/ JUNTAS, TIPO DUROCOR OU SIMILAR</t>
  </si>
  <si>
    <t>C4503</t>
  </si>
  <si>
    <t>PISO VINÍLICO TIPO "PAVIFLEX", e=1,6mm - FORNECIMENTO E COLOCAÇÃO</t>
  </si>
  <si>
    <t>C4504</t>
  </si>
  <si>
    <t>PISO VINÍLICO TIPO "PAVIFLEX", e=2,0mm - FORNECIMENTO E COLOCAÇÃO</t>
  </si>
  <si>
    <t>C1934</t>
  </si>
  <si>
    <t>PLACA DE BORRACHA (50x50)cm  ESP.= 7,5mm, ARGAMASSA DE CIMENTO E AREIA PENEIRADA 1:2, E NATA DE COLA PVA</t>
  </si>
  <si>
    <t>C1933</t>
  </si>
  <si>
    <t>PLACA DE BORRACHA (50X50)cm  ESP.=13mm,  E NATA DE COLA PVA</t>
  </si>
  <si>
    <t>C4099</t>
  </si>
  <si>
    <t>POLIMENTO EM CONCRETO NIVELADO À LASER</t>
  </si>
  <si>
    <t>C1943</t>
  </si>
  <si>
    <t>POLIMENTO EM PISO INDUSTRIAL</t>
  </si>
  <si>
    <t>C1944</t>
  </si>
  <si>
    <t>POLIMENTO EM PISOS DE MÁRMORE</t>
  </si>
  <si>
    <t>C4441</t>
  </si>
  <si>
    <t>PORCELANATO RETIFICADO NATURAL (FOSCO) C/ ARG. CIMENTO E AREIA P/ PISO</t>
  </si>
  <si>
    <t>C3007</t>
  </si>
  <si>
    <t>PORCELANATO RETIFICADO NATURAL (FOSCO) C/ ARG. PRÉ-FABRICADA - P/ PISO</t>
  </si>
  <si>
    <t>C3002</t>
  </si>
  <si>
    <t>PORCELANATO RETIFICADO POLIDO C/ ARG. PRÉ-FABRICADA - P/ PISO</t>
  </si>
  <si>
    <t>C4440</t>
  </si>
  <si>
    <t>PORCELANATO POLIDO C/ ARG. CIMENTO E AREIA P/ PISO</t>
  </si>
  <si>
    <t>C2101</t>
  </si>
  <si>
    <t>RASPAGEM E CALAFETAÇÃO DE TACOS C/UMA DEMÃO DE CÊRA</t>
  </si>
  <si>
    <t>C2181</t>
  </si>
  <si>
    <t>REGULARIZAÇÃO DE BASE C/ ARGAMASSA CIMENTO E AREIA S/ PENEIRAR, TRAÇO 1:3 - ESP= 3cm</t>
  </si>
  <si>
    <t>C2179</t>
  </si>
  <si>
    <t>REGULARIZAÇÃO DE BASE C/ ARGAMASSA CIMENTO E AREIA S/ PENEIRAR, TRAÇO 1:4 - ESP= 3cm</t>
  </si>
  <si>
    <t>C2180</t>
  </si>
  <si>
    <t>REGULARIZAÇÃO DE BASE C/ ARGAMASSA CIMENTO E AREIA S/ PENEIRAR, TRAÇO 1:5 - ESP= 3cm</t>
  </si>
  <si>
    <t>C2184</t>
  </si>
  <si>
    <t>REGULARIZAÇÃO DE BASE C/ ARGAMASSA CIMENTO E AREIA S/ PENEIRAR, TRAÇO 1:5 - ESP= 3cm, C/IMPERMEABILIZANTE</t>
  </si>
  <si>
    <t>C2185</t>
  </si>
  <si>
    <t>REGULARIZAÇÃO PARA DEGRAUS C/ ARGAMASSA DE CIMENTO E AREIA S/ PENEIRAR, TRAÇO 1:5 - ESP= 1cm</t>
  </si>
  <si>
    <t>C2186</t>
  </si>
  <si>
    <t>REGULARIZAÇÃO PARA RODAPÉS C/ ARGAMASSA DE CIMENTO E AREIA S/ PENEIRAR, TRAÇO 1:5 - H=7cm, ESP= 3cm</t>
  </si>
  <si>
    <t>C2234</t>
  </si>
  <si>
    <t>REVESTIMENTOS DE PISOS C/GRANILITE</t>
  </si>
  <si>
    <t>C2219</t>
  </si>
  <si>
    <t>REVESTIMENTO EPÓXICO P/PISOS DUAS DEMÃOS</t>
  </si>
  <si>
    <t>C2240</t>
  </si>
  <si>
    <t>RODAPÉ COM FORRAÇÃO TÊXTIL (CARPETE) H= 7cm</t>
  </si>
  <si>
    <t>C4001</t>
  </si>
  <si>
    <t>RODAPÉ DE GRANITO H=10 cm</t>
  </si>
  <si>
    <t>C2241</t>
  </si>
  <si>
    <t>RODAPÉ DE MÁRMORE H= 10cm</t>
  </si>
  <si>
    <t>C2242</t>
  </si>
  <si>
    <t>RODAPÉ DE PEROBA (7X1.5)cm</t>
  </si>
  <si>
    <t>C2245</t>
  </si>
  <si>
    <t>RODAPÉ INDUSTRIAL MONOLÍTICO H= 7cm</t>
  </si>
  <si>
    <t>C2244</t>
  </si>
  <si>
    <t>RODAPÉ INDUSTRIAL MONOLÍTICO H= 10cm</t>
  </si>
  <si>
    <t>C2246</t>
  </si>
  <si>
    <t>RODAPÉ PRE-MOLDADO DE GRANILITE  H= 10cm</t>
  </si>
  <si>
    <t>C4505</t>
  </si>
  <si>
    <t>RODAPÉ VINÍLICO, H=5cm - FORNECIMENTO E COLOCAÇÃO</t>
  </si>
  <si>
    <t>C2283</t>
  </si>
  <si>
    <t>SOLEIRA CIMENTADA L= 15cm</t>
  </si>
  <si>
    <t>SOLEIRA DE GRANITO L= 15cm</t>
  </si>
  <si>
    <t>SOLEIRA DE GRANITO L= 25cm</t>
  </si>
  <si>
    <t>C2286</t>
  </si>
  <si>
    <t>SOLEIRA DE MARMORE L= 15cm</t>
  </si>
  <si>
    <t>C2287</t>
  </si>
  <si>
    <t>SOLEIRA DE MÁRMORE L= 25 cm</t>
  </si>
  <si>
    <t>C3058</t>
  </si>
  <si>
    <t>SOLEIRA DE MARMORITE</t>
  </si>
  <si>
    <t>C2288</t>
  </si>
  <si>
    <t>SOLEIRA PRÉ-MOLDADA DE GRANILITE L= 15cm</t>
  </si>
  <si>
    <t>C2289</t>
  </si>
  <si>
    <t>SOLEIRA PRÉ-MOLDADA DE GRANILITE L= 25cm</t>
  </si>
  <si>
    <t>C3488</t>
  </si>
  <si>
    <t>TÁBUAS CORRIDAS SOBRE VIGAS DE PEROBA</t>
  </si>
  <si>
    <t>C2296</t>
  </si>
  <si>
    <t>TACOS DE MADEIRA C/ARGAMASSA DE CIMENTO E AREIA PENEIRADA TRAÇO 1:4</t>
  </si>
  <si>
    <t>C2297</t>
  </si>
  <si>
    <t>TACOS DE MADEIRA C/COLA À BASE DE PVA</t>
  </si>
  <si>
    <t>C2315</t>
  </si>
  <si>
    <t>TAPETE TIPO TABACOW, ESP. ATÉ 6mm (COLOCADO)</t>
  </si>
  <si>
    <t>C2314</t>
  </si>
  <si>
    <t>TAPETE TIPO TABACOW  ESP.  6,01mm &lt;= ESP &lt;= 10mm</t>
  </si>
  <si>
    <t>PISOS EXTERNOS</t>
  </si>
  <si>
    <t>C3410</t>
  </si>
  <si>
    <t>CALÇADA DE PROTEÇÃO EM CIMENTADO C/ BASE DE CONCRETO</t>
  </si>
  <si>
    <t>C1586</t>
  </si>
  <si>
    <t>LADRILHOS HIDRÁULICOS C/ARGAMASSA DE CAL 1:4+100KG CIMENTO</t>
  </si>
  <si>
    <t>C5225</t>
  </si>
  <si>
    <t>LONA PLÁSTICA PRETA APLICADA EM PISOS</t>
  </si>
  <si>
    <t>C1862</t>
  </si>
  <si>
    <t>PAVIMENTAÇÃO RÚSTICA C/CONCRETO P/LASTRO NA ESP.DE 9cm E CAMADA SUPERFICIAL DE  CONCRETO FCK=13.5MPa  NA ESP.DE 3cm</t>
  </si>
  <si>
    <t>PEDRA CARIRI ESP.= 2cm, C/ ARGAMASSA MISTA DE CIMENTO CAL HIDRATADA E AREIA</t>
  </si>
  <si>
    <t>C1864</t>
  </si>
  <si>
    <t>PEDRA PORTUGUESA - COR BRANCA</t>
  </si>
  <si>
    <t>C1865</t>
  </si>
  <si>
    <t>PEDRA PORTUGUESA  2 CORES</t>
  </si>
  <si>
    <t>C3014</t>
  </si>
  <si>
    <t>PEDRA SÃO TOMÉ</t>
  </si>
  <si>
    <t>C3450</t>
  </si>
  <si>
    <t>PISO CIMENTADO ESP.=1,50cm C/ JUNTA PLÁSTICA ( 27x3 )mm EM MÓDULOS ( 1,00x1,00 )m</t>
  </si>
  <si>
    <t>C1847</t>
  </si>
  <si>
    <t>PISO DE CONCRETO FCK=13,5MPa ESP=7 cm, INCL. PREPARO DE CAIXA</t>
  </si>
  <si>
    <t>C1917</t>
  </si>
  <si>
    <t>PISO DE CONCRETO FCK=15MPa  ESP.= 12cm,  ARMADO C/TELA DE AÇO</t>
  </si>
  <si>
    <t>C1935</t>
  </si>
  <si>
    <t>PISO DE CONCRETO FCK=20MPa  ESP.= 20cm, P/ESTACIONAMENTO DE ÔNIBUS</t>
  </si>
  <si>
    <t>C5028</t>
  </si>
  <si>
    <t>PISO INTERTRAVADO TIPO TIJOLINHO (20 X 10 X 4CM), CINZA - COMPACTAÇÃO MECANIZADA</t>
  </si>
  <si>
    <t>C5027</t>
  </si>
  <si>
    <t xml:space="preserve">PISO INTERTRAVADO TIPO TIJOLINHO (20 X 10 X 4CM), COLORIDO - COMPACTAÇÃO MECANIZADA
</t>
  </si>
  <si>
    <t>C4916</t>
  </si>
  <si>
    <t xml:space="preserve">PISO INTERTRAVADO TIPO TIJOLINHO (20X10X6)CM 35MPA, COLORIDO - COMPACTAÇÃO MECANIZADA
</t>
  </si>
  <si>
    <t>C4819</t>
  </si>
  <si>
    <t>PISO INTERTRAVADO TIPO TIJOLINHO (20X10X6)CM 35MPA, COR CINZA - COMPACTAÇÃO MECANIZADA</t>
  </si>
  <si>
    <t>C4917</t>
  </si>
  <si>
    <t>PISO INTERTRAVADO TIPO TIJOLINHO (20X10X8)CM 35MPA, COR CINZA - COMPACTAÇÃO MECANIZADA</t>
  </si>
  <si>
    <t>C4918</t>
  </si>
  <si>
    <t>PISO INTERTRAVADO TIPO TIJOLINHO (20X10X10)CM 35MPA, COR CINZA - COMPACTAÇÃO MECANIZADA</t>
  </si>
  <si>
    <t>C4165</t>
  </si>
  <si>
    <t>PISO MONOLÍTICO DE POLIURETANO, ANTIDERRAPANTE, AUTONIVELANTE, S/ JUNTAS</t>
  </si>
  <si>
    <t>C3012</t>
  </si>
  <si>
    <t>PISO PRÉ-MOLDADO ARTICULADO DE 6 FACES e = 4,5 cm</t>
  </si>
  <si>
    <t>C3013</t>
  </si>
  <si>
    <t>PISO PRÉ-MOLDADO ARTICULADO DE 6 FACES e = 6,0 cm</t>
  </si>
  <si>
    <t>C1923</t>
  </si>
  <si>
    <t>PISO PRÉ-MOLDADO ARTICULADO E INTERTRAVADO DE 16 FACES - e = 4,5 cm P/ PASSEIO</t>
  </si>
  <si>
    <t>C1089</t>
  </si>
  <si>
    <t>PISO PRÉ-MOLDADO ARTICULADO E INTERTRAVADO DE 16 FACES - e = 6,0 cm P/ TRÁFEGO LEVE</t>
  </si>
  <si>
    <t>C3782</t>
  </si>
  <si>
    <t>PISO PRÉ-MOLDADO ARTICULADO E INTERTRAVADO DE 16 FACES - e = 8,0 cm (35 MPa) P/ TRÁFEGO PESADO</t>
  </si>
  <si>
    <t>C4576</t>
  </si>
  <si>
    <t>PISO PRÉ-MOLDADO ARTICULADO, INTERTRAVADO, SEXTAVADO E COM CUNHAS MACHO E FÊMEA NAS FACES LATERAIS e=8,0cm (fck=35Mpa) P/ TRÁFEGO PESADO</t>
  </si>
  <si>
    <t>C1924</t>
  </si>
  <si>
    <t>PISO RÚSTICO DE CONCRETO RIPADO (0.50X0.50)m  JUNTAS= 5cm  ESP.= 8cm</t>
  </si>
  <si>
    <t>C1925</t>
  </si>
  <si>
    <t>PISO RÚSTICO DE CONCRETO RIPADO (1.00X1.00)m  JUNTAS= 10cm  ESP.= 8cm</t>
  </si>
  <si>
    <t>C1926</t>
  </si>
  <si>
    <t>PISO RÚSTICO DE CONCRETO RIPADO (1.20X1.20)m   ESP.= 7cm</t>
  </si>
  <si>
    <t>C1927</t>
  </si>
  <si>
    <t>PISO RÚSTICO DE CONCRETO RIPADO (1.50X1.50)m   ESP.= 7cm</t>
  </si>
  <si>
    <t>C2032</t>
  </si>
  <si>
    <t>REGULARIZAÇÃO MECANIZADA  ATÉ 0,40 M , COMPACTADA P/ PAVIMENTAÇÃO</t>
  </si>
  <si>
    <t>INSTALAÇÕES HIDRÁULICAS</t>
  </si>
  <si>
    <t>TUBOS E CONEXÕES DE FERRO FUNDIDO</t>
  </si>
  <si>
    <t>C0319</t>
  </si>
  <si>
    <t>ASSENTAMENTO DE TUBOS, PEÇAS E CONEXÕES EM FoFo, JE DN 50mm</t>
  </si>
  <si>
    <t>C0322</t>
  </si>
  <si>
    <t>ASSENTAMENTO DE TUBOS, PEÇAS E CONEXÕES EM FoFo, JE DN 75mm</t>
  </si>
  <si>
    <t>C0308</t>
  </si>
  <si>
    <t>ASSENTAMENTO DE TUBOS, PEÇAS E CONEXÕES EM FoFo, JE DN 100mm</t>
  </si>
  <si>
    <t>C0311</t>
  </si>
  <si>
    <t>ASSENTAMENTO DE TUBOS, PEÇAS E CONEXÕES EM FoFo, JE DN 150mm</t>
  </si>
  <si>
    <t>C0312</t>
  </si>
  <si>
    <t>ASSENTAMENTO DE TUBOS, PEÇAS E CONEXÕES EM FoFo, JE DN 200mm</t>
  </si>
  <si>
    <t>C0313</t>
  </si>
  <si>
    <t>ASSENTAMENTO DE TUBOS, PEÇAS E CONEXÕES EM FoFo, JE DN 250mm</t>
  </si>
  <si>
    <t>C0314</t>
  </si>
  <si>
    <t>ASSENTAMENTO DE TUBOS, PEÇAS E CONEXÕES EM FoFo, JE DN 300mm</t>
  </si>
  <si>
    <t>C0315</t>
  </si>
  <si>
    <t>ASSENTAMENTO DE TUBOS, PEÇAS E CONEXÕES EM FoFo, JE DN 350mm</t>
  </si>
  <si>
    <t>C0316</t>
  </si>
  <si>
    <t>ASSENTAMENTO DE TUBOS, PEÇAS E CONEXÕES EM FoFo, JE DN 400mm</t>
  </si>
  <si>
    <t>C0317</t>
  </si>
  <si>
    <t>ASSENTAMENTO DE TUBOS, PEÇAS E CONEXÕES EM FoFo, JE DN 450mm</t>
  </si>
  <si>
    <t>C0318</t>
  </si>
  <si>
    <t>ASSENTAMENTO DE TUBOS, PEÇAS E CONEXÕES EM FoFo, JE DN 500mm</t>
  </si>
  <si>
    <t>C0320</t>
  </si>
  <si>
    <t>ASSENTAMENTO DE TUBOS, PEÇAS E CONEXÕES EM FoFo, JE DN 600mm</t>
  </si>
  <si>
    <t>C0321</t>
  </si>
  <si>
    <t>ASSENTAMENTO DE TUBOS, PEÇAS E CONEXÕES EM FoFo, JE DN 700mm</t>
  </si>
  <si>
    <t>C0323</t>
  </si>
  <si>
    <t>ASSENTAMENTO DE TUBOS, PEÇAS E CONEXÕES EM FoFo, JE DN 800mm</t>
  </si>
  <si>
    <t>C0324</t>
  </si>
  <si>
    <t>ASSENTAMENTO DE TUBOS, PEÇAS E CONEXÕES EM FoFo, JE DN 900mm</t>
  </si>
  <si>
    <t>C0307</t>
  </si>
  <si>
    <t>ASSENTAMENTO DE TUBOS, PEÇAS E CONEXÕES EM FoFo, JE DN 1000mm</t>
  </si>
  <si>
    <t>C0309</t>
  </si>
  <si>
    <t>ASSENTAMENTO DE TUBOS, PEÇAS E CONEXÕES EM FoFo, JE DN 1100mm</t>
  </si>
  <si>
    <t>C0310</t>
  </si>
  <si>
    <t>ASSENTAMENTO DE TUBOS, PEÇAS E CONEXÕES EM FoFo, JE DN 1200mm</t>
  </si>
  <si>
    <t>C0475</t>
  </si>
  <si>
    <t>BUCHA DE REDUÇÃO FERRO FUNDIDO D= 75X50mm (3"X2")</t>
  </si>
  <si>
    <t>C0476</t>
  </si>
  <si>
    <t>BUCHA DE REDUÇÃO FERRO FUNDIDO D=100X75mm (4"X3")</t>
  </si>
  <si>
    <t>C0477</t>
  </si>
  <si>
    <t>BUCHA DE REDUÇÃO FERRO FUNDIDO D=150X100mm (6"X4")</t>
  </si>
  <si>
    <t>C0655</t>
  </si>
  <si>
    <t>CAIXA SIFONADA DE FERRO FUNDIDO D= 150mm</t>
  </si>
  <si>
    <t>C1438</t>
  </si>
  <si>
    <t>GRELHA HEMISFÉRICA FERRO FUNDIDO D=80mm (3")</t>
  </si>
  <si>
    <t>C1536</t>
  </si>
  <si>
    <t>JOELHO FERRO FUNDIDO D= 50mm (2")</t>
  </si>
  <si>
    <t>C1537</t>
  </si>
  <si>
    <t>JOELHO FERRO FUNDIDO D= 75mm (3")</t>
  </si>
  <si>
    <t>C1535</t>
  </si>
  <si>
    <t>JOELHO FERRO FUNDIDO D= 100mm (4")</t>
  </si>
  <si>
    <t>C1538</t>
  </si>
  <si>
    <t>JOELHO FERRO FUNDIDO D=150mm (6")</t>
  </si>
  <si>
    <t>C1534</t>
  </si>
  <si>
    <t>JOELHO FERRO FUNDIDO C/VISITA D= 100X50mm (4"X2")</t>
  </si>
  <si>
    <t>C1539</t>
  </si>
  <si>
    <t>JOELHO FERRO FUNDIDO JUNTA ELÁSTICA, D= 50mm (2")</t>
  </si>
  <si>
    <t>C1569</t>
  </si>
  <si>
    <t>JUNÇÃO DUPLA FERRO FUNDIDO. J.E. D=100X100mm (4"X4")</t>
  </si>
  <si>
    <t>C1679</t>
  </si>
  <si>
    <t>LUVA BIPARTIDA FERRO FUNDIDO D= 50mm (2")</t>
  </si>
  <si>
    <t>C1680</t>
  </si>
  <si>
    <t>LUVA BIPARTIDA FERRO FUNDIDO D= 75mm (3")</t>
  </si>
  <si>
    <t>C1681</t>
  </si>
  <si>
    <t>LUVA BIPARTIDA FERRO FUNDIDO D=150mm (6")</t>
  </si>
  <si>
    <t>C1682</t>
  </si>
  <si>
    <t>LUVA BIPARTIDA FERRO FUNDIDO D=100mm (4")</t>
  </si>
  <si>
    <t>C1683</t>
  </si>
  <si>
    <t>LUVA BOLSAXBOLSA FERRO FUNDIDO D= 50mm (2")</t>
  </si>
  <si>
    <t>C1684</t>
  </si>
  <si>
    <t>LUVA BOLSAXBOLSA FERRO FUNDIDO D= 75mm (3")</t>
  </si>
  <si>
    <t>C1685</t>
  </si>
  <si>
    <t>LUVA BOLSAXBOLSA FERRO FUNDIDO D=100mm (4")</t>
  </si>
  <si>
    <t>C1686</t>
  </si>
  <si>
    <t>LUVA BOLSAXBOLSA FERRO FUNDIDO D=150MM (6')</t>
  </si>
  <si>
    <t>C1938</t>
  </si>
  <si>
    <t>PLUG FERRO FUNDIDO D= 50mm (2")</t>
  </si>
  <si>
    <t>C1939</t>
  </si>
  <si>
    <t>PLUG FERRO FUNDIDO D= 75mm (3")</t>
  </si>
  <si>
    <t>C1940</t>
  </si>
  <si>
    <t>PLUG FERRO FUNDIDO D=100mm (4")</t>
  </si>
  <si>
    <t>C1941</t>
  </si>
  <si>
    <t>PLUG FERRO FUNDIDO D=150mm (6")</t>
  </si>
  <si>
    <t>C2415</t>
  </si>
  <si>
    <t>TÊ SANITÁRIO FERRO FUNDIDO D= 50X50mm (2"X2")</t>
  </si>
  <si>
    <t>C2416</t>
  </si>
  <si>
    <t>TÊ SANITÁRIO FERRO FUNDIDO D= 75X50mm (3"X2")</t>
  </si>
  <si>
    <t>C2422</t>
  </si>
  <si>
    <t>TÊ SANITÁRIO FERRO FUNDIDO D=75X75mm (3"X3")</t>
  </si>
  <si>
    <t>C2418</t>
  </si>
  <si>
    <t>TÊ SANITÁRIO FERRO FUNDIDO D=100X50mm (4"X2")</t>
  </si>
  <si>
    <t>C2419</t>
  </si>
  <si>
    <t>TÊ SANITÁRIO FERRO FUNDIDO D=100X75mm (4"X3")</t>
  </si>
  <si>
    <t>C2417</t>
  </si>
  <si>
    <t>TÊ SANITÁRIO FERRO FUNDIDO D=100X100mm (4"X4")</t>
  </si>
  <si>
    <t>C2420</t>
  </si>
  <si>
    <t>TÊ SANITÁRIO FERRO FUNDIDO D=150X100mm (6"X4")</t>
  </si>
  <si>
    <t>C2421</t>
  </si>
  <si>
    <t>TÊ SANITÁRIO FERRO FUNDIDO D=150X150mm (6"X6")</t>
  </si>
  <si>
    <t>TUBOS E CONEXÕES DE AÇO</t>
  </si>
  <si>
    <t>C0264</t>
  </si>
  <si>
    <t>ASSENTAMENTO DE TUBOS E CONEXÕES EM AÇO, J.ELASTICA D=16"</t>
  </si>
  <si>
    <t>C0265</t>
  </si>
  <si>
    <t>ASSENTAMENTO DE TUBOS E CONEXÕES EM AÇO, J.ELASTICA D=20"</t>
  </si>
  <si>
    <t>C0266</t>
  </si>
  <si>
    <t>ASSENTAMENTO DE TUBOS E CONEXÕES EM AÇO, J.ELASTICA D=24"</t>
  </si>
  <si>
    <t>C0267</t>
  </si>
  <si>
    <t>ASSENTAMENTO DE TUBOS E CONEXÕES EM AÇO, J.ELASTICA D=28"</t>
  </si>
  <si>
    <t>C0268</t>
  </si>
  <si>
    <t>ASSENTAMENTO DE TUBOS E CONEXÕES EM AÇO, J.ELASTICA D=32"</t>
  </si>
  <si>
    <t>C0269</t>
  </si>
  <si>
    <t>ASSENTAMENTO DE TUBOS E CONEXÕES EM AÇO, J.ELASTICA D=36"</t>
  </si>
  <si>
    <t>C0270</t>
  </si>
  <si>
    <t>ASSENTAMENTO DE TUBOS E CONEXÕES EM AÇO, J.ELASTICA D=40"</t>
  </si>
  <si>
    <t>C0271</t>
  </si>
  <si>
    <t>ASSENTAMENTO DE TUBOS E CONEXÕES EM AÇO, J.ELASTICA D=44"</t>
  </si>
  <si>
    <t>C0272</t>
  </si>
  <si>
    <t>ASSENTAMENTO DE TUBOS E CONEXÕES EM AÇO, J.ELASTICA D=48"</t>
  </si>
  <si>
    <t>C0273</t>
  </si>
  <si>
    <t>ASSENTAMENTO DE TUBOS E CONEXÕES EM AÇO, J.ELASTICA D=60"</t>
  </si>
  <si>
    <t>C0274</t>
  </si>
  <si>
    <t>ASSENTAMENTO DE TUBOS E CONEXÕES EM AÇO, J.ELASTICA D=72"</t>
  </si>
  <si>
    <t>C0248</t>
  </si>
  <si>
    <t>ASSENTAMENTO DE TUBOS E CONEXÕES EM AÇO, J. SOLDADA D=16"</t>
  </si>
  <si>
    <t>C0249</t>
  </si>
  <si>
    <t>ASSENTAMENTO DE TUBOS E CONEXÕES EM AÇO, J. SOLDADA D=20"</t>
  </si>
  <si>
    <t>C0250</t>
  </si>
  <si>
    <t>ASSENTAMENTO DE TUBOS E CONEXÕES EM AÇO, J. SOLDADA D=24"</t>
  </si>
  <si>
    <t>C0251</t>
  </si>
  <si>
    <t>ASSENTAMENTO DE TUBOS E CONEXÕES EM AÇO, J. SOLDADA D=28"</t>
  </si>
  <si>
    <t>C0252</t>
  </si>
  <si>
    <t>ASSENTAMENTO DE TUBOS E CONEXÕES EM AÇO, J. SOLDADA D=30"</t>
  </si>
  <si>
    <t>C0253</t>
  </si>
  <si>
    <t>ASSENTAMENTO DE TUBOS E CONEXÕES EM AÇO, J. SOLDADA D=32"</t>
  </si>
  <si>
    <t>C0254</t>
  </si>
  <si>
    <t>ASSENTAMENTO DE TUBOS E CONEXÕES EM AÇO, J. SOLDADA D=36"</t>
  </si>
  <si>
    <t>C0255</t>
  </si>
  <si>
    <t>ASSENTAMENTO DE TUBOS E CONEXÕES EM AÇO, J. SOLDADA D=40"</t>
  </si>
  <si>
    <t>C0256</t>
  </si>
  <si>
    <t>ASSENTAMENTO DE TUBOS E CONEXÕES EM AÇO, J. SOLDADA D=42"</t>
  </si>
  <si>
    <t>C0257</t>
  </si>
  <si>
    <t>ASSENTAMENTO DE TUBOS E CONEXÕES EM AÇO, J. SOLDADA D=44"</t>
  </si>
  <si>
    <t>C0258</t>
  </si>
  <si>
    <t>ASSENTAMENTO DE TUBOS E CONEXÕES EM AÇO, J. SOLDADA D=48"</t>
  </si>
  <si>
    <t>C0259</t>
  </si>
  <si>
    <t>ASSENTAMENTO DE TUBOS E CONEXÕES EM AÇO, J. SOLDADA D=54"</t>
  </si>
  <si>
    <t>C0260</t>
  </si>
  <si>
    <t>ASSENTAMENTO DE TUBOS E CONEXÕES EM AÇO, J. SOLDADA D=56"</t>
  </si>
  <si>
    <t>C0261</t>
  </si>
  <si>
    <t>ASSENTAMENTO DE TUBOS E CONEXÕES EM AÇO, J. SOLDADA D=60"</t>
  </si>
  <si>
    <t>C0262</t>
  </si>
  <si>
    <t>ASSENTAMENTO DE TUBOS E CONEXÕES EM AÇO, J. SOLDADA D=64"</t>
  </si>
  <si>
    <t>C0234</t>
  </si>
  <si>
    <t>ASSENTAMENTO DE TUBOS E CONEXÒES EM AÇO, J. SOLDADA D=72"</t>
  </si>
  <si>
    <t>C0263</t>
  </si>
  <si>
    <t>ASSENTAMENTO DE TUBOS E CONEXÕES EM AÇO, J. SOLDADA D=84"</t>
  </si>
  <si>
    <t>C0247</t>
  </si>
  <si>
    <t>ASSENTAMENTO DE TUBOS E CONEXÕES EM AÇO, J. SOLDADA D=100"</t>
  </si>
  <si>
    <t>C4875</t>
  </si>
  <si>
    <t>ASSENTAMENTO DE TUBOS, PEÇAS E CONEXÕES EM AÇO CARBONO SCHEDULE D = 3"</t>
  </si>
  <si>
    <t>C4373</t>
  </si>
  <si>
    <t>BUCHA DE REDUÇÃO DE AÇO GALVANIZADO 1 1/4"x 1"</t>
  </si>
  <si>
    <t>C4374</t>
  </si>
  <si>
    <t>BUCHA DE REDUÇÃO DE AÇO GALVANIZADO 1 1/2"x 1"</t>
  </si>
  <si>
    <t>C4376</t>
  </si>
  <si>
    <t>BUCHA DE REDUÇÃO DE AÇO GALVANIZADO 2"x 1/2"</t>
  </si>
  <si>
    <t>C0510</t>
  </si>
  <si>
    <t>BUJÃO EM AÇO GALV. D=15mm (1/2")  À  25mm (1")</t>
  </si>
  <si>
    <t>C0511</t>
  </si>
  <si>
    <t>BUJÃO EM AÇO GALV. D=32mm (1 1/4")  À 50mm (2")</t>
  </si>
  <si>
    <t>C0512</t>
  </si>
  <si>
    <t>BUJÃO EM AÇO GALV. D=65mm (2 1/2")  À  80mm (3")</t>
  </si>
  <si>
    <t>C0509</t>
  </si>
  <si>
    <t>BUJÃO EM AÇO GALV. D=100mm (4')</t>
  </si>
  <si>
    <t>C0513</t>
  </si>
  <si>
    <t>BUJÃO OU TAMPÃO AÇO GALV. D=65mm (2 1/2')  À  80mm (3")</t>
  </si>
  <si>
    <t>C3700</t>
  </si>
  <si>
    <t>COTOVELO 90 AÇO ASTM A-120 ROSCÁVEL DE 20mm (3/4")</t>
  </si>
  <si>
    <t>C3701</t>
  </si>
  <si>
    <t>COTOVELO 90 AÇO ASTM A-120 ROSCÁVEL DE 25mm (1")</t>
  </si>
  <si>
    <t>C3702</t>
  </si>
  <si>
    <t>COTOVELO 90 AÇO ASTM A-120 ROSCÁVEL DE 32mm (1 1/4")</t>
  </si>
  <si>
    <t>C3703</t>
  </si>
  <si>
    <t>COTOVELO 90 AÇO ASTM A-120 ROSCÁVEL DE 40mm (1 1/2")</t>
  </si>
  <si>
    <t>C3704</t>
  </si>
  <si>
    <t>COTOVELO 90 AÇO ASTM A-120 ROSCÁVEL DE 50mm (2")</t>
  </si>
  <si>
    <t>C3705</t>
  </si>
  <si>
    <t>COTOVELO 90 AÇO ASTM A-120 ROSCÁVEL DE 80mm (3")</t>
  </si>
  <si>
    <t>C3706</t>
  </si>
  <si>
    <t>COTOVELO 90 AÇO ASTM A-120 ROSCÁVEL DE 100mm (4")</t>
  </si>
  <si>
    <t>C0940</t>
  </si>
  <si>
    <t>COTOVELO AÇO GALV. D= 15mm (1/2")</t>
  </si>
  <si>
    <t>C0941</t>
  </si>
  <si>
    <t>COTOVELO AÇO GALV. D= 20mm (3/4")</t>
  </si>
  <si>
    <t>C0942</t>
  </si>
  <si>
    <t>COTOVELO AÇO GALV. D= 25mm (1")</t>
  </si>
  <si>
    <t>C0943</t>
  </si>
  <si>
    <t>COTOVELO AÇO GALV. D= 32mm (1 1/4")</t>
  </si>
  <si>
    <t>C0944</t>
  </si>
  <si>
    <t>COTOVELO AÇO GALV. D= 40mm (1 1/2")</t>
  </si>
  <si>
    <t>C0945</t>
  </si>
  <si>
    <t>COTOVELO AÇO GALV. D= 50mm (2")</t>
  </si>
  <si>
    <t>C0946</t>
  </si>
  <si>
    <t>COTOVELO AÇO GALV. D= 65mm (2 1/2")</t>
  </si>
  <si>
    <t>C0947</t>
  </si>
  <si>
    <t>COTOVELO AÇO GALV. D= 80mm (3")</t>
  </si>
  <si>
    <t>C0948</t>
  </si>
  <si>
    <t>COTOVELO AÇO GALV. D=100mm (4")</t>
  </si>
  <si>
    <t>C0949</t>
  </si>
  <si>
    <t>COTOVELO AÇO GALV. D=125mm (5")</t>
  </si>
  <si>
    <t>C0950</t>
  </si>
  <si>
    <t>COTOVELO AÇO GALV. D=150mm (6")</t>
  </si>
  <si>
    <t>C0960</t>
  </si>
  <si>
    <t>COTOVELO REDUÇÃO AÇO GALV. D= 20X15mm (3/4X1/2'')  A  25X20mm (1"x3/4")</t>
  </si>
  <si>
    <t>C0962</t>
  </si>
  <si>
    <t>COTOVELO REDUÇÃO AÇO GALV. D=32X20mm (1 1/4"X3/4'')  A  50X40mm ( 2"x1 1/2")</t>
  </si>
  <si>
    <t>C0961</t>
  </si>
  <si>
    <t>COTOVELO REDUÇÃO AÇO GALV. D= 65X50mm (2 1/2"X2'')</t>
  </si>
  <si>
    <t>C0965</t>
  </si>
  <si>
    <t>CRUZETA EM AÇO GALV. D=15mm (1/2")</t>
  </si>
  <si>
    <t>C0964</t>
  </si>
  <si>
    <t>CRUZETA EM AÇO GALV. D=15mm  À 25mm</t>
  </si>
  <si>
    <t>C0967</t>
  </si>
  <si>
    <t>CRUZETA EM AÇO GALV. D=32mm (1 1/4")</t>
  </si>
  <si>
    <t>C0966</t>
  </si>
  <si>
    <t>CRUZETA EM AÇO GALV. D=32mm  À 50mm</t>
  </si>
  <si>
    <t>C0969</t>
  </si>
  <si>
    <t>CRUZETA EM AÇO GALV. D=65mm (2 1/2")</t>
  </si>
  <si>
    <t>C0968</t>
  </si>
  <si>
    <t>CRUZETA EM AÇO GALV. D=65mm  À 80mm</t>
  </si>
  <si>
    <t>C4375</t>
  </si>
  <si>
    <t>BUCHA DE REDUÇÃO DE AÇO GALVANIZADO 1 1/2"x 1" 1/4"</t>
  </si>
  <si>
    <t>C1016</t>
  </si>
  <si>
    <t>CURVA EM AÇO GALV. D= 15 A 25mm  (1/2")  A  (1")</t>
  </si>
  <si>
    <t>C1017</t>
  </si>
  <si>
    <t>CURVA EM AÇO GALV. D= 65 A 80mm  (2 1/2")  A  (3")</t>
  </si>
  <si>
    <t>C1018</t>
  </si>
  <si>
    <t>CURVA EM AÇO GALV. D=100 A 150mm  (4")  A  (6")</t>
  </si>
  <si>
    <t>C1394</t>
  </si>
  <si>
    <t>FLANGE SEXTAVADA EM AÇO GALV. D=15mm (1/2")</t>
  </si>
  <si>
    <t>C1395</t>
  </si>
  <si>
    <t>FLANGE SEXTAVADA EM AÇO GALV. D=15mm (1/2")  À  25mm (3/4")</t>
  </si>
  <si>
    <t>C1396</t>
  </si>
  <si>
    <t>FLANGE SEXTAVADA EM AÇO GALV. D=32mm (1 1/4")</t>
  </si>
  <si>
    <t>C1392</t>
  </si>
  <si>
    <t>FLANGE SEXTAVADA EM AÇO GALV. D=32mm (1")  À  50mm (2")</t>
  </si>
  <si>
    <t>C1397</t>
  </si>
  <si>
    <t>FLANGE SEXTAVADA EM AÇO GALV. D=65mm (2 1/2")</t>
  </si>
  <si>
    <t>C1398</t>
  </si>
  <si>
    <t>FLANGE SEXTAVADA EM AÇO GALV. D=65mm(2 1/2")  À  80mm (3")</t>
  </si>
  <si>
    <t>C1393</t>
  </si>
  <si>
    <t>FLANGE SEXTAVADA EM AÇO GALV. D=100mm (4")</t>
  </si>
  <si>
    <t>C3845</t>
  </si>
  <si>
    <t>FORNECIMENTO, MONTAGEM, INSPEÇÃO E ASSENTAMENTO DE TUBOS E CONEXÕES EM AÇO, J. SOLDADA D=4", API 5 LX SOLDA, NORMA API 104</t>
  </si>
  <si>
    <t>C3844</t>
  </si>
  <si>
    <t>FORNECIMENTO, MONTAGEM, INSPEÇÃO E ASSENTAMENTO DE TUBOS E CONEXÕES EM AÇO, J. SOLDADA D=6", API 5 LX SOLDA, NORMA API 104</t>
  </si>
  <si>
    <t>C3719</t>
  </si>
  <si>
    <t>JUNTA DE BORRACHA ROSQUEADA DE 3/4"</t>
  </si>
  <si>
    <t>C3720</t>
  </si>
  <si>
    <t>JUNTA DE BORRACHA ROSQUEADA DE 1"</t>
  </si>
  <si>
    <t>C1691</t>
  </si>
  <si>
    <t>LUVA DE REDUÇÃO AÇO GALV. D= 20X15mm  À 25X20mm</t>
  </si>
  <si>
    <t>C1692</t>
  </si>
  <si>
    <t>LUVA DE REDUÇÃO AÇO GALV. D= 32X15mm  À 50X40mm</t>
  </si>
  <si>
    <t>C1690</t>
  </si>
  <si>
    <t>LUVA DE REDUÇÃO AÇO GALV. D=80X65mm (3"X2 1/2")</t>
  </si>
  <si>
    <t>C1688</t>
  </si>
  <si>
    <t>LUVA DE REDUÇÃO AÇO GALV. D=100X50mm (4"X2")</t>
  </si>
  <si>
    <t>C1693</t>
  </si>
  <si>
    <t>LUVA DE REDUÇÃO AÇO GALV. D=100X50mm À 100X80mm</t>
  </si>
  <si>
    <t>C1689</t>
  </si>
  <si>
    <t>LUVA DE REDUÇÃO AÇO GALV. D=100X65mm (4"X2 1/2")</t>
  </si>
  <si>
    <t>C1687</t>
  </si>
  <si>
    <t>LUVA DE REDUÇÃO AÇO GALV. D=100X80mm (4"X3")</t>
  </si>
  <si>
    <t>C3712</t>
  </si>
  <si>
    <t>LUVA DE UNIÃO AÇO ASTM  A-120 DE 20mm (3/4")</t>
  </si>
  <si>
    <t>C3713</t>
  </si>
  <si>
    <t>LUVA DE UNIÃO AÇO ASTM  A-120 DE 25mm (1")</t>
  </si>
  <si>
    <t>C4402</t>
  </si>
  <si>
    <t>LUVA DE UNIÃO AÇO ASTM A-120 DE 40mm (1 1/2")</t>
  </si>
  <si>
    <t>C1694</t>
  </si>
  <si>
    <t>LUVA DE UNIÃO AÇO GALVANIZADO DE (2 1/2")</t>
  </si>
  <si>
    <t>C1695</t>
  </si>
  <si>
    <t>LUVA DE UNIÃO AÇO GALVANIZADO DE (3")</t>
  </si>
  <si>
    <t>C1696</t>
  </si>
  <si>
    <t>LUVA DE UNIÃO AÇO GALVANIZADO DE (4")</t>
  </si>
  <si>
    <t>C1705</t>
  </si>
  <si>
    <t>LUVA AÇO GALV. D=15mm (1/2")  À  25mm (1")</t>
  </si>
  <si>
    <t>C1706</t>
  </si>
  <si>
    <t>LUVA AÇO GALV. D=32mm (1 1/4")  À  50mm (2")</t>
  </si>
  <si>
    <t>C1707</t>
  </si>
  <si>
    <t>LUVA AÇO GALV. D=65mm (2 1/2")  À  80mm (3")</t>
  </si>
  <si>
    <t>C1704</t>
  </si>
  <si>
    <t>LUVA AÇO GALV. D=100mm (4") À 150mm (6")</t>
  </si>
  <si>
    <t>C1822</t>
  </si>
  <si>
    <t>NIPLE DUPLO DE REDUÇÃO AÇO GALV. D=20X15mm (3/4"X1/2")</t>
  </si>
  <si>
    <t>C1826</t>
  </si>
  <si>
    <t>NIPLE DUPLO DE REDUÇÃO AÇO GALV. D=20X15mm (3/4"X1/2")  À  25X20mm (1"X3/4")</t>
  </si>
  <si>
    <t>C1823</t>
  </si>
  <si>
    <t>NIPLE DUPLO DE REDUÇÃO AÇO GALV. D=32X15mm (1 1/4"X1/2")</t>
  </si>
  <si>
    <t>C1824</t>
  </si>
  <si>
    <t>NIPLE DUPLO REDUÇÃO AÇO GALV. D=32X15mm (1 1/4"X1/2")  À  50X40mm (2"X1 1/2")</t>
  </si>
  <si>
    <t>C1825</t>
  </si>
  <si>
    <t>NIPLE DUPLO DE REDUÇÃO AÇO GALV. D=65X32mm(2 1/2"X1 1/4")  À  80X65mm(3"X2 1/2")</t>
  </si>
  <si>
    <t>C1815</t>
  </si>
  <si>
    <t>NIPLE DUPLO DE REDUÇÃO AÇO GALV. D=80X50mm (3"X2")  À  80X65mm (3"X2 1/2")</t>
  </si>
  <si>
    <t>C1817</t>
  </si>
  <si>
    <t>NIPLE DUPLO AÇO GALV. D=15mm (1/2")  À 25mm (1")</t>
  </si>
  <si>
    <t>C1818</t>
  </si>
  <si>
    <t>NIPLE DUPLO AÇO GALV. D=32mm  (1 1/4")  À 50mm (2")</t>
  </si>
  <si>
    <t>C1821</t>
  </si>
  <si>
    <t>NIPLE DUPLO AÇO GALV. D=65mm (2 1/2")</t>
  </si>
  <si>
    <t>C1819</t>
  </si>
  <si>
    <t>NIPLE DUPLO AÇO GALV. D=65mm (2 1/2")  À 80mm (3")</t>
  </si>
  <si>
    <t>C1816</t>
  </si>
  <si>
    <t>NIPLE DUPLO AÇO GALV. D=100mm (4")</t>
  </si>
  <si>
    <t>C3711</t>
  </si>
  <si>
    <t>REDUÇÃO AÇO ASTM  A-120  ROSCÁVEL DE (1"x 1 1/2")  À (1"x 3/4")</t>
  </si>
  <si>
    <t>C3710</t>
  </si>
  <si>
    <t>REDUÇÃO AÇO ASTM  A-120  ROSCÁVEL DE (2"x 1 1/2")  À (2"x 3/4")</t>
  </si>
  <si>
    <t>C3709</t>
  </si>
  <si>
    <t>REDUÇÃO AÇO ASTM  A-120  ROSCÁVEL DE (3"x 2 1/2")  À (3"x 3/4")</t>
  </si>
  <si>
    <t>C3708</t>
  </si>
  <si>
    <t>REDUÇÃO AÇO ASTM  A-120  ROSCÁVEL DE (4"x 2")</t>
  </si>
  <si>
    <t>C3707</t>
  </si>
  <si>
    <t>REDUÇÃO AÇO ASTM  A-120  ROSCÁVEL DE (4"x 3")</t>
  </si>
  <si>
    <t>C2307</t>
  </si>
  <si>
    <t>TAMPÃO EM AÇO GALV. D=15mm (1/2")  À 25mm(1")</t>
  </si>
  <si>
    <t>C2308</t>
  </si>
  <si>
    <t>TAMPÃO EM AÇO GALV. D=32mm (1 1/4")  À  50mm(2")</t>
  </si>
  <si>
    <t>C2309</t>
  </si>
  <si>
    <t>TAMPÃO EM AÇO GALV. D=65mm(2 1/2")  À  80mm(3")</t>
  </si>
  <si>
    <t>C2306</t>
  </si>
  <si>
    <t>TAMPÃO EM AÇO GALV. D=100mm (4')</t>
  </si>
  <si>
    <t>C3692</t>
  </si>
  <si>
    <t>TÊ AÇO ASTM A-120 ROSCÁVEL DE 20mm (3/4")</t>
  </si>
  <si>
    <t>C3693</t>
  </si>
  <si>
    <t>TÊ AÇO ASTM A-120 ROSCÁVEL DE 25mm (1")</t>
  </si>
  <si>
    <t>C3694</t>
  </si>
  <si>
    <t>TÊ AÇO ASTM A-120 ROSCÁVEL DE 32mm (1 1/4")</t>
  </si>
  <si>
    <t>C3696</t>
  </si>
  <si>
    <t>TÊ AÇO ASTM A-120 ROSCÁVEL DE 40mm (1 1/2")</t>
  </si>
  <si>
    <t>C3697</t>
  </si>
  <si>
    <t>TÊ AÇO ASTM A-120 ROSCÁVEL DE 50mm (2")</t>
  </si>
  <si>
    <t>C3698</t>
  </si>
  <si>
    <t>TÊ AÇO ASTM  A-120  ROSCÁVEL DE 80mm (3")</t>
  </si>
  <si>
    <t>C3699</t>
  </si>
  <si>
    <t>TÊ AÇO ASTM  A-120  ROSCÁVEL DE 100mm (4")</t>
  </si>
  <si>
    <t>C2321</t>
  </si>
  <si>
    <t>TÊ AÇO GALV. D= 15mm (1/2")</t>
  </si>
  <si>
    <t>C2322</t>
  </si>
  <si>
    <t>TÊ AÇO GALV. D= 20mm (3/4")</t>
  </si>
  <si>
    <t>C2323</t>
  </si>
  <si>
    <t>TÊ AÇO GALV. D= 25mm (1")</t>
  </si>
  <si>
    <t>C2324</t>
  </si>
  <si>
    <t>TÊ AÇO GALV. D= 32mm (1 1/4")</t>
  </si>
  <si>
    <t>C2325</t>
  </si>
  <si>
    <t>TÊ AÇO GALV. D= 40mm (1 1/2")</t>
  </si>
  <si>
    <t>C2326</t>
  </si>
  <si>
    <t>TÊ AÇO GALV. D= 50mm (2")</t>
  </si>
  <si>
    <t>C2327</t>
  </si>
  <si>
    <t>TÊ AÇO GALV. D= 65mm (2 1/2")</t>
  </si>
  <si>
    <t>C2328</t>
  </si>
  <si>
    <t>TÊ AÇO GALV. D= 80mm (3")</t>
  </si>
  <si>
    <t>C2329</t>
  </si>
  <si>
    <t>TÊ AÇO GALV. D=100mm (4")</t>
  </si>
  <si>
    <t>C2330</t>
  </si>
  <si>
    <t>TÊ AÇO GALV. D=125mm (5")</t>
  </si>
  <si>
    <t>C2331</t>
  </si>
  <si>
    <t>TÊ AÇO GALV. D=150mm (6")</t>
  </si>
  <si>
    <t>C2394</t>
  </si>
  <si>
    <t xml:space="preserve">TE REDUÇÃO AÇO GALVANIZADO 3/4" X 1/2"
</t>
  </si>
  <si>
    <t>C2395</t>
  </si>
  <si>
    <t>TE REDUÇÃO AÇO GALVANIZADO 1 1/4" X 1/2"</t>
  </si>
  <si>
    <t>C2396</t>
  </si>
  <si>
    <t xml:space="preserve">TE REDUÇÃO AÇO GALVANIZADO 2 1/2" X 1"
</t>
  </si>
  <si>
    <t>C2397</t>
  </si>
  <si>
    <t xml:space="preserve">TE REDUÇÃO AÇO GALVANIZADO 4" X 2"
</t>
  </si>
  <si>
    <t>C3685</t>
  </si>
  <si>
    <t>TUBO AÇO ASTM A-120 PRETO C/ ROSCA DE 20mm (3/4")</t>
  </si>
  <si>
    <t>C3686</t>
  </si>
  <si>
    <t>TUBO AÇO ASTM A-120 PRETO  C/ ROSCA DE 25mm (1")</t>
  </si>
  <si>
    <t>C3687</t>
  </si>
  <si>
    <t>TUBO AÇO ASTM A-120 PRETO  C/ ROSCA DE 32mm (1 1/4")</t>
  </si>
  <si>
    <t>C3688</t>
  </si>
  <si>
    <t>TUBO AÇO ASTM A-120 PRETO  C/ ROSCA DE 40mm (1 1/2")</t>
  </si>
  <si>
    <t>C3690</t>
  </si>
  <si>
    <t>TUBO AÇO ASTM A-120 PRETO  C/ ROSCA DE 80mm (3")</t>
  </si>
  <si>
    <t>C3689</t>
  </si>
  <si>
    <t>TUBO AÇO ASTM A-120 PRETO  C/ ROSCA DE 50mm (2")</t>
  </si>
  <si>
    <t>C3691</t>
  </si>
  <si>
    <t>TUBO AÇO ASTM A-120 PRETO  C/ ROSCA DE 100mm (4")</t>
  </si>
  <si>
    <t>C2558</t>
  </si>
  <si>
    <t>TUBO AÇO GALV. C/OU S/COSTURA D=15mm (1/2")</t>
  </si>
  <si>
    <t>C2559</t>
  </si>
  <si>
    <t>TUBO AÇO GALV. C/OU S/COSTURA D=20mm (3/4")</t>
  </si>
  <si>
    <t>C2560</t>
  </si>
  <si>
    <t>TUBO AÇO GALV. C/OU S/COSTURA D=25mm (1")</t>
  </si>
  <si>
    <t>C2561</t>
  </si>
  <si>
    <t>TUBO AÇO GALV. C/OU S/COSTURA D=32mm (1 1/4")</t>
  </si>
  <si>
    <t>C2554</t>
  </si>
  <si>
    <t>TUBO AÇO GALV. C/OU S/COSTURA D= 40mm (1 1/2")</t>
  </si>
  <si>
    <t>C2562</t>
  </si>
  <si>
    <t>TUBO AÇO GALV. C/OU S/COSTURA D=50mm (2")</t>
  </si>
  <si>
    <t>C2563</t>
  </si>
  <si>
    <t>TUBO AÇO GALV. C/OU S/COSTURA D=65mm (2 1/2")</t>
  </si>
  <si>
    <t>C2564</t>
  </si>
  <si>
    <t>TUBO AÇO GALV. C/OU S/COSTURA D=80mm (3")</t>
  </si>
  <si>
    <t>C2555</t>
  </si>
  <si>
    <t>TUBO AÇO GALV. C/OU S/COSTURA D=100mm (4")</t>
  </si>
  <si>
    <t>C2556</t>
  </si>
  <si>
    <t>TUBO AÇO GALV. C/OU S/COSTURA D=125mm (5")</t>
  </si>
  <si>
    <t>C2557</t>
  </si>
  <si>
    <t>TUBO AÇO GALV. C/OU S/COSTURA D=150mm (6")</t>
  </si>
  <si>
    <t>C2543</t>
  </si>
  <si>
    <t>TUBO AÇO GALV. C/OU S/COST.INCL.CONEXÕES D= 15mm (1/2")</t>
  </si>
  <si>
    <t>C2544</t>
  </si>
  <si>
    <t>TUBO AÇO GALV. C/OU S/COST.INCL.CONEXÕES D= 20mm (3/4")</t>
  </si>
  <si>
    <t>C2545</t>
  </si>
  <si>
    <t>TUBO AÇO GALV. C/OU S/COST.INCL.CONEXÕES D= 25mm (1")</t>
  </si>
  <si>
    <t>C2546</t>
  </si>
  <si>
    <t>TUBO AÇO GALV. C/OU S/COST.INCL.CONEXÕES D= 32mm (1 1/4")</t>
  </si>
  <si>
    <t>C2547</t>
  </si>
  <si>
    <t>TUBO AÇO GALV. C/OU S/COST.INCL.CONEXÕES D= 40mm(1 1/2")</t>
  </si>
  <si>
    <t>C2552</t>
  </si>
  <si>
    <t>TUBO AÇO GALV. C/OU S/COST.INCL.CONEXÕES D=50mm (2")</t>
  </si>
  <si>
    <t>C2553</t>
  </si>
  <si>
    <t>TUBO AÇO GALV. C/OU S/COST.INCL.CONEXÕES D=65mm (2 1/2")</t>
  </si>
  <si>
    <t>C2548</t>
  </si>
  <si>
    <t>TUBO AÇO GALV. C/OU S/COST.INCL.CONEXÕES D= 80mm (3")</t>
  </si>
  <si>
    <t>C2549</t>
  </si>
  <si>
    <t>TUBO AÇO GALV. C/OU S/COST.INCL.CONEXÕES D=100mm (4")</t>
  </si>
  <si>
    <t>C2550</t>
  </si>
  <si>
    <t>TUBO AÇO GALV. C/OU S/COST.INCL.CONEXÕES D=125mm (5")</t>
  </si>
  <si>
    <t>C2551</t>
  </si>
  <si>
    <t>TUBO AÇO GALV. C/OU S/COST.INCL.CONEXÕES D=150mm (6")</t>
  </si>
  <si>
    <t>TUBOS E CONEXÕES DE PVC</t>
  </si>
  <si>
    <t>C0014</t>
  </si>
  <si>
    <t>ADAPTADOR DE JUNTA ELAST.P/SIFÃO METAL PVC P/ESGOTO  D=40mm</t>
  </si>
  <si>
    <t>C0015</t>
  </si>
  <si>
    <t>ADAPTADOR P/ SIFÃO PVC 40mm (1 1/4")</t>
  </si>
  <si>
    <t>C3653</t>
  </si>
  <si>
    <t>ADAPTADOR PVC P/ REGISTRO 25mm (3/4")</t>
  </si>
  <si>
    <t>C3654</t>
  </si>
  <si>
    <t>ADAPTADOR PVC P/ REGISTRO 32mm (1")</t>
  </si>
  <si>
    <t>C3655</t>
  </si>
  <si>
    <t>ADAPTADOR PVC P/ REGISTRO 40mm (1 1/4")</t>
  </si>
  <si>
    <t>C3656</t>
  </si>
  <si>
    <t>ADAPTADOR PVC P/ REGISTRO 50mm (1 1/2")</t>
  </si>
  <si>
    <t>C3657</t>
  </si>
  <si>
    <t>ADAPTADOR PVC P/ REGISTRO 60mm (2")</t>
  </si>
  <si>
    <t>C0016</t>
  </si>
  <si>
    <t>ADAPTADOR PVC P/ REGISTRO 75mm (2 1/2'')</t>
  </si>
  <si>
    <t>C0017</t>
  </si>
  <si>
    <t>ADAPTADOR PVC P/ REGISTRO 85mm (3'')</t>
  </si>
  <si>
    <t>C0019</t>
  </si>
  <si>
    <t>ADAPTADOR PVC SOLD. FLANGES LIVRES P/CX. D'ÁGUA 20mm (1/2')</t>
  </si>
  <si>
    <t>C0020</t>
  </si>
  <si>
    <t>ADAPTADOR PVC SOLD. FLANGES LIVRES P/CX. D'ÁGUA 25mm (3/4")</t>
  </si>
  <si>
    <t>C0021</t>
  </si>
  <si>
    <t>ADAPTADOR PVC SOLD. FLANGES LIVRES P/CX. D'ÁGUA 32mm (1")</t>
  </si>
  <si>
    <t>C0022</t>
  </si>
  <si>
    <t>ADAPTADOR PVC SOLD. FLANGES LIVRES P/CX. D'ÁGUA 40mm (1 1/4")</t>
  </si>
  <si>
    <t>C0023</t>
  </si>
  <si>
    <t>ADAPTADOR PVC SOLD. FLANGES LIVRES P/CX. D'ÁGUA 50mm (1 1/2")</t>
  </si>
  <si>
    <t>C0024</t>
  </si>
  <si>
    <t>ADAPTADOR PVC SOLD. FLANGES LIVRES P/CX. D'ÁGUA 60mm (2")</t>
  </si>
  <si>
    <t>C0025</t>
  </si>
  <si>
    <t>ADAPTADOR PVC SOLD. FLANGES LIVRES P/CX. D'ÁGUA 75mm (2 1/2")</t>
  </si>
  <si>
    <t>C0026</t>
  </si>
  <si>
    <t>ADAPTADOR PVC SOLD. FLANGES LIVRES P/CX. D'ÁGUA 85mm (3")</t>
  </si>
  <si>
    <t>C0018</t>
  </si>
  <si>
    <t>ADAPTADOR PVC SOLD. FLANGES LIVRES P/CX. D'ÁGUA 110mm (4")</t>
  </si>
  <si>
    <t>C4330</t>
  </si>
  <si>
    <t>AQUISIÇÃO E ASSENTAMENTO DE TUBO PVC RÍGIDO PBA DEFoFo, INCLUSIVE CONEXÕES - DN 100</t>
  </si>
  <si>
    <t>C4329</t>
  </si>
  <si>
    <t>AQUISIÇÃO E ASSENTAMENTO DE TUBO PVC RÍGIDO PBA DEFoFo, INCLUSIVE CONEXÕES - DN 150</t>
  </si>
  <si>
    <t>C0289</t>
  </si>
  <si>
    <t>ASSENTAMENTO DE TUBOS E CONEXÕES EM PVC, JE DN 40mm</t>
  </si>
  <si>
    <t>C0291</t>
  </si>
  <si>
    <t>ASSENTAMENTO DE TUBOS E CONEXÕES EM PVC, JE DN 50mm</t>
  </si>
  <si>
    <t>C0292</t>
  </si>
  <si>
    <t>ASSENTAMENTO DE TUBOS E CONEXÕES EM PVC, JE DN 75mm</t>
  </si>
  <si>
    <t>C0281</t>
  </si>
  <si>
    <t>ASSENTAMENTO DE TUBOS E CONEXÕES EM PVC, JE DN 100mm</t>
  </si>
  <si>
    <t>C0282</t>
  </si>
  <si>
    <t>ASSENTAMENTO DE TUBOS E CONEXÕES EM PVC, JE DN 125mm</t>
  </si>
  <si>
    <t>C0283</t>
  </si>
  <si>
    <t>ASSENTAMENTO DE TUBOS E CONEXÕES EM PVC, JE DN 150mm</t>
  </si>
  <si>
    <t>C0284</t>
  </si>
  <si>
    <t>ASSENTAMENTO DE TUBOS E CONEXÕES EM PVC, JE DN 200mm</t>
  </si>
  <si>
    <t>C0285</t>
  </si>
  <si>
    <t>ASSENTAMENTO DE TUBOS E CONEXÕES EM PVC, JE DN 250mm</t>
  </si>
  <si>
    <t>C0286</t>
  </si>
  <si>
    <t>ASSENTAMENTO DE TUBOS E CONEXÕES EM PVC, JE DN 300mm</t>
  </si>
  <si>
    <t>C0287</t>
  </si>
  <si>
    <t>ASSENTAMENTO DE TUBOS E CONEXÕES EM PVC, JE DN 350mm</t>
  </si>
  <si>
    <t>C0288</t>
  </si>
  <si>
    <t>ASSENTAMENTO DE TUBOS E CONEXÕES EM PVC, JE DN 400mm</t>
  </si>
  <si>
    <t>C0290</t>
  </si>
  <si>
    <t>ASSENTAMENTO DE TUBOS E CONEXÕES EM PVC, JE DN 450mm</t>
  </si>
  <si>
    <t>C0233</t>
  </si>
  <si>
    <t>ASSENTAMENTO DE TUBOS E CONEXÕES EM PVC, JE DN 500mm</t>
  </si>
  <si>
    <t>C0277</t>
  </si>
  <si>
    <t>ASSENTAMENTO DE TUBOS E CONEXÕES EM PVC, J.SOLDADA DN 32mm</t>
  </si>
  <si>
    <t>C0278</t>
  </si>
  <si>
    <t>ASSENTAMENTO DE TUBOS E CONEXÕES EM PVC, J.SOLDADA DN 40mm</t>
  </si>
  <si>
    <t>C0279</t>
  </si>
  <si>
    <t>ASSENTAMENTO DE TUBOS E CONEXÕES EM PVC, J.SOLDADA DN 50mm</t>
  </si>
  <si>
    <t>C0280</t>
  </si>
  <si>
    <t>ASSENTAMENTO DE TUBOS E CONEXÕES EM PVC, J.SOLDADA DN 75mm</t>
  </si>
  <si>
    <t>C0275</t>
  </si>
  <si>
    <t>ASSENTAMENTO DE TUBOS E CONEXÕES EM PVC, J.SOLDADA DN 100mm</t>
  </si>
  <si>
    <t>C0276</t>
  </si>
  <si>
    <t>ASSENTAMENTO DE TUBOS E CONEXÕES EM PVC, J.SOLDADA DN 150mm</t>
  </si>
  <si>
    <t>C0488</t>
  </si>
  <si>
    <t>BUCHA REDUÇÃO LONGA PVC P/ESGOTO 50X40mm</t>
  </si>
  <si>
    <t>C0507</t>
  </si>
  <si>
    <t>BUCHA REDUÇÃO PVC ROSC. D=3/4"X1/2" (25X20mm)</t>
  </si>
  <si>
    <t>C0496</t>
  </si>
  <si>
    <t>BUCHA REDUÇÃO PVC ROSC. D=1"X1/2"(32X20mm)</t>
  </si>
  <si>
    <t>C0497</t>
  </si>
  <si>
    <t>BUCHA REDUÇÃO PVC ROSC. D=1"X3/4" (32X25mm)</t>
  </si>
  <si>
    <t>C0494</t>
  </si>
  <si>
    <t>BUCHA REDUÇÃO PVC ROSC. D=1 1/4"X1/2" (40X20mm)</t>
  </si>
  <si>
    <t>C0495</t>
  </si>
  <si>
    <t>BUCHA REDUÇÃO PVC ROSC. D=1 1/4"X3/4" (40X25mm)</t>
  </si>
  <si>
    <t>C0493</t>
  </si>
  <si>
    <t>BUCHA REDUÇÃO PVC ROSC. D=1 1/4"X1" (40X32mm)</t>
  </si>
  <si>
    <t>C0491</t>
  </si>
  <si>
    <t>BUCHA REDUÇÃO PVC ROSC. D=1 1/2"X1/2" (50X20mm)</t>
  </si>
  <si>
    <t>C0492</t>
  </si>
  <si>
    <t>BUCHA REDUÇÃO PVC ROSC. D=1 1/2"X3/4" (50X25mm)</t>
  </si>
  <si>
    <t>C0490</t>
  </si>
  <si>
    <t>BUCHA REDUÇÃO PVC ROSC. D=1 1/2"X1" (50X32mm)</t>
  </si>
  <si>
    <t>C0489</t>
  </si>
  <si>
    <t>BUCHA REDUÇÃO PVC ROSC. D=1 1/2"X1 1/4" (50X40mm)</t>
  </si>
  <si>
    <t>C0503</t>
  </si>
  <si>
    <t>BUCHA REDUÇÃO PVC ROSC. D=2"X1" (60X32mm)</t>
  </si>
  <si>
    <t>C0502</t>
  </si>
  <si>
    <t>BUCHA REDUÇÃO PVC ROSC. D=2"X1 1/4" (60X40mm)</t>
  </si>
  <si>
    <t>C0501</t>
  </si>
  <si>
    <t>BUCHA REDUÇÃO PVC ROSC. D=2"X1 1/2" (60X50mm)</t>
  </si>
  <si>
    <t>C0499</t>
  </si>
  <si>
    <t>BUCHA REDUÇÃO PVC ROSC. D=2 1/2"X1 1/4" (75X40mm)</t>
  </si>
  <si>
    <t>C0498</t>
  </si>
  <si>
    <t>BUCHA REDUÇÃO PVC ROSC. D=2 1/2"X1 1/2" (75X50mm)</t>
  </si>
  <si>
    <t>C0500</t>
  </si>
  <si>
    <t>BUCHA REDUÇÃO PVC ROSC. D=2 1/2"X2" (75X60mm)</t>
  </si>
  <si>
    <t>C0504</t>
  </si>
  <si>
    <t>BUCHA REDUÇÃO PVC ROSC. D=3"X1 1/2" (85X50mm)</t>
  </si>
  <si>
    <t>C0506</t>
  </si>
  <si>
    <t>BUCHA REDUÇÃO PVC ROSC. D=3"X2" (85X60mm)</t>
  </si>
  <si>
    <t>C0505</t>
  </si>
  <si>
    <t>BUCHA REDUÇÃO PVC ROSC. D=3"X2 1/2" (85X75mm)</t>
  </si>
  <si>
    <t>C0508</t>
  </si>
  <si>
    <t>BUCHA REDUÇÃO PVC ROSC. D=4"X3" (110X85mm)</t>
  </si>
  <si>
    <t>C3586</t>
  </si>
  <si>
    <t>CAIXA SIFONADA 150X150X50cm COM GRELHA - PADRÃO POPULAR</t>
  </si>
  <si>
    <t>C0680</t>
  </si>
  <si>
    <t>CAP (TAMPÃO) OU PLUG (BUJÃO) PVC P/ESGOTO D=50mm-SOLD.</t>
  </si>
  <si>
    <t>C0676</t>
  </si>
  <si>
    <t>CAP (TAMPÃO) OU PLUG (BUJÃO) PVC P/ESGOTO  D=75mm - SOLD.</t>
  </si>
  <si>
    <t>C0678</t>
  </si>
  <si>
    <t>CAP (TAMPÃO) OU PLUG (BUJÃO) PVC P/ESGOTO D=100mm SOLD.</t>
  </si>
  <si>
    <t>C0679</t>
  </si>
  <si>
    <t>CAP (TAMPÃO) OU PLUG (BUJÃO) PVC P/ESGOTO D=50mm C/ANÉIS</t>
  </si>
  <si>
    <t>C0681</t>
  </si>
  <si>
    <t>CAP (TAMPÃO) OU PLUG (BUJÃO) PVC P/ESGOTO D=75mm C/ANÉIS</t>
  </si>
  <si>
    <t>C0677</t>
  </si>
  <si>
    <t>CAP (TAMPÃO) OU PLUG (BUJÃO) PVC P/ESGOTO D=100mm C/ANÉIS</t>
  </si>
  <si>
    <t>C0685</t>
  </si>
  <si>
    <t>CAP PVC BRANCO ROSC. D=1/2" (20mm)</t>
  </si>
  <si>
    <t>C0688</t>
  </si>
  <si>
    <t>CAP PVC BRANCO ROSC. D=3/4" (25mm)</t>
  </si>
  <si>
    <t>C0684</t>
  </si>
  <si>
    <t>CAP PVC BRANCO ROSC. D=1" (32mm)</t>
  </si>
  <si>
    <t>C0683</t>
  </si>
  <si>
    <t>CAP PVC BRANCO ROSC. D=1 1/4" (40mm)</t>
  </si>
  <si>
    <t>C0682</t>
  </si>
  <si>
    <t>CAP PVC BRANCO ROSC. D=1 1/2" (50mm)</t>
  </si>
  <si>
    <t>C0686</t>
  </si>
  <si>
    <t>CAP PVC BRANCO ROSC. D=2 1/2" (75mm)</t>
  </si>
  <si>
    <t>C0687</t>
  </si>
  <si>
    <t>CAP PVC BRANCO ROSC. D=3" (85mm)</t>
  </si>
  <si>
    <t>C0689</t>
  </si>
  <si>
    <t>CAP PVC BRANCO ROSC. D=4"(110mm)</t>
  </si>
  <si>
    <t>C0690</t>
  </si>
  <si>
    <t>CAP PVC SOLD. MARROM D= 20mm (1/2")</t>
  </si>
  <si>
    <t>C0691</t>
  </si>
  <si>
    <t>CAP PVC SOLD. MARROM D= 25mm (3/4")</t>
  </si>
  <si>
    <t>C0692</t>
  </si>
  <si>
    <t>CAP PVC SOLD. MARROM D= 32mm (1")</t>
  </si>
  <si>
    <t>C0693</t>
  </si>
  <si>
    <t>CAP PVC SOLD. MARROM D= 40mm (1 1/4")</t>
  </si>
  <si>
    <t>C0694</t>
  </si>
  <si>
    <t>CAP PVC SOLD. MARROM D= 50mm (1 1/2")</t>
  </si>
  <si>
    <t>C0695</t>
  </si>
  <si>
    <t>CAP PVC SOLD. MARROM D= 60mm (2")</t>
  </si>
  <si>
    <t>C0696</t>
  </si>
  <si>
    <t>CAP PVC SOLD. MARROM D= 75mm (2 1/2")</t>
  </si>
  <si>
    <t>C0697</t>
  </si>
  <si>
    <t>CAP PVC SOLD. MARROM D= 85mm (3")</t>
  </si>
  <si>
    <t>C0698</t>
  </si>
  <si>
    <t>CAP PVC SOLD. MARROM D=110mm (4")</t>
  </si>
  <si>
    <t>C0952</t>
  </si>
  <si>
    <t>COTOVELO PVC SOLD. MARROM D=20mm (1/2")</t>
  </si>
  <si>
    <t>C0953</t>
  </si>
  <si>
    <t>COTOVELO PVC SOLD. MARROM D=25mm (3/4")</t>
  </si>
  <si>
    <t>C0954</t>
  </si>
  <si>
    <t>COTOVELO PVC SOLD. MARROM D=32mm (1")</t>
  </si>
  <si>
    <t>C0955</t>
  </si>
  <si>
    <t>COTOVELO PVC SOLD. MARROM D=40mm (1 1/4")</t>
  </si>
  <si>
    <t>C0956</t>
  </si>
  <si>
    <t>COTOVELO PVC SOLD. MARROM D=50mm (1 1/2")</t>
  </si>
  <si>
    <t>C0957</t>
  </si>
  <si>
    <t>COTOVELO PVC SOLD. MARROM D=60mm (2")</t>
  </si>
  <si>
    <t>C0958</t>
  </si>
  <si>
    <t>COTOVELO PVC SOLD. MARROM D=75mm (2 1/2")</t>
  </si>
  <si>
    <t>C0959</t>
  </si>
  <si>
    <t>COTOVELO PVC SOLD. MARROM D=85mm (3")</t>
  </si>
  <si>
    <t>C0951</t>
  </si>
  <si>
    <t>COTOVELO PVC SOLD. MARROM D=110mm (4")</t>
  </si>
  <si>
    <t>C0973</t>
  </si>
  <si>
    <t>CRUZETA PVC BRANCO ROSC. D=1/2" (20mm)</t>
  </si>
  <si>
    <t>C0975</t>
  </si>
  <si>
    <t>CRUZETA PVC BRANCO ROSC. D=3/4" (25mm)</t>
  </si>
  <si>
    <t>C0972</t>
  </si>
  <si>
    <t>CRUZETA PVC BRANCO ROSC. D=1" (32mm)</t>
  </si>
  <si>
    <t>C0971</t>
  </si>
  <si>
    <t>CRUZETA PVC BRANCO ROSC. D=1 1/4" (40mm)</t>
  </si>
  <si>
    <t>C0970</t>
  </si>
  <si>
    <t>CRUZETA PVC BRANCO ROSC. D=1 1/2" (50mm)</t>
  </si>
  <si>
    <t>C0974</t>
  </si>
  <si>
    <t>CRUZETA PVC BRANCO ROSC. D=2" (60mm)</t>
  </si>
  <si>
    <t>C0976</t>
  </si>
  <si>
    <t>CRUZETA PVC SOLD. MARROM D= 20mm (1/2")</t>
  </si>
  <si>
    <t>C0977</t>
  </si>
  <si>
    <t>CRUZETA PVC SOLD. MARROM D= 25mm (3/4")</t>
  </si>
  <si>
    <t>C0978</t>
  </si>
  <si>
    <t>CRUZETA PVC SOLD. MARROM D= 32mm (1")</t>
  </si>
  <si>
    <t>C0980</t>
  </si>
  <si>
    <t>CRUZETA PVC SOLD. MARROM D=40mm (1 1/4")</t>
  </si>
  <si>
    <t>C0981</t>
  </si>
  <si>
    <t>CRUZETA PVC SOLD. MARROM D=50mm (1 1/2")</t>
  </si>
  <si>
    <t>C0982</t>
  </si>
  <si>
    <t>CRUZETA PVC SOLD. MARROM D=60mm (2")</t>
  </si>
  <si>
    <t>C0983</t>
  </si>
  <si>
    <t>CRUZETA PVC SOLD. MARROM D=75mm (2 1/2")</t>
  </si>
  <si>
    <t>C0984</t>
  </si>
  <si>
    <t>CRUZETA PVC SOLD. MARROM D=85mm (3")</t>
  </si>
  <si>
    <t>C0979</t>
  </si>
  <si>
    <t>CRUZETA PVC SOLD. MARROM D=110mm (4")</t>
  </si>
  <si>
    <t>C1525</t>
  </si>
  <si>
    <t>JOELHO 90 PVC SOLD./ROSCA. D= 20mmX1/2"</t>
  </si>
  <si>
    <t>C1526</t>
  </si>
  <si>
    <t>JOELHO 90 PVC SOLD./ROSCA. D= 25mmX3/4"</t>
  </si>
  <si>
    <t>C1527</t>
  </si>
  <si>
    <t>JOELHO 90 PVC SOLD./ROSCA. D= 32mmX1"</t>
  </si>
  <si>
    <t>C1532</t>
  </si>
  <si>
    <t>JOELHO C/VISITA. PVC P/ESG. D=75X50mm - JUNTA C/ANÉIS</t>
  </si>
  <si>
    <t>C1528</t>
  </si>
  <si>
    <t>JOELHO C/VISITA PVC P/ESG. D=100X50mm - JUNTA C/ANÉIS</t>
  </si>
  <si>
    <t>C1530</t>
  </si>
  <si>
    <t>JOELHO C/VISITA PVC P/ESG. D=100X75mm - JUNTA C/ANÉIS</t>
  </si>
  <si>
    <t>C1533</t>
  </si>
  <si>
    <t>JOELHO C/VISITA. PVC P/ESG. D=75X50mm - JUNTA SOLD.</t>
  </si>
  <si>
    <t>C1529</t>
  </si>
  <si>
    <t>JOELHO C/VISITA PVC P/ESG. D=100X50mm - JUNTA SOLD.</t>
  </si>
  <si>
    <t>C1531</t>
  </si>
  <si>
    <t>JOELHO C/VISITA PVC P/ESG. D=100X75mm - JUNTA SOLD.</t>
  </si>
  <si>
    <t>C1543</t>
  </si>
  <si>
    <t>JOELHO OU CURVA PVC ROSC. D=1/2"(20mm)</t>
  </si>
  <si>
    <t>C1547</t>
  </si>
  <si>
    <t>JOELHO OU CURVA PVC ROSC. D=3/4" (25mm)</t>
  </si>
  <si>
    <t>C1542</t>
  </si>
  <si>
    <t>JOELHO OU CURVA PVC ROSC. D=1" (32mm)</t>
  </si>
  <si>
    <t>C1541</t>
  </si>
  <si>
    <t>JOELHO OU CURVA PVC ROSC. D=1 1/4" (40mm)</t>
  </si>
  <si>
    <t>C1540</t>
  </si>
  <si>
    <t>JOELHO OU CURVA PVC ROSC. D=1 1/2" (50mm)</t>
  </si>
  <si>
    <t>C1545</t>
  </si>
  <si>
    <t>JOELHO OU CURVA PVC ROSC. D=2" (60mm)</t>
  </si>
  <si>
    <t>C1544</t>
  </si>
  <si>
    <t>JOELHO OU CURVA PVC ROSC. D=2 1/2" (75mm)</t>
  </si>
  <si>
    <t>C1546</t>
  </si>
  <si>
    <t>JOELHO OU CURVA PVC ROSC. D=3" (85mm)</t>
  </si>
  <si>
    <t>C1548</t>
  </si>
  <si>
    <t>JOELHO OU CURVA PVC ROSC. D=4" (110mm)</t>
  </si>
  <si>
    <t>C1551</t>
  </si>
  <si>
    <t>JOELHO PVC BRANCO P/ESGOTO D=40mm (1 1/2")</t>
  </si>
  <si>
    <t>C1552</t>
  </si>
  <si>
    <t>JOELHO PVC BRANCO P/ESGOTO D=50mm (2")</t>
  </si>
  <si>
    <t>C1554</t>
  </si>
  <si>
    <t>JOELHO PVC BRANCO P/ESGOTO D=75mm (3")</t>
  </si>
  <si>
    <t>C1549</t>
  </si>
  <si>
    <t>JOELHO PVC BRANCO P/ESGOTO D=100mm (4")</t>
  </si>
  <si>
    <t>C1553</t>
  </si>
  <si>
    <t>JOELHO PVC BRANCO P/ESGOTO D=50mm (2") - JUNTA C/ANÉIS</t>
  </si>
  <si>
    <t>C1555</t>
  </si>
  <si>
    <t>JOELHO PVC BRANCO P/ESGOTO D=75mm (3") - JUNTA C/ANÉIS</t>
  </si>
  <si>
    <t>C1550</t>
  </si>
  <si>
    <t>JOELHO PVC BRANCO P/ESGOTO D=100mm (4") - JUNTA C/ANÉIS</t>
  </si>
  <si>
    <t>C1556</t>
  </si>
  <si>
    <t>JOELHO PVC CINZA P/ESGOTO D=150mm (6") - JUNTA C/ANÉIS</t>
  </si>
  <si>
    <t>C1557</t>
  </si>
  <si>
    <t>JOELHO PVC CINZA. P/ESGOTO D=150mm (6") - JUNTA SOLD</t>
  </si>
  <si>
    <t>C1558</t>
  </si>
  <si>
    <t>JOELHO PVC SOLD. AZUL D=20mmX1/2"</t>
  </si>
  <si>
    <t>C1559</t>
  </si>
  <si>
    <t>JOELHO PVC SOLD. AZUL D=25mmX3/4"</t>
  </si>
  <si>
    <t>C1560</t>
  </si>
  <si>
    <t>JOELHO REDUÇÃO PVC SOLD./ROSCA. D=25mmX1/2"</t>
  </si>
  <si>
    <t>C1561</t>
  </si>
  <si>
    <t>JOELHO REDUÇÃO PVC SOLD./ROSCA. D=32mmX3/4"</t>
  </si>
  <si>
    <t>C1568</t>
  </si>
  <si>
    <t>JOELHO REDUÇÃO PVC ROSC. D=3/4"X1/2" (25X20mm)</t>
  </si>
  <si>
    <t>C1567</t>
  </si>
  <si>
    <t>JOELHO REDUÇÃO PVC ROSC. D=1"X3/4" (32X25mm)</t>
  </si>
  <si>
    <t>C1562</t>
  </si>
  <si>
    <t>JOELHO REDUÇÃO PVC SOLD. AZUL D=25mmX1/2"</t>
  </si>
  <si>
    <t>C1563</t>
  </si>
  <si>
    <t>JOELHO REDUÇÃO PVC SOLD. AZUL D=32mmX3/4"</t>
  </si>
  <si>
    <t>C1564</t>
  </si>
  <si>
    <t>JOELHO REDUÇÃO PVC SOLD.MARROM D=25X20mm (3/4"X1/2")</t>
  </si>
  <si>
    <t>C1565</t>
  </si>
  <si>
    <t>JOELHO REDUÇÃO PVC SOLD.MARROM D=32X25mm (1"X3/4")</t>
  </si>
  <si>
    <t>C1566</t>
  </si>
  <si>
    <t>JOELHO REDUÇÃO PVC SOLD.MARROM D=40X32mm (1 1/4"X1")</t>
  </si>
  <si>
    <t>C4388</t>
  </si>
  <si>
    <t>JOELHO 45 PVC BRANCO PARA ESGOTO D=40mm (1 1/4")</t>
  </si>
  <si>
    <t>C4669</t>
  </si>
  <si>
    <t>JOELHO 45 PVC BRANCO PARA ESGOTO D=50mm (2")</t>
  </si>
  <si>
    <t>C4389</t>
  </si>
  <si>
    <t>JOELHO 45 PVC BRANCO PARA ESGOTO D=75mm (3")</t>
  </si>
  <si>
    <t>C4390</t>
  </si>
  <si>
    <t>JOELHO 45 PVC BRANCO PARA ESGOTO D=100mm (4")</t>
  </si>
  <si>
    <t>C4391</t>
  </si>
  <si>
    <t>JOELHO 45 PVC SOLDÁVEL D=25mm (3/4")</t>
  </si>
  <si>
    <t>C4392</t>
  </si>
  <si>
    <t>JOELHO 45 PVC SOLDÁVEL D=32mm (1")</t>
  </si>
  <si>
    <t>C4393</t>
  </si>
  <si>
    <t>JOELHO 45 PVC SOLDÁVEL D=40mm (1 1/4")</t>
  </si>
  <si>
    <t>C3994</t>
  </si>
  <si>
    <t>JUNÇÃO PVC BRANCO 50 x 50 mm (2" x 2")</t>
  </si>
  <si>
    <t>C1575</t>
  </si>
  <si>
    <t>JUNÇÃO SIMPLES C/INSPEÇÃO PVC P/ESGOTO D=75mm (3")-C/ANÉIS</t>
  </si>
  <si>
    <t>C1574</t>
  </si>
  <si>
    <t>JUNÇÃO SIMPLES C/INSPEÇÃO PVC P/ESGOTO D=100mm (4")-C/ANÉIS</t>
  </si>
  <si>
    <t>C1579</t>
  </si>
  <si>
    <t>JUNÇÃO SIMPLES DE REDUÇÃO PVC P/ESGOTO 75X50mm (3"X2")</t>
  </si>
  <si>
    <t>C1580</t>
  </si>
  <si>
    <t>JUNÇÃO SIMPLES DE REDUÇÃO PVC P/ESGOTO 75X50mm (3"X2")-C/ANÉIS</t>
  </si>
  <si>
    <t>C1576</t>
  </si>
  <si>
    <t>JUNÇÃO SIMPLES DE REDUÇÃO PVC P/ESGOTO 100X50mm (4"X2")-C/ANÉIS</t>
  </si>
  <si>
    <t>C1577</t>
  </si>
  <si>
    <t>JUNÇÃO SIMPLES DE REDUÇÃO PVC P/ESGOTO 100X75mm (4"X3")-C/ANÉIS</t>
  </si>
  <si>
    <t>C1578</t>
  </si>
  <si>
    <t>JUNÇÃO SIMPLES DE REDUÇÃO PVC P/ESGOTO 150X100mm (6"X4")-C/ANÉIS</t>
  </si>
  <si>
    <t>C1582</t>
  </si>
  <si>
    <t>JUNÇÃO SIMPLES DE REDUÇÃO PVC P/ESGOTO 100X50mm(4"X2")</t>
  </si>
  <si>
    <t>C1583</t>
  </si>
  <si>
    <t>JUNÇÃO SIMPLES DE REDUÇÃO PVC P/ESGOTO 100X75mm(4"X3")</t>
  </si>
  <si>
    <t>C1581</t>
  </si>
  <si>
    <t>JUNÇÃO SIMPLES DE REDUÇÃO PVC P/ESGOTO 150X100mm(6"X4")</t>
  </si>
  <si>
    <t>C1585</t>
  </si>
  <si>
    <t>JUNÇÃO SIMPLES C/INSPEÇÃO PVC P/ESGOTO D=75mm (3")</t>
  </si>
  <si>
    <t>C1584</t>
  </si>
  <si>
    <t>JUNÇÃO SIMPLES C/INSPEÇÃO PVC P/ESGOTO D=100mm (4")</t>
  </si>
  <si>
    <t>C1572</t>
  </si>
  <si>
    <t>JUNÇÃO DUPLA PVC BRANCO D=75mm (3") - JUNTA C/ANÉIS</t>
  </si>
  <si>
    <t>C1570</t>
  </si>
  <si>
    <t>JUNÇÃO DUPLA PVC BRANCO D=100mm (4") - JUNTA C/ANÉIS</t>
  </si>
  <si>
    <t>C1573</t>
  </si>
  <si>
    <t>JUNÇÃO DUPLA PVC BRANCO D=75mm(3") - JUNTA SOLD.</t>
  </si>
  <si>
    <t>C1571</t>
  </si>
  <si>
    <t>JUNÇÃO DUPLA PVC BRANCO D=100mm (4") - JUNTA SOLD.</t>
  </si>
  <si>
    <t>C1720</t>
  </si>
  <si>
    <t>LUVA PVC BRANCO ROSC. D=1/2" (20mm)</t>
  </si>
  <si>
    <t>C1724</t>
  </si>
  <si>
    <t>LUVA PVC BRANCO ROSC. D=3/4" (25mm)</t>
  </si>
  <si>
    <t>C1719</t>
  </si>
  <si>
    <t>LUVA PVC BRANCO ROSC. D=1" (32mm)</t>
  </si>
  <si>
    <t>C1718</t>
  </si>
  <si>
    <t>LUVA PVC BRANCO ROSC. D=1 1/4" (40mm)</t>
  </si>
  <si>
    <t>C1717</t>
  </si>
  <si>
    <t>LUVA PVC BRANCO ROSC. D=1 1/2"  (50mm)</t>
  </si>
  <si>
    <t>C1722</t>
  </si>
  <si>
    <t>LUVA PVC BRANCO ROSC. D=2" (60mm)</t>
  </si>
  <si>
    <t>C1721</t>
  </si>
  <si>
    <t>LUVA PVC BRANCO ROSC. D=2 1/2" (75mm)</t>
  </si>
  <si>
    <t>C1723</t>
  </si>
  <si>
    <t>LUVA PVC BRANCO ROSC. D=3" (85mm)</t>
  </si>
  <si>
    <t>C1725</t>
  </si>
  <si>
    <t>LUVA PVC BRANCO ROSC. D=4" (110mm)</t>
  </si>
  <si>
    <t>C1726</t>
  </si>
  <si>
    <t>LUVA PVC SOLD. AZUL C/ROSCA MET. D=20mmX1/2"</t>
  </si>
  <si>
    <t>C1727</t>
  </si>
  <si>
    <t>LUVA PVC SOLD. AZUL C/ROSCA MET. D=25mmX3/4"</t>
  </si>
  <si>
    <t>C1728</t>
  </si>
  <si>
    <t>LUVA PVC SOLD. MARROM D= 20mm (1/2")</t>
  </si>
  <si>
    <t>C1729</t>
  </si>
  <si>
    <t>LUVA PVC SOLD. MARROM D= 25mm (3/4")</t>
  </si>
  <si>
    <t>C1730</t>
  </si>
  <si>
    <t>LUVA PVC SOLD. MARROM D= 32mm (1")</t>
  </si>
  <si>
    <t>C1731</t>
  </si>
  <si>
    <t>LUVA PVC SOLD. MARROM D= 40mm (1 1/4")</t>
  </si>
  <si>
    <t>C1732</t>
  </si>
  <si>
    <t>LUVA PVC SOLD. MARROM D= 50mm (1 1/2")</t>
  </si>
  <si>
    <t>C1733</t>
  </si>
  <si>
    <t>LUVA PVC SOLD. MARROM D= 60mm (2")</t>
  </si>
  <si>
    <t>C1734</t>
  </si>
  <si>
    <t>LUVA PVC SOLD. MARROM D= 75mm (2 1/2")</t>
  </si>
  <si>
    <t>C1735</t>
  </si>
  <si>
    <t>LUVA PVC SOLD. MARROM D= 85mm (3")</t>
  </si>
  <si>
    <t>C1736</t>
  </si>
  <si>
    <t>LUVA PVC SOLD. MARROM D=110mm (4")</t>
  </si>
  <si>
    <t>C1737</t>
  </si>
  <si>
    <t>LUVA PVC SOLD./ROSCA. D=20mmX1/2"</t>
  </si>
  <si>
    <t>C1738</t>
  </si>
  <si>
    <t>LUVA PVC SOLD./ROSCA. D=25mmX1/2"</t>
  </si>
  <si>
    <t>C1739</t>
  </si>
  <si>
    <t>LUVA PVC SOLD./ROSCA. D=25mmX3/4"</t>
  </si>
  <si>
    <t>C1740</t>
  </si>
  <si>
    <t>LUVA PVC SOLD./ROSCA. D=32mmX1"</t>
  </si>
  <si>
    <t>C1741</t>
  </si>
  <si>
    <t>LUVA PVC SOLD./ROSCA. D=40mmX1 1/4"</t>
  </si>
  <si>
    <t>C1742</t>
  </si>
  <si>
    <t>LUVA PVC SOLD./ROSCA. D=50mmX1 1/2"</t>
  </si>
  <si>
    <t>C1752</t>
  </si>
  <si>
    <t>LUVA REDUÇÃO PVC ROSC. D=3/4"X1/2" (25X20mm)</t>
  </si>
  <si>
    <t>C1751</t>
  </si>
  <si>
    <t>LUVA REDUÇÃO PVC ROSC. D=1"X3/4" (32X25mm)</t>
  </si>
  <si>
    <t>C1753</t>
  </si>
  <si>
    <t>LUVA REDUÇÃO PVC SOLDÁVEL AZUL C/ROSCA METÁLICA, D=25mmX1/2"</t>
  </si>
  <si>
    <t>C1743</t>
  </si>
  <si>
    <t>LUVA REDUÇÃO PVC SOLDÁVEL MARROM D= 25X20mm (3/4"X1/2")</t>
  </si>
  <si>
    <t>C1744</t>
  </si>
  <si>
    <t>LUVA REDUÇÃO PVC SOLDÁVEL MARROM D= 32X25mm (1"X3/4")</t>
  </si>
  <si>
    <t>C1745</t>
  </si>
  <si>
    <t>LUVA REDUÇÃO PVC SOLDÁVEL MARROM D= 40X32mm (1 1/4"X1")</t>
  </si>
  <si>
    <t>C1748</t>
  </si>
  <si>
    <t>LUVA REDUÇÃO PVC SOLDÁVEL MARROM D=75X60mm ( 2 1/2"X2")</t>
  </si>
  <si>
    <t>C1749</t>
  </si>
  <si>
    <t>LUVA REDUÇÃO PVC SOLDÁVEL MARROM D=85X60mm (3"X2")</t>
  </si>
  <si>
    <t>C1750</t>
  </si>
  <si>
    <t>LUVA REDUÇÃO PVC SOLDÁVEL MARROM D=85X75mm (3"X2 1/2")</t>
  </si>
  <si>
    <t>C1746</t>
  </si>
  <si>
    <t>LUVA REDUÇÃO PVC SOLDÁVEL MARROM D=110X75mm (4"X2 1/2")</t>
  </si>
  <si>
    <t>C1747</t>
  </si>
  <si>
    <t>LUVA REDUÇÃO PVC SOLDÁVEL MARROM D=110X85mm (4"X3")</t>
  </si>
  <si>
    <t>C1760</t>
  </si>
  <si>
    <t>LUVA SIMPLES PVC BRANCO P/ESGOTO 40mm (1 1/2")</t>
  </si>
  <si>
    <t>C1761</t>
  </si>
  <si>
    <t>LUVA SIMPLES PVC BRANCO P/ESGOTO 50mm (2")</t>
  </si>
  <si>
    <t>C1762</t>
  </si>
  <si>
    <t>LUVA SIMPLES PVC BRANCO P/ESGOTO 75mm (3")</t>
  </si>
  <si>
    <t>C1758</t>
  </si>
  <si>
    <t>LUVA SIMPLES PVC BRANCO P/ESGOTO 100mm (4")</t>
  </si>
  <si>
    <t>C1759</t>
  </si>
  <si>
    <t>LUVA SIMPLES PVC BRANCO P/ESGOTO 150mm (6")</t>
  </si>
  <si>
    <t>C1756</t>
  </si>
  <si>
    <t>LUVA SIMPLES PVC BRANCO P/ESGOTO D=50mm (2")-C/ANÉIS</t>
  </si>
  <si>
    <t>C1757</t>
  </si>
  <si>
    <t>LUVA SIMPLES PVC BRANCO P/ESGOTO D=75mm (3")-C/ANÉIS</t>
  </si>
  <si>
    <t>C1754</t>
  </si>
  <si>
    <t>LUVA SIMPLES PVC BRANCO P/ESGOTO D=100mm (4')-C/ANÉIS</t>
  </si>
  <si>
    <t>C1755</t>
  </si>
  <si>
    <t>LUVA SIMPLES PVC BRANCO P/ESGOTO D=150mm (6")-C/ANÉIS</t>
  </si>
  <si>
    <t>C1697</t>
  </si>
  <si>
    <t>LUVA DUPLA OU DE CORRER PVC P/ESGOTO 40mm</t>
  </si>
  <si>
    <t>C1699</t>
  </si>
  <si>
    <t>LUVA DUPLA PVC P/ESGOTO D=50mm (2")-C/ANÉIS</t>
  </si>
  <si>
    <t>C1700</t>
  </si>
  <si>
    <t>LUVA DUPLA PVC P/ESGOTO D=75mm (3")-C/ANÉIS</t>
  </si>
  <si>
    <t>C1698</t>
  </si>
  <si>
    <t>LUVA DUPLA PVC P/ESGOTO D=100mm (4")-C/ANÉIS</t>
  </si>
  <si>
    <t>C1702</t>
  </si>
  <si>
    <t>LUVA DUPLA PVC P/ESGOTO 50mm JUNTAS SOLDADAS</t>
  </si>
  <si>
    <t>C1703</t>
  </si>
  <si>
    <t>LUVA DUPLA PVC P/ESGOTO 75mm JUNTAS SOLDADAS</t>
  </si>
  <si>
    <t>C1701</t>
  </si>
  <si>
    <t>LUVA DUPLA PVC P/ESGOTO 100mm JUNTAS SOLDADAS</t>
  </si>
  <si>
    <t>C3582</t>
  </si>
  <si>
    <t>MUTIRÃO MISTO - ADAPTADOR DE JUNTA ELÂSTICA P/SIFÃO METAL PVC P/ESGOTO D=40mm</t>
  </si>
  <si>
    <t>C3556</t>
  </si>
  <si>
    <t>MUTIRÃO MISTO - ADAPTADOR PVC SOLDÁVEL FLANGES LIVRES P/CX. D'ÁGUA 25mm (3/4")</t>
  </si>
  <si>
    <t>C3585</t>
  </si>
  <si>
    <t>MUTIRÃO MISTO - CAIXA SIFONADA 150X150X50cm COM GRELHA</t>
  </si>
  <si>
    <t>C3588</t>
  </si>
  <si>
    <t>MUTIRÃO MISTO - JOELHO PVC BRANCO P/ESGOTO D=40mm(1 1/2")</t>
  </si>
  <si>
    <t>C3589</t>
  </si>
  <si>
    <t>MUTIRÃO MISTO - JOELHO PVC BRANCO P/ESGOTO D=50mm(2")</t>
  </si>
  <si>
    <t>C3587</t>
  </si>
  <si>
    <t>MUTIRÃO MISTO - JOELHO PVC BRANCO P/ESGOTO D=100mm(4")</t>
  </si>
  <si>
    <t>C3559</t>
  </si>
  <si>
    <t>MUTIRÃO MISTO - JOELHO PVC SOLDÁVEL AZUL D=25mmX3/4"</t>
  </si>
  <si>
    <t>C3557</t>
  </si>
  <si>
    <t>MUTIRÃO MISTO - JOELHO REDUÇÃO 90 PVC SOLDÁVEL C/ROSCA D=25mmX1/2"</t>
  </si>
  <si>
    <t>C3558</t>
  </si>
  <si>
    <t>MUTIRÃO MISTO - JOELHO REDUÇÃO PVC SOLDÁVEL AZUL D=25mmX1/2"</t>
  </si>
  <si>
    <t>C3560</t>
  </si>
  <si>
    <t>MUTIRÃO MISTO - LUVA PVC  SOLDÁVEL AZUL C/ROSCA MET. D=25mmX3/4"</t>
  </si>
  <si>
    <t>C3561</t>
  </si>
  <si>
    <t>MUTIRÃO MISTO - TE PVC SOLDÁVEL MARROM D=25mm (3/4")</t>
  </si>
  <si>
    <t>C3562</t>
  </si>
  <si>
    <t>MUTIRÃO MISTO - TUBO PVC SOLDÁVEL MARROM D= 25mm (3/4")</t>
  </si>
  <si>
    <t>C3591</t>
  </si>
  <si>
    <t>MUTIRÃO MISTO - TUBO PVC BRANCO P/ESGOTO D=40mm(1 1/2")</t>
  </si>
  <si>
    <t>C3592</t>
  </si>
  <si>
    <t>MUTIRÃO MISTO - TUBO PVC BRANCO P/ESGOTO D=50mm(2")</t>
  </si>
  <si>
    <t>C3590</t>
  </si>
  <si>
    <t>MUTIRÃO MISTO - TUBO PVC BRANCO P/ESGOTO D=100mm(4")</t>
  </si>
  <si>
    <t>C1827</t>
  </si>
  <si>
    <t>NIPLE EM PVC C/ ROSCA DE 1 1/4"</t>
  </si>
  <si>
    <t>C1828</t>
  </si>
  <si>
    <t>NIPLE EM PVC C/ ROSCA DE 2 1/2"</t>
  </si>
  <si>
    <t>C2093</t>
  </si>
  <si>
    <t>RALO SECO  PVC RÍGIDO</t>
  </si>
  <si>
    <t>C2145</t>
  </si>
  <si>
    <t>REDUÇÃO EXCÊNTRICA PVC BRANCO REFORÇADO  D=75X50mm (3"X2")</t>
  </si>
  <si>
    <t>C2143</t>
  </si>
  <si>
    <t>REDUÇÃO EXCÊNTRICA PVC BRANCO REFORÇADO  D=100X75mm (4"X3")</t>
  </si>
  <si>
    <t>C2144</t>
  </si>
  <si>
    <t>REDUÇÃO EXCÊNTRICA PVC BRANCO REFORÇADO  D=150x150mm(6"x4")= (150 X 100MM)</t>
  </si>
  <si>
    <t>C2153</t>
  </si>
  <si>
    <t>REDUÇÃO PVC BRANCO/CINZA P/ESGOTO D=100X75mm (4"X3")</t>
  </si>
  <si>
    <t>C2151</t>
  </si>
  <si>
    <t>REDUÇÃO PVC BRANCO P/ESGOTO D=75X50mm (3"X2")</t>
  </si>
  <si>
    <t>C2146</t>
  </si>
  <si>
    <t>REDUÇÃO PVC BRANCO P/ESGOTO D=100X50mm (4"X2")</t>
  </si>
  <si>
    <t>C2149</t>
  </si>
  <si>
    <t>REDUÇÃO PVC BRANCO P/ESGOTO D=150X100mm (6"X4")</t>
  </si>
  <si>
    <t>C2152</t>
  </si>
  <si>
    <t>REDUÇÃO PVC BRANCO P/ESGOTO D=75X50mm (3"X2")-C/ANÉIS</t>
  </si>
  <si>
    <t>C2147</t>
  </si>
  <si>
    <t>REDUÇÃO PVC BRANCO P/ESGOTO D=100X50mm (4"X2")-C/ANÉIS</t>
  </si>
  <si>
    <t>C2148</t>
  </si>
  <si>
    <t>REDUÇÃO PVC BRANCO P/ESGOTO D=100X75mm (4"X3")-C/ANÉIS</t>
  </si>
  <si>
    <t>C2150</t>
  </si>
  <si>
    <t>REDUÇÃO PVC BRANCO P/ESGOTO D=150X100mm (6"X4")-C/ANÉIS</t>
  </si>
  <si>
    <t>C2320</t>
  </si>
  <si>
    <t>TÊ PVC BRANCO C/INSPEÇÃO P/ESGOTO D=150mm(6")</t>
  </si>
  <si>
    <t>C2345</t>
  </si>
  <si>
    <t>TÊ PVC BRANCO C/INSPEÇÃO P/ESGOTO D=75mm (3")</t>
  </si>
  <si>
    <t>C2343</t>
  </si>
  <si>
    <t>TÊ PVC BRANCO C/INSPEÇÃO P/ESGOTO D=100mm (4")</t>
  </si>
  <si>
    <t>C2346</t>
  </si>
  <si>
    <t>TÊ PVC BRANCO C/INSPEÇÃO P/ESGOTO D=75mm (3")-JUNTAS C/ANEIS</t>
  </si>
  <si>
    <t>C2344</t>
  </si>
  <si>
    <t>TÊ PVC BRANCO C/INSPEÇÃO P/ESGOTO D=100mm (4")-JUNTAS C/ANÉIS</t>
  </si>
  <si>
    <t>C2350</t>
  </si>
  <si>
    <t>TÊ PVC BRANCO C/REDUÇÃO P/ESGOTO D=75X50mm (3"X2")</t>
  </si>
  <si>
    <t>C2347</t>
  </si>
  <si>
    <t>TÊ PVC BRANCO C/REDUÇÃO P/ESGOTO D=100X50mm (4"X2")</t>
  </si>
  <si>
    <t>C2348</t>
  </si>
  <si>
    <t>TÊ PVC BRANCO C/REDUÇÃO P/ESGOTO D=100X75mm (4"X3")</t>
  </si>
  <si>
    <t>C2349</t>
  </si>
  <si>
    <t>TÊ PVC BRANCO C/REDUÇÃO P/ESGOTO D=150X100mm (6"X4")</t>
  </si>
  <si>
    <t>C2360</t>
  </si>
  <si>
    <t>TÊ PVC BRANCO P/ESGOTO D=50mm (2") - JUNTA C/ANÉIS</t>
  </si>
  <si>
    <t>C2362</t>
  </si>
  <si>
    <t>TÊ PVC BRANCO P/ESGOTO D=75mm (3") - JUNTA C/ANÉIS</t>
  </si>
  <si>
    <t>C2355</t>
  </si>
  <si>
    <t>TÊ PVC BRANCO P/ESGOTO D=100mm (4") - JUNTA C/ANÉIS</t>
  </si>
  <si>
    <t>C2351</t>
  </si>
  <si>
    <t>TÊ PVC BRANCO P/ ESGOTO D=150mm (6") - JUNTA C/ANÉIS</t>
  </si>
  <si>
    <t>C2358</t>
  </si>
  <si>
    <t>TÊ PVC BRANCO P/ESGOTO D=40mm (1 1/2")-JUNTAS SOLD.</t>
  </si>
  <si>
    <t>C2359</t>
  </si>
  <si>
    <t>TÊ PVC BRANCO P/ESGOTO D=50MM (2')-JUNTAS SOLD.</t>
  </si>
  <si>
    <t>C2363</t>
  </si>
  <si>
    <t>TÊ PVC BRANCO P/ESGOTO D=75mm (3")-JUNTAS SOLD.</t>
  </si>
  <si>
    <t>C2356</t>
  </si>
  <si>
    <t>TÊ PVC BRANCO P/ESGOTO D=100mm (4")-JUNTAS SOLD.</t>
  </si>
  <si>
    <t>C2352</t>
  </si>
  <si>
    <t>TÊ PVC BRANCO P/ ESGOTO D=150mm (6") - JUNTAS SOLD.</t>
  </si>
  <si>
    <t>C2361</t>
  </si>
  <si>
    <t>TÊ PVC BRANCO P/ESGOTO D=75X50mm (3"X2")-JUNTAS C/ANÉIS</t>
  </si>
  <si>
    <t>C2353</t>
  </si>
  <si>
    <t>TÊ PVC BRANCO P/ESGOTO D=100X50mm (4"X2")-JUNTAS C/ANÉIS</t>
  </si>
  <si>
    <t>C2354</t>
  </si>
  <si>
    <t>TÊ PVC BRANCO P/ESGOTO D=100X75mm (4"X3")-JUNTAS C/ANÉIS</t>
  </si>
  <si>
    <t>C2357</t>
  </si>
  <si>
    <t>TÊ PVC BRANCO P/ESGOTO D=150X100mm (6"X4")-JUNTAS C/ANÉIS</t>
  </si>
  <si>
    <t>C2364</t>
  </si>
  <si>
    <t>TÊ PVC BRANCO ROSC. D=  1/2" (20mm)</t>
  </si>
  <si>
    <t>C2371</t>
  </si>
  <si>
    <t>TÊ PVC BRANCO ROSC. D=3/4' (25mm)</t>
  </si>
  <si>
    <t>C2366</t>
  </si>
  <si>
    <t>TÊ PVC BRANCO ROSC. D= 1" (32mm)</t>
  </si>
  <si>
    <t>C2365</t>
  </si>
  <si>
    <t>TÊ PVC BRANCO ROSC. D= 1 1/2" (50mm)</t>
  </si>
  <si>
    <t>C2368</t>
  </si>
  <si>
    <t>TÊ PVC BRANCO ROSC. D=1 1/4" (40mm)</t>
  </si>
  <si>
    <t>C2367</t>
  </si>
  <si>
    <t>TÊ PVC BRANCO ROSC. D= 2" (60mm)</t>
  </si>
  <si>
    <t>C2369</t>
  </si>
  <si>
    <t>TÊ PVC BRANCO ROSC. D=2 1/2" (75mm)</t>
  </si>
  <si>
    <t>C2370</t>
  </si>
  <si>
    <t>TÊ PVC BRANCO ROSC. D=3" (85mm)</t>
  </si>
  <si>
    <t>C2372</t>
  </si>
  <si>
    <t>TÊ PVC BRANCO ROSC. D=4" (110mm)</t>
  </si>
  <si>
    <t>C2373</t>
  </si>
  <si>
    <t>TÊ PVC CINZA C/INSPEÇÃO P/ESGOTO D=150mm (6")-JUNTAS C/ANÉIS</t>
  </si>
  <si>
    <t>C2375</t>
  </si>
  <si>
    <t>TÊ PVC CINZA C/INSPEÇÃO P/ESGOTO D=150mm (6")-JUNTAS SOLD.</t>
  </si>
  <si>
    <t>C2376</t>
  </si>
  <si>
    <t>TÊ PVC CINZA P/ESGOTO D=150MM (6')-JUNTAS C/ANÉIS</t>
  </si>
  <si>
    <t>C2377</t>
  </si>
  <si>
    <t>TÊ PVC CINZA P/ESGOTO D=150MM (6')-JUNTAS SOLD.</t>
  </si>
  <si>
    <t>C2378</t>
  </si>
  <si>
    <t>TÊ PVC SOLD./ROSCA AZUL D=20mmX20mmX1/2"</t>
  </si>
  <si>
    <t>C2379</t>
  </si>
  <si>
    <t>TÊ PVC SOLD./ROSCA AZUL D=25mmX25mmX3/4'</t>
  </si>
  <si>
    <t>C2380</t>
  </si>
  <si>
    <t>TÊ PVC SOLD. MARROM D= 20mm (1/2")</t>
  </si>
  <si>
    <t>C2381</t>
  </si>
  <si>
    <t>TÊ PVC SOLD. MARROM D= 25mm (3/4")</t>
  </si>
  <si>
    <t>C2382</t>
  </si>
  <si>
    <t>TÊ PVC SOLD. MARROM D= 32mm (1")</t>
  </si>
  <si>
    <t>C2383</t>
  </si>
  <si>
    <t>TÊ PVC SOLD. MARROM D= 40mm (1 1/4")</t>
  </si>
  <si>
    <t>C2384</t>
  </si>
  <si>
    <t>TÊ PVC SOLD. MARROM D= 50mm (1 1/2")</t>
  </si>
  <si>
    <t>C2385</t>
  </si>
  <si>
    <t>TÊ PVC SOLD. MARROM D= 60mm (2")</t>
  </si>
  <si>
    <t>C2386</t>
  </si>
  <si>
    <t>TÊ PVC SOLD. MARROM D= 75mm (2 1/2")</t>
  </si>
  <si>
    <t>C2387</t>
  </si>
  <si>
    <t>TÊ PVC SOLD. MARROM D= 85mm (3")</t>
  </si>
  <si>
    <t>C2388</t>
  </si>
  <si>
    <t>TÊ PVC SOLD. MARROM D=110mm (4")</t>
  </si>
  <si>
    <t>C2389</t>
  </si>
  <si>
    <t>TE PVC SOLD./ROSCA D=20mmX20mmX1/2"</t>
  </si>
  <si>
    <t>C2390</t>
  </si>
  <si>
    <t>TE PVC SOLD./ROSCA D=25mmX25mmX3/4"</t>
  </si>
  <si>
    <t>C2391</t>
  </si>
  <si>
    <t>TE PVC SOLD./ROSCA D=32mmX32mmX1"</t>
  </si>
  <si>
    <t>C2400</t>
  </si>
  <si>
    <t xml:space="preserve">TE REDUCAO PVC ROSCAVEL DE 3/4" X 1/2" PARA AGUA FRIA
</t>
  </si>
  <si>
    <t>C2399</t>
  </si>
  <si>
    <t xml:space="preserve">TE REDUCAO PVC ROSCAVEL DE 1" X 3/4" PARA AGUA FRIA
</t>
  </si>
  <si>
    <t>C2398</t>
  </si>
  <si>
    <t xml:space="preserve">TE REDUCAO PVC ROSCAVEL DE 1 1/2" X 3/4" PARA AGUA FRIA
</t>
  </si>
  <si>
    <t>C5126</t>
  </si>
  <si>
    <t xml:space="preserve">TE REDUCAO PVC ROSCAVEL DE 1 1/4" X 1" PARA AGUA FRIA
</t>
  </si>
  <si>
    <t>C5127</t>
  </si>
  <si>
    <t>TE REDUCAO PVC ROSCAVEL DE 1 1/2" X 1 1/4" PARA AGUA FRIA</t>
  </si>
  <si>
    <t>C2393</t>
  </si>
  <si>
    <t>TÊ REDUÇÃO PVC SOLD./ROSCA AZUL D=32mmX32mmX3/4"</t>
  </si>
  <si>
    <t>C2392</t>
  </si>
  <si>
    <t>TÊ REDUÇÃO PVC SOLD./ROSCA AZUL D=25mmX25mmX1/2"</t>
  </si>
  <si>
    <t>C2404</t>
  </si>
  <si>
    <t xml:space="preserve">TE REDUCAO PVC SOLDAVEL DE 25X20 MM PARA AGUA FRIA
</t>
  </si>
  <si>
    <t>C2405</t>
  </si>
  <si>
    <t xml:space="preserve">TE REDUCAO PVC SOLDAVEL DE 32X25 MM PARA AGUA FRIA
</t>
  </si>
  <si>
    <t>C2406</t>
  </si>
  <si>
    <t xml:space="preserve">TE REDUCAO PVC SOLDAVEL DE  40X32MM PARA AGUA FRIA
</t>
  </si>
  <si>
    <t>C2407</t>
  </si>
  <si>
    <t>TE REDUCAO PVC SOLDAVEL DE  50X20MM PARA ÁGUA FRIA</t>
  </si>
  <si>
    <t>C2408</t>
  </si>
  <si>
    <t>TE REDUCAO PVC SOLDAVEL DE  50X25MM PARA AGUA FRIA</t>
  </si>
  <si>
    <t>C2409</t>
  </si>
  <si>
    <t>TE REDUCAO PVC SOLDAVEL DE  50X32MM PARA AGUA FRIA</t>
  </si>
  <si>
    <t>C2410</t>
  </si>
  <si>
    <t xml:space="preserve">TE REDUCAO PVC SOLDAVEL DE  50X40MM PARA AGUA FRIA
</t>
  </si>
  <si>
    <t>C2411</t>
  </si>
  <si>
    <t>TE REDUCAO PVC SOLDAVEL DE  75X50MM PARA AGUA FRIA</t>
  </si>
  <si>
    <t>C2412</t>
  </si>
  <si>
    <t xml:space="preserve">TE REDUCAO PVC ROSCAVEL DE 2 1/2" X 2" PARA AGUA FRIA
</t>
  </si>
  <si>
    <t>C2413</t>
  </si>
  <si>
    <t>TE REDUCAO PVC SOLDAVEL DE  85X60MM PARA AGUA FRIA</t>
  </si>
  <si>
    <t>C2414</t>
  </si>
  <si>
    <t xml:space="preserve">TE REDUCAO PVC ROSCAVEL DE 3" X 2 1/2" PARA AGUA FRIA
</t>
  </si>
  <si>
    <t>C2401</t>
  </si>
  <si>
    <t>TE REDUCAO PVC SOLDAVEL DE 110X60MM PARA AGUA FRIA</t>
  </si>
  <si>
    <t>C2402</t>
  </si>
  <si>
    <t>TE REDUCAO PVC SOLDAVEL DE 110X75MM PARA AGUA FRIA</t>
  </si>
  <si>
    <t>C2403</t>
  </si>
  <si>
    <t>TE REDUCAO PVC SOLDAVEL DE 110X85MM PARA AGUA FRIA</t>
  </si>
  <si>
    <t>C2341</t>
  </si>
  <si>
    <t>TÊ REDUÇÃO PVC SOLD./ROSCA. D=25mmX25mmX1/2"</t>
  </si>
  <si>
    <t>C2342</t>
  </si>
  <si>
    <t>TÊ REDUÇÃO PVC SOLD./ROSCA. D=32mmX32mmX3/4"</t>
  </si>
  <si>
    <t>C4822</t>
  </si>
  <si>
    <t>TERMINAL DE VENTILAÇÃO PVC 50MM</t>
  </si>
  <si>
    <t>C4823</t>
  </si>
  <si>
    <t>TERMINAL DE VENTILACAO PVC 75 MM</t>
  </si>
  <si>
    <t>C4824</t>
  </si>
  <si>
    <t xml:space="preserve">TERMINAL DE VENTILAÇÃO PVC 100MM
</t>
  </si>
  <si>
    <t>C2595</t>
  </si>
  <si>
    <t>TUBO PVC BRANCO P/ESGOTO D=40mm (1 1/2")</t>
  </si>
  <si>
    <t>C2596</t>
  </si>
  <si>
    <t>TUBO PVC BRANCO P/ESGOTO D=50mm (2")</t>
  </si>
  <si>
    <t>C2598</t>
  </si>
  <si>
    <t>TUBO PVC BRANCO P/ESGOTO D=75mm (3")</t>
  </si>
  <si>
    <t>C2593</t>
  </si>
  <si>
    <t>TUBO PVC BRANCO P/ESGOTO D=100MM (4')</t>
  </si>
  <si>
    <t>C2597</t>
  </si>
  <si>
    <t>TUBO PVC BRANCO P/ESGOTO D=50mm (2") - JUNTA C/ANÉIS</t>
  </si>
  <si>
    <t>C2599</t>
  </si>
  <si>
    <t>TUBO PVC BRANCO P/ESGOTO D=75mm (3") - JUNTA C/ANÉIS</t>
  </si>
  <si>
    <t>C2594</t>
  </si>
  <si>
    <t>TUBO PVC BRANCO P/ESGOTO D=100mm (4") - JUNTA C/ANÉIS</t>
  </si>
  <si>
    <t>C2600</t>
  </si>
  <si>
    <t>TUBO PVC BRANCO RÍGIDO ESGOTO D=150mm (6")</t>
  </si>
  <si>
    <t>C2601</t>
  </si>
  <si>
    <t>TUBO PVC BRANCO RÍGIDO ESGOTO D=200mm (8")</t>
  </si>
  <si>
    <t>C2602</t>
  </si>
  <si>
    <t>TUBO PVC BRANCO RÍGIDO ESGOTO D=250mm (10")</t>
  </si>
  <si>
    <t>C2603</t>
  </si>
  <si>
    <t>TUBO PVC BRANCO RÍGIDO ESGOTO D=300mm (12")</t>
  </si>
  <si>
    <t>C2613</t>
  </si>
  <si>
    <t>TUBO PVC CINZA RÍGIDO ESGOTO D=150mm (6") JUNTA C/ANÉIS</t>
  </si>
  <si>
    <t>C2614</t>
  </si>
  <si>
    <t>TUBO PVC CINZA RÍGIDO ESGOTO D=150mm (6") JUNTA SOLD.</t>
  </si>
  <si>
    <t>C2607</t>
  </si>
  <si>
    <t>TUBO PVC ROSC. BRANCO D= 1/2" (20mm)</t>
  </si>
  <si>
    <t>C2611</t>
  </si>
  <si>
    <t>TUBO PVC ROSC. BRANCO D= 3/4" (25mm)</t>
  </si>
  <si>
    <t>C2606</t>
  </si>
  <si>
    <t>TUBO PVC ROSC. BRANCO D= 1" (32mm)</t>
  </si>
  <si>
    <t>C2605</t>
  </si>
  <si>
    <t>TUBO PVC ROSC. BRANCO D= 1 1/4" (40mm)</t>
  </si>
  <si>
    <t>C2604</t>
  </si>
  <si>
    <t>TUBO PVC ROSC. BRANCO D= 1 1/2" (50mm)</t>
  </si>
  <si>
    <t>C2609</t>
  </si>
  <si>
    <t>TUBO PVC ROSC. BRANCO D= 2" (60mm)</t>
  </si>
  <si>
    <t>C2608</t>
  </si>
  <si>
    <t>TUBO PVC ROSC. BRANCO D= 2 1/2" (75mm)</t>
  </si>
  <si>
    <t>C2610</t>
  </si>
  <si>
    <t>TUBO PVC ROSC. BRANCO D= 3" (85mm)</t>
  </si>
  <si>
    <t>C2612</t>
  </si>
  <si>
    <t>TUBO PVC ROSC. BRANCO D= 4"(110mm)</t>
  </si>
  <si>
    <t>C4760</t>
  </si>
  <si>
    <t xml:space="preserve">TUBO PVC SÉRIE REFORÇADA P/ ESGOTO D=100MM (4") - INCLUSIVE CONEXÕES                                     
</t>
  </si>
  <si>
    <t>C4763</t>
  </si>
  <si>
    <t xml:space="preserve">TUBO PVC SÉRIE REFORÇADA P/ ESGOTO D=150MM (6") JUNTA COM ANEL                                
</t>
  </si>
  <si>
    <t>C2615</t>
  </si>
  <si>
    <t>TUBO PVC SOLD. MARROM D= 20mm (1/2")</t>
  </si>
  <si>
    <t>C2616</t>
  </si>
  <si>
    <t>TUBO PVC SOLD. MARROM D= 25mm (3/4")</t>
  </si>
  <si>
    <t>C2617</t>
  </si>
  <si>
    <t>TUBO PVC SOLD. MARROM D= 32mm (1")</t>
  </si>
  <si>
    <t>C2618</t>
  </si>
  <si>
    <t>TUBO PVC SOLD. MARROM D= 40mm (1 1/4")</t>
  </si>
  <si>
    <t>C2619</t>
  </si>
  <si>
    <t>TUBO PVC SOLD. MARROM D= 50mm (1 1/2")</t>
  </si>
  <si>
    <t>C2620</t>
  </si>
  <si>
    <t>TUBO PVC SOLD. MARROM D= 60mm (2")</t>
  </si>
  <si>
    <t>C2621</t>
  </si>
  <si>
    <t>TUBO PVC SOLD. MARROM D= 75mm (2 1/2")</t>
  </si>
  <si>
    <t>C2622</t>
  </si>
  <si>
    <t>TUBO PVC SOLD. MARROM D= 85mm (3")</t>
  </si>
  <si>
    <t>C2623</t>
  </si>
  <si>
    <t>TUBO PVC SOLD. MARROM D=110mm (4")</t>
  </si>
  <si>
    <t>C2624</t>
  </si>
  <si>
    <t>TUBO PVC SOLD. MARROM INCL.CONEXÕES D= 20mm (1/2")</t>
  </si>
  <si>
    <t>C2625</t>
  </si>
  <si>
    <t>TUBO PVC SOLD. MARROM INCL.CONEXÕES D= 25mm(3/4")</t>
  </si>
  <si>
    <t>C2626</t>
  </si>
  <si>
    <t>TUBO PVC SOLD. MARROM INCL.CONEXÕES D= 32mm(1")</t>
  </si>
  <si>
    <t>C2627</t>
  </si>
  <si>
    <t>TUBO PVC SOLD. MARROM INCL.CONEXÕES D= 40mm (1 1/4")</t>
  </si>
  <si>
    <t>C2628</t>
  </si>
  <si>
    <t>TUBO PVC SOLD. MARROM INCL.CONEXÕES D= 50mm (1 1/2")</t>
  </si>
  <si>
    <t>C2629</t>
  </si>
  <si>
    <t>TUBO PVC SOLD. MARROM INCL.CONEXÕES D= 60mm (2")</t>
  </si>
  <si>
    <t>C2631</t>
  </si>
  <si>
    <t>TUBO PVC SOLD. MARROM INCL.CONEXÕES D=75mm (2 1/2")</t>
  </si>
  <si>
    <t>C2632</t>
  </si>
  <si>
    <t>TUBO PVC SOLD. MARROM INCL.CONEXÕES D=85MM(3')</t>
  </si>
  <si>
    <t>C2630</t>
  </si>
  <si>
    <t>TUBO PVC SOLD. MARROM INCL.CONEXÕES D=110mm(4')</t>
  </si>
  <si>
    <t>C2648</t>
  </si>
  <si>
    <t>UNIÃO PVC BRANCO ROSC. D=1/2" (20mm)</t>
  </si>
  <si>
    <t>C2652</t>
  </si>
  <si>
    <t>UNIÃO PVC BRANCO ROSC. D=3/4" (25mm)</t>
  </si>
  <si>
    <t>C2647</t>
  </si>
  <si>
    <t>UNIÃO PVC BRANCO ROSC. D=1" (32mm)</t>
  </si>
  <si>
    <t>C2646</t>
  </si>
  <si>
    <t>UNIÃO PVC BRANCO ROSC. D=1 1/4" (40mm)</t>
  </si>
  <si>
    <t>C2645</t>
  </si>
  <si>
    <t>UNIÃO PVC BRANCO ROSC. D=1 1/2" (50mm)</t>
  </si>
  <si>
    <t>C2650</t>
  </si>
  <si>
    <t>UNIÃO PVC BRANCO ROSC. D=2" (60mm)</t>
  </si>
  <si>
    <t>C2651</t>
  </si>
  <si>
    <t>UNIÃO PVC BRANCO ROSC. D=3" (85mm)</t>
  </si>
  <si>
    <t>C2649</t>
  </si>
  <si>
    <t>UNIÃO PVC BRANCO ROSC. D=2 1/2" (75mm)</t>
  </si>
  <si>
    <t>C2653</t>
  </si>
  <si>
    <t>UNIÃO PVC BRANCO ROSC. D=4" (110mm)</t>
  </si>
  <si>
    <t>C2654</t>
  </si>
  <si>
    <t>UNIÃO PVC SOLD. MARROM D= 20mm (1/2")</t>
  </si>
  <si>
    <t>C2655</t>
  </si>
  <si>
    <t>UNIÃO PVC SOLD. MARROM D= 25mm (3/4")</t>
  </si>
  <si>
    <t>C2656</t>
  </si>
  <si>
    <t>UNIÃO PVC SOLD. MARROM D= 32mm (1")</t>
  </si>
  <si>
    <t>C2657</t>
  </si>
  <si>
    <t>UNIÃO PVC SOLD. MARROM D= 40mm (1 1/4")</t>
  </si>
  <si>
    <t>C2658</t>
  </si>
  <si>
    <t>UNIÃO PVC SOLD. MARROM D= 50mm (1 1/2")</t>
  </si>
  <si>
    <t>C2659</t>
  </si>
  <si>
    <t>UNIÃO PVC SOLD. MARROM D= 60mm (2")</t>
  </si>
  <si>
    <t>C2660</t>
  </si>
  <si>
    <t>UNIÃO PVC SOLD. MARROM D= 75mm (2 1/2")</t>
  </si>
  <si>
    <t>C2661</t>
  </si>
  <si>
    <t>UNIÃO PVC SOLD. MARROM D= 85mm (3")</t>
  </si>
  <si>
    <t>C2662</t>
  </si>
  <si>
    <t>UNIÃO PVC SOLD. MARROM D=110mm (4")</t>
  </si>
  <si>
    <t>TUBOS E CONEXÕES DE PRFV</t>
  </si>
  <si>
    <t>C4188</t>
  </si>
  <si>
    <t>ASSENTAMENTO DE TUBO, PEÇAS E CONEXÕES EM PRFV, JE DN 300mm</t>
  </si>
  <si>
    <t>C4189</t>
  </si>
  <si>
    <t>ASSENTAMENTO DE TUBO, PEÇAS E CONEXÕES EM PRFV, JE DN 350mm</t>
  </si>
  <si>
    <t>C4190</t>
  </si>
  <si>
    <t>ASSENTAMENTO DE TUBO, PEÇAS E CONEXÕES EM PRFV, JE DN 400mm</t>
  </si>
  <si>
    <t>C4191</t>
  </si>
  <si>
    <t>ASSENTAMENTO DE TUBO, PEÇAS E CONEXÕES EM PRFV, JE DN 450mm</t>
  </si>
  <si>
    <t>C4192</t>
  </si>
  <si>
    <t>ASSENTAMENTO DE TUBO, PEÇAS E CONEXÕES EM PRFV, JE DN 500mm</t>
  </si>
  <si>
    <t>C4193</t>
  </si>
  <si>
    <t>ASSENTAMENTO DE TUBO, PEÇAS E CONEXÕES EM PRFV, JE DN 600mm</t>
  </si>
  <si>
    <t>C4194</t>
  </si>
  <si>
    <t>ASSENTAMENTO DE TUBO, PEÇAS E CONEXÕES EM PRFV, JE DN 700mm</t>
  </si>
  <si>
    <t>C4195</t>
  </si>
  <si>
    <t>ASSENTAMENTO DE TUBO, PEÇAS E CONEXÕES EM PRFV, JE DN 800mm</t>
  </si>
  <si>
    <t>C4196</t>
  </si>
  <si>
    <t>ASSENTAMENTO DE TUBO, PEÇAS E CONEXÕES EM PRFV, JE DN 900mm</t>
  </si>
  <si>
    <t>C4197</t>
  </si>
  <si>
    <t>ASSENTAMENTO DE TUBO, PEÇAS E CONEXÕES EM PRFV, JE DN 1000mm</t>
  </si>
  <si>
    <t>C4198</t>
  </si>
  <si>
    <t>ASSENTAMENTO DE TUBO, PEÇAS E CONEXÕES EM PRFV, JE DN 1200mm</t>
  </si>
  <si>
    <t>TUBOS E CONEXÕES DE CERÂMICA</t>
  </si>
  <si>
    <t>C0235</t>
  </si>
  <si>
    <t>ASSENTAMENTO DE TUBOS E CONEXÕES CERÂMICOS, J.ARG. D= 100mm</t>
  </si>
  <si>
    <t>C0239</t>
  </si>
  <si>
    <t>ASSENTAMENTO DE TUBOS E CONEXÕES CERÂMICOS, J.ARG. D=150mm</t>
  </si>
  <si>
    <t>C0236</t>
  </si>
  <si>
    <t>ASSENTAMENTO DE TUBOS E CONEXÕES CERÂMICOS, J.ARG. D= 200mm</t>
  </si>
  <si>
    <t>C0237</t>
  </si>
  <si>
    <t>ASSENTAMENTO DE TUBOS E CONEXÕES CERÂMICOS, J.ARG. D= 250mm</t>
  </si>
  <si>
    <t>C0238</t>
  </si>
  <si>
    <t>ASSENTAMENTO DE TUBOS E CONEXÕES CERÂMICOS, J.ARG. D= 300mm</t>
  </si>
  <si>
    <t>C0240</t>
  </si>
  <si>
    <t>ASSENTAMENTO DE TUBOS E CONEXÕES CERÂMICOS, J.ASF. D= 100mm</t>
  </si>
  <si>
    <t>C0241</t>
  </si>
  <si>
    <t>ASSENTAMENTO DE TUBOS E CONEXÕES CERÂMICOS, J.ASF. D= 150mm</t>
  </si>
  <si>
    <t>C0242</t>
  </si>
  <si>
    <t>ASSENTAMENTO DE TUBOS E CONEXÕES CERÂMICOS, J.ASF. D= 200mm</t>
  </si>
  <si>
    <t>C0243</t>
  </si>
  <si>
    <t>ASSENTAMENTO DE TUBOS E CONEXÕES CERÂMICOS, J.ASF. D= 250mm</t>
  </si>
  <si>
    <t>C0244</t>
  </si>
  <si>
    <t>ASSENTAMENTO DE TUBOS E CONEXÕES CERÂMICOS, J.ASF. D= 300mm</t>
  </si>
  <si>
    <t>C0245</t>
  </si>
  <si>
    <t>ASSENTAMENTO DE TUBOS E CONEXÕES CERÂMICOS, J.ASF. D= 350mm</t>
  </si>
  <si>
    <t>C0246</t>
  </si>
  <si>
    <t>ASSENTAMENTO DE TUBOS E CONEXÕES CERÂMICOS, J.ASF. D= 400mm</t>
  </si>
  <si>
    <t>TUBOS E CONEXÕES DE CONCRETO</t>
  </si>
  <si>
    <t>C0305</t>
  </si>
  <si>
    <t>ASSENTAMENTO DE TUBOS EM CONCRETO,JUNTA ARGAMASSADA, D=150mm</t>
  </si>
  <si>
    <t>C0306</t>
  </si>
  <si>
    <t>ASSENTAMENTO DE TUBOS EM CONCRETO,JUNTA ARGAMASSADA, D=200mm</t>
  </si>
  <si>
    <t>C0298</t>
  </si>
  <si>
    <t>ASSENTAMENTO DE TUBOS EM CONCRETO, JE D= 300mm</t>
  </si>
  <si>
    <t>C0299</t>
  </si>
  <si>
    <t>ASSENTAMENTO DE TUBOS EM CONCRETO, JE D= 400mm</t>
  </si>
  <si>
    <t>C0300</t>
  </si>
  <si>
    <t>ASSENTAMENTO DE TUBOS EM CONCRETO, JE D=500mm</t>
  </si>
  <si>
    <t>C0301</t>
  </si>
  <si>
    <t>ASSENTAMENTO DE TUBOS EM CONCRETO, JE D=600mm</t>
  </si>
  <si>
    <t>C0302</t>
  </si>
  <si>
    <t>ASSENTAMENTO DE TUBOS EM CONCRETO, JE D= 700mm</t>
  </si>
  <si>
    <t>C0303</t>
  </si>
  <si>
    <t>ASSENTAMENTO DE TUBOS EM CONCRETO, JE D= 800mm</t>
  </si>
  <si>
    <t>C0304</t>
  </si>
  <si>
    <t>ASSENTAMENTO DE TUBOS EM CONCRETO, JE D= 900mm</t>
  </si>
  <si>
    <t>C0293</t>
  </si>
  <si>
    <t>ASSENTAMENTO DE TUBOS EM CONCRETO, JE D= 1000mm</t>
  </si>
  <si>
    <t>C0294</t>
  </si>
  <si>
    <t>ASSENTAMENTO DE TUBOS EM CONCRETO, JE D= 1200mm</t>
  </si>
  <si>
    <t>C0295</t>
  </si>
  <si>
    <t>ASSENTAMENTO DE TUBOS EM CONCRETO, JE D=1500mm</t>
  </si>
  <si>
    <t>C0296</t>
  </si>
  <si>
    <t>ASSENTAMENTO DE TUBOS EM CONCRETO, JE D= 1750mm</t>
  </si>
  <si>
    <t>C0297</t>
  </si>
  <si>
    <t>ASSENTAMENTO DE TUBOS EM CONCRETO, JE D=2000mm</t>
  </si>
  <si>
    <t>TUBOS E CONEXÕES DE COBRE</t>
  </si>
  <si>
    <t>C1007</t>
  </si>
  <si>
    <t>CURVA COBRE OU BRONZE D= 15mm (1/2")</t>
  </si>
  <si>
    <t>C1008</t>
  </si>
  <si>
    <t>CURVA COBRE OU BRONZE D= 22mm (3/4")</t>
  </si>
  <si>
    <t>C1009</t>
  </si>
  <si>
    <t>CURVA COBRE OU BRONZE D= 28mm (1")</t>
  </si>
  <si>
    <t>C1010</t>
  </si>
  <si>
    <t>CURVA COBRE OU BRONZE D= 35mm (1 1/4")</t>
  </si>
  <si>
    <t>C1011</t>
  </si>
  <si>
    <t>CURVA COBRE OU BRONZE D= 42mm (1 1/2")</t>
  </si>
  <si>
    <t>C1012</t>
  </si>
  <si>
    <t>CURVA COBRE OU BRONZE D= 54mm (2")</t>
  </si>
  <si>
    <t>C1013</t>
  </si>
  <si>
    <t>CURVA COBRE OU BRONZE D= 66mm (2 1/2")</t>
  </si>
  <si>
    <t>C1014</t>
  </si>
  <si>
    <t>CURVA COBRE OU BRONZE D= 79mm (3")</t>
  </si>
  <si>
    <t>C1015</t>
  </si>
  <si>
    <t>CURVA COBRE OU BRONZE D=104mm (4")</t>
  </si>
  <si>
    <t>C2332</t>
  </si>
  <si>
    <t>TÊ COBRE OU BRONZE D= 15mm (1/2")</t>
  </si>
  <si>
    <t>C2333</t>
  </si>
  <si>
    <t>TÊ COBRE OU BRONZE D= 22mm (3/4")</t>
  </si>
  <si>
    <t>C2334</t>
  </si>
  <si>
    <t>TÊ COBRE OU BRONZE D= 28mm (1")</t>
  </si>
  <si>
    <t>C2335</t>
  </si>
  <si>
    <t>TÊ COBRE OU BRONZE D= 35mm (1 1/4")</t>
  </si>
  <si>
    <t>C2336</t>
  </si>
  <si>
    <t>TÊ COBRE OU BRONZE D= 42mm (1 1/2")</t>
  </si>
  <si>
    <t>C2337</t>
  </si>
  <si>
    <t>TÊ COBRE OU BRONZE D= 54mm (2")</t>
  </si>
  <si>
    <t>C2338</t>
  </si>
  <si>
    <t>TÊ COBRE OU BRONZE D= 66mm (2 1/2")</t>
  </si>
  <si>
    <t>C2339</t>
  </si>
  <si>
    <t>TÊ COBRE OU BRONZE D= 79mm (3")</t>
  </si>
  <si>
    <t>C2340</t>
  </si>
  <si>
    <t>TÊ COBRE OU BRONZE D=104mm (4")</t>
  </si>
  <si>
    <t>C2565</t>
  </si>
  <si>
    <t>TUBO COBRE D= 15mm(1/2") CLASSE E</t>
  </si>
  <si>
    <t>C2566</t>
  </si>
  <si>
    <t>TUBO COBRE D= 22mm (3/4") CLASSE E</t>
  </si>
  <si>
    <t>C2567</t>
  </si>
  <si>
    <t>TUBO COBRE D= 28mm (1") CLASSE E</t>
  </si>
  <si>
    <t>C2568</t>
  </si>
  <si>
    <t>TUBO COBRE D= 35mm (1 1/4") CLASSE E</t>
  </si>
  <si>
    <t>C2569</t>
  </si>
  <si>
    <t>TUBO COBRE D= 42mm (1 1/2") CLASSE E</t>
  </si>
  <si>
    <t>C2570</t>
  </si>
  <si>
    <t>TUBO COBRE D= 54mm (2") CLASSE E</t>
  </si>
  <si>
    <t>C2571</t>
  </si>
  <si>
    <t>TUBO COBRE D= 66mm (2 1/2") CLASSE E</t>
  </si>
  <si>
    <t>C2572</t>
  </si>
  <si>
    <t>TUBO COBRE D= 79mm (3") CLASSE E</t>
  </si>
  <si>
    <t>C2573</t>
  </si>
  <si>
    <t>TUBO COBRE D=104mm (4") CLASSE E</t>
  </si>
  <si>
    <t>C2574</t>
  </si>
  <si>
    <t>TUBO COBRE INCLUSIVE CONEXÕES D= 15mm (1/2") CLASSE E</t>
  </si>
  <si>
    <t>C2575</t>
  </si>
  <si>
    <t>TUBO COBRE INCLUSIVE CONEXÕES D= 22mm (3/4") CLASSE E</t>
  </si>
  <si>
    <t>C2576</t>
  </si>
  <si>
    <t>TUBO COBRE INCLUSIVE CONEXÕES D= 28mm (1") CLASSE E</t>
  </si>
  <si>
    <t>C2577</t>
  </si>
  <si>
    <t>TUBO COBRE INCLUSIVE CONEXÕES D= 35mm (1 1/4") CLASSE E</t>
  </si>
  <si>
    <t>C2578</t>
  </si>
  <si>
    <t>TUBO COBRE INCLUSIVE CONEXÕES D= 42mm (1 1/2") CLASSE E</t>
  </si>
  <si>
    <t>C2579</t>
  </si>
  <si>
    <t>TUBO COBRE INCLUSIVE CONEXÕES D= 54mm (2") CLASSE E</t>
  </si>
  <si>
    <t>C2580</t>
  </si>
  <si>
    <t>TUBO COBRE INCLUSIVE CONEXÕES D= 66mm (2 1/2") CLASSE E</t>
  </si>
  <si>
    <t>C2581</t>
  </si>
  <si>
    <t>TUBO COBRE INCLUSIVE CONEXÕES D= 79mm (3") CLASSE E</t>
  </si>
  <si>
    <t>C2582</t>
  </si>
  <si>
    <t>TUBO COBRE INCLUSIVE CONEXÕES D=104mm (4") CLASSE E</t>
  </si>
  <si>
    <t>REGISTROS E VÁLVULAS</t>
  </si>
  <si>
    <t>C3599</t>
  </si>
  <si>
    <t>MUTIRÃO MISTO - REGISTRO DE GAVETA BRUTO D=20mm (3/4")</t>
  </si>
  <si>
    <t>C3600</t>
  </si>
  <si>
    <t>MUTIRÃO MISTO - REGISTRO DE PRESSÃO D=20mm (3/4")</t>
  </si>
  <si>
    <t>C2156</t>
  </si>
  <si>
    <t>REGISTRO DE GAVETA BRUTO D= 15mm (1/2")</t>
  </si>
  <si>
    <t>C2157</t>
  </si>
  <si>
    <t>REGISTRO DE GAVETA BRUTO D= 20mm (3/4")</t>
  </si>
  <si>
    <t>C2158</t>
  </si>
  <si>
    <t>REGISTRO DE GAVETA BRUTO D= 25mm (1")</t>
  </si>
  <si>
    <t>C2159</t>
  </si>
  <si>
    <t>REGISTRO DE GAVETA BRUTO D= 32mm (1 1/4")</t>
  </si>
  <si>
    <t>C2160</t>
  </si>
  <si>
    <t>REGISTRO DE GAVETA BRUTO D= 40mm (1 1/2")</t>
  </si>
  <si>
    <t>C2161</t>
  </si>
  <si>
    <t>REGISTRO DE GAVETA BRUTO D= 50mm (2")</t>
  </si>
  <si>
    <t>C2162</t>
  </si>
  <si>
    <t>REGISTRO DE GAVETA BRUTO D= 65mm (2 1/2")</t>
  </si>
  <si>
    <t>C2163</t>
  </si>
  <si>
    <t>REGISTRO DE GAVETA BRUTO D= 80mm (3")</t>
  </si>
  <si>
    <t>C2164</t>
  </si>
  <si>
    <t>REGISTRO DE GAVETA BRUTO D=100mm (4")</t>
  </si>
  <si>
    <t>C2165</t>
  </si>
  <si>
    <t>REGISTRO DE GAVETA C/CANOPLA CROMADA D= 15mm (1/2")</t>
  </si>
  <si>
    <t>C2166</t>
  </si>
  <si>
    <t>REGISTRO DE GAVETA C/CANOPLA CROMADA D= 20mm (3/4")</t>
  </si>
  <si>
    <t>C2167</t>
  </si>
  <si>
    <t>REGISTRO DE GAVETA C/CANOPLA CROMADA D= 25mm (1")</t>
  </si>
  <si>
    <t>C2168</t>
  </si>
  <si>
    <t>REGISTRO DE GAVETA C/CANOPLA CROMADA D= 32mm (1 1/4")</t>
  </si>
  <si>
    <t>C2169</t>
  </si>
  <si>
    <t>REGISTRO DE GAVETA C/CANOPLA CROMADA D= 40mm (1 1/2")</t>
  </si>
  <si>
    <t>C2171</t>
  </si>
  <si>
    <t>REGISTRO DE PRESSÃO C/CANOPLA CROMADA D= 15mm (1/2")</t>
  </si>
  <si>
    <t>C2172</t>
  </si>
  <si>
    <t>REGISTRO DE PRESSÃO C/CANOPLA CROMADA D= 20mm (3/4")</t>
  </si>
  <si>
    <t>C2170</t>
  </si>
  <si>
    <t>REGISTRO DE PRESSAO C/CANOPLA CROMADA D=25MM (1")</t>
  </si>
  <si>
    <t>C3601</t>
  </si>
  <si>
    <t>REGISTRO DE PRESSÃO D=20mm (3/4") - PADRÃO POPULAR</t>
  </si>
  <si>
    <t>C2173</t>
  </si>
  <si>
    <t>REGISTRO DE RECALQUE NO PASSEIO D= 65mm (2 1/2")</t>
  </si>
  <si>
    <t>C2177</t>
  </si>
  <si>
    <t>REGISTRO GLOBO /FECHO RÁPIDO DE 3/4"</t>
  </si>
  <si>
    <t>C2176</t>
  </si>
  <si>
    <t>REGISTRO GLOBO /FECHO RÁPIDO DE 1"</t>
  </si>
  <si>
    <t>C2175</t>
  </si>
  <si>
    <t>REGISTRO GLOBO /FECHO RÁPIDO DE 1 1/4"</t>
  </si>
  <si>
    <t>C2178</t>
  </si>
  <si>
    <t>REGISTRO GLOBO/FECHO RÁPIDO DE 1 1/2"</t>
  </si>
  <si>
    <t>C2174</t>
  </si>
  <si>
    <t>REGISTRO GLOBO / FECHO RÁPIDO DE 2"</t>
  </si>
  <si>
    <t>C4403</t>
  </si>
  <si>
    <t>REGISTRO GLOBO / FECHO RÁPIDO DE 2 1/2"</t>
  </si>
  <si>
    <t>C3695</t>
  </si>
  <si>
    <t>REGISTRO GLOBO EM BRONZE ROSC. DE 3/4"</t>
  </si>
  <si>
    <t>C3714</t>
  </si>
  <si>
    <t>REGISTRO GLOBO EM BRONZE ROSC. DE 1"</t>
  </si>
  <si>
    <t>C2684</t>
  </si>
  <si>
    <t>VÁLVULA DE DESCARGA CROMADA C/CANOPLA LISA DE 32 OU 40mm</t>
  </si>
  <si>
    <t>C2685</t>
  </si>
  <si>
    <t>VÁLVULA DE DESCARGA CROMADA C/REGISTRO ACOPLADO DE 32 OU 40mm</t>
  </si>
  <si>
    <t>C2686</t>
  </si>
  <si>
    <t>VÁLVULA DE DESCARGA PVC RÍGIDO S/REGISTRO .ACOPLADO. D=50mm (1 1/2")</t>
  </si>
  <si>
    <t>C2687</t>
  </si>
  <si>
    <t>VÁLVULA DE FLUXO EM AÇO GALVANIZADO DE  (2 1/2")</t>
  </si>
  <si>
    <t>C2688</t>
  </si>
  <si>
    <t>VÁLVULA DE RETENÇÃO DE PÉ C/CRIVO D= 15mm (1/2")</t>
  </si>
  <si>
    <t>C2689</t>
  </si>
  <si>
    <t>VÁLVULA DE RETENÇÃO DE PÉ C/CRIVO D= 20mm (3/4")</t>
  </si>
  <si>
    <t>C2690</t>
  </si>
  <si>
    <t>VÁLVULA DE RETENÇÃO DE PÉ C/CRIVO D= 25mm (1")</t>
  </si>
  <si>
    <t>C2691</t>
  </si>
  <si>
    <t>VÁLVULA DE RETENÇÃO DE PÉ C/CRIVO D= 32mm (1 1/4")</t>
  </si>
  <si>
    <t>C2692</t>
  </si>
  <si>
    <t>VÁLVULA DE RETENÇÃO DE PÉ C/CRIVO D= 40mm (1 1/2")</t>
  </si>
  <si>
    <t>C2693</t>
  </si>
  <si>
    <t>VÁLVULA DE RETENÇÃO DE PÉ C/CRIVO D= 50mm (2")</t>
  </si>
  <si>
    <t>C2694</t>
  </si>
  <si>
    <t>VÁLVULA DE RETENÇÃO DE PÉ C/CRIVO D= 65mm (2 1/2")</t>
  </si>
  <si>
    <t>C2695</t>
  </si>
  <si>
    <t>VÁLVULA DE RETENÇÃO DE PÉ C/CRIVO D= 80mm (3")</t>
  </si>
  <si>
    <t>C2696</t>
  </si>
  <si>
    <t>VÁLVULA DE RETENÇÃO DE PÉ C/CRIVO D=100mm (4")</t>
  </si>
  <si>
    <t>C4775</t>
  </si>
  <si>
    <t>VÁLVULA DE RETENÇÃO DE PVC P/ ESGOTO D=150MM</t>
  </si>
  <si>
    <t>C2707</t>
  </si>
  <si>
    <t>VÁLVULA DE RETENÇÃO HORIZONTAL D= 15mm (1/2")</t>
  </si>
  <si>
    <t>C2708</t>
  </si>
  <si>
    <t>VÁLVULA DE RETENÇÃO HORIZONTAL D= 20mm (3/4")</t>
  </si>
  <si>
    <t>C2709</t>
  </si>
  <si>
    <t>VÁLVULA DE RETENÇÃO HORIZONTAL D= 25mm (1")</t>
  </si>
  <si>
    <t>C2710</t>
  </si>
  <si>
    <t>VÁLVULA DE RETENÇÃO HORIZONTAL D= 32mm (1 1/4")</t>
  </si>
  <si>
    <t>C2711</t>
  </si>
  <si>
    <t>VÁLVULA DE RETENÇÃO HORIZONTAL D= 40mm (1 1/2")</t>
  </si>
  <si>
    <t>C2712</t>
  </si>
  <si>
    <t>VÁLVULA DE RETENÇÃO HORIZONTAL D= 50mm (2")</t>
  </si>
  <si>
    <t>C2713</t>
  </si>
  <si>
    <t>VÁLVULA DE RETENÇÃO HORIZONTAL D= 65mm (2 1/2")</t>
  </si>
  <si>
    <t>C2714</t>
  </si>
  <si>
    <t>VÁLVULA DE RETENÇÃO HORIZONTAL D= 80mm (3")</t>
  </si>
  <si>
    <t>C2706</t>
  </si>
  <si>
    <t>VÁLVULA DE RETENÇÃO HORIZONTAL D= 100mm (4")</t>
  </si>
  <si>
    <t>C2697</t>
  </si>
  <si>
    <t>VÁLVULA DE RETENÇÃO HORIZ.OU VERT. D= 15mm (1/2")</t>
  </si>
  <si>
    <t>C2698</t>
  </si>
  <si>
    <t>VÁLVULA DE RETENÇÃO HORIZ.OU VERT. D= 20mm (3/4")</t>
  </si>
  <si>
    <t>C2699</t>
  </si>
  <si>
    <t>VÁLVULA DE RETENÇÃO HORIZ.OU VERT. D= 25mm (1")</t>
  </si>
  <si>
    <t>C2700</t>
  </si>
  <si>
    <t>VÁLVULA DE RETENÇÃO HORIZ.OU VERT. D= 32mm (1 1/4")</t>
  </si>
  <si>
    <t>C2701</t>
  </si>
  <si>
    <t>VÁLVULA DE RETENÇÃO HORIZ.OU VERT. D= 40mm (1 1/2")</t>
  </si>
  <si>
    <t>C2702</t>
  </si>
  <si>
    <t>VÁLVULA DE RETENÇÃO HORIZ.OU VERT. D= 50mm (2")</t>
  </si>
  <si>
    <t>C2703</t>
  </si>
  <si>
    <t>VÁLVULA DE RETENÇÃO HORIZ.OU VERT. D= 65mm (2 1/2")</t>
  </si>
  <si>
    <t>C2704</t>
  </si>
  <si>
    <t>VÁLVULA DE RETENÇÃO HORIZ.OU VERT. D= 80mm (3")</t>
  </si>
  <si>
    <t>C2705</t>
  </si>
  <si>
    <t>VÁLVULA DE RETENÇÃO HORIZ.OU VERT. D=100mm (4")</t>
  </si>
  <si>
    <t>C4005</t>
  </si>
  <si>
    <t>VÁLVULA ELETRÔNICA CROMADA P/ MICTÓRIO</t>
  </si>
  <si>
    <t>C3715</t>
  </si>
  <si>
    <t>VÁLVULA MOTORIZADA DE 2 VIAS ROSC. DE 3/4"</t>
  </si>
  <si>
    <t>C3716</t>
  </si>
  <si>
    <t>VÁLVULA MOTORIZADA DE 2 VIAS ROSC. DE 1"</t>
  </si>
  <si>
    <t>LOUÇAS, METAIS E ACESSÓRIOS</t>
  </si>
  <si>
    <t>C0091</t>
  </si>
  <si>
    <t>APARELHO MISTURADOR P/PIA TIPO MESA</t>
  </si>
  <si>
    <t>C0092</t>
  </si>
  <si>
    <t>APARELHO MISTURADOR P/PIA TIPO PAREDE</t>
  </si>
  <si>
    <t>C0225</t>
  </si>
  <si>
    <t>ARMÁRIO DE EMBUTIR C/ESPELHO (45x60)cm</t>
  </si>
  <si>
    <t>C0348</t>
  </si>
  <si>
    <t>BACIA DE LOUÇA BRANCA C/CAIXA ACOPLADA</t>
  </si>
  <si>
    <t>C0349</t>
  </si>
  <si>
    <t>BACIA DE LOUÇA BRANCA C/CAIXA ACOPLADA, ENTRADA HORIZONTAL</t>
  </si>
  <si>
    <t>C3247</t>
  </si>
  <si>
    <t>BACIA DE LOUÇA BRANCA P/ CRIANÇA, INCLUSIVE TAMPA</t>
  </si>
  <si>
    <t>C0350</t>
  </si>
  <si>
    <t>BACIA SIFONADA DE LOUÇA BRANCA C/ACESSÓRIOS E TUBO DE LIGAÇÃO</t>
  </si>
  <si>
    <t>C0351</t>
  </si>
  <si>
    <t>BACIA TURCA DE LOUÇA BRANCA</t>
  </si>
  <si>
    <t>C0355</t>
  </si>
  <si>
    <t>BANCADA DE GRANITO C/ 2  CUBAS LOUÇAS, S/ACESSÓRIOS (1.60x0.60)m</t>
  </si>
  <si>
    <t>C0356</t>
  </si>
  <si>
    <t>BANCADA DE GRANITO C/ 3 CUBAS DE LOUÇAS, S/ACESSÓRIOS (2.00x0.60)m</t>
  </si>
  <si>
    <t>C0357</t>
  </si>
  <si>
    <t>BANCADA DE GRANITO (OUTRAS CORES) E= 3cm (COLOCADO)</t>
  </si>
  <si>
    <t>C4068</t>
  </si>
  <si>
    <t>BANCADA DE GRANITO CINZA E=2cm</t>
  </si>
  <si>
    <t>C4069</t>
  </si>
  <si>
    <t>BANCADA DE GRANITO (OUTRAS CORES) ESP. = 2cm (COLOCADO)</t>
  </si>
  <si>
    <t>C0358</t>
  </si>
  <si>
    <t>BANCADA DE GRANITO PRETO C/BOLEAMENTO DUPLO (COLOCADO)</t>
  </si>
  <si>
    <t>C0359</t>
  </si>
  <si>
    <t>BANCADA DE MÁRMORE  LARG.= 0.60m  ESP.= 3cm</t>
  </si>
  <si>
    <t>C3996</t>
  </si>
  <si>
    <t>BANCADA EM GRANITO P/ LAVATÓRIO, INCL. LOUÇA BRANCA E ACESSÓRIOS</t>
  </si>
  <si>
    <t>C3997</t>
  </si>
  <si>
    <t>BANCADA EM GRANITO P/ PIA DE COZINHA, INCL. CUBA DE AÇO INOX  E ACESSÓRIOS</t>
  </si>
  <si>
    <t>C3670</t>
  </si>
  <si>
    <t>BANHEIRA HOSPITALAR C/ TAMPO E CUBA DE AÇO INOX DIMENSÃO 1800X600MM</t>
  </si>
  <si>
    <t>C0386</t>
  </si>
  <si>
    <t>BEBEDOURO EM AÇO INOX COM 1,60m</t>
  </si>
  <si>
    <t>C0515</t>
  </si>
  <si>
    <t>CABIDE DE LOUÇA BRANCA C/DOIS GANCHOS</t>
  </si>
  <si>
    <t>C0516</t>
  </si>
  <si>
    <t>CABIDE DE LOUÇA BRANCA C/ UM GANCHO</t>
  </si>
  <si>
    <t>C0600</t>
  </si>
  <si>
    <t>CAIXA DE DESCARGA PLÁSTICA DE SOBREPOR</t>
  </si>
  <si>
    <t>C3513</t>
  </si>
  <si>
    <t>CHUVEIRO CROMADO C/ ARTICULAÇÃO</t>
  </si>
  <si>
    <t>C0797</t>
  </si>
  <si>
    <t>CHUVEIRO PLÁSTICO (INSTALADO)</t>
  </si>
  <si>
    <t>C3671</t>
  </si>
  <si>
    <t>CONE PARA EXPURGO EM AÇO INOX COM TAMPA E GRELHA - L=500MM X C=500MM, ALTURA ATÉ 300MM E SAÍDA D=100MM</t>
  </si>
  <si>
    <t>C0985</t>
  </si>
  <si>
    <t>CUBA DE INOX PARA BANCADA,COMPLETA</t>
  </si>
  <si>
    <t>C4770</t>
  </si>
  <si>
    <t>CUBA DE LOUÇA BRANCA DE SOBREPOR, D=41CM, S/ TORNEIRA C/ ACESSÓRIOS</t>
  </si>
  <si>
    <t>C0986</t>
  </si>
  <si>
    <t>CUBA DE LOUÇA DE EMBUTIR C/ TORNEIRA E ACESSÓRIOS</t>
  </si>
  <si>
    <t>C4821</t>
  </si>
  <si>
    <t>CUBA DE LOUÇA DE EMBUTIR S/TORNEIRA C/ACESSÓRIOS</t>
  </si>
  <si>
    <t>C1151</t>
  </si>
  <si>
    <t>DUCHA P/ WC CROMADO (INSTALADO)</t>
  </si>
  <si>
    <t>C1241</t>
  </si>
  <si>
    <t>ENGATE CROMADO (INSTALADO)</t>
  </si>
  <si>
    <t>C1242</t>
  </si>
  <si>
    <t>ENGATE PLÁSTICO (INSTALADO)</t>
  </si>
  <si>
    <t>C4835</t>
  </si>
  <si>
    <t>ESPELHO CRISTAL, ESPESSURA 4MM, COM PARAFUSOS DE FIXAÇÃO, SEM MOLDURA</t>
  </si>
  <si>
    <t>C3669</t>
  </si>
  <si>
    <t>LAVA OLHOS DE EMERGÊNCIA C/ CUBA FLEXÍVEL E CHUVEIRO P/ LABORATÓRIO</t>
  </si>
  <si>
    <t>C3003</t>
  </si>
  <si>
    <t>LAVATÓRIO C/TAMPÃO DE MÁRMORE C/ 1 CUBA DE LOUÇA</t>
  </si>
  <si>
    <t>C1618</t>
  </si>
  <si>
    <t>LAVATÓRIO DE LOUÇA BRANCA C/COLUNA, C/ TORNEIRA E ACESSÓRIOS</t>
  </si>
  <si>
    <t>C1619</t>
  </si>
  <si>
    <t>LAVATÓRIO DE LOUÇA BRANCA S/COLUNA C/TORNEIRA E ACESSÓRIOS</t>
  </si>
  <si>
    <t>C3004</t>
  </si>
  <si>
    <t>LAVATÓRIO DE LOUÇA BRANCA S/COLUNA C/TORNEIRA DE METAL E ACESSÓRIOS - PADRÃO POPULAR</t>
  </si>
  <si>
    <t>C3598</t>
  </si>
  <si>
    <t>LAVATÓRIO DE LOUÇA BRANCA S/COLUNA C/TORNEIRA PLÁSTICA E ACESSÓRIOS - PADRÃO POPULAR</t>
  </si>
  <si>
    <t>C1793</t>
  </si>
  <si>
    <t>MICTÓRIO COLETIVO DE AÇO INOXIDÁVEL</t>
  </si>
  <si>
    <t>C1792</t>
  </si>
  <si>
    <t>MICTORIO DE LOUÇA BRANCA</t>
  </si>
  <si>
    <t>C3593</t>
  </si>
  <si>
    <t>MUTIRÃO MISTO - BACIA SIFONADA DE LOUÇA BRANCA C/ACESSÓRIOS</t>
  </si>
  <si>
    <t>C3596</t>
  </si>
  <si>
    <t>MUTIRÃO MISTO - CAIXA DE DESCARGA PLASTICA DE SOBREPOR</t>
  </si>
  <si>
    <t>C3597</t>
  </si>
  <si>
    <t>MUTIRÃO MISTO - LAVATÓRIO DE LOUÇA BRANCA S/COLUNA C/TORNEIRA PLÁSTICA E ACESSÓRIOS</t>
  </si>
  <si>
    <t>C3602</t>
  </si>
  <si>
    <t>MUTIRÃO MISTO - PIA DE COZINHA EM CIMENTO (1,20x0,50)m</t>
  </si>
  <si>
    <t>C3594</t>
  </si>
  <si>
    <t>MUTIRÃO MISTO - TANQUE DE LAVAR DE CIMENTO (1.00X0.50)m COMPLETA</t>
  </si>
  <si>
    <t>C1898</t>
  </si>
  <si>
    <t>PEÇAS DE APOIO DEFICIENTES C/TUBO INOX  P/WC'S</t>
  </si>
  <si>
    <t>C3017</t>
  </si>
  <si>
    <t>PIA DE AÇO INOX  (1.20x0.60)m C/ 1 CUBA E ACESSÓRIOS</t>
  </si>
  <si>
    <t>C1903</t>
  </si>
  <si>
    <t>PIA DE AÇO INOX. (1.50X0.58)m C/ 1 CUBA E ACESSÓRIOS</t>
  </si>
  <si>
    <t>C3018</t>
  </si>
  <si>
    <t>PIA DE AÇO INOX  (2.20x0.60)m C/ 1 CUBA E ACESSÓRIOS</t>
  </si>
  <si>
    <t>C3019</t>
  </si>
  <si>
    <t>PIA DE AÇO INOX (3.00x0.60)m  C/ 1 CUBA  E  ACESSÓRIOS</t>
  </si>
  <si>
    <t>C1902</t>
  </si>
  <si>
    <t>PIA DE AÇO INOX  (2.00X0.58)m  C/ 2 CUBAS E ACESSÓRIOS</t>
  </si>
  <si>
    <t>C3020</t>
  </si>
  <si>
    <t>PIA DE AÇO INOX (4.20X0.60)m C/ 2 CUBAS E ACESSÓRIOS</t>
  </si>
  <si>
    <t>C3603</t>
  </si>
  <si>
    <t>PIA DE COZINHA EM CIMENTO (1,20x0,50)m - PADRÃO POPULAR</t>
  </si>
  <si>
    <t>C3021</t>
  </si>
  <si>
    <t>PIA DE COZINHA EM MARMORITE 1,00x0,50m COMP. - PADRÃO POPULAR</t>
  </si>
  <si>
    <t>C1997</t>
  </si>
  <si>
    <t>PORTA-PAPEL DE LOUCA BRANCA (15X15)cm</t>
  </si>
  <si>
    <t>C4670</t>
  </si>
  <si>
    <t>PORTA PAPEL METÁLICO</t>
  </si>
  <si>
    <t>C4825</t>
  </si>
  <si>
    <t>PORTA PAPEL TOALHA (DISPENSER)EM ABS</t>
  </si>
  <si>
    <t>C1990</t>
  </si>
  <si>
    <t>PORTA SABÃO LÍQUIDO DE VIDRO (INSTALAD0)</t>
  </si>
  <si>
    <t>C1995</t>
  </si>
  <si>
    <t>PORTA TOALHA DE LOUÇA BRANCA</t>
  </si>
  <si>
    <t>C1996</t>
  </si>
  <si>
    <t>PORTA TOALHA DE PAPEL - METALICO (INSTALADO)</t>
  </si>
  <si>
    <t>C2255</t>
  </si>
  <si>
    <t>SABONETEIRA DE LOUÇA BRANCA  (7.5X15)cm</t>
  </si>
  <si>
    <t>C2254</t>
  </si>
  <si>
    <t>SABONETEIRA DE LOUÇA BRANCA  (15X15)cm S/ALÇA</t>
  </si>
  <si>
    <t>C4671</t>
  </si>
  <si>
    <t>SABONETEIRA METÁLICA</t>
  </si>
  <si>
    <t>C2271</t>
  </si>
  <si>
    <t>SIFÃO CROMADO 1" X 1 1/2" (INSTALADO)</t>
  </si>
  <si>
    <t>C2270</t>
  </si>
  <si>
    <t>SIFÃO CROMADO 1 1/4" X 2" (INSTALADO)</t>
  </si>
  <si>
    <t>C2272</t>
  </si>
  <si>
    <t>SIFÃO DE PVC RÍGIDO D= 2"  (INSTALADO)</t>
  </si>
  <si>
    <t>C2294</t>
  </si>
  <si>
    <t>SUPORTE DE MÁRMORE P/FILTROS</t>
  </si>
  <si>
    <t>C2302</t>
  </si>
  <si>
    <t>TAMPO DE AÇO INOX P/ BANCADAS</t>
  </si>
  <si>
    <t>C2311</t>
  </si>
  <si>
    <t>TANQUE DE AÇO INOXIDÁVEL</t>
  </si>
  <si>
    <t>C3059</t>
  </si>
  <si>
    <t>TANQUE DE LAVAR DE CIMENTO (1.00x0.50)m COMPLETA C/ TORNEIRA DE METAL - PADRÃO POPULAR</t>
  </si>
  <si>
    <t>C3595</t>
  </si>
  <si>
    <t>TANQUE DE LAVAR DE CIMENTO (1.00X0.50)m COMPLETA C/ TORNEIRA DE PLÁSTICO - PADRÃO POPULAR</t>
  </si>
  <si>
    <t>C2312</t>
  </si>
  <si>
    <t>TANQUE DE LOUÇA C/COLUNA</t>
  </si>
  <si>
    <t>C3682</t>
  </si>
  <si>
    <t>TANQUE LAVANDERIA EM AÇO INOX C/CUBA E ESFREGADOR DIMENSÃO 1200X600X200MM</t>
  </si>
  <si>
    <t>C2313</t>
  </si>
  <si>
    <t>TANQUE PRÉ-MOLDADO DE CONCRETO (0.80X0.70)m</t>
  </si>
  <si>
    <t>C2496</t>
  </si>
  <si>
    <t>TORNEIRA CIRÚRGICA (INSTALADO)</t>
  </si>
  <si>
    <t>C2502</t>
  </si>
  <si>
    <t>TORNEIRA DE FECHAMENTO AUTOMÁTICO</t>
  </si>
  <si>
    <t>C2503</t>
  </si>
  <si>
    <t xml:space="preserve">TORNEIRA DE PAREDE C/ FOTO SENSOR </t>
  </si>
  <si>
    <t>C4820</t>
  </si>
  <si>
    <t>TORNEIRA DE PAREDE P/ PIA, ACABAMENTO CROMADO, C/ BICA MÓVEL E AREJADOR, 1/2 " OU 3/4 "</t>
  </si>
  <si>
    <t>C2504</t>
  </si>
  <si>
    <t>TORNEIRA DE PRESSÃO CROMADA LONGA P/PIA</t>
  </si>
  <si>
    <t>C2505</t>
  </si>
  <si>
    <t>TORNEIRA DE PRESSÃO CROMADA USO GERAL</t>
  </si>
  <si>
    <t>C2506</t>
  </si>
  <si>
    <t>TORNEIRA DE PRESSÃO P/JARDIM DE 3/4"</t>
  </si>
  <si>
    <t>C3998</t>
  </si>
  <si>
    <t>TORNEIRA ELETRÔNICA C/ ANTI-VANDALISMO, P/ LAVATÓRIO DE BANCADA</t>
  </si>
  <si>
    <t>C3999</t>
  </si>
  <si>
    <t>TORNEIRA ELETRÔNICA C/ ANTI-VANDALISMO, P/ PIA DE COZINHA</t>
  </si>
  <si>
    <t>C4000</t>
  </si>
  <si>
    <t>TORNEIRA TIPO JARDIM CROMADA</t>
  </si>
  <si>
    <t>EQUIPAMENTOS</t>
  </si>
  <si>
    <t>C0001</t>
  </si>
  <si>
    <t>ABRIGO P/ HIDRANTE C/MANGUEIRA E ESGUICHO DE LATÃO</t>
  </si>
  <si>
    <t>C0010</t>
  </si>
  <si>
    <t>ACIONADOR MANUAL, TIPO "QUEBRA VIDRO", MOD.EUROTRON/SIMILAR</t>
  </si>
  <si>
    <t>C0100</t>
  </si>
  <si>
    <t>AQUECEDOR À GÁS EM CAIXA DE FERRO ESMALTADO</t>
  </si>
  <si>
    <t>C0332</t>
  </si>
  <si>
    <t>AUTOMÁTICO DE BOIA</t>
  </si>
  <si>
    <t>C0385</t>
  </si>
  <si>
    <t>BATERIA SELADA 12V/7.5AH, P/LUMINÁRIAS AUTÔNOMAS</t>
  </si>
  <si>
    <t>C0389</t>
  </si>
  <si>
    <t>BLOCO LUMINOSO AUTÔNOMO, INDICADOR DE SETA, MOD. UNITRON/SIMILAR</t>
  </si>
  <si>
    <t>C1802</t>
  </si>
  <si>
    <t>BOMBA CENTRÍFUGA DE 1/4 CV, INCLUSIVE MAT.DE SUCÇÃO</t>
  </si>
  <si>
    <t>C0442</t>
  </si>
  <si>
    <t>BOMBA CENTRÍFUGA DE 1/3 CV, INCLUSIVE MAT.DE SUCÇÃO</t>
  </si>
  <si>
    <t>C0441</t>
  </si>
  <si>
    <t>BOMBA CENTRÍFUGA DE 1/2 CV, INCLUSIVE MAT.DE SUCCÃO</t>
  </si>
  <si>
    <t>C0443</t>
  </si>
  <si>
    <t>BOMBA CENTRÍFUGA DE 1 CV, INCLUSIVE MAT.DE SUCÇÃO</t>
  </si>
  <si>
    <t>C0444</t>
  </si>
  <si>
    <t>BOMBA CENTRÍFUGA DE 1 1/2 CV, INCLUSIVE MAT.DE SUCÇÃO</t>
  </si>
  <si>
    <t>C0445</t>
  </si>
  <si>
    <t>BOMBA CENTRÍFUGA DE 2 CV, INCLUSIVE MAT.DE SUCÇÃO</t>
  </si>
  <si>
    <t>C0446</t>
  </si>
  <si>
    <t>BOMBA CENTRÍFUGA DE 3 CV, INCLUSIVE MAT.DE SUCÇÃO</t>
  </si>
  <si>
    <t>C0447</t>
  </si>
  <si>
    <t>BOMBA CENTRÍFUGA DE 5 CV, INCLUSIVE MAT.DE SUCÇÃO</t>
  </si>
  <si>
    <t>C0448</t>
  </si>
  <si>
    <t>BOMBA CENTRÍFUGA P/ PRESSURIZAÇÃO/HIDRANTE 10 CV</t>
  </si>
  <si>
    <t>C0449</t>
  </si>
  <si>
    <t>BOMBA CENTRÍFUGA P/ PRESSURIZAÇÃO/HIDRANTE 15 CV</t>
  </si>
  <si>
    <t>C0451</t>
  </si>
  <si>
    <t>BOMBA CENTRÍFUGA P/ PRESSURUZAÇÃO/HIDRANTE 20 CV</t>
  </si>
  <si>
    <t>C0450</t>
  </si>
  <si>
    <t>BOMBA CENTRÍFUGA P/ PRESSURIZAÇÃO/HIDRANTE 25 CV</t>
  </si>
  <si>
    <t>C0455</t>
  </si>
  <si>
    <t>BOMBA INJETORA DE 1/3 CV, MONOSÁFICA, INCL.MAT. SUCÇÃO</t>
  </si>
  <si>
    <t>C0454</t>
  </si>
  <si>
    <t>BOMBA INJETORA DE 1/2 CV, MONOFÁSICA INCL. MAT. SUCÇÃO</t>
  </si>
  <si>
    <t>C0459</t>
  </si>
  <si>
    <t>BOMBA INJETORA DE 3/4 CV, MONOFÁSICA INCL. MAT. SUCÇÃO</t>
  </si>
  <si>
    <t>C0453</t>
  </si>
  <si>
    <t>BOMBA INJETORA DE 1 CV, TRIFÁSICA INCL. MAT. SUCÇÃO</t>
  </si>
  <si>
    <t>C0452</t>
  </si>
  <si>
    <t>BOMBA INJETORA DE 1 1/2 CV, TRIFÁSICA INCL. MAT. SUCÇÃO</t>
  </si>
  <si>
    <t>C0457</t>
  </si>
  <si>
    <t>BOMBA INJETORA DE 2 CV, TRIFÁSICA INCL. MAT. SUCÇÃO</t>
  </si>
  <si>
    <t>C0456</t>
  </si>
  <si>
    <t>BOMBA INJETORA DE 2 1/2 CV, TRIFÁSICA INCL. MAT. SUCÇÃO</t>
  </si>
  <si>
    <t>C0458</t>
  </si>
  <si>
    <t>BOMBA INJETORA DE 3 CV, TRIFÁSICA INCL. MAT. SUCÇÃO</t>
  </si>
  <si>
    <t>C0460</t>
  </si>
  <si>
    <t>BOMBA INJETORA DE 7.5 CV, INCLUSIVE MAT. DE SUCÇÃO</t>
  </si>
  <si>
    <t>C0729</t>
  </si>
  <si>
    <t>CASA DE BOMBAS(1.5X1.5)m,  EM ALVENARIA E CONCRETO</t>
  </si>
  <si>
    <t>C0732</t>
  </si>
  <si>
    <t>CENTRAL ALARME P/6 LAÇOS SUPERV., MOD. FIRE-LITE/SIMILAR</t>
  </si>
  <si>
    <t>C0730</t>
  </si>
  <si>
    <t>CENTRAL ALARME P/12 LAÇOS SUPERV., MOD.FIRE-LITE/SIMILAR</t>
  </si>
  <si>
    <t>C0731</t>
  </si>
  <si>
    <t>CENTRAL ALARME P/18 LAÇOS SUPERV., MOD.FIRE-LITE/SIMILAR</t>
  </si>
  <si>
    <t>C0796</t>
  </si>
  <si>
    <t>CHUVEIRO ELÉTRICO AUTOMÁTICO 220V-2800/4400W (INSTALADO)</t>
  </si>
  <si>
    <t>C4385</t>
  </si>
  <si>
    <t>ESGUICHO DE AGULHA 1/2" x 1/2"</t>
  </si>
  <si>
    <t>C4589</t>
  </si>
  <si>
    <t>EXTINTOR EM CARRETA, CAP. 50KG - PO QUIMICO</t>
  </si>
  <si>
    <t>C1357</t>
  </si>
  <si>
    <t>EXTINTOR DE ÁGUA, PRESSURIZADA CAPACIDADE 10L</t>
  </si>
  <si>
    <t>C1359</t>
  </si>
  <si>
    <t>EXTINTOR DE GÁS CARBÔNICO OU PÓ QUÍMICO DE 4 OU 6KG</t>
  </si>
  <si>
    <t>C1456</t>
  </si>
  <si>
    <t>HIDRANTE C/REGISTRO GLOBO ANGULAR  D= 65mm (2 1/2")</t>
  </si>
  <si>
    <t>C4304</t>
  </si>
  <si>
    <t>HIDRANTE DE PISO</t>
  </si>
  <si>
    <t>C2275</t>
  </si>
  <si>
    <t>SINALIZADOR AUDIO-VISUAL, SIRENE BITONAL E STROBO/SIMILAR</t>
  </si>
  <si>
    <t>C2291</t>
  </si>
  <si>
    <t>SPRINKLERS CROMADO (INSTALADO)</t>
  </si>
  <si>
    <t>C2292</t>
  </si>
  <si>
    <t>SPRINKLERS EM BRONZE (INSTALADO)</t>
  </si>
  <si>
    <t>C2497</t>
  </si>
  <si>
    <t>TORNEIRA DE BÓIA D= 20mm (3/4")</t>
  </si>
  <si>
    <t>C2498</t>
  </si>
  <si>
    <t>TORNEIRA DE BÓIA D= 25mm (1")</t>
  </si>
  <si>
    <t>C2499</t>
  </si>
  <si>
    <t>TORNEIRA DE BÓIA D= 32mm (1 1/4")</t>
  </si>
  <si>
    <t>C2500</t>
  </si>
  <si>
    <t>TORNEIRA DE BÓIA D= 40mm (1 1/2")</t>
  </si>
  <si>
    <t>C2501</t>
  </si>
  <si>
    <t>TORNEIRA DE BÓIA D= 50mm (2")</t>
  </si>
  <si>
    <t>C2507</t>
  </si>
  <si>
    <t>TORNEIRA ELÉTRICA AUTOMÁTICA 220V-2800W (INSTALADO)</t>
  </si>
  <si>
    <t>POÇOS E CAIXAS</t>
  </si>
  <si>
    <t>C0011</t>
  </si>
  <si>
    <t>ACRÉSCIMO DE CÂMARA EM PV C/ANÉIS DE CONCRETO D= 600mm</t>
  </si>
  <si>
    <t>C0012</t>
  </si>
  <si>
    <t>ACRÉSCIMO DE CÂMARA EM PV C/ANÉIS DE CONCRETO D=1000mm</t>
  </si>
  <si>
    <t>C0013</t>
  </si>
  <si>
    <t>ACRÉSCIMO DE CÂMARA EM PV C/ANÉIS DE CONCRETO D=1200mm</t>
  </si>
  <si>
    <t>C0232</t>
  </si>
  <si>
    <t>ASSENTAMENTO DE TUBO DE QUEDA</t>
  </si>
  <si>
    <t>C3441</t>
  </si>
  <si>
    <t>CAIXA D´ÁGUA EM FYBERGLASS - CAP. 500L</t>
  </si>
  <si>
    <t>C3442</t>
  </si>
  <si>
    <t>CAIXA D´ÁGUA EM FYBERGLASS - CAP. 1000L</t>
  </si>
  <si>
    <t>C4595</t>
  </si>
  <si>
    <t>CAIXA D'ÁGUA EM POLIETILENO CAP.310 ATÉ 500 L, COM TAMPA</t>
  </si>
  <si>
    <t>C0601</t>
  </si>
  <si>
    <t>CAIXA DE GORDURA/SABÃO EM ALVENARIA</t>
  </si>
  <si>
    <t>C3584</t>
  </si>
  <si>
    <t>CAIXA DE GORDURA/SABÃO PRÉ MOLDADA - PADRÃO POPULAR</t>
  </si>
  <si>
    <t>C0605</t>
  </si>
  <si>
    <t>CAIXA DE INSPEÇÃO EM ALVENARIA - 1/2 TIJOLO COMUM</t>
  </si>
  <si>
    <t>C0603</t>
  </si>
  <si>
    <t>CAIXA EM ALVENARIA (40X40X60cm) DE 1/2 TIJOLO COMUM, LASTRO DE CONCRETO E TAMPA DE CONCRETO</t>
  </si>
  <si>
    <t>C0609</t>
  </si>
  <si>
    <t>CAIXA EM ALVENARIA (60X60X60cm) DE 1/2 TIJOLO COMUM, LASTRO DE CONCRETO E TAMPA DE CONCRETO</t>
  </si>
  <si>
    <t>C0602</t>
  </si>
  <si>
    <t>CAIXA EM ALVENARIA (80X80X60cm) DE 1/2 TIJOLO COMUM, LASTRO DE CONCRETO E TAMPA DE CONCRETO</t>
  </si>
  <si>
    <t>C0604</t>
  </si>
  <si>
    <t>CAIXA DE INSPEÇÃO EM ALVENARIA - 1 TIJOLO COMUM</t>
  </si>
  <si>
    <t>C0610</t>
  </si>
  <si>
    <t>CAIXA EM ALVENARIA (40X40X60cm) DE 1 TIJOLO COMUM, LASTRO DE CONCRETO E TAMPA DE CONCRETO</t>
  </si>
  <si>
    <t>C0607</t>
  </si>
  <si>
    <t>CAIXA EM ALVENARIA (60X60X60cm) DE 1 TIJOLO COMUM, LASTRO DE CONCRETO E TAMPA DE CONCRETO</t>
  </si>
  <si>
    <t>C0608</t>
  </si>
  <si>
    <t>CAIXA EM ALVENARIA (80X80X60cm) DE 1 TIJOLO COMUM, LASTRO DE CONCRETO E TAMPA DE CONCRETO</t>
  </si>
  <si>
    <t>C0606</t>
  </si>
  <si>
    <t>CAIXA DE INSPEÇÃO EM ALVENARIA - TAMPA DE CONCRETO ESP.= 5cm</t>
  </si>
  <si>
    <t>C0613</t>
  </si>
  <si>
    <t>CAIXA DE INSPEÇÃO EM ALVENARIA-LASTRO DE CONCRETO ESP.= 10cm</t>
  </si>
  <si>
    <t>C0611</t>
  </si>
  <si>
    <t>CAIXA DE INSPEÇÃO EM ALVENARIA P/LIGAÇÃO CONDOMINIAL, DI= (40X40)cm</t>
  </si>
  <si>
    <t>C0614</t>
  </si>
  <si>
    <t>CAIXA DE INSPEÇÃO NO PASSEIO C/TUBO PVC D=300mm TAMPA FoFo</t>
  </si>
  <si>
    <t>C0615</t>
  </si>
  <si>
    <t>CAIXA DE INSPEÇÃO NO PASSEIO EM ANÉIS D= 600mm, PADRÃO CAGECE</t>
  </si>
  <si>
    <t>C0623</t>
  </si>
  <si>
    <t>CAIXA DE MACROMEDIDOR (2.10 X 2.10)m</t>
  </si>
  <si>
    <t>C0637</t>
  </si>
  <si>
    <t>CAIXA DE PITOMETRIA (1.30 X 1.30)m</t>
  </si>
  <si>
    <t>C0638</t>
  </si>
  <si>
    <t>CAIXA DE PITOMETRIA (1.50 X 1.50)m</t>
  </si>
  <si>
    <t>C0639</t>
  </si>
  <si>
    <t>CAIXA EM ALVENARIA 1 VEZ, S/TAMPA, CINTA ARM., FUNDO CONC. (4.80 X 1.50)m</t>
  </si>
  <si>
    <t>C0640</t>
  </si>
  <si>
    <t xml:space="preserve">CAIXA EM ALVENARIA C/DOSADOR A NIVEL CONSTANTE </t>
  </si>
  <si>
    <t>C0641</t>
  </si>
  <si>
    <t>CAIXA EM ALVENARIA C/TAMPA EM CONCRETO FUNDO BRITA (1.0 X 1.0)m</t>
  </si>
  <si>
    <t>C0642</t>
  </si>
  <si>
    <t>CAIXA EM ALVENARIA S/TAMPA E FUNDO BRITA P/FILTRO (1.0.X.1.0)m</t>
  </si>
  <si>
    <t>C0643</t>
  </si>
  <si>
    <t>CAIXA EM ALVENARIA S/TAMPA E FUNDO CONCRETO (1.20 X 1.20)m</t>
  </si>
  <si>
    <t>C0644</t>
  </si>
  <si>
    <t>CAIXA EM ALVENARIA S/TAMPA E FUNDO LAJE (1.60 X 1.30)m FILTRO</t>
  </si>
  <si>
    <t>C0645</t>
  </si>
  <si>
    <t>CAIXA INSPEÇÃO EM ANÉIS D=600mm, P/REDE CONDOMÍNIO (0.50&lt;h&lt;0.80)m</t>
  </si>
  <si>
    <t>C0646</t>
  </si>
  <si>
    <t>CAIXA INSPEÇÃO EM ANÉIS D=800mm, P/REDE CONDOM.(1.00&lt;h&lt;=1.50)m</t>
  </si>
  <si>
    <t>C0647</t>
  </si>
  <si>
    <t>CAIXA INSPEÇÃO EM ANÉIS D=800mm, P/REDE CONDOMI.0,80&lt;h&lt;1,00m</t>
  </si>
  <si>
    <t>C0648</t>
  </si>
  <si>
    <t>CAIXA INSPEÇÃO NO PASSEIO C/TUBO PVC D=300mm TAMPA FoFo/CONCRETO</t>
  </si>
  <si>
    <t>C0649</t>
  </si>
  <si>
    <t>CAIXA INSPEÇÃO NO PASSEIO EM ALVENARIA DI=(50X50)cm, PADRÃO CAGECE</t>
  </si>
  <si>
    <t>C3411</t>
  </si>
  <si>
    <t>CAIXA P/ REGISTRO DE DESCARGA EM ALVENARIA DE TIJOLO MACIÇO DN ATÉ 200mm</t>
  </si>
  <si>
    <t>C3412</t>
  </si>
  <si>
    <t>CAIXA P/ REGISTRO DE DESCARGA EM ALVENARIA DE TIJOLO MACIÇO  200&lt;DN&lt;=500mm</t>
  </si>
  <si>
    <t>C3413</t>
  </si>
  <si>
    <t>CAIXA P/ REGISTRO DE DESCARGA EM ALVENARIA DE TIJOLO MACIÇO  500&lt;DN&lt;=700mm</t>
  </si>
  <si>
    <t>C3414</t>
  </si>
  <si>
    <t>CAIXA P/ REGISTRO DE DESCARGA EM ALVENARIA DE TIJOLO MACIÇO  700&lt;DN&lt;=900mm</t>
  </si>
  <si>
    <t>C0653</t>
  </si>
  <si>
    <t>CAIXA P/REGISTRO OU VENTOSA EM ALVENARIA DE TIJOLO MACIÇO, DN ATÉ 200mm</t>
  </si>
  <si>
    <t>C0650</t>
  </si>
  <si>
    <t>CAIXA P/REGISTRO OU VENTOSA EM ALVENARIA DE TIJOLO MACIÇO, 200&lt;DN&lt;=500mm</t>
  </si>
  <si>
    <t>C0651</t>
  </si>
  <si>
    <t>CAIXA P/REGISTRO OU VENTOSA EM ALVENARIA DE TIJOLO MACIÇO, 500&lt;DN&lt;=700mm</t>
  </si>
  <si>
    <t>C0652</t>
  </si>
  <si>
    <t>CAIXA P/REGISTRO OU VENTOSA EM ALVENARIA DE TIJOLO MACIÇO, 700&lt;DN&lt;=900mm</t>
  </si>
  <si>
    <t>C4923</t>
  </si>
  <si>
    <t>CAIXA SIFONADA PVC 100 X 100 X 50MM, ACABAMENTO BRANCO (GRELHA OU TAMPA CEGA)</t>
  </si>
  <si>
    <t>C4924</t>
  </si>
  <si>
    <t>CAIXA SIFONADA PVC 100 X 100 X 50MM, ACABAMENTO CROMADO (GRELHA OU TAMPA CEGA)</t>
  </si>
  <si>
    <t>C4925</t>
  </si>
  <si>
    <t>CAIXA SIFONADA PVC 100 X 100 X 50MM, ACABAMENTO INOX (GRELHA OU TAMPA CEGA)</t>
  </si>
  <si>
    <t>C4926</t>
  </si>
  <si>
    <t>CAIXA SIFONADA PVC 150 X 150 X 50MM, ACABAMENTO BRANCO (GRELHA OU TAMPA CEGA)</t>
  </si>
  <si>
    <t>C4927</t>
  </si>
  <si>
    <t>CAIXA SIFONADA PVC 150 X 150 X 50MM, ACABAMENTO CROMADO (GRELHA OU TAMPA CEGA)</t>
  </si>
  <si>
    <t>C4928</t>
  </si>
  <si>
    <t>CAIXA SIFONADA PVC 150 X 150 X 50MM, ACABAMENTO INOX (GRELHA OU TAMPA CEGA)</t>
  </si>
  <si>
    <t>C4929</t>
  </si>
  <si>
    <t>CAIXA SIFONADA PVC 150 X 185 X 75MM, ACABAMENTO BRANCO (GRELHA OU TAMPA CEGA)</t>
  </si>
  <si>
    <t>C4378</t>
  </si>
  <si>
    <t>CAIXA SIFONADA PVC 150 X 185 X 75MM, ACABAMENTO CROMADO (GRELHA OU TAMPA CEGA)</t>
  </si>
  <si>
    <t>C4930</t>
  </si>
  <si>
    <t>CAIXA SIFONADA PVC 150 X 185 X 75MM, ACABAMENTO INOX (GRELHA OU TAMPA CEGA)</t>
  </si>
  <si>
    <t>C2816</t>
  </si>
  <si>
    <t>EXECUÇÃO COMPLETA DE TIL (LAJE DE FUNDO EM CONCRETO ARMADO)</t>
  </si>
  <si>
    <t>C4327</t>
  </si>
  <si>
    <t>GRELHA DE FERRO FUNDIDO (900 x 500 x 70 mm)</t>
  </si>
  <si>
    <t>C3583</t>
  </si>
  <si>
    <t>MUTIRÃO MISTO - CAIXA DE GORDURA/SABÃO PRÉ MOLDADA</t>
  </si>
  <si>
    <t>C2907</t>
  </si>
  <si>
    <t>POÇO DE VISITA, C/ANÉIS DE CONCRETO, PROF. ATÉ 1.00m, D= 600mm</t>
  </si>
  <si>
    <t>C2908</t>
  </si>
  <si>
    <t>POÇO DE VISITA, C/ANÉIS DE CONCRETO, PROF. ATÉ 1.50m, D=1000mm</t>
  </si>
  <si>
    <t>C2909</t>
  </si>
  <si>
    <t>POÇO DE VISITA, C/ANÉIS DE CONCRETO, PROF. ATÉ 1.50m, D=1200mm</t>
  </si>
  <si>
    <t>C4572</t>
  </si>
  <si>
    <t>POÇO DE VISITA PRÉ-MOLDADO PARA GALERIA DE ÁGUAS PLUVIAIS Ø 1,0 m E PROFUNDIDADE 2,0m</t>
  </si>
  <si>
    <t>C4573</t>
  </si>
  <si>
    <t>POÇO DE VISITA PRÉ-MOLDADO PARA GALERIA DE ÁGUAS PLUVIAIS Ø 2,0 m E PROFUNDIDADE 3,0m</t>
  </si>
  <si>
    <t>C4574</t>
  </si>
  <si>
    <t>POÇO DE VISITA PRÉ-MOLDADO PARA GALERIA DE ÁGUAS PLUVIAIS Ø 1,0 m E PROFUNDIDADE 4,0m</t>
  </si>
  <si>
    <t>C4764</t>
  </si>
  <si>
    <t>POÇO TUBULAR C/ TUBO GEOMECÂNICO DE 6``, PROFUNDIDADE 100M, COMPLETAMENTE EXECUTADO, INCLUSIVE MARCAÇÃO (FORNECIMENTO E EXECUÇÃO)</t>
  </si>
  <si>
    <t>C3648</t>
  </si>
  <si>
    <t>RESERVATÓRIO PRÉ MOLDADO ELEVADO CILÍNDRICO D=2,0M, CAP.=12,0M3, H=9,0M COMPLETO E CISTERNA CAP.=4,5 M3</t>
  </si>
  <si>
    <t>C4312</t>
  </si>
  <si>
    <t>SOBRETAMPA EM FERRO FUNDIDO COM D=600mm</t>
  </si>
  <si>
    <t>C4328</t>
  </si>
  <si>
    <t>SOBRETAMPA EM FERRO FUNDIDO C/ D=800 mm</t>
  </si>
  <si>
    <t>C4772</t>
  </si>
  <si>
    <t>TAMPA EM CONCRETO ARMADO, ESPESSURA 0,05M</t>
  </si>
  <si>
    <t>C4773</t>
  </si>
  <si>
    <t>TAMPA EM CONCRETO ARMADO, ESPESSURA 0,08M</t>
  </si>
  <si>
    <t>C4783</t>
  </si>
  <si>
    <t>TAMPA EM CONCRETO ARMADO, ESPESSURA 0,15M</t>
  </si>
  <si>
    <t>C4610</t>
  </si>
  <si>
    <t>TAMPA EM CONCRETO ARMADO (0,70 x 0,70 x 0,15 m)</t>
  </si>
  <si>
    <t>C4609</t>
  </si>
  <si>
    <t>TAMPA EM CONCRETO ARMADO (0,80 x 0,80 x 0,15 m)</t>
  </si>
  <si>
    <t>C4611</t>
  </si>
  <si>
    <t>TAMPA EM CONCRETO ARMADO (0,90 x 0,90 x 0,15 m)</t>
  </si>
  <si>
    <t>C4612</t>
  </si>
  <si>
    <t>TAMPA EM CONCRETO ARMADO (1,00 x 1,00 x 0,15 m)</t>
  </si>
  <si>
    <t>C4216</t>
  </si>
  <si>
    <t>TAMPA EM CONCRETO ARMADO PARA REGISTRO (70x70x12cm)</t>
  </si>
  <si>
    <t>GRADEAMENTO, COMPORTA, VERTEDOURO E CALHAS</t>
  </si>
  <si>
    <t>C0663</t>
  </si>
  <si>
    <t>CALHA PARSHALL EM FIBRA DE VIDRO PARA ÁGUA/ESGOTO W:3" (FORNECIMENTO E INSTALAÇÃO)</t>
  </si>
  <si>
    <t>C0664</t>
  </si>
  <si>
    <t>CALHA PARSHALL EM FIBRA DE VIDRO PARA ÁGUA/ESGOTO W:6"(FORNECIMENTO E INSTALAÇÃO)</t>
  </si>
  <si>
    <t>C0665</t>
  </si>
  <si>
    <t>CALHA PARSHALL EM FIBRA DE VIDRO PARA ÁGUA/ESGOTO W:9"(FORNECIMENTO E INSTALAÇÃO)</t>
  </si>
  <si>
    <t>C4742</t>
  </si>
  <si>
    <t>CALHA PARSHALL EM FIBRA DE VIDRO PARA ÁGUA/ESGOTO W:12" (FORNECIMENTO E INSTALAÇÃO)</t>
  </si>
  <si>
    <t>C0823</t>
  </si>
  <si>
    <t>COMPORTA EM FIBRA, CALHA EM ALUMÍNIO</t>
  </si>
  <si>
    <t>C0824</t>
  </si>
  <si>
    <t>COMPORTA EM MADEIRA TRATADA C/ÓLEO DE LINHAÇA, CALHA ALUMÍNIO</t>
  </si>
  <si>
    <t>C2734</t>
  </si>
  <si>
    <t>DRENO DE FUNDO EM PVC DO FILTRO D=1.50m, PADRÃO CAGECE</t>
  </si>
  <si>
    <t>C2735</t>
  </si>
  <si>
    <t>DRENO DE FUNDO EM PVC DO FILTRO D=2.20m, PADRÃO CAGECE</t>
  </si>
  <si>
    <t>C2736</t>
  </si>
  <si>
    <t>DRENO DE FUNDO EM PVC DO FILTRO D=2.80m, PADRÃO CAGECE</t>
  </si>
  <si>
    <t>C2737</t>
  </si>
  <si>
    <t>DRENO DE FUNDO EM PVC DO FILTRO D=3.20m, PADRÃO CAGECE</t>
  </si>
  <si>
    <t>C2815</t>
  </si>
  <si>
    <t>GRADE DE PVC DE 25 mm P/ CAIXA DE NÍVEL</t>
  </si>
  <si>
    <t>C4898</t>
  </si>
  <si>
    <t>GRADE DE RETENÇÃO DE SÓLIDOS EM FERRO CHATO, COM BARRAS DE 10MMX40MM (1.1/4"x1/2") COM ESPAÇAMENTO E=20MM</t>
  </si>
  <si>
    <t>C2839</t>
  </si>
  <si>
    <t xml:space="preserve">GRADE EM FERRO CHATO 1 1/4" X 1/2" </t>
  </si>
  <si>
    <t>C2981</t>
  </si>
  <si>
    <t>VERTEDOURO EM MADEIRA DE LEI TRATADA C/ÓLEO DE LINHAÇA</t>
  </si>
  <si>
    <t>C2982</t>
  </si>
  <si>
    <t>VERTEDOURO TRIANGULAR EM CHAPA DE ALUMÍNIO ESP. 3/16" (50x40)cm</t>
  </si>
  <si>
    <t>C2983</t>
  </si>
  <si>
    <t>VERTEDOURO TRIANGULAR EM FIBRA E CANTONEIRA DE ALUMÍNIO</t>
  </si>
  <si>
    <t>LIGAÇÕES PREDIAIS</t>
  </si>
  <si>
    <t>C5050</t>
  </si>
  <si>
    <t>CAIXA DE GORDURA EM PVC, COM CESTO 18L</t>
  </si>
  <si>
    <t>C3489</t>
  </si>
  <si>
    <t>CAIXA DE INSPEÇÃO EM ALVENARIA P/ LIGAÇÃO CONDOMINIAL DI=30x30cm</t>
  </si>
  <si>
    <t>C3415</t>
  </si>
  <si>
    <t>CAIXA EM ALVENARIA PARA LIGAÇÃO D´ÁGUA 1 1/2" E 2"</t>
  </si>
  <si>
    <t>C3738</t>
  </si>
  <si>
    <t>INSTALAÇÃO DE TUBO DE VENTILAÇÃO 50mm C/ L=4m, C/ REBOCO E PINTURA A CAL (C/ MATERIAL)</t>
  </si>
  <si>
    <t>C3739</t>
  </si>
  <si>
    <t>INSTALAÇÃO DE TUBO DE VENTILAÇÃO 50mm C/ L=4m, COM REBOCO E PINTURA A CAL (SEM MATERIAL)</t>
  </si>
  <si>
    <t>C2865</t>
  </si>
  <si>
    <t>LIGAÇÃO PREDIAL D'ÁGUA PADRÃO CAGECE</t>
  </si>
  <si>
    <t>C4813</t>
  </si>
  <si>
    <t>LIGAÇÃO PREDIAL MND COM USO DE PERFURATRIZ PNEUMÁTICA TIPO MOLE, INCLUSIVE RAMAL</t>
  </si>
  <si>
    <t>C5041</t>
  </si>
  <si>
    <t>RAMAL INTRADOMICILIAR DE ESGOTO PARA TUBULAÇÃO DE 40MM</t>
  </si>
  <si>
    <t>C5124</t>
  </si>
  <si>
    <t>RAMAL INTRADOMICILIAR DE ESGOTO PARA TUBULAÇÃO DE 50MM</t>
  </si>
  <si>
    <t>C5125</t>
  </si>
  <si>
    <t>RAMAL INTRADOMICILIAR DE ESGOTO PARA TUBULAÇÃO DE 100MM</t>
  </si>
  <si>
    <t>C2911</t>
  </si>
  <si>
    <t>RAMAL PREDIAL COM PAVIMENTAÇÃO EM ASFALTO COM BASE EM PEDRA</t>
  </si>
  <si>
    <t>C2912</t>
  </si>
  <si>
    <t>RAMAL PREDIAL COM PAVIMENTAÇÃO EM PEDRA TOSCA OU PARALELO</t>
  </si>
  <si>
    <t>C2919</t>
  </si>
  <si>
    <t>RAMAL PREDIAL S/ PAVIMENTAÇÃO</t>
  </si>
  <si>
    <t>C2913</t>
  </si>
  <si>
    <t>RAMAL PREDIAL DE ESGOTO EM MBV 100mm, C/PAVIMENTO EM ASFALTO</t>
  </si>
  <si>
    <t>C2914</t>
  </si>
  <si>
    <t>RAMAL PREDIAL DE ESGOTO EM MBV 100mm, C/PAVIMENTO EM PEDRA TOSCA</t>
  </si>
  <si>
    <t>C2915</t>
  </si>
  <si>
    <t>RAMAL PREDIAL DE ESGOTO EM MBV 100mm, S/PAVIMENTO</t>
  </si>
  <si>
    <t>C2916</t>
  </si>
  <si>
    <t>RAMAL PREDIAL DE ESGOTO EM PVC 100mm, C/PAVIMENTO EM ASFALTO</t>
  </si>
  <si>
    <t>C2917</t>
  </si>
  <si>
    <t>RAMAL PREDIAL DE ESGOTO EM PVC 100mm, C/PAVIMENTO EM PEDRA TOSCA</t>
  </si>
  <si>
    <t>C2918</t>
  </si>
  <si>
    <t>RAMAL PREDIAL DE ESGOTO EM PVC 100mm, S/ PAVIMENTO</t>
  </si>
  <si>
    <t>C3435</t>
  </si>
  <si>
    <t>ABRIGO P/ QUADRO COMANDO(54x54cm) DE POÇOS, ÁREA NÃO INUNDÁVEL</t>
  </si>
  <si>
    <t>C3433</t>
  </si>
  <si>
    <t>ABRIGO P/ QUADRO COMANDO(108x108cm), POÇOS ÁREA NÃO INUNDÁVEL</t>
  </si>
  <si>
    <t>C3434</t>
  </si>
  <si>
    <t>ABRIGO P/ QUADRO COMANDO(120x120cm),  COM MURETA DE 2,10m</t>
  </si>
  <si>
    <t>C1079</t>
  </si>
  <si>
    <t>DESOBSTRUÇÃO DE TUBULAÇÕES</t>
  </si>
  <si>
    <t>C1250</t>
  </si>
  <si>
    <t>ENVELOPE DE CONCRETO P/PROTEÇÃO DE TUBO PVC ENTERRADO</t>
  </si>
  <si>
    <t>C1248</t>
  </si>
  <si>
    <t>ENVELOPE DE CONCRETO P/TUBOS PVC ENTERRADO, TIPO C, FCK= 13,5MPa</t>
  </si>
  <si>
    <t>C5209</t>
  </si>
  <si>
    <t>ESTAÇÃO DE TRATAMENTO DE ESGOTO (ETE), VAZÃO DE 5,00 M3/DIA, CONFECCIONADA EM POLIESTER REFORÇADA E FIBRA DE VIDRO, COMPLETA INCLUINDO FORNECIMENTO, MONTAGEM E TREINAMENTO</t>
  </si>
  <si>
    <t>C4846</t>
  </si>
  <si>
    <t>ESTAÇÃO DE TRATAMENTO DE ESGOTO (ETE), VAZÃO DE 10,00 M3/DIA, CONFECCIONADA EM POLIESTER REFORÇADA E FIBRA DE VIDRO, COMPLETA INCLUINDO FORNECIMENTO, MONTAGEM E TREINAMENTO</t>
  </si>
  <si>
    <t>C4847</t>
  </si>
  <si>
    <t>ESTAÇÃO DE TRATAMENTO DE ESGOTO (ETE), VAZÃO DE 15,00 M3/DIA, CONFECCIONADA EM POLIESTER REFORÇADA E FIBRA DE VIDRO, COMPLETA INCLUINDO FORNECIMENTO, MONTAGEM E TREINAMENTO</t>
  </si>
  <si>
    <t>C4848</t>
  </si>
  <si>
    <t>ESTAÇÃO DE TRATAMENTO DE ESGOTO (ETE), VAZÃO DE 20,00 M3/DIA, CONFECCIONADA EM POLIESTER REFORÇADA E FIBRA DE VIDRO, COMPLETA INCLUINDO FORNECIMENTO, MONTAGEM E TREINAMENTO</t>
  </si>
  <si>
    <t>C2832</t>
  </si>
  <si>
    <t>FOSSA SÉPTICA E SUMIDOURO  EM ALVENARIA</t>
  </si>
  <si>
    <t>C4162</t>
  </si>
  <si>
    <t>FOSSA SÉPTICA E SUMIDOURO EM ANÉIS D=1,20M</t>
  </si>
  <si>
    <t>C1436</t>
  </si>
  <si>
    <t>GRELHA DE FERRO P/ CALHAS E CAIXAS</t>
  </si>
  <si>
    <t>C3995</t>
  </si>
  <si>
    <t>GRELHA HEMISFÉRICA DE FERRO FUNDIDO D=150 mm (6")</t>
  </si>
  <si>
    <t>C2852</t>
  </si>
  <si>
    <t>LAJE C/FURO EXCÊNTRICO DE 600 MM P/POÇO DE VISITA D= 1000mm</t>
  </si>
  <si>
    <t>C2853</t>
  </si>
  <si>
    <t>LAJE C/FURO EXCÊNTRICO DE 600 MM P/POÇO DE VISITA D=1200mm</t>
  </si>
  <si>
    <t>C2854</t>
  </si>
  <si>
    <t>LAJE DE FUNDO P/POÇO DE VISITA C/ANÉIS PRÉ-MOLDADO D= 600mm</t>
  </si>
  <si>
    <t>C2856</t>
  </si>
  <si>
    <t>LAJE DE FUNDO P/POÇO DE VISITA C/ANÉIS PRÉ-MOLDADO D=1000mm</t>
  </si>
  <si>
    <t>C2855</t>
  </si>
  <si>
    <t>LAJE DE FUNDO P/POÇO DE VISITA C/ANÉIS PRÉ-MOLDADO D=1200mm</t>
  </si>
  <si>
    <t>C1948</t>
  </si>
  <si>
    <t>PONTO HIDRÁULICO, MATERIAL E EXECUÇÃO</t>
  </si>
  <si>
    <t>PT</t>
  </si>
  <si>
    <t>C1950</t>
  </si>
  <si>
    <t>PONTO SANITÁRIO, MATERIAL E EXECUÇÃO</t>
  </si>
  <si>
    <t>C4602</t>
  </si>
  <si>
    <t>PONTO DE ESGOTO EM PVC P/ TANQUE E LAVATÓRIO MSD FUNASA TIPO 10 (MATERIAL E EXECUÇÃO)</t>
  </si>
  <si>
    <t>C4603</t>
  </si>
  <si>
    <t>PONTO DE ESGOTO EM PVC P/ SANITÁRIO INCLUSIVE COLUNA VENTILAÇÃO MSD FUNASA TIPO 10 (MATERIAL E EXECUÇÃO)</t>
  </si>
  <si>
    <t>C5201</t>
  </si>
  <si>
    <t>TELA DE ADVERTÊNCIA SUBTERRÂNEA COM FITA LARGURA 40CM AMARELA - APLICADA</t>
  </si>
  <si>
    <t>C4020</t>
  </si>
  <si>
    <t>VASO DE EQUALIZAÇÃO DE 400 L</t>
  </si>
  <si>
    <t>INSTALAÇÕES DE PRODUÇÃO</t>
  </si>
  <si>
    <t>C3465</t>
  </si>
  <si>
    <t>INSTALAÇÃO E FORNECIMENTO DE MONOVIA: TRILHO, TROLLEY / TALHA MANUAL 0,5 T</t>
  </si>
  <si>
    <t>C3463</t>
  </si>
  <si>
    <t>INSTALAÇÃO E FORNECIMENTO DE MONOVIA:TRILHO,TROLLEY / TALHA MANUAL 1,0 T</t>
  </si>
  <si>
    <t>C3464</t>
  </si>
  <si>
    <t>INSTALAÇÃO E FORNECIMENTO DE MONOVIA:TRILHO,TROLLEY / TALHA MANUAL 2,0 T</t>
  </si>
  <si>
    <t>C3417</t>
  </si>
  <si>
    <t>INSTALAÇÃO ELETROMECÂNICA DE CONJUNTO MOTO-BOMBA ATÉ 4 CV</t>
  </si>
  <si>
    <t>C3416</t>
  </si>
  <si>
    <t>INSTALAÇÃO ELETROMECÂNICA DE CONJUNTO MOTO-BOMBA DE 4 À 7,5 CV</t>
  </si>
  <si>
    <t>C3418</t>
  </si>
  <si>
    <t>INSTALAÇÃO ELETROMECÂNICA DE CONJUNTO MOTO-BOMBA DE 7,5 À 15 CV</t>
  </si>
  <si>
    <t>C3419</t>
  </si>
  <si>
    <t>INSTALAÇÃO ELETROMECÂNICA DE CONJUNTO MOTO-BOMBA DE 15 À 50 CV</t>
  </si>
  <si>
    <t>C3420</t>
  </si>
  <si>
    <t>INSTALAÇÃO ELETROMECÂNICA DE CONJUNTO MOTO-BOMBA DE 50 À 100 CV</t>
  </si>
  <si>
    <t>C3421</t>
  </si>
  <si>
    <t>INSTALAÇÃO ELETROMECÂNICA DE CONJUNTO MOTO-BOMBA DE 100 À 200 CV</t>
  </si>
  <si>
    <t>C3422</t>
  </si>
  <si>
    <t>INSTALAÇÃO ELETROMECÂNICA DE CONJUNTO MOTO-BOMBA DE 200 À 500 CV</t>
  </si>
  <si>
    <t>SERVIÇOS ESPECIAIS</t>
  </si>
  <si>
    <t>C4907</t>
  </si>
  <si>
    <t>ADICIONAL PARA ABERTURA DE BOLETIM DE OCORRÊNCIA POLICIAL</t>
  </si>
  <si>
    <t>C4867</t>
  </si>
  <si>
    <t>APLICAÇÃO DE PRODUTO QUÍMICO "DESINCRUSTANTE" EM POÇO</t>
  </si>
  <si>
    <t>C4855</t>
  </si>
  <si>
    <t>CESTO DE LIMPEZA EM AÇO INOX PARA GRADE DE ENTRADA DO POÇO DE SUCÇÃO D=70X30X30CM</t>
  </si>
  <si>
    <t>C4856</t>
  </si>
  <si>
    <t>CESTO TIPO BANDEJA COM ESTRUTURA PARA IÇAMENTO E TUBO GUIA EM AÇO INOX</t>
  </si>
  <si>
    <t>C4854</t>
  </si>
  <si>
    <t xml:space="preserve">COLOCAÇÃO DE MATERIAL PARA LEITO SECAGEM
</t>
  </si>
  <si>
    <t>C4909</t>
  </si>
  <si>
    <t>DESLOCAMENTO DE MOTO PARA REGULARIZAÇÃO DA FRAUDE NÃO EFETIVADA</t>
  </si>
  <si>
    <t>C4908</t>
  </si>
  <si>
    <t>DESLOCAMENTO DE VEICULO PARA REGULARIZAÇÃO DA FRAUDE NÃO EFETIVADA</t>
  </si>
  <si>
    <t>C3462</t>
  </si>
  <si>
    <t>DESMONTAGEM DE TUBOS, CONEXÕES E PÇS ESPECIAIS, RESERVATÓRIO ELEVADO</t>
  </si>
  <si>
    <t>C5185</t>
  </si>
  <si>
    <t>DESTINAÇÃO FINAL DO RESÍDUO SOLIDO NÃO SEGREGADO EM TERRENO LICENCIADO - SEM TRANSPORTE</t>
  </si>
  <si>
    <t>C5186</t>
  </si>
  <si>
    <t>DESTINAÇÃO FINAL DO RESÍDUO SÓLIDO SEGREGADO EM USINA DE RECICLAGEM LICENCIADA - SEM TRANSPORTE</t>
  </si>
  <si>
    <t>C4865</t>
  </si>
  <si>
    <t>FORNECIMENTO E ASSENTAMENTO DE LAJOTA PRE-MOLDADA DE CONCRETO E = 5cm SOBRE LEITO DE SECAGEM</t>
  </si>
  <si>
    <t>C3523</t>
  </si>
  <si>
    <t>FORNECIMENTO E MONTAGEM DE PLACA DE FIBRA DE 2,50mX1,20m, ESP. 3mm P/ FLOCULADOR</t>
  </si>
  <si>
    <t>C4862</t>
  </si>
  <si>
    <t>FORNECIMENTO E MONTAGEM DE PLACA DE PVC C/ ESP. 6mm P/ FLOCULADOR</t>
  </si>
  <si>
    <t>C4863</t>
  </si>
  <si>
    <t>FORNECIMENTO E MONTAGEM DE PLACA DE PVC C/ ESP. 10mm P/ FLOCULADOR</t>
  </si>
  <si>
    <t>C4864</t>
  </si>
  <si>
    <t xml:space="preserve">FORNECIMENTO E MONTAGEM DE PLACA DE PVC C/ ESP. 25mm P/ FLOCULADOR
</t>
  </si>
  <si>
    <t>C4577</t>
  </si>
  <si>
    <t>FORNECIMENTO E MONTAGEM DE PLACA EM FIBRA DE VIDRO e = 3,00mm</t>
  </si>
  <si>
    <t>C4578</t>
  </si>
  <si>
    <t>FORNECIMENTO E MONTAGEM DE PLACA EM FIBRA DE VIDRO COM RESINA ISOFTÁLICA e = 3,00mm</t>
  </si>
  <si>
    <t>C4905</t>
  </si>
  <si>
    <t>IDENTIFICAÇÃO DE DERIVAÇÃO DO RAMAL PREDIAL DE ÁGUA, REMOÇÃO DA DERIVAÇÃO E APLICAÇÃO DO TERMO DE OCORRÊNCIA - TO</t>
  </si>
  <si>
    <t>C4904</t>
  </si>
  <si>
    <t>IDENTIFICAÇÃO DE HIDRÔMETRO INVERTIDO, DESCONCECTADO OU RETIRADO, ADEQUAÇÃO DO HIDRÔMETRO E APLICAÇÃO DO TERMO DE OCORRÊNCIA - TO</t>
  </si>
  <si>
    <t>C4906</t>
  </si>
  <si>
    <t>IDENTIFICAÇÃO DE RELIGAÇÃO CLANDESTINA, REGULARIZAÇÃO DA LIGAÇÃO E APLICAÇÃO DO TERMO DE OCORRÊNCIA - TO</t>
  </si>
  <si>
    <t>C4903</t>
  </si>
  <si>
    <t>IDENTIFICAÇÃO DE VIOLAÇÃO DO LACRE DA LIGAÇÃO, RECOLOCAÇÃO DO LACRE NA  LIGAÇÃO E APLICAÇÃO DO TERMO DE OCORRÊNCIA - TO</t>
  </si>
  <si>
    <t>C4902</t>
  </si>
  <si>
    <t>IDENTIFICAÇÃO DE VIOLAÇÃO DO HIDRÔMETRO OU DO LACRE DO HIDROMETRO, SUBSTITUIÇÃO DO HIDROMETRO VIOLADO E APLIAÇÃO DO TERMO DE OCORRÊNCIA - TO</t>
  </si>
  <si>
    <t>C4900</t>
  </si>
  <si>
    <t>IDENTIFICAÇÃO E RETIRDA DO BY-PASS E APLICAÇÃO DO TERMO DE OCORRÊNCIA - TO</t>
  </si>
  <si>
    <t>C4901</t>
  </si>
  <si>
    <t>IDENTIFICAÇÃO E SUPRESSÃO DE LIGAÇÃO CLANDESTINA E APLICAÇÃO DO TERMO DE OCORRÊNCIA - TO</t>
  </si>
  <si>
    <t>C3471</t>
  </si>
  <si>
    <t>MONTAGEM BARRILETE FILTRO FIBRA, KIT'S, PÇS VAZÃO ATÉ 50 m3/h</t>
  </si>
  <si>
    <t>C3473</t>
  </si>
  <si>
    <t>MONTAGEM BARRILETE FILTRO FIBRA, KIT'S, PÇS VAZÃO 95,01 À 230 m3/h</t>
  </si>
  <si>
    <t>C5181</t>
  </si>
  <si>
    <t>MONTAGEM DE TANQUE HIDROPNEUMÁTICO CAP 500L</t>
  </si>
  <si>
    <t>C5182</t>
  </si>
  <si>
    <t>MONTAGEM DE TANQUE HIDROPNEUMÁTICO CAP 1000L</t>
  </si>
  <si>
    <t>C5183</t>
  </si>
  <si>
    <t xml:space="preserve">MONTAGEM DE TANQUE HIDROPNEUMÁTICO CAP 3500L
</t>
  </si>
  <si>
    <t>C5184</t>
  </si>
  <si>
    <t>MONTAGEM DE TANQUE HIDROPNEUMÁTICO CAP 4500L</t>
  </si>
  <si>
    <t>C3502</t>
  </si>
  <si>
    <t>MONTAGEM DE TUBOS, CONEXÕES E EQUIPAMENTOS DE TRATAMENTO, CASA DE OPERAÇÃO</t>
  </si>
  <si>
    <t>C3496</t>
  </si>
  <si>
    <t>MONTAGEM DE TUBOS, CONEXÕES E PÇS, ELEVATÓRIA CAP ATÉ 5 l/s</t>
  </si>
  <si>
    <t>C3497</t>
  </si>
  <si>
    <t>MONTAGEM DE TUBOS, CONEXÕES E PÇS, ELEVATÓRIA C/ VAZÃO DE 5,01 À 10 l/s</t>
  </si>
  <si>
    <t>C3498</t>
  </si>
  <si>
    <t>MONTAGEM DE TUBOS, CONEXÕES E PÇS, ELEVATÓRIA C/ VAZÃO DE 10,01 À 20 l/s</t>
  </si>
  <si>
    <t>C3499</t>
  </si>
  <si>
    <t>MONTAGEM DE TUBOS, CONEXÕES E PÇS, ELEVATÓRIA C/ VAZÃO DE 20,01 À 40 l/s</t>
  </si>
  <si>
    <t>C3500</t>
  </si>
  <si>
    <t>MONTAGEM DE TUBOS, CONEXÕES E PÇS, ELEVATÓRIA C/ VAZÃO DE 40,01 À 60 l/s</t>
  </si>
  <si>
    <t>C3501</t>
  </si>
  <si>
    <t>MONTAGEM DE TUBOS, CONEXÕES E PÇS, ELEVATÓRIA C/ VAZÃO DE 60,01 À 90 l/s</t>
  </si>
  <si>
    <t>C3490</t>
  </si>
  <si>
    <t>MONTAGEM DE TUBOS, CONEXÕES E PÇS, RESERVATÓRIO APOIADO CAP ATÉ 100 M3</t>
  </si>
  <si>
    <t>C3491</t>
  </si>
  <si>
    <t>MONTAGEM DE TUBOS, CONEXÕES E PÇS, RESERVATÓRIO APOIADO CAP DE 100,01 À 300 M3</t>
  </si>
  <si>
    <t>C3492</t>
  </si>
  <si>
    <t>MONTAGEM DE TUBOS, CONEXÕES E PÇS, RESERVATÓRIO APOIADO CAP DE 300,01 À 600 M3</t>
  </si>
  <si>
    <t>C3512</t>
  </si>
  <si>
    <t>MONTAGEM DE TUBOS, CONEXÕES E PÇS, RESERVATÓRIO ELEVADO CAP. ATÉ 50 M3</t>
  </si>
  <si>
    <t>C3493</t>
  </si>
  <si>
    <t>MONTAGEM DE TUBOS, CONEXÕES E PÇS, RESERVATÓRIO ELEVADO CAP DE 50,01 À 100 M3</t>
  </si>
  <si>
    <t>C3494</t>
  </si>
  <si>
    <t>MONTAGEM DE TUBOS, CONEXÕES E PÇS, RESERVATÓRIO ELEVADO CAP  DE 100,01 À 300 M3</t>
  </si>
  <si>
    <t>C3525</t>
  </si>
  <si>
    <t>MONTAGEM DE TUBOS, CONEXÕES E PÇS ESPECIAIS EM FLOCULADOR/DECANTADOR</t>
  </si>
  <si>
    <t>C3495</t>
  </si>
  <si>
    <t>MONTAGEM DE TUBOS, CONEXÕES E PÇS, RESERVATÓRIO ELEVADO CAP  DE 300,01 À 600 M3</t>
  </si>
  <si>
    <t>C3461</t>
  </si>
  <si>
    <t>MONTAGEM  DE TUBOS, CONEXÕES E PÇS ESPECIAIS, AERADOR BANDEJA</t>
  </si>
  <si>
    <t>C3472</t>
  </si>
  <si>
    <t>MONTAGEM BARRILETE FILTRO FIBRA, KIT'S, PÇS VAZÃO 50,01 À 95 m3/h</t>
  </si>
  <si>
    <t>C3503</t>
  </si>
  <si>
    <t>MONTAGEM DOS EQUIPAMENTOS DA ETE - REATOR E INSTALAÇÕES HIDRÁULICAS</t>
  </si>
  <si>
    <t>C3524</t>
  </si>
  <si>
    <t>RECUPERAÇÃO DE PLACAS DE CONCRETO DOS FLOCULADORES</t>
  </si>
  <si>
    <t>C5187</t>
  </si>
  <si>
    <t>TAMPONAMENTO DA LIGAÇÃO DE ESGOTO</t>
  </si>
  <si>
    <t>C5207</t>
  </si>
  <si>
    <t>TANQUE DE COMBUSTÍVEL 200 L</t>
  </si>
  <si>
    <t>C4866</t>
  </si>
  <si>
    <t>TESTES DE VAZÃO DO POÇO, DN 6 E PROFUNDIDADE DE 25,00m</t>
  </si>
  <si>
    <t>C4613</t>
  </si>
  <si>
    <t>TMND PARA TUBO 500&lt;DN&lt;=800mm</t>
  </si>
  <si>
    <t>C4614</t>
  </si>
  <si>
    <t>TMND PARA TUBO 800&lt;DN&lt;=1200mm</t>
  </si>
  <si>
    <t>C4615</t>
  </si>
  <si>
    <t>TMND PARA TUBO 1200&lt;DN&lt;=1500mm</t>
  </si>
  <si>
    <t>C4812</t>
  </si>
  <si>
    <t>TRANSFERÊNCIA DE LIGAÇÃO PREDIAL DE ÁGUA EM REDE EXISTENTE</t>
  </si>
  <si>
    <t>INSTALAÇÕES DIVERSAS</t>
  </si>
  <si>
    <t>C3509</t>
  </si>
  <si>
    <t>INSTALAÇÕES HIDRO-SANITÁRIAS KIT-01 C/ FORN. DE MATERIAL</t>
  </si>
  <si>
    <t>C3510</t>
  </si>
  <si>
    <t>INSTALAÇÕES HIDRO-SANITÁRIAS KIT-02 C/ FORN. DE MATERIAL</t>
  </si>
  <si>
    <t>C3511</t>
  </si>
  <si>
    <t>INSTALAÇÕES HIDRO-SANITÁRIAS KIT-03 C/ FORN. DE MATERIAL</t>
  </si>
  <si>
    <t>C3457</t>
  </si>
  <si>
    <t>MONTAGEM DAS INSTALAÇÕES HIDRO-SANITÁRIAS DAS ELEVATÓRIAS</t>
  </si>
  <si>
    <t>C4857</t>
  </si>
  <si>
    <t>MONTAGEM DE TUBOS, CONEXÕES E PEÇAS DE LEITO DRENANTE</t>
  </si>
  <si>
    <t>C4868</t>
  </si>
  <si>
    <t>MONTAGEM DE TUBOS, CONEXÕES E PÇS, ELEVATÓRIA C VAZÃO DE 90,01 A 200L/S</t>
  </si>
  <si>
    <t>C4869</t>
  </si>
  <si>
    <t>MONTAGEM DE TUBOS, CONEXÕES E PÇS, ELEVATÓRIA C VAZÃO DE 200,01 À 350L/S</t>
  </si>
  <si>
    <t>C4006</t>
  </si>
  <si>
    <t>REDE DE GÁS P/ COZINHA (FORN./MONTAGEM)</t>
  </si>
  <si>
    <t>SERVIÇOS OPERACIONAIS</t>
  </si>
  <si>
    <t>INSTALAÇÃO E SUBSTITUIÇÃO DE HIDRÔMETRO</t>
  </si>
  <si>
    <t>C2718</t>
  </si>
  <si>
    <t>DESLOCAMENTO DE HIDRÔMETRO C/ CAIXA OU CAVALETE</t>
  </si>
  <si>
    <t>C2844</t>
  </si>
  <si>
    <t>INST. DE HIDRÔMETRO E CAVALETE 1§ COMPART. (CASO H), RECUO (CASO G)</t>
  </si>
  <si>
    <t>C2845</t>
  </si>
  <si>
    <t>INST. DE HIDRÔMETRO E CAVALETE C/ CAIXA NO MURO P002 (CASO I)</t>
  </si>
  <si>
    <t>C2846</t>
  </si>
  <si>
    <t>INSTALAÇÃO DE HIDRANTE DE COLUNA</t>
  </si>
  <si>
    <t>C2847</t>
  </si>
  <si>
    <t>INSTALAÇÃO DE HIDRANTE SUBTERRÂNEO</t>
  </si>
  <si>
    <t>C2848</t>
  </si>
  <si>
    <t>INSTALAÇÃO OU SUBSTITUIÇÃO DE CAIXA DO HIDRÔMETRO</t>
  </si>
  <si>
    <t>C2956</t>
  </si>
  <si>
    <t>SUBST. DE HIDRÔMETRO DA CALÇADA P/ PADRÃO CASO: A, B, C OU D C/ CAIXA</t>
  </si>
  <si>
    <t>C2957</t>
  </si>
  <si>
    <t>SUBST. DE HIDRÔMETRO CAVALETE MONTADO C/RECUP. CALÇADA/MURO (CASO F)</t>
  </si>
  <si>
    <t>C2958</t>
  </si>
  <si>
    <t>SUBSTITUIÇÃO OU INSTALAÇÃO DE HIDRÔMETRO EM CAVALETE MONTADO (CASO E,N)</t>
  </si>
  <si>
    <t>C2963</t>
  </si>
  <si>
    <t>SUBSTITUIÇÃO DE REGISTRO PVC 3/4" NO CAVALETE</t>
  </si>
  <si>
    <t>C4201</t>
  </si>
  <si>
    <t>SUBSTITUIÇÃO DE KIT CAVALETE (CASO E, N) CALÇADA / MURO (CASO F)</t>
  </si>
  <si>
    <t>C4202</t>
  </si>
  <si>
    <t>SUBSTITUIÇÃO DE KIT CAVALETE MONTADO C/ RECUP. CALÇADA / MURO (CASO F)</t>
  </si>
  <si>
    <t>CORTE E SUPRESSÃO DE LIGAÇÃO</t>
  </si>
  <si>
    <t>C0029</t>
  </si>
  <si>
    <t>ADICIONAL DE LIGAÇÃO D'ÁGUA EM CORREDOR DE ATIVIDADE</t>
  </si>
  <si>
    <t>C0030</t>
  </si>
  <si>
    <t>ADICIONAL DE LIGAÇÃO DE ESGOTO EM CORREDOR DE ATIVIDADE</t>
  </si>
  <si>
    <t>C0031</t>
  </si>
  <si>
    <t>ADICIONAL DE SUPRESSÃO EM CORREDOR DE ATIVIDADE</t>
  </si>
  <si>
    <t>C3430</t>
  </si>
  <si>
    <t>CORTE AGRAVADO E EXECUÇÃO DA LIGAÇÃO C/ FORNECIMENTO MATERIAL</t>
  </si>
  <si>
    <t>C4593</t>
  </si>
  <si>
    <t>CORTE DO RAMAL PREDIAL DE ÁGUA DE MODO SIMPLES OU AGRAVADO E RELIGAÇÃO COM O FORNECIMENTO DE MATERIAL</t>
  </si>
  <si>
    <t>C4897</t>
  </si>
  <si>
    <t>CORTE E BISELAMENTO EM EXTREMIDADES P/TUBOS EM AÇO DESVIO DE 0 A 15º</t>
  </si>
  <si>
    <t>C4594</t>
  </si>
  <si>
    <t>CORTE E RELIGAÇÃO COM CHIBÁGUA COM FORNECIMENTO DE MATERIAL</t>
  </si>
  <si>
    <t>C4204</t>
  </si>
  <si>
    <t>CORTE EM TUBULAÇÃO DE F°F° P/ LIGAÇÃO EM NOVO PV</t>
  </si>
  <si>
    <t>C0931</t>
  </si>
  <si>
    <t>CORTE OU RELIGAÇÃO DE ÁGUA NO FERRULE(PAV. EM ASFALTO)</t>
  </si>
  <si>
    <t>C0932</t>
  </si>
  <si>
    <t>CORTE OU RELIGAÇÃO DE ÁGUA NO FERRULE(PAV. EM P.TOSCA)</t>
  </si>
  <si>
    <t>C0933</t>
  </si>
  <si>
    <t>CORTE OU RELIGAÇÃO DE ÁGUA NO MEIO FIO ATE 1"(CAPITAL)</t>
  </si>
  <si>
    <t>C0934</t>
  </si>
  <si>
    <t>CORTE OU RELIGAÇÃO DE ÁGUA NO MEIO FIO ATE 1"(INTERIOR)</t>
  </si>
  <si>
    <t>C4719</t>
  </si>
  <si>
    <t>CORTE OU RELIGAÇÃO DO RAMAL PREDIAL DE ÁGUA PELO MÉTODO AGRAVADO NO MEIO FIO, COM USO DE CARRO</t>
  </si>
  <si>
    <t>C4718</t>
  </si>
  <si>
    <t>CORTE OU RELIGAÇÃO SIMPLES COM A UTILIZAÇÃO DE CHAVE MAGNÉTICA, COM USO DE MOTO</t>
  </si>
  <si>
    <t>C4716</t>
  </si>
  <si>
    <t>CORTE SIMPLES DO RAMAL DE ÁGUA NO KIT CAVALETE COM USO DE MOTO</t>
  </si>
  <si>
    <t>C3432</t>
  </si>
  <si>
    <t>CORTE SIMPLES E EXECUÇÃO DA SUPRESSÃO DE LIGAÇÃO C/ PAVIMENTO ASFÁLTICO</t>
  </si>
  <si>
    <t>C3780</t>
  </si>
  <si>
    <t>CORTE SIMPLES E EXECUÇÃO DA SUPRESSÃO DE LIGAÇÃO C/ PAVIMENTO DE PEDRA TOSCA</t>
  </si>
  <si>
    <t>C4721</t>
  </si>
  <si>
    <t>DESLOCAMENTO PARA EXECUÇÃO DE CORTE NA LIGAÇÃO PREDIAL, NÃO EFETIVADO</t>
  </si>
  <si>
    <t>C3431</t>
  </si>
  <si>
    <t>CORTE SIMPLES E EXECUÇÃO DA SUPRESSÃO SEM PAVIMENTO</t>
  </si>
  <si>
    <t>C2721</t>
  </si>
  <si>
    <t>DESOBSTRUÇÃO E LIMPEZA DE REDE ENTRE PV's DN ATE 200 C/VARETA</t>
  </si>
  <si>
    <t>C4717</t>
  </si>
  <si>
    <t>RELIGAÇÃO SIMPLES DO RAMAL PREDIAL DE ÁGUA NO KIT CAVALETE COM USO DE MOTO</t>
  </si>
  <si>
    <t>C4605</t>
  </si>
  <si>
    <t>RELIGAÇÃO DO RAMAL PREDIAL DE ÁGUA EM QUALQUER TIPO DE PAVIMENTO DO LOGRADOURO COM O FORNECIMENTO DE MATERIAL</t>
  </si>
  <si>
    <t>C4606</t>
  </si>
  <si>
    <t>SUPRESSÃO DO RAMAL PREDIAL DE ÁGUA COM A REMOÇÃO DO HIDRÔMETRO EM LOGRADOURO SEM PAVIMENTO</t>
  </si>
  <si>
    <t>C4607</t>
  </si>
  <si>
    <t>SUPRESSÃO DO RAMAL PREDIAL DE ÁGUA COM A REMOÇÃO DO HIDRÔMETRO EM LOGRADOURO COM PAVIMENTO DE PEDRA TOSCA OU PARALELO</t>
  </si>
  <si>
    <t>C4608</t>
  </si>
  <si>
    <t>SUPRESSÃO DO RAMAL PREDIAL DE ÁGUA COM A REMOÇÃO DO HIDRÔMETRO EM LOGRADOURO COM PAVIMENTO EM ASFALTO</t>
  </si>
  <si>
    <t>C4720</t>
  </si>
  <si>
    <t>SUPRESSÃO DO RAMAL PREDIAL DE ÁGUA COM USO DE CHIBAGUA E RETIRADA DE HIDRÔMETRO</t>
  </si>
  <si>
    <t>C2979</t>
  </si>
  <si>
    <t>TRANSFERÊNCIA DE LIGAÇÃO EM REDE REMANEJADA</t>
  </si>
  <si>
    <t>C2986</t>
  </si>
  <si>
    <t>VISITA AO LOCAL DA SUPRESSÃO (PAGAR SE HOUVER QUITAÇÃO APÓS VISITA)</t>
  </si>
  <si>
    <t>C4616</t>
  </si>
  <si>
    <t>VISITA DE COBRANÇA COM ORDEM DE CORTE AOS CLIENTES INADIMPLENTES</t>
  </si>
  <si>
    <t>RETIRADA DE VAZAMENTO EM REDE E LIGAÇÃO D'ÁGUA/OUTROS</t>
  </si>
  <si>
    <t>C0810</t>
  </si>
  <si>
    <t>COLOCAÇÃO DE REGISTRO EM REDE EM OPERAÇÃO DN  50 a 100</t>
  </si>
  <si>
    <t>C0811</t>
  </si>
  <si>
    <t>COLOCAÇÃO DE REGISTRO EM REDE EM OPERAÇÃO DN 150 a 200</t>
  </si>
  <si>
    <t>C0812</t>
  </si>
  <si>
    <t>COLOCAÇÃO DE REGISTRO EM REDE EM OPERAÇÃO DN 250 a 300</t>
  </si>
  <si>
    <t>C2719</t>
  </si>
  <si>
    <t>DESOBSTRUÇÃO DE REDE EM TUBO FoFo ATÉ 75mm COM VARETAS</t>
  </si>
  <si>
    <t>C2715</t>
  </si>
  <si>
    <t>RETIRADA DE VAZAMENTO EM LIGAÇÃO, RUA COM PAVIMENTAÇÃO EM ASFALTO</t>
  </si>
  <si>
    <t>C2738</t>
  </si>
  <si>
    <t>RETIRADA DE VAZAMENTO EM LIGAÇÃO, NA CALÇADA SEM PAVIMENTAÇÃO</t>
  </si>
  <si>
    <t>C2739</t>
  </si>
  <si>
    <t>RETIRADA DE VAZAMENTO EM LIGAÇÃO, NA CALÇADA, QUALQUER TIPO DE PAVIMENTAÇÃO</t>
  </si>
  <si>
    <t>C2740</t>
  </si>
  <si>
    <t>RETIRADA DE VAZAMENTO EM LIGAÇÃO, RUA COM PAVIMENTAÇÃO EM PEDRA TOSCA OU PARALELO</t>
  </si>
  <si>
    <t>C2741</t>
  </si>
  <si>
    <t>RETIRADA DE VAZAMENTO EM LIGAÇÃO, RUA SEM PAVIMENTAÇÃO</t>
  </si>
  <si>
    <t>C2742</t>
  </si>
  <si>
    <t>RETIRADA DE VAZAMENTO EM REDE DE CA/FoFo ATÉ DN 100mm, PAVIMENTAÇÃO EM ASFALTO</t>
  </si>
  <si>
    <t>C2743</t>
  </si>
  <si>
    <t>RETIRADA DE VAZAMENTO EM REDE DE CA/FoFo ATÉ DN 100mm, PAVIMENTAÇÃO EM PEDRA TOSCA</t>
  </si>
  <si>
    <t>C2744</t>
  </si>
  <si>
    <t>RETIRADA DE VAZAMENTO EM REDE DE CA/FoFo ATÉ DN 100mm, SEM PAVIMENTAÇÃO</t>
  </si>
  <si>
    <t>C2745</t>
  </si>
  <si>
    <t>RETIRADA DE VAZAMENTO EM REDE DE CA/FoFo DN 150 À 250mm, PAVIMENTAÇÃO EM ASFALTO</t>
  </si>
  <si>
    <t>C2746</t>
  </si>
  <si>
    <t>RETIRADA DE VAZAMENTO EM REDE DE CA/FoFo DN 150 À 250mm, PAVIMENTAÇÃO EM PEDRA TOSCA</t>
  </si>
  <si>
    <t>C2747</t>
  </si>
  <si>
    <t>RETIRADA DE VAZAMENTO EM REDE DE CA/FoFo DN 150 À 250mm, S/ PAVIMENTAÇÃO</t>
  </si>
  <si>
    <t>C2748</t>
  </si>
  <si>
    <t>RETIRADA DE VAZAMENTO EM REDE DE FoFo DN 300mm, PAVIMENTAÇÃO EM ASFALTO</t>
  </si>
  <si>
    <t>C2749</t>
  </si>
  <si>
    <t>RETIRADA DE VAZAMENTO EM REDE DE FoFo DN 300mm, PAVIMENTAÇÃO EM PEDRA TOSCA</t>
  </si>
  <si>
    <t>C2750</t>
  </si>
  <si>
    <t>RETIRADA DE VAZAMENTO EM REDE DE FoFo DN 300mm, S/ PAVIMENTAÇÃO</t>
  </si>
  <si>
    <t>C2751</t>
  </si>
  <si>
    <t xml:space="preserve"> RETIRADA DE VAZAMENTO EM REDE DE PVC ATÉ DN 100mm, PAVIMENTAÇÃO EM ASFALTO</t>
  </si>
  <si>
    <t>C2752</t>
  </si>
  <si>
    <t>RETIRADA DE VAZAMENTO EM REDE DE PVC ATÉ DN 100mm, PAVIMENTAÇÃO EM PEDRA TOSCA</t>
  </si>
  <si>
    <t>C2753</t>
  </si>
  <si>
    <t>RETIRADA DE VAZAMENTO EM REDE DE PVC ATÉ DN 100mm, S/PAVIMENTAÇÃO</t>
  </si>
  <si>
    <t>C2754</t>
  </si>
  <si>
    <t>RETIRADA DE VAZAMENTO EM REDE DE PVC/DEFoFo DN 150 À 250mm</t>
  </si>
  <si>
    <t>C2755</t>
  </si>
  <si>
    <t>RETIRADA DE VAZAMENTO EM REDE DE PVC/DEFoFo DN 150 À 250mm, PAVIMENTAÇÃO EM PEDRA TOSCA</t>
  </si>
  <si>
    <t>C2756</t>
  </si>
  <si>
    <t>RETIRADA DE VAZAMENTO EM REDE DE PVC/DEFoFo DN 150 À 250mm, S/ PAVIMENTAÇÃO</t>
  </si>
  <si>
    <t>C2890</t>
  </si>
  <si>
    <t>RETIRADA DE VAZAMENTO NO CAVALETE</t>
  </si>
  <si>
    <t>INJETAMENTO EM TUBULAÇÃO</t>
  </si>
  <si>
    <t>C2762</t>
  </si>
  <si>
    <t>INJETAMENTO EM TUBO EXISTENTE PVC ATE 100mm INCL. DESLOCAMENTO</t>
  </si>
  <si>
    <t>C2761</t>
  </si>
  <si>
    <t>INJETAMENTO EM TUBO EXISTENTE PVC 100&lt;DN&lt;=200mm INCL. DESLOCAMENTO</t>
  </si>
  <si>
    <t>C2760</t>
  </si>
  <si>
    <t>INJETAMENTO EM TUBO EXISTENTE FoFo ATE DN 200mm INCL. DESLOCAMENTO</t>
  </si>
  <si>
    <t>C2757</t>
  </si>
  <si>
    <t>INJETAMENTO EM TUBO EXISTENTE DE PVC DN&gt;200mm INCL. DESLOCAMENTO</t>
  </si>
  <si>
    <t>C2758</t>
  </si>
  <si>
    <t>INJETAMENTO EM TUBO EXISTENTE FoFo 200&lt;DN&lt;=300mm INCL. DESLOCAMETO</t>
  </si>
  <si>
    <t>C2759</t>
  </si>
  <si>
    <t>INJETAMENTO EM TUBO EXISTENTE FoFo 300&lt;DN&lt;=500mm INCL. DESLOCAMENTO</t>
  </si>
  <si>
    <t>C4596</t>
  </si>
  <si>
    <t>INJETAMENTO EM TUBO EXISTENTE FoFo 500&lt;DN&lt;=800 INCL. DESLOCAMENTO</t>
  </si>
  <si>
    <t>C4597</t>
  </si>
  <si>
    <t>INJETAMENTO EM TUBO EXISTENTE FoFo 800&lt;DN&lt;=1000 INCL. DESLOCAMENTO</t>
  </si>
  <si>
    <t>MANUTENÇÃO EM REDE DE ESGOTO</t>
  </si>
  <si>
    <t>C0231</t>
  </si>
  <si>
    <t>ASSENTAMENTO DE TAMPÃO FoFo P/ POÇO DE VISITA</t>
  </si>
  <si>
    <t>C0514</t>
  </si>
  <si>
    <t>BY-PASS EM REDE DE ESGOTO</t>
  </si>
  <si>
    <t>C4074</t>
  </si>
  <si>
    <t>CHUMBAMENTO DE RAMAL INTRA-DOMICILIAR DN 100 NA CAIXA DE INSPEÇÃO</t>
  </si>
  <si>
    <t>C0795</t>
  </si>
  <si>
    <t>CHUMBAMENTO TUBULAÇÃO NO POÇO VISITA (BLOCO DE CONCRETO)</t>
  </si>
  <si>
    <t>C0813</t>
  </si>
  <si>
    <t>COLOCAÇÃO DE TAMPA EM CAIXA DE INSPEÇÃO</t>
  </si>
  <si>
    <t>C0814</t>
  </si>
  <si>
    <t>COLOCAÇÃO E CHUMBAMENTO LAJE EXCÊNTRICA, CHAMINÉ E TAMPÃO EM PV</t>
  </si>
  <si>
    <t>C0815</t>
  </si>
  <si>
    <t>COLOCAÇÃO E CHUMBAMENTO LAJE EXCENTRICA E TAMPÃO EM PV</t>
  </si>
  <si>
    <t>C0816</t>
  </si>
  <si>
    <t>COLOCAÇÃO TUBO CONCRETO PB D= 600 EM PV C/REJUNT./TRANSPORTE</t>
  </si>
  <si>
    <t>C0817</t>
  </si>
  <si>
    <t>COLOCAÇÃO TUBO CONCRETO PB D=1000 EM PV C/REJUNT./TRANSPORTE</t>
  </si>
  <si>
    <t>C2720</t>
  </si>
  <si>
    <t>DESOBSTRUÇÃO E LIMPEZA DE REDE ENTRE PV's DN 200,01 a 400 C/VARETA</t>
  </si>
  <si>
    <t>C2988</t>
  </si>
  <si>
    <t>DESOBSTRUÇÃO E LIMPEZA DE REDE ESGOTO ENTRE PV's (INCLUSIVE)</t>
  </si>
  <si>
    <t>C2722</t>
  </si>
  <si>
    <t>DESOBSTRUÇÃO EM LIGAÇÃO DE ESGOTO DN 100 C/LIMPEZA DA CAIXA</t>
  </si>
  <si>
    <t>C2723</t>
  </si>
  <si>
    <t>DESOBSTRUÇÃO EM LIGAÇÃO DE ESGOTO DN&gt;100 C/LIMPEZA DA CAIXA</t>
  </si>
  <si>
    <t>C2725</t>
  </si>
  <si>
    <t>DESOBSTRUÇÃO EM REDE ENTRE PV's DN ATE 200mm, C/EQUIP.A JATO</t>
  </si>
  <si>
    <t>C2724</t>
  </si>
  <si>
    <t>DESOBSTRUÇÃO EM REDE ENTRE PV's DN 200,01 a 400mm, C/EQUIP. A JATO</t>
  </si>
  <si>
    <t>C2817</t>
  </si>
  <si>
    <t>EXECUÇÃO DE CALHA EM CONCRETO NO POÇO DE VISITA</t>
  </si>
  <si>
    <t>C4212</t>
  </si>
  <si>
    <t>LIMPEZA DE CAIXAS DE INSPEÇÃO</t>
  </si>
  <si>
    <t>C2866</t>
  </si>
  <si>
    <t>LIMPEZA DE PV PROF. ATÉ 2.00m C/EQUIPAMENTO A VÁCUO</t>
  </si>
  <si>
    <t>C2871</t>
  </si>
  <si>
    <t>LIMPEZA DE PV PROF. 2,01 a 3,00m C/EQUIPAMENTO A VACUO</t>
  </si>
  <si>
    <t>C2867</t>
  </si>
  <si>
    <t>LIMPEZA DE PV PROF. MAIOR QUE 3.00m C/EQUIPAMENTO A VÁCUO</t>
  </si>
  <si>
    <t>C2868</t>
  </si>
  <si>
    <t>LIMPEZA DE PV's PROF. ATE 2,00m, MANUAL</t>
  </si>
  <si>
    <t>C2869</t>
  </si>
  <si>
    <t>LIMPEZA DE PV's PROF. ENTRE 2.00  A  3.00m, MANUAL</t>
  </si>
  <si>
    <t>C2870</t>
  </si>
  <si>
    <t>LIMPEZA DE PV's PROF. MAIOR QUE 3.00m, MANUAL</t>
  </si>
  <si>
    <t>C2888</t>
  </si>
  <si>
    <t>NIVELAMENTO DE TAMPÃO DO TIL/TERMINAL DE LIMPEZA</t>
  </si>
  <si>
    <t>C2889</t>
  </si>
  <si>
    <t>NIVELAMENTO DE TAMPÃO EM POÇO DE VISITA</t>
  </si>
  <si>
    <t>C2934</t>
  </si>
  <si>
    <t>RECUPERAÇÃO DE CAIXA DE INSPEÇÃO</t>
  </si>
  <si>
    <t>C2943</t>
  </si>
  <si>
    <t>RETIRADA DE POÇO DE VISITA</t>
  </si>
  <si>
    <t>C2951</t>
  </si>
  <si>
    <t>SONDAGEM E INSPEÇÃO EM POÇO DE VISITA</t>
  </si>
  <si>
    <t>C2977</t>
  </si>
  <si>
    <t>TAMPONAMENTO PROVISÓRIO DE POÇO DE VISITA</t>
  </si>
  <si>
    <t>RECUPERAÇÃO DE TUBULAÇÃO</t>
  </si>
  <si>
    <t>C2935</t>
  </si>
  <si>
    <t>RECUPERAÇÃO TUBULAÇÃO FoFo DN 250mm (CORTE E DESBASTE PONTA)</t>
  </si>
  <si>
    <t>SERVIÇO COMERCIAL</t>
  </si>
  <si>
    <t>C4199</t>
  </si>
  <si>
    <t>COLOCAÇÃO DE APARELHO ELIMINADOR DE AR</t>
  </si>
  <si>
    <t>C4200</t>
  </si>
  <si>
    <t>COLOCAÇÃO DE VENTOSA EM REDE EM OPERAÇÃO DN 150 A 200</t>
  </si>
  <si>
    <t>C2766</t>
  </si>
  <si>
    <t>ENSAIO DE HIDRÔMETRO</t>
  </si>
  <si>
    <t>BAN</t>
  </si>
  <si>
    <t>C4207</t>
  </si>
  <si>
    <t>INSTALAÇÃO DE MACROMEDIDOR TIPO WALTMANN PARA DIÂMETROS ATÉ 300mm</t>
  </si>
  <si>
    <t>C4206</t>
  </si>
  <si>
    <t>INSTALAÇÃO DE MACROMEDIDOR TIPO WALTMANN PARA DIÂMETROS ENTRE 350mm E 600mm</t>
  </si>
  <si>
    <t>C2859</t>
  </si>
  <si>
    <t>LANÇAMENTO DE ESGOTO NO INTERCEPTOR</t>
  </si>
  <si>
    <t>C2880</t>
  </si>
  <si>
    <t>MEDIÇÃO DE PRESSÃO E VAZÃO</t>
  </si>
  <si>
    <t>C4213</t>
  </si>
  <si>
    <t>MONTAGEM DE TUBOS, CONEXÕES E PEÇAS ESPECIAIS, SUBST. REGISTRO P/ TOMADA D'ÁGUA</t>
  </si>
  <si>
    <t>C2961</t>
  </si>
  <si>
    <t>SUBSTITUIÇÃO DE REGISTRO COM VOLANTE 3/4" (C/ MATERIAL)</t>
  </si>
  <si>
    <t>C2959</t>
  </si>
  <si>
    <t>SUBSTITUIÇÃO DE REGISTRO COM VOLANTE 1" (C/ MATERIAL)</t>
  </si>
  <si>
    <t>C2960</t>
  </si>
  <si>
    <t>SUBSTITUIÇÃO DE REGISTRO COM VOLANTE 2" (C/ MATERIAL)</t>
  </si>
  <si>
    <t>C2962</t>
  </si>
  <si>
    <t>SUBSTITUIÇÃO DE REGISTRO DE PVC C/BORBOLETA 3/4"(C/MATERIAL)</t>
  </si>
  <si>
    <t>INST. ELÉTRICAS, TELEFONIA, LÓGICA, SOM E SISTEMAS DE CONTROLE</t>
  </si>
  <si>
    <t>ELETRODUTOS DE PVC E CONEXÕES</t>
  </si>
  <si>
    <t>C1019</t>
  </si>
  <si>
    <t>CURVA P/ELETRODUTO PVC ROSC. D= 20mm (1/2")</t>
  </si>
  <si>
    <t>C1020</t>
  </si>
  <si>
    <t>CURVA P/ELETRODUTO PVC ROSC. D= 25mm (3/4")</t>
  </si>
  <si>
    <t>C1021</t>
  </si>
  <si>
    <t>CURVA P/ELETRODUTO PVC ROSC. D= 32mm (1")</t>
  </si>
  <si>
    <t>C1022</t>
  </si>
  <si>
    <t>CURVA P/ELETRODUTO PVC ROSC. D= 40mm (1 1/4")</t>
  </si>
  <si>
    <t>C1023</t>
  </si>
  <si>
    <t>CURVA P/ELETRODUTO PVC ROSC. D= 50mm (1 1/2")</t>
  </si>
  <si>
    <t>C1024</t>
  </si>
  <si>
    <t>CURVA P/ELETRODUTO PVC ROSC. D= 60mm (2")</t>
  </si>
  <si>
    <t>C1025</t>
  </si>
  <si>
    <t>CURVA P/ELETRODUTO PVC ROSC. D= 75mm (2 1/2")</t>
  </si>
  <si>
    <t>C1026</t>
  </si>
  <si>
    <t>CURVA P/ELETRODUTO PVC ROSC. D= 85mm (3")</t>
  </si>
  <si>
    <t>C1027</t>
  </si>
  <si>
    <t>CURVA P/ELETRODUTO PVC ROSC. D=110mm (4")</t>
  </si>
  <si>
    <t>C1204</t>
  </si>
  <si>
    <t>ELETRODUTO CONDULETE DE PVC DE 1/2"</t>
  </si>
  <si>
    <t>C1205</t>
  </si>
  <si>
    <t>ELETRODUTO CONDULETE DE PVC DE 3/4"</t>
  </si>
  <si>
    <t>C1203</t>
  </si>
  <si>
    <t>ELETRODUTO CONDULETE DE PVC DE 1"</t>
  </si>
  <si>
    <t>C1185</t>
  </si>
  <si>
    <t>ELETRODUTO PVC ROSC. D= 20mm (1/2")</t>
  </si>
  <si>
    <t>C1186</t>
  </si>
  <si>
    <t>ELETRODUTO PVC ROSC. D= 25mm (3/4")</t>
  </si>
  <si>
    <t>C1187</t>
  </si>
  <si>
    <t>ELETRODUTO PVC ROSC. D= 32mm (1")</t>
  </si>
  <si>
    <t>C1188</t>
  </si>
  <si>
    <t>ELETRODUTO PVC ROSC. D= 40mm (1 1/4")</t>
  </si>
  <si>
    <t>C1189</t>
  </si>
  <si>
    <t>ELETRODUTO PVC ROSC. D= 50mm (1 1/2")</t>
  </si>
  <si>
    <t>C1190</t>
  </si>
  <si>
    <t>ELETRODUTO PVC ROSC. D= 60mm (2")</t>
  </si>
  <si>
    <t>C1191</t>
  </si>
  <si>
    <t>ELETRODUTO PVC ROSC. D= 75mm (2 1/2")</t>
  </si>
  <si>
    <t>C1192</t>
  </si>
  <si>
    <t>ELETRODUTO PVC ROSC. D= 85mm (3")</t>
  </si>
  <si>
    <t>C1193</t>
  </si>
  <si>
    <t>ELETRODUTO PVC ROSC. D=110mm (4")</t>
  </si>
  <si>
    <t>C1195</t>
  </si>
  <si>
    <t>ELETRODUTO PVC ROSC.INCL.CONEXÕES D= 20mm (1/2")</t>
  </si>
  <si>
    <t>C1196</t>
  </si>
  <si>
    <t>ELETRODUTO PVC ROSC.INCL.CONEXÕES D= 25mm (3/4")</t>
  </si>
  <si>
    <t>C1197</t>
  </si>
  <si>
    <t>ELETRODUTO PVC ROSC.INCL.CONEXÕES D= 32mm (1")</t>
  </si>
  <si>
    <t>C1198</t>
  </si>
  <si>
    <t>ELETRODUTO PVC ROSC.INCL.CONEXÕES D= 40mm (1 1/4")</t>
  </si>
  <si>
    <t>C1199</t>
  </si>
  <si>
    <t>ELETRODUTO PVC ROSC.INCL.CONEXÕES D= 50mm (1 1/2")</t>
  </si>
  <si>
    <t>C1194</t>
  </si>
  <si>
    <t>ELETRODUTO PVC ROSC.INCL.CONEXOES D= 60mm (2")</t>
  </si>
  <si>
    <t>C1200</t>
  </si>
  <si>
    <t>ELETRODUTO PVC ROSC.INCL.CONEXÕES D= 75mm (2 1/2")</t>
  </si>
  <si>
    <t>C1202</t>
  </si>
  <si>
    <t>ELETRODUTO PVC ROSC.INCL.CONEXÕES D=85MM (3")</t>
  </si>
  <si>
    <t>C1201</t>
  </si>
  <si>
    <t>ELETRODUTO PVC ROSC.INCL.CONEXÕES D=110mm (4")</t>
  </si>
  <si>
    <t>C1184</t>
  </si>
  <si>
    <t>ELETRODUTO FLEXÍVEL, TIPO GARGANTA</t>
  </si>
  <si>
    <t>C1708</t>
  </si>
  <si>
    <t>LUVA P/ELETRODUTO PVC ROSC. D= 20mm (1/2")</t>
  </si>
  <si>
    <t>C1709</t>
  </si>
  <si>
    <t>LUVA P/ELETRODUTO PVC ROSC. D= 25mm (3/4")</t>
  </si>
  <si>
    <t>C1710</t>
  </si>
  <si>
    <t>LUVA P/ELETRODUTO PVC ROSC. D= 32mm (1")</t>
  </si>
  <si>
    <t>C1711</t>
  </si>
  <si>
    <t>LUVA P/ELETRODUTO PVC ROSC. D= 40mm (1 1/4")</t>
  </si>
  <si>
    <t>C1712</t>
  </si>
  <si>
    <t>LUVA P/ELETRODUTO PVC ROSC. D= 50mm (1 1/2")</t>
  </si>
  <si>
    <t>C1713</t>
  </si>
  <si>
    <t>LUVA P/ELETRODUTO PVC ROSC. D= 60mm (2")</t>
  </si>
  <si>
    <t>C1714</t>
  </si>
  <si>
    <t>LUVA P/ELETRODUTO PVC ROSC. D= 75mm (2 1/2")</t>
  </si>
  <si>
    <t>C1715</t>
  </si>
  <si>
    <t>LUVA P/ELETRODUTO PVC ROSC. D= 85mm (3")</t>
  </si>
  <si>
    <t>C1716</t>
  </si>
  <si>
    <t>LUVA P/ELETRODUTO PVC ROSC. D=110mm (4")</t>
  </si>
  <si>
    <t>C3566</t>
  </si>
  <si>
    <t>MUTIRÃO MISTO - CURVA P/ELETRODUTO PVC ROSC. D=25mm (3/4")</t>
  </si>
  <si>
    <t>C3568</t>
  </si>
  <si>
    <t>MUTIRÃO MISTO - ELETRODUTO TIPO CONDULETE DE PVC DE 1/2"</t>
  </si>
  <si>
    <t>C3569</t>
  </si>
  <si>
    <t>MUTIRÃO MISTO - ELETRODUTO DE PVC ROSC. D=25mm (3/4)"</t>
  </si>
  <si>
    <t>C3574</t>
  </si>
  <si>
    <t>MUTIRÃO MISTO - LUVA P/ELETRODUTO PVC ROSC. D=25mm(3/4")</t>
  </si>
  <si>
    <t>ELETRODUTOS DE ALUMÍNIO</t>
  </si>
  <si>
    <t>C1179</t>
  </si>
  <si>
    <t>ELETRODUTO DE ALUMÍNIO, INCLUSIVE CONEXÕES DE  3/4"</t>
  </si>
  <si>
    <t>C1181</t>
  </si>
  <si>
    <t>ELETRODUTO DE ALUMÍNIO, INCLUSIVE CONEXÕES DE 1"</t>
  </si>
  <si>
    <t>C1178</t>
  </si>
  <si>
    <t>ELETRODUTO DE ALUMÍNIO, INCLUSIVE CONEXÕES DE  1 1/4"</t>
  </si>
  <si>
    <t>C1180</t>
  </si>
  <si>
    <t>ELETRODUTO DE ALUMÍNIO, INCLUSIVE CONEXÕES DE 1 1/2"</t>
  </si>
  <si>
    <t>C1183</t>
  </si>
  <si>
    <t>ELETRODUTO DE ALUMÍNIO, INCLUSIVE CONEXÕES DE 2"</t>
  </si>
  <si>
    <t>C1182</t>
  </si>
  <si>
    <t>ELETRODUTO DE ALUMÍNIO, INCLUSIVE CONEXÕES DE 2 1/2"</t>
  </si>
  <si>
    <t>C4536</t>
  </si>
  <si>
    <t>ELETRODUTO DE ALUMÍNIO, INCLUSIVE CONEXÕES DE 3"</t>
  </si>
  <si>
    <t>DUTOS E ACESSÓRIOS</t>
  </si>
  <si>
    <t>C1162</t>
  </si>
  <si>
    <t>DUTO PERFURADO - PERFILADOS CHAPA DE AÇO (15X35)mm</t>
  </si>
  <si>
    <t>C1153</t>
  </si>
  <si>
    <t>DUTO PERFURADO -  PERFILADOS CHAPA DE AÇO (19X38)mm</t>
  </si>
  <si>
    <t>C1163</t>
  </si>
  <si>
    <t>DUTO PERFURADO - PERFILADOS CHAPA DE AÇO (25X25)mm</t>
  </si>
  <si>
    <t>C1164</t>
  </si>
  <si>
    <t>DUTO PERFURADO - PERFILADOS CHAPA DE AÇO (35X35)mm</t>
  </si>
  <si>
    <t>C1165</t>
  </si>
  <si>
    <t>DUTO PERFURADO - PERFILADOS CHAPA DE AÇO (38X38)mm</t>
  </si>
  <si>
    <t>C1156</t>
  </si>
  <si>
    <t>DUTO PERFURADO - ELETROCALHA CHAPA DE AÇO (25X20)mm</t>
  </si>
  <si>
    <t>C1157</t>
  </si>
  <si>
    <t>DUTO PERFURADO - ELETROCALHA CHAPA DE AÇO (25X75)mm</t>
  </si>
  <si>
    <t>C1158</t>
  </si>
  <si>
    <t>DUTO PERFURADO - ELETROCALHA CHAPA DE AÇO (50X50)mm</t>
  </si>
  <si>
    <t>C1161</t>
  </si>
  <si>
    <t>DUTO PERFURADO - ELETROCALHA DE CHAPA DE AÇO (50X75)mm</t>
  </si>
  <si>
    <t>C1160</t>
  </si>
  <si>
    <t>DUTO PERFURADO - ELETROCALHA DE CHAPA DE AÇO (50X100)mm</t>
  </si>
  <si>
    <t>C1159</t>
  </si>
  <si>
    <t>DUTO PERFURADO - ELETROCALHA CHAPA DE AÇO (75X75)mm</t>
  </si>
  <si>
    <t>C1155</t>
  </si>
  <si>
    <t>DUTO PERFURADO - ELETROCALHA CHAPA DE AÇO (100X100)mm</t>
  </si>
  <si>
    <t>C1154</t>
  </si>
  <si>
    <t>DUTO PERFURADO - ELETROCALHA CHAPA DE AÇO (100 X 200)mm</t>
  </si>
  <si>
    <t>C4535</t>
  </si>
  <si>
    <t>DUTO PERFURADO - ELETROCALHA CHAPA DE AÇO (100X300)mm</t>
  </si>
  <si>
    <t>C3617</t>
  </si>
  <si>
    <t>DUTOS FLEXÍVEIS EM PEAD (POLIETILENO DE ALTA DENSIDADE) - D=1 1/4", INCLUSIVE CONEXÕES</t>
  </si>
  <si>
    <t>C3618</t>
  </si>
  <si>
    <t>DUTOS FLEXÍVEIS EM PEAD (POLIETILENO DE ALTA DENSIDADE) - D=1 1/2", INCLUSIVE CONEXÕES</t>
  </si>
  <si>
    <t>C3619</t>
  </si>
  <si>
    <t>DUTOS FLEXÍVEIS EM PEAD (POLIETILENO DE ALTA DENSIDADE) - D=2", INCLUSIVE CONEXÕES</t>
  </si>
  <si>
    <t>C3620</t>
  </si>
  <si>
    <t>DUTOS FLEXÍVEIS EM PEAD (POLIETILENO DE ALTA DENSIDADE) - D=3", INCLUSIVE CONEXÕES</t>
  </si>
  <si>
    <t>C3621</t>
  </si>
  <si>
    <t>DUTOS FLEXÍVEIS EM PEAD (POLIETILENO DE ALTA DENSIDADE) - D=4", INCLUSIVE CONEXÕES</t>
  </si>
  <si>
    <t>C3623</t>
  </si>
  <si>
    <t>DUTOS FLEXÍVEIS EM PEAD (POLIETILENO DE ALTA DENSIDADE) - D=5", INCLUSIVE CONEXÕES</t>
  </si>
  <si>
    <t>C3624</t>
  </si>
  <si>
    <t>DUTOS FLEXÍVEIS EM PEAD (POLIETILENO DE ALTA DENSIDADE) - D=6", INCLUSIVE CONEXÕES</t>
  </si>
  <si>
    <t>C2301</t>
  </si>
  <si>
    <t>TAMPA NORMAL P/DUTO PERFURADO, ATE (100X100)mm</t>
  </si>
  <si>
    <t>C2300</t>
  </si>
  <si>
    <t>TAMPA NORMAL P/ DUTO PERFURADO, ATE (100 X200)mm</t>
  </si>
  <si>
    <t>C4537</t>
  </si>
  <si>
    <t>TAMPA NORMAL P/ DUTO PERFURADO, ATÉ (100 x 300) mm</t>
  </si>
  <si>
    <t>CANALETAS</t>
  </si>
  <si>
    <t>C0672</t>
  </si>
  <si>
    <t>CANALETA PLÁSTICA (20 X 10)MM, SISTEMA "X"</t>
  </si>
  <si>
    <t>C0673</t>
  </si>
  <si>
    <t>CANALETA PLÁSTICA (50 X 20)MM, SISTEMA "X"</t>
  </si>
  <si>
    <t>C0671</t>
  </si>
  <si>
    <t>CANALETA PLÁSTICA (110 X 20)MM, SISTEMA "X"</t>
  </si>
  <si>
    <t>C3515</t>
  </si>
  <si>
    <t>CANALETA EVOLUTIVA SISTEMA DLP 60MM X 50MM COM DIVISÓRIA INTERNA</t>
  </si>
  <si>
    <t>C4026</t>
  </si>
  <si>
    <t>CANALETA DE CONCRETO 20cm x 20cm C/ TAMPA EM CHAPA DE ALUMÍNIO CORRUGADO</t>
  </si>
  <si>
    <t>C3516</t>
  </si>
  <si>
    <t>COTOVELO 90 VARIAVEL SISTEMA DLP PARA CANALETA 60MM X 50MM COM DIVISÓRIA INTERNA</t>
  </si>
  <si>
    <t>C3517</t>
  </si>
  <si>
    <t>COTOVELO INTERNO SISTEMA DLP PARA CANALETA 60MM X 50MM COM DIVISÓRIA INTERNA</t>
  </si>
  <si>
    <t>C3518</t>
  </si>
  <si>
    <t>DERIVAÇÃO EM PVC SISTEMA DLP 60MM X 50MM</t>
  </si>
  <si>
    <t>C3520</t>
  </si>
  <si>
    <t>GRAMPO DE SUSTENTAÇÃO DOS CABOS PARA CANALETA EM PVC SISTEMA DLP 60MM X 50MM</t>
  </si>
  <si>
    <t>C1478</t>
  </si>
  <si>
    <t>INSTALAÇÃO INTEGRADA DE CANALETA NO PISO (25X30)MM</t>
  </si>
  <si>
    <t>C3519</t>
  </si>
  <si>
    <t>LUVA PARA CANALETA SISTEMA DLP 60MM X 50MM</t>
  </si>
  <si>
    <t>CONEXÕES METÁLICAS</t>
  </si>
  <si>
    <t>C0478</t>
  </si>
  <si>
    <t>BUCHA E ARRUELA DE AÇO GALV. D= 15mm (1/2")</t>
  </si>
  <si>
    <t>PAR</t>
  </si>
  <si>
    <t>C0479</t>
  </si>
  <si>
    <t>BUCHA E ARRUELA DE AÇO GALV. D= 20mm (3/4")</t>
  </si>
  <si>
    <t>C0480</t>
  </si>
  <si>
    <t>BUCHA E ARRUELA DE AÇO GALV. D= 25mm (1")</t>
  </si>
  <si>
    <t>C0481</t>
  </si>
  <si>
    <t>BUCHA E ARRUELA DE AÇO GALV. D= 32mm (1 1/4")</t>
  </si>
  <si>
    <t>C0482</t>
  </si>
  <si>
    <t>BUCHA E ARRUELA DE AÇO GALV. D= 40mm (1 1/2")</t>
  </si>
  <si>
    <t>C0483</t>
  </si>
  <si>
    <t>BUCHA E ARRUELA DE AÇO GALV. D= 50mm (2")</t>
  </si>
  <si>
    <t>C0484</t>
  </si>
  <si>
    <t>BUCHA E ARRUELA DE AÇO GALV. D= 65mm (2 1/2")</t>
  </si>
  <si>
    <t>C0485</t>
  </si>
  <si>
    <t>BUCHA E ARRUELA DE AÇO GALV. D= 80mm (3")</t>
  </si>
  <si>
    <t>C0486</t>
  </si>
  <si>
    <t>BUCHA E ARRUELA DE AÇO GALV. D= 90mm (3 1/2")</t>
  </si>
  <si>
    <t>C0487</t>
  </si>
  <si>
    <t>BUCHA E ARRUELA DE AÇO GALV. D=100mm (4")</t>
  </si>
  <si>
    <t>C0466</t>
  </si>
  <si>
    <t>BRAÇADEIRA TIPO "D", METÁLICA ATE 1"</t>
  </si>
  <si>
    <t>C0467</t>
  </si>
  <si>
    <t>BRAÇADEIRA TIPO "D", METÁLICA ATE 2"</t>
  </si>
  <si>
    <t>C0468</t>
  </si>
  <si>
    <t>BRAÇADEIRA TIPO "D", METÁLICA ATE 3"</t>
  </si>
  <si>
    <t>C0469</t>
  </si>
  <si>
    <t>BRAÇADEIRA TIPO "D", METÁLICA ATE 4"</t>
  </si>
  <si>
    <t>C3481</t>
  </si>
  <si>
    <t>CONECTOR DE CAIXA TIPO RETO (BOX RETO) EM AÇO  DIAM.=1"</t>
  </si>
  <si>
    <t>C3480</t>
  </si>
  <si>
    <t>CONECTOR DE CAIXA TIPO RETO (BOX RETO) EM AÇO  DIAM.=1 1/4"</t>
  </si>
  <si>
    <t>C3479</t>
  </si>
  <si>
    <t>CONECTOR DE CAIXA TIPO RETO (BOX RETO) EM AÇO  DIAM.=2"</t>
  </si>
  <si>
    <t>C3484</t>
  </si>
  <si>
    <t>SUPORTE DE EQUIPAMENTOS P/INSTALAÇÃO DE TOMADAS E INTERRUPTORES EM DUTOS DE ALUMÍNIO C/DIM. 73MM X 25MM</t>
  </si>
  <si>
    <t>QUADROS / CAIXAS</t>
  </si>
  <si>
    <t>C0593</t>
  </si>
  <si>
    <t>CAIXA AQUATIC PVC RÍGIDO REF. 921.07, C/ ENCAIXE</t>
  </si>
  <si>
    <t>C0594</t>
  </si>
  <si>
    <t>CAIXA AQUATIC PVC RÍGIDO REF. 921.06 , S/ ENCAIXE</t>
  </si>
  <si>
    <t>C3504</t>
  </si>
  <si>
    <t>CAIXA ALVENARIA / REBOCO / C/ TAMPA CONCRETO S/ FUNDO DI=30x30x50 cm</t>
  </si>
  <si>
    <t>C0591</t>
  </si>
  <si>
    <t>CAIXA ALVENARIA/REBOCO C/TAMPA CONCRETO FUNDO BRITA 60x60x60cm</t>
  </si>
  <si>
    <t>C0592</t>
  </si>
  <si>
    <t>CAIXA ALVENARIA/REBOCO C/TAMPA CONCRETO FUNDO BRITA 80x80x80cm</t>
  </si>
  <si>
    <t>C0596</t>
  </si>
  <si>
    <t>CAIXA DE ALVENARIA C/ TAMPA SELADA PELA COELCE</t>
  </si>
  <si>
    <t>C0595</t>
  </si>
  <si>
    <t>CAIXA DE ALUMINIO FUNDIDO (40X40X15)cm, C/TAMPA CEGA</t>
  </si>
  <si>
    <t>C3926</t>
  </si>
  <si>
    <t>CAIXA DE CONCRETO P/ BASE METÁLICA</t>
  </si>
  <si>
    <t>C0598</t>
  </si>
  <si>
    <t>CAIXA DE DERIVAÇÃO NO PISO 300X300MM OU 420X420MM</t>
  </si>
  <si>
    <t>C4853</t>
  </si>
  <si>
    <t>CAIXA DE EQUIPOTENCIALIZAÇÃO DE TERRA</t>
  </si>
  <si>
    <t>C4861</t>
  </si>
  <si>
    <t>CAIXA DE INSPEÇÃO DE TERRA CILÍNDRICA 300x600mm</t>
  </si>
  <si>
    <t>C0620</t>
  </si>
  <si>
    <t>CAIXA DE LIGAÇÃO C/TOMADA UNIVERSAL E TOMADA TEL.240X180MM</t>
  </si>
  <si>
    <t>C0617</t>
  </si>
  <si>
    <t>CAIXA DE LIGAÇÃO C/2 TOMADAS UNIVERSAL E 2 P/TEL.250X250MM</t>
  </si>
  <si>
    <t>C0619</t>
  </si>
  <si>
    <t>CAIXA DE LIGAÇÃO C/TOMADA P/TELEFONE D=9CM C/MOLDURA 11X11CM</t>
  </si>
  <si>
    <t>C0618</t>
  </si>
  <si>
    <t>CAIXA DE LIGAÇÃO C/TOMADA DE 3P. D=9CM C/MOLDURA 11X11CM</t>
  </si>
  <si>
    <t>C0621</t>
  </si>
  <si>
    <t>CAIXA DE LIGAÇÃO EM CHAPA AÇO ESTAMPADA, 3"X3", 4"X2",4"X4"</t>
  </si>
  <si>
    <t>C0616</t>
  </si>
  <si>
    <t>CAIXA DE LIGAÇÃO EM CHAPA AÇO ESTAMPADA 4"X6", 5"X5"</t>
  </si>
  <si>
    <t>C0622</t>
  </si>
  <si>
    <t>CAIXA DE LIGAÇÃO PLÁSTICA DE SOBREPOR, SISTEMA "X"</t>
  </si>
  <si>
    <t>C4762</t>
  </si>
  <si>
    <t>CAIXA DE LIGAÇÃO PVC 4" X 2"</t>
  </si>
  <si>
    <t>C4761</t>
  </si>
  <si>
    <t>CAIXA DE LIGAÇÃO PVC 4" X 4"</t>
  </si>
  <si>
    <t>C0626</t>
  </si>
  <si>
    <t>CAIXA DE PASSAGEM COM TAMPA PARAFUSADA 100X100X80mm</t>
  </si>
  <si>
    <t>C0629</t>
  </si>
  <si>
    <t>CAIXA DE PASSAGEM COM TAMPA PARAFUSADA 400X400X150mm</t>
  </si>
  <si>
    <t>C0630</t>
  </si>
  <si>
    <t>CAIXA DE PASSAGEM COM TAMPA PARAFUSADA 500X500X150mm</t>
  </si>
  <si>
    <t>C0636</t>
  </si>
  <si>
    <t>CAIXA DE PASSAGEM EM ALVENARIA - 1/2 TIJOLO COMUM</t>
  </si>
  <si>
    <t>C5175</t>
  </si>
  <si>
    <t>CAIXA DE PISO 4"X2", EM ALUMÍNIO</t>
  </si>
  <si>
    <t>C5176</t>
  </si>
  <si>
    <t>CAIXA DE PISO 4"X4", EM ALUMÍNIO</t>
  </si>
  <si>
    <t>C0631</t>
  </si>
  <si>
    <t>CAIXA EM ALVENARIA (40X40X60cm) DE 1/2 TIJOLO COMUM, LASTRO DE BRITA E TAMPA DE CONCRETO</t>
  </si>
  <si>
    <t>C0632</t>
  </si>
  <si>
    <t>CAIXA EM ALVENARIA (60X60X60cm) DE 1/2 TIJOLO COMUM, LASTRO DE BRITA E TAMPA DE CONCRETO</t>
  </si>
  <si>
    <t>C0634</t>
  </si>
  <si>
    <t>CAIXA EM ALVENARIA (80X80X60cm) DE 1/2 TIJOLO COMUM, LASTRO DE BRITA E TAMPA DE CONCRETO</t>
  </si>
  <si>
    <t>C0635</t>
  </si>
  <si>
    <t>CAIXA DE PASSAGEM EM ALVENARIA - 1 TIJOLO COMUM</t>
  </si>
  <si>
    <t>C0624</t>
  </si>
  <si>
    <t>CAIXA EM ALVENARIA (40X40X60cm) DE 1 TIJOLO COMUM, LASTRO DE BRITA E TAMPA DE CONCRETO</t>
  </si>
  <si>
    <t>C0625</t>
  </si>
  <si>
    <t>CAIXA EM ALVENARIA (60X60X60cm) DE 1 TIJOLO COMUM, LASTRO DE BRITA E TAMPA DE CONCRETO</t>
  </si>
  <si>
    <t>C0633</t>
  </si>
  <si>
    <t>CAIXA EM ALVENARIA (80X80X60cm) DE 1 TIJOLO COMUM, LASTRO DE BRITA E TAMPA DE CONCRETO</t>
  </si>
  <si>
    <t>C4836</t>
  </si>
  <si>
    <t>CAIXA EM ALVENARIA TIJOLO FURADO, ESP. = 10cm ( 30x 30x40cm), FUNDO DE CONCRETO, EXCETO ESCAVAÇÃO E TAMPA</t>
  </si>
  <si>
    <t>C4837</t>
  </si>
  <si>
    <t xml:space="preserve">CAIXA EM ALVENARIA TIJOLO FURADO, ESP. = 10cm ( 40x 40x60cm), FUNDO DE CONCRETO, EXCETO ESCAVAÇÃO E TAMPA                           
</t>
  </si>
  <si>
    <t>C4838</t>
  </si>
  <si>
    <t xml:space="preserve">CAIXA EM ALVENARIA TIJOLO FURADO, ESP. = 10cm ( 60x 60x60cm), FUNDO DE CONCRETO, EXCETO ESCAVAÇÃO E TAMPA                   
</t>
  </si>
  <si>
    <t>C4839</t>
  </si>
  <si>
    <t>CAIXA EM ALVENARIA TIJOLO FURADO, ESP. = 10cm ( 80x 80x60cm), FUNDO DE CONCRETO, EXCETO ESCAVAÇÃO E TAMPA</t>
  </si>
  <si>
    <t>C4840</t>
  </si>
  <si>
    <t xml:space="preserve">CAIXA EM ALVENARIA TIJOLO FURADO, ESP. = 10cm (100x100x80cm), FUNDO DE CONCRETO, EXCETO ESCAVAÇÃO E TAMPA
</t>
  </si>
  <si>
    <t>C4841</t>
  </si>
  <si>
    <t>CAIXA EM ALVENARIA TIJOLO FURADO, ESP. = 10cm ( 30x 30x40cm), LASTRO DE BRITA, EXCETO ESCAVAÇÃO E TAMPA</t>
  </si>
  <si>
    <t>C4842</t>
  </si>
  <si>
    <t xml:space="preserve">CAIXA EM ALVENARIA TIJOLO FURADO, ESP. = 10cm ( 40x 40x60cm), LASTRO DE BRITA, EXCETO ESCAVAÇÃO E TAMPA   
</t>
  </si>
  <si>
    <t>C4843</t>
  </si>
  <si>
    <t>CAIXA EM ALVENARIA TIJOLO FURADO, ESP. = 10cm ( 60x 60x60cm), LASTRO DE BRITA, EXCETO ESCAVAÇÃO E TAMPA</t>
  </si>
  <si>
    <t>C4844</t>
  </si>
  <si>
    <t>CAIXA EM ALVENARIA TIJOLO FURADO, ESP. = 10cm ( 80x 80x60cm), LASTRO DE BRITA, EXCETO ESCAVAÇÃO E TAMPA</t>
  </si>
  <si>
    <t>C4845</t>
  </si>
  <si>
    <t>CAIXA EM ALVENARIA TIJOLO FURADO, ESP. = 10cm (100x100x80cm), LASTRO EM BRITA, EXCETO ESCAVAÇÃO E TAMPA</t>
  </si>
  <si>
    <t>C3927</t>
  </si>
  <si>
    <t>CAIXA DE PASSAGEM TIPO A P/ BALIZAMENTO NOTURNO (80x80x80cm)</t>
  </si>
  <si>
    <t>C3928</t>
  </si>
  <si>
    <t>CAIXA DE PASSAGEM TIPO B P/ BALIZAMENTO NOTURNO (150x150x80cm)</t>
  </si>
  <si>
    <t>C0654</t>
  </si>
  <si>
    <t>CAIXA PRÉ MOLDADA CONC.P/ AR CONDICIONADO</t>
  </si>
  <si>
    <t>C0856</t>
  </si>
  <si>
    <t>CONDULETE DE PVC DE 1/2", TIPO C - E - LL - LR</t>
  </si>
  <si>
    <t>C0857</t>
  </si>
  <si>
    <t>CONDULETE DE PVC DE 3/4" TIPO C - E - LL - LR</t>
  </si>
  <si>
    <t>C0855</t>
  </si>
  <si>
    <t>CONDULETE DE PVC DE 1" TIPO C - E - LL - LR</t>
  </si>
  <si>
    <t>C1406</t>
  </si>
  <si>
    <t>FORNECIMENTO E INSTALAÇÃO DE BARRAMENTO DE COBRE P/QUADROS</t>
  </si>
  <si>
    <t>C3781</t>
  </si>
  <si>
    <t>MEDIÇÃO TRIFÁSICA INSTALADA EM MURO - SAÍDA SUBTRRÂNEA</t>
  </si>
  <si>
    <t>C3564</t>
  </si>
  <si>
    <t>MUTIRÃO MISTO - CAIXA DE LIGAÇÃO EM CHAPA AÇO ESTAMPADA, 3"X3", 4"X2", 4"X4"</t>
  </si>
  <si>
    <t>C3578</t>
  </si>
  <si>
    <t>MUTIRÃO MISTO - QUADRO DE MEDIÇÃO PADRÃO COELCE</t>
  </si>
  <si>
    <t>C1895</t>
  </si>
  <si>
    <t>PETROLET ALUMÍNIO DE 1/2", TIPO T - X - L</t>
  </si>
  <si>
    <t>C1890</t>
  </si>
  <si>
    <t>PETROLET ALUMÍNIO DE 3/4", TIPO T - X - L</t>
  </si>
  <si>
    <t>C1894</t>
  </si>
  <si>
    <t>PETROLET ALUMÍNIO DE 1", TIPO T - X - L</t>
  </si>
  <si>
    <t>C1893</t>
  </si>
  <si>
    <t>PETROLET ALUMÍNIO DE 1 1/4", TIPO T - X - L</t>
  </si>
  <si>
    <t>C1892</t>
  </si>
  <si>
    <t>PETROLET ALUMÍNIO DE 1 1/2", TIPO T - X - L</t>
  </si>
  <si>
    <t>C1896</t>
  </si>
  <si>
    <t>PETROLET ALUMÍNIO DE 2", TIPO T - X - L</t>
  </si>
  <si>
    <t>C1887</t>
  </si>
  <si>
    <t>PETROLET ALUMÍNIO DE 2 1/2", TIPO T - X - L</t>
  </si>
  <si>
    <t>C1889</t>
  </si>
  <si>
    <t>PETROLET ALUMÍNIO DE 3", TIPO T - X - L</t>
  </si>
  <si>
    <t>C1888</t>
  </si>
  <si>
    <t>PETROLET ALUMÍNIO DE 3 1/2", TIPO T - X - L</t>
  </si>
  <si>
    <t>C1891</t>
  </si>
  <si>
    <t>PETROLET ALUMÍNIO DE 4", TIPO T - X - L</t>
  </si>
  <si>
    <t>C1946</t>
  </si>
  <si>
    <t>PONTE DE CRUZAMENTO EM CAIXA DE DERIVAÇÃO</t>
  </si>
  <si>
    <t>C2064</t>
  </si>
  <si>
    <t>QUADRO ANUNCIADOR DE ENFERMARIA</t>
  </si>
  <si>
    <t>C2090</t>
  </si>
  <si>
    <t>QUADRO P/ MEDIÇÃO EM POSTE DE CONCRETO</t>
  </si>
  <si>
    <t>C2092</t>
  </si>
  <si>
    <t>QUADRO P/ MEDIÇÃO PRIMÁRIA 15KV</t>
  </si>
  <si>
    <t>C2091</t>
  </si>
  <si>
    <t>QUADRO P/ MEDIÇÃO PRIMÁRIA 15KV HORA-SAZONAL</t>
  </si>
  <si>
    <t>C2065</t>
  </si>
  <si>
    <t>QUADRO DE COMANDO DE BOMBAS - COMPLETO</t>
  </si>
  <si>
    <t>C2076</t>
  </si>
  <si>
    <t>QUADRO DE DISTRIBUIÇÃO EMBUTIR ATE 3 DIVISÕES, S/BARRAMENTO</t>
  </si>
  <si>
    <t>C2078</t>
  </si>
  <si>
    <t>QUADRO DE DISTRIBUIÇÃO EMBUTIR ATE 6 DIVISÕES, S/BARRAMENTO</t>
  </si>
  <si>
    <t>C2066</t>
  </si>
  <si>
    <t>QUADRO DE DISTRIBUIÇÃO DE LUZ SOBREPOR ATE 6 DIVISÕES, C/BARRAMENTO</t>
  </si>
  <si>
    <t>C2077</t>
  </si>
  <si>
    <t>QUADRO DE DISTRIBUIÇÃO DE LUZ EMBUTIR ATE 6 DIVISÕES, C/BARRAMENTO</t>
  </si>
  <si>
    <t>C2067</t>
  </si>
  <si>
    <t>QUADRO DE DISTRIBUIÇÃO DE LUZ EMBUTIR ATÉ 12 DIVISÕES 207X332X95mm, C/BARRAMENTO</t>
  </si>
  <si>
    <t>C2068</t>
  </si>
  <si>
    <t>QUADRO DE DISTRIBUIÇÃO DE LUZ EMBUTIR ATÉ 24 DIVISÕES 332X332X95mm, C/BARRAMENTO</t>
  </si>
  <si>
    <t>C2069</t>
  </si>
  <si>
    <t>QUADRO DE DISTRIBUIÇÃO DE LUZ EMBUTIR ATÉ 36 DIVISÕES 457X332X95mm, C/ BARRAMENTO</t>
  </si>
  <si>
    <t>C2071</t>
  </si>
  <si>
    <t>QUADRO DE DISTRIBUIÇÃO DE LUZ EMBUTIR ATÉ 72 DIVISÕES 457X646X95mm, C/BARRAMENTO</t>
  </si>
  <si>
    <t>C2070</t>
  </si>
  <si>
    <t>QUADRO DE DISTRIBUIÇÃO DE LUZ EMBUTIR ATÉ 72 DIVISÕES 457X646X150mm, C/BARRAMENTO</t>
  </si>
  <si>
    <t>C2072</t>
  </si>
  <si>
    <t>QUADRO DE DISTRIBUIÇÃO DE LUZ SOBREPOR ATÉ 12 DIVISÕES 255X315X135mm, C/BARRAMENTO</t>
  </si>
  <si>
    <t>C2075</t>
  </si>
  <si>
    <t>QUADRO DE DISTRIBUIÇÃO DE LUZ.SOBREPOR ATÉ 24 DIVISÕES 450X315X135mm, C/BARRAMENTO</t>
  </si>
  <si>
    <t>C2074</t>
  </si>
  <si>
    <t>QUADRO DE DISTRIBUIÇÃO DE LUZ.SOBREPOR ATE 64 DIVISÕES 650X440X205mm, C/BARRAMENTO</t>
  </si>
  <si>
    <t>C2073</t>
  </si>
  <si>
    <t>QUADRO DE DISTRIBUIÇÃO DE LUZ SOBREPOR ATÉ 128 DIVISÕES 650X875X205mm, C/BARRAMENTO</t>
  </si>
  <si>
    <t>C2062</t>
  </si>
  <si>
    <t>QUADRO DE DISTRIBUIÇÃO GERAL BAIXA TENSÃO, C/ACESSÓRIOS - 1UN DE MEDIÇÃO</t>
  </si>
  <si>
    <t>C2061</t>
  </si>
  <si>
    <t>QUADRO DE DISTRIBUIÇÃO GERAL BAIXA TENSÃO, C/ACESSÓRIOS- 3UN DE MEDIÇÃO</t>
  </si>
  <si>
    <t>C2084</t>
  </si>
  <si>
    <t>QUADRO DE DISTRIBUIÇÃO, PADRÃO TELEBRÁS 200X200X120mm</t>
  </si>
  <si>
    <t>C2085</t>
  </si>
  <si>
    <t>QUADRO DE DISTRIBUIÇÃO, PADRÃO TELEBRÁS 400X400X120mm</t>
  </si>
  <si>
    <t>C2086</t>
  </si>
  <si>
    <t>QUADRO DE DISTRIBUIÇÃO, PADRÃO TELEBRÁS 600X600X120mm</t>
  </si>
  <si>
    <t>C2087</t>
  </si>
  <si>
    <t>QUADRO DE DISTRIBUIÇÃO, PADRÃO TELEBRÁS 800X800X120mm</t>
  </si>
  <si>
    <t>C2080</t>
  </si>
  <si>
    <t>QUADRO DE DISTRIBUIÇÃO, PADRÃO TELEBRAS 1200X1000X150mm</t>
  </si>
  <si>
    <t>C2081</t>
  </si>
  <si>
    <t>QUADRO DE DISTRIBUIÇÃO, PADRÃO TELEBRAS 1200X1200X150mm</t>
  </si>
  <si>
    <t>C2079</t>
  </si>
  <si>
    <t>QUADRO DE DISTRIBUIÇÃO PADRÃO TELEBRAS-1200X1500X150mm</t>
  </si>
  <si>
    <t>C2082</t>
  </si>
  <si>
    <t>QUADRO DE DISTRIBUIÇÃO, PADRÃO TELEBRAS 1200X1700X150mm</t>
  </si>
  <si>
    <t>C2088</t>
  </si>
  <si>
    <t>QUADRO DE FORÇA, C/ BARRAMENTO (0.90X1.90X0.60)M</t>
  </si>
  <si>
    <t>C2089</t>
  </si>
  <si>
    <t>QUADRO DE FORÇA, C/ BARRAMENTO (1.80X1.90X0.60)M</t>
  </si>
  <si>
    <t>C3925</t>
  </si>
  <si>
    <t>QUADRO DE FORÇA P/ 10kW</t>
  </si>
  <si>
    <t>C3579</t>
  </si>
  <si>
    <t>QUADRO DE MEDIÇÃO PADRÃO COELCE - PADRÃO POPULAR</t>
  </si>
  <si>
    <t>C4052</t>
  </si>
  <si>
    <t>QUADRO METÁLICO (600 x 400 x 400)mm - INSTALADO</t>
  </si>
  <si>
    <t>C2299</t>
  </si>
  <si>
    <t xml:space="preserve">TAMPA DE CONCRETO ESP.= 5cm P/CAIXA EM ALVENARIA </t>
  </si>
  <si>
    <t>C0111</t>
  </si>
  <si>
    <t>ARAME GALVANIZADO PARA PESCA</t>
  </si>
  <si>
    <t>C3750</t>
  </si>
  <si>
    <t>CABO DE FIBRA ÓPTICA, 01 PAR</t>
  </si>
  <si>
    <t>C3751</t>
  </si>
  <si>
    <t>CABO DE FIBRA ÓPTICA, 02 PARES</t>
  </si>
  <si>
    <t>C3752</t>
  </si>
  <si>
    <t>CABO DE FIBRA ÓPTICA, 03 PARES</t>
  </si>
  <si>
    <t>C3753</t>
  </si>
  <si>
    <t>CABO DE FIBRA ÓPTICA, 04 PARES</t>
  </si>
  <si>
    <t>C0522</t>
  </si>
  <si>
    <t>CABO COBRE NU 6MM2</t>
  </si>
  <si>
    <t>C0517</t>
  </si>
  <si>
    <t>CABO COBRE NU 10MM2</t>
  </si>
  <si>
    <t>C0518</t>
  </si>
  <si>
    <t>CABO COBRE NU 16MM2</t>
  </si>
  <si>
    <t>C0519</t>
  </si>
  <si>
    <t>CABO COBRE NU 25MM2</t>
  </si>
  <si>
    <t>C0520</t>
  </si>
  <si>
    <t>CABO COBRE NU 35MM2</t>
  </si>
  <si>
    <t>C0521</t>
  </si>
  <si>
    <t>CABO COBRE NU 50MM2</t>
  </si>
  <si>
    <t>C0523</t>
  </si>
  <si>
    <t>CABO COBRE NU 70MM2</t>
  </si>
  <si>
    <t>C3907</t>
  </si>
  <si>
    <t>CABO COBRE NU, FORMAÇÃO 7 FIOS, 10mm²</t>
  </si>
  <si>
    <t>C4558</t>
  </si>
  <si>
    <t>CABO CORDPLAST (CABO PP) 3 x 2,50 mm²</t>
  </si>
  <si>
    <t>C4377</t>
  </si>
  <si>
    <t>CABO EM PVC 1000V 2,5 mm²</t>
  </si>
  <si>
    <t>C0554</t>
  </si>
  <si>
    <t>CABO EM PVC 1000V  4MM2</t>
  </si>
  <si>
    <t>C0556</t>
  </si>
  <si>
    <t>CABO EM PVC 1000V  6MM2</t>
  </si>
  <si>
    <t>C0547</t>
  </si>
  <si>
    <t>CABO EM PVC 1000V  10MM2</t>
  </si>
  <si>
    <t>C0550</t>
  </si>
  <si>
    <t>CABO EM PVC 1000V  16MM2</t>
  </si>
  <si>
    <t>C0553</t>
  </si>
  <si>
    <t>CABO EM PVC 1000V  25MM2</t>
  </si>
  <si>
    <t>C0558</t>
  </si>
  <si>
    <t>CABO EM PVC 1000V  35MM2</t>
  </si>
  <si>
    <t>C0555</t>
  </si>
  <si>
    <t>CABO EM PVC 1000V  50MM2</t>
  </si>
  <si>
    <t>C0559</t>
  </si>
  <si>
    <t>CABO EM PVC 1000V  70MM2</t>
  </si>
  <si>
    <t>C0557</t>
  </si>
  <si>
    <t>CABO EM PVC 1000V  95MM2</t>
  </si>
  <si>
    <t>C0548</t>
  </si>
  <si>
    <t>CABO EM PVC 1000V  120MM2</t>
  </si>
  <si>
    <t>C0549</t>
  </si>
  <si>
    <t>CABO EM PVC 1000V  150MM2</t>
  </si>
  <si>
    <t>C0551</t>
  </si>
  <si>
    <t>CABO EM PVC 1000V  185MM2</t>
  </si>
  <si>
    <t>C0552</t>
  </si>
  <si>
    <t>CABO EM PVC 1000V  240MM2</t>
  </si>
  <si>
    <t>C4771</t>
  </si>
  <si>
    <t>CABO EM PVC 1000V 300MM2</t>
  </si>
  <si>
    <t>C4818</t>
  </si>
  <si>
    <t>CABO EM PVC 1000V 400MM2</t>
  </si>
  <si>
    <t>C4538</t>
  </si>
  <si>
    <t>CABO EM PVC 15000V 35MM2</t>
  </si>
  <si>
    <t>C4539</t>
  </si>
  <si>
    <t>CABO EM PVC 15000V 120MM2</t>
  </si>
  <si>
    <t>C0540</t>
  </si>
  <si>
    <t>CABO ISOLADO PVC 750V 2,5MM2</t>
  </si>
  <si>
    <t>C0534</t>
  </si>
  <si>
    <t>CABO ISOLADO PVC 750V 4MM2</t>
  </si>
  <si>
    <t>C0537</t>
  </si>
  <si>
    <t>CABO ISOLADO PVC 750V 6MM2</t>
  </si>
  <si>
    <t>C0524</t>
  </si>
  <si>
    <t>CABO ISOLADO PVC 750V 10MM2</t>
  </si>
  <si>
    <t>C0527</t>
  </si>
  <si>
    <t>CABO ISOLADO PVC 750V 16MM2</t>
  </si>
  <si>
    <t>C0530</t>
  </si>
  <si>
    <t>CABO ISOLADO PVC 750V 25 MM2</t>
  </si>
  <si>
    <t>C0532</t>
  </si>
  <si>
    <t>CABO ISOLADO PVC 750V 35MM2</t>
  </si>
  <si>
    <t>C0536</t>
  </si>
  <si>
    <t>CABO ISOLADO PVC 750V 50MM2</t>
  </si>
  <si>
    <t>C0538</t>
  </si>
  <si>
    <t>CABO ISOLADO PVC 750V 70MM2</t>
  </si>
  <si>
    <t>C0539</t>
  </si>
  <si>
    <t>CABO ISOLADO PVC 750V 95MM2</t>
  </si>
  <si>
    <t>C0525</t>
  </si>
  <si>
    <t>CABO ISOLADO PVC 750V 120MM2</t>
  </si>
  <si>
    <t>C0526</t>
  </si>
  <si>
    <t>CABO ISOLADO PVC 750V 150MM2</t>
  </si>
  <si>
    <t>C0528</t>
  </si>
  <si>
    <t>CABO ISOLADO PVC 750V 185MM2</t>
  </si>
  <si>
    <t>C0529</t>
  </si>
  <si>
    <t>CABO ISOLADO PVC 750V 240MM2</t>
  </si>
  <si>
    <t>C0531</t>
  </si>
  <si>
    <t>CABO ISOLADO PVC 750V 300MM2</t>
  </si>
  <si>
    <t>C0533</t>
  </si>
  <si>
    <t>CABO ISOLADO PVC 750V 400MM2</t>
  </si>
  <si>
    <t>C0535</t>
  </si>
  <si>
    <t>CABO ISOLADO PVC 750V 500MM2</t>
  </si>
  <si>
    <t>C0541</t>
  </si>
  <si>
    <t>CABO LÓGICO 4 PARES, CATEGORIA 3 - UTP (10 MPBS)</t>
  </si>
  <si>
    <t>C0542</t>
  </si>
  <si>
    <t>CABO LÓGICO 4 PARES, CATEGORIA 4 - UTP (20 MPBS)</t>
  </si>
  <si>
    <t>C0543</t>
  </si>
  <si>
    <t>CABO LÓGICO 4 PARES, CATEGORIA 5 - UTP (100 MBPS)</t>
  </si>
  <si>
    <t>C4533</t>
  </si>
  <si>
    <t>CABO LÓGICO 4 PARES, CATEGORIA 6 - UTP</t>
  </si>
  <si>
    <t>C4534</t>
  </si>
  <si>
    <t>CABO LÓGICO CTP APL-100 - 50</t>
  </si>
  <si>
    <t>C0544</t>
  </si>
  <si>
    <t>CABO LÓGICO/VÍDEO COAXIAL 5O (OHMS)</t>
  </si>
  <si>
    <t>C0545</t>
  </si>
  <si>
    <t>CABO LÓGICO/VÍDEO COAXIAL 75 (OHMS)</t>
  </si>
  <si>
    <t>C0546</t>
  </si>
  <si>
    <t>CABO LÓGICO/VÍDEO COAXIAL 95 (OHMS)</t>
  </si>
  <si>
    <t>C4031</t>
  </si>
  <si>
    <t>CABO SINGELO ISOLAÇÃO 15 kV, DIÂMETRO 25 mm² - INSTALADO</t>
  </si>
  <si>
    <t>C0562</t>
  </si>
  <si>
    <t>CABO TELEFÔNICO CCI - 1</t>
  </si>
  <si>
    <t>C0563</t>
  </si>
  <si>
    <t>CABO TELEFÔNICO CCI - 2</t>
  </si>
  <si>
    <t>C0564</t>
  </si>
  <si>
    <t>CABO TELEFÔNICO CCI - 3</t>
  </si>
  <si>
    <t>C0565</t>
  </si>
  <si>
    <t>CABO TELEFÔNICO CCI - 4</t>
  </si>
  <si>
    <t>C0566</t>
  </si>
  <si>
    <t>CABO TELEFÔNICO CCI - 5</t>
  </si>
  <si>
    <t>C0567</t>
  </si>
  <si>
    <t>CABO TELEFÔNICO CCI - 6</t>
  </si>
  <si>
    <t>C0568</t>
  </si>
  <si>
    <t>CABO TELEFÔNICO CI 50-10</t>
  </si>
  <si>
    <t>C0570</t>
  </si>
  <si>
    <t>CABO TELEFÔNICO CI 50-20</t>
  </si>
  <si>
    <t>C0572</t>
  </si>
  <si>
    <t>CABO TELEFÔNICO CI 50-30</t>
  </si>
  <si>
    <t>C0573</t>
  </si>
  <si>
    <t>CABO TELEFÔNICO CI 50-50</t>
  </si>
  <si>
    <t>C0569</t>
  </si>
  <si>
    <t>CABO TELEFÔNICO CI 50-100</t>
  </si>
  <si>
    <t>C0571</t>
  </si>
  <si>
    <t>CABO TELEFÔNICO CI 50-200</t>
  </si>
  <si>
    <t>C0574</t>
  </si>
  <si>
    <t>CABO TELEFÔNICO CTP-APL 10</t>
  </si>
  <si>
    <t>C0575</t>
  </si>
  <si>
    <t>CABO TELEFÔNICO CTP-APL 20</t>
  </si>
  <si>
    <t>C0578</t>
  </si>
  <si>
    <t>CABO TELEFÔNICO CTP-APL 30</t>
  </si>
  <si>
    <t>C0579</t>
  </si>
  <si>
    <t>CABO TELEFÔNICO CTP-APL 50</t>
  </si>
  <si>
    <t>C0576</t>
  </si>
  <si>
    <t>CABO TELEFÔNICO CTP-APL 100</t>
  </si>
  <si>
    <t>C0577</t>
  </si>
  <si>
    <t>CABO TELEFÔNICO CTP-APL 200</t>
  </si>
  <si>
    <t>C0560</t>
  </si>
  <si>
    <t>CABO TELEFÔNICO CCE - 2</t>
  </si>
  <si>
    <t>C0561</t>
  </si>
  <si>
    <t>CABO TELEFÔNICO CCE - 3</t>
  </si>
  <si>
    <t>C3908</t>
  </si>
  <si>
    <t>CABO UNIPOLAR ISOLADO EM EPR 3,6/6kV, 10mm²</t>
  </si>
  <si>
    <t>C0798</t>
  </si>
  <si>
    <t>CLEATS PARA FIAÇÃO APARENTE</t>
  </si>
  <si>
    <t>C3565</t>
  </si>
  <si>
    <t>CLEATS PARA FIAÇÃO APARENTE (MUTIRÃO MISTO)</t>
  </si>
  <si>
    <t>C3911</t>
  </si>
  <si>
    <t>CONECTOR DE ATERRAMENTO TIPO K2C17-10mm BURDY</t>
  </si>
  <si>
    <t>C0859</t>
  </si>
  <si>
    <t>CONECTOR SPLIT - BOLT P/ CABOS ATE 16MM2</t>
  </si>
  <si>
    <t>C0860</t>
  </si>
  <si>
    <t>CONECTOR SPLIT - BOLT P/ CABOS ATE 35MM2</t>
  </si>
  <si>
    <t>C0858</t>
  </si>
  <si>
    <t>CONECTOR SPLIT - BOLT P/ CABOS ATE 120MM2</t>
  </si>
  <si>
    <t>C0861</t>
  </si>
  <si>
    <t>CONECTOR SPLIT - BOLT P/ CABOS ATE 500MM2</t>
  </si>
  <si>
    <t>C0869</t>
  </si>
  <si>
    <t>CORDOALHA COBRE NÚ 35MM2 E ISOLADORES P/PARA-RAIO</t>
  </si>
  <si>
    <t>C0870</t>
  </si>
  <si>
    <t>CORDOALHA COBRE NÚ 70MM2 E ISOLADORES P/PARA-RAIO</t>
  </si>
  <si>
    <t>C1369</t>
  </si>
  <si>
    <t>FIO ISOLADO PVC P/750V 0.5MM2</t>
  </si>
  <si>
    <t>C1370</t>
  </si>
  <si>
    <t>FIO ISOLADO PVC P/750V 0.75MM2</t>
  </si>
  <si>
    <t>C1373</t>
  </si>
  <si>
    <t>FIO ISOLADO PVC P/750V 1MM2</t>
  </si>
  <si>
    <t>C1371</t>
  </si>
  <si>
    <t>FIO ISOLADO PVC P/750V 1.5 MM2</t>
  </si>
  <si>
    <t>C1374</t>
  </si>
  <si>
    <t>FIO ISOLADO PVC P/750V 2.5 MM2</t>
  </si>
  <si>
    <t>C1375</t>
  </si>
  <si>
    <t>FIO ISOLADO PVC P/750V 4MM2</t>
  </si>
  <si>
    <t>C1376</t>
  </si>
  <si>
    <t>FIO ISOLADO PVC P/750V 6MM2</t>
  </si>
  <si>
    <t>C1372</t>
  </si>
  <si>
    <t>FIO ISOLADO PVC P/750V 10MM2</t>
  </si>
  <si>
    <t>C1377</t>
  </si>
  <si>
    <t>FIO PARALELO ISOLADO, ( 2 X 0,75 )MM2</t>
  </si>
  <si>
    <t>C1378</t>
  </si>
  <si>
    <t>FIO PARALELO ISOLADO, ( 2 X 1,00 )MM2</t>
  </si>
  <si>
    <t>C1379</t>
  </si>
  <si>
    <t>FIO PARALELO ISOLADO, ( 2 X 1,50 )MM2</t>
  </si>
  <si>
    <t>C3572</t>
  </si>
  <si>
    <t>HASTE DE FERRO GALVANIZADO 1.20m PARA ATERRAMENTO (MUTIRÃO MISTO)</t>
  </si>
  <si>
    <t>C3922</t>
  </si>
  <si>
    <t>KIT CONECTOR SN-10, 5kV-20A, CABO 10mm²</t>
  </si>
  <si>
    <t>C3570</t>
  </si>
  <si>
    <t>MUTIRÃO MISTO - FIO ISOLADO PVC P/750V 1.5MM2</t>
  </si>
  <si>
    <t>C3563</t>
  </si>
  <si>
    <t>MUTIRÃO MISTO - CABO ISOLADO PVC 750V 6MM2</t>
  </si>
  <si>
    <t>C3571</t>
  </si>
  <si>
    <t>MUTIRÃO MISTO - FIO PARALELO ISOLADO, (2X0,75)MM2</t>
  </si>
  <si>
    <t>C2455</t>
  </si>
  <si>
    <t>TERMINAL DE PRESSÃO P/ CABOS ATÉ 16MM2</t>
  </si>
  <si>
    <t>C2457</t>
  </si>
  <si>
    <t>TERMINAL DE PRESSÃO P/ CABOS ATÉ 35MM2</t>
  </si>
  <si>
    <t>C2454</t>
  </si>
  <si>
    <t>TERMINAL DE PRESSÃO P/ CABOS ATÉ 120MM2</t>
  </si>
  <si>
    <t>C2456</t>
  </si>
  <si>
    <t>TERMINAL DE PRESSÃO P/ CABOS ATÉ 240MM2</t>
  </si>
  <si>
    <t>C2458</t>
  </si>
  <si>
    <t>TERMINAL DE PRESSÃO P/ CABOS ATÉ 500MM2</t>
  </si>
  <si>
    <t>C2459</t>
  </si>
  <si>
    <t>TERMINAL DE PRESSÃO P/ VERGALHÕES DE COBRE 3/8"</t>
  </si>
  <si>
    <t>C3478</t>
  </si>
  <si>
    <t>VERGALHÃO ROSCA TOTAL DE 3/8"</t>
  </si>
  <si>
    <t>BASES, CHAVES E DISJUNTORES</t>
  </si>
  <si>
    <t>C0380</t>
  </si>
  <si>
    <t>BASE DE FUSÍVEL DIAZED EM QUADRO DE DISTRIBUIÇÃO ATÉ 25A</t>
  </si>
  <si>
    <t>C0381</t>
  </si>
  <si>
    <t>BASE DE FUSÍVEL DIAZED EM QUADRO DE DISTRIBUIÇÃO ATÉ 63A</t>
  </si>
  <si>
    <t>C0382</t>
  </si>
  <si>
    <t>BASE DE FUSÍVEL NH 00 EM QUADRO DE DISTRIBUIÇÃO ATÉ 125A</t>
  </si>
  <si>
    <t>C0376</t>
  </si>
  <si>
    <t>BASE DE FUSÍVEL TIPO 'NH' 1 ATÉ 250A EM QUADRO DE LUZ E FORÇA</t>
  </si>
  <si>
    <t>C0377</t>
  </si>
  <si>
    <t>BASE DE FUSÍVEL TIPO 'NH' 2 ATÉ 400A EM QUADRO DE LUZ E FORÇA</t>
  </si>
  <si>
    <t>C0378</t>
  </si>
  <si>
    <t>BASE DE FUSÍVEL TIPO 'NH' 3 ATÉ 630A EM QUADRO DE FORÇA</t>
  </si>
  <si>
    <t>C0379</t>
  </si>
  <si>
    <t>BASE DE FUSÍVEL TIPO 'NH' 4 ATÉ 1250A EM QUADRO DE FORÇA</t>
  </si>
  <si>
    <t>C4057</t>
  </si>
  <si>
    <t>CHAVE PRESSOSTÁTICA 2" - INSTALADO</t>
  </si>
  <si>
    <t>C4769</t>
  </si>
  <si>
    <t>CHAVE REVERSORA TRIPOLAR SOB CARGA 630A</t>
  </si>
  <si>
    <t>C0789</t>
  </si>
  <si>
    <t>CHAVE SECCIONADORA TRIPOLAR ACIONAM.FRONTAL ROTATIVO 16A</t>
  </si>
  <si>
    <t>C0792</t>
  </si>
  <si>
    <t>CHAVE SECCIONADORA TRIPOLAR ACIONAM.FRONTAL ROTATIVO 25A</t>
  </si>
  <si>
    <t>C0793</t>
  </si>
  <si>
    <t>CHAVE SECCIONADORA TRIPOLAR ACIONAM.FRONTAL ROTATIVO 40A</t>
  </si>
  <si>
    <t>C0794</t>
  </si>
  <si>
    <t>CHAVE SECCIONADORA TRIPOLAR ACIONAM.FRONTAL ROTATIVO 63A</t>
  </si>
  <si>
    <t>C0787</t>
  </si>
  <si>
    <t>CHAVE SECCIONADORA TRIPOLAR ACIONAM.FRONTAL ROTATIVO 100A</t>
  </si>
  <si>
    <t>C0788</t>
  </si>
  <si>
    <t>CHAVE SECCIONADORA TRIPOLAR ACIONAM.FRONTAL ROTATIVO 125A</t>
  </si>
  <si>
    <t>C0790</t>
  </si>
  <si>
    <t>CHAVE SECCIONADORA TRIPOLAR ACIONAM.FRONTAL ROTATIVO 200A</t>
  </si>
  <si>
    <t>C0791</t>
  </si>
  <si>
    <t>CHAVE SECCIONADORA TRIPOLAR ACIONAM.FRONTAL ROTATIVO 250A</t>
  </si>
  <si>
    <t>C0783</t>
  </si>
  <si>
    <t>CHAVE SECCIONADORA ACIONAMENTO POR ALAVANCA.MONOPOLAR 40A</t>
  </si>
  <si>
    <t>C0785</t>
  </si>
  <si>
    <t>CHAVE SECCIONADORA ACIONAMENTO POR ALAVANCA.TRIPOLAR 40A</t>
  </si>
  <si>
    <t>C0786</t>
  </si>
  <si>
    <t>CHAVE SECCIONADORA ACIONAMENTO POR ALAVANCA.TRIPOLAR 63A</t>
  </si>
  <si>
    <t>C0784</t>
  </si>
  <si>
    <t>CHAVE SECCIONADORA ACIONAMENTO POR ALAVANCA.TRIPOLAR 100A</t>
  </si>
  <si>
    <t>C4032</t>
  </si>
  <si>
    <t>CHAVE SECCIONADORA C/ FUSÍVEL, ABERTURA SOB CARGA, 15 kV, 160 A - INSTALADO</t>
  </si>
  <si>
    <t>C4036</t>
  </si>
  <si>
    <t>CONTACTOR 65A - INSTALADO</t>
  </si>
  <si>
    <t>C0780</t>
  </si>
  <si>
    <t>CONTACTOR AUXILIAR 2NA + 2NF</t>
  </si>
  <si>
    <t>C1092</t>
  </si>
  <si>
    <t>DISJUNTOR MONOPOLAR EM QUADRO DE DISTRIBUIÇÃO 10A</t>
  </si>
  <si>
    <t>C1093</t>
  </si>
  <si>
    <t>DISJUNTOR MONOPOLAR EM QUADRO DE DISTRIBUIÇÃO 16A</t>
  </si>
  <si>
    <t>C1095</t>
  </si>
  <si>
    <t>DISJUNTOR MONOPOLAR EM QUADRO DE DISTRIBUIÇÃO 20A</t>
  </si>
  <si>
    <t>C1096</t>
  </si>
  <si>
    <t>DISJUNTOR MONOPOLAR EM QUADRO DE DISTRIBUIÇÃO 25A</t>
  </si>
  <si>
    <t>C1098</t>
  </si>
  <si>
    <t>DISJUNTOR MONOPOLAR EM QUADRO DE DISTRIBUIÇÃO 32A</t>
  </si>
  <si>
    <t>C1099</t>
  </si>
  <si>
    <t>DISJUNTOR MONOPOLAR EM QUADRO DE DISTRIBUIÇÃO 40A</t>
  </si>
  <si>
    <t>C1101</t>
  </si>
  <si>
    <t>DISJUNTOR MONOPOLAR EM QUADRO DE DISTRIBUIÇÃO 50A</t>
  </si>
  <si>
    <t>C1081</t>
  </si>
  <si>
    <t>DISJUNTOR BIPOLAR EM QUADRO DE DISTRIBUICAO 10A</t>
  </si>
  <si>
    <t>C1082</t>
  </si>
  <si>
    <t>DISJUNTOR BIPOLAR EM QUADRO DE DISTRIBUIÇÃO 16A</t>
  </si>
  <si>
    <t>C1084</t>
  </si>
  <si>
    <t>DISJUNTOR BIPOLAR EM QUADRO DE DISTRIBUIÇÃO 20A</t>
  </si>
  <si>
    <t>C1085</t>
  </si>
  <si>
    <t>DISJUNTOR BIPOLAR EM QUADRO DE DISTRIBUIÇÃO 25A</t>
  </si>
  <si>
    <t>C1087</t>
  </si>
  <si>
    <t>DISJUNTOR BIPOLAR EM QUADRO DE DISTRIBUIÇÃO 32A</t>
  </si>
  <si>
    <t>C1088</t>
  </si>
  <si>
    <t>DISJUNTOR BIPOLAR EM QUADRO DE DISTRIBUIÇÃO 40A</t>
  </si>
  <si>
    <t>C1090</t>
  </si>
  <si>
    <t>DISJUNTOR BIPOLAR EM QUADRO DE DISTRIBUIÇÃO 50A</t>
  </si>
  <si>
    <t>C4531</t>
  </si>
  <si>
    <t>DISJUNTOR DIFERENCIAL DR-80A, 30mA</t>
  </si>
  <si>
    <t>C4815</t>
  </si>
  <si>
    <t xml:space="preserve">DISJUNTOR TERMOMAGNÉTICO TRIPOLAR 125 A, COM CAIXA MOLDADA 10 KA
</t>
  </si>
  <si>
    <t>C4816</t>
  </si>
  <si>
    <t xml:space="preserve">DISJUNTOR TERMOMAGNÉTICO TRIPOLAR 175 A, COM CAIXA MOLDADA 10 KA
</t>
  </si>
  <si>
    <t>C4817</t>
  </si>
  <si>
    <t xml:space="preserve">DISJUNTOR TERMOMAGNÉTICO TRIPOLAR 250 A, COM CAIXA MOLDADA 10 KA
</t>
  </si>
  <si>
    <t>C4774</t>
  </si>
  <si>
    <t>DISJUNTOR TERMOMAGNETICO TRIPOLAR 800A/600V</t>
  </si>
  <si>
    <t>C4934</t>
  </si>
  <si>
    <t xml:space="preserve">DISJUNTOR TÉRMICO E MAGNÉTICO AJUSTAVEIS, TRIPOLAR DE 350 ATE 400A, CAPACIDADE DE INTERRUPCAO DE 35KA
</t>
  </si>
  <si>
    <t>C4935</t>
  </si>
  <si>
    <t>DISJUNTOR TÉRMICO E MAGNÉTICO AJUSTAVEIS, TRIPOLAR DE 450 ATE 600A, CAPACIDADE DE INTERRUPCAO DE 35KA</t>
  </si>
  <si>
    <t>C1106</t>
  </si>
  <si>
    <t>DISJUNTOR TRIPOLAR C/ACIONAMENTO NA PORTA DO Q.D.ATE 16 A</t>
  </si>
  <si>
    <t>C1111</t>
  </si>
  <si>
    <t>DISJUNTOR TRIPOLAR C/ACIONAMENTO NA PORTA DO Q.D.ATE 32A</t>
  </si>
  <si>
    <t>C1114</t>
  </si>
  <si>
    <t>DISJUNTOR TRIPOLAR C/ACIONAMENTO NA PORTA DO Q.D.ATE 63A</t>
  </si>
  <si>
    <t>C1104</t>
  </si>
  <si>
    <t>DISJUNTOR TRIPOLAR C/ACIONAMENTO NA PORTA DO Q.D.ATE 100A</t>
  </si>
  <si>
    <t>C1108</t>
  </si>
  <si>
    <t>DISJUNTOR TRIPOLAR C/ACIONAMENTO NA PORTA DO Q.D.ATE 160A</t>
  </si>
  <si>
    <t>C1109</t>
  </si>
  <si>
    <t>DISJUNTOR TRIPOLAR C/ACIONAMENTO NA PORTA DO Q.D.ATE 250A</t>
  </si>
  <si>
    <t>C1112</t>
  </si>
  <si>
    <t>DISJUNTOR TRIPOLAR C/ACIONAMENTO NA PORTA DO Q.D.ATE 400A</t>
  </si>
  <si>
    <t>C1113</t>
  </si>
  <si>
    <t>DISJUNTOR TRIPOLAR C/ACIONAMENTO NA PORTA DO Q.D.ATE 630A</t>
  </si>
  <si>
    <t>C1103</t>
  </si>
  <si>
    <t>DISJUNTOR TRIPOLAR C/ACIONAMENTO NA PORTA DO Q.D.ATE 1000A</t>
  </si>
  <si>
    <t>C1105</t>
  </si>
  <si>
    <t>DISJUNTOR TRIPOLAR C/ACIONAMENTO NA PORTA DO Q.D.ATE 1250A</t>
  </si>
  <si>
    <t>C1107</t>
  </si>
  <si>
    <t>DISJUNTOR TRIPOLAR C/ACIONAMENTO NA PORTA DO Q.D.ATE 1600A</t>
  </si>
  <si>
    <t>C1115</t>
  </si>
  <si>
    <t>DISJUNTOR TRIPOLAR C/ACIONAMENTO NA PORTA DO Q.D.ATE 2500A</t>
  </si>
  <si>
    <t>C1110</t>
  </si>
  <si>
    <t>DISJUNTOR TRIPOLAR C/ACIONAMENTO NA PORTA DO Q.D.ATE 3150A</t>
  </si>
  <si>
    <t>C1116</t>
  </si>
  <si>
    <t>DISJUNTOR TRIPOLAR EM QUADRO DE DISTRIBUIÇÃO 175A</t>
  </si>
  <si>
    <t>C1118</t>
  </si>
  <si>
    <t>DISJUNTOR TRIPOLAR EM QUADRO DE DISTRIBUIÇÃO 10A</t>
  </si>
  <si>
    <t>C1119</t>
  </si>
  <si>
    <t>DISJUNTOR TRIPOLAR EM QUADRO DE DISTRIBUIÇÃO 16A</t>
  </si>
  <si>
    <t>C1121</t>
  </si>
  <si>
    <t>DISJUNTOR TRIPOLAR EM QUADRO DE DISTRIBUIÇÃO 20A</t>
  </si>
  <si>
    <t>C1122</t>
  </si>
  <si>
    <t>DISJUNTOR TRIPOLAR EM QUADRO DE DISTRIBUIÇÃO 25A</t>
  </si>
  <si>
    <t>C1124</t>
  </si>
  <si>
    <t>DISJUNTOR TRIPOLAR EM QUADRO DE DISTRIBUIÇÃO 32A</t>
  </si>
  <si>
    <t>C1125</t>
  </si>
  <si>
    <t>DISJUNTOR TRIPOLAR EM QUADRO DE DISTRIBUIÇÃO 40A</t>
  </si>
  <si>
    <t>C1127</t>
  </si>
  <si>
    <t>DISJUNTOR TRIPOLAR EM QUADRO DE DISTRIBUIÇÃO 50A</t>
  </si>
  <si>
    <t>C1128</t>
  </si>
  <si>
    <t>DISJUNTOR TRIPOLAR EM QUADRO DE DISTRIBUIÇÃO 60A</t>
  </si>
  <si>
    <t>C1130</t>
  </si>
  <si>
    <t>DISJUNTOR TRIPOLAR EM QUADRO DE DISTRIBUIÇÃO 70A</t>
  </si>
  <si>
    <t>C1131</t>
  </si>
  <si>
    <t>DISJUNTOR TRIPOLAR EM QUADRO DE DISTRIBUIÇÃO 90A</t>
  </si>
  <si>
    <t>C1117</t>
  </si>
  <si>
    <t>DISJUNTOR TRIPOLAR EM QUADRO DE DISTRIBUIÇÃO 100A</t>
  </si>
  <si>
    <t>C3567</t>
  </si>
  <si>
    <t>MUTIRÃO MISTO - DISJUNTOR MONOPOLAR EM QUADRO DE DISTRIBUIÇÃO DE 16A</t>
  </si>
  <si>
    <t>C2260</t>
  </si>
  <si>
    <t>SECCIONADOR FUSÍVEL DIAZED MONOPOLAR ATE 25A</t>
  </si>
  <si>
    <t>C2261</t>
  </si>
  <si>
    <t>SECCIONADOR FUSÍVEL DIAZED MONOPOLAR ATE 63A</t>
  </si>
  <si>
    <t>C2259</t>
  </si>
  <si>
    <t>SECCIONADOR FUSÍVEL DIAZED BIPOLAR.ATE 25A</t>
  </si>
  <si>
    <t>C2258</t>
  </si>
  <si>
    <t>SECCIONADOR FUSÍVEL DIAZED BIPOLAR ATE 63 A</t>
  </si>
  <si>
    <t>C2262</t>
  </si>
  <si>
    <t>SECCIONADOR FUSÍVEL DIAZED TRIPOLAR ATE 25A, EM QUADRO DISTRIBUIÇÃO</t>
  </si>
  <si>
    <t>C2263</t>
  </si>
  <si>
    <t>SECCIONADOR FUSÍVEL NH TRIPOLAR MANOBRA C/CARGA.ATE 125A</t>
  </si>
  <si>
    <t>C2264</t>
  </si>
  <si>
    <t>SECCIONADOR FUSÍVEL NH TRIPOLAR MANOBRA C/CARGA.ATE 250A</t>
  </si>
  <si>
    <t>C2265</t>
  </si>
  <si>
    <t>SECCIONADOR FUSÍVEL NH TRIPOLAR MANOBRA S/CARGA.ATE 250A</t>
  </si>
  <si>
    <t>C2266</t>
  </si>
  <si>
    <t>SECCIONADOR FUSÍVEL NH TRIPOLAR MANOBRA S/CARGA.ATE 400A</t>
  </si>
  <si>
    <t>C2267</t>
  </si>
  <si>
    <t>SECCIONADOR FUSÍVEL NH TRIPOLAR MANOBRA S/CARGA.ATE 630A</t>
  </si>
  <si>
    <t>TOMADAS / INTERRUPTORES / ESPELHOS</t>
  </si>
  <si>
    <t>C0597</t>
  </si>
  <si>
    <t>CAIXA DE AÇO INOXIDÁVEL C/ 8 TOMADAS 2P+T/250V (COMPLETA)</t>
  </si>
  <si>
    <t>C0670</t>
  </si>
  <si>
    <t>CAMPAINHA TIPO SIRENE ESCOLAR, C/INTERRUPTOR PULSADOR</t>
  </si>
  <si>
    <t>C0863</t>
  </si>
  <si>
    <t>CONJUNTO ARSTOP COMPLETO (15 A 30A)</t>
  </si>
  <si>
    <t>C1491</t>
  </si>
  <si>
    <t>INTERRUPTOR UMA TECLA BIPOLAR PARALELO 20A 250V</t>
  </si>
  <si>
    <t>C1492</t>
  </si>
  <si>
    <t>INTERRUPTOR UMA TECLA PARALELO 10A 250V</t>
  </si>
  <si>
    <t>C1493</t>
  </si>
  <si>
    <t>INTERRUPTOR UMA TECLA PARALELO E TOMADA UNIVERSAL 10A 250V</t>
  </si>
  <si>
    <t>C1494</t>
  </si>
  <si>
    <t>INTERRUPTOR UMA TECLA SIMPLES 10A 250V</t>
  </si>
  <si>
    <t>C1498</t>
  </si>
  <si>
    <t>INTERRUPTOR.UMA TECLA SIMPLES UMA PARALELA.10A.250V</t>
  </si>
  <si>
    <t>C1497</t>
  </si>
  <si>
    <t>INTERRUPTOR UMA TECLA SIMPLES UMA P/CAMPAINHA 10A 250V</t>
  </si>
  <si>
    <t>C1496</t>
  </si>
  <si>
    <t>INTERRUPTOR UMA TECLA SIMPLES E TOMADA UNIVERSAL 10A 250V</t>
  </si>
  <si>
    <t>C1495</t>
  </si>
  <si>
    <t>INTERRUPTOR UMA TECLA SIMPLES DUAS PARALELO 10A 250V</t>
  </si>
  <si>
    <t>C1490</t>
  </si>
  <si>
    <t>INTERRUPTOR UMA TECLA 10A - 250V, SISTEMA "X"</t>
  </si>
  <si>
    <t>C1481</t>
  </si>
  <si>
    <t>INTERRUPTOR DUAS TECLAS PARALELO 10A 250V</t>
  </si>
  <si>
    <t>C1482</t>
  </si>
  <si>
    <t>INTERRUPTOR DUAS TECLAS PARALELO E TOMADA 10A 250V</t>
  </si>
  <si>
    <t>C1479</t>
  </si>
  <si>
    <t>INTERRUPTOR DUAS TECLAS SIMPLES 10A 250V</t>
  </si>
  <si>
    <t>C1484</t>
  </si>
  <si>
    <t>INTERRUPTOR DUAS TECLAS SIMPLES UMA PARALELO 10A 250V</t>
  </si>
  <si>
    <t>C1483</t>
  </si>
  <si>
    <t>INTERRUPTOR DUAS TECLAS SIMPLES E TOMADA 10A 250V</t>
  </si>
  <si>
    <t>C1480</t>
  </si>
  <si>
    <t>INTERRUPTOR DUAS TECLAS 10A - 250V, SISTEMA "X"</t>
  </si>
  <si>
    <t>C1485</t>
  </si>
  <si>
    <t>INTERRUPTOR PULSADOR DE CAMPAINHA 10A 250V</t>
  </si>
  <si>
    <t>C1488</t>
  </si>
  <si>
    <t>INTERRUPTOR TRES TECLAS PARALELO 10A 250V</t>
  </si>
  <si>
    <t>C1489</t>
  </si>
  <si>
    <t>INTERRUPTOR TRES TECLAS SIMPLES 10A 250V</t>
  </si>
  <si>
    <t>C1486</t>
  </si>
  <si>
    <t>INTERRUPTOR TECLA SIMPLES TECLA PARALELO E TOMADA 10A 250V</t>
  </si>
  <si>
    <t>C1487</t>
  </si>
  <si>
    <t>INTERRUPTOR TIPO CHAMADA ENFERMARIA</t>
  </si>
  <si>
    <t>C3573</t>
  </si>
  <si>
    <t>MUTIRÃO MISTO - INTERRUPTOR UMA TECLA SIMPLES E TOMADA UNIVERSAL 10A 250V</t>
  </si>
  <si>
    <t>C3581</t>
  </si>
  <si>
    <t>MUTIRÃO MISTO - SOQUETE DE BAQUELITE</t>
  </si>
  <si>
    <t>C1928</t>
  </si>
  <si>
    <t>PLACA P/CAIXA ESTAMPADA 4"X2" OU 3"X3"</t>
  </si>
  <si>
    <t>C1929</t>
  </si>
  <si>
    <t>PLACA P/CAIXA ESTAMPADA 4"X4"</t>
  </si>
  <si>
    <t>C1942</t>
  </si>
  <si>
    <t>PLUG TRIPOLAR (3P+T) - 32A/380V</t>
  </si>
  <si>
    <t>C3580</t>
  </si>
  <si>
    <t>SOQUETE DE BAQUELITE - PADRÃO POPULAR</t>
  </si>
  <si>
    <t>C2298</t>
  </si>
  <si>
    <t>TAMPA CEGA PLÁSTICA, SISTEMA "X"</t>
  </si>
  <si>
    <t>C2484</t>
  </si>
  <si>
    <t>TOMADA 2 POLOS MAIS TERRA 20A 250V</t>
  </si>
  <si>
    <t>C2480</t>
  </si>
  <si>
    <t>TOMADA 2 POLOS MAIS TERRA 20A - 250V, SISTEMA "X"</t>
  </si>
  <si>
    <t>C2481</t>
  </si>
  <si>
    <t>TOMADA C/TRAVA MECÂNICA E PLUG DE EMBUTIR 30A/250V</t>
  </si>
  <si>
    <t>C2482</t>
  </si>
  <si>
    <t>TOMADA C/TRAVA MECÂNICA E PLUG, DE SOBREPOR 30A/250V</t>
  </si>
  <si>
    <t>C4792</t>
  </si>
  <si>
    <t>TOMADA DUPLA DE EMBUTIR 2P+T 10A-250V</t>
  </si>
  <si>
    <t>C4931</t>
  </si>
  <si>
    <t>TOMADA DUPLA DE PISO PARA LÓGICA RJ45, 8 FIOS, CAT-6E, COMPLETA (PLACA/TAMPA EM LATÃO 4"x4", COM 2 CONECTORES, EXCETO CAIXA 4"X4")</t>
  </si>
  <si>
    <t xml:space="preserve">UN </t>
  </si>
  <si>
    <t>C4117</t>
  </si>
  <si>
    <t>TOMADA ENERGIZADA TIPO PLUG DE GUITARRA PARA SPOT ORIENTÁVEL DE 50W. EMBUTIDA NO FORRO DE GESSO. DEMANDA TOTAL 60%</t>
  </si>
  <si>
    <t>C2486</t>
  </si>
  <si>
    <t>TOMADA P/TELEFONE 4 POLOS PADRÃO TELEBRAS</t>
  </si>
  <si>
    <t>C2487</t>
  </si>
  <si>
    <t>TOMADA P/TELEFONE 4 POLOS, SISTEMA "X"</t>
  </si>
  <si>
    <t>C2488</t>
  </si>
  <si>
    <t>TOMADA P/TELEFONE.PINO JACK 1/4"</t>
  </si>
  <si>
    <t>C2485</t>
  </si>
  <si>
    <t>TOMADA P/ COMPUTADOR, SISTEMA "X"</t>
  </si>
  <si>
    <t>C4174</t>
  </si>
  <si>
    <t>TOMADA PARA LÓGICA, COM 1 CONECTOR RJ45, 8 FIOS, CAT-5E, COMPLETA PARA CAIXA 4"x4" (NÃO INCLUSA)</t>
  </si>
  <si>
    <t>C4920</t>
  </si>
  <si>
    <t>TOMADA PARA LÓGICA, COM 2 CONECTORES RJ45, 8 FIOS, CAT-5E, COMPLETA PARA CAIXA 4"x4" (NÃO INCLUSA)</t>
  </si>
  <si>
    <t>C4921</t>
  </si>
  <si>
    <t>TOMADA PARA LÓGICA, COM 1 CONECTOR RJ45, 8 FIOS, CAT-5E, COMPLETA PARA CAIXA 4"x2" (NÃO INCLUSA)</t>
  </si>
  <si>
    <t>C5190</t>
  </si>
  <si>
    <t>TOMADA PARA LÓGICA, COM 1 CONECTOR RJ45, 8 FIOS, CAT-6, COMPLETA PARA CAIXA 4"x2" (NÃO INCLUSA)</t>
  </si>
  <si>
    <t>C4794</t>
  </si>
  <si>
    <t>TOMADA PARA LÓGICA, COM 2 CONECTORES RJ45, 8 FIOS, CAT-5E, COMPLETA PARA CAIXA 4"x2" (NÃO INCLUSA)</t>
  </si>
  <si>
    <t>C5191</t>
  </si>
  <si>
    <t xml:space="preserve">TOMADA PARA LÓGICA, COM 2 CONECTORES RJ45, 8 FIOS, CAT-6, COMPLETA PARA CAIXA 4"x2" (NÃO INCLUSA)
</t>
  </si>
  <si>
    <t>C3486</t>
  </si>
  <si>
    <t>TOMADA P/ PISO FÊMEA PARA RJ-11(TELEFÔNICA)</t>
  </si>
  <si>
    <t>C4793</t>
  </si>
  <si>
    <t xml:space="preserve">TOMADA SIMPLES DE PISO 2P+T 20A-250V C/ PLACA EM LATÃO CAIXA 4"X2" (NÃO INCLUI A CAIXA) </t>
  </si>
  <si>
    <t>C4932</t>
  </si>
  <si>
    <t>TOMADA SIMPLES DE PISO PARA LÓGICA RJ45, 8 FIOS, CAT-6E, COMPLETA (PLACA/TAMPA EM LATÃO 4"x2", COM 1 CONECTOR, EXCETO CAIXA 4"X2")</t>
  </si>
  <si>
    <t>C2490</t>
  </si>
  <si>
    <t>TOMADA TRIPOLAR, MAIS TERRA - 25A/250V</t>
  </si>
  <si>
    <t>C2491</t>
  </si>
  <si>
    <t>TOMADA TRIPOLAR, MAIS TERRA - 30A/250V</t>
  </si>
  <si>
    <t>C2489</t>
  </si>
  <si>
    <t>TOMADA TRIPOLAR (3P+T) - 32A/380V</t>
  </si>
  <si>
    <t>C2493</t>
  </si>
  <si>
    <t>TOMADA UNIVERSAL 10A 250V</t>
  </si>
  <si>
    <t>C2492</t>
  </si>
  <si>
    <t>TOMADA UNIVERSAL 10A - 250V, SISTEMA "X"</t>
  </si>
  <si>
    <t>C2494</t>
  </si>
  <si>
    <t>TOMADA VOLTAMP - 30A (MACHO/FÊMEA)</t>
  </si>
  <si>
    <t>C2495</t>
  </si>
  <si>
    <t>TOMADA VOLTAMP - 60A (MACHO/FÊMEA)</t>
  </si>
  <si>
    <t>LUMINÁRIAS INTERNAS / EXTERNAS / ACESSÓRIOS</t>
  </si>
  <si>
    <t>C4371</t>
  </si>
  <si>
    <t>ARANDELA BLINDADA, EM ALUMÍNIO FUNDIDO COM PINTURA ELETROSTÁTICA A PÓ, COM GRADE DE PROTEÇÃO E SUPORTE ARTICULADO, GLOBO EM VIDRO E SOQUETE E-27</t>
  </si>
  <si>
    <t>C4834</t>
  </si>
  <si>
    <t xml:space="preserve">ARANDELA COM SOQUETE E-27, CORPO E GRADE FRONTAL DE PROTEÇÃO EM ALUMÍNIO, DIFUSOR EM VIDRO TRANSPARENTE COM UMA LÂMPADA ELETRÔNICA FLUORESCENTE COMPACTA DE 15W, COMPLETA
</t>
  </si>
  <si>
    <t>C4828</t>
  </si>
  <si>
    <t>ARANDELA DE SOBREPOR CORPO EM ALUMINIO, SOQUETE E-27, DIFUSOR EM VIDRO TEMPERADO FOSCO, COM DUAS LÂMPADAS ELETRÔNICAS COMPACTAS DE 20W COMPLETA</t>
  </si>
  <si>
    <t>C4948</t>
  </si>
  <si>
    <t>ARANDELA DE SOBREPOR  CORPO EM ALUMINIO, SOQUETE E-27, DIFUSOR EM VIDRO TEMPERADO FOSCO, COM UMA LAMPADA ELETRÔNICA COMPACTA DE 20W COMPLETA</t>
  </si>
  <si>
    <t>C4105</t>
  </si>
  <si>
    <t>ARANDELA PARA FLUORESCENTE COMPACTA 18W EM ALUMÍNIO ANODIZADO E PINTADO POR PROCESSO ELETROSTÁTICO COM UM VISOR EM VIDRO FOSCO</t>
  </si>
  <si>
    <t>C4106</t>
  </si>
  <si>
    <t>ARANDELA PARA FLUORESCENTE COMPACTA 18W EM ALUMÍNIO ANODIZADO E PINTADO POR PROCESSO ELETROSTÁTICO COM DOIS VISORES EM VIDRO FOSCO</t>
  </si>
  <si>
    <t>C4107</t>
  </si>
  <si>
    <t>ARANDELA PARA LÂMPADA INCANDESCENTE 60W EM ALUMÍNIO ANODIZADO E PINTADO POR PROCESSO ELETROSTÁTICO COM REFLETOR EM ALUMÍNIO ANODIZADO ALTO BRILHO</t>
  </si>
  <si>
    <t>C4801</t>
  </si>
  <si>
    <t>BALIZADOR, CORPO DE ALUMÍNIO INJETADO, BORRACHA DE VEDAÇÃO, DIFUSOR EM VIDRO PRENSADO, GRADE FRONTAL DE PROTEÇÃO, COM LAMP. FL. COMPLETA 15W OU 18W</t>
  </si>
  <si>
    <t>C4807</t>
  </si>
  <si>
    <t>BALIZADOR DE SOBREPOR TIPO TARTARUGA, CORPO EM ALUMÍNIO E GRADE DE PROTEÇÃO, PARA UMA LÂMPADA LED, SOQUETE E27, POTÊNCIA 7W FATOR DE POTÊNCIA MÍNIMO 0,92</t>
  </si>
  <si>
    <t>C4808</t>
  </si>
  <si>
    <t>BALIZADOR DE SOBREPOR/EMBUTIR, CORPO EM ALUMÍNIO E GRADE DE PROTEÇÃO, PARA UMA LÂMPADA 9LED, SOQUETE E27, POTÊNCIA 1W FATOR DE POTÊNCIA MÍNIMO 0,93</t>
  </si>
  <si>
    <t>C3906</t>
  </si>
  <si>
    <t>BASE METÁLICA INCL. TUBO GALVANIZADO 2" P/ LUMINÁRIA ELEVADA SN-05</t>
  </si>
  <si>
    <t>C1029</t>
  </si>
  <si>
    <t>CÉLULA FOTOELÉTRICA P/ LÂMPADA,  ATÉ 250W</t>
  </si>
  <si>
    <t>C1030</t>
  </si>
  <si>
    <t>CÉLULA FOTOELÉTRICA P/ LÂMPADA, ATÉ 1000W</t>
  </si>
  <si>
    <t>C4104</t>
  </si>
  <si>
    <t>CLARABÓIA ARTIFICIAL 60X200CM COM DIFUSOR APOIADO NO FORRO E LUMINÁRIA MAIS REATOR ELETRÔNICO APLICADOS NA LAJE PARA 2 FLUORESCENTES 32W COR QUENTE</t>
  </si>
  <si>
    <t>C3915</t>
  </si>
  <si>
    <t>GLOBO PRISMÁTICO AZUL PARA LUMINÁRIA SN-05 (45W)</t>
  </si>
  <si>
    <t>C3917</t>
  </si>
  <si>
    <t>GLOBO PRISMÁTICO CLARO / ÂMBAR P/ LUMINÁRIA SN-05 (30W)</t>
  </si>
  <si>
    <t>C3916</t>
  </si>
  <si>
    <t>GLOBO PRISMÁTICO CLARO PARA LUMINÁRIA SN-05 (30W)</t>
  </si>
  <si>
    <t>C3918</t>
  </si>
  <si>
    <t>LÂMPADA 30W-6.6A, BASE MÉDIUM PREFOCUS</t>
  </si>
  <si>
    <t>C3919</t>
  </si>
  <si>
    <t>LÂMPADA 45W-6.6A, BASE MÉDIUM PREFOCUS</t>
  </si>
  <si>
    <t>C4103</t>
  </si>
  <si>
    <t>LÂMPADA FLUORESCENTE 32W/3000K MAIS REATOR ELETRÔNICO FIXADOS SOBRE SANCA</t>
  </si>
  <si>
    <t>C1765</t>
  </si>
  <si>
    <t>LÂMPADA FLUORESCENTE DE 16W OU 20W (SUBSTITUIÇÃO)</t>
  </si>
  <si>
    <t>C1766</t>
  </si>
  <si>
    <t>LÂMPADA FLUORESCENTE DE 32W OU 40W (SUBSTITUIÇÃO)</t>
  </si>
  <si>
    <t>C1767</t>
  </si>
  <si>
    <t>LÂMPADA FLUORESCENTE, TIPO PL, ATE 13W (SUBSTITUIÇÃO)</t>
  </si>
  <si>
    <t>C1769</t>
  </si>
  <si>
    <t>LÂMPADA INCANDESCENTE  ATE 150W (SUBSTITUIÇÃO)</t>
  </si>
  <si>
    <t>C1763</t>
  </si>
  <si>
    <t>LÂMPADA  MISTA DE 160  A 500W  (SUBSTITUIÇÃO)</t>
  </si>
  <si>
    <t>C1771</t>
  </si>
  <si>
    <t>LÂMPADA VAPOR DE MERCÚRIO ATE 250W  (SUBSTITUIÇÃO)</t>
  </si>
  <si>
    <t>C1773</t>
  </si>
  <si>
    <t>LÂMPADA VAPOR DE MERCÚRIO ATÉ 400W (SUBSTITUIÇÃO)</t>
  </si>
  <si>
    <t>C1772</t>
  </si>
  <si>
    <t>LÂMPADA VAPOR DE MERCÚRIO ATE 400W (SUBSTITUIÇÃO)</t>
  </si>
  <si>
    <t>C1776</t>
  </si>
  <si>
    <t>LÂMPADA VAPOR DE SÓDIO ATE 70W  (SUBSTITUIÇÃO)</t>
  </si>
  <si>
    <t>C1774</t>
  </si>
  <si>
    <t>LÂMPADA VAPOR DE SÓDIO ATE 250W  (SUBSTITUIÇÃO)</t>
  </si>
  <si>
    <t>C1775</t>
  </si>
  <si>
    <t>LÂMPADA VAPOR DE SÓDIO ATE 400W (SUBSTITUIÇÃO)</t>
  </si>
  <si>
    <t>C1777</t>
  </si>
  <si>
    <t>LÂMPADA VAPOR METÁLICO ATE 1000W (SUBSTITUIÇÃO)</t>
  </si>
  <si>
    <t>C1778</t>
  </si>
  <si>
    <t>LÂMPADA VAPOR METÁLICO ATE 2000W (SUBSTITUIÇÃO)</t>
  </si>
  <si>
    <t>C4111</t>
  </si>
  <si>
    <t>LUMINÁRIA APLICADA NAS LATERAIS DAS PAREDES EXPOSITORAS EM CHAPA DE AÇO PINTADA COM REFLETOR DE ALUMÍNIO ANODIZADO ALTO BRILHO E DIFUSOR EM VIDRO TRANSPARENTE TEMPERADO COM PONTO DE LUZ DE 300W A 2M DO PISO</t>
  </si>
  <si>
    <t>C4945</t>
  </si>
  <si>
    <t xml:space="preserve">LUMINÁRIA CILÍNDRICA DE SOBREPOR COM SOQUETE E-27, ANEL DE ARREMATE EM ALUMÍNIO ANODIZADO E PINTADO POR PROCESSO ELETROSTÁTICO, COM REFLETOR EM ALUMÍNIO ANODIZADO ALTO BRILHO, CONTROLE ANTIOFUSCAMENTO E LÂMPADA FLUORESCENTE ELETRÔNICA COMPACTA 1 X 15W - COMPLETA
</t>
  </si>
  <si>
    <t>C4944</t>
  </si>
  <si>
    <t xml:space="preserve">LUMINÁRIA CILÍNDRICA DE EMBUTIR COM SOQUETE E-27, ANEL DE ARREMATE EM ALUMÍNIO ANODIZADO E PINTADO POR PROCESSO ELETROSTÁTICO COM REFLETOR EM ALUMÍNIO ANODIZADO ALTO BRILHO, CONTROLE ANTIOFUSCAMENTO E DIFUSOR EM VIDRO TEMPERADO, COM  LÂMPADAS FLUORESCENTES ELETRÔNICAS COMPACTAS DE 2 X 20W COMPLETA
</t>
  </si>
  <si>
    <t>C1650</t>
  </si>
  <si>
    <t>LUMINÁRIA C/LÂMPADA INCANDESCENTE, A PROVA DE TEMPO, VAPOR, ETC.</t>
  </si>
  <si>
    <t>C1652</t>
  </si>
  <si>
    <t>LUMINÁRIA COMPLETA, EMBUTIDA EM LAJE P/ PRESÍDIO</t>
  </si>
  <si>
    <t>C1653</t>
  </si>
  <si>
    <t>LUMINÁRIA DE ADVERTENCIA - INTERNA/EXTERNA</t>
  </si>
  <si>
    <t>C3627</t>
  </si>
  <si>
    <t>LUMINÁRIA DE ALTO RENDIMENTO, CORPO EM ALUMÍNIO FUNDIDO P/ LÂMPADAS VAPOR DE SÓDIO 400W</t>
  </si>
  <si>
    <t>C4109</t>
  </si>
  <si>
    <t>LUMINÁRIA DE APLICAR EM CHAPA DE AÇO TRATADA E PINTADA EM EPÓXI BRANCO COM REFLETOR PARABÓLICO EM CHAPA DE ALUMÍNIO ANODIZADO ALTO BRILHO PARA LÂMPADA FLUORESCENTE 1X32W COR QUENTE MAIS REATOR AFP-PR</t>
  </si>
  <si>
    <t>C4100</t>
  </si>
  <si>
    <t>LUMINÁRIA DE EMBUTIR CILÍNDRICA COM ANEL DE ARREMATE EM ALUMÍNIO ANODIZADO E PINTADO POR PROCESSO ELETROSTÁTICO COM REFLETOR EM ALUMÍNIO ANODIZADO ALTO BRILHO COM CONTROLE ANTIOFUSCAMENTO PARA LÂMPADA FLUORESCENTE COMPACTA DE 23W</t>
  </si>
  <si>
    <t>C4811</t>
  </si>
  <si>
    <t>LUMINÁRIA DE EMBUTIR CILÍNDRICA COM CORPO EM CHAPA DE AÇO FOSFATIZADA E PINTADA ELETROSTATICAMENTE E REFLETOR REPUXADO EM ALUMÍNIO ANODIZADO, COM VIDRO JATEADO CENTRAL, PARA UMA LÂMPADA FLUORESCENTE COMPACTA 20W, COMPLETA</t>
  </si>
  <si>
    <t>C4799</t>
  </si>
  <si>
    <t>LUMINÁRIA DE EMBUTIR CILÍNDRICA COM CORPO EM CHAPA DE AÇO FOSFATIZADA E PINTADA ELETROSTATICAMENTE E REFLETOR REPUXADO EM ALUMÍNIO ANODIZADO, COM VIDRO JATEADO CENTRAL PARA DUAS LÂMPADAS FLUORESCENTES COMPACTAS 20W, COMPLETA</t>
  </si>
  <si>
    <t>C4101</t>
  </si>
  <si>
    <t>LUMINÁRIA DE EMBUTIR COM ANEL DE ARREMATE EM ALUMÍNIO ANODIZADO E PINTADO POR PROCESSO ELETROSTÁTICO COM REFLETOR EM ALUMÍNIO ANODIZADO ALTO BRILHO COM CONTROLE ANTIOFUSCAMENTO PARA LÂMPADA FLUORESCENTE COMPACTA DE 26W</t>
  </si>
  <si>
    <t>C4102</t>
  </si>
  <si>
    <t>LUMINÁRIA DE EMBUTIR COM ANEL DE ARREMATE EM ALUMÍNIO ANODIZADO E PINTADO POR PROCESSO ELETROSTÁTICO PARA LÂMPADA DICRÓICA DE 50W</t>
  </si>
  <si>
    <t>C4943</t>
  </si>
  <si>
    <t>LUMINÁRIA DE EMBUTIR COM CORPO EM CHAPA DE AÇO FOSFATIZADA E PINTADA ELETROSTATICAMENTE, COM REFLETOR E ALETAS PARABÓLICAS EM ALUMÍNIO ANODIZADO, COM 04 LÂMPADAS FLUORESCENTES TUBULARES DE 16W, MONTADA C/02 REATORES ELETRÔNICOS DUPLOS 2X16W - COMPLETA</t>
  </si>
  <si>
    <t>C4797</t>
  </si>
  <si>
    <t>LUMINÁRIA DE EMBUTIR COM 2 LAMPADAS T8 DE 16W ALETAS PLANAS EM CHAPA DE AÇO PINTADA ELETROSTATICAMENTE REFLETOR EM ALUMÍNIO COMPLETA</t>
  </si>
  <si>
    <t>C4540</t>
  </si>
  <si>
    <t>LUMINÁRIA DE EMBUTIR CORPO E GRADE DE PROTEÇÃO EM LIGA DE ALUMÍNIO FUNDIDO, REFLETOR EM CHAPA DE ALUMÍNIO ANODIZADO</t>
  </si>
  <si>
    <t>C4433</t>
  </si>
  <si>
    <t>LUMINÁRIA DE EMBUTIR EM TETO, CIRCULAR, CORPO EM ALUMÍNIO ANODIZADO COM LÂMPADA HQI DE 70W</t>
  </si>
  <si>
    <t>C4795</t>
  </si>
  <si>
    <t>LUMINÁRIA DE EMBUTIR PARA QUATRO LÂMPADAS FLUORESCENTES TUBULARES T8 DE 16W, CORPO E ALETAS PLANAS EM CHAPA DE AÇO TRATADA E PINTADA, COM ACABAMENTO EM PINTURA NA COR BRANCA, REFLETOR EM ALUMÍNIO ANODIZADO, REATOR ELETRÔNICO 2X(2X16W), FATOR DE POTÊNCIA 0,98, COMPLETA</t>
  </si>
  <si>
    <t>C4796</t>
  </si>
  <si>
    <t>LUMINÁRIA DE EMBUTIR PARA QUATRO LÂMPADAS FLUORESCENTES TUBULARES T8 DE 16W, CORPO EM CHAPA DE AÇO TRATADA E PINTADA NA COR BRANCA, REFLETOR COM ACABAMENTO ESPECULAR DE ALTO BRILHO, REATOR ELETRÔNICO 2X(2X16)W, FATOR DE POTÊNCIA 0,98, COMPLETA</t>
  </si>
  <si>
    <t>C4394</t>
  </si>
  <si>
    <t>LUMINÁRIA DE EMERGÊNCIA</t>
  </si>
  <si>
    <t>C4412</t>
  </si>
  <si>
    <t>LUMINÁRIA DE PISO MÓVEL, CORPO EM ALUMÍNIO, REFLETOR EM ALUMÍNIO ANODIZADO COM PROTETOR DE VIDRO EM GRADE DE ALUMÍNIO</t>
  </si>
  <si>
    <t>C4798</t>
  </si>
  <si>
    <t>LUMINÁRIA DE SOBREPOR  COM CORPO EM CHAPA DE AÇO TRATADA E PINTADA NA COR BRANCA, REFLETOR C/ ACABAMENTO ESPECULAR DE ALTO BRILHO, P/ DUAS LÃMPADAS FLUORESCENTES TUBULARES T8 DE 16W, REATOR ELETRÔNICO P/2X16W, FP DO CJ. 33W E FATOR DE POTÊNCIA 0,98, COMPLETA</t>
  </si>
  <si>
    <t>C4800</t>
  </si>
  <si>
    <t>LUMINÁRIA DE SOBREPOR CILÍNDRICA COM CORPO EM CHAPA DE AÇO FOSFATIZADA E PINTADA ELETROSTATICAMENTE E REFLETOR REPUXADO EM ALUMÍNIO ANODIZADO, COM VIDRO JATEADO CENTRAL PARA DUAS LÂMPADAS FLUORESCENTES COMPACTAS 20W, COMPLETA</t>
  </si>
  <si>
    <t>C5192</t>
  </si>
  <si>
    <t>LUMINÁRIA DE SOBREPOR COM CORPO EM CHAPA DE AÇO TRATADA E PINTADA COR BRANCO, SEM ALETAS, REFLETOR C/ ACABAMENTO ESPECULAR DE ALTO BRILHO, P/ DUAS LÂMPADAS FLUORESCENTES TUBULARES T8 DE 32W, REATOR ELETRÔNICO P/2X32W, FP DO CJ. 33W E FATOR DE POTÊNCIA 0,98</t>
  </si>
  <si>
    <t>C4946</t>
  </si>
  <si>
    <t>LUMINÁRIA DE SOBREPOR COM CORPO EM POLICARBONATO INJETADO E REFLETOR EM CHAPA DE AÇO TRATADA COM ACABAMENTO EM PINTURA ELETROSTÁTICA EPÓXI-PÓ NA COR BRANCA, DIFUSOR EM POLICARBONATO INJETADO E TEXTURIZADO DE ALTO IMPACTO COM ACABAMENTO EXTERNO LISO E ESTABILIZADO PARA RAIOS UV, VEDAÇÃO EM POLIURETANO E GRAU DE PROTEÇÃO IP-65, REATOR ELETRONICO COM 2 LÂMPADAS FLUORESCENTES TUBULARES DE 32W - COMPLETA</t>
  </si>
  <si>
    <t>C4803</t>
  </si>
  <si>
    <t>LUMINÁRIA DE EMBUTIR/SOBREPOR RETANGULAR CORPO EM CHAPA DE AÇO, PINTURA EPÓXI BRANCA COM REFLETOR EM ALUMÍNIO ESPELHO, PARA 4 LED'S TUBULARES T5 DE 10W, TONALIDADE 5000K, COR BRANCA, GRAU DE PROTEÇÃO IP20 E 1 LED DRIVER - COMPLETA</t>
  </si>
  <si>
    <t>C4804</t>
  </si>
  <si>
    <t>LUMINÁRIA DE EMBUTIR/SOBREPOR RETANGULAR CORPO EM CHAPA DE AÇO, PINTURA EPÓXI BRANCA COM REFLETOR EM ALUMÍNIO ESPELHO, PARA 2 LED'S TUBULAR T5 DE 10W, TONALIDADE 5000K, COR BRANCA, GRAU DE PROTEÇÃO IP20 E 1 LED DRIVER - COMPLETA</t>
  </si>
  <si>
    <t>C3628</t>
  </si>
  <si>
    <t>LUMINÁRIA DECORATIVA, CORPO EM ALUMÍNIO FUNDIDO P/ LÂMPADAS VAPOR DE SÓDIO 250W</t>
  </si>
  <si>
    <t>C3924</t>
  </si>
  <si>
    <t>LUMINÁRIA ELEVADA MÉDIA INTENSIDADE SN-05</t>
  </si>
  <si>
    <t>C1659</t>
  </si>
  <si>
    <t>LUMINÁRIA FECHADA, BRAÇO, LENTE DE VIDRO E LÂMPADA DE VAPOR DE MERCÚRIO 250W</t>
  </si>
  <si>
    <t>C1658</t>
  </si>
  <si>
    <t>LUMINÁRIA FECHADA, BRAÇO LENTE VIDRO C/ LÂMPADA DE VAPOR DE MERCÚRIO 400W</t>
  </si>
  <si>
    <t>C1660</t>
  </si>
  <si>
    <t>LUMINÁRIA FECHADA, BRAÇO, LENTE VIDRO E LÂMPADA DE VAPOR DE SÓDIO 360W</t>
  </si>
  <si>
    <t>C1662</t>
  </si>
  <si>
    <t>LUMINÁRIA FLUORESCENTE COMPLETA (1 X 16)W</t>
  </si>
  <si>
    <t>C1637</t>
  </si>
  <si>
    <t>LUMINÁRIA FLUORESCENTE COMPLETA (1 X 32)W</t>
  </si>
  <si>
    <t>C1661</t>
  </si>
  <si>
    <t>LUMINÁRIA FLUORESCENTE COMPLETA ( 2 X 16 )W</t>
  </si>
  <si>
    <t>C1638</t>
  </si>
  <si>
    <t>LUMINÁRIA FLUORESCENTE COMPLETA (2 X 32)W</t>
  </si>
  <si>
    <t>C1639</t>
  </si>
  <si>
    <t>LUMINÁRIA FLUORESCENTE COMPLETA (4 X 16)W</t>
  </si>
  <si>
    <t>C1636</t>
  </si>
  <si>
    <t>LUMINÁRIA FLUORESCENTE COMPLETA ( 4 X 32 )W</t>
  </si>
  <si>
    <t>C1640</t>
  </si>
  <si>
    <t>LUMINÁRIA FLUORESCENTE COMPLETA C/1 LÂMPADA DE 20W</t>
  </si>
  <si>
    <t>C1663</t>
  </si>
  <si>
    <t>LUMINÁRIA FLUORESCENTE COMPLETA C/ 1 LÂMPADA 40W</t>
  </si>
  <si>
    <t>C1665</t>
  </si>
  <si>
    <t>LUMINÁRIA FLUORESCENTE COMPLETA C/2 LÂMPADAS DE 20W</t>
  </si>
  <si>
    <t>C1666</t>
  </si>
  <si>
    <t>LUMINÁRIA FLUORESCENTE COMPLETA C/2 LÂMPADAS DE 40W</t>
  </si>
  <si>
    <t>C1667</t>
  </si>
  <si>
    <t>LUMINÁRIA FLUORESCENTE COMPLETA C/2 LÂMPADAS DE 65W</t>
  </si>
  <si>
    <t>C1664</t>
  </si>
  <si>
    <t>LUMINÁRIA FLUORESCENTE COMPLETA C/ 3 LÂMPADAS 40W</t>
  </si>
  <si>
    <t>C1641</t>
  </si>
  <si>
    <t>LUMINÁRIA FLUORESCENTE COMPLETA C/4 LÂMPADAS DE 20W</t>
  </si>
  <si>
    <t>C1642</t>
  </si>
  <si>
    <t>LUMINÁRIA FLUORESCENTE COMPLETA C/4 LÂMPADAS DE 40W</t>
  </si>
  <si>
    <t>C4947</t>
  </si>
  <si>
    <t>LUMINÁRIA HERMÉTICA DE EMBUTIR, COM CORPO EM CHAPA DE AÇO FOSFATIZADA E PINTADA ELETROSTATICAMENTE, REFLETOR E ALETAS PARABÓLICAS EM ALUMÍNIO ANODIZADO DE ALTA PUREZA E REFLETÂNCIA, DIFUSOR EM VIDRO TEMPERADO E VEDAÇÃO AUTO-ADESIVA CURVA FOTOMÉTRICA ABERTA, COM 2 REATORES 2X16W E QUATRO LÂMPADAS FLUORESCENTES TUBULARES DE 16W - COMPLETA</t>
  </si>
  <si>
    <t>C1668</t>
  </si>
  <si>
    <t>LUMINÁRIA P/MUROS FECHADA  C/ LÂMPADA</t>
  </si>
  <si>
    <t>C1669</t>
  </si>
  <si>
    <t>LUMINÁRIA PAREDE,TIPO ARANDELA C/ LÂMPADA INCANDESCENTE</t>
  </si>
  <si>
    <t>C4806</t>
  </si>
  <si>
    <t>LUMINÁRIA PENDENTE EM LED, CORPO EM ALUMÍNIO, POTÊNCIA MÍNIMA 200W E MÁXIMA 210W</t>
  </si>
  <si>
    <t>C4805</t>
  </si>
  <si>
    <t>LUMINÁRIA PENDENTE EM LED, FACHO DE LUZ FECHADO (&lt;60°), CORPO EM ALUMÍNIO E REFLETOR EM ALUMÍNIO ANODIZADO DE ALTO BRILHO, POTENCIA MÍNIMA 90W E MÁXIMA 100W - COMPLETA</t>
  </si>
  <si>
    <t>C4956</t>
  </si>
  <si>
    <t>LUMINÁRIA PENDENTE PARA FACHO ABERTO, COM PORTA-LÂMPADA EM CERÂMICA, DIFUSOR EM VIDRO TEMPERADO, COM UMA LÂMPADA MULTIVAPOR METÁLICO 150W, COM REATOR E IGNITOR, COMPLETA</t>
  </si>
  <si>
    <t>C4108</t>
  </si>
  <si>
    <t>LUMINÁRIA QUADRADA EMBUTIDA NA PAREDE PARA LÂMPADA FLUORESCENTE COMPACTA 2X26W EM ALUMÍNIO FUNDIDO E PINTADO POR PROCESSO ELETROSTÁTICO COM REFLETOR EM ALUMÍNIO ANODIZADO ALTO BRILHO E DIFUSOR EM VIDRO TRANPARENTE PRISMÁTICO</t>
  </si>
  <si>
    <t>C1671</t>
  </si>
  <si>
    <t>LUMINÁRIA REFLETORA COM LÂMPADA HALÓGENA DICROICA 50W</t>
  </si>
  <si>
    <t>C1670</t>
  </si>
  <si>
    <t>LUMINÁRIA REFLETORA COM LÂMPADA HALÓGENA DICROICA 75W</t>
  </si>
  <si>
    <t>C1672</t>
  </si>
  <si>
    <t>LUMINÁRIA REFLETORA INTERNA SIMPLES C/OU S/VIDRO</t>
  </si>
  <si>
    <t>C1643</t>
  </si>
  <si>
    <t>LUMINÁRIA REFLETORA.INTERNA.SIMPLES C/LÂMPADA MERCÚRIO</t>
  </si>
  <si>
    <t>C4957</t>
  </si>
  <si>
    <t xml:space="preserve">LUMINÁRIA TIPO BALIZADOR DE EMBUTIR COM SOQUETE E-27 PARA LÂMPADA FLUORESCENTE ELETRÔNICA COMPACTA DE 9W 
</t>
  </si>
  <si>
    <t>C1673</t>
  </si>
  <si>
    <t>LUMINÁRIA TIPO GLOBO PLÁSTICO C/ LÂMPADA INCANDESCENTE</t>
  </si>
  <si>
    <t>C1674</t>
  </si>
  <si>
    <t>LUMINÁRIA TIPO GLOBO VIDRO C/ LAMPADA INCANDESCENTE</t>
  </si>
  <si>
    <t>C1675</t>
  </si>
  <si>
    <t>LUMINÁRIA TIPO GLOBO VIDRO C/ LÂMPADA MISTA, ATÉ 160W</t>
  </si>
  <si>
    <t>C1676</t>
  </si>
  <si>
    <t>LUMINÁRIA TIPO GLOBO VIDRO C/ LÂMPADA MISTA, ATÉ 500W</t>
  </si>
  <si>
    <t>C1677</t>
  </si>
  <si>
    <t>LUMINÁRIA TIPO SPOT DIRECIONAL C/ BRAÇO E C/ LÂMPADA INCANDESCENTE</t>
  </si>
  <si>
    <t>C1678</t>
  </si>
  <si>
    <t>LUMINÁRIA TIPO SPOT SIMPLES C/ LÂMPADA INCANDESCENTE</t>
  </si>
  <si>
    <t>C1875</t>
  </si>
  <si>
    <t>PENDENTE OU PLAFONIER C/GLOBO LEITOSO C/ 1 LÂMPADA DE 60W</t>
  </si>
  <si>
    <t>C3921</t>
  </si>
  <si>
    <t>PLACA SUPORTE P/ LUMINÁRIA SN-05</t>
  </si>
  <si>
    <t>C2009</t>
  </si>
  <si>
    <t>POSTE DE FERRO P/ JARDIM H=2.80M, C/GLOBO E LÂMPADA VAPOR DE SÓDIO 70W</t>
  </si>
  <si>
    <t>C2010</t>
  </si>
  <si>
    <t>POSTE DE FERRO P/JARDIM H=2.80M, C/GLOBO DE VIDRO, S/ LÂMPADA</t>
  </si>
  <si>
    <t>C3625</t>
  </si>
  <si>
    <t>POSTE METÁLICO CÔNICO RETO FLANGEADO H=10.0m P/02 LUMINÁRIAS DECORATIVAS</t>
  </si>
  <si>
    <t>C3626</t>
  </si>
  <si>
    <t>POSTE METÁLICO DECORATIVO CÔNICO RETO FLANGEADO H=4.0m P/01 OU 02 LUMINÁRIAS DECORATIVAS</t>
  </si>
  <si>
    <t>C2050</t>
  </si>
  <si>
    <t xml:space="preserve">PROJETOR C/ LÂMPADA VAPOR DE  MERCÚRIO DE 250W, COMPLETA (SEM FOTOCÉLULA)
</t>
  </si>
  <si>
    <t>C2049</t>
  </si>
  <si>
    <t>PROJETOR C/ LÂMPADA HALÓGENA DUPLO ENVELOPE DE 500W</t>
  </si>
  <si>
    <t>C2048</t>
  </si>
  <si>
    <t>PROJETOR C/ LÂMPADA DE VAPOR DE MERCÚRIO DE 250W, C/FOTOCÉLULA</t>
  </si>
  <si>
    <t>C2051</t>
  </si>
  <si>
    <t>PROJETOR C/ LÂMPADA VAPOR METÁLICO 1000W  C/FOTOCÉLULA</t>
  </si>
  <si>
    <t>C2054</t>
  </si>
  <si>
    <t>PROJETOR C/ LÂMPADA DE VAPOR DE MERCÚRIO 250W, C/FOTOCÉLULA</t>
  </si>
  <si>
    <t>C2047</t>
  </si>
  <si>
    <t>PROJETOR EM ALUMÍNIO, C/ LÂMPADA FLUORESCENTE ATÉ PL-13W</t>
  </si>
  <si>
    <t>C2044</t>
  </si>
  <si>
    <t>PROJETOR EM ALUMÍNIO, C/ LÂMPADA FLUORESCENTE ATÉ PL-18W</t>
  </si>
  <si>
    <t>C4915</t>
  </si>
  <si>
    <t>PROJETOR EM ALUMÍNIO, C/ LÂMPADA DE VAPOR METÁLICO DE 250W, S/FOTOCÉLULA</t>
  </si>
  <si>
    <t>C2045</t>
  </si>
  <si>
    <t>PROJETOR EM ALUMÍNIO, C/ LÂMPADA DE VAPOR METÁLICO E FOTOCÉLULA ATÉ 400W</t>
  </si>
  <si>
    <t>C2046</t>
  </si>
  <si>
    <t>PROJETOR EM ALUMÍNIO, C/ LÂMPADA DE VAPOR METÁLICO E FOTOCÉLULA ATÉ 1000W</t>
  </si>
  <si>
    <t>C4115</t>
  </si>
  <si>
    <t>PROJETOR EM ALUMÍNIO POLIDO COM REFLETOR EM ALUMÍNIO ANODIZADO E DIFUSOR EM VIDRO PLANO TEMPERADO TRANSPARENTE DIÂMETRO = 40CM PARA LÂMPADA VAPOR METÁLICO 400W C/ REATOR E IGNITOR</t>
  </si>
  <si>
    <t>C4112</t>
  </si>
  <si>
    <t>PROJETOR EMBUTIDO NO FORRO EM CHAPA DE AÇO PINTADA COM REFLETOR DE ALUMÍNIO ANODIZADO ALTO BRILHO E DIFUSOR EM VIDRO TRANSPARENTE TEMPERADO PARA LÂMPADA DE VAPOR METÁLICO 400W C/ REATOR E IGNITOR</t>
  </si>
  <si>
    <t>C4810</t>
  </si>
  <si>
    <t>PROJETOR, EM LED (TEMPERATURA DE COR 4000K), CORPO EM ALUMÍNIO, LENTE EM ACRÍLICO E VEDAÇÃO EM SILICONE, GRAU DE PROTEÇÃO IP65, POTÊNCIA MÍNIMA 60W E MÁXIMA 70W, FLUXO LUMINOSO MÍNIMO 5.000LM, FATOR DE POTÊNCIA MÍNIMO 0,92</t>
  </si>
  <si>
    <t>C2053</t>
  </si>
  <si>
    <t>PROJETOR EXTERNO C/ LÂMPADA DE VAPOR DE MERCÚRIO DE 400W, S/ FOTOCÉLULA</t>
  </si>
  <si>
    <t>C2105</t>
  </si>
  <si>
    <t>REATOR AFP-220V, SIMPLES P/ LÂMPADA FLUORESCENTE (SUBSTITUIÇÃO)</t>
  </si>
  <si>
    <t>C2104</t>
  </si>
  <si>
    <t>REATOR AFP-220V, DUPLO P/ LÂMPADA FLUORESCENTE (SUBSTITUIÇÃO)</t>
  </si>
  <si>
    <t>C2106</t>
  </si>
  <si>
    <t>REATOR DE PARTIDA P/ LÂMPADA VAPOR DE MERCÚRIO ATÉ 1000W</t>
  </si>
  <si>
    <t>C4110</t>
  </si>
  <si>
    <t>SISTEMA DE ILUMINAÇÃO COM LED BRANCO PARA FIXAÇÃO LATERAL EM LINHA COM DISPERSÃO A 90 GRAUS E SUPORTE DE ALUMÍNIO, ALIMENTAÇÃO POR DRIVER REMOTO EM CORRENTE CONTÍNUA</t>
  </si>
  <si>
    <t>C4113</t>
  </si>
  <si>
    <t>SPOT ORIENTÁVEL PARA PLUG DE GUITARRA. PARA LÂMPADAS DICRÓICAS DIVERSAS</t>
  </si>
  <si>
    <t>C4116</t>
  </si>
  <si>
    <t>TRANSFORMADOR PARA LEDS</t>
  </si>
  <si>
    <t>LUMINÁRIAS EXTERNAS EM POSTES DE CONCRETO</t>
  </si>
  <si>
    <t>C4791</t>
  </si>
  <si>
    <t>LUMINÁRIA 1 PÉTALA EM POSTE DE CONCRETO CIRCULAR H=12M, ALTURA LIVRE 10,20M, LÂMPADA VAPOR METÁLICO DE 150W, INCLUSIVE O POSTE</t>
  </si>
  <si>
    <t>C4980</t>
  </si>
  <si>
    <t>LUMINÁRIA 1 PÉTALA EM POSTE DE CONCRETO CIRCULAR H=12M, ALTURA LIVRE 10,20M, LÂMPADA VAPOR METÁLICO DE 400W, INCLUSIVE O POSTE</t>
  </si>
  <si>
    <t>C4981</t>
  </si>
  <si>
    <t>LUMINÁRIA 2 PÉTALAS EM POSTE DE CONCRETO CIRCULAR H=12M, ALTURA LIVRE 10,20M, LÂMPADA VAPOR METÁLICO DE 400W, INCLUSIVE O POSTE</t>
  </si>
  <si>
    <t>C4982</t>
  </si>
  <si>
    <t>LUMINÁRIA 3 PÉTALAS EM POSTE DE CONCRETO CIRCULAR H=12M, ALTURA LIVRE 10,20M, LÂMPADA VAPOR METÁLICO DE 400W, INCLUSIVE O POSTE</t>
  </si>
  <si>
    <t>C4983</t>
  </si>
  <si>
    <t>LUMINÁRIA 4 PÉTALAS EM POSTE DE CONCRETO CIRCULAR H=12M, ALTURA LIVRE 10,20M, LÂMPADA VAPOR METÁLICO DE 400W, INCLUSIVE O POSTE</t>
  </si>
  <si>
    <t>C5035</t>
  </si>
  <si>
    <t>LUMINÁRIA 4 PÉTALAS EM POSTE DE CONCRETO CIRCULAR H=14M, ALTURA LIVRE 12M, LÂMPADA VAPOR METÁLICO DE 400W, INCLUSIVE O POSTE</t>
  </si>
  <si>
    <t>C4870</t>
  </si>
  <si>
    <t>LUMINÁRIA FECHADA (1 UNIDADE) EM POSTE DE CONCRETO CIRCULAR H= 9,0M, ALTURA LIVRE  7,5M, LÂMPADA DE VAPOR METÁLICO DE 150W, INCLUSIVE O POSTE</t>
  </si>
  <si>
    <t>C4977</t>
  </si>
  <si>
    <t>LUMINÁRIA FECHADA (2 UNIDADES) EM POSTE DE CONCRETO CIRCULAR H= 9,0M, ALTURA LIVRE  7,5M, LÂMPADA DE VAPOR METÁLICO DE 250W, INCLUSIVE O POSTE</t>
  </si>
  <si>
    <t>C4978</t>
  </si>
  <si>
    <t>LUMINÁRIA FECHADA (1 UNIDADE) EM POSTE DE CONCRETO CIRCULAR H= 9,0M, ALTURA LIVRE  7,5M, LÂMPADA DE VAPOR METÁLICO DE 250W, INCLUSIVE O POSTE</t>
  </si>
  <si>
    <t>C4871</t>
  </si>
  <si>
    <t xml:space="preserve">LUMINÁRIA FECHADA (2 UNIDADES) EM POSTE DE CONCRETO CIRCULAR H= 9,0M, ALTURA LIVRE  7,5M, LÂMPADA DE VAPOR METÁLICO DE 150W, INCLUSIVE O POSTE
</t>
  </si>
  <si>
    <t>C5032</t>
  </si>
  <si>
    <t>PROJETOR (1 UNIDADE) EM POSTE DE CONCRETO CIRCULAR H= 8M, ALTURA LIVRE 6,60M, LÂMPADA DE VAPOR METÁLICO DE 150W, INCLUSIVE O POSTE</t>
  </si>
  <si>
    <t>C5031</t>
  </si>
  <si>
    <t>PROJETOR (2 UNIDADES) EM POSTE DE CONCRETO CIRCULAR H= 8M, ALTURA LIVRE 6,60M, LÂMPADA DE VAPOR METÁLICO DE 150W, INCLUSIVE O POSTE</t>
  </si>
  <si>
    <t>C4984</t>
  </si>
  <si>
    <t>PROJETOR (1 UNIDADE) EM POSTE DE CONCRETO CIRCULAR H=10M, ALTURA LIVRE  8,40M, LÂMPADA DE VAPOR DE MERCÚRIO DE 250W, INCLUSIVE O POSTE</t>
  </si>
  <si>
    <t>C4985</t>
  </si>
  <si>
    <t>PROJETOR (1 UNIDADE) EM POSTE DE CONCRETO CIRCULAR H=10M, ALTURA LIVRE  8,40M, LÂMPADA DE VAPOR DE MERCÚRIO DE 400W, INCLUSIVE O POSTE</t>
  </si>
  <si>
    <t>C4986</t>
  </si>
  <si>
    <t>PROJETOR (2 UNIDADES) EM POSTE DE CONCRETO CIRCULAR H=10M, ALTURA LIVRE  8,40M, LÂMPADA DE VAPOR DE MERCÚRIO DE 250W, INCLUSIVE O POSTE</t>
  </si>
  <si>
    <t>C4987</t>
  </si>
  <si>
    <t>PROJETOR (2 UNIDADES) EM POSTE DE CONCRETO CIRCULAR H=10M, ALTURA LIVRE  8,40M, LÂMPADA DE VAPOR DE MERCÚRIO DE 400W, INCLUSIVE O POSTE</t>
  </si>
  <si>
    <t>C4988</t>
  </si>
  <si>
    <t>PROJETOR (3 UNIDADES) EM POSTE DE CONCRETO CIRCULAR H=10M, ALTURA LIVRE  8,40M, LÂMPADA DE VAPOR DE MERCÚRIO DE 400W, INCLUSIVE O POSTE</t>
  </si>
  <si>
    <t>C5034</t>
  </si>
  <si>
    <t>PROJETOR (3 UNIDADES) EM POSTE DE CONCRETO CIRCULAR H=10M, ALTURA LIVRE 8,40M, LÂMPADA DE VAPOR METÁLICO DE 400W, INCLUSIVE O POSTE</t>
  </si>
  <si>
    <t>C4989</t>
  </si>
  <si>
    <t>PROJETOR (4 UNIDADES) EM POSTE DE CONCRETO CIRCULAR H=10M, ALTURA LIVRE  8,40M, LÂMPADA DE VAPOR DE MERCÚRIO DE 400W, INCLUSIVE O POSTE</t>
  </si>
  <si>
    <t>APARELHOS ELÉTRICOS</t>
  </si>
  <si>
    <t>C0081</t>
  </si>
  <si>
    <t>AMPERÍMETRO (72X72)MM, ESC. 0-250A</t>
  </si>
  <si>
    <t>C0082</t>
  </si>
  <si>
    <t>AMPERÍMETRO (96X96)MM, ESC. 0-500A</t>
  </si>
  <si>
    <t>C0080</t>
  </si>
  <si>
    <t>AMPERÍMETRO (144X144)MM, ESC. 0-1000A</t>
  </si>
  <si>
    <t>C0101</t>
  </si>
  <si>
    <t>AQUECEDOR CENTRAL ELETROAUTOMATICO 220V-5060 A 7480W</t>
  </si>
  <si>
    <t>C0102</t>
  </si>
  <si>
    <t>AQUECEDOR ELÉTRICO CAP.50  A 250L. 110/220V</t>
  </si>
  <si>
    <t>C0103</t>
  </si>
  <si>
    <t>AQUECEDOR INDIVIDUAL ELETROAUTOMATICO 220V - 4840 W</t>
  </si>
  <si>
    <t>C0465</t>
  </si>
  <si>
    <t>BOTOEIRA EM ALUMÍNIO FUNDIDO "LIGA - DESLIGA"</t>
  </si>
  <si>
    <t>C1286</t>
  </si>
  <si>
    <t>ESTABILIZADOR DE TENSÃO/CORRENTE DE 1KVA</t>
  </si>
  <si>
    <t>C1287</t>
  </si>
  <si>
    <t>ESTABILIZADOR DE TENSÃO/CORRENTE DE 3KVA</t>
  </si>
  <si>
    <t>C1288</t>
  </si>
  <si>
    <t>ESTABILIZADOR DE TENSÃO/CORRENTE DE 5KVA</t>
  </si>
  <si>
    <t>C1289</t>
  </si>
  <si>
    <t>ESTABILIZADOR DE TENSÃO/CORRENTE DE 7.5KVA</t>
  </si>
  <si>
    <t>C1285</t>
  </si>
  <si>
    <t>ESTABILIZADOR DE TENSÃO/CORRENTE DE 10KVA</t>
  </si>
  <si>
    <t>C1354</t>
  </si>
  <si>
    <t>EXAUSTOR ELETROMECÂNICO INDUSTRIAL D= 400MM</t>
  </si>
  <si>
    <t>C1477</t>
  </si>
  <si>
    <t>INSTALAÇÃO DE EXAUSTOR ELÉTRICO TIPO DOMICILIAR</t>
  </si>
  <si>
    <t>C2276</t>
  </si>
  <si>
    <t>SINALIZADOR P/ ENTRADA E SAÍDA DE VEÍCULOS</t>
  </si>
  <si>
    <t>C2512</t>
  </si>
  <si>
    <t>TRANSFORMADOR 2KVA MONOFASICO 220V/110V</t>
  </si>
  <si>
    <t>C2517</t>
  </si>
  <si>
    <t>TRANSFORMADOR DE CORRENTE EM QD - FAIXA 50 A 250/5A</t>
  </si>
  <si>
    <t>C2518</t>
  </si>
  <si>
    <t>TRANSFORMADOR DE CORRENTE EM QD - FAIXA 200 A 400/5A</t>
  </si>
  <si>
    <t>C2519</t>
  </si>
  <si>
    <t>TRANSFORMADOR DE CORRENTE EM QD - FAIXA 400 A 800/5A</t>
  </si>
  <si>
    <t>C2520</t>
  </si>
  <si>
    <t>TRANSFORMADOR DE CORRENTE EM QD - FAIXA 1000 A 1500/5A</t>
  </si>
  <si>
    <t>C4059</t>
  </si>
  <si>
    <t>TRANSFORMADOR DE CORRENTE 15 KV - INSTALADO</t>
  </si>
  <si>
    <t>C4404</t>
  </si>
  <si>
    <t>TRANSFORMADOR DE FORÇA À SECO 750 KVA/13.800-380/220V (FORNECIMENTO E MONTAGEM)</t>
  </si>
  <si>
    <t>C4405</t>
  </si>
  <si>
    <t>TRANSFORMADOR DE FORÇA À SECO 2.500 KVA/13.800-440/240V (FORNECIMENTO E MONTAGEM)</t>
  </si>
  <si>
    <t>C0832</t>
  </si>
  <si>
    <t>TRANSFORMADOR DE POTENCIAL 115 VAC 400 VA</t>
  </si>
  <si>
    <t>C4060</t>
  </si>
  <si>
    <t>TRANSFORMADOR DE POTÊNCIA 15 KV - INSTALADO</t>
  </si>
  <si>
    <t>C2524</t>
  </si>
  <si>
    <t>TRANSFORMADOR P/CABINE PRIMÁRIA 500KVA-15KV</t>
  </si>
  <si>
    <t>C2663</t>
  </si>
  <si>
    <t>VENTILADOR DE TETO C/ ALETAS DE MADEIRA</t>
  </si>
  <si>
    <t>C2664</t>
  </si>
  <si>
    <t>VENTILADOR DE TETO METÁLICO</t>
  </si>
  <si>
    <t>C2682</t>
  </si>
  <si>
    <t>VOLTÍMETRO (72X72)MM, ESC. 0-500V</t>
  </si>
  <si>
    <t>C2683</t>
  </si>
  <si>
    <t>VOLTÍMETRO (96X96)MM, ESC. 0-500V</t>
  </si>
  <si>
    <t>C2681</t>
  </si>
  <si>
    <t>VOLTÍMETRO (144X144)MM, ESC. 0-500V</t>
  </si>
  <si>
    <t>C4372</t>
  </si>
  <si>
    <t>BALANÇA ELETRÔNICA C/ PLATAFORMA 18x3, CAP. 80 TON. (FORN./MONTAGEM)</t>
  </si>
  <si>
    <t>C4184</t>
  </si>
  <si>
    <t>GRUPO GERADOR 951/1000 KVA, COM QUADRO AUTOMÁTICO - COMPLETO</t>
  </si>
  <si>
    <t>C4063</t>
  </si>
  <si>
    <t>GRUPO GERADOR 781/950 KVA C/ QUADRO AUTOMÁTICO - COMPLETO</t>
  </si>
  <si>
    <t>C4062</t>
  </si>
  <si>
    <t>GRUPO GERADOR 636/780 KVA C/ QUADRO AUTOMÁTICO - COMPLETO</t>
  </si>
  <si>
    <t>C3668</t>
  </si>
  <si>
    <t>GRUPO GERADOR 501/635 KVA, COM QUADRO AUTOMÁTICO - COMPLETO</t>
  </si>
  <si>
    <t>C4061</t>
  </si>
  <si>
    <t>GRUPO GERADOR 451/500 KVA COM QUADRO AUTOMÁTICO - COMPLETO</t>
  </si>
  <si>
    <t>C4183</t>
  </si>
  <si>
    <t>GRUPO GERADOR 386/450 KVA, COM QUADRO AUTOMÁTICO - COMPLETO</t>
  </si>
  <si>
    <t>C3667</t>
  </si>
  <si>
    <t>GRUPO GERADOR 361/385 KVA, COM QUADRO AUTOMÁTICO - COMPLETO</t>
  </si>
  <si>
    <t>C3666</t>
  </si>
  <si>
    <t>GRUPO GERADOR 291/360 KVA, COM QUADRO AUTOMÁTICO - COMPLETO</t>
  </si>
  <si>
    <t>C1443</t>
  </si>
  <si>
    <t>GRUPO GERADOR 261/290 KVA, C/ QUADRO AUTOMÁTICO - COMPLETO</t>
  </si>
  <si>
    <t>C3664</t>
  </si>
  <si>
    <t>GRUPO GERADOR 236/260 KVA, COM QUADRO AUTOMÁTICO - COMPLETO</t>
  </si>
  <si>
    <t>C4182</t>
  </si>
  <si>
    <t>GRUPO GERADOR 216/235 KVA, COM QUADRO AUTOMÁTICO - COMPLETO</t>
  </si>
  <si>
    <t>C3663</t>
  </si>
  <si>
    <t>GRUPO GERADOR 171/215  KVA, COM QUADRO AUTOMÁTICO - COMPLETO</t>
  </si>
  <si>
    <t>C1441</t>
  </si>
  <si>
    <t>GRUPO GERADOR 141/170 KVA, C/ QUADRO AUTOMÁTICO - COMPLETO</t>
  </si>
  <si>
    <t>C3661</t>
  </si>
  <si>
    <t>GRUPO GERADOR 121/140  KVA, COM QUADRO AUTOMÁTICO - COMPLETO</t>
  </si>
  <si>
    <t>C1440</t>
  </si>
  <si>
    <t>GRUPO GERADOR 86/120 KVA, C/ QUADRO AUTOMÁTICO - COMPLETO</t>
  </si>
  <si>
    <t>C1444</t>
  </si>
  <si>
    <t>GRUPO GERADOR 56/85 KVA, C/ QUADRO AUTOMÁTICO - COMPLETO</t>
  </si>
  <si>
    <t>C3660</t>
  </si>
  <si>
    <t>GRUPO GERADOR 45/55 KVA, COM QUADRO AUTOMÁTICO - COMPLETO</t>
  </si>
  <si>
    <t>POSTES P/ ENERGIA E COMUNICAÇÃO</t>
  </si>
  <si>
    <t>C3576</t>
  </si>
  <si>
    <t>MUTIRÃO MISTO - MINI POSTE H=1.50m REX MONO E ROLDANA</t>
  </si>
  <si>
    <t>C2000</t>
  </si>
  <si>
    <t>POSTE C/ACESSÓRIOS ATÉ  A ENTRADA DA SUBESTAÇÃO ABRIGADA</t>
  </si>
  <si>
    <t>C2012</t>
  </si>
  <si>
    <t>POSTE P/EDIFICAÇÕES POTÊNCIA INSTALADA ATÉ 5KW</t>
  </si>
  <si>
    <t>C2017</t>
  </si>
  <si>
    <t>POSTE P/EDIFICAÇÕES POTÊNCIA INSTALADA DE 5,01 À 10KW</t>
  </si>
  <si>
    <t>C2013</t>
  </si>
  <si>
    <t>POSTE P/EDIFICAÇÕES POTÊNCIA INSTALADA DE 10,01 À 15KW</t>
  </si>
  <si>
    <t>C2014</t>
  </si>
  <si>
    <t>POSTE P/EDIFICAÇÕES POTÊNCIA INSTALADA DE 15,01 À 20KW</t>
  </si>
  <si>
    <t>C2015</t>
  </si>
  <si>
    <t>POSTE P/EDIFICAÇÕES POTÊNCIA INSTALADA DE 20,01 À 25 KW</t>
  </si>
  <si>
    <t>C2016</t>
  </si>
  <si>
    <t>POSTE P/EDIFICAÇÕES POTÊNCIA INSTALADA DE 25,01 À 30 KW</t>
  </si>
  <si>
    <t>POSTES EM CONCRETO</t>
  </si>
  <si>
    <t>C4958</t>
  </si>
  <si>
    <t>POSTE DE CONCRETO CIRCULAR, RESISTÊNCIA NOMINAL 200KG, H= 7,00M, PESO APROXIMADO 670 KG</t>
  </si>
  <si>
    <t>C5030</t>
  </si>
  <si>
    <t>POSTE DE CONCRETO CIRCULAR, RESISTÊNCIA NOMINAL 200KG, H= 8,00M, PESO APROXIMADO 570 KG</t>
  </si>
  <si>
    <t>C4959</t>
  </si>
  <si>
    <t>POSTE DE CONCRETO CIRCULAR, RESISTÊNCIA NOMINAL 200KG, H= 9,00M, PESO APROXIMADO 670 KG</t>
  </si>
  <si>
    <t>C5033</t>
  </si>
  <si>
    <t>POSTE DE CONCRETO CIRCULAR, RESISTÊNCIA NOMINAL 200KG, H=10,00M, PESO APROXIMADO DE 790 KG</t>
  </si>
  <si>
    <t>C4960</t>
  </si>
  <si>
    <t>POSTE DE CONCRETO CIRCULAR, RESISTÊNCIA NOMINAL 200KG, H=11,00M, PESO APROXIMADO 910KG</t>
  </si>
  <si>
    <t>C4961</t>
  </si>
  <si>
    <t>POSTE DE CONCRETO CIRCULAR, RESISTÊNCIA NOMINAL 300KG, H= 7,00M, PESO APROXIMADO 500KG</t>
  </si>
  <si>
    <t>C4962</t>
  </si>
  <si>
    <t>POSTE DE CONCRETO CIRCULAR, RESISTÊNCIA NOMINAL 300KG, H= 9,00M, PESO APROXIMADO 710KG</t>
  </si>
  <si>
    <t>C4963</t>
  </si>
  <si>
    <t>POSTE DE CONCRETO CIRCULAR, RESISTÊNCIA NOMINAL 300KG, H=11,00M, PESO APROXIMADO 950KG</t>
  </si>
  <si>
    <t>C4964</t>
  </si>
  <si>
    <t>POSTE DE CONCRETO CIRCULAR, RESISTÊNCIA NOMINAL 400KG, H= 9,00M, PESO APROXIMADO 740KG</t>
  </si>
  <si>
    <t>C4965</t>
  </si>
  <si>
    <t>POSTE DE CONCRETO CIRCULAR, RESISTÊNCIA NOMINAL 400KG, H=11,00M, PESO APROXIMADO 990KG</t>
  </si>
  <si>
    <t>C4979</t>
  </si>
  <si>
    <t>POSTE DE CONCRETO CIRCULAR, RESISTÊNCIA NOMINAL 400KG, H=12,00M, PESO APROXIMADO 1.130KG</t>
  </si>
  <si>
    <t>C4966</t>
  </si>
  <si>
    <t>POSTE DE CONCRETO CIRCULAR, RESISTÊNCIA NOMINAL 400KG, H=14,00M, PESO APROXIMADO 1.430KG</t>
  </si>
  <si>
    <t>C4976</t>
  </si>
  <si>
    <t>POSTE DE CONCRETO DUPLO T, RESISTÊNCIA NOMINAL 150KG, H= 9,00M, PESO APROXIMADO 470KG</t>
  </si>
  <si>
    <t>C4967</t>
  </si>
  <si>
    <t>POSTE DE CONCRETO DUPLO T, RESISTÊNCIA NOMINAL 200KG, H= 8,00M, PESO APROXIMADO 400KG</t>
  </si>
  <si>
    <t>C4968</t>
  </si>
  <si>
    <t>POSTE DE CONCRETO DUPLO T, RESISTÊNCIA NOMINAL 200KG, H= 9,00M, PESO APROXIMADO 470KG</t>
  </si>
  <si>
    <t>C4969</t>
  </si>
  <si>
    <t>POSTE DE CONCRETO DUPLO T, RESISTÊNCIA NOMINAL 200KG, H=11,000M, PESO APROXIMADO 640KG</t>
  </si>
  <si>
    <t>C4970</t>
  </si>
  <si>
    <t>POSTE DE CONCRETO DUPLO T, RESISTÊNCIA NOMINAL 300KG, H= 9,00M, PESO APROXIMADO 845KG</t>
  </si>
  <si>
    <t>C4971</t>
  </si>
  <si>
    <t>POSTE DE CONCRETO DUPLO T, RESISTÊNCIA NOMINAL 300KG, H=10,00M, PESO APROXIMADO 993KG</t>
  </si>
  <si>
    <t>C4972</t>
  </si>
  <si>
    <t>POSTE DE CONCRETO DUPLO T, RESISTÊNCIA NOMINAL 300KG, H=12,00M, PESO APROXIMADO 1.330KG</t>
  </si>
  <si>
    <t>C4973</t>
  </si>
  <si>
    <t>POSTE DE CONCRETO DUPLO T, RESISTÊNCIA NOMINAL 400KG, H=12,00M, PESO APROXIMADO 1.3307KG</t>
  </si>
  <si>
    <t>C4974</t>
  </si>
  <si>
    <t>POSTE DE CONCRETO DUPLO T, RESISTÊNCIA NOMINAL 600KG, H=12,00M, PESO APROXIMADO 1.330KG</t>
  </si>
  <si>
    <t>C4975</t>
  </si>
  <si>
    <t>POSTE DE CONCRETO DUPLO T, RESISTÊNCIA NOMINAL 1000KG, H=12,00M, PESO APROXIMADO 1.585KG</t>
  </si>
  <si>
    <t>SUBESTAÇÃO DE DISTRIBUIÇÃO  AÉREA - CLASSE 15 kV</t>
  </si>
  <si>
    <t>C4936</t>
  </si>
  <si>
    <t xml:space="preserve">SUBESTAÇÃO AÉREA DE 15 KVA/13.800-380/220V COM QUADRO DE MEDIÇÃO E PROTEÇÃO GERAL,INCLUSIVE MALHA DE ATERRAMENTO
</t>
  </si>
  <si>
    <t>C4937</t>
  </si>
  <si>
    <t>SUBESTAÇÃO AÉREA DE 30 KVA/13.800-380/220V COM QUADRO DE MEDIÇÃO E PROTEÇÃO GERAL, INCLUSIVE MALHA DE ATERRAMENTO</t>
  </si>
  <si>
    <t>C4938</t>
  </si>
  <si>
    <t>SUBESTAÇÃO AÉREA DE 45 KVA/13.800-380/220V COM QUADRO DE MEDIÇÃO E PROTEÇÃO GERAL, INCLUSIVE MALHA DE ATERRAMENTO</t>
  </si>
  <si>
    <t>C4939</t>
  </si>
  <si>
    <t>SUBESTAÇÃO AÉREA DE 75 KVA/13.800-380/220V COM QUADRO DE MEDIÇÃO E PROTEÇÃO GERAL, INCLUSIVE MALHA DE ATERRAMENTO</t>
  </si>
  <si>
    <t>C4940</t>
  </si>
  <si>
    <t>SUBESTAÇÃO AÉREA DE 112,5 KVA/13.800-380/220V COM QUADRO DE MEDIÇÃO E PROTEÇÃO GERAL, INCLUSIVE MALHA DE ATERRAMENTO</t>
  </si>
  <si>
    <t>C4941</t>
  </si>
  <si>
    <t>SUBESTAÇÃO AÉREA DE 150 KVA/13.800-380/220V COM QUADRO DE MEDIÇÃO E PROTEÇÃO GERAL, INCLUSIVE MALHA DE ATERRAMENTO</t>
  </si>
  <si>
    <t>C4942</t>
  </si>
  <si>
    <t>SUBESTAÇÃO AÉREA DE 225 KVA/13.800-380/220V COM QUADRO DE MEDIÇÃO E PROTEÇÃO GERAL, INCLUSIVE MALHA DE ATERRAMENTO</t>
  </si>
  <si>
    <t>C4758</t>
  </si>
  <si>
    <t>SUBESTAÇÃO AÉREA DE 300 KVA/13.800-380/220V COM QUADRO DE MEDIÇÃO E PROTEÇÃO GERAL, INCLUSIVE MALHA DE ATERRAMENTO</t>
  </si>
  <si>
    <t>SERVIÇOS AUXILIARES DE TELEFONIA, SOM, LÓGICA E SISTEMAS DE CONTROLE</t>
  </si>
  <si>
    <t>C4532</t>
  </si>
  <si>
    <t>PATCH CORD, CATEGORIA 6, EXTENSAO DE 2,50 M</t>
  </si>
  <si>
    <t>C4042</t>
  </si>
  <si>
    <t>ALARME SONORO/VISUAL, SIRENE 120 dB, COM ACIONADOR MANUAL, ALIMENTAÇÃO 220 VAC - INSTALADO</t>
  </si>
  <si>
    <t>C0093</t>
  </si>
  <si>
    <t>APARELHO SINALIZADOR DE OBSTÁCULOS C/CÉLULA FOTOELÉTRICA</t>
  </si>
  <si>
    <t>C4567</t>
  </si>
  <si>
    <t>BANDEJA MÓVEL, PADRÃO 19"</t>
  </si>
  <si>
    <t>C0390</t>
  </si>
  <si>
    <t>BLOCO TELEFÔNICO DE LIGAÇÃO INTERNA BLI - 10</t>
  </si>
  <si>
    <t>C4566</t>
  </si>
  <si>
    <t>BLOCO IDC-100 PARES INTERNO, IDC-IDC, PADRÃO 19"</t>
  </si>
  <si>
    <t>C4043</t>
  </si>
  <si>
    <t xml:space="preserve">COMPUTADOR PENTIUM 4 , 2,80 GHz, 512 K CACHE, HD 40 GB, 128 MB DDR SDRAM, INCLUINDO PLACA </t>
  </si>
  <si>
    <t>C4058</t>
  </si>
  <si>
    <t>CENTRAL DE CONTROLE P/ SEGURANÇA COMPLETA - INSTALADO</t>
  </si>
  <si>
    <t>C4024</t>
  </si>
  <si>
    <t>CENTRAL DE TELEFONIA C/ 50 RAMAIS E 10 LINHAS TRONCO</t>
  </si>
  <si>
    <t>C4004</t>
  </si>
  <si>
    <t>CONTROLADOR LÓGICO PROGRAMÁVEL MODULAR</t>
  </si>
  <si>
    <t>C4176</t>
  </si>
  <si>
    <t>CONJUNTO DE CONVERSORES (EMISSOR E RECEPTOR) DE UTP/COAXIAL COM TERMINAIS DE CONEXÃO, CAIXAS DE PROTEÇÃO E FONTE DE ALIMENTAÇÃO</t>
  </si>
  <si>
    <t>C4177</t>
  </si>
  <si>
    <t>DETECTOR TERMO-VELOCIMÉTRICO, MONTAGEM DE TETO, C/ BASE ALIMENTAÇÃO 220 VAC, OPERAÇÃO EM REDE - INSTALADO</t>
  </si>
  <si>
    <t>C4041</t>
  </si>
  <si>
    <t>DETETOR IÔNICO DE FUMAÇA, MONTAGEM DE TETO, C/ BASE ALIMENTAÇÃO 220VAC, UMA SAÍDA DIGITAL - INSTALADO</t>
  </si>
  <si>
    <t>C3765</t>
  </si>
  <si>
    <t>DISTRIBUIDOR INTERNO ÓPTICO PARA 24 FIBRAS</t>
  </si>
  <si>
    <t>C4564</t>
  </si>
  <si>
    <t>DISTRIBUIDOR INTERNO ÓPTICO - D.I.O. PARA 12 FIBRAS MONO-MODO, COM CONCETORES ST, PADRÃO 19"</t>
  </si>
  <si>
    <t>C4565</t>
  </si>
  <si>
    <t>DISTRIBUIDOR INTERNO ÓPTICO - D.I.O. PARA 24 FIBRAS MONO-MODO, COM CONECTORES ST, PADRÃO 19"</t>
  </si>
  <si>
    <t>C4050</t>
  </si>
  <si>
    <t>GRAVADOR DE VÍDEO, TIPO TIME HOPSE, 960 HORAS - INSTALADO</t>
  </si>
  <si>
    <t>C3760</t>
  </si>
  <si>
    <t>HUB TIPO 24 PORTAS</t>
  </si>
  <si>
    <t>C4181</t>
  </si>
  <si>
    <t>MÓDULO PARA COMUNICAÇÃO EM REDE RS 485 PROTOCOLO MODBUS RTU</t>
  </si>
  <si>
    <t>C4048</t>
  </si>
  <si>
    <t>MONITOR INDUSTRIAL DE VÍDEO COLORIDO, DIGITAL, TELA 19", PORTA PARALELA - INSTALADO</t>
  </si>
  <si>
    <t>C4049</t>
  </si>
  <si>
    <t>MONITOR INDUSTRIAL DE VÍDEO COLORIDO, VÍDEO COMPOSTO, 2 CANAIS DE ENTRADA E 1 DE SAÍDA, DIMENSÕES 14 - INSTALADO</t>
  </si>
  <si>
    <t>C4033</t>
  </si>
  <si>
    <t>NO-BREAK TRIFÁSICO, 380/380 VAC-LL, 60 Hz, 2000VA, BATERIAS INCORPORADAS, AUTO-PORTANTE EM GABINETE IP-44 - INSTALADO</t>
  </si>
  <si>
    <t>C4568</t>
  </si>
  <si>
    <t>ORGANIZADOR DE CABOS HORIZONTAL, ABERTO, PADRÃO RACK 19"</t>
  </si>
  <si>
    <t>C4876</t>
  </si>
  <si>
    <t>PAINEL ELETRICO C/1 SOFT START 7,5CV, 380V/60Hz - MONTAGEM COM SUPERVISÃO DE ENGENHEIRO</t>
  </si>
  <si>
    <t>C4877</t>
  </si>
  <si>
    <t>PAINEL ELETRICO C/1 SOFT START 10CV, 380V/60Hz - MONTAGEM COM SUPERVISÃO DE ENGENHEIRO</t>
  </si>
  <si>
    <t>C4878</t>
  </si>
  <si>
    <t>PAINEL ELETRICO C/1 SOFT START 12,5CV, 380/60Hz - MONTAGEM COM SUPERVISÃO DE ENGENHEIRO</t>
  </si>
  <si>
    <t>C4879</t>
  </si>
  <si>
    <t>PAINEL ELETRICO C/1 SOFT START 20CV, 380/60Hz - MONTAGEM COM SUPERVISÃO DE ENGENHEIRO</t>
  </si>
  <si>
    <t>C4880</t>
  </si>
  <si>
    <t>PAINEL ELETRICO C/1 SOFT START 25CV, 380/60Hz - MONTAGEM COM SUPERVISÃO DE ENGENHEIRO</t>
  </si>
  <si>
    <t>C4881</t>
  </si>
  <si>
    <t>PAINEL ELETRICO C/1 SOFT START 30CV, 380V/60Hz - MONTAGEM COM SUPERVISÃO DE ENGENHEIRO</t>
  </si>
  <si>
    <t>C4882</t>
  </si>
  <si>
    <t>PAINEL ELETRICO C/1 SOFT START 40CV, 380V/60Hz - MONTAGEM COM SUPERVISÃO DE ENGENHEIRO</t>
  </si>
  <si>
    <t>C4883</t>
  </si>
  <si>
    <t>PAINEL ELETRICO C/1 SOFT START 50CV, 380V/60Hz - MONTAGEM COM SUPERVISÃO DE ENGENHEIRO</t>
  </si>
  <si>
    <t>C4884</t>
  </si>
  <si>
    <t>PAINEL ELETRICO C/2 SOFT START 7,5CV, 380V/60Hz - MONTAGEM COM SUPERVISÃO DE ENGENHEIRO</t>
  </si>
  <si>
    <t>C4885</t>
  </si>
  <si>
    <t>PAINEL ELETRICO C/2 SOFT START 10CV, 380V/60Hz - MONTAGEM COM SUPERVISÃO DE ENGENHEIRO</t>
  </si>
  <si>
    <t>C4886</t>
  </si>
  <si>
    <t>PAINEL ELETRICO C/2 SOFT START 12,5CV, 380V/60Hz - MONTAGEM COM SUPERVISÃO DE ENGENHEIRO</t>
  </si>
  <si>
    <t>C4887</t>
  </si>
  <si>
    <t>PAINEL ELETRICO C/2 SOFT START 15CV, 380V/60Hz - MONTAGEM COM SUPERVISÃO DE ENGENHEIRO</t>
  </si>
  <si>
    <t>C4888</t>
  </si>
  <si>
    <t>PAINEL ELETRICO C/2 SOFT START 20CV, 380V/60Hz - MONTAGEM COM SUPERVISÃO DE ENGENHEIRO</t>
  </si>
  <si>
    <t>C4889</t>
  </si>
  <si>
    <t>PAINEL ELETRICO C/2 SOFT START 25CV, 380V/60Hz - MONTAGEM COM SUPERVISÃO DE ENGENHEIRO</t>
  </si>
  <si>
    <t>C4890</t>
  </si>
  <si>
    <t>PAINEL ELÉTRICO C/2 SOFT START 30CV, 380V/60HZ - MONTAGEM COM SUPERVISÃO DE ENGENHEIRO</t>
  </si>
  <si>
    <t>C4891</t>
  </si>
  <si>
    <t>PAINEL ELÉTRICO C/2 SOFT START 35CV, 380 V/60HZ - MONTAGEM COM SUPERVISÃO DE ENGENHEIRO</t>
  </si>
  <si>
    <t>C4892</t>
  </si>
  <si>
    <t>PAINEL ELÉTRICO C/2 SOFT START 40CV, 380V/60HZ - MONTAGEM COM SUPERVISÃO DE ENGENHEIRO</t>
  </si>
  <si>
    <t>C4893</t>
  </si>
  <si>
    <t>PAINEL ELETRICO C/2 SOFT START 50CV, 380V/60Hz - MONTAGEM COM SUPERVISÃO DE ENGENHEIRO</t>
  </si>
  <si>
    <t>C4894</t>
  </si>
  <si>
    <t>PAINEL ELETRICO C/2 SOFT START 60CV, 380V/60Hz - MONTAGEM COM SUPERVISÃO DE ENGENHEIRO</t>
  </si>
  <si>
    <t>C3770</t>
  </si>
  <si>
    <t>PATCH CABLE EXTRA-FLEXÍVEL RJ-45/RJ-45 DE 1,50m</t>
  </si>
  <si>
    <t>C4526</t>
  </si>
  <si>
    <t>PATCH CABLE EXTRA-FLEXÍVEL RJ-45/RJ-45 DE 2,50m</t>
  </si>
  <si>
    <t>C5188</t>
  </si>
  <si>
    <t>PATCH PANEL 24 PORTAS, CATEGORIA 6, COM RACKS DE 19" E 1U DE ALTURA</t>
  </si>
  <si>
    <t>C5189</t>
  </si>
  <si>
    <t>PATCH PANEL 48 PORTAS, CATEGORIA 6, COM RACKS DE 19" E 2U DE ALTURA</t>
  </si>
  <si>
    <t>C3764</t>
  </si>
  <si>
    <t>RACK FECHADO 24 U'S, 670mm, PROFUNDIDADE PADRÃO 19"</t>
  </si>
  <si>
    <t>C3763</t>
  </si>
  <si>
    <t>RACK FECHADO 36 U'S, 670mm, PROFUNDIDADE PADRÃO 19"</t>
  </si>
  <si>
    <t>C3762</t>
  </si>
  <si>
    <t>RACK FECHADO 44 U'S, 670mm, PROFUNDIDADE PADRÃO 19"</t>
  </si>
  <si>
    <t>C4569</t>
  </si>
  <si>
    <t>RÉGUA DE TOMADAS ELÉTRICAS, COM 08 TOMADAS, PADRÃO RACK 19"</t>
  </si>
  <si>
    <t>C4895</t>
  </si>
  <si>
    <t>RELÉ DE NÍVEL COM 2 ELETRODOS CONTATOS DE 10A - 250V</t>
  </si>
  <si>
    <t>C4896</t>
  </si>
  <si>
    <t>RELÉ DE NÍVEL COM 3 ELETRODOS CONTATOS DE 10A - 250V</t>
  </si>
  <si>
    <t>C4563</t>
  </si>
  <si>
    <t>ROTEADOR AUTO-GERENCIÁVEL P/ COMUNICAÇÃO DE DADOS, PARA FIBRA ÓPTICA MONO-MODO, COM CONECTORES ST - PADRÃO RACK 19"</t>
  </si>
  <si>
    <t>C4044</t>
  </si>
  <si>
    <t>SENSOR DE INTRUSÃO MICRO-PROCESSADOR, TIPO MULTIFEIXES, MONTAGEM DE PAREDE, ALIMENTAÇÃO 220 VAC, UMA - INSTALADO</t>
  </si>
  <si>
    <t>C4055</t>
  </si>
  <si>
    <t>SENSOR INFRA-VERMELHO ATIVO/PASSIVO FEIXE DUPLO DISTÂNCIA MÁXIMA 100m - INSTALADO</t>
  </si>
  <si>
    <t>C4398</t>
  </si>
  <si>
    <t>SOFTWARE DE GERENCIAMENTO DE PESAGEM (INSTALADO)</t>
  </si>
  <si>
    <t>C4180</t>
  </si>
  <si>
    <t>SOFTWARE DE GERENCIAMENTO E CADASTRAMENTO COM BANCO DE DADOS, INTERFACE AMIGÁVEL, PLATAFORMA WINDOWS</t>
  </si>
  <si>
    <t>C4054</t>
  </si>
  <si>
    <t>SOFTWARE DE PROGRAMAÇÃO DE PLCs RSLOGIX 500, CD - INSTALADO</t>
  </si>
  <si>
    <t>C4040</t>
  </si>
  <si>
    <t>SOFTWARE SUPERVISÓRIO RS VIEW 32 VERSÃO RUNTIME 150 COM GERENCIADOR DE COMUNICAÇÕES RSLINX - INSTALADO</t>
  </si>
  <si>
    <t>C4056</t>
  </si>
  <si>
    <t>TRANSMISSOR ELETRÔNICO DE PRESSÃO TIPO INSERÇÃO, COM INDICADOR INCORPORADO, GERAÇÃO DE SINAL PROPORC - INSTALADO</t>
  </si>
  <si>
    <t>C0327</t>
  </si>
  <si>
    <t>ATERRAMENTO COMPLETO C/ 3 HASTES COPPERWELD P/PÁRA-RAIOS</t>
  </si>
  <si>
    <t>C0326</t>
  </si>
  <si>
    <t>ATERRAMENTO COMPLETO C/ HASTE COPPERWELD 3/4"X 2.40M</t>
  </si>
  <si>
    <t>C0325</t>
  </si>
  <si>
    <t>ATERRAMENTO COMPLETO C/ HASTE COPPERWELD 3/4" X 3.0M</t>
  </si>
  <si>
    <t>C4765</t>
  </si>
  <si>
    <t xml:space="preserve">ATERRAMENTO COMPLETO C/ HASTE COPPERWELD 5/8"X 2.40M                              </t>
  </si>
  <si>
    <t>C4562</t>
  </si>
  <si>
    <t>DISPOSITIVO DE PROTEÇÃO CONTRA SURTOS DE TENSÃO - DPS's - 40 KA/440V</t>
  </si>
  <si>
    <t>C1152</t>
  </si>
  <si>
    <t>DUTO DE ALONGAMENTO PARA EXAUSTOR EÓLICO</t>
  </si>
  <si>
    <t>C4933</t>
  </si>
  <si>
    <t>C4767</t>
  </si>
  <si>
    <t>HASTE DE TERRA EM AÇO COBREADO, COM SEÇÃO CIRCULAR MÍNIMA DE 13X2000MM</t>
  </si>
  <si>
    <t>C3575</t>
  </si>
  <si>
    <t>HASTE DE FERRO GALVANIZADO 1.20m PARA ATERRAMENTO - PADRÃO POPULAR</t>
  </si>
  <si>
    <t>C3910</t>
  </si>
  <si>
    <t>HASTE DE TERRA 5/8"x3,00m GCW 19L30</t>
  </si>
  <si>
    <t>C4208</t>
  </si>
  <si>
    <t>PÁRA-RAIO TIPO FRANKLIN C/ SINALIZADOR (FORNECIMENTO E MONTAGEM)</t>
  </si>
  <si>
    <t>C1790</t>
  </si>
  <si>
    <t>MASTRO SIMPLES DE FERRO GALV. P/PÁRA-RAIO H=3M, D=40 OU 50MM</t>
  </si>
  <si>
    <t>C4203</t>
  </si>
  <si>
    <t>MEDIÇÃO TRIFÁSICA INSTALADA EM MURO - SAÍDA SUBTERRÂNEA</t>
  </si>
  <si>
    <t>C4561</t>
  </si>
  <si>
    <t>MÓDULO DE EMERGÊNCIA PARA LUMINÁRIA COMUM</t>
  </si>
  <si>
    <t>C3577</t>
  </si>
  <si>
    <t>MINI POSTE H=1.50m REX MONO E ROLDANA - PADRÃO POPULAR</t>
  </si>
  <si>
    <t>C3453</t>
  </si>
  <si>
    <t>MONTAGEM DAS INSTALAÇÕES ELÉTRICAS, ELEVATÓRIA VAZÃO ATÉ 10 l/s</t>
  </si>
  <si>
    <t>C3452</t>
  </si>
  <si>
    <t>MONTAGEM DAS INSTALAÇÕES ELÉTRICAS, ELEVATÓRIA VAZÃO 10,01 a 20 l/s</t>
  </si>
  <si>
    <t>C3454</t>
  </si>
  <si>
    <t>MONTAGEM DAS INSTALAÇÕES ELÉTRICAS, ELEVATÓRIA VAZÃO 20,01 a 40 l/s</t>
  </si>
  <si>
    <t>C3455</t>
  </si>
  <si>
    <t>MONTAGEM DAS INSTALAÇÕES ELÉTRICAS, ELEVATÓRIA VAZÃO 40,01 a 60 l/s</t>
  </si>
  <si>
    <t>C3456</t>
  </si>
  <si>
    <t>MONTAGEM DAS INSTALAÇÕES ELÉTRICAS, ELEVATÓRIA VAZÃO 60,01 a 90 l/s</t>
  </si>
  <si>
    <t>C4599</t>
  </si>
  <si>
    <t>MONTAGEM DE PAINEL ELÉTRICO C/ 02 SOFT-STARTER 7,5 CV</t>
  </si>
  <si>
    <t>C2059</t>
  </si>
  <si>
    <t>PÁRA-RAIOS TIPO CRISTAL VALVER</t>
  </si>
  <si>
    <t>C2060</t>
  </si>
  <si>
    <t>PARA-RAIOS TIPO FRANKLIN</t>
  </si>
  <si>
    <t>C3929</t>
  </si>
  <si>
    <t>POÇO DE ATERRAMENTO DIAM. = 0,60 m P/ BALIZAMENTO NOTURNO</t>
  </si>
  <si>
    <t>C1947</t>
  </si>
  <si>
    <t>PONTO ELÉTRICO, MATERIAL E EXECUÇÃO</t>
  </si>
  <si>
    <t>C1949</t>
  </si>
  <si>
    <t>PONTO LÓGICO, MATERIAL E EXECUÇÃO</t>
  </si>
  <si>
    <t>C3679</t>
  </si>
  <si>
    <t>PONTO PARA SISTEMA DE SOM, MATERIAL E EXECUÇÃO</t>
  </si>
  <si>
    <t>C1951</t>
  </si>
  <si>
    <t>PONTO TELEFÔNICO, MATERIAL E EXECUÇÃO</t>
  </si>
  <si>
    <t>C2056</t>
  </si>
  <si>
    <t>PROTEÇÃO DA  CORDOALHA DOS PÁRA-RAIOS C/TUBO PVC RIGIDOS 50MM (2") X3.00M</t>
  </si>
  <si>
    <t>C4214</t>
  </si>
  <si>
    <t>RAMAL TRIFÁSICO BAIXA TENSÃO POR VÃO DE 100m</t>
  </si>
  <si>
    <t>C3909</t>
  </si>
  <si>
    <t>SOLDA EXOTÉRMICA</t>
  </si>
  <si>
    <t>C4215</t>
  </si>
  <si>
    <t>SUBSTITUIÇÃO DE TRAFO DE 30 Kva PARA 45 Kva</t>
  </si>
  <si>
    <t>C2424</t>
  </si>
  <si>
    <t>TELA PARA ALONGAMENTO DE FORRO - E. EÓLICO</t>
  </si>
  <si>
    <t>PINTURA</t>
  </si>
  <si>
    <t>PAREDES E FORROS</t>
  </si>
  <si>
    <t>C3487</t>
  </si>
  <si>
    <t>APLICAÇÃO DE LIQUIBRILHO SOBRE PINTURAS, DUAS DEMÃOS</t>
  </si>
  <si>
    <t>C0588</t>
  </si>
  <si>
    <t>CAIAÇÃO EM DUAS DEMÃOS COM SUPERCAL</t>
  </si>
  <si>
    <t>C0589</t>
  </si>
  <si>
    <t>CAIAÇÃO EM TRES DEMÃOS EM PAREDES</t>
  </si>
  <si>
    <t>C0866</t>
  </si>
  <si>
    <t>CONSERVADO "P" IMPERMEÁVEL, 2 DEMÃOS (PAREDES INTERNAS)</t>
  </si>
  <si>
    <t>C0867</t>
  </si>
  <si>
    <t>CONSERVADO "P" IMPERMEÁVEL, 3 DEMÃOS (PAREDES EXTERNAS)</t>
  </si>
  <si>
    <t>C1207</t>
  </si>
  <si>
    <t>EMASSAMENTO DE PAREDES EXTERNAS 2 DEMÃOS C/MASSA ACRÍLICA</t>
  </si>
  <si>
    <t>C1208</t>
  </si>
  <si>
    <t>EMASSAMENTO DE PAREDES INTERNAS 2 DEMÃOS C/MASSA DE PVA</t>
  </si>
  <si>
    <t>C1209</t>
  </si>
  <si>
    <t>EMASSAMENTO DE PAREDES INTERNAS 2 DEMÃOS C/MASSA A ÓLEO</t>
  </si>
  <si>
    <t>C1233</t>
  </si>
  <si>
    <t>EMULSÃO DE PAREDES INTERNAS OU CONCRETO 2 DEMÃOS DE RESINA ACRÍLICA</t>
  </si>
  <si>
    <t>C1234</t>
  </si>
  <si>
    <t>EMULSÃO DE PAREDES EXTERNAS 2 DEMÃOS EM RESINA ACRÍLICA</t>
  </si>
  <si>
    <t>C4167</t>
  </si>
  <si>
    <t>LATEX ACRÍLICO TRÊS DEMÃOS EM PAREDES INTERNAS S/ MASSA</t>
  </si>
  <si>
    <t>C1614</t>
  </si>
  <si>
    <t>LATEX DUAS DEMÃOS EM PAREDES EXTERNAS S/MASSA</t>
  </si>
  <si>
    <t>C1615</t>
  </si>
  <si>
    <t>LATEX DUAS DEMÃOS EM PAREDES INTERNAS S/MASSA</t>
  </si>
  <si>
    <t>C1616</t>
  </si>
  <si>
    <t>LATEX TRÊS DEMÃOS EM PAREDES EXTERNAS S/MASSA</t>
  </si>
  <si>
    <t>C1617</t>
  </si>
  <si>
    <t>LATEX TRÊS DEMÃOS EM PAREDES INTERNAS S/MASSA</t>
  </si>
  <si>
    <t>C3550</t>
  </si>
  <si>
    <t>MUTIRÃO MISTO - PINTURA HIDRACOR</t>
  </si>
  <si>
    <t>C1905</t>
  </si>
  <si>
    <t>PINTURA C/ EMASSAMENTO E LIXAMENTO EM PAREDE INTERNA, À BASE EPÓXI</t>
  </si>
  <si>
    <t>C3098</t>
  </si>
  <si>
    <t>PINTURA COM NATA DE CIMENTO EM DUAS DEMÃOS</t>
  </si>
  <si>
    <t>C3022</t>
  </si>
  <si>
    <t>PINTURA ESMALTE SINTÉTICO EM PAREDES</t>
  </si>
  <si>
    <t>C2898</t>
  </si>
  <si>
    <t>PINTURA HIDRACOR</t>
  </si>
  <si>
    <t>C4072</t>
  </si>
  <si>
    <t>PINTURA IMPERMEÁVEL EM PAREDE C/ SIKA 107, DUAS DEMÃOS</t>
  </si>
  <si>
    <t>C2232</t>
  </si>
  <si>
    <t xml:space="preserve">REVESTIMENTO TEXTURIZADO EM PAREDES INTERNA/EXTERNA C/DESEMPENADEIRA  </t>
  </si>
  <si>
    <t>C2233</t>
  </si>
  <si>
    <t>REVESTIMENTO TEXTURIZADO EM PAREDES INTERNA/EXTERNA C/ROLO</t>
  </si>
  <si>
    <t>C2274</t>
  </si>
  <si>
    <t>SILICONE UMA DEMÃO EM PAREDES DE TIJOLOS</t>
  </si>
  <si>
    <t>C2644</t>
  </si>
  <si>
    <t>TÊMPERA SIMPLES MÉDIA INTERNA</t>
  </si>
  <si>
    <t>C2461</t>
  </si>
  <si>
    <t>TEXTURA ACRÍLICA 1 DEMÃO EM PAREDES EXTERNAS</t>
  </si>
  <si>
    <t>C2462</t>
  </si>
  <si>
    <t>TEXTURA ACRÍLICA 1 DEMÃO EM PAREDES INTERNAS</t>
  </si>
  <si>
    <t>C2464</t>
  </si>
  <si>
    <t>TINTA À ÓLEO EM PAREDES INTERNAS DUAS DEMÃOS S/MASSA</t>
  </si>
  <si>
    <t>C2465</t>
  </si>
  <si>
    <t>TINTA À ÓLEO EM PAREDES INTERNAS TRÊS DEMÃOS S/MASSA</t>
  </si>
  <si>
    <t>C2471</t>
  </si>
  <si>
    <t>TINTA CERÂMICA DUAS DEMÃOS</t>
  </si>
  <si>
    <t>C2476</t>
  </si>
  <si>
    <t>TINTA EPÓXI EM PAREDES, C/ SELADOR E EMASSAMENTO ACRÍLICO</t>
  </si>
  <si>
    <t>C2477</t>
  </si>
  <si>
    <t>TINTA IMPERMEÁVEL MINERAL EM PÓ 3 DEMÃOS EM PAREDES EXTERNAS</t>
  </si>
  <si>
    <t>PISO</t>
  </si>
  <si>
    <t>C1039</t>
  </si>
  <si>
    <t>DEMARCAÇÃO DE PISO À BASE DE EMULSÃO ACRÍLICA</t>
  </si>
  <si>
    <t>C1040</t>
  </si>
  <si>
    <t>DEMARCAÇÃO DE QUADRA ESPORTIVA C/TINTA ACRÍLICA</t>
  </si>
  <si>
    <t>C1041</t>
  </si>
  <si>
    <t>DEMARCAÇÃO DE QUADRA TIPO ESCOLAR C/TINTA ACRÍLICA</t>
  </si>
  <si>
    <t>C1907</t>
  </si>
  <si>
    <t>PINTURA DE PISO INTERNO/EXTERNO. C/TINTA BASE RESINA ACRÍLICA-QUARTZO.2 DEMÃOS</t>
  </si>
  <si>
    <t>C1910</t>
  </si>
  <si>
    <t>PINTURA P/PISO À BASE LATEX ACRÍLICO, TIPO "NOVACOR"</t>
  </si>
  <si>
    <t>C2466</t>
  </si>
  <si>
    <t>TINTA ACRÍLICA 2 DEMÃOS C/ ROLO DE LÃ</t>
  </si>
  <si>
    <t>C2470</t>
  </si>
  <si>
    <t>TINTA CERÂMICA DE ACABAMENTO, DUAS DEMÃOS</t>
  </si>
  <si>
    <t>C2472</t>
  </si>
  <si>
    <t>TINTA DE BASE ASFÁLTICA 2 DEMÃOS C/BROXA</t>
  </si>
  <si>
    <t>C2475</t>
  </si>
  <si>
    <t>TINTA EPOXI EM PISOS, C/ SELADOR E EMASSAMENTO ACRÍLICO</t>
  </si>
  <si>
    <t>C1206</t>
  </si>
  <si>
    <t>EMASSAMENTO DE ESQUADRIAS DE MADEIRA P/TINTA ÓLEO OU ESMALTE 2 DEMÃOS</t>
  </si>
  <si>
    <t>C1280</t>
  </si>
  <si>
    <t>ESMALTE DUAS DEMÃOS EM ESQUADRIAS DE MADEIRA</t>
  </si>
  <si>
    <t>C3551</t>
  </si>
  <si>
    <t>MUTIRÃO MISTO - ESMALTE DUAS DEMÃOS EM ESQUADRIAS DE MADEIRA</t>
  </si>
  <si>
    <t>C1876</t>
  </si>
  <si>
    <t>PENTOX  2 DEMÃOS APLICADO EM MADEIRAS (CUPINICIDA)</t>
  </si>
  <si>
    <t>C2897</t>
  </si>
  <si>
    <t>PINTURA COM SELADOR EM MADEIRA</t>
  </si>
  <si>
    <t>C2468</t>
  </si>
  <si>
    <t>TINTA ANTIFLAMA TRÊS DEMÃOS EM ESQUADRIAS DE MADEIRA</t>
  </si>
  <si>
    <t>C2667</t>
  </si>
  <si>
    <t>VERNIZ 3 DEMÃOS EM ESQUADRIAS DE MADEIRA</t>
  </si>
  <si>
    <t>SUPERFÍCIES METÁLICAS</t>
  </si>
  <si>
    <t>C0044</t>
  </si>
  <si>
    <t>ALUMÍNIO SINTÉTICO EM ESTRUTURA DE AÇO CARBONO 50 MICRA C/REVÓLVER</t>
  </si>
  <si>
    <t>C0045</t>
  </si>
  <si>
    <t>ALUMÍNIO SINTÉTICO EM ESTRUTURA DE AÇO CARBONO 50 MICRA C/TRINCHA</t>
  </si>
  <si>
    <t>C0463</t>
  </si>
  <si>
    <t>BORRACHA CLORADA EM ESTRUTURA  DE  AÇO CARBONO 50 MICRA C/REVÓLVER</t>
  </si>
  <si>
    <t>C0464</t>
  </si>
  <si>
    <t>BORRACHA CLORADA EM ESTRUTURA DE AÇO CARBONO 50 MICRA C/TRINCHA</t>
  </si>
  <si>
    <t>C1279</t>
  </si>
  <si>
    <t>ESMALTE DUAS DEMÃOS EM ESQUADRIAS DE FERRO</t>
  </si>
  <si>
    <t>C1281</t>
  </si>
  <si>
    <t>ESMALTE SINTÉTICO EM ESTRUTURA DE AÇO CARBONO 50 MICRA C/REVÓLVER</t>
  </si>
  <si>
    <t>C1282</t>
  </si>
  <si>
    <t>ESMALTE SINTÉTICO EM ESTRUTURA DE AÇO CARBONO 50 MICRA C/TRINCHA</t>
  </si>
  <si>
    <t>C1428</t>
  </si>
  <si>
    <t>GRAFITE DUAS DEMÃOS EM ESQUADRIAS DE FERRO</t>
  </si>
  <si>
    <t>C1520</t>
  </si>
  <si>
    <t>JATEAMENTO AO METAL BRANCO EM ESTRUTURAS DE AÇO CARBONO</t>
  </si>
  <si>
    <t>C1521</t>
  </si>
  <si>
    <t>JATEAMENTO AO METAL QUASE BRANCO EM ESTRUTURA DE AÇO CARBONO</t>
  </si>
  <si>
    <t>C1522</t>
  </si>
  <si>
    <t>JATEAMENTO COMERCIAL EM ESTRUTURA DE AÇO CARBONO</t>
  </si>
  <si>
    <t>C3425</t>
  </si>
  <si>
    <t>PINTURA A ÓLEO PARA FERRO FUNDIDO</t>
  </si>
  <si>
    <t>C1911</t>
  </si>
  <si>
    <t>PINTURA PARA ESTRUTURA DE ALUMÍNIO</t>
  </si>
  <si>
    <t>C2040</t>
  </si>
  <si>
    <t>PINTURA C/ PRIMER EPOXI EM ESTRUTURA DE AÇO CARBONO 25 MICRA C/REVÓLVER</t>
  </si>
  <si>
    <t>C2473</t>
  </si>
  <si>
    <t>PINTURA C/ TINTA EPOXI EM ESTRUTURA DE AÇO CARBONO 50 MICRA C/REVÓLVER</t>
  </si>
  <si>
    <t>C4309</t>
  </si>
  <si>
    <t>PINTURA POLIURETANO EM 02 (DUAS) DEMÃOS SOBRE TUBULAÇÃO</t>
  </si>
  <si>
    <t>C4409</t>
  </si>
  <si>
    <t>PINTURA POLIURETANO EM ESTRUTURAS DE AÇO CARBONO, 65 MICRA C/ REVOLVER</t>
  </si>
  <si>
    <t>C2036</t>
  </si>
  <si>
    <t>PRIMER À BASE DE BORRACHA CLORADA. EM ESTRUTURA DE AÇO 25 MICRA C/REVÓLVER</t>
  </si>
  <si>
    <t>C2037</t>
  </si>
  <si>
    <t>PRIMER À BASE DE BORRACHA CLORADA. EM ESTRUTURA DE. AÇO 25 MICRA C/TRINCHA</t>
  </si>
  <si>
    <t>C2038</t>
  </si>
  <si>
    <t>PRIMER EM ESTRUTURA DE AÇO CARBONO 25 MICRA C/REVÓLVER</t>
  </si>
  <si>
    <t>C2039</t>
  </si>
  <si>
    <t>PRIMER EM ESTRUTURA DE AÇO CARBONO 25 MICRA C/TRINCHA</t>
  </si>
  <si>
    <t>C2041</t>
  </si>
  <si>
    <t>PRIMER EPOXI EM ESTRUTURA DE AÇO CARBONO 25 MICRA C/TRINCHA</t>
  </si>
  <si>
    <t>C2042</t>
  </si>
  <si>
    <t>PRIMER SINTÉTICO EM ESTRUTURA DE AÇO CARBONO 25 MICRA C/REVÓLVER</t>
  </si>
  <si>
    <t>C2043</t>
  </si>
  <si>
    <t>PRIMER SINTÉTICO EM ESTRUTURA DE AÇO CARBONO 25 MICRA C/TRINCHA</t>
  </si>
  <si>
    <t>C2467</t>
  </si>
  <si>
    <t>TINTA ANTIFLAMA 2 DEMÃOS E PRIMER EM ESQUADRIAS DE FERRO</t>
  </si>
  <si>
    <t>C2469</t>
  </si>
  <si>
    <t>TINTA AUTOMOTIVA 2 DEMÃOS EM METÁLICOS</t>
  </si>
  <si>
    <t>C2474</t>
  </si>
  <si>
    <t>TINTA EPOXI EM ESTRUTURA DE AÇO CARBONO 50 MICRA C/TRINCHA</t>
  </si>
  <si>
    <t>SUPERFÍCIES DE CONCRETO</t>
  </si>
  <si>
    <t>C1235</t>
  </si>
  <si>
    <t>EMULSÃO DE RESINAS ACRÍLICAS EM CONCRETO - 2 DEMÃOS</t>
  </si>
  <si>
    <t>C4714</t>
  </si>
  <si>
    <t>PINTURA DE LOGOTIPOS COM TINTA À ÓLEO EM CONCRETO</t>
  </si>
  <si>
    <t>C2187</t>
  </si>
  <si>
    <t>REGULARIZAÇÃO DE SUPERFÍCIE DE CONCRETO  APARENTE - 2 DEMÃOS</t>
  </si>
  <si>
    <t>C2273</t>
  </si>
  <si>
    <t>SILICONE EM PAREDES DE CONCRETO OU TIJOLO CERÂMICO - 1 DEMÃO</t>
  </si>
  <si>
    <t>C2542</t>
  </si>
  <si>
    <t>TRATAMENTO DE SUPERFÍCIE DE CONCRETO APARENTE</t>
  </si>
  <si>
    <t>C2668</t>
  </si>
  <si>
    <t>VERNIZ ACRÍLICO EM PAREDES DE CONCRETO - 2 DEMÃOS</t>
  </si>
  <si>
    <t>C2669</t>
  </si>
  <si>
    <t>VERNIZ POLIURETANO SOBRE PRIMER EM PAREDE CONCRETO - 3 DEMÃOS</t>
  </si>
  <si>
    <t>C4025</t>
  </si>
  <si>
    <t>DESENHOS INSERIDOS NO PASSEIO DE CONCRETO</t>
  </si>
  <si>
    <t>C1613</t>
  </si>
  <si>
    <t>LATEX ACRÍLICO 2 DEMÃOS EM TELHAS DE FIBROCIMENTO</t>
  </si>
  <si>
    <t>C1620</t>
  </si>
  <si>
    <t>LETREIRO - LETRA EM CAIXA DE ZINCO, H= 20CM</t>
  </si>
  <si>
    <t>C1621</t>
  </si>
  <si>
    <t>LETREIRO - LETRA EM PAREDES</t>
  </si>
  <si>
    <t>C1906</t>
  </si>
  <si>
    <t>PINTURA C/ EMASSAMENTO P/ QUADRO-VERDE</t>
  </si>
  <si>
    <t>C1908</t>
  </si>
  <si>
    <t>PINTURA EXTERNA DE RUFOS, CALHAS E CONDUTORES C/ESMALTE SINTÉTICO</t>
  </si>
  <si>
    <t>C1909</t>
  </si>
  <si>
    <t>PINTURA EXTERNA DE RUFOS E  INTERNA DE CALHAS C/TINTA BETUMINOSA 1 DEMÃO</t>
  </si>
  <si>
    <t>C2899</t>
  </si>
  <si>
    <t>PINTURA LOGOTIPO CAGECE - PROJETO PADRÃO</t>
  </si>
  <si>
    <t>PAVIMENTAÇÃO DO SISTEMA VIÁRIO</t>
  </si>
  <si>
    <t>REGULARIZAÇÃO DO SUB-LEITO</t>
  </si>
  <si>
    <t>C3233</t>
  </si>
  <si>
    <t>REFORÇO, SUB-BASE E BASE</t>
  </si>
  <si>
    <t>C3132</t>
  </si>
  <si>
    <t>BASE DE BRITA GRADUADA (S/TRANSP)</t>
  </si>
  <si>
    <t>C3133</t>
  </si>
  <si>
    <t>BASE MACADAME HIDRÁULICO C/ENCHIMENTO DE AREIA (S/TRANSP)</t>
  </si>
  <si>
    <t>C3134</t>
  </si>
  <si>
    <t>BASE SOLO BRITA COM 20% DE BRITA (S/TRANSP)</t>
  </si>
  <si>
    <t>C3135</t>
  </si>
  <si>
    <t>BASE SOLO BRITA COM 30% DE BRITA (S/TRANSP)</t>
  </si>
  <si>
    <t>C3136</t>
  </si>
  <si>
    <t>BASE SOLO BRITA COM 40% DE BRITA (S/TRANSP)</t>
  </si>
  <si>
    <t>C3137</t>
  </si>
  <si>
    <t>BASE SOLO BRITA COM 50% DE BRITA (S/TRANSP)</t>
  </si>
  <si>
    <t>C3138</t>
  </si>
  <si>
    <t>BASE SOLO BRITA COM 60% DE BRITA (S/TRANSP)</t>
  </si>
  <si>
    <t>C3217</t>
  </si>
  <si>
    <t>ESTABILIZAÇÃO GRANULOMÉTRICA DE SOLOS S/ MISTURA DE MATERIAIS (S/TRANSP)</t>
  </si>
  <si>
    <t>C3216</t>
  </si>
  <si>
    <t>ESTABILIZAÇÃO GRANULOMÉTRICA DE SOLOS C/ MISTURA DE MATERIAIS (S/TRANSP)</t>
  </si>
  <si>
    <t>C3215</t>
  </si>
  <si>
    <t>ESTABILIZACÂO SOLO BETUME MISTURADO NA PISTA (S/TRANSP)</t>
  </si>
  <si>
    <t>C3930</t>
  </si>
  <si>
    <t>SUB BASE/BASE DE SOLO CAL (3%) (S/TRANSP)</t>
  </si>
  <si>
    <t>C3931</t>
  </si>
  <si>
    <t>SUB BASE/BASE DE SOLO CAL (4%) (S/TRANSP)</t>
  </si>
  <si>
    <t>C3968</t>
  </si>
  <si>
    <t>SUB BASE/BASE DE SOLO CAL (5%) (S/TRANSP)</t>
  </si>
  <si>
    <t>RECOMPOSIÇÃO DE SUB BASE E BASE</t>
  </si>
  <si>
    <t>C3163</t>
  </si>
  <si>
    <t>ESCAVAÇÃO E CARGA DE MATERIAL ADICIONAL DE JAZIDA P/ RECOMPOSIÇÃO DE SUB-BASE/BASE/REVESTIMENTO PRIMÁRIO</t>
  </si>
  <si>
    <t>C3164</t>
  </si>
  <si>
    <t>ESCARIFICAÇÃO P/APROVEITAMENTO DE SUB-BASE/BASE/REVESTIMENTO PRIMÁRIO</t>
  </si>
  <si>
    <t>C4549</t>
  </si>
  <si>
    <t>RECICLAGEM DE BASE E REVESTIMENTO SEM ADIÇÃO DE MATERIAL</t>
  </si>
  <si>
    <t>C4235</t>
  </si>
  <si>
    <t>RECICLAGEM DE BASE E REVESTIMENTO COM ADIÇÃO DE BRITA NA TAXA DE 86 Kg/m² (S/ TRANSP.)</t>
  </si>
  <si>
    <t>C4236</t>
  </si>
  <si>
    <t>RECICLAGEM DE BASE E REVESTIMENTO COM ADIÇÃO DE BRITA NA TAXA DE 129 Kg/m² (S/ TRANSP.)</t>
  </si>
  <si>
    <t>C4237</t>
  </si>
  <si>
    <t>RECICLAGEM DE BASE E REVESTIMENTO COM ADIÇÃO DE BRITA NA TAXA DE 172 Kg/m² (S/ TRANSP.)</t>
  </si>
  <si>
    <t>C4238</t>
  </si>
  <si>
    <t>RECICLAGEM DE BASE E REVESTIMENTO COM ADIÇÃO DE BRITA NA TAXA DE 215 Kg/m² (S/ TRANSP.)</t>
  </si>
  <si>
    <t>C4239</t>
  </si>
  <si>
    <t>RECICLAGEM DE BASE E REVESTIMENTO COM ADIÇÃO DE BRITA NA TAXA DE 258 Kg/m² (S/ TRANSP.)</t>
  </si>
  <si>
    <t>C3231</t>
  </si>
  <si>
    <t>RECOMPOSIÇÃO DE  SUB-BASE/BASE SOLO ESTABILIZADO GRANULOMETRICAMENTE (S/TRANSP)</t>
  </si>
  <si>
    <t>IMPRIMAÇÃO</t>
  </si>
  <si>
    <t>C3221</t>
  </si>
  <si>
    <t>IMPRIMAÇÃO - EXECUÇÃO (S/TRANSP)</t>
  </si>
  <si>
    <t>PINTURA DE LIGAÇÃO</t>
  </si>
  <si>
    <t>C3228</t>
  </si>
  <si>
    <t>PINTURA DE LIGAÇÃO - EXECUÇÃO (S/TRANSP)</t>
  </si>
  <si>
    <t>MISTURAS BETUMINOSAS À QUENTE</t>
  </si>
  <si>
    <t>C3126</t>
  </si>
  <si>
    <t>AREIA ASFALTO USINADA À QUENTE C/ESPALHAMENTO DE MOTONIVELADORA (S/TRANSP)</t>
  </si>
  <si>
    <t>C3128</t>
  </si>
  <si>
    <t>AREIA ASFALTO USINADA À QUENTE - AAUQ (S/TRANSP)</t>
  </si>
  <si>
    <t>C3155</t>
  </si>
  <si>
    <t>CONCRETO BETUMINOSO USINADO À QUENTE - CBUQ (S/TRANSP)</t>
  </si>
  <si>
    <t>C3230</t>
  </si>
  <si>
    <t>PRÉ MISTURADO À QUENTE - PMQ (S/TRANSP)</t>
  </si>
  <si>
    <t>MISTURAS BETUMINOSAS À FRIO</t>
  </si>
  <si>
    <t>C3127</t>
  </si>
  <si>
    <t>AREIA ASFALTO USINADA À FRIO - AAUF (S/TRANSP)</t>
  </si>
  <si>
    <t>C3229</t>
  </si>
  <si>
    <t>PRÉ MISTURADO À FRIO - PMF (S/TRANSP)</t>
  </si>
  <si>
    <t>REVESTIMENTO EM PEDRA</t>
  </si>
  <si>
    <t>C3010</t>
  </si>
  <si>
    <t>PAVIMENTAÇÃO BRIPAR INCLUSIVE COMPACTAÇÃO (S/TRANSP)</t>
  </si>
  <si>
    <t>C2893</t>
  </si>
  <si>
    <t>PAVIMENTAÇÃO EM PARALELEPÍPEDO C/ REJUNTAMENTO (AGREGADO ADQUIRIDO)</t>
  </si>
  <si>
    <t>C3107</t>
  </si>
  <si>
    <t>PAVIMENTAÇÃO EM PARALELEPÍPEDO C/ REJUNTAMENTO (AGREGADO PRODUZIDO) (S/TRANSP)</t>
  </si>
  <si>
    <t>C2894</t>
  </si>
  <si>
    <t>PAVIMENTAÇÃO EM PARALELEPÍPEDO S/ REJUNTAMENTO (AGREGADO ADQUIRIDO)</t>
  </si>
  <si>
    <t>C2895</t>
  </si>
  <si>
    <t>PAVIMENTAÇÃO EM PEDRA TOSCA C/ REJUNTAMENTO (AGREGADO ADQUIRIDO)</t>
  </si>
  <si>
    <t>C3348</t>
  </si>
  <si>
    <t>PAVIMENTAÇÃO EM PEDRA TOSCA S/ REJUNTAMENTO (AGREGADO PRODUZIDO)</t>
  </si>
  <si>
    <t>C2896</t>
  </si>
  <si>
    <t>PAVIMENTAÇÃO EM PEDRA TOSCA S/ REJUNTAMENTO (AGREGADO ADQUIRIDO)</t>
  </si>
  <si>
    <t>REVESTIMENTO PRIMÁRIO</t>
  </si>
  <si>
    <t>C2944</t>
  </si>
  <si>
    <t>REVESTIMENTO DE BRITA COM AGREGADO ADQUIRIDO</t>
  </si>
  <si>
    <t>C2945</t>
  </si>
  <si>
    <t>REVESTIMENTO DE PEDRISCO COM AGREGADO ADQUIRIDO</t>
  </si>
  <si>
    <t>C3234</t>
  </si>
  <si>
    <t>REVESTIMENTO COM SOLO (PIÇARRA) (S/TRANSP)</t>
  </si>
  <si>
    <t>TRATAMENTOS SUPERFICIAIS</t>
  </si>
  <si>
    <t>C3125</t>
  </si>
  <si>
    <t>APLICAÇÃO DE EMULSÃO ASFÁLTICA C/ÁGUA EM TRATAMENTO SUPERFICIAL (S/TRANSP)</t>
  </si>
  <si>
    <t>C3242</t>
  </si>
  <si>
    <t>TRATAMENTO SUPERFICIAL SIMPLES (S/TRANSP)</t>
  </si>
  <si>
    <t>C3240</t>
  </si>
  <si>
    <t>TRATAMENTO SUPERFICIAL DUPLO (S/TRANSP)</t>
  </si>
  <si>
    <t>C3241</t>
  </si>
  <si>
    <t>TRATAMENTO SUPERFICIAL DUPLO C/CAPA SELANTE (S/TRANSP)</t>
  </si>
  <si>
    <t>C3243</t>
  </si>
  <si>
    <t>TRATAMENTO SUPERFICIAL TRIPLO (S/TRANSP)</t>
  </si>
  <si>
    <t>CONSERVAÇÃO DO SISTEMA VIÁRIO</t>
  </si>
  <si>
    <t>FERROVIÁRIA</t>
  </si>
  <si>
    <t>C4337</t>
  </si>
  <si>
    <t>ACABAMENTO MANUAL DO PERFIL DO LASTRO DE BRITA APÓS O NIVELAMENTO, INCLUSIVE COMPACTAÇÃO DA SUPERFÍCIE, BITOLA MÉTRICA, VIA SINGELA</t>
  </si>
  <si>
    <t>C4335</t>
  </si>
  <si>
    <t>ALARGAMENTO DE CORTE, MANUAL</t>
  </si>
  <si>
    <t>C4357</t>
  </si>
  <si>
    <t>APLICAÇÃO DE RETENSORES</t>
  </si>
  <si>
    <t>C4359</t>
  </si>
  <si>
    <t>ASSENTAMENTO DE MARCO QUILOMÉTRICO OU MECTOMÉTRICO</t>
  </si>
  <si>
    <t>C4227</t>
  </si>
  <si>
    <t>CARGA MANUAL DE ACESSÓRIOS METÁLICOS E MATERIAIS DIVERSOS COM ARRUMAÇÃO DA CARGA EM VAGÕES OU CAMINHÕES, BITOLA MÉTRICA</t>
  </si>
  <si>
    <t>C4367</t>
  </si>
  <si>
    <t>CARGA MANUAL DE DORMENTE DE CONCRETO COM ARRUMAÇÃO DA CARGA EM VAGÕES OU CAMINHÕES, BITOLA MÉTRICA</t>
  </si>
  <si>
    <t>C4225</t>
  </si>
  <si>
    <t>CARGA MANUAL DE DORMENTES DE CONCRETO COM ARRUMAÇÃO DA CARGA EM VAGÕES OU CAMINHÕES - BITOLA MÉTRICA</t>
  </si>
  <si>
    <t>C4224</t>
  </si>
  <si>
    <t>CARGA MANUAL DE DORMENTES DE MADEIRA COM ARRUMAÇÃO DA CARGA EM VAGÕES OU CAMINHÕES - BITOLA MÉTRICA</t>
  </si>
  <si>
    <t>C4228</t>
  </si>
  <si>
    <t>CARGA MANUAL DE DORMENTES ESPECIAIS PARA AMV COM ARRUMAÇÃO DA CARGA EM VAGÕES OU CAMINHÕES, BITOLA MÉTRICA</t>
  </si>
  <si>
    <t>C4226</t>
  </si>
  <si>
    <t>CARGA MANUAL DE TRILHOS COM ARRUMAÇÃO DA CARGA EM VAGÕES OU CAMINHÕES</t>
  </si>
  <si>
    <t>C4349</t>
  </si>
  <si>
    <t>CONSERVAÇÃO MANUAL DE JUNTAS COM DESMONTAGEM - TALAS COM 6 FUROS - INCLUINDO: DESMONTAGEM, LIMPEZA, INSPEÇÃO VISUAL PARA DETECÇÃO DE DEFEITOS NAS EXTREMIDADES DOS TRILHOS E TALA, FIXAÇÃO, LUBRIFICAÇÃO E REMONTAGEM</t>
  </si>
  <si>
    <t>C4348</t>
  </si>
  <si>
    <t>CONSERVAÇÃO MANUAL DE JUNTAS SEM DESMONTAGEM</t>
  </si>
  <si>
    <t>C4352</t>
  </si>
  <si>
    <t>CONSOLIDAÇÃO MANUAL DA FIXAÇÃO ELÁSTICA - SUBSTITUIÇÃO OU REPOSICIONAMENTO DE PEÇAS DA FIXAÇÃO DOS DORMENTES DE CONCRETO (SEM FORNECIMENTO)</t>
  </si>
  <si>
    <t>C4351</t>
  </si>
  <si>
    <t>CONSOLIDAÇÃO MANUAL DA FIXAÇÃO RÍGIDA (PREGO OU TIREFÃO) COM OU SEM SUBSTITUIÇÃO</t>
  </si>
  <si>
    <t>C4341</t>
  </si>
  <si>
    <t>CONSOLIDAÇÃO MANUAL DAS FIXAÇÕES DE AMV COM ABERTURA MENOR OU IGUAL A 1:10, BITOLA MÉTRICA</t>
  </si>
  <si>
    <t>C4342</t>
  </si>
  <si>
    <t>CONSOLIDAÇÃO MANUAL DAS FIXAÇÕES DE AMV COM ABERTURA MAIOR QUE 1:10, BITOLA MÉTRICA</t>
  </si>
  <si>
    <t>C4358</t>
  </si>
  <si>
    <t>CORREÇÃO MANUAL DE BITOLA</t>
  </si>
  <si>
    <t>C4220</t>
  </si>
  <si>
    <t>DEMOLIÇÃO MANUAL DE AMV COM ABERTURA DE 1:8 COM MATERIAL METÁLICO TIPO ATÉ TR 45, BITOLA MÉTRICA COM SEPARAÇÃO E EMPILHAMENTO DOS MATERIAIS</t>
  </si>
  <si>
    <t>C4221</t>
  </si>
  <si>
    <t>DEMOLIÇÃO MANUAL DE AMV COM ABERTURA DE 1:10 COM MATERIAL METÁLICO TIPO ATÉ TR 45, BITOLA MÉTRICA COM SEPARAÇÃO E EMPILHAMENTO DOS MATERIAIS</t>
  </si>
  <si>
    <t>C4222</t>
  </si>
  <si>
    <t>DEMOLIÇÃO MANUAL DE AMV COM ABERTURA DE 1:14 COM MATERIAL METÁLICO TIPO ATÉ TR 45, BITOLA MÉTRICA COM SEPARAÇÃO E EMPILHAMENTO DOS MATERIAIS</t>
  </si>
  <si>
    <t>C4219</t>
  </si>
  <si>
    <t>DEMOLIÇÃO MANUAL DE LINHA, BITOLA MÉTRICA, DE MATERIAL METÁLICO ATÉ 45 Kg/m INCLUSIVE SEPARAÇÃO E EMPILHAMENTO DO MATERIAL</t>
  </si>
  <si>
    <t>C4232</t>
  </si>
  <si>
    <t>DESCARGA MANUAL DE ACESSÓRIOS METÁLICOS E MATERIAIS DIVERSOS DE VAGÕES OU CAMINHÕES COM EMPILHAMENTO, BITOLA MÉTRICA</t>
  </si>
  <si>
    <t>C4230</t>
  </si>
  <si>
    <t>DESCARGA MANUAL DE DORMENTES DE CONCRETO EM VAGÕES OU CAMINHÕES, COM EMPILHAMENTO - BITOLA MÉTRICA</t>
  </si>
  <si>
    <t>C4229</t>
  </si>
  <si>
    <t>DESCARGA MANUAL DE DORMENTES DE MADEIRAS EM VAGÕES OU CAMINHÕES, COM EMPILHAMENTO - BITOLA MÉTRICA</t>
  </si>
  <si>
    <t>C4231</t>
  </si>
  <si>
    <t>DESCARGA MANUAL DE TRILHOS DE VAGÕES OU CAMINHÕES, COM EMPILHAMENTO - BITOLA MÉTRICA</t>
  </si>
  <si>
    <t>C4338</t>
  </si>
  <si>
    <t>DESGUARNECIMENTO MANUAL DA VIA SINGELA PELA RETIRADA DO LASTRO ATÉ A FACE INFERIOR DO DORMENTE, BITOLA MÉTRICA</t>
  </si>
  <si>
    <t>C4223</t>
  </si>
  <si>
    <t>DESMONTAGEM MANUAL DE CONTRA-TRILHO, ATÉ TR 45 INCLUINDO A RETIRADA DO CONTRA-TRILHO, DAS FIXAÇÕES E EMPILHAMENTO AO LADO DA LINHA</t>
  </si>
  <si>
    <t>C4360</t>
  </si>
  <si>
    <t>FURAÇÃO MANUAL DE DORMENTE DE MADEIRA PARA APLICAÇÃO DAS FIXAÇÕES</t>
  </si>
  <si>
    <t>C4369</t>
  </si>
  <si>
    <t>LASTRAMENTO MANUAL DA VIA COM FORNECIMENTO DE MATERIAL</t>
  </si>
  <si>
    <t>C4368</t>
  </si>
  <si>
    <t>LASTRAMENTO MANUAL DA VIA SEM FORNECIMENTO DE MATERIAL</t>
  </si>
  <si>
    <t>C4233</t>
  </si>
  <si>
    <t>LASTREAMENTO MANUAL, COM TERRA, EM VIA SINGELA, SEM FORNECIMENTO DO MATERIAL, ESTANDO ESTE NA MARGEM DA LINHA, COMPREENDENDO O RESGUARNECIMENTO (COLOCAÇÃO DO LASTRO), NIVELAMENTO, ALINHAMENTO, SOCARIA E ACABAMENTO - BITOLA MÉTRICA</t>
  </si>
  <si>
    <t>C4234</t>
  </si>
  <si>
    <t>LASTREAMENTO MANUAL, COM TERRA, EM VIA SINGELA, SEM FORNECIMENTO DO MATERIAL, ESTANDO ESTE NA MARGEM DA LINHA, COMPREENDENDO O RESGUARNECIMENTO (COLOCAÇÃO DO LASTRO), SOCARIA E ACABAMENTO - BITOLA MÉTRICA</t>
  </si>
  <si>
    <t>C4334</t>
  </si>
  <si>
    <t>LIMPEZA DE CORTE, MANUAL</t>
  </si>
  <si>
    <t>C4363</t>
  </si>
  <si>
    <t>LIMPEZA DE VALETAS REVESTIDAS COM CONCRETO</t>
  </si>
  <si>
    <t>C4365</t>
  </si>
  <si>
    <t>LIMPEZA MANUAL DE LASTRO</t>
  </si>
  <si>
    <t>C4339</t>
  </si>
  <si>
    <t>LIMPEZA MANUAL DE LASTRO DE BRITA, POR METRO LINEAR DE LINHA, COMPREENDENDO TODAS AS OPERAÇÕES INCLUSIVE RESGUARNECIMENTO E ACABAMENTO DO PERFIL DO LASTRO, BITOLA MÉTRICA</t>
  </si>
  <si>
    <t>C4364</t>
  </si>
  <si>
    <t>LIMPEZA DE BUEIRO, INCLUINDO A RETIRADA DOS ENTULHOS BEM COMO A ROÇADA E LIMPEZA GERAL DAS BOCAS</t>
  </si>
  <si>
    <t>C4344</t>
  </si>
  <si>
    <t>NIVELAMENTO MANUAL DA VIA COMPREENDENDO ALINHAMENTO, SOCARIA E ACABAMENTO DO LASTRO DE TERRA, BITOLA MÉTRICA</t>
  </si>
  <si>
    <t>C4343</t>
  </si>
  <si>
    <t>NIVELAMENTO MANUAL DE VIA COMPREENDENDO SOCARIA E RECOMPOSIÇÃO DO LASTRO DE BRITA, BITOLA MÉTRICA</t>
  </si>
  <si>
    <t>C4347</t>
  </si>
  <si>
    <t>NIVELAMENTO MANUAL DE JUNTA COMPREENDENDO SOCARIA, REAPERTO E RECOMPOSIÇÃO DO LASTRO, BITOLA MÉTRICA</t>
  </si>
  <si>
    <t>C4356</t>
  </si>
  <si>
    <t>PUXAMENTO MANUAL DA LINHA, POR FRAÇÃO DE ATÉ 20 cm, COMPREENDENDO REAPERTO DA FIXAÇÃO, DESGUARNECIMENTO PARCIAL DO OMBRO DO LASTRO, PUXAMENTO, RECOLOCAÇÃO DO LASTRO E ACABAMENTO, BITOLA MÉTRICA</t>
  </si>
  <si>
    <t>C4333</t>
  </si>
  <si>
    <t>REFORÇO DE ATERRO, MANUAL</t>
  </si>
  <si>
    <t>C4340</t>
  </si>
  <si>
    <t>REFORÇO MANUAL DE LASTRO EM LINHAS E AMVs, SEM FORNECIMENTO INCLUSIVE ACABAMENTO DO PERFIL DO LASTRO, BITOLA MÉTRICA</t>
  </si>
  <si>
    <t>C4350</t>
  </si>
  <si>
    <t>REGULAGEM MANUAL DE FOLGAS NAS JUNTAS - TALAS COM 6 FUROS (TRILHOS DE 18 METROS). USO DE 91,24% DOS Hh/UN PARA TALA DE 4 FUROS</t>
  </si>
  <si>
    <t>C4336</t>
  </si>
  <si>
    <t>REGULARIZAÇÃO DE BANQUETA DE PLATAFORMA, MANUAL</t>
  </si>
  <si>
    <t>C4366</t>
  </si>
  <si>
    <t>REGULARIZAÇÃO FINAL DO LASTRO, APÓS O NIVELAMENTO, INCLUINDO PERFILAMENTO E COMPACTAÇÃO MANUAL DO LASTRO</t>
  </si>
  <si>
    <t>C4354</t>
  </si>
  <si>
    <t>REPOSICIONAMENTO, REAPERTO OU REBATIMENTO DAS FIXAÇÕES EM LINHAS COM 2 FIXAÇÕES POR FILA DE TRILHO, MANUAL</t>
  </si>
  <si>
    <t>C4187</t>
  </si>
  <si>
    <t>ROÇO MANUAL DE FAIXA FERROVIÁRIA</t>
  </si>
  <si>
    <t>C4345</t>
  </si>
  <si>
    <t>SOLDAGEM ELÉTRICA EM ESTALEIRO TR-37</t>
  </si>
  <si>
    <t>C4346</t>
  </si>
  <si>
    <t>SOLDAGEM ELÉTRICA EM ESTALEIRO TR-45</t>
  </si>
  <si>
    <t>C4362</t>
  </si>
  <si>
    <t>SUBSTITUIÇÃO DO LASTRO EM AMV COM ABERTURA MENOR OU IGUAL A 1:10, BITOLA MÉTRICA, MANUAL</t>
  </si>
  <si>
    <t>AMV</t>
  </si>
  <si>
    <t>C4353</t>
  </si>
  <si>
    <t>SUBSTITUIÇÃO, OU COMPLEMENTAÇÃO OU REPOSICIONAMENTO MANUAL DE FIXAÇÕES DE DORMENTES DE CONCRETO (SEM FORNECIMENTO)</t>
  </si>
  <si>
    <t>C4361</t>
  </si>
  <si>
    <t>TARUGAMENTO DE DORMENTES</t>
  </si>
  <si>
    <t>RODOVIÁRIA</t>
  </si>
  <si>
    <t>C4546</t>
  </si>
  <si>
    <t>APLICAÇÃO DE REJUVENESCEDOR PDC/REJUVASEAC BR</t>
  </si>
  <si>
    <t>C3905</t>
  </si>
  <si>
    <t>BRITA PRA BASE DE REMENDO PROFUNDO</t>
  </si>
  <si>
    <t>C3954</t>
  </si>
  <si>
    <t>CAPINA MANUAL</t>
  </si>
  <si>
    <t>C3884</t>
  </si>
  <si>
    <t>CAPA SELANTE C/ PEDRISCO (S/TRANSP)</t>
  </si>
  <si>
    <t>C3891</t>
  </si>
  <si>
    <t>COMBATE À EXSUDAÇÃO COM AREIA</t>
  </si>
  <si>
    <t>C3140</t>
  </si>
  <si>
    <t>CAPA SELANTE COM AREIA ( S/TRANSP)</t>
  </si>
  <si>
    <t>C3892</t>
  </si>
  <si>
    <t>COMBATE À EXSUDAÇÃO COM PEDRISCO</t>
  </si>
  <si>
    <t>C3945</t>
  </si>
  <si>
    <t>CORREÇÃO DE DEFEITOS (ESPALHAMENTO MANUAL E COMPACTAÇÃO DE MISTURA  BETUMINOSA)</t>
  </si>
  <si>
    <t>C3904</t>
  </si>
  <si>
    <t>CORTE E LIMPEZA DE ÁREAS GRAMADAS</t>
  </si>
  <si>
    <t>C3895</t>
  </si>
  <si>
    <t>ENCHIMENTO E COMPACTAÇÃO DA MISTURA BETUMINOSA EM TAPA BURACO</t>
  </si>
  <si>
    <t>C3940</t>
  </si>
  <si>
    <t>ESPALHAMENTO E COMPACTAÇÃO DE MISTURA BETUMINOSA PRÉ MISTURADA À FRIO</t>
  </si>
  <si>
    <t>C3942</t>
  </si>
  <si>
    <t>ESPALHAMENTO E COMPACTAÇÃO  DE MISTURA BETUMINOSA PRÉ MISTURADA À QUENTE</t>
  </si>
  <si>
    <t>C3937</t>
  </si>
  <si>
    <t>ESPALHAMENTO E COMPACTAÇÃO DE MISTURA DE AREIA ASFALTO USINADA À QUENTE</t>
  </si>
  <si>
    <t>C3935</t>
  </si>
  <si>
    <t>ESPALHAMENTO E COMPACTAÇÃO DE MISTURA DE AREIA ASFALTO USINADO À FRIO</t>
  </si>
  <si>
    <t>C5036</t>
  </si>
  <si>
    <t>FRESAGEM CONTÍNUA DE REVESTIMENTO BETUMINOSO</t>
  </si>
  <si>
    <t>C5037</t>
  </si>
  <si>
    <t>FRESAGEM DESCONTÍNUA DE REVESTIMENTO BETUMINOSO</t>
  </si>
  <si>
    <t>C5039</t>
  </si>
  <si>
    <t>LAMA ASFALTICA FAIXA 1 (2MM)-6KG/M2 (S/TRANSP)</t>
  </si>
  <si>
    <t>C5040</t>
  </si>
  <si>
    <t>LAMA ASFALTICA FAIXA 2 (4MM)-8KG/M2 (S/TRANSP)</t>
  </si>
  <si>
    <t>C5038</t>
  </si>
  <si>
    <t>LAMA ASFÁLTICA FAIXA 3 (6mm) - 10 Kg/m² (S/TRANSP)</t>
  </si>
  <si>
    <t>C4544</t>
  </si>
  <si>
    <t>MICRO-REVESTIMENTO ASFÁLTICO (1 CAMADA) - 14 Kg/m²</t>
  </si>
  <si>
    <t>C4545</t>
  </si>
  <si>
    <t>MICRO-REVESTIMENTO ASFÁLTICO (2 CAMADAS) - 25 Kg/m²</t>
  </si>
  <si>
    <t>C3092</t>
  </si>
  <si>
    <t>LIMPEZA DE BUEIRO</t>
  </si>
  <si>
    <t>C3894</t>
  </si>
  <si>
    <t>LIMPEZA DE DESCIDA D'ÁGUA</t>
  </si>
  <si>
    <t>C3896</t>
  </si>
  <si>
    <t>LIMPEZA DE PLACA DE SINALIZAÇÃO</t>
  </si>
  <si>
    <t>C3093</t>
  </si>
  <si>
    <t>LIMPEZA DE PONTE</t>
  </si>
  <si>
    <t>C3094</t>
  </si>
  <si>
    <t>LIMPEZA DE SARJETA E MEIO-FIO</t>
  </si>
  <si>
    <t>C3893</t>
  </si>
  <si>
    <t>LIMPEZA DE VALETA DE DRENAGEM</t>
  </si>
  <si>
    <t>C3096</t>
  </si>
  <si>
    <t>LIMPEZA DE VALETA DE CORTE</t>
  </si>
  <si>
    <t>C3938</t>
  </si>
  <si>
    <t>MISTURA BETUMINOSA PRÉ MISTURADA À FRIO EM BETONEIRA (S/TRANSP)</t>
  </si>
  <si>
    <t>C3939</t>
  </si>
  <si>
    <t>MISTURA BETUMINOSA PRÉ MISTURADA USINADA À FRIO (S/TRANSP)</t>
  </si>
  <si>
    <t>C3941</t>
  </si>
  <si>
    <t>MISTURA BETUMINOSA PRÉ MISTURADA USINADA À QUENTE (S/TRANSP)</t>
  </si>
  <si>
    <t>C3936</t>
  </si>
  <si>
    <t>MISTURA DE AREIA ASFALTO USINADA À QUENTE (S/TRANSP)</t>
  </si>
  <si>
    <t>C3885</t>
  </si>
  <si>
    <t xml:space="preserve"> MISTURA DE AREIA ASFALTO À FRIO EM BETONEIRA (S/TRANSP)</t>
  </si>
  <si>
    <t>C3934</t>
  </si>
  <si>
    <t>MISTURA DE AREIA ASFALTO USINADA À FRIO (S/TRANSP)</t>
  </si>
  <si>
    <t>C3889</t>
  </si>
  <si>
    <t>PENEIRAMENTO MANUAL</t>
  </si>
  <si>
    <t>C0096</t>
  </si>
  <si>
    <t>REATERRO APILOADO</t>
  </si>
  <si>
    <t>C3890</t>
  </si>
  <si>
    <t>REATERRO E COMPACTAÇÃO DE BUEIRO</t>
  </si>
  <si>
    <t>C3101</t>
  </si>
  <si>
    <t>RECOMPOSIÇÃO DE PAVIMENTAÇÃO EM PARALELEPÍPEDO C/REAPROVEITAMENTO</t>
  </si>
  <si>
    <t>C3100</t>
  </si>
  <si>
    <t>RECOMPOSIÇÃO DE PAVIMENTAÇÃO EM PEDRA TOSCA  C/REAPROVEITAMENTO</t>
  </si>
  <si>
    <t>C3897</t>
  </si>
  <si>
    <t>RECOMPOSIÇÃO DE PLACA DE SINALIZAÇÃO</t>
  </si>
  <si>
    <t>C3883</t>
  </si>
  <si>
    <t>RECOMPOSIÇÃO DE REVESTIMENTO PRIMÁRIO</t>
  </si>
  <si>
    <t>C3952</t>
  </si>
  <si>
    <t>RECOMPOSIÇÃO MANUAL DE ATERRO</t>
  </si>
  <si>
    <t>C3953</t>
  </si>
  <si>
    <t>RECOMPOSIÇÃO MECANIZADA DE ATERRO</t>
  </si>
  <si>
    <t>C3947</t>
  </si>
  <si>
    <t>RECOMPOSIÇÃO PARCIAL DE CERCA (SUBSTITUIÇÃO DE ESTACA DE CONCRETO)</t>
  </si>
  <si>
    <t>C3948</t>
  </si>
  <si>
    <t>RECOMPOSIÇÃO PARCIAL DE CERCA DE ESTACAS DE CONCRETO (SUBSTITUIÇÃO DE ARAME FARPADO)</t>
  </si>
  <si>
    <t>C3951</t>
  </si>
  <si>
    <t>RECOMPOSIÇÃO PARCIAL DE CERCA DE ESTACAS DE MADEIRA(SUBSTITUIÇÃO DE ARAME FARPADO)</t>
  </si>
  <si>
    <t>C3946</t>
  </si>
  <si>
    <t>RECOMPOSIÇÃO PARCIAL DE CERCA (SUBSTITUIÇÃO DE MOURÕES DE CONCRETO)</t>
  </si>
  <si>
    <t>C3232</t>
  </si>
  <si>
    <t>RECONFORMAÇÃO/PATROLAGEM DA PLATAFORMA</t>
  </si>
  <si>
    <t>C3943</t>
  </si>
  <si>
    <t>REMENDO PROFUNDO COM DEMOLIÇÃO MANUAL(ENCHIMENTO E COMPACTAÇÃO DO MATERIAL DE BASE E MISTURA BETUMINOSA)</t>
  </si>
  <si>
    <t>C3944</t>
  </si>
  <si>
    <t>REMENDO PROFUNDO COM DEMOLIÇÃO MECANIZADA (ENCHIMENTO E COMPACTAÇÃO DO MATERIAL DE BASE E MISTURA BETUMINOSA)</t>
  </si>
  <si>
    <t>C3902</t>
  </si>
  <si>
    <t>REMOÇÃO DE MATACÕES</t>
  </si>
  <si>
    <t>C3888</t>
  </si>
  <si>
    <t>REMOÇÃO MANUAL DA CAMADA GRANULAR DO PAVIMENTO</t>
  </si>
  <si>
    <t>C3899</t>
  </si>
  <si>
    <t>REMOÇÃO MANUAL DE BARREIRA EM ROCHA</t>
  </si>
  <si>
    <t>C3898</t>
  </si>
  <si>
    <t>REMOÇÃO MANUAL DE BARREIRA EM SOLO</t>
  </si>
  <si>
    <t>C3886</t>
  </si>
  <si>
    <t>REMOÇÃO MANUAL DE REVESTIMENTO BETUMINOSO</t>
  </si>
  <si>
    <t>C3887</t>
  </si>
  <si>
    <t>REMOÇÃO MECANIZADA DA CAMADA GRANULAR DO PAVIMENTO</t>
  </si>
  <si>
    <t>C3901</t>
  </si>
  <si>
    <t>REMOÇÃO MECANIZADA DE BARREIRA EM ROCHA</t>
  </si>
  <si>
    <t>C3900</t>
  </si>
  <si>
    <t>REMOÇÃO MECANIZADA DE BARREIRA EM SOLO</t>
  </si>
  <si>
    <t>C3159</t>
  </si>
  <si>
    <t>REMOÇÃO MECANIZADA DE REVESTIMENTO BETUMINOSO</t>
  </si>
  <si>
    <t>C3109</t>
  </si>
  <si>
    <t>ROÇADA MANUAL</t>
  </si>
  <si>
    <t>C3903</t>
  </si>
  <si>
    <t>ROÇADA MECANIZADA</t>
  </si>
  <si>
    <t>C3115</t>
  </si>
  <si>
    <t>SELAGEM DE TRINCA : S/TRANSP</t>
  </si>
  <si>
    <t>C3932</t>
  </si>
  <si>
    <t>SOLO BRITA PARA BASE DE REMENDO PROFUNDO (S/TRANSP)</t>
  </si>
  <si>
    <t>C3933</t>
  </si>
  <si>
    <t>SOLO PARA BASE DE REMENDO PROFUNDO (S/TRANSP)</t>
  </si>
  <si>
    <t>URBANA</t>
  </si>
  <si>
    <t>C2925</t>
  </si>
  <si>
    <t>RECOMPOSIÇÃO DE CAPA EM AREIA ASFÁLTICA (AAUQ), ESP.= 5cm</t>
  </si>
  <si>
    <t>C2926</t>
  </si>
  <si>
    <t>RECOMPOSIÇÃO DE CAPA EM CONCRETO ASFÁLTICO (CBUQ), ESP.= 5cm</t>
  </si>
  <si>
    <t>C2135</t>
  </si>
  <si>
    <t>RECOMPOSIÇÃO DE GUIAS DE CONCRETO</t>
  </si>
  <si>
    <t>C2927</t>
  </si>
  <si>
    <t>RECOMPOSIÇÃO DE MEIO FIO EM CONCRETO</t>
  </si>
  <si>
    <t>C2928</t>
  </si>
  <si>
    <t>RECOMPOSIÇÃO DE MEIO FIO EM PEDRA GRANITICA</t>
  </si>
  <si>
    <t>C3036</t>
  </si>
  <si>
    <t>RECOMPOSIÇÃO DE PAVIMENTAÇÃO C/BLOKRET REAPROVEITADO</t>
  </si>
  <si>
    <t>C2136</t>
  </si>
  <si>
    <t>RECOMPOSIÇÃO DE PAVIMENTAÇÃO DE PRÉ- MOLDADO S/ COXIM DE AREIA</t>
  </si>
  <si>
    <t>C2929</t>
  </si>
  <si>
    <t>RECOMPOSIÇÃO DE PAVIMENTAÇÃO EM PARALELEPÍPEDO C/REJUNTAMENTO</t>
  </si>
  <si>
    <t>C2930</t>
  </si>
  <si>
    <t>RECOMPOSIÇÃO DE PAVIMENTAÇÃO EM PARALELEPÍPEDO S/REJUNTAMENTO</t>
  </si>
  <si>
    <t>C2931</t>
  </si>
  <si>
    <t>RECOMPOSIÇÃO DE PAVIMENTAÇÃO EM PEDRA PORTUGUESA</t>
  </si>
  <si>
    <t>C2932</t>
  </si>
  <si>
    <t>RECOMPOSIÇÃO DE PAVIMENTAÇÃO EM PEDRA TOSCA C/REJUNTAMENTO</t>
  </si>
  <si>
    <t>C2933</t>
  </si>
  <si>
    <t>RECOMPOSIÇÃO DE PAVIMENTAÇÃO EM PEDRA TOSCA S/REJUNTAMENTO</t>
  </si>
  <si>
    <t>OBRAS PORTUÁRIAS</t>
  </si>
  <si>
    <t>FUNDAÇÕES</t>
  </si>
  <si>
    <t>C5129</t>
  </si>
  <si>
    <t xml:space="preserve">CONFECÇÃO DE CAMISA METÁLICA, E =  6.3MM; D =  600MM                                       
</t>
  </si>
  <si>
    <t>C5130</t>
  </si>
  <si>
    <t>CONFECÇÃO DE CAMISA METÁLICA, E =  6.3MM; D =  700MM</t>
  </si>
  <si>
    <t>C5131</t>
  </si>
  <si>
    <t>CONFECÇÃO DE CAMISA METÁLICA, E =  6.3MM; D =  800MM</t>
  </si>
  <si>
    <t>C5132</t>
  </si>
  <si>
    <t>CONFECÇÃO DE CAMISA METÁLICA, E =  6.3MM; D =  900MM</t>
  </si>
  <si>
    <t>C5133</t>
  </si>
  <si>
    <t>CONFECÇÃO DE CAMISA METÁLICA, E =  6.3MM; D = 1000MM</t>
  </si>
  <si>
    <t>C5134</t>
  </si>
  <si>
    <t>CONFECÇÃO DE CAMISA METÁLICA, E =  8.0MM; D =  700MM</t>
  </si>
  <si>
    <t>C5135</t>
  </si>
  <si>
    <t>CONFECÇÃO DE CAMISA METÁLICA, E =  8.0MM; D =  800MM</t>
  </si>
  <si>
    <t>C5136</t>
  </si>
  <si>
    <t>CONFECÇÃO DE CAMISA METÁLICA, E =  8.0MM; D =  900MM</t>
  </si>
  <si>
    <t>C5137</t>
  </si>
  <si>
    <t>CONFECÇÃO DE CAMISA METÁLICA, E =  8.0MM; D = 1000MM</t>
  </si>
  <si>
    <t>C5138</t>
  </si>
  <si>
    <t>CONFECÇÃO DE CAMISA METÁLICA, E =  8.0MM; D = 1100MM</t>
  </si>
  <si>
    <t>C5139</t>
  </si>
  <si>
    <t>CONFECÇÃO DE CAMISA METÁLICA, E =  8.0MM; D = 1200MM</t>
  </si>
  <si>
    <t>C5140</t>
  </si>
  <si>
    <t>CONFECÇÃO DE CAMISA METÁLICA, E =  9.5MM; D =  900MM</t>
  </si>
  <si>
    <t>C5141</t>
  </si>
  <si>
    <t>CONFECÇÃO DE CAMISA METÁLICA, E =  9.5MM; D = 1000MM</t>
  </si>
  <si>
    <t>C5142</t>
  </si>
  <si>
    <t>CONFECÇÃO DE CAMISA METÁLICA, E =  9.5MM; D = 1100MM</t>
  </si>
  <si>
    <t>C5143</t>
  </si>
  <si>
    <t>CONFECÇÃO DE CAMISA METÁLICA, E =  9.5MM; D = 1200MM</t>
  </si>
  <si>
    <t>C5144</t>
  </si>
  <si>
    <t>CONFECÇÃO DE CAMISA METÁLICA, E =  9.5MM; D = 1300MM</t>
  </si>
  <si>
    <t>C5145</t>
  </si>
  <si>
    <t>CONFECÇÃO DE CAMISA METÁLICA, E =  9.5MM; D = 1400MM</t>
  </si>
  <si>
    <t>C5146</t>
  </si>
  <si>
    <t>CONFECÇÃO DE CAMISA METÁLICA, E =  9.5MM; D = 1500MM</t>
  </si>
  <si>
    <t>C5147</t>
  </si>
  <si>
    <t>CONFECÇÃO DE CAMISA METÁLICA, E = 12.5MM; D = 1400MM</t>
  </si>
  <si>
    <t>C5148</t>
  </si>
  <si>
    <t>CONFECÇÃO DE CAMISA METÁLICA, E = 12.5MM; D = 1500MM</t>
  </si>
  <si>
    <t>C5149</t>
  </si>
  <si>
    <t>CONFECÇÃO DE CAMISA METÁLICA, E = 12.5MM; D = 1600MM</t>
  </si>
  <si>
    <t>C5150</t>
  </si>
  <si>
    <t>CONFECÇÃO DE CAMISA METÁLICA, E = 12.5MM; D = 1700MM</t>
  </si>
  <si>
    <t>C5151</t>
  </si>
  <si>
    <t>CONFECÇÃO DE CAMISA METÁLICA, E = 12.5MM; D = 1800MM</t>
  </si>
  <si>
    <t>C5152</t>
  </si>
  <si>
    <t>CRAVAÇÃO DE CAMISA METÁLICA, E =  6.3MM; D =  600MM, C/ UTILIZAÇÃO DE MARTELO VIBRATÓRIO E  PLATAFORMA FLUTUANTE</t>
  </si>
  <si>
    <t>C5153</t>
  </si>
  <si>
    <t>CRAVAÇÃO DE CAMISA METÁLICA, E =  6.3MM; D =  700MM, C/ UTILIZAÇÃO DE MARTELO VIBRATÓRIO E  PLATAFORMA FLUTUANTE</t>
  </si>
  <si>
    <t>C5154</t>
  </si>
  <si>
    <t>CRAVAÇÃO DE CAMISA METÁLICA, E =  6.3MM; D =  800MM, C/ UTILIZAÇÃO DE MARTELO VIBRATÓRIO E  PLATAFORMA FLUTUANTE</t>
  </si>
  <si>
    <t>C5155</t>
  </si>
  <si>
    <t>CRAVAÇÃO DE CAMISA METÁLICA, E =  6.3MM; D =  900MM, C/ UTILIZAÇÃO DE MARTELO VIBRATÓRIO E  PLATAFORMA FLUTUANTE</t>
  </si>
  <si>
    <t>C5156</t>
  </si>
  <si>
    <t>CRAVAÇÃO DE CAMISA METÁLICA, E =  6.3MM; D = 1000MM, C/ UTILIZAÇÃO DE MARTELO VIBRATÓRIO E  PLATAFORMA FLUTUANTE</t>
  </si>
  <si>
    <t>C5157</t>
  </si>
  <si>
    <t>CRAVAÇÃO DE CAMISA METÁLICA, E =  8.0MM; D =  700MM, C/ UTILIZAÇÃO DE MARTELO VIBRATÓRIO E  PLATAFORMA FLUTUANTE</t>
  </si>
  <si>
    <t>C5158</t>
  </si>
  <si>
    <t>CRAVAÇÃO DE CAMISA METÁLICA, E =  8.0MM; D =  800MM, C/ UTILIZAÇÃO DE MARTELO VIBRATÓRIO E  PLATAFORMA FLUTUANTE</t>
  </si>
  <si>
    <t>C5159</t>
  </si>
  <si>
    <t>CRAVAÇÃO DE CAMISA METÁLICA, E =  8.0MM; D =  900MM, C/ UTILIZAÇÃO DE MARTELO VIBRATÓRIO E  PLATAFORMA FLUTUANTE</t>
  </si>
  <si>
    <t>C5160</t>
  </si>
  <si>
    <t>CRAVAÇÃO DE CAMISA METÁLICA, E =  8.0MM; D = 1000MM, C/ UTILIZAÇÃO DE MARTELO VIBRATÓRIO E  PLATAFORMA FLUTUANTE</t>
  </si>
  <si>
    <t>C5161</t>
  </si>
  <si>
    <t>CRAVAÇÃO DE CAMISA METÁLICA, E =  8.0MM; D = 1100MM, C/ UTILIZAÇÃO DE MARTELO VIBRATÓRIO E  PLATAFORMA FLUTUANTE</t>
  </si>
  <si>
    <t>C5162</t>
  </si>
  <si>
    <t>CRAVAÇÃO DE CAMISA METÁLICA, E =  8.0MM; D = 1200MM, C/ UTILIZAÇÃO DE MARTELO VIBRATÓRIO E  PLATAFORMA FLUTUANTE</t>
  </si>
  <si>
    <t>C5163</t>
  </si>
  <si>
    <t>CRAVAÇÃO DE CAMISA METÁLICA, E =  9.5MM; D =  900MM, C/ UTILIZAÇÃO DE MARTELO VIBRATÓRIO E  PLATAFORMA FLUTUANTE</t>
  </si>
  <si>
    <t>C5164</t>
  </si>
  <si>
    <t>CRAVAÇÃO DE CAMISA METÁLICA, E =  9.5MM; D = 1000MM, C/ UTILIZAÇÃO DE MARTELO VIBRATÓRIO E  PLATAFORMA FLUTUANTE</t>
  </si>
  <si>
    <t>C5165</t>
  </si>
  <si>
    <t>CRAVAÇÃO DE CAMISA METÁLICA, E =  9.5MM; D = 1100MM, C/ UTILIZAÇÃO DE MARTELO VIBRATÓRIO E  PLATAFORMA FLUTUANTE</t>
  </si>
  <si>
    <t>C5166</t>
  </si>
  <si>
    <t>CRAVAÇÃO DE CAMISA METÁLICA, E =  9.5MM; D = 1200MM, C/ UTILIZAÇÃO DE MARTELO VIBRATÓRIO E  PLATAFORMA FLUTUANTE</t>
  </si>
  <si>
    <t>C5167</t>
  </si>
  <si>
    <t>CRAVAÇÃO DE CAMISA METÁLICA, E =  9.5MM; D = 1300MM, C/ UTILIZAÇÃO DE MARTELO VIBRATÓRIO E  PLATAFORMA FLUTUANTE</t>
  </si>
  <si>
    <t>C5168</t>
  </si>
  <si>
    <t>CRAVAÇÃO DE CAMISA METÁLICA, E =  9.5MM; D = 1400MM, C/ UTILIZAÇÃO DE MARTELO VIBRATÓRIO E  PLATAFORMA FLUTUANTE</t>
  </si>
  <si>
    <t>C5169</t>
  </si>
  <si>
    <t>CRAVAÇÃO DE CAMISA METÁLICA, E =  9.5MM; D = 1500MM, C/ UTILIZAÇÃO DE MARTELO VIBRATÓRIO E  PLATAFORMA FLUTUANTE</t>
  </si>
  <si>
    <t>C5170</t>
  </si>
  <si>
    <t>CRAVAÇÃO DE CAMISA METÁLICA, E = 12.5MM; D = 1400MM, C/ UTILIZAÇÃO DE MARTELO VIBRATÓRIO E  PLATAFORMA FLUTUANTE</t>
  </si>
  <si>
    <t>C5171</t>
  </si>
  <si>
    <t>CRAVAÇÃO DE CAMISA METÁLICA, E = 12.5MM; D = 1500MM, C/ UTILIZAÇÃO DE MARTELO VIBRATÓRIO E  PLATAFORMA FLUTUANTE</t>
  </si>
  <si>
    <t>C5172</t>
  </si>
  <si>
    <t>CRAVAÇÃO DE CAMISA METÁLICA, E = 12.5MM; D = 1600MM, C/ UTILIZAÇÃO DE MARTELO VIBRATÓRIO E  PLATAFORMA FLUTUANTE</t>
  </si>
  <si>
    <t>C5173</t>
  </si>
  <si>
    <t>CRAVAÇÃO DE CAMISA METÁLICA, E = 12.5MM; D = 1700MM, C/ UTILIZAÇÃO DE MARTELO VIBRATÓRIO E  PLATAFORMA FLUTUANTE</t>
  </si>
  <si>
    <t>C5174</t>
  </si>
  <si>
    <t>CRAVAÇÃO DE CAMISA METÁLICA, E = 12.5MM; D = 1800MM, C/ UTILIZAÇÃO DE MARTELO VIBRATÓRIO E  PLATAFORMA FLUTUANTE</t>
  </si>
  <si>
    <t>C4319</t>
  </si>
  <si>
    <t>CRAVAÇÃO DE ESTACA PRÉ-MOLDADA C/ UTILIZAÇÃO DE PLATAFORMA FLUTUANTE</t>
  </si>
  <si>
    <t>C4144</t>
  </si>
  <si>
    <t>ESCAVAÇÃO EM ROCHA ALTERADA D= 0,93m</t>
  </si>
  <si>
    <t>C4145</t>
  </si>
  <si>
    <t>ESCAVAÇÃO EM ROCHA SÃ D= 0,93m</t>
  </si>
  <si>
    <t>C4143</t>
  </si>
  <si>
    <t>ESCAVAÇÃO EM SOLO D= 0,93m</t>
  </si>
  <si>
    <t>C4298</t>
  </si>
  <si>
    <t>ESCAVAÇÃO EM ROCHA ALTERADA DIÂMETRO 0,93m C/ UTILIZAÇÃO DE PLATAFORMA FLUTUANTE</t>
  </si>
  <si>
    <t>C4299</t>
  </si>
  <si>
    <t>ESCAVAÇÃO EM ROCHA SÃ DIÂMETRO 0,93m C/ UTILIZAÇÃO DE PLATAFORMA FLUTUANTE</t>
  </si>
  <si>
    <t>C4300</t>
  </si>
  <si>
    <t>ESCAVAÇÃO EM SOLO DIÂMETRO 0,93m C/ UTILIZAÇÃO DE PLATAFORMA FLUTUANTE</t>
  </si>
  <si>
    <t>C3983</t>
  </si>
  <si>
    <t>FABRICAÇÃO E FORNECIMENTO DE ACESSÓRIOS METÁLICOS PARA ESTACA DE CONCRETO (PONTEIRA E ANEL)</t>
  </si>
  <si>
    <t>C4310</t>
  </si>
  <si>
    <t>POSICIONAMENTO, OPERAÇÃO E REMOÇÃO DE CAMISA METÁLICA C/ UTILIZAÇÃO DE PLATAFORMA FLUTUANTE</t>
  </si>
  <si>
    <t>ESTRUTURAS</t>
  </si>
  <si>
    <t>C4146</t>
  </si>
  <si>
    <t>CARGA E TRANSP. DE ESTACA PRÉ-MOLDADA DO ESTOQUE AO LOCAL DE APLICAÇÃO, INCLUSIVE ASSENTAMENTO</t>
  </si>
  <si>
    <t>C4318</t>
  </si>
  <si>
    <t>CARGA E TRANSPORTE DE ESTACA PRÉ-MOLDADA DO ESTOQUE AO LOCAL DE APLICAÇÃO C/ UTILIZAÇÃO DE PLATAFORMA FLUTUANTE, INCLUSIVE ASSENTAMENTO</t>
  </si>
  <si>
    <t>C4153</t>
  </si>
  <si>
    <t>CARGA E TRANSP. DE PEÇAS PRÉ-MOLDADAS DO ESTOQUE AO LOCAL DE APLICAÇÃO, INCLUSIVE ASSENTAMENTO</t>
  </si>
  <si>
    <t>C4290</t>
  </si>
  <si>
    <t>CARGA E TRANSPORTE DE PEÇAS PRÉ-MOLDADAS, INCLUSIVE ASSENTAMENTO C/ UTILIZAÇÃO DE PLATAFORMA FLUTUANTE</t>
  </si>
  <si>
    <t>C4311</t>
  </si>
  <si>
    <t>POSICIONAMENTO, OPERAÇÃO E REMOÇÃO DE CONTRAVENTAMENTO METÁLICO DE ESTACAS C/ PLATAFORMA FLUTUANTE</t>
  </si>
  <si>
    <t>QUEBRA-MAR / ENROCAMENTO</t>
  </si>
  <si>
    <t>C4288</t>
  </si>
  <si>
    <t>CARGA E ARRUMAÇÃO DE PEDRAS (0,001 T ATÉ 1,00 T), INCLUSIVE LANÇAMENTO</t>
  </si>
  <si>
    <t>C4287</t>
  </si>
  <si>
    <t>CARGA E ARRUMAÇÃO DE PEDRAS (1,00 T ATÉ 6,00 T), INCLUSIVE LANÇAMENTO</t>
  </si>
  <si>
    <t>C1097</t>
  </si>
  <si>
    <t>CARGA E ARRUMAÇÃO DE PEDRAS COM GUINDASTE MUNIDO DE CAÇAMBA METÁLICA</t>
  </si>
  <si>
    <t>C4289</t>
  </si>
  <si>
    <t>CARGA E LANÇAMENTO DE BRITA P/ REVESTIMENTO, INCLUSIVE ESPALHAMENTO</t>
  </si>
  <si>
    <t>C4306</t>
  </si>
  <si>
    <t>LAVRA, SELEÇÃO E ESTOQUE DE PEDRAS (1,00 T ATÉ 4,00 T)</t>
  </si>
  <si>
    <t>C4307</t>
  </si>
  <si>
    <t>LAVRA, SELEÇÃO E ESTOQUE DE PEDRAS (4,00 T ATÉ 6,00 T)</t>
  </si>
  <si>
    <t>C4308</t>
  </si>
  <si>
    <t>LAVRA, SELEÇÃO E ESTOQUE DE PEDRAS (0,0001 T ATÉ 1,00 T)</t>
  </si>
  <si>
    <t>C4332</t>
  </si>
  <si>
    <t>TRANSPORTE DE PEDRAS ATÉ 1,0 T EM RODOVIA PAVIMENTADA (Y = 2,08X + 3,91)</t>
  </si>
  <si>
    <t>C4413</t>
  </si>
  <si>
    <t>TRANSPORTE DE PEDRA ATÉ 1,0 T EM TRECHO NÃO PAVIMENTADO (Y = 3,47X + 3,91)</t>
  </si>
  <si>
    <t>C4313</t>
  </si>
  <si>
    <t>TRANSPORTE DE PEDRAS DE 1,0 T ATÉ 6,0 T EM RODOVIA PAVIMENTADA (Y = 2,53X + 6,32)</t>
  </si>
  <si>
    <t>C4414</t>
  </si>
  <si>
    <t>TRANSPORTE DE PEDRA DE 1,00 T ATÉ 6,00 T EM TRECHO NÃO PAVIMENTADO (Y = 4,22X + 6,32)</t>
  </si>
  <si>
    <t>DRAGAGEM</t>
  </si>
  <si>
    <t>C4315</t>
  </si>
  <si>
    <t>ATERRO HIDRÁULICO, INCLUINDO DRAGAGEM, ESPALHAMENTO NIVELADO E MOBILIZAÇÃO/DESMOBILIZAÇÃO DA DRAGA</t>
  </si>
  <si>
    <t>C4283</t>
  </si>
  <si>
    <t>DRAGAGEM INCLUINDO MOBILIZAÇÃO/DESMOBILIZAÇÃO DA DRAGA</t>
  </si>
  <si>
    <t>TRANSPORTES PARA OBRAS RODOVIÁRIAS</t>
  </si>
  <si>
    <t>LOCAL</t>
  </si>
  <si>
    <t>C3143</t>
  </si>
  <si>
    <t>TRANSPORTE LOCAL C/ DMT ATÉ 4,00 KM (Y = 1,25X + 1,30)</t>
  </si>
  <si>
    <t>C3144</t>
  </si>
  <si>
    <t>TRANSPORTE LOCAL COM DMT ENTRE 4,01 Km E 30,00 Km (Y = 0,89X + 1,30)</t>
  </si>
  <si>
    <t>C4161</t>
  </si>
  <si>
    <t>TRANSPORTE LOCAL C/ DMT SUPERIOR A 30,00 Km (Y = 0,69X + 1,30)</t>
  </si>
  <si>
    <t>C3157</t>
  </si>
  <si>
    <t>TRANSPORTE  LOCAL D'ÁGUA P/SERVIÇOS DE PAVIMENTAÇÃO C/ DMT SUPERIOR A 7,00 Km (Y = 1,43X)</t>
  </si>
  <si>
    <t>C3312</t>
  </si>
  <si>
    <t>TRANSPORTE  LOCAL  DE BRITA P/ TRATAMENTOS SUPERFICIAIS (Y = 1,04X + 5,20)</t>
  </si>
  <si>
    <t>C3224</t>
  </si>
  <si>
    <t>TRANSPORTE LOCAL DE LIGANTES BETUMINOSOS C/DMT SUPERIOR A 15,00 Km (Y = 2,08X)</t>
  </si>
  <si>
    <t>C3225</t>
  </si>
  <si>
    <t>TRANSPORTE LOCAL DE MISTURA BETUMINOSA À FRIO (Y = 1,04X + 3,12)</t>
  </si>
  <si>
    <t>C3226</t>
  </si>
  <si>
    <t>TRANSPORTE LOCAL DE MISTURA BETUMINOSA À QUENTE (Y = 1,04X + 3,90)</t>
  </si>
  <si>
    <t>COMERCIAL</t>
  </si>
  <si>
    <t>C3311</t>
  </si>
  <si>
    <t>TRANSPORTE COMERCIAL EM RODOVIA PAVIMENTADA (Y = 0,48X)</t>
  </si>
  <si>
    <t>C3310</t>
  </si>
  <si>
    <t>TRANSPORTE COMERCIAL EM RODOVIA NÃO PAVIMENTADA (Y = 0,60X)</t>
  </si>
  <si>
    <t>MATERIAL BETUMINOSO</t>
  </si>
  <si>
    <t>I0001</t>
  </si>
  <si>
    <t>TRANSPORTE COMERCIAL DE MATERIAL BETUMINOSO À FRIO (Y = 0,57X + 55,48)</t>
  </si>
  <si>
    <t>I0002</t>
  </si>
  <si>
    <t>TRANSPORTE COMERCIAL DE MATERIAL BETUMINOSO À QUENTE (Y = 0,60X + 61,69)</t>
  </si>
  <si>
    <t>SINALIZAÇÃO DO SISTEMA VIÁRIO</t>
  </si>
  <si>
    <t>SINALIZAÇÃO HORIZONTAL</t>
  </si>
  <si>
    <t>C0354</t>
  </si>
  <si>
    <t>BALIZADOR EM PVC RÍGIDO D=3" C/ENCHIMENTO DE CONCRETO</t>
  </si>
  <si>
    <t>C3219</t>
  </si>
  <si>
    <t>FAIXA.HORIZONTAL/TINTA REFLETIVA/RESINA ACRÍLICA À BASE D'ÁGUA</t>
  </si>
  <si>
    <t>C3220</t>
  </si>
  <si>
    <t>FAIXA.HORIZONTAL/TINTA REFLETIVA/RESINA ACRÍLICA</t>
  </si>
  <si>
    <t>C3616</t>
  </si>
  <si>
    <t>SEGREGADOR DE TRÁFEGO TIPO JABOTI: FORNECIMENTO E APLICAÇÃO</t>
  </si>
  <si>
    <t>C3236</t>
  </si>
  <si>
    <t>SÍMBOLOS NO PAVIMENTO/RESINA ACRÍLICA</t>
  </si>
  <si>
    <t>C3237</t>
  </si>
  <si>
    <t>SÍMBOLOS NO PAVIMENTO/RESINA ACRÍLICA À BASE D'ÁGUA</t>
  </si>
  <si>
    <t>C3116</t>
  </si>
  <si>
    <t>SONORIZADOR PRÉ-MOLDADO DE CONCRETO (30MPA) L=9,00M</t>
  </si>
  <si>
    <t>C3117</t>
  </si>
  <si>
    <t>TACHA REFLETIVA MONODIRECIONAL : FORNECIMENTO/APLICAÇÃO</t>
  </si>
  <si>
    <t>C4527</t>
  </si>
  <si>
    <t>TACHA REFLETIVA BIDIRECIONAL: FORNECIMENTO/APLICAÇÃO</t>
  </si>
  <si>
    <t>C3118</t>
  </si>
  <si>
    <t>TACHÃO REFLETIVO MONODIRECIONAL: FORNECIMENTO/APLICAÇÃO</t>
  </si>
  <si>
    <t>C4528</t>
  </si>
  <si>
    <t>TACHÃO REFLETIVO BIDIRECIONAL: FORNECIMENTO/APLICAÇÃO</t>
  </si>
  <si>
    <t>C3119</t>
  </si>
  <si>
    <t>TARTARUGAS: FORNECIMENTO/APLICAÇÃO</t>
  </si>
  <si>
    <t>SINALIZAÇÃO VERTICAL</t>
  </si>
  <si>
    <t>C3158</t>
  </si>
  <si>
    <t>DEFENSAS METÁLICAS SEMI-MALEÁVEIS SIMPLES</t>
  </si>
  <si>
    <t>C3321</t>
  </si>
  <si>
    <t>MARCO DE REFERÊNCIA DO SISTEMA RODOVIÁRIO ESTADUAL (S.R.E) EM CONCRETO</t>
  </si>
  <si>
    <t>C3370</t>
  </si>
  <si>
    <t>MARCO QUILOMÉTRICO REFLETIVO EM AÇO GALVANIZADO</t>
  </si>
  <si>
    <t>C3286</t>
  </si>
  <si>
    <t>MARCO QUILOMÉTRICO REFLETIVO EM AÇO GALVANIZADO C/PELÍCULA ANTI-PICHANTE</t>
  </si>
  <si>
    <t>C3371</t>
  </si>
  <si>
    <t>MARCO QUILOMÉTRICO REFLETIVO EM ALUMÍNIO</t>
  </si>
  <si>
    <t>C3285</t>
  </si>
  <si>
    <t>MARCO QUILOMÉTRICO REFLETIVO EM ALUMÍNIO C/PELÍCULA ANTI-PICHANTE</t>
  </si>
  <si>
    <t>C3372</t>
  </si>
  <si>
    <t>MARCO QUILOMÉTRICO REFLETIVO EM POLIÉSTER C/ FIBRA DE VIDRO</t>
  </si>
  <si>
    <t>C3287</t>
  </si>
  <si>
    <t>MARCO QUILOMÉTRICO REFLETIVO EM POLIÉSTER C/FIBRA DE VIDRO C/PELÍCULA ANTI-PICHANTE</t>
  </si>
  <si>
    <t>C3362</t>
  </si>
  <si>
    <t>PAINEL REFLETIVO EM AÇO GALVANIZADO</t>
  </si>
  <si>
    <t>C3291</t>
  </si>
  <si>
    <t>PAINEL REFLETIVO EM AÇO GALVANIZADO C/PELÍCULA ANTI-PICHANTE</t>
  </si>
  <si>
    <t>C3363</t>
  </si>
  <si>
    <t>PAINEL REFLETIVO EM ALUMÍNIO</t>
  </si>
  <si>
    <t>C3290</t>
  </si>
  <si>
    <t>PAINEL REFLETIVO EM ALUMÍNIO C/PELÍCULA ANTI-PICHANTE</t>
  </si>
  <si>
    <t>C3374</t>
  </si>
  <si>
    <t>PAINEL REFLETIVO EM POLIÉSTER COM FIBRA DE VIDRO</t>
  </si>
  <si>
    <t>C3292</t>
  </si>
  <si>
    <t>PAINEL REFLETIVO EM POLIÉSTER COM FIBRA DE VIDRO C/PELÍCULA ANTI-PICHANTE</t>
  </si>
  <si>
    <t>C3364</t>
  </si>
  <si>
    <t>PAINEL SEMI-REFLETIVO EM AÇO GALVANIZADO</t>
  </si>
  <si>
    <t>C3294</t>
  </si>
  <si>
    <t>PAINEL SEMI-REFLETIVO EM AÇO GALVANIZADO C/PELÍCULA ANTI-PICHANTE</t>
  </si>
  <si>
    <t>C3365</t>
  </si>
  <si>
    <t>PAINEL SEMI-REFLETIVO EM ALUMÍNIO</t>
  </si>
  <si>
    <t>C3293</t>
  </si>
  <si>
    <t>PAINEL SEMI-REFLETIVO EM ALUMÍNIO C/PELÍCULA ANTI-PICHANTE</t>
  </si>
  <si>
    <t>C3366</t>
  </si>
  <si>
    <t>PAINEL SEMI-REFLETIVO EM POLIÉSTER COM FIBRA DE VIDRO</t>
  </si>
  <si>
    <t>C3295</t>
  </si>
  <si>
    <t>PAINEL SEMI-REFLETIVO EM POLIÉSTER COM FIBRA DE VIDRO C/PELÍCULA ANTI-PICHANTE</t>
  </si>
  <si>
    <t>C3353</t>
  </si>
  <si>
    <t>PLACA DE REGULAMENTAÇÃO/ADVERTÊNCIA REFLETIVA EM ACO GALVANIZADO</t>
  </si>
  <si>
    <t>C3297</t>
  </si>
  <si>
    <t>PLACA DE REGULAMENTAÇÃO/ADVERTÊNCIA REFLETIVA EM AÇO GALVANIZADO C/PELÍCULA ANTI-PICHANTE</t>
  </si>
  <si>
    <t>C3354</t>
  </si>
  <si>
    <t>PLACA DE REGULAMENTAÇÃO/ADVERTÊNCIA REFLETIVA EM ALUMÍNIO</t>
  </si>
  <si>
    <t>C3296</t>
  </si>
  <si>
    <t>PLACA DE REGULAMENTAÇÃO/ADVERTÊNCIA REFLETIVA EM ALUMÍNIO C/PELÍCULA ANTI-PICHANTE</t>
  </si>
  <si>
    <t>C3355</t>
  </si>
  <si>
    <t>PLACA DE REGULAMENTAÇÃO/ADVERTÊNCIA REFLETIVA EM POLIÉSTER COM FIBRA DE VIDRO</t>
  </si>
  <si>
    <t>C3298</t>
  </si>
  <si>
    <t>PLACA DE REGULAMENTAÇÃO/ADVERTÊNCIA REFLETIVA EM POLIÉSTER COM FIBRA DE VIDRO C/PELÍCULA ANTI-PICHANTE</t>
  </si>
  <si>
    <t>C3367</t>
  </si>
  <si>
    <t>PLACA DE SINALIZAÇÃO DE OBRA EM AÇO GALVANIZADO</t>
  </si>
  <si>
    <t>C3299</t>
  </si>
  <si>
    <t>PLACA DE SINALIZAÇÃO DE OBRA EM AÇO GALVANIZADO C/PELÍCULA ANTI-PICHANTE</t>
  </si>
  <si>
    <t>C3368</t>
  </si>
  <si>
    <t>PLACA DE SINALIZAÇÃO DE OBRA REFLETIVA EM ALUMÍNIO</t>
  </si>
  <si>
    <t>C3300</t>
  </si>
  <si>
    <t>PLACA DE SINALIZAÇÃO DE OBRA REFLETIVA EM ALUMÍNIO C/PELÍCULA ANTI-PICHANTE</t>
  </si>
  <si>
    <t>C3369</t>
  </si>
  <si>
    <t>PLACA DE SINALIZAÇÃO DE OBRA REFLETIVA EM POLIÉSTER C/ FIBRA DE VIDRO</t>
  </si>
  <si>
    <t>C3301</t>
  </si>
  <si>
    <t>PLACA DE SINALIZAÇÃO DE OBRA REFLETIVA EM POLIÉSTER C/FIBRA DE VIDRO C/PELÍCULA ANTI-PICHANTE</t>
  </si>
  <si>
    <t>C4550</t>
  </si>
  <si>
    <t>PLACA DE SINALIZAÇÃO REFLETIVA COM REAPROVEITAMENTO DE CHAPA DE AÇO</t>
  </si>
  <si>
    <t>C4551</t>
  </si>
  <si>
    <t>PLACA DE SINALIZAÇÃO SEMI-REFLETIVA COM REAPROVEITAMENTO DE CHAPA DE AÇO</t>
  </si>
  <si>
    <t>C3629</t>
  </si>
  <si>
    <t>PLACA EM CHAPA GALVANIZADA C/ESTRUTURA INTERNA EM METALON PINTADA, IMPRESSÃO EM VINIL 02 FACES, ABRAÇADEIRAS</t>
  </si>
  <si>
    <t>C3356</t>
  </si>
  <si>
    <t>PLACA INDICATIVA/EDUCATIVA/SERVIÇOS REFLETIVA EM AÇO GALVANIZADO</t>
  </si>
  <si>
    <t>C3303</t>
  </si>
  <si>
    <t>PLACA INDICATIVA/EDUCATIVA/SERVIÇOS REFLETIVA EM AÇO GALVANIZADO C/PELÍCULA ANTI-PICHANTE</t>
  </si>
  <si>
    <t>C3357</t>
  </si>
  <si>
    <t>PLACA INDICATIVA/EDUCATIVA/SERVIÇOS REFLETIVA EM ALUMÍNIO</t>
  </si>
  <si>
    <t>C3302</t>
  </si>
  <si>
    <t>PLACA INDICATIVA/EDUCATIVA/SERVIÇOS REFLETIVA EM ALUMÍNIO C/PELÍCULA ANTI-PICHANTE</t>
  </si>
  <si>
    <t>C3358</t>
  </si>
  <si>
    <t>PLACA INDICATIVA/EDUCATIVA/SERVIÇOS REFLETIVA EM POLIÉSTER COM FIBRA DE VIDRO</t>
  </si>
  <si>
    <t>C3304</t>
  </si>
  <si>
    <t>PLACA INDICATIVA/EDUCATIVA/SERVIÇOS REFLETIVA EM POLIÉSTER COM FIBRA DE VIDRO C/PELÍCULA ANTI-PICHANTE</t>
  </si>
  <si>
    <t>C3359</t>
  </si>
  <si>
    <t>PLACA INDICATIVA/EDUCATIVA/SERVIÇOS SEMI-REFLETIVA EM AÇO GALVANIZADO</t>
  </si>
  <si>
    <t>C3307</t>
  </si>
  <si>
    <t>PLACA INDICATIVA/EDUCATIVA/SERVIÇOS SEMI-REFLETIVA EM AÇO GALVANIZADO C/PELÍCULA ANTI-PICHANTE</t>
  </si>
  <si>
    <t>C3360</t>
  </si>
  <si>
    <t>PLACA INDICATIVA/EDUCATIVA/SERVIÇOS SEMI-REFLETIVA EM ALUMÍNIO</t>
  </si>
  <si>
    <t>C3306</t>
  </si>
  <si>
    <t>PLACA INDICATIVA/EDUCATIVA/SERVIÇOS SEMI-REFLETIVA EM ALUMÍNIO C/PELÍCULA ANTI-PICHANTE</t>
  </si>
  <si>
    <t>C3361</t>
  </si>
  <si>
    <t>PLACA INDICATIVA/EDUCATIVA/SERVIÇOS SEMI-REFLETIVA EM POLIÉSTER C/ FIBRA DE VIDRO</t>
  </si>
  <si>
    <t>C3305</t>
  </si>
  <si>
    <t>PLACA INDICATIVA/EDUCATIVA/SERVIÇOS SEMI-REFLETIVA EM POLIÉSTER C/FIBRA DE VIDRO C/PELÍCULA ANTI-PICHANTE</t>
  </si>
  <si>
    <t>PÓRTICOS E SEMI-PÓRTICOS METÁLICOS</t>
  </si>
  <si>
    <t>C5002</t>
  </si>
  <si>
    <t>PÓRTICO METÁLICO C/ VÃO DE 12,50M, VENTO 35M/S ÁREA DE EXPOSIÇÃO ATÉ 18,75M2 (SEM PLACA/PAINEL) - FORNECIMENTO E MONTAGEM</t>
  </si>
  <si>
    <t>C5003</t>
  </si>
  <si>
    <t>PÓRTICO METÁLICO C/ VÃO DE 24,80M, VENTO 35M/S ÁREA DE EXPOSIÇÃO ATÉ 37,20M2 (SEM PLACA/PAINEL) - FORNECIMENTO E MONTAGEM</t>
  </si>
  <si>
    <t>C5004</t>
  </si>
  <si>
    <t>SEMI-PÓRTICO METÁLICO SIMPLES C/ VÃO DE 2,70M, VENTO 35M/S ÁREA DE EXPOSIÇÃO ATÉ 4,05M2 (SEM PLACA/PAINEL) - FORNECIMENTO E MONTAGEM</t>
  </si>
  <si>
    <t>C5005</t>
  </si>
  <si>
    <t>SEMI-PÓRTICO METÁLICO SIMPLES C/ VÃO DE 7,20M, VENTO 35M/S ÁREA DE EXPOSIÇÃO ATÉ 10,65M2 (SEM PLACA/PAINEL) - FORNECIMENTO E MONTAGEM</t>
  </si>
  <si>
    <t>C5006</t>
  </si>
  <si>
    <t>SEMI-PÓRTICO METÁLICO DUPLO C/ VÃO DE 2 X 7,20M, VENTO 35M/S ÁREA DE EXPOSIÇÃO ATÉ 2 X 10,80M2 (SEM PLACA/PAINEL) - FORNECIMENTO E MONTAGEM</t>
  </si>
  <si>
    <t>URBANIZAÇÃO/PAISAGISMO</t>
  </si>
  <si>
    <t>URBANIZAÇÃO</t>
  </si>
  <si>
    <t>C0004</t>
  </si>
  <si>
    <t>ABRIGO PRÉ-MOLDADO EM CONCRETO (PARADA DE ÔNIBUS)</t>
  </si>
  <si>
    <t>C4715</t>
  </si>
  <si>
    <t>ABRIGO PRÉ-MOLDADO P/ PARADA DE ÔNIBUS, C=4,00M, L=1,50M (5,7 T) S/ TRANSPORTE</t>
  </si>
  <si>
    <t>C3641</t>
  </si>
  <si>
    <t>BALANÇO ANDORINHA C/02 CADEIRAS, CONFECÇÃO EM TUBO VAPOR E PINTURA ESMALTE SINTÉTICO</t>
  </si>
  <si>
    <t>C0352</t>
  </si>
  <si>
    <t>BALANÇO ANDORINHA C/03 CADEIRAS, CONFECÇÃO EM TUBO VAPOR E PINTURA ESMALTE SINTÉTICO</t>
  </si>
  <si>
    <t>C3611</t>
  </si>
  <si>
    <t>BANCO DE MADEIRA C/ASSENTO FIXADO EM CONCRETO E ENCOSTO FIXADO EM TUBO DE AÇO GALVANIZADO 3" (MÓDULO DE 2,60m)</t>
  </si>
  <si>
    <t>C0360</t>
  </si>
  <si>
    <t>BANCO DE MADEIRA C/ESTRUTURA DE FERRO - L= 3.00m</t>
  </si>
  <si>
    <t>C0361</t>
  </si>
  <si>
    <t>BANCO EM ALVENARIA, TAMPO EM CONCRETO, C/ENCOSTO H=80cm (PINTADO)</t>
  </si>
  <si>
    <t>C3439</t>
  </si>
  <si>
    <t>BANCO EM "U" S/ ENCOSTO E C/ TIJOLO APARENTE</t>
  </si>
  <si>
    <t>C3440</t>
  </si>
  <si>
    <t>BANCO EM "U" S/ ENCOSTO PADRÃO</t>
  </si>
  <si>
    <t>C0462</t>
  </si>
  <si>
    <t>BORBOLETA C/ CONTADOR DE ACESSO</t>
  </si>
  <si>
    <t>C4712</t>
  </si>
  <si>
    <t>CARGA/DESCARGA DE ABRIGO PREMOLDADO (PARADA DE ÔNIBUS), INCLUSIVE ASSENTAMENTO</t>
  </si>
  <si>
    <t>C0926</t>
  </si>
  <si>
    <t>CARROSSEL DE RODA</t>
  </si>
  <si>
    <t>C3642</t>
  </si>
  <si>
    <t>CARROSSEL ESPECIAL C/ 04 CADEIRAS, CONFECÇÃO EM TUBO VAPOR E PINTURA ESMALTE SINTÉTICO</t>
  </si>
  <si>
    <t>C3643</t>
  </si>
  <si>
    <t>CARROSSEL TIPO OLA, CONFECÇÃO EM TUBO VAPOR E PINTURA ESMALTE SINTÉTICO</t>
  </si>
  <si>
    <t>C0864</t>
  </si>
  <si>
    <t>CONJUNTO DE MASTRO P/ TRÊS BANDEIRAS E PEDESTAL</t>
  </si>
  <si>
    <t>C0865</t>
  </si>
  <si>
    <t>CONJUNTO DE TABELAS P/ BASQUETE EM COMPENSADO NAVAL, MODELO OFICIAL, 1,05X1,80M, ESP. 18MM</t>
  </si>
  <si>
    <t>C1349</t>
  </si>
  <si>
    <t>CONJUNTO PARA FUTSAL COM TRAVES OFICIAIS DE 3,00 X 2,00 M EM TUBO DE ACO GALVANIZADO 3" COM REQUADRO EM TUBO DE 1", PINTURA EM PRIMER COM TINTA ESMALTE SINTETICO E REDES</t>
  </si>
  <si>
    <t>C0925</t>
  </si>
  <si>
    <t>CORRIMÃO EM TUBO GALVANIZADO DE 2" (FORNECIMENTO E MONTAGEM)</t>
  </si>
  <si>
    <t>C2995</t>
  </si>
  <si>
    <t>ESCADA HORIZONTAL E VERTICAL, CONFECÇÃO  EM TUBO VAPOR E PINTURA ESMALTE SINTÉTICO</t>
  </si>
  <si>
    <t>C2997</t>
  </si>
  <si>
    <t>ESCORREGADOR GRANDE, CONFECÇÃO EM TUBO VAPOR E PINTURA ESMALTE SINTÉTICO</t>
  </si>
  <si>
    <t>C3645</t>
  </si>
  <si>
    <t>ESCORREGADOR PEQUENO, CONFECÇÃO EM TUBO VAPOR E PINTURA ESMALTE SINTÉTICO</t>
  </si>
  <si>
    <t>C1347</t>
  </si>
  <si>
    <t xml:space="preserve">CONJUNTO PARA BASQUETE COM TABELAS EM COMPENSADO NAVAL, MODELO OFICIAL, 1,05X1,80M, ESP. 18MM, COMPLETO, INCLUSIVE ESTRUTURA EM TUBOS DE AÇO GALVANIZADO DE 4" E DE 1", ACABAMENTO EM MASSA PLÁSTICA, PRIMER E TINTA ESMALTE SINTÉTICO, COM REFORÇO TIPO MÃO FRANCESA, AVANÇO LIVRE DE 2,30M
</t>
  </si>
  <si>
    <t>C1348</t>
  </si>
  <si>
    <t>ESTRUTURA METÁLICA DE TRAVES DE FUTEBOL DE CAMPO OFICIAL, EM TUBOS DE AÇO GALVANIZADO, DIMENSÕES 7,32 X 2,44 X 1,50, COM ACABAMENTO E PINTURA, INCLUSIVE REDE EM FIO 100% NYLON COM PROTEÇÃO UV</t>
  </si>
  <si>
    <t>C1350</t>
  </si>
  <si>
    <t>ESTRUTURA METÁLICA EM RODÍZIOS, COM TABELAS DE BASQUETE EM COMPENSADO NAVAL, MODELO OFICIAL, 1,05X1,80M, ESP. 18MM</t>
  </si>
  <si>
    <t>C1351</t>
  </si>
  <si>
    <t>CONJUNTO PARA QUADRA DE VOLEI OFICIAL COM POSTES EM TUBO DE ACO GALVANIZADO 3", H = *255* CM, PINTURA EM TINTA ESMALTE SINTETICO, REDE DE NYLON COM 2 MM, MALHA 10 X 10 CM E ANTENAS OFICIAIS</t>
  </si>
  <si>
    <t>C3646</t>
  </si>
  <si>
    <t>GAIOLA LABIRINTO, CONFECÇÃO EM TUBO VAPOR E PINTURA ESMALTE SINTÉTICO</t>
  </si>
  <si>
    <t>C3647</t>
  </si>
  <si>
    <t>GANGORRA C/ 02 PRANCHAS, CONFECÇÃO EM TUBO VAPOR E PINTURA ESMALTE SINTÉTICO</t>
  </si>
  <si>
    <t>C3000</t>
  </si>
  <si>
    <t>GANGORRA C/ 03 PRANCHAS, CONFECÇÃO EM TUBO VAPOR E PINTURA ESMALTE SINTÉTICO</t>
  </si>
  <si>
    <t>C3526</t>
  </si>
  <si>
    <t>LIMPEZA MANUAL DE AGUAPÉS EM LAGOAS</t>
  </si>
  <si>
    <t>C3527</t>
  </si>
  <si>
    <t>LIMPEZA MECANIZADA DE AGUAPÉS EM LAGOAS</t>
  </si>
  <si>
    <t>C3451</t>
  </si>
  <si>
    <t>LIXEIRA EM FIBRA DE VIDRO CAP.=40L e DIAM.=35cm</t>
  </si>
  <si>
    <t>C4570</t>
  </si>
  <si>
    <t>TOTEM RODOVIÁRIO - PADRÃO DER</t>
  </si>
  <si>
    <t>C3060</t>
  </si>
  <si>
    <t>TRAVE DE MADEIRA (3X2)m  P/FUTEBOL DE CAMPO</t>
  </si>
  <si>
    <t>PAISAGISMO</t>
  </si>
  <si>
    <t>C0112</t>
  </si>
  <si>
    <t>ARBUSTOS ORNAMENTAIS EM GERAL. C/ ALTURA MÍNIMA DE 50CM</t>
  </si>
  <si>
    <t>C0113</t>
  </si>
  <si>
    <t>ARBUSTOS ORNAMENTAIS EM GERAL INCLUSIVE CONSERVAÇÃO P/ 60 DIAS</t>
  </si>
  <si>
    <t>C3061</t>
  </si>
  <si>
    <t>ÁRVORE C/ TUTOR E ADUBO</t>
  </si>
  <si>
    <t>C3062</t>
  </si>
  <si>
    <t>ÁRVORE C/ TUTOR, GRADE, ADUBO E CAVA</t>
  </si>
  <si>
    <t>C0229</t>
  </si>
  <si>
    <t>ÁRVORES ORNAMENTAIS EM GERAL. C/ ALTURA  MÉDIA DE 2.50M.EXCETO PALMÁCEAS</t>
  </si>
  <si>
    <t>C0230</t>
  </si>
  <si>
    <t>ÁRVORES ORNAMENTAIS EM GERAL.INCLUSIVE CONSERVAÇÃO</t>
  </si>
  <si>
    <t>C1080</t>
  </si>
  <si>
    <t>DESPRAGUEJAMENTO DE ÁREAS GRAMADAS</t>
  </si>
  <si>
    <t>C1253</t>
  </si>
  <si>
    <t>ESCAVAÇÃO, CARGA E TRANSPORTE DE TERRA RETIRADA DE CAVA ABERTA P/ PLANTIO .ATÉ 5KM</t>
  </si>
  <si>
    <t>C3443</t>
  </si>
  <si>
    <t>GRAMA CAPIM DE BURRO / PAPUAN</t>
  </si>
  <si>
    <t>C1429</t>
  </si>
  <si>
    <t>GRAMA EM ÁREAS EXTERNAS, INCLUSIVE MATERIAL</t>
  </si>
  <si>
    <t>C1430</t>
  </si>
  <si>
    <t>GRAMA EM PLACAS E=6 CM FORNECIMENTO E PLANTIO</t>
  </si>
  <si>
    <t>C1431</t>
  </si>
  <si>
    <t>GRAMA EM PLACAS.INCLUSIVE CONSERVAÇÃO</t>
  </si>
  <si>
    <t>C3426</t>
  </si>
  <si>
    <t>GRAMA PARA TALUDE DE LAGOA, CONSERVAÇÃO ATÉ 45 DIAS</t>
  </si>
  <si>
    <t>C4849</t>
  </si>
  <si>
    <t>GRAMA SINTÉTICA ESPORTIVA PARA FUTEBOL EM POLIETILENO, COM ALTURA MINIMA DE 50MM (FORNECIMENTO E COLOCAÇÃO)</t>
  </si>
  <si>
    <t>C1452</t>
  </si>
  <si>
    <t>HERBÁCEAS ORNAMENTAIS EM GERAL</t>
  </si>
  <si>
    <t>C1453</t>
  </si>
  <si>
    <t>HERBÁCEAS ORNAMENTAIS EM GERAL.INCLUSIVE CONSERVAÇÃO P/ 60 DIAS</t>
  </si>
  <si>
    <t>C1454</t>
  </si>
  <si>
    <t>HERBICIDA ESTERILIZANTE DE SOLO</t>
  </si>
  <si>
    <t>C1455</t>
  </si>
  <si>
    <t>C1457</t>
  </si>
  <si>
    <t>HIDROSSEMEADURA DE TERRENOS</t>
  </si>
  <si>
    <t>C1499</t>
  </si>
  <si>
    <t>IRRIGAÇÃO DIÁRIA DE ÁREA PLANTADA</t>
  </si>
  <si>
    <t>C1612</t>
  </si>
  <si>
    <t>LASTRO URBANIZADO C/ SEIXO ROLADO</t>
  </si>
  <si>
    <t>C1788</t>
  </si>
  <si>
    <t>MANUTENÇÃO C/ COBERTURA DE TERRA VEGETAL P/ ÁREAS GRAMADAS</t>
  </si>
  <si>
    <t>C1789</t>
  </si>
  <si>
    <t>MANUTENÇÃO C/ CORTE E REFILAMENTO DE ÁREAS GRAMADAS C/MICROTRATOR</t>
  </si>
  <si>
    <t>C1781</t>
  </si>
  <si>
    <t>MANUTENÇÃO, CORTE E REFILAMENTO DE ÁREAS GRAMADAS C/ 25% DE OBSTÁCULOS</t>
  </si>
  <si>
    <t>C1782</t>
  </si>
  <si>
    <t>MANUTENÇÃO, CORTE E REFILAMENTO DE ÁREAS GRAMADAS C/ROÇADEIRA TRACIONADA</t>
  </si>
  <si>
    <t>C1783</t>
  </si>
  <si>
    <t>MANUTENÇÃO MENSAL DE ÁREA PLANTADA C/ LIMPEZA DIÁRIA</t>
  </si>
  <si>
    <t>C1787</t>
  </si>
  <si>
    <t>MANUTENÇÃO MENSAL DE ÁREAS VERDES - IRRIGAÇÃO</t>
  </si>
  <si>
    <t>C1786</t>
  </si>
  <si>
    <t>MANUTENÇÃO MENSAL DE ÁREAS VERDES - LIMPEZA GERAL E DIÁRIA</t>
  </si>
  <si>
    <t>C1784</t>
  </si>
  <si>
    <t>MANUTENÇÃO MENSAL DE CANTEIROS C/ ATÉ 7.000 M2</t>
  </si>
  <si>
    <t>C1785</t>
  </si>
  <si>
    <t>MANUTENÇÃO MENSAL P/PODA E LIMPEZA DE ARBUSTOS</t>
  </si>
  <si>
    <t>C2035</t>
  </si>
  <si>
    <t>PREPARO E SUBSTITUIÇÃO DE TERRA P/PLANTAÇÃO</t>
  </si>
  <si>
    <t>C2235</t>
  </si>
  <si>
    <t>REVOLVIMENTO MECÂNICO DE TERRA PROFUNDIDADE 20-30cm</t>
  </si>
  <si>
    <t>C2238</t>
  </si>
  <si>
    <t>ROÇADO MANUAL INCLUSIVE RASTELAMENTO P/ HERBÁCEAS</t>
  </si>
  <si>
    <t>C2534</t>
  </si>
  <si>
    <t>TRANSPORTE DE TERRA FÉRTIL.P/PLANTIO DE HERBÁCEAS/ÁRVORES ORNAMENTAIS</t>
  </si>
  <si>
    <t>PROTEÇÃO AMBIENTAL</t>
  </si>
  <si>
    <t>C3259</t>
  </si>
  <si>
    <t>CARGA E TRANSPORTE ATÉ 5KM DE REVESTIMENTO BETUMINOSO DEMOLIDO</t>
  </si>
  <si>
    <t>C3277</t>
  </si>
  <si>
    <t>ESCARIFICAÇÃO DE JAZIDAS/EMPRÉSTIMOS/CAMINHOS DE SERVIÇOS</t>
  </si>
  <si>
    <t>C3279</t>
  </si>
  <si>
    <t>ESCAVAÇÃO COM ESTOCAGEM DE MATERIAL EXPURGADO (TERRA VEGETAL)</t>
  </si>
  <si>
    <t>C3283</t>
  </si>
  <si>
    <t>ESPALHAMENTO DO MATERIAL EXPURGADO (TERRA VEGETAL)</t>
  </si>
  <si>
    <t>C3308</t>
  </si>
  <si>
    <t>RECONFORMAÇÃO DA FAIXA DE DOMÍNIO, EMPRÉSTIMOS, JAZIDAS E TALUDES</t>
  </si>
  <si>
    <t>C3108</t>
  </si>
  <si>
    <t>REVESTIMENTO VEGETAL DE TALUDES (VEGETAÇÃO NÃO INCLUÍDA)</t>
  </si>
  <si>
    <t>MUROS E FECHAMENTOS</t>
  </si>
  <si>
    <t>MUROS</t>
  </si>
  <si>
    <t>C1803</t>
  </si>
  <si>
    <t>MURETA C/TIJOLO MACIÇO, REBOCADA, INCL. FUNDAÇÕES</t>
  </si>
  <si>
    <t>C1804</t>
  </si>
  <si>
    <t>MURO DIVISÓRIO C/BLOCOS DE CONCRETO 14x19x39 CM, H=1.80M, SOBRE SAPATA CORRIDA DE CONCRETO FCK = 13,5 MPa E PILARES DE CONCRETO</t>
  </si>
  <si>
    <t>C1805</t>
  </si>
  <si>
    <t>MURO DIVISÓRIO C/ BLOCOS DE CONCRETO 14x19x39 CM, H=1,80 M, SOBRE SAPATA CORRIDA, C/ PILARETES E CINTA DE AMARRAÇÃO DE CONCRETO C/ PINGADEIRAS</t>
  </si>
  <si>
    <t>C2887</t>
  </si>
  <si>
    <t>MURO EM ALVENARIA C/FUNDAÇÃO, REBOCO 2 FACES, ALTURA ÚTIL 1.80M</t>
  </si>
  <si>
    <t>C1806</t>
  </si>
  <si>
    <t>MURO C/MOURÕES E PLACAS PRÉ-FABRICADAS DE CONCRETO H=2.00M</t>
  </si>
  <si>
    <t>C1807</t>
  </si>
  <si>
    <t>MURO CONTORNO DE ALVENARIA E CONCRETO (PILAR+CINTA) REBOCADO, COM PINTURA</t>
  </si>
  <si>
    <t>C4912</t>
  </si>
  <si>
    <t>MURO CONTORNO DE ALVENARIA E CONCRETO (PILAR+CINTA), REBOCADO, SEM PINTURA</t>
  </si>
  <si>
    <t>C4600</t>
  </si>
  <si>
    <t>MURO DE ALVENARIA COM FUNDAÇÃO, REBOCO 2 FACES, ALT. ÚTIL 1,80m COM CERCA DE PROTEÇÃO EM "V" COM ARAME FARPADO</t>
  </si>
  <si>
    <t>C4859</t>
  </si>
  <si>
    <t>MURO DE ALVENARIA COM FUNDAÇÃO, REBOCO 2 FACES, ALT. ÚTIL 2,50 m COM CERCA DE PROTEÇÃO TIPO CONCERTINA</t>
  </si>
  <si>
    <t>ALAMBRADOS</t>
  </si>
  <si>
    <t>C3736</t>
  </si>
  <si>
    <t>ALAMBRADO C/ TELA DE ALUMÍNIO FIO ESP.=1.5 MM E MALHA DE (4X4)MM</t>
  </si>
  <si>
    <t>C0036</t>
  </si>
  <si>
    <t>ALAMBRADO C/TELA DE ARAME GALVANIZADO.. ALTURA 2M</t>
  </si>
  <si>
    <t>C3436</t>
  </si>
  <si>
    <t>ALAMBRADO C/TELA DE NYLON FIO ESP.=3MM E MALHA DE (5 X 5)CM</t>
  </si>
  <si>
    <t>C3680</t>
  </si>
  <si>
    <t>ALAMBRADO C/ TELA DE PVC FIO 10 MALHA DE 2"X2"</t>
  </si>
  <si>
    <t>C0037</t>
  </si>
  <si>
    <t>ALAMBRADO C/TELA GALVANIZADA SOLDADA ALTURA 2M</t>
  </si>
  <si>
    <t>C0035</t>
  </si>
  <si>
    <t>ALAMBRADO C/ TUBO DE AÇO GALVANIZADO 2", INCLUSIVE PINTURA</t>
  </si>
  <si>
    <t>C5193</t>
  </si>
  <si>
    <t>ALAMBRADO C/ TUBO DE AÇO GALVANIZADO 2 1/2", INCLUSIVE PINTURA</t>
  </si>
  <si>
    <t>C0038</t>
  </si>
  <si>
    <t>ALAMBRADO C/TUBO DE AÇO GALVANIZADO 4", INCLUSIVE PINTURA</t>
  </si>
  <si>
    <t>C0039</t>
  </si>
  <si>
    <t>ALAMBRADO P/QUADRA ESPORTIVA ALTURA 1M</t>
  </si>
  <si>
    <t>C0040</t>
  </si>
  <si>
    <t>ALAMBRADO P/QUADRA ESPORTIVA ALTURA 4M</t>
  </si>
  <si>
    <t>CERCAS</t>
  </si>
  <si>
    <t>C0733</t>
  </si>
  <si>
    <t>CERCA DE ARAME FARPADO 7 FIOS,MURETA C/ ALTURA DE 0,70M - FUNDAÇÃO E REBOCO NAS 2 FACES</t>
  </si>
  <si>
    <t>C0742</t>
  </si>
  <si>
    <t>CERCA DE ARAME FARPADO -  ESTACA PONTA VIRADA, C/11 FIOS</t>
  </si>
  <si>
    <t>C0735</t>
  </si>
  <si>
    <t>CERCA C/ ESTACAS DE CONCRETO ARMADO (2,20 X 0,10 X 0,10M)E MOURÃO DE CONCRETO ARMADO (2,20 X 0,15 X 0,15M) - 4 FIOS DE ARAME FARPADO</t>
  </si>
  <si>
    <t>C0743</t>
  </si>
  <si>
    <t>CERCA C/ ESTACAS DE CONCRETO ARMADO (2,20 X 0,10 X 0,10M) E MOURÃO DE CONCRETO ARMADO (2,20 X 0,15 X 0,15M) - 6 FIOS DE ARAME FARPADO</t>
  </si>
  <si>
    <t>C0736</t>
  </si>
  <si>
    <t>CERCA C/ ESTACAS DE CONCRETO ARMADO (2,20 X 0,10 X 0,10M) E MOURÃO DE CONCRETO ARMADO (2,20 X 0,15 X 0,15M) - 8 FIOS DE ARAME FARPADO</t>
  </si>
  <si>
    <t>C0740</t>
  </si>
  <si>
    <t>CERCA DE MADEIRA C/ ARAME GALVANIZADO</t>
  </si>
  <si>
    <t>C0741</t>
  </si>
  <si>
    <t>CERCA DE MADEIRA C/ TRAVESSAS DE MADEIRA</t>
  </si>
  <si>
    <t>C4858</t>
  </si>
  <si>
    <t>CERCA DE PROTEÇÃO EM "V" COM ARAME FARPADO</t>
  </si>
  <si>
    <t>C4731</t>
  </si>
  <si>
    <t>CERCA COM ESTACAS DE MADEIRA ROLIÇA, D=10CM (DE 7 ATÉ 11CM), DISTANTES A 1,50M E MOURÕES ROLIÇOS, D=12CM (DE 10 ATÉ 15CM), DISTANTES A 50,00M - 4 FIOS DE ARAME FARPADO</t>
  </si>
  <si>
    <t>C4732</t>
  </si>
  <si>
    <t>CERCA COM ESTACAS DE MADEIRA ROLIÇA, D=10CM (DE 7 ATÉ 11CM), DISTANTES A 1,50M E MOURÕES ROLIÇOS, D=12CM (DE 10 ATÉ 15CM), DISTANTES A 50,00M - 6 FIOS DE ARAME FARPADO</t>
  </si>
  <si>
    <t>C4733</t>
  </si>
  <si>
    <t>CERCA COM ESTACAS DE MADEIRA ROLIÇA, D=10CM (DE 7 ATÉ 11CM), DISTANTES A 1,50M E MOURÕES ROLIÇOS, D=12CM (DE 10 ATÉ 15CM), DISTANTES A 50,00M - 8 FIOS DE ARAME FARPADO</t>
  </si>
  <si>
    <t>C4725</t>
  </si>
  <si>
    <t>CERCA/GRADIL NYLOFOR H=2,43M, MALHA 5 X 20CM - FIO 5,00MM, COM FIXADORES DE POLIAMIDA EM POSTE 40 x 60 MM CHUMBADOS EM BASE DE CONCRETO (EXCLUSIVE ESTA), REVESTIDOS EM POLIESTER POR PROCESSO DE PINTURA ELETROSTÁTICA (GRADIL E POSTE), NAS CORES VERDE OU BRANCA - FORNECIMENTO E INSTALAÇÃO</t>
  </si>
  <si>
    <t>C4726</t>
  </si>
  <si>
    <t>CERCA/GRADIL NYLOFOR H=2,03M, MALHA 5 X 20CM - FIO 5,00MM, COM FIXADORES DE POLIAMIDA EM POSTE 40 x 60 MM CHUMBADOS EM BASE DE CONCRETO (EXCLUSIVE ESTA) , REVESTIDOS EM POLIESTER POR PROCESSO DE PINTURA ELETROSTÁTICA (GRADIL E POSTE), NAS CORES VERDE OU BRANCA - FORNECIMENTO E INSTALAÇÃO</t>
  </si>
  <si>
    <t>C4727</t>
  </si>
  <si>
    <t>CERCA/GRADIL NYLOFOR H=1,53M, MALHA 5 X 20CM - FIO 5,00MM, COM FIXADORES DE POLIAMIDA EM POSTE 40 x 60 MM CHUMBADOS EM BASE DE CONCRETO (EXCLUSIVE ESTA) , REVESTIDOS EM POLIESTER POR PROCESSO DE PINTURA ELETROSTÁTICA (GRADIL E POSTE), NAS CORES VERDE OU BRANCA - FORNECIMENTO E INSTALAÇÃO</t>
  </si>
  <si>
    <t>C4852</t>
  </si>
  <si>
    <t>CERCA/GRADIL NYLOFOR H=1,03M, MALHA 5 X 20CM - FIO 5,00MM, COM FIXADORES DE POLIAMIDA EM POSTE 40 x 60 MM CHUMBADOS EM BASE DE CONCRETO (EXCLUSIVE ESTA) , REVESTIDOS EM POLIESTER POR PROCESSO DE PINTURA ELETROSTÁTICA (GRADIL E POSTE), NAS CORES VERDE OU BRANCA - FORNECIMENTO E INSTALAÇÃO</t>
  </si>
  <si>
    <t>C4728</t>
  </si>
  <si>
    <t>CERCA/GRADIL NYLOFOR H=2,43M, MALHA 5 X 20CM - FIO 4,30MM, COM FIXADORES DE POLIAMIDA EM POSTE 40 x 60 MM CHUMBADOS EM BASE DE CONCRETO (EXCLUSIVE ESTA) , REVESTIDOS EM POLIESTER POR PROCESSO DE PINTURA ELETROSTÁTICA (GRADIL E POSTE), NAS CORES VERDE OU BRANCA - FORNECIMENTO E INSTALAÇÃO</t>
  </si>
  <si>
    <t>C4729</t>
  </si>
  <si>
    <t>CERCA/GRADIL NYLOFOR H=2,03M, MALHA 5 X 20CM - FIO 4,30MM, COM FIXADORES DE POLIAMIDA EM POSTE 40 x 60 MM CHUMBADOS EM BASE DE CONCRETO (EXCLUSIVE ESTA) , REVESTIDOS EM POLIESTER POR PROCESSO DE PINTURA ELETROSTÁTICA (GRADIL E POSTE), NAS CORES VERDE OU BRANCA - FORNECIMENTO E INSTALAÇÃO</t>
  </si>
  <si>
    <t>C4730</t>
  </si>
  <si>
    <t>CERCA/GRADIL NYLOFOR H=1,53M, MALHA 5 X 20CM - FIO 4,30MM, COM FIXADORES DE POLIAMIDA EM POSTE 40 x 60 MM CHUMBADOS EM BASE DE CONCRETO (EXCLUSIVE ESTA) , REVESTIDOS EM POLIESTER POR PROCESSO DE PINTURA ELETROSTÁTICA (GRADIL E POSTE), NAS CORES VERDE OU BRANCA - FORNECIMENTO E INSTALAÇÃO</t>
  </si>
  <si>
    <t>C4851</t>
  </si>
  <si>
    <t>CERCA/GRADIL NYLOFOR H=1,03M, MALHA 5 X 20CM - FIO 4,30MM, COM FIXADORES DE POLIAMIDA EM POSTE 40 x 60 MM CHUMBADOS EM BASE DE CONCRETO (EXCLUSIVE ESTA) , REVESTIDOS EM POLIESTER POR PROCESSO DE PINTURA ELETROSTÁTICA (GRADIL E POSTE), NAS CORES VERDE OU BRANCA - FORNECIMENTO E INSTALAÇÃO</t>
  </si>
  <si>
    <t>C4734</t>
  </si>
  <si>
    <t>RECOMPOSIÇÃO PARCIAL DE CERCA - SUBSTITUIÇÃO ESTACA DE MADEIRA ROLIÇA D=10CM (DE 7 ATÉ 11CM)</t>
  </si>
  <si>
    <t>C4735</t>
  </si>
  <si>
    <t>RECOMPOSIÇÃO PARCIAL DE CERCA - SUBSTITUIÇÃO MOURÃO DE MADEIRA ROLIÇA D=12CM (DE 10 ATÉ 15CM)</t>
  </si>
  <si>
    <t>C4736</t>
  </si>
  <si>
    <t>REMOÇÃO E RECOLOCAÇÃO DE CERCA DE MADEIRA - ESTACA D=10CM ( DE 7 ATÉ 11CM), E MOURÃO D=12CM(DE 10 ATÉ 15CM) - 4 FIOS DE ARAME</t>
  </si>
  <si>
    <t>DISPOSITIVOS DE PROTEÇÃO E ACESSO</t>
  </si>
  <si>
    <t>C1251</t>
  </si>
  <si>
    <t>ESCADA DE MARINHEIRO,C/TUBO GALVANIZADO 3/4",H=VAR</t>
  </si>
  <si>
    <t>C2775</t>
  </si>
  <si>
    <t>ESCADA DE MARINHEIRO, DEGRAUS FERRO REDONDO 3/4"</t>
  </si>
  <si>
    <t>C2774</t>
  </si>
  <si>
    <t>ESCADA DE MARINHEIRO, DEGRAUS FERRO REDONDO 1/2"</t>
  </si>
  <si>
    <t>C2773</t>
  </si>
  <si>
    <t>ESCADA DE MARINHEIRO, DEGRAUS FERRO REDONDO 1"</t>
  </si>
  <si>
    <t>C5206</t>
  </si>
  <si>
    <t>ESCADA DE MARINHEIRO EM AÇO INOX 304 COM PROTEÇÃO</t>
  </si>
  <si>
    <t>C5205</t>
  </si>
  <si>
    <t>ESCADA DE MARINHEIRO EM AÇO INOX 304 SEM PROTEÇÃO</t>
  </si>
  <si>
    <t>C5204</t>
  </si>
  <si>
    <t>ESCADA DE MARINHEIRO EM AÇO INOX 316L COM PROTEÇÃO</t>
  </si>
  <si>
    <t>C5203</t>
  </si>
  <si>
    <t>ESCADA DE MARINHEIRO EM AÇO INOX 316L SEM PROTEÇÃO</t>
  </si>
  <si>
    <t>C2768</t>
  </si>
  <si>
    <t>ESCADA DE MARINHEIRO EM FERRO CHATO C/PROTEÇÃO</t>
  </si>
  <si>
    <t>C2769</t>
  </si>
  <si>
    <t>ESCADA DE MARINHEIRO EM FERRO CHATO S/PROTEÇÃO</t>
  </si>
  <si>
    <t>C2776</t>
  </si>
  <si>
    <t>ESCADA DE MARINHEIRO EM FERRO REDONDO 1"</t>
  </si>
  <si>
    <t>C4748</t>
  </si>
  <si>
    <t>ESCADA DE MARINHEIRO EM FIBRA DE VIDRO PULTRUDADA, PERFIL QUADRADO, PINTURA PROTETORA CONTRA RAIOS UV, COM GUARDA CORPO</t>
  </si>
  <si>
    <t>C4749</t>
  </si>
  <si>
    <t>ESCADA DE MARINHEIRO EM FIBRA DE VIDRO PULTRUDADA, PERFIL QUADRADO, PINTURA PROTETORA CONTRA RAIOS UV, SEM GUARDA CORPO</t>
  </si>
  <si>
    <t>C2770</t>
  </si>
  <si>
    <t>ESCADA DE MARINHEIRO TIPO PISCINA EM FERRO CHATO</t>
  </si>
  <si>
    <t>C2772</t>
  </si>
  <si>
    <t>ESCADA DE MARINHEIRO TIPO PISCINA, FERRO REDONDO 1"</t>
  </si>
  <si>
    <t>C2771</t>
  </si>
  <si>
    <t xml:space="preserve">ESCADA DE MARINHEIRO TIPO PISCINA, TUBO GALVANIZADO 1" </t>
  </si>
  <si>
    <t>C1252</t>
  </si>
  <si>
    <t>ESCADA HELICOIDAL,PRÉ-MOLDADA CONCRETO,D=1,0M</t>
  </si>
  <si>
    <t>C4383</t>
  </si>
  <si>
    <t>ESCADA PRÉ-MOLDADA EM CONCRETO Ø = 1,80m - h = 3,50m - FORNECIMENTO / MONTAGEM</t>
  </si>
  <si>
    <t>C2814</t>
  </si>
  <si>
    <t>ESTRADO DE MADEIRA COM BARROTE 3x3"</t>
  </si>
  <si>
    <t>C4386</t>
  </si>
  <si>
    <t>ESTRUTURA PRÉ-FABRICADA EM AÇO GALVANIZADO PARA ESCADA - FORNECIMENTO E MONTAGEM</t>
  </si>
  <si>
    <t>C3505</t>
  </si>
  <si>
    <t>GUARDA CORPO C/ CORRIMÃO EM TUBO DE AÇO GALVANIZADO 3/4"</t>
  </si>
  <si>
    <t>C3506</t>
  </si>
  <si>
    <t>GUARDA CORPO C/ CORRIMÃO EM TUBO DE AÇO GALVANIZADO 2"</t>
  </si>
  <si>
    <t>C4755</t>
  </si>
  <si>
    <t xml:space="preserve">GUARDA CORPO C/ CORRIMÃO EM TUBO SUPERIOR DE AÇO GALVANIZADO 3" 80MM                                 
</t>
  </si>
  <si>
    <t>C4747</t>
  </si>
  <si>
    <t>GUARDA CORPO EM FIBRA DE VIDRO C/ PERFIS PULTRUDADOS PINTADOS EM ESMALTE PU ACRÍLICO E SISTEMA DE ANCORAGEM EM AÇO INOXIDÁVEL AISI304 - H=1,10M</t>
  </si>
  <si>
    <t>C4829</t>
  </si>
  <si>
    <t>GUARDA CORPO TIPO GRADIL EM TUBO DE AÇO GALVANIZADO, H = 1,10m, COM BARRAS VERTICAIS A CADA 0,11m DE 1" (25,4mm) E BARRA VERTICAL A CADA M DE 11/2" (38mm), UM TUBO HORIZONTAL SUPERIOR DE 3" (80mm) E UM TUBO HORIZONTAL INFERIOR DE 11/2" (38mm)</t>
  </si>
  <si>
    <t>C2972</t>
  </si>
  <si>
    <t>TAMPA CHAPA 1/4" ANTI-DERRAPANTE 50x70cm,C/ CANTONEIRA ARTICULADA</t>
  </si>
  <si>
    <t>C2970</t>
  </si>
  <si>
    <t>TAMPA CHAPA 1/4" ANTI-DERRAPANTE 70x70CM,C/ CANTONEIRA ARTICULADA</t>
  </si>
  <si>
    <t>C2969</t>
  </si>
  <si>
    <t>TAMPA CHAPA 1/4" ANTI-DERRAPANTE 70x130CM, C/CANTONEIRA ARTICULADA</t>
  </si>
  <si>
    <t>C2971</t>
  </si>
  <si>
    <t>TAMPA CHAPA 1/4"ANTI DERRAPANTE 80x150CM,C/ CANTONEIRA ARTICULADA</t>
  </si>
  <si>
    <t>C2974</t>
  </si>
  <si>
    <t>TAMPA DE INSPEÇÃO CORREDIÇA EM CHAPA DE AÇO  GALVANIZADA E=1/16", 125 X 70CM -  PADRÃO CAGECE</t>
  </si>
  <si>
    <t>C2973</t>
  </si>
  <si>
    <t>TAMPA DE INSPEÇÃO EM CHAPA DE AÇO GALVANIZADO E=3/16" P/ RESERVATÓRIO, PADRÃO CAGECE</t>
  </si>
  <si>
    <t>C2975</t>
  </si>
  <si>
    <t>TAMPA DE INSPEÇÃO REMOVÍVEL EM CHAPA DE AÇO GALVANIZADO E=1/16", 70 X 70CM - PADRÃO  CAGECE</t>
  </si>
  <si>
    <t>C2976</t>
  </si>
  <si>
    <t>TAMPA DE INSPEÇÃO REMOVÍVEL EM CHAPA DE AÇO GALVANIZADO E=1/16", 90 X 70CM PADRÃO CAGECE</t>
  </si>
  <si>
    <t>C4751</t>
  </si>
  <si>
    <t>TAMPA EM FIBRA DE VIDRO, PERFIS PULTRUDADOS ("I" DE 18MM X 25MM) E COBERTURA SUPERFICIAL DE CHAPA PLANA ESP. 3MM, C/ ANTI-DERRAPANTE</t>
  </si>
  <si>
    <t>C4750</t>
  </si>
  <si>
    <t>TAMPA EM FIBRA DE VIDRO, PERFIS PULTRUDADOS ("I" DE 18MM X 25MM) E COBERTURA SUPERFICIAL DE CHAPA PLANA ESP. 4MM, C/ ANTI-DERRAPANTE</t>
  </si>
  <si>
    <t>C1275</t>
  </si>
  <si>
    <t>ESFERA PRÉ-MOLDADA DE CONCRETO, DIAMETRO 25 CM</t>
  </si>
  <si>
    <t>C1276</t>
  </si>
  <si>
    <t>ESFERA PRÉ-MOLDADA DE CONCRETO, DIAMETRO 40 CM</t>
  </si>
  <si>
    <t>C4860</t>
  </si>
  <si>
    <t>FORNECIMENTO E COLOCAÇÃO DE CONCERTINAS EM ESPIRAL D=450mm</t>
  </si>
  <si>
    <t>C1423</t>
  </si>
  <si>
    <t>GARRA METÁLICA (PEGA LADRÃO) P/ MUROS</t>
  </si>
  <si>
    <t>C1830</t>
  </si>
  <si>
    <t>OURIÇO P/ ALAMBRADO DE PRESÍDIO</t>
  </si>
  <si>
    <t>C1829</t>
  </si>
  <si>
    <t>OURIÇO P/ MURALHA DE PRESÍDIO</t>
  </si>
  <si>
    <t>SISTEMA DE AR CONDICIONADO</t>
  </si>
  <si>
    <t>EM EDIFICAÇÕES</t>
  </si>
  <si>
    <t>C3866</t>
  </si>
  <si>
    <t>APARELHO DE JANELA CAP. 7.500 BTU (FORNECIMENTO E MONTAGEM)</t>
  </si>
  <si>
    <t>C3867</t>
  </si>
  <si>
    <t>APARELHO DE JANELA CAP. 10.000 BTU (FORNECIMENTO E MONTAGEM)</t>
  </si>
  <si>
    <t>C3868</t>
  </si>
  <si>
    <t>APARELHO DE JANELA CAP. 12.000 BTU (FORNECIMENTO E MONTAGEM)</t>
  </si>
  <si>
    <t>C3870</t>
  </si>
  <si>
    <t>APARELHO DE JANELA CAP. 18.000 BTU (FORNECIMENTO E MONTAGEM)</t>
  </si>
  <si>
    <t>C3871</t>
  </si>
  <si>
    <t>APARELHO DE JANELA CAP. 21.000 BTU (FORNECIMENTO E MONTAGEM)</t>
  </si>
  <si>
    <t>C3872</t>
  </si>
  <si>
    <t>APARELHO DE JANELA CAP. 30.000 BTU (FORNECIMENTO E MONTAGEM)</t>
  </si>
  <si>
    <t>C4121</t>
  </si>
  <si>
    <t>DIFUSOR LINEAR DE INSUFLAMENTO, EM ALUMÍNIO, COM REGISTROS ETC.</t>
  </si>
  <si>
    <t>C3873</t>
  </si>
  <si>
    <t>GRELHA DE INSUFLAMENTO/RETORNO, EM ALUMÍNIO ATÉ 0,25 M2 (FORNECIMENTO E MONTAGEM)</t>
  </si>
  <si>
    <t>C3874</t>
  </si>
  <si>
    <t>GRELHA DE INSUFLAMENTO/RETORNO, EM ALUMÍNIO DE 0,26 M2 À 0,49 M2 (FORNECIMENTO E MONTAGEM)</t>
  </si>
  <si>
    <t>C3875</t>
  </si>
  <si>
    <t>GRELHA DE INSUFLAMENTO/RETORNO, EM ALUMÍNIO DE 0,50 M2 À 0,64 M2 (FORNECIMENTO E MONTAGEM)</t>
  </si>
  <si>
    <t>C3876</t>
  </si>
  <si>
    <t>GRELHA DE INSUFLAMENTO/RETORNO, EM ALUMÍNIO DE 0,65 M2 À 0,81M2 (FORNECIMENTO E MONTAGEM)</t>
  </si>
  <si>
    <t>C3877</t>
  </si>
  <si>
    <t>GRELHA DE INSUFLAMENTO/RETORNO, EM ALUMÍNIO DE 0,82 M2 À 1,00 M2 (FORNECIMENTO E MONTAGEM)</t>
  </si>
  <si>
    <t>C4123</t>
  </si>
  <si>
    <t>REDE DE INSUFLAMENTO/RETORNO C/ DUTOS EM CHAPA GALVANIZADA, DEFLETORES, CHAVEAMENTOS, FIXAÇÕES, ISOLAMENTO TÉRMICO EM CHAPAS DE ISOPOR AUTO-EXTINGUÍVEL, DUTOS FLEXÍVEIS DE LIGAÇÃO ETC.</t>
  </si>
  <si>
    <t>C4119</t>
  </si>
  <si>
    <t>REDE DE INSUFLAMENTO/RETORNO, C/ DUTOS EM CHAPA GALVANIZADA, DEFLETORES, CHAVEAMENTOS, FIXAÇÕES, ISOLAMENTO TÉRMICO EM MANTAS DE LÃ DE ROCHA OU VIDRO, DUTOS FLEXÍVEIS DE LIGAÇÃO ETC.</t>
  </si>
  <si>
    <t>C3734</t>
  </si>
  <si>
    <t>REMANEJAMENTO DE CONDENSADORES DE MINICENTRAIS DE AR CONDICIONADO, INCLUSIVE PONTO DE FORÇA E RECARGA DE GAS</t>
  </si>
  <si>
    <t>C3878</t>
  </si>
  <si>
    <t>REMANEJAMENTO DE GRELHA DE INSUFLAMENTO/RETORNO, ATÉ 0,25 M2</t>
  </si>
  <si>
    <t>C3879</t>
  </si>
  <si>
    <t>REMANEJAMENTO DE GRELHA DE INSUFLAMENTO/RETORNO, DE 0,26 M2 À 0,49 M2</t>
  </si>
  <si>
    <t>C3880</t>
  </si>
  <si>
    <t>REMANEJAMENTO DE GRELHA DE INSUFLAMENTO/RETORNO, DE 0,50 M2 À 0,64 M2</t>
  </si>
  <si>
    <t>C3881</t>
  </si>
  <si>
    <t>REMANEJAMENTO DE GRELHA DE INSUFLAMENTO/RETORNO, DE 0,65 M2 À 0,81 M2</t>
  </si>
  <si>
    <t>C3882</t>
  </si>
  <si>
    <t>REMANEJAMENTO DE GRELHA DE INSUFLAMENTO/RETORNO, DE 0,82 M2 À 1,00 M2</t>
  </si>
  <si>
    <t>C2269</t>
  </si>
  <si>
    <t>SERVIÇO DE HIGIENIZAÇÃO E TRATAMENTO DE SISTEMA DE AR-CONDICIONADO</t>
  </si>
  <si>
    <t>C3860</t>
  </si>
  <si>
    <t>SPLIT SYSTEM COMPLETO C/ CONTROLE REMOTO - CAP. 1,00 TR (FORNECIMENTO E MONTAGEM)</t>
  </si>
  <si>
    <t>C3861</t>
  </si>
  <si>
    <t>SPLIT SYSTEM COMPLETO C/ CONTROLE REMOTO - CAP. 1,50 TR (FORNECIMENTO E MONTAGEM)</t>
  </si>
  <si>
    <t>C3862</t>
  </si>
  <si>
    <t>SPLIT SYSTEM COMPLETO C/ CONTROLE REMOTO - CAP. 2,00 TR (FORNECIMENTO E MONTAGEM)</t>
  </si>
  <si>
    <t>C3863</t>
  </si>
  <si>
    <t>SPLIT SYSTEM COMPLETO C/ CONTROLE REMOTO - CAP. 2,50 TR (FORNECIMENTO E MONTAGEM)</t>
  </si>
  <si>
    <t>C3864</t>
  </si>
  <si>
    <t>SPLIT SYSTEM COMPLETO C/ CONTROLE REMOTO - CAP. 3,00 TR (FORNECIMENTO E MONTAGEM)</t>
  </si>
  <si>
    <t>C3865</t>
  </si>
  <si>
    <t>SPLIT SYSTEM COMPLETO C/ CONTROLE REMOTO - CAP. 4,00 TR (FORNECIMENTO E MONTAGEM)</t>
  </si>
  <si>
    <t>REDE FRIGORÍGENA</t>
  </si>
  <si>
    <t>C4776</t>
  </si>
  <si>
    <t>REDE FRIGORÍGENA C/ TUBO DE COBRE 1/4" FLEXÍVEL, ISOLADO COM BORRACHA ELASTOMÉRICA, SUSTENTAÇÃO, SOLDA E LIMPEZA</t>
  </si>
  <si>
    <t>C4777</t>
  </si>
  <si>
    <t xml:space="preserve">REDE FRIGORÍGENA C/ TUBO DE COBRE 3/8" FLEXÍVEL, ISOLADO COM BORRACHA ELASTOMÉRICA, SUSTENTAÇÃO, SOLDA E LIMPEZA </t>
  </si>
  <si>
    <t>C4778</t>
  </si>
  <si>
    <t>REDE FRIGORÍGENA C/ TUBO DE COBRE 1/2" FLEXÍVEL, ISOLADO COM BORRACHA ELASTOMÉRICA, SUSTENTAÇÃO, SOLDA E LIMPEZA</t>
  </si>
  <si>
    <t>C4779</t>
  </si>
  <si>
    <t>REDE FRIGORÍGENA C/ TUBO DE COBRE 5/8" FLEXÍVEL, ISOLADO COM BORRACHA ELASTOMÉRICA, SUSTENTAÇÃO, SOLDA E LIMPEZA</t>
  </si>
  <si>
    <t>C4780</t>
  </si>
  <si>
    <t>REDE FRIGORÍGENA C/ TUBO DE COBRE 3/4" FLEXÍVEL, ISOLADO COM BORRACHA ELASTOMÉRICA, SUSTENTAÇÃO, SOLDA E LIMPEZA</t>
  </si>
  <si>
    <t>C4781</t>
  </si>
  <si>
    <t>REDE FRIGORÍGENA C/ TUBO DE COBRE 7/8" FLEXÍVEL, ISOLADO COM BORRACHA ELASTOMÉRICA, SUSTENTAÇÃO, SOLDA E LIMPEZA</t>
  </si>
  <si>
    <t>C4784</t>
  </si>
  <si>
    <t>REDE FRIGORÍGENA C/ TUBO DE COBRE 1", ISOLADO COM BORRACHA ELASTOMÉRICA, SUSTENTAÇÃO, SOLDA E LIMPEZA</t>
  </si>
  <si>
    <t>C4785</t>
  </si>
  <si>
    <t>REDE FRIGORÍGENA C/ TUBO DE COBRE 1 1/8", ISOLADO COM BORRACHA ELASTOMÉRICA, SUSTENTAÇÃO, SOLDA E LIMPEZA</t>
  </si>
  <si>
    <t>C4786</t>
  </si>
  <si>
    <t>REDE FRIGORÍGENA C/ TUBO DE COBRE 1 1/4", ISOLADO COM BORRACHA ELASTOMÉRICA, SUSTENTAÇÃO, SOLDA E LIMPEZA</t>
  </si>
  <si>
    <t>C4787</t>
  </si>
  <si>
    <t>REDE FRIGORÍGENA C/ TUBO DE COBRE 1 3/8", ISOLADO COM BORRACHA ELASTOMÉRICA, SUSTENTAÇÃO, SOLDA E LIMPEZA</t>
  </si>
  <si>
    <t>C4788</t>
  </si>
  <si>
    <t>REDE FRIGORÍGENA C/ TUBO DE COBRE 1 1/2", ISOLADO COM BORRACHA ELASTOMÉRICA, SUSTENTAÇÃO, SOLDA E LIMPEZA</t>
  </si>
  <si>
    <t>C4789</t>
  </si>
  <si>
    <t>REDE FRIGORÍGENA C/ TUBO DE COBRE 1 5/8", ISOLADO COM BORRACHA ELASTOMÉRICA, SUSTENTAÇÃO, SOLDA E LIMPEZA</t>
  </si>
  <si>
    <t>REDE DE DISTRIBUIÇÃO DE GÁS NATURAL</t>
  </si>
  <si>
    <t>REDE DE GÁS NATURAL EM PEAD</t>
  </si>
  <si>
    <t>C5056</t>
  </si>
  <si>
    <t>ASSENTAMENTO COM DEMOLIÇÕES, ESCAVAÇÃO, LIMPEZA, SOLDAGEM DE CONEXÕES E VÁLVULAS COM ACESSÓRIOS, INTERLIGAÇÃO EM REDE NÃO GASEIFICADA, REATERRO, INSTALAÇÃO DE TACHA DE SINALIZAÇÃO, RECOMPOSIÇÕES COM EXCEÇÃO DE ASFALTO E/OU CERÂMICA EM RAMAL DE LIGAÇÃO DE POLIETILENO DE ALTA DENSIDADE (PEAD), JUNTA SOLDADA POR ELETROFUSÃO, DIÂMETRO DE 20MM ATÉ 63MM UTILIZANDO MD DE ATÉ 15 METROS DE COMPRIMENTO</t>
  </si>
  <si>
    <t>C5055</t>
  </si>
  <si>
    <t>ASSENTAMENTO COM DEMOLIÇÕES, ESCAVAÇÃO, LIMPEZA, SOLDAGEM DE CONEXÕES E VÁLVULAS COM ACESSÓRIOS, TESTE PNEUMÁTICO COM LAUDO E COMISSIONAMENTO, INERTIZAÇÃO, INTERLIGAÇÃO EM REDE GASEIFICADA COM REALIZAÇÃO DE FURO EM CARGA, REATERRO, INSTALAÇÃO DE TACHA DE SINALIZAÇÃO, RECOMPOSIÇÕES COM EXCEÇÃO DE ASFALTO E/OU CERÂMICA EM RAMAL DE LIGAÇÃO DE POLIETILENO DE ALTA DENSIDADE (PEAD), JUNTA SOLDADA POR ELETROFUSÃO, DIÂMETRO DE 20MM ATÉ 63MM UTILIZANDO MD DE ATÉ 15 METROS DE COMPRIMENTO</t>
  </si>
  <si>
    <t>C5054</t>
  </si>
  <si>
    <t>ASSENTAMENTO COM DEMOLIÇÕES, ESCAVAÇÃO, LIMPEZA, SOLDAGEM DE CONEXÕES E VÁLVULAS COM ACESSÓRIOS, INTERLIGAÇÃO EM REDE NÃO GASEIFICADA, REATERRO, INSTALAÇÃO DE TACHA DE SINALIZAÇÃO, RECOMPOSIÇÕES COM EXCEÇÃO DE ASFALTO E/OU CERÂMICA EM RAMAL DE LIGAÇÃO DE POLIETILENO DE ALTA DENSIDADE (PEAD), JUNTA SOLDADA POR ELETROFUSÃO, DIÂMETRO DE 20MM ATÉ 63MM UTILIZANDO MD E MND COM PERFURATRIZ PNEUMÁTICA TIPO MOLE DE ATÉ 20 METROS DE COMPRIMENTO</t>
  </si>
  <si>
    <t>C5053</t>
  </si>
  <si>
    <t>ASSENTAMENTO COM DEMOLIÇÕES, ESCAVAÇÃO, LIMPEZA, SOLDAGEM DE CONEXÕES E VÁLVULAS COM ACESSÓRIOS, TESTE PNEUMÁTICO COM LAUDO E COMISSIONAMENTO, INERTIZAÇÃO, INTERLIGAÇÃO EM REDE GASEIFICADA COM REALIZAÇÃO DE FURO EM CARGA, REATERRO, INSTALAÇÃO DE TACHA DE SINALIZAÇÃO, RECOMPOSIÇÕES COM EXCEÇÃO DE ASFALTO E/OU CERÂMICA EM RAMAL DE LIGAÇÃO DE POLIETILENO DE ALTA DENSIDADE (PEAD), JUNTA SOLDADA POR ELETROFUSÃO, DIÂMETRO DE 20MM ATÉ 63MM UTILIZANDO MD E MND COM PERFURATRIZ PNEUMÁTICA TIPO MOLE DE ATÉ 20 METROS DE COMPRIMENTO</t>
  </si>
  <si>
    <t>C5058</t>
  </si>
  <si>
    <t>ASSENTAMENTO COMPLEMENTAR COM DEMOLIÇÕES, ESCAVAÇÃO, LIMPEZA, SOLDAGEM DE CONEXÕES E VÁLVULAS COM ACESSÓRIOS, TESTE PNEUMÁTICO COM LAUDO E COMISSIONAMENTO, INERTIZAÇÃO, INTERLIGAÇÃO EM REDE GASEIFICADA COM REALIZAÇÃO DE FURO EM CARGA, REATERRO, INSTALAÇÃO DE TACHA DE SINALIZAÇÃO, RECOMPOSIÇÕES COM EXCEÇÃO DE ASFALTO E/OU CERÂMICA EM RAMAL DE LIGAÇÃO DE POLIETILENO DE ALTA DENSIDADE (PEAD), JUNTA SOLDADA POR ELETROFUSÃO, DIÂMETRO DE 20MM ATÉ 63MM UTILIZANDO MD</t>
  </si>
  <si>
    <t>C5057</t>
  </si>
  <si>
    <t>ASSENTAMENTO COMPLEMENTAR COM DEMOLIÇÕES, ESCAVAÇÃO, LIMPEZA, SOLDAGEM DE CONEXÕES E VÁLVULAS COM ACESSÓRIOS, TESTE PNEUMÁTICO COM LAUDO E COMISSIONAMENTO, INERTIZAÇÃO, INTERLIGAÇÃO EM REDE GASEIFICADA COM REALIZAÇÃO DE FURO EM CARGA, REATERRO, INSTALAÇÃO DE TACHA DE SINALIZAÇÃO, RECOMPOSIÇÕES COM EXCEÇÃO DE ASFALTO E/OU CERÂMICA EM RAMAL DE LIGAÇÃO DE POLIETILENO DE ALTA DENSIDADE (PEAD), JUNTA SOLDADA POR ELETROFUSÃO, DIÂMETRO DE 20MM ATÉ 63MM UTILIZANDO MD E MND COM PERFURATRIZ PNEUMÁTICA TIPO MOLE</t>
  </si>
  <si>
    <t>C5060</t>
  </si>
  <si>
    <t>ASSENTAMENTO COMPLEMENTAR COM DEMOLIÇÕES, ESCAVAÇÃO, LIMPEZA, SOLDAGEM DE CONEXÕES E VÁLVULAS COM ACESSÓRIOS, INTERLIGAÇÃO EM REDE NÃO GASEIFICADA, REATERRO, INSTALAÇÃO DE TACHA DE SINALIZAÇÃO, RECOMPOSIÇÕES COM EXCEÇÃO DE ASFALTO E/OU CERÂMICA EM RAMAL DE LIGAÇÃO DE POLIETILENO DE ALTA DENSIDADE (PEAD), JUNTA SOLDADA POR ELETROFUSÃO, DIÂMETRO DE 20MM ATÉ 63MM UTILIZANDO MD</t>
  </si>
  <si>
    <t>C5059</t>
  </si>
  <si>
    <t>ASSENTAMENTO COMPLEMENTAR COM DEMOLIÇÕES, ESCAVAÇÃO, LIMPEZA, SOLDAGEM DE CONEXÕES E VÁLVULAS COM ACESSÓRIOS, INTERLIGAÇÃO EM REDE NÃO GASEIFICADA, REATERRO, INSTALAÇÃO DE TACHA DE SINALIZAÇÃO, RECOMPOSIÇÕES COM EXCEÇÃO DE ASFALTO E/OU CERÂMICA EM RAMAL DE LIGAÇÃO DE POLIETILENO DE ALTA DENSIDADE (PEAD), JUNTA SOLDADA POR ELETROFUSÃO, DIÂMETRO DE 20MM ATÉ 63MM UTILIZANDO MD E MND COM PERFURATRIZ PNEUMÁTICA TIPO MOLE</t>
  </si>
  <si>
    <t>C5061</t>
  </si>
  <si>
    <t>ASSENTAMENTO EM VALA DE REDE DE GASODUTO DE POLIETILENO DE ALTA DENSIDADE (PEAD) COM CONEXÕES, VÁLVULAS E ACESSÓRIOS COM JUNTA SOLDADA POR ELETROFUSÃO, DIAMETRO 32 MM</t>
  </si>
  <si>
    <t>C5062</t>
  </si>
  <si>
    <t>ASSENTAMENTO EM VALA DE REDE DE GASODUTO DE POLIETILENO DE ALTA DENSIDADE (PEAD) COM CONEXÕES, VÁLVULAS E ACESSÓRIOS COM JUNTA SOLDADA POR ELETROFUSÃO, DIAMETRO 63 MM</t>
  </si>
  <si>
    <t>C5063</t>
  </si>
  <si>
    <t xml:space="preserve">ASSENTAMENTO EM VALA DE REDE DE GASODUTO DE POLIETILENO DE ALTA DENSIDADE (PEAD) COM CONEXÕES, VÁLVULAS E ACESSÓRIOS COM JUNTA SOLDADA POR ELETROFUSÃO, DIÂMETRO 90 MM 
</t>
  </si>
  <si>
    <t>C5064</t>
  </si>
  <si>
    <t>ASSENTAMENTO EM VALA DE REDE DE GASODUTO DE POLIETILENO DE ALTA DENSIDADE (PEAD) COM CONEXÕES, VÁLVULAS E ACESSÓRIOS COM JUNTA SOLDADA POR ELETROFUSÃO, DIAMETRO 110 MM</t>
  </si>
  <si>
    <t>C5065</t>
  </si>
  <si>
    <t>FURO DIRECIONAL E PUXE PARA DUTO EM PEAD DN 20MM ATÉ 63MM - MÉTODO NÃO DESTRUTIVO (MND)</t>
  </si>
  <si>
    <t>C5068</t>
  </si>
  <si>
    <t>FURO DIRECIONAL E PUXE PARA DUTO EM PEAD DN 90 MM - MÉTODO NÃO DESTRUTIVO (MND)</t>
  </si>
  <si>
    <t>C5070</t>
  </si>
  <si>
    <t>FURO DIRECIONAL E PUXE PARA DUTO EM PEAD DN 110 MM - MÉTODO NÃO DESTRUTIVO (MND)</t>
  </si>
  <si>
    <t>C5066</t>
  </si>
  <si>
    <t>INSTALAÇÃO DE CONEXÕES, VÁLVULAS, ACESSÓRIOS E NIPLES COM ABERTURA E FECHAMENTO DE TIE-IN COM DISTÂNCIA DE ATÉ 2 METROS ENTRE PEÇAS E ACABAMENTO AO NÍVEL DO PISO PRONTO PARA REDE DE PEAD DN 32 MM, EM REDE DE GASODUTO, QUANDO UTILIZADO O LANÇAMENTO PELO METÓDO NÃO DESTRUTIVO (MND) - FURO DIRECIONAL</t>
  </si>
  <si>
    <t>C5067</t>
  </si>
  <si>
    <t>INSTALAÇÃO DE CONEXÕES, VÁLVULAS, ACESSÓRIOS E NIPLES COM ABERTURA E FECHAMENTO DE TIE-IN COM DISTÂNCIA DE ATÉ 2 METROS ENTRE PEÇAS E ACABAMENTO AO NÍVEL DO PISO PRONTO PARA REDE DE PEAD DN 63 MM, EM REDE DE GASODUTO, QUANDO UTILIZADO O LANÇAMENTO PELO METÓDO NÃO DESTRUTIVO (MND)</t>
  </si>
  <si>
    <t>C5069</t>
  </si>
  <si>
    <t>INSTALAÇÃO DE CONEXÕES, VÁLVULAS, ACESSÓRIOS E NIPLES COM ABERTURA E FECHAMENTO DE TIE-IN COM DISTÂNCIA DE ATÉ 2 METROS ENTRE PEÇAS E ACABAMENTO AO NÍVEL DO PISO PRONTO PARA REDE DE PEAD DN 90MM, EM REDE DE GASODUTO, QUANDO UTILIZADO O LANÇAMENTO PELO MÉTODO NÃO DESTRUTIVO (MND)</t>
  </si>
  <si>
    <t>C5071</t>
  </si>
  <si>
    <t>INSTALAÇÃO DE CONEXÕES, VÁLVULAS, ACESSÓRIOS E NIPLES COM ABERTURA E FECHAMENTO DE TIE-IN COM DISTÂNCIA DE ATÉ 2 METROS ENTRE PEÇAS E ACABAMENTO AO NÍVEL DO PISO PRONTO PARA REDE DE PEAD DN 110 MM, EM REDE DE GASODUTO, QUANDO UTILIZADO O LANÇAMENTO PELO MÉTODO NÃO DESTRUTIVO (MND)</t>
  </si>
  <si>
    <t>C5072</t>
  </si>
  <si>
    <t>SERVIÇO DE PINÇAMENTOS PARA REDE DE DISTRIBUIÇÃO DE GÁS NATURAL EM PEAD DE DN 20MM ATÉ 63MM</t>
  </si>
  <si>
    <t>C5128</t>
  </si>
  <si>
    <t>SERVIÇO DE PINÇAMENTOS PARA REDE DE DISTRIBUIÇÃO DE GÁS NATURAL EM PEAD DE DN 90MM ATÉ 200MM</t>
  </si>
  <si>
    <t>REDE DE GÁS NATURAL EM AÇO CARBONO</t>
  </si>
  <si>
    <t>C5073</t>
  </si>
  <si>
    <t>CARGA, TRANSPORTE, DESCARGA, DESFILE, SOLDA INCLUSIVE DE CONEXÕES, INSPEÇÃO VISUAL COM ACOMPANHAMENTO DE INSPETOR DE SOLDA, DESCIDA DA COLUNA NA VALA DE DUTOS EM AÇO CARBONO, DN 1", SCH 40, API 5L PARA RAMAIS DE DISTRIBUIÇÃO DE GÁS NATURAL</t>
  </si>
  <si>
    <t>C5074</t>
  </si>
  <si>
    <t>CARGA, TRANSPORTE, DESCARGA, DESFILE, SOLDA INCLUSIVE NOS TIE-IN E CONEXÕES, INSPEÇÃO VISUAL COM ACOMPANHAMENTO DE INSPETOR DE SOLDA, DESCIDA DA COLUNA NA VALA OU COLOCAÇÃO NOS ROLETES DO FURO DIRECIONAL DE DUTOS EM AÇO CARBONO DN 2", SCH 40, API 5L PARA RAMAIS DE DISTRIBUIÇÃO DE GÁS NATURAL</t>
  </si>
  <si>
    <t>C5077</t>
  </si>
  <si>
    <t>CARGA, TRANSPORTE, DESCARGA, DESFILE, SOLDA INCLUSIVE NOS TIE-IN E CONEXÕES, INSPEÇÃO VISUAL COM ACOMPANHAMENTO DE INSPETOR DE SOLDA, DESCIDA DA COLUNA NA VALA OU COLOCAÇÃO NOS ROLETES DO FURO DIRECIONAL DE DUTOS EM AÇO CARBONO DN 3", SCH 40, API 5L PARA RAMAIS DE DISTRIBUIÇÃO DE GÁS NATURAL</t>
  </si>
  <si>
    <t>C5080</t>
  </si>
  <si>
    <t>CARGA, TRANSPORTE, DESCARGA, DESFILE, SOLDA INCLUSIVE NOS TIE-IN E CONEXÕES, INSPEÇÃO VISUAL COM ACOMPANHAMENTO DE INSPETOR DE SOLDA, DESCIDA DA COLUNA NA VALA OU COLOCAÇÃO NOS ROLETES DO FURO DIRECIONAL DE DUTOS EM AÇO CARBONO DN 4", SCH 40, API 5L PARA RAMAIS DE DISTRIBUIÇÃO DE GÁS NATURAL</t>
  </si>
  <si>
    <t>C5083</t>
  </si>
  <si>
    <t>CARGA, TRANSPORTE, DESCARGA, DESFILE, SOLDA INCLUSIVE NOS TIE-IN E CONEXÕES, INSPEÇÃO VISUAL COM ACOMPANHAMENTO DE INSPETOR DE SOLDA, DESCIDA DA COLUNA NA VALA OU COLOCAÇÃO NOS ROLETES DO FURO DIRECIONAL DE DUTOS EM AÇO CARBONO DN 6", SCH 40, API 5L PARA REDE E RAMAIS DE DISTRIBUIÇÃO DE GÁS NATURAL</t>
  </si>
  <si>
    <t>C5086</t>
  </si>
  <si>
    <t>CARGA,TRANSPORTE, DESCARGA,DESFILE, SOLDA INCLUSIVE NOS TIE-IN E CONEXÕES, INSPEÇÃO VISUAL COM ACOMPANHAMENTO INSPETOR DE SOLDA, DESCIDA DA COLUNA NA VALA OU COLOCAÇÃO NOS ROLETES DO FURO DIRECIONAL DE DUTOS DN 8",SCH 40, API 5L PARA REDE E RAMAIS DE DISTRIBUIÇÃO DE GÁS NATURAL</t>
  </si>
  <si>
    <t>C5089</t>
  </si>
  <si>
    <t>CARGA,TRANSPORTE, DESCARGA,DESFILE, SOLDA INCLUSIVE NOS TIE-IN E CONEXÕES, INSPEÇÃO VISUAL  COM ACOMPANHAMENTO INSPETOR DE SOLDA, DESCIDA DA COLUNA NA VALA OU COLOCAÇÃO NOS ROLETES DO FURO DIRECIONAL DE DUTOS DN 10", SCH 40, API 5L PARA REDE E RAMAIS DE DISTRIBUIÇÃO DE GÁS NATURAL</t>
  </si>
  <si>
    <t>C5092</t>
  </si>
  <si>
    <t>CARGA,TRANSPORTE, DESCARGA,DESFILE, SOLDA INCLUSIVE NOS TIE-IN E CONEXÕES, INSPEÇÃO VISUAL COM ACOMPANHAMENTO INSPETOR DE SOLDA, DESCIDA DA COLUNA NA VALA OU COLOCAÇÃO NOS ROLETES DO FURO DIRECIONAL DE DUTOS 12", SCH 40, API 5L PARA REDE E RAMAIS DE DISTRIBUIÇÃO DE GÁS NATURAL</t>
  </si>
  <si>
    <t>C5075</t>
  </si>
  <si>
    <t>FURO DIRECIONAL E PUXE PARA DUTO EM AÇO CARBONO DN 2", SCH 40, API 5L PARA RAMAIS DE DISTRIBUIÇÃO DE GÁS NATURAL - MÉTODO NÃO DESTRUTIVO (MND)</t>
  </si>
  <si>
    <t>C5078</t>
  </si>
  <si>
    <t>FURO DIRECIONAL E PUXE PARA DUTO EM AÇO CARBONO DN 3", SCH 40, API 5L PARA RAMAIS DE DISTRIBUIÇÃO DE GÁS NATURAL - MÉTODO NÃO DESTRUTIVO (MND)</t>
  </si>
  <si>
    <t>C5081</t>
  </si>
  <si>
    <t>FURO-DIRECIONAL E PUXE PARA DUTO EM AÇO CARBONO DN 4", SCH 40, API 5L PARA RAMAIS DE DISTRIBUIÇÃO DE GÁS NATURAL - METÓDO NÃO DESTRUTIVO (MND)</t>
  </si>
  <si>
    <t>C5084</t>
  </si>
  <si>
    <t>FURO-DIRECIONAL E PUXE PARA DUTO EM AÇO CARBONO DN 6", SCH 40, API 5L PARA REDE E RAMAIS DE DISTRIBUIÇÃO DE GÁS NATURAL - MÉTODO NÃO DESTRUTIVO (MND)</t>
  </si>
  <si>
    <t>C5087</t>
  </si>
  <si>
    <t>FURO-DIRECIONAL E PUXE PARA DUTO EM AÇO CARBONO DN 8", SCH 40, API 5L PARA REDE E RAMAIS DE DISTRIBUIÇÃO DE GÁS NATURAL - MÉTODO NÃO DESTRUTIVO (MND)</t>
  </si>
  <si>
    <t>C5090</t>
  </si>
  <si>
    <t>FURO-DIRECIONAL E PUXE PARA DUTO EM AÇO CARBONO DN 10", SCH 40, API 5L PARA REDE E RAMAIS DE DISTRIBUIÇÃO DE GÁS NATURAL - MÉTODO NÃO DESTRUTIVO (MND)</t>
  </si>
  <si>
    <t>C5093</t>
  </si>
  <si>
    <t>FURO-DIRECIONAL E PUXE PARA DUTO EM AÇO CARBONO DN 12", SCH 40, API 5L PARA REDE E RAMAIS DE DISTRIBUIÇÃO DE GÁS NATURAL - MÉTODO NÃO DESTRUTIVO (MND)</t>
  </si>
  <si>
    <t>C5099</t>
  </si>
  <si>
    <t>INSTALAÇÃO DE VÁLVULA DN 2" DE AÇO CARBONO API 6D COM EXTREMIDADES FLANGEADAS E TESTE</t>
  </si>
  <si>
    <t>C5100</t>
  </si>
  <si>
    <t>INSTALAÇÃO DE VÁLVULA DN 3" DE AÇO CARBONO API 6D COM EXTREMIDADES FLANGEADAS E TESTE</t>
  </si>
  <si>
    <t>C5101</t>
  </si>
  <si>
    <t>INSTALAÇÃO DE VÁLVULA DN 4" DE AÇO CARBONO API 6D COM EXTREMIDADES FLANGEADAS E TESTE</t>
  </si>
  <si>
    <t>C5102</t>
  </si>
  <si>
    <t>INSTALAÇAO DE VÁLVULA DN 6" DE AÇO CARBONO API 6D COM EXTREMIDADES FLANGEADAS E TESTE</t>
  </si>
  <si>
    <t>C5103</t>
  </si>
  <si>
    <t>INSTALAÇÃO DE VÁLVULA DN 8" DE AÇO CARBONO API 6D COM EXTREMIDADES FLANGEADAS E TESTE</t>
  </si>
  <si>
    <t>C5104</t>
  </si>
  <si>
    <t>INSTALAÇÃO DE VÁLVULA DN 10" DE AÇO CARBONO API 6D COM EXTREMIDADES FLANGEADAS E TESTE</t>
  </si>
  <si>
    <t>C5105</t>
  </si>
  <si>
    <t>INSTALAÇÃO DE VÁLVULA DN 12" DE AÇO CARBONO API 6D COM EXTREMIDADES FLANGEADAS E TESTE</t>
  </si>
  <si>
    <t>C5106</t>
  </si>
  <si>
    <t>SPOOL EM AÇO CARBONO DN 2", SCH 40, INCLUINDO MONTAGEM, SOLDA, TESTE SIMPLIFICADO E INSTALAÇÃO - (PESO APROXIMADO DE FLANGES/CONEXÕES: MÍNIMO = 5,40KG/UN; MÁXIMO = 8,26KG/UN)</t>
  </si>
  <si>
    <t>C5107</t>
  </si>
  <si>
    <t>SPOOL EM AÇO CARBONO DN 3", SCH 40, INCLUINDO MONTAGEM, SOLDA, TESTE SIMPLIFICADO E INSTALAÇÃO - (PESO APROXIMADO DE FLANGES/CONEXÕES: MÍNIMO = 11,20KG/UN; MÁXIMO = 19,73KG/UN)</t>
  </si>
  <si>
    <t>C5108</t>
  </si>
  <si>
    <t>SPOOL EM AÇO CARBONO DN 4", SCH 40, INCLUINDO MONTAGEM, SOLDA, TESTE SIMPLIFICADO E INSTALAÇÃO - (PESO APROXIMADO DE FLANGES/CONEXÕES: MÍNIMO = 15,00KG/UN; MÁXIMO = 30,64KG/UN)</t>
  </si>
  <si>
    <t>C5109</t>
  </si>
  <si>
    <t>SPOOL EM AÇO CARBONO DN 6", SCH 40, INCLUINDO MONTAGEM, SOLDA, TESTE SIMPLIFICADO E INSTALAÇÃO - (PESO APROXIMADO DE FLANGES/CONEXÕES: MÍNIMO = 24,80KG/UN; MÁXIMO = 64,20KG/UN)</t>
  </si>
  <si>
    <t>C5110</t>
  </si>
  <si>
    <t>SPOOL EM AÇO CARBONO DN 8", SCH 40, INCLUINDO MONTAGEM, SOLDA, TESTE SIMPLIFICADO E INSTALAÇÃO - (PESO APROXIMADO DE FLANGES/CONEXÕES: MÍNIMO = 39,00KG/UN; MÁXIMO = 117,20KG/UN)</t>
  </si>
  <si>
    <t>C5111</t>
  </si>
  <si>
    <t>SPOOL EM AÇO CARBONO DN 10", SCH 40, INCLUINDO MONTAGEM, SOLDA, TESTE SIMPLIFICADO E INSTALAÇÃO - (PESO APROXIMADO DE FLANGES/CONEXÕES: MÍNIMO = 53,40KG/UN; MÁXIMO = 190,00KG/UN)</t>
  </si>
  <si>
    <t>C5112</t>
  </si>
  <si>
    <t>SPOOL EM AÇO CARBONO DN 12", SCH 40, INCLUINDO MONTAGEM, SOLDA, TESTE SIMPLIFICADO E INSTALAÇÃO - (PESO APROXIMADO DE FLANGES/CONEXÕES: MÍNIMO = 72,40KG/UN; MÁXIMO = 306,50KG/UN)</t>
  </si>
  <si>
    <t>PINTURAS</t>
  </si>
  <si>
    <t>C5113</t>
  </si>
  <si>
    <t>TINTA DE ACABAMENTO EPÓXI POLIAMIDA DE ALTA ESPESSURA 200 MICRAS DE PELÍCULA SECA PARA TUBULAÇÃO E SUPORTES EM AÇO CARBONO</t>
  </si>
  <si>
    <t>C5194</t>
  </si>
  <si>
    <t>TINTA DE ACABAMENTO EPÓXI POLIAMIDA DE ALTA ESPESSURA 200 MICRAS DE PELICULA SECA PARA TUBULAÇÃO E SUPORTES EM AÇO CARBONO, EM OBRAS E SERVIÇOS DE GASODUTOS EM OPERAÇÃO</t>
  </si>
  <si>
    <t>C5119</t>
  </si>
  <si>
    <t>TINTA DE ACABAMENTO POLIURETANO ACRÍLICO 70 MICRAS DE PELÍCULA SECA PARA TUBULAÇÃO E SUPORTES EM AÇO CARBONO</t>
  </si>
  <si>
    <t>C5200</t>
  </si>
  <si>
    <t>TINTA DE ACABAMENTO POLIURETANO ACRÍLICO 70 MICRAS DE PELICULA SECA PARA TUBULAÇÃO E SUPORTES EM AÇO CARBONO, EM OBRAS E SERVIÇOS DE GASODUTOS EM OPERAÇÃO</t>
  </si>
  <si>
    <t>C5118</t>
  </si>
  <si>
    <t>TINTA DE FUNDO DE EPÓXI ZINCO POLIAMIDA 50 MICRAS DE PELÍCULA SECA PARA SUPORTES DE TUBULAÇÃO EM AÇO CARBONO, COM RETIRADA DA MANTA DE POLIETILENO</t>
  </si>
  <si>
    <t>C5199</t>
  </si>
  <si>
    <t>TINTA DE FUNDO DE EPÓXI ZINCO POLIAMIDA 50 MICRAS DE PELICULA SECA PARA SUPORTES DE TUBULAÇÃO EM AÇO CARBONO, EM OBRAS E SERVIÇOS DE GASODUTOS EM OPERAÇÃO</t>
  </si>
  <si>
    <t>C5117</t>
  </si>
  <si>
    <t>TINTA DE FUNDO DE ZINCO ETIL SILICATO DE 75 MICRAS DE PELÍCULA SECA PARA TUBULAÇÃO EM AÇO CARBONO, COM RETIRADA DA MANTA DE POLIETILENO</t>
  </si>
  <si>
    <t>C5198</t>
  </si>
  <si>
    <t>TINTA DE FUNDO DE ZINCO ETIL SILICATO DE 75 MICRAS DE PELICULA SECA PARA TUBULAÇÃO EM AÇO CARBONO, EM OBRAS E SERVIÇOS DE GASODUTOS EM OPERAÇÃO</t>
  </si>
  <si>
    <t>C5115</t>
  </si>
  <si>
    <t xml:space="preserve">TINTA DE FUNDO EPÓXI FOSFATO DE ZINCO DE 100 MICRAS DE PELÍCULA SECA PARA TUBULAÇÃO EM AÇO CARBONO, COM RETIRADA DA MANTA DE POLIETILENO
</t>
  </si>
  <si>
    <t>C5196</t>
  </si>
  <si>
    <t>TINTA DE FUNDO EPÓXI FOSFATO DE ZINCO DE 100 MICRAS DE PELICULA SECA PARA TUBULAÇÃO EM AÇO CARBONO, EM OBRAS E SERVIÇOS DE GASODUTOS EM OPERAÇÃO</t>
  </si>
  <si>
    <t>C5116</t>
  </si>
  <si>
    <t>TINTA INTERMEDIÁRIA EPÓXI ÓXIDO DE FERRO DE 30 MICRAS DE PELICULA SECA PARA TUBULAÇÃO EM AÇO CARBONO</t>
  </si>
  <si>
    <t>C5197</t>
  </si>
  <si>
    <t>TINTA INTERMEDIÁRIA EPÓXI OXIDO DE FERRO DE 30 MICRAS DE PELICULA SECA PARA TUBULAÇÃO EM AÇO CARBONO, EM OBRAS E SERVIÇOS DE GASODUTOS EM OPERAÇÃO</t>
  </si>
  <si>
    <t>C5114</t>
  </si>
  <si>
    <t>TINTA INTERMEDIÁRIA DE EPÓXI POLIAMIDA DE ALTA ESPESSURA 100 MICRAS DE PELICULA SECA PARA TUBULAÇÃO EM AÇO CARBONO</t>
  </si>
  <si>
    <t>C5195</t>
  </si>
  <si>
    <t>TINTA INTERMEDIÁRIA DE EPÓXI POLIAMIDA DE ALTA ESPESSURA 100 MICRAS DE PELICULA SECA PARA TUBULAÇÃO EM AÇO CARBONO, EM OBRAS E SERVIÇOS DE GASODUTOS EM OPERAÇÃO</t>
  </si>
  <si>
    <t>DIVERSOS</t>
  </si>
  <si>
    <t>C5123</t>
  </si>
  <si>
    <t>FORMA METÁLICA CIRCULAR PARA JAQUETA EM CONCRETO REUTILIZAÇÃO 15 VEZES</t>
  </si>
  <si>
    <t>C5095</t>
  </si>
  <si>
    <t>FORNECIMENTO E COLOCAÇÃO DE CANTONEIRA EM AÇO (1 1/2 "X 1 1/2" X 3/16")</t>
  </si>
  <si>
    <t>C5098</t>
  </si>
  <si>
    <t>INSTALAÇÃO DE CAIXA DE CONCRETO PRÉ-MOLDADA ENTRE 1,60 M À 2,00 M DE LARGURAS E 2,50 DE PROFUNDIDADE</t>
  </si>
  <si>
    <t>C5051</t>
  </si>
  <si>
    <t>INSTALAÇÃO, TESTE E COMISSIONAMENTO DE CRM COM MEDIDOR DIAFRAGMA INCLUINDO FIXAÇÃO DE CONDULETE TIPO "E"</t>
  </si>
  <si>
    <t>C5052</t>
  </si>
  <si>
    <t>INSTALAÇÃO, TESTE E COMISSIONAMENTO DE CRM COM MEDIDOR ROTATIVO DE G6 ATÉ G65, INCLUINDO FIXAÇÃO DA CAIXA CONDULETE TIPO "E"</t>
  </si>
  <si>
    <t>C5121</t>
  </si>
  <si>
    <t>MARCO SINALIZADOR PADRÃO CEGÁS (1,80 x 0,15 x 0,15)M CONFECÇÃO, PINTURA E INSTALAÇÃO EM BASE DE CONCRETO</t>
  </si>
  <si>
    <t>C5122</t>
  </si>
  <si>
    <t>PLACA PRÉ-MOLDADA ESPESSURA 5CM COM MALHA DE AÇO 10X10CM PARA PROTEÇÃO DE GASODUTO</t>
  </si>
  <si>
    <t>C5096</t>
  </si>
  <si>
    <t>POÇO EM AÇO INOX DE 1", PARA INSPEÇÃO DE VAZAMENTO DE GÁS EM CAIXA DE PASSAGEM DE CONCRETO</t>
  </si>
  <si>
    <t>C5097</t>
  </si>
  <si>
    <t>PUXADOR EM AÇO CA-25, PARA TAMPA DE CONCRETO</t>
  </si>
  <si>
    <t>C5076</t>
  </si>
  <si>
    <t>SERVIÇO DE INSTALAÇÃO DE MANTA TERMOCONTRATIL PARA DUTO DE 2" COM INSPEÇÃO, FITA E REPAROS COM BASTÃO, MASTIC E MANCHÃO DO REVESTIMENTO COMPLETO DA TUBULAÇÃO</t>
  </si>
  <si>
    <t>C5079</t>
  </si>
  <si>
    <t>SERVIÇO DE INSTALAÇÃO DE MANTA TERMOCONTRATIL PARA DUTO DE 3" COM INSPEÇÃO, FITA E REPAROS DO REVESTIMENTO COMPLETO DA TUBULAÇÃO</t>
  </si>
  <si>
    <t>C5082</t>
  </si>
  <si>
    <t>SERVIÇO DE INSTALAÇÃO DE MANTA TERMOCONTRATIL PARA DUTO DE 4" COM INSPEÇÃO, FITA E REPAROS DO REVESTIMENTO COMPLETO DA TUBULAÇÃO</t>
  </si>
  <si>
    <t>C5085</t>
  </si>
  <si>
    <t>SERVIÇO DE INSTALAÇÃO DE MANTA TERMOCONTRATIL PARA DUTO DE 6" COM INSPEÇÃO, FITA E REPAROS DO REVESTIMENTO COMPLETO DA TUBULAÇÃO</t>
  </si>
  <si>
    <t>C5088</t>
  </si>
  <si>
    <t>SERVIÇO DE INSTALAÇÃO DE MANTA TERMOCONTRATIL PARA DUTO DE 8" COM INSPEÇÃO, FITA E REPAROS DO REVESTIMENTO COMPLETO DA TUBULAÇÃO</t>
  </si>
  <si>
    <t>C5091</t>
  </si>
  <si>
    <t>SERVIÇO DE INSTALAÇÃO DE MANTA TERMOCONTRATIL PARA DUTO DE 10" COM INSPEÇÃO, FITA E REPAROS DO REVESTIMENTO COMPLETO DA TUBULAÇÃO</t>
  </si>
  <si>
    <t>C5094</t>
  </si>
  <si>
    <t>SERVIÇO DE INSTALAÇÃO DE MANTA TERMOCONTRATIL PARA DUTO DE 12" COM INSPEÇÃO, FITA E REPAROS DO REVESTIMENTO COMPLETO DA TUBULAÇÃO</t>
  </si>
  <si>
    <t>C5120</t>
  </si>
  <si>
    <t>TACHA SINALIZAÇÃO PADRÃO CEGÁS: FORNECIMENTO E INSTALAÇÃO</t>
  </si>
  <si>
    <t>ACESSIBILIDADE À EDIFICAÇÕES E ESPAÇOS</t>
  </si>
  <si>
    <t>SERVIÇOS PRELIMINARES</t>
  </si>
  <si>
    <t>C4618</t>
  </si>
  <si>
    <t>DEMOLIÇÃO DE INSTALAÇÃO HIDRÁULICA - TUBOS E CONEXÕES</t>
  </si>
  <si>
    <t>C4619</t>
  </si>
  <si>
    <t>DEMOLIÇÃO DE INSTALAÇÃO SANITÁRIA - TUBOS E CONEXÕES</t>
  </si>
  <si>
    <t>C4639</t>
  </si>
  <si>
    <t>RETIRADA DE GUARDA-CORPO EM TUBOS C/ PEÇAS E CONEXÕES FERRO GALVANIZADO (SEM REAPROVEITAMENTO) DN ATÉ 60mm</t>
  </si>
  <si>
    <t>C4640</t>
  </si>
  <si>
    <t>RETIRADA DE GUIAS PRE-FABRICADAS DE CONCRETO</t>
  </si>
  <si>
    <t>C4621</t>
  </si>
  <si>
    <t>BATEDOR PARA PORTA EM CHAPA DE ALUMÍNIO TIPO XADREZ LAVRADA ESP. 3mm C/ FIXAÇÃO SOBRE MADEIRA LISA OU REVESTIMENTO MELAMÍNICO COM FITA DUPLA FACE</t>
  </si>
  <si>
    <t>C4643</t>
  </si>
  <si>
    <t>INSTALAÇÃO DE BARRA ANTI-PÂNICO DUPLA C/ TRAVA EM AÇO INOX DIÂM. 1 1/2</t>
  </si>
  <si>
    <t>C4638</t>
  </si>
  <si>
    <t>PUXADOR HORIZONTAL/VERTICAL PARA PORTA</t>
  </si>
  <si>
    <t>C4647</t>
  </si>
  <si>
    <t>RETIRADA DE DISPOSITIVO DE PRESSÃO DAS PORTAS</t>
  </si>
  <si>
    <t>C4637</t>
  </si>
  <si>
    <t>RETIRADA COM SUBSTITUIÇÃO DE MAÇANETA EXISTENTE POR TIPO ALAVANCA</t>
  </si>
  <si>
    <t>INSTALAÇÕES, LOUÇAS E ACESSÓRIOS</t>
  </si>
  <si>
    <t>C4642</t>
  </si>
  <si>
    <t>ASSENTO / BANCO - ARTICULÁVEL PARA BANHO DE DEFICIENTE</t>
  </si>
  <si>
    <t>C4635</t>
  </si>
  <si>
    <t>BACIA SANITÁRIA PARA CADEIRANTES C/ ASSENTO (ABERTURA FRONTAL)</t>
  </si>
  <si>
    <t>C4634</t>
  </si>
  <si>
    <t>BASE EM GRANITO COM MAPA TÁTIL</t>
  </si>
  <si>
    <t>C4636</t>
  </si>
  <si>
    <t>LAVATÓRIO DE LOUÇA BRANCA C/ COLUNA SUSPENSA E ACESSÓRIOS</t>
  </si>
  <si>
    <t>C4630</t>
  </si>
  <si>
    <t>REINSTALAÇÃO DE PONTO HIDRÁULICO, MATERIAL E EXECUÇÃO</t>
  </si>
  <si>
    <t>C4631</t>
  </si>
  <si>
    <t>REINSTALAÇÃO DE PONTO SANITÁRIO, MATERIAL E EXECUÇÃO</t>
  </si>
  <si>
    <t>C4632</t>
  </si>
  <si>
    <t>REMANEJAMENTO DE BACIA SANITÁRIA</t>
  </si>
  <si>
    <t>C4633</t>
  </si>
  <si>
    <t>REMANEJAMENTO DE BANCADA DE GRANITO</t>
  </si>
  <si>
    <t>C4625</t>
  </si>
  <si>
    <t>BASE EM PREMOLDADO DE CONCRETO COM ADITIVO IMPERMEABILIZANTE P/ INSTALAÇÃO DE BACIA SANITÁRIA</t>
  </si>
  <si>
    <t>C4622</t>
  </si>
  <si>
    <t>FITA ADESIVA ANTIDERRAPANTE E FOSFORESCENTE</t>
  </si>
  <si>
    <t>C4623</t>
  </si>
  <si>
    <t>PISO PODOTÁTIL INTERNO EM BORRACHA 30x30cm ASSENTAMENTO COM COLA VINIL (FORNECIMENTO E ASSENTAMENTO)</t>
  </si>
  <si>
    <t>C4624</t>
  </si>
  <si>
    <t>PISO PODOTÁTIL EXTERNO EM PMC ESP. 3CM, ASSENTADO COM ARGAMASSA (FORNECIMENTO E ASSENTAMENTO)</t>
  </si>
  <si>
    <t>SINALIZAÇÃO</t>
  </si>
  <si>
    <t>C4850</t>
  </si>
  <si>
    <t>PLACA EM ACRÍLICO ADESIVADA PARA SINALIZAÇÃO COM INDICAÇÃO DE ROTA DE FUGA 26X13CM</t>
  </si>
  <si>
    <t>C4626</t>
  </si>
  <si>
    <t>PLACA EM ALUMÍNIO 15x30cm C/ VINIL APLICADO EM 1 FACE E FIXAÇÃO COM FITA DUPLA FACE (FORNECIMENTO E MONTAGEM)</t>
  </si>
  <si>
    <t>C4627</t>
  </si>
  <si>
    <t>PLACA EM ALUMÍNIO 20x20cm C/ VINIL APLICADO EM 1 FACE E FIXAÇÃO COM FITA DUPLA FACE (FORNECIMENTO E MONTAGEM)</t>
  </si>
  <si>
    <t>C4628</t>
  </si>
  <si>
    <t>PLACA EM ALUMÍNIO 20x25cm C/ VINIL APLICADO EM 1 FACE E FIXAÇÃO COM FITA DUPLA FACE (FORNECIMENTO E MONTAGEM)</t>
  </si>
  <si>
    <t>C4629</t>
  </si>
  <si>
    <t>PLACA EM AÇO GALVANIZADO C/ APLICAÇÃO EM 1 FACE EM VINIL E FUNDO C/ PINTURA EM ESMALTE SINTÉTICO PRETO FOSCO (FORNECIMENTO E MONTAGEM)</t>
  </si>
  <si>
    <t>C4648</t>
  </si>
  <si>
    <t>PLACAS COM BRAILLE PARA SINALIZAÇÃO TÁTIL</t>
  </si>
  <si>
    <t>C4641</t>
  </si>
  <si>
    <t>SÍMBOLO INTERNACIONAL DE ACESSO - SIA - 15x15cm</t>
  </si>
  <si>
    <t>C4649</t>
  </si>
  <si>
    <t>SINALIZAÇÃO PARA EXTINTOR</t>
  </si>
  <si>
    <t>C4646</t>
  </si>
  <si>
    <t>CORRIMÃO DUPLA ALTURA EM AÇO INOX DIAM 1 1/2</t>
  </si>
  <si>
    <t>C4644</t>
  </si>
  <si>
    <t>FORNECIMENTO E MONTAGEM DE BOTÕES EM BRAILLE COM SINALIZAÇÃO SONORA</t>
  </si>
  <si>
    <t>C4620</t>
  </si>
  <si>
    <t>GUIA DE BALIZAMENTO EM ALVENARIA ESP.=10cm ALTURA ATÉ 15cm COMPLETAMENTE EXECUTADA E ACABAMENTO EM TEXTURA ACRÍLICA E TOPO EM CHAPIM EM PMC</t>
  </si>
  <si>
    <t>SERVIÇOS DIVERSOS</t>
  </si>
  <si>
    <t>INDENIZAÇÕES</t>
  </si>
  <si>
    <t>C2840</t>
  </si>
  <si>
    <t>INDENIZAÇÃO DE JAZIDA</t>
  </si>
  <si>
    <t>LIMPEZA FINAL</t>
  </si>
  <si>
    <t>C1078</t>
  </si>
  <si>
    <t>DESCUPINIZAÇÃO C/ MATERIAL INSETICIDA</t>
  </si>
  <si>
    <t>C3605</t>
  </si>
  <si>
    <t>LIMPEZA DA UNIDADE CASA TIPO "T 01" - PADRÃO POPULAR</t>
  </si>
  <si>
    <t>C3447</t>
  </si>
  <si>
    <t>LIMPEZA DE PISO EM ÁREA URBANIZADA</t>
  </si>
  <si>
    <t>C1625</t>
  </si>
  <si>
    <t>LIMPEZA DE PISOS E REVESTIMENTOS</t>
  </si>
  <si>
    <t>C1626</t>
  </si>
  <si>
    <t>LIMPEZA DE REVESTIMENTOS CERÂMICOS</t>
  </si>
  <si>
    <t>C1627</t>
  </si>
  <si>
    <t>LIMPEZA DE VIDROS</t>
  </si>
  <si>
    <t>C1628</t>
  </si>
  <si>
    <t>LIMPEZA GERAL</t>
  </si>
  <si>
    <t>C1629</t>
  </si>
  <si>
    <t>LIMPEZA, RETIRADA DO PAPEL E LAVAGEM DE MOSAICO VIDROSO</t>
  </si>
  <si>
    <t>Insumo</t>
  </si>
  <si>
    <t>Descrição</t>
  </si>
  <si>
    <t>Unidade</t>
  </si>
  <si>
    <t>I8600</t>
  </si>
  <si>
    <t>ALMOXARIFE</t>
  </si>
  <si>
    <t>HxMÊS</t>
  </si>
  <si>
    <t>I8599</t>
  </si>
  <si>
    <t>APONTADOR</t>
  </si>
  <si>
    <t>I8598</t>
  </si>
  <si>
    <t>AUXILIAR ADMINISTRATIVO</t>
  </si>
  <si>
    <t>I8596</t>
  </si>
  <si>
    <t>AUXILIAR DE LABORATÓRIO</t>
  </si>
  <si>
    <t>I8595</t>
  </si>
  <si>
    <t>AUXILIAR DE TOPOGRAFIA</t>
  </si>
  <si>
    <t>I8601</t>
  </si>
  <si>
    <t>CADISTA</t>
  </si>
  <si>
    <t>I8650</t>
  </si>
  <si>
    <t>CAMINHÃO LEVE DE CARROCERIA (92HP) C/ COMBUSTÍVEL E MOTORISTA P/ TRANSPORTES NO CANTEIRO DE OBRA</t>
  </si>
  <si>
    <t>UNxMÊS</t>
  </si>
  <si>
    <t>I8610</t>
  </si>
  <si>
    <t>COMPUTADOR</t>
  </si>
  <si>
    <t>I8591</t>
  </si>
  <si>
    <t>ENCARREGADO DE TURMA / FEITOR</t>
  </si>
  <si>
    <t>I8590</t>
  </si>
  <si>
    <t>ENCARREGADO GERAL/MESTRE DE OBRA</t>
  </si>
  <si>
    <t>I8602</t>
  </si>
  <si>
    <t>ENFERMEIRO</t>
  </si>
  <si>
    <t>I8960</t>
  </si>
  <si>
    <t>ENGENHEIRO COORDENADOR</t>
  </si>
  <si>
    <t>HXMÊS</t>
  </si>
  <si>
    <t>I8585</t>
  </si>
  <si>
    <t>ENGENHEIRO DE SEGURANÇA DO TRABALHO</t>
  </si>
  <si>
    <t>I8584</t>
  </si>
  <si>
    <t>ENGENHEIRO JÚNIOR</t>
  </si>
  <si>
    <t>I8583</t>
  </si>
  <si>
    <t>ENGENHEIRO PLENO</t>
  </si>
  <si>
    <t>I8582</t>
  </si>
  <si>
    <t>ENGENHEIRO SENIOR</t>
  </si>
  <si>
    <t>I8609</t>
  </si>
  <si>
    <t>EQUIPAMENTOS DE LABORATÓRIO</t>
  </si>
  <si>
    <t>I8608</t>
  </si>
  <si>
    <t>EQUIPAMENTOS DE TOPOGRAFIA</t>
  </si>
  <si>
    <t>I8597</t>
  </si>
  <si>
    <t>GERENTE ADMINISTRATIVO FINANCEIRO</t>
  </si>
  <si>
    <t>I10257</t>
  </si>
  <si>
    <t>IMPRESSORA MULTIFUNCIONAL MONOCROMÁTICA A4 C/FRANQUIA DE 4.000 PÁGINAS (EXCEDENTE = R$ 0,05 CENTAVOS POR PÁGINA) 1.200 X 1.200 DPI; MEMÓRIA RAM 512 MB; CICLO MENSAL DE 80.000 PÁGINAS; INCLUI MANUTENÇÃO, SUPRIMENTOS E PEÇAS, EXCETO PAPEL</t>
  </si>
  <si>
    <t>G0409</t>
  </si>
  <si>
    <t>INSPETOR DE DUTOS N1-SNQC (CEGÁS)</t>
  </si>
  <si>
    <t>G0406</t>
  </si>
  <si>
    <t>INSPETOR DE LÍQUIDO PENETRANTE LP-N2-G-SNQC/END (CEGÁS)</t>
  </si>
  <si>
    <t>I8594</t>
  </si>
  <si>
    <t>LABORATORISTA</t>
  </si>
  <si>
    <t>I8603</t>
  </si>
  <si>
    <t>MOTORISTA</t>
  </si>
  <si>
    <t>I8589</t>
  </si>
  <si>
    <t>MÉDICO DO TRABALHO</t>
  </si>
  <si>
    <t>I8593</t>
  </si>
  <si>
    <t>NIVELADOR</t>
  </si>
  <si>
    <t>I10255</t>
  </si>
  <si>
    <t>PLANO DE TELEFONIA + INTERNET</t>
  </si>
  <si>
    <t>I8612</t>
  </si>
  <si>
    <t>PLOTTER</t>
  </si>
  <si>
    <t>I8604</t>
  </si>
  <si>
    <t>SERVENTE</t>
  </si>
  <si>
    <t>I8614</t>
  </si>
  <si>
    <t>TELEFONE MÓVEL</t>
  </si>
  <si>
    <t>I8592</t>
  </si>
  <si>
    <t>TOPÓGRAFO</t>
  </si>
  <si>
    <t>I8587</t>
  </si>
  <si>
    <t>TÉCNICO DE NÍVEL MÉDIO</t>
  </si>
  <si>
    <t>I8588</t>
  </si>
  <si>
    <t>TÉCNICO DE SEGURANÇA DO TRABALHO</t>
  </si>
  <si>
    <t>I8606</t>
  </si>
  <si>
    <t>VEÍCULO LEVE C/ COMBUSTÍVEL E MOTORISTA</t>
  </si>
  <si>
    <t>I8617</t>
  </si>
  <si>
    <t>VIGIA</t>
  </si>
  <si>
    <t>COTAÇÃO / AGREGADOS E AGLOMERANTES</t>
  </si>
  <si>
    <t>I0029</t>
  </si>
  <si>
    <t>ADITIVO PLASTIMENT BV-40</t>
  </si>
  <si>
    <t>I0034</t>
  </si>
  <si>
    <t>AGREGADO DE ALTA RESISTÊNCIA PARA PISOS</t>
  </si>
  <si>
    <t>I0107</t>
  </si>
  <si>
    <t>AREIA FINA</t>
  </si>
  <si>
    <t>I0108</t>
  </si>
  <si>
    <t>AREIA GROSSA</t>
  </si>
  <si>
    <t>I0109</t>
  </si>
  <si>
    <t>AREIA MEDIA</t>
  </si>
  <si>
    <t>I0110</t>
  </si>
  <si>
    <t>AREIA QUARTZOSA FINA (FILLER P/COMP.5) O.BAUMGART</t>
  </si>
  <si>
    <t>I0111</t>
  </si>
  <si>
    <t>AREIA VERMELHA</t>
  </si>
  <si>
    <t>I0112</t>
  </si>
  <si>
    <t>ARENOSO</t>
  </si>
  <si>
    <t>I0190</t>
  </si>
  <si>
    <t>BARITA (ARGAMASSA BARITADA)</t>
  </si>
  <si>
    <t>I0280</t>
  </si>
  <si>
    <t>BRITA</t>
  </si>
  <si>
    <t>I0441</t>
  </si>
  <si>
    <t>CAL HIDRATADA</t>
  </si>
  <si>
    <t>I0442</t>
  </si>
  <si>
    <t>CAL VIRGEM EM PO</t>
  </si>
  <si>
    <t>I0799</t>
  </si>
  <si>
    <t>CIMENTO BRANCO</t>
  </si>
  <si>
    <t>I0805</t>
  </si>
  <si>
    <t>CIMENTO PORTLAND</t>
  </si>
  <si>
    <t>I7954</t>
  </si>
  <si>
    <t>CIMENTO PORTLAND À GRANEL</t>
  </si>
  <si>
    <t>I2570</t>
  </si>
  <si>
    <t>FILLER (PO CALCÁREO)</t>
  </si>
  <si>
    <t>I1221</t>
  </si>
  <si>
    <t>GESSO</t>
  </si>
  <si>
    <t>I1600</t>
  </si>
  <si>
    <t>PEDRA DE MÃO (RACHÃO)</t>
  </si>
  <si>
    <t>I1605</t>
  </si>
  <si>
    <t>PEDRISCO</t>
  </si>
  <si>
    <t>I1684</t>
  </si>
  <si>
    <t>PO DE MARMORE</t>
  </si>
  <si>
    <t>I2403</t>
  </si>
  <si>
    <t>PÓ DE PEDRA</t>
  </si>
  <si>
    <t>I1854</t>
  </si>
  <si>
    <t>SEIXO ROLADO</t>
  </si>
  <si>
    <t>COTAÇÃO / ALUGUEL DIVERSOS</t>
  </si>
  <si>
    <t>I0068</t>
  </si>
  <si>
    <t>ANDAIME METALICO DE FACHADA, INCLUSIVE TODOS OS ITENS NECESSÁRIOS À MONTAGEM (NÃO INCLUI INSTALAÇÃO) - LOCAÇÃO MENSAL</t>
  </si>
  <si>
    <t>I7947</t>
  </si>
  <si>
    <t xml:space="preserve">ANDAIME METÁLICO DE ENCAIXE - LOCAÇÃO
</t>
  </si>
  <si>
    <t>M3xMÊS</t>
  </si>
  <si>
    <t>I7488</t>
  </si>
  <si>
    <t>BOMBA DE CONCRETO</t>
  </si>
  <si>
    <t>I7487</t>
  </si>
  <si>
    <t>CAMINHÃO BETONEIRA 5 M3</t>
  </si>
  <si>
    <t>I7485</t>
  </si>
  <si>
    <t>CARRETA ESPECIAL P/TRANSP. DAS ESTACAS PRÉ-MOLDADAS</t>
  </si>
  <si>
    <t>I6398</t>
  </si>
  <si>
    <t>CAÇAMBA METÁLICA DE 5 M³</t>
  </si>
  <si>
    <t>I7955</t>
  </si>
  <si>
    <t>CENTRAL DOSADORA DE CONCRETO 50 M³/H C/ 4 SILOS</t>
  </si>
  <si>
    <t>I8682</t>
  </si>
  <si>
    <t>COMPRESSOR DE AR COMPRIMIDO ATÉ 5 Kg/cm²</t>
  </si>
  <si>
    <t>I8427</t>
  </si>
  <si>
    <t>COMPRESSOR DE AR P/ PINTURA</t>
  </si>
  <si>
    <t>I6040</t>
  </si>
  <si>
    <t>COMPUTADOR C/ CAD (ALUGUEL)</t>
  </si>
  <si>
    <t>DIA</t>
  </si>
  <si>
    <t>I8562</t>
  </si>
  <si>
    <t>COMPUTADOR DE MÃO (ALUGUEL)</t>
  </si>
  <si>
    <t>I8680</t>
  </si>
  <si>
    <t>CONJUNTO MISTURADOR 180 L DE ALTA ROTAÇÃO E BOMBA DE INJEÇÃO</t>
  </si>
  <si>
    <t>I2324</t>
  </si>
  <si>
    <t>EQUIPAMENTO DE REBAIXAMENTO DE LENÇOL FREATICO - LOCAÇÃO</t>
  </si>
  <si>
    <t>I1095</t>
  </si>
  <si>
    <t>ESCORA METALICA TELESCÓPICA, COM ALTURA REGULÁVEL DE 1,80 A 3,20 M, COM CAPACIDADE MÍNIMA DE 1000 KGF (10KN), INCLUSIVE TRIPÉ E FORCADO - LOCAÇÃO MENSAL</t>
  </si>
  <si>
    <t>I1014</t>
  </si>
  <si>
    <t>ESCORAMENTO METÁLICO P/ CIMBRAMENTO C/ CONTRAVENTAMENTO - LOCAÇÃO</t>
  </si>
  <si>
    <t>I2513</t>
  </si>
  <si>
    <t>ESCORAMENTO TUBULAR - LOCAÇÃO MENSAL</t>
  </si>
  <si>
    <t>I8567</t>
  </si>
  <si>
    <t>EXTRUSORA DE PERFIS DE CONCRETO ACOPLADA C/ FORMA E MOTOR DIESL 10 HP</t>
  </si>
  <si>
    <t>I2544</t>
  </si>
  <si>
    <t>FORMA METÁLICA P/BANQUETAS (ALUGUEL)</t>
  </si>
  <si>
    <t>I7960</t>
  </si>
  <si>
    <t>GRUA</t>
  </si>
  <si>
    <t>I7426</t>
  </si>
  <si>
    <t>GUINDASTE SOBRE PNEUS CAP. 135 TON</t>
  </si>
  <si>
    <t>I8426</t>
  </si>
  <si>
    <t>LIXADEIRA</t>
  </si>
  <si>
    <t>I9469</t>
  </si>
  <si>
    <t>I9476</t>
  </si>
  <si>
    <t xml:space="preserve">LOCAÇÃO DE CONTÊINER BANHEIRO COM 02 VASOS SANITÁRIOS, 01 LAVATÓRIO E 04 CHUVEIROS - 6,00 X 2,35M
</t>
  </si>
  <si>
    <t>I9477</t>
  </si>
  <si>
    <t xml:space="preserve">LOCAÇÃO DE CONTÊINER BANHEIRO COM 04 VASOS SANITÁRIOS, 02 LAVATÓRIOS, 01 MICTÓRIO CALHA E 04 CHUVEIROS - 6,00 X 2,35M
</t>
  </si>
  <si>
    <t>I9478</t>
  </si>
  <si>
    <t xml:space="preserve">LOCAÇÃO DE CONTÊINER ESCRITÓRIO COM BANHEIRO (01 VASO SANITÁRIO, 01 LAVATÓRIO E 01 CHUVEIRO), JANELA EM VIDRO, PORTAS, LUMINÁRIAS, TOMADAS, FORRO EM PVC, AR CONDICIONADO E ISOLAMENTO TERMO-ACÚSTICO EM ISOPOR - 6,00 X 2,35M
</t>
  </si>
  <si>
    <t>I9070</t>
  </si>
  <si>
    <t>I13300</t>
  </si>
  <si>
    <t>I13301</t>
  </si>
  <si>
    <t>I13302</t>
  </si>
  <si>
    <t>I9081</t>
  </si>
  <si>
    <t>LOCAÇÃO MENSAL DE CIMBRAMENTO P/ LAJES NERVURADAS</t>
  </si>
  <si>
    <t>I7956</t>
  </si>
  <si>
    <t>MACACO HIDRÁULICO - 200 T</t>
  </si>
  <si>
    <t>I7959</t>
  </si>
  <si>
    <t>MARTELO PNEUMÁTICO (VIBRATÓRIO)</t>
  </si>
  <si>
    <t>I8683</t>
  </si>
  <si>
    <t>MOTOBOMBA DE LAVAGEM</t>
  </si>
  <si>
    <t>I8410</t>
  </si>
  <si>
    <t>MÁQUINA ESPARGIDORA C/ CONTROLE COMPUTADORIZADO</t>
  </si>
  <si>
    <t>I6169</t>
  </si>
  <si>
    <t>MÁQUINA P/ CRAVAÇÃO (MÉTODO NÃO DESTRUTIVO)</t>
  </si>
  <si>
    <t>I8208</t>
  </si>
  <si>
    <t>PERFURATRIZ PNEUMÁTICA MONTADA EM CARRETA</t>
  </si>
  <si>
    <t>I8681</t>
  </si>
  <si>
    <t>PERFURATRIZ ROTATIVA HIDRÁULICA COM SACA TUBOS E MOTOR ELÉTRICO</t>
  </si>
  <si>
    <t>I7439</t>
  </si>
  <si>
    <t>PERFURATRIZ WIRTH C/ ACESSÓRIOS</t>
  </si>
  <si>
    <t>I8210</t>
  </si>
  <si>
    <t>PLATAFORMA FLUTUANTE COMPLETA</t>
  </si>
  <si>
    <t>I7486</t>
  </si>
  <si>
    <t>PÓRTICO 27 TON</t>
  </si>
  <si>
    <t>I7958</t>
  </si>
  <si>
    <t>REBOCADOR - 300 HP</t>
  </si>
  <si>
    <t>I1870</t>
  </si>
  <si>
    <t>SISTEMA PRE-FABRICADO DE FORMA METALICA (ALUGUEL)</t>
  </si>
  <si>
    <t>I8625</t>
  </si>
  <si>
    <t>TESOURA PNEUMÁTICA</t>
  </si>
  <si>
    <t>COTAÇÃO / APARELHOS E EQUIPAMENTOS</t>
  </si>
  <si>
    <t>I7357</t>
  </si>
  <si>
    <t>APARELHO DE JANELA - CAP 10.000 BTU (FORN. E MONTAGEM)</t>
  </si>
  <si>
    <t>I7358</t>
  </si>
  <si>
    <t>APARELHO DE JANELA - CAP 12.000 BTU (FORN. E MONTAGEM)</t>
  </si>
  <si>
    <t>I7360</t>
  </si>
  <si>
    <t>APARELHO DE JANELA - CAP 18.000 BTU (FORN. E MONTAGEM)</t>
  </si>
  <si>
    <t>I7361</t>
  </si>
  <si>
    <t>APARELHO DE JANELA - CAP 21.000 BTU (FORN. E MONTAGEM)</t>
  </si>
  <si>
    <t>I7362</t>
  </si>
  <si>
    <t>APARELHO DE JANELA - CAP 30.000 BTU (FORN. E MONTAGEM)</t>
  </si>
  <si>
    <t>I7356</t>
  </si>
  <si>
    <t>APARELHO DE JANELA - CAP 7.500 BTU (FORN. E MONTAGEM)</t>
  </si>
  <si>
    <t>I6359</t>
  </si>
  <si>
    <t>APARELHO TELEFÔNICO DIGITAL PARA LIGAÇÃO JNA CPCT EXISTENTE</t>
  </si>
  <si>
    <t>I0094</t>
  </si>
  <si>
    <t>AQUECEDOR A GAS 150L</t>
  </si>
  <si>
    <t>I0095</t>
  </si>
  <si>
    <t>AQUECEDOR CENTRAL ELETROAUTOMATICO 220 V</t>
  </si>
  <si>
    <t>I0096</t>
  </si>
  <si>
    <t>AQUECEDOR ELETRICO AGUA CAPAC 200 L</t>
  </si>
  <si>
    <t>I0212</t>
  </si>
  <si>
    <t>BATERIA ALCALINA 9V</t>
  </si>
  <si>
    <t>I0213</t>
  </si>
  <si>
    <t>BATERIA PARA CARRO A GASOLINA TIPO 45A</t>
  </si>
  <si>
    <t>I0215</t>
  </si>
  <si>
    <t>BEBEDOURO EM AÇO INOX COM 1,60M</t>
  </si>
  <si>
    <t>I0250</t>
  </si>
  <si>
    <t>BOMBA CENTRIFUGA P=1.5CV</t>
  </si>
  <si>
    <t>I0251</t>
  </si>
  <si>
    <t>BOMBA CENTRIFUGA P=1/2CV</t>
  </si>
  <si>
    <t>I0252</t>
  </si>
  <si>
    <t>BOMBA CENTRIFUGA P=1/3CV</t>
  </si>
  <si>
    <t>I0852</t>
  </si>
  <si>
    <t>BOMBA CENTRIFUGA P=1/4CV</t>
  </si>
  <si>
    <t>I0253</t>
  </si>
  <si>
    <t>BOMBA CENTRIFUGA P=1CV</t>
  </si>
  <si>
    <t>I0254</t>
  </si>
  <si>
    <t>BOMBA CENTRIFUGA P=2CV</t>
  </si>
  <si>
    <t>I0255</t>
  </si>
  <si>
    <t>BOMBA CENTRIFUGA P=3CV</t>
  </si>
  <si>
    <t>I0256</t>
  </si>
  <si>
    <t>BOMBA CENTRIFUGA P=5CV</t>
  </si>
  <si>
    <t>I0246</t>
  </si>
  <si>
    <t>BOMBA CENTRIFUGA PRESSURISAÇÃO HIDRANTE P=10CV</t>
  </si>
  <si>
    <t>I0247</t>
  </si>
  <si>
    <t>BOMBA CENTRIFUGA PRESSURISAÇÃO HIDRANTE P=15CV</t>
  </si>
  <si>
    <t>I0248</t>
  </si>
  <si>
    <t>BOMBA CENTRIFUGA PRESSURISAÇÃO HIDRANTE P=20 CV</t>
  </si>
  <si>
    <t>I0249</t>
  </si>
  <si>
    <t>BOMBA CENTRIFUGA PRESSURISAÇÃO HIDRANTE P=25CV</t>
  </si>
  <si>
    <t>I0258</t>
  </si>
  <si>
    <t>BOMBA INJETORA, MONOFASICA DE 1/2 CV</t>
  </si>
  <si>
    <t>I0259</t>
  </si>
  <si>
    <t>BOMBA INJETORA, MONOFASICA DE 1/3 CV</t>
  </si>
  <si>
    <t>I0260</t>
  </si>
  <si>
    <t>BOMBA INJETORA, MONOFASICA DE 3/4 CV</t>
  </si>
  <si>
    <t>I0261</t>
  </si>
  <si>
    <t>BOMBA INJETORA, TRIFASICA DE 1 1/2 CV</t>
  </si>
  <si>
    <t>I0265</t>
  </si>
  <si>
    <t>BOMBA INJETORA, TRIFASICA DE 1CV</t>
  </si>
  <si>
    <t>I0262</t>
  </si>
  <si>
    <t>BOMBA INJETORA, TRIFASICA DE 2  1/2 CV</t>
  </si>
  <si>
    <t>I0263</t>
  </si>
  <si>
    <t>BOMBA INJETORA, TRIFASICA DE 2 CV</t>
  </si>
  <si>
    <t>I0264</t>
  </si>
  <si>
    <t>BOMBA INJETORA, TRIFASICA DE 3 CV</t>
  </si>
  <si>
    <t>I0257</t>
  </si>
  <si>
    <t>BOMBA INJETORA, TRIFASICA DE 7,5 CV</t>
  </si>
  <si>
    <t>I0795</t>
  </si>
  <si>
    <t>CHUVEIRO ELETRICO 220V/2500W</t>
  </si>
  <si>
    <t>I1098</t>
  </si>
  <si>
    <t>ESGUICHO C/ENGATE RÁPIDO 2 1/2" X 5/8"</t>
  </si>
  <si>
    <t>I1143</t>
  </si>
  <si>
    <t>EXAUSTOR ELETRICO DOMICILIAR</t>
  </si>
  <si>
    <t>I1144</t>
  </si>
  <si>
    <t>EXAUSTOR ELETROMECANICO INDUST. D=400MM</t>
  </si>
  <si>
    <t>I1145</t>
  </si>
  <si>
    <t>EXTINTOR CO2 DE 6 KG</t>
  </si>
  <si>
    <t>I1146</t>
  </si>
  <si>
    <t>EXTINTOR DE ÁGUA PRESSURIZADA, CAPACIDADE 10L</t>
  </si>
  <si>
    <t>I8571</t>
  </si>
  <si>
    <t>I8557</t>
  </si>
  <si>
    <t>EXTINTOR PARA INCÊNDIO PÓ QUÍMICO DE 20 Kg</t>
  </si>
  <si>
    <t>I7363</t>
  </si>
  <si>
    <t>GRELHAS DE INSUFLAMENTO/RETORNO EM ALUMÍNIO ATÉ 0,25 M2 (FORN. E MONTAGEM)</t>
  </si>
  <si>
    <t>I7364</t>
  </si>
  <si>
    <t>GRELHAS DE INSUFLAMENTO/RETORNO EM ALUMÍNIO DE 0,26 M2 À 0,49 M2  (FORN. E MONTAGEM)</t>
  </si>
  <si>
    <t>I7365</t>
  </si>
  <si>
    <t>GRELHAS DE INSUFLAMENTO/RETORNO EM ALUMÍNIO DE 0,50 M2 À 0,64 M2  (FORN. E MONTAGEM)</t>
  </si>
  <si>
    <t>I7366</t>
  </si>
  <si>
    <t>GRELHAS DE INSUFLAMENTO/RETORNO EM ALUMÍNIO DE 0,65 M2 À 0,81 M2  (FORN. E MONTAGEM)</t>
  </si>
  <si>
    <t>I7367</t>
  </si>
  <si>
    <t>GRELHAS DE INSUFLAMENTO/RETORNO EM ALUMÍNIO DE 0,82 M2 À 1,00 M2  (FORN. E MONTAGEM)</t>
  </si>
  <si>
    <t>I6377</t>
  </si>
  <si>
    <t>IMPRESSORA DE CARTÕES DE PROXIMIDADE</t>
  </si>
  <si>
    <t>I6395</t>
  </si>
  <si>
    <t>NOTEBOOK, 40 GB, 516MB, 2,5MHz, DRIVERS</t>
  </si>
  <si>
    <t>I2397</t>
  </si>
  <si>
    <t>PISTOLA WALSYVA</t>
  </si>
  <si>
    <t>I10267</t>
  </si>
  <si>
    <t xml:space="preserve">RÁDIO DE COMUNICAÇÃO MARÍTIMA POTÊNCIA TX: 6 WATTS, SUBMERSÍVEL E FLUTUANTE, BATERIA COM AUTOMIA DE ATÉ 12H, SAÍDA DE ÁUDIO 700mW, ACESSO INSTATÂNEO AO CANAL 16 E CANAL DE CHAMADAS E FUNÇÕES DE: ALERTA DE BATERIA FRACA E METEOROLÓGICO, DRENAGEM DE ÁGUA, MONITORAMENTO DUPLO E TRIPLO
</t>
  </si>
  <si>
    <t>I7350</t>
  </si>
  <si>
    <t>SPLIT SYSTEM COMPLETO C/ CONTROLE REMOTO CAP. 1,00 TR (FORN. E MONTAGEM)</t>
  </si>
  <si>
    <t>I7351</t>
  </si>
  <si>
    <t>SPLIT SYSTEM COMPLETO C/ CONTROLE REMOTO CAP. 1,50 TR (FORN. E MONTAGEM)</t>
  </si>
  <si>
    <t>I7352</t>
  </si>
  <si>
    <t>SPLIT SYSTEM COMPLETO C/ CONTROLE REMOTO CAP. 2,00 TR (FORN. E MONTAGEM)</t>
  </si>
  <si>
    <t>I7353</t>
  </si>
  <si>
    <t>SPLIT SYSTEM COMPLETO C/ CONTROLE REMOTO CAP. 2,50 TR (FORN. E MONTAGEM)</t>
  </si>
  <si>
    <t>I7354</t>
  </si>
  <si>
    <t>SPLIT SYSTEM COMPLETO C/ CONTROLE REMOTO CAP. 3,00 TR (FORN. E MONTAGEM)</t>
  </si>
  <si>
    <t>I7355</t>
  </si>
  <si>
    <t>SPLIT SYSTEM COMPLETO C/ CONTROLE REMOTO CAP. 4,00 TR (FORN. E MONTAGEM)</t>
  </si>
  <si>
    <t>I2245</t>
  </si>
  <si>
    <t>I2246</t>
  </si>
  <si>
    <t>COTAÇÃO / ARTEFATOS PREMOLDADOS</t>
  </si>
  <si>
    <t>I0004</t>
  </si>
  <si>
    <t>ABRIGO PRÉ-MOLDADO CONCRETO (FORNECIMENTO/ASSENTAMENTO)</t>
  </si>
  <si>
    <t>I0083</t>
  </si>
  <si>
    <t>ANEL PRE-MOLDADO DE CONCRETO D=0.60M, h = 0.80M</t>
  </si>
  <si>
    <t>I7964</t>
  </si>
  <si>
    <t>ANEL PRE-MOLDADO DE CONCRETO D=1,20M, h=0,50M</t>
  </si>
  <si>
    <t>I0084</t>
  </si>
  <si>
    <t>ANEL PRE-MOLDADO DE CONCRETO, D=0.80M, h = 0.50M</t>
  </si>
  <si>
    <t>I0085</t>
  </si>
  <si>
    <t>ANEL PRE-MOLDADO DE CONCRETO, D=0.80M, h = 1.00M</t>
  </si>
  <si>
    <t>I6224</t>
  </si>
  <si>
    <t>ASSENTO P/BANCO EM "U" PREMOLDADO DE CONCRETO</t>
  </si>
  <si>
    <t>I9396</t>
  </si>
  <si>
    <t>BLOQUETE/PISO INTERTRAVADO DE CONCRETO - MODELO RETANGULAR/TIJOLINHO/PAVER/HOLANDES/PARALELEPIPEDO, 20 CM X 10 CM, E = 10 CM, RESISTENCIA DE 35 MPA (NBR 9781), COR NATURAL</t>
  </si>
  <si>
    <t>I9379</t>
  </si>
  <si>
    <t>BLOQUETE/PISO INTERTRAVADO DE CONCRETO - MODELO RETANGULAR/TIJOLINHO/PAVER/HOLANDES/PARALELEPIPEDO, 20 CM X 10 CM, E = 6 CM, RESISTENCIA DE 35 MPA (NBR 9781), COLORIDO</t>
  </si>
  <si>
    <t>I9099</t>
  </si>
  <si>
    <t>BLOQUETE/PISO INTERTRAVADO DE CONCRETO - MODELO RETANGULAR/TIJOLINHO/PAVER/HOLANDES/PARALELEPIPEDO, 20 CM X 10 CM, E = 6 CM, RESISTENCIA DE 35 MPA (NBR 9781), COR NATURAL</t>
  </si>
  <si>
    <t>I9104</t>
  </si>
  <si>
    <t xml:space="preserve">BLOQUETE/PISO INTERTRAVADO DE CONCRETO - MODELO RETANGULAR/TIJOLINHO/PAVER/HOLANDES/PARALELEPIPEDO, 20 CM X 10 CM, E = 8 CM, RESISTENCIA DE 35 MPA (NBR 9781), COR NATURAL
</t>
  </si>
  <si>
    <t>I0433</t>
  </si>
  <si>
    <t>CAIXA PRE MOLDADA CONC. P/ AR CONDICIONADO</t>
  </si>
  <si>
    <t>I0434</t>
  </si>
  <si>
    <t>CAIXA PRE-MOLDADA PARA LIGAÇÃO ESGOTO C/ ALMOFADA</t>
  </si>
  <si>
    <t>I2455</t>
  </si>
  <si>
    <t>CALHA DE CONCRETO ARMADO D=0,30M</t>
  </si>
  <si>
    <t>I0448</t>
  </si>
  <si>
    <t>CALHA DE CONCRETO ARMADO D=0,40M</t>
  </si>
  <si>
    <t>I1093</t>
  </si>
  <si>
    <t>ESCADA HELICOIDAL PM CONCRETO D=1,0M</t>
  </si>
  <si>
    <t>I1096</t>
  </si>
  <si>
    <t>ESFERA PM-CONCRETO, D=25CM</t>
  </si>
  <si>
    <t>I1097</t>
  </si>
  <si>
    <t>ESFERA PM-CONCRETO, D=40CM</t>
  </si>
  <si>
    <t>I2327</t>
  </si>
  <si>
    <t>ESTACA DE CONCRETO ARMADO PONTA VIRADA, L=2.80M</t>
  </si>
  <si>
    <t>I7966</t>
  </si>
  <si>
    <t>LAJE DE FUNDO P/ FOSSA DE D=1,20M, E=0,10M</t>
  </si>
  <si>
    <t>I1339</t>
  </si>
  <si>
    <t>LAJE PRE-FABRICADA DE 8CM</t>
  </si>
  <si>
    <t>I8267</t>
  </si>
  <si>
    <t>LAJE PRÉ-FABRICADA COMUM DE 8 cm P/ FÔRRO - VÃO ACIMA DE 4,01 m</t>
  </si>
  <si>
    <t>I8276</t>
  </si>
  <si>
    <t>LAJE PRÉ-FABRICADA COMUM DE 8 cm P/ FÔRRO - VÃO ATÉ 2 m</t>
  </si>
  <si>
    <t>I8265</t>
  </si>
  <si>
    <t>LAJE PRÉ-FABRICADA COMUM DE 8 cm P/ FÔRRO - VÃO ATÉ 2,01 A 3 m</t>
  </si>
  <si>
    <t>I8266</t>
  </si>
  <si>
    <t>LAJE PRÉ-FABRICADA COMUM DE 8 cm P/ FÔRRO - VÃO DE 3,01 A 4 m</t>
  </si>
  <si>
    <t>I8264</t>
  </si>
  <si>
    <t>LAJE PRÉ-FABRICADA COMUM DE 8 cm P/ PISO - VÃO ACIMA DE 4,01 m</t>
  </si>
  <si>
    <t>I8275</t>
  </si>
  <si>
    <t>LAJE PRÉ-FABRICADA COMUM DE 8 cm P/ PISO - VÃO ATÉ 2 m</t>
  </si>
  <si>
    <t>I8262</t>
  </si>
  <si>
    <t>LAJE PRÉ-FABRICADA COMUM DE 8 cm P/ PISO - VÃO DE 2,01 A 3 m</t>
  </si>
  <si>
    <t>I8263</t>
  </si>
  <si>
    <t>LAJE PRÉ-FABRICADA COMUM DE 8 cm P/ PISO - VÃO DE 3,01 A 4 m</t>
  </si>
  <si>
    <t>I8285</t>
  </si>
  <si>
    <t>LAJE PRÉ-FABRICADA TRELIÇADA P/ FÔRRO, DE 12 cm DE ALTURA E 4 cm DE CAPEADO - VÃO ACIMA DE 5,01 m</t>
  </si>
  <si>
    <t>I8282</t>
  </si>
  <si>
    <t>LAJE PRÉ-FABRICADA TRELIÇADA P/ FÔRRO, DE 8 cm DE ALTURA E 2 cm DE CAPEADO - VÃO ATÉ 3 m</t>
  </si>
  <si>
    <t>I8283</t>
  </si>
  <si>
    <t>LAJE PRÉ-FABRICADA TRELIÇADA P/ FÔRRO, DE 8 cm DE ALTURA E 2 cm DE CAPEADO - VÃO DE 3,01 A 4,0 m</t>
  </si>
  <si>
    <t>I8284</t>
  </si>
  <si>
    <t>LAJE PRÉ-FABRICADA TRELIÇADA P/ FÔRRO, DE 8 cm DE ALTURA E 2 cm DE CAPEADO - VÃO DE 4,01 A 5,0 m</t>
  </si>
  <si>
    <t>I8281</t>
  </si>
  <si>
    <t>LAJE PRÉ-FABRICADA TRELIÇADA P/ PISO, DE 12 cm DE ALTURA E 4 cm DE CAPEADO - VÃO ACIMA 5,01 m</t>
  </si>
  <si>
    <t>I8277</t>
  </si>
  <si>
    <t>LAJE PRÉ-FABRICADA TRELIÇADA P/ PISO, DE 8 cm DE ALTURA E 2 cm DE CAPEADO - VÃO ATÉ 2 m</t>
  </si>
  <si>
    <t>I8278</t>
  </si>
  <si>
    <t>LAJE PRÉ-FABRICADA TRELIÇADA P/ PISO, DE 8 cm DE ALTURA E 2 cm DE CAPEADO - VÃO DE 2,01 A 3,0 m</t>
  </si>
  <si>
    <t>I8279</t>
  </si>
  <si>
    <t>LAJE PRÉ-FABRICADA TRELIÇADA P/ PISO, DE 8 cm DE ALTURA E 2 cm DE CAPEADO - VÃO DE 3,01 A 4,0 m</t>
  </si>
  <si>
    <t>I8280</t>
  </si>
  <si>
    <t>LAJE PRÉ-FABRICADA TRELIÇADA P/ PISO, DE 8 cm DE ALTURA E 2 cm DE CAPEADO - VÃO DE 4,01 A 5,0 m</t>
  </si>
  <si>
    <t>I1341</t>
  </si>
  <si>
    <t>LAJOTA PRE-MOLDADA DE CONCRETO E = 5cm</t>
  </si>
  <si>
    <t>I7402</t>
  </si>
  <si>
    <t>MANILHA DE CONCRETO CA-2 DN 600mm</t>
  </si>
  <si>
    <t>I0971</t>
  </si>
  <si>
    <t>MEIO FIO PRE MOLDADO DIM.=(0,07x0,30x1,00)m</t>
  </si>
  <si>
    <t>I1532</t>
  </si>
  <si>
    <t>MOURÃO CONCRETO 'T' H=2.7M C/45CM INCL. 3 FUROS</t>
  </si>
  <si>
    <t>I1533</t>
  </si>
  <si>
    <t>MOURÃO CONCRETO BASE 15X15CM H=2.3 C/ 12 FUROS</t>
  </si>
  <si>
    <t>I1534</t>
  </si>
  <si>
    <t>MOURÃO CONCRETO COM ENCAIXE 12X12X260CM</t>
  </si>
  <si>
    <t>I1553</t>
  </si>
  <si>
    <t>PAINEL DE CONCRETO PROTENDIDO 10CM</t>
  </si>
  <si>
    <t>I1554</t>
  </si>
  <si>
    <t>PAINEL DE CONCRETO PROTENDIDO 15CM</t>
  </si>
  <si>
    <t>I1555</t>
  </si>
  <si>
    <t>PAINEL DE CONCRETO PROTENDIDO 20CM</t>
  </si>
  <si>
    <t>I1559</t>
  </si>
  <si>
    <t>PAINEL-COBERTURA CONCR CELULAR 7.5X40X280CM</t>
  </si>
  <si>
    <t>I1560</t>
  </si>
  <si>
    <t>PAINEL-LAJE CONCRETO CELULAR 10X40X280CM</t>
  </si>
  <si>
    <t>I0242</t>
  </si>
  <si>
    <t>PAVIMENTO ARTICULADO COM 6 FACES e = 4,5 cm</t>
  </si>
  <si>
    <t>I0243</t>
  </si>
  <si>
    <t>PAVIMENTO ARTICULADO COM 6 FACES e = 6,0 cm</t>
  </si>
  <si>
    <t>I1662</t>
  </si>
  <si>
    <t>I6201</t>
  </si>
  <si>
    <t>I7004</t>
  </si>
  <si>
    <t>I8558</t>
  </si>
  <si>
    <t>I1667</t>
  </si>
  <si>
    <t>PLACA DE CONCRETO CELULAR 5CM</t>
  </si>
  <si>
    <t>I1671</t>
  </si>
  <si>
    <t>PLACA PRÉ-FABRICADA DE CONCRETO PARA MURO 200X50X3.5CM</t>
  </si>
  <si>
    <t>I6721</t>
  </si>
  <si>
    <t xml:space="preserve">RESERVATÓRIO PRÉ-MOLDADO ELEVADO CILINDRICO D=2,0M, CAP.=12,0M3, H=9,0M, CISTERNA CAP.=4,5M3, ESCADA METÁLICA COM GUARDA CORPO, ABRIGO P/ MOTOBOMBA COM PORTÃO DE FERRO - COMPLETO
</t>
  </si>
  <si>
    <t>I7403</t>
  </si>
  <si>
    <t>TAMPA DE CONCRETO P/ POÇO D=0,60m</t>
  </si>
  <si>
    <t>I7965</t>
  </si>
  <si>
    <t>TAMPA PRE-MOLDADA DE CONCRETO P/ FOSSA E SUMIDOURO DE  D=1,20M,E=0,10M</t>
  </si>
  <si>
    <t>COTAÇÃO / BLOCOS,TIJOLOS E ELEMENTOS VAZADOS</t>
  </si>
  <si>
    <t>I0225</t>
  </si>
  <si>
    <t>BLOCO CERAMICO ESTRUTURAL 14X19X39CM</t>
  </si>
  <si>
    <t>I0226</t>
  </si>
  <si>
    <t>BLOCO CERAMICO ESTRUTURAL 19X19X39CM</t>
  </si>
  <si>
    <t>I0227</t>
  </si>
  <si>
    <t>BLOCO CERAMICO ESTRUTURAL 9X19X39CM</t>
  </si>
  <si>
    <t>I0228</t>
  </si>
  <si>
    <t>BLOCO CERAMICO FURADO VEDAÇÃO - 19X19X39 CM</t>
  </si>
  <si>
    <t>I0229</t>
  </si>
  <si>
    <t>BLOCO CERAMICO FURADO VEDAÇÃO - 9X19X39 CM</t>
  </si>
  <si>
    <t>I8569</t>
  </si>
  <si>
    <t>BLOCO CERÂMICO ESTRUTURAL 14x19x29cm</t>
  </si>
  <si>
    <t>I0230</t>
  </si>
  <si>
    <t>BLOCO DE CONCRETO 14x19x39cm - ESTRUTURAL</t>
  </si>
  <si>
    <t>I0231</t>
  </si>
  <si>
    <t>BLOCO DE CONCRETO 14x19x39cm - VEDAÇÃO</t>
  </si>
  <si>
    <t>I0232</t>
  </si>
  <si>
    <t>BLOCO DE CONCRETO 19x19x39cm - ESTRUTURAL</t>
  </si>
  <si>
    <t>I0233</t>
  </si>
  <si>
    <t>BLOCO DE CONCRETO 19x19x39cm - VEDAÇÃO</t>
  </si>
  <si>
    <t>I6813</t>
  </si>
  <si>
    <t>BLOCO DE CONCRETO 9x19x39cm - VEDAÇÃO</t>
  </si>
  <si>
    <t>I0235</t>
  </si>
  <si>
    <t>BLOCO DE CONCRETO ARTICULADO 15X28X30CM</t>
  </si>
  <si>
    <t>I0236</t>
  </si>
  <si>
    <t>BLOCO DE CONCRETO ARTICULADO 15X45X60CM</t>
  </si>
  <si>
    <t>I6683</t>
  </si>
  <si>
    <t>BLOCO DE CONCRETO CINZA (14X19X49)cm TIPO STONE</t>
  </si>
  <si>
    <t>I6684</t>
  </si>
  <si>
    <t>BLOCO DE CONCRETO COLORIDO (14X19X49)cm TIPO STONE</t>
  </si>
  <si>
    <t>I0238</t>
  </si>
  <si>
    <t>BLOCO DE VIDRO - 20X20X10CM</t>
  </si>
  <si>
    <t>I0811</t>
  </si>
  <si>
    <t>COBOGO DE CIMENTO TIPO DIAMANTE</t>
  </si>
  <si>
    <t>I0822</t>
  </si>
  <si>
    <t>COBOGO DE CONCRETO TIPO PESTANA (32x12x6)CM</t>
  </si>
  <si>
    <t>I0823</t>
  </si>
  <si>
    <t>COBOGO DE CONCRETO TIPO VENEZIANO (50X50X6)CM</t>
  </si>
  <si>
    <t>I0810</t>
  </si>
  <si>
    <t>COBOGÓ ANTI-CHUVA (50x40)CM</t>
  </si>
  <si>
    <t>I8360</t>
  </si>
  <si>
    <t>COBOGÓ DE VIDRO 20x10x18 cm</t>
  </si>
  <si>
    <t>I1059</t>
  </si>
  <si>
    <t>ELEMENTO VAZADO CERÂMICO(20x20x10)CM</t>
  </si>
  <si>
    <t>I1060</t>
  </si>
  <si>
    <t>ELEMENTO VAZADO CONCRETO (20 X 10 X 6)CM</t>
  </si>
  <si>
    <t>I1058</t>
  </si>
  <si>
    <t>ELEMENTO VAZADO DE CONCRETO (20X20X20)CM</t>
  </si>
  <si>
    <t>I9512</t>
  </si>
  <si>
    <t>TIJOLINHO (20 X 10 X 4CM), COLORIDO</t>
  </si>
  <si>
    <t>I9513</t>
  </si>
  <si>
    <t>TIJOLINHO (20 X 10 X 4CM), COR NATURAL</t>
  </si>
  <si>
    <t>I7950</t>
  </si>
  <si>
    <t>TIJOLINHO APARENTE 6,50x18cm</t>
  </si>
  <si>
    <t>I2081</t>
  </si>
  <si>
    <t>TIJOLO CERÂMICO FURADO  9X19X19CM</t>
  </si>
  <si>
    <t>I2080</t>
  </si>
  <si>
    <t>TIJOLO CERÂMICO FURADO (10X20X30)CM</t>
  </si>
  <si>
    <t>I2443</t>
  </si>
  <si>
    <t>TIJOLO CERÂMICO PARA LAJE VOLTERRANA</t>
  </si>
  <si>
    <t>I6225</t>
  </si>
  <si>
    <t>TIJOLO MACIÇO CERÂMICO APARENTE LAMINADO (23 X11X5)CM</t>
  </si>
  <si>
    <t>I2082</t>
  </si>
  <si>
    <t>TIJOLO MACIÇO COMUM</t>
  </si>
  <si>
    <t>I2499</t>
  </si>
  <si>
    <t>TIJOLO REFRATARIO</t>
  </si>
  <si>
    <t>COTAÇÃO / DEFAULT</t>
  </si>
  <si>
    <t>I2708</t>
  </si>
  <si>
    <t>FUEL OIL</t>
  </si>
  <si>
    <t>I2707</t>
  </si>
  <si>
    <t>GASOLINA</t>
  </si>
  <si>
    <t>I2706</t>
  </si>
  <si>
    <t>OLEO DIESEL</t>
  </si>
  <si>
    <t>COTAÇÃO / DIVERSOS</t>
  </si>
  <si>
    <t>I8560</t>
  </si>
  <si>
    <t>ACELERADOR DE COBALTO 6%</t>
  </si>
  <si>
    <t>I7469</t>
  </si>
  <si>
    <t>ACETILENO</t>
  </si>
  <si>
    <t>I0028</t>
  </si>
  <si>
    <t>ADITIVO HIDROFUGO</t>
  </si>
  <si>
    <t>I0033</t>
  </si>
  <si>
    <t>AGLUTINANTE ORGANO-SINTETICO</t>
  </si>
  <si>
    <t>I0036</t>
  </si>
  <si>
    <t>AGULHA 125 PARA SACO</t>
  </si>
  <si>
    <t>I0086</t>
  </si>
  <si>
    <t>DM3</t>
  </si>
  <si>
    <t>I8414</t>
  </si>
  <si>
    <t>APOIO DO PORTA DENTE P/ FRESADORA</t>
  </si>
  <si>
    <t>I0183</t>
  </si>
  <si>
    <t>BALDE PLASTICO DE 10L</t>
  </si>
  <si>
    <t>I8642</t>
  </si>
  <si>
    <t>BARRA ANTI-PÂNICO DUPLA C/ TRAVA EM AÇO INOX</t>
  </si>
  <si>
    <t>I0217</t>
  </si>
  <si>
    <t>BICO DE JATO 5/16' P/JATEAMENTO DE AREIA</t>
  </si>
  <si>
    <t>I8193</t>
  </si>
  <si>
    <t>BITS P/ PERFURATRIZ</t>
  </si>
  <si>
    <t>I0266</t>
  </si>
  <si>
    <t>I8630</t>
  </si>
  <si>
    <t>BROCA 3/8"</t>
  </si>
  <si>
    <t>I1006</t>
  </si>
  <si>
    <t>BROCA DE WIDEA DE 1"</t>
  </si>
  <si>
    <t>I0453</t>
  </si>
  <si>
    <t>CALÇO PLASTICO</t>
  </si>
  <si>
    <t>I0495</t>
  </si>
  <si>
    <t>CARGA DE BATERIA A GASOLINA TIPO GOL</t>
  </si>
  <si>
    <t>I7377</t>
  </si>
  <si>
    <t>CARTUCHO DE SOLDA EXOTÉRMICA N.º 90</t>
  </si>
  <si>
    <t>I8559</t>
  </si>
  <si>
    <t>CATALISADOR MEK</t>
  </si>
  <si>
    <t>I0508</t>
  </si>
  <si>
    <t>CERA</t>
  </si>
  <si>
    <t>I0791</t>
  </si>
  <si>
    <t>CHUMBADOR DE 3/8''</t>
  </si>
  <si>
    <t>I8621</t>
  </si>
  <si>
    <t>COLA VINIL PARA PVC</t>
  </si>
  <si>
    <t>I8643</t>
  </si>
  <si>
    <t>CONJUNTO DE BOTOEIRAS EM BRAILLE</t>
  </si>
  <si>
    <t>I0857</t>
  </si>
  <si>
    <t>COPIA HELIOGRAFICA</t>
  </si>
  <si>
    <t>I6220</t>
  </si>
  <si>
    <t>CORDA DE NYLON DE 4mm</t>
  </si>
  <si>
    <t>I0858</t>
  </si>
  <si>
    <t>CORDA DE SISAL 1"</t>
  </si>
  <si>
    <t>I0859</t>
  </si>
  <si>
    <t>CORDA DE SISAL 1/2"</t>
  </si>
  <si>
    <t>I6751</t>
  </si>
  <si>
    <t>CORDA DE SISAL DE 1 1/4"</t>
  </si>
  <si>
    <t>I8564</t>
  </si>
  <si>
    <t>CÓPIA HELIOGRÁFICA PLANTA FORMATO A4 P/B</t>
  </si>
  <si>
    <t>M/L</t>
  </si>
  <si>
    <t>I8417</t>
  </si>
  <si>
    <t>DENTE DE CORTE P/ RECICLADORA</t>
  </si>
  <si>
    <t>I8413</t>
  </si>
  <si>
    <t>DENTE P/ FRESADORA</t>
  </si>
  <si>
    <t>I0965</t>
  </si>
  <si>
    <t>DESMOLDANTE PARA FORMAS</t>
  </si>
  <si>
    <t>I7373</t>
  </si>
  <si>
    <t>DETERGENTE</t>
  </si>
  <si>
    <t>I6036</t>
  </si>
  <si>
    <t>DIGITALIZAÇÃO PLANILHA FORMATO AO</t>
  </si>
  <si>
    <t>I2301</t>
  </si>
  <si>
    <t>DISCO DE CORTE 1/8" DE 7"</t>
  </si>
  <si>
    <t>I2302</t>
  </si>
  <si>
    <t>DISCO DE DESBASTE 1/4" DE 7"</t>
  </si>
  <si>
    <t>I0967</t>
  </si>
  <si>
    <t>DISCO DE DESBASTE DE 7'</t>
  </si>
  <si>
    <t>I8633</t>
  </si>
  <si>
    <t>DISCO DIAMANTADO PARA MÁQUINA DE CORTE</t>
  </si>
  <si>
    <t>I8563</t>
  </si>
  <si>
    <t>DIÁRIA EM GERAL</t>
  </si>
  <si>
    <t>I1061</t>
  </si>
  <si>
    <t>ELETRODOS</t>
  </si>
  <si>
    <t>I8566</t>
  </si>
  <si>
    <t>ESCANERIZAÇÃO DE PLANTA FORMATO A4</t>
  </si>
  <si>
    <t>I1101</t>
  </si>
  <si>
    <t>ESMERIL N.36</t>
  </si>
  <si>
    <t>I1102</t>
  </si>
  <si>
    <t>ESMERIL N.60</t>
  </si>
  <si>
    <t>I2342</t>
  </si>
  <si>
    <t>FIO PARA COSTURAR SACO</t>
  </si>
  <si>
    <t>I8620</t>
  </si>
  <si>
    <t>FITA ANTIDERRAPANTE LARG. 5cm FOSFORESCENTE 5m</t>
  </si>
  <si>
    <t>RL</t>
  </si>
  <si>
    <t>I8619</t>
  </si>
  <si>
    <t>FITA DUPLA FACE ACRÍLICA</t>
  </si>
  <si>
    <t>I8626</t>
  </si>
  <si>
    <t>FOLHA DE ADESIVO SILICONADO EM ALTO RELEVO</t>
  </si>
  <si>
    <t>I1218</t>
  </si>
  <si>
    <t>GAS</t>
  </si>
  <si>
    <t>I13304</t>
  </si>
  <si>
    <t>GRANALHA DE ACO, ANGULAR (GRIT), PARA JATEAMENTO, PENEIRA 1,41 A 1,19 MM (SAE G16) - SACA DE 25KG</t>
  </si>
  <si>
    <t>I8191</t>
  </si>
  <si>
    <t>HASTE P/ PERFURATRIZ</t>
  </si>
  <si>
    <t>I7378</t>
  </si>
  <si>
    <t>IGNEX - PALITO IGNITOR PARA SOLDA EXOTÉRMICA</t>
  </si>
  <si>
    <t>I8565</t>
  </si>
  <si>
    <t>IMPRESSÃO MONOCROMÁTICA EM PAPEL VEGETAL</t>
  </si>
  <si>
    <t>I2354</t>
  </si>
  <si>
    <t>I2356</t>
  </si>
  <si>
    <t>INJETOR P/APLICAÇÃO RESINA POLIURETANA</t>
  </si>
  <si>
    <t>I2360</t>
  </si>
  <si>
    <t>ISOPOR 20MM (PLACA DE 1,20 X 0,60 M)</t>
  </si>
  <si>
    <t>I2368</t>
  </si>
  <si>
    <t>LINHA DE NYLON REF. 050</t>
  </si>
  <si>
    <t>I8627</t>
  </si>
  <si>
    <t>LIXA D'ÁGUA N.100</t>
  </si>
  <si>
    <t>I8395</t>
  </si>
  <si>
    <t>LONA C/ APLICAÇÃO DE ILHOSES E LACRES, IMPRESSA C/ LOGOMARCAS E DESCRIÇÃO DA OBRA</t>
  </si>
  <si>
    <t>I1348</t>
  </si>
  <si>
    <t>LONA PLASTICA PRETA</t>
  </si>
  <si>
    <t>I8192</t>
  </si>
  <si>
    <t>LUVA P/ PERFURATRIZ</t>
  </si>
  <si>
    <t>I8555</t>
  </si>
  <si>
    <t>MANTA DE FIBRA DE VIDRO 450 g/m²</t>
  </si>
  <si>
    <t>I6804</t>
  </si>
  <si>
    <t>MASTIQUE ELASTICO A BASE DE POLIURETANO NA COR CINZA - UNIPLAC 400ml</t>
  </si>
  <si>
    <t>I7379</t>
  </si>
  <si>
    <t>MOLDE P/ SOLDA TIPO "T" ATÉ 35mm²</t>
  </si>
  <si>
    <t>I8628</t>
  </si>
  <si>
    <t>ORQUIMOL</t>
  </si>
  <si>
    <t>I0988</t>
  </si>
  <si>
    <t>OXIGÊNIO</t>
  </si>
  <si>
    <t>I6750</t>
  </si>
  <si>
    <t>PALHAS DE CARNAÚBA</t>
  </si>
  <si>
    <t>I6039</t>
  </si>
  <si>
    <t>PAPEL OFÍCIO</t>
  </si>
  <si>
    <t>I2385</t>
  </si>
  <si>
    <t>PAPEL VEGETAL GRAMATURA 90/95g</t>
  </si>
  <si>
    <t>I1596</t>
  </si>
  <si>
    <t>PASTA PARA SOLDAR 450G</t>
  </si>
  <si>
    <t>I2528</t>
  </si>
  <si>
    <t>PEÇAS DE DESGASTE DO BRITADOR</t>
  </si>
  <si>
    <t>I8967</t>
  </si>
  <si>
    <t>PLACA ACRÍLICA TRANSPARENTE ESP.=5MM</t>
  </si>
  <si>
    <t>I9150</t>
  </si>
  <si>
    <t>PLACA DE ACRILICO TRANSPARENTE ADESIVADA PARA SINALIZACAO DE PORTAS, BORDA POLIDA, DE *25 X 8*, E = 6 MM (NAO INCLUI ACESSORIOS PARA FIXACAO)</t>
  </si>
  <si>
    <t>I8424</t>
  </si>
  <si>
    <t>PLACA DE INAUGURAÇÃO DE OBRA (35x35)cm, EM AÇO INOX, COM IMPRESSÃO EM BAIXO RELEVO</t>
  </si>
  <si>
    <t>I8635</t>
  </si>
  <si>
    <t>PLACA EM ACRÍLICO 60x40cm COM TEXTOS EM BRAILLE E ALTO RELEVO</t>
  </si>
  <si>
    <t>I8649</t>
  </si>
  <si>
    <t>I7919</t>
  </si>
  <si>
    <t>POLIESTIRENO EXPANDIDO (ISOPOR) EM CAIXÃO PERDIDO</t>
  </si>
  <si>
    <t>I1686</t>
  </si>
  <si>
    <t>POLIESTIRENO EXPANDIDO DE 5CM (ISOPOR)</t>
  </si>
  <si>
    <t>I8412</t>
  </si>
  <si>
    <t>PORTA DENTE P/ FRESADORA</t>
  </si>
  <si>
    <t>I8416</t>
  </si>
  <si>
    <t>PORTA DENTES P/ RECICLADORA</t>
  </si>
  <si>
    <t>I8190</t>
  </si>
  <si>
    <t>PUNHO P/ PERFURATRIZ</t>
  </si>
  <si>
    <t>I8639</t>
  </si>
  <si>
    <t>I8556</t>
  </si>
  <si>
    <t>RESINA POLIÉSTER COMUM</t>
  </si>
  <si>
    <t>I8561</t>
  </si>
  <si>
    <t>RESINA POLIÉSTER ISOFTÁLICA</t>
  </si>
  <si>
    <t>I9071</t>
  </si>
  <si>
    <t>RESISTÊNCIA À COMPRESSÃO CORPO-DE-PROVA CILÍNDRICO DE CONCRETO E ARGAMASSA</t>
  </si>
  <si>
    <t>I2418</t>
  </si>
  <si>
    <t>SACO PLÁSTICO EM PROLIPROPILENO PARA 50kg</t>
  </si>
  <si>
    <t>I1842</t>
  </si>
  <si>
    <t>SACOS PLÁSTICOS</t>
  </si>
  <si>
    <t>I7484</t>
  </si>
  <si>
    <t>SEPAROL</t>
  </si>
  <si>
    <t>I8644</t>
  </si>
  <si>
    <t>SISTEMA DE SINALIZAÇÃO SONORA</t>
  </si>
  <si>
    <t>I1872</t>
  </si>
  <si>
    <t>SOLDA 50X50</t>
  </si>
  <si>
    <t>I1873</t>
  </si>
  <si>
    <t>SOLDA 70X30</t>
  </si>
  <si>
    <t>I1899</t>
  </si>
  <si>
    <t>I2535</t>
  </si>
  <si>
    <t>SÉRIE DE BROCAS S.12 D=22MM</t>
  </si>
  <si>
    <t>JG</t>
  </si>
  <si>
    <t>I8640</t>
  </si>
  <si>
    <t>SÍMBOLO INTERNACIONAL DE ACESSO - SIA</t>
  </si>
  <si>
    <t>I2033</t>
  </si>
  <si>
    <t>TELA ADESIVA DE POLIESTER 15CM</t>
  </si>
  <si>
    <t>I8631</t>
  </si>
  <si>
    <t>THINNER (DILUENTE COM ALTO PODER DE ABSORÇÃO PARA REMOÇÃO DE TINTAS)</t>
  </si>
  <si>
    <t>I2104</t>
  </si>
  <si>
    <t>TIROS E PINOS DE AÇO PARA FIXAÇÃO</t>
  </si>
  <si>
    <t>I9526</t>
  </si>
  <si>
    <t>VARETA PARA SOLDA OXI-GÁS AWS A 5.2 R45</t>
  </si>
  <si>
    <t>I8629</t>
  </si>
  <si>
    <t>VINIL AUTO-ADESIVO FOSCO OU BRILHANTE C/ APLICAÇÃO</t>
  </si>
  <si>
    <t>I6041</t>
  </si>
  <si>
    <t>XEROX</t>
  </si>
  <si>
    <t>COTAÇÃO / ENERGIA ELÉTRICA - L.T. / S.E. / R.D.E</t>
  </si>
  <si>
    <t>I8158</t>
  </si>
  <si>
    <t>CABO DE ALUMÍNIO COM ALMA DE AÇO, BITOLA 1/0 AWG, FORMAÇÃO 6/1 FIOS - RAVEM</t>
  </si>
  <si>
    <t>I8157</t>
  </si>
  <si>
    <t>CABO DE ALUMÍNIO COM ALMA DE AÇO, BITOLA 2 AWG, FORMAÇÃO 6/1 FIOS - SPARROW</t>
  </si>
  <si>
    <t>I8159</t>
  </si>
  <si>
    <t>CABO DE ALUMÍNIO COM ALMA DE AÇO, BITOLA 2/0 AWG, FORMAÇÃO 6/1 FIOS - QUAIL</t>
  </si>
  <si>
    <t>I8162</t>
  </si>
  <si>
    <t>CABO DE ALUMÍNIO COM ALMA DE AÇO, BITOLA 266,8 MCM, FORMAÇÃO 26/7 FIOS - PARTRIDGE</t>
  </si>
  <si>
    <t>I8160</t>
  </si>
  <si>
    <t>CABO DE ALUMÍNIO COM ALMA DE AÇO, BITOLA 3/0 AWG, FORMAÇÃO 6/1 FIOS - PIGEON</t>
  </si>
  <si>
    <t>I8163</t>
  </si>
  <si>
    <t>CABO DE ALUMÍNIO COM ALMA DE AÇO, BITOLA 300 MCM, FORMAÇÃO 26/7 FIOS - OSTRICH</t>
  </si>
  <si>
    <t>I8164</t>
  </si>
  <si>
    <t>CABO DE ALUMÍNIO COM ALMA DE AÇO, BITOLA 336,6 MCM, FORMAÇÃO 26/7 FIOS - LINNET</t>
  </si>
  <si>
    <t>I8165</t>
  </si>
  <si>
    <t>CABO DE ALUMÍNIO COM ALMA DE AÇO, BITOLA 397,5 MCM, FORMAÇÃO 26/7 FIOS - IBIS</t>
  </si>
  <si>
    <t>I8156</t>
  </si>
  <si>
    <t>CABO DE ALUMÍNIO COM ALMA DE AÇO, BITOLA 4 AWG, FORMAÇÃO 6/1 FIOS - SWAN</t>
  </si>
  <si>
    <t>I8161</t>
  </si>
  <si>
    <t>CABO DE ALUMÍNIO COM ALMA DE AÇO, BITOLA 4/0 AWG, FORMAÇÃO 6/1 FIOS - PENGUIN</t>
  </si>
  <si>
    <t>I8166</t>
  </si>
  <si>
    <t>CABO DE ALUMÍNIO COM ALMA DE AÇO, BITOLA 477 MCM, FORMAÇÃO 26/7 FIOS - HAWK</t>
  </si>
  <si>
    <t>I8167</t>
  </si>
  <si>
    <t>CABO DE ALUMÍNIO COM ALMA DE AÇO, BITOLA 556,5 MCM, FORMAÇÃO 26/7 FIOS - DOVE</t>
  </si>
  <si>
    <t>I8175</t>
  </si>
  <si>
    <t>CABO DE ALUMÍNIO LIGA 6201, FORMAÇÃO 19 FIOS, SEÇÃO 160 mm² - BUTTE</t>
  </si>
  <si>
    <t>I8170</t>
  </si>
  <si>
    <t>CABO DE ALUMÍNIO SIMPLES, TIPO CA, BITOLA 1/0 AWG, FORMAÇÃO 7/3,12</t>
  </si>
  <si>
    <t>I8169</t>
  </si>
  <si>
    <t>CABO DE ALUMÍNIO SIMPLES, TIPO CA, BITOLA 2 AWG, FORMAÇÃO 7/2,47</t>
  </si>
  <si>
    <t>I8171</t>
  </si>
  <si>
    <t>CABO DE ALUMÍNIO SIMPLES, TIPO CA, BITOLA 2/0 AWG, FORMAÇÃO 7/3,50</t>
  </si>
  <si>
    <t>I8174</t>
  </si>
  <si>
    <t>CABO DE ALUMÍNIO SIMPLES, TIPO CA, BITOLA 266,8 MCM, FORMAÇÃO 7/4,96</t>
  </si>
  <si>
    <t>I8172</t>
  </si>
  <si>
    <t>CABO DE ALUMÍNIO SIMPLES, TIPO CA, BITOLA 3/0 AWG, FORMAÇÃO 7/3,93</t>
  </si>
  <si>
    <t>I8168</t>
  </si>
  <si>
    <t>CABO DE ALUMÍNIO SIMPLES, TIPO CA, BITOLA 4 AWG, FORMAÇÃO 7/1,96</t>
  </si>
  <si>
    <t>I8173</t>
  </si>
  <si>
    <t>CABO DE ALUMÍNIO SIMPLES, TIPO CA, BITOLA 4/0 AWG, FORMAÇÃO 7/4,42</t>
  </si>
  <si>
    <t>I8181</t>
  </si>
  <si>
    <t>CABO DE COBRE NÚ, TÊMPERA MEIO DURA, SEÇÃO 120mm², FORMAÇÃO 19 FIOS</t>
  </si>
  <si>
    <t>I8182</t>
  </si>
  <si>
    <t>CABO DE COBRE NÚ, TÊMPERA MEIO DURA, SEÇÃO 150mm², FORMAÇÃO 19 FIOS</t>
  </si>
  <si>
    <t>I8183</t>
  </si>
  <si>
    <t>CABO DE COBRE NÚ, TÊMPERA MEIO DURA, SEÇÃO 185mm², FORMAÇÃO 19 FIOS</t>
  </si>
  <si>
    <t>I8184</t>
  </si>
  <si>
    <t>CABO DE COBRE NÚ, TÊMPERA MEIO DURA, SEÇÃO 240mm², FORMAÇÃO 19 FIOS</t>
  </si>
  <si>
    <t>I8176</t>
  </si>
  <si>
    <t>CABO DE COBRE NÚ, TÊMPERA MEIO DURA, SEÇÃO 25mm², FORMAÇÃO 7 FIOS</t>
  </si>
  <si>
    <t>I8177</t>
  </si>
  <si>
    <t>CABO DE COBRE NÚ, TÊMPERA MEIO DURA, SEÇÃO 35mm², FORMAÇÃO 7 FIOS</t>
  </si>
  <si>
    <t>I8178</t>
  </si>
  <si>
    <t>CABO DE COBRE NÚ, TÊMPERA MEIO DURA, SEÇÃO 50mm², FORMAÇÃO 7 FIOS</t>
  </si>
  <si>
    <t>I8179</t>
  </si>
  <si>
    <t>CABO DE COBRE NÚ, TÊMPERA MEIO DURA, SEÇÃO 70mm², FORMAÇÃO 7 FIOS</t>
  </si>
  <si>
    <t>I8180</t>
  </si>
  <si>
    <t>CABO DE COBRE NÚ, TÊMPERA MEIO DURA, SEÇÃO 95mm², FORMAÇÃO 19 FIOS</t>
  </si>
  <si>
    <t>I2448</t>
  </si>
  <si>
    <t>TRANSFORMADOR DE DISTRIBUIÇÃO A ÓLEO ISOLANTE MINERAL,   15 KVA/13.800, TENSÃO SECUNDÁRIA 380/220V, USO EM POSTE, COM SELO INMETRO E PROCEL LETRA D, COR CINZA MUNSELL 6,5, Norma NBR:5440;2014.</t>
  </si>
  <si>
    <t>I2449</t>
  </si>
  <si>
    <t>TRANSFORMADOR DE DISTRIBUIÇÃO A ÓLEO ISOLANTE MINERAL,   30KVA/13.800, TENSÃO SECUNDÁRIA 380/220V, USO EM POSTE, COM SELO INMETRO E PROCEL LETRA D, COR CINZA MUNSELL 6,5, Norma NBR:5440;2014.</t>
  </si>
  <si>
    <t>I2149</t>
  </si>
  <si>
    <t>TRANSFORMADOR DE DISTRIBUIÇÃO A ÓLEO ISOLANTE MINERAL,   45KVA/13.800, TENSÃO SECUNDÁRIA 380/220V, USO EM POSTE, COM SELO INMETRO E PROCEL LETRA D, COR CINZA MUNSELL 6,5, Norma NBR:5440;2014.</t>
  </si>
  <si>
    <t>I2151</t>
  </si>
  <si>
    <t>TRANSFORMADOR DE DISTRIBUIÇÃO A ÓLEO ISOLANTE MINERAL,   75KVA/13.800, TENSÃO SECUNDÁRIA 380/220V, USO EM POSTE, COM SELO INMETRO E PROCEL LETRA D, COR CINZA MUNSELL 6,5, Norma NBR:5440;2014.</t>
  </si>
  <si>
    <t>I2144</t>
  </si>
  <si>
    <t>TRANSFORMADOR DE DISTRIBUIÇÃO A ÓLEO ISOLANTE MINERAL,  112,5KVA/13.800, TENSÃO SECUNDÁRIA 380/220V, USO EM POSTE, COM SELO INMETRO E PROCEL LETRA D, COR CINZA MUNSELL 6,5, Norma NBR:5440;2014.</t>
  </si>
  <si>
    <t>I2145</t>
  </si>
  <si>
    <t>TRANSFORMADOR DE DISTRIBUIÇÃO A ÓLEO ISOLANTE MINERAL,  150KVA/13.800, TENSÃO SECUNDÁRIA 380/220V, USO EM POSTE, COM SELO INMETRO E PROCEL LETRA D, COR CINZA MUNSELL 6,5, Norma NBR:5440;2014.</t>
  </si>
  <si>
    <t>I2146</t>
  </si>
  <si>
    <t>TRANSFORMADOR DE DISTRIBUIÇÃO A ÓLEO ISOLANTE MINERAL,  225KVA/13.800, TENSÃO SECUNDÁRIA 380/220V, USO EM POSTE, COM SELO INMETRO E PROCEL LETRA D, COR CINZA MUNSELL 6,5, Norma NBR:5440;2014.</t>
  </si>
  <si>
    <t>I2148</t>
  </si>
  <si>
    <t>TRANSFORMADOR DE DISTRIBUIÇÃO A ÓLEO ISOLANTE MINERAL,  300KVA/13.800, TENSÃO SECUNDÁRIA 380/220V, USO EM POSTE, COM SELO INMETRO E PROCEL LETRA D, COR CINZA MUNSELL 6,5, Norma NBR:5440;2014.</t>
  </si>
  <si>
    <t>I2150</t>
  </si>
  <si>
    <t>TRANSFORMADOR DE DISTRIBUIÇÃO A ÓLEO ISOLANTE MINERAL,  500KVA/13.800, TENSÃO SECUNDÁRIA 380/220V, COM SELO INMETRO E PROCEL LETRA D, COR CINZA MUNSELL 6,5, Norma NBR:5440;2014.</t>
  </si>
  <si>
    <t>I8185</t>
  </si>
  <si>
    <t>TRANSFORMADOR DE DISTRIBUIÇÃO A ÓLEO ISOLANTE MINERAL,  750KVA/13.800, TENSÃO SECUNDÁRIA 380/220V, COM SELO INMETRO E PROCEL LETRA D, COR CINZA MUNSELL 6,5, Norma NBR:5440;2014.</t>
  </si>
  <si>
    <t>I8186</t>
  </si>
  <si>
    <t>TRANSFORMADOR DE DISTRIBUIÇÃO A ÓLEO ISOLANTE MINERAL, 1000KVA/13.800, TENSÃO SECUNDÁRIA 380/220V, COM SELO INMETRO E PROCEL LETRA D, COR CINZA MUNSELL 6,5, Norma NBR:5440;2014.</t>
  </si>
  <si>
    <t>I8187</t>
  </si>
  <si>
    <t>TRANSFORMADOR DE DISTRIBUIÇÃO A ÓLEO ISOLANTE MINERAL, 1250KVA/13.800, TENSÃO SECUNDÁRIA 380/220V, COM SELO INMETRO E PROCEL LETRA D, COR CINZA MUNSELL 6,5, Norma NBR:5440;2014.</t>
  </si>
  <si>
    <t>I8188</t>
  </si>
  <si>
    <t>TRANSFORMADOR DE DISTRIBUIÇÃO A ÓLEO ISOLANTE MINERAL, 1500KVA/13.800, TENSÃO SECUNDÁRIA 380/220V, COM SELO INMETRO E PROCEL LETRA D, COR CINZA MUNSELL 6,5, Norma NBR:5440;2014.</t>
  </si>
  <si>
    <t>I2538</t>
  </si>
  <si>
    <t>TRANSFORMADOR DE FORÇA 2.000KVA - 13,8 / 0,44-0,24 KV</t>
  </si>
  <si>
    <t>I2519</t>
  </si>
  <si>
    <t>TRANSFORMADOR DE FORÇA 500 KVA - 13,8 / 0,38-0,22 KV</t>
  </si>
  <si>
    <t>I8257</t>
  </si>
  <si>
    <t>TRANSFORMADOR DE FORÇA À SECO 2.500KVA/13.800-440/240V</t>
  </si>
  <si>
    <t>I8256</t>
  </si>
  <si>
    <t>TRANSFORMADOR DE FORÇA À SECO 750 KVA/13.800-380/220V</t>
  </si>
  <si>
    <t>COTAÇÃO / EQ.AQUISICAO</t>
  </si>
  <si>
    <t>I7459</t>
  </si>
  <si>
    <t>APARELHO OXI-ACETILENO</t>
  </si>
  <si>
    <t>I2595</t>
  </si>
  <si>
    <t>AQUECEDOR DE FLUIDO TÉRMICO</t>
  </si>
  <si>
    <t>I2693</t>
  </si>
  <si>
    <t>BATE ESTACA</t>
  </si>
  <si>
    <t>I2596</t>
  </si>
  <si>
    <t>BETONEIRA COM MOTOR DIESEL</t>
  </si>
  <si>
    <t>I2665</t>
  </si>
  <si>
    <t>BETONEIRA ELÉTRICA 320L</t>
  </si>
  <si>
    <t>I2666</t>
  </si>
  <si>
    <t>BETONEIRA ELÉTRICA 580L</t>
  </si>
  <si>
    <t>I2597</t>
  </si>
  <si>
    <t>BOMBA COM MOTOR DIESEL</t>
  </si>
  <si>
    <t>I2667</t>
  </si>
  <si>
    <t>BOMBA ELÉTRICA P/ DRENAGEM (1,3HP)</t>
  </si>
  <si>
    <t>I2668</t>
  </si>
  <si>
    <t>BOMBA ELÉTRICA P/ DRENAGEM (3,6HP)</t>
  </si>
  <si>
    <t>I2669</t>
  </si>
  <si>
    <t>BOMBA SUBMERSÍVEL ABS</t>
  </si>
  <si>
    <t>I2670</t>
  </si>
  <si>
    <t>BOMBA SUBMERSÍVEL FLYGT</t>
  </si>
  <si>
    <t>I9516</t>
  </si>
  <si>
    <t>CALANDRA PARA CHAPA DE AÇO ATÉ 25MM - 22KW</t>
  </si>
  <si>
    <t>I2598</t>
  </si>
  <si>
    <t>CAMINHÃO ADAPTADO A JATO</t>
  </si>
  <si>
    <t>I2599</t>
  </si>
  <si>
    <t>CAMINHÃO ADAPTADO A VÁCUO</t>
  </si>
  <si>
    <t>I2600</t>
  </si>
  <si>
    <t>CAMINHÃO BASCULANTE 12 M3</t>
  </si>
  <si>
    <t>I2602</t>
  </si>
  <si>
    <t>CAMINHÃO BASCULANTE 6 M3</t>
  </si>
  <si>
    <t>I2604</t>
  </si>
  <si>
    <t>CAMINHÃO BASCULANTE P/ ROCHA</t>
  </si>
  <si>
    <t>I2607</t>
  </si>
  <si>
    <t>CAMINHÃO C/CARROCERIA DE MADEIRA HP  92</t>
  </si>
  <si>
    <t>I2605</t>
  </si>
  <si>
    <t>CAMINHÃO C/CARROCERIA DE MADEIRA HP 136</t>
  </si>
  <si>
    <t>I2606</t>
  </si>
  <si>
    <t>CAMINHÃO C/CARROCERIA DE MADEIRA HP 184</t>
  </si>
  <si>
    <t>I2608</t>
  </si>
  <si>
    <t>CAMINHÃO COMERCIAL EQUIP.C/ GUINDASTE</t>
  </si>
  <si>
    <t>I2609</t>
  </si>
  <si>
    <t>CAMINHÃO DISTRIBUIDOR DE LIGANTE</t>
  </si>
  <si>
    <t>I2611</t>
  </si>
  <si>
    <t>CAMINHÃO EQUIP.C/ USINA LAMA ASF.</t>
  </si>
  <si>
    <t>I2671</t>
  </si>
  <si>
    <t>CAMINHÃO TANQUE 6.000 l</t>
  </si>
  <si>
    <t>I2613</t>
  </si>
  <si>
    <t>CAMINHÃO TANQUE 8.000 l</t>
  </si>
  <si>
    <t>I2615</t>
  </si>
  <si>
    <t>CAMPÂNULA DE AR COMPRIMIDO</t>
  </si>
  <si>
    <t>I2616</t>
  </si>
  <si>
    <t>CARREGADEIRA DE PNEUS HP 111</t>
  </si>
  <si>
    <t>I2618</t>
  </si>
  <si>
    <t>CARREGADEIRA DE PNEUS HP 180</t>
  </si>
  <si>
    <t>I2620</t>
  </si>
  <si>
    <t>CARRINHO DE MÃO</t>
  </si>
  <si>
    <t>I0982</t>
  </si>
  <si>
    <t>CARRO TROLLEY P/ 0,5 T</t>
  </si>
  <si>
    <t>I0985</t>
  </si>
  <si>
    <t>CARRO TROLLEY P/ 1,0 a 2,0 T</t>
  </si>
  <si>
    <t>I2673</t>
  </si>
  <si>
    <t>CAVALO MECÂNICO C/ PRANCHA 2 EIXOS</t>
  </si>
  <si>
    <t>I2674</t>
  </si>
  <si>
    <t>CAVALO MECÂNICO C/ PRANCHA 3 EIXOS</t>
  </si>
  <si>
    <t>I2631</t>
  </si>
  <si>
    <t>COMPACTADOR DE PLACA VIBRATÓRIA HP 4</t>
  </si>
  <si>
    <t>I2694</t>
  </si>
  <si>
    <t>COMPACTADOR DE PLACA VIBRATÓRIA HP 7</t>
  </si>
  <si>
    <t>I2627</t>
  </si>
  <si>
    <t>COMPACTADOR DE PNEUS PRESSÃO VAR. AUTOPROPELIDO</t>
  </si>
  <si>
    <t>I2628</t>
  </si>
  <si>
    <t>COMPACTADOR LISO TANDEM AUTOPROPELIDO</t>
  </si>
  <si>
    <t>I2629</t>
  </si>
  <si>
    <t>COMPACTADOR LISO VIBRATÓRIO AUTOPROPELIDO</t>
  </si>
  <si>
    <t>G0456</t>
  </si>
  <si>
    <t>COMPACTADOR MANUAL C/ SOQUETE VIBRATÓRIO - 4,1 KW</t>
  </si>
  <si>
    <t>I2630</t>
  </si>
  <si>
    <t>COMPACTADOR PÉ DE CARNEIRO VIBRATÓRIO AUTOPROPELIDO</t>
  </si>
  <si>
    <t>I2632</t>
  </si>
  <si>
    <t>COMPRESSOR DE AR 170 PCM</t>
  </si>
  <si>
    <t>I2633</t>
  </si>
  <si>
    <t>COMPRESSOR DE AR 250 PCM</t>
  </si>
  <si>
    <t>I2675</t>
  </si>
  <si>
    <t>COMPRESSOR DE AR 335 PCM</t>
  </si>
  <si>
    <t>I2676</t>
  </si>
  <si>
    <t>COMPRESSOR DE AR 765 PCM</t>
  </si>
  <si>
    <t>G0460</t>
  </si>
  <si>
    <t>COMPRESSOR DE AR PORTÁTIL DE 197PCM - 55 KW</t>
  </si>
  <si>
    <t>G0431</t>
  </si>
  <si>
    <t>COMPRESSOR TIPO PISTÃO DE 12 BAR, 20 PCM, 5HP</t>
  </si>
  <si>
    <t>G0444</t>
  </si>
  <si>
    <t>COMPRESSOR VAZÃO 150 M3/HORA 7 BAR 20 19,40 KW</t>
  </si>
  <si>
    <t>I2677</t>
  </si>
  <si>
    <t>COMPUTADOR PENTIUM</t>
  </si>
  <si>
    <t>I2634</t>
  </si>
  <si>
    <t>CONJUNTO DE BRITAGEM 30 M3/H</t>
  </si>
  <si>
    <t>I2678</t>
  </si>
  <si>
    <t>DESEMPENADEIRA ELÉTRICA</t>
  </si>
  <si>
    <t>I2679</t>
  </si>
  <si>
    <t>DRAG LINE</t>
  </si>
  <si>
    <t>I9390</t>
  </si>
  <si>
    <t xml:space="preserve">EQUIPAMENTO DE PINTURA COM CABINE DE 7,0 KW E ESTUFA DE 80.000 KCAL PARA PINTURA ELETRÓSTÁTICA
</t>
  </si>
  <si>
    <t>I9400</t>
  </si>
  <si>
    <t>ESCAVADEIRA HIDRÁULICA C/ ROMPEDOR DE 1700 KG - 103 KW</t>
  </si>
  <si>
    <t>I2635</t>
  </si>
  <si>
    <t>ESCAVADEIRA HIDRÁULICA DE LONGO ALCANCE SOBRE ESTEIRAS - 103 KW (137HP)</t>
  </si>
  <si>
    <t>I10262</t>
  </si>
  <si>
    <t>ESCAVADEIRA HIDRÁULICA SOBRE ESTEIRAS, CAÇAMBA 0,80 M3, PESO OPERACIONAL 17 T, POTENCIA BRUTA 111 HP</t>
  </si>
  <si>
    <t>I2680</t>
  </si>
  <si>
    <t>ESMERILHADEIRA INDUSTRIAL</t>
  </si>
  <si>
    <t>I2637</t>
  </si>
  <si>
    <t>ESPALHADOR DE AGREGADOS REBOCÁVEL</t>
  </si>
  <si>
    <t>I9132</t>
  </si>
  <si>
    <t>ESTAÇÃO TOTAL TIPO TRIMBLE M3</t>
  </si>
  <si>
    <t>I8418</t>
  </si>
  <si>
    <t xml:space="preserve">FRESADORA A FRIO - 208HP
</t>
  </si>
  <si>
    <t>I9376</t>
  </si>
  <si>
    <t>FURADEIRA DE IMPACTO DE 12,5 MM - 0,8 KW</t>
  </si>
  <si>
    <t>G0434</t>
  </si>
  <si>
    <t>GERADOR A GASOLINA, POTÊNCIA 7,5 HP (5,5KW)</t>
  </si>
  <si>
    <t>I2638</t>
  </si>
  <si>
    <t>GRADE DE DISCOS</t>
  </si>
  <si>
    <t>I9380</t>
  </si>
  <si>
    <t>GRUPO GERADOR - 11 KW - 13 / 14 KVA</t>
  </si>
  <si>
    <t>I2639</t>
  </si>
  <si>
    <t>GRUPO GERADOR - 145 KVA</t>
  </si>
  <si>
    <t>I2640</t>
  </si>
  <si>
    <t>GRUPO GERADOR - 180 KVA</t>
  </si>
  <si>
    <t>I2641</t>
  </si>
  <si>
    <t>GRUPO GERADOR 36 KVA</t>
  </si>
  <si>
    <t>I2681</t>
  </si>
  <si>
    <t>GUINDASTE DE TORRE HP 11</t>
  </si>
  <si>
    <t>I2682</t>
  </si>
  <si>
    <t>GUINDASTE DE TORRE HP 20</t>
  </si>
  <si>
    <t>I2683</t>
  </si>
  <si>
    <t>GUINDASTE DE TORRE HP 40</t>
  </si>
  <si>
    <t>I2684</t>
  </si>
  <si>
    <t>GUINDASTE HIDRÁULICO SOBRE PNEUS HP  45</t>
  </si>
  <si>
    <t>I2685</t>
  </si>
  <si>
    <t>GUINDASTE HIDRÁULICO SOBRE PNEUS HP 142</t>
  </si>
  <si>
    <t>I9534</t>
  </si>
  <si>
    <t xml:space="preserve">GUNIDASTE SOBRE ESTEIRA 220 KW - CAPAC. 40 TON
</t>
  </si>
  <si>
    <t>G0427</t>
  </si>
  <si>
    <t>HOLIDAY DETECTOR DE FALHA DE REVESTIMENTO EM MANTA TERMOCONTRÁTIL - VOLTAGEM DE 12 KV A 20 KV, DE CORRENTE PULSANTE, VIA SECA, CONFORME NORMA NACE STANDARD RP-0274</t>
  </si>
  <si>
    <t>I9129</t>
  </si>
  <si>
    <t>IMPRESSORA TÉRMICA PORTÁTIL</t>
  </si>
  <si>
    <t>I8979</t>
  </si>
  <si>
    <t>KIT GEOFONE ELETRÔNICO C/ FILTROS</t>
  </si>
  <si>
    <t>I9090</t>
  </si>
  <si>
    <t>KIT LOGGERS DE RUÍDOS</t>
  </si>
  <si>
    <t>G0424</t>
  </si>
  <si>
    <t>LOCALIZADOR PARA FURO DIRECIONAL, COM RECEPTOR, DISPLAY REMOTO COM SONDA/TRANSMISSOR, ALCANCE APROXIMADO COM PITCH E FREQUÊNCIA</t>
  </si>
  <si>
    <t>I2644</t>
  </si>
  <si>
    <t>MESA VIBRATÓRIA E FORMAS</t>
  </si>
  <si>
    <t>I2689</t>
  </si>
  <si>
    <t>MICROTRATOR C/ APAR. DE GRAMA</t>
  </si>
  <si>
    <t>I8968</t>
  </si>
  <si>
    <t>MOTO CG 125</t>
  </si>
  <si>
    <t>I2690</t>
  </si>
  <si>
    <t>MOTO ESCAVO TRANSPORTADOR</t>
  </si>
  <si>
    <t>I2645</t>
  </si>
  <si>
    <t>MOTONIVELADORA</t>
  </si>
  <si>
    <t>I9384</t>
  </si>
  <si>
    <t>MÁQUINA DE BANCADA GUILHOTINA - 4KW</t>
  </si>
  <si>
    <t>I9387</t>
  </si>
  <si>
    <t>MÁQUINA DE BANCADA UNIVERSAL PARA CORTE DE CHAPA - 1,5 KW</t>
  </si>
  <si>
    <t>G0413</t>
  </si>
  <si>
    <t>MÁQUINA DE FURO DIRECIONAL COM PULL-BACK DE 24000 LIBRAS (10.000KGF)</t>
  </si>
  <si>
    <t>G0417</t>
  </si>
  <si>
    <t>MÁQUINA DE FURO DIRECIONAL COM PULL-BACK DE 40000  LIBRAS (15.000KGF)</t>
  </si>
  <si>
    <t>I2686</t>
  </si>
  <si>
    <t>MÁQUINA DE POLIR</t>
  </si>
  <si>
    <t>G0438</t>
  </si>
  <si>
    <t>MÁQUINA DE SOLDA ELETROFUSÃO</t>
  </si>
  <si>
    <t>I2687</t>
  </si>
  <si>
    <t>MÁQUINA DE SOLDA ELÉTRICA 8KVA</t>
  </si>
  <si>
    <t>I2642</t>
  </si>
  <si>
    <t>MÁQUINA P/ CONCRETO PROJETADO</t>
  </si>
  <si>
    <t>I2688</t>
  </si>
  <si>
    <t>MÁQUINA P/ JATEAMENTO</t>
  </si>
  <si>
    <t>I2643</t>
  </si>
  <si>
    <t>MÁQUINA P/ PINTURA FAIXAS SINAL. AUTOPROPELIDO</t>
  </si>
  <si>
    <t>I2691</t>
  </si>
  <si>
    <t>NÍVEL</t>
  </si>
  <si>
    <t>I13306</t>
  </si>
  <si>
    <t>PERFURATRIZ COM TORRE METÁLICA PARA EXECUÇÃO DE ESTACA HÉLICE CONTÍNUA, PROFUNDIDADE MÁXIMA DE 24M, DIÂMETRO MÁXIMO DE 800MM, POTÊNCIA INSTALADA DE 103 HP, MESA ROTATIVA COM TORQUE MÁXIMO DE 123 KNM</t>
  </si>
  <si>
    <t>I2647</t>
  </si>
  <si>
    <t>PERFURATRIZ PNEUMÁTICA</t>
  </si>
  <si>
    <t>I2692</t>
  </si>
  <si>
    <t>I9523</t>
  </si>
  <si>
    <t>PONTE ROLANTE COM ACESSÓRIOS PARA VÃO ATÉ 15M E CAPACIDADE 5T</t>
  </si>
  <si>
    <t>I2580</t>
  </si>
  <si>
    <t>PULVERIZADOR SOBRE PNEUS</t>
  </si>
  <si>
    <t>I7419</t>
  </si>
  <si>
    <t>RECICLADORA À FRIO</t>
  </si>
  <si>
    <t>I2648</t>
  </si>
  <si>
    <t>RESERVATÓRIO DE AR COMPRIMIDO</t>
  </si>
  <si>
    <t>I2583</t>
  </si>
  <si>
    <t>RETRO ESCAVADEIRA DE PNEUS</t>
  </si>
  <si>
    <t>G0441</t>
  </si>
  <si>
    <t>RETÍFICA RETA ELÉTRICA DE 650 W VELOCIDADE MÁXIMA 10000 A 28000 RPM</t>
  </si>
  <si>
    <t>I2650</t>
  </si>
  <si>
    <t>ROMPEDOR PNEUMÁTICO</t>
  </si>
  <si>
    <t>I2584</t>
  </si>
  <si>
    <t>ROÇADEIRA COSTAL</t>
  </si>
  <si>
    <t>I2585</t>
  </si>
  <si>
    <t>ROÇADEIRA REBOCÁVEL</t>
  </si>
  <si>
    <t>I2581</t>
  </si>
  <si>
    <t>RÉGUA VIBRATÓRIA DE CONCRETO HP=1,5</t>
  </si>
  <si>
    <t>I2582</t>
  </si>
  <si>
    <t>RÉGUA VIBRATÓRIA DE CONCRETO HP=3,0</t>
  </si>
  <si>
    <t>I2586</t>
  </si>
  <si>
    <t>SERRA CIRCULAR D=0,20m</t>
  </si>
  <si>
    <t>I9097</t>
  </si>
  <si>
    <t xml:space="preserve">SISTEMA GNSS RTK
</t>
  </si>
  <si>
    <t>G0420</t>
  </si>
  <si>
    <t>SISTEMA MISTURA A DÍESEL PARA FURO DIRECIONAL TANQUE DE 1000 GL</t>
  </si>
  <si>
    <t>I0977</t>
  </si>
  <si>
    <t>TALHA MANUAL 0,5 T C/ CORRENTE 5,0m</t>
  </si>
  <si>
    <t>I2651</t>
  </si>
  <si>
    <t>TALHA MANUAL 1,0 T C/ CORRENTE 5,0m</t>
  </si>
  <si>
    <t>I0979</t>
  </si>
  <si>
    <t>TALHA MANUAL 2,0 T C/ CORRENTE 5,0m</t>
  </si>
  <si>
    <t>I2587</t>
  </si>
  <si>
    <t>TALHA TIRFOR 1,6T</t>
  </si>
  <si>
    <t>I2588</t>
  </si>
  <si>
    <t>TALHA TIRFOR 3,2T</t>
  </si>
  <si>
    <t>I2652</t>
  </si>
  <si>
    <t>TANQUE DE ESTOCAGEM DE ASFALTO 30T</t>
  </si>
  <si>
    <t>I2589</t>
  </si>
  <si>
    <t>TEODOLITO</t>
  </si>
  <si>
    <t>I2655</t>
  </si>
  <si>
    <t>TRATOR DE ESTEIRA C/ LÂMINA E ESCARIFICADOR HP 155</t>
  </si>
  <si>
    <t>I2653</t>
  </si>
  <si>
    <t>TRATOR DE ESTEIRA C/ LÂMINA E ESCARIFICADOR HP 328</t>
  </si>
  <si>
    <t>I2590</t>
  </si>
  <si>
    <t>TRATOR DE ESTEIRA C/ LÂMINA HP 328</t>
  </si>
  <si>
    <t>I2656</t>
  </si>
  <si>
    <t>TRATOR DE PNEUS</t>
  </si>
  <si>
    <t>I8396</t>
  </si>
  <si>
    <t>USINA DE MICRO-REVESTIMENTO</t>
  </si>
  <si>
    <t>I2658</t>
  </si>
  <si>
    <t>USINA DE MISTURA BETUMINOSA A FRIO</t>
  </si>
  <si>
    <t>I2659</t>
  </si>
  <si>
    <t>USINA DE MISTURA BETUMINOSA A QUENTE</t>
  </si>
  <si>
    <t>I2660</t>
  </si>
  <si>
    <t>USINA MISTURADORA DE SOLOS</t>
  </si>
  <si>
    <t>G0452</t>
  </si>
  <si>
    <t>VAN FURGÃO - 93 KW</t>
  </si>
  <si>
    <t>I2661</t>
  </si>
  <si>
    <t>VASSOURA MECÂNICA</t>
  </si>
  <si>
    <t>G0448</t>
  </si>
  <si>
    <t>VEÍCULO LEVE PICK UP 4X4 - 147 KW</t>
  </si>
  <si>
    <t>I2672</t>
  </si>
  <si>
    <t>VEÍCULO UTILITÁRIO CAMINHONETE SAVEIRO</t>
  </si>
  <si>
    <t>I2662</t>
  </si>
  <si>
    <t>VEÍCULO UTILITÁRIO KOMBI</t>
  </si>
  <si>
    <t>I2591</t>
  </si>
  <si>
    <t>VIBRADOR DE IMERSÃO C/ MOTOR DIESEL HP 2</t>
  </si>
  <si>
    <t>I2592</t>
  </si>
  <si>
    <t>VIBRADOR DE IMERSÃO C/ MOTOR ELÉTRICO HP 2</t>
  </si>
  <si>
    <t>I2663</t>
  </si>
  <si>
    <t>VIBRO ACABADORA DE MISTURA BETUMINOSA</t>
  </si>
  <si>
    <t>COTAÇÃO / EQ.CUSTO HORARIO</t>
  </si>
  <si>
    <t>I9518</t>
  </si>
  <si>
    <t>APARELHO OXI-ACETILENO (CHI)</t>
  </si>
  <si>
    <t>I9517</t>
  </si>
  <si>
    <t>APARELHO OXI-ACETILENO (CHP)</t>
  </si>
  <si>
    <t>I0564</t>
  </si>
  <si>
    <t>AQUECEDOR FLUIDO TÉRMICO (CHI)</t>
  </si>
  <si>
    <t>I0678</t>
  </si>
  <si>
    <t>AQUECEDOR FLUIDO TÉRMICO (CHP)</t>
  </si>
  <si>
    <t>I0565</t>
  </si>
  <si>
    <t>BATE ESTACA (CHI)</t>
  </si>
  <si>
    <t>I0679</t>
  </si>
  <si>
    <t>BATE ESTACA (CHP)</t>
  </si>
  <si>
    <t>I0566</t>
  </si>
  <si>
    <t>BETONEIRA COM MOTOR A DIESEL (CHI)</t>
  </si>
  <si>
    <t>I0680</t>
  </si>
  <si>
    <t>BETONEIRA COM MOTOR A DIESEL (CHP)</t>
  </si>
  <si>
    <t>I0567</t>
  </si>
  <si>
    <t>BETONEIRA ELÉTRICA 320l (CHI)</t>
  </si>
  <si>
    <t>I0681</t>
  </si>
  <si>
    <t>BETONEIRA ELÉTRICA 320l (CHP)</t>
  </si>
  <si>
    <t>I0568</t>
  </si>
  <si>
    <t>BETONEIRA ELÉTRICA 580L (CHI)</t>
  </si>
  <si>
    <t>I0682</t>
  </si>
  <si>
    <t>BETONEIRA ELÉTRICA 580L (CHP)</t>
  </si>
  <si>
    <t>I0569</t>
  </si>
  <si>
    <t>BOMBA COM MOTOR A DIESEL (CHI)</t>
  </si>
  <si>
    <t>I0683</t>
  </si>
  <si>
    <t>BOMBA COM MOTOR A DIESEL (CHP)</t>
  </si>
  <si>
    <t>I0570</t>
  </si>
  <si>
    <t>BOMBA ELÉTRICA P/DRENAGEM 1,3 HP (CHI)</t>
  </si>
  <si>
    <t>I0684</t>
  </si>
  <si>
    <t>BOMBA ELÉTRICA P/DRENAGEM 1,3 HP (CHP)</t>
  </si>
  <si>
    <t>I0571</t>
  </si>
  <si>
    <t>BOMBA ELÉTRICA P/DRENAGEM 3,6 HP (CHI)</t>
  </si>
  <si>
    <t>I0685</t>
  </si>
  <si>
    <t>BOMBA ELÉTRICA P/DRENAGEM 3,6 HP (CHP)</t>
  </si>
  <si>
    <t>I0572</t>
  </si>
  <si>
    <t>BOMBA SUBMERSÍVEL ABS (CHI)</t>
  </si>
  <si>
    <t>I0686</t>
  </si>
  <si>
    <t>BOMBA SUBMERSÍVEL ABS (CHP)</t>
  </si>
  <si>
    <t>I0573</t>
  </si>
  <si>
    <t>BOMBA SUBMERSÍVEL FLYGT (CHI)</t>
  </si>
  <si>
    <t>I0687</t>
  </si>
  <si>
    <t>BOMBA SUBMERSÍVEL FLYGT (CHP)</t>
  </si>
  <si>
    <t>I9521</t>
  </si>
  <si>
    <t>CALANDRA PARA CHAPA DE AÇO ATÉ 25MM (CHI)</t>
  </si>
  <si>
    <t>I9520</t>
  </si>
  <si>
    <t>CALANDRA PARA CHAPA DE AÇO ATÉ 25MM (CHP)</t>
  </si>
  <si>
    <t>I0592</t>
  </si>
  <si>
    <t>CAMINHONETE SAVEIRO (CHI)</t>
  </si>
  <si>
    <t>I0700</t>
  </si>
  <si>
    <t>CAMINHONETE SAVEIRO (CHP)</t>
  </si>
  <si>
    <t>I0574</t>
  </si>
  <si>
    <t>CAMINHÃO ADAPTADO A JATO (CHI)</t>
  </si>
  <si>
    <t>I0701</t>
  </si>
  <si>
    <t>CAMINHÃO ADAPTADO A JATO (CHP)</t>
  </si>
  <si>
    <t>I0575</t>
  </si>
  <si>
    <t>CAMINHÃO ADAPTADO A VACUO (CHI)</t>
  </si>
  <si>
    <t>I0702</t>
  </si>
  <si>
    <t>CAMINHÃO ADAPTADO A VÁCUO (CHP)</t>
  </si>
  <si>
    <t>I0576</t>
  </si>
  <si>
    <t>CAMINHÃO BASCULANTE 12 M3 (CHI)</t>
  </si>
  <si>
    <t>I0688</t>
  </si>
  <si>
    <t>CAMINHÃO BASCULANTE 12 M3 (CHP)</t>
  </si>
  <si>
    <t>I0578</t>
  </si>
  <si>
    <t>CAMINHÃO BASCULANTE 6 M3 (CHI)</t>
  </si>
  <si>
    <t>I0690</t>
  </si>
  <si>
    <t>CAMINHÃO BASCULANTE 6 M3 (CHP)</t>
  </si>
  <si>
    <t>I0580</t>
  </si>
  <si>
    <t>CAMINHÃO BASCULANTE P/ROCHA (CHI)</t>
  </si>
  <si>
    <t>I0692</t>
  </si>
  <si>
    <t>CAMINHÃO BASCULANTE P/ROCHA (CHP)</t>
  </si>
  <si>
    <t>I0583</t>
  </si>
  <si>
    <t>CAMINHÃO C/CARROCERIA DE MADEIRA HP  92 (CHI)</t>
  </si>
  <si>
    <t>I0704</t>
  </si>
  <si>
    <t>CAMINHÃO C/CARROCERIA DE MADEIRA HP  92 (CHP)</t>
  </si>
  <si>
    <t>I0581</t>
  </si>
  <si>
    <t>CAMINHÃO C/CARROCERIA DE MADEIRA HP 136 (CHI)</t>
  </si>
  <si>
    <t>I0703</t>
  </si>
  <si>
    <t>CAMINHÃO C/CARROCERIA DE MADEIRA HP 136 (CHP)</t>
  </si>
  <si>
    <t>I0582</t>
  </si>
  <si>
    <t>CAMINHÃO C/CARROCERIA DE MADEIRA HP 184 (CHI)</t>
  </si>
  <si>
    <t>I0693</t>
  </si>
  <si>
    <t>CAMINHÃO C/CARROCERIA DE MADEIRA HP 184 (CHP)</t>
  </si>
  <si>
    <t>I0584</t>
  </si>
  <si>
    <t>CAMINHÃO COMERC. EQUIP. C/GUINDASTE (CHI)</t>
  </si>
  <si>
    <t>I0705</t>
  </si>
  <si>
    <t>CAMINHÃO COMERC. EQUIP. C/GUINDASTE (CHP)</t>
  </si>
  <si>
    <t>I0585</t>
  </si>
  <si>
    <t>CAMINHÃO DISTRIBUIDOR DE LIGANTE (CHI)</t>
  </si>
  <si>
    <t>I0694</t>
  </si>
  <si>
    <t>CAMINHÃO DISTRIBUIDOR DE LIGANTE (CHP)</t>
  </si>
  <si>
    <t>I0587</t>
  </si>
  <si>
    <t>CAMINHÃO EQUIP. C/USINA LAMA ASF. (CHI)</t>
  </si>
  <si>
    <t>I0696</t>
  </si>
  <si>
    <t>CAMINHÃO EQUIP. C/USINA LAMA ASF. (CHP)</t>
  </si>
  <si>
    <t>I0588</t>
  </si>
  <si>
    <t>CAMINHÃO TANQUE 6.000 l (CHI)</t>
  </si>
  <si>
    <t>I0706</t>
  </si>
  <si>
    <t>CAMINHÃO TANQUE 6.000 l (CHP)</t>
  </si>
  <si>
    <t>I0590</t>
  </si>
  <si>
    <t>CAMINHÃO TANQUE 8.000 l (CHI)</t>
  </si>
  <si>
    <t>I0698</t>
  </si>
  <si>
    <t>CAMINHÃO TANQUE 8.000 l (CHP)</t>
  </si>
  <si>
    <t>I0593</t>
  </si>
  <si>
    <t>CAMPÂNULA DE AR COMPRIMIDO (CHI)</t>
  </si>
  <si>
    <t>I0707</t>
  </si>
  <si>
    <t>CAMPÂNULA DE AR COMPRIMIDO (CHP)</t>
  </si>
  <si>
    <t>I0594</t>
  </si>
  <si>
    <t>CARREGADEIRA DE PNEUS HP 111 (CHI)</t>
  </si>
  <si>
    <t>I0708</t>
  </si>
  <si>
    <t>CARREGADEIRA DE PNEUS HP 111 (CHP)</t>
  </si>
  <si>
    <t>I0596</t>
  </si>
  <si>
    <t>CARREGADEIRA DE PNEUS HP 180 (CHI)</t>
  </si>
  <si>
    <t>I0710</t>
  </si>
  <si>
    <t>CARREGADEIRA DE PNEUS HP 180 (CHP)</t>
  </si>
  <si>
    <t>I0598</t>
  </si>
  <si>
    <t>CARRINHO DE MÃO (CHI)</t>
  </si>
  <si>
    <t>I0712</t>
  </si>
  <si>
    <t>CARRINHO DE MÃO (CHP)</t>
  </si>
  <si>
    <t>I0601</t>
  </si>
  <si>
    <t>CAVALO MECÂNICO C/PRANC. 2 EIXOS (CHI)</t>
  </si>
  <si>
    <t>I0715</t>
  </si>
  <si>
    <t>CAVALO MECÂNICO C/PRANC. 2 EIXOS (CHP)</t>
  </si>
  <si>
    <t>I0602</t>
  </si>
  <si>
    <t>CAVALO MECÂNICO C/PRANC. 3 EIXOS (CHI)</t>
  </si>
  <si>
    <t>I0716</t>
  </si>
  <si>
    <t>CAVALO MECÂNICO C/PRANC. 3 EIXOS (CHP)</t>
  </si>
  <si>
    <t>I0607</t>
  </si>
  <si>
    <t>COMPAC. DE PNEUS PRES. VAR. AUTOPR. (CHI)</t>
  </si>
  <si>
    <t>I0721</t>
  </si>
  <si>
    <t>COMPAC. DE PNEUS PRES. VAR. AUTOPR. (CHP)</t>
  </si>
  <si>
    <t>I0609</t>
  </si>
  <si>
    <t>COMPAC. LISO VIBRAT. AUTOPROPELIDO (CHI)</t>
  </si>
  <si>
    <t>I0722</t>
  </si>
  <si>
    <t>COMPAC. LISO VIBRAT. AUTOPROPELIDO (CHP)</t>
  </si>
  <si>
    <t>I0610</t>
  </si>
  <si>
    <t>COMPAC. PÉ DE CARNEIRO VIBRAT. AUTOPROP. (CHI)</t>
  </si>
  <si>
    <t>I0723</t>
  </si>
  <si>
    <t>COMPAC. PÉ DE CARNEIRO VIBRAT. AUTOPROP. (CHP)</t>
  </si>
  <si>
    <t>I0611</t>
  </si>
  <si>
    <t>COMPACTADOR DE PLACA VIBRATÓRIA HP 4 (CHI)</t>
  </si>
  <si>
    <t>I0724</t>
  </si>
  <si>
    <t>COMPACTADOR DE PLACA VIBRATÓRIA HP 4 (CHP)</t>
  </si>
  <si>
    <t>I0612</t>
  </si>
  <si>
    <t>COMPACTADOR DE PLACA VIBRATÓRIA HP 7 (CHI)</t>
  </si>
  <si>
    <t>I0725</t>
  </si>
  <si>
    <t>COMPACTADOR DE PLACA VIBRATÓRIA HP 7 (CHP)</t>
  </si>
  <si>
    <t>I0608</t>
  </si>
  <si>
    <t>COMPACTADOR LISO TANDEM AUTOPROPELIDO (CHI)</t>
  </si>
  <si>
    <t>I0726</t>
  </si>
  <si>
    <t>COMPACTADOR LISO TANDEM AUTOPROPELIDO (CHP)</t>
  </si>
  <si>
    <t>G0459</t>
  </si>
  <si>
    <t>COMPACTADOR MANUAL C/ SOQUETE VIBRATÓRIO - 4,1 KW (CHI)</t>
  </si>
  <si>
    <t>G0458</t>
  </si>
  <si>
    <t>COMPACTADOR MANUAL C/ SOQUETE VIBRATÓRIO - 4,1 KW (CHP)</t>
  </si>
  <si>
    <t>I0613</t>
  </si>
  <si>
    <t>COMPRESSOR DE AR 170 PCM (CHI)</t>
  </si>
  <si>
    <t>I0727</t>
  </si>
  <si>
    <t>COMPRESSOR DE AR 170 PCM (CHP)</t>
  </si>
  <si>
    <t>I0614</t>
  </si>
  <si>
    <t>COMPRESSOR DE AR 250 PCM (CHI)</t>
  </si>
  <si>
    <t>I0728</t>
  </si>
  <si>
    <t>COMPRESSOR DE AR 250 PCM (CHP)</t>
  </si>
  <si>
    <t>I0615</t>
  </si>
  <si>
    <t>COMPRESSOR DE AR 335 PCM (CHI)</t>
  </si>
  <si>
    <t>I0729</t>
  </si>
  <si>
    <t>COMPRESSOR DE AR 335 PCM (CHP)</t>
  </si>
  <si>
    <t>I0616</t>
  </si>
  <si>
    <t>COMPRESSOR DE AR 765 PCM (CHI)</t>
  </si>
  <si>
    <t>I0730</t>
  </si>
  <si>
    <t>COMPRESSOR DE AR 765 PCM (CHP)</t>
  </si>
  <si>
    <t>G0463</t>
  </si>
  <si>
    <t>COMPRESSOR DE AR PORTÁTIL DE 197PCM - 55 KW (CHI)</t>
  </si>
  <si>
    <t>G0462</t>
  </si>
  <si>
    <t>COMPRESSOR DE AR PORTÁTIL DE 197PCM - 55 KW (CHP)</t>
  </si>
  <si>
    <t>G0433</t>
  </si>
  <si>
    <t>COMPRESSOR TIPO PISTÃO DE 12 BAR, 20 PCM, 5HP (CHI)</t>
  </si>
  <si>
    <t>G0432</t>
  </si>
  <si>
    <t>COMPRESSOR TIPO PISTÃO DE 12 BAR, 20 PCM, 5HP (CHP)</t>
  </si>
  <si>
    <t>G0447</t>
  </si>
  <si>
    <t>COMPRESSOR VAZÃO 150 M3/HORA 7 BAR 20 19,40 KW (CHI)</t>
  </si>
  <si>
    <t>G0446</t>
  </si>
  <si>
    <t>COMPRESSOR VAZÃO 150 M3/HORA 7 BAR 20 19,40 KW (CHP)</t>
  </si>
  <si>
    <t>I0731</t>
  </si>
  <si>
    <t>COMPUTADOR PENTIUM (CHP)</t>
  </si>
  <si>
    <t>I0618</t>
  </si>
  <si>
    <t>CONJUNTO DE BRITAGEM 30 M3/H (CHI)</t>
  </si>
  <si>
    <t>I0732</t>
  </si>
  <si>
    <t>CONJUNTO DE BRITAGEM 30 M3/H (CHP)</t>
  </si>
  <si>
    <t>I0733</t>
  </si>
  <si>
    <t>DESEMPENADEIRA ELÉTRICA (CHP)</t>
  </si>
  <si>
    <t>I0620</t>
  </si>
  <si>
    <t>DRAG LINE (CHI)</t>
  </si>
  <si>
    <t>I0734</t>
  </si>
  <si>
    <t>DRAG LINE (CHP)</t>
  </si>
  <si>
    <t>I9392</t>
  </si>
  <si>
    <t xml:space="preserve">EQUIPAMENTO DE PINTURA COM CABINE DE 7,0 KW E ESTUFA DE 80.000 KCAL PARA PINTURA ELETRÓSTÁTICA (CHI)
</t>
  </si>
  <si>
    <t>I9391</t>
  </si>
  <si>
    <t xml:space="preserve">EQUIPAMENTO DE PINTURA COM CABINE DE 7,0 KW E ESTUFA DE 80.000 KCAL PARA PINTURA ELETRÓSTÁTICA (CHP)
</t>
  </si>
  <si>
    <t>I0621</t>
  </si>
  <si>
    <t>ESCAVADEIRA HIDRÁULICA (CHI)</t>
  </si>
  <si>
    <t>I0735</t>
  </si>
  <si>
    <t>ESCAVADEIRA HIDRÁULICA (CHP)</t>
  </si>
  <si>
    <t>I9402</t>
  </si>
  <si>
    <t>ESCAVADEIRA HIDRÁULICA C/ ROMPEDOR (CHI)</t>
  </si>
  <si>
    <t>I9401</t>
  </si>
  <si>
    <t>ESCAVADEIRA HIDRÁULICA C/ ROMPEDOR (CHP)</t>
  </si>
  <si>
    <t>I10264</t>
  </si>
  <si>
    <t>ESCAVADEIRA HIDRÁULICA SOBRE ESTEIRAS, CAÇAMBA 0,80 M3, PESO OPER.17 T, POT. 111 HP (CHI)</t>
  </si>
  <si>
    <t>I10263</t>
  </si>
  <si>
    <t xml:space="preserve">ESCAVADEIRA HIDRÁULICA SOBRE ESTEIRAS, CAÇAMBA 0,80 M3, PESO OPER.17 T, POT. 111 HP (CHP)
</t>
  </si>
  <si>
    <t>I0737</t>
  </si>
  <si>
    <t>ESMERILHADEIRA INDUSTRIAL (CHP)</t>
  </si>
  <si>
    <t>I0624</t>
  </si>
  <si>
    <t>ESPALHADOR DE AGREGADOS REBOC. (CHI)</t>
  </si>
  <si>
    <t>I0738</t>
  </si>
  <si>
    <t>ESPALHADOR DE AGREGADOS REBOC. (CHP)</t>
  </si>
  <si>
    <t>I9134</t>
  </si>
  <si>
    <t>ESTAÇÃO TOTAL TIPO TRIMBLE M3 (CHI)</t>
  </si>
  <si>
    <t>I9133</t>
  </si>
  <si>
    <t>ESTAÇÃO TOTAL TIPO TRIMBLE M3 (CHP)</t>
  </si>
  <si>
    <t>I8422</t>
  </si>
  <si>
    <t>FRESADORA A FRIO (CHI)</t>
  </si>
  <si>
    <t>I8421</t>
  </si>
  <si>
    <t>FRESADORA A FRIO (CHP)</t>
  </si>
  <si>
    <t>I9378</t>
  </si>
  <si>
    <t>FURADEIRA DE IMPACTO DE 12,5 MM - 0,8 KW (CHI)</t>
  </si>
  <si>
    <t>I9377</t>
  </si>
  <si>
    <t xml:space="preserve">FURADEIRA DE IMPACTO DE 12,5 MM - 0,8 KW (CHP)
</t>
  </si>
  <si>
    <t>G0437</t>
  </si>
  <si>
    <t>GERADOR A GASOLINA, POTÊNCIA 7,5 HP (5,5KW) (CHI)</t>
  </si>
  <si>
    <t>G0436</t>
  </si>
  <si>
    <t>GERADOR A GASOLINA, POTÊNCIA 7,5 HP (5,5KW) (CHP)</t>
  </si>
  <si>
    <t>I0625</t>
  </si>
  <si>
    <t>GRADE DE DISCOS (CHI)</t>
  </si>
  <si>
    <t>I0739</t>
  </si>
  <si>
    <t>GRADE DE DISCOS (CHP)</t>
  </si>
  <si>
    <t>I9382</t>
  </si>
  <si>
    <t>GRUPO GERADOR - 11 KW - 13 / 14 KVA (CHI)</t>
  </si>
  <si>
    <t>I9381</t>
  </si>
  <si>
    <t xml:space="preserve">GRUPO GERADOR - 11 KW - 13 / 14 KVA (CHP)
</t>
  </si>
  <si>
    <t>I0626</t>
  </si>
  <si>
    <t>GRUPO GERADOR 145 KVA (CHI)</t>
  </si>
  <si>
    <t>I0740</t>
  </si>
  <si>
    <t>GRUPO GERADOR 145 KVA (CHP)</t>
  </si>
  <si>
    <t>I0627</t>
  </si>
  <si>
    <t>GRUPO GERADOR 180 KVA (CHI)</t>
  </si>
  <si>
    <t>I0741</t>
  </si>
  <si>
    <t>GRUPO GERADOR 180 KVA (CHP)</t>
  </si>
  <si>
    <t>I0628</t>
  </si>
  <si>
    <t>GRUPO GERADOR 36 KVA (CHI)</t>
  </si>
  <si>
    <t>I0742</t>
  </si>
  <si>
    <t>GRUPO GERADOR 36 KVA (CHP)</t>
  </si>
  <si>
    <t>I0629</t>
  </si>
  <si>
    <t>GUINDASTE DE TORRE HP 11 (CHI)</t>
  </si>
  <si>
    <t>I0743</t>
  </si>
  <si>
    <t>GUINDASTE DE TORRE HP 11 (CHP)</t>
  </si>
  <si>
    <t>I0630</t>
  </si>
  <si>
    <t>GUINDASTE DE TORRE HP 20 (CHI)</t>
  </si>
  <si>
    <t>I0744</t>
  </si>
  <si>
    <t>GUINDASTE DE TORRE HP 20 (CHP)</t>
  </si>
  <si>
    <t>I0631</t>
  </si>
  <si>
    <t>GUINDASTE DE TORRE HP 40 (CHI)</t>
  </si>
  <si>
    <t>I0745</t>
  </si>
  <si>
    <t>GUINDASTE DE TORRE HP 40 (CHP)</t>
  </si>
  <si>
    <t>I0633</t>
  </si>
  <si>
    <t>GUINDASTE HIDRÁULICO SOBRE PNEUS HP 142 (CHI)</t>
  </si>
  <si>
    <t>I0747</t>
  </si>
  <si>
    <t>GUINDASTE HIDRÁULICO SOBRE PNEUS HP 142 (CHP)</t>
  </si>
  <si>
    <t>I0632</t>
  </si>
  <si>
    <t>GUINDASTE HIDRÁULICO SOBRE PNEUS HP 45 (CHI)</t>
  </si>
  <si>
    <t>I0746</t>
  </si>
  <si>
    <t>GUINDASTE HIDRÁULICO SOBRE PNEUS HP 45 (CHP)</t>
  </si>
  <si>
    <t>I10240</t>
  </si>
  <si>
    <t>GUNIDASTE SOBRE ESTEIRA 300 HP - CAPAC. 40 TON (CHI)</t>
  </si>
  <si>
    <t>I10239</t>
  </si>
  <si>
    <t>GUNIDASTE SOBRE ESTEIRA 300 HP - CAPAC. 40 TON (CHP)</t>
  </si>
  <si>
    <t>G0429</t>
  </si>
  <si>
    <t>HOLIDAY DETECTOR DE FALHA DE REVESTIMENTO EM MANTA TERMOCONTRÁTIL - VOLTAGEM DE 12 KV A 20 KV, DE CORRENTE PULSANTE, VIA SECA, CONFORME NORMA NACE STANDARD RP-0274 (CHI)</t>
  </si>
  <si>
    <t>G0428</t>
  </si>
  <si>
    <t>HOLIDAY DETECTOR DE FALHA DE REVESTIMENTO EM MANTA TERMOCONTRÁTIL - VOLTAGEM DE 12 KV A 20 KV, DE CORRENTE PULSANTE, VIA SECA, CONFORME NORMA NACE STANDARD RP-0274 (CHP)</t>
  </si>
  <si>
    <t>I9131</t>
  </si>
  <si>
    <t>IMPRESSORA PORTÁTIL (CHI)</t>
  </si>
  <si>
    <t>I9130</t>
  </si>
  <si>
    <t>IMPRESSORA PORTÁTIL (CHP)</t>
  </si>
  <si>
    <t>I9102</t>
  </si>
  <si>
    <t>KIT GEOFONE ELETRÔNICO C/ FILTROS (CHI)</t>
  </si>
  <si>
    <t>I9050</t>
  </si>
  <si>
    <t>KIT GEOFONE ELETRÔNICO C/ FILTROS (CHP)</t>
  </si>
  <si>
    <t>I9103</t>
  </si>
  <si>
    <t>KIT LOGGERS DE RUÍDO (CHP)</t>
  </si>
  <si>
    <t>I9101</t>
  </si>
  <si>
    <t>KIT LOGGERS DE RUÍDOS (CHI)</t>
  </si>
  <si>
    <t>G0426</t>
  </si>
  <si>
    <t>LOCALIZADOR PARA FURO DIRECIONAL, COM RECEPTOR, DISPLAY REMOTO COM SONDA/TRANSMISSOR, ALCANCE APROXIMADO COM PITCH E FREQUÊNCIA (CHI)</t>
  </si>
  <si>
    <t>G0425</t>
  </si>
  <si>
    <t>LOCALIZADOR PARA FURO DIRECIONAL, COM RECEPTOR, DISPLAY REMOTO COM SONDA/TRANSMISSOR, ALCANCE APROXIMADO COM PITCH E FREQUÊNCIA (CHP)</t>
  </si>
  <si>
    <t>I0639</t>
  </si>
  <si>
    <t>MESA VIBRATÓRIA E FORMAS (CHI)</t>
  </si>
  <si>
    <t>I0753</t>
  </si>
  <si>
    <t>MESA VIBRATÓRIA E FORMAS (CHP)</t>
  </si>
  <si>
    <t>I0640</t>
  </si>
  <si>
    <t>MICROTRATOR C/APAR. DE GRAMA (CHI)</t>
  </si>
  <si>
    <t>I0754</t>
  </si>
  <si>
    <t>MICROTRATOR C/APAR. DE GRAMA (CHP)</t>
  </si>
  <si>
    <t>I8970</t>
  </si>
  <si>
    <t>MOTO COM MOTOQUEIRO ENCANADOR (CHI)</t>
  </si>
  <si>
    <t>I8969</t>
  </si>
  <si>
    <t>MOTO COM MOTOQUEIRO ENCANADOR(CHP)</t>
  </si>
  <si>
    <t>I0641</t>
  </si>
  <si>
    <t>MOTO ESCAV. TRANSPORTADOR (CHI)</t>
  </si>
  <si>
    <t>I0755</t>
  </si>
  <si>
    <t>MOTO ESCAV. TRANSPORTADOR (CHP)</t>
  </si>
  <si>
    <t>I0642</t>
  </si>
  <si>
    <t>MOTO NIVELADORA (CHI)</t>
  </si>
  <si>
    <t>I0756</t>
  </si>
  <si>
    <t>MOTO NIVELADORA (CHP)</t>
  </si>
  <si>
    <t>I9386</t>
  </si>
  <si>
    <t>MÁQUINA DE BANCADA GUILHOTINA - 4KW (CHI)</t>
  </si>
  <si>
    <t>I9385</t>
  </si>
  <si>
    <t>MÁQUINA DE BANCADA GUILHOTINA - 4KW (CHP)</t>
  </si>
  <si>
    <t>I9389</t>
  </si>
  <si>
    <t>MÁQUINA DE BANCADA UNIVERSAL PARA CORTE DE CHAPA - 1,5 KW (CHI)</t>
  </si>
  <si>
    <t>I9388</t>
  </si>
  <si>
    <t>MÁQUINA DE BANCADA UNIVERSAL PARA CORTE DE CHAPA - 1,5 KW (CHP)</t>
  </si>
  <si>
    <t>G0416</t>
  </si>
  <si>
    <t>MÁQUINA DE FURO DIRECIONAL COM PULL-BACK DE 24000  LIBRAS (10.000KGF) (CHI)</t>
  </si>
  <si>
    <t>G0415</t>
  </si>
  <si>
    <t>MÁQUINA DE FURO DIRECIONAL COM PULL-BACK DE 24000  LIBRAS (10.000KGF) (CHP)</t>
  </si>
  <si>
    <t>G0419</t>
  </si>
  <si>
    <t>MÁQUINA DE FURO DIRECIONAL COM PULL-BACK DE 40000  LIBRAS (15.000KGF) (CHI)</t>
  </si>
  <si>
    <t>G0418</t>
  </si>
  <si>
    <t>MÁQUINA DE FURO DIRECIONAL COM PULL-BACK DE 40000  LIBRAS (15.000KGF) (CHP)</t>
  </si>
  <si>
    <t>I0748</t>
  </si>
  <si>
    <t>MÁQUINA DE POLIR (CHP)</t>
  </si>
  <si>
    <t>I0635</t>
  </si>
  <si>
    <t>MÁQUINA DE SOLDA (CHI)</t>
  </si>
  <si>
    <t>I0749</t>
  </si>
  <si>
    <t>MÁQUINA DE SOLDA (CHP)</t>
  </si>
  <si>
    <t>G0440</t>
  </si>
  <si>
    <t>MÁQUINA DE SOLDA ELETROFUSÃO (CHI)</t>
  </si>
  <si>
    <t>G0439</t>
  </si>
  <si>
    <t>MÁQUINA DE SOLDA ELETROFUSÃO (CHP)</t>
  </si>
  <si>
    <t>I0636</t>
  </si>
  <si>
    <t>MÁQUINA P/CONCRETO PROJETADO (CHI)</t>
  </si>
  <si>
    <t>I0750</t>
  </si>
  <si>
    <t>MÁQUINA P/CONCRETO PROJETADO (CHP)</t>
  </si>
  <si>
    <t>I0637</t>
  </si>
  <si>
    <t>MÁQUINA P/JATEAMENTO (CHI)</t>
  </si>
  <si>
    <t>I0751</t>
  </si>
  <si>
    <t>MÁQUINA P/JATEAMENTO (CHP)</t>
  </si>
  <si>
    <t>I0638</t>
  </si>
  <si>
    <t>MÁQUINA P/PINT. FAIXAS SINAL. AUTOPR. (CHI)</t>
  </si>
  <si>
    <t>I0752</t>
  </si>
  <si>
    <t>MÁQUINA P/PINT. FAIXAS SINAL. AUTOPR. (CHP)</t>
  </si>
  <si>
    <t>I0758</t>
  </si>
  <si>
    <t>NÍVEL (CHP)</t>
  </si>
  <si>
    <t>I13310</t>
  </si>
  <si>
    <t>PERFURATRIZ COM TORRE METÁLICA PARA EXECUÇÃO DE ESTACA HÉLICE CONTÍNUA, PROFUNDIDADE MÁXIMA DE 24 M, DIÂMETRO MÁXIMO DE 800 MM, POTÊNCIA INSTALADA DE 137 HP, MESA ROTATIVA COM TORQUE MÁXIMO DE 123 KNM (CHI)</t>
  </si>
  <si>
    <t>I13307</t>
  </si>
  <si>
    <t>PERFURATRIZ COM TORRE METÁLICA PARA EXECUÇÃO DE ESTACA HÉLICE CONTÍNUA, PROFUNDIDADE MÁXIMA DE 24 M, DIÂMETRO MÁXIMO DE 800 MM, POTÊNCIA INSTALADA DE 137 HP, MESA ROTATIVA COM TORQUE MÁXIMO DE 123 KNM (CHP)</t>
  </si>
  <si>
    <t>I0645</t>
  </si>
  <si>
    <t>PERFURATRIZ PNEUMÁTICA (CHI)</t>
  </si>
  <si>
    <t>I0759</t>
  </si>
  <si>
    <t>PERFURATRIZ PNEUMÁTICA (CHP)</t>
  </si>
  <si>
    <t>I0760</t>
  </si>
  <si>
    <t>PLOTTER (CHP)</t>
  </si>
  <si>
    <t>I9525</t>
  </si>
  <si>
    <t>PONTE ROLANTE VÃO ATÉ 15M, CAP=5T (CHI)</t>
  </si>
  <si>
    <t>I9524</t>
  </si>
  <si>
    <t>PONTE ROLANTE VÃO ATÉ 15M, CAP=5T (CHP)</t>
  </si>
  <si>
    <t>I0647</t>
  </si>
  <si>
    <t>PULVERIZADOR SOBRE PNEUS (CHI)</t>
  </si>
  <si>
    <t>I0761</t>
  </si>
  <si>
    <t>PULVERIZADOR SOBRE PNEUS (CHP)</t>
  </si>
  <si>
    <t>I7421</t>
  </si>
  <si>
    <t>RECICLADORA À FRIO (CHI)</t>
  </si>
  <si>
    <t>I7420</t>
  </si>
  <si>
    <t>RECICLADORA À FRIO (CHP)</t>
  </si>
  <si>
    <t>I0651</t>
  </si>
  <si>
    <t>RESERVATÓRIO DE AR COMPRIMIDO (CHI)</t>
  </si>
  <si>
    <t>I0764</t>
  </si>
  <si>
    <t>RESERVATÓRIO DE AR COMPRIMIDO (CHP)</t>
  </si>
  <si>
    <t>I0653</t>
  </si>
  <si>
    <t>RETRO ESCAVADEIRA DE PNEUS (CHI)</t>
  </si>
  <si>
    <t>I0765</t>
  </si>
  <si>
    <t>RETRO ESCAVADEIRA DE PNEUS (CHP)</t>
  </si>
  <si>
    <t>G0443</t>
  </si>
  <si>
    <t>RETÍFICA RETA ELÉTRICA DE 650 W VELOCIDADE MÁXIMA 10000 A 28000 RPM (CHI)</t>
  </si>
  <si>
    <t>G0442</t>
  </si>
  <si>
    <t>RETÍFICA RETA ELÉTRICA DE 650 W VELOCIDADE MÁXIMA 10000 A 28000 RPM (CHP)</t>
  </si>
  <si>
    <t>I0654</t>
  </si>
  <si>
    <t>ROMPEDOR PNEUMÁTICO (CHI)</t>
  </si>
  <si>
    <t>I0769</t>
  </si>
  <si>
    <t>ROMPEDOR PNEUMÁTICO (CHP)</t>
  </si>
  <si>
    <t>I0655</t>
  </si>
  <si>
    <t>ROÇADEIRA COSTAL (CHI)</t>
  </si>
  <si>
    <t>I0767</t>
  </si>
  <si>
    <t>ROÇADEIRA COSTAL (CHP)</t>
  </si>
  <si>
    <t>I0656</t>
  </si>
  <si>
    <t>ROÇADEIRA REBOCÁVEL (CHI)</t>
  </si>
  <si>
    <t>I0768</t>
  </si>
  <si>
    <t>ROÇADEIRA REBOCÁVEL (CHP)</t>
  </si>
  <si>
    <t>I0650</t>
  </si>
  <si>
    <t>RÉGUA VIBRATÓRIA DE CONCRETO HP 1,5 (CHI)</t>
  </si>
  <si>
    <t>I0762</t>
  </si>
  <si>
    <t>RÉGUA VIBRATÓRIA DE CONCRETO HP 1,5 (CHP)</t>
  </si>
  <si>
    <t>I0649</t>
  </si>
  <si>
    <t>RÉGUA VIBRATÓRIA DE CONCRETO HP 3 (CHI)</t>
  </si>
  <si>
    <t>I0763</t>
  </si>
  <si>
    <t>RÉGUA VIBRATÓRIA DE CONCRETO HP 3 (CHP)</t>
  </si>
  <si>
    <t>I0657</t>
  </si>
  <si>
    <t>SERRA CIRCULAR D=0,20m (CHI)</t>
  </si>
  <si>
    <t>I0770</t>
  </si>
  <si>
    <t>SERRA CIRCULAR D=0,20m (CHP)</t>
  </si>
  <si>
    <t>I9127</t>
  </si>
  <si>
    <t>SISTEMA BASE GNSS RTK (CHI)</t>
  </si>
  <si>
    <t>I9098</t>
  </si>
  <si>
    <t>SISTEMA BASE GNSS RTK (CHP)</t>
  </si>
  <si>
    <t>G0423</t>
  </si>
  <si>
    <t>SISTEMA MISTURA A DÍESEL PARA FURO DIRECIONAL TANQUE DE 1000 GL (CHI)</t>
  </si>
  <si>
    <t>G0422</t>
  </si>
  <si>
    <t>SISTEMA MISTURA A DÍESEL PARA FURO DIRECIONAL TANQUE DE 1000 GL (CHP)</t>
  </si>
  <si>
    <t>I0658</t>
  </si>
  <si>
    <t>TALHA MANUAL (CHI)</t>
  </si>
  <si>
    <t>I0771</t>
  </si>
  <si>
    <t>TALHA MANUAL (CHP)</t>
  </si>
  <si>
    <t>I0772</t>
  </si>
  <si>
    <t>TALHA TIRFOR 1,6 T (CHP)</t>
  </si>
  <si>
    <t>I0659</t>
  </si>
  <si>
    <t>TALHA TIRFOR 1,6T (CHI)</t>
  </si>
  <si>
    <t>I0773</t>
  </si>
  <si>
    <t>TALHA TIRFOR 3,2 T (CHP)</t>
  </si>
  <si>
    <t>I0660</t>
  </si>
  <si>
    <t>TALHA TIRFOR 3,2T (CHI)</t>
  </si>
  <si>
    <t>I0661</t>
  </si>
  <si>
    <t>TANQUE DE ESTOCAGEM DE ASFALTO (CHI)</t>
  </si>
  <si>
    <t>I0774</t>
  </si>
  <si>
    <t>TANQUE DE ESTOCAGEM DE ASFALTO (CHP)</t>
  </si>
  <si>
    <t>I0775</t>
  </si>
  <si>
    <t>TEODOLITO (CHP)</t>
  </si>
  <si>
    <t>I0663</t>
  </si>
  <si>
    <t>TRATOR DE ESTEIRA C/LÂMINA E ESC. HP 328 (CHI)</t>
  </si>
  <si>
    <t>I0776</t>
  </si>
  <si>
    <t>TRATOR DE ESTEIRA C/LÂMINA E ESC. HP 328 (CHP)</t>
  </si>
  <si>
    <t>I0666</t>
  </si>
  <si>
    <t>TRATOR DE ESTEIRAS C/LÂMINA E ESC. HP 155 (CHI)</t>
  </si>
  <si>
    <t>I0779</t>
  </si>
  <si>
    <t>TRATOR DE ESTEIRAS C/LÂMINA E ESC. HP 155 (CHP)</t>
  </si>
  <si>
    <t>I0665</t>
  </si>
  <si>
    <t>TRATOR DE ESTEIRAS C/LÂMINA HP 328 (CHI)</t>
  </si>
  <si>
    <t>I0778</t>
  </si>
  <si>
    <t>TRATOR DE ESTEIRAS C/LÂMINA HP 328 (CHP)</t>
  </si>
  <si>
    <t>I0667</t>
  </si>
  <si>
    <t>TRATOR DE PNEUS (CHI)</t>
  </si>
  <si>
    <t>I0780</t>
  </si>
  <si>
    <t>TRATOR DE PNEUS (CHP)</t>
  </si>
  <si>
    <t>I8399</t>
  </si>
  <si>
    <t>USINA DE MICRO-REVESTIMENTO (CHI)</t>
  </si>
  <si>
    <t>I8400</t>
  </si>
  <si>
    <t>USINA DE MICRO-REVESTIMENTO (CHP)</t>
  </si>
  <si>
    <t>I0669</t>
  </si>
  <si>
    <t>USINA DE MISTURA BETUM. A QUENTE (CHI)</t>
  </si>
  <si>
    <t>I0782</t>
  </si>
  <si>
    <t>USINA DE MISTURA BETUM. A QUENTE (CHP)</t>
  </si>
  <si>
    <t>I0670</t>
  </si>
  <si>
    <t>USINA DE MISTURAS BETUMINOSAS A FRIO (CHI)</t>
  </si>
  <si>
    <t>I0783</t>
  </si>
  <si>
    <t>USINA DE MISTURAS BETUMINOSAS A FRIO (CHP)</t>
  </si>
  <si>
    <t>I0671</t>
  </si>
  <si>
    <t>USINA MISTURADORA DE SOLOS (CHI)</t>
  </si>
  <si>
    <t>I0784</t>
  </si>
  <si>
    <t>USINA MISTURADORA DE SOLOS (CHP)</t>
  </si>
  <si>
    <t>G0455</t>
  </si>
  <si>
    <t>VAN FURGÃO - 93 KW (CHI)</t>
  </si>
  <si>
    <t>G0454</t>
  </si>
  <si>
    <t>VAN FURGÃO - 93 KW (CHP)</t>
  </si>
  <si>
    <t>I0672</t>
  </si>
  <si>
    <t>VASSOURA MECÂNICA (CHI)</t>
  </si>
  <si>
    <t>I0785</t>
  </si>
  <si>
    <t>VASSOURA MECÂNICA (CHP)</t>
  </si>
  <si>
    <t>G0451</t>
  </si>
  <si>
    <t>VEÍCULO LEVE PICK UP 4X4 - 147 KW (CHI)</t>
  </si>
  <si>
    <t>G0450</t>
  </si>
  <si>
    <t>VEÍCULO LEVE PICK UP 4X4 - 147 KW (CHP)</t>
  </si>
  <si>
    <t>I0673</t>
  </si>
  <si>
    <t>VEÍCULO UTILITÁRIO KOMBI (CHI)</t>
  </si>
  <si>
    <t>I0786</t>
  </si>
  <si>
    <t>VEÍCULO UTILITÁRIO KOMBI (CHP)</t>
  </si>
  <si>
    <t>I0674</t>
  </si>
  <si>
    <t>VIBRADOR DE IMERSÃO C/MOTOR DIESEL (CHI)</t>
  </si>
  <si>
    <t>I0787</t>
  </si>
  <si>
    <t>VIBRADOR DE IMERSÃO C/MOTOR DIESEL (CHP)</t>
  </si>
  <si>
    <t>I0675</t>
  </si>
  <si>
    <t>VIBRADOR DE IMERSÃO C/MOTOR ELÉTRICO (CHI)</t>
  </si>
  <si>
    <t>I0788</t>
  </si>
  <si>
    <t>VIBRADOR DE IMERSÃO C/MOTOR ELÉTRICO (CHP)</t>
  </si>
  <si>
    <t>I0676</t>
  </si>
  <si>
    <t>VIBRO ACABAD. DE MISTURA BETUM. (CHI)</t>
  </si>
  <si>
    <t>I0789</t>
  </si>
  <si>
    <t>VIBRO ACABAD. DE MISTURA BETUM. (CHP)</t>
  </si>
  <si>
    <t>COTAÇÃO / ESQUADRIAS METALICAS</t>
  </si>
  <si>
    <t>I0437</t>
  </si>
  <si>
    <t>CAIXILHO DE ALUMINIO CORRER</t>
  </si>
  <si>
    <t>I0438</t>
  </si>
  <si>
    <t>CAIXILHO DE FERRO BASCULANTE</t>
  </si>
  <si>
    <t>I0439</t>
  </si>
  <si>
    <t>CAIXILHO DE FERRO CORRER</t>
  </si>
  <si>
    <t>I8440</t>
  </si>
  <si>
    <t>I6748</t>
  </si>
  <si>
    <t>GRADE DE FERRO EM TUBO DE AÇO GALVANIZADO D=15MM E MOLDURA C/BARRA CHATA DE FERRO 2"X3/8"</t>
  </si>
  <si>
    <t>I9142</t>
  </si>
  <si>
    <t>JANELA ALUMINIO BASCULANTE  100 X 100 CM (AXL)</t>
  </si>
  <si>
    <t>I1275</t>
  </si>
  <si>
    <t>JANELA EM ALUMINIO, TIPO VENEZIANA</t>
  </si>
  <si>
    <t>I1697</t>
  </si>
  <si>
    <t>PORTA COMPLETA BLINDOR/CHUMBO ( 0,60 X 2,10 )m</t>
  </si>
  <si>
    <t>I1698</t>
  </si>
  <si>
    <t>PORTA COMPLETA BLINDOR/CHUMBO ( 0,80 X 2,10 )m</t>
  </si>
  <si>
    <t>I1696</t>
  </si>
  <si>
    <t>PORTA COMPLETA BLINDOR/CHUMBO ( 1,20 X 2,10 )m</t>
  </si>
  <si>
    <t>I1700</t>
  </si>
  <si>
    <t>PORTA CORTA-FOGO (0,80X2,10)m</t>
  </si>
  <si>
    <t>I1699</t>
  </si>
  <si>
    <t>PORTA CORTA-FOGO (1,60X2,10)m</t>
  </si>
  <si>
    <t>I1701</t>
  </si>
  <si>
    <t>PORTA CORTA-FOGO DE CORRER INDUSTRIAL</t>
  </si>
  <si>
    <t>I1702</t>
  </si>
  <si>
    <t>PORTA DE ALUMÍNIO</t>
  </si>
  <si>
    <t>I1703</t>
  </si>
  <si>
    <t xml:space="preserve">PORTA DE ENROLAR EM AÇO DE CHAPA ONDULADA 
</t>
  </si>
  <si>
    <t>I6811</t>
  </si>
  <si>
    <t>PORTA FRIGORIFICA TERMOISOLANTE DE ACIONAMENTO MANUAL C/AQUEC. DIM.:2100X1000X150MM - COLOCADA</t>
  </si>
  <si>
    <t>I1713</t>
  </si>
  <si>
    <t>PORTA SASAZAKI-VENEZIANA, INCLUS. BATENTES E FERRAGENS</t>
  </si>
  <si>
    <t>I6805</t>
  </si>
  <si>
    <t>PORTÃO DE ALUMÍNIO ANODIZADO NATURAL, FECHAMENTO COM  LAMBRI BOLA E CORREDIÇO (FORNECIMENTO E MONTAGEM)</t>
  </si>
  <si>
    <t>I6727</t>
  </si>
  <si>
    <t>PORTÃO EM METALON E BARRA CHATA DE FERRO C/FECHADURA E DOBRADIÇAS, INCLUS. PINTURA ESMALTE SINTÉTICO (=1M2)</t>
  </si>
  <si>
    <t>COTAÇÃO / EXPLOSIVOS</t>
  </si>
  <si>
    <t>I0860</t>
  </si>
  <si>
    <t>CORDEL DETONANTE</t>
  </si>
  <si>
    <t>I0966</t>
  </si>
  <si>
    <t>DINAMITE 40%</t>
  </si>
  <si>
    <t>I2507</t>
  </si>
  <si>
    <t>DINAMITE 60%</t>
  </si>
  <si>
    <t>I2568</t>
  </si>
  <si>
    <t>DINAMITE GRANULADA</t>
  </si>
  <si>
    <t>I2326</t>
  </si>
  <si>
    <t>ESPOLETA</t>
  </si>
  <si>
    <t>I2329</t>
  </si>
  <si>
    <t>ESTOPIM</t>
  </si>
  <si>
    <t>I2417</t>
  </si>
  <si>
    <t>RETARDO 10 SEGUNDOS</t>
  </si>
  <si>
    <t>COTAÇÃO / FERRAGENS</t>
  </si>
  <si>
    <t>I6222</t>
  </si>
  <si>
    <t>I6223</t>
  </si>
  <si>
    <t>I0207</t>
  </si>
  <si>
    <t>BATENTE ALUMINIO  L 1.1/2X1X1/8 ANOD 60X210</t>
  </si>
  <si>
    <t>I0269</t>
  </si>
  <si>
    <t>BOTÃO DE CORREÇÃO (1002)</t>
  </si>
  <si>
    <t>I0299</t>
  </si>
  <si>
    <t>BUCHA PARA PIVOTANTE DE DOBRADICA REF. 1201</t>
  </si>
  <si>
    <t>I0301</t>
  </si>
  <si>
    <t>BUCHA PLASTICA 8MM</t>
  </si>
  <si>
    <t>I0399</t>
  </si>
  <si>
    <t>CADEADO GRANDE P/ CELAS</t>
  </si>
  <si>
    <t>I0400</t>
  </si>
  <si>
    <t>CADEADO MEDIO</t>
  </si>
  <si>
    <t>I0401</t>
  </si>
  <si>
    <t>I0494</t>
  </si>
  <si>
    <t>CAPUCHINHO (1037)</t>
  </si>
  <si>
    <t>I0813</t>
  </si>
  <si>
    <t>COFRE-TRANCA PARA GRADES DE FERRO</t>
  </si>
  <si>
    <t>I0856</t>
  </si>
  <si>
    <t>CONTRAPLACA DE FECHADURA CENTRAL (1504)</t>
  </si>
  <si>
    <t>I0863</t>
  </si>
  <si>
    <t>CORRENTE PARA BASCULANTE (1003)</t>
  </si>
  <si>
    <t>I1027</t>
  </si>
  <si>
    <t>DOBRADIÇA 3''X2 1/2'' CROMADA</t>
  </si>
  <si>
    <t>I1028</t>
  </si>
  <si>
    <t>DOBRADIÇA CROMADA 3 1/2''X3'' REF.1523</t>
  </si>
  <si>
    <t>I1029</t>
  </si>
  <si>
    <t>DOBRADIÇA CROMADA, TIPO "PALMELA"</t>
  </si>
  <si>
    <t>I8697</t>
  </si>
  <si>
    <t>DOBRADIÇA DE AÇO CROMADO DE CANTO 4 1/2" x 3 1/2"</t>
  </si>
  <si>
    <t>I2311</t>
  </si>
  <si>
    <t>DOBRADIÇA DE FERRO 3 x 2 1/2" ( PADRÃO POPULAR )</t>
  </si>
  <si>
    <t>I1030</t>
  </si>
  <si>
    <t>DOBRADIÇA DE FERRO PARA PORTA EXTERNA</t>
  </si>
  <si>
    <t>I1031</t>
  </si>
  <si>
    <t>DOBRADIÇA DE FERRO PARA PORTA INTERNA</t>
  </si>
  <si>
    <t>I1032</t>
  </si>
  <si>
    <t>DOBRADIÇA DE LATÃO EM VARA</t>
  </si>
  <si>
    <t>I1033</t>
  </si>
  <si>
    <t>DOBRADIÇA DE PRESSÃO</t>
  </si>
  <si>
    <t>I1034</t>
  </si>
  <si>
    <t>DOBRADIÇA INFERIOR (1103)</t>
  </si>
  <si>
    <t>I1035</t>
  </si>
  <si>
    <t>DOBRADIÇA PARA BASCULANTE (1123)</t>
  </si>
  <si>
    <t>I8431</t>
  </si>
  <si>
    <t>I1036</t>
  </si>
  <si>
    <t>DOBRADIÇA SUPERIOR (1101)</t>
  </si>
  <si>
    <t>I1037</t>
  </si>
  <si>
    <t>DOBRADIÇA VAI - VEM, EM AÇO/FERRO, CROMADA - TAMANHO 3"</t>
  </si>
  <si>
    <t>I1149</t>
  </si>
  <si>
    <t>FACAO DIREITO PARA LATERAL E BANDEIRA (1210)</t>
  </si>
  <si>
    <t>I1150</t>
  </si>
  <si>
    <t>FACAO ESQUERDO PARA LATERAL E BANDEIRA (1211)</t>
  </si>
  <si>
    <t>I1151</t>
  </si>
  <si>
    <t>FACAO SIMPLES PARA LATERAL E BANDEIRA (1209)</t>
  </si>
  <si>
    <t>I1152</t>
  </si>
  <si>
    <t>FECHADURA CENTRAL COM 2 CILINDROS (1521)</t>
  </si>
  <si>
    <t>I1154</t>
  </si>
  <si>
    <t>I1155</t>
  </si>
  <si>
    <t>I2331</t>
  </si>
  <si>
    <t>FECHADURA DE SOBREPOR</t>
  </si>
  <si>
    <t>I8433</t>
  </si>
  <si>
    <t>I1157</t>
  </si>
  <si>
    <t>FECHADURA P/ MOVEIS</t>
  </si>
  <si>
    <t>I8696</t>
  </si>
  <si>
    <t>FECHADURA TUBULAR 90MM EM AÇO CROMADO PARA PORTAS</t>
  </si>
  <si>
    <t>I1158</t>
  </si>
  <si>
    <t>FECHO DE ALAVANCA DE FERR0 DE 22CM</t>
  </si>
  <si>
    <t>I1159</t>
  </si>
  <si>
    <t>FECHO TIPO ROLETE P/ARMARIO</t>
  </si>
  <si>
    <t>I1160</t>
  </si>
  <si>
    <t>FERRAGEM PARA PORTAO DE TAPUME</t>
  </si>
  <si>
    <t>I1162</t>
  </si>
  <si>
    <t>I1163</t>
  </si>
  <si>
    <t>FERROLHO DE SOBREPOR OU EMBUTIR MEDIO</t>
  </si>
  <si>
    <t>I1164</t>
  </si>
  <si>
    <t>I8638</t>
  </si>
  <si>
    <t>MAÇANETA TIPO ALAVANCA CROMADO</t>
  </si>
  <si>
    <t>I1525</t>
  </si>
  <si>
    <t>MOLA HIDRAULICA P/PORTA DE VIDRO (1012)</t>
  </si>
  <si>
    <t>I1526</t>
  </si>
  <si>
    <t>MOLA P/ PORTA, TIPO "COIMBRA"</t>
  </si>
  <si>
    <t>I9449</t>
  </si>
  <si>
    <t>MOLA PNEUMÁTICA DE PISO, EM AÇO INOX, BLINDADA, P/ PORTAS DE ATÉ 120KG E LARGURA ATÉ 1,20M</t>
  </si>
  <si>
    <t>I8432</t>
  </si>
  <si>
    <t>PARAFUSO PARA GRANITO</t>
  </si>
  <si>
    <t>I1606</t>
  </si>
  <si>
    <t>PEGADOR METALICO P/PORTA, INTERNO</t>
  </si>
  <si>
    <t>I1733</t>
  </si>
  <si>
    <t>I1743</t>
  </si>
  <si>
    <t>PUXADOR CONCHA (1606)</t>
  </si>
  <si>
    <t>I1744</t>
  </si>
  <si>
    <t>PUXADOR P/PORTAS DE MÓVEIS</t>
  </si>
  <si>
    <t>I1941</t>
  </si>
  <si>
    <t>TARGETA CROMADA P/JANELAS VENEZIANA</t>
  </si>
  <si>
    <t>I2433</t>
  </si>
  <si>
    <t>TARGETA DE FERRO 2"</t>
  </si>
  <si>
    <t>I1942</t>
  </si>
  <si>
    <t>TARGETA LIVRE-OCUPADO 60X65MM-FAMA 1260/L.F.719-AE</t>
  </si>
  <si>
    <t>I2159</t>
  </si>
  <si>
    <t>TRINCO COM MOLA PARA BASCULANTE (1523)</t>
  </si>
  <si>
    <t>I2160</t>
  </si>
  <si>
    <t>TRINCO INFERIOR (1502)</t>
  </si>
  <si>
    <t>COTAÇÃO / FERRO</t>
  </si>
  <si>
    <t>I6700</t>
  </si>
  <si>
    <t>ABRAÇADEIRAS EM FERRO BARRA CHATA 1/4" PINTURA EPOXI C/PARAFUSOS</t>
  </si>
  <si>
    <t>I0056</t>
  </si>
  <si>
    <t>ANCORAGEM ATIVA PARA CABO COM 1 CORDOALHA DE 12.7mm</t>
  </si>
  <si>
    <t>I0057</t>
  </si>
  <si>
    <t>ANCORAGEM ATIVA PARA CABO COM 12 CORDOALHA DE 12.7mm</t>
  </si>
  <si>
    <t>I0058</t>
  </si>
  <si>
    <t>ANCORAGEM ATIVA PARA CABO COM 2 CORDOALHAS DE 12,7mm</t>
  </si>
  <si>
    <t>I0059</t>
  </si>
  <si>
    <t>I0060</t>
  </si>
  <si>
    <t>ANCORAGEM ATIVA PARA CABO COM 6 CORDOALHA DE 12.7mm</t>
  </si>
  <si>
    <t>I0061</t>
  </si>
  <si>
    <t>ANCORAGEM ATIVA PARA CABO COM 7 CORDOALHA DE 12.7mm</t>
  </si>
  <si>
    <t>I0062</t>
  </si>
  <si>
    <t>ANCORAGEM PASSIVA PARA CABO COM 1 CORDOALHA DE 12.7mm</t>
  </si>
  <si>
    <t>I0063</t>
  </si>
  <si>
    <t>ANCORAGEM PASSIVA PARA CABO COM 12 CORDOALHA DE 12.7mm</t>
  </si>
  <si>
    <t>I0064</t>
  </si>
  <si>
    <t>ANCORAGEM PASSIVA PARA CABO COM 2 CORDOALHA DE 12.7mm</t>
  </si>
  <si>
    <t>I0065</t>
  </si>
  <si>
    <t>ANCORAGEM PASSIVA PARA CABO COM 4 CORDOALHA DE 12.7mm</t>
  </si>
  <si>
    <t>I0066</t>
  </si>
  <si>
    <t>ANCORAGEM PASSIVA PARA CABO COM 6 CORDOALHA DE 12.7mm</t>
  </si>
  <si>
    <t>I0067</t>
  </si>
  <si>
    <t>ANCORAGEM PASSIVA PARA CABO COM 7 CORDOALHA DE 12.7mm</t>
  </si>
  <si>
    <t>I0097</t>
  </si>
  <si>
    <t>ARAME FARPADO FIO 16 BWG</t>
  </si>
  <si>
    <t>I0098</t>
  </si>
  <si>
    <t>ARAME GALVANIZADO N.10 BWG</t>
  </si>
  <si>
    <t>I0100</t>
  </si>
  <si>
    <t>ARAME GALVANIZADO N.14 BWG</t>
  </si>
  <si>
    <t>I0101</t>
  </si>
  <si>
    <t>ARAME GALVANIZADO N.16 BWG</t>
  </si>
  <si>
    <t>I0102</t>
  </si>
  <si>
    <t>ARAME GALVANIZADO N.18 BWG</t>
  </si>
  <si>
    <t>I0103</t>
  </si>
  <si>
    <t>ARAME RECOZIDO N.18 BWG</t>
  </si>
  <si>
    <t>I0104</t>
  </si>
  <si>
    <t>ARAME ZINCADO DE 2,7MM AMARRAÇÃO DE GABIÕES</t>
  </si>
  <si>
    <t>I0137</t>
  </si>
  <si>
    <t>ARRUELA LISA 1/4''X3/4''</t>
  </si>
  <si>
    <t>I0138</t>
  </si>
  <si>
    <t>ARRUELA LISA 5/16''X5/8''</t>
  </si>
  <si>
    <t>I0141</t>
  </si>
  <si>
    <t>ARRUELA QUADRADA DE 58MM C/FURO DE 18MM</t>
  </si>
  <si>
    <t>I0157</t>
  </si>
  <si>
    <t>AÇO CA-25</t>
  </si>
  <si>
    <t>I0163</t>
  </si>
  <si>
    <t>AÇO CA-50</t>
  </si>
  <si>
    <t>I7952</t>
  </si>
  <si>
    <t>AÇO CA-50/60</t>
  </si>
  <si>
    <t>I0169</t>
  </si>
  <si>
    <t>AÇO CA-60</t>
  </si>
  <si>
    <t>I0178</t>
  </si>
  <si>
    <t>BAINHA METALICA D=35mm</t>
  </si>
  <si>
    <t>I0179</t>
  </si>
  <si>
    <t>BAINHA METALICA D=40mm</t>
  </si>
  <si>
    <t>I0180</t>
  </si>
  <si>
    <t>BAINHA METALICA D=60mm</t>
  </si>
  <si>
    <t>I0181</t>
  </si>
  <si>
    <t>BAINHA METALICA D=70mm</t>
  </si>
  <si>
    <t>I0208</t>
  </si>
  <si>
    <t>BATENTE DE FERRO</t>
  </si>
  <si>
    <t>I0211</t>
  </si>
  <si>
    <t>BATENTE EM AÇO, L = 12CM (BATENTAÇO)</t>
  </si>
  <si>
    <t>I0335</t>
  </si>
  <si>
    <t>CABO AÇO 3/16"</t>
  </si>
  <si>
    <t>I8231</t>
  </si>
  <si>
    <t xml:space="preserve">CANTONEIRA DE AÇO (6 x 6 x 1/2") (29,2KG/M)
</t>
  </si>
  <si>
    <t>I7349</t>
  </si>
  <si>
    <t xml:space="preserve">CANTONEIRA DE AÇO 1" x 1" x 3/16" (1,73kg/m)
</t>
  </si>
  <si>
    <t>I8199</t>
  </si>
  <si>
    <t xml:space="preserve">CANTONEIRA DE AÇO 3" x 3" x 5/16" (9,07kg/m)
</t>
  </si>
  <si>
    <t>I0466</t>
  </si>
  <si>
    <t xml:space="preserve">CANTONEIRA DE FERRO 1 1/4" x 1/8" (L X E) (1,50KG/M)
</t>
  </si>
  <si>
    <t>I0467</t>
  </si>
  <si>
    <t xml:space="preserve">CANTONEIRA DE FERRO 1"x 3/16" (L X E) (1,73KG/M)
</t>
  </si>
  <si>
    <t>I0468</t>
  </si>
  <si>
    <t xml:space="preserve">CANTONEIRA DE FERRO 3/4" x 1/8" (L X E) (0,88KG/M)
</t>
  </si>
  <si>
    <t>I0471</t>
  </si>
  <si>
    <t xml:space="preserve">CANTONEIRA METÁLICA DE 4" X 4" X 3/8" (14,60KG/M)
</t>
  </si>
  <si>
    <t>I0521</t>
  </si>
  <si>
    <t xml:space="preserve">CHAPA AÇO INOX, ESCOVADO CHAPA 20 (1,0MM - 8,24KG/M2)
</t>
  </si>
  <si>
    <t>I0535</t>
  </si>
  <si>
    <t>CHAPA AÇO INOX, N.300</t>
  </si>
  <si>
    <t>I13305</t>
  </si>
  <si>
    <t>CHAPA DE ACO GROSSA, ASTM A36, E = 5/8 " (15,88 MM) 124,49 KG/M2</t>
  </si>
  <si>
    <t>I0536</t>
  </si>
  <si>
    <t xml:space="preserve">CHAPA DE AÇO  ANTI-DERRAPANTE 1/4" (6,3MM - 54,53KG/M2)
</t>
  </si>
  <si>
    <t>I6043</t>
  </si>
  <si>
    <t>CHAPA DE AÇO FINA  1/8" (3MM - 24,00KG/M2)</t>
  </si>
  <si>
    <t>I0532</t>
  </si>
  <si>
    <t xml:space="preserve">CHAPA DE AÇO FINA 3/16" (4,75MM - 38,00KG/M2)
</t>
  </si>
  <si>
    <t>I0534</t>
  </si>
  <si>
    <t>I0533</t>
  </si>
  <si>
    <t>CHAPA DE AÇO GALVANIZADA 2.0 x 1.0M,  ESP=1/16"</t>
  </si>
  <si>
    <t>I0537</t>
  </si>
  <si>
    <t>CHAPA DE AÇO GALVANIZADA ESP. 0.3MM</t>
  </si>
  <si>
    <t>I0538</t>
  </si>
  <si>
    <t>CHAPA DE AÇO GALVANIZADA N.26. DESENV 0.33M</t>
  </si>
  <si>
    <t>I0539</t>
  </si>
  <si>
    <t>CHAPA DE AÇO GALVANIZADA N.26. DESENV 0.50M</t>
  </si>
  <si>
    <t>I9530</t>
  </si>
  <si>
    <t>CHAPA DE AÇO GROSSA, ASTM A36, 1/2" ( 12,50MM - 98,00 KG/M2)</t>
  </si>
  <si>
    <t>I9528</t>
  </si>
  <si>
    <t>CHAPA DE AÇO GROSSA, ASTM A36, 1/4" ( 6,3MM - 49,39 KG/M2)</t>
  </si>
  <si>
    <t>I7480</t>
  </si>
  <si>
    <t xml:space="preserve">CHAPA DE AÇO GROSSA, ASTM A36, 3/8" (  9,5MM - 74,48 KG/M2)
</t>
  </si>
  <si>
    <t>I9529</t>
  </si>
  <si>
    <t>CHAPA DE AÇO GROSSA, ASTM A36, 5/16" ( 8,00MM - 62,72 KG/M2)</t>
  </si>
  <si>
    <t>I0531</t>
  </si>
  <si>
    <t>CHAPA DE AÇO GROSSA, ASTM A36, 7/8" (22,00MM - 172,48 KG/M2)</t>
  </si>
  <si>
    <t>I8669</t>
  </si>
  <si>
    <t>CHAPA DE AÇO GROSSA, AÇO ASTM A36, PARA CAMISAS METÁLICAS</t>
  </si>
  <si>
    <t>I8356</t>
  </si>
  <si>
    <t>CHAPA GALVANIZADA PERFURADA DE 2mm COM PINTURA ELETROSTÁTICA</t>
  </si>
  <si>
    <t>I0793</t>
  </si>
  <si>
    <t>CHUMBADOR TIPO PARABOULT 1/4 X 1 3/4"</t>
  </si>
  <si>
    <t>I0990</t>
  </si>
  <si>
    <t>CHUMBADOR TIPO PARABOULT 3/4"A 1"</t>
  </si>
  <si>
    <t>I0794</t>
  </si>
  <si>
    <t>CHUMBADOR TIPO PARABOULT 3/8 X 3 1/2"</t>
  </si>
  <si>
    <t>I0849</t>
  </si>
  <si>
    <t>CONJUNTO DE EQUIPAMENTOS PARA PROTENSAO E INJECAO</t>
  </si>
  <si>
    <t>I0861</t>
  </si>
  <si>
    <t>CORDOALHA CP-190 RB D=12,7 MM</t>
  </si>
  <si>
    <t>I0864</t>
  </si>
  <si>
    <t>CORRIMÃO EM TUBO GALVANIZADO 2" (FORNECIMENTO E MONTAGEM)</t>
  </si>
  <si>
    <t>I8357</t>
  </si>
  <si>
    <t>ESTRUTURA DE APOIO CONFECCIONADA EM AÇO INOXIDÁVEL DE 1" E 2"</t>
  </si>
  <si>
    <t>I8354</t>
  </si>
  <si>
    <t>ESTRUTURA METÁLICA DE APOIO - PILARES</t>
  </si>
  <si>
    <t>I2338</t>
  </si>
  <si>
    <t>FERRO CHATO   1/2" x 3/16" (0,47KG/M)</t>
  </si>
  <si>
    <t>I2337</t>
  </si>
  <si>
    <t>FERRO CHATO   3/4" x 3/16" (0,71KG/M)</t>
  </si>
  <si>
    <t>I2332</t>
  </si>
  <si>
    <t>FERRO CHATO 1.1/4" x 1/2" (3,16KG/M)</t>
  </si>
  <si>
    <t>I2333</t>
  </si>
  <si>
    <t>FERRO CHATO 2" x 1/4" (2,53KG/M)</t>
  </si>
  <si>
    <t>I2334</t>
  </si>
  <si>
    <t>FERRO CHATO 2" x 1/8" (1,27KG/M)</t>
  </si>
  <si>
    <t>I2339</t>
  </si>
  <si>
    <t>FERRO CHATO 2" x 3/16" (1,90KG/M)</t>
  </si>
  <si>
    <t>I0191</t>
  </si>
  <si>
    <t>FERRO CHATO 2" x 3/8" (3,80KG/M)</t>
  </si>
  <si>
    <t>I2335</t>
  </si>
  <si>
    <t>FERRO CHATO 2.1/2" x 1/2" (6,33KG/M)</t>
  </si>
  <si>
    <t>I2336</t>
  </si>
  <si>
    <t>FERRO CHATO 2.1/2" x 3/8" (4,74KG/M)</t>
  </si>
  <si>
    <t>I6221</t>
  </si>
  <si>
    <t>GANCHOS GALVANIZADOS P/FIXAÇÃO DAS REDES NOS TUBOS</t>
  </si>
  <si>
    <t>I1222</t>
  </si>
  <si>
    <t>GRADE DE FERRO</t>
  </si>
  <si>
    <t>I1223</t>
  </si>
  <si>
    <t>GRADIL DE FERRO</t>
  </si>
  <si>
    <t>I1224</t>
  </si>
  <si>
    <t>GRADIL DE FERRO COM BARRA CHATA</t>
  </si>
  <si>
    <t>I2516</t>
  </si>
  <si>
    <t>GRAMPOS PARA CERCA</t>
  </si>
  <si>
    <t>I1566</t>
  </si>
  <si>
    <t>PARAFUSO - 8MM COM BUCHA PLASTICA</t>
  </si>
  <si>
    <t>I1568</t>
  </si>
  <si>
    <t>PARAFUSO ABAULADO M16X150MM</t>
  </si>
  <si>
    <t>I2525</t>
  </si>
  <si>
    <t>PARAFUSO C/PORCA E ARRUELA DE 1/4X1 1/2"</t>
  </si>
  <si>
    <t>I2526</t>
  </si>
  <si>
    <t>PARAFUSO C/PORCA E ARRUELA DE 5/16X3 1/2"</t>
  </si>
  <si>
    <t>I1570</t>
  </si>
  <si>
    <t>PARAFUSO COM ROSCA SOBERBA 1/4X 1 1/2''</t>
  </si>
  <si>
    <t>I1571</t>
  </si>
  <si>
    <t>PARAFUSO COM ROSCA SOBERBA 8X110MM</t>
  </si>
  <si>
    <t>I1572</t>
  </si>
  <si>
    <t>PARAFUSO COM ROSCA SOBERBA 8X130MM</t>
  </si>
  <si>
    <t>I1573</t>
  </si>
  <si>
    <t>PARAFUSO COM ROSCA SOBERBA 8X165MM</t>
  </si>
  <si>
    <t>I1574</t>
  </si>
  <si>
    <t>PARAFUSO COM ROSCA SOBERBA 8X180MM</t>
  </si>
  <si>
    <t>I1575</t>
  </si>
  <si>
    <t>PARAFUSO COM ROSCA SOBERBA 8X230MM</t>
  </si>
  <si>
    <t>I1576</t>
  </si>
  <si>
    <t>PARAFUSO COM ROSCA SOBERBA 8X250MM</t>
  </si>
  <si>
    <t>I1577</t>
  </si>
  <si>
    <t>PARAFUSO COM ROSCA SOBERBA 8X50MM</t>
  </si>
  <si>
    <t>I1578</t>
  </si>
  <si>
    <t>PARAFUSO COM ROSCA SOBERBA 8X85MM</t>
  </si>
  <si>
    <t>I1579</t>
  </si>
  <si>
    <t>PARAFUSO CROMADO P/FIXAÇÃO SANITARIOS, INCLUSIVE PORCA CEGA, ARRUELA E BUCHA DE NYLON</t>
  </si>
  <si>
    <t>I2387</t>
  </si>
  <si>
    <t>PARAFUSO DE 5/16"x 110MM C/ARRUELA</t>
  </si>
  <si>
    <t>I7348</t>
  </si>
  <si>
    <t>PARAFUSO DE AÇO C/ PORCA E ARRUELA - 1/2" x  4"</t>
  </si>
  <si>
    <t>I8114</t>
  </si>
  <si>
    <t>PARAFUSO DE AÇO COM PORCA E ARRUELA 1" x 10"</t>
  </si>
  <si>
    <t>I2483</t>
  </si>
  <si>
    <t>PARAFUSO DE FIXAÇÃO 8MM</t>
  </si>
  <si>
    <t>I2388</t>
  </si>
  <si>
    <t>PARAFUSO EM AÇO C/PORCA, CABEÇA SEXTAVADA 1/2 x  2"</t>
  </si>
  <si>
    <t>I1580</t>
  </si>
  <si>
    <t>PARAFUSO FRANCES 1/2''X8'' COM 2 PORCAS</t>
  </si>
  <si>
    <t>I1581</t>
  </si>
  <si>
    <t>PARAFUSO FRANCES 1/2''X9'' COM 2 PORCAS</t>
  </si>
  <si>
    <t>I1565</t>
  </si>
  <si>
    <t>PARAFUSO GALVANIZADO 5/16''X50 C/BUCHA S 10 PUMEX</t>
  </si>
  <si>
    <t>I2389</t>
  </si>
  <si>
    <t>PARAFUSO MAQUINA ZINCADO 5/8 x 14" C/ ARRUELAS/PORCA</t>
  </si>
  <si>
    <t>I2390</t>
  </si>
  <si>
    <t>PARAFUSO MAQUINA ZINCADO 5/8 x 16" C/ ARRUELAS/PORCA</t>
  </si>
  <si>
    <t>I1582</t>
  </si>
  <si>
    <t>PARAFUSO N.12X25MM</t>
  </si>
  <si>
    <t>I1583</t>
  </si>
  <si>
    <t>PARAFUSO N.14X40MM</t>
  </si>
  <si>
    <t>I1587</t>
  </si>
  <si>
    <t>PARAFUSO PARA MADEIRA 1 3/4''X10MM</t>
  </si>
  <si>
    <t>I1588</t>
  </si>
  <si>
    <t>PARAFUSO PARA MADEIRA 1''X10MM</t>
  </si>
  <si>
    <t>I1586</t>
  </si>
  <si>
    <t>PARAFUSO PARA MADEIRA CABEÇA CHATA 2.8X16MM</t>
  </si>
  <si>
    <t>I1584</t>
  </si>
  <si>
    <t>PARAFUSO PARA MADEIRA CABEÇA CHATA 3.8 X 30MM</t>
  </si>
  <si>
    <t>I1589</t>
  </si>
  <si>
    <t>PARAFUSO PARA MADEIRA COM CABEÇA REDONDA 5X38</t>
  </si>
  <si>
    <t>I1590</t>
  </si>
  <si>
    <t>PARAFUSO PARA MADEIRA DE 80MM</t>
  </si>
  <si>
    <t>I1592</t>
  </si>
  <si>
    <t>PARAFUSO SEXTAVADO 1/4''X2''</t>
  </si>
  <si>
    <t>I1593</t>
  </si>
  <si>
    <t>PARAFUSO SEXTAVADO 5/16''X1''</t>
  </si>
  <si>
    <t>I7951</t>
  </si>
  <si>
    <t>PERFIL "I" 12" ASTM A36 (ALMA 6,6 mm)</t>
  </si>
  <si>
    <t>I13303</t>
  </si>
  <si>
    <t>PERFIL "U" DE ACO LAMINADO, "U" 152 X 15,6</t>
  </si>
  <si>
    <t>I2392</t>
  </si>
  <si>
    <t>PERFIL ' I '  10" 1A. ALMA</t>
  </si>
  <si>
    <t>I1618</t>
  </si>
  <si>
    <t>PERFIL 'U' - CHAPA 20 (ACO) 41.5X15MM</t>
  </si>
  <si>
    <t>I1619</t>
  </si>
  <si>
    <t>PERFIL 'U' DE AÇO 1 1/2X3X1/8' CHAPA 26 (DIVISÓRIA)</t>
  </si>
  <si>
    <t>I1621</t>
  </si>
  <si>
    <t>PERFIL BATENTE DE AÇO (14/24)X44MM CHAPA 20 (DIVISÓRIA)</t>
  </si>
  <si>
    <t>I8355</t>
  </si>
  <si>
    <t>PERFIL C (VENEZIANA) DE 2" x 1" EM CHAPA GALVANIZADA DE 2mm COM PINTURA ELETROSTÁTICA</t>
  </si>
  <si>
    <t>I1627</t>
  </si>
  <si>
    <t>PERFIL ESTRUTURAL  35X35X07X1.5MM</t>
  </si>
  <si>
    <t>I1626</t>
  </si>
  <si>
    <t>PERFIL ESTRUTURAL  35X35X15X1.25MM</t>
  </si>
  <si>
    <t>I1628</t>
  </si>
  <si>
    <t>PERFIL ESTRUTURAL  75X50X15X2.65MM</t>
  </si>
  <si>
    <t>I1625</t>
  </si>
  <si>
    <t>PERFIL ESTRUTURAL 100X50X15X2.65MM</t>
  </si>
  <si>
    <t>I8685</t>
  </si>
  <si>
    <t>PERFIL METÁLICO "I" OU "H"</t>
  </si>
  <si>
    <t>I1629</t>
  </si>
  <si>
    <t>PERFIL METÁLICO ' I ' , H=300MM (66,97KG/M)</t>
  </si>
  <si>
    <t>I1630</t>
  </si>
  <si>
    <t>PERFIL METÁLICO ' I ' , H=400MM (89,29KG/M)</t>
  </si>
  <si>
    <t>I1631</t>
  </si>
  <si>
    <t>PERFIL METÁLICO ' I ' , H=500MM (126,50KG/M)</t>
  </si>
  <si>
    <t>I1632</t>
  </si>
  <si>
    <t>PERFIL METÁLICO ' I ',  H=200MM (30,50KG/M)</t>
  </si>
  <si>
    <t>I6740</t>
  </si>
  <si>
    <t>PERFIL METÁLICO EM " U " -  6"x2"x3/16"</t>
  </si>
  <si>
    <t>I1633</t>
  </si>
  <si>
    <t>PERFIS LEVES DE AÇO CHAPA 20 (DIVISÓRIA)</t>
  </si>
  <si>
    <t>I8207</t>
  </si>
  <si>
    <t>PEÇAS METÁLICAS P/ FORMAS</t>
  </si>
  <si>
    <t>I2394</t>
  </si>
  <si>
    <t>PINO DE FIXAÇÃO COM CARTUCHO</t>
  </si>
  <si>
    <t>I2400</t>
  </si>
  <si>
    <t>PLACA EM CHAPA PRETA PARA OBRA</t>
  </si>
  <si>
    <t>I1694</t>
  </si>
  <si>
    <t>PORCA SEXTAVADA 1/4'</t>
  </si>
  <si>
    <t>I1695</t>
  </si>
  <si>
    <t>PORCA SEXTAVADA 5/16'</t>
  </si>
  <si>
    <t>I1704</t>
  </si>
  <si>
    <t>PORTA DE FERRO EM CHAPA DUPLA N.14</t>
  </si>
  <si>
    <t>I1724</t>
  </si>
  <si>
    <t>PREGO</t>
  </si>
  <si>
    <t>I2494</t>
  </si>
  <si>
    <t>PREGO 12 x 12</t>
  </si>
  <si>
    <t>I2409</t>
  </si>
  <si>
    <t>PREGO 14X15 (1.1/4" x 14) (APROXIMADAMENTE 814UN/KG)</t>
  </si>
  <si>
    <t>I2408</t>
  </si>
  <si>
    <t>PREGO 14X18 (1.1/2" x 14) (APROXIMADAMENTE 708UN/KG)</t>
  </si>
  <si>
    <t>I1725</t>
  </si>
  <si>
    <t>PREGO 15X15 (1.1/4" x 13) (APROXIMADAMENTE 672UN/KG)</t>
  </si>
  <si>
    <t>I1726</t>
  </si>
  <si>
    <t>PREGO 16X24 (2.1/4" x 12) (APROXIMADAMENTE 354UN/KG)</t>
  </si>
  <si>
    <t>I1727</t>
  </si>
  <si>
    <t>PREGO 18 X 27 C/ ANILHA DE PVC</t>
  </si>
  <si>
    <t>I1728</t>
  </si>
  <si>
    <t>PREGO 18X27 (2.1/2" X 10) (APROXIMADAMENTE 198UN/KG)</t>
  </si>
  <si>
    <t>I2410</t>
  </si>
  <si>
    <t>PREGO 18X27 (2.1/2" x 10) (APROXIMADAMENTE 198UN/KG)</t>
  </si>
  <si>
    <t>I1729</t>
  </si>
  <si>
    <t>PREGO 18X27 GALVANIZADO</t>
  </si>
  <si>
    <t>I1730</t>
  </si>
  <si>
    <t>PREGO 18X30 (2.3/4" X 10) (APROXIMADAMENTE 187UN/KG)</t>
  </si>
  <si>
    <t>I1731</t>
  </si>
  <si>
    <t>PREGO 19X33 (3" x 9) (APROXIMADAMENTE 136UN/KG)</t>
  </si>
  <si>
    <t>I1732</t>
  </si>
  <si>
    <t>PREGO 22X48 (4.1/4" x 5) (APROXIMADAMENTE 48UN/KG)</t>
  </si>
  <si>
    <t>I1742</t>
  </si>
  <si>
    <t>PURGADOR PLÁSTICO PARA ANCORAGEM</t>
  </si>
  <si>
    <t>I1783</t>
  </si>
  <si>
    <t>REBITE DIAM.5MM COMPR. 12MM</t>
  </si>
  <si>
    <t>I1784</t>
  </si>
  <si>
    <t>REBITES</t>
  </si>
  <si>
    <t>I2436</t>
  </si>
  <si>
    <t>TELA GALVANIZADA MALHA QUADRADA/LOSANGULAR 2" (5X5CM) FIO 10 (3,4MM)</t>
  </si>
  <si>
    <t>I2040</t>
  </si>
  <si>
    <t>TELA SOLDADA EM ACO CA-60 B FIO= 5,0MM MALHA 10 X 10 CM (3,11KG/M2)</t>
  </si>
  <si>
    <t>I6037</t>
  </si>
  <si>
    <t>COTAÇÃO / GRUPO GERADOR</t>
  </si>
  <si>
    <t>I6728</t>
  </si>
  <si>
    <t xml:space="preserve">GRUPO GERADOR  45/ 55 KVA, C/ QUADRO AUTOMÁTICO - COMPLETO, INCLUSIVE TANQUE DE COMBUSTÍVEL
</t>
  </si>
  <si>
    <t>I1237</t>
  </si>
  <si>
    <t xml:space="preserve">GRUPO GERADOR  56/ 85 KVA, C/ QUADRO AUTOMATICO - COMPLETO, INCLUSIVE TANQUE DE COMBUSTÍVEL
</t>
  </si>
  <si>
    <t>I6729</t>
  </si>
  <si>
    <t>GRUPO GERADOR 121/140 KVA, C/ QUADRO AUTOMÁTICO - COMPLETO, INCLUSIVE TANQUE DE COMBUSTÍVEL</t>
  </si>
  <si>
    <t>I1234</t>
  </si>
  <si>
    <t>GRUPO GERADOR 141/170 KVA, C/ QUADRO AUTOMATICO - COMPLETO, INCLUSIVE TANQUE DE COMBUSTÍVEL</t>
  </si>
  <si>
    <t>I6731</t>
  </si>
  <si>
    <t>GRUPO GERADOR 171/215 KVA, C/ QUADRO AUTOMÁTICO - COMPLETO, INCLUSIVE TANQUE DE COMBUSTÍVEL</t>
  </si>
  <si>
    <t>I7983</t>
  </si>
  <si>
    <t>GRUPO GERADOR 216/235 KVA, C/ QUADRO AUTOMÁTICO - COMPLETO, INCLUSIVE TANQUE DE COMBUSTÍVEL</t>
  </si>
  <si>
    <t>I6732</t>
  </si>
  <si>
    <t>GRUPO GERADOR 236/260 KVA, C/ QUADRO AUTOMÁTICO - COMPLETO, INCLUSIVE TANQUE DE COMBUSTÍVEL</t>
  </si>
  <si>
    <t>I1236</t>
  </si>
  <si>
    <t>GRUPO GERADOR 261/290 KVA, C/ QUADRO AUTOMATICO - COMPLETO, INCLUSIVE TANQUE DE COMBUSTÍVEL</t>
  </si>
  <si>
    <t>I6734</t>
  </si>
  <si>
    <t>GRUPO GERADOR 291/360 KVA, C/ QUADRO AUTOMÁTICO - COMPLETO, INCLUSIVE TANQUE DE COMBUSTÍVEL</t>
  </si>
  <si>
    <t>I6735</t>
  </si>
  <si>
    <t>GRUPO GERADOR 361/385 KVA, C/ QUADRO AUTOMÁTICO - COMPLETO, INCLUSIVE TANQUE DE COMBUSTÍVEL</t>
  </si>
  <si>
    <t>I7984</t>
  </si>
  <si>
    <t>GRUPO GERADOR 386/450 KVA, C/ QUADRO AUTOMÁTICO - COMPLETO, INCLUSIVE TANQUE DE COMBUSTÍVEL</t>
  </si>
  <si>
    <t>I7547</t>
  </si>
  <si>
    <t>GRUPO GERADOR 451/500 KVA COM QUADRO AUTOMÁTICO - COMPLETO, INCLUSIVE TANQUE DE COMBUSTÍVEL</t>
  </si>
  <si>
    <t>I6736</t>
  </si>
  <si>
    <t>GRUPO GERADOR 501/635 KVA, C/ QUADRO AUTOMÁTICO - COMPLETO, INCLUSIVE TANQUE DE COMBUSTÍVEL</t>
  </si>
  <si>
    <t>I7888</t>
  </si>
  <si>
    <t>GRUPO GERADOR 636/780 KVA C/ QUADRO AUTOMÁTICO - COMPLETO, INCLUSIVE TANQUE DE COMBUSTÍVEL</t>
  </si>
  <si>
    <t>I7889</t>
  </si>
  <si>
    <t>GRUPO GERADOR 781/950 KVA C/ QUADRO AUTOMÁTICO - COMPLETO, INCLUSIVE TANQUE DE COMBUSTÍVEL</t>
  </si>
  <si>
    <t>I1233</t>
  </si>
  <si>
    <t xml:space="preserve">GRUPO GERADOR 86/120 KVA, C/ QUADRO AUTOMATICO - COMPLETO, INCLUSIVE TANQUE DE COMBUSTÍVEL
</t>
  </si>
  <si>
    <t>I7985</t>
  </si>
  <si>
    <t>GRUPO GERADOR 951/1000 KVA, C/ QUADRO AUTOMÁTICO - COMPLETO, INCLUSIVE TANQUE DE COMBUSTÍVEL</t>
  </si>
  <si>
    <t>COTAÇÃO / IMPERMEABILIZANTE/ISOLAMENTO/JUNTA</t>
  </si>
  <si>
    <t>I9495</t>
  </si>
  <si>
    <t>ADESIVO ADE 52 OU SIMILAR</t>
  </si>
  <si>
    <t>I0023</t>
  </si>
  <si>
    <t>ADESIVO AUTO VULCANIZANTE</t>
  </si>
  <si>
    <t>I0024</t>
  </si>
  <si>
    <t>ADESIVO DE CONTATO</t>
  </si>
  <si>
    <t>I0025</t>
  </si>
  <si>
    <t>ADESIVO HIDRO-ASFALTICO</t>
  </si>
  <si>
    <t>I6787</t>
  </si>
  <si>
    <t>ALUMINIO CORRUGADO ESP.015MM PARA PROTEÇÃO E ACABAMENTO DE ISOLAMENTO TÉRMICOS ACÚSTICOS</t>
  </si>
  <si>
    <t>I0120</t>
  </si>
  <si>
    <t>ARGILA EXPANDIDA</t>
  </si>
  <si>
    <t>I0146</t>
  </si>
  <si>
    <t>ASFALTO MODIFICADO</t>
  </si>
  <si>
    <t>I0216</t>
  </si>
  <si>
    <t>BERÇO DE HIDROASFALTO E BORRACHA MOIDA</t>
  </si>
  <si>
    <t>I6784</t>
  </si>
  <si>
    <t>CALHA  DUPLA DE POLIESTIRENO EXPANDIDO PARA TUBO DE 2"</t>
  </si>
  <si>
    <t>I0801</t>
  </si>
  <si>
    <t>CIMENTO ESPECIAL IMPERMEABILIZANTE N.1</t>
  </si>
  <si>
    <t>I0802</t>
  </si>
  <si>
    <t>CIMENTO ESPECIAL TIPO K11 DA HEI'DI</t>
  </si>
  <si>
    <t>I0803</t>
  </si>
  <si>
    <t>CIMENTO ESPECIAL TIPO KZ DA HEY"DI</t>
  </si>
  <si>
    <t>I0804</t>
  </si>
  <si>
    <t>CIMENTO IMPERMEABILIZANTE DE PEGA ULTRA RAPIDO</t>
  </si>
  <si>
    <t>I6788</t>
  </si>
  <si>
    <t>CINTA DE ALUMINIO 1/2"</t>
  </si>
  <si>
    <t>I1089</t>
  </si>
  <si>
    <t>EMULSÃO ADESIVA</t>
  </si>
  <si>
    <t>I1090</t>
  </si>
  <si>
    <t>EMULSÃO ASFALTICA</t>
  </si>
  <si>
    <t>I6786</t>
  </si>
  <si>
    <t>FELTRO BETUMINOSO (VEU DE VIDRO)</t>
  </si>
  <si>
    <t>I1179</t>
  </si>
  <si>
    <t>FITA DE CALDEAÇÃO</t>
  </si>
  <si>
    <t>I6229</t>
  </si>
  <si>
    <t>IGOL A</t>
  </si>
  <si>
    <t>I1249</t>
  </si>
  <si>
    <t>IMPERMEABILIZANTE</t>
  </si>
  <si>
    <t>I1250</t>
  </si>
  <si>
    <t>IMPERMEABILIZANTE ESTRUTURAL</t>
  </si>
  <si>
    <t>I1316</t>
  </si>
  <si>
    <t>JUNTA PLASTICA 'I' 27MM PARA PISOS</t>
  </si>
  <si>
    <t>I1317</t>
  </si>
  <si>
    <t>JUNTA PLASTICA 3/4''X1/8'' PARA PISOS</t>
  </si>
  <si>
    <t>I1501</t>
  </si>
  <si>
    <t>MANTA ASFALTICA AUTO-ADESIVA</t>
  </si>
  <si>
    <t>I1503</t>
  </si>
  <si>
    <t>MANTA BUTILICA. ESPESSURA 0.8MM</t>
  </si>
  <si>
    <t>I1517</t>
  </si>
  <si>
    <t>MASTIQUE ELASTICO</t>
  </si>
  <si>
    <t>I1520</t>
  </si>
  <si>
    <t>MEADA</t>
  </si>
  <si>
    <t>I1521</t>
  </si>
  <si>
    <t>MEMBRANA ACRILICA</t>
  </si>
  <si>
    <t>I1522</t>
  </si>
  <si>
    <t>MEMBRANA ELASTICA</t>
  </si>
  <si>
    <t>I1538</t>
  </si>
  <si>
    <t>I1562</t>
  </si>
  <si>
    <t>PAPEL KRAFT BETUMADO DUPLO</t>
  </si>
  <si>
    <t>I6789</t>
  </si>
  <si>
    <t>SELO DE ALUMINIO 1/2" PARA CINTAS DE ALUMINIO</t>
  </si>
  <si>
    <t>I2421</t>
  </si>
  <si>
    <t>SIKA 1</t>
  </si>
  <si>
    <t>I2422</t>
  </si>
  <si>
    <t>SIKADUR 32</t>
  </si>
  <si>
    <t>I1866</t>
  </si>
  <si>
    <t>SILICONE - HIDRAFUGANTE</t>
  </si>
  <si>
    <t>I2038</t>
  </si>
  <si>
    <t>TELA DE METAL DEPLOYE DE 3/4'</t>
  </si>
  <si>
    <t>I2247</t>
  </si>
  <si>
    <t>VERMICULITA EXPANDIDA</t>
  </si>
  <si>
    <t>I2251</t>
  </si>
  <si>
    <t>VEU DE POLIESTER</t>
  </si>
  <si>
    <t>I7891</t>
  </si>
  <si>
    <t>VIAPLUS 1000 BRANCO</t>
  </si>
  <si>
    <t>I2292</t>
  </si>
  <si>
    <t>VÉU DE FIBRA DE VIDRO</t>
  </si>
  <si>
    <t>COTAÇÃO / INSTAL.HIDRAULICA</t>
  </si>
  <si>
    <t>I0003</t>
  </si>
  <si>
    <t xml:space="preserve">ABRIGO P/ HIDRANTE 60 X 90 X 17CM, EM CHAPA DE ACO, PORTA COM VENTILACAO, VISOR COM A INSCRICAO "INCENDIO", SUPORTE/CESTA INTERNA PARA A MANGUEIRA, PINTURA ELETROSTATICA VERMELHA                                                                                                                                                                                                                                                           </t>
  </si>
  <si>
    <t>I0005</t>
  </si>
  <si>
    <t>ACIONAD.MANUAL, TIPO QUEBRE O VIDRO, MOD. EUROTRON</t>
  </si>
  <si>
    <t>I0006</t>
  </si>
  <si>
    <t>ADAPTADOR PARA INCÊNDIO - 65X65MM (2 1/2X2 1/2'')</t>
  </si>
  <si>
    <t>I0007</t>
  </si>
  <si>
    <t>ADAPTADOR PVC P/SIFÃO 1 1/4''X40MM</t>
  </si>
  <si>
    <t>I6722</t>
  </si>
  <si>
    <t>ADAPTADOR PVC REGISTRO 25MM (3/4")</t>
  </si>
  <si>
    <t>I6723</t>
  </si>
  <si>
    <t>ADAPTADOR PVC REGISTRO 32MM (1")</t>
  </si>
  <si>
    <t>I6724</t>
  </si>
  <si>
    <t>ADAPTADOR PVC REGISTRO 40MM (1 1/4")</t>
  </si>
  <si>
    <t>I6725</t>
  </si>
  <si>
    <t>ADAPTADOR PVC REGISTRO 50MM (1 1/2")</t>
  </si>
  <si>
    <t>I6726</t>
  </si>
  <si>
    <t>ADAPTADOR PVC REGISTRO 60MM (2")</t>
  </si>
  <si>
    <t>I0008</t>
  </si>
  <si>
    <t>ADAPTADOR PVC REGISTRO 75MM (2 1/2'')</t>
  </si>
  <si>
    <t>I0009</t>
  </si>
  <si>
    <t>ADAPTADOR PVC REGISTRO 85MM (3'')</t>
  </si>
  <si>
    <t>I0010</t>
  </si>
  <si>
    <t>ADAPTADOR PVC SOLD. FLANGES LIVRES P/CX. D'ÁGUA 110MM</t>
  </si>
  <si>
    <t>I0011</t>
  </si>
  <si>
    <t>ADAPTADOR PVC SOLD. FLANGES LIVRES P/CX. D'ÁGUA 20MM</t>
  </si>
  <si>
    <t>I0012</t>
  </si>
  <si>
    <t>ADAPTADOR PVC SOLD. FLANGES LIVRES P/CX. D'ÁGUA 25MM</t>
  </si>
  <si>
    <t>I0013</t>
  </si>
  <si>
    <t>ADAPTADOR PVC SOLD. FLANGES LIVRES P/CX. D'ÁGUA 32MM</t>
  </si>
  <si>
    <t>I0014</t>
  </si>
  <si>
    <t>ADAPTADOR PVC SOLD. FLANGES LIVRES P/CX. D'ÁGUA 40MM</t>
  </si>
  <si>
    <t>I0015</t>
  </si>
  <si>
    <t>ADAPTADOR PVC SOLD. FLANGES LIVRES P/CX. D'ÁGUA 50MM</t>
  </si>
  <si>
    <t>I0016</t>
  </si>
  <si>
    <t>ADAPTADOR PVC SOLD. FLANGES LIVRES P/CX. D'ÁGUA 60MM</t>
  </si>
  <si>
    <t>I0017</t>
  </si>
  <si>
    <t>ADAPTADOR PVC SOLD. FLANGES LIVRES P/CX. D'ÁGUA 75MM</t>
  </si>
  <si>
    <t>I0018</t>
  </si>
  <si>
    <t>ADAPTADOR PVC SOLD. FLANGES LIVRES P/CX. D'ÁGUA 85MM</t>
  </si>
  <si>
    <t>I0019</t>
  </si>
  <si>
    <t>ADAPTADOR PVC SOLDAVEL CURTO LR P/REG. 25x3/4"</t>
  </si>
  <si>
    <t>I0020</t>
  </si>
  <si>
    <t>ADAPTADOR SOLDAVEL C/FLANGE P/CX D'ÁGUA 32x1"</t>
  </si>
  <si>
    <t>I0021</t>
  </si>
  <si>
    <t>ADESIVO 90ML</t>
  </si>
  <si>
    <t>I0026</t>
  </si>
  <si>
    <t>ADESIVO PARA TUBO DE PVC RIGIDO</t>
  </si>
  <si>
    <t>I0069</t>
  </si>
  <si>
    <t>ANEL DE BORRACHA P/ TUBOS E CONEXÕES F.F. 100M</t>
  </si>
  <si>
    <t>I0070</t>
  </si>
  <si>
    <t>ANEL DE BORRACHA P/ TUBOS E CONEXÕES F.F. 150MM</t>
  </si>
  <si>
    <t>I0071</t>
  </si>
  <si>
    <t>ANEL DE BORRACHA P/ TUBOS E CONEXÕES F.F. 50MM</t>
  </si>
  <si>
    <t>I0072</t>
  </si>
  <si>
    <t>ANEL DE BORRACHA P/ TUBOS E CONEXÕES F.F. 75MM</t>
  </si>
  <si>
    <t>I0073</t>
  </si>
  <si>
    <t>ANEL DE BORRACHA P/TUBO PVC 100MM (4'')</t>
  </si>
  <si>
    <t>I0074</t>
  </si>
  <si>
    <t>ANEL DE BORRACHA P/TUBO PVC 150MM (6'')</t>
  </si>
  <si>
    <t>I0075</t>
  </si>
  <si>
    <t>ANEL DE BORRACHA P/TUBO PVC 40MM</t>
  </si>
  <si>
    <t>I0076</t>
  </si>
  <si>
    <t>ANEL DE BORRACHA P/TUBO PVC 50MM (2'')</t>
  </si>
  <si>
    <t>I0077</t>
  </si>
  <si>
    <t>ANEL DE BORRACHA P/TUBO PVC 75MM (3'')</t>
  </si>
  <si>
    <t>I0078</t>
  </si>
  <si>
    <t>ANEL DE BORRACHA P/TUBO PVC REFORÇADO DE 100MM</t>
  </si>
  <si>
    <t>I0079</t>
  </si>
  <si>
    <t>ANEL DE BORRACHA P/TUBO PVC REFORÇADO DE 150MM</t>
  </si>
  <si>
    <t>I0080</t>
  </si>
  <si>
    <t>ANEL DE BORRACHA P/TUBO PVC REFORÇADO DE 50MM</t>
  </si>
  <si>
    <t>I0081</t>
  </si>
  <si>
    <t>ANEL DE BORRACHA P/TUBO PVC REFORÇADO DE 75MM</t>
  </si>
  <si>
    <t>I0082</t>
  </si>
  <si>
    <t>ANEL DE VEDAÇÃO PARA BACIA</t>
  </si>
  <si>
    <t>I0145</t>
  </si>
  <si>
    <t>ASFALTO OXIDADO (MODIFICADO )</t>
  </si>
  <si>
    <t>I8648</t>
  </si>
  <si>
    <t>BASE DE FIXAÇÃO COM PARAFUSOS</t>
  </si>
  <si>
    <t>I0244</t>
  </si>
  <si>
    <t>BOCAL PARA CALHA FIBERGLASS</t>
  </si>
  <si>
    <t>I0302</t>
  </si>
  <si>
    <t>BUCHA REDUCAO PVC CURTA 75X50MM - AF</t>
  </si>
  <si>
    <t>I8226</t>
  </si>
  <si>
    <t>BUCHA REDUÇÃO DE AÇO GALVANIZADO 1 1/2"x 1"</t>
  </si>
  <si>
    <t>I8227</t>
  </si>
  <si>
    <t>BUCHA REDUÇÃO DE AÇO GALVANIZADO 11/2"x 11/4"</t>
  </si>
  <si>
    <t>I8225</t>
  </si>
  <si>
    <t>BUCHA REDUÇÃO DE AÇO GALVANIZADO 11/4"x 1"</t>
  </si>
  <si>
    <t>I8228</t>
  </si>
  <si>
    <t>BUCHA REDUÇÃO DE AÇO GALVANIZADO 2"x 1/2"</t>
  </si>
  <si>
    <t>I0324</t>
  </si>
  <si>
    <t>BUCHA REDUÇÃO FERRO FUNDIDO  75X50MM</t>
  </si>
  <si>
    <t>I0322</t>
  </si>
  <si>
    <t>BUCHA REDUÇÃO FERRO FUNDIDO 100X75MM</t>
  </si>
  <si>
    <t>I0323</t>
  </si>
  <si>
    <t>BUCHA REDUÇÃO FERRO FUNDIDO 150X100MM</t>
  </si>
  <si>
    <t>I0296</t>
  </si>
  <si>
    <t>BUCHA REDUÇÃO PVC ESGOTO  75X50MM (3"X2")</t>
  </si>
  <si>
    <t>I0297</t>
  </si>
  <si>
    <t>BUCHA REDUÇÃO PVC ESGOTO 100X75MM (4"X3")</t>
  </si>
  <si>
    <t>I0298</t>
  </si>
  <si>
    <t>BUCHA REDUÇÃO PVC ESGOTO 150X100MM (6"X4")</t>
  </si>
  <si>
    <t>I0325</t>
  </si>
  <si>
    <t>BUCHA REDUÇÃO PVC LONGA ESGOTO 50X40MM</t>
  </si>
  <si>
    <t>I0318</t>
  </si>
  <si>
    <t>BUCHA REDUÇÃO PVC ROSCAVEL DE   3/4"X1/2"</t>
  </si>
  <si>
    <t>I0310</t>
  </si>
  <si>
    <t>BUCHA REDUÇÃO PVC ROSCAVEL DE  1"X 1/2"</t>
  </si>
  <si>
    <t>I0311</t>
  </si>
  <si>
    <t>BUCHA REDUÇÃO PVC ROSCAVEL DE  1"X 3/4"</t>
  </si>
  <si>
    <t>I0305</t>
  </si>
  <si>
    <t>BUCHA REDUÇÃO PVC ROSCAVEL DE 1 1/2"X 1/2"</t>
  </si>
  <si>
    <t>I0306</t>
  </si>
  <si>
    <t>BUCHA REDUÇÃO PVC ROSCAVEL DE 1 1/2"X 3/4"</t>
  </si>
  <si>
    <t>I0303</t>
  </si>
  <si>
    <t>BUCHA REDUÇÃO PVC ROSCAVEL DE 1 1/2"X1 1/4"</t>
  </si>
  <si>
    <t>I0304</t>
  </si>
  <si>
    <t>BUCHA REDUÇÃO PVC ROSCAVEL DE 1 1/2"X1"</t>
  </si>
  <si>
    <t>I0308</t>
  </si>
  <si>
    <t>BUCHA REDUÇÃO PVC ROSCAVEL DE 1 1/4"X 1/2"</t>
  </si>
  <si>
    <t>I0309</t>
  </si>
  <si>
    <t>BUCHA REDUÇÃO PVC ROSCAVEL DE 1 1/4"X 3/4"</t>
  </si>
  <si>
    <t>I0307</t>
  </si>
  <si>
    <t>BUCHA REDUÇÃO PVC ROSCAVEL DE 1 1/4"X1"</t>
  </si>
  <si>
    <t>I0312</t>
  </si>
  <si>
    <t>BUCHA REDUÇÃO PVC ROSCAVEL DE 2 1/2X1 1/2''</t>
  </si>
  <si>
    <t>I0313</t>
  </si>
  <si>
    <t>BUCHA REDUÇÃO PVC ROSCAVEL DE 2 1/2X1 1/4''</t>
  </si>
  <si>
    <t>I0314</t>
  </si>
  <si>
    <t>BUCHA REDUÇÃO PVC ROSCAVEL DE 2 1/2X2''</t>
  </si>
  <si>
    <t>I0315</t>
  </si>
  <si>
    <t>BUCHA REDUÇÃO PVC ROSCAVEL DE 2"X1 1/2"</t>
  </si>
  <si>
    <t>I0316</t>
  </si>
  <si>
    <t>BUCHA REDUÇÃO PVC ROSCAVEL DE 2"X1 1/4"</t>
  </si>
  <si>
    <t>I0317</t>
  </si>
  <si>
    <t>BUCHA REDUÇÃO PVC ROSCAVEL DE 2"X1"</t>
  </si>
  <si>
    <t>I0319</t>
  </si>
  <si>
    <t>BUCHA REDUÇÃO PVC ROSCAVEL DE 3X1 1/2''</t>
  </si>
  <si>
    <t>I0320</t>
  </si>
  <si>
    <t>BUCHA REDUÇÃO PVC ROSCAVEL DE 3X2 1/2''</t>
  </si>
  <si>
    <t>I0321</t>
  </si>
  <si>
    <t>BUCHA REDUÇÃO PVC ROSCAVEL DE 4X3''</t>
  </si>
  <si>
    <t>I0327</t>
  </si>
  <si>
    <t>BUJÃO AÇO GALVANIZADO  1/2"</t>
  </si>
  <si>
    <t>I0326</t>
  </si>
  <si>
    <t>BUJÃO AÇO GALVANIZADO 1 1/4''</t>
  </si>
  <si>
    <t>I0328</t>
  </si>
  <si>
    <t>BUJÃO AÇO GALVANIZADO 2 1/2''</t>
  </si>
  <si>
    <t>I0329</t>
  </si>
  <si>
    <t>BUJÃO AÇO GALVANIZADO 4''</t>
  </si>
  <si>
    <t>I0402</t>
  </si>
  <si>
    <t>CAGECE - LIGAÇÃO DE ESGOTO</t>
  </si>
  <si>
    <t>I0403</t>
  </si>
  <si>
    <t>CAGECE - LIGAÇÃO DE ÁGUA</t>
  </si>
  <si>
    <t>I10268</t>
  </si>
  <si>
    <t>CAIXA D'AGUA DE POLIETILENO DE 1000 L, COM TAMPA</t>
  </si>
  <si>
    <t>I6226</t>
  </si>
  <si>
    <t>CAIXA D'ÁGUA EM FYBERGLASS CAP.500L, COM TAMPA</t>
  </si>
  <si>
    <t>I8576</t>
  </si>
  <si>
    <t>CAIXA D'ÁGUA EM POLIETILENO CAP. 310 L COM TAMPA</t>
  </si>
  <si>
    <t>I0411</t>
  </si>
  <si>
    <t>CAIXA DE AÇO 40X60CM P/RECALQUE</t>
  </si>
  <si>
    <t>I0435</t>
  </si>
  <si>
    <t>CAIXA SIFONADA 150 x 150 x 50 COM GRELHA</t>
  </si>
  <si>
    <t>I9404</t>
  </si>
  <si>
    <t>I9405</t>
  </si>
  <si>
    <t>I9406</t>
  </si>
  <si>
    <t>I9407</t>
  </si>
  <si>
    <t>I9408</t>
  </si>
  <si>
    <t>I9409</t>
  </si>
  <si>
    <t>I9410</t>
  </si>
  <si>
    <t>I8230</t>
  </si>
  <si>
    <t>I9411</t>
  </si>
  <si>
    <t>I0447</t>
  </si>
  <si>
    <t>CALHA DE ALUMINIO DESENVOL. DE 25CM</t>
  </si>
  <si>
    <t>I0452</t>
  </si>
  <si>
    <t>CALHA. CORTE 300MM. EM FIBERGLASS. ESP. 2MM</t>
  </si>
  <si>
    <t>I0485</t>
  </si>
  <si>
    <t>CAP PVC ROSCAVEL DE  1/2"</t>
  </si>
  <si>
    <t>I0488</t>
  </si>
  <si>
    <t>CAP PVC ROSCAVEL DE  3/4"</t>
  </si>
  <si>
    <t>I0482</t>
  </si>
  <si>
    <t>CAP PVC ROSCAVEL DE 1 1/2''</t>
  </si>
  <si>
    <t>I0483</t>
  </si>
  <si>
    <t>CAP PVC ROSCAVEL DE 1 1/4''</t>
  </si>
  <si>
    <t>I0484</t>
  </si>
  <si>
    <t>CAP PVC ROSCAVEL DE 1''</t>
  </si>
  <si>
    <t>I0486</t>
  </si>
  <si>
    <t>CAP PVC ROSCAVEL DE 2 1/2''</t>
  </si>
  <si>
    <t>I0487</t>
  </si>
  <si>
    <t>CAP PVC ROSCAVEL DE 3''</t>
  </si>
  <si>
    <t>I0489</t>
  </si>
  <si>
    <t>CAP PVC ROSCAVEL DE 4''</t>
  </si>
  <si>
    <t>I0473</t>
  </si>
  <si>
    <t>CAP PVC SOLD. MARROM DIAM. 110MM (4'')</t>
  </si>
  <si>
    <t>I0474</t>
  </si>
  <si>
    <t>CAP PVC SOLD. MARROM DIAM. 20MM (1/2'')</t>
  </si>
  <si>
    <t>I0475</t>
  </si>
  <si>
    <t>CAP PVC SOLD. MARROM DIAM. 25MM (3/4'')</t>
  </si>
  <si>
    <t>I0476</t>
  </si>
  <si>
    <t>CAP PVC SOLD. MARROM DIAM. 40MM (1 1/4'')</t>
  </si>
  <si>
    <t>I0477</t>
  </si>
  <si>
    <t>CAP PVC SOLD. MARROM DIAM. 50MM (1 1/2'')</t>
  </si>
  <si>
    <t>I0478</t>
  </si>
  <si>
    <t>CAP PVC SOLD. MARROM DIAM. 60MM (2'')</t>
  </si>
  <si>
    <t>I0479</t>
  </si>
  <si>
    <t>CAP PVC SOLD. MARROM DIAM. 75MM (2 1/2'')</t>
  </si>
  <si>
    <t>I0480</t>
  </si>
  <si>
    <t>CAP PVC SOLD. MARROM DIAM. 85MM (3'')</t>
  </si>
  <si>
    <t>I0481</t>
  </si>
  <si>
    <t>CAP PVC SOLD. MARRON DIAM. 32MM (1'')</t>
  </si>
  <si>
    <t>I0825</t>
  </si>
  <si>
    <t>COMPORTA EM FIBRA DE VIDRO</t>
  </si>
  <si>
    <t>I6772</t>
  </si>
  <si>
    <t>COTOVELO AÇO ASTM A-120 ROSCÁVEL DE  100 mm (4")</t>
  </si>
  <si>
    <t>I6766</t>
  </si>
  <si>
    <t>COTOVELO AÇO ASTM A-120 ROSCÁVEL DE 20mm (3/4")</t>
  </si>
  <si>
    <t>I6767</t>
  </si>
  <si>
    <t>COTOVELO AÇO ASTM A-120 ROSCÁVEL DE 25mm (1")</t>
  </si>
  <si>
    <t>I6768</t>
  </si>
  <si>
    <t>COTOVELO AÇO ASTM A-120 ROSCÁVEL DE 32mm (1 1/4")</t>
  </si>
  <si>
    <t>I6769</t>
  </si>
  <si>
    <t>COTOVELO AÇO ASTM A-120 ROSCÁVEL DE 40mm (1 1/2")</t>
  </si>
  <si>
    <t>I6770</t>
  </si>
  <si>
    <t>COTOVELO AÇO ASTM A-120 ROSCÁVEL DE 50mm (2")</t>
  </si>
  <si>
    <t>I6771</t>
  </si>
  <si>
    <t>COTOVELO AÇO ASTM A-120 ROSCÁVEL DE 80mm (3")</t>
  </si>
  <si>
    <t>I0874</t>
  </si>
  <si>
    <t>COTOVELO AÇO GALVANIZADO DE  1/2"</t>
  </si>
  <si>
    <t>I0878</t>
  </si>
  <si>
    <t>COTOVELO AÇO GALVANIZADO DE  3/4"</t>
  </si>
  <si>
    <t>I0871</t>
  </si>
  <si>
    <t>COTOVELO AÇO GALVANIZADO DE 1 1/2''</t>
  </si>
  <si>
    <t>I0872</t>
  </si>
  <si>
    <t>COTOVELO AÇO GALVANIZADO DE 1 1/4''</t>
  </si>
  <si>
    <t>I0873</t>
  </si>
  <si>
    <t>COTOVELO AÇO GALVANIZADO DE 1''</t>
  </si>
  <si>
    <t>I0875</t>
  </si>
  <si>
    <t>COTOVELO AÇO GALVANIZADO DE 2 1/2''</t>
  </si>
  <si>
    <t>I0876</t>
  </si>
  <si>
    <t>COTOVELO AÇO GALVANIZADO DE 2''</t>
  </si>
  <si>
    <t>I0877</t>
  </si>
  <si>
    <t>COTOVELO AÇO GALVANIZADO DE 3''</t>
  </si>
  <si>
    <t>I0879</t>
  </si>
  <si>
    <t>COTOVELO AÇO GALVANIZADO DE 4''</t>
  </si>
  <si>
    <t>I0880</t>
  </si>
  <si>
    <t>COTOVELO AÇO GALVANIZADO DE 5''</t>
  </si>
  <si>
    <t>I0881</t>
  </si>
  <si>
    <t>COTOVELO AÇO GALVANIZADO DE 6''</t>
  </si>
  <si>
    <t>I0882</t>
  </si>
  <si>
    <t>COTOVELO PVC SOLDAVEL DE 110MM</t>
  </si>
  <si>
    <t>I0883</t>
  </si>
  <si>
    <t>COTOVELO PVC SOLDAVEL DE 20MM</t>
  </si>
  <si>
    <t>I0884</t>
  </si>
  <si>
    <t>COTOVELO PVC SOLDAVEL DE 25MM</t>
  </si>
  <si>
    <t>I0885</t>
  </si>
  <si>
    <t>COTOVELO PVC SOLDAVEL DE 32MM</t>
  </si>
  <si>
    <t>I0886</t>
  </si>
  <si>
    <t>COTOVELO PVC SOLDAVEL DE 40MM</t>
  </si>
  <si>
    <t>I0887</t>
  </si>
  <si>
    <t>COTOVELO PVC SOLDAVEL DE 50MM</t>
  </si>
  <si>
    <t>I0888</t>
  </si>
  <si>
    <t>COTOVELO PVC SOLDAVEL DE 60MM</t>
  </si>
  <si>
    <t>I0889</t>
  </si>
  <si>
    <t>COTOVELO PVC SOLDAVEL DE 75MM</t>
  </si>
  <si>
    <t>I0890</t>
  </si>
  <si>
    <t>COTOVELO PVC SOLDAVEL DE 85MM</t>
  </si>
  <si>
    <t>I0893</t>
  </si>
  <si>
    <t>COTOVELO REDUÇÃO AÇO GALVANIZADO   3/4"X1/2"</t>
  </si>
  <si>
    <t>I0891</t>
  </si>
  <si>
    <t>COTOVELO REDUÇÃO AÇO GALVANIZADO 1 1/4"X3/4"</t>
  </si>
  <si>
    <t>I0892</t>
  </si>
  <si>
    <t>COTOVELO REDUÇÃO AÇO GALVANIZADO 2 1/2"X2"</t>
  </si>
  <si>
    <t>I0896</t>
  </si>
  <si>
    <t>CRUZETA AÇO GALVANIZADO  1/2"</t>
  </si>
  <si>
    <t>I6233</t>
  </si>
  <si>
    <t>CRUZETA AÇO GALVANIZADO  3/4"</t>
  </si>
  <si>
    <t>I0895</t>
  </si>
  <si>
    <t>CRUZETA AÇO GALVANIZADO 1 1/4''</t>
  </si>
  <si>
    <t>I0897</t>
  </si>
  <si>
    <t>CRUZETA AÇO GALVANIZADO 2 1/2''</t>
  </si>
  <si>
    <t>I6234</t>
  </si>
  <si>
    <t>CRUZETA AÇO GALVANIZADO 2"</t>
  </si>
  <si>
    <t>I0902</t>
  </si>
  <si>
    <t>CRUZETA PVC ROSCAVEL DE  1/2"</t>
  </si>
  <si>
    <t>I0904</t>
  </si>
  <si>
    <t>CRUZETA PVC ROSCAVEL DE  3/4"</t>
  </si>
  <si>
    <t>I0900</t>
  </si>
  <si>
    <t>CRUZETA PVC ROSCAVEL DE 1 1/2''</t>
  </si>
  <si>
    <t>I0901</t>
  </si>
  <si>
    <t>CRUZETA PVC ROSCAVEL DE 1 1/4''</t>
  </si>
  <si>
    <t>I0899</t>
  </si>
  <si>
    <t>CRUZETA PVC ROSCAVEL DE 1"</t>
  </si>
  <si>
    <t>I0903</t>
  </si>
  <si>
    <t>CRUZETA PVC ROSCAVEL DE 2''</t>
  </si>
  <si>
    <t>I0906</t>
  </si>
  <si>
    <t>CRUZETA PVC SOLD. MARROM DIAM. 110MM (4'')</t>
  </si>
  <si>
    <t>I0907</t>
  </si>
  <si>
    <t>CRUZETA PVC SOLD. MARROM DIAM. 20MM (1/2'')</t>
  </si>
  <si>
    <t>I0908</t>
  </si>
  <si>
    <t>CRUZETA PVC SOLD. MARROM DIAM. 25MM (3/4'')</t>
  </si>
  <si>
    <t>I0905</t>
  </si>
  <si>
    <t>CRUZETA PVC SOLD. MARROM DIAM. 32MM (1'')</t>
  </si>
  <si>
    <t>I0909</t>
  </si>
  <si>
    <t>CRUZETA PVC SOLD. MARROM DIAM. 40MM (1 1/4'')</t>
  </si>
  <si>
    <t>I0910</t>
  </si>
  <si>
    <t>CRUZETA PVC SOLD. MARROM DIAM. 50MM (1 1/2'')</t>
  </si>
  <si>
    <t>I0911</t>
  </si>
  <si>
    <t>CRUZETA PVC SOLD. MARROM DIAM. 60MM (2'')</t>
  </si>
  <si>
    <t>I0913</t>
  </si>
  <si>
    <t>CRUZETA PVC SOLD. MARROM DIAM. 75MM (2 1/2'')</t>
  </si>
  <si>
    <t>I0912</t>
  </si>
  <si>
    <t>CRUZETA PVC SOLD. MARROM DIAM. 85MM (3'')</t>
  </si>
  <si>
    <t>I0931</t>
  </si>
  <si>
    <t>CURVA AÇO GALVANIZADO  1/2" MACHO-FEMEA</t>
  </si>
  <si>
    <t>I0932</t>
  </si>
  <si>
    <t>CURVA AÇO GALVANIZADO 2 1/2" MACHO-FEMEA</t>
  </si>
  <si>
    <t>I0933</t>
  </si>
  <si>
    <t>CURVA AÇO GALVANIZADO 4''</t>
  </si>
  <si>
    <t>I8647</t>
  </si>
  <si>
    <t>CURVA AÇO INOX DIAM 1 1/2"</t>
  </si>
  <si>
    <t>I0934</t>
  </si>
  <si>
    <t>CURVA COBRE/BRONZE DIAMETRO 104MM</t>
  </si>
  <si>
    <t>I0937</t>
  </si>
  <si>
    <t>CURVA COBRE/BRONZE DIAMETRO 15MM</t>
  </si>
  <si>
    <t>I0938</t>
  </si>
  <si>
    <t>CURVA COBRE/BRONZE DIAMETRO 22MM</t>
  </si>
  <si>
    <t>I0936</t>
  </si>
  <si>
    <t>CURVA COBRE/BRONZE DIAMETRO 35MM</t>
  </si>
  <si>
    <t>I0940</t>
  </si>
  <si>
    <t>CURVA COBRE/BRONZE DIAMETRO 42MM</t>
  </si>
  <si>
    <t>I0941</t>
  </si>
  <si>
    <t>CURVA COBRE/BRONZE DIAMETRO 54MM</t>
  </si>
  <si>
    <t>I0942</t>
  </si>
  <si>
    <t>CURVA COBRE/BRONZE DIAMETRO 66MM</t>
  </si>
  <si>
    <t>I0935</t>
  </si>
  <si>
    <t>CURVA COBRE/BRONZE DIAMETRO 79MM</t>
  </si>
  <si>
    <t>I0939</t>
  </si>
  <si>
    <t>CURVA DE COBRE/BRONZE DIAMETRO 28MM</t>
  </si>
  <si>
    <t>I2298</t>
  </si>
  <si>
    <t>CURVA PVC ESGOTO LONGA DN 100MM</t>
  </si>
  <si>
    <t>I2297</t>
  </si>
  <si>
    <t>CURVA PVC SOLDÁVEL 25 MM</t>
  </si>
  <si>
    <t>I8575</t>
  </si>
  <si>
    <t>CÁPSULA PARA SUPRESSÃO DE ÁGUA EM PVC/PEAD 3/4"</t>
  </si>
  <si>
    <t>I8237</t>
  </si>
  <si>
    <t>I8574</t>
  </si>
  <si>
    <t xml:space="preserve">FERRAMENTA FLEXÍVEL APLICADORA E EXTRATORA DA CÁPSULA DE SUPRESSÃO
</t>
  </si>
  <si>
    <t>I1180</t>
  </si>
  <si>
    <t>FITA DE VEDAÇÃO</t>
  </si>
  <si>
    <t>I2344</t>
  </si>
  <si>
    <t>FITA VEDA ROSCA 25M x 3/4"</t>
  </si>
  <si>
    <t>I1188</t>
  </si>
  <si>
    <t>FLANGE C/SEXTAVADO AÇO GALVANIZADO 1 1/4''</t>
  </si>
  <si>
    <t>I1189</t>
  </si>
  <si>
    <t>FLANGE C/SEXTAVADO AÇO GALVANIZADO 1/2''</t>
  </si>
  <si>
    <t>I1190</t>
  </si>
  <si>
    <t>FLANGE C/SEXTAVADO AÇO GALVANIZADO 2 1/2''</t>
  </si>
  <si>
    <t>I1191</t>
  </si>
  <si>
    <t>FLANGE C/SEXTAVADO AÇO GALVANIZADO 4''</t>
  </si>
  <si>
    <t>I1232</t>
  </si>
  <si>
    <t>GRELHA HEMISFERICA DE FF. - 75MM (3'')</t>
  </si>
  <si>
    <t>I7493</t>
  </si>
  <si>
    <t>I1246</t>
  </si>
  <si>
    <t>HIDRANTE COM REGISTRO GLOBO AMARELO 2 1/2''</t>
  </si>
  <si>
    <t>I8205</t>
  </si>
  <si>
    <t>I8240</t>
  </si>
  <si>
    <t>JOELHO 45 PVC BRANCO PARA ESGOTO D= 40mm</t>
  </si>
  <si>
    <t>I6235</t>
  </si>
  <si>
    <t>JOELHO 45 PVC BRANCO PARA ESGOTO D= 50mm</t>
  </si>
  <si>
    <t>I8241</t>
  </si>
  <si>
    <t>JOELHO 45 PVC BRANCO PARA ESGOTO D= 75mm</t>
  </si>
  <si>
    <t>I8242</t>
  </si>
  <si>
    <t>JOELHO 45 PVC BRANCO PARA ESGOTO D=100mm</t>
  </si>
  <si>
    <t>I8243</t>
  </si>
  <si>
    <t>JOELHO 45 PVC SOLDÁVEL D= 25mm</t>
  </si>
  <si>
    <t>I8244</t>
  </si>
  <si>
    <t>JOELHO 45 PVC SOLDÁVEL D= 32mm</t>
  </si>
  <si>
    <t>I8245</t>
  </si>
  <si>
    <t>JOELHO 45 PVC SOLDÁVEL D= 40mm</t>
  </si>
  <si>
    <t>I1281</t>
  </si>
  <si>
    <t>JOELHO 90 C/VISITA PVC ESGOTO DE  75X50MM</t>
  </si>
  <si>
    <t>I1279</t>
  </si>
  <si>
    <t>JOELHO 90 C/VISITA PVC ESGOTO DE 100X50MM</t>
  </si>
  <si>
    <t>I1280</t>
  </si>
  <si>
    <t>JOELHO 90 C/VISITA PVC ESGOTO DE 100X75MM</t>
  </si>
  <si>
    <t>I1286</t>
  </si>
  <si>
    <t>JOELHO FERRO FUNDIDO 150MM</t>
  </si>
  <si>
    <t>I1287</t>
  </si>
  <si>
    <t>JOELHO FERRO FUNDIDO C/VISITA 100X50MM</t>
  </si>
  <si>
    <t>I1288</t>
  </si>
  <si>
    <t>JOELHO FERRO FUNDIDO DE 100MM</t>
  </si>
  <si>
    <t>I1289</t>
  </si>
  <si>
    <t>JOELHO FERRO FUNDIDO DE 50MM</t>
  </si>
  <si>
    <t>I1290</t>
  </si>
  <si>
    <t>JOELHO FERRO FUNDIDO DE 75MM</t>
  </si>
  <si>
    <t>I2364</t>
  </si>
  <si>
    <t>JOELHO FERRO GALVANIZADO 1"</t>
  </si>
  <si>
    <t>I1305</t>
  </si>
  <si>
    <t>JOELHO PVC PARA ESGOTO CINZA DE 150MM (6")</t>
  </si>
  <si>
    <t>I1283</t>
  </si>
  <si>
    <t>JOELHO PVC PARA ESGOTO DE  40MM</t>
  </si>
  <si>
    <t>I1284</t>
  </si>
  <si>
    <t>JOELHO PVC PARA ESGOTO DE  50MM</t>
  </si>
  <si>
    <t>I1285</t>
  </si>
  <si>
    <t>JOELHO PVC PARA ESGOTO DE  75MM</t>
  </si>
  <si>
    <t>I1282</t>
  </si>
  <si>
    <t>JOELHO PVC PARA ESGOTO DE 100MM</t>
  </si>
  <si>
    <t>I1294</t>
  </si>
  <si>
    <t>JOELHO PVC ROSCAVEL DE   1/2"</t>
  </si>
  <si>
    <t>I1298</t>
  </si>
  <si>
    <t>JOELHO PVC ROSCAVEL DE   3/4"</t>
  </si>
  <si>
    <t>I1291</t>
  </si>
  <si>
    <t>JOELHO PVC ROSCAVEL DE 1 1/2"</t>
  </si>
  <si>
    <t>I1292</t>
  </si>
  <si>
    <t>JOELHO PVC ROSCAVEL DE 1 1/4"</t>
  </si>
  <si>
    <t>I1293</t>
  </si>
  <si>
    <t>JOELHO PVC ROSCAVEL DE 1"</t>
  </si>
  <si>
    <t>I1295</t>
  </si>
  <si>
    <t>JOELHO PVC ROSCAVEL DE 2 1/2"</t>
  </si>
  <si>
    <t>I1296</t>
  </si>
  <si>
    <t>JOELHO PVC ROSCAVEL DE 2"</t>
  </si>
  <si>
    <t>I1297</t>
  </si>
  <si>
    <t>JOELHO PVC ROSCAVEL DE 3"</t>
  </si>
  <si>
    <t>I1299</t>
  </si>
  <si>
    <t>JOELHO PVC ROSCAVEL DE 4"</t>
  </si>
  <si>
    <t>I2363</t>
  </si>
  <si>
    <t>JOELHO PVC SOLDAVEL 25MM</t>
  </si>
  <si>
    <t>I1300</t>
  </si>
  <si>
    <t>JOELHO PVC SOLDAVEL AZUL DE 20X1/2"</t>
  </si>
  <si>
    <t>I1301</t>
  </si>
  <si>
    <t>JOELHO PVC SOLDAVEL AZUL DE 25X3/4"</t>
  </si>
  <si>
    <t>I1302</t>
  </si>
  <si>
    <t>JOELHO PVC SOLDAVEL COM ROSCA DE 20X1/2"</t>
  </si>
  <si>
    <t>I1303</t>
  </si>
  <si>
    <t>JOELHO PVC SOLDAVEL COM ROSCA DE 25X3/4"</t>
  </si>
  <si>
    <t>I1314</t>
  </si>
  <si>
    <t>JOELHO REDUÇÃO PVC ROSCAVEL  3/4"X1/2"</t>
  </si>
  <si>
    <t>I1313</t>
  </si>
  <si>
    <t>JOELHO REDUÇÃO PVC ROSCAVEL 1"X3/4"</t>
  </si>
  <si>
    <t>I1310</t>
  </si>
  <si>
    <t>JOELHO REDUÇÃO PVC SOLDAVEL 25X20MM</t>
  </si>
  <si>
    <t>I1311</t>
  </si>
  <si>
    <t>JOELHO REDUÇÃO PVC SOLDAVEL 32X25MM</t>
  </si>
  <si>
    <t>I1312</t>
  </si>
  <si>
    <t>JOELHO REDUÇÃO PVC SOLDAVEL 40X32MM</t>
  </si>
  <si>
    <t>I1306</t>
  </si>
  <si>
    <t>JOELHO REDUÇÃO PVC SOLDAVEL AZUL DE 25X1/2"</t>
  </si>
  <si>
    <t>I1307</t>
  </si>
  <si>
    <t>JOELHO REDUÇÃO PVC SOLDAVEL AZUL DE 32X3/4"</t>
  </si>
  <si>
    <t>I1308</t>
  </si>
  <si>
    <t>JOELHO REDUÇÃO PVC SOLDAVEL COM ROSCA DE 25X1/2"</t>
  </si>
  <si>
    <t>I1304</t>
  </si>
  <si>
    <t>JOELHO REDUÇÃO PVC SOLDAVEL COM ROSCA DE 32X 1"</t>
  </si>
  <si>
    <t>I1309</t>
  </si>
  <si>
    <t>JOELHO REDUÇÃO PVC SOLDAVEL COM ROSCA DE 32X3/4"</t>
  </si>
  <si>
    <t>I6790</t>
  </si>
  <si>
    <t>JUNTA BORRACHA ROSQUEADA DE  3/4"</t>
  </si>
  <si>
    <t>I6791</t>
  </si>
  <si>
    <t>JUNTA BORRACHA ROSQUEADA DE 1"</t>
  </si>
  <si>
    <t>I2365</t>
  </si>
  <si>
    <t>JUNÇÃO 45 PVC COM ROSCA DE 1.1/2"</t>
  </si>
  <si>
    <t>I1326</t>
  </si>
  <si>
    <t>JUNÇÃO COM INSPEÇÃO PVC BRANCO ESGOTO DE 100MM</t>
  </si>
  <si>
    <t>I1325</t>
  </si>
  <si>
    <t>JUNÇÃO COM INSPEÇÃO PVC BRANCO ESGOTO DE 75MM (3")</t>
  </si>
  <si>
    <t>I1322</t>
  </si>
  <si>
    <t>JUNÇÃO DUPLA 45 FERRO FUND.100X100MM (4X4'')</t>
  </si>
  <si>
    <t>I1323</t>
  </si>
  <si>
    <t>JUNÇÃO DUPLA PVC ESGOTO DE 100MM</t>
  </si>
  <si>
    <t>I1324</t>
  </si>
  <si>
    <t>JUNÇÃO DUPLA PVC ESGOTO DE 75MM</t>
  </si>
  <si>
    <t>I7492</t>
  </si>
  <si>
    <t>JUNÇÃO PVC BRANCO 50 x 50 mm (2")</t>
  </si>
  <si>
    <t>I1319</t>
  </si>
  <si>
    <t>JUNÇÃO PVC PARA ESGOTO 100X50MM (4X2")</t>
  </si>
  <si>
    <t>I1318</t>
  </si>
  <si>
    <t>JUNÇÃO PVC PARA ESGOTO 3X2''</t>
  </si>
  <si>
    <t>I1320</t>
  </si>
  <si>
    <t>JUNÇÃO PVC PARA ESGOTO 4X3''</t>
  </si>
  <si>
    <t>I1321</t>
  </si>
  <si>
    <t>JUNÇÃO PVC PARA ESGOTO 6X4''</t>
  </si>
  <si>
    <t>I1350</t>
  </si>
  <si>
    <t>LUBRIFICANTE PARA TUBO DE FERRO FUNDIDO</t>
  </si>
  <si>
    <t>I1351</t>
  </si>
  <si>
    <t>LUBRIFICANTE PARA TUBO DE PVC</t>
  </si>
  <si>
    <t>I1387</t>
  </si>
  <si>
    <t>LUVA AÇO GALVANIZADO DE 1 1/4"</t>
  </si>
  <si>
    <t>I1388</t>
  </si>
  <si>
    <t>LUVA AÇO GALVANIZADO DE 2 1/2"</t>
  </si>
  <si>
    <t>I1389</t>
  </si>
  <si>
    <t>LUVA AÇO GALVANIZADO DE 2"</t>
  </si>
  <si>
    <t>I1390</t>
  </si>
  <si>
    <t>LUVA AÇO GALVANIZADO DE 4"</t>
  </si>
  <si>
    <t>I1391</t>
  </si>
  <si>
    <t>LUVA BIPARTIDA FERRO FUNDIDO 100MM (4'')</t>
  </si>
  <si>
    <t>I1392</t>
  </si>
  <si>
    <t>LUVA BIPARTIDA FERRO FUNDIDO 150MM (6'')</t>
  </si>
  <si>
    <t>I1393</t>
  </si>
  <si>
    <t>LUVA BIPARTIDA FERRO FUNDIDO 50MM (2'')</t>
  </si>
  <si>
    <t>I1394</t>
  </si>
  <si>
    <t>LUVA BIPARTIDA FERRO FUNDIDO 75MM (3'')</t>
  </si>
  <si>
    <t>I1395</t>
  </si>
  <si>
    <t>LUVA BOLSAXBOLSA FERRO FUNDIDO 100MM (4'')</t>
  </si>
  <si>
    <t>I1396</t>
  </si>
  <si>
    <t>LUVA BOLSAXBOLSA FERRO FUNDIDO 150MM (6'')</t>
  </si>
  <si>
    <t>I1397</t>
  </si>
  <si>
    <t>LUVA BOLSAXBOLSA FERRO FUNDIDO 50MM (2'')</t>
  </si>
  <si>
    <t>I1398</t>
  </si>
  <si>
    <t>LUVA BOLSAXBOLSA FERRO FUNDIDO 75MM (3'')</t>
  </si>
  <si>
    <t>I1434</t>
  </si>
  <si>
    <t>LUVA DUPLA PVC ESGOTO 100MM</t>
  </si>
  <si>
    <t>I1435</t>
  </si>
  <si>
    <t>LUVA DUPLA PVC ESGOTO 50MM</t>
  </si>
  <si>
    <t>I1436</t>
  </si>
  <si>
    <t>LUVA DUPLA PVC ESGOTO 75MM</t>
  </si>
  <si>
    <t>I1437</t>
  </si>
  <si>
    <t>LUVA PVC ROSCAVEL DE 1 1/2''</t>
  </si>
  <si>
    <t>I1438</t>
  </si>
  <si>
    <t>LUVA PVC ROSCAVEL DE 1 1/4''</t>
  </si>
  <si>
    <t>I1439</t>
  </si>
  <si>
    <t>LUVA PVC ROSCAVEL DE 1''</t>
  </si>
  <si>
    <t>I1440</t>
  </si>
  <si>
    <t>LUVA PVC ROSCAVEL DE 1/2''</t>
  </si>
  <si>
    <t>I1441</t>
  </si>
  <si>
    <t>LUVA PVC ROSCAVEL DE 2 1/2''</t>
  </si>
  <si>
    <t>I1442</t>
  </si>
  <si>
    <t>LUVA PVC ROSCAVEL DE 2''</t>
  </si>
  <si>
    <t>I1443</t>
  </si>
  <si>
    <t>LUVA PVC ROSCAVEL DE 3''</t>
  </si>
  <si>
    <t>I1444</t>
  </si>
  <si>
    <t>LUVA PVC ROSCAVEL DE 3/4''</t>
  </si>
  <si>
    <t>I1445</t>
  </si>
  <si>
    <t>LUVA PVC ROSCAVEL DE 4''</t>
  </si>
  <si>
    <t>I1446</t>
  </si>
  <si>
    <t>LUVA PVC SOLDAVEL AZUL DE 20X1/2''</t>
  </si>
  <si>
    <t>I1447</t>
  </si>
  <si>
    <t>LUVA PVC SOLDAVEL AZUL DE 25X3/4''</t>
  </si>
  <si>
    <t>I1448</t>
  </si>
  <si>
    <t>LUVA PVC SOLDAVEL COM ROSCA DE 20X1/2"</t>
  </si>
  <si>
    <t>I1449</t>
  </si>
  <si>
    <t>LUVA PVC SOLDAVEL COM ROSCA DE 25X3/4"</t>
  </si>
  <si>
    <t>I1450</t>
  </si>
  <si>
    <t>LUVA PVC SOLDAVEL COM ROSCA DE 32X1"</t>
  </si>
  <si>
    <t>I1451</t>
  </si>
  <si>
    <t>LUVA PVC SOLDAVEL COM ROSCA DE 40X11/4"</t>
  </si>
  <si>
    <t>I1452</t>
  </si>
  <si>
    <t>LUVA PVC SOLDAVEL COM ROSCA DE 50X1 1/2"</t>
  </si>
  <si>
    <t>I1410</t>
  </si>
  <si>
    <t>LUVA PVC SOLDAVEL DE 20MM</t>
  </si>
  <si>
    <t>I1411</t>
  </si>
  <si>
    <t>LUVA PVC SOLDAVEL DE 25MM</t>
  </si>
  <si>
    <t>I1412</t>
  </si>
  <si>
    <t>LUVA PVC SOLDAVEL DE 32MM</t>
  </si>
  <si>
    <t>I1413</t>
  </si>
  <si>
    <t>LUVA PVC SOLDAVEL DE 40MM</t>
  </si>
  <si>
    <t>I1414</t>
  </si>
  <si>
    <t>LUVA PVC SOLDAVEL DE 50MM</t>
  </si>
  <si>
    <t>I1415</t>
  </si>
  <si>
    <t>LUVA PVC SOLDAVEL DE 60MM</t>
  </si>
  <si>
    <t>I1416</t>
  </si>
  <si>
    <t>LUVA PVC SOLDAVEL DE 75MM</t>
  </si>
  <si>
    <t>I1417</t>
  </si>
  <si>
    <t>LUVA PVC SOLDAVEL DE 85MM</t>
  </si>
  <si>
    <t>I1386</t>
  </si>
  <si>
    <t>LUVA REDUÇÃO AÇO GALV  3/4" X 1/2"</t>
  </si>
  <si>
    <t>I1418</t>
  </si>
  <si>
    <t>LUVA REDUÇÃO AÇO GALV 1 1/4" X 1/2''</t>
  </si>
  <si>
    <t>I1385</t>
  </si>
  <si>
    <t>LUVA REDUÇÃO AÇO GALV 3" X 2 1/2"</t>
  </si>
  <si>
    <t>I1419</t>
  </si>
  <si>
    <t>LUVA REDUÇÃO AÇO GALV 4" X 2 1/2"</t>
  </si>
  <si>
    <t>I1420</t>
  </si>
  <si>
    <t>LUVA REDUÇÃO AÇO GALV 4" X 2"</t>
  </si>
  <si>
    <t>I1421</t>
  </si>
  <si>
    <t>LUVA REDUÇÃO AÇO GALV 4" X 3"</t>
  </si>
  <si>
    <t>I1455</t>
  </si>
  <si>
    <t>LUVA REDUÇÃO PVC ROSCAVEL DE 1X3/4''</t>
  </si>
  <si>
    <t>I1456</t>
  </si>
  <si>
    <t>LUVA REDUÇÃO PVC ROSCAVEL DE 3/4X1/2''</t>
  </si>
  <si>
    <t>I1453</t>
  </si>
  <si>
    <t>LUVA REDUÇÃO PVC SOLDAVEL AZUL DE 25X1/2"</t>
  </si>
  <si>
    <t>I1454</t>
  </si>
  <si>
    <t>LUVA REDUÇÃO PVC SOLDAVEL COM ROSCA DE 25X1/2"</t>
  </si>
  <si>
    <t>I1422</t>
  </si>
  <si>
    <t>LUVA REDUÇÃO PVC SOLDAVEL DE 110X60MM</t>
  </si>
  <si>
    <t>I1423</t>
  </si>
  <si>
    <t>LUVA REDUÇÃO PVC SOLDAVEL DE 110X75MM</t>
  </si>
  <si>
    <t>I1424</t>
  </si>
  <si>
    <t>LUVA REDUÇÃO PVC SOLDAVEL DE 110X85MM</t>
  </si>
  <si>
    <t>I1425</t>
  </si>
  <si>
    <t>LUVA REDUÇÃO PVC SOLDAVEL DE 25X20MM</t>
  </si>
  <si>
    <t>I1426</t>
  </si>
  <si>
    <t>LUVA REDUÇÃO PVC SOLDAVEL DE 32X25MM</t>
  </si>
  <si>
    <t>I1427</t>
  </si>
  <si>
    <t>LUVA REDUÇÃO PVC SOLDAVEL DE 40X32MM</t>
  </si>
  <si>
    <t>I1428</t>
  </si>
  <si>
    <t>LUVA REDUÇÃO PVC SOLDAVEL DE 75X60MM</t>
  </si>
  <si>
    <t>I1429</t>
  </si>
  <si>
    <t>LUVA REDUÇÃO PVC SOLDAVEL DE 85X60MM</t>
  </si>
  <si>
    <t>I1430</t>
  </si>
  <si>
    <t>LUVA REDUÇÃO PVC SOLDAVEL DE 85X75MM</t>
  </si>
  <si>
    <t>I1457</t>
  </si>
  <si>
    <t>LUVA SIMPLES PVC ESGOTO 100MM</t>
  </si>
  <si>
    <t>I1458</t>
  </si>
  <si>
    <t>LUVA SIMPLES PVC ESGOTO 40MM</t>
  </si>
  <si>
    <t>I1459</t>
  </si>
  <si>
    <t>LUVA SIMPLES PVC ESGOTO 50MM</t>
  </si>
  <si>
    <t>I1460</t>
  </si>
  <si>
    <t>LUVA SIMPLES PVC ESGOTO 75MM</t>
  </si>
  <si>
    <t>I1461</t>
  </si>
  <si>
    <t>LUVA SIMPLES PVC ESGOTO DE 150MM</t>
  </si>
  <si>
    <t>I6778</t>
  </si>
  <si>
    <t>LUVA UNIÃO AÇO ASTM A-120 DE 20mm (3/4")</t>
  </si>
  <si>
    <t>I6779</t>
  </si>
  <si>
    <t>LUVA UNIÃO AÇO ASTM A-120 DE 25mm (1")</t>
  </si>
  <si>
    <t>I8254</t>
  </si>
  <si>
    <t>LUVA UNIÃO AÇO ASTM A-120 DE 40mm (1 1/2")</t>
  </si>
  <si>
    <t>I1433</t>
  </si>
  <si>
    <t>LUVA UNIÃO AÇO GALVANIZADO (F.G) (2 1/2")</t>
  </si>
  <si>
    <t>I1431</t>
  </si>
  <si>
    <t>LUVA UNIÃO AÇO GALVANIZADO (F.G) (3'')</t>
  </si>
  <si>
    <t>I1432</t>
  </si>
  <si>
    <t>LUVA UNIÃO AÇO GALVANIZADO (F.G) (4'')</t>
  </si>
  <si>
    <t>I2372</t>
  </si>
  <si>
    <t>LÂMINA DE SERRA PARA PVC</t>
  </si>
  <si>
    <t>I1499</t>
  </si>
  <si>
    <t>MANGUEIRA COM UNIÃO ENGATE RÁPIDO 2 1/2''X30M</t>
  </si>
  <si>
    <t>I2374</t>
  </si>
  <si>
    <t>MANILHA DE BARRO VITRIFICADO PB D=100mm(L=1.00m)</t>
  </si>
  <si>
    <t>I2375</t>
  </si>
  <si>
    <t>MANILHA DE BARRO VITRIFICADO PB D=150mm(L=1.50m)</t>
  </si>
  <si>
    <t>I2376</t>
  </si>
  <si>
    <t>MANILHA DE BARRO VITRIFICADO PB D=200mm(L=1.50m)</t>
  </si>
  <si>
    <t>I1519</t>
  </si>
  <si>
    <t>MATERIAL PARA EMENDA DE CALHAS DE FIBERGLASS</t>
  </si>
  <si>
    <t>I1540</t>
  </si>
  <si>
    <t>NIPLE DUPLO AÇO GALVANIZADO   1/2"</t>
  </si>
  <si>
    <t>I1539</t>
  </si>
  <si>
    <t>NIPLE DUPLO AÇO GALVANIZADO 1 1/4''</t>
  </si>
  <si>
    <t>I1541</t>
  </si>
  <si>
    <t>NIPLE DUPLO AÇO GALVANIZADO 2 1/2''</t>
  </si>
  <si>
    <t>I1542</t>
  </si>
  <si>
    <t>NIPLE DUPLO AÇO GALVANIZADO 4''</t>
  </si>
  <si>
    <t>I1543</t>
  </si>
  <si>
    <t>NIPLE DUPLO REDUCÃO GALV 1 1/4X1/2''</t>
  </si>
  <si>
    <t>I1544</t>
  </si>
  <si>
    <t>NIPLE DUPLO REDUCÃO GALV 2 1/2X1 1/4''</t>
  </si>
  <si>
    <t>I1545</t>
  </si>
  <si>
    <t>NIPLE DUPLO REDUCÃO GALV 3/4X1/2''</t>
  </si>
  <si>
    <t>I1546</t>
  </si>
  <si>
    <t>NIPLE DUPLO REDUCÃO GALV 3X2''</t>
  </si>
  <si>
    <t>I1547</t>
  </si>
  <si>
    <t>NIPLE PVC COM ROSCA DE 1 1/4''</t>
  </si>
  <si>
    <t>I1548</t>
  </si>
  <si>
    <t>NIPLE PVC COM ROSCA DE 2 1/2''</t>
  </si>
  <si>
    <t>I2381</t>
  </si>
  <si>
    <t>NIPLE PVC COM ROSCA DE 3/4"</t>
  </si>
  <si>
    <t>I1676</t>
  </si>
  <si>
    <t>PLUG FERRO FUNDIDO 100MM (4')</t>
  </si>
  <si>
    <t>I1677</t>
  </si>
  <si>
    <t>PLUG FERRO FUNDIDO 150MM (6')</t>
  </si>
  <si>
    <t>I1678</t>
  </si>
  <si>
    <t>PLUG FERRO FUNDIDO 50MM (2')</t>
  </si>
  <si>
    <t>I1679</t>
  </si>
  <si>
    <t>PLUG FERRO FUNDIDO 75MM (3')</t>
  </si>
  <si>
    <t>I2401</t>
  </si>
  <si>
    <t>PLUG PVC COM ROSCA DE 3/4"</t>
  </si>
  <si>
    <t>I1680</t>
  </si>
  <si>
    <t>PLUG PVC ESGOTO DE 100MM</t>
  </si>
  <si>
    <t>I1681</t>
  </si>
  <si>
    <t>PLUG PVC ESGOTO DE 50MM</t>
  </si>
  <si>
    <t>I1682</t>
  </si>
  <si>
    <t>PLUG PVC ESGOTO DE 75MM</t>
  </si>
  <si>
    <t>I1770</t>
  </si>
  <si>
    <t>RALO SECO PVC 10 CM COM GRELA BRANCA</t>
  </si>
  <si>
    <t>I1771</t>
  </si>
  <si>
    <t>RALO SIFONADO F.FUNDIDO DN 150MM</t>
  </si>
  <si>
    <t>I6777</t>
  </si>
  <si>
    <t>REDUÇÃO AÇO ASTM A-120 ROSCÁVEL DE (1"x 1 1/2")  À (1"x 3/4")</t>
  </si>
  <si>
    <t>I6776</t>
  </si>
  <si>
    <t>REDUÇÃO AÇO ASTM A-120 ROSCÁVEL DE (2"x 1 1/2")  À (2"x 3/4")</t>
  </si>
  <si>
    <t>I6775</t>
  </si>
  <si>
    <t>REDUÇÃO AÇO ASTM A-120 ROSCÁVEL DE (3"x 2 1/2")  À (3"x 3/4")</t>
  </si>
  <si>
    <t>I6774</t>
  </si>
  <si>
    <t>REDUÇÃO AÇO ASTM A-120 ROSCÁVEL DE (4"x 2")</t>
  </si>
  <si>
    <t>I6773</t>
  </si>
  <si>
    <t>REDUÇÃO AÇO ASTM A-120 ROSCÁVEL DE (4"x 3")</t>
  </si>
  <si>
    <t>I1790</t>
  </si>
  <si>
    <t>REDUÇÃO EXCENTRICA PVC ESGOTO 100X50MM</t>
  </si>
  <si>
    <t>I1791</t>
  </si>
  <si>
    <t>REDUÇÃO EXCENTRICA PVC ESGOTO 75X50MM</t>
  </si>
  <si>
    <t>I1789</t>
  </si>
  <si>
    <t>REDUÇÃO EXCÊNTRICA PVC BRANCO 100X75MM</t>
  </si>
  <si>
    <t>I1788</t>
  </si>
  <si>
    <t>REDUÇÃO EXCÊNTRICA PVC BRANCO 150X150MM = (150 X 100MM)</t>
  </si>
  <si>
    <t>I1792</t>
  </si>
  <si>
    <t>REDUÇÃO PVC PBA 3 X 2</t>
  </si>
  <si>
    <t>I1793</t>
  </si>
  <si>
    <t>REDUÇÃO PVC PBA 4 X 2</t>
  </si>
  <si>
    <t>I1794</t>
  </si>
  <si>
    <t>REDUÇÃO PVC PBA 4 X 3</t>
  </si>
  <si>
    <t>I1795</t>
  </si>
  <si>
    <t>REDUÇÃO PVC PBA 6 X 4</t>
  </si>
  <si>
    <t>I2415</t>
  </si>
  <si>
    <t>REGISTRO DE ESFERA COM BORBOLETA 3/4"</t>
  </si>
  <si>
    <t>I1796</t>
  </si>
  <si>
    <t>REGISTRO DE GAVETA BRUTO 100MM (4')</t>
  </si>
  <si>
    <t>I1797</t>
  </si>
  <si>
    <t>REGISTRO DE GAVETA BRUTO 15MM (1/2')</t>
  </si>
  <si>
    <t>I1798</t>
  </si>
  <si>
    <t>REGISTRO DE GAVETA BRUTO 20MM (3/4')</t>
  </si>
  <si>
    <t>I1799</t>
  </si>
  <si>
    <t>REGISTRO DE GAVETA BRUTO 25MM (1')</t>
  </si>
  <si>
    <t>I1800</t>
  </si>
  <si>
    <t>REGISTRO DE GAVETA BRUTO 32MM (1 1/4')</t>
  </si>
  <si>
    <t>I1801</t>
  </si>
  <si>
    <t>REGISTRO DE GAVETA BRUTO 40MM (1 1/2')</t>
  </si>
  <si>
    <t>I1802</t>
  </si>
  <si>
    <t>REGISTRO DE GAVETA BRUTO 50MM (2')</t>
  </si>
  <si>
    <t>I1803</t>
  </si>
  <si>
    <t>REGISTRO DE GAVETA BRUTO 65MM (2 1/2')</t>
  </si>
  <si>
    <t>I1804</t>
  </si>
  <si>
    <t>REGISTRO DE GAVETA BRUTO 80MM (3')</t>
  </si>
  <si>
    <t>I1805</t>
  </si>
  <si>
    <t>REGISTRO DE GAVETA CROMADO 15MM (1/2')</t>
  </si>
  <si>
    <t>I1806</t>
  </si>
  <si>
    <t>REGISTRO DE GAVETA CROMADO 20MM (3/4')</t>
  </si>
  <si>
    <t>I1807</t>
  </si>
  <si>
    <t>REGISTRO DE GAVETA CROMADO 25MM (1')</t>
  </si>
  <si>
    <t>I1808</t>
  </si>
  <si>
    <t>REGISTRO DE GAVETA CROMADO 32MM (1 1/4')</t>
  </si>
  <si>
    <t>I1809</t>
  </si>
  <si>
    <t>REGISTRO DE GAVETA CROMADO 40MM (1 1/2')</t>
  </si>
  <si>
    <t>I1810</t>
  </si>
  <si>
    <t>REGISTRO DE PRESSÃO CROMADO 15MM (1/2')</t>
  </si>
  <si>
    <t>I1811</t>
  </si>
  <si>
    <t>REGISTRO DE PRESSÃO CROMADO 20MM (3/4')</t>
  </si>
  <si>
    <t>I2593</t>
  </si>
  <si>
    <t>REGISTRO DE PRESSÃO CROMADO 25MM (1")</t>
  </si>
  <si>
    <t>I2416</t>
  </si>
  <si>
    <t>REGISTRO DE PRESSÃO EM BRONZE Ø 1/2"</t>
  </si>
  <si>
    <t>I1813</t>
  </si>
  <si>
    <t>REGISTRO GLOBO (FECHO RAPIDO) DE 1 1/4"</t>
  </si>
  <si>
    <t>I1812</t>
  </si>
  <si>
    <t>REGISTRO GLOBO (FECHO RAPIDO) DE 1"</t>
  </si>
  <si>
    <t>I1814</t>
  </si>
  <si>
    <t>REGISTRO GLOBO (FECHO RAPIDO) DE 2"</t>
  </si>
  <si>
    <t>I1815</t>
  </si>
  <si>
    <t>REGISTRO GLOBO (FECHO RAPIDO) DE 3/4"</t>
  </si>
  <si>
    <t>I1816</t>
  </si>
  <si>
    <t>REGISTRO GLOBO ANGULAR 65MM (2 1/2")</t>
  </si>
  <si>
    <t>I6781</t>
  </si>
  <si>
    <t>REGISTRO GLOBO EM BRONZE ROSCÁVEL DE 1"</t>
  </si>
  <si>
    <t>I6780</t>
  </si>
  <si>
    <t>REGISTRO GLOBO EM BRONZE ROSCÁVEL DE 3/4"</t>
  </si>
  <si>
    <t>I1817</t>
  </si>
  <si>
    <t>REGISTRO GLOBO(FECHO RAPIDO) DE 1 1/2'</t>
  </si>
  <si>
    <t>I1888</t>
  </si>
  <si>
    <t>SOLUÇÃO LIMPADORA PARA PVC RIGIDO</t>
  </si>
  <si>
    <t>I1891</t>
  </si>
  <si>
    <t>SPRINKLERS CROMADO</t>
  </si>
  <si>
    <t>I1892</t>
  </si>
  <si>
    <t>SPRINKLERS EM BRONZE</t>
  </si>
  <si>
    <t>I7401</t>
  </si>
  <si>
    <t>TAMPA DE FERRO FUNDIDO TIPO T-33</t>
  </si>
  <si>
    <t>I8201</t>
  </si>
  <si>
    <t>TAMPA EM FoFo - D=600mm</t>
  </si>
  <si>
    <t>I8202</t>
  </si>
  <si>
    <t>TAMPA EM FoFo - D=800mm</t>
  </si>
  <si>
    <t>I1927</t>
  </si>
  <si>
    <t>TAMPÃO AÇO GALVANIZADO (25MM) 1'</t>
  </si>
  <si>
    <t>I1928</t>
  </si>
  <si>
    <t>TAMPÃO AÇO GALVANIZADO (32MM) 1 1/4'</t>
  </si>
  <si>
    <t>I1929</t>
  </si>
  <si>
    <t>TAMPÃO AÇO GALVANIZADO 100MM (4')</t>
  </si>
  <si>
    <t>I1930</t>
  </si>
  <si>
    <t>TAMPÃO AÇO GALVANIZADO 65MM (2 1/2')</t>
  </si>
  <si>
    <t>I1931</t>
  </si>
  <si>
    <t>TAMPÃO FERRO FUNDIDO PARA POÇO DE VISITA T-170</t>
  </si>
  <si>
    <t>I2432</t>
  </si>
  <si>
    <t>TAMPÃO FoFo/CONCRETO PARA LIGAÇÃO ESGOTO</t>
  </si>
  <si>
    <t>I6765</t>
  </si>
  <si>
    <t>TE AÇO ASTM  A-120 ROSCÁVEL DE 100mm (4")</t>
  </si>
  <si>
    <t>I6760</t>
  </si>
  <si>
    <t>TE AÇO ASTM  A-120 ROSCÁVEL DE 25mm (1")</t>
  </si>
  <si>
    <t>I6761</t>
  </si>
  <si>
    <t>TE AÇO ASTM  A-120 ROSCÁVEL DE 32mm (1 1/4")</t>
  </si>
  <si>
    <t>I6762</t>
  </si>
  <si>
    <t>TE AÇO ASTM  A-120 ROSCÁVEL DE 40mm (1 1/2")</t>
  </si>
  <si>
    <t>I6763</t>
  </si>
  <si>
    <t>TE AÇO ASTM  A-120 ROSCÁVEL DE 50mm (2")</t>
  </si>
  <si>
    <t>I6764</t>
  </si>
  <si>
    <t>TE AÇO ASTM  A-120 ROSCÁVEL DE 80mm (3")</t>
  </si>
  <si>
    <t>I6759</t>
  </si>
  <si>
    <t>TE AÇO ASTM A-120 ROSCÁVEL DE 20mm (3/4")</t>
  </si>
  <si>
    <t>I1945</t>
  </si>
  <si>
    <t>TE AÇO GALVANIZADO DE 1 1/2'</t>
  </si>
  <si>
    <t>I1946</t>
  </si>
  <si>
    <t>TE AÇO GALVANIZADO DE 1 1/4'</t>
  </si>
  <si>
    <t>I1947</t>
  </si>
  <si>
    <t>TE AÇO GALVANIZADO DE 1'</t>
  </si>
  <si>
    <t>I1948</t>
  </si>
  <si>
    <t>TE AÇO GALVANIZADO DE 1/2'</t>
  </si>
  <si>
    <t>I1949</t>
  </si>
  <si>
    <t>TE AÇO GALVANIZADO DE 2 1/2'</t>
  </si>
  <si>
    <t>I1950</t>
  </si>
  <si>
    <t>TE AÇO GALVANIZADO DE 2'</t>
  </si>
  <si>
    <t>I1951</t>
  </si>
  <si>
    <t>TE AÇO GALVANIZADO DE 3'</t>
  </si>
  <si>
    <t>I1952</t>
  </si>
  <si>
    <t>TE AÇO GALVANIZADO DE 3/4'</t>
  </si>
  <si>
    <t>I1954</t>
  </si>
  <si>
    <t>TE AÇO GALVANIZADO DE 4'</t>
  </si>
  <si>
    <t>I1955</t>
  </si>
  <si>
    <t>TE AÇO GALVANIZADO DE 5'</t>
  </si>
  <si>
    <t>I1956</t>
  </si>
  <si>
    <t>TE AÇO GALVANIZADO DE 6"</t>
  </si>
  <si>
    <t>I1957</t>
  </si>
  <si>
    <t>TE C/INSPECAO DE PVC DE 4'</t>
  </si>
  <si>
    <t>I1958</t>
  </si>
  <si>
    <t>TE C/INSPEÇÃO DE PVC DE 3'</t>
  </si>
  <si>
    <t>I1959</t>
  </si>
  <si>
    <t>TE C/INSPEÇÃO DE PVC DE 6'</t>
  </si>
  <si>
    <t>I1960</t>
  </si>
  <si>
    <t>TE COBRE/BRONZE DIAMETRO 104MM</t>
  </si>
  <si>
    <t>I1962</t>
  </si>
  <si>
    <t>TE COBRE/BRONZE DIAMETRO 15MM</t>
  </si>
  <si>
    <t>I1963</t>
  </si>
  <si>
    <t>TE COBRE/BRONZE DIAMETRO 22MM</t>
  </si>
  <si>
    <t>I1964</t>
  </si>
  <si>
    <t>TE COBRE/BRONZE DIAMETRO 28MM</t>
  </si>
  <si>
    <t>I1965</t>
  </si>
  <si>
    <t>TE COBRE/BRONZE DIAMETRO 35MM</t>
  </si>
  <si>
    <t>I1966</t>
  </si>
  <si>
    <t>TE COBRE/BRONZE DIAMETRO 42MM</t>
  </si>
  <si>
    <t>I1967</t>
  </si>
  <si>
    <t>TE COBRE/BRONZE DIAMETRO 54MM</t>
  </si>
  <si>
    <t>I1968</t>
  </si>
  <si>
    <t>TE COBRE/BRONZE DIAMETRO 66MM</t>
  </si>
  <si>
    <t>I1961</t>
  </si>
  <si>
    <t>TE COBRE/BRONZE DIAMETRO 79MM</t>
  </si>
  <si>
    <t>I1985</t>
  </si>
  <si>
    <t>TE FERRO FUNDIDO - 100X100MM</t>
  </si>
  <si>
    <t>I1986</t>
  </si>
  <si>
    <t>TE FERRO FUNDIDO - 100X50MM</t>
  </si>
  <si>
    <t>I1987</t>
  </si>
  <si>
    <t>TE FERRO FUNDIDO - 100X75MM</t>
  </si>
  <si>
    <t>I1988</t>
  </si>
  <si>
    <t>TE FERRO FUNDIDO - 150X100MM</t>
  </si>
  <si>
    <t>I1989</t>
  </si>
  <si>
    <t>TE FERRO FUNDIDO - 150X150MM</t>
  </si>
  <si>
    <t>I1990</t>
  </si>
  <si>
    <t>TE FERRO FUNDIDO - 50X50MM</t>
  </si>
  <si>
    <t>I1991</t>
  </si>
  <si>
    <t>TE FERRO FUNDIDO - 75X50MM</t>
  </si>
  <si>
    <t>I1992</t>
  </si>
  <si>
    <t>TE FERRO FUNDIDO - 75X75MM</t>
  </si>
  <si>
    <t>I1943</t>
  </si>
  <si>
    <t xml:space="preserve">TE PVC AZUL SOLDAVEL COM ROSCA METÁLICA 25 mm x 3/4"
</t>
  </si>
  <si>
    <t>I2006</t>
  </si>
  <si>
    <t xml:space="preserve">TE PVC COM INSPEÇÃO PARA ESGOTO CINZA DE 150MM (6')
</t>
  </si>
  <si>
    <t>I2007</t>
  </si>
  <si>
    <t xml:space="preserve">TE PVC PARA ESGOTO CINZA DE 150MM (6')
</t>
  </si>
  <si>
    <t>I2013</t>
  </si>
  <si>
    <t>TE PVC PARA ESGOTO DE  40MM (1 1/2")</t>
  </si>
  <si>
    <t>I2014</t>
  </si>
  <si>
    <t>TE PVC PARA ESGOTO DE  50MM (2")</t>
  </si>
  <si>
    <t>I2015</t>
  </si>
  <si>
    <t>TE PVC PARA ESGOTO DE  75MM (3")</t>
  </si>
  <si>
    <t>I2012</t>
  </si>
  <si>
    <t>TE PVC PARA ESGOTO DE 100MM (4")</t>
  </si>
  <si>
    <t>I1969</t>
  </si>
  <si>
    <t>TE PVC PARA ESGOTO DE 150MM (6")</t>
  </si>
  <si>
    <t>I2011</t>
  </si>
  <si>
    <t>TE PVC REDUÇÃO ESGOTO DE  75X50MM</t>
  </si>
  <si>
    <t>I2008</t>
  </si>
  <si>
    <t>TE PVC REDUÇÃO ESGOTO DE 100X50MM</t>
  </si>
  <si>
    <t>I2009</t>
  </si>
  <si>
    <t>TE PVC REDUÇÃO ESGOTO DE 100X75MM</t>
  </si>
  <si>
    <t>I2010</t>
  </si>
  <si>
    <t>TE PVC REDUÇÃO ESGOTO DE 150X100MM</t>
  </si>
  <si>
    <t>I1998</t>
  </si>
  <si>
    <t xml:space="preserve">TE PVC ROSCAVEL DE   1/2"
</t>
  </si>
  <si>
    <t>I2001</t>
  </si>
  <si>
    <t xml:space="preserve">TE PVC ROSCAVEL DE   3/4"
</t>
  </si>
  <si>
    <t>I1997</t>
  </si>
  <si>
    <t xml:space="preserve">TE PVC ROSCAVEL DE  1"
</t>
  </si>
  <si>
    <t>I1995</t>
  </si>
  <si>
    <t xml:space="preserve">TE PVC ROSCAVEL DE 1 1/2"
</t>
  </si>
  <si>
    <t>I1996</t>
  </si>
  <si>
    <t xml:space="preserve">TE PVC ROSCAVEL DE 1 1/4"
</t>
  </si>
  <si>
    <t>I1999</t>
  </si>
  <si>
    <t xml:space="preserve">TE PVC ROSCAVEL DE 2 1/2"
</t>
  </si>
  <si>
    <t>I1993</t>
  </si>
  <si>
    <t xml:space="preserve">TE PVC ROSCAVEL DE 2"
</t>
  </si>
  <si>
    <t>I2000</t>
  </si>
  <si>
    <t xml:space="preserve">TE PVC ROSCAVEL DE 3"
</t>
  </si>
  <si>
    <t>I1994</t>
  </si>
  <si>
    <t xml:space="preserve">TE PVC ROSCAVEL DE 4"
</t>
  </si>
  <si>
    <t>I1970</t>
  </si>
  <si>
    <t>TE PVC SOLDAVEL 110MM</t>
  </si>
  <si>
    <t>I1971</t>
  </si>
  <si>
    <t>TE PVC SOLDAVEL 20MM</t>
  </si>
  <si>
    <t>I1972</t>
  </si>
  <si>
    <t>TE PVC SOLDAVEL 25MM</t>
  </si>
  <si>
    <t>I1973</t>
  </si>
  <si>
    <t>TE PVC SOLDAVEL 32MM</t>
  </si>
  <si>
    <t>I1974</t>
  </si>
  <si>
    <t>TE PVC SOLDAVEL 40MM</t>
  </si>
  <si>
    <t>I1975</t>
  </si>
  <si>
    <t>TE PVC SOLDAVEL 50MM</t>
  </si>
  <si>
    <t>I1976</t>
  </si>
  <si>
    <t>TE PVC SOLDAVEL 60MM</t>
  </si>
  <si>
    <t>I1977</t>
  </si>
  <si>
    <t>TE PVC SOLDAVEL 75MM</t>
  </si>
  <si>
    <t>I1978</t>
  </si>
  <si>
    <t>TE PVC SOLDAVEL 85MM</t>
  </si>
  <si>
    <t>I2005</t>
  </si>
  <si>
    <t>TE PVC SOLDAVEL AZUL DE 20X1/2"</t>
  </si>
  <si>
    <t>I2002</t>
  </si>
  <si>
    <t xml:space="preserve">TE PVC SOLDAVEL COM ROSCA BOLSA CENTRAL 20 X 1/2''
</t>
  </si>
  <si>
    <t>I2003</t>
  </si>
  <si>
    <t>TE PVC SOLDAVEL COM ROSCA BOLSA CENTRAL 25 X 3/4"</t>
  </si>
  <si>
    <t>I2004</t>
  </si>
  <si>
    <t xml:space="preserve">TE PVC SOLDAVEL COM ROSCA BOLSA CENTRAL 32 X 1''
</t>
  </si>
  <si>
    <t>I2029</t>
  </si>
  <si>
    <t xml:space="preserve">TE REDUCAO PVC ROSCAVEL DE   3/4" X 1/2" PARA AGUA FRIA
</t>
  </si>
  <si>
    <t>I2028</t>
  </si>
  <si>
    <t xml:space="preserve">TE REDUCAO PVC ROSCAVEL DE  1" X  3/4" PARA AGUA FRIA
</t>
  </si>
  <si>
    <t>I2027</t>
  </si>
  <si>
    <t xml:space="preserve">TE REDUCAO PVC ROSCAVEL DE 1 1/2" X  3/4" PARA AGUA FRIA
</t>
  </si>
  <si>
    <t>I1979</t>
  </si>
  <si>
    <t xml:space="preserve">TE REDUCAO PVC ROSCAVEL DE 1 1/2" X 1 1/4" PARA AGUA FRIA
</t>
  </si>
  <si>
    <t>I1980</t>
  </si>
  <si>
    <t>TE REDUCAO PVC ROSCAVEL DE 1 1/4" X 1" PARA AGUA FRIA</t>
  </si>
  <si>
    <t>I1982</t>
  </si>
  <si>
    <t>TE REDUCAO PVC ROSCAVEL DE 2 1/2" X 2" PARA AGUA FRIA</t>
  </si>
  <si>
    <t>I1984</t>
  </si>
  <si>
    <t>I2018</t>
  </si>
  <si>
    <t>TE REDUCAO PVC SOLDAVEL AZUL DE 25X1/2"</t>
  </si>
  <si>
    <t>I2016</t>
  </si>
  <si>
    <t>TE REDUCAO PVC SOLDAVEL AZUL DE 32X3/4"</t>
  </si>
  <si>
    <t>I2017</t>
  </si>
  <si>
    <t>TE REDUCAO PVC SOLDAVEL COM ROSCA NA BOLSA CENTRAL DE 25X1/2"</t>
  </si>
  <si>
    <t>I1983</t>
  </si>
  <si>
    <t>TE REDUCAO PVC SOLDAVEL DE  25X20 MM PARA AGUA FRIA</t>
  </si>
  <si>
    <t>I1981</t>
  </si>
  <si>
    <t>TE REDUCAO PVC SOLDAVEL DE  32X25 MM PARA AGUA FRIA</t>
  </si>
  <si>
    <t>I9536</t>
  </si>
  <si>
    <t>TE REDUCAO PVC SOLDAVEL DE  40X32MM PARA AGUA FRIA</t>
  </si>
  <si>
    <t>I2022</t>
  </si>
  <si>
    <t xml:space="preserve">TE REDUCAO PVC SOLDAVEL DE  50X20MM PARA ÁGUA FRIA
</t>
  </si>
  <si>
    <t>I2023</t>
  </si>
  <si>
    <t>I2024</t>
  </si>
  <si>
    <t>I9537</t>
  </si>
  <si>
    <t>TE REDUCAO PVC SOLDAVEL DE  50X40MM PARA AGUA FRIA</t>
  </si>
  <si>
    <t>I2025</t>
  </si>
  <si>
    <t>I2026</t>
  </si>
  <si>
    <t>I2019</t>
  </si>
  <si>
    <t>I2020</t>
  </si>
  <si>
    <t>I2021</t>
  </si>
  <si>
    <t>I1953</t>
  </si>
  <si>
    <t xml:space="preserve">TE REDUÇÃO AÇO GALVANIZADO   3/4" X 1/2"
</t>
  </si>
  <si>
    <t>I2030</t>
  </si>
  <si>
    <t xml:space="preserve">TE REDUÇÃO AÇO GALVANIZADO 1 1/4" X 1/2"
</t>
  </si>
  <si>
    <t>I2031</t>
  </si>
  <si>
    <t>I2032</t>
  </si>
  <si>
    <t>I1944</t>
  </si>
  <si>
    <t xml:space="preserve">TE REDUÇÃO PVC SOLDAVEL ROSCA DE 32 x 32mm x 3/4"
</t>
  </si>
  <si>
    <t>I9095</t>
  </si>
  <si>
    <t>TERMINAL DE VENTILACAO, 100 MM, SERIE NORMAL, ESGOTO PREDIAL</t>
  </si>
  <si>
    <t>I9096</t>
  </si>
  <si>
    <t>TERMINAL DE VENTILACAO, 50 MM, SERIE NORMAL, ESGOTO PREDIAL</t>
  </si>
  <si>
    <t>I9051</t>
  </si>
  <si>
    <t>TERMINAL DE VENTILACAO, 75 MM, SERIE NORMAL, ESGOTO PREDIAL</t>
  </si>
  <si>
    <t>I7496</t>
  </si>
  <si>
    <t>TORNEIRA  P/ JARDIM CROMADA</t>
  </si>
  <si>
    <t>I7494</t>
  </si>
  <si>
    <t>TORNEIRA ELETRÔNICA C/ ANTI-VANDALISMO P/ LAVATÓRIO</t>
  </si>
  <si>
    <t>I7495</t>
  </si>
  <si>
    <t>TORNEIRA ELETRÔNICA C/ ANTI-VANDALISMO P/ PIA DE COZINHA</t>
  </si>
  <si>
    <t>I6758</t>
  </si>
  <si>
    <t>I6753</t>
  </si>
  <si>
    <t>TUBO AÇO ASTM A-120 PRETO  C/ ROSCA DE 25mm(1")</t>
  </si>
  <si>
    <t>I6757</t>
  </si>
  <si>
    <t>I6752</t>
  </si>
  <si>
    <t>TUBO AÇO ASTM A-120 PRETO C/ ROSCA DE 20mm(3/4")</t>
  </si>
  <si>
    <t>I6754</t>
  </si>
  <si>
    <t>TUBO AÇO ASTM A-120 PRETO C/ ROSCA DE 32mm(1 1/4")</t>
  </si>
  <si>
    <t>I6755</t>
  </si>
  <si>
    <t>TUBO AÇO ASTM A-120 PRETO C/ ROSCA DE 40mm(1 1/2")</t>
  </si>
  <si>
    <t>I6756</t>
  </si>
  <si>
    <t>TUBO AÇO ASTM A-120 PRETO C/ ROSCA DE 50mm (2")</t>
  </si>
  <si>
    <t>I2163</t>
  </si>
  <si>
    <t>TUBO AÇO GALVANIZADO DE 100MM (4')</t>
  </si>
  <si>
    <t>I2164</t>
  </si>
  <si>
    <t>TUBO AÇO GALVANIZADO DE 125MM (5')</t>
  </si>
  <si>
    <t>I2165</t>
  </si>
  <si>
    <t>TUBO AÇO GALVANIZADO DE 150MM (6')</t>
  </si>
  <si>
    <t>I2166</t>
  </si>
  <si>
    <t>TUBO AÇO GALVANIZADO DE 15MM (1/2')</t>
  </si>
  <si>
    <t>I2167</t>
  </si>
  <si>
    <t>TUBO AÇO GALVANIZADO DE 20MM (3/4')</t>
  </si>
  <si>
    <t>I2168</t>
  </si>
  <si>
    <t>TUBO AÇO GALVANIZADO DE 25MM (1")</t>
  </si>
  <si>
    <t>I2169</t>
  </si>
  <si>
    <t>TUBO AÇO GALVANIZADO DE 32MM (1 1/4')</t>
  </si>
  <si>
    <t>I2170</t>
  </si>
  <si>
    <t>TUBO AÇO GALVANIZADO DE 40MM (1 1/2')</t>
  </si>
  <si>
    <t>I2171</t>
  </si>
  <si>
    <t>TUBO AÇO GALVANIZADO DE 50MM (2')</t>
  </si>
  <si>
    <t>I2172</t>
  </si>
  <si>
    <t>TUBO AÇO GALVANIZADO DE 65MM (2 1/2')</t>
  </si>
  <si>
    <t>I2173</t>
  </si>
  <si>
    <t>TUBO AÇO GALVANIZADO DE 80MM (3')</t>
  </si>
  <si>
    <t>I2207</t>
  </si>
  <si>
    <t>TUBO AÇO INOX 3/4"</t>
  </si>
  <si>
    <t>I8646</t>
  </si>
  <si>
    <t>TUBO AÇO INOX DIAM 1 1/2"</t>
  </si>
  <si>
    <t>I2161</t>
  </si>
  <si>
    <t>TUBO CERÂMICO DE 100MM</t>
  </si>
  <si>
    <t>I2162</t>
  </si>
  <si>
    <t>TUBO CERÂMICO DE 300MM</t>
  </si>
  <si>
    <t>I9085</t>
  </si>
  <si>
    <t>TUBO COBRE D=28,57MM CLASSE A</t>
  </si>
  <si>
    <t>I9087</t>
  </si>
  <si>
    <t>TUBO COBRE D=34,92MM CLASSE A</t>
  </si>
  <si>
    <t>I9089</t>
  </si>
  <si>
    <t>TUBO COBRE D=41,27MM CLASSE A</t>
  </si>
  <si>
    <t>I9082</t>
  </si>
  <si>
    <t>TUBO COBRE DE 1/2", FLEXÍVEL CLASSE 2</t>
  </si>
  <si>
    <t>I9077</t>
  </si>
  <si>
    <t>TUBO COBRE DE 1/4", FLEXÍVEL CLASSE 2</t>
  </si>
  <si>
    <t>I2174</t>
  </si>
  <si>
    <t>TUBO COBRE DE 104MM CLASSE E</t>
  </si>
  <si>
    <t>I2175</t>
  </si>
  <si>
    <t>TUBO COBRE DE 15MM CLASSE E</t>
  </si>
  <si>
    <t>I9080</t>
  </si>
  <si>
    <t>TUBO COBRE DE 22,22MM CLASSE A</t>
  </si>
  <si>
    <t>I2176</t>
  </si>
  <si>
    <t>TUBO COBRE DE 22MM CLASSE E</t>
  </si>
  <si>
    <t>I9084</t>
  </si>
  <si>
    <t>TUBO COBRE DE 28MM CLASSE A</t>
  </si>
  <si>
    <t>I2177</t>
  </si>
  <si>
    <t>TUBO COBRE DE 28MM CLASSE E</t>
  </si>
  <si>
    <t>I9083</t>
  </si>
  <si>
    <t>TUBO COBRE DE 3/4", FLEXÍVEL CLASSE 2</t>
  </si>
  <si>
    <t>I9078</t>
  </si>
  <si>
    <t>TUBO COBRE DE 3/8", FLEXÍVEL CLASSE 2</t>
  </si>
  <si>
    <t>I9086</t>
  </si>
  <si>
    <t>TUBO COBRE DE 35MM CLASSE A</t>
  </si>
  <si>
    <t>I2178</t>
  </si>
  <si>
    <t>TUBO COBRE DE 35MM CLASSE E</t>
  </si>
  <si>
    <t>I9088</t>
  </si>
  <si>
    <t>TUBO COBRE DE 42MM CLASSE A</t>
  </si>
  <si>
    <t>I2179</t>
  </si>
  <si>
    <t>TUBO COBRE DE 42MM CLASSE E</t>
  </si>
  <si>
    <t>I9079</t>
  </si>
  <si>
    <t>TUBO COBRE DE 5/8", FLEXÍVEL CLASSE 2</t>
  </si>
  <si>
    <t>I2180</t>
  </si>
  <si>
    <t>TUBO COBRE DE 54MM CLASSE E</t>
  </si>
  <si>
    <t>I2181</t>
  </si>
  <si>
    <t>TUBO COBRE DE 66MM CLASSE E</t>
  </si>
  <si>
    <t>I2182</t>
  </si>
  <si>
    <t>TUBO COBRE DE 79MM CLASSE E</t>
  </si>
  <si>
    <t>I2451</t>
  </si>
  <si>
    <t>TUBO CONCRETO ARMADO D=600MM, L=400MM, CA2</t>
  </si>
  <si>
    <t>I2186</t>
  </si>
  <si>
    <t>TUBO CONCRETO ARMADO, CLASSE PA-1, DN= 600MM (NBR 8890:2018)</t>
  </si>
  <si>
    <t>I9538</t>
  </si>
  <si>
    <t>TUBO CONCRETO ARMADO, CLASSE PA-1, DN= 700MM (NBR 8890:2018)</t>
  </si>
  <si>
    <t>I2187</t>
  </si>
  <si>
    <t>TUBO CONCRETO ARMADO, CLASSE PA-1, DN= 800MM (NBR 8890:2018)</t>
  </si>
  <si>
    <t>I9539</t>
  </si>
  <si>
    <t>TUBO CONCRETO ARMADO, CLASSE PA-1, DN= 900MM (NBR 8890:2018)</t>
  </si>
  <si>
    <t>I2183</t>
  </si>
  <si>
    <t>TUBO CONCRETO ARMADO, CLASSE PA-1, DN=1000MM (NBR 8890:2018)</t>
  </si>
  <si>
    <t>I9540</t>
  </si>
  <si>
    <t>TUBO CONCRETO ARMADO, CLASSE PA-1, DN=1100MM (NBR 8890:2018)</t>
  </si>
  <si>
    <t>I2184</t>
  </si>
  <si>
    <t>TUBO CONCRETO ARMADO, CLASSE PA-1, DN=1200MM (NBR 8890:2018)</t>
  </si>
  <si>
    <t>I2185</t>
  </si>
  <si>
    <t>TUBO CONCRETO ARMADO, CLASSE PA-1, DN=1500MM (NBR 8890:2018)</t>
  </si>
  <si>
    <t>I2452</t>
  </si>
  <si>
    <t>TUBO CONCRETO SIMPLES POROSO D=15cm</t>
  </si>
  <si>
    <t>I2453</t>
  </si>
  <si>
    <t>TUBO CONCRETO SIMPLES POROSO D=20cm</t>
  </si>
  <si>
    <t>I2454</t>
  </si>
  <si>
    <t>TUBO CONCRETO SIMPLES POROSO D=30cm</t>
  </si>
  <si>
    <t>I9541</t>
  </si>
  <si>
    <t>TUBO CONCRETO SIMPLES, CLASSE PS-1, DN=200MM (NBR 8890:2018)</t>
  </si>
  <si>
    <t>I2188</t>
  </si>
  <si>
    <t>TUBO CONCRETO SIMPLES, CLASSE PS-1, DN=300MM (NBR 8890:2018)</t>
  </si>
  <si>
    <t>I2189</t>
  </si>
  <si>
    <t>TUBO CONCRETO SIMPLES, CLASSE PS-1, DN=400MM (NBR 8890:2018)</t>
  </si>
  <si>
    <t>I9542</t>
  </si>
  <si>
    <t>TUBO CONCRETO SIMPLES, CLASSE PS-1, DN=500MM (NBR 8890:2018)</t>
  </si>
  <si>
    <t>I9543</t>
  </si>
  <si>
    <t>TUBO CONCRETO SIMPLES, CLASSE PS-1, DN=600MM (NBR 8890:2018)</t>
  </si>
  <si>
    <t>I2211</t>
  </si>
  <si>
    <t>TUBO PVC CORRUGADO PERFURADO D=10cm</t>
  </si>
  <si>
    <t>I2212</t>
  </si>
  <si>
    <t>TUBO PVC CORRUGADO PERFURADO D=15cm</t>
  </si>
  <si>
    <t>I2213</t>
  </si>
  <si>
    <t>TUBO PVC CORRUGADO PERFURADO D=20cm</t>
  </si>
  <si>
    <t>I2208</t>
  </si>
  <si>
    <t xml:space="preserve">TUBO PVC ESGOTO BRANCO RÍGIDO D=200MM (8') - (NBR 7362)
</t>
  </si>
  <si>
    <t>I2209</t>
  </si>
  <si>
    <t>TUBO PVC ESGOTO BRANCO RÍGIDO D=250MM (10') - (NBR 7362)</t>
  </si>
  <si>
    <t>I2210</t>
  </si>
  <si>
    <t>TUBO PVC ESGOTO BRANCO RÍGIDO D=300MM (12') - (NBR 7362)</t>
  </si>
  <si>
    <t>I2214</t>
  </si>
  <si>
    <t xml:space="preserve">TUBO PVC ESGOTO CINZA RÍGIDO D=150MM (6')
</t>
  </si>
  <si>
    <t>I2193</t>
  </si>
  <si>
    <t>TUBO PVC ESGOTO DE 100MM (4') - (NBR 5688)</t>
  </si>
  <si>
    <t>I2197</t>
  </si>
  <si>
    <t>TUBO PVC ESGOTO DE 150MM (6') - (NBR 5688)</t>
  </si>
  <si>
    <t>I2194</t>
  </si>
  <si>
    <t>TUBO PVC ESGOTO DE 40MM (1 1/2') - (NBR 5688)</t>
  </si>
  <si>
    <t>I2195</t>
  </si>
  <si>
    <t>TUBO PVC ESGOTO DE 50MM (2') - (NBR 5688)</t>
  </si>
  <si>
    <t>I2196</t>
  </si>
  <si>
    <t>TUBO PVC ESGOTO DE 75MM (3') - (NBR 5688)</t>
  </si>
  <si>
    <t>I2456</t>
  </si>
  <si>
    <t>TUBO PVC ESGOTO PRIMÁRIO DE 100 - (NBR 5688)</t>
  </si>
  <si>
    <t>I2458</t>
  </si>
  <si>
    <t>TUBO PVC ESGOTO PRIMÁRIO DE 40MM - (NBR 5688)</t>
  </si>
  <si>
    <t>I2457</t>
  </si>
  <si>
    <t>TUBO PVC ESGOTO PRIMÁRIO DE 50MM - (NBR 5688)</t>
  </si>
  <si>
    <t>I2459</t>
  </si>
  <si>
    <t>TUBO PVC RÍGIDO LEVES DN 150</t>
  </si>
  <si>
    <t>I2460</t>
  </si>
  <si>
    <t>TUBO PVC RÍGIDO LEVES DN 300</t>
  </si>
  <si>
    <t>I2215</t>
  </si>
  <si>
    <t>TUBO PVC RÍGIDO P/PROTEÇÃO CORDOALHA 2'X3M</t>
  </si>
  <si>
    <t>I8203</t>
  </si>
  <si>
    <t>TUBO PVC RÍGIDO PBA DEFoFo, INCL. CONEXÕES EM FoFo - DN 100</t>
  </si>
  <si>
    <t>I8204</t>
  </si>
  <si>
    <t>TUBO PVC RÍGIDO PBA DEFoFo, INCL. CONEXÕES EM FoFo - DN 150</t>
  </si>
  <si>
    <t>I2219</t>
  </si>
  <si>
    <t>TUBO PVC RÍGIDO ROSCÁVEL DE  1/2"</t>
  </si>
  <si>
    <t>I2223</t>
  </si>
  <si>
    <t>TUBO PVC RÍGIDO ROSCÁVEL DE  3/4"</t>
  </si>
  <si>
    <t>I2216</t>
  </si>
  <si>
    <t>TUBO PVC RÍGIDO ROSCÁVEL DE 1 1/2"</t>
  </si>
  <si>
    <t>I2217</t>
  </si>
  <si>
    <t>TUBO PVC RÍGIDO ROSCÁVEL DE 1 1/4"</t>
  </si>
  <si>
    <t>I2218</t>
  </si>
  <si>
    <t>TUBO PVC RÍGIDO ROSCÁVEL DE 1"</t>
  </si>
  <si>
    <t>I2220</t>
  </si>
  <si>
    <t>TUBO PVC RÍGIDO ROSCÁVEL DE 2 1/2"</t>
  </si>
  <si>
    <t>I2221</t>
  </si>
  <si>
    <t>TUBO PVC RÍGIDO ROSCÁVEL DE 2"</t>
  </si>
  <si>
    <t>I2222</t>
  </si>
  <si>
    <t>TUBO PVC RÍGIDO ROSCÁVEL DE 3"</t>
  </si>
  <si>
    <t>I2224</t>
  </si>
  <si>
    <t>TUBO PVC RÍGIDO ROSCÁVEL DE 4"</t>
  </si>
  <si>
    <t>I2461</t>
  </si>
  <si>
    <t>TUBO PVC RÍGIDO VINILFORT JE DN 100 (NBR-7362)</t>
  </si>
  <si>
    <t>I2198</t>
  </si>
  <si>
    <t>TUBO PVC SOLDÁVEL DE 110MM (4')</t>
  </si>
  <si>
    <t>I2199</t>
  </si>
  <si>
    <t>TUBO PVC SOLDÁVEL DE 20MM (1/2')</t>
  </si>
  <si>
    <t>I2200</t>
  </si>
  <si>
    <t>TUBO PVC SOLDÁVEL DE 25MM (3/4')</t>
  </si>
  <si>
    <t>I2201</t>
  </si>
  <si>
    <t>TUBO PVC SOLDÁVEL DE 32MM (1')</t>
  </si>
  <si>
    <t>I2202</t>
  </si>
  <si>
    <t>TUBO PVC SOLDÁVEL DE 40MM (1 1/4')</t>
  </si>
  <si>
    <t>I2203</t>
  </si>
  <si>
    <t>TUBO PVC SOLDÁVEL DE 50MM (1 1/2')</t>
  </si>
  <si>
    <t>I2204</t>
  </si>
  <si>
    <t>TUBO PVC SOLDÁVEL DE 60MM (2')</t>
  </si>
  <si>
    <t>I2205</t>
  </si>
  <si>
    <t>TUBO PVC SOLDÁVEL DE 75MM (2 1/2')</t>
  </si>
  <si>
    <t>I2206</t>
  </si>
  <si>
    <t>TUBO PVC SOLDÁVEL DE 85MM (3')</t>
  </si>
  <si>
    <t>I2227</t>
  </si>
  <si>
    <t>UNIÃO DE PVC ROSCÁVEL DE  1/2"</t>
  </si>
  <si>
    <t>I2228</t>
  </si>
  <si>
    <t>UNIÃO DE PVC SOLDÁVEL DE 110MM</t>
  </si>
  <si>
    <t>I2229</t>
  </si>
  <si>
    <t>UNIÃO DE PVC SOLDÁVEL DE 20MM</t>
  </si>
  <si>
    <t>I2230</t>
  </si>
  <si>
    <t>UNIÃO DE PVC SOLDÁVEL DE 25MM</t>
  </si>
  <si>
    <t>I2231</t>
  </si>
  <si>
    <t>UNIÃO DE PVC SOLDÁVEL DE 32MM</t>
  </si>
  <si>
    <t>I2232</t>
  </si>
  <si>
    <t>UNIÃO DE PVC SOLDÁVEL DE 40MM</t>
  </si>
  <si>
    <t>I2233</t>
  </si>
  <si>
    <t>UNIÃO DE PVC SOLDÁVEL DE 50MM</t>
  </si>
  <si>
    <t>I2234</t>
  </si>
  <si>
    <t>UNIÃO DE PVC SOLDÁVEL DE 60MM</t>
  </si>
  <si>
    <t>I2235</t>
  </si>
  <si>
    <t>UNIÃO DE PVC SOLDÁVEL DE 75MM</t>
  </si>
  <si>
    <t>I2236</t>
  </si>
  <si>
    <t>UNIÃO DE PVC SOLDÁVEL DE 85MM</t>
  </si>
  <si>
    <t>I2243</t>
  </si>
  <si>
    <t>UNIÃO PVC ROSCÁVEL DE   3/4"</t>
  </si>
  <si>
    <t>I2239</t>
  </si>
  <si>
    <t>UNIÃO PVC ROSCÁVEL DE  1"</t>
  </si>
  <si>
    <t>I2237</t>
  </si>
  <si>
    <t>UNIÃO PVC ROSCÁVEL DE 1 1/2"</t>
  </si>
  <si>
    <t>I2238</t>
  </si>
  <si>
    <t>UNIÃO PVC ROSCÁVEL DE 1 1/4"</t>
  </si>
  <si>
    <t>I2240</t>
  </si>
  <si>
    <t>UNIÃO PVC ROSCÁVEL DE 2 1/2"</t>
  </si>
  <si>
    <t>I2241</t>
  </si>
  <si>
    <t>UNIÃO PVC ROSCÁVEL DE 2"</t>
  </si>
  <si>
    <t>I2242</t>
  </si>
  <si>
    <t>UNIÃO PVC ROSCÁVEL DE 3"</t>
  </si>
  <si>
    <t>I2244</t>
  </si>
  <si>
    <t>UNIÃO PVC ROSCÁVEL DE 4"</t>
  </si>
  <si>
    <t>I7539</t>
  </si>
  <si>
    <t>I2464</t>
  </si>
  <si>
    <t>VERTEDOURO TRIANGULAR EM FIBRA 45 X 26 cm, C.PROJ.</t>
  </si>
  <si>
    <t>I2269</t>
  </si>
  <si>
    <t>VÁLVULA DE FLUXO EM AÇO GALV.  (2 1/2")</t>
  </si>
  <si>
    <t>I9076</t>
  </si>
  <si>
    <t>VÁLVULA DE RETENÇÃO PVC P/ ESGOTO D=150MM</t>
  </si>
  <si>
    <t>I6783</t>
  </si>
  <si>
    <t>VÁLVULA MOTORIZADA DE 2 VIAS ROSCÁVEL DE 1"</t>
  </si>
  <si>
    <t>I6782</t>
  </si>
  <si>
    <t>VÁLVULA MOTORIZADA DE 2 VIAS ROSCÁVEL DE 3/4"</t>
  </si>
  <si>
    <t>I7499</t>
  </si>
  <si>
    <t>VÁLVULA P/ MICTÓRIO ELETRONICA CROMADA</t>
  </si>
  <si>
    <t>I2275</t>
  </si>
  <si>
    <t>VÁLVULA RETENÇÃO HORIZONTAL - 100MM (4')</t>
  </si>
  <si>
    <t>I2276</t>
  </si>
  <si>
    <t>VÁLVULA RETENÇÃO HORIZONTAL - 15MM (1/2')</t>
  </si>
  <si>
    <t>I2277</t>
  </si>
  <si>
    <t>VÁLVULA RETENÇÃO HORIZONTAL - 20MM (3/4')</t>
  </si>
  <si>
    <t>I2278</t>
  </si>
  <si>
    <t>VÁLVULA RETENÇÃO HORIZONTAL - 25MM (1')</t>
  </si>
  <si>
    <t>I2279</t>
  </si>
  <si>
    <t>VÁLVULA RETENÇÃO HORIZONTAL - 32MM (1 1/4')</t>
  </si>
  <si>
    <t>I2280</t>
  </si>
  <si>
    <t>VÁLVULA RETENÇÃO HORIZONTAL - 40MM (1 1/2')</t>
  </si>
  <si>
    <t>I2281</t>
  </si>
  <si>
    <t>VÁLVULA RETENÇÃO HORIZONTAL - 50MM (2')</t>
  </si>
  <si>
    <t>I2282</t>
  </si>
  <si>
    <t>VÁLVULA RETENÇÃO HORIZONTAL - 65MM (2 1/2')</t>
  </si>
  <si>
    <t>I2283</t>
  </si>
  <si>
    <t>VÁLVULA RETENÇÃO HORIZONTAL - 80MM (3')</t>
  </si>
  <si>
    <t>I2284</t>
  </si>
  <si>
    <t>VÁLVULA RETENÇÃO. PE C/CRIVO - 25MM (1')</t>
  </si>
  <si>
    <t>I2285</t>
  </si>
  <si>
    <t>VÁLVULA RETENÇÃO. PÉ C/CRIVO - 100MM (4')</t>
  </si>
  <si>
    <t>I2286</t>
  </si>
  <si>
    <t>VÁLVULA RETENÇÃO. PÉ C/CRIVO - 20MM (3/4')</t>
  </si>
  <si>
    <t>I2287</t>
  </si>
  <si>
    <t>VÁLVULA RETENÇÃO. PÉ C/CRIVO - 32MM (1 1/14')</t>
  </si>
  <si>
    <t>I2288</t>
  </si>
  <si>
    <t>VÁLVULA RETENÇÃO. PÉ C/CRIVO - 40MM (1 1/2')</t>
  </si>
  <si>
    <t>I2289</t>
  </si>
  <si>
    <t>VÁLVULA RETENÇÃO. PÉ C/CRIVO - 50MM (2')</t>
  </si>
  <si>
    <t>I2290</t>
  </si>
  <si>
    <t>VÁLVULA RETENÇÃO. PÉ C/CRIVO - 80MM (3')</t>
  </si>
  <si>
    <t>I2291</t>
  </si>
  <si>
    <t>VÁLVULA RETENÇÃO. PÉ C/CRIVO -65MM (2 1/2')</t>
  </si>
  <si>
    <t>I2274</t>
  </si>
  <si>
    <t>VÁLVULA RETENÇÃO. PÉ C/CRIVO 15MM (1/2")</t>
  </si>
  <si>
    <t>COTAÇÃO / INSTALAÇÕES ELÉTRICAS/TELEFÔNICA/INFORMÁTICA</t>
  </si>
  <si>
    <t>I7501</t>
  </si>
  <si>
    <t>10 SLOTS CHASSIS MODULAR HARDWARE STYLE , MOD. 1746-A10AB</t>
  </si>
  <si>
    <t>I7447</t>
  </si>
  <si>
    <t>5/03 RS-232 ROGRAMMER CABLE 3m, MOD. 1747-CP3 AB</t>
  </si>
  <si>
    <t>I7443</t>
  </si>
  <si>
    <t>AC INPUT MODULE FOR PLC, MOD. 1746-IA16 AB WITH16 CHANNELS</t>
  </si>
  <si>
    <t>I7452</t>
  </si>
  <si>
    <t>ALARME SONORO/VISUAL, SIRENE 120 dB, COM ACIONADOR MANUAL, ALIMENTAÇÃO 220 VAC</t>
  </si>
  <si>
    <t>I0053</t>
  </si>
  <si>
    <t>AMPERIMETRO ( 72 X 72 )MM - ESC. 0 - 250A</t>
  </si>
  <si>
    <t>I0054</t>
  </si>
  <si>
    <t>AMPERIMETRO (144 X 144)MM - ESC. 0 - 1000A</t>
  </si>
  <si>
    <t>I0055</t>
  </si>
  <si>
    <t>AMPERIMETRO (96 X 96)MM - ESC. 0 A 500A</t>
  </si>
  <si>
    <t>I7448</t>
  </si>
  <si>
    <t>ANALOG INPUT 4 CHANNEL CARD FOR PLC, MOD. 1746-N14 AB</t>
  </si>
  <si>
    <t>I7412</t>
  </si>
  <si>
    <t>ANEL(DE PROTEÇÃO) PARA BASE DE FUSÍVEL DIAZED</t>
  </si>
  <si>
    <t>I0090</t>
  </si>
  <si>
    <t>APARELHO SINALIZADOR OBSTACULOS</t>
  </si>
  <si>
    <t>I8223</t>
  </si>
  <si>
    <t>I9451</t>
  </si>
  <si>
    <t>ARANDELA COM SOQUETE E-27, CORPO E GRADE FRONTAL DE PROTEÇÃO EM ALUMÍNIO, DIFUSOR EM VIDRO TRANSPARENTE PARA UMA LÂMPADA ELETRÔNICA FLUORESCENTE COMPACTA ATÉ 15W</t>
  </si>
  <si>
    <t>I9428</t>
  </si>
  <si>
    <t>I9450</t>
  </si>
  <si>
    <t>I7927</t>
  </si>
  <si>
    <t>I7926</t>
  </si>
  <si>
    <t>I7928</t>
  </si>
  <si>
    <t>I0125</t>
  </si>
  <si>
    <t>ARMAÇÃO REX TRIFASICA COM ROLDANA</t>
  </si>
  <si>
    <t>I0126</t>
  </si>
  <si>
    <t>ARRUELA DE FERRO GALVANIZADO 1 1/2''</t>
  </si>
  <si>
    <t>I0127</t>
  </si>
  <si>
    <t>ARRUELA DE FERRO GALVANIZADO 1 1/4''</t>
  </si>
  <si>
    <t>I0128</t>
  </si>
  <si>
    <t>ARRUELA DE FERRO GALVANIZADO 1''</t>
  </si>
  <si>
    <t>I0129</t>
  </si>
  <si>
    <t>ARRUELA DE FERRO GALVANIZADO 1/2''</t>
  </si>
  <si>
    <t>I0130</t>
  </si>
  <si>
    <t>ARRUELA DE FERRO GALVANIZADO 2 1/2''</t>
  </si>
  <si>
    <t>I0131</t>
  </si>
  <si>
    <t>ARRUELA DE FERRO GALVANIZADO 2''</t>
  </si>
  <si>
    <t>I0132</t>
  </si>
  <si>
    <t>ARRUELA DE FERRO GALVANIZADO 3 1/2''</t>
  </si>
  <si>
    <t>I0133</t>
  </si>
  <si>
    <t>ARRUELA DE FERRO GALVANIZADO 3''</t>
  </si>
  <si>
    <t>I0134</t>
  </si>
  <si>
    <t>ARRUELA DE FERRO GALVANIZADO 3/4''</t>
  </si>
  <si>
    <t>I0135</t>
  </si>
  <si>
    <t>ARRUELA DE FERRO GALVANIZADO 4''</t>
  </si>
  <si>
    <t>I7396</t>
  </si>
  <si>
    <t>ARRUELA LISA EM AÇO INOX 3/8"</t>
  </si>
  <si>
    <t>I0148</t>
  </si>
  <si>
    <t>AUTOMATICO DE BOIA</t>
  </si>
  <si>
    <t>I9122</t>
  </si>
  <si>
    <t>I9123</t>
  </si>
  <si>
    <t>I9116</t>
  </si>
  <si>
    <t>BALIZADOR, CORPO DE ALUMÍNIO INJETADO, BORRACHA DE VEDAÇÃO, DIFUSOR EM VIDRO PRENSADO, GRADE FRONTAL DE PROTEÇÃO, COM LAMP. FL. COMP. 15W 220V 6500K TWIST E27</t>
  </si>
  <si>
    <t>I8447</t>
  </si>
  <si>
    <t>I0192</t>
  </si>
  <si>
    <t>BARRAMENTO DE COBRE 3/8''</t>
  </si>
  <si>
    <t>I7416</t>
  </si>
  <si>
    <t>BARRAMENTO DE COBRE NÚ 3/4"x 1/4"</t>
  </si>
  <si>
    <t>I7478</t>
  </si>
  <si>
    <t>BARRAMENTO DE MÉDIA TENSÃO - FASE - 13,8 kV</t>
  </si>
  <si>
    <t>I7479</t>
  </si>
  <si>
    <t>BARRAMENTO DE MÉDIA TENSÃO - NEUTRO - 13,8 kV</t>
  </si>
  <si>
    <t>I0193</t>
  </si>
  <si>
    <t>BARRAMENTO NEUTRO P/ BAIXA TENSÃO</t>
  </si>
  <si>
    <t>I0194</t>
  </si>
  <si>
    <t>BARRAMENTO PRINCIPAL P/ BAIXA TENSÃO</t>
  </si>
  <si>
    <t>I0195</t>
  </si>
  <si>
    <t>BARRAMENTO TERRA P/ BAIXA TENSÃO</t>
  </si>
  <si>
    <t>I0199</t>
  </si>
  <si>
    <t>BASE FUSIVEL DIAZED 25A. COMPLETA</t>
  </si>
  <si>
    <t>I0200</t>
  </si>
  <si>
    <t>BASE FUSIVEL DIAZED 63A. COMPLETA</t>
  </si>
  <si>
    <t>I0201</t>
  </si>
  <si>
    <t>BASE FUSIVEL NH 00 - 125A</t>
  </si>
  <si>
    <t>I0202</t>
  </si>
  <si>
    <t>BASE FUSIVEL NH 1 - 250A</t>
  </si>
  <si>
    <t>I0203</t>
  </si>
  <si>
    <t>BASE FUSIVEL NH 2 - 400A</t>
  </si>
  <si>
    <t>I0204</t>
  </si>
  <si>
    <t>BASE FUSIVEL NH 3 - 630A</t>
  </si>
  <si>
    <t>I0205</t>
  </si>
  <si>
    <t>BASE FUSIVEL NH 4 - 1250A</t>
  </si>
  <si>
    <t>I6367</t>
  </si>
  <si>
    <t>BASE ISOLADORA PARA DETECTOR</t>
  </si>
  <si>
    <t>I7374</t>
  </si>
  <si>
    <t>BASE METÁLICA P/ LUMINÁRIA ELEVADA SN-05</t>
  </si>
  <si>
    <t>I0206</t>
  </si>
  <si>
    <t>BASE PARA MASTRO DE PARA-RAIOS DE 1 1/2" DE 1 1/2"</t>
  </si>
  <si>
    <t>I0214</t>
  </si>
  <si>
    <t>BATERIA SELADA 12V/7,5AH, P/ LUMIN.AUTOMAS</t>
  </si>
  <si>
    <t>I0222</t>
  </si>
  <si>
    <t>BLOC.LUMINOSO AUTONOMO, INDIC.DE SETA, MOD.UNITRON</t>
  </si>
  <si>
    <t>I0237</t>
  </si>
  <si>
    <t>BLOCO DE LIGAÇÃO INTERNO BLI - 10</t>
  </si>
  <si>
    <t>I8446</t>
  </si>
  <si>
    <t>I0268</t>
  </si>
  <si>
    <t>BOTOEIRA EM ALUMINIO FUNDIDO ' LIGA-DESLIGA'</t>
  </si>
  <si>
    <t>I7408</t>
  </si>
  <si>
    <t>BOTÃO DE COMANDO DN 22,5mm 2 CONTATOS</t>
  </si>
  <si>
    <t>I6133</t>
  </si>
  <si>
    <t>BOX RETO DE  D=1 1/4"</t>
  </si>
  <si>
    <t>I6132</t>
  </si>
  <si>
    <t>BOX RETO DE  D=2"</t>
  </si>
  <si>
    <t>I0270</t>
  </si>
  <si>
    <t>BRAQUETE COM 3 ISOLADORES COM PARAFUSOS</t>
  </si>
  <si>
    <t>I0271</t>
  </si>
  <si>
    <t>BRAÇADEIRA C/ISOLADOR P/TELEFONE</t>
  </si>
  <si>
    <t>I0272</t>
  </si>
  <si>
    <t>BRAÇADEIRA P/FIXACAO APARELHO SINALIZADOR</t>
  </si>
  <si>
    <t>I0273</t>
  </si>
  <si>
    <t>BRAÇADEIRA TIPO "D" , METALICA DE 1"</t>
  </si>
  <si>
    <t>I0274</t>
  </si>
  <si>
    <t>BRAÇADEIRA TIPO "D" , METALICA DE 3"</t>
  </si>
  <si>
    <t>I0275</t>
  </si>
  <si>
    <t>BRAÇADEIRA TIPO "D", METALICA DE 2"</t>
  </si>
  <si>
    <t>I0276</t>
  </si>
  <si>
    <t>BRAÇADEIRA TIPO "D", METALICA DE 4''</t>
  </si>
  <si>
    <t>I0277</t>
  </si>
  <si>
    <t>BRAÇO METALICO DE 3/4", P/ POSTE DE CONCRETO</t>
  </si>
  <si>
    <t>I0278</t>
  </si>
  <si>
    <t>BRAÇO METALICO P/ LUMINARIA</t>
  </si>
  <si>
    <t>I0288</t>
  </si>
  <si>
    <t>BUCHA DE FERRO GALVANIZADO  1/2"</t>
  </si>
  <si>
    <t>I0293</t>
  </si>
  <si>
    <t>BUCHA DE FERRO GALVANIZADO  3/4"</t>
  </si>
  <si>
    <t>I0285</t>
  </si>
  <si>
    <t>BUCHA DE FERRO GALVANIZADO 1 1/2''</t>
  </si>
  <si>
    <t>I0286</t>
  </si>
  <si>
    <t>BUCHA DE FERRO GALVANIZADO 1 1/4''</t>
  </si>
  <si>
    <t>I0287</t>
  </si>
  <si>
    <t>BUCHA DE FERRO GALVANIZADO 1''</t>
  </si>
  <si>
    <t>I0289</t>
  </si>
  <si>
    <t>BUCHA DE FERRO GALVANIZADO 2 1/2''</t>
  </si>
  <si>
    <t>I0290</t>
  </si>
  <si>
    <t>BUCHA DE FERRO GALVANIZADO 2''</t>
  </si>
  <si>
    <t>I0291</t>
  </si>
  <si>
    <t>BUCHA DE FERRO GALVANIZADO 3 1/2''</t>
  </si>
  <si>
    <t>I0292</t>
  </si>
  <si>
    <t>BUCHA DE FERRO GALVANIZADO 3''</t>
  </si>
  <si>
    <t>I0294</t>
  </si>
  <si>
    <t>BUCHA DE FERRO GALVANIZADO 4''</t>
  </si>
  <si>
    <t>I0332</t>
  </si>
  <si>
    <t>CABEÇOTE DE ALUMINIO P/TELEFONE</t>
  </si>
  <si>
    <t>I6399</t>
  </si>
  <si>
    <t>CABO BLINDADO 2x18 AWG</t>
  </si>
  <si>
    <t>I0461</t>
  </si>
  <si>
    <t>CABO COBRE NU  50MM2</t>
  </si>
  <si>
    <t>I0336</t>
  </si>
  <si>
    <t>I0337</t>
  </si>
  <si>
    <t>CABO COBRE NU 120MM2</t>
  </si>
  <si>
    <t>I0365</t>
  </si>
  <si>
    <t>I0338</t>
  </si>
  <si>
    <t>I0339</t>
  </si>
  <si>
    <t>I0340</t>
  </si>
  <si>
    <t>I0341</t>
  </si>
  <si>
    <t>I8438</t>
  </si>
  <si>
    <t>I7375</t>
  </si>
  <si>
    <t>CABO DE COBRE NU, FORMAÇÃO 7 FIOS, 10mm²</t>
  </si>
  <si>
    <t>I9415</t>
  </si>
  <si>
    <t>CABO DE COBRE, FLEXIVEL, CLASSE 4 OU 5, ISOLACAO EM PVC/A, ANTICHAMA BWF-B, COBERTURA PVC-ST1, ANTICHAMA BWF-B, 1 CONDUTOR, 0,6/1 KV, SECAO NOMINAL 400 MM2</t>
  </si>
  <si>
    <t>I6816</t>
  </si>
  <si>
    <t>CABO DE FIBRA ÓTICA, 01 PAR</t>
  </si>
  <si>
    <t>I6817</t>
  </si>
  <si>
    <t>CABO DE FIBRA ÓTICA, 02 PARES</t>
  </si>
  <si>
    <t>I6818</t>
  </si>
  <si>
    <t>CABO DE FIBRA ÓTICA, 03 PARES</t>
  </si>
  <si>
    <t>I6819</t>
  </si>
  <si>
    <t>CABO DE FIBRA ÓTICA, 04 PARES</t>
  </si>
  <si>
    <t>I0366</t>
  </si>
  <si>
    <t>CABO EM PVC 1000V 10MM2</t>
  </si>
  <si>
    <t>I0367</t>
  </si>
  <si>
    <t>CABO EM PVC 1000V 120MM2</t>
  </si>
  <si>
    <t>I0368</t>
  </si>
  <si>
    <t>CABO EM PVC 1000V 150MM2</t>
  </si>
  <si>
    <t>I0369</t>
  </si>
  <si>
    <t>CABO EM PVC 1000V 16MM2</t>
  </si>
  <si>
    <t>I0370</t>
  </si>
  <si>
    <t>CABO EM PVC 1000V 185MM2</t>
  </si>
  <si>
    <t>I8229</t>
  </si>
  <si>
    <t>CABO EM PVC 1000V 2,5MM2</t>
  </si>
  <si>
    <t>I0371</t>
  </si>
  <si>
    <t>CABO EM PVC 1000V 240MM2</t>
  </si>
  <si>
    <t>I0372</t>
  </si>
  <si>
    <t>CABO EM PVC 1000V 25MM2</t>
  </si>
  <si>
    <t>I9074</t>
  </si>
  <si>
    <t>I0373</t>
  </si>
  <si>
    <t>CABO EM PVC 1000V 35MM2</t>
  </si>
  <si>
    <t>I0374</t>
  </si>
  <si>
    <t>CABO EM PVC 1000V 4MM2</t>
  </si>
  <si>
    <t>I0331</t>
  </si>
  <si>
    <t>CABO EM PVC 1000V 50MM2</t>
  </si>
  <si>
    <t>I0375</t>
  </si>
  <si>
    <t>CABO EM PVC 1000V 6MM2</t>
  </si>
  <si>
    <t>I0376</t>
  </si>
  <si>
    <t>CABO EM PVC 1000V 70MM2</t>
  </si>
  <si>
    <t>I0377</t>
  </si>
  <si>
    <t>CABO EM PVC 1000V 95MM2</t>
  </si>
  <si>
    <t>I8374</t>
  </si>
  <si>
    <t>CABO ISOLADO 15KV 120MM2</t>
  </si>
  <si>
    <t>I6178</t>
  </si>
  <si>
    <t>CABO ISOLADO 15KV 240MM2</t>
  </si>
  <si>
    <t>I7429</t>
  </si>
  <si>
    <t>CABO ISOLADO 15KV 25MM2</t>
  </si>
  <si>
    <t>I8373</t>
  </si>
  <si>
    <t>CABO ISOLADO 15KV 35MM2</t>
  </si>
  <si>
    <t>I6162</t>
  </si>
  <si>
    <t>CABO ISOLADO 15KV 70MM2</t>
  </si>
  <si>
    <t>I0342</t>
  </si>
  <si>
    <t>CABO ISOLADO EM PVC  16MM2 - 750V</t>
  </si>
  <si>
    <t>I0347</t>
  </si>
  <si>
    <t>CABO ISOLADO EM PVC  25MM2 - 750V</t>
  </si>
  <si>
    <t>I0349</t>
  </si>
  <si>
    <t>CABO ISOLADO EM PVC  35MM2 - 750V</t>
  </si>
  <si>
    <t>I0343</t>
  </si>
  <si>
    <t>CABO ISOLADO EM PVC 120MM2 - 750V</t>
  </si>
  <si>
    <t>I0344</t>
  </si>
  <si>
    <t>CABO ISOLADO EM PVC 150MM2 - 750V</t>
  </si>
  <si>
    <t>I0345</t>
  </si>
  <si>
    <t>CABO ISOLADO EM PVC 185MM2 - 750V</t>
  </si>
  <si>
    <t>I0346</t>
  </si>
  <si>
    <t>CABO ISOLADO EM PVC 240MM2 - 750V</t>
  </si>
  <si>
    <t>I0348</t>
  </si>
  <si>
    <t>CABO ISOLADO EM PVC 300MM2 - 750V</t>
  </si>
  <si>
    <t>I0350</t>
  </si>
  <si>
    <t>CABO ISOLADO EM PVC 400MM2 - 750V</t>
  </si>
  <si>
    <t>I0351</t>
  </si>
  <si>
    <t>CABO ISOLADO EM PVC 500MM2 - 750V</t>
  </si>
  <si>
    <t>I0352</t>
  </si>
  <si>
    <t>CABO ISOLADO EM PVC 50MM2 - 750V</t>
  </si>
  <si>
    <t>I0353</t>
  </si>
  <si>
    <t>CABO ISOLADO EM PVC 70MM2 - 750V</t>
  </si>
  <si>
    <t>I0354</t>
  </si>
  <si>
    <t>CABO ISOLADO EM PVC 95MM2 - 750V</t>
  </si>
  <si>
    <t>I0355</t>
  </si>
  <si>
    <t>I0356</t>
  </si>
  <si>
    <t>CABO ISOLADO PVC 750V 2,5 MM2</t>
  </si>
  <si>
    <t>I0357</t>
  </si>
  <si>
    <t>I0358</t>
  </si>
  <si>
    <t>I0359</t>
  </si>
  <si>
    <t>CABO LOGICO 4 PARES, CAT. 3 - UTP (10 MBPS)</t>
  </si>
  <si>
    <t>I0360</t>
  </si>
  <si>
    <t>CABO LOGICO 4 PARES, CAT. 4 - UTP (20 MBPS)</t>
  </si>
  <si>
    <t>I0361</t>
  </si>
  <si>
    <t>CABO LOGICO 4 PARES, CAT.5 - UTP (100 MBPS)</t>
  </si>
  <si>
    <t>I0362</t>
  </si>
  <si>
    <t>CABO LOGICO/VIDEO COAXIAL 50 (OHMS)</t>
  </si>
  <si>
    <t>I0363</t>
  </si>
  <si>
    <t>CABO LOGICO/VIDEO COAXIAL 75 (OHMS)</t>
  </si>
  <si>
    <t>I0364</t>
  </si>
  <si>
    <t>CABO LOGICO/VIDEO COAXIAL 95 (OHMS)</t>
  </si>
  <si>
    <t>I8368</t>
  </si>
  <si>
    <t>CABO LÓGICO 4 PARES, CAT. 6 - UTP</t>
  </si>
  <si>
    <t>I8369</t>
  </si>
  <si>
    <t>I6796</t>
  </si>
  <si>
    <t>CABO POLIFÁSICO - 4 X 2,5MM</t>
  </si>
  <si>
    <t>I0379</t>
  </si>
  <si>
    <t>CABO TELEFONICO CCE - 2</t>
  </si>
  <si>
    <t>I0380</t>
  </si>
  <si>
    <t>CABO TELEFONICO CCE - 3</t>
  </si>
  <si>
    <t>I0381</t>
  </si>
  <si>
    <t>CABO TELEFONICO CCI-1</t>
  </si>
  <si>
    <t>I0382</t>
  </si>
  <si>
    <t>CABO TELEFONICO CCI-2</t>
  </si>
  <si>
    <t>I0383</t>
  </si>
  <si>
    <t>CABO TELEFONICO CCI-3</t>
  </si>
  <si>
    <t>I0384</t>
  </si>
  <si>
    <t>CABO TELEFONICO CCI-4</t>
  </si>
  <si>
    <t>I0385</t>
  </si>
  <si>
    <t>CABO TELEFONICO CCI-5</t>
  </si>
  <si>
    <t>I0386</t>
  </si>
  <si>
    <t>CABO TELEFONICO CCI-6</t>
  </si>
  <si>
    <t>I0387</t>
  </si>
  <si>
    <t>CABO TELEFONICO CI 50-10</t>
  </si>
  <si>
    <t>I0388</t>
  </si>
  <si>
    <t>CABO TELEFONICO CI 50-100</t>
  </si>
  <si>
    <t>I0389</t>
  </si>
  <si>
    <t>CABO TELEFONICO CI 50-20</t>
  </si>
  <si>
    <t>I0390</t>
  </si>
  <si>
    <t>CABO TELEFONICO CI 50-200</t>
  </si>
  <si>
    <t>I0391</t>
  </si>
  <si>
    <t>CABO TELEFONICO CI 50-30</t>
  </si>
  <si>
    <t>I0392</t>
  </si>
  <si>
    <t>CABO TELEFONICO CI 50-50</t>
  </si>
  <si>
    <t>I0393</t>
  </si>
  <si>
    <t>CABO TELEFONICO CTP-APL 10</t>
  </si>
  <si>
    <t>I0394</t>
  </si>
  <si>
    <t>CABO TELEFONICO CTP-APL 100</t>
  </si>
  <si>
    <t>I0395</t>
  </si>
  <si>
    <t>CABO TELEFONICO CTP-APL 20</t>
  </si>
  <si>
    <t>I0396</t>
  </si>
  <si>
    <t>CABO TELEFONICO CTP-APL 200</t>
  </si>
  <si>
    <t>I0397</t>
  </si>
  <si>
    <t>CABO TELEFONICO CTP-APL 30</t>
  </si>
  <si>
    <t>I0398</t>
  </si>
  <si>
    <t>CABO TELEFONICO CTP-APL 50</t>
  </si>
  <si>
    <t>I7376</t>
  </si>
  <si>
    <t>I0407</t>
  </si>
  <si>
    <t>CAIXA AQUATIC PVC RIGIDO REF. 921.07 COM ENCAIXE</t>
  </si>
  <si>
    <t>I0408</t>
  </si>
  <si>
    <t>CAIXA AQUATIC PVC RIGIDO REF.921.06 SEM ENCAIXE</t>
  </si>
  <si>
    <t>I6431</t>
  </si>
  <si>
    <t>CAIXA DE EMBUTIR PVC - 3X3 OCTOGONAL</t>
  </si>
  <si>
    <t>I6432</t>
  </si>
  <si>
    <t>CAIXA DE EMBUTIR PVC - 4X2 RETANGULAR</t>
  </si>
  <si>
    <t>I9446</t>
  </si>
  <si>
    <t>CAIXA DE EMBUTIR PVC - 4X4 OCTOGONAL</t>
  </si>
  <si>
    <t>I6433</t>
  </si>
  <si>
    <t>CAIXA DE EMBUTIR PVC - 4X4 QUADRADA</t>
  </si>
  <si>
    <t>I0417</t>
  </si>
  <si>
    <t>CAIXA DE LIGAÇÃO PLASTICA, DE SOBREPOR SISTEMA "X"</t>
  </si>
  <si>
    <t>I10250</t>
  </si>
  <si>
    <t>I10251</t>
  </si>
  <si>
    <t>I0418</t>
  </si>
  <si>
    <t>CAIXA DERIVACAO 300X300MM</t>
  </si>
  <si>
    <t>I0419</t>
  </si>
  <si>
    <t>CAIXA ESTAMPADA 3"X3", 4''X2'', 4"X4" - CHAPA 18</t>
  </si>
  <si>
    <t>I0420</t>
  </si>
  <si>
    <t>CAIXA ESTAMPADA 4''X6'' - CHAPA 18</t>
  </si>
  <si>
    <t>I0421</t>
  </si>
  <si>
    <t>CAIXA INSPEÇÃO DO TERRA</t>
  </si>
  <si>
    <t>I0422</t>
  </si>
  <si>
    <t>CAIXA LIGAÇÃO 240X180MM</t>
  </si>
  <si>
    <t>I0423</t>
  </si>
  <si>
    <t>CAIXA LIGAÇÃO 250X250MM</t>
  </si>
  <si>
    <t>I0424</t>
  </si>
  <si>
    <t>CAIXA LIGAÇÃO DIAM. 90MM</t>
  </si>
  <si>
    <t>I0425</t>
  </si>
  <si>
    <t>CAIXA MEDIÇÃO ENERGIA ATIVA/REATIVA 60X70X25CM</t>
  </si>
  <si>
    <t>I0427</t>
  </si>
  <si>
    <t>CAIXA PARA CALHA FIBERGLASS</t>
  </si>
  <si>
    <t>I0428</t>
  </si>
  <si>
    <t>CAIXA PASSAG. CHAPA C/TAMPA PARAF. 100X100X80MM</t>
  </si>
  <si>
    <t>I0429</t>
  </si>
  <si>
    <t>CAIXA PASSAG. CHAPA C/TAMPA PARAF. 150X150X800MM</t>
  </si>
  <si>
    <t>I0430</t>
  </si>
  <si>
    <t>CAIXA PASSAG. CHAPA C/TAMPA PARAF. 200X200X100MM</t>
  </si>
  <si>
    <t>I0431</t>
  </si>
  <si>
    <t>CAIXA PASSAG. CHAPA C/TAMPA PARAF. 400X400X150MM</t>
  </si>
  <si>
    <t>I0432</t>
  </si>
  <si>
    <t>CAIXA PASSAG. CHAPA C/TAMPA PARAF. 500X500X150MM</t>
  </si>
  <si>
    <t>I0436</t>
  </si>
  <si>
    <t>CAIXA TIPO 'J' 50X60X27CM</t>
  </si>
  <si>
    <t>I0456</t>
  </si>
  <si>
    <t>CAMPAINHA TIPO SIRENE ESCOLAR</t>
  </si>
  <si>
    <t>I0457</t>
  </si>
  <si>
    <t>CANALETA 25X30MM PARA CABOS</t>
  </si>
  <si>
    <t>I0458</t>
  </si>
  <si>
    <t>CANALETA PLASTICA (110 X 20)MM, SISTEMA "X"</t>
  </si>
  <si>
    <t>I0459</t>
  </si>
  <si>
    <t>CANALETA PLASTICA (20 X 10)MM, SISTEMA "X"</t>
  </si>
  <si>
    <t>I0460</t>
  </si>
  <si>
    <t>CANALETA PLASTICA (50 X 20)MM, SISTEMA "X"</t>
  </si>
  <si>
    <t>I6173</t>
  </si>
  <si>
    <t>CANALETA SISTEMA DLP 60MM X 50MM</t>
  </si>
  <si>
    <t>I6376</t>
  </si>
  <si>
    <t>CANCELA AUTOMÁTICA COM GABINETE EM AÇO GALVANIZADO COM TRATAMENTO ANTICORROSIVO E PINTURA ELETROSTÁTICA, TIPO ARTICULADA (BARREIRA DE ALUMÍNIO)</t>
  </si>
  <si>
    <t>I0469</t>
  </si>
  <si>
    <t>CANTONEIRA DE SEPARAÇÃO</t>
  </si>
  <si>
    <t>I0330</t>
  </si>
  <si>
    <t>CAPTOR FRANKLIN - 4 PONTAS</t>
  </si>
  <si>
    <t>I6248</t>
  </si>
  <si>
    <t>CARTÃO DI COM 32 CANAIS</t>
  </si>
  <si>
    <t>I6272</t>
  </si>
  <si>
    <t>CARTÃO DO COM 32 CANAIS</t>
  </si>
  <si>
    <t>I0502</t>
  </si>
  <si>
    <t>CELULA FOTOELETRICA P/ LAMPADA 1000W, C/ SUPORTE</t>
  </si>
  <si>
    <t>I0503</t>
  </si>
  <si>
    <t>CELULA FOTOELETRICA P/ LAMPADA 250W, C/ SUPORTE</t>
  </si>
  <si>
    <t>I0501</t>
  </si>
  <si>
    <t>CELULA FOTOELÉTRICA P/ LÂMPADA 400W, C/ SUPORTE</t>
  </si>
  <si>
    <t>I0505</t>
  </si>
  <si>
    <t>CENTRAL ALARME P/12 LAÇOS SUPERV., MOD. FIRE-LITE</t>
  </si>
  <si>
    <t>I0506</t>
  </si>
  <si>
    <t>CENTRAL ALARME P/18 LAÇOS SUPERV., MOD. FIRE-LITE</t>
  </si>
  <si>
    <t>I0507</t>
  </si>
  <si>
    <t>CENTRAL ALARME P/6 LAÇOS SUPERVIS., MOD.FIRE-LITE</t>
  </si>
  <si>
    <t>I7538</t>
  </si>
  <si>
    <t>CENTRAL DE CONTROLE P/ SEGURANÇA COMPLETA - INCLUSOS: 01 DVR MULTI HD DE 16 CANAIS 1080P; 16 CÂMERAS DE SEGURANÇA FULL HD1080P; 01 CABO COAXIAL FLEXÍVEL RF4MM + BIPOLAR 2X26 AWG, 85% MALHA, COM 100MTS; 01 FONTE ESTABILIZADA 12V 15A, IDEAL PARA CÂMARAS DE SEGURANÇA; 32 CONECTORES BNC MACHO COM MOLA DE PARAFUSO; 16 CONECTORES P4 DE BORNE PARA ALIMENTAÇÃO 12V; 01 HD INTERNO DE 2TB - (INSTALADO)</t>
  </si>
  <si>
    <t>I0546</t>
  </si>
  <si>
    <t>CHAVE COMUTADORA P/ AMPERIMETRO/VOLTIMETRO</t>
  </si>
  <si>
    <t>I0547</t>
  </si>
  <si>
    <t>CHAVE FACA 3X200A CLASSE 15KV</t>
  </si>
  <si>
    <t>I0549</t>
  </si>
  <si>
    <t>CHAVE FUSIVEL INDICADORA 15KV/50A-RUPTURA 1200A</t>
  </si>
  <si>
    <t>I0551</t>
  </si>
  <si>
    <t>CHAVE GERAL 3X200A-BASE DE MARMORE</t>
  </si>
  <si>
    <t>I7537</t>
  </si>
  <si>
    <t>CHAVE PRESSOSTÁTICA 2"</t>
  </si>
  <si>
    <t>I9072</t>
  </si>
  <si>
    <t>I0552</t>
  </si>
  <si>
    <t>CHAVE SECCIONADORA ACION. ALAVANCA 1X40A</t>
  </si>
  <si>
    <t>I0553</t>
  </si>
  <si>
    <t>CHAVE SECCIONADORA ACION. ALAVANCA 3X100A</t>
  </si>
  <si>
    <t>I0554</t>
  </si>
  <si>
    <t>CHAVE SECCIONADORA ACION. ALAVANCA 3X40A</t>
  </si>
  <si>
    <t>I0555</t>
  </si>
  <si>
    <t>CHAVE SECCIONADORA ACION. ALAVANCA 3X63A</t>
  </si>
  <si>
    <t>I7431</t>
  </si>
  <si>
    <t>CHAVE SECCIONADORA C/ FUSÍVEL, ABERTURA SOB CARGA, 15 kV, 160 A</t>
  </si>
  <si>
    <t>I0556</t>
  </si>
  <si>
    <t>CHAVE SECCIONADORA ROTATIVA 3X100A</t>
  </si>
  <si>
    <t>I0557</t>
  </si>
  <si>
    <t>CHAVE SECCIONADORA ROTATIVA 3X125A</t>
  </si>
  <si>
    <t>I0558</t>
  </si>
  <si>
    <t>CHAVE SECCIONADORA ROTATIVA 3X16A</t>
  </si>
  <si>
    <t>I0559</t>
  </si>
  <si>
    <t>CHAVE SECCIONADORA ROTATIVA 3X200A</t>
  </si>
  <si>
    <t>I0560</t>
  </si>
  <si>
    <t>CHAVE SECCIONADORA ROTATIVA 3X250A</t>
  </si>
  <si>
    <t>I0561</t>
  </si>
  <si>
    <t>CHAVE SECCIONADORA ROTATIVA 3X25A</t>
  </si>
  <si>
    <t>I0562</t>
  </si>
  <si>
    <t>CHAVE SECCIONADORA ROTATIVA 3X40A</t>
  </si>
  <si>
    <t>I0563</t>
  </si>
  <si>
    <t>CHAVE SECCIONADORA ROTATIVA 3X63A</t>
  </si>
  <si>
    <t>I0806</t>
  </si>
  <si>
    <t>CINTA DE AÇO GALVANIZADO COM PARAFUSOS E PORCAS</t>
  </si>
  <si>
    <t>I7925</t>
  </si>
  <si>
    <t>I0808</t>
  </si>
  <si>
    <t>CLEATS P/LIGACAO APARENTE</t>
  </si>
  <si>
    <t>I7453</t>
  </si>
  <si>
    <t>COMPUTADOR PENTIUM 4 , 2,80 GHz, 512 K CACHE, HD 40 GB, 128 MB DDR SDRAM, INCLUINDO PLACA</t>
  </si>
  <si>
    <t>I0837</t>
  </si>
  <si>
    <t>CONDULETE DE PVC DE 1", TIPO C - E - LL - LR</t>
  </si>
  <si>
    <t>I0838</t>
  </si>
  <si>
    <t>CONDULETE DE PVC DE 1/2" TIPO C - E - LL - LR</t>
  </si>
  <si>
    <t>I0839</t>
  </si>
  <si>
    <t>CONDULETE DE PVC DE 3/4"TIPO C  - E - LL - LR</t>
  </si>
  <si>
    <t>I7382</t>
  </si>
  <si>
    <t>I7414</t>
  </si>
  <si>
    <t>CONECTOR DE COMPRESSÃO P/25mm²</t>
  </si>
  <si>
    <t>I0841</t>
  </si>
  <si>
    <t>CONECTOR PARA HASTE TERRA</t>
  </si>
  <si>
    <t>I0844</t>
  </si>
  <si>
    <t>CONECTOR SPLIT-BOLT P/ CABO 120MM2</t>
  </si>
  <si>
    <t>I0845</t>
  </si>
  <si>
    <t>CONECTOR SPLIT-BOLT P/ CABO 500MM2</t>
  </si>
  <si>
    <t>I0840</t>
  </si>
  <si>
    <t>CONECTOR SPLIT-BOLT P/CABO 10MM2</t>
  </si>
  <si>
    <t>I0846</t>
  </si>
  <si>
    <t>CONECTOR SPLIT-BOLT P/CABO 16MM2</t>
  </si>
  <si>
    <t>I0847</t>
  </si>
  <si>
    <t>CONECTOR SPLIT-BOLT P/CABO 35MM2</t>
  </si>
  <si>
    <t>I0850</t>
  </si>
  <si>
    <t>CONJUNTO DE ESTAIAMENTO PARA PARA-RAIOS</t>
  </si>
  <si>
    <t>I7436</t>
  </si>
  <si>
    <t>CONTACTOR  65A</t>
  </si>
  <si>
    <t>I6005</t>
  </si>
  <si>
    <t>CONTACTOR 250A, 30Ø, 1KV</t>
  </si>
  <si>
    <t>I0648</t>
  </si>
  <si>
    <t>I7405</t>
  </si>
  <si>
    <t>CONTATOR DE POTÊNCIA 3TF46 45A 2NA+2NF 220V</t>
  </si>
  <si>
    <t>I6175</t>
  </si>
  <si>
    <t>COTOVELO 90 INTERNO SISTEMA DLP PARA CANALETA 60MM X 34/50MM</t>
  </si>
  <si>
    <t>I6174</t>
  </si>
  <si>
    <t>COTOVELO 90 VARIAVEL SISTEMA DLP P/CANALETA 60MM X 34/50MM</t>
  </si>
  <si>
    <t>I0914</t>
  </si>
  <si>
    <t>CRUZETA EM CONCRETO ARMADO-PADRÃO COELCE</t>
  </si>
  <si>
    <t>I0943</t>
  </si>
  <si>
    <t>CURVA DE FERRO PARA ELETRODUTO DE 1 1/2''</t>
  </si>
  <si>
    <t>I0944</t>
  </si>
  <si>
    <t>CURVA DE FERRO PARA ELETRODUTO DE 1 1/4''</t>
  </si>
  <si>
    <t>I0945</t>
  </si>
  <si>
    <t>CURVA DE FERRO PARA ELETRODUTO DE 1''</t>
  </si>
  <si>
    <t>I0946</t>
  </si>
  <si>
    <t>CURVA DE FERRO PARA ELETRODUTO DE 2 1/2''</t>
  </si>
  <si>
    <t>I0947</t>
  </si>
  <si>
    <t>CURVA DE FERRO PARA ELETRODUTO DE 2''</t>
  </si>
  <si>
    <t>I0949</t>
  </si>
  <si>
    <t>CURVA DE FERRO PARA ELETRODUTO DE 3/4''</t>
  </si>
  <si>
    <t>I0950</t>
  </si>
  <si>
    <t>CURVA DE PVC RIGIDO PARA ELETRODUTO DE 1 1/2''</t>
  </si>
  <si>
    <t>I0951</t>
  </si>
  <si>
    <t>CURVA DE PVC RIGIDO PARA ELETRODUTO DE 1 1/4''</t>
  </si>
  <si>
    <t>I0952</t>
  </si>
  <si>
    <t>CURVA DE PVC RIGIDO PARA ELETRODUTO DE 1''</t>
  </si>
  <si>
    <t>I0953</t>
  </si>
  <si>
    <t>CURVA DE PVC RIGIDO PARA ELETRODUTO DE 1/2''</t>
  </si>
  <si>
    <t>I0954</t>
  </si>
  <si>
    <t>CURVA DE PVC RIGIDO PARA ELETRODUTO DE 2 1/2''</t>
  </si>
  <si>
    <t>I0955</t>
  </si>
  <si>
    <t>CURVA DE PVC RIGIDO PARA ELETRODUTO DE 2''</t>
  </si>
  <si>
    <t>I0956</t>
  </si>
  <si>
    <t>CURVA DE PVC RIGIDO PARA ELETRODUTO DE 3''</t>
  </si>
  <si>
    <t>I0957</t>
  </si>
  <si>
    <t>CURVA DE PVC RIGIDO PARA ELETRODUTO DE 3/4''</t>
  </si>
  <si>
    <t>I0958</t>
  </si>
  <si>
    <t>CURVA DE PVC RIGIDO PARA ELETRODUTO DE 4''</t>
  </si>
  <si>
    <t>I0961</t>
  </si>
  <si>
    <t xml:space="preserve">CX. ALUMINIO FUND. (40X40X15)CM, C/ TAMPA CEGA
</t>
  </si>
  <si>
    <t>I6179</t>
  </si>
  <si>
    <t>DERIVAÇÃO SISTEMA DLP 60MM X 50MM</t>
  </si>
  <si>
    <t>I7451</t>
  </si>
  <si>
    <t>DETETOR IÔNICO DE FUMAÇA, MONTAGEM DE TETO, C/ BASE ALIMENTAÇÃO 220VAC, UMA SAÍDA DIGITAL</t>
  </si>
  <si>
    <t>I0969</t>
  </si>
  <si>
    <t>DISJUNTOR BIPOLAR 10A</t>
  </si>
  <si>
    <t>I0970</t>
  </si>
  <si>
    <t>DISJUNTOR BIPOLAR 16A</t>
  </si>
  <si>
    <t>I0972</t>
  </si>
  <si>
    <t>DISJUNTOR BIPOLAR 20A</t>
  </si>
  <si>
    <t>I0973</t>
  </si>
  <si>
    <t>DISJUNTOR BIPOLAR 25A</t>
  </si>
  <si>
    <t>I0975</t>
  </si>
  <si>
    <t>DISJUNTOR BIPOLAR 32A</t>
  </si>
  <si>
    <t>I0976</t>
  </si>
  <si>
    <t>DISJUNTOR BIPOLAR 40A</t>
  </si>
  <si>
    <t>I0978</t>
  </si>
  <si>
    <t>DISJUNTOR BIPOLAR 50A</t>
  </si>
  <si>
    <t>I8365</t>
  </si>
  <si>
    <t>I8366</t>
  </si>
  <si>
    <t>I0980</t>
  </si>
  <si>
    <t>DISJUNTOR MONOPOLAR 10A</t>
  </si>
  <si>
    <t>I0981</t>
  </si>
  <si>
    <t>DISJUNTOR MONOPOLAR 16A</t>
  </si>
  <si>
    <t>I0983</t>
  </si>
  <si>
    <t>DISJUNTOR MONOPOLAR 20A</t>
  </si>
  <si>
    <t>I0984</t>
  </si>
  <si>
    <t>DISJUNTOR MONOPOLAR 25A</t>
  </si>
  <si>
    <t>I0986</t>
  </si>
  <si>
    <t>DISJUNTOR MONOPOLAR 32A</t>
  </si>
  <si>
    <t>I0987</t>
  </si>
  <si>
    <t>DISJUNTOR MONOPOLAR 40A</t>
  </si>
  <si>
    <t>I0989</t>
  </si>
  <si>
    <t>DISJUNTOR MONOPOLAR 50A</t>
  </si>
  <si>
    <t>I9416</t>
  </si>
  <si>
    <t xml:space="preserve">DISJUNTOR TERMICO E MAGNETICO AJUSTAVEIS, TRIPOLAR DE 300 ATE 400A, CAPACIDADE DE INTERRUPCAO DE 35KA
</t>
  </si>
  <si>
    <t>I9417</t>
  </si>
  <si>
    <t>DISJUNTOR TERMOMAGNÉTICO TRIPOLAR 125 A COM CAIXA MOLDADA 10 KA</t>
  </si>
  <si>
    <t>I9418</t>
  </si>
  <si>
    <t>DISJUNTOR TERMOMAGNÉTICO TRIPOLAR 175 A COM CAIXA MOLDADA 10 KA</t>
  </si>
  <si>
    <t>I9419</t>
  </si>
  <si>
    <t>DISJUNTOR TERMOMAGNÉTICO TRIPOLAR 250 A COM CAIXA MOLDADA 10 KA</t>
  </si>
  <si>
    <t>I0993</t>
  </si>
  <si>
    <t>DISJUNTOR TIPO COMPACTO 3X 16A</t>
  </si>
  <si>
    <t>I0995</t>
  </si>
  <si>
    <t>DISJUNTOR TIPO COMPACTO 3X 32A</t>
  </si>
  <si>
    <t>I0997</t>
  </si>
  <si>
    <t>DISJUNTOR TIPO COMPACTO 3X 63A</t>
  </si>
  <si>
    <t>I0991</t>
  </si>
  <si>
    <t>DISJUNTOR TIPO COMPACTO 3X100A</t>
  </si>
  <si>
    <t>I0992</t>
  </si>
  <si>
    <t>DISJUNTOR TIPO COMPACTO 3X160A</t>
  </si>
  <si>
    <t>I1015</t>
  </si>
  <si>
    <t>DISJUNTOR TIPO COMPACTO 3X175A</t>
  </si>
  <si>
    <t>I0994</t>
  </si>
  <si>
    <t>DISJUNTOR TIPO COMPACTO E ABERTO 3X 250A</t>
  </si>
  <si>
    <t>I0996</t>
  </si>
  <si>
    <t>DISJUNTOR TIPO COMPACTO E ABERTO 3X 400A</t>
  </si>
  <si>
    <t>I1003</t>
  </si>
  <si>
    <t>DISJUNTOR TIPO COMPACTO E ABERTO 3X 630A</t>
  </si>
  <si>
    <t>I0998</t>
  </si>
  <si>
    <t>DISJUNTOR TIPO COMPACTO E ABERTO 3X1000A</t>
  </si>
  <si>
    <t>I0999</t>
  </si>
  <si>
    <t>DISJUNTOR TIPO COMPACTO E ABERTO 3X1250A</t>
  </si>
  <si>
    <t>I1000</t>
  </si>
  <si>
    <t>DISJUNTOR TIPO COMPACTO E ABERTO 3X1600A</t>
  </si>
  <si>
    <t>I1001</t>
  </si>
  <si>
    <t>DISJUNTOR TIPO COMPACTO E ABERTO 3X2500A</t>
  </si>
  <si>
    <t>I1002</t>
  </si>
  <si>
    <t>DISJUNTOR TIPO COMPACTO E ABERTO 3X3150A</t>
  </si>
  <si>
    <t>I1004</t>
  </si>
  <si>
    <t>DISJUNTOR TRIPOLAR 10A</t>
  </si>
  <si>
    <t>I1005</t>
  </si>
  <si>
    <t>DISJUNTOR TRIPOLAR 16A</t>
  </si>
  <si>
    <t>I1007</t>
  </si>
  <si>
    <t>DISJUNTOR TRIPOLAR 20A</t>
  </si>
  <si>
    <t>I1008</t>
  </si>
  <si>
    <t>DISJUNTOR TRIPOLAR 25A</t>
  </si>
  <si>
    <t>I1010</t>
  </si>
  <si>
    <t>DISJUNTOR TRIPOLAR 32A</t>
  </si>
  <si>
    <t>I7404</t>
  </si>
  <si>
    <t>DISJUNTOR TRIPOLAR 35kA ED63B060</t>
  </si>
  <si>
    <t>I7400</t>
  </si>
  <si>
    <t>DISJUNTOR TRIPOLAR 35kA FXD63B150</t>
  </si>
  <si>
    <t>I1011</t>
  </si>
  <si>
    <t>DISJUNTOR TRIPOLAR 40A</t>
  </si>
  <si>
    <t>I1013</t>
  </si>
  <si>
    <t>DISJUNTOR TRIPOLAR 50A</t>
  </si>
  <si>
    <t>I9075</t>
  </si>
  <si>
    <t>DISJUNTOR TRIPOLAR 800A</t>
  </si>
  <si>
    <t>I1016</t>
  </si>
  <si>
    <t>DISJUNTOR TRIPOLAR DE 100A</t>
  </si>
  <si>
    <t>I1017</t>
  </si>
  <si>
    <t>DISJUNTOR TRIPOLAR DE 60A</t>
  </si>
  <si>
    <t>I1018</t>
  </si>
  <si>
    <t>DISJUNTOR TRIPOLAR DE 70A</t>
  </si>
  <si>
    <t>I1019</t>
  </si>
  <si>
    <t>DISJUNTOR TRIPOLAR DE 90A</t>
  </si>
  <si>
    <t>I9065</t>
  </si>
  <si>
    <t>DISJUNTOR TÉRMICO E MAGNÉTICO AJUSTÁVEIS,TRIPOLAR DE 450 ATÉ 600A, CAPACIDADE DE INTERRUPÇÃO DE 35KA</t>
  </si>
  <si>
    <t>I8442</t>
  </si>
  <si>
    <t>DISPOSITIVO DE PROTEÇÃO CONTRA SURTOS DE TENSÃO - DPS's - 40 KA/440V - FORNECIMENTO E INSTALAÇÃO</t>
  </si>
  <si>
    <t>I8444</t>
  </si>
  <si>
    <t>I8445</t>
  </si>
  <si>
    <t>DISTRIBUIDOR INTERNO ÓPTICO - D.I.O. PARA 24 FIBRAS MONOMODO/MULTIMODO, COM CONECTORES SC/LC DUPLEX/ST/E2000, PADRÃO 19"</t>
  </si>
  <si>
    <t>I6829</t>
  </si>
  <si>
    <t>I1043</t>
  </si>
  <si>
    <t>DUTO DE ALONGAMENTO P/EXAUSTOR EOLICO</t>
  </si>
  <si>
    <t>I6690</t>
  </si>
  <si>
    <t>DUTO FLEXIVEL EM PEAD - D=110mm (4"), C/CONEXÕES</t>
  </si>
  <si>
    <t>I6692</t>
  </si>
  <si>
    <t>DUTO FLEXIVEL EM PEAD - D=140mm (5"), C/CONEXÕES</t>
  </si>
  <si>
    <t>I6693</t>
  </si>
  <si>
    <t>DUTO FLEXIVEL EM PEAD - D=160mm (6"), C/CONEXÕES</t>
  </si>
  <si>
    <t>I6686</t>
  </si>
  <si>
    <t>DUTO FLEXIVEL EM PEAD - D=40mm (1 1/4"), C/CONEXÕES</t>
  </si>
  <si>
    <t>I6687</t>
  </si>
  <si>
    <t>DUTO FLEXIVEL EM PEAD - D=50mm (1 1/2"), C/CONEXÕES</t>
  </si>
  <si>
    <t>I6688</t>
  </si>
  <si>
    <t>DUTO FLEXIVEL EM PEAD - D=63mm (2"), C/CONEXÕES</t>
  </si>
  <si>
    <t>I6689</t>
  </si>
  <si>
    <t>DUTO FLEXIVEL EM PEAD - D=90mm (3"), C/CONEXÕES</t>
  </si>
  <si>
    <t>I1044</t>
  </si>
  <si>
    <t>DUTO PERFURADO-ELETROCALHA CHAPA DE AÇO (100X100)MM</t>
  </si>
  <si>
    <t>I1045</t>
  </si>
  <si>
    <t>DUTO PERFURADO-ELETROCALHA CHAPA DE AÇO (100X200)MM</t>
  </si>
  <si>
    <t>I8370</t>
  </si>
  <si>
    <t>DUTO PERFURADO-ELETROCALHA CHAPA DE AÇO (100X300)MM</t>
  </si>
  <si>
    <t>I1046</t>
  </si>
  <si>
    <t>DUTO PERFURADO-ELETROCALHA CHAPA DE AÇO (25X50)MM</t>
  </si>
  <si>
    <t>I1047</t>
  </si>
  <si>
    <t>DUTO PERFURADO-ELETROCALHA CHAPA DE AÇO (25X75)MM</t>
  </si>
  <si>
    <t>I1048</t>
  </si>
  <si>
    <t>DUTO PERFURADO-ELETROCALHA CHAPA DE AÇO (50X100)MM</t>
  </si>
  <si>
    <t>I1049</t>
  </si>
  <si>
    <t>DUTO PERFURADO-ELETROCALHA CHAPA DE AÇO (50X50)MM</t>
  </si>
  <si>
    <t>I1050</t>
  </si>
  <si>
    <t>DUTO PERFURADO-ELETROCALHA CHAPA DE AÇO (50X75)MM</t>
  </si>
  <si>
    <t>I1051</t>
  </si>
  <si>
    <t>DUTO PERFURADO-ELETROCALHA CHAPA DE AÇO (75X75)MM</t>
  </si>
  <si>
    <t>I1052</t>
  </si>
  <si>
    <t>DUTO PERFURADO-PERFILADOS CHAPA DE AÇO (15 X 35)MM</t>
  </si>
  <si>
    <t>I1053</t>
  </si>
  <si>
    <t>DUTO PERFURADO-PERFILADOS CHAPA DE AÇO (19 X 39)MM</t>
  </si>
  <si>
    <t>I1054</t>
  </si>
  <si>
    <t>DUTO PERFURADO-PERFILADOS CHAPA DE AÇO (25 X 25)MM</t>
  </si>
  <si>
    <t>I1055</t>
  </si>
  <si>
    <t>DUTO PERFURADO-PERFILADOS CHAPA DE AÇO (35 X 35)MM</t>
  </si>
  <si>
    <t>I1056</t>
  </si>
  <si>
    <t>DUTO PERFURADO-PERFILADOS CHAPA DE AÇO (38 X 38)MM</t>
  </si>
  <si>
    <t>I1062</t>
  </si>
  <si>
    <t>ELETRODUTO DE ALUMINIO DE 1 1/2"</t>
  </si>
  <si>
    <t>I1063</t>
  </si>
  <si>
    <t>ELETRODUTO DE ALUMINIO DE 1 1/4"</t>
  </si>
  <si>
    <t>I1064</t>
  </si>
  <si>
    <t>ELETRODUTO DE ALUMINIO DE 1"</t>
  </si>
  <si>
    <t>I1065</t>
  </si>
  <si>
    <t>ELETRODUTO DE ALUMINIO DE 2 1/2"</t>
  </si>
  <si>
    <t>I1066</t>
  </si>
  <si>
    <t>ELETRODUTO DE ALUMINIO DE 2"</t>
  </si>
  <si>
    <t>I1067</t>
  </si>
  <si>
    <t>ELETRODUTO DE ALUMINIO DE 3/4"</t>
  </si>
  <si>
    <t>I8371</t>
  </si>
  <si>
    <t>ELETRODUTO DE ALUMÍNIO, INCLUSIVE CONEXÕES 3"</t>
  </si>
  <si>
    <t>I1071</t>
  </si>
  <si>
    <t>ELETRODUTO DE PVC RIGIDO   1/2''</t>
  </si>
  <si>
    <t>I1075</t>
  </si>
  <si>
    <t>ELETRODUTO DE PVC RIGIDO   3/4''</t>
  </si>
  <si>
    <t>I1068</t>
  </si>
  <si>
    <t>ELETRODUTO DE PVC RIGIDO 1 1/2''</t>
  </si>
  <si>
    <t>I1069</t>
  </si>
  <si>
    <t>ELETRODUTO DE PVC RIGIDO 1 1/4''</t>
  </si>
  <si>
    <t>I1070</t>
  </si>
  <si>
    <t>ELETRODUTO DE PVC RIGIDO 1''</t>
  </si>
  <si>
    <t>I1072</t>
  </si>
  <si>
    <t>ELETRODUTO DE PVC RIGIDO 2 1/2''</t>
  </si>
  <si>
    <t>I1073</t>
  </si>
  <si>
    <t>ELETRODUTO DE PVC RIGIDO 2''</t>
  </si>
  <si>
    <t>I1074</t>
  </si>
  <si>
    <t>ELETRODUTO DE PVC RIGIDO 3''</t>
  </si>
  <si>
    <t>I1076</t>
  </si>
  <si>
    <t>ELETRODUTO DE PVC RIGIDO 4''</t>
  </si>
  <si>
    <t>I1077</t>
  </si>
  <si>
    <t>ELETRODUTO FERRO CLASSE LI ESMALTADO 1 1/2''</t>
  </si>
  <si>
    <t>I1078</t>
  </si>
  <si>
    <t>ELETRODUTO FERRO CLASSE LI ESMALTADO 1 1/4''</t>
  </si>
  <si>
    <t>I1079</t>
  </si>
  <si>
    <t>ELETRODUTO FERRO CLASSE LI ESMALTADO 1''</t>
  </si>
  <si>
    <t>I1080</t>
  </si>
  <si>
    <t>ELETRODUTO FERRO CLASSE LI ESMALTADO 1/2''</t>
  </si>
  <si>
    <t>I1081</t>
  </si>
  <si>
    <t>ELETRODUTO FERRO CLASSE LI ESMALTADO 2''</t>
  </si>
  <si>
    <t>I1083</t>
  </si>
  <si>
    <t>ELETRODUTO FERRO CLASSE LI ESMALTADO 3/4''</t>
  </si>
  <si>
    <t>I1084</t>
  </si>
  <si>
    <t>ELETRODUTO FLEXIVEL TIPO GARGANTA</t>
  </si>
  <si>
    <t>I1085</t>
  </si>
  <si>
    <t>ELETRODUTO TIPO CONDULETE DE PVC DE 1"</t>
  </si>
  <si>
    <t>I1086</t>
  </si>
  <si>
    <t>ELETRODUTO TIPO CONDULETE DE PVC DE 1/2"</t>
  </si>
  <si>
    <t>I1087</t>
  </si>
  <si>
    <t>ELETRODUTO TIPO CONDULETE DE PVC DE 3/4"</t>
  </si>
  <si>
    <t>I9066</t>
  </si>
  <si>
    <t xml:space="preserve">ELO FUSIVEL
</t>
  </si>
  <si>
    <t>I2313</t>
  </si>
  <si>
    <t>ELO FUSIVEL 1H</t>
  </si>
  <si>
    <t>I2315</t>
  </si>
  <si>
    <t>ELO FUSIVEL 3H</t>
  </si>
  <si>
    <t>I6020</t>
  </si>
  <si>
    <t>EMENDA PARA LEITO ABA 100mm C/ PARAFUSOS EM INOX</t>
  </si>
  <si>
    <t>I2321</t>
  </si>
  <si>
    <t>ENERGIA ELETRICA</t>
  </si>
  <si>
    <t>KWH</t>
  </si>
  <si>
    <t>I1105</t>
  </si>
  <si>
    <t>ESPELHO 4''X2'' OU 3"X3"</t>
  </si>
  <si>
    <t>I1106</t>
  </si>
  <si>
    <t>ESPELHO 4''X4''</t>
  </si>
  <si>
    <t>I9106</t>
  </si>
  <si>
    <t>ESPELHO/PLACA DE 3 POSTOS 4"X2" PARA INSTALAÇÃO DE TOMADAS E INTERRUPTORES</t>
  </si>
  <si>
    <t>I1109</t>
  </si>
  <si>
    <t>I1110</t>
  </si>
  <si>
    <t>ESTABILIZADOR DE TENSÃO/CORRENTE DE 1KV</t>
  </si>
  <si>
    <t>I1111</t>
  </si>
  <si>
    <t>ESTABILIZADOR DE TENSÃO/CORRENTE DE 3KV</t>
  </si>
  <si>
    <t>I1112</t>
  </si>
  <si>
    <t>ESTABILIZADOR DE TENSÃO/CORRENTE DE 5KV</t>
  </si>
  <si>
    <t>I1113</t>
  </si>
  <si>
    <t>ESTABILIZADOR DE TENSÃO/CORRENTE DE 7.5 KVA</t>
  </si>
  <si>
    <t>I2340</t>
  </si>
  <si>
    <t>FIO DE COBRE ANTICHAMA 2.5MM2</t>
  </si>
  <si>
    <t>I1167</t>
  </si>
  <si>
    <t>FIO ISOLADO EM PVC 0.50MM2 - 750V</t>
  </si>
  <si>
    <t>I1168</t>
  </si>
  <si>
    <t>FIO ISOLADO EM PVC 0.75MM2 - 750V</t>
  </si>
  <si>
    <t>I1169</t>
  </si>
  <si>
    <t>FIO ISOLADO EM PVC 1.00MM2 - 750V</t>
  </si>
  <si>
    <t>I1170</t>
  </si>
  <si>
    <t>FIO ISOLADO EM PVC 1.50MM2 - 750V</t>
  </si>
  <si>
    <t>I1171</t>
  </si>
  <si>
    <t>FIO ISOLADO EM PVC 10.0 MM2 - 750V</t>
  </si>
  <si>
    <t>I1172</t>
  </si>
  <si>
    <t>FIO ISOLADO EM PVC 2.50MM2 - 750V</t>
  </si>
  <si>
    <t>I1173</t>
  </si>
  <si>
    <t>FIO ISOLADO EM PVC 4.00MM2 - 750V</t>
  </si>
  <si>
    <t>I1174</t>
  </si>
  <si>
    <t>FIO ISOLADO EM PVC 6.00MM2 - 750V</t>
  </si>
  <si>
    <t>I1175</t>
  </si>
  <si>
    <t>I1176</t>
  </si>
  <si>
    <t>I1177</t>
  </si>
  <si>
    <t>I9144</t>
  </si>
  <si>
    <t>FITA ADESIVA ANTICORROSIVA DE PVC FLEXIVEL, COR PRETA, PARA PROTECAO TUBULACAO, 50MM X 30M (L X C), E= 25MM</t>
  </si>
  <si>
    <t>I1181</t>
  </si>
  <si>
    <t>FITA ISOLANTE</t>
  </si>
  <si>
    <t>I7392</t>
  </si>
  <si>
    <t>FITA ISOLANTE COMUM N.º33</t>
  </si>
  <si>
    <t>I7391</t>
  </si>
  <si>
    <t>FITA ISOLANTE DE AUTO-FUSÃO N.º23</t>
  </si>
  <si>
    <t>I7418</t>
  </si>
  <si>
    <t>FLANGE P/ BASE METÁLICA DN 330mm FUROS 3/8"</t>
  </si>
  <si>
    <t>I7442</t>
  </si>
  <si>
    <t>FUSE MDL 1.32 AMP FOR AC FIXED HARDWARE PWR SUPPLY, MOD. 1746-F4-AHGB</t>
  </si>
  <si>
    <t>I1204</t>
  </si>
  <si>
    <t>FUSIVEL DIAZED 25A</t>
  </si>
  <si>
    <t>I1205</t>
  </si>
  <si>
    <t>FUSIVEL DIAZED 63A</t>
  </si>
  <si>
    <t>I1206</t>
  </si>
  <si>
    <t>FUSIVEL NH 00 - 125A</t>
  </si>
  <si>
    <t>I1207</t>
  </si>
  <si>
    <t>FUSIVEL NH 1 - 250A</t>
  </si>
  <si>
    <t>I1208</t>
  </si>
  <si>
    <t>FUSIVEL NH 2 - 400A</t>
  </si>
  <si>
    <t>I1209</t>
  </si>
  <si>
    <t>FUSIVEL NH 3 - 630A</t>
  </si>
  <si>
    <t>I1210</t>
  </si>
  <si>
    <t>FUSIVEL NH 4 - 1250A</t>
  </si>
  <si>
    <t>I7409</t>
  </si>
  <si>
    <t>FUSÍVEL DIAZED RETARDADO 2A, C/ BASE</t>
  </si>
  <si>
    <t>I7435</t>
  </si>
  <si>
    <t>FUSÍVEL NH 100A</t>
  </si>
  <si>
    <t>I1217</t>
  </si>
  <si>
    <t>GANCHO OLHAL</t>
  </si>
  <si>
    <t>I7387</t>
  </si>
  <si>
    <t>GLOBO CLARO / ÂMBAR P/ LUMINÁRIA SN-05 (30W)</t>
  </si>
  <si>
    <t>I7386</t>
  </si>
  <si>
    <t>GLOBO CLARO PARA LUMINÁRIA SN-05 (30W)</t>
  </si>
  <si>
    <t>I7385</t>
  </si>
  <si>
    <t>I7381</t>
  </si>
  <si>
    <t>GRAMPO DE ATERRAMENTO GKP</t>
  </si>
  <si>
    <t>I6177</t>
  </si>
  <si>
    <t>GRAMPO DE SUSTENTAÇÃO DLP</t>
  </si>
  <si>
    <t>I7464</t>
  </si>
  <si>
    <t>GRAVADOR DE VÍDEO, TIPO TIME HOPSE, 960 HORAS</t>
  </si>
  <si>
    <t>I7380</t>
  </si>
  <si>
    <t>HASTE DE ATERRAMENTO 5/8" x 3,00m GCW 19L30 BURDY</t>
  </si>
  <si>
    <t>I2352</t>
  </si>
  <si>
    <t>HASTE DE ATERRAMENTO COPERWELD 5/8" x 2.40M</t>
  </si>
  <si>
    <t>I1243</t>
  </si>
  <si>
    <t>HASTE DE ATERRAMENTO COPPERWELD 3/4'' x 3M</t>
  </si>
  <si>
    <t>I1244</t>
  </si>
  <si>
    <t>HASTE DE ATERRAMENTO COPPERWELD DE 3/4'' x 2.40M</t>
  </si>
  <si>
    <t>I6824</t>
  </si>
  <si>
    <t>I1253</t>
  </si>
  <si>
    <t>INTERRUPTOR 1 TECLA PARALELO</t>
  </si>
  <si>
    <t>I1254</t>
  </si>
  <si>
    <t>INTERRUPTOR 1 TECLA PARALELO 1 TOMADA 2POLOS UNIV.</t>
  </si>
  <si>
    <t>I1252</t>
  </si>
  <si>
    <t>INTERRUPTOR 1 TECLA PARALELO BIPOLAR</t>
  </si>
  <si>
    <t>I1255</t>
  </si>
  <si>
    <t>INTERRUPTOR 1 TECLA SIMPLES</t>
  </si>
  <si>
    <t>I1256</t>
  </si>
  <si>
    <t>INTERRUPTOR 1 TECLA SIMPLES 1 CAMPAINHA</t>
  </si>
  <si>
    <t>I1257</t>
  </si>
  <si>
    <t>INTERRUPTOR 1 TECLA SIMPLES 1 PARALELO</t>
  </si>
  <si>
    <t>I1258</t>
  </si>
  <si>
    <t>INTERRUPTOR 1 TECLA SIMPLES 1 PARALELO 1TOM. 2POLO</t>
  </si>
  <si>
    <t>I1259</t>
  </si>
  <si>
    <t>INTERRUPTOR 1 TECLA SIMPLES 1 TOMADA 2POLOS UNIV.</t>
  </si>
  <si>
    <t>I1260</t>
  </si>
  <si>
    <t>INTERRUPTOR 1 TECLA SIMPLES 2 PARALELO</t>
  </si>
  <si>
    <t>I1261</t>
  </si>
  <si>
    <t>INTERRUPTOR 2 TECLAS PARALELO</t>
  </si>
  <si>
    <t>I1262</t>
  </si>
  <si>
    <t>INTERRUPTOR 2 TECLAS PARALELO 1 TOMADA 2POLOS</t>
  </si>
  <si>
    <t>I1263</t>
  </si>
  <si>
    <t>INTERRUPTOR 2 TECLAS SIMPLES</t>
  </si>
  <si>
    <t>I1264</t>
  </si>
  <si>
    <t>INTERRUPTOR 2 TECLAS SIMPLES 1 PARALELO</t>
  </si>
  <si>
    <t>I1265</t>
  </si>
  <si>
    <t>INTERRUPTOR 2 TECLAS SIMPLES 1TOMADA 2POLOS</t>
  </si>
  <si>
    <t>I1266</t>
  </si>
  <si>
    <t>INTERRUPTOR 3 TECLAS PARALELOS</t>
  </si>
  <si>
    <t>I1267</t>
  </si>
  <si>
    <t>INTERRUPTOR 3 TECLAS SIMPLES</t>
  </si>
  <si>
    <t>I2357</t>
  </si>
  <si>
    <t>INTERRUPTOR DE SOBREPOR 1 SEÇÃO</t>
  </si>
  <si>
    <t>I1268</t>
  </si>
  <si>
    <t>I1269</t>
  </si>
  <si>
    <t>INTERRUPTOR PULSADOR CAMPAINHA</t>
  </si>
  <si>
    <t>I1270</t>
  </si>
  <si>
    <t>I7415</t>
  </si>
  <si>
    <t>ISOLADOR EPÓXI 1kV - 25mm</t>
  </si>
  <si>
    <t>I1272</t>
  </si>
  <si>
    <t>ISOLADOR PORCELANA TIPO DISCO 175MM DE VIDRO</t>
  </si>
  <si>
    <t>I1271</t>
  </si>
  <si>
    <t>ISOLADOR PORCELANA TIPO PEDESTAL CLASSE 15KV</t>
  </si>
  <si>
    <t>I9067</t>
  </si>
  <si>
    <t>ISOLADOR PORCELANA TIPO PINO PARA DISTRIBUIÇÃO 15KV</t>
  </si>
  <si>
    <t>I0300</t>
  </si>
  <si>
    <t>ISOLADOR TIPO BUCHA PASSAGEM INTERNA/EXTERNA PORCEL. 15KV</t>
  </si>
  <si>
    <t>I7394</t>
  </si>
  <si>
    <t>JUNTA DE BORRACHA TAMANHO GRANDE</t>
  </si>
  <si>
    <t>I7397</t>
  </si>
  <si>
    <t>I6191</t>
  </si>
  <si>
    <t>KIT P/ TERMINAL TERMOCONTRÁTIL P/ CABO 8,7 - 15 kV - Ø 240 mm²</t>
  </si>
  <si>
    <t>I6199</t>
  </si>
  <si>
    <t>KIT P/ TERMINAL TERMOCONTRÁTIL P/ CABO 8,7 - 15 kV - Ø 25 mm²</t>
  </si>
  <si>
    <t>I6180</t>
  </si>
  <si>
    <t>KIT P/ TERMINAL TERMOCONTRÁTIL P/ CABO 8,7 - 15 kV - Ø 35 mm²</t>
  </si>
  <si>
    <t>I6200</t>
  </si>
  <si>
    <t>KIT P/ TERMINAL TERMOCONTRÁTIL P/ CABO 8,7 - 15 kV - Ø 50 mm²</t>
  </si>
  <si>
    <t>I6181</t>
  </si>
  <si>
    <t>KIT P/ TERMINAL TERMOCONTRÁTIL P/ CABO 8,7 - 15 kV - Ø 70 mm²</t>
  </si>
  <si>
    <t>I1354</t>
  </si>
  <si>
    <t>LUMINARIA A PROVA DE TEMPO, VAPOR, ETC</t>
  </si>
  <si>
    <t>I6697</t>
  </si>
  <si>
    <t>LUMINARIA ALTO RENDIMENTO, CORPO EM ALUMINIO FUNDIDO MOD. TP-295 VP-40 FAB.TROPICO OU SUMILAR</t>
  </si>
  <si>
    <t>I6698</t>
  </si>
  <si>
    <t>LUMINARIA DECORATIVA, CORPO EM ALUMINIO FUNDIDO MOD.TPD-288 VP-40 FAB.TROPICO OU SUMILAR</t>
  </si>
  <si>
    <t>I1358</t>
  </si>
  <si>
    <t>LUMINARIA FECHADA C/ LENTE DE VIDRO</t>
  </si>
  <si>
    <t>I2371</t>
  </si>
  <si>
    <t>LUMINARIA FECHADA DO TIPO INCORPA LP 14/2</t>
  </si>
  <si>
    <t>I1359</t>
  </si>
  <si>
    <t>LUMINARIA FECHADA P/MURO C/LAMPADA,TIPO"TROPICOS"</t>
  </si>
  <si>
    <t>I1360</t>
  </si>
  <si>
    <t>LUMINARIA FLUOR. 1X20W COMPLETA C/ LAMPADA</t>
  </si>
  <si>
    <t>I1361</t>
  </si>
  <si>
    <t>LUMINARIA FLUOR. 1X40W COMPLETA C/ LAMPADA</t>
  </si>
  <si>
    <t>I1362</t>
  </si>
  <si>
    <t>LUMINARIA FLUOR. 3X40 W COMPLETA C/ LAMPADA</t>
  </si>
  <si>
    <t>I1363</t>
  </si>
  <si>
    <t>LUMINARIA FLUORESCENTE 2X20W COMPLETA COM LAMPADA</t>
  </si>
  <si>
    <t>I1364</t>
  </si>
  <si>
    <t>LUMINARIA FLUORESCENTE 2X40W COMPLETA COM LAMPADA</t>
  </si>
  <si>
    <t>I1365</t>
  </si>
  <si>
    <t>LUMINARIA FLUORESCENTE 2X65W COMPLETA COM LAMPADA</t>
  </si>
  <si>
    <t>I1366</t>
  </si>
  <si>
    <t>LUMINARIA FLUORESCENTE 4X20W COMPLETA COM LAMPADA</t>
  </si>
  <si>
    <t>I1367</t>
  </si>
  <si>
    <t>LUMINARIA FLUORESCENTE 4X40W COMPLETA COM LAMPADA</t>
  </si>
  <si>
    <t>I1368</t>
  </si>
  <si>
    <t>LUMINARIA FLUORESCENTE COMPLETA ( 1 X 16 )W</t>
  </si>
  <si>
    <t>I1369</t>
  </si>
  <si>
    <t>LUMINARIA FLUORESCENTE COMPLETA ( 1 X 32 )W</t>
  </si>
  <si>
    <t>I1370</t>
  </si>
  <si>
    <t>LUMINARIA FLUORESCENTE COMPLETA ( 2 X 16 )W</t>
  </si>
  <si>
    <t>I1371</t>
  </si>
  <si>
    <t>LUMINARIA FLUORESCENTE COMPLETA ( 2 X 32 )W</t>
  </si>
  <si>
    <t>I1372</t>
  </si>
  <si>
    <t>LUMINARIA FLUORESCENTE COMPLETA ( 4 X 16 )W</t>
  </si>
  <si>
    <t>I1373</t>
  </si>
  <si>
    <t>LUMINARIA FLUORESCENTE COMPLETA ( 4 X 32 )W</t>
  </si>
  <si>
    <t>I1374</t>
  </si>
  <si>
    <t>LUMINARIA PAREDE, TIPO ARANDELA</t>
  </si>
  <si>
    <t>I1353</t>
  </si>
  <si>
    <t>LUMINARIA REFLETORA C/LAMP. DICROICA 50W</t>
  </si>
  <si>
    <t>I1352</t>
  </si>
  <si>
    <t>LUMINARIA REFLETORA C/LAMP. DICROICA 75W</t>
  </si>
  <si>
    <t>I1376</t>
  </si>
  <si>
    <t>LUMINARIA REFLETORA SIMPLES COM VIDRO</t>
  </si>
  <si>
    <t>I1377</t>
  </si>
  <si>
    <t>LUMINARIA SPOT DIRECIONAL C/BRACO</t>
  </si>
  <si>
    <t>I1378</t>
  </si>
  <si>
    <t xml:space="preserve">LUMINARIA TIPO GLOBO DE VIDRO, COM BASE, SEM LÂMPADA
</t>
  </si>
  <si>
    <t>I1379</t>
  </si>
  <si>
    <t xml:space="preserve">LUMINARIA TIPO GLOBO PLASTICO, COM BASE, SEM LÂMPADA
</t>
  </si>
  <si>
    <t>I1380</t>
  </si>
  <si>
    <t>LUMINARIA TIPO SPOT SIMPLES</t>
  </si>
  <si>
    <t>I7932</t>
  </si>
  <si>
    <t>I7921</t>
  </si>
  <si>
    <t>LUMINÁRIA CILÍNDRICA DE EMBUTIR COM ANEL DE ARREMATE EM ALUMÍNIO ANODIZADO E PINTADO POR PROCESSO ELETROSTÁTICO COM REFLETOR EM ALUMÍNIO ANODIZADO ALTO BRILHO COM CONTROLE ANTIOFUSCAMENTO PARA LÂMPADA FLUORESCENTE COMPACTA DE 23W</t>
  </si>
  <si>
    <t>I9114</t>
  </si>
  <si>
    <t>LUMINÁRIA CILÍNDRICA DE EMBUTIR COM CORPO EM CHAPA DE AÇO FOSFATIZADA E PINTADA ELETROSTATICAMENTE E REFLETOR REPUXADO EM ALUMÍNIO ANODIZADO, COM VIDRO JATEADO CENTRAL PARA DUAS LÂMPADAS FLUORESCENTES COMPACTAS 20W, COMPLETA</t>
  </si>
  <si>
    <t>I9128</t>
  </si>
  <si>
    <t>LUMINÁRIA CILÍNDRICA DE EMBUTIR COM CORPO EM CHAPA DE AÇO FOSFATIZADA E PINTADA ELETROSTÁTICAMENTE E REFLETOR REPUXADO EM ALUMÍNIO ANODIZADO, COM VIDRO JATEADO CENTRAL PARA UMA LÂMPADA FLUORESCENTE COMPACTA 20W, COMPLETA</t>
  </si>
  <si>
    <t>I9424</t>
  </si>
  <si>
    <t>I9115</t>
  </si>
  <si>
    <t>LUMINÁRIA CILÍNDRICA DE SOBREPOR COM CORPO EM CHAPA DE AÇO FOSFATIZADA E PINTADA ELETROSTATICAMENTE E REFLETOR REPUXADO EM ALUMÍNIO ANODIZADO, COM VIDRO JATEADO CENTRAL PARA DUAS LÂMPADAS FLUORESCENTES COMPACTAS 20W, COMPLETA</t>
  </si>
  <si>
    <t>I9425</t>
  </si>
  <si>
    <t>LUMINÁRIA CILÍNDRICA DE SOBREPOR COM SOQUETE E-27, ANEL DE ARREMATE EM ALUMÍNIO ANODIZADO E PINTADO POR PROCESSO ELETROSTÁTICO, COM REFLETOR EM ALUMÍNIO ANODIZADO ALTO BRILHO, CONTROLE ANTIOFUSCAMENTO E LÂMPADA FLUORESCENTE ELETRÔNICA COMPACTA 1 X 15W - COMPLETA</t>
  </si>
  <si>
    <t>I7930</t>
  </si>
  <si>
    <t>I9112</t>
  </si>
  <si>
    <t>I7922</t>
  </si>
  <si>
    <t>I7923</t>
  </si>
  <si>
    <t>I9423</t>
  </si>
  <si>
    <t>I8394</t>
  </si>
  <si>
    <t>I8353</t>
  </si>
  <si>
    <t>LUMINÁRIA DE EMBUTIR EM TETO, CIRCULAR, CORPO EM ALUM. ANOD. C/ LÂMPADA HQI DE 70W</t>
  </si>
  <si>
    <t>I9110</t>
  </si>
  <si>
    <t>I9111</t>
  </si>
  <si>
    <t>I9124</t>
  </si>
  <si>
    <t>I9119</t>
  </si>
  <si>
    <t xml:space="preserve">LUMINÁRIA DE EMBUTIR/SOBREPOR RETANGULAR  CORPO EM CHAPA DE AÇO, PINTURA  EPÓXI BRANCA COM REFLETOR EM ALUMÍNIO ESPELHO, PARA 2 LED'S TUBULAR T5 DE 10W, TONALIDADE 5000K, COR BRANCA, GRAU DE PROTEÇÃO IP20 E 1 LED DRIVER - COMPLETA
</t>
  </si>
  <si>
    <t>I9118</t>
  </si>
  <si>
    <t>I8246</t>
  </si>
  <si>
    <t>I8350</t>
  </si>
  <si>
    <t>LUMINÁRIA DE PISO MÓVEL, CORPO EM ALUMÍNIO, REFLETOR EM ALUM. ANOD. C/ PROTETOR DE VIDRO EM GRADE DE ALUMÍNIO</t>
  </si>
  <si>
    <t>I9113</t>
  </si>
  <si>
    <t>LUMINÁRIA DE SOBREPOR COM CORPO EM CHAPA DE AÇO TRATADA E PINTADA NA COR BRANCA, REFLETOR C/ ACABAMENTO ESPECULAR DE ALTO BRILHO, C/ DUAS LÃMPADAS FLUORESCENTES TUBULARES T8 DE 16W, REATOR ELETRÔNICO P/2X16W, FP DO CJ. 33W E FATOR DE POTÊNCIA 0,98, COMPLETA</t>
  </si>
  <si>
    <t>I9426</t>
  </si>
  <si>
    <t>I10273</t>
  </si>
  <si>
    <t>LUMINÁRIA DE SOBREPOR EM CHAPA DE AÇO TRATADA E PINTADA COR BRANCO, SEM ALETAS, REFLETOR DE ALTO BRILHO P/ DUAS LÂMPADAS FLUORESCENTES DE 32W</t>
  </si>
  <si>
    <t>I9117</t>
  </si>
  <si>
    <t>LUMINÁRIA DE SOBREPOR RETANGULAR EM PA(POLYAMIDE) COM REFLETOR EM PMMA OPTICO PARA 2 LED'S TUBULARES T5 DE 20W, TONALIDADE 5000K, COR BRANCA, GRAU DE PROTEÇÃO IP20 E 1 LED DRIVER - COMPLETA</t>
  </si>
  <si>
    <t>I7399</t>
  </si>
  <si>
    <t>I9427</t>
  </si>
  <si>
    <t>I9121</t>
  </si>
  <si>
    <t>LUMINÁRIA PENDENTE EM LED, CORPO EM ALUMÍNIO POTÊNCIA, MÍNIMA 200W E MÁXIMA 210W</t>
  </si>
  <si>
    <t>I9120</t>
  </si>
  <si>
    <t>I9453</t>
  </si>
  <si>
    <t>I7929</t>
  </si>
  <si>
    <t>LUMINÁRIA QUADRADA EMBUTIDA NA PAREDE PARA LÂMPADA FLUORESCENTE COMPACTA 2X26W EM ALUMÍNIO FUNDIDO E PINTADO POR PROCESSO ELETROSTÁTICO COM REFLETOR EM ALUMÍNIO ANODIZADO ALTO BRILHO E DIFUSOR EM VIDRO TRANSPARENTE PRISMÁTICO</t>
  </si>
  <si>
    <t>I9454</t>
  </si>
  <si>
    <t>LUMINÁRIA TIPO BALIZADOR DE EMBUTIR COM SOQUETE E-27 PARA LÂMPADA FLOURESCENTE ELETRÔNICA COMPACTA DEC 9W</t>
  </si>
  <si>
    <t>I6793</t>
  </si>
  <si>
    <t>LUMINÁRIA TIPO PÉTALA FAB.REEME REF.: ZE-157 OU SIMILAR</t>
  </si>
  <si>
    <t>I1404</t>
  </si>
  <si>
    <t>LUVA DE PVC RIGIDO PARA ELETRODUTO 1 1/2''</t>
  </si>
  <si>
    <t>I1405</t>
  </si>
  <si>
    <t>LUVA DE PVC RIGIDO PARA ELETRODUTO 1 1/4''</t>
  </si>
  <si>
    <t>I1406</t>
  </si>
  <si>
    <t>LUVA DE PVC RIGIDO PARA ELETRODUTO 1''</t>
  </si>
  <si>
    <t>I1407</t>
  </si>
  <si>
    <t>LUVA DE PVC RIGIDO PARA ELETRODUTO 1/2''</t>
  </si>
  <si>
    <t>I1408</t>
  </si>
  <si>
    <t>LUVA DE PVC RIGIDO PARA ELETRODUTO 2''</t>
  </si>
  <si>
    <t>I1409</t>
  </si>
  <si>
    <t>LUVA DE PVC RIGIDO PARA ELETRODUTO 3/4''</t>
  </si>
  <si>
    <t>I1401</t>
  </si>
  <si>
    <t>LUVA DE PVC RÍGIDO PARA ELETRODUTO 2 1/2''</t>
  </si>
  <si>
    <t>I1402</t>
  </si>
  <si>
    <t>LUVA DE PVC RÍGIDO PARA ELETRODUTO 3"</t>
  </si>
  <si>
    <t>I1403</t>
  </si>
  <si>
    <t>LUVA DE PVC RÍGIDO PARA ELETRODUTO 4"</t>
  </si>
  <si>
    <t>I6176</t>
  </si>
  <si>
    <t>I7388</t>
  </si>
  <si>
    <t>I7389</t>
  </si>
  <si>
    <t>I9452</t>
  </si>
  <si>
    <t>LÂMPADA ELETRÔNICA FLUORESCENTE COMPACTA ATÉ 15W</t>
  </si>
  <si>
    <t>I7924</t>
  </si>
  <si>
    <t>LÂMPADA FLUORESCENTE 32W/3000K MAIS REATOR ELETRÔNICO FIXADOS SOBRE LANÇA</t>
  </si>
  <si>
    <t>I1463</t>
  </si>
  <si>
    <t>LÂMPADA FLUORESCENTE DE 16W</t>
  </si>
  <si>
    <t>I1464</t>
  </si>
  <si>
    <t>LÂMPADA FLUORESCENTE DE 32W</t>
  </si>
  <si>
    <t>I1467</t>
  </si>
  <si>
    <t>LÂMPADA FLUORESCENTE PL -  9W</t>
  </si>
  <si>
    <t>I1465</t>
  </si>
  <si>
    <t>LÂMPADA FLUORESCENTE PL - 13W</t>
  </si>
  <si>
    <t>I1466</t>
  </si>
  <si>
    <t>LÂMPADA FLUORESCENTE PL - 15W</t>
  </si>
  <si>
    <t>I1468</t>
  </si>
  <si>
    <t>LÂMPADA FLUORESCENTE PL - 18W</t>
  </si>
  <si>
    <t>I1470</t>
  </si>
  <si>
    <t>LÂMPADA HALOGENA, DUPLO ENVELOPE DE 500W</t>
  </si>
  <si>
    <t>I2373</t>
  </si>
  <si>
    <t>LÂMPADA INCANDECENTE DE 100W</t>
  </si>
  <si>
    <t>I1471</t>
  </si>
  <si>
    <t>LÂMPADA INCANDESCENTE DE  25 ATÉ 100W</t>
  </si>
  <si>
    <t>I1472</t>
  </si>
  <si>
    <t>LÂMPADA INCANDESCENTE DE  60W</t>
  </si>
  <si>
    <t>I1474</t>
  </si>
  <si>
    <t>LÂMPADA MISTA DE 160W</t>
  </si>
  <si>
    <t>I1473</t>
  </si>
  <si>
    <t>LÂMPADA MISTA DE 500W</t>
  </si>
  <si>
    <t>I1476</t>
  </si>
  <si>
    <t>LÂMPADA SINALIZADORAS ATE 5W</t>
  </si>
  <si>
    <t>I1477</t>
  </si>
  <si>
    <t>LÂMPADA VAPOR DE MERCURIO 250W/220V</t>
  </si>
  <si>
    <t>I1478</t>
  </si>
  <si>
    <t>LÂMPADA VAPOR DE MERCURIO 400W/220V</t>
  </si>
  <si>
    <t>I1481</t>
  </si>
  <si>
    <t>LÂMPADA VAPOR DE SÓDIO  70W</t>
  </si>
  <si>
    <t>I1479</t>
  </si>
  <si>
    <t>LÂMPADA VAPOR DE SÓDIO 220W</t>
  </si>
  <si>
    <t>I1480</t>
  </si>
  <si>
    <t>LÂMPADA VAPOR DE SÓDIO 360W</t>
  </si>
  <si>
    <t>I8351</t>
  </si>
  <si>
    <t>LÂMPADA VAPOR METÁLICO DE   70W/220V</t>
  </si>
  <si>
    <t>I1484</t>
  </si>
  <si>
    <t>LÂMPADA VAPOR METÁLICO DE  150W/220V</t>
  </si>
  <si>
    <t>I1486</t>
  </si>
  <si>
    <t>LÂMPADA VAPOR METÁLICO DE  250W/220V</t>
  </si>
  <si>
    <t>I1487</t>
  </si>
  <si>
    <t>LÂMPADA VAPOR METÁLICO DE  400W/220V</t>
  </si>
  <si>
    <t>I1483</t>
  </si>
  <si>
    <t>LÂMPADA VAPOR METÁLICO DE 1000W/220V</t>
  </si>
  <si>
    <t>I1485</t>
  </si>
  <si>
    <t>LÂMPADA VAPOR METÁLICO DE 2000W/220V</t>
  </si>
  <si>
    <t>I2379</t>
  </si>
  <si>
    <t>MINI POSTE F.G. 1 1/14" C/2.00M E REX MONOFASICO</t>
  </si>
  <si>
    <t>I7503</t>
  </si>
  <si>
    <t>MODULAR CARD SLOT FILLER FOR PLC MOD. 1746 - N2 AB</t>
  </si>
  <si>
    <t>I7462</t>
  </si>
  <si>
    <t>MONITOR INDUSTRIAL DE VÍDEO COLORIDO, DIGITAL, TELA 19", PORTA PARALELA</t>
  </si>
  <si>
    <t>I7463</t>
  </si>
  <si>
    <t>MONITOR INDUSTRIAL DE VÍDEO COLORIDO, VÍDEO COMPOSTO, 2 CANAIS DE ENTRADA E 1 DE SAÍDA, DIMENSÕES 14"</t>
  </si>
  <si>
    <t>I1535</t>
  </si>
  <si>
    <t>MUFLA INTERNA/EXTERNA 15KV</t>
  </si>
  <si>
    <t>I9414</t>
  </si>
  <si>
    <t>MÓDULO  RJ45, 8 FIOS, CAT. 6E</t>
  </si>
  <si>
    <t>I6368</t>
  </si>
  <si>
    <t>MÓDULO DE CONTROLE DE SIRENE</t>
  </si>
  <si>
    <t>I8441</t>
  </si>
  <si>
    <t>MÓDULO DE EMERGÊNCIA PARA LUMINÁRIA COMUM - FORNECIMENTO E INSTALAÇÃO</t>
  </si>
  <si>
    <t>I6369</t>
  </si>
  <si>
    <t>MÓDULO DE SINALIZAÇÃO DE DETECTORES</t>
  </si>
  <si>
    <t>I7506</t>
  </si>
  <si>
    <t>NET CONVERTER USB/DH 485 MODULAR, MOD. 1747 - UIC</t>
  </si>
  <si>
    <t>I7432</t>
  </si>
  <si>
    <t>NO-BREAK 3Ø, 380/380 VAC-LL, 60 Hz, 2000VA, BATERIAS INCORPORADAS, AUTO-PORTANTE EM GABINETE IP-44</t>
  </si>
  <si>
    <t>I2383</t>
  </si>
  <si>
    <t>NOFUSE DE 70 A.</t>
  </si>
  <si>
    <t>I6794</t>
  </si>
  <si>
    <t>NÚCLEO P/01 LUMINÁRIA   FAB. REEME REF.:ZE-157 OU SIMILAR</t>
  </si>
  <si>
    <t>I6797</t>
  </si>
  <si>
    <t>NÚCLEO P/02 LUMINÁRIAS FAB. REEME REF.:ZE-157 OU SIMILAR</t>
  </si>
  <si>
    <t>I6798</t>
  </si>
  <si>
    <t>NÚCLEO P/03 LUMINÁRIAS FAB. REEME REF.:ZE-157 OU SIMILAR</t>
  </si>
  <si>
    <t>I6799</t>
  </si>
  <si>
    <t>NÚCLEO P/04 LUMINÁRIAS FAB. REEME REF.:ZE-157 OU SIMILAR</t>
  </si>
  <si>
    <t>I1549</t>
  </si>
  <si>
    <t>OLHAL PARA PARAFUSO DE 5/8''</t>
  </si>
  <si>
    <t>I8448</t>
  </si>
  <si>
    <t>I6197</t>
  </si>
  <si>
    <t>PAINEL DE CORRENTE CONTÍNUA 125VCC</t>
  </si>
  <si>
    <t>I1563</t>
  </si>
  <si>
    <t>PARA-RAIOS TIPO CRISTAL VALVER</t>
  </si>
  <si>
    <t>I1564</t>
  </si>
  <si>
    <t>PARA-RAIOS TIPO VALVULA - 15KV</t>
  </si>
  <si>
    <t>I7411</t>
  </si>
  <si>
    <t>PARAFUSO DE AJUSTE 16A</t>
  </si>
  <si>
    <t>I7395</t>
  </si>
  <si>
    <t>PARAFUSO EM AÇO INOX 3/8" x 3/4" ROSCA 16NC-2</t>
  </si>
  <si>
    <t>I8361</t>
  </si>
  <si>
    <t>PATCH CABLE EXTRA-FLEXÍVEL RJ-45/RJ-45 - 2,50m</t>
  </si>
  <si>
    <t>I6834</t>
  </si>
  <si>
    <t>I8367</t>
  </si>
  <si>
    <t>I10269</t>
  </si>
  <si>
    <t>I10270</t>
  </si>
  <si>
    <t>I1638</t>
  </si>
  <si>
    <t>PETROLET ALUMÍNIO DE  1/2", TIPO T- X - L</t>
  </si>
  <si>
    <t>I1642</t>
  </si>
  <si>
    <t>PETROLET ALUMÍNIO DE  3/4", TIPO T- X - L</t>
  </si>
  <si>
    <t>I1635</t>
  </si>
  <si>
    <t>PETROLET ALUMÍNIO DE 1 1/2", TIPO T- X - L</t>
  </si>
  <si>
    <t>I1636</t>
  </si>
  <si>
    <t>PETROLET ALUMÍNIO DE 1 1/4", TIPO T- X- L</t>
  </si>
  <si>
    <t>I1637</t>
  </si>
  <si>
    <t>PETROLET ALUMÍNIO DE 1", TIPO T- X- L</t>
  </si>
  <si>
    <t>I1639</t>
  </si>
  <si>
    <t>PETROLET ALUMÍNIO DE 2 1/2", TIPO T- X - L</t>
  </si>
  <si>
    <t>I1634</t>
  </si>
  <si>
    <t>PETROLET ALUMÍNIO DE 2", TIPO T- X - L</t>
  </si>
  <si>
    <t>I1640</t>
  </si>
  <si>
    <t>PETROLET ALUMÍNIO DE 3 1/2", TIPO T- X - L</t>
  </si>
  <si>
    <t>I1641</t>
  </si>
  <si>
    <t>PETROLET ALUMÍNIO DE 3", TIPO T- X - L</t>
  </si>
  <si>
    <t>I1643</t>
  </si>
  <si>
    <t>PETROLET ALUMÍNIO DE 4", TIPO T- X - L</t>
  </si>
  <si>
    <t>I1664</t>
  </si>
  <si>
    <t>PLACA 30X20CM 'NÃO MANOBRAR CHAVE EM CARGA'</t>
  </si>
  <si>
    <t>I1665</t>
  </si>
  <si>
    <t>PLACA 30X20CM 'PERIGO DE MORTE - AT'</t>
  </si>
  <si>
    <t>I10272</t>
  </si>
  <si>
    <t>PLACA E SUPORTE 4" X 2" PARA TOMADA RJ45 CAT. 6 - PARA 2 MÓDULOS</t>
  </si>
  <si>
    <t>I6699</t>
  </si>
  <si>
    <t>PLACA EM CHAPA GALV. C/ESTRUT. INT. METALON, PINT.ESMALTE SINT. E IMPRESSÃO EM VINIL 02 FACES</t>
  </si>
  <si>
    <t>I7393</t>
  </si>
  <si>
    <t>I9413</t>
  </si>
  <si>
    <t xml:space="preserve">PLACA/TAMPA PARA 2 TOMADAS DE PISO 4"X4" EM INOX OU LATÃO
</t>
  </si>
  <si>
    <t>I9412</t>
  </si>
  <si>
    <t>PLACA/TAMPA PARA TOMADA DE PISO 4"X2" EM INOX OU LATÃO</t>
  </si>
  <si>
    <t>I1674</t>
  </si>
  <si>
    <t>PLAFONIER COM GLOBO LEITOSO 9'X4' TIPO BRASIL</t>
  </si>
  <si>
    <t>I7413</t>
  </si>
  <si>
    <t>PLAQUETA DE IDENTIFICAÇÀO ALUM. 2,5x5,0</t>
  </si>
  <si>
    <t>I1683</t>
  </si>
  <si>
    <t>PLUG TRIPOLAR ( 3P+T ) - 32A / 380V</t>
  </si>
  <si>
    <t>I1688</t>
  </si>
  <si>
    <t>PONTA PLÁSTICA</t>
  </si>
  <si>
    <t>I1692</t>
  </si>
  <si>
    <t>PONTE DE CRUZAMENTO EM CAIXAS DERIVAÇÃO/LIGACÃO</t>
  </si>
  <si>
    <t>I1718</t>
  </si>
  <si>
    <t>POSTE DE ACO - 6MX4 1/2'</t>
  </si>
  <si>
    <t>I1721</t>
  </si>
  <si>
    <t>POSTE DE FERRO, H= 2,80M C/GLOBO DE VIDRO</t>
  </si>
  <si>
    <t>I6694</t>
  </si>
  <si>
    <t>POSTE METALICO CONICO RETO H=10.0m,  MOD. LP-531.B/100.GJ  - FAB.TROPICO OU SIMILAR</t>
  </si>
  <si>
    <t>I6696</t>
  </si>
  <si>
    <t>POSTE METALICO DECORATIVO H=4.0m , MOD. LP-588.B/140.GJ - FAB.TROPICO OU SIMILAR</t>
  </si>
  <si>
    <t>I7504</t>
  </si>
  <si>
    <t>POWER SUPLLY RACK MOUNT, 5 AMP FOR MODULAR PLC MOD. 1746 - P4 AB</t>
  </si>
  <si>
    <t>I7936</t>
  </si>
  <si>
    <t>PROJETOR EM ALUMÍNIO POLIDO COM REFLETOR EM ALUMÍNIO ANODIZADO E DIFUSOR EM VIDRO PLANO TEMPERADO TRANSPARENTE DIÂMETRO= 40CM PARA LÂMPADA VAPOR METÁLICO 400W MAIS REATOR E IGNITOR</t>
  </si>
  <si>
    <t>I9486</t>
  </si>
  <si>
    <t>PROJETOR EM ALUMÍNIO, LONGO ALCANCE, P/LÂMPADA ATÉ 125W</t>
  </si>
  <si>
    <t>I9487</t>
  </si>
  <si>
    <t>PROJETOR EM ALUMÍNIO, LONGO ALCANCE, P/LÂMPADA DE 150W ATÉ 400W</t>
  </si>
  <si>
    <t>I9485</t>
  </si>
  <si>
    <t>PROJETOR EM ALUMÍNIO, LONGO ALCANCE, P/LÂMPADA DE 500W ATÉ 1.000W</t>
  </si>
  <si>
    <t>I7933</t>
  </si>
  <si>
    <t>PROJETOR EMBUTIDO NO FORRO EM CHAPA DE AÇO PINTADA COM REFLETOR DE ALUMÍNIO ANODIZADO ALTO BRILHO E DIFUSOR EM VIDRO TRANSPARENTE TEMPERADO PARA LÂMPADA VAPOR METÁLICO 400W MAIS REATOR E IGNITOR</t>
  </si>
  <si>
    <t>I1738</t>
  </si>
  <si>
    <t>PROJETOR EXTERNO COM ÂNGULO ELEV REGULÁVEL P/LÂMPADA ATÉ 400W</t>
  </si>
  <si>
    <t>I9484</t>
  </si>
  <si>
    <t>PROJETOR EXTERNO COM ÂNGULO ELEV REGULÁVEL P/LÂMPADA DE 500W ATÉ 1.000W</t>
  </si>
  <si>
    <t>I9125</t>
  </si>
  <si>
    <t>I2412</t>
  </si>
  <si>
    <t>QUADRO DE DISTRIBUIÇÃO PARA 6 CIRCUITOS</t>
  </si>
  <si>
    <t>I1747</t>
  </si>
  <si>
    <t>QUADRO DE DISTRIBUIÇÃO SOBREPOR ATÉ 6 DIVISÕES</t>
  </si>
  <si>
    <t>I1751</t>
  </si>
  <si>
    <t>QUADRO DE FORÇA  (0,90 X 1,90 X 0,60)M</t>
  </si>
  <si>
    <t>I1752</t>
  </si>
  <si>
    <t>QUADRO DE FORÇA  (1,80 X 1,90 X 0,60)M</t>
  </si>
  <si>
    <t>I2413</t>
  </si>
  <si>
    <t>QUADRO DE MEDIÇÃO TRIFASICA EM POSTE</t>
  </si>
  <si>
    <t>I1753</t>
  </si>
  <si>
    <t>QUADRO DISTRIBUIÇÃO EMBUTIR, C/3 DIVISÕES</t>
  </si>
  <si>
    <t>I1754</t>
  </si>
  <si>
    <t>QUADRO DISTRIBUIÇÃO LUZ 207X332X95MM</t>
  </si>
  <si>
    <t>I1755</t>
  </si>
  <si>
    <t>QUADRO DISTRIBUIÇÃO LUZ 255X315X135MM</t>
  </si>
  <si>
    <t>I1756</t>
  </si>
  <si>
    <t>QUADRO DISTRIBUIÇÃO LUZ 332X332X95MM</t>
  </si>
  <si>
    <t>I1757</t>
  </si>
  <si>
    <t>QUADRO DISTRIBUIÇÃO LUZ 450X315X135MM</t>
  </si>
  <si>
    <t>I1758</t>
  </si>
  <si>
    <t>QUADRO DISTRIBUIÇÃO LUZ 457X332X95MM</t>
  </si>
  <si>
    <t>I1760</t>
  </si>
  <si>
    <t>QUADRO DISTRIBUIÇÃO LUZ 457X646X150MM</t>
  </si>
  <si>
    <t>I1759</t>
  </si>
  <si>
    <t>QUADRO DISTRIBUIÇÃO LUZ 457X646X95MM</t>
  </si>
  <si>
    <t>I1761</t>
  </si>
  <si>
    <t>QUADRO DISTRIBUIÇÃO LUZ 650X440X205MM</t>
  </si>
  <si>
    <t>I1762</t>
  </si>
  <si>
    <t>QUADRO DISTRIBUIÇÃO LUZ 650X875X205MM</t>
  </si>
  <si>
    <t>I1746</t>
  </si>
  <si>
    <t>QUADRO EM CHAPA 'TELEBRAS' 1200X1000X150MM</t>
  </si>
  <si>
    <t>I1748</t>
  </si>
  <si>
    <t>QUADRO EM CHAPA 'TELEBRAS' 1200X1200X150MM</t>
  </si>
  <si>
    <t>I1749</t>
  </si>
  <si>
    <t>QUADRO EM CHAPA 'TELEBRAS' 1200X1500X150MM</t>
  </si>
  <si>
    <t>I1750</t>
  </si>
  <si>
    <t>QUADRO EM CHAPA 'TELEBRAS' 1200X1700X150MM</t>
  </si>
  <si>
    <t>I1763</t>
  </si>
  <si>
    <t>QUADRO EM CHAPA 'TELEBRAS' 200X200X120MM</t>
  </si>
  <si>
    <t>I1764</t>
  </si>
  <si>
    <t>QUADRO EM CHAPA 'TELEBRAS' 400X400X120MM</t>
  </si>
  <si>
    <t>I1765</t>
  </si>
  <si>
    <t>QUADRO EM CHAPA 'TELEBRAS' 600X600X120MM</t>
  </si>
  <si>
    <t>I1766</t>
  </si>
  <si>
    <t>QUADRO EM CHAPA 'TELEBRAS' 800X800X120MM</t>
  </si>
  <si>
    <t>I7477</t>
  </si>
  <si>
    <t>QUADRO METÁLICO (600 x 400 x 400)mm INSTALADO</t>
  </si>
  <si>
    <t>I7383</t>
  </si>
  <si>
    <t>QUADRO METÁLICO 800x1054x360mm INSTALADO</t>
  </si>
  <si>
    <t>I1767</t>
  </si>
  <si>
    <t>QUADRO METÁLICO P/QGBT (1,90 X 0,90 X 0,60)M</t>
  </si>
  <si>
    <t>I1768</t>
  </si>
  <si>
    <t>I1769</t>
  </si>
  <si>
    <t>QUADRO P/MEDIÇÃO PRIMÁRIA 15KV HORO-SAZONAL</t>
  </si>
  <si>
    <t>I6828</t>
  </si>
  <si>
    <t>RACK FECHADO 24 U's, 670mm PROFUNDIDADE PADRÃO 19"</t>
  </si>
  <si>
    <t>I6827</t>
  </si>
  <si>
    <t>RACK FECHADO 36 U's, 670mm PROFUNDIDADE PADRÃO 19"</t>
  </si>
  <si>
    <t>I6826</t>
  </si>
  <si>
    <t>RACK FECHADO 44 U's, 670mm PROFUNDIDADE PADRÃO 19"</t>
  </si>
  <si>
    <t>I8352</t>
  </si>
  <si>
    <t>REATOR / IGNITOR</t>
  </si>
  <si>
    <t>I1779</t>
  </si>
  <si>
    <t>REATOR AFP DUPLO P/LÂMP. FLUORESCENTE</t>
  </si>
  <si>
    <t>I1780</t>
  </si>
  <si>
    <t>REATOR AFP P/ LÂMP. FLORESCENTE</t>
  </si>
  <si>
    <t>I1773</t>
  </si>
  <si>
    <t>REATOR AFP P/ LÂMP. FLUORESCENTE COMPACTA</t>
  </si>
  <si>
    <t>I1781</t>
  </si>
  <si>
    <t>REATOR AFP P/ LÂMP. V. MERCÚRIO  250 W</t>
  </si>
  <si>
    <t>I1775</t>
  </si>
  <si>
    <t>REATOR AFP P/ LÂMP. V. MERCÚRIO  400W</t>
  </si>
  <si>
    <t>I1777</t>
  </si>
  <si>
    <t>REATOR AFP P/ LÂMP. V. METÁLICO 1000W</t>
  </si>
  <si>
    <t>I1776</t>
  </si>
  <si>
    <t>REATOR AFP P/ LÂMP. V. SODIO  70W</t>
  </si>
  <si>
    <t>I1782</t>
  </si>
  <si>
    <t>REATOR AFP P/ LÂMP. V. SÓDIO 360W</t>
  </si>
  <si>
    <t>I9493</t>
  </si>
  <si>
    <t>REATOR AFP P/LÂMP. V.MERCÚRIO 1000W</t>
  </si>
  <si>
    <t>I9474</t>
  </si>
  <si>
    <t>REATOR PARA LÂMPADA VAPOR METÁLICO/VAPOR DE MERCÚRIO, COM CAPACITOR/IGNITOR DE 125 ATÉ 150W</t>
  </si>
  <si>
    <t>I9475</t>
  </si>
  <si>
    <t>REATOR PARA LÂMPADA VAPOR METÁLICO/VAPOR DE MERCÚRIO, COM CAPACITOR/IGNITOR DE 250W</t>
  </si>
  <si>
    <t>I1778</t>
  </si>
  <si>
    <t>REATOR PARA LÂMPADA VAPOR METÁLICO/VAPOR DE MERCÚRIO, COM CAPACITOR/IGNITOR DE 400W</t>
  </si>
  <si>
    <t>I7417</t>
  </si>
  <si>
    <t>RELÉ BIMETÁLICO SOBRECARGA 3UA52 P/ 3TF42/43</t>
  </si>
  <si>
    <t>I8443</t>
  </si>
  <si>
    <t>ROTEADOR AUTO-GERENCIÁVEL P/ COMUNICAÇÃO DE DADOS, PARA FIBRA ÓPTICA MONO-MODO, COM CONECTORES ST - PADRÃO RACK 19" - FORNECIMENTO E INSTALAÇÃO</t>
  </si>
  <si>
    <t>I8449</t>
  </si>
  <si>
    <t>I2419</t>
  </si>
  <si>
    <t>SAL GROSSO PARA ATERRAMENTO</t>
  </si>
  <si>
    <t>I1848</t>
  </si>
  <si>
    <t>SECCIONADOR FUSÍVEL DIAZED 1X25A</t>
  </si>
  <si>
    <t>I1849</t>
  </si>
  <si>
    <t>SECCIONADOR FUSÍVEL DIAZED 1X63A</t>
  </si>
  <si>
    <t>I1850</t>
  </si>
  <si>
    <t>SECCIONADOR FUSÍVEL NH 3X125A</t>
  </si>
  <si>
    <t>I1851</t>
  </si>
  <si>
    <t>SECCIONADOR FUSÍVEL NH 3X250A</t>
  </si>
  <si>
    <t>I1852</t>
  </si>
  <si>
    <t>SECCIONADOR FUSÍVEL NH 3X400A</t>
  </si>
  <si>
    <t>I1853</t>
  </si>
  <si>
    <t>SECCIONADOR FUSÍVEL NH 3X630A</t>
  </si>
  <si>
    <t>I7454</t>
  </si>
  <si>
    <t>SENSOR DE INTRUSÃO MICRO-PROCESSADOR, TIPO MULTIFEIXES, MONTAGEM DE PAREDE, ALIMENTAÇÃO 220 VAC, UMA</t>
  </si>
  <si>
    <t>I7535</t>
  </si>
  <si>
    <t>SENSOR INFRA-VERMELHO ATIVO/PASSIVO FEIXE DUPLO DISTÂNCIA MÁXIMA 100m</t>
  </si>
  <si>
    <t>I1867</t>
  </si>
  <si>
    <t>SINALIZADOR AUDIO-VISUAL, SIRENE BITONAL E STROBO</t>
  </si>
  <si>
    <t>I7407</t>
  </si>
  <si>
    <t>SINALIZADOR DE COMANDO VERMELHO 220V</t>
  </si>
  <si>
    <t>I1868</t>
  </si>
  <si>
    <t>SINALIZADOR ROTATIVO PISCA-PISCA PARA VEICULOS</t>
  </si>
  <si>
    <t>I7931</t>
  </si>
  <si>
    <t>SISTEMA DE ILUMINAÇÃO COM LED BRANCO PARA FIXAÇÃO LATERAL EM LINHA COM DISPERSÃO A 90 GRAUS E SUPORTE DE ALUMÍNIO. ALIMENTAÇÃO POR DRIVER REMOTO EM CC.</t>
  </si>
  <si>
    <t>I7505</t>
  </si>
  <si>
    <t>SLC 5/04 PROGRAMABLE CONTROLLER, 32 K MEMORY, MOD. 1747 - L542 AB</t>
  </si>
  <si>
    <t>I8250</t>
  </si>
  <si>
    <t>SOFTWARE DE GERENCIAMENTO DE PESAGEM</t>
  </si>
  <si>
    <t>I7508</t>
  </si>
  <si>
    <t>SOFTWARE DE PROGRAMAÇÃO DE PLCs RSLOGIX 500, CD</t>
  </si>
  <si>
    <t>I7450</t>
  </si>
  <si>
    <t>SOFTWARE SUPERVISÓRIO RS VIEW 32 VERSÃO RUN TIME 150 WITH GERENCIADOR DE COMUNICAÇÕES RSLINX</t>
  </si>
  <si>
    <t>I2427</t>
  </si>
  <si>
    <t>SOQUETE DE RABICHO SEM CHAVE</t>
  </si>
  <si>
    <t>I7934</t>
  </si>
  <si>
    <t>I6168</t>
  </si>
  <si>
    <t>SUPORTE DE EQUIPAMENTOS</t>
  </si>
  <si>
    <t>I9107</t>
  </si>
  <si>
    <t>SUPORTE DE FIXAÇÃO PARA ESPELHO/PLACA 4"X2" P/ 3 MÓDULOS, INSTALAÇÕES DE TOMADAS E INTERRUPTORES</t>
  </si>
  <si>
    <t>I1910</t>
  </si>
  <si>
    <t>SUPORTE ISOLADOR SIMPLES COM ROLDANA PARA DESCIDA DE ATERRAMENTO DE PARA-RAIO EM EDIFICAÇÕES</t>
  </si>
  <si>
    <t>I1898</t>
  </si>
  <si>
    <t>SUPORTE ISOLADOR SIMPLES COM ROLDANA PARA MASTRO DE PARA-RAIO COM 1 DESCIDA</t>
  </si>
  <si>
    <t>I1904</t>
  </si>
  <si>
    <t>I6695</t>
  </si>
  <si>
    <t>SUPORTE METÁLICO CENTRAL P/LUMINARIA MOD.TPC.295/1" FAB.TROPICO OU SIMILAR</t>
  </si>
  <si>
    <t>I1901</t>
  </si>
  <si>
    <t>SUPORTE P/APAR. C/1 TOMADA 2POLOS E TERRA</t>
  </si>
  <si>
    <t>I1902</t>
  </si>
  <si>
    <t>SUPORTE P/APAR. C/1 TOMADA TELEF.</t>
  </si>
  <si>
    <t>I1903</t>
  </si>
  <si>
    <t>SUPORTE P/APAR. C/2 TOMADAS UNIV. E 2 TELEF.</t>
  </si>
  <si>
    <t>I6370</t>
  </si>
  <si>
    <t>SUPORTES PARA SENSORES ATIVOS C/ DUPLO FEIXE</t>
  </si>
  <si>
    <t>I1921</t>
  </si>
  <si>
    <t>TAMPA CEGA PLASTICA, SISTEMA "X"</t>
  </si>
  <si>
    <t>I1922</t>
  </si>
  <si>
    <t>TAMPA NORMAL P/ DUTO PERFURADO, ATE (100X200)MM</t>
  </si>
  <si>
    <t>I8372</t>
  </si>
  <si>
    <t>TAMPA NORMAL P/ DUTO PERFURADO, ATÉ (100 X 300)MM</t>
  </si>
  <si>
    <t>I1923</t>
  </si>
  <si>
    <t>TAMPA NORMAL P/DUTO PERFURADO,ATE (100X100)MM</t>
  </si>
  <si>
    <t>I1924</t>
  </si>
  <si>
    <t>TAMPA PADRÃO COELCE</t>
  </si>
  <si>
    <t>I7449</t>
  </si>
  <si>
    <t>TERMINAL BLOCK FOR PLC, 16 CHANNEL, MOD. 1746-NRC AB</t>
  </si>
  <si>
    <t>I6160</t>
  </si>
  <si>
    <t>TERMINAL OLHAL PARA CABO DE 1,50mm2  A  2,50mm2</t>
  </si>
  <si>
    <t>I6161</t>
  </si>
  <si>
    <t>TERMINAL OLHAL PARA CABO DE 4,00mm2  A  6,00mm2</t>
  </si>
  <si>
    <t>I2072</t>
  </si>
  <si>
    <t>TERMINAL PARA VERGALHÃO DE COBRE 3/8'</t>
  </si>
  <si>
    <t>I2074</t>
  </si>
  <si>
    <t>TERMINAL PRESSÃO P/CABO  16MM2</t>
  </si>
  <si>
    <t>I2076</t>
  </si>
  <si>
    <t>TERMINAL PRESSÃO P/CABO  35MM2</t>
  </si>
  <si>
    <t>I2073</t>
  </si>
  <si>
    <t>TERMINAL PRESSÃO P/CABO 120MM2</t>
  </si>
  <si>
    <t>I2075</t>
  </si>
  <si>
    <t>TERMINAL PRESSÃO P/CABO 240MM2</t>
  </si>
  <si>
    <t>I2071</t>
  </si>
  <si>
    <t>TERMINAL PRESSÃO P/CABO 500 MM2</t>
  </si>
  <si>
    <t>I2106</t>
  </si>
  <si>
    <t>TOMADA 2 POLOS, MAIS TERRA 20A - 250V, SISTEMA "X"</t>
  </si>
  <si>
    <t>I9108</t>
  </si>
  <si>
    <t>TOMADA 2P+T 10A, 250V (APENAS MÓDULO)</t>
  </si>
  <si>
    <t>I2107</t>
  </si>
  <si>
    <t xml:space="preserve">TOMADA 2P+T 20A, 250V (APENAS MÓDULO)
</t>
  </si>
  <si>
    <t>I2108</t>
  </si>
  <si>
    <t>TOMADA C/TRAVA MECÂNICA E PLUG, EMBUTIR 30A/250V</t>
  </si>
  <si>
    <t>I2109</t>
  </si>
  <si>
    <t>TOMADA C/TRAVA MECÂNICA E PLUG, SOBREPOR 30A/250V</t>
  </si>
  <si>
    <t>I6164</t>
  </si>
  <si>
    <t>TOMADA DE PISO FÊMEA PARA RJ-11(TELEFÔNICA)</t>
  </si>
  <si>
    <t>I7938</t>
  </si>
  <si>
    <t>I2111</t>
  </si>
  <si>
    <t>I2112</t>
  </si>
  <si>
    <t>TOMADA PARA COMPUTADOR, SISTEMA "X"</t>
  </si>
  <si>
    <t>I9398</t>
  </si>
  <si>
    <t>TOMADA PARA LÓGICA RJ45, 8 FIOS, CAT-5E, COMPLETA (ESPELHO 4"x2" C/ SUPORTE + 1 CONECTOR, EXCETO CAIXA 4"X2")</t>
  </si>
  <si>
    <t>I9109</t>
  </si>
  <si>
    <t>TOMADA PARA LÓGICA RJ45, 8 FIOS, CAT-5E, COMPLETA (ESPELHO 4"x2" C/ SUPORTE + 2 CONECTORES, EXCETO CAIXA 4"X2")</t>
  </si>
  <si>
    <t>I7982</t>
  </si>
  <si>
    <t>TOMADA PARA LÓGICA RJ45, 8 FIOS, CAT-5E, COMPLETA (ESPELHO 4"x4" C/ SUPORTE + 1 CONECTOR, EXCETO CAIXA 4"X4")</t>
  </si>
  <si>
    <t>I9397</t>
  </si>
  <si>
    <t>TOMADA PARA LÓGICA RJ45, 8 FIOS, CAT-5E, COMPLETA (ESPELHO 4"x4" C/ SUPORTE + 2 CONECTORES, EXCETO CAIXA 4"X4")</t>
  </si>
  <si>
    <t>I10271</t>
  </si>
  <si>
    <t>TOMADA PARA LÓGICA RJ45, 8 FIOS, CAT. 6, COMPLETA (ESPELHO 4"x2" C/ SUPORTE E 1 CONECTOR, EXCETO CAIXA 4"X2")</t>
  </si>
  <si>
    <t>I2113</t>
  </si>
  <si>
    <t>TOMADA TELEFONE 4 POLOS 'TELEBRAS'</t>
  </si>
  <si>
    <t>I2114</t>
  </si>
  <si>
    <t>TOMADA TELEFONE P/PINO JACK 1/4</t>
  </si>
  <si>
    <t>I2115</t>
  </si>
  <si>
    <t>TOMADA TRIPOLAR ( 3P+T ) - 32A / 380V</t>
  </si>
  <si>
    <t>I2116</t>
  </si>
  <si>
    <t>TOMADA TRIPOLAR, MAIS TERRA - 25A / 250V</t>
  </si>
  <si>
    <t>I2117</t>
  </si>
  <si>
    <t>TOMADA TRIPOLAR, MAIS TERRA - 30A / 250V</t>
  </si>
  <si>
    <t>I2118</t>
  </si>
  <si>
    <t>I2119</t>
  </si>
  <si>
    <t>TOMADA UNIVERSAL 2POLOS</t>
  </si>
  <si>
    <t>I2444</t>
  </si>
  <si>
    <t>TOMADA UNIVERSAL DE SOBREPOR (COMPLETA INCLUSIVE CAIXA)</t>
  </si>
  <si>
    <t>I2120</t>
  </si>
  <si>
    <t>TOMADA VOLTAMP - 30A (MACHO/FEMEA)</t>
  </si>
  <si>
    <t>I2121</t>
  </si>
  <si>
    <t>TOMADA VOLTAMP - 60A ( MACHO/FEMEA)</t>
  </si>
  <si>
    <t>I2156</t>
  </si>
  <si>
    <t>TRANSFORMADOR CORRENTE EM QD DE  0 - 100A</t>
  </si>
  <si>
    <t>I2152</t>
  </si>
  <si>
    <t>TRANSFORMADOR CORRENTE EM QD DE 100 - 250/5A</t>
  </si>
  <si>
    <t>I2153</t>
  </si>
  <si>
    <t>TRANSFORMADOR CORRENTE EM QD DE 250 - 400/5A</t>
  </si>
  <si>
    <t>I2154</t>
  </si>
  <si>
    <t>TRANSFORMADOR CORRENTE EM QD DE 400 - 500/5A</t>
  </si>
  <si>
    <t>I2155</t>
  </si>
  <si>
    <t>TRANSFORMADOR CORRENTE EM QD DE 500 - 800/5A</t>
  </si>
  <si>
    <t>I7542</t>
  </si>
  <si>
    <t>TRANSFORMADOR DE CORRENTE 15 KV</t>
  </si>
  <si>
    <t>I2471</t>
  </si>
  <si>
    <t>I7543</t>
  </si>
  <si>
    <t>TRANSFORMADOR DE POTÊNCIA 15 KV</t>
  </si>
  <si>
    <t>I2147</t>
  </si>
  <si>
    <t>TRANSFORMADOR MONOFÁSICO 2KVA, 220/110</t>
  </si>
  <si>
    <t>I7937</t>
  </si>
  <si>
    <t>I7536</t>
  </si>
  <si>
    <t>TRANSMISSOR ELETRÔNICO DE PRESSÃO TIPO INSERÇÃO, COM INDICADOR INCORPORADO, GERAÇÃO DE SINAL PROPORCIONAL 4-20 Ma, RANGE 0-12 Kgf/cm²</t>
  </si>
  <si>
    <t>I7502</t>
  </si>
  <si>
    <t>TRIAL CARD 120/240 VAC, 16 OUTPUT CHANNELS, MOD. 1746 - OA16 AB</t>
  </si>
  <si>
    <t>I7410</t>
  </si>
  <si>
    <t>TRILHO SUPORTE P/ FIXAÇÃO RÁPIDA DIN</t>
  </si>
  <si>
    <t>I2261</t>
  </si>
  <si>
    <t>VOLTÍMETRO ( 144 X 144 )MM - ESC. 0 - 500V</t>
  </si>
  <si>
    <t>I2262</t>
  </si>
  <si>
    <t>VOLTÍMETRO (72 X 72)MM - ESC. 0 - 500V</t>
  </si>
  <si>
    <t>I2263</t>
  </si>
  <si>
    <t>VOLTÍMETRO (96 X 96)MM - ESC. 0 A 500V</t>
  </si>
  <si>
    <t>COTAÇÃO / JUNTAS ESTRUTURA</t>
  </si>
  <si>
    <t>I9479</t>
  </si>
  <si>
    <t>FUNGENBAND PARA JUNTA DE DILATAÇÃO, O-12, ATÉ  5MCA</t>
  </si>
  <si>
    <t>I9480</t>
  </si>
  <si>
    <t>I9481</t>
  </si>
  <si>
    <t>I9482</t>
  </si>
  <si>
    <t>I9497</t>
  </si>
  <si>
    <t>JUNTA DE MOVIMENTAÇÃO PARA ESTRUTURA DE CONCRETO DE 20 X 40 MM (TIPO JUNTA JEENE 20/30 VV OU SIMILAR)</t>
  </si>
  <si>
    <t>I9496</t>
  </si>
  <si>
    <t>I9494</t>
  </si>
  <si>
    <t xml:space="preserve">JUNTA DE MOVIMENTAÇÃO PARA ESTRUTURA DE CONCRETO DE 35 X 60 MM (TIPO JUNTA JEENE 35/50 VV OU SIMILAR)
</t>
  </si>
  <si>
    <t>I9498</t>
  </si>
  <si>
    <t>COTAÇÃO / LOUÇAS, METAIS E ACESSORIOS</t>
  </si>
  <si>
    <t>I0087</t>
  </si>
  <si>
    <t>APARELHO MISTURADOR DE MESA PARA PIA</t>
  </si>
  <si>
    <t>I0088</t>
  </si>
  <si>
    <t>APARELHO MISTURADOR DE PAREDE PARA PIA</t>
  </si>
  <si>
    <t>I0089</t>
  </si>
  <si>
    <t>APARELHO MISTURADOR PARA LAVATORIO</t>
  </si>
  <si>
    <t>I0124</t>
  </si>
  <si>
    <t>ARMARIO PLASTICO DE EMBUTIR 45X60CM</t>
  </si>
  <si>
    <t>I8641</t>
  </si>
  <si>
    <t>I8636</t>
  </si>
  <si>
    <t>ASSENTO SANITÁRIO COM ABERTURA FRONTAL (PADRÃO ALTO)</t>
  </si>
  <si>
    <t>I8651</t>
  </si>
  <si>
    <t>BACIA LOUÇA BRANCA COM CAIXA ACOPLADA PARA DEFICIENTE (SEM ASSENTO)</t>
  </si>
  <si>
    <t>I0170</t>
  </si>
  <si>
    <t>BACIA LOUÇA BRANCA COM SAÍDA HORIZONTAL</t>
  </si>
  <si>
    <t>I0171</t>
  </si>
  <si>
    <t>BACIA LOUÇA BRANCA PARA CAIXA ACOPLADA</t>
  </si>
  <si>
    <t>I0174</t>
  </si>
  <si>
    <t>BACIA SIFONADA DE LOUÇA BRANCA</t>
  </si>
  <si>
    <t>I0176</t>
  </si>
  <si>
    <t>BACIA SINFONADA P/ CRIANCA</t>
  </si>
  <si>
    <t>I0177</t>
  </si>
  <si>
    <t>BACIA TURCA DE LOUÇA COM SIFÃO INTEGRADO</t>
  </si>
  <si>
    <t>I0184</t>
  </si>
  <si>
    <t>BANCADA DE GRANITO C/ L=0,60m E E=0,03m</t>
  </si>
  <si>
    <t>I0185</t>
  </si>
  <si>
    <t>BANCADA DE GRANITO PRETO C/BOLEAMENTO DUPLO</t>
  </si>
  <si>
    <t>I6738</t>
  </si>
  <si>
    <t>BANHEIRA HOSPITAL C/TAMPO E CUBA DE AÇO INOX DIMENSÃO 1800 X600MM</t>
  </si>
  <si>
    <t>I0245</t>
  </si>
  <si>
    <t>BOLSA DE BORRACHA DE 1 1/2'' PARA BACIA</t>
  </si>
  <si>
    <t>I0333</t>
  </si>
  <si>
    <t>CABIDE DE LOUÇA BRANCA COM 2 GANCHOS</t>
  </si>
  <si>
    <t>I0334</t>
  </si>
  <si>
    <t>CABIDE DE LOUÇA DE 1 GANCHO</t>
  </si>
  <si>
    <t>I0406</t>
  </si>
  <si>
    <t>CAIXA ACOPLADA DE LOUÇA BRANCA PARA BACIA</t>
  </si>
  <si>
    <t>I0416</t>
  </si>
  <si>
    <t>CAIXA DE DESCARGA PLASTICA DE SOBREPOR</t>
  </si>
  <si>
    <t>I0414</t>
  </si>
  <si>
    <t>CAIXA DE DESCARGA PLÁSTICA DE SOBREPOR COMPLETA</t>
  </si>
  <si>
    <t>I6167</t>
  </si>
  <si>
    <t>CHUVEIRO COM ARTICULAÇÃO CROMADO 1/2"</t>
  </si>
  <si>
    <t>I0796</t>
  </si>
  <si>
    <t>CHUVEIRO PLASTICO</t>
  </si>
  <si>
    <t>I0797</t>
  </si>
  <si>
    <t>CHUVEIRO-DUCHA CROMADO 1/2''</t>
  </si>
  <si>
    <t>I6739</t>
  </si>
  <si>
    <t>I0848</t>
  </si>
  <si>
    <t>CONEXÃO 4''X48MM PARA BACIA C/SAÍDA HORIZONTAL</t>
  </si>
  <si>
    <t>I0851</t>
  </si>
  <si>
    <t>CONJUNTO FIXAÇÃO P/TANQUE</t>
  </si>
  <si>
    <t>I0853</t>
  </si>
  <si>
    <t>CONJUNTO VEDAÇÃO ELASTICA</t>
  </si>
  <si>
    <t>I0915</t>
  </si>
  <si>
    <t>CUBA DE AÇO INOX</t>
  </si>
  <si>
    <t>I0916</t>
  </si>
  <si>
    <t>CUBA DE LOUÇA BRANCA DE EMBUTIR</t>
  </si>
  <si>
    <t>I9073</t>
  </si>
  <si>
    <t>CUBA DE LOUÇA BRANCA DE SOBREPOR D=41CM, PROFUNDIDADE=8CM, COM VÁLVULA</t>
  </si>
  <si>
    <t>I1091</t>
  </si>
  <si>
    <t>ENGATE CROMADO</t>
  </si>
  <si>
    <t>I1092</t>
  </si>
  <si>
    <t>ENGATE DE PVC</t>
  </si>
  <si>
    <t>I1103</t>
  </si>
  <si>
    <t>ESPARGIDOR PARA MICTORIO</t>
  </si>
  <si>
    <t>I1315</t>
  </si>
  <si>
    <t>JOGO METAIS PARA MICTORIO</t>
  </si>
  <si>
    <t>I6737</t>
  </si>
  <si>
    <t>I8637</t>
  </si>
  <si>
    <t>LAVATÓRIO COM COLUNA SUSPENSA</t>
  </si>
  <si>
    <t>I1343</t>
  </si>
  <si>
    <t>LAVATÓRIO DE LOUÇA BRANCA COM COLUNA</t>
  </si>
  <si>
    <t>I1344</t>
  </si>
  <si>
    <t>LAVATÓRIO DE LOUÇA BRANCA SEM COLUNA</t>
  </si>
  <si>
    <t>I1523</t>
  </si>
  <si>
    <t>MICTORIO COLETIVO DE AÇO INOXIDAVEL</t>
  </si>
  <si>
    <t>I1524</t>
  </si>
  <si>
    <t>MICTORIO DE LOUÇA BRANCA COM ACESSÓRIOS</t>
  </si>
  <si>
    <t>I1646</t>
  </si>
  <si>
    <t>PEÇAS DE APOIO DEFICIENTE C/TUBO INOX EM WC'S</t>
  </si>
  <si>
    <t>I2486</t>
  </si>
  <si>
    <t>PIA DE MARMORITE (1,00x0,50)m  C/CUBA (0,45x0,36x0,15)m  (PADRÃO POPULAR)</t>
  </si>
  <si>
    <t>I2491</t>
  </si>
  <si>
    <t>PIA EM INOX 3,00x0,60 C/ 1 CUBA - C18/A304</t>
  </si>
  <si>
    <t>I2487</t>
  </si>
  <si>
    <t>PIA EM INOX C/ 1 CUBA  1,20x0,60 - C18/A304</t>
  </si>
  <si>
    <t>I1649</t>
  </si>
  <si>
    <t>PIA EM INOX C/ 1 CUBA  1.50x0,58</t>
  </si>
  <si>
    <t>I2490</t>
  </si>
  <si>
    <t>PIA EM INOX C/ 1 CUBA  2,20x0,60 - C18/A304</t>
  </si>
  <si>
    <t>I1648</t>
  </si>
  <si>
    <t>PIA EM INOX C/ 2 CUBAS 2.00x0.58</t>
  </si>
  <si>
    <t>I2492</t>
  </si>
  <si>
    <t>PIA EM INOX C/ 2 CUBAS 4,20x0,60</t>
  </si>
  <si>
    <t>I1711</t>
  </si>
  <si>
    <t>PORTA PAPEL DE LOUÇA BRANCA 15X15CM</t>
  </si>
  <si>
    <t>I8670</t>
  </si>
  <si>
    <t>I1712</t>
  </si>
  <si>
    <t>PORTA SABÃO LÍQUIDO DE VIDRO</t>
  </si>
  <si>
    <t>I1716</t>
  </si>
  <si>
    <t>I1717</t>
  </si>
  <si>
    <t>PORTA TOALHA DE PAPEL - METÁLICO</t>
  </si>
  <si>
    <t>I1839</t>
  </si>
  <si>
    <t>SABONETEIRA DE LOUÇA BRANCA 7.5X15CM</t>
  </si>
  <si>
    <t>I1840</t>
  </si>
  <si>
    <t>SABONETEIRA DE LOUÇA BRANCA SEM ALÇA 15X15CM</t>
  </si>
  <si>
    <t>I8671</t>
  </si>
  <si>
    <t>I1861</t>
  </si>
  <si>
    <t>SIFÃO CROMADO 1 1/4"X1 1/2"</t>
  </si>
  <si>
    <t>I1862</t>
  </si>
  <si>
    <t>SIFÃO CROMADO 1 1/4"X2"</t>
  </si>
  <si>
    <t>I1863</t>
  </si>
  <si>
    <t>SIFÃO CROMADO 2"</t>
  </si>
  <si>
    <t>I1864</t>
  </si>
  <si>
    <t>SIFÃO METALICO TIPO COPO DN 1"X1 1/2"</t>
  </si>
  <si>
    <t>I2420</t>
  </si>
  <si>
    <t>SIFÃO PVC 1.1/2" PARA LAVATORIO</t>
  </si>
  <si>
    <t>I7603</t>
  </si>
  <si>
    <t>SIFÃO PVC MULTI-USO (PIAS/TANQUES/LAVATÓRIO)</t>
  </si>
  <si>
    <t>I1865</t>
  </si>
  <si>
    <t>SIFÃO PVC RIGIDO TIPO COPO DN 2"X2"</t>
  </si>
  <si>
    <t>I1925</t>
  </si>
  <si>
    <t>TAMPA PLASTICA PARA BACIA</t>
  </si>
  <si>
    <t>I7336</t>
  </si>
  <si>
    <t>TAMPA PLÁSTICA PARA BACIA - CRIANÇA</t>
  </si>
  <si>
    <t>I1926</t>
  </si>
  <si>
    <t>I1935</t>
  </si>
  <si>
    <t>I1936</t>
  </si>
  <si>
    <t>TANQUE DE CONCRETO 80X70CM</t>
  </si>
  <si>
    <t>I2497</t>
  </si>
  <si>
    <t>TANQUE DE LAVAR CIMENTO (1,00x0,50)m C/TANQUE (0,45x0,45x0,25)m  (PADRÃO POPULAR)</t>
  </si>
  <si>
    <t>I6236</t>
  </si>
  <si>
    <t xml:space="preserve">TANQUE DE LAVAR EM CONCRETO C/ SUPORTE DE APOIO (PADRÃO MUTIRÃO)
</t>
  </si>
  <si>
    <t>I1937</t>
  </si>
  <si>
    <t>TANQUE DE LOUÇA BRANCA COM COLUNA</t>
  </si>
  <si>
    <t>I6749</t>
  </si>
  <si>
    <t>TANQUE LAVANDERIA DE AÇO INOX C/ CUBA E ESFREGADOR DIMENSÃO 1200X600X200MM</t>
  </si>
  <si>
    <t>I9139</t>
  </si>
  <si>
    <t>TOALHEIRO PLASTICO TIPO DISPENSER PARA PAPEL TOALHA INTERFOLHADO</t>
  </si>
  <si>
    <t>I2446</t>
  </si>
  <si>
    <t>TORNEIRA BOIA EM PVC Ø 3/4"</t>
  </si>
  <si>
    <t>I2125</t>
  </si>
  <si>
    <t>TORNEIRA CIRÚRGICA</t>
  </si>
  <si>
    <t>I9100</t>
  </si>
  <si>
    <t>TORNEIRA CROMADA DE PAREDE PARA COZINHA BICA MOVEL COM AREJADOR 1/2 " OU 3/4 " (REF 1168)</t>
  </si>
  <si>
    <t>I2126</t>
  </si>
  <si>
    <t>TORNEIRA DE BOIA EM LATÃO (BOIA PLAST) DN 2'</t>
  </si>
  <si>
    <t>I2127</t>
  </si>
  <si>
    <t>TORNEIRA DE BOIA EM LATÃO (BOIA PLAST) DN 20MM (3/4)</t>
  </si>
  <si>
    <t>I2122</t>
  </si>
  <si>
    <t>TORNEIRA DE BOIA EM LATÃO (BOIA PLAST) DN 25MM (1')</t>
  </si>
  <si>
    <t>I2123</t>
  </si>
  <si>
    <t>TORNEIRA DE BOIA EM LATÃO (BOIA PLAST) DN 32MM (1 1/4')</t>
  </si>
  <si>
    <t>I2124</t>
  </si>
  <si>
    <t>TORNEIRA DE BOIA EM LATÃO (BOIA PLAST) DN 40MM (1 1/2')</t>
  </si>
  <si>
    <t>I2128</t>
  </si>
  <si>
    <t>I2129</t>
  </si>
  <si>
    <t>TORNEIRA DE FOTO SENSOR, A BATERIA</t>
  </si>
  <si>
    <t>I2501</t>
  </si>
  <si>
    <t>TORNEIRA DE METAL AMARELO 3/4", CANO LONGO (PADRÃO POPULAR)</t>
  </si>
  <si>
    <t>I2447</t>
  </si>
  <si>
    <t>TORNEIRA DE METAL AMARELO Ø 3/4" CANO CURTO (PADRÃO POPULAR)</t>
  </si>
  <si>
    <t>I2502</t>
  </si>
  <si>
    <t>TORNEIRA DE METAL BRANCO 1/2", CANO CURTO (PADRÃO POPULAR)</t>
  </si>
  <si>
    <t>I2503</t>
  </si>
  <si>
    <t>TORNEIRA DE METAL BRANCO 3/4", CANO LONGO (PADRÃO POPULAR)</t>
  </si>
  <si>
    <t>I2130</t>
  </si>
  <si>
    <t>TORNEIRA DE PRESSÃO CROMADA DE USO GERAL 1/2'</t>
  </si>
  <si>
    <t>I2131</t>
  </si>
  <si>
    <t>TORNEIRA DE PRESSÃO CROMADA LONGA P/PIA 3/4'</t>
  </si>
  <si>
    <t>I2132</t>
  </si>
  <si>
    <t>TORNEIRA DE PRESSÃO CROMADA P/LAVATORIO 1/2'</t>
  </si>
  <si>
    <t>I2133</t>
  </si>
  <si>
    <t>TORNEIRA DE PRESSÃO P/ JARDIM DE 3/4"</t>
  </si>
  <si>
    <t>I2134</t>
  </si>
  <si>
    <t>TORNEIRA ELETRICA AUOM. 220V-2500W</t>
  </si>
  <si>
    <t>I2190</t>
  </si>
  <si>
    <t>TUBO DE LIGAÇÃO CROMADO COM CANOPLA - AJUSTÁVEL</t>
  </si>
  <si>
    <t>I2191</t>
  </si>
  <si>
    <t>TUBO DE LIGAÇÃO CROMADO COM CANOPLA 1/2' P/CHUV</t>
  </si>
  <si>
    <t>I2192</t>
  </si>
  <si>
    <t>TUBO DE PVC DE 1 1/2' PARA DESCARGA</t>
  </si>
  <si>
    <t>I2265</t>
  </si>
  <si>
    <t>VÁLVULA AMERICANA P/ PIA 1 1/2"X 3/4"</t>
  </si>
  <si>
    <t>I2264</t>
  </si>
  <si>
    <t>VÁLVULA AMERICANA P/PIA 3 1/2"</t>
  </si>
  <si>
    <t>I2469</t>
  </si>
  <si>
    <t>VÁLVULA DE DERIVAÇÃO DE 1"</t>
  </si>
  <si>
    <t>I2266</t>
  </si>
  <si>
    <t>VÁLVULA DE DESCARGA COM REGISTRO 1 1/2"</t>
  </si>
  <si>
    <t>I2267</t>
  </si>
  <si>
    <t>VÁLVULA DE DESCARGA COMUM 1 1/2"</t>
  </si>
  <si>
    <t>I2268</t>
  </si>
  <si>
    <t>VÁLVULA DE DESCARGA DE PVC S/REG. 1 1/2"</t>
  </si>
  <si>
    <t>I2270</t>
  </si>
  <si>
    <t>VÁLVULA DE METAL 1 1/2"</t>
  </si>
  <si>
    <t>I2271</t>
  </si>
  <si>
    <t>VÁLVULA DE METAL 1 1/4"</t>
  </si>
  <si>
    <t>I2272</t>
  </si>
  <si>
    <t>VÁLVULA DE METAL 1"</t>
  </si>
  <si>
    <t>I2273</t>
  </si>
  <si>
    <t>VÁLVULA DE PVC 2"</t>
  </si>
  <si>
    <t>I8286</t>
  </si>
  <si>
    <t>VÁLVULA PVC P/ COZINHA</t>
  </si>
  <si>
    <t>I7981</t>
  </si>
  <si>
    <t>VÁLVULA PVC P/ TANQUE</t>
  </si>
  <si>
    <t>COTAÇÃO / MADEIRA</t>
  </si>
  <si>
    <t>I8268</t>
  </si>
  <si>
    <t>ALIZAR DE MADEIRA L = 5 cm</t>
  </si>
  <si>
    <t>I6166</t>
  </si>
  <si>
    <t>ASSOALHO DE PEROBA (MADEIRA DE 1A QUALIDADE) DE 10CM</t>
  </si>
  <si>
    <t>I0196</t>
  </si>
  <si>
    <t>BARROTE DE 2 1/2"x2 1/2"</t>
  </si>
  <si>
    <t>I0197</t>
  </si>
  <si>
    <t>BARROTE DE 2"x2"</t>
  </si>
  <si>
    <t>I6520</t>
  </si>
  <si>
    <t>BARROTE DE MASSARANDUBA 2" x 2"</t>
  </si>
  <si>
    <t>I0209</t>
  </si>
  <si>
    <t>BATENTE DE PEROBA (MADEIRA DE 1A QUALIDADE) PARA PORTA 1FL.</t>
  </si>
  <si>
    <t>I0210</t>
  </si>
  <si>
    <t>BATENTE DE PEROBA (MADEIRA DE 1A QUALIDADE) PARA PORTA 2FL.</t>
  </si>
  <si>
    <t>I6522</t>
  </si>
  <si>
    <t>BEIRAL DE MASSARANDUBA 1,2 x 10 CM ( 1/2" x 4" )</t>
  </si>
  <si>
    <t>I0284</t>
  </si>
  <si>
    <t xml:space="preserve">BRUMASA, PINUS OU EQUIVALENTE DE 10MM (2,2 X 1,6M)
</t>
  </si>
  <si>
    <t>I0405</t>
  </si>
  <si>
    <t>CAIBRO DE 2"x1"</t>
  </si>
  <si>
    <t>I0491</t>
  </si>
  <si>
    <t>CAPEADO DE CEREJEIRA</t>
  </si>
  <si>
    <t>I0492</t>
  </si>
  <si>
    <t>CAPEADO DE MOGNO</t>
  </si>
  <si>
    <t>I0493</t>
  </si>
  <si>
    <t>CAPEADO DE PAU-MARFIM</t>
  </si>
  <si>
    <t>I0524</t>
  </si>
  <si>
    <t>CHAPA COMPENSADA PLASTIFICADA 18MM (1.22 X 2.44M)</t>
  </si>
  <si>
    <t>I0526</t>
  </si>
  <si>
    <t>CHAPA COMPENSADO PLASTIFICADO 12MM (1.22 X 2.44M)</t>
  </si>
  <si>
    <t>I0527</t>
  </si>
  <si>
    <t>CHAPA COMPENSADO RESINAD0 6MM (1.10 X 2.20M)</t>
  </si>
  <si>
    <t>I0528</t>
  </si>
  <si>
    <t>CHAPA COMPENSADO RESINADO 10MM (1.10 X 2.20M)</t>
  </si>
  <si>
    <t>I0529</t>
  </si>
  <si>
    <t>CHAPA COMPENSADO RESINADO 12MM (1.10 X 2.20M)</t>
  </si>
  <si>
    <t>I0541</t>
  </si>
  <si>
    <t>CHAPA MADEIRA MINERALIZADA, TIPO CELOTEX</t>
  </si>
  <si>
    <t>I0816</t>
  </si>
  <si>
    <t>COLA FORMICA</t>
  </si>
  <si>
    <t>I0862</t>
  </si>
  <si>
    <t>CORDÃO DE PEROBA (MADEIRA DE 1A QUALIDADE) P/ RODAPE</t>
  </si>
  <si>
    <t>I1094</t>
  </si>
  <si>
    <t>ESCORA DE 20CM</t>
  </si>
  <si>
    <t>I1114</t>
  </si>
  <si>
    <t>ESTACA DE MADEIRA  D=22 CM P/ 6 ATÉ 8 TON</t>
  </si>
  <si>
    <t>I1115</t>
  </si>
  <si>
    <t>ESTACA DE MADEIRA  D=25 CM P/ 8 ATÉ 10 TON</t>
  </si>
  <si>
    <t>I2330</t>
  </si>
  <si>
    <t>ESTRONCA EM MADEIRA ROLIÇA</t>
  </si>
  <si>
    <t>I1192</t>
  </si>
  <si>
    <t>FOLHA P/PORTA ARM. EMB.C/BAT. E GUARNIÇÃO</t>
  </si>
  <si>
    <t>I2345</t>
  </si>
  <si>
    <t>FORMICA LISA FOSCA</t>
  </si>
  <si>
    <t>I1193</t>
  </si>
  <si>
    <t>FORMICA P/REVESTIMENTO</t>
  </si>
  <si>
    <t>I8269</t>
  </si>
  <si>
    <t>I8270</t>
  </si>
  <si>
    <t>FORRAMENTO DE MADEIRA L= 15 cm</t>
  </si>
  <si>
    <t>I8274</t>
  </si>
  <si>
    <t>FORRAMENTO OU BATENTE DE MADEIRA, L = 15 cm</t>
  </si>
  <si>
    <t>I2478</t>
  </si>
  <si>
    <t>GRADE PINTADA P/ ARVORE DE 1,50 a 2,00m</t>
  </si>
  <si>
    <t>I1240</t>
  </si>
  <si>
    <t>GUARNIÇÃO PEROBA (MADEIRA DE 1A QUALIDADE) 5CM PARA PORTA 1FL.</t>
  </si>
  <si>
    <t>I1241</t>
  </si>
  <si>
    <t>GUARNIÇÃO PEROBA (MADEIRA DE 1A QUALIDADE) 5CM PARA PORTA 2FL.</t>
  </si>
  <si>
    <t>I1276</t>
  </si>
  <si>
    <t>JANELA VENEZIANA MOVEL</t>
  </si>
  <si>
    <t>I2367</t>
  </si>
  <si>
    <t>LINHA DE MADEIRA DE LEI DE 6"x3"</t>
  </si>
  <si>
    <t>I6519</t>
  </si>
  <si>
    <t>LINHA DE MASSARANDUBA 12 x 6 CM ( 5" x 2 1/2")</t>
  </si>
  <si>
    <t>I6509</t>
  </si>
  <si>
    <t>LINHA DE MASSARANDUBA 14 x 7 CM ( 6" x 3")</t>
  </si>
  <si>
    <t>I2369</t>
  </si>
  <si>
    <t>LINHA EM MADEIRA DE LEI DE 4"x2"</t>
  </si>
  <si>
    <t>I2370</t>
  </si>
  <si>
    <t>LINHA EM MADEIRA DE LEI DE 5"x2.1/2"</t>
  </si>
  <si>
    <t>I1495</t>
  </si>
  <si>
    <t>MADEIRA (PEROBA)</t>
  </si>
  <si>
    <t>I1496</t>
  </si>
  <si>
    <t>MADEIRA (PINHO) DE 1A.</t>
  </si>
  <si>
    <t>I1497</t>
  </si>
  <si>
    <t>MADEIRA DE SUCUPIRA</t>
  </si>
  <si>
    <t>I1498</t>
  </si>
  <si>
    <t>MADEIRA TRABALHADA P/ CORRIMÃO</t>
  </si>
  <si>
    <t>I1527</t>
  </si>
  <si>
    <t>MOLDURA 110X110MM P/CAIXA LIGAÇÃO</t>
  </si>
  <si>
    <t>I1594</t>
  </si>
  <si>
    <t>PARQUETE DE PEROBA (MADEIRA DE 1A QUALIDADE) DE 12X12CM</t>
  </si>
  <si>
    <t>I9052</t>
  </si>
  <si>
    <t>PEÇA DE MADEIRA ROLIÇA (EUCALIPTO OU REGIONAL EQUIVALENTE) D = 10CM (DE 7 ATÉ 11CM), H = 2,20M</t>
  </si>
  <si>
    <t>I9053</t>
  </si>
  <si>
    <t>PEÇA DE MADEIRA ROLIÇA (EUCALIPTO OU REGIONAL EQUIVALENTE) D = 12CM (DE 10 ATÉ 15CM), H = 2,20M</t>
  </si>
  <si>
    <t>I6617</t>
  </si>
  <si>
    <t>PILAR EM MADEIRA LIMPA DE 1A QUALIDADE  20x20cm</t>
  </si>
  <si>
    <t>I1652</t>
  </si>
  <si>
    <t>PIQUETE DE PEROBA (MADEIRA DE 1A QUALIDADE)</t>
  </si>
  <si>
    <t>I1691</t>
  </si>
  <si>
    <t>PONTALETE / BARROTE DE 3"x3"</t>
  </si>
  <si>
    <t>I0198</t>
  </si>
  <si>
    <t>PONTALETE / BARROTE DE 3"x3" - APARELHADO</t>
  </si>
  <si>
    <t>I1705</t>
  </si>
  <si>
    <t>PORTA DE FICHA EMBUTIDA</t>
  </si>
  <si>
    <t>I8577</t>
  </si>
  <si>
    <t>PORTA DE MUIRACATIARA 0,60x2,10x0,03</t>
  </si>
  <si>
    <t>I1706</t>
  </si>
  <si>
    <t>PORTA LISA DE CEDRO 0.60X2.10M</t>
  </si>
  <si>
    <t>I1707</t>
  </si>
  <si>
    <t>PORTA LISA DE CEDRO 0.70X2.10M</t>
  </si>
  <si>
    <t>I1708</t>
  </si>
  <si>
    <t>PORTA LISA DE CEDRO 0.80X2.10M</t>
  </si>
  <si>
    <t>I1709</t>
  </si>
  <si>
    <t>PORTA LISA DE CEDRO 0.90X2.10M</t>
  </si>
  <si>
    <t>I1710</t>
  </si>
  <si>
    <t>PORTA LISA DE CEDRO 1.00X2.10M</t>
  </si>
  <si>
    <t>I8271</t>
  </si>
  <si>
    <t>PORTA PARANÁ (0,60 x 2,10 m)</t>
  </si>
  <si>
    <t>I8272</t>
  </si>
  <si>
    <t>PORTA PARANÁ (0,70 x 2,10 m)</t>
  </si>
  <si>
    <t>I8273</t>
  </si>
  <si>
    <t>PORTA PARANÁ (0,80 x 2,10 m)</t>
  </si>
  <si>
    <t>I1714</t>
  </si>
  <si>
    <t>PORTA TIPO EUCATEX - PADRÃO</t>
  </si>
  <si>
    <t>I1715</t>
  </si>
  <si>
    <t>PORTA TIPO PARANÁ</t>
  </si>
  <si>
    <t>I1723</t>
  </si>
  <si>
    <t>PRANCHA 3 X 16 CM</t>
  </si>
  <si>
    <t>I1349</t>
  </si>
  <si>
    <t>PRANCHA 6 X 16 CM</t>
  </si>
  <si>
    <t>I6682</t>
  </si>
  <si>
    <t>PRANCHA DE MADEIRA MAÇARANDUBA (2,15X0,20X0,05)m</t>
  </si>
  <si>
    <t>I6681</t>
  </si>
  <si>
    <t>PRANCHA DE MADEIRA MAÇARANDUBA (2,15X0,25X0,05)m</t>
  </si>
  <si>
    <t>I2407</t>
  </si>
  <si>
    <t>PRANCHA EM MADEIRA DE LEI</t>
  </si>
  <si>
    <t>I2532</t>
  </si>
  <si>
    <t>PRANCHÃO DE 50MM X 300MM</t>
  </si>
  <si>
    <t>I6232</t>
  </si>
  <si>
    <t>REGUA DE MADEIRA  (1X10)CM</t>
  </si>
  <si>
    <t>I1824</t>
  </si>
  <si>
    <t>RIPA DE PEROBA (MADEIRA DE 1A QUALIDADE) DE 1X5CM</t>
  </si>
  <si>
    <t>I1825</t>
  </si>
  <si>
    <t>RIPA DE PEROBA (MADEIRA DE 1A QUALIDADE) DE 1X7CM</t>
  </si>
  <si>
    <t>I1826</t>
  </si>
  <si>
    <t>RIPA DE PEROBA (MADEIRA DE 1A QUALIDADE) DE 2X8CM</t>
  </si>
  <si>
    <t>I1829</t>
  </si>
  <si>
    <t>RODAPÉ DE PEROBA (MADEIRA DE 1A QUALIDADE) DE 1.5X7CM</t>
  </si>
  <si>
    <t>I1847</t>
  </si>
  <si>
    <t>SARRAFO DE 1" - L = 8cm</t>
  </si>
  <si>
    <t>I2517</t>
  </si>
  <si>
    <t>SARRAFO DE 1" x 6"</t>
  </si>
  <si>
    <t>I1846</t>
  </si>
  <si>
    <t>SARRAFO DE 1"X4"</t>
  </si>
  <si>
    <t>I1845</t>
  </si>
  <si>
    <t>SARRAFO DE 1"X4" APARELHADO</t>
  </si>
  <si>
    <t>I1917</t>
  </si>
  <si>
    <t>TABUA DE 1" - L = 12cm</t>
  </si>
  <si>
    <t>I1916</t>
  </si>
  <si>
    <t>TABUA DE 1" DE 3A. - L = 30cm</t>
  </si>
  <si>
    <t>I1912</t>
  </si>
  <si>
    <t>TABUA DE 1"X12" DE 1A.</t>
  </si>
  <si>
    <t>I1915</t>
  </si>
  <si>
    <t>TABUA DE 1"X12" DE 2A.</t>
  </si>
  <si>
    <t>I2429</t>
  </si>
  <si>
    <t>TABUA DE VIROLA DE 12"x 1"</t>
  </si>
  <si>
    <t>I2430</t>
  </si>
  <si>
    <t>TABUA EM MADEIRA TAIPA</t>
  </si>
  <si>
    <t>I1918</t>
  </si>
  <si>
    <t>TACO DE PEROBA (MADEIRA DE 1A QUALIDADE) 7X21CM</t>
  </si>
  <si>
    <t>I1919</t>
  </si>
  <si>
    <t>TACO PARA FIXAÇÃO DE BATENTE/RODAPÉ</t>
  </si>
  <si>
    <t>I2542</t>
  </si>
  <si>
    <t>TRAVESSA DE MADEIRA C/SECAO DE 3"X1 1/2"</t>
  </si>
  <si>
    <t>I2462</t>
  </si>
  <si>
    <t>TÁBUA EM MADEIRA MUIRACATIARA PLAINADA DE 32mm</t>
  </si>
  <si>
    <t>I6792</t>
  </si>
  <si>
    <t>VIGA DE MADEIRA EM MASSARANDUBA 10"x 4"</t>
  </si>
  <si>
    <t>I2260</t>
  </si>
  <si>
    <t>VIGA DE PEROBA (MADEIRA DE 1A QUALIDADE) DE 6X12CM</t>
  </si>
  <si>
    <t>COTAÇÃO / MANTAS ASFÁLTICAS E AFINS</t>
  </si>
  <si>
    <t>I9510</t>
  </si>
  <si>
    <t>FILME DE POLIETILENO, 20 A 25 MICRAS (CAMADA SEPARADORA)</t>
  </si>
  <si>
    <t>I9499</t>
  </si>
  <si>
    <t>MANTA ASFÁLTICA COM POLÍMEROS E ELASTÔMEROS, CLASSE B, ESTRUTURADA COM POLIESTER NÃO TECIDO, FACE EXPOSTA EM ALUMÍNIO, TIPO II, E=3MM (NBR 9952:2014)</t>
  </si>
  <si>
    <t>I9500</t>
  </si>
  <si>
    <t>MANTA ASFÁLTICA COM POLÍMEROS E ELASTÔMEROS, CLASSE B, ESTRUTURADA COM POLIESTER NÃO TECIDO, FACE EXPOSTA EM ALUMÍNIO, TIPO II, E=4MM (NBR 9952:2014)</t>
  </si>
  <si>
    <t>I9501</t>
  </si>
  <si>
    <t>MANTA ASFÁLTICA COM POLÍMEROS E ELASTÔMEROS, CLASSE B, ESTRUTURADA COM POLIESTER NÃO TECIDO, FACE EXPOSTA EM ALUMÍNIO, TIPO III, E=3MM (NBR 9952:2014)</t>
  </si>
  <si>
    <t>I9502</t>
  </si>
  <si>
    <t>MANTA ASFÁLTICA COM POLÍMEROS E ELASTÔMEROS, CLASSE B, ESTRUTURADA COM POLIESTER NÃO TECIDO, FACE EXPOSTA EM ALUMÍNIO, TIPO III, E=4MM (NBR 9952:2014)</t>
  </si>
  <si>
    <t>I9503</t>
  </si>
  <si>
    <t>MANTA ASFÁLTICA COM POLÍMEROS E ELASTÔMEROS, CLASSE B, ESTRUTURADA COM POLIESTER NÃO TECIDO, FACES EM POLIETILENO, TIPO II, E=3MM (NBR 9952:2014)</t>
  </si>
  <si>
    <t>I9504</t>
  </si>
  <si>
    <t>MANTA ASFÁLTICA COM POLÍMEROS E ELASTÔMEROS, CLASSE B, ESTRUTURADA COM POLIESTER NÃO TECIDO, FACES EM POLIETILENO, TIPO II, E=4MM (NBR 9952:2014)</t>
  </si>
  <si>
    <t>I9505</t>
  </si>
  <si>
    <t>MANTA ASFÁLTICA COM POLÍMEROS E ELASTÔMEROS, CLASSE B, ESTRUTURADA COM POLIESTER NÃO TECIDO, FACES EM POLIETILENO, TIPO III, E=3MM (NBR 9952:2014)</t>
  </si>
  <si>
    <t>I9506</t>
  </si>
  <si>
    <t>MANTA ASFÁLTICA COM POLÍMEROS E ELASTÔMEROS, CLASSE B, ESTRUTURADA COM POLIESTER NÃO TECIDO, FACES EM POLIETILENO, TIPO III, E=4MM (NBR 9952:2014)</t>
  </si>
  <si>
    <t>I9507</t>
  </si>
  <si>
    <t>MANTA ASFÁLTICA COM POLÍMEROS E ELASTÔMEROS, CLASSE B, ESTRUTURADA COM POLIESTER NÃO TECIDO, FACES EM POLIETILENO, TIPO IV, E=3MM (NBR 9952:2014)</t>
  </si>
  <si>
    <t>I9508</t>
  </si>
  <si>
    <t>MANTA ASFÁLTICA COM POLÍMEROS E ELASTÔMEROS, CLASSE B, ESTRUTURADA COM POLIESTER NÃO TECIDO, FACES EM POLIETILENO, TIPO IV, E=4MM (NBR 9952:2014)</t>
  </si>
  <si>
    <t>I9509</t>
  </si>
  <si>
    <t>PRIMER, EMULSÃO ASFÁLTICA À BASE DE ÁGUA, PARA COLAGEM DE MANTAS E OU FITAS ASFÁLTICAS (DENSIDADE: 1KG/L)</t>
  </si>
  <si>
    <t>COTAÇÃO / MAO DE OBRA (C/ ENCARGOS)</t>
  </si>
  <si>
    <t>I0037</t>
  </si>
  <si>
    <t>AJUDANTE</t>
  </si>
  <si>
    <t>I0039</t>
  </si>
  <si>
    <t>AJUDANTE DE APLICADOR DE IMPERMEABILIZAÇÃO</t>
  </si>
  <si>
    <t>I0040</t>
  </si>
  <si>
    <t>AJUDANTE DE ARMADOR/FERREIRO</t>
  </si>
  <si>
    <t>I0041</t>
  </si>
  <si>
    <t>AJUDANTE DE CARPINTEIRO</t>
  </si>
  <si>
    <t>I0042</t>
  </si>
  <si>
    <t>AJUDANTE DE ELETRICISTA</t>
  </si>
  <si>
    <t>G0867</t>
  </si>
  <si>
    <t>AJUDANTE DE ELETRICISTA DE OBRAS E SERVIÇOS DE GASODUTOS EM OPERAÇÃO (30% DE PERICULOSIDADE INCLUSO)</t>
  </si>
  <si>
    <t>I0043</t>
  </si>
  <si>
    <t>AJUDANTE DE ENCANADOR</t>
  </si>
  <si>
    <t>I0044</t>
  </si>
  <si>
    <t>AJUDANTE DE GRANITEIRO/MARMORISTA</t>
  </si>
  <si>
    <t>G0850</t>
  </si>
  <si>
    <t>AJUDANTE DE OBRAS E SERVIÇOS DE GASODUTOS EM OPERAÇÃO (30% DE PERICULOSIDADE INCLUSO)</t>
  </si>
  <si>
    <t>I0045</t>
  </si>
  <si>
    <t>AJUDANTE DE PINTOR</t>
  </si>
  <si>
    <t>G0857</t>
  </si>
  <si>
    <t>AJUDANTE DE PINTOR DE OBRAS E SERVIÇOS DE GASODUTOS EM OPERAÇÃO (30% DE PERICULOSIDADE INCLUSO)</t>
  </si>
  <si>
    <t>I0046</t>
  </si>
  <si>
    <t>AJUDANTE DE SERRALHEIRO</t>
  </si>
  <si>
    <t>I0047</t>
  </si>
  <si>
    <t>AJUDANTE DE TELHADISTA</t>
  </si>
  <si>
    <t>I0048</t>
  </si>
  <si>
    <t>ALFANGISTA</t>
  </si>
  <si>
    <t>G0855</t>
  </si>
  <si>
    <t>ANALISTA DE PLANEJAMENTO</t>
  </si>
  <si>
    <t>G0862</t>
  </si>
  <si>
    <t>APLICADOR DE REVESTIMENTO DE OBRAS E SERVIÇOS DE GASODUTOS EM OPERAÇÃO (30% DE PERICULOSIDADE INCLUSO)</t>
  </si>
  <si>
    <t>I0091</t>
  </si>
  <si>
    <t>APLICADOR IMPERMEABILIZAÇÃO</t>
  </si>
  <si>
    <t>I0092</t>
  </si>
  <si>
    <t>APLICADOR REVESTIMENTO</t>
  </si>
  <si>
    <t>I0121</t>
  </si>
  <si>
    <t>ARMADOR/FERREIRO</t>
  </si>
  <si>
    <t>I0150</t>
  </si>
  <si>
    <t>AUX. DE OPERAÇÃO INIC. CAGECE</t>
  </si>
  <si>
    <t>I0151</t>
  </si>
  <si>
    <t>AUX. TÉCNICO INICIAL CAGECE</t>
  </si>
  <si>
    <t>I0149</t>
  </si>
  <si>
    <t>I9136</t>
  </si>
  <si>
    <t>I0152</t>
  </si>
  <si>
    <t>AZULEJISTA</t>
  </si>
  <si>
    <t>I0221</t>
  </si>
  <si>
    <t>BLASTER</t>
  </si>
  <si>
    <t>I6033</t>
  </si>
  <si>
    <t>CADASTRADOR</t>
  </si>
  <si>
    <t>I0443</t>
  </si>
  <si>
    <t>CALAFETADOR</t>
  </si>
  <si>
    <t>I0445</t>
  </si>
  <si>
    <t>CALCETEIRO</t>
  </si>
  <si>
    <t>I0490</t>
  </si>
  <si>
    <t>CAPATAZ DE AR COMPRIMIDO</t>
  </si>
  <si>
    <t>I0498</t>
  </si>
  <si>
    <t>CARPINTEIRO</t>
  </si>
  <si>
    <t>I0500</t>
  </si>
  <si>
    <t>CAVOUQUEIRO</t>
  </si>
  <si>
    <t>I0855</t>
  </si>
  <si>
    <t>CONSULTOR DE ENGENHARIA</t>
  </si>
  <si>
    <t>I2299</t>
  </si>
  <si>
    <t>DESENHISTA (EM CAD /CAGECE)</t>
  </si>
  <si>
    <t>I2300</t>
  </si>
  <si>
    <t>DESENHISTA COPISTA</t>
  </si>
  <si>
    <t>I6034</t>
  </si>
  <si>
    <t>DIGITADOR</t>
  </si>
  <si>
    <t>I2312</t>
  </si>
  <si>
    <t>ELETRICISTA</t>
  </si>
  <si>
    <t>G0868</t>
  </si>
  <si>
    <t>ELETRICISTA DE DE OBRAS E SERVIÇOS DE GASODUTOS EM OPERAÇÃO (30% DE PERICULOSIDADE INCLUSO)</t>
  </si>
  <si>
    <t>I1088</t>
  </si>
  <si>
    <t>ELETROTECNICO MONTADOR</t>
  </si>
  <si>
    <t>G0869</t>
  </si>
  <si>
    <t>ELETROTÉCNICO MONTADOR DE OBRAS E SERVIÇOS DE GASODUTOS EM OPERAÇÃO (30% DE PERICULOSIDADE INCLUSO)</t>
  </si>
  <si>
    <t>I2320</t>
  </si>
  <si>
    <t>ENCANADOR</t>
  </si>
  <si>
    <t>G0863</t>
  </si>
  <si>
    <t>ENCARREGADO DE OBRAS E SERVIÇOS DE GASODUTOS EM OPERAÇÃO (30% DE PERICULOSIDADE INCLUSO)</t>
  </si>
  <si>
    <t>I2510</t>
  </si>
  <si>
    <t>ENCARREGADO DE SERVIÇOS</t>
  </si>
  <si>
    <t>I6815</t>
  </si>
  <si>
    <t>I2322</t>
  </si>
  <si>
    <t>ENGENHEIRO</t>
  </si>
  <si>
    <t>I2325</t>
  </si>
  <si>
    <t>ESMERILHADOR</t>
  </si>
  <si>
    <t>I1142</t>
  </si>
  <si>
    <t>ESTUCADOR</t>
  </si>
  <si>
    <t>I1220</t>
  </si>
  <si>
    <t>GESSEIRO</t>
  </si>
  <si>
    <t>I1227</t>
  </si>
  <si>
    <t>GRANITEIRO/MAMORISTA</t>
  </si>
  <si>
    <t>G0467</t>
  </si>
  <si>
    <t>INSPETOR DE LÍQUIDO PENETRANTE N LP-N2-G-SNQC/END (CEGÁS)</t>
  </si>
  <si>
    <t>G0859</t>
  </si>
  <si>
    <t>INSPETOR DE LÍQUIDO PENETRANTE N LP-N2-G-SNQC/END, DE OBRAS E SERVIÇOS DE GASODUTOS EM OPERAÇÃO (30% DE PERICULOSIDADE INCLUSO) (CEGÁS)</t>
  </si>
  <si>
    <t>G0405</t>
  </si>
  <si>
    <t>INSPETOR DE SOLDA N1/EV-N2-S-SNQC (CEGÁS)</t>
  </si>
  <si>
    <t>G0861</t>
  </si>
  <si>
    <t>INSPETOR DE SOLDA N1/EV-N2-S-SNQC, DE OBRAS E SERVIÇOS DE GASODUTOS EM OPERAÇÃO (30% DE PERICULOSIDADE INCLUSO) (CEGÁS)</t>
  </si>
  <si>
    <t>G0407</t>
  </si>
  <si>
    <t>INSPETOR DE ULTRA-SOM US-N2-S2.1-SNQC/END (CEGÁS)</t>
  </si>
  <si>
    <t>G0860</t>
  </si>
  <si>
    <t>INSPETOR DE ULTRA-SOM US-N2-S2.1-SNQC/END, DE OBRAS E SERVIÇOS DE GASODUTOS EM OPERAÇÃO (30% DE PERICULOSIDADE INCLUSO) (CEGÁS)</t>
  </si>
  <si>
    <t>I1277</t>
  </si>
  <si>
    <t>JARDINEIRO</t>
  </si>
  <si>
    <t>I1278</t>
  </si>
  <si>
    <t>JATISTA</t>
  </si>
  <si>
    <t>G0870</t>
  </si>
  <si>
    <t>JATISTA DE OBRAS E SERVIÇOS DE GASODUTOS EM OPERAÇÃO (30% DE PERICULOSIDADE INCLUSO)</t>
  </si>
  <si>
    <t>I1328</t>
  </si>
  <si>
    <t>LADRILHISTA</t>
  </si>
  <si>
    <t>I1508</t>
  </si>
  <si>
    <t>MAQUINISTA ELEVADOR</t>
  </si>
  <si>
    <t>G0852</t>
  </si>
  <si>
    <t>MECANICO DE OBRAS E SERVIÇOS DE GASODUTOS EM OPERAÇÃO (30% DE PERICULOSIDADE INCLUSO)</t>
  </si>
  <si>
    <t>I2378</t>
  </si>
  <si>
    <t>MECANICO HIDROMETRO INIC. CAGE</t>
  </si>
  <si>
    <t>G0851</t>
  </si>
  <si>
    <t>MECANICO INDUSTRIAL</t>
  </si>
  <si>
    <t>I7961</t>
  </si>
  <si>
    <t>MERGULHADOR (30% DE PERICULOSIDADE INCLUSO)</t>
  </si>
  <si>
    <t>I7989</t>
  </si>
  <si>
    <t>MESTRE DE LINHA</t>
  </si>
  <si>
    <t>I1530</t>
  </si>
  <si>
    <t>MONTADOR</t>
  </si>
  <si>
    <t>G0856</t>
  </si>
  <si>
    <t>MONTADOR DE OBRAS E SERVIÇOS DE GASODUTOS EM OPERAÇÃO (30% DE PERICULOSIDADE INCLUSO)</t>
  </si>
  <si>
    <t>I8978</t>
  </si>
  <si>
    <t>MOTOQUEIRO/ENCANADOR (30% DE PERICULOSIDADE INCLUSO)</t>
  </si>
  <si>
    <t>I2380</t>
  </si>
  <si>
    <t>I2545</t>
  </si>
  <si>
    <t>MOTORISTA DE CAMINHÃO</t>
  </si>
  <si>
    <t>G0408</t>
  </si>
  <si>
    <t>NAVEGADOR DE FURO DIRECIONAL (CEGÁS)</t>
  </si>
  <si>
    <t>I2382</t>
  </si>
  <si>
    <t>I2546</t>
  </si>
  <si>
    <t>OPERADOR DE AQUECEDOR DE FLUIDO TERMICO</t>
  </si>
  <si>
    <t>I2547</t>
  </si>
  <si>
    <t>OPERADOR DE BATE ESTACA</t>
  </si>
  <si>
    <t>I2548</t>
  </si>
  <si>
    <t>OPERADOR DE BETONEIRA</t>
  </si>
  <si>
    <t>I1551</t>
  </si>
  <si>
    <t>OPERADOR DE BOMBA A JATO</t>
  </si>
  <si>
    <t>I1550</t>
  </si>
  <si>
    <t>OPERADOR DE BOMBA DE CONCRETO</t>
  </si>
  <si>
    <t>I2549</t>
  </si>
  <si>
    <t>OPERADOR DE CALDEIRA ESPARGIDORA DE ASFALTO</t>
  </si>
  <si>
    <t>I2550</t>
  </si>
  <si>
    <t>OPERADOR DE CARREGADEIRA</t>
  </si>
  <si>
    <t>I2551</t>
  </si>
  <si>
    <t>OPERADOR DE COMPACTADOR AUTO PROPELIDO</t>
  </si>
  <si>
    <t>I2552</t>
  </si>
  <si>
    <t>OPERADOR DE COMPACTADOR DE PLACA VIBRATORIA</t>
  </si>
  <si>
    <t>I2553</t>
  </si>
  <si>
    <t>OPERADOR DE COMPRESSOR DE AR</t>
  </si>
  <si>
    <t>I2384</t>
  </si>
  <si>
    <t>OPERADOR DE COMPUTADOR</t>
  </si>
  <si>
    <t>I2554</t>
  </si>
  <si>
    <t>OPERADOR DE CONJUNTO DE BRITAGEM</t>
  </si>
  <si>
    <t>I1009</t>
  </si>
  <si>
    <t>OPERADOR DE EQUIPAMENTO LEVE</t>
  </si>
  <si>
    <t>I9137</t>
  </si>
  <si>
    <t>OPERADOR DE ESTAÇÃO TOTAL</t>
  </si>
  <si>
    <t>I2555</t>
  </si>
  <si>
    <t>OPERADOR DE GRUPO GERADOR</t>
  </si>
  <si>
    <t>I1552</t>
  </si>
  <si>
    <t>OPERADOR DE GUINCHO</t>
  </si>
  <si>
    <t>I2556</t>
  </si>
  <si>
    <t>OPERADOR DE MAQUINA DE CONCRETO PROJETADO</t>
  </si>
  <si>
    <t>I2557</t>
  </si>
  <si>
    <t>OPERADOR DE MAQUINA DE PINTAR FAIXAS</t>
  </si>
  <si>
    <t>I2559</t>
  </si>
  <si>
    <t>OPERADOR DE MOTO ESCAVO TRASPORTADOR</t>
  </si>
  <si>
    <t>I2560</t>
  </si>
  <si>
    <t>OPERADOR DE MOTONIVELADORA</t>
  </si>
  <si>
    <t>G0411</t>
  </si>
  <si>
    <t>OPERADOR DE MÁQUINA DE FURO DIRECIONAL (CEGÁS)</t>
  </si>
  <si>
    <t>I2523</t>
  </si>
  <si>
    <t>OPERADOR DE PERFURATRIZ/ROMPEDOR PNEUMATICO</t>
  </si>
  <si>
    <t>I7422</t>
  </si>
  <si>
    <t>OPERADOR DE RECICLADORA E FREZADORA</t>
  </si>
  <si>
    <t>I2561</t>
  </si>
  <si>
    <t>OPERADOR DE RETRO ESCAVADEIRA</t>
  </si>
  <si>
    <t>I2562</t>
  </si>
  <si>
    <t>OPERADOR DE TRATOR DE ESTEIRAS</t>
  </si>
  <si>
    <t>I2563</t>
  </si>
  <si>
    <t>OPERADOR DE TRATOR DE PNEUS</t>
  </si>
  <si>
    <t>I2564</t>
  </si>
  <si>
    <t>OPERADOR DE USINA DE MISTURA BETUMINOSA</t>
  </si>
  <si>
    <t>I2524</t>
  </si>
  <si>
    <t>OPERADOR DE USINA MISTURADORA DE SOLOS E AGREGADOS</t>
  </si>
  <si>
    <t>I2565</t>
  </si>
  <si>
    <t>OPERADOR DE VIBRADOR DE IMERSAO</t>
  </si>
  <si>
    <t>I2566</t>
  </si>
  <si>
    <t>OPERADOR DE VIBRO ACABADORA DE MISTURAS BETUMINOSAS</t>
  </si>
  <si>
    <t>I1599</t>
  </si>
  <si>
    <t>PASTILHEIRO</t>
  </si>
  <si>
    <t>I2391</t>
  </si>
  <si>
    <t>PEDREIRO</t>
  </si>
  <si>
    <t>G0865</t>
  </si>
  <si>
    <t>PEDREIRO DE OBRAS E SERVIÇOS DE GASODUTOS EM OPERAÇÃO (30% DE PERICULOSIDADE INCLUSO)</t>
  </si>
  <si>
    <t>I2395</t>
  </si>
  <si>
    <t>PINTOR</t>
  </si>
  <si>
    <t>G0858</t>
  </si>
  <si>
    <t>PINTOR DE OBRAS E SERVIÇOS DE GASODUTOS EM OPERAÇÃO (30% DE PERICULOSIDADE INCLUSO)</t>
  </si>
  <si>
    <t>I1685</t>
  </si>
  <si>
    <t>POCEIRO</t>
  </si>
  <si>
    <t>I1772</t>
  </si>
  <si>
    <t>RASPADOR</t>
  </si>
  <si>
    <t>I8409</t>
  </si>
  <si>
    <t>RASTELEIRO</t>
  </si>
  <si>
    <t>I1858</t>
  </si>
  <si>
    <t>SERRALHEIRO</t>
  </si>
  <si>
    <t>I2543</t>
  </si>
  <si>
    <t>G0866</t>
  </si>
  <si>
    <t>SERVENTE DE OBRAS E SERVIÇOS DE GASODUTOS EM OPERAÇÃO (30% DE PERICULOSIDADE INCLUSO)</t>
  </si>
  <si>
    <t>I2578</t>
  </si>
  <si>
    <t>SINALEIRO</t>
  </si>
  <si>
    <t>I1879</t>
  </si>
  <si>
    <t>SOLDADOR</t>
  </si>
  <si>
    <t>G0412</t>
  </si>
  <si>
    <t>SOLDADOR DE PEAD (CEGÁS)</t>
  </si>
  <si>
    <t>G0466</t>
  </si>
  <si>
    <t>SOLDADOR DE PEAD C/ 30% DE PERICULOSIDADE INCLUSO (CEGÁS)</t>
  </si>
  <si>
    <t>I2424</t>
  </si>
  <si>
    <t>SOLDADOR RAIO X</t>
  </si>
  <si>
    <t>G0849</t>
  </si>
  <si>
    <t>SOLDADOR RAIO X DE OBRAS E SERVIÇOS DE GASODUTOS EM OPERAÇÃO (30% DE PERICULOSIDADE INCLUSO)</t>
  </si>
  <si>
    <t>I6035</t>
  </si>
  <si>
    <t>SUPERVISOR DE CADASTRO</t>
  </si>
  <si>
    <t>G0410</t>
  </si>
  <si>
    <t>SUPERVISOR PEAD (CEGÁS)</t>
  </si>
  <si>
    <t>G0465</t>
  </si>
  <si>
    <t>SUPERVISOR PEAD C/ 30% DE PERICULOSIDADE INCLUSO (CEGÁS)</t>
  </si>
  <si>
    <t>I1940</t>
  </si>
  <si>
    <t>TAQUEIRO</t>
  </si>
  <si>
    <t>G0853</t>
  </si>
  <si>
    <t>TECNICO DE INSTRUMENTACAO / AUTOMAÇÃO</t>
  </si>
  <si>
    <t>G0854</t>
  </si>
  <si>
    <t>TECNICO DE INSTRUMENTACAO / AUTOMAÇÃO DE OBRAS E SERVIÇOS DE GASODUTOS EM OPERAÇÃO (30% DE PERICULOSIDADE INCLUSO)</t>
  </si>
  <si>
    <t>I8679</t>
  </si>
  <si>
    <t>TECNICO DE SONDAGEM</t>
  </si>
  <si>
    <t>I2434</t>
  </si>
  <si>
    <t>TECNICO INDUSTRIAL</t>
  </si>
  <si>
    <t>I2435</t>
  </si>
  <si>
    <t>TECNICO INDUSTRIAL INIC. CAGECE</t>
  </si>
  <si>
    <t>I2567</t>
  </si>
  <si>
    <t>TECNICO PRE MARCADOR</t>
  </si>
  <si>
    <t>I2070</t>
  </si>
  <si>
    <t>TELHADISTA</t>
  </si>
  <si>
    <t>I2445</t>
  </si>
  <si>
    <t>TOPOGRAFO</t>
  </si>
  <si>
    <t>I2136</t>
  </si>
  <si>
    <t>TRABALHADOR AR COMPRIMIDO</t>
  </si>
  <si>
    <t>I6238</t>
  </si>
  <si>
    <t>TRABALHO PROFISSIONAL ENG. CALCULISTA (RESERV. APOIADO, ELEVATÓRIA E CAIXA DE AREIA)</t>
  </si>
  <si>
    <t>I6237</t>
  </si>
  <si>
    <t>TRABALHO PROFISSIONAL ENG. CALCULISTA (RESERVATÓRIO ELEVADO)</t>
  </si>
  <si>
    <t>G0864</t>
  </si>
  <si>
    <t>TÉCNICO DE SEGURANÇA DO TRABALHO DE OBRAS E SERVIÇOS DE GASODUTOS EM OPERAÇÃO (30% DE PERICULOSIDADE INCLUSO)</t>
  </si>
  <si>
    <t>I2466</t>
  </si>
  <si>
    <t>COTAÇÃO / MATERIAIS FERROVIÁRIOS</t>
  </si>
  <si>
    <t>I8087</t>
  </si>
  <si>
    <t>APARELHO DE MUDANÇA DE VIA TR 45, TIPO 1:10, COMPLETO, INCLUINDO TODAS AS FIXAÇÕES E A DORMENTAÇÃO ESPECIAL (MADEIRA)</t>
  </si>
  <si>
    <t>I8088</t>
  </si>
  <si>
    <t>APARELHO DE MUDANÇA DE VIA TR 45, TIPO 1:12, COMPLETO, INCLUINDO TODAS AS FIXAÇÕES E A DORMENTAÇÃO ESPECIAL (MADEIRA)</t>
  </si>
  <si>
    <t>I8089</t>
  </si>
  <si>
    <t>APARELHO DE MUDANÇA DE VIA TR 45, TIPO 1:14, COMPLETO, INCLUINDO TODAS AS FIXAÇÕES E A DORMENTAÇÃO ESPECIAL (MADEIRA)</t>
  </si>
  <si>
    <t>I8086</t>
  </si>
  <si>
    <t>APARELHO DE MUDANÇA DE VIA TR 45, TIPO 1:8, COMPLETO, INCLUINDO TODAS AS FIXAÇÕES E A DORMENTAÇÃO ESPECIAL (MADEIRA)</t>
  </si>
  <si>
    <t>I13313</t>
  </si>
  <si>
    <t>BLOCO VBV - LVT (UNIDADE)</t>
  </si>
  <si>
    <t>I13315</t>
  </si>
  <si>
    <t>CONJUNTO PARA SOLDA ALUMINOTÉRMICA DE TR45 - PORÇÃO, FÔRMAS, ACENDEDOR, PASTA DE VEDAÇÃO E CADINHO DESCARTÁVEL</t>
  </si>
  <si>
    <t>I8093</t>
  </si>
  <si>
    <t>DORMENTE DE CONCRETO BIBLOCO PARA BITOLA MÉTRICA</t>
  </si>
  <si>
    <t>I8092</t>
  </si>
  <si>
    <t>DORMENTE DE CONCRETO MONOBLOCO PARA BITOLA MÉTRICA</t>
  </si>
  <si>
    <t>I8091</t>
  </si>
  <si>
    <t>DORMENTE DE MADEIRA 2,00 x 0,22 x 0,16 m PARA BITOLA MÉTRICA</t>
  </si>
  <si>
    <t>I13316</t>
  </si>
  <si>
    <t>DORMENTES DE MADEIRA PARA AMV</t>
  </si>
  <si>
    <t>I8105</t>
  </si>
  <si>
    <t>FITA ADESIVA INELÁSTICA PARA FIXAÇÃO DAS GALOCHAS E PALMILHAS AO BLOCO LBV (54,8m x 48mm)</t>
  </si>
  <si>
    <t>I8097</t>
  </si>
  <si>
    <t>FIXAÇÃO PARA DORMENTE DE CONCRETO BIBLOCO (S-75)</t>
  </si>
  <si>
    <t>I8096</t>
  </si>
  <si>
    <t>FIXAÇÃO PARA DORMENTE DE CONCRETO MONOBLOCO, PLACA AMORTECEDORA E PINO ISOLANTE</t>
  </si>
  <si>
    <t>I8102</t>
  </si>
  <si>
    <t>FIXAÇÃO RÍGIDA (DORMENTE DE MADEIRA) - TIREFOND</t>
  </si>
  <si>
    <t>I13314</t>
  </si>
  <si>
    <t>FIXAÇÃO S-75 PARA BLOCO LVT (02 LÂMINAS 100MM, 02 LÂMINAS 70MM, 02 PARAFUSOS S75, 02 CALÇOS ISOLANTES + PALMILHA S75 PARA TR-45)</t>
  </si>
  <si>
    <t>I13312</t>
  </si>
  <si>
    <t>GALOCHA DE BORRACHA E PALMILHA MICROCELULAR PARA UMA UNIDADE DE BLOCO VBV - LVT</t>
  </si>
  <si>
    <t>I8090</t>
  </si>
  <si>
    <t>GLIFOSATO NA</t>
  </si>
  <si>
    <t>I8100</t>
  </si>
  <si>
    <t>PARAFUSO COM PORCA E ARRUELA TR 45</t>
  </si>
  <si>
    <t>I8101</t>
  </si>
  <si>
    <t>PLACA DE APOIO EM AÇO LAMINADO PARA TR 45, FIXAÇÃO RÍGIDA</t>
  </si>
  <si>
    <t>I10253</t>
  </si>
  <si>
    <t>TALA DE JUNÇÃO TR 45 NÃO ISOLADA COM 6 FUROS</t>
  </si>
  <si>
    <t>I8098</t>
  </si>
  <si>
    <t xml:space="preserve">TRILHO TR 45 DE AÇO CARBONO, COMPRIMENTO ATÉ 24M
</t>
  </si>
  <si>
    <t>COTAÇÃO / MATERIAIS FORNECIDOS</t>
  </si>
  <si>
    <t>I9544</t>
  </si>
  <si>
    <t>ABRAÇADEIRA DE NYLON 50 CM</t>
  </si>
  <si>
    <t>I9546</t>
  </si>
  <si>
    <t>ABRAÇADEIRA DE NYLON PRETO -  REF 200X2,5MM (TAMANHO DE 20CM)</t>
  </si>
  <si>
    <t>I9545</t>
  </si>
  <si>
    <t>ABRAÇADEIRA DE PLÁSTICO REF 200X4,8MM, PRETA</t>
  </si>
  <si>
    <t>I9547</t>
  </si>
  <si>
    <t>ABRAÇADEIRA P/ ELETRODUTO 1" TIPO "D" EM PVC</t>
  </si>
  <si>
    <t>I9548</t>
  </si>
  <si>
    <t>ABRAÇADEIRA P/ ELETRODUTO 3/4" TIPO "D" EM PVC</t>
  </si>
  <si>
    <t>I6472</t>
  </si>
  <si>
    <t>ABRAÇADEIRA PARA POSTE DE CONCRETO DUPLO "T"</t>
  </si>
  <si>
    <t>I9549</t>
  </si>
  <si>
    <t>ABRAÇADEIRA TIPO "D" 1/2" AÇO CARBONO</t>
  </si>
  <si>
    <t>I9550</t>
  </si>
  <si>
    <t>ADAPTADOR BOLSA ROSCA MACHO DN 50 X 2"</t>
  </si>
  <si>
    <t>I2898</t>
  </si>
  <si>
    <t>ADAPTADOR PARA POLIETILENO 20 x 1/2"</t>
  </si>
  <si>
    <t>I2899</t>
  </si>
  <si>
    <t>ADAPTADOR PARA POLIETILENO 20 x 3/4"</t>
  </si>
  <si>
    <t>I2900</t>
  </si>
  <si>
    <t>ADAPTADOR PARA POLIETILENO 32 x 1"</t>
  </si>
  <si>
    <t>I9551</t>
  </si>
  <si>
    <t>ADAPTADOR PB FOFO X PVC DN 200</t>
  </si>
  <si>
    <t>I3078</t>
  </si>
  <si>
    <t xml:space="preserve">ADAPTADOR PBA BOLSA/ROSCA DN   50
</t>
  </si>
  <si>
    <t>I3079</t>
  </si>
  <si>
    <t xml:space="preserve">ADAPTADOR PBA BOLSA/ROSCA DN   75
</t>
  </si>
  <si>
    <t>I3080</t>
  </si>
  <si>
    <t xml:space="preserve">ADAPTADOR PBA BOLSA/ROSCA DN 100
</t>
  </si>
  <si>
    <t>I3081</t>
  </si>
  <si>
    <t>ADAPTADOR PBA PONTA / ROSCA DN 50</t>
  </si>
  <si>
    <t>I3082</t>
  </si>
  <si>
    <t>ADAPTADOR PBA PONTA / ROSCA DN 75</t>
  </si>
  <si>
    <t>I3083</t>
  </si>
  <si>
    <t xml:space="preserve">ADAPTADOR PBA/BOLSA DEFoFo JE DN   50
</t>
  </si>
  <si>
    <t>I3084</t>
  </si>
  <si>
    <t xml:space="preserve">ADAPTADOR PBA/BOLSA DEFoFo JE DN   75
</t>
  </si>
  <si>
    <t>I3085</t>
  </si>
  <si>
    <t xml:space="preserve">ADAPTADOR PBA/BOLSA DEFoFo JE DN 100
</t>
  </si>
  <si>
    <t>I3086</t>
  </si>
  <si>
    <t xml:space="preserve">ADAPTADOR PBA/LUVA DE FIBROCIMENTO DN   50
</t>
  </si>
  <si>
    <t>I3087</t>
  </si>
  <si>
    <t xml:space="preserve">ADAPTADOR PBA/LUVA DE FIBROCIMENTO DN   75
</t>
  </si>
  <si>
    <t>I3088</t>
  </si>
  <si>
    <t xml:space="preserve">ADAPTADOR PBA/LUVA DE FIBROCIMENTO DN 100
</t>
  </si>
  <si>
    <t>I6846</t>
  </si>
  <si>
    <t>ADAPTADOR PBS BOLSA ROSCA 150mm x 6'</t>
  </si>
  <si>
    <t>I9552</t>
  </si>
  <si>
    <t>ADAPTADOR PONTA X FLANGE DN 80 PN 10</t>
  </si>
  <si>
    <t>I9553</t>
  </si>
  <si>
    <t>ADAPTADOR PVC SOLDAVEL CURTO LR P/REG. 50X1"</t>
  </si>
  <si>
    <t>I6267</t>
  </si>
  <si>
    <t>ADAPTADOR SOLDÁVEL BOLSA/ROSCA DN 60mmX2"</t>
  </si>
  <si>
    <t>I9556</t>
  </si>
  <si>
    <t>ADAPTADOR TUBO FLEXIVEL 25MM X TUBO PVC RIGIDO 25MM</t>
  </si>
  <si>
    <t>I9554</t>
  </si>
  <si>
    <t>ADAPTADORPVC SOLD. COM ANEL P/CX. D'ÁGUA 32MM (1")</t>
  </si>
  <si>
    <t>I9555</t>
  </si>
  <si>
    <t>ADAPTADORPVC SOLD. COM ANEL P/CX. D'ÁGUA 40MM (1 1/4")</t>
  </si>
  <si>
    <t>I9799</t>
  </si>
  <si>
    <t>ADITIVO DE IMPERMEABILIZAÇÃO E PROTEÇÃO DE CONCRETO (DOSAGEM DE 1% DO CONSUMO DE CIMENTO DO TRAÇO DE CONCRETO)</t>
  </si>
  <si>
    <t>I6310</t>
  </si>
  <si>
    <t>AERADOR DE BANDEJAS EM FYBERGLASS CAPACIDADE DE 11,1 à 19,0 l/s</t>
  </si>
  <si>
    <t>I6311</t>
  </si>
  <si>
    <t>AERADOR DE BANDEJAS EM FYBERGLASS CAPACIDADE DE 19,1 à 32,0 l/s</t>
  </si>
  <si>
    <t>I6312</t>
  </si>
  <si>
    <t>AERADOR DE BANDEJAS EM FYBERGLASS CAPACIDADE DE 32,1 à 50,0 l/s</t>
  </si>
  <si>
    <t>I6309</t>
  </si>
  <si>
    <t>AERADOR DE BANDEJAS EM FYBERGLASS CAPACIDADE DE 5,1 à 11,0 l/s</t>
  </si>
  <si>
    <t>I6313</t>
  </si>
  <si>
    <t>AERADOR DE BANDEJAS EM FYBERGLASS CAPACIDADE DE 50,10 à 72,0 l/s</t>
  </si>
  <si>
    <t>I6308</t>
  </si>
  <si>
    <t>AERADOR DE BANDEJAS EM FYBERGLASS CAPACIDADE DE ATÉ 5,0 l/s</t>
  </si>
  <si>
    <t>I8973</t>
  </si>
  <si>
    <t>ALUGUEL DE EQUIPAMENTO PARA COLETA DE DADOS, DO TIPO "TABLET", COM SISTEMA OPERACIONAL ANDROID 4.2 OU VERSÃO SUPERIOR</t>
  </si>
  <si>
    <t>I8212</t>
  </si>
  <si>
    <t>ALÇA PREFORMADA DE DISTRIBUIÇÃO PARA CONDUTOR DE ALUMÍNIO 2,0 AWG</t>
  </si>
  <si>
    <t>I8213</t>
  </si>
  <si>
    <t>ALÇA PREFORMADA DE DISTRIBUIÇÃO PARA CONDUTOR DE COBRE 2,0 AWG</t>
  </si>
  <si>
    <t>I4159</t>
  </si>
  <si>
    <t>ANEL BORRACHA P/ FoFo JUNTA ELÁSTICA DN 100 P/ ESGOTO</t>
  </si>
  <si>
    <t>I8216</t>
  </si>
  <si>
    <t>ANEL BORRACHA P/ FoFo JUNTA ELÁSTICA DN 100 P/ ÁGUA</t>
  </si>
  <si>
    <t>I4172</t>
  </si>
  <si>
    <t>ANEL BORRACHA P/ FoFo JUNTA ELÁSTICA DN 1000 P/ ESGOTO</t>
  </si>
  <si>
    <t>I6409</t>
  </si>
  <si>
    <t>ANEL BORRACHA P/ FoFo JUNTA ELÁSTICA DN 1000 P/ ÁGUA</t>
  </si>
  <si>
    <t>I4173</t>
  </si>
  <si>
    <t>ANEL BORRACHA P/ FoFo JUNTA ELÁSTICA DN 1200 P/ ESGOTO</t>
  </si>
  <si>
    <t>I6417</t>
  </si>
  <si>
    <t>ANEL BORRACHA P/ FoFo JUNTA ELÁSTICA DN 1200 P/ ÁGUA</t>
  </si>
  <si>
    <t>I4160</t>
  </si>
  <si>
    <t>ANEL BORRACHA P/ FoFo JUNTA ELÁSTICA DN 150 P/ ESGOTO</t>
  </si>
  <si>
    <t>I8217</t>
  </si>
  <si>
    <t>ANEL BORRACHA P/ FoFo JUNTA ELÁSTICA DN 150 P/ ÁGUA</t>
  </si>
  <si>
    <t>I4161</t>
  </si>
  <si>
    <t>ANEL BORRACHA P/ FoFo JUNTA ELÁSTICA DN 200 P/ ESGOTO</t>
  </si>
  <si>
    <t>I8218</t>
  </si>
  <si>
    <t>ANEL BORRACHA P/ FoFo JUNTA ELÁSTICA DN 200 P/ ÁGUA</t>
  </si>
  <si>
    <t>I4162</t>
  </si>
  <si>
    <t>ANEL BORRACHA P/ FoFo JUNTA ELÁSTICA DN 250 P/ ESGOTO</t>
  </si>
  <si>
    <t>I8219</t>
  </si>
  <si>
    <t>ANEL BORRACHA P/ FoFo JUNTA ELÁSTICA DN 250 P/ ÁGUA</t>
  </si>
  <si>
    <t>I4163</t>
  </si>
  <si>
    <t>ANEL BORRACHA P/ FoFo JUNTA ELÁSTICA DN 300 P/ ESGOTO</t>
  </si>
  <si>
    <t>I8220</t>
  </si>
  <si>
    <t>ANEL BORRACHA P/ FoFo JUNTA ELÁSTICA DN 300 P/ ÁGUA</t>
  </si>
  <si>
    <t>I4164</t>
  </si>
  <si>
    <t>ANEL BORRACHA P/ FoFo JUNTA ELÁSTICA DN 350 P/ ESGOTO</t>
  </si>
  <si>
    <t>I8221</t>
  </si>
  <si>
    <t>ANEL BORRACHA P/ FoFo JUNTA ELÁSTICA DN 350 P/ ÁGUA</t>
  </si>
  <si>
    <t>I4165</t>
  </si>
  <si>
    <t>ANEL BORRACHA P/ FoFo JUNTA ELÁSTICA DN 400 P/ ESGOTO</t>
  </si>
  <si>
    <t>I6400</t>
  </si>
  <si>
    <t>ANEL BORRACHA P/ FoFo JUNTA ELÁSTICA DN 400 P/ ÁGUA</t>
  </si>
  <si>
    <t>I4166</t>
  </si>
  <si>
    <t>ANEL BORRACHA P/ FoFo JUNTA ELÁSTICA DN 450 P/ ESGOTO</t>
  </si>
  <si>
    <t>I6402</t>
  </si>
  <si>
    <t>ANEL BORRACHA P/ FoFo JUNTA ELÁSTICA DN 450 P/ ÁGUA</t>
  </si>
  <si>
    <t>I4157</t>
  </si>
  <si>
    <t>ANEL BORRACHA P/ FoFo JUNTA ELÁSTICA DN 50 P/ ESGOTO</t>
  </si>
  <si>
    <t>I4167</t>
  </si>
  <si>
    <t>ANEL BORRACHA P/ FoFo JUNTA ELÁSTICA DN 500 P/ ESGOTO</t>
  </si>
  <si>
    <t>I6403</t>
  </si>
  <si>
    <t>ANEL BORRACHA P/ FoFo JUNTA ELÁSTICA DN 500 P/ ÁGUA</t>
  </si>
  <si>
    <t>I10484</t>
  </si>
  <si>
    <t>ANEL BORRACHA P/ FoFo JUNTA ELÁSTICA DN 550 P/ ESGOTO</t>
  </si>
  <si>
    <t>I10483</t>
  </si>
  <si>
    <t>ANEL BORRACHA P/ FoFo JUNTA ELÁSTICA DN 550 P/ ÁGUA</t>
  </si>
  <si>
    <t>I4168</t>
  </si>
  <si>
    <t>ANEL BORRACHA P/ FoFo JUNTA ELÁSTICA DN 600 P/ ESGOTO</t>
  </si>
  <si>
    <t>I6404</t>
  </si>
  <si>
    <t>ANEL BORRACHA P/ FoFo JUNTA ELÁSTICA DN 600 P/ ÁGUA</t>
  </si>
  <si>
    <t>I4169</t>
  </si>
  <si>
    <t>ANEL BORRACHA P/ FoFo JUNTA ELÁSTICA DN 700 P/ ESGOTO</t>
  </si>
  <si>
    <t>I6405</t>
  </si>
  <si>
    <t>ANEL BORRACHA P/ FoFo JUNTA ELÁSTICA DN 700 P/ ÁGUA</t>
  </si>
  <si>
    <t>I7095</t>
  </si>
  <si>
    <t>ANEL BORRACHA P/ FoFo JUNTA ELÁSTICA DN 80 P/ ESGOTO</t>
  </si>
  <si>
    <t>I8215</t>
  </si>
  <si>
    <t>ANEL BORRACHA P/ FoFo JUNTA ELÁSTICA DN 80 P/ ÁGUA</t>
  </si>
  <si>
    <t>I4170</t>
  </si>
  <si>
    <t>ANEL BORRACHA P/ FoFo JUNTA ELÁSTICA DN 800 P/ ESGOTO</t>
  </si>
  <si>
    <t>I6406</t>
  </si>
  <si>
    <t>ANEL BORRACHA P/ FoFo JUNTA ELÁSTICA DN 800 P/ ÁGUA</t>
  </si>
  <si>
    <t>I4171</t>
  </si>
  <si>
    <t>ANEL BORRACHA P/ FoFo JUNTA ELÁSTICA DN 900 P/ ESGOTO</t>
  </si>
  <si>
    <t>I6407</t>
  </si>
  <si>
    <t>ANEL BORRACHA P/ FoFo JUNTA ELÁSTICA DN 900 P/ ÁGUA</t>
  </si>
  <si>
    <t>I2965</t>
  </si>
  <si>
    <t>ANEL DE BORRACHA OCRE DN 100</t>
  </si>
  <si>
    <t>I2966</t>
  </si>
  <si>
    <t>ANEL DE BORRACHA OCRE DN 125</t>
  </si>
  <si>
    <t>I2967</t>
  </si>
  <si>
    <t>ANEL DE BORRACHA OCRE DN 150</t>
  </si>
  <si>
    <t>I2968</t>
  </si>
  <si>
    <t>ANEL DE BORRACHA OCRE DN 200</t>
  </si>
  <si>
    <t>I2969</t>
  </si>
  <si>
    <t>ANEL DE BORRACHA OCRE DN 250</t>
  </si>
  <si>
    <t>I2970</t>
  </si>
  <si>
    <t>ANEL DE BORRACHA OCRE DN 300</t>
  </si>
  <si>
    <t>I2971</t>
  </si>
  <si>
    <t>ANEL DE BORRACHA OCRE DN 350</t>
  </si>
  <si>
    <t>I2972</t>
  </si>
  <si>
    <t>ANEL DE BORRACHA OCRE DN 400</t>
  </si>
  <si>
    <t>I3094</t>
  </si>
  <si>
    <t>ANEL DE BORRACHA P/ TUBO DE FoFo 1MPa DN 100</t>
  </si>
  <si>
    <t>I3095</t>
  </si>
  <si>
    <t>ANEL DE BORRACHA P/ TUBO DE FoFo 1MPa DN 150</t>
  </si>
  <si>
    <t>I3096</t>
  </si>
  <si>
    <t>ANEL DE BORRACHA P/ TUBO DE FoFo 1MPa DN 200</t>
  </si>
  <si>
    <t>I3097</t>
  </si>
  <si>
    <t>ANEL DE BORRACHA P/ TUBO DE FoFo 1MPa DN 250</t>
  </si>
  <si>
    <t>I3098</t>
  </si>
  <si>
    <t>ANEL DE BORRACHA P/ TUBO DE FoFo 1MPa DN 300</t>
  </si>
  <si>
    <t>I3091</t>
  </si>
  <si>
    <t>ANEL DE BORRACHA P/ TUBO PBA DN 100</t>
  </si>
  <si>
    <t>I3089</t>
  </si>
  <si>
    <t>ANEL DE BORRACHA P/ TUBO PBA DN 50</t>
  </si>
  <si>
    <t>I3090</t>
  </si>
  <si>
    <t>ANEL DE BORRACHA P/ TUBO PBA DN 75</t>
  </si>
  <si>
    <t>I2964</t>
  </si>
  <si>
    <t>ANEL DE BORRACHA P/TUBO VFORT.PAREDE DUPLA DN 150</t>
  </si>
  <si>
    <t>I6847</t>
  </si>
  <si>
    <t>ANEL DE BORRACHA TIL REDE 150</t>
  </si>
  <si>
    <t>I6848</t>
  </si>
  <si>
    <t>ANEL DE BORRACHA TIL REDE 300</t>
  </si>
  <si>
    <t>I9557</t>
  </si>
  <si>
    <t>ANEL DE VEDAÇÃO CHULA DN 16</t>
  </si>
  <si>
    <t>I9558</t>
  </si>
  <si>
    <t>ANEL DE VEDAÇÃO CHULA DN 25</t>
  </si>
  <si>
    <t>I5803</t>
  </si>
  <si>
    <t>ANEL EDUTOR O-RING DN 40</t>
  </si>
  <si>
    <t>I5804</t>
  </si>
  <si>
    <t>ANEL EDUTOR O-RING DN 50</t>
  </si>
  <si>
    <t>I5805</t>
  </si>
  <si>
    <t>ANEL EDUTOR O-RING DN 65</t>
  </si>
  <si>
    <t>I6063</t>
  </si>
  <si>
    <t>ANEL PRE-MOLDADO DE CONCRETO, D = 0,60M (LIGA. PREDIAL)</t>
  </si>
  <si>
    <t>I6061</t>
  </si>
  <si>
    <t>ANEL PRE-MOLDADO DE CONCRETO, D = 0,60M, H = 0,50M</t>
  </si>
  <si>
    <t>I6062</t>
  </si>
  <si>
    <t>ANEL PRE-MOLDADO DE CONCRETO, D = 0,60M, H = 0,70M</t>
  </si>
  <si>
    <t>I6064</t>
  </si>
  <si>
    <t>ANEL PRE-MOLDADO DE CONCRETO, D = 0,60M, H = 1,00M</t>
  </si>
  <si>
    <t>I6065</t>
  </si>
  <si>
    <t>ANEL PRE-MOLDADO DE CONCRETO, D = 1,00M, H = 0,50M</t>
  </si>
  <si>
    <t>I6244</t>
  </si>
  <si>
    <t>ANEL PRE-MOLDADO DE CONCRETO, D = 1,50M, H = 0,50M</t>
  </si>
  <si>
    <t>I6066</t>
  </si>
  <si>
    <t>ANEL PRE-MOLDADO DE CONCRETO, D = 2,00M, H = 0,50M</t>
  </si>
  <si>
    <t>I6067</t>
  </si>
  <si>
    <t>ANEL PRE-MOLDADO DE CONCRETO, D = 2,50M, H = 0,50M</t>
  </si>
  <si>
    <t>I6068</t>
  </si>
  <si>
    <t>ANEL PRE-MOLDADO DE CONCRETO, D = 3,00M, H = 0,50M</t>
  </si>
  <si>
    <t>I6069</t>
  </si>
  <si>
    <t>ANEL PRE-MOLDADO DE CONCRETO, D = 3,50M, H = 0,50M</t>
  </si>
  <si>
    <t>I6410</t>
  </si>
  <si>
    <t>ANEL PRE-MOLDADO DE CONCRETO, D = 4,00M, ESP=12CM</t>
  </si>
  <si>
    <t>I6411</t>
  </si>
  <si>
    <t>ANEL PRE-MOLDADO DE CONCRETO, D = 5,00M, ESP=15CM</t>
  </si>
  <si>
    <t>I9559</t>
  </si>
  <si>
    <t>ANILHAS PARA IDENTIFICAÇÃO (KIT COM 100 UNID)</t>
  </si>
  <si>
    <t>I9560</t>
  </si>
  <si>
    <t>ANTENA OMNI 8 DBI - 902-928 MHZ</t>
  </si>
  <si>
    <t>I9561</t>
  </si>
  <si>
    <t>ANTENA OMNI 9 DBI - 902-928 MHZ</t>
  </si>
  <si>
    <t>I9562</t>
  </si>
  <si>
    <t>ANTENA YAGI 10,3 DBI - 902 A 928 MHZ</t>
  </si>
  <si>
    <t>I9563</t>
  </si>
  <si>
    <t>ANTENA YAGI 17 DBI - 902 A 928 MHZ</t>
  </si>
  <si>
    <t>I10467</t>
  </si>
  <si>
    <t>AREIA PARA LEITO DE FILTRO (TAMANHO EFETIVO = 0,41 mm; 0,30mm &lt;= TAMANHO DOS GRÃOS &lt;= 1,41 mm; COEFICIENTE DE DESUNIFORMIDADES; 1,65 A 1,70 COEFICIENTE DE ESFERICIDADE: 0,75 A 0,80 ; POROSIDADE =0,42 a 0,47 E MASSA ESPECÍFICA APARENTE=2,650 kg/m³)</t>
  </si>
  <si>
    <t>M³</t>
  </si>
  <si>
    <t>I10464</t>
  </si>
  <si>
    <t>AREIA PARA LEITO DE FILTRO (TAMANHO EFETIVO = 0,72mm; 0,59mm &lt;= TAMANHO DOS GRÃOS &lt;= 1,41 mm; COEFICIENTE DE DESUNIFORMIDADES; 1,50 A 1,70 COEFICIENTE DE ESFERICIDADE: 0,65 A 0,75 ; POROSIDADE =0,42 a 0,47 E MASSA ESPECÍFICA APARENTE=2,650 kg/m³)</t>
  </si>
  <si>
    <t>I10465</t>
  </si>
  <si>
    <t>AREIA PARA LEITO DE FILTRO (TAMANHO EFETIVO = 0,85mm; 0,59mm &lt;= TAMANHO DOS GRÃOS &lt;= 2,00 mm; COEFICIENTE DE DESUNIFORMIDADES; 1,50 A 1,70 COEFICIENTE DE ESFERICIDADE: 0,75 A 0,85 ; POROSIDADE =0,42 a 0,47 E MASSA ESPECÍFICA APARENTE=2,650 kg/m³)</t>
  </si>
  <si>
    <t>I10466</t>
  </si>
  <si>
    <t>AREIA PARA LEITO DE FILTRO (TAMANHO EFETIVO = 1,41 mm; 1,19mm &lt;= TAMANHO DOS GRÃOS &lt;= 3,36 mm; COEFICIENTE DE DESUNIFORMIDADES; 1,40 A 1,45 COEFICIENTE DE ESFERICIDADE: 0,75 A 0,80 ; POROSIDADE =0,42 a 0,47 E MASSA ESPECÍFICA APARENTE=2,650 kg/m³)</t>
  </si>
  <si>
    <t>I6049</t>
  </si>
  <si>
    <t>AREIA SILTOSA, GRANULAÇÃO ESPECÍFICA, PARA LEITO FILTRANTE, T.E. = 0,45 A 0,50; C.U. = 1,4 a 1,6</t>
  </si>
  <si>
    <t>I8980</t>
  </si>
  <si>
    <t>ARGAMASSA POLIMÉRICA</t>
  </si>
  <si>
    <t>I6470</t>
  </si>
  <si>
    <t>ARMAÇÃO SECUNDÁRIA COM ISOLADOR TIPO ROLDANA</t>
  </si>
  <si>
    <t>I4142</t>
  </si>
  <si>
    <t>ARRUELA BORRACHA P/ FLANGES DN 100 PN10 P/ ESGOTO</t>
  </si>
  <si>
    <t>I6428</t>
  </si>
  <si>
    <t>ARRUELA BORRACHA P/ FLANGES DN 100 PN10 P/ ÁGUA</t>
  </si>
  <si>
    <t>I4155</t>
  </si>
  <si>
    <t>ARRUELA BORRACHA P/ FLANGES DN 1000 PN10 P/ ESGOTO</t>
  </si>
  <si>
    <t>I6446</t>
  </si>
  <si>
    <t>ARRUELA BORRACHA P/ FLANGES DN 1000 PN10 P/ ÁGUA</t>
  </si>
  <si>
    <t>I4156</t>
  </si>
  <si>
    <t>ARRUELA BORRACHA P/ FLANGES DN 1200 PN10 P/ ESGOTO</t>
  </si>
  <si>
    <t>I6447</t>
  </si>
  <si>
    <t>ARRUELA BORRACHA P/ FLANGES DN 1200 PN10 P/ ÁGUA</t>
  </si>
  <si>
    <t>I4143</t>
  </si>
  <si>
    <t>ARRUELA BORRACHA P/ FLANGES DN 150 PN10 P/ ESGOTO</t>
  </si>
  <si>
    <t>I6429</t>
  </si>
  <si>
    <t>ARRUELA BORRACHA P/ FLANGES DN 150 PN10 P/ ÁGUA</t>
  </si>
  <si>
    <t>I4144</t>
  </si>
  <si>
    <t>ARRUELA BORRACHA P/ FLANGES DN 200 PN10 P/ ESGOTO</t>
  </si>
  <si>
    <t>I6430</t>
  </si>
  <si>
    <t>ARRUELA BORRACHA P/ FLANGES DN 200 PN10 P/ ÁGUA</t>
  </si>
  <si>
    <t>I4145</t>
  </si>
  <si>
    <t>ARRUELA BORRACHA P/ FLANGES DN 250 PN10 P/ ESGOTO</t>
  </si>
  <si>
    <t>I6436</t>
  </si>
  <si>
    <t>ARRUELA BORRACHA P/ FLANGES DN 250 PN10 P/ ÁGUA</t>
  </si>
  <si>
    <t>I4146</t>
  </si>
  <si>
    <t>ARRUELA BORRACHA P/ FLANGES DN 300 PN10 P/ ESGOTO</t>
  </si>
  <si>
    <t>I6437</t>
  </si>
  <si>
    <t>ARRUELA BORRACHA P/ FLANGES DN 300 PN10 P/ ÁGUA</t>
  </si>
  <si>
    <t>I4147</t>
  </si>
  <si>
    <t>ARRUELA BORRACHA P/ FLANGES DN 350 PN10 P/ ESGOTO</t>
  </si>
  <si>
    <t>I6438</t>
  </si>
  <si>
    <t>ARRUELA BORRACHA P/ FLANGES DN 350 PN10 P/ ÁGUA</t>
  </si>
  <si>
    <t>I4148</t>
  </si>
  <si>
    <t>ARRUELA BORRACHA P/ FLANGES DN 400 PN10 P/ ESGOTO</t>
  </si>
  <si>
    <t>I6439</t>
  </si>
  <si>
    <t>ARRUELA BORRACHA P/ FLANGES DN 400 PN10 P/ ÁGUA</t>
  </si>
  <si>
    <t>I9564</t>
  </si>
  <si>
    <t>ARRUELA BORRACHA P/ FLANGES DN 400 PN16 P/ ÁGUA</t>
  </si>
  <si>
    <t>I4149</t>
  </si>
  <si>
    <t>ARRUELA BORRACHA P/ FLANGES DN 450 PN10 P/ ESGOTO</t>
  </si>
  <si>
    <t>I6440</t>
  </si>
  <si>
    <t>ARRUELA BORRACHA P/ FLANGES DN 450 PN10 P/ ÁGUA</t>
  </si>
  <si>
    <t>I4140</t>
  </si>
  <si>
    <t>ARRUELA BORRACHA P/ FLANGES DN 50 PN10 P/ ESGOTO</t>
  </si>
  <si>
    <t>I6418</t>
  </si>
  <si>
    <t>ARRUELA BORRACHA P/ FLANGES DN 50 PN10 P/ ÁGUA</t>
  </si>
  <si>
    <t>I4150</t>
  </si>
  <si>
    <t>ARRUELA BORRACHA P/ FLANGES DN 500 PN10 P/ ESGOTO</t>
  </si>
  <si>
    <t>I6441</t>
  </si>
  <si>
    <t>ARRUELA BORRACHA P/ FLANGES DN 500 PN10 P/ ÁGUA</t>
  </si>
  <si>
    <t>I4151</t>
  </si>
  <si>
    <t>ARRUELA BORRACHA P/ FLANGES DN 600 PN10 P/ ESGOTO</t>
  </si>
  <si>
    <t>I6442</t>
  </si>
  <si>
    <t>ARRUELA BORRACHA P/ FLANGES DN 600 PN10 P/ ÁGUA</t>
  </si>
  <si>
    <t>I4152</t>
  </si>
  <si>
    <t>ARRUELA BORRACHA P/ FLANGES DN 700 PN10 P/ ESGOTO</t>
  </si>
  <si>
    <t>I6443</t>
  </si>
  <si>
    <t>ARRUELA BORRACHA P/ FLANGES DN 700 PN10 P/ ÁGUA</t>
  </si>
  <si>
    <t>I4141</t>
  </si>
  <si>
    <t>ARRUELA BORRACHA P/ FLANGES DN 75 PN10 P/ ESGOTO</t>
  </si>
  <si>
    <t>I6419</t>
  </si>
  <si>
    <t>ARRUELA BORRACHA P/ FLANGES DN 75 PN10 P/ ÁGUA</t>
  </si>
  <si>
    <t>I7096</t>
  </si>
  <si>
    <t>ARRUELA BORRACHA P/ FLANGES DN 80 PN10 P/ ESGOTO</t>
  </si>
  <si>
    <t>I6420</t>
  </si>
  <si>
    <t>ARRUELA BORRACHA P/ FLANGES DN 80 PN10 P/ ÁGUA</t>
  </si>
  <si>
    <t>I4153</t>
  </si>
  <si>
    <t>ARRUELA BORRACHA P/ FLANGES DN 800 PN10 P/ ESGOTO</t>
  </si>
  <si>
    <t>I6444</t>
  </si>
  <si>
    <t>ARRUELA BORRACHA P/ FLANGES DN 800 PN10 P/ ÁGUA</t>
  </si>
  <si>
    <t>I4154</t>
  </si>
  <si>
    <t>ARRUELA BORRACHA P/ FLANGES DN 900 PN10 P/ ESGOTO</t>
  </si>
  <si>
    <t>I6445</t>
  </si>
  <si>
    <t>ARRUELA BORRACHA P/ FLANGES DN 900 PN10 P/ ÁGUA</t>
  </si>
  <si>
    <t>I9565</t>
  </si>
  <si>
    <t>ARRUELA BORRACHA P/ FLANGES DN 900 PN16 P/ ÁGUA</t>
  </si>
  <si>
    <t>I6467</t>
  </si>
  <si>
    <t>ARRUELA DE ALUMÍNIO PARA ELETRODUTO DN 1  1/2"</t>
  </si>
  <si>
    <t>I9566</t>
  </si>
  <si>
    <t>ARRUELA DE PRESSÃO 3/8" AÇO CARBONO</t>
  </si>
  <si>
    <t>I9567</t>
  </si>
  <si>
    <t>ARRUELA LISA 3/8" AÇO CARBONO</t>
  </si>
  <si>
    <t>I8070</t>
  </si>
  <si>
    <t>ARRUELA QUADRADA 50 x 3mm COM FURO DE 15mm</t>
  </si>
  <si>
    <t>I8071</t>
  </si>
  <si>
    <t>ARRUELA REDONDA 32 x 3mm COM FURO DE 18mm</t>
  </si>
  <si>
    <t>I7556</t>
  </si>
  <si>
    <t>ASFALTO OXIDADO (PESO ESPECÍFICO 1,02 g/cm3)</t>
  </si>
  <si>
    <t>I9568</t>
  </si>
  <si>
    <t>ASPERSOR ESCAMOTEÁVEL</t>
  </si>
  <si>
    <t>I9569</t>
  </si>
  <si>
    <t>BANCADA DE AÇO INOX (2,20X0.75)M</t>
  </si>
  <si>
    <t>I9570</t>
  </si>
  <si>
    <t>BANCADA DE AÇO INOX (2,85X0.75)M C/ 2 CUBAS E ACESSÓRIOS</t>
  </si>
  <si>
    <t>I9571</t>
  </si>
  <si>
    <t>BANCADA DE AÇO INOX (4,35X0.75)M</t>
  </si>
  <si>
    <t>I9572</t>
  </si>
  <si>
    <t>BANCADA DE AÇO INOX (5,15X0.75)M C/ 2 CUBAS E ACESSÓRIOS</t>
  </si>
  <si>
    <t>I9574</t>
  </si>
  <si>
    <t>BANCO DE CAPACITOR AUTOMÁTICO 120KVAR 440V</t>
  </si>
  <si>
    <t>I9573</t>
  </si>
  <si>
    <t>BANCO DE CAPACITOR AUTOMÁTICO 40KVAR 440V</t>
  </si>
  <si>
    <t>I7551</t>
  </si>
  <si>
    <t>BARRA CHATA ALUM. 1" ESP. 1/4 COM 6m</t>
  </si>
  <si>
    <t>I13163</t>
  </si>
  <si>
    <t>BARRA CHATA AÇO INOX 304 1.1/4'' X 1/2"</t>
  </si>
  <si>
    <t>I13161</t>
  </si>
  <si>
    <t>BARRA CHATA AÇO INOX 304 2'' X 1/4"</t>
  </si>
  <si>
    <t>I13164</t>
  </si>
  <si>
    <t>BARRA CHATA AÇO INOX 304 2'' x 5/16''</t>
  </si>
  <si>
    <t>I13165</t>
  </si>
  <si>
    <t>BARRA CHATA AÇO INOX 304 2.1/2" x 5/16"</t>
  </si>
  <si>
    <t>I13162</t>
  </si>
  <si>
    <t>BARRA CHATA AÇO INOX 304 3'' X 1/4"</t>
  </si>
  <si>
    <t>I13157</t>
  </si>
  <si>
    <t>BARRA CHATA AÇO INOX 316L 1.1/4'' X 5/16''</t>
  </si>
  <si>
    <t>I13159</t>
  </si>
  <si>
    <t>BARRA CHATA AÇO INOX 316L 2'' X 1/4"</t>
  </si>
  <si>
    <t>I13158</t>
  </si>
  <si>
    <t>BARRA CHATA AÇO INOX 316L 2.1/2'' X 5/16"</t>
  </si>
  <si>
    <t>I13160</t>
  </si>
  <si>
    <t>BARRA CHATA AÇO INOX 316L 3'' X 1/4"</t>
  </si>
  <si>
    <t>I13156</t>
  </si>
  <si>
    <t>BARRA CHATA AÇO INOX 316L 3/8' X 2''</t>
  </si>
  <si>
    <t>I13155</t>
  </si>
  <si>
    <t>BARRA CHATA AÇO INOX 316L 3/8'' X 1.1/2''</t>
  </si>
  <si>
    <t>I9575</t>
  </si>
  <si>
    <t>BASE SECCIONADORA 10 X 38 PARA FUSIVEL CARTUCHO E PORCELANA</t>
  </si>
  <si>
    <t>I9576</t>
  </si>
  <si>
    <t>BATERIA 40 AH</t>
  </si>
  <si>
    <t>I10474</t>
  </si>
  <si>
    <t>BLOCO DRENANTE EM POLIPROPILENO P/ LEITO (0,30M x 0,30M x 0,05M)</t>
  </si>
  <si>
    <t>I9346</t>
  </si>
  <si>
    <t>BOBINA DE PAPEL P/ IMPRESSORA PORTÁTIL</t>
  </si>
  <si>
    <t>I9347</t>
  </si>
  <si>
    <t>BOMBAS PERISTÁLTICAS P/ PAC, POLÍMERO, HIDRÓXIDO DE SÓDIO OU ÁCIDO FLUOSSILICICO, Q = 0,1 a  500 ml/min (0,006 a  30 l/h)</t>
  </si>
  <si>
    <t>I9348</t>
  </si>
  <si>
    <t>BOMBAS PERISTÁLTICAS P/ PAC, POLÍMERO, HIDRÓXIDO DE SÓDIO OU ÁCIDO FLUOSSILICICO, Q = 0,1 a 1000ml/min (0,006 a  60 l/h)</t>
  </si>
  <si>
    <t>I9349</t>
  </si>
  <si>
    <t>BOMBAS PERISTÁLTICAS P/ PAC, POLÍMERO, HIDRÓXIDO DE SÓDIO OU ÁCIDO FLUOSSILICICO, Q = 0,1 a 2000 ml/min (0,006 a 120 l/h)</t>
  </si>
  <si>
    <t>I9577</t>
  </si>
  <si>
    <t>BORNE 2,5MM²</t>
  </si>
  <si>
    <t>I9578</t>
  </si>
  <si>
    <t>BORNE 4 MM²</t>
  </si>
  <si>
    <t>I9579</t>
  </si>
  <si>
    <t>BORNE SACK FUSIVEL 1-6,3A 8WA1 011-1SF12</t>
  </si>
  <si>
    <t>I9580</t>
  </si>
  <si>
    <t>BORNE TERRA 2,5MM²</t>
  </si>
  <si>
    <t>I9581</t>
  </si>
  <si>
    <t>BORNE TERRA 4MM²</t>
  </si>
  <si>
    <t>I7554</t>
  </si>
  <si>
    <t>BORRACHA LENÇOL SINTÉTICO 4,8mm (8,10/m)</t>
  </si>
  <si>
    <t>I9582</t>
  </si>
  <si>
    <t>BOTÃO DE COMANDO VERDE 1NA</t>
  </si>
  <si>
    <t>I9583</t>
  </si>
  <si>
    <t>BOTÃO DE COMANDO VERMELHO 1NF</t>
  </si>
  <si>
    <t>I9584</t>
  </si>
  <si>
    <t>BOTÃO DE EMERGÊNCIA - COGUMELO</t>
  </si>
  <si>
    <t>I6425</t>
  </si>
  <si>
    <t>BOX RETO DE  D=1 1/2"</t>
  </si>
  <si>
    <t>I6426</t>
  </si>
  <si>
    <t>BOX RETO DE  D=1"</t>
  </si>
  <si>
    <t>I6427</t>
  </si>
  <si>
    <t>BOX RETO DE  D=3/4"</t>
  </si>
  <si>
    <t>I9585</t>
  </si>
  <si>
    <t>BUCHA COM REDUÇÃO EM FºGº 1 1/4”X 2 1/2”</t>
  </si>
  <si>
    <t>I6466</t>
  </si>
  <si>
    <t>BUCHA DE ALUMÍNIO PARA ELETRODUTO DN 1 1/2"</t>
  </si>
  <si>
    <t>I9586</t>
  </si>
  <si>
    <t>BUCHA REDUÇÃO DE AÇO GALVANIZADO 6"X 4"</t>
  </si>
  <si>
    <t>I9590</t>
  </si>
  <si>
    <t>BUCHA REDUÇÃO LONGA PVC SOLDÁVEL DN 50X32MM</t>
  </si>
  <si>
    <t>I9587</t>
  </si>
  <si>
    <t>BUCHA REDUÇÃO PVC SOLD. D=1 1/2"X1" (50X32MM)</t>
  </si>
  <si>
    <t>I9588</t>
  </si>
  <si>
    <t>BUCHA REDUÇÃO PVC SOLD. D=1 1/4"X1" (40X32MM)</t>
  </si>
  <si>
    <t>I9589</t>
  </si>
  <si>
    <t>BUCHA REDUÇÃO PVC SOLD. D=1"X3/4" (32X25MM)</t>
  </si>
  <si>
    <t>I6496</t>
  </si>
  <si>
    <t>BÓIA DE NÍVEL PÊRA C/ CONTRAPESO - 10 METROS DE CABO</t>
  </si>
  <si>
    <t>I6493</t>
  </si>
  <si>
    <t>BÓIA DE NÍVEL PÊRA C/ CONTRAPESO - 5 METROS DE CABO</t>
  </si>
  <si>
    <t>I8500</t>
  </si>
  <si>
    <t>CABO BLINDADO FLEXÍVEL TETRAPOLAR 3 x 10,0 mm² + 10,0 mm²</t>
  </si>
  <si>
    <t>I8507</t>
  </si>
  <si>
    <t>CABO BLINDADO FLEXÍVEL TETRAPOLAR 3 x 120,0 mm² + 70,0 mm²</t>
  </si>
  <si>
    <t>I8508</t>
  </si>
  <si>
    <t>CABO BLINDADO FLEXÍVEL TETRAPOLAR 3 x 150,0 mm² + 95,0 mm²</t>
  </si>
  <si>
    <t>I8501</t>
  </si>
  <si>
    <t>CABO BLINDADO FLEXÍVEL TETRAPOLAR 3 x 16,0 mm² + 16,0 mm²</t>
  </si>
  <si>
    <t>I8509</t>
  </si>
  <si>
    <t>CABO BLINDADO FLEXÍVEL TETRAPOLAR 3 x 185,0 mm² + 95,0 mm²</t>
  </si>
  <si>
    <t>I8497</t>
  </si>
  <si>
    <t>CABO BLINDADO FLEXÍVEL TETRAPOLAR 3 x 2,5 mm² + 2,5 mm²</t>
  </si>
  <si>
    <t>I8510</t>
  </si>
  <si>
    <t>CABO BLINDADO FLEXÍVEL TETRAPOLAR 3 x 240,0 mm² + 120,0 mm²</t>
  </si>
  <si>
    <t>I8502</t>
  </si>
  <si>
    <t>CABO BLINDADO FLEXÍVEL TETRAPOLAR 3 x 25,0 mm² + 25,0 mm²</t>
  </si>
  <si>
    <t>I8503</t>
  </si>
  <si>
    <t>CABO BLINDADO FLEXÍVEL TETRAPOLAR 3 x 35,0 mm² + 16,0 mm²</t>
  </si>
  <si>
    <t>I8498</t>
  </si>
  <si>
    <t>CABO BLINDADO FLEXÍVEL TETRAPOLAR 3 x 4,0 mm² + 4,0 mm²</t>
  </si>
  <si>
    <t>I8504</t>
  </si>
  <si>
    <t>CABO BLINDADO FLEXÍVEL TETRAPOLAR 3 x 50,0 mm² + 25,0 mm²</t>
  </si>
  <si>
    <t>I8499</t>
  </si>
  <si>
    <t>CABO BLINDADO FLEXÍVEL TETRAPOLAR 3 x 6,0 mm² + 6,0 mm²</t>
  </si>
  <si>
    <t>I8505</t>
  </si>
  <si>
    <t>CABO BLINDADO FLEXÍVEL TETRAPOLAR 3 x 70,0 mm² + 35,0 mm²</t>
  </si>
  <si>
    <t>I8506</t>
  </si>
  <si>
    <t>CABO BLINDADO FLEXÍVEL TETRAPOLAR 3 x 95,0 mm² + 50,0 mm²</t>
  </si>
  <si>
    <t>I6139</t>
  </si>
  <si>
    <t>CABO CLASSE 1KV 2 X 1,5MM2</t>
  </si>
  <si>
    <t>I6138</t>
  </si>
  <si>
    <t>CABO CLASSE 1KV 3 X 1,5MM2</t>
  </si>
  <si>
    <t>I6141</t>
  </si>
  <si>
    <t>CABO CLASSE 1KV 3 X 2,5MM2</t>
  </si>
  <si>
    <t>I6143</t>
  </si>
  <si>
    <t>CABO CLASSE 1KV 4 X 10MM2</t>
  </si>
  <si>
    <t>I6144</t>
  </si>
  <si>
    <t>CABO CLASSE 1KV 4 X 16MM2</t>
  </si>
  <si>
    <t>I6140</t>
  </si>
  <si>
    <t>CABO CLASSE 1KV 4 X 2,5MM2</t>
  </si>
  <si>
    <t>I6145</t>
  </si>
  <si>
    <t>CABO CLASSE 1KV 4 X 25MM2</t>
  </si>
  <si>
    <t>I6146</t>
  </si>
  <si>
    <t>CABO CLASSE 1KV 4 X 35MM2</t>
  </si>
  <si>
    <t>I6142</t>
  </si>
  <si>
    <t>CABO CLASSE 1KV 4 X 6MM2</t>
  </si>
  <si>
    <t>I6147</t>
  </si>
  <si>
    <t>CABO CLASSE 1KV 4 X 70MM2</t>
  </si>
  <si>
    <t>I6148</t>
  </si>
  <si>
    <t>CABO CLASSE 1KV 4 X 95MM2</t>
  </si>
  <si>
    <t>I9591</t>
  </si>
  <si>
    <t>CABO COAXIAL RGC 213</t>
  </si>
  <si>
    <t>I9592</t>
  </si>
  <si>
    <t>CABO COBRE FLEXÍVEL, ISOLADO, 1,0MM2 - 450/750V / 70º</t>
  </si>
  <si>
    <t>I8815</t>
  </si>
  <si>
    <t>CABO DE ALUMÍNIO ISOLADO XLPE 06/1KV 10MM2</t>
  </si>
  <si>
    <t>I8822</t>
  </si>
  <si>
    <t>CABO DE ALUMÍNIO ISOLADO XLPE 06/1KV 120MM2</t>
  </si>
  <si>
    <t>I8823</t>
  </si>
  <si>
    <t>CABO DE ALUMÍNIO ISOLADO XLPE 06/1KV 150MM2</t>
  </si>
  <si>
    <t>I8816</t>
  </si>
  <si>
    <t>CABO DE ALUMÍNIO ISOLADO XLPE 06/1KV 16MM2</t>
  </si>
  <si>
    <t>I8824</t>
  </si>
  <si>
    <t>CABO DE ALUMÍNIO ISOLADO XLPE 06/1KV 185MM2</t>
  </si>
  <si>
    <t>I8825</t>
  </si>
  <si>
    <t>CABO DE ALUMÍNIO ISOLADO XLPE 06/1KV 240MM2</t>
  </si>
  <si>
    <t>I8817</t>
  </si>
  <si>
    <t>CABO DE ALUMÍNIO ISOLADO XLPE 06/1KV 25MM2</t>
  </si>
  <si>
    <t>I8826</t>
  </si>
  <si>
    <t>CABO DE ALUMÍNIO ISOLADO XLPE 06/1KV 300MM2</t>
  </si>
  <si>
    <t>I8818</t>
  </si>
  <si>
    <t>CABO DE ALUMÍNIO ISOLADO XLPE 06/1KV 35MM2</t>
  </si>
  <si>
    <t>I8819</t>
  </si>
  <si>
    <t>CABO DE ALUMÍNIO ISOLADO XLPE 06/1KV 50MM2</t>
  </si>
  <si>
    <t>I8820</t>
  </si>
  <si>
    <t>CABO DE ALUMÍNIO ISOLADO XLPE 06/1KV 70MM2</t>
  </si>
  <si>
    <t>I8821</t>
  </si>
  <si>
    <t>CABO DE ALUMÍNIO ISOLADO XLPE 06/1KV 95MM2</t>
  </si>
  <si>
    <t>I8842</t>
  </si>
  <si>
    <t>CABO DE ALUMÍNIO MULTIPLEX XLPE 06/1KV 1X1X10+10MM2</t>
  </si>
  <si>
    <t>I8843</t>
  </si>
  <si>
    <t>CABO DE ALUMÍNIO MULTIPLEX XLPE 06/1KV 1X1X16+16MM2</t>
  </si>
  <si>
    <t>I8844</t>
  </si>
  <si>
    <t>CABO DE ALUMÍNIO MULTIPLEX XLPE 06/1KV 1X1X25+25MM2</t>
  </si>
  <si>
    <t>I8845</t>
  </si>
  <si>
    <t>CABO DE ALUMÍNIO MULTIPLEX XLPE 06/1KV 1X1X35+35MM2</t>
  </si>
  <si>
    <t>I8846</t>
  </si>
  <si>
    <t>CABO DE ALUMÍNIO MULTIPLEX XLPE 06/1KV 2X1X10+10MM2</t>
  </si>
  <si>
    <t>I8847</t>
  </si>
  <si>
    <t>CABO DE ALUMÍNIO MULTIPLEX XLPE 06/1KV 2X1X16+16MM2</t>
  </si>
  <si>
    <t>I8848</t>
  </si>
  <si>
    <t>CABO DE ALUMÍNIO MULTIPLEX XLPE 06/1KV 2X1X25+25MM2</t>
  </si>
  <si>
    <t>I8849</t>
  </si>
  <si>
    <t>CABO DE ALUMÍNIO MULTIPLEX XLPE 06/1KV 2X1X35+35MM2</t>
  </si>
  <si>
    <t>I8850</t>
  </si>
  <si>
    <t>CABO DE ALUMÍNIO MULTIPLEX XLPE 06/1KV 2X1X50+50MM2</t>
  </si>
  <si>
    <t>I8851</t>
  </si>
  <si>
    <t>CABO DE ALUMÍNIO MULTIPLEX XLPE 06/1KV 2X1X70+70MM2</t>
  </si>
  <si>
    <t>I8852</t>
  </si>
  <si>
    <t>CABO DE ALUMÍNIO MULTIPLEX XLPE 06/1KV 3X1X10+10MM2</t>
  </si>
  <si>
    <t>I8859</t>
  </si>
  <si>
    <t>CABO DE ALUMÍNIO MULTIPLEX XLPE 06/1KV 3X1X120+70MM2</t>
  </si>
  <si>
    <t>I8853</t>
  </si>
  <si>
    <t>CABO DE ALUMÍNIO MULTIPLEX XLPE 06/1KV 3X1X16+16MM2</t>
  </si>
  <si>
    <t>I8854</t>
  </si>
  <si>
    <t>CABO DE ALUMÍNIO MULTIPLEX XLPE 06/1KV 3X1X25+25MM2</t>
  </si>
  <si>
    <t>I8855</t>
  </si>
  <si>
    <t>CABO DE ALUMÍNIO MULTIPLEX XLPE 06/1KV 3X1X35+35MM2</t>
  </si>
  <si>
    <t>I8856</t>
  </si>
  <si>
    <t>CABO DE ALUMÍNIO MULTIPLEX XLPE 06/1KV 3X1X50+50MM2</t>
  </si>
  <si>
    <t>I8857</t>
  </si>
  <si>
    <t>CABO DE ALUMÍNIO MULTIPLEX XLPE 06/1KV 3X1X70+70MM2</t>
  </si>
  <si>
    <t>I8858</t>
  </si>
  <si>
    <t>CABO DE ALUMÍNIO MULTIPLEX XLPE 06/1KV 3X1X95+70MM2</t>
  </si>
  <si>
    <t>I8827</t>
  </si>
  <si>
    <t>CABO DE ALUMÍNIO PROTEGIDO 15KV  35MM2</t>
  </si>
  <si>
    <t>I8828</t>
  </si>
  <si>
    <t>CABO DE ALUMÍNIO PROTEGIDO 15KV  50MM2</t>
  </si>
  <si>
    <t>I8831</t>
  </si>
  <si>
    <t>CABO DE ALUMÍNIO PROTEGIDO 15KV 120MM2</t>
  </si>
  <si>
    <t>I8832</t>
  </si>
  <si>
    <t>CABO DE ALUMÍNIO PROTEGIDO 15KV 150MM2</t>
  </si>
  <si>
    <t>I8833</t>
  </si>
  <si>
    <t>CABO DE ALUMÍNIO PROTEGIDO 15KV 185MM2</t>
  </si>
  <si>
    <t>I8834</t>
  </si>
  <si>
    <t>CABO DE ALUMÍNIO PROTEGIDO 15KV 240MM2</t>
  </si>
  <si>
    <t>I8835</t>
  </si>
  <si>
    <t>CABO DE ALUMÍNIO PROTEGIDO 15KV 300MM2</t>
  </si>
  <si>
    <t>I8829</t>
  </si>
  <si>
    <t>CABO DE ALUMÍNIO PROTEGIDO 15KV 70MM2</t>
  </si>
  <si>
    <t>I8830</t>
  </si>
  <si>
    <t>CABO DE ALUMÍNIO PROTEGIDO 15KV 95MM2</t>
  </si>
  <si>
    <t>I8840</t>
  </si>
  <si>
    <t>CABO DE ALUMÍNIO PROTEGIDO 25KV 150MM2</t>
  </si>
  <si>
    <t>I8841</t>
  </si>
  <si>
    <t>CABO DE ALUMÍNIO PROTEGIDO 25KV 185MM2</t>
  </si>
  <si>
    <t>I8836</t>
  </si>
  <si>
    <t>CABO DE ALUMÍNIO PROTEGIDO 25KV 35MM2</t>
  </si>
  <si>
    <t>I8837</t>
  </si>
  <si>
    <t>CABO DE ALUMÍNIO PROTEGIDO 25KV 50MM2</t>
  </si>
  <si>
    <t>I8838</t>
  </si>
  <si>
    <t>CABO DE ALUMÍNIO PROTEGIDO 25KV 70MM2</t>
  </si>
  <si>
    <t>I8839</t>
  </si>
  <si>
    <t>CABO DE ALUMÍNIO PROTEGIDO 25KV 95MM2</t>
  </si>
  <si>
    <t>I6276</t>
  </si>
  <si>
    <t>CABO DE COBRE ISOLADO 4x4mm2 / 1KV</t>
  </si>
  <si>
    <t>I6149</t>
  </si>
  <si>
    <t>CABO DE COBRE ISOLADO 750V MULTIPOLAR 2 X 1,50MM2</t>
  </si>
  <si>
    <t>I6495</t>
  </si>
  <si>
    <t>CABO DE COBRE NÚ PARA ATERRAMENTO, TÊMPERA MOLE, FORMAÇÃO EM FIOS ENCORDOADOS, CONFORME ESPECIFICAÇÕES DA NBR-5111 - 10 mm2</t>
  </si>
  <si>
    <t>I6150</t>
  </si>
  <si>
    <t>CABO EPROTENAX 3 X 1.5MM2</t>
  </si>
  <si>
    <t>I6152</t>
  </si>
  <si>
    <t>CABO EPROTENAX 3 X 35MM2</t>
  </si>
  <si>
    <t>I6151</t>
  </si>
  <si>
    <t>CABO EPROTENAX 4 X 16MM2</t>
  </si>
  <si>
    <t>I8451</t>
  </si>
  <si>
    <t>CABO FLEXÍVEL TETRAPOLAR 4 x 1,5 mm²</t>
  </si>
  <si>
    <t>I8455</t>
  </si>
  <si>
    <t>CABO FLEXÍVEL TETRAPOLAR 4 x 10,0 mm²</t>
  </si>
  <si>
    <t>I8462</t>
  </si>
  <si>
    <t>CABO FLEXÍVEL TETRAPOLAR 4 x 120,0 mm²</t>
  </si>
  <si>
    <t>I8463</t>
  </si>
  <si>
    <t>CABO FLEXÍVEL TETRAPOLAR 4 x 150,0 mm²</t>
  </si>
  <si>
    <t>I8456</t>
  </si>
  <si>
    <t>CABO FLEXÍVEL TETRAPOLAR 4 x 16,0 mm²</t>
  </si>
  <si>
    <t>I8464</t>
  </si>
  <si>
    <t>CABO FLEXÍVEL TETRAPOLAR 4 x 185,0 mm²</t>
  </si>
  <si>
    <t>I8452</t>
  </si>
  <si>
    <t>CABO FLEXÍVEL TETRAPOLAR 4 x 2,5 mm²</t>
  </si>
  <si>
    <t>I8465</t>
  </si>
  <si>
    <t>CABO FLEXÍVEL TETRAPOLAR 4 x 240,0 mm²</t>
  </si>
  <si>
    <t>I8457</t>
  </si>
  <si>
    <t>CABO FLEXÍVEL TETRAPOLAR 4 x 25,0 mm²</t>
  </si>
  <si>
    <t>I8458</t>
  </si>
  <si>
    <t>CABO FLEXÍVEL TETRAPOLAR 4 x 35,0 mm²</t>
  </si>
  <si>
    <t>I8453</t>
  </si>
  <si>
    <t>CABO FLEXÍVEL TETRAPOLAR 4 x 4,0 mm²</t>
  </si>
  <si>
    <t>I8459</t>
  </si>
  <si>
    <t>CABO FLEXÍVEL TETRAPOLAR 4 x 50,0 mm²</t>
  </si>
  <si>
    <t>I8454</t>
  </si>
  <si>
    <t>CABO FLEXÍVEL TETRAPOLAR 4 x 6,0 mm²</t>
  </si>
  <si>
    <t>I8460</t>
  </si>
  <si>
    <t>CABO FLEXÍVEL TETRAPOLAR 4 x 70,0 mm²</t>
  </si>
  <si>
    <t>I8461</t>
  </si>
  <si>
    <t>CABO FLEXÍVEL TETRAPOLAR 4 x 95,0 mm²</t>
  </si>
  <si>
    <t>I8472</t>
  </si>
  <si>
    <t>CABO FLEXÍVEL TETRAPOLAR BLINDADO 12 x 1,0 mm²</t>
  </si>
  <si>
    <t>I8479</t>
  </si>
  <si>
    <t>CABO FLEXÍVEL TETRAPOLAR BLINDADO 12 x 1,5 mm²</t>
  </si>
  <si>
    <t>I8486</t>
  </si>
  <si>
    <t>CABO FLEXÍVEL TETRAPOLAR BLINDADO 12 x 2,5 mm²</t>
  </si>
  <si>
    <t>I8493</t>
  </si>
  <si>
    <t>CABO FLEXÍVEL TETRAPOLAR BLINDADO 12 x 4,0 mm²</t>
  </si>
  <si>
    <t>I8473</t>
  </si>
  <si>
    <t>CABO FLEXÍVEL TETRAPOLAR BLINDADO 15 x 1,0 mm²</t>
  </si>
  <si>
    <t>I8480</t>
  </si>
  <si>
    <t>CABO FLEXÍVEL TETRAPOLAR BLINDADO 15 x 1,5 mm²</t>
  </si>
  <si>
    <t>I8487</t>
  </si>
  <si>
    <t>CABO FLEXÍVEL TETRAPOLAR BLINDADO 15 x 2,5 mm²</t>
  </si>
  <si>
    <t>I8494</t>
  </si>
  <si>
    <t>CABO FLEXÍVEL TETRAPOLAR BLINDADO 15 x 4,0 mm²</t>
  </si>
  <si>
    <t>I8466</t>
  </si>
  <si>
    <t>CABO FLEXÍVEL TETRAPOLAR BLINDADO 2 x 1,0 mm²</t>
  </si>
  <si>
    <t>I8474</t>
  </si>
  <si>
    <t>CABO FLEXÍVEL TETRAPOLAR BLINDADO 20 x 1,0 mm²</t>
  </si>
  <si>
    <t>I8481</t>
  </si>
  <si>
    <t>CABO FLEXÍVEL TETRAPOLAR BLINDADO 20 x 1,5 mm²</t>
  </si>
  <si>
    <t>I8488</t>
  </si>
  <si>
    <t>CABO FLEXÍVEL TETRAPOLAR BLINDADO 20 x 2,5 mm²</t>
  </si>
  <si>
    <t>I8495</t>
  </si>
  <si>
    <t>CABO FLEXÍVEL TETRAPOLAR BLINDADO 20 x 4,0 mm²</t>
  </si>
  <si>
    <t>I8475</t>
  </si>
  <si>
    <t>CABO FLEXÍVEL TETRAPOLAR BLINDADO 25 x 1,0 mm²</t>
  </si>
  <si>
    <t>I8482</t>
  </si>
  <si>
    <t>CABO FLEXÍVEL TETRAPOLAR BLINDADO 25 x 1,5 mm²</t>
  </si>
  <si>
    <t>I8489</t>
  </si>
  <si>
    <t>CABO FLEXÍVEL TETRAPOLAR BLINDADO 25 x 2,5 mm²</t>
  </si>
  <si>
    <t>I8496</t>
  </si>
  <si>
    <t>CABO FLEXÍVEL TETRAPOLAR BLINDADO 25 x 4,0 mm²</t>
  </si>
  <si>
    <t>I8467</t>
  </si>
  <si>
    <t>CABO FLEXÍVEL TETRAPOLAR BLINDADO 3 x 1,0 mm²</t>
  </si>
  <si>
    <t>I8468</t>
  </si>
  <si>
    <t>CABO FLEXÍVEL TETRAPOLAR BLINDADO 4 x 1,0 mm²</t>
  </si>
  <si>
    <t>I8469</t>
  </si>
  <si>
    <t>CABO FLEXÍVEL TETRAPOLAR BLINDADO 5 x 1,0 mm²</t>
  </si>
  <si>
    <t>I8476</t>
  </si>
  <si>
    <t>CABO FLEXÍVEL TETRAPOLAR BLINDADO 5 x 1,5 mm²</t>
  </si>
  <si>
    <t>I8483</t>
  </si>
  <si>
    <t>CABO FLEXÍVEL TETRAPOLAR BLINDADO 5 x 2,5 mm²</t>
  </si>
  <si>
    <t>I8490</t>
  </si>
  <si>
    <t>CABO FLEXÍVEL TETRAPOLAR BLINDADO 5 x 4,0 mm²</t>
  </si>
  <si>
    <t>I8470</t>
  </si>
  <si>
    <t>CABO FLEXÍVEL TETRAPOLAR BLINDADO 7 x 1,0 mm²</t>
  </si>
  <si>
    <t>I8477</t>
  </si>
  <si>
    <t>CABO FLEXÍVEL TETRAPOLAR BLINDADO 7 x 1,5 mm²</t>
  </si>
  <si>
    <t>I8484</t>
  </si>
  <si>
    <t>CABO FLEXÍVEL TETRAPOLAR BLINDADO 7 x 2,5 mm²</t>
  </si>
  <si>
    <t>I8491</t>
  </si>
  <si>
    <t>CABO FLEXÍVEL TETRAPOLAR BLINDADO 7 x 4,0 mm²</t>
  </si>
  <si>
    <t>I8471</t>
  </si>
  <si>
    <t>CABO FLEXÍVEL TETRAPOLAR BLINDADO 9 x 1,0 mm²</t>
  </si>
  <si>
    <t>I8478</t>
  </si>
  <si>
    <t>CABO FLEXÍVEL TETRAPOLAR BLINDADO 9 x 1,5 mm²</t>
  </si>
  <si>
    <t>I8485</t>
  </si>
  <si>
    <t>CABO FLEXÍVEL TETRAPOLAR BLINDADO 9 x 2,5 mm²</t>
  </si>
  <si>
    <t>I8492</t>
  </si>
  <si>
    <t>CABO FLEXÍVEL TETRAPOLAR BLINDADO 9 x 4,0 mm²</t>
  </si>
  <si>
    <t>I9593</t>
  </si>
  <si>
    <t>CABO PARA IHM (3 METROS)</t>
  </si>
  <si>
    <t>I9594</t>
  </si>
  <si>
    <t>CABO PP 3X1,5MM²</t>
  </si>
  <si>
    <t>I6249</t>
  </si>
  <si>
    <t>CAIXA D'ÁGUA  EM FYBERGLASS CAP. 2000L, COM TAMPA</t>
  </si>
  <si>
    <t>I6245</t>
  </si>
  <si>
    <t>CAIXA D'ÁGUA  EM FYBERGLASS CAP. 250L, COM TAMPA</t>
  </si>
  <si>
    <t>I6250</t>
  </si>
  <si>
    <t>CAIXA D'ÁGUA  EM FYBERGLASS CAP. 5000L, COM TAMPA</t>
  </si>
  <si>
    <t>I8665</t>
  </si>
  <si>
    <t>CAIXA D'ÁGUA EM FYBERGLASS CAP. 1000L, COM TAMPA</t>
  </si>
  <si>
    <t>I9595</t>
  </si>
  <si>
    <t>CAIXA DE AREIA CIRCULAR COM RASPADOR DE FUNDO E REDUTOR ACOPLADO COM DESCARGA NA AREIA POR MEIO DE PARAFUSO CLASSIFICADOR PARA VAZÃO MÁXIMA DE  45,62 L/S  E DIÂMETRO DE  2,40 M. MATERIAL EM AÇO INOX  316</t>
  </si>
  <si>
    <t>I9597</t>
  </si>
  <si>
    <t>CAIXA DE AREIA MECANIZADA CIRCULAR (Ø 5,10M) COM FUNDO CÔNICO DO TIPO PISTA CONSTITUÍDA POR: TANQUE EM AÇO INOX 316, MISTURADOR ACOPLADO A ESTRUTURA, BOMBA CENTRÍFUGA E PAINEL DE CONTROLE ACOPLADO AO EQUIPAMENTO</t>
  </si>
  <si>
    <t>I9596</t>
  </si>
  <si>
    <t>CAIXA DE AREIA MECANIZADA COM FUNDO CÔNICO CONSTITUÍDA POR: TANQUE EM AÇO INOX 316 DIÂMETRO 3,50M, MISTURADOR ACOPLADO A ESTRUTURA, BOMBA CENTRÍFUGA E PAINEL DE CONTROLE ACOPLADO AO EQUIPAMENTO.</t>
  </si>
  <si>
    <t>I9598</t>
  </si>
  <si>
    <t>CAIXA DE AREIA MECANIZADA TIPO PISTA CONSTITUÍDA POR: TANQUE EM AÇO INOX 316 DIÂMETRO 5,30M, MISTURADOR ACOPLADO A ESTRUTURA, BOMBA CENTRÍFUGA E PAINEL DE CONTROLE ACOPLADO AO EQUIPAMENTO.</t>
  </si>
  <si>
    <t>I8526</t>
  </si>
  <si>
    <t>CAIXA DE EQUALIZAÇÃO DE TERRA EMBUTIR COM 9 TERMINAIS</t>
  </si>
  <si>
    <t>I9160</t>
  </si>
  <si>
    <t>CAIXA DE EQUIPOTENCIALIZAÇÃO 40X40X15, COM BARRAMENTO PARA NEUTRO</t>
  </si>
  <si>
    <t>I9535</t>
  </si>
  <si>
    <t>I8524</t>
  </si>
  <si>
    <t>I6620</t>
  </si>
  <si>
    <t>CAIXA DE MEDIÇÃO E PROTEÇÃO, PADRÃO COELCE, FABRICADA EM CHAPA METÁLICA, COM DIM. 340 X 640 X 210mm</t>
  </si>
  <si>
    <t>I9600</t>
  </si>
  <si>
    <t>CAIXA DE PASSAGEM METÁLICA COM TAMPA PARAFUSADA 200X200X100MM</t>
  </si>
  <si>
    <t>I6070</t>
  </si>
  <si>
    <t>CAIXA D`ÁGUA DE FIBROCIMENTO DE 250 L, COM TAMPA</t>
  </si>
  <si>
    <t>I6071</t>
  </si>
  <si>
    <t>CAIXA D`ÁGUA DE FIBROCIMENTO DE 500 L, COM TAMPA</t>
  </si>
  <si>
    <t>I2942</t>
  </si>
  <si>
    <t>CAIXA EM FIBRA OU EM POLIPROPILENO - P.CAGECE-P001</t>
  </si>
  <si>
    <t>I6275</t>
  </si>
  <si>
    <t>CAIXA MOLDADA PARA 12 DISJUNTORES COM BARRRAMENTO (PADRÃO COELCE)</t>
  </si>
  <si>
    <t>I6274</t>
  </si>
  <si>
    <t>CAIXA MOLDADA PARA 16 DISJUNTORES COM BARRRAMENTO (PADRÃO COELCE)</t>
  </si>
  <si>
    <t>I9601</t>
  </si>
  <si>
    <t>CAIXA PARA INSTRUMENTO DE DISPLAY PADRÃO COELCE</t>
  </si>
  <si>
    <t>I9602</t>
  </si>
  <si>
    <t>CAIXA REPARTIDORA DE VAZÃO EM FIBRA DE VIDRO P/ 24 TUBOS DE DISTRIBUIÇÃO  - DN 1400; H=1,00M</t>
  </si>
  <si>
    <t>I2976</t>
  </si>
  <si>
    <t>CALHA PARSHALL EM FIBRA DE VIDRO P/ ÁGUA W:12"</t>
  </si>
  <si>
    <t>I9603</t>
  </si>
  <si>
    <t>CALHA PARSHALL EM FIBRA DE VIDRO PARA ESGOTO W:18" (FORNECIMENTO E INSTALAÇÃO)</t>
  </si>
  <si>
    <t>I2973</t>
  </si>
  <si>
    <t>CALHA PARSHALL EM FIBRA DE VIDRO W:3"</t>
  </si>
  <si>
    <t>I2974</t>
  </si>
  <si>
    <t>CALHA PARSHALL EM FIBRA DE VIDRO W:6"</t>
  </si>
  <si>
    <t>I2975</t>
  </si>
  <si>
    <t>CALHA PARSHALL EM FIBRA DE VIDRO W:9"</t>
  </si>
  <si>
    <t>I6415</t>
  </si>
  <si>
    <t>CALHA PRÉ-MOLDADA COM VERTEDOURO TRIANGULAR L=4,00m</t>
  </si>
  <si>
    <t>I13176</t>
  </si>
  <si>
    <t>CAP AÇO INOX 304 SCH 40 S/COSTURA 10"</t>
  </si>
  <si>
    <t>I13177</t>
  </si>
  <si>
    <t>CAP AÇO INOX 304 SCH 40 S/COSTURA 12"</t>
  </si>
  <si>
    <t>I13171</t>
  </si>
  <si>
    <t>CAP AÇO INOX 304 SCH 40 S/COSTURA 2"</t>
  </si>
  <si>
    <t>I13172</t>
  </si>
  <si>
    <t>CAP AÇO INOX 304 SCH 40 S/COSTURA 3"</t>
  </si>
  <si>
    <t>I13173</t>
  </si>
  <si>
    <t>CAP AÇO INOX 304 SCH 40 S/COSTURA 4"</t>
  </si>
  <si>
    <t>I13174</t>
  </si>
  <si>
    <t>CAP AÇO INOX 304 SCH 40 S/COSTURA 6"</t>
  </si>
  <si>
    <t>I13175</t>
  </si>
  <si>
    <t>CAP AÇO INOX 304 SCH 40 S/COSTURA 8"</t>
  </si>
  <si>
    <t>I9605</t>
  </si>
  <si>
    <t>CAP AÇO SCHEDULE 40 DN 75</t>
  </si>
  <si>
    <t>I9606</t>
  </si>
  <si>
    <t>CAP FOFO JTI DN 100</t>
  </si>
  <si>
    <t>I7694</t>
  </si>
  <si>
    <t>CAP FoFo JTE DN 300</t>
  </si>
  <si>
    <t>I7695</t>
  </si>
  <si>
    <t>CAP FoFo JTE DN 350</t>
  </si>
  <si>
    <t>I7696</t>
  </si>
  <si>
    <t>CAP FoFo JTE DN 400</t>
  </si>
  <si>
    <t>I7697</t>
  </si>
  <si>
    <t>CAP FoFo JTE DN 500</t>
  </si>
  <si>
    <t>I7698</t>
  </si>
  <si>
    <t>CAP FoFo JTE DN 600</t>
  </si>
  <si>
    <t>I7097</t>
  </si>
  <si>
    <t>CAP FoFo JUNTA ELASTICA DN 450</t>
  </si>
  <si>
    <t>I7098</t>
  </si>
  <si>
    <t>CAP FoFo JUNTA ELASTICA DN 80</t>
  </si>
  <si>
    <t>I4176</t>
  </si>
  <si>
    <t>CAP FoFo JUNTA ELÁSTICA DN 100</t>
  </si>
  <si>
    <t>I4177</t>
  </si>
  <si>
    <t>CAP FoFo JUNTA ELÁSTICA DN 150</t>
  </si>
  <si>
    <t>I4178</t>
  </si>
  <si>
    <t>CAP FoFo JUNTA ELÁSTICA DN 200</t>
  </si>
  <si>
    <t>I4179</t>
  </si>
  <si>
    <t>CAP FoFo JUNTA ELÁSTICA DN 250</t>
  </si>
  <si>
    <t>I4180</t>
  </si>
  <si>
    <t>CAP FoFo JUNTA ELÁSTICA DN 300</t>
  </si>
  <si>
    <t>I4181</t>
  </si>
  <si>
    <t>CAP FoFo JUNTA ELÁSTICA DN 350</t>
  </si>
  <si>
    <t>I4182</t>
  </si>
  <si>
    <t>CAP FoFo JUNTA ELÁSTICA DN 400</t>
  </si>
  <si>
    <t>I4183</t>
  </si>
  <si>
    <t>CAP FoFo JUNTA ELÁSTICA DN 500</t>
  </si>
  <si>
    <t>I4184</t>
  </si>
  <si>
    <t>CAP FoFo JUNTA ELÁSTICA DN 600</t>
  </si>
  <si>
    <t>I4175</t>
  </si>
  <si>
    <t>CAP FoFo JUNTA ELÁSTICA DN 75</t>
  </si>
  <si>
    <t>I3101</t>
  </si>
  <si>
    <t>CAP PBA DN 100</t>
  </si>
  <si>
    <t>I3099</t>
  </si>
  <si>
    <t>CAP PBA DN 50</t>
  </si>
  <si>
    <t>I3100</t>
  </si>
  <si>
    <t>CAP PBA DN 75</t>
  </si>
  <si>
    <t>I5782</t>
  </si>
  <si>
    <t>CAP PVC FEMEA REFORÇADO DN 115</t>
  </si>
  <si>
    <t>I5783</t>
  </si>
  <si>
    <t>CAP PVC FEMEA REFORÇADO DN 150</t>
  </si>
  <si>
    <t>I5784</t>
  </si>
  <si>
    <t>CAP PVC FEMEA REFORÇADO DN 200</t>
  </si>
  <si>
    <t>I5785</t>
  </si>
  <si>
    <t>CAP PVC FEMEA STANDARD DN 100</t>
  </si>
  <si>
    <t>I5786</t>
  </si>
  <si>
    <t>CAP PVC FEMEA STANDARD DN 154</t>
  </si>
  <si>
    <t>I5787</t>
  </si>
  <si>
    <t>CAP PVC FEMEA STANDARD DN 206</t>
  </si>
  <si>
    <t>I5788</t>
  </si>
  <si>
    <t>CAP PVC FEMEA STANDARD DN 250</t>
  </si>
  <si>
    <t>I5789</t>
  </si>
  <si>
    <t>CAP PVC FEMEA STANDARD DN 300</t>
  </si>
  <si>
    <t>I5790</t>
  </si>
  <si>
    <t>CAP PVC MACHO REFORÇADO DN 115</t>
  </si>
  <si>
    <t>I5791</t>
  </si>
  <si>
    <t>CAP PVC MACHO REFORÇADO DN 150</t>
  </si>
  <si>
    <t>I5792</t>
  </si>
  <si>
    <t>CAP PVC MACHO REFORÇADO DN 200</t>
  </si>
  <si>
    <t>I5793</t>
  </si>
  <si>
    <t>CAP PVC MACHO STANDARD DN 100</t>
  </si>
  <si>
    <t>I5794</t>
  </si>
  <si>
    <t>CAP PVC MACHO STANDARD DN 154</t>
  </si>
  <si>
    <t>I5795</t>
  </si>
  <si>
    <t>CAP PVC MACHO STANDARD DN 206</t>
  </si>
  <si>
    <t>I5796</t>
  </si>
  <si>
    <t>CAP PVC MACHO STANDARD DN 250</t>
  </si>
  <si>
    <t>I5797</t>
  </si>
  <si>
    <t>CAP PVC MACHO STANDARD DN 300</t>
  </si>
  <si>
    <t>I9607</t>
  </si>
  <si>
    <t>CAP PVC P/ TUBO CORRUGADO JUNTA ELÁSTICA DN 150</t>
  </si>
  <si>
    <t>I9608</t>
  </si>
  <si>
    <t>CAP PVC PARA ESGOTO DN 150</t>
  </si>
  <si>
    <t>I6849</t>
  </si>
  <si>
    <t>CAP PVC PBS DN 150</t>
  </si>
  <si>
    <t>I6158</t>
  </si>
  <si>
    <t>CAPACITOR DE 15KVA 380V</t>
  </si>
  <si>
    <t>I8860</t>
  </si>
  <si>
    <t>CAPACITOR DE 1KVAr 380V</t>
  </si>
  <si>
    <t>I6155</t>
  </si>
  <si>
    <t>CAPACITOR DE 2,5KVA 380V</t>
  </si>
  <si>
    <t>I6159</t>
  </si>
  <si>
    <t>CAPACITOR DE 25KVA 380V</t>
  </si>
  <si>
    <t>I6156</t>
  </si>
  <si>
    <t>CAPACITOR DE 5KVA 380V</t>
  </si>
  <si>
    <t>I6157</t>
  </si>
  <si>
    <t>CAPACITOR DE 7,5KVA 380V</t>
  </si>
  <si>
    <t>I8861</t>
  </si>
  <si>
    <t>CAPACITOR DE 9KVAr 380V</t>
  </si>
  <si>
    <t>I8862</t>
  </si>
  <si>
    <t>CAPACITOR TRIFÁSICO DE 50KVA 440V</t>
  </si>
  <si>
    <t>I10487</t>
  </si>
  <si>
    <t>CARRETEL COMPLETO DN 100 PN16</t>
  </si>
  <si>
    <t>I10503</t>
  </si>
  <si>
    <t>CARRETEL COMPLETO DN 100 PN25</t>
  </si>
  <si>
    <t>I4187</t>
  </si>
  <si>
    <t>CARRETEL COMPLETO DN 100 x 250 PN10</t>
  </si>
  <si>
    <t>I10500</t>
  </si>
  <si>
    <t>CARRETEL COMPLETO DN 1000 PN16</t>
  </si>
  <si>
    <t>I10516</t>
  </si>
  <si>
    <t>CARRETEL COMPLETO DN 1000 PN25</t>
  </si>
  <si>
    <t>I4199</t>
  </si>
  <si>
    <t>CARRETEL COMPLETO DN 1000 x 250 PN10</t>
  </si>
  <si>
    <t>I10501</t>
  </si>
  <si>
    <t>CARRETEL COMPLETO DN 1200 PN16</t>
  </si>
  <si>
    <t>I10517</t>
  </si>
  <si>
    <t>CARRETEL COMPLETO DN 1200 PN25</t>
  </si>
  <si>
    <t>I4200</t>
  </si>
  <si>
    <t>CARRETEL COMPLETO DN 1200 x 250 PN10</t>
  </si>
  <si>
    <t>I10488</t>
  </si>
  <si>
    <t>CARRETEL COMPLETO DN 150 PN16</t>
  </si>
  <si>
    <t>I10504</t>
  </si>
  <si>
    <t>CARRETEL COMPLETO DN 150 PN25</t>
  </si>
  <si>
    <t>I4188</t>
  </si>
  <si>
    <t>CARRETEL COMPLETO DN 150 x 250 PN10</t>
  </si>
  <si>
    <t>I10489</t>
  </si>
  <si>
    <t>CARRETEL COMPLETO DN 200 PN16</t>
  </si>
  <si>
    <t>I10505</t>
  </si>
  <si>
    <t>CARRETEL COMPLETO DN 200 PN25</t>
  </si>
  <si>
    <t>I4189</t>
  </si>
  <si>
    <t>CARRETEL COMPLETO DN 200 x 250 PN10</t>
  </si>
  <si>
    <t>I10490</t>
  </si>
  <si>
    <t>CARRETEL COMPLETO DN 250 PN16</t>
  </si>
  <si>
    <t>I10506</t>
  </si>
  <si>
    <t>CARRETEL COMPLETO DN 250 PN25</t>
  </si>
  <si>
    <t>I4190</t>
  </si>
  <si>
    <t>CARRETEL COMPLETO DN 250 x 250 PN10</t>
  </si>
  <si>
    <t>I10491</t>
  </si>
  <si>
    <t>CARRETEL COMPLETO DN 300 PN16</t>
  </si>
  <si>
    <t>I10507</t>
  </si>
  <si>
    <t>CARRETEL COMPLETO DN 300 PN25</t>
  </si>
  <si>
    <t>I4191</t>
  </si>
  <si>
    <t>CARRETEL COMPLETO DN 300 x 250 PN10</t>
  </si>
  <si>
    <t>I10492</t>
  </si>
  <si>
    <t>CARRETEL COMPLETO DN 350 PN16</t>
  </si>
  <si>
    <t>I10508</t>
  </si>
  <si>
    <t>CARRETEL COMPLETO DN 350 PN25</t>
  </si>
  <si>
    <t>I4192</t>
  </si>
  <si>
    <t>CARRETEL COMPLETO DN 350 x 250 PN10</t>
  </si>
  <si>
    <t>I10493</t>
  </si>
  <si>
    <t>CARRETEL COMPLETO DN 400 PN16</t>
  </si>
  <si>
    <t>I10509</t>
  </si>
  <si>
    <t>CARRETEL COMPLETO DN 400 PN25</t>
  </si>
  <si>
    <t>I4193</t>
  </si>
  <si>
    <t>CARRETEL COMPLETO DN 400 x 250 PN10</t>
  </si>
  <si>
    <t>I10485</t>
  </si>
  <si>
    <t>CARRETEL COMPLETO DN 450 PN10</t>
  </si>
  <si>
    <t>I10494</t>
  </si>
  <si>
    <t>CARRETEL COMPLETO DN 450 PN16</t>
  </si>
  <si>
    <t>I10510</t>
  </si>
  <si>
    <t>CARRETEL COMPLETO DN 450 PN25</t>
  </si>
  <si>
    <t>I10495</t>
  </si>
  <si>
    <t>CARRETEL COMPLETO DN 500 PN16</t>
  </si>
  <si>
    <t>I10511</t>
  </si>
  <si>
    <t>CARRETEL COMPLETO DN 500 PN25</t>
  </si>
  <si>
    <t>I4194</t>
  </si>
  <si>
    <t>CARRETEL COMPLETO DN 500 x 250 PN10</t>
  </si>
  <si>
    <t>I10496</t>
  </si>
  <si>
    <t>CARRETEL COMPLETO DN 600 PN16</t>
  </si>
  <si>
    <t>I10512</t>
  </si>
  <si>
    <t>CARRETEL COMPLETO DN 600 PN25</t>
  </si>
  <si>
    <t>I4195</t>
  </si>
  <si>
    <t>CARRETEL COMPLETO DN 600 x 250 PN10</t>
  </si>
  <si>
    <t>I10497</t>
  </si>
  <si>
    <t>CARRETEL COMPLETO DN 700 PN16</t>
  </si>
  <si>
    <t>I10513</t>
  </si>
  <si>
    <t>CARRETEL COMPLETO DN 700 PN25</t>
  </si>
  <si>
    <t>I4196</t>
  </si>
  <si>
    <t>CARRETEL COMPLETO DN 700 x 250 PN10</t>
  </si>
  <si>
    <t>I4186</t>
  </si>
  <si>
    <t>CARRETEL COMPLETO DN 75 x 250 PN10</t>
  </si>
  <si>
    <t>I10486</t>
  </si>
  <si>
    <t>CARRETEL COMPLETO DN 80 PN16</t>
  </si>
  <si>
    <t>I10502</t>
  </si>
  <si>
    <t>CARRETEL COMPLETO DN 80 PN25</t>
  </si>
  <si>
    <t>I7100</t>
  </si>
  <si>
    <t>CARRETEL COMPLETO DN 80 x 250 PN10</t>
  </si>
  <si>
    <t>I10498</t>
  </si>
  <si>
    <t>CARRETEL COMPLETO DN 800 PN16</t>
  </si>
  <si>
    <t>I10514</t>
  </si>
  <si>
    <t>CARRETEL COMPLETO DN 800 PN25</t>
  </si>
  <si>
    <t>I4197</t>
  </si>
  <si>
    <t>CARRETEL COMPLETO DN 800 x 250 PN10</t>
  </si>
  <si>
    <t>I10499</t>
  </si>
  <si>
    <t>CARRETEL COMPLETO DN 900 PN16</t>
  </si>
  <si>
    <t>I10515</t>
  </si>
  <si>
    <t>CARRETEL COMPLETO DN 900 PN25</t>
  </si>
  <si>
    <t>I4198</t>
  </si>
  <si>
    <t>CARRETEL COMPLETO DN 900 x 250 PN10</t>
  </si>
  <si>
    <t>I10520</t>
  </si>
  <si>
    <t>CARRETEL SIMPLES DN 100 PN16</t>
  </si>
  <si>
    <t>I10536</t>
  </si>
  <si>
    <t>CARRETEL SIMPLES DN 100 PN25</t>
  </si>
  <si>
    <t>I4203</t>
  </si>
  <si>
    <t>CARRETEL SIMPLES DN 100 x 250</t>
  </si>
  <si>
    <t>I10533</t>
  </si>
  <si>
    <t>CARRETEL SIMPLES DN 1000 PN16</t>
  </si>
  <si>
    <t>I10549</t>
  </si>
  <si>
    <t>CARRETEL SIMPLES DN 1000 PN25</t>
  </si>
  <si>
    <t>I4215</t>
  </si>
  <si>
    <t>CARRETEL SIMPLES DN 1000 x 250</t>
  </si>
  <si>
    <t>I10534</t>
  </si>
  <si>
    <t>CARRETEL SIMPLES DN 1200 PN16</t>
  </si>
  <si>
    <t>I10550</t>
  </si>
  <si>
    <t>CARRETEL SIMPLES DN 1200 PN25</t>
  </si>
  <si>
    <t>I4216</t>
  </si>
  <si>
    <t>CARRETEL SIMPLES DN 1200 x 250</t>
  </si>
  <si>
    <t>I10521</t>
  </si>
  <si>
    <t>CARRETEL SIMPLES DN 150 PN16</t>
  </si>
  <si>
    <t>I10537</t>
  </si>
  <si>
    <t>CARRETEL SIMPLES DN 150 PN25</t>
  </si>
  <si>
    <t>I4204</t>
  </si>
  <si>
    <t>CARRETEL SIMPLES DN 150 x 250</t>
  </si>
  <si>
    <t>I10522</t>
  </si>
  <si>
    <t>CARRETEL SIMPLES DN 200 PN16</t>
  </si>
  <si>
    <t>I10538</t>
  </si>
  <si>
    <t>CARRETEL SIMPLES DN 200 PN25</t>
  </si>
  <si>
    <t>I4205</t>
  </si>
  <si>
    <t>CARRETEL SIMPLES DN 200 x 250</t>
  </si>
  <si>
    <t>I10523</t>
  </si>
  <si>
    <t>CARRETEL SIMPLES DN 250 PN16</t>
  </si>
  <si>
    <t>I10539</t>
  </si>
  <si>
    <t>CARRETEL SIMPLES DN 250 PN25</t>
  </si>
  <si>
    <t>I4206</t>
  </si>
  <si>
    <t>CARRETEL SIMPLES DN 250 x 250</t>
  </si>
  <si>
    <t>I10524</t>
  </si>
  <si>
    <t>CARRETEL SIMPLES DN 300 PN16</t>
  </si>
  <si>
    <t>I10540</t>
  </si>
  <si>
    <t>CARRETEL SIMPLES DN 300 PN25</t>
  </si>
  <si>
    <t>I4207</t>
  </si>
  <si>
    <t>CARRETEL SIMPLES DN 300 x 250</t>
  </si>
  <si>
    <t>I10525</t>
  </si>
  <si>
    <t>CARRETEL SIMPLES DN 350 PN16</t>
  </si>
  <si>
    <t>I10541</t>
  </si>
  <si>
    <t>CARRETEL SIMPLES DN 350 PN25</t>
  </si>
  <si>
    <t>I4208</t>
  </si>
  <si>
    <t>CARRETEL SIMPLES DN 350 x 250</t>
  </si>
  <si>
    <t>I10526</t>
  </si>
  <si>
    <t>CARRETEL SIMPLES DN 400 PN16</t>
  </si>
  <si>
    <t>I10542</t>
  </si>
  <si>
    <t>CARRETEL SIMPLES DN 400 PN25</t>
  </si>
  <si>
    <t>I4209</t>
  </si>
  <si>
    <t>CARRETEL SIMPLES DN 400 x 250</t>
  </si>
  <si>
    <t>I10518</t>
  </si>
  <si>
    <t>CARRETEL SIMPLES DN 450 PN10</t>
  </si>
  <si>
    <t>I10527</t>
  </si>
  <si>
    <t>CARRETEL SIMPLES DN 450 PN16</t>
  </si>
  <si>
    <t>I10543</t>
  </si>
  <si>
    <t>CARRETEL SIMPLES DN 450 PN25</t>
  </si>
  <si>
    <t>I10528</t>
  </si>
  <si>
    <t>CARRETEL SIMPLES DN 500 PN16</t>
  </si>
  <si>
    <t>I10544</t>
  </si>
  <si>
    <t>CARRETEL SIMPLES DN 500 PN25</t>
  </si>
  <si>
    <t>I4210</t>
  </si>
  <si>
    <t>CARRETEL SIMPLES DN 500 x 250</t>
  </si>
  <si>
    <t>I10529</t>
  </si>
  <si>
    <t>CARRETEL SIMPLES DN 600 PN16</t>
  </si>
  <si>
    <t>I10545</t>
  </si>
  <si>
    <t>CARRETEL SIMPLES DN 600 PN25</t>
  </si>
  <si>
    <t>I4211</t>
  </si>
  <si>
    <t>CARRETEL SIMPLES DN 600 x 250</t>
  </si>
  <si>
    <t>I10530</t>
  </si>
  <si>
    <t>CARRETEL SIMPLES DN 700 PN16</t>
  </si>
  <si>
    <t>I10546</t>
  </si>
  <si>
    <t>CARRETEL SIMPLES DN 700 PN25</t>
  </si>
  <si>
    <t>I4212</t>
  </si>
  <si>
    <t>CARRETEL SIMPLES DN 700 x 250</t>
  </si>
  <si>
    <t>I4202</t>
  </si>
  <si>
    <t>CARRETEL SIMPLES DN 75 x 250</t>
  </si>
  <si>
    <t>I10519</t>
  </si>
  <si>
    <t>CARRETEL SIMPLES DN 80 PN16</t>
  </si>
  <si>
    <t>I10535</t>
  </si>
  <si>
    <t>CARRETEL SIMPLES DN 80 PN25</t>
  </si>
  <si>
    <t>I7102</t>
  </si>
  <si>
    <t>CARRETEL SIMPLES DN 80 x 250</t>
  </si>
  <si>
    <t>I10531</t>
  </si>
  <si>
    <t>CARRETEL SIMPLES DN 800 PN16</t>
  </si>
  <si>
    <t>I10547</t>
  </si>
  <si>
    <t>CARRETEL SIMPLES DN 800 PN25</t>
  </si>
  <si>
    <t>I4213</t>
  </si>
  <si>
    <t>CARRETEL SIMPLES DN 800 x 250</t>
  </si>
  <si>
    <t>I10532</t>
  </si>
  <si>
    <t>CARRETEL SIMPLES DN 900 PN16</t>
  </si>
  <si>
    <t>I10548</t>
  </si>
  <si>
    <t>CARRETEL SIMPLES DN 900 PN25</t>
  </si>
  <si>
    <t>I4214</t>
  </si>
  <si>
    <t>CARRETEL SIMPLES DN 900 x 250</t>
  </si>
  <si>
    <t>I6154</t>
  </si>
  <si>
    <t>CARTUCHO COM PO P/SOLDA EXOTERMICA PADRAO 115</t>
  </si>
  <si>
    <t>I6153</t>
  </si>
  <si>
    <t>CARTUCHO COM PO P/SOLDA EXOTERMICA PADRAO 90</t>
  </si>
  <si>
    <t>I9609</t>
  </si>
  <si>
    <t>CARTÃO DE EXPANSÃO - 04 SAÍDAS ANALÓGICAS</t>
  </si>
  <si>
    <t>I9610</t>
  </si>
  <si>
    <t>CARTÃO DE EXPANSÃO - 08 ENTRADAS ANALÓGICAS</t>
  </si>
  <si>
    <t>I9611</t>
  </si>
  <si>
    <t>CARTÃO DE EXPANSÃO - 08 SAIDAS DIGITAIS</t>
  </si>
  <si>
    <t>I9612</t>
  </si>
  <si>
    <t>CARTÃO DE EXPANSÃO - 16 ENTRADAS DIGITAIS</t>
  </si>
  <si>
    <t>I6050</t>
  </si>
  <si>
    <t>CARVÃO ANTRACITO MINERAL, PARA LEITO FILTRANTE, T.E. = 0,9; C.U. = 1,4 A 1,6</t>
  </si>
  <si>
    <t>I9445</t>
  </si>
  <si>
    <t>CAÇAMBA ESTACIONÁRIA PARA ENTULHO C/ CAP. 5M³, INCLUSIVE O FRETE</t>
  </si>
  <si>
    <t>I9613</t>
  </si>
  <si>
    <t>CENTELHADOR COAXIAL</t>
  </si>
  <si>
    <t>I5980</t>
  </si>
  <si>
    <t>CENTRAL DE COMAMDO DE MOTORES TIPO CPD1005</t>
  </si>
  <si>
    <t>I5981</t>
  </si>
  <si>
    <t>CENTRAL DE COMANDO DE MOTORES TIPO CPD2005</t>
  </si>
  <si>
    <t>I8864</t>
  </si>
  <si>
    <t>CENTRO DE COMANDO DE MOTORES, COMPOSTO DE 2 CHAVES TIPO SOFT STARTER, PARA MOTORES DE 100CV, TIPO CPD, CONFORME PROJETO PADRÃO CAGECE, INCLUSIVE BANCO DE CAPACITORES TRIFÁSICO 15,0KVAR</t>
  </si>
  <si>
    <t>I8863</t>
  </si>
  <si>
    <t>CENTRO DE COMANDO DE MOTORES, COMPOSTO DE 2 CHAVES TIPO SOFT STARTER, PARA MOTORES DE 25CV, TIPO CPD, CONFORME PROJETO PADRÃO CAGECE, INCLUSIVE BANCO DE CAPACITORES 5,0KVAR</t>
  </si>
  <si>
    <t>I8865</t>
  </si>
  <si>
    <t>CENTRO DE COMANDO DE MOTORES, COMPOSTO DE 3 CHAVES TIPO SOFT STARTER, PARA MOTORES DE 20CV, INCLUSIVE BANCO DE CAPACITORES TRIFÁSICO DE 3,0KVAR</t>
  </si>
  <si>
    <t>I9614</t>
  </si>
  <si>
    <t>CHAVE COMUTADORA 3 POSIÇÕES FIXA 22MM</t>
  </si>
  <si>
    <t>I9615</t>
  </si>
  <si>
    <t>CHAVE FIM DE CURSO</t>
  </si>
  <si>
    <t>I9616</t>
  </si>
  <si>
    <t>CHAVE FIM DE CURSO PARA PAINEL</t>
  </si>
  <si>
    <t>I8211</t>
  </si>
  <si>
    <t>CHAVE FUSÍVEL INDICADORA UNIPOLAR 15KV-300A CORRENTE RUPTURA 2,0 KV</t>
  </si>
  <si>
    <t>I9617</t>
  </si>
  <si>
    <t>CHAVE MAGNÉTICA COMPLETA - PADRÃO CAGECE</t>
  </si>
  <si>
    <t>I7552</t>
  </si>
  <si>
    <t>CHUMBADOR FISCHER FCB 1/4"</t>
  </si>
  <si>
    <t>I9618</t>
  </si>
  <si>
    <t>CHUMBADOR PBA INOX 3/8” X 3”</t>
  </si>
  <si>
    <t>I10477</t>
  </si>
  <si>
    <t>CILINDRO PARA GÁS CLORO CAPACIDADE 900kg</t>
  </si>
  <si>
    <t>I9619</t>
  </si>
  <si>
    <t>CLASSIFICADOR EM AÇO INOX 316 COM ROSCA TRANSPORTADORA 9"</t>
  </si>
  <si>
    <t>I8698</t>
  </si>
  <si>
    <t>CLORADOR DE PASTILHA PARA CLORO ORGÂNICO - CAPACIDADE E AUTONOMIA MÍNIMA PARA TRATAR 2.500M3 DE ÁGUA POR CARGA DE CLORO</t>
  </si>
  <si>
    <t>I6622</t>
  </si>
  <si>
    <t>CLORADOR P/ CLORO GASOSO COMPLETO, CAPACIDADE ATÉ 2 Kg/h OU 48 Kg/dia</t>
  </si>
  <si>
    <t>I6628</t>
  </si>
  <si>
    <t>CLORADOR P/CLORO GASOSO COMPLETO, CAPACIDADE 10Kg/h OU 240 Kg/dia</t>
  </si>
  <si>
    <t>I6627</t>
  </si>
  <si>
    <t>CLORADOR P/CLORO GASOSO COMPLETO,CAPACIDADE 4 Kg/h OU 96 Kg/dia</t>
  </si>
  <si>
    <t>I9620</t>
  </si>
  <si>
    <t>CLP COM 8/8 E/E INTEGRADAS</t>
  </si>
  <si>
    <t>I9621</t>
  </si>
  <si>
    <t>CLP COM 8/8 E/S INTEGRADAS</t>
  </si>
  <si>
    <t>I9622</t>
  </si>
  <si>
    <t>COBERTURA EM FILME PLÁSTICO ESTUFA 150 MICRAS</t>
  </si>
  <si>
    <t>I2911</t>
  </si>
  <si>
    <t>COLAR  DE TOMADA SAIDA ROSC. BUCHA LATÃO DN 75 x 1/2"</t>
  </si>
  <si>
    <t>I2915</t>
  </si>
  <si>
    <t>COLAR DE TOMADA FoFo P/ TUBOS DE PVC DN 50 x 1"</t>
  </si>
  <si>
    <t>I2916</t>
  </si>
  <si>
    <t>COLAR DE TOMADA FoFo P/ TUBOS DE PVC DN 75 x 1"</t>
  </si>
  <si>
    <t>I2927</t>
  </si>
  <si>
    <t>COLAR DE TOMADA FoFo P/TUBOS PVC / DEFoFo DN 100 x 1"</t>
  </si>
  <si>
    <t>I2926</t>
  </si>
  <si>
    <t>COLAR DE TOMADA FoFo P/TUBOS PVC / DEFoFo DN 100 x 3/4"</t>
  </si>
  <si>
    <t>I2929</t>
  </si>
  <si>
    <t>COLAR DE TOMADA FoFo P/TUBOS PVC / DEFoFo DN 150 x 1"</t>
  </si>
  <si>
    <t>I2928</t>
  </si>
  <si>
    <t>COLAR DE TOMADA FoFo P/TUBOS PVC / DEFoFo DN 150 x 3/4"</t>
  </si>
  <si>
    <t>I2931</t>
  </si>
  <si>
    <t>COLAR DE TOMADA FoFo P/TUBOS PVC / DEFoFo DN 200 x 1"</t>
  </si>
  <si>
    <t>I2930</t>
  </si>
  <si>
    <t>COLAR DE TOMADA FoFo P/TUBOS PVC / DEFoFo DN 200 x 3/4"</t>
  </si>
  <si>
    <t>I2933</t>
  </si>
  <si>
    <t>COLAR DE TOMADA FoFo P/TUBOS PVC / DEFoFo DN 250 x 1"</t>
  </si>
  <si>
    <t>I2932</t>
  </si>
  <si>
    <t>COLAR DE TOMADA FoFo P/TUBOS PVC / DEFoFo DN 250 x 3/4"</t>
  </si>
  <si>
    <t>I2935</t>
  </si>
  <si>
    <t>COLAR DE TOMADA FoFo P/TUBOS PVC / DEFoFo DN 300 x 1"</t>
  </si>
  <si>
    <t>I2934</t>
  </si>
  <si>
    <t>COLAR DE TOMADA FoFo P/TUBOS PVC / DEFoFo DN 300 x 3/4"</t>
  </si>
  <si>
    <t>I8392</t>
  </si>
  <si>
    <t>COLAR DE TOMADA POLIPROPILENO C/TRAVAS SAÍDA ROSC. DN 100 x 1/2"</t>
  </si>
  <si>
    <t>I8393</t>
  </si>
  <si>
    <t>COLAR DE TOMADA POLIPROPILENO C/TRAVAS SAÍDA ROSC. DN 100 x 3/4"</t>
  </si>
  <si>
    <t>I8386</t>
  </si>
  <si>
    <t>COLAR DE TOMADA POLIPROPILENO C/TRAVAS SAÍDA ROSC. DN 32 x 1/2"</t>
  </si>
  <si>
    <t>I8387</t>
  </si>
  <si>
    <t>COLAR DE TOMADA POLIPROPILENO C/TRAVAS SAÍDA ROSC. DN 32 x 3/4"</t>
  </si>
  <si>
    <t>I8388</t>
  </si>
  <si>
    <t>COLAR DE TOMADA POLIPROPILENO C/TRAVAS SAÍDA ROSC. DN 50 x 1/2"</t>
  </si>
  <si>
    <t>I8389</t>
  </si>
  <si>
    <t>COLAR DE TOMADA POLIPROPILENO C/TRAVAS SAÍDA ROSC. DN 50 x 3/4"</t>
  </si>
  <si>
    <t>I8390</t>
  </si>
  <si>
    <t>COLAR DE TOMADA POLIPROPILENO C/TRAVAS SAÍDA ROSC. DN 75 x 1/2"</t>
  </si>
  <si>
    <t>I8391</t>
  </si>
  <si>
    <t>COLAR DE TOMADA POLIPROPILENO C/TRAVAS SAÍDA ROSC. DN 75 x 3/4"</t>
  </si>
  <si>
    <t>I2907</t>
  </si>
  <si>
    <t>COLAR DE TOMADA PVC C/TRAVAS SAIDA ROSC. DN 100 x 1/2"</t>
  </si>
  <si>
    <t>I2908</t>
  </si>
  <si>
    <t>COLAR DE TOMADA PVC C/TRAVAS SAIDA ROSC. DN 100 x 3/4"</t>
  </si>
  <si>
    <t>I2901</t>
  </si>
  <si>
    <t>COLAR DE TOMADA PVC C/TRAVAS SAIDA ROSC. DN 32 x 1/2"</t>
  </si>
  <si>
    <t>I2902</t>
  </si>
  <si>
    <t>COLAR DE TOMADA PVC C/TRAVAS SAIDA ROSC. DN 32 x 3/4"</t>
  </si>
  <si>
    <t>I2903</t>
  </si>
  <si>
    <t>COLAR DE TOMADA PVC C/TRAVAS SAIDA ROSC. DN 50 x 1/2"</t>
  </si>
  <si>
    <t>I2904</t>
  </si>
  <si>
    <t>COLAR DE TOMADA PVC C/TRAVAS SAIDA ROSC. DN 50 x 3/4"</t>
  </si>
  <si>
    <t>I2905</t>
  </si>
  <si>
    <t>COLAR DE TOMADA PVC C/TRAVAS SAIDA ROSC. DN 75 x 1/2"</t>
  </si>
  <si>
    <t>I2906</t>
  </si>
  <si>
    <t>COLAR DE TOMADA PVC C/TRAVAS SAIDA ROSC. DN 75 x 3/4"</t>
  </si>
  <si>
    <t>I2913</t>
  </si>
  <si>
    <t>COLAR DE TOMADA SAIDA ROSC. BUCHA LATÃO DN 100 x 1/2"</t>
  </si>
  <si>
    <t>I2914</t>
  </si>
  <si>
    <t>COLAR DE TOMADA SAIDA ROSC. BUCHA LATÃO DN 100 x 3/4"</t>
  </si>
  <si>
    <t>I2909</t>
  </si>
  <si>
    <t>COLAR DE TOMADA SAIDA ROSC. BUCHA LATÃO DN 50 x 1/2"</t>
  </si>
  <si>
    <t>I2910</t>
  </si>
  <si>
    <t>COLAR DE TOMADA SAIDA ROSC. BUCHA LATÃO DN 50 x 3/4"</t>
  </si>
  <si>
    <t>I2912</t>
  </si>
  <si>
    <t>COLAR DE TOMADA SAIDA ROSC. BUCHA LATÃO DN 75 x 3/4"</t>
  </si>
  <si>
    <t>I9623</t>
  </si>
  <si>
    <t>COLARINHO EM AÇO CARBONO C/ESP.1/2" DN 500MM E FLANGE PN10</t>
  </si>
  <si>
    <t>I9624</t>
  </si>
  <si>
    <t>COLARINHO PARA FLANGE DN 200</t>
  </si>
  <si>
    <t>I9625</t>
  </si>
  <si>
    <t>COLARINHO PARA FLANGE DN 400</t>
  </si>
  <si>
    <t>I9626</t>
  </si>
  <si>
    <t>COLARINHO PARA FLANGE DN 800</t>
  </si>
  <si>
    <t>I6850</t>
  </si>
  <si>
    <t xml:space="preserve">COLARINHO PEAD PN10 DE 110 PARA ÁGUA OU ESGOTO
</t>
  </si>
  <si>
    <t>I6851</t>
  </si>
  <si>
    <t xml:space="preserve">COLARINHO PEAD PN10 DE 160 PARA ÁGUA OU ESGOTO
</t>
  </si>
  <si>
    <t>I10274</t>
  </si>
  <si>
    <t>COLARINHO PEAD PN10 DE 180 PARA ÁGUA OU ESGOTO</t>
  </si>
  <si>
    <t>I10275</t>
  </si>
  <si>
    <t>COLARINHO PEAD PN10 DE 200 PARA ÁGUA OU ESGOTO</t>
  </si>
  <si>
    <t>I10276</t>
  </si>
  <si>
    <t>COLARINHO PEAD PN10 DE 225 PARA ÁGUA OU ESGOTO</t>
  </si>
  <si>
    <t>I10277</t>
  </si>
  <si>
    <t>COLARINHO PEAD PN10 DE 250 PARA ÁGUA OU ESGOTO</t>
  </si>
  <si>
    <t>I10278</t>
  </si>
  <si>
    <t>COLARINHO PEAD PN10 DE 280 PARA ÁGUA OU ESGOTO</t>
  </si>
  <si>
    <t>I10279</t>
  </si>
  <si>
    <t>COLARINHO PEAD PN10 DE 315 PARA ÁGUA OU ESGOTO</t>
  </si>
  <si>
    <t>I10280</t>
  </si>
  <si>
    <t>COLARINHO PEAD PN10 DE 355 PARA ÁGUA OU ESGOTO</t>
  </si>
  <si>
    <t>I10281</t>
  </si>
  <si>
    <t>COLARINHO PEAD PN10 DE 400 PARA ÁGUA OU ESGOTO</t>
  </si>
  <si>
    <t>I10282</t>
  </si>
  <si>
    <t>COLARINHO PEAD PN10 DE 450 PARA ÁGUA OU ESGOTO</t>
  </si>
  <si>
    <t>I10283</t>
  </si>
  <si>
    <t>COLARINHO PEAD PN10 DE 500 PARA ÁGUA OU ESGOTO</t>
  </si>
  <si>
    <t>I10284</t>
  </si>
  <si>
    <t>COLARINHO PEAD PN10 DE 560 PARA ÁGUA OU ESGOTO</t>
  </si>
  <si>
    <t>I6852</t>
  </si>
  <si>
    <t xml:space="preserve">COLARINHO PEAD PN10 DE 63 PARA ÁGUA OU ESGOTO
</t>
  </si>
  <si>
    <t>I10285</t>
  </si>
  <si>
    <t>COLARINHO PEAD PN10 DE 630 PARA ÁGUA OU ESGOTO</t>
  </si>
  <si>
    <t>I10286</t>
  </si>
  <si>
    <t>COLARINHO PEAD PN10 DE 710 PARA ÁGUA OU ESGOTO</t>
  </si>
  <si>
    <t>I6853</t>
  </si>
  <si>
    <t xml:space="preserve">COLARINHO PEAD PN10 DE 90 PARA ÁGUA OU ESGOTO
</t>
  </si>
  <si>
    <t>I9627</t>
  </si>
  <si>
    <t>COLARINHO PEAD SR21 PN 8 DN  200</t>
  </si>
  <si>
    <t>I9628</t>
  </si>
  <si>
    <t>COLARINHO PEAD SR21 PN 8 DN  400</t>
  </si>
  <si>
    <t>I9629</t>
  </si>
  <si>
    <t>COLARINHO PEAD SR21 PN 8 DN  800</t>
  </si>
  <si>
    <t>I9630</t>
  </si>
  <si>
    <t>COLARINHO PEAD SR21 PN 8 DN 1000</t>
  </si>
  <si>
    <t>I9631</t>
  </si>
  <si>
    <t>COMPORTA C/SENTIDO DUPLO DE FLUXO C/PASSAGEM QUADRADA EM AÇO INOX 316 DN 150</t>
  </si>
  <si>
    <t>I9632</t>
  </si>
  <si>
    <t>COMPORTA C/SENTIDO DUPLO DE FLUXO C/PASSAGEM QUADRADA EM AÇO INOX 316 DN 200</t>
  </si>
  <si>
    <t>I9633</t>
  </si>
  <si>
    <t>COMPORTA C/SENTIDO DUPLO DE FLUXO C/PASSAGEM QUADRADA EM AÇO INOX 316 DN 250</t>
  </si>
  <si>
    <t>I9634</t>
  </si>
  <si>
    <t>COMPORTA C/SENTIDO DUPLO DE FLUXO C/PASSAGEM QUADRADA EM AÇO INOX 316 DN 300</t>
  </si>
  <si>
    <t>I9635</t>
  </si>
  <si>
    <t>COMPORTA C/SENTIDO DUPLO DE FLUXO C/PASSAGEM QUADRADA EM AÇO INOX 316 DN 500</t>
  </si>
  <si>
    <t>I4865</t>
  </si>
  <si>
    <t>COMPORTA CIRCULAR C/DUPLO SENT. DE FLUXO DN 1000</t>
  </si>
  <si>
    <t>I4866</t>
  </si>
  <si>
    <t>COMPORTA CIRCULAR C/DUPLO SENT. DE FLUXO DN 1200</t>
  </si>
  <si>
    <t>I4867</t>
  </si>
  <si>
    <t>COMPORTA CIRCULAR C/DUPLO SENT. DE FLUXO DN 1400</t>
  </si>
  <si>
    <t>I4868</t>
  </si>
  <si>
    <t>COMPORTA CIRCULAR C/DUPLO SENT. DE FLUXO DN 1500</t>
  </si>
  <si>
    <t>I4857</t>
  </si>
  <si>
    <t>COMPORTA CIRCULAR C/DUPLO SENT. DE FLUXO DN 200</t>
  </si>
  <si>
    <t>I10551</t>
  </si>
  <si>
    <t>COMPORTA CIRCULAR C/DUPLO SENT. DE FLUXO DN 250</t>
  </si>
  <si>
    <t>I4858</t>
  </si>
  <si>
    <t>COMPORTA CIRCULAR C/DUPLO SENT. DE FLUXO DN 300</t>
  </si>
  <si>
    <t>I10552</t>
  </si>
  <si>
    <t>COMPORTA CIRCULAR C/DUPLO SENT. DE FLUXO DN 350</t>
  </si>
  <si>
    <t>I4859</t>
  </si>
  <si>
    <t>COMPORTA CIRCULAR C/DUPLO SENT. DE FLUXO DN 400</t>
  </si>
  <si>
    <t>I4860</t>
  </si>
  <si>
    <t>COMPORTA CIRCULAR C/DUPLO SENT. DE FLUXO DN 500</t>
  </si>
  <si>
    <t>I4861</t>
  </si>
  <si>
    <t>COMPORTA CIRCULAR C/DUPLO SENT. DE FLUXO DN 600</t>
  </si>
  <si>
    <t>I4862</t>
  </si>
  <si>
    <t>COMPORTA CIRCULAR C/DUPLO SENT. DE FLUXO DN 700</t>
  </si>
  <si>
    <t>I4863</t>
  </si>
  <si>
    <t>COMPORTA CIRCULAR C/DUPLO SENT. DE FLUXO DN 800</t>
  </si>
  <si>
    <t>I4864</t>
  </si>
  <si>
    <t>COMPORTA CIRCULAR C/DUPLO SENT. DE FLUXO DN 900</t>
  </si>
  <si>
    <t>I4877</t>
  </si>
  <si>
    <t>COMPORTA QUADRADA C/DUPLO SENT. DE FLUXO DN 1000</t>
  </si>
  <si>
    <t>I4878</t>
  </si>
  <si>
    <t>COMPORTA QUADRADA C/DUPLO SENT. DE FLUXO DN 1200</t>
  </si>
  <si>
    <t>I4879</t>
  </si>
  <si>
    <t>COMPORTA QUADRADA C/DUPLO SENT. DE FLUXO DN 1400</t>
  </si>
  <si>
    <t>I10553</t>
  </si>
  <si>
    <t>COMPORTA QUADRADA C/DUPLO SENT. DE FLUXO DN 150</t>
  </si>
  <si>
    <t>I4880</t>
  </si>
  <si>
    <t>COMPORTA QUADRADA C/DUPLO SENT. DE FLUXO DN 1500</t>
  </si>
  <si>
    <t>I4869</t>
  </si>
  <si>
    <t>COMPORTA QUADRADA C/DUPLO SENT. DE FLUXO DN 200</t>
  </si>
  <si>
    <t>I10554</t>
  </si>
  <si>
    <t>COMPORTA QUADRADA C/DUPLO SENT. DE FLUXO DN 250</t>
  </si>
  <si>
    <t>I4870</t>
  </si>
  <si>
    <t>COMPORTA QUADRADA C/DUPLO SENT. DE FLUXO DN 300</t>
  </si>
  <si>
    <t>I10555</t>
  </si>
  <si>
    <t>COMPORTA QUADRADA C/DUPLO SENT. DE FLUXO DN 350</t>
  </si>
  <si>
    <t>I4871</t>
  </si>
  <si>
    <t>COMPORTA QUADRADA C/DUPLO SENT. DE FLUXO DN 400</t>
  </si>
  <si>
    <t>I4872</t>
  </si>
  <si>
    <t>COMPORTA QUADRADA C/DUPLO SENT. DE FLUXO DN 500</t>
  </si>
  <si>
    <t>I4873</t>
  </si>
  <si>
    <t>COMPORTA QUADRADA C/DUPLO SENT. DE FLUXO DN 600</t>
  </si>
  <si>
    <t>I4874</t>
  </si>
  <si>
    <t>COMPORTA QUADRADA C/DUPLO SENT. DE FLUXO DN 700</t>
  </si>
  <si>
    <t>I4875</t>
  </si>
  <si>
    <t>COMPORTA QUADRADA C/DUPLO SENT. DE FLUXO DN 800</t>
  </si>
  <si>
    <t>I4876</t>
  </si>
  <si>
    <t>COMPORTA QUADRADA C/DUPLO SENT. DE FLUXO DN 900</t>
  </si>
  <si>
    <t>I9636</t>
  </si>
  <si>
    <t>COMPORTA SENTIDO DUPLO DE FLUXO COM PASSAGEM QUADRADA EM AÇO INOX 316 COM ACIONAMENTO ELETRICO E MANUAL DN 800</t>
  </si>
  <si>
    <t>I9637</t>
  </si>
  <si>
    <t>COMPORTA SENTIDO DUPLO DE FLUXO COM PASSAGEM QUADRADA EM AÇO INOX 316 COM ACIONAMENTO ELETRICO E MANUAL DN 900</t>
  </si>
  <si>
    <t>I9638</t>
  </si>
  <si>
    <t>COMPRESSOR DE AR PARA KITS DOSADORES DE DIAFRAGMA, ACIONAMENTO DIRETO E ISENTO DE ÓLEO, C/ VAZÃO MÍN. 140L/MIN, PRESSÃO NOMINAL 80 A 120 PSI. POTÊNCIA DO MOTOR 1CV, ROTAÇÃO MÁX. 1.680RPM, QUALIDADE DO AR: AR COMPRIMIDO SEM ÓLEO</t>
  </si>
  <si>
    <t>I8866</t>
  </si>
  <si>
    <t>COMPRESSOR DE AR PARA KITS DOSADORES DE DIAFRAGMA, ACIONAMENTO DIRETO E ISENTO DE ÓLEO, C/ VAZÃO MÍN. 45L/MIN E VAZÃO MÁX. 65L/MIN, PRESSÃO MÁX. 2,8 bar. POTÊNCIA DO MOTOR 1/3 HP (250 W); TENSÃO: 220V</t>
  </si>
  <si>
    <t>I8867</t>
  </si>
  <si>
    <t>COMPRESSOR DE AR, PRESSÃO MÁX. 40 psi, POTÊNCIA 450 W, TENSÃO: 220V ROT. 1750 rpm E MANGUEIRA DE 3M</t>
  </si>
  <si>
    <t>I9168</t>
  </si>
  <si>
    <t xml:space="preserve">CONCERTINA EM ESPIRAL, DIÂMETRO 450mm
</t>
  </si>
  <si>
    <t>I8518</t>
  </si>
  <si>
    <t>CONECTOR EMENDA E MEDIÇÃO PARA CABO ATÉ 50mm² 4P</t>
  </si>
  <si>
    <t>I8084</t>
  </si>
  <si>
    <t>CONECTOR PARA CONDUTOR DE AÇO COBREADO 7 x 10 AWG</t>
  </si>
  <si>
    <t>I9641</t>
  </si>
  <si>
    <t>CONECTOR PARA RGC-213 (TIPO N)</t>
  </si>
  <si>
    <t>I9644</t>
  </si>
  <si>
    <t>CONJ. MOTO-BOMBA CENTRÍFUGA DE EIXO HORIZONTAL - POT = 10CV - Q = 46,12 M3/h - 30,38 mca</t>
  </si>
  <si>
    <t>I9645</t>
  </si>
  <si>
    <t>CONJ. MOTO-BOMBA CENTRÍFUGA DE EIXO HORIZONTAL - POT = 15CV</t>
  </si>
  <si>
    <t>I9646</t>
  </si>
  <si>
    <t>CONJ. MOTO-BOMBA CENTRÍFUGA DE EIXO HORIZONTAL - POT = 20CV - Q = 63,80 M3/h - 15,00 mca</t>
  </si>
  <si>
    <t>I9647</t>
  </si>
  <si>
    <t>CONJ. MOTO-BOMBA CENTRÍFUGA DE EIXO HORIZONTAL - POT = 25CV</t>
  </si>
  <si>
    <t>I9648</t>
  </si>
  <si>
    <t>CONJ. MOTO-BOMBA CENTRÍFUGA DE EIXO HORIZONTAL - POT = 30CV - Q = 61,00 L/s - Q = 219,60 M3/h - Hman = 23,10 mca</t>
  </si>
  <si>
    <t>I9642</t>
  </si>
  <si>
    <t>CONJ. MOTO-BOMBA CENTRÍFUGA DE EIXO HORIZONTAL - POT = 3CV - Q = 3,00 L/s - Q = 10,80 M3/h - Hman = 26,59 mca</t>
  </si>
  <si>
    <t>I9649</t>
  </si>
  <si>
    <t>CONJ. MOTO-BOMBA CENTRÍFUGA DE EIXO HORIZONTAL - POT = 40CV - Q = 572,58 M3/h - 15,00 mca - 1.160 rpm</t>
  </si>
  <si>
    <t>I9643</t>
  </si>
  <si>
    <t>CONJ. MOTO-BOMBA CENTRÍFUGA DE EIXO HORIZONTAL - POT = 5CV - Q = 35,00 M3/h - 33,00 mca</t>
  </si>
  <si>
    <t>I9650</t>
  </si>
  <si>
    <t>CONJ. MOTO-BOMBA SUBMERSA - POT = 1,0CV - Q = 4,00 M3/h - 43,00 mca</t>
  </si>
  <si>
    <t>I9651</t>
  </si>
  <si>
    <t>CONJ. MOTO-BOMBA SUBMERSA - POT = 1,5CV - Q = 5,00 M3/h - 53,00 mca</t>
  </si>
  <si>
    <t>I9652</t>
  </si>
  <si>
    <t>CONJ. MOTO-BOMBA SUBMERSA - POT = 2,0CV - Q = 6,00 M3/h - 46,00 mca</t>
  </si>
  <si>
    <t>I9653</t>
  </si>
  <si>
    <t>CONJ. MOTO-BOMBA SUBMERSA - POT=2,5CV - Q = 7,00 M3/h - 53,00 mca</t>
  </si>
  <si>
    <t>I9654</t>
  </si>
  <si>
    <t>CONJ. MOTO-BOMBA SUBMERSA - POT=3,0CV - Q = 9,00 M3/h - 52,00 mca</t>
  </si>
  <si>
    <t>I9655</t>
  </si>
  <si>
    <t>CONJ. MOTO-BOMBA SUBMERSA - POT=3,5CV - Q = 5,70 L/s - Hman = 8,60 mca</t>
  </si>
  <si>
    <t>I9656</t>
  </si>
  <si>
    <t>CONJ. MOTO-BOMBA SUBMERSA - POT=4,0CV - Q = 5,80 L/s - Hman = 10,60 mca</t>
  </si>
  <si>
    <t>I9657</t>
  </si>
  <si>
    <t>CONJ. MOTO-BOMBA SUBMERSA - POT=4,5CV - Q = 30,00 M3/h - Hman = 28,00 mca</t>
  </si>
  <si>
    <t>I9658</t>
  </si>
  <si>
    <t>CONJ. MOTO-BOMBA SUBMERSA - POT=5,0CV - DN 97MM - Q = 1,12 M3/h - 129,21 mca - 3.500 rpm</t>
  </si>
  <si>
    <t>I9659</t>
  </si>
  <si>
    <t>CONJ. MOTO-BOMBA SUBMERSÍVEL - POT= 2,0CV</t>
  </si>
  <si>
    <t>I9660</t>
  </si>
  <si>
    <t>CONJ. MOTO-BOMBA SUBMERSÍVEL - POT= 2,5CV</t>
  </si>
  <si>
    <t>I9661</t>
  </si>
  <si>
    <t>CONJ. MOTO-BOMBA SUBMERSÍVEL - POT= 2,7 CV</t>
  </si>
  <si>
    <t>I9662</t>
  </si>
  <si>
    <t>CONJ. MOTO-BOMBA SUBMERSÍVEL - POT= 3,0CV</t>
  </si>
  <si>
    <t>I9663</t>
  </si>
  <si>
    <t>CONJ. MOTO-BOMBA SUBMERSÍVEL - POT= 3,5CV</t>
  </si>
  <si>
    <t>I9664</t>
  </si>
  <si>
    <t>CONJ. MOTO-BOMBA SUBMERSÍVEL - POT= 4,0CV</t>
  </si>
  <si>
    <t>I9665</t>
  </si>
  <si>
    <t>CONJ. MOTO-BOMBA SUBMERSÍVEL - POT= 4,5CV</t>
  </si>
  <si>
    <t>I9666</t>
  </si>
  <si>
    <t>CONJ. MOTO-BOMBA SUBMERSÍVEL - POT= 5,0CV</t>
  </si>
  <si>
    <t>I9667</t>
  </si>
  <si>
    <t>CONJ. MOTO-BOMBA SUBMERSÍVEL - POT= 5,5CV</t>
  </si>
  <si>
    <t>I9668</t>
  </si>
  <si>
    <t>CONJ. MOTO-BOMBA SUBMERSÍVEL - POT= 6,0CV</t>
  </si>
  <si>
    <t>I9669</t>
  </si>
  <si>
    <t>CONJ. MOTO-BOMBA SUBMERSÍVEL - POT= 7,0CV</t>
  </si>
  <si>
    <t>I9670</t>
  </si>
  <si>
    <t>CONJ. MOTO-BOMBA SUBMERSÍVEL - POT= 7,5CV</t>
  </si>
  <si>
    <t>I9671</t>
  </si>
  <si>
    <t>CONJ. MOTO-BOMBA SUBMERSÍVEL - POT= 8,0CV</t>
  </si>
  <si>
    <t>I9672</t>
  </si>
  <si>
    <t>CONJ. MOTO-BOMBA SUBMERSÍVEL - POT= 9,0CV</t>
  </si>
  <si>
    <t>I9673</t>
  </si>
  <si>
    <t>CONJ. MOTO-BOMBA SUBMERSÍVEL - POT=10CV</t>
  </si>
  <si>
    <t>I9674</t>
  </si>
  <si>
    <t>CONJ. MOTO-BOMBA SUBMERSÍVEL - POT=15CV</t>
  </si>
  <si>
    <t>I9675</t>
  </si>
  <si>
    <t>CONJ. MOTO-BOMBA SUBMERSÍVEL - POT=20CV</t>
  </si>
  <si>
    <t>I9676</t>
  </si>
  <si>
    <t>CONJ. MOTO-BOMBA SUBMERSÍVEL - POT=25CV</t>
  </si>
  <si>
    <t>I9677</t>
  </si>
  <si>
    <t>CONJ. MOTO-BOMBA SUBMERSÍVEL - POT=30CV</t>
  </si>
  <si>
    <t>I9678</t>
  </si>
  <si>
    <t>CONJ. MOTO-BOMBA SUBMERSÍVEL - POT=35CV</t>
  </si>
  <si>
    <t>I9679</t>
  </si>
  <si>
    <t>CONJ. MOTO-BOMBA SUBMERSÍVEL - POT=40CV</t>
  </si>
  <si>
    <t>I9680</t>
  </si>
  <si>
    <t>CONJ. MOTO-BOMBA SUBMERSÍVEL - POT=50CV</t>
  </si>
  <si>
    <t>I9681</t>
  </si>
  <si>
    <t>CONJ. MOTO-BOMBA SUBMERSÍVEL - POT=60CV</t>
  </si>
  <si>
    <t>I8516</t>
  </si>
  <si>
    <t>CONJUNTO DE CONTRAVENTAGEM COM CABO PARA MASTRO DE 2"</t>
  </si>
  <si>
    <t>I9682</t>
  </si>
  <si>
    <t>CONJUNTO PARAFUSO/PORCA INOX M16  50MM</t>
  </si>
  <si>
    <t>I9683</t>
  </si>
  <si>
    <t>CONJUNTO PARAFUSO/PORCA INOX M16 100MM</t>
  </si>
  <si>
    <t>I9685</t>
  </si>
  <si>
    <t>CONTEINER CAP.1M³, CONFECCIONADO EM POLIETILENO DE ALTA DENSIDADE (PEAD) INJETADO COM PROTEÇÃO CONTRA RAIOS UV, RODAS COM BORRACHA MACIÇA, TAMPA QUE EVITA O ACÚMULO DE ÁGUA E ANTIRRUIDO.</t>
  </si>
  <si>
    <t>I8868</t>
  </si>
  <si>
    <t>CONTROLADOR ANALÍTICO, ENTRADA PARA 2 SENSORES DIGITAIS, 2 SAÍDAS ANALÓGICAS 4-20 MA, 1 ENTRADA ANALÓGICA 4-20 MA, PROTOCOLO DE COMUNICAÇÃO PROFIBUS-DP</t>
  </si>
  <si>
    <t>I9688</t>
  </si>
  <si>
    <t>CONTROLADOR LÓGICO PROGRAMÁVEL, 14 ENTRADAS DIGITAIS, 10 SAÍDAS DIGITAIS, 2 ENTRADAS ANALÓGICAS, 24 VCC, SUPORTE A COMUNICAÇÃO PROFINET</t>
  </si>
  <si>
    <t>I8519</t>
  </si>
  <si>
    <t>CORDOALHA DE COBRE 300mm</t>
  </si>
  <si>
    <t>I8520</t>
  </si>
  <si>
    <t>CORDOALHA DE COBRE 500mm</t>
  </si>
  <si>
    <t>I9689</t>
  </si>
  <si>
    <t>COTOVELO 90º AÇO INOX 316 DN 50</t>
  </si>
  <si>
    <t>I9690</t>
  </si>
  <si>
    <t>COTOVELO 90º AÇO INOX 316 DN 75</t>
  </si>
  <si>
    <t>I9691</t>
  </si>
  <si>
    <t>COTOVELO 90º AÇO INOX SCHEDULE 40 DN 2"</t>
  </si>
  <si>
    <t>I9692</t>
  </si>
  <si>
    <t>COTOVELO 90º AÇO INOX SCHEDULE 40 DN 3"</t>
  </si>
  <si>
    <t>I9693</t>
  </si>
  <si>
    <t>COTOVELO 90º AÇO SCHEDULE 80 DN 3"</t>
  </si>
  <si>
    <t>I4882</t>
  </si>
  <si>
    <t>CRIVO COM FLANGE DN 100 PN10</t>
  </si>
  <si>
    <t>I4883</t>
  </si>
  <si>
    <t>CRIVO COM FLANGE DN 150 PN10</t>
  </si>
  <si>
    <t>I4884</t>
  </si>
  <si>
    <t>CRIVO COM FLANGE DN 200 PN10</t>
  </si>
  <si>
    <t>I4885</t>
  </si>
  <si>
    <t>CRIVO COM FLANGE DN 250 PN10</t>
  </si>
  <si>
    <t>I4886</t>
  </si>
  <si>
    <t>CRIVO COM FLANGE DN 300 PN10</t>
  </si>
  <si>
    <t>I4887</t>
  </si>
  <si>
    <t>CRIVO COM FLANGE DN 350 PN10</t>
  </si>
  <si>
    <t>I4888</t>
  </si>
  <si>
    <t>CRIVO COM FLANGE DN 400 PN10</t>
  </si>
  <si>
    <t>I4889</t>
  </si>
  <si>
    <t>CRIVO COM FLANGE DN 450 PN10</t>
  </si>
  <si>
    <t>I4890</t>
  </si>
  <si>
    <t>CRIVO COM FLANGE DN 500 PN10</t>
  </si>
  <si>
    <t>I4891</t>
  </si>
  <si>
    <t>CRIVO COM FLANGE DN 600 PN10</t>
  </si>
  <si>
    <t>I4881</t>
  </si>
  <si>
    <t>CRIVO COM FLANGE DN 75 PN10</t>
  </si>
  <si>
    <t>I10329</t>
  </si>
  <si>
    <t>CRIVO COM FLANGE DN 80 PN10</t>
  </si>
  <si>
    <t>I13197</t>
  </si>
  <si>
    <t>CRUZETA AÇO INOX 304 SCH 40 S/ COSTURA PP 10"</t>
  </si>
  <si>
    <t>I13198</t>
  </si>
  <si>
    <t>CRUZETA AÇO INOX 304 SCH 40 S/ COSTURA PP 12"</t>
  </si>
  <si>
    <t>I13192</t>
  </si>
  <si>
    <t>CRUZETA AÇO INOX 304 SCH 40 S/ COSTURA PP 2"</t>
  </si>
  <si>
    <t>I13193</t>
  </si>
  <si>
    <t>CRUZETA AÇO INOX 304 SCH 40 S/ COSTURA PP 3"</t>
  </si>
  <si>
    <t>I13194</t>
  </si>
  <si>
    <t>CRUZETA AÇO INOX 304 SCH 40 S/ COSTURA PP 4"</t>
  </si>
  <si>
    <t>I13195</t>
  </si>
  <si>
    <t>CRUZETA AÇO INOX 304 SCH 40 S/ COSTURA PP 6"</t>
  </si>
  <si>
    <t>I13196</t>
  </si>
  <si>
    <t>CRUZETA AÇO INOX 304 SCH 40 S/ COSTURA PP 8"</t>
  </si>
  <si>
    <t>I9695</t>
  </si>
  <si>
    <t>CRUZETA AÇO SCHEDULE 40 DN 75</t>
  </si>
  <si>
    <t>I9696</t>
  </si>
  <si>
    <t>CRUZETA AÇO SCHEDULE 80 DN 3"</t>
  </si>
  <si>
    <t>I8073</t>
  </si>
  <si>
    <t>CRUZETA DE CONCRETO ARMADO 1.900mm TIPO NORMAL</t>
  </si>
  <si>
    <t>I3106</t>
  </si>
  <si>
    <t>CRUZETA DE REDUÇÃO PBA COM BOLSAS DN 100 x 50</t>
  </si>
  <si>
    <t>I8026</t>
  </si>
  <si>
    <t>CRUZETA DE REDUÇÃO PBA COM BOLSAS DN 100 x 75</t>
  </si>
  <si>
    <t>I3105</t>
  </si>
  <si>
    <t>CRUZETA DE REDUÇÃO PBA COM BOLSAS DN 75 x 50</t>
  </si>
  <si>
    <t>I9697</t>
  </si>
  <si>
    <t>CRUZETA FOFO C/FLANGES DN 150 X 150</t>
  </si>
  <si>
    <t>I10557</t>
  </si>
  <si>
    <t>CRUZETA FoFo JTE DN 300 x 100</t>
  </si>
  <si>
    <t>I10558</t>
  </si>
  <si>
    <t>CRUZETA FoFo JTE DN 300 x 200</t>
  </si>
  <si>
    <t>I10559</t>
  </si>
  <si>
    <t>CRUZETA FoFo JTE DN 300 x 300</t>
  </si>
  <si>
    <t>I10556</t>
  </si>
  <si>
    <t>CRUZETA FoFo JTE DN 300 x 80</t>
  </si>
  <si>
    <t>I10561</t>
  </si>
  <si>
    <t>CRUZETA FoFo JTE DN 400 x 100</t>
  </si>
  <si>
    <t>I10562</t>
  </si>
  <si>
    <t>CRUZETA FoFo JTE DN 400 x 200</t>
  </si>
  <si>
    <t>I7869</t>
  </si>
  <si>
    <t>CRUZETA FoFo JTE DN 400 x 400</t>
  </si>
  <si>
    <t>I10560</t>
  </si>
  <si>
    <t>CRUZETA FoFo JTE DN 400 x 80</t>
  </si>
  <si>
    <t>I10564</t>
  </si>
  <si>
    <t>CRUZETA FoFo JTE DN 500 x 100</t>
  </si>
  <si>
    <t>I10565</t>
  </si>
  <si>
    <t>CRUZETA FoFo JTE DN 500 x 200</t>
  </si>
  <si>
    <t>I7870</t>
  </si>
  <si>
    <t>CRUZETA FoFo JTE DN 500 x 300</t>
  </si>
  <si>
    <t>I7871</t>
  </si>
  <si>
    <t>CRUZETA FoFo JTE DN 500 x 500</t>
  </si>
  <si>
    <t>I10563</t>
  </si>
  <si>
    <t>CRUZETA FoFo JTE DN 500 x 80</t>
  </si>
  <si>
    <t>I10566</t>
  </si>
  <si>
    <t>CRUZETA FoFo JTE DN 600 x 100</t>
  </si>
  <si>
    <t>I10567</t>
  </si>
  <si>
    <t>CRUZETA FoFo JTE DN 600 x 200</t>
  </si>
  <si>
    <t>I7872</t>
  </si>
  <si>
    <t>CRUZETA FoFo JTE DN 600 x 300</t>
  </si>
  <si>
    <t>I7873</t>
  </si>
  <si>
    <t>CRUZETA FoFo JTE DN 600 x 400</t>
  </si>
  <si>
    <t>I7874</t>
  </si>
  <si>
    <t>CRUZETA FoFo JTE DN 600 x 600</t>
  </si>
  <si>
    <t>I7103</t>
  </si>
  <si>
    <t>CRUZETA FoFo JUNTA ELASTICA DN 100 x 80</t>
  </si>
  <si>
    <t>I7104</t>
  </si>
  <si>
    <t>CRUZETA FoFo JUNTA ELASTICA DN 150 x 80</t>
  </si>
  <si>
    <t>I7105</t>
  </si>
  <si>
    <t>CRUZETA FoFo JUNTA ELASTICA DN 200 x 150</t>
  </si>
  <si>
    <t>I10570</t>
  </si>
  <si>
    <t>CRUZETA FoFo JUNTA ELASTICA DN 200 x 50</t>
  </si>
  <si>
    <t>I7106</t>
  </si>
  <si>
    <t>CRUZETA FoFo JUNTA ELASTICA DN 200 x 80</t>
  </si>
  <si>
    <t>I10571</t>
  </si>
  <si>
    <t>CRUZETA FoFo JUNTA ELASTICA DN 250 x 50</t>
  </si>
  <si>
    <t>I7107</t>
  </si>
  <si>
    <t>CRUZETA FoFo JUNTA ELASTICA DN 250 x 80</t>
  </si>
  <si>
    <t>I10574</t>
  </si>
  <si>
    <t>CRUZETA FoFo JUNTA ELASTICA DN 300 x 50</t>
  </si>
  <si>
    <t>I7108</t>
  </si>
  <si>
    <t>CRUZETA FoFo JUNTA ELASTICA DN 300 x 80</t>
  </si>
  <si>
    <t>I7109</t>
  </si>
  <si>
    <t>CRUZETA FoFo JUNTA ELASTICA DN 400 x 80</t>
  </si>
  <si>
    <t>I7110</t>
  </si>
  <si>
    <t>CRUZETA FoFo JUNTA ELASTICA DN 80 x 80</t>
  </si>
  <si>
    <t>I3491</t>
  </si>
  <si>
    <t>CRUZETA FoFo JUNTA ELÁSTICA DN 100 x 100</t>
  </si>
  <si>
    <t>I3490</t>
  </si>
  <si>
    <t>CRUZETA FoFo JUNTA ELÁSTICA DN 100 x 75</t>
  </si>
  <si>
    <t>I10568</t>
  </si>
  <si>
    <t>CRUZETA FoFo JUNTA ELÁSTICA DN 125 x 125</t>
  </si>
  <si>
    <t>I3494</t>
  </si>
  <si>
    <t>CRUZETA FoFo JUNTA ELÁSTICA DN 150 x 100</t>
  </si>
  <si>
    <t>I3495</t>
  </si>
  <si>
    <t>CRUZETA FoFo JUNTA ELÁSTICA DN 150 x 150</t>
  </si>
  <si>
    <t>I10569</t>
  </si>
  <si>
    <t>CRUZETA FoFo JUNTA ELÁSTICA DN 150 x 50</t>
  </si>
  <si>
    <t>I3493</t>
  </si>
  <si>
    <t>CRUZETA FoFo JUNTA ELÁSTICA DN 150 x 75</t>
  </si>
  <si>
    <t>I3498</t>
  </si>
  <si>
    <t>CRUZETA FoFo JUNTA ELÁSTICA DN 200 x 100</t>
  </si>
  <si>
    <t>I3499</t>
  </si>
  <si>
    <t>CRUZETA FoFo JUNTA ELÁSTICA DN 200 x 200</t>
  </si>
  <si>
    <t>I3497</t>
  </si>
  <si>
    <t>CRUZETA FoFo JUNTA ELÁSTICA DN 200 x 75</t>
  </si>
  <si>
    <t>I3502</t>
  </si>
  <si>
    <t>CRUZETA FoFo JUNTA ELÁSTICA DN 250 x 100</t>
  </si>
  <si>
    <t>I10572</t>
  </si>
  <si>
    <t>CRUZETA FoFo JUNTA ELÁSTICA DN 250 x 150</t>
  </si>
  <si>
    <t>I10573</t>
  </si>
  <si>
    <t>CRUZETA FoFo JUNTA ELÁSTICA DN 250 x 200</t>
  </si>
  <si>
    <t>I3503</t>
  </si>
  <si>
    <t>CRUZETA FoFo JUNTA ELÁSTICA DN 250 x 250</t>
  </si>
  <si>
    <t>I3501</t>
  </si>
  <si>
    <t>CRUZETA FoFo JUNTA ELÁSTICA DN 250 x 75</t>
  </si>
  <si>
    <t>I3505</t>
  </si>
  <si>
    <t>CRUZETA FoFo JUNTA ELÁSTICA DN 300 x 100</t>
  </si>
  <si>
    <t>I10575</t>
  </si>
  <si>
    <t>CRUZETA FoFo JUNTA ELÁSTICA DN 300 x 150</t>
  </si>
  <si>
    <t>I3506</t>
  </si>
  <si>
    <t>CRUZETA FoFo JUNTA ELÁSTICA DN 300 x 200</t>
  </si>
  <si>
    <t>I10576</t>
  </si>
  <si>
    <t>CRUZETA FoFo JUNTA ELÁSTICA DN 300 x 250</t>
  </si>
  <si>
    <t>I3507</t>
  </si>
  <si>
    <t>CRUZETA FoFo JUNTA ELÁSTICA DN 300 x 300</t>
  </si>
  <si>
    <t>I3504</t>
  </si>
  <si>
    <t>CRUZETA FoFo JUNTA ELÁSTICA DN 300 x 75</t>
  </si>
  <si>
    <t>I7611</t>
  </si>
  <si>
    <t>CRUZETA FoFo JUNTA ELÁSTICA DN 350 x 100</t>
  </si>
  <si>
    <t>I10577</t>
  </si>
  <si>
    <t>CRUZETA FoFo JUNTA ELÁSTICA DN 350 x 150</t>
  </si>
  <si>
    <t>I7612</t>
  </si>
  <si>
    <t>CRUZETA FoFo JUNTA ELÁSTICA DN 350 x 200</t>
  </si>
  <si>
    <t>I7613</t>
  </si>
  <si>
    <t>CRUZETA FoFo JUNTA ELÁSTICA DN 350 x 250</t>
  </si>
  <si>
    <t>I10578</t>
  </si>
  <si>
    <t>CRUZETA FoFo JUNTA ELÁSTICA DN 350 x 350</t>
  </si>
  <si>
    <t>I3509</t>
  </si>
  <si>
    <t>CRUZETA FoFo JUNTA ELÁSTICA DN 400 x 100</t>
  </si>
  <si>
    <t>I10579</t>
  </si>
  <si>
    <t>CRUZETA FoFo JUNTA ELÁSTICA DN 400 x 150</t>
  </si>
  <si>
    <t>I3510</t>
  </si>
  <si>
    <t>CRUZETA FoFo JUNTA ELÁSTICA DN 400 x 200</t>
  </si>
  <si>
    <t>I10580</t>
  </si>
  <si>
    <t>CRUZETA FoFo JUNTA ELÁSTICA DN 400 x 250</t>
  </si>
  <si>
    <t>I3511</t>
  </si>
  <si>
    <t>CRUZETA FoFo JUNTA ELÁSTICA DN 400 x 300</t>
  </si>
  <si>
    <t>I3512</t>
  </si>
  <si>
    <t>CRUZETA FoFo JUNTA ELÁSTICA DN 400 x 400</t>
  </si>
  <si>
    <t>I3508</t>
  </si>
  <si>
    <t>CRUZETA FoFo JUNTA ELÁSTICA DN 400 x 75</t>
  </si>
  <si>
    <t>I10582</t>
  </si>
  <si>
    <t>CRUZETA FoFo JUNTA ELÁSTICA DN 450 x 100</t>
  </si>
  <si>
    <t>I10583</t>
  </si>
  <si>
    <t>CRUZETA FoFo JUNTA ELÁSTICA DN 450 x 150</t>
  </si>
  <si>
    <t>I10584</t>
  </si>
  <si>
    <t>CRUZETA FoFo JUNTA ELÁSTICA DN 450 x 200</t>
  </si>
  <si>
    <t>I10585</t>
  </si>
  <si>
    <t>CRUZETA FoFo JUNTA ELÁSTICA DN 450 x 400</t>
  </si>
  <si>
    <t>I10581</t>
  </si>
  <si>
    <t>CRUZETA FoFo JUNTA ELÁSTICA DN 450 x 75</t>
  </si>
  <si>
    <t>I3514</t>
  </si>
  <si>
    <t>CRUZETA FoFo JUNTA ELÁSTICA DN 500 x 100</t>
  </si>
  <si>
    <t>I3515</t>
  </si>
  <si>
    <t>CRUZETA FoFo JUNTA ELÁSTICA DN 500 x 200</t>
  </si>
  <si>
    <t>I3516</t>
  </si>
  <si>
    <t>CRUZETA FoFo JUNTA ELÁSTICA DN 500 x 300</t>
  </si>
  <si>
    <t>I3517</t>
  </si>
  <si>
    <t>CRUZETA FoFo JUNTA ELÁSTICA DN 500 x 500</t>
  </si>
  <si>
    <t>I10586</t>
  </si>
  <si>
    <t>CRUZETA FoFo JUNTA ELÁSTICA DN 500 x 75</t>
  </si>
  <si>
    <t>I7614</t>
  </si>
  <si>
    <t>CRUZETA FoFo JUNTA ELÁSTICA DN 500 x 80</t>
  </si>
  <si>
    <t>I3519</t>
  </si>
  <si>
    <t>CRUZETA FoFo JUNTA ELÁSTICA DN 600 x 100</t>
  </si>
  <si>
    <t>I3520</t>
  </si>
  <si>
    <t>CRUZETA FoFo JUNTA ELÁSTICA DN 600 x 200</t>
  </si>
  <si>
    <t>I3521</t>
  </si>
  <si>
    <t>CRUZETA FoFo JUNTA ELÁSTICA DN 600 x 300</t>
  </si>
  <si>
    <t>I3522</t>
  </si>
  <si>
    <t>CRUZETA FoFo JUNTA ELÁSTICA DN 600 x 400</t>
  </si>
  <si>
    <t>I3523</t>
  </si>
  <si>
    <t>CRUZETA FoFo JUNTA ELÁSTICA DN 600 x 600</t>
  </si>
  <si>
    <t>I3488</t>
  </si>
  <si>
    <t>CRUZETA FoFo JUNTA ELÁSTICA DN 75 x 75</t>
  </si>
  <si>
    <t>I10587</t>
  </si>
  <si>
    <t>CRUZETA FoFo JUNTA ELÁSTICA DN 800 x 500</t>
  </si>
  <si>
    <t>I10589</t>
  </si>
  <si>
    <t>CRUZETA JE FoFo/PVC BBBB DN 100 x 110</t>
  </si>
  <si>
    <t>I3524</t>
  </si>
  <si>
    <t>CRUZETA JE FoFo/PVC BBBB DN 100 x 50</t>
  </si>
  <si>
    <t>I3525</t>
  </si>
  <si>
    <t>CRUZETA JE FoFo/PVC BBBB DN 100 x 75</t>
  </si>
  <si>
    <t>I3528</t>
  </si>
  <si>
    <t>CRUZETA JE FoFo/PVC BBBB DN 150 x 100</t>
  </si>
  <si>
    <t>I10590</t>
  </si>
  <si>
    <t>CRUZETA JE FoFo/PVC BBBB DN 150 x 150</t>
  </si>
  <si>
    <t>I3526</t>
  </si>
  <si>
    <t>CRUZETA JE FoFo/PVC BBBB DN 150 x 50</t>
  </si>
  <si>
    <t>I3527</t>
  </si>
  <si>
    <t>CRUZETA JE FoFo/PVC BBBB DN 150 x 75</t>
  </si>
  <si>
    <t>I3531</t>
  </si>
  <si>
    <t>CRUZETA JE FoFo/PVC BBBB DN 200 x 100</t>
  </si>
  <si>
    <t>I10591</t>
  </si>
  <si>
    <t>CRUZETA JE FoFo/PVC BBBB DN 200 x 150</t>
  </si>
  <si>
    <t>I3529</t>
  </si>
  <si>
    <t>CRUZETA JE FoFo/PVC BBBB DN 200 x 50</t>
  </si>
  <si>
    <t>I3530</t>
  </si>
  <si>
    <t>CRUZETA JE FoFo/PVC BBBB DN 200 x 75</t>
  </si>
  <si>
    <t>I3534</t>
  </si>
  <si>
    <t>CRUZETA JE FoFo/PVC BBBB DN 250 x 100</t>
  </si>
  <si>
    <t>I3532</t>
  </si>
  <si>
    <t>CRUZETA JE FoFo/PVC BBBB DN 250 x 50</t>
  </si>
  <si>
    <t>I3533</t>
  </si>
  <si>
    <t>CRUZETA JE FoFo/PVC BBBB DN 250 x 75</t>
  </si>
  <si>
    <t>I10592</t>
  </si>
  <si>
    <t>CRUZETA JE FoFo/PVC BBBB DN 300 x 100</t>
  </si>
  <si>
    <t>I10588</t>
  </si>
  <si>
    <t>CRUZETA JE FoFo/PVC BBBB DN 75 x 85</t>
  </si>
  <si>
    <t>I3104</t>
  </si>
  <si>
    <t>CRUZETA PBA COM BOLSAS DN 100</t>
  </si>
  <si>
    <t>I3102</t>
  </si>
  <si>
    <t>CRUZETA PBA COM BOLSAS DN 50</t>
  </si>
  <si>
    <t>I3103</t>
  </si>
  <si>
    <t>CRUZETA PBA COM BOLSAS DN 75</t>
  </si>
  <si>
    <t>I9698</t>
  </si>
  <si>
    <t>CRUZETA PRFV C/ BOLSAS DN 150</t>
  </si>
  <si>
    <t>I9699</t>
  </si>
  <si>
    <t>CRUZETA PRFV C/ BOLSAS DN 150X100</t>
  </si>
  <si>
    <t>I9700</t>
  </si>
  <si>
    <t>CRUZETA RPVC DE REDUÇÃO C/ BOLSAS DN 150 X 100</t>
  </si>
  <si>
    <t>I9178</t>
  </si>
  <si>
    <t>CURVA 11 15 FoFo BB JUNTA ELÁSTICA DN  450 - P/ ESGOTO</t>
  </si>
  <si>
    <t>I7599</t>
  </si>
  <si>
    <t>CURVA 11 15 FoFo BB JUNTA ELÁSTICA PARA ÁGUA DN  450</t>
  </si>
  <si>
    <t>I9170</t>
  </si>
  <si>
    <t>CURVA 11 15' FoFo BB JUNTA ELASTICA DN   80 - P/ ESGOTO</t>
  </si>
  <si>
    <t>I7111</t>
  </si>
  <si>
    <t>CURVA 11 15' FoFo BB JUNTA ELASTICA PARA ÁGUA DN   80</t>
  </si>
  <si>
    <t>I9169</t>
  </si>
  <si>
    <t>CURVA 11 15' FoFo BB JUNTA ELÁSTICA DN   75 - P/ ESGOTO</t>
  </si>
  <si>
    <t>I9171</t>
  </si>
  <si>
    <t>CURVA 11 15' FoFo BB JUNTA ELÁSTICA DN  100 - P/ ESGOTO</t>
  </si>
  <si>
    <t>I9172</t>
  </si>
  <si>
    <t>CURVA 11 15' FoFo BB JUNTA ELÁSTICA DN  150 - P/ ESGOTO</t>
  </si>
  <si>
    <t>I9173</t>
  </si>
  <si>
    <t>CURVA 11 15' FoFo BB JUNTA ELÁSTICA DN  200 - P/ ESGOTO</t>
  </si>
  <si>
    <t>I9174</t>
  </si>
  <si>
    <t>CURVA 11 15' FoFo BB JUNTA ELÁSTICA DN  250 - P/ ESGOTO</t>
  </si>
  <si>
    <t>I9175</t>
  </si>
  <si>
    <t>CURVA 11 15' FoFo BB JUNTA ELÁSTICA DN  300 - P/ ESGOTO</t>
  </si>
  <si>
    <t>I9176</t>
  </si>
  <si>
    <t>CURVA 11 15' FoFo BB JUNTA ELÁSTICA DN  350 - P/ ESGOTO</t>
  </si>
  <si>
    <t>I9177</t>
  </si>
  <si>
    <t>CURVA 11 15' FoFo BB JUNTA ELÁSTICA DN  400 - P/ ESGOTO</t>
  </si>
  <si>
    <t>I9179</t>
  </si>
  <si>
    <t>CURVA 11 15' FoFo BB JUNTA ELÁSTICA DN  500 - P/ ESGOTO</t>
  </si>
  <si>
    <t>I9180</t>
  </si>
  <si>
    <t>CURVA 11 15' FoFo BB JUNTA ELÁSTICA DN  600 - P/ ESGOTO</t>
  </si>
  <si>
    <t>I9181</t>
  </si>
  <si>
    <t>CURVA 11 15' FoFo BB JUNTA ELÁSTICA DN  700 - P/ ESGOTO</t>
  </si>
  <si>
    <t>I9182</t>
  </si>
  <si>
    <t>CURVA 11 15' FoFo BB JUNTA ELÁSTICA DN  800 - P/ ESGOTO</t>
  </si>
  <si>
    <t>I9183</t>
  </si>
  <si>
    <t>CURVA 11 15' FoFo BB JUNTA ELÁSTICA DN  900 - P/ ESGOTO</t>
  </si>
  <si>
    <t>I9184</t>
  </si>
  <si>
    <t>CURVA 11 15' FoFo BB JUNTA ELÁSTICA DN 1000 - P/ ESGOTO</t>
  </si>
  <si>
    <t>I9185</t>
  </si>
  <si>
    <t>CURVA 11 15' FoFo BB JUNTA ELÁSTICA DN 1200 - P/ ESGOTO</t>
  </si>
  <si>
    <t>I3313</t>
  </si>
  <si>
    <t>CURVA 11 15' FoFo BB JUNTA ELÁSTICA PARA ÁGUA DN   75</t>
  </si>
  <si>
    <t>I3314</t>
  </si>
  <si>
    <t>CURVA 11 15' FoFo BB JUNTA ELÁSTICA PARA ÁGUA DN  100</t>
  </si>
  <si>
    <t>I3315</t>
  </si>
  <si>
    <t>CURVA 11 15' FoFo BB JUNTA ELÁSTICA PARA ÁGUA DN  150</t>
  </si>
  <si>
    <t>I3316</t>
  </si>
  <si>
    <t>CURVA 11 15' FoFo BB JUNTA ELÁSTICA PARA ÁGUA DN  200</t>
  </si>
  <si>
    <t>I3317</t>
  </si>
  <si>
    <t>CURVA 11 15' FoFo BB JUNTA ELÁSTICA PARA ÁGUA DN  250</t>
  </si>
  <si>
    <t>I3318</t>
  </si>
  <si>
    <t>CURVA 11 15' FoFo BB JUNTA ELÁSTICA PARA ÁGUA DN  300</t>
  </si>
  <si>
    <t>I3319</t>
  </si>
  <si>
    <t>CURVA 11 15' FoFo BB JUNTA ELÁSTICA PARA ÁGUA DN  350</t>
  </si>
  <si>
    <t>I3320</t>
  </si>
  <si>
    <t>CURVA 11 15' FoFo BB JUNTA ELÁSTICA PARA ÁGUA DN  400</t>
  </si>
  <si>
    <t>I3321</t>
  </si>
  <si>
    <t>CURVA 11 15' FoFo BB JUNTA ELÁSTICA PARA ÁGUA DN  500</t>
  </si>
  <si>
    <t>I3322</t>
  </si>
  <si>
    <t>CURVA 11 15' FoFo BB JUNTA ELÁSTICA PARA ÁGUA DN  600</t>
  </si>
  <si>
    <t>I3323</t>
  </si>
  <si>
    <t>CURVA 11 15' FoFo BB JUNTA ELÁSTICA PARA ÁGUA DN  700</t>
  </si>
  <si>
    <t>I3324</t>
  </si>
  <si>
    <t>CURVA 11 15' FoFo BB JUNTA ELÁSTICA PARA ÁGUA DN  800</t>
  </si>
  <si>
    <t>I3325</t>
  </si>
  <si>
    <t>CURVA 11 15' FoFo BB JUNTA ELÁSTICA PARA ÁGUA DN  900</t>
  </si>
  <si>
    <t>I3326</t>
  </si>
  <si>
    <t>CURVA 11 15' FoFo BB JUNTA ELÁSTICA PARA ÁGUA DN 1000</t>
  </si>
  <si>
    <t>I3327</t>
  </si>
  <si>
    <t>CURVA 11 15' FoFo BB JUNTA ELÁSTICA PARA ÁGUA DN 1200</t>
  </si>
  <si>
    <t>I9187</t>
  </si>
  <si>
    <t>CURVA 22 30' FoFo BB JUNTA ELASTICA DN   80 - P/ ESGOTO</t>
  </si>
  <si>
    <t>I7112</t>
  </si>
  <si>
    <t>CURVA 22 30' FoFo BB JUNTA ELASTICA PARA ÁGUA DN   80</t>
  </si>
  <si>
    <t>I9186</t>
  </si>
  <si>
    <t>CURVA 22 30' FoFo BB JUNTA ELÁSTICA DN   75 - P/ ESGOTO</t>
  </si>
  <si>
    <t>I9188</t>
  </si>
  <si>
    <t>CURVA 22 30' FoFo BB JUNTA ELÁSTICA DN  100 - P/ ESGOTO</t>
  </si>
  <si>
    <t>I9189</t>
  </si>
  <si>
    <t>CURVA 22 30' FoFo BB JUNTA ELÁSTICA DN  150 - P/ ESGOTO</t>
  </si>
  <si>
    <t>I9190</t>
  </si>
  <si>
    <t>CURVA 22 30' FoFo BB JUNTA ELÁSTICA DN  200 - P/ ESGOTO</t>
  </si>
  <si>
    <t>I9191</t>
  </si>
  <si>
    <t>CURVA 22 30' FoFo BB JUNTA ELÁSTICA DN  250 - P/ ESGOTO</t>
  </si>
  <si>
    <t>I9192</t>
  </si>
  <si>
    <t>CURVA 22 30' FoFo BB JUNTA ELÁSTICA DN  300 - P/ ESGOTO</t>
  </si>
  <si>
    <t>I9193</t>
  </si>
  <si>
    <t>CURVA 22 30' FoFo BB JUNTA ELÁSTICA DN  350 - P/ ESGOTO</t>
  </si>
  <si>
    <t>I9194</t>
  </si>
  <si>
    <t>CURVA 22 30' FoFo BB JUNTA ELÁSTICA DN  400 - P/ ESGOTO</t>
  </si>
  <si>
    <t>I9195</t>
  </si>
  <si>
    <t>CURVA 22 30' FoFo BB JUNTA ELÁSTICA DN  450 - P/ ESGOTO</t>
  </si>
  <si>
    <t>I9196</t>
  </si>
  <si>
    <t>CURVA 22 30' FoFo BB JUNTA ELÁSTICA DN  500 - P/ ESGOTO</t>
  </si>
  <si>
    <t>I9197</t>
  </si>
  <si>
    <t>CURVA 22 30' FoFo BB JUNTA ELÁSTICA DN  600 - P/ ESGOTO</t>
  </si>
  <si>
    <t>I9198</t>
  </si>
  <si>
    <t>CURVA 22 30' FoFo BB JUNTA ELÁSTICA DN  700 - P/ ESGOTO</t>
  </si>
  <si>
    <t>I9199</t>
  </si>
  <si>
    <t>CURVA 22 30' FoFo BB JUNTA ELÁSTICA DN  800 - P/ ESGOTO</t>
  </si>
  <si>
    <t>I9200</t>
  </si>
  <si>
    <t>CURVA 22 30' FoFo BB JUNTA ELÁSTICA DN  900 - P/ ESGOTO</t>
  </si>
  <si>
    <t>I9201</t>
  </si>
  <si>
    <t>CURVA 22 30' FoFo BB JUNTA ELÁSTICA DN 1000 - P/ ESGOTO</t>
  </si>
  <si>
    <t>I9202</t>
  </si>
  <si>
    <t>CURVA 22 30' FoFo BB JUNTA ELÁSTICA DN 1200 - P/ ESGOTO</t>
  </si>
  <si>
    <t>I10593</t>
  </si>
  <si>
    <t>CURVA 22 30' FoFo BB JUNTA ELÁSTICA PARA ÁGUA DN   50</t>
  </si>
  <si>
    <t>I3329</t>
  </si>
  <si>
    <t>CURVA 22 30' FoFo BB JUNTA ELÁSTICA PARA ÁGUA DN   75</t>
  </si>
  <si>
    <t>I3330</t>
  </si>
  <si>
    <t>CURVA 22 30' FoFo BB JUNTA ELÁSTICA PARA ÁGUA DN  100</t>
  </si>
  <si>
    <t>I3331</t>
  </si>
  <si>
    <t>CURVA 22 30' FoFo BB JUNTA ELÁSTICA PARA ÁGUA DN  150</t>
  </si>
  <si>
    <t>I3332</t>
  </si>
  <si>
    <t>CURVA 22 30' FoFo BB JUNTA ELÁSTICA PARA ÁGUA DN  200</t>
  </si>
  <si>
    <t>I3333</t>
  </si>
  <si>
    <t>CURVA 22 30' FoFo BB JUNTA ELÁSTICA PARA ÁGUA DN  250</t>
  </si>
  <si>
    <t>I3334</t>
  </si>
  <si>
    <t>CURVA 22 30' FoFo BB JUNTA ELÁSTICA PARA ÁGUA DN  300</t>
  </si>
  <si>
    <t>I3335</t>
  </si>
  <si>
    <t>CURVA 22 30' FoFo BB JUNTA ELÁSTICA PARA ÁGUA DN  350</t>
  </si>
  <si>
    <t>I3336</t>
  </si>
  <si>
    <t>CURVA 22 30' FoFo BB JUNTA ELÁSTICA PARA ÁGUA DN  400</t>
  </si>
  <si>
    <t>I3337</t>
  </si>
  <si>
    <t>CURVA 22 30' FoFo BB JUNTA ELÁSTICA PARA ÁGUA DN  450</t>
  </si>
  <si>
    <t>I3338</t>
  </si>
  <si>
    <t>CURVA 22 30' FoFo BB JUNTA ELÁSTICA PARA ÁGUA DN  500</t>
  </si>
  <si>
    <t>I3339</t>
  </si>
  <si>
    <t>CURVA 22 30' FoFo BB JUNTA ELÁSTICA PARA ÁGUA DN  600</t>
  </si>
  <si>
    <t>I3340</t>
  </si>
  <si>
    <t>CURVA 22 30' FoFo BB JUNTA ELÁSTICA PARA ÁGUA DN  700</t>
  </si>
  <si>
    <t>I3341</t>
  </si>
  <si>
    <t>CURVA 22 30' FoFo BB JUNTA ELÁSTICA PARA ÁGUA DN  800</t>
  </si>
  <si>
    <t>I3342</t>
  </si>
  <si>
    <t>CURVA 22 30' FoFo BB JUNTA ELÁSTICA PARA ÁGUA DN  900</t>
  </si>
  <si>
    <t>I3343</t>
  </si>
  <si>
    <t>CURVA 22 30' FoFo BB JUNTA ELÁSTICA PARA ÁGUA DN 1000</t>
  </si>
  <si>
    <t>I3344</t>
  </si>
  <si>
    <t>CURVA 22 30' FoFo BB JUNTA ELÁSTICA PARA ÁGUA DN 1200</t>
  </si>
  <si>
    <t>I3107</t>
  </si>
  <si>
    <t>CURVA 22 30' PBA COM PONTA E BOLSA DN   50</t>
  </si>
  <si>
    <t>I3108</t>
  </si>
  <si>
    <t>CURVA 22 30' PBA COM PONTA E BOLSA DN   75</t>
  </si>
  <si>
    <t>I3109</t>
  </si>
  <si>
    <t>CURVA 22 30' PBA COM PONTA E BOLSA DN 100</t>
  </si>
  <si>
    <t>I9701</t>
  </si>
  <si>
    <t>CURVA 22º30' EM AÇO COM PONTAS DN 1200</t>
  </si>
  <si>
    <t>I9702</t>
  </si>
  <si>
    <t>CURVA 30º PEAD PN 8 DN 1000</t>
  </si>
  <si>
    <t>I9703</t>
  </si>
  <si>
    <t>CURVA 30º PEAD PN 8 SDR21 DN 800</t>
  </si>
  <si>
    <t>I13257</t>
  </si>
  <si>
    <t>CURVA 45 AÇO CARBONO SCH 40 S/COSTURA 10’’</t>
  </si>
  <si>
    <t>I13258</t>
  </si>
  <si>
    <t>CURVA 45 AÇO CARBONO SCH 40 S/COSTURA 12’’</t>
  </si>
  <si>
    <t>I13251</t>
  </si>
  <si>
    <t>CURVA 45 AÇO CARBONO SCH 40 S/COSTURA 2’’</t>
  </si>
  <si>
    <t>I13252</t>
  </si>
  <si>
    <t>CURVA 45 AÇO CARBONO SCH 40 S/COSTURA 3’’</t>
  </si>
  <si>
    <t>I13253</t>
  </si>
  <si>
    <t>CURVA 45 AÇO CARBONO SCH 40 S/COSTURA 4’’</t>
  </si>
  <si>
    <t>I13254</t>
  </si>
  <si>
    <t>CURVA 45 AÇO CARBONO SCH 40 S/COSTURA 5’’</t>
  </si>
  <si>
    <t>I13255</t>
  </si>
  <si>
    <t>CURVA 45 AÇO CARBONO SCH 40 S/COSTURA 6’’</t>
  </si>
  <si>
    <t>I13256</t>
  </si>
  <si>
    <t>CURVA 45 AÇO CARBONO SCH 40 S/COSTURA 8’’</t>
  </si>
  <si>
    <t>I13183</t>
  </si>
  <si>
    <t>CURVA 45 AÇO INOX 304 SCH 40 S/ COSTURA PP 10"</t>
  </si>
  <si>
    <t>I13184</t>
  </si>
  <si>
    <t>CURVA 45 AÇO INOX 304 SCH 40 S/ COSTURA PP 12"</t>
  </si>
  <si>
    <t>I13178</t>
  </si>
  <si>
    <t>CURVA 45 AÇO INOX 304 SCH 40 S/ COSTURA PP 2"</t>
  </si>
  <si>
    <t>I13179</t>
  </si>
  <si>
    <t>CURVA 45 AÇO INOX 304 SCH 40 S/ COSTURA PP 3"</t>
  </si>
  <si>
    <t>I13180</t>
  </si>
  <si>
    <t>CURVA 45 AÇO INOX 304 SCH 40 S/ COSTURA PP 4"</t>
  </si>
  <si>
    <t>I13181</t>
  </si>
  <si>
    <t>CURVA 45 AÇO INOX 304 SCH 40 S/ COSTURA PP 6"</t>
  </si>
  <si>
    <t>I13182</t>
  </si>
  <si>
    <t>CURVA 45 AÇO INOX 304 SCH 40 S/ COSTURA PP 8"</t>
  </si>
  <si>
    <t>I9204</t>
  </si>
  <si>
    <t>CURVA 45 FoFo BB JUNTA ELASTICA DN   80 - P/ ESGOTO</t>
  </si>
  <si>
    <t>I9212</t>
  </si>
  <si>
    <t>CURVA 45 FoFo BB JUNTA ELASTICA DN  450 - P/ ESGOTO</t>
  </si>
  <si>
    <t>I7114</t>
  </si>
  <si>
    <t>CURVA 45 FoFo BB JUNTA ELASTICA PARA ÁGUA DN   80</t>
  </si>
  <si>
    <t>I7113</t>
  </si>
  <si>
    <t>CURVA 45 FoFo BB JUNTA ELASTICA PARA ÁGUA DN  450</t>
  </si>
  <si>
    <t>I9203</t>
  </si>
  <si>
    <t>CURVA 45 FoFo BB JUNTA ELÁSTICA DN   75 - P/ ESGOTO</t>
  </si>
  <si>
    <t>I9205</t>
  </si>
  <si>
    <t>CURVA 45 FoFo BB JUNTA ELÁSTICA DN  100 - P/ ESGOTO</t>
  </si>
  <si>
    <t>I9206</t>
  </si>
  <si>
    <t>CURVA 45 FoFo BB JUNTA ELÁSTICA DN  150 - P/ ESGOTO</t>
  </si>
  <si>
    <t>I9207</t>
  </si>
  <si>
    <t>CURVA 45 FoFo BB JUNTA ELÁSTICA DN  200 - P/ ESGOTO</t>
  </si>
  <si>
    <t>I9208</t>
  </si>
  <si>
    <t>CURVA 45 FoFo BB JUNTA ELÁSTICA DN  250 - P/ ESGOTO</t>
  </si>
  <si>
    <t>I9209</t>
  </si>
  <si>
    <t>CURVA 45 FoFo BB JUNTA ELÁSTICA DN  300 - P/ ESGOTO</t>
  </si>
  <si>
    <t>I9210</t>
  </si>
  <si>
    <t>CURVA 45 FoFo BB JUNTA ELÁSTICA DN  350 - P/ ESGOTO</t>
  </si>
  <si>
    <t>I9211</t>
  </si>
  <si>
    <t>CURVA 45 FoFo BB JUNTA ELÁSTICA DN  400 - P/ ESGOTO</t>
  </si>
  <si>
    <t>I9213</t>
  </si>
  <si>
    <t>CURVA 45 FoFo BB JUNTA ELÁSTICA DN  500 - P/ ESGOTO</t>
  </si>
  <si>
    <t>I9214</t>
  </si>
  <si>
    <t>CURVA 45 FoFo BB JUNTA ELÁSTICA DN  600 - P/ ESGOTO</t>
  </si>
  <si>
    <t>I9215</t>
  </si>
  <si>
    <t>CURVA 45 FoFo BB JUNTA ELÁSTICA DN  700 - P/ ESGOTO</t>
  </si>
  <si>
    <t>I9216</t>
  </si>
  <si>
    <t>CURVA 45 FoFo BB JUNTA ELÁSTICA DN  800 - P/ ESGOTO</t>
  </si>
  <si>
    <t>I9217</t>
  </si>
  <si>
    <t>CURVA 45 FoFo BB JUNTA ELÁSTICA DN  900 - P/ ESGOTO</t>
  </si>
  <si>
    <t>I9218</t>
  </si>
  <si>
    <t>CURVA 45 FoFo BB JUNTA ELÁSTICA DN 1000 - P/ ESGOTO</t>
  </si>
  <si>
    <t>I9219</t>
  </si>
  <si>
    <t>CURVA 45 FoFo BB JUNTA ELÁSTICA DN 1200 - P/ ESGOTO</t>
  </si>
  <si>
    <t>I10594</t>
  </si>
  <si>
    <t>CURVA 45 FoFo BB JUNTA ELÁSTICA DN 50 - P/ ÁGUA</t>
  </si>
  <si>
    <t>I3346</t>
  </si>
  <si>
    <t>CURVA 45 FoFo BB JUNTA ELÁSTICA PARA ÁGUA DN   75</t>
  </si>
  <si>
    <t>I3347</t>
  </si>
  <si>
    <t>CURVA 45 FoFo BB JUNTA ELÁSTICA PARA ÁGUA DN  100</t>
  </si>
  <si>
    <t>I3348</t>
  </si>
  <si>
    <t>CURVA 45 FoFo BB JUNTA ELÁSTICA PARA ÁGUA DN  150</t>
  </si>
  <si>
    <t>I3349</t>
  </si>
  <si>
    <t>CURVA 45 FoFo BB JUNTA ELÁSTICA PARA ÁGUA DN  200</t>
  </si>
  <si>
    <t>I3350</t>
  </si>
  <si>
    <t>CURVA 45 FoFo BB JUNTA ELÁSTICA PARA ÁGUA DN  250</t>
  </si>
  <si>
    <t>I3351</t>
  </si>
  <si>
    <t>CURVA 45 FoFo BB JUNTA ELÁSTICA PARA ÁGUA DN  300</t>
  </si>
  <si>
    <t>I3352</t>
  </si>
  <si>
    <t>CURVA 45 FoFo BB JUNTA ELÁSTICA PARA ÁGUA DN  350</t>
  </si>
  <si>
    <t>I3353</t>
  </si>
  <si>
    <t>CURVA 45 FoFo BB JUNTA ELÁSTICA PARA ÁGUA DN  400</t>
  </si>
  <si>
    <t>I3354</t>
  </si>
  <si>
    <t>CURVA 45 FoFo BB JUNTA ELÁSTICA PARA ÁGUA DN  500</t>
  </si>
  <si>
    <t>I3355</t>
  </si>
  <si>
    <t>CURVA 45 FoFo BB JUNTA ELÁSTICA PARA ÁGUA DN  600</t>
  </si>
  <si>
    <t>I3356</t>
  </si>
  <si>
    <t>CURVA 45 FoFo BB JUNTA ELÁSTICA PARA ÁGUA DN  700</t>
  </si>
  <si>
    <t>I3357</t>
  </si>
  <si>
    <t>CURVA 45 FoFo BB JUNTA ELÁSTICA PARA ÁGUA DN  800</t>
  </si>
  <si>
    <t>I3358</t>
  </si>
  <si>
    <t>CURVA 45 FoFo BB JUNTA ELÁSTICA PARA ÁGUA DN  900</t>
  </si>
  <si>
    <t>I3359</t>
  </si>
  <si>
    <t>CURVA 45 FoFo BB JUNTA ELÁSTICA PARA ÁGUA DN 1000</t>
  </si>
  <si>
    <t>I3360</t>
  </si>
  <si>
    <t>CURVA 45 FoFo BB JUNTA ELÁSTICA PARA ÁGUA DN 1200</t>
  </si>
  <si>
    <t>I2985</t>
  </si>
  <si>
    <t>CURVA 45 OCRE PB - JE CURTA INJETADA DN 100</t>
  </si>
  <si>
    <t>I2977</t>
  </si>
  <si>
    <t>CURVA 45 OCRE PB - JE DN 100</t>
  </si>
  <si>
    <t>I2978</t>
  </si>
  <si>
    <t>CURVA 45 OCRE PB - JE DN 125</t>
  </si>
  <si>
    <t>I2979</t>
  </si>
  <si>
    <t>CURVA 45 OCRE PB - JE DN 150</t>
  </si>
  <si>
    <t>I2980</t>
  </si>
  <si>
    <t>CURVA 45 OCRE PB - JE DN 200</t>
  </si>
  <si>
    <t>I2981</t>
  </si>
  <si>
    <t>CURVA 45 OCRE PB - JE DN 250</t>
  </si>
  <si>
    <t>I2982</t>
  </si>
  <si>
    <t>CURVA 45 OCRE PB - JE DN 300</t>
  </si>
  <si>
    <t>I2983</t>
  </si>
  <si>
    <t>CURVA 45 OCRE PB - JE DN 350</t>
  </si>
  <si>
    <t>I2984</t>
  </si>
  <si>
    <t>CURVA 45 OCRE PB - JE DN 400</t>
  </si>
  <si>
    <t>I7549</t>
  </si>
  <si>
    <t>CURVA 45 OCRE PB - JEI DN 100</t>
  </si>
  <si>
    <t>I3110</t>
  </si>
  <si>
    <t>CURVA 45 PBA COM PONTA E BOLSA DN  50</t>
  </si>
  <si>
    <t>I3111</t>
  </si>
  <si>
    <t>CURVA 45 PBA COM PONTA E BOLSA DN  75</t>
  </si>
  <si>
    <t>I3112</t>
  </si>
  <si>
    <t>CURVA 45 PBA COM PONTA E BOLSA DN 100</t>
  </si>
  <si>
    <t>I6855</t>
  </si>
  <si>
    <t>CURVA 45 PVC PBS DN 150</t>
  </si>
  <si>
    <t>I6862</t>
  </si>
  <si>
    <t>CURVA 45° OCRE PB - JEI CURTA INJETADA DN 100</t>
  </si>
  <si>
    <t>I6856</t>
  </si>
  <si>
    <t>CURVA 45° OCRE PB - JEI DN 150</t>
  </si>
  <si>
    <t>I6857</t>
  </si>
  <si>
    <t>CURVA 45° OCRE PB - JEI DN 200</t>
  </si>
  <si>
    <t>I6858</t>
  </si>
  <si>
    <t>CURVA 45° OCRE PB - JEI DN 250</t>
  </si>
  <si>
    <t>I6859</t>
  </si>
  <si>
    <t>CURVA 45° OCRE PB - JEI DN 300</t>
  </si>
  <si>
    <t>I6860</t>
  </si>
  <si>
    <t>CURVA 45° OCRE PB - JEI DN 350</t>
  </si>
  <si>
    <t>I6861</t>
  </si>
  <si>
    <t>CURVA 45° OCRE PB - JEI DN 400</t>
  </si>
  <si>
    <t>I6978</t>
  </si>
  <si>
    <t>CURVA 45° PRFV PB JE DN 150</t>
  </si>
  <si>
    <t>I6979</t>
  </si>
  <si>
    <t>CURVA 45° PRFV PB JE DN 200</t>
  </si>
  <si>
    <t>I6980</t>
  </si>
  <si>
    <t>CURVA 45° PRFV PB JE DN 250</t>
  </si>
  <si>
    <t>I6981</t>
  </si>
  <si>
    <t>CURVA 45° PRFV PB JE DN 300</t>
  </si>
  <si>
    <t>I9704</t>
  </si>
  <si>
    <t>CURVA 45º AÇO CARBONO C/PONTAS DN 400</t>
  </si>
  <si>
    <t>I9705</t>
  </si>
  <si>
    <t>CURVA 45º AÇO CARBONO SCHEDULE 40 S/COSTURA 4"</t>
  </si>
  <si>
    <t>I9706</t>
  </si>
  <si>
    <t>CURVA 45º AÇO CARBONO SCHEDULE 40 S/COSTURA 6"</t>
  </si>
  <si>
    <t>I9707</t>
  </si>
  <si>
    <t>CURVA 45º AÇO CARBONO SCHEDULE 40 S/COSTURA 8"</t>
  </si>
  <si>
    <t>I9708</t>
  </si>
  <si>
    <t>CURVA 45º AÇO DN 1500</t>
  </si>
  <si>
    <t>I9709</t>
  </si>
  <si>
    <t>CURVA 45º AÇO DN 1800</t>
  </si>
  <si>
    <t>I9710</t>
  </si>
  <si>
    <t>CURVA 45º AÇO INOX 316 DN 150</t>
  </si>
  <si>
    <t>I9713</t>
  </si>
  <si>
    <t>CURVA 45º AÇO SCHEDULE 40 S/ COSTURA DN 8"</t>
  </si>
  <si>
    <t>I9712</t>
  </si>
  <si>
    <t>CURVA 45º AÇO SCHEDULE DN 200</t>
  </si>
  <si>
    <t>I9711</t>
  </si>
  <si>
    <t>CURVA 45º AÇO SCHEDULE SOLDÁVEL DN 150</t>
  </si>
  <si>
    <t>I9714</t>
  </si>
  <si>
    <t>CURVA 45º FºGº GALV 2 1/2''</t>
  </si>
  <si>
    <t>I9715</t>
  </si>
  <si>
    <t>CURVA 45º PEAD PN 8 DN 1000</t>
  </si>
  <si>
    <t>I9716</t>
  </si>
  <si>
    <t>CURVA 45º PEAD PN 8 SDR21 DN 800</t>
  </si>
  <si>
    <t>I9717</t>
  </si>
  <si>
    <t>CURVA 45º PRFV C/BOLSAS DN 150</t>
  </si>
  <si>
    <t>I13249</t>
  </si>
  <si>
    <t>CURVA 90 AÇO CARBONO SCH 40 S/COSTURA 10’’</t>
  </si>
  <si>
    <t>I13250</t>
  </si>
  <si>
    <t>CURVA 90 AÇO CARBONO SCH 40 S/COSTURA 12’’</t>
  </si>
  <si>
    <t>I13243</t>
  </si>
  <si>
    <t>CURVA 90 AÇO CARBONO SCH 40 S/COSTURA 2’’</t>
  </si>
  <si>
    <t>I13244</t>
  </si>
  <si>
    <t>CURVA 90 AÇO CARBONO SCH 40 S/COSTURA 3’’</t>
  </si>
  <si>
    <t>I13245</t>
  </si>
  <si>
    <t>CURVA 90 AÇO CARBONO SCH 40 S/COSTURA 4’’</t>
  </si>
  <si>
    <t>I13246</t>
  </si>
  <si>
    <t>CURVA 90 AÇO CARBONO SCH 40 S/COSTURA 5’’</t>
  </si>
  <si>
    <t>I13247</t>
  </si>
  <si>
    <t>CURVA 90 AÇO CARBONO SCH 40 S/COSTURA 6’’</t>
  </si>
  <si>
    <t>I13248</t>
  </si>
  <si>
    <t>CURVA 90 AÇO CARBONO SCH 40 S/COSTURA 8’’</t>
  </si>
  <si>
    <t>I13190</t>
  </si>
  <si>
    <t>CURVA 90 AÇO INOX 304 SCH 40 S/ COSTURA PP 10"</t>
  </si>
  <si>
    <t>I13191</t>
  </si>
  <si>
    <t>CURVA 90 AÇO INOX 304 SCH 40 S/ COSTURA PP 12"</t>
  </si>
  <si>
    <t>I13185</t>
  </si>
  <si>
    <t>CURVA 90 AÇO INOX 304 SCH 40 S/ COSTURA PP 2"</t>
  </si>
  <si>
    <t>I13186</t>
  </si>
  <si>
    <t>CURVA 90 AÇO INOX 304 SCH 40 S/ COSTURA PP 3"</t>
  </si>
  <si>
    <t>I13187</t>
  </si>
  <si>
    <t>CURVA 90 AÇO INOX 304 SCH 40 S/ COSTURA PP 4"</t>
  </si>
  <si>
    <t>I13188</t>
  </si>
  <si>
    <t>CURVA 90 AÇO INOX 304 SCH 40 S/ COSTURA PP 6"</t>
  </si>
  <si>
    <t>I13189</t>
  </si>
  <si>
    <t>CURVA 90 AÇO INOX 304 SCH 40 S/ COSTURA PP 8"</t>
  </si>
  <si>
    <t>I6571</t>
  </si>
  <si>
    <t>CURVA 90 EM PVC SOLDÁVEL 20</t>
  </si>
  <si>
    <t>I9221</t>
  </si>
  <si>
    <t>CURVA 90 FoFo BB JUNTA ELASTICA DN  80 - P/ ESGOTO</t>
  </si>
  <si>
    <t>I7115</t>
  </si>
  <si>
    <t>CURVA 90 FoFo BB JUNTA ELASTICA PARA ÁGUA DN   80</t>
  </si>
  <si>
    <t>I9220</t>
  </si>
  <si>
    <t>CURVA 90 FoFo BB JUNTA ELÁSTICA DN  75 - P/ ESGOTO</t>
  </si>
  <si>
    <t>I9222</t>
  </si>
  <si>
    <t>CURVA 90 FoFo BB JUNTA ELÁSTICA DN 100 - P/ ESGOTO</t>
  </si>
  <si>
    <t>I10599</t>
  </si>
  <si>
    <t>CURVA 90 FoFo BB JUNTA ELÁSTICA DN 1000 - P/ ÁGUA</t>
  </si>
  <si>
    <t>I10600</t>
  </si>
  <si>
    <t>CURVA 90 FoFo BB JUNTA ELÁSTICA DN 1200 - P/ ÁGUA</t>
  </si>
  <si>
    <t>I9223</t>
  </si>
  <si>
    <t>CURVA 90 FoFo BB JUNTA ELÁSTICA DN 150 - P/ ESGOTO</t>
  </si>
  <si>
    <t>I9224</t>
  </si>
  <si>
    <t>CURVA 90 FoFo BB JUNTA ELÁSTICA DN 200 - P/ ESGOTO</t>
  </si>
  <si>
    <t>I9225</t>
  </si>
  <si>
    <t>CURVA 90 FoFo BB JUNTA ELÁSTICA DN 250 - P/ ESGOTO</t>
  </si>
  <si>
    <t>I9226</t>
  </si>
  <si>
    <t>CURVA 90 FoFo BB JUNTA ELÁSTICA DN 300 - P/ ESGOTO</t>
  </si>
  <si>
    <t>I9227</t>
  </si>
  <si>
    <t>CURVA 90 FoFo BB JUNTA ELÁSTICA DN 350 - P/ ESGOTO</t>
  </si>
  <si>
    <t>I9228</t>
  </si>
  <si>
    <t>CURVA 90 FoFo BB JUNTA ELÁSTICA DN 400 - P/ ESGOTO</t>
  </si>
  <si>
    <t>I9229</t>
  </si>
  <si>
    <t>CURVA 90 FoFo BB JUNTA ELÁSTICA DN 450 - P/ ESGOTO</t>
  </si>
  <si>
    <t>I10595</t>
  </si>
  <si>
    <t>CURVA 90 FoFo BB JUNTA ELÁSTICA DN 50 - P/ ÁGUA</t>
  </si>
  <si>
    <t>I9230</t>
  </si>
  <si>
    <t>CURVA 90 FoFo BB JUNTA ELÁSTICA DN 500 - P/ ESGOTO</t>
  </si>
  <si>
    <t>I9231</t>
  </si>
  <si>
    <t>CURVA 90 FoFo BB JUNTA ELÁSTICA DN 600 - P/ ESGOTO</t>
  </si>
  <si>
    <t>I10596</t>
  </si>
  <si>
    <t>CURVA 90 FoFo BB JUNTA ELÁSTICA DN 700 - P/ ÁGUA</t>
  </si>
  <si>
    <t>I10597</t>
  </si>
  <si>
    <t>CURVA 90 FoFo BB JUNTA ELÁSTICA DN 800 - P/ ÁGUA</t>
  </si>
  <si>
    <t>I10598</t>
  </si>
  <si>
    <t>CURVA 90 FoFo BB JUNTA ELÁSTICA DN 900 - P/ ÁGUA</t>
  </si>
  <si>
    <t>I3362</t>
  </si>
  <si>
    <t>CURVA 90 FoFo BB JUNTA ELÁSTICA PARA ÁGUA DN   75</t>
  </si>
  <si>
    <t>I3363</t>
  </si>
  <si>
    <t>CURVA 90 FoFo BB JUNTA ELÁSTICA PARA ÁGUA DN 100</t>
  </si>
  <si>
    <t>I3364</t>
  </si>
  <si>
    <t>CURVA 90 FoFo BB JUNTA ELÁSTICA PARA ÁGUA DN 150</t>
  </si>
  <si>
    <t>I3365</t>
  </si>
  <si>
    <t>CURVA 90 FoFo BB JUNTA ELÁSTICA PARA ÁGUA DN 200</t>
  </si>
  <si>
    <t>I3366</t>
  </si>
  <si>
    <t>CURVA 90 FoFo BB JUNTA ELÁSTICA PARA ÁGUA DN 250</t>
  </si>
  <si>
    <t>I3367</t>
  </si>
  <si>
    <t>CURVA 90 FoFo BB JUNTA ELÁSTICA PARA ÁGUA DN 300</t>
  </si>
  <si>
    <t>I3368</t>
  </si>
  <si>
    <t>CURVA 90 FoFo BB JUNTA ELÁSTICA PARA ÁGUA DN 350</t>
  </si>
  <si>
    <t>I3369</t>
  </si>
  <si>
    <t>CURVA 90 FoFo BB JUNTA ELÁSTICA PARA ÁGUA DN 400</t>
  </si>
  <si>
    <t>I7600</t>
  </si>
  <si>
    <t>CURVA 90 FoFo BB JUNTA ELÁSTICA PARA ÁGUA DN 450</t>
  </si>
  <si>
    <t>I3370</t>
  </si>
  <si>
    <t>CURVA 90 FoFo BB JUNTA ELÁSTICA PARA ÁGUA DN 500</t>
  </si>
  <si>
    <t>I3371</t>
  </si>
  <si>
    <t>CURVA 90 FoFo BB JUNTA ELÁSTICA PARA ÁGUA DN 600</t>
  </si>
  <si>
    <t>I6264</t>
  </si>
  <si>
    <t>CURVA 90 LONGA F. GALV. COM ROSCA INT./ROSCA EXT. DN 2"</t>
  </si>
  <si>
    <t>I8660</t>
  </si>
  <si>
    <t>CURVA 90 LONGA F. GALV. COM ROSCA INT./ROSCA EXT. DN 3"</t>
  </si>
  <si>
    <t>I2994</t>
  </si>
  <si>
    <t>CURVA 90 OCRE PB - JE CURTA INJETADA DN 100</t>
  </si>
  <si>
    <t>I2986</t>
  </si>
  <si>
    <t>CURVA 90 OCRE PB - JE DN 100</t>
  </si>
  <si>
    <t>I2987</t>
  </si>
  <si>
    <t>CURVA 90 OCRE PB - JE DN 125</t>
  </si>
  <si>
    <t>I2988</t>
  </si>
  <si>
    <t>CURVA 90 OCRE PB - JE DN 150</t>
  </si>
  <si>
    <t>I2989</t>
  </si>
  <si>
    <t>CURVA 90 OCRE PB - JE DN 200</t>
  </si>
  <si>
    <t>I2990</t>
  </si>
  <si>
    <t>CURVA 90 OCRE PB - JE DN 250</t>
  </si>
  <si>
    <t>I2991</t>
  </si>
  <si>
    <t>CURVA 90 OCRE PB - JE DN 300</t>
  </si>
  <si>
    <t>I2992</t>
  </si>
  <si>
    <t>CURVA 90 OCRE PB - JE DN 350</t>
  </si>
  <si>
    <t>I2993</t>
  </si>
  <si>
    <t>CURVA 90 OCRE PB - JE DN 400</t>
  </si>
  <si>
    <t>I7550</t>
  </si>
  <si>
    <t>CURVA 90 OCRE PB - JEI DN 100</t>
  </si>
  <si>
    <t>I3113</t>
  </si>
  <si>
    <t>CURVA 90 PBA COM PONTA E BOLSA DN  50</t>
  </si>
  <si>
    <t>I3114</t>
  </si>
  <si>
    <t>CURVA 90 PBA COM PONTA E BOLSA DN  75</t>
  </si>
  <si>
    <t>I3115</t>
  </si>
  <si>
    <t>CURVA 90 PBA COM PONTA E BOLSA DN 100</t>
  </si>
  <si>
    <t>I6864</t>
  </si>
  <si>
    <t>CURVA 90° OCRE PB - JEI CURTA INJETADA DN 100</t>
  </si>
  <si>
    <t>I6865</t>
  </si>
  <si>
    <t>CURVA 90° OCRE PB - JEI DN 150</t>
  </si>
  <si>
    <t>I6866</t>
  </si>
  <si>
    <t>CURVA 90° OCRE PB - JEI DN 200</t>
  </si>
  <si>
    <t>I6867</t>
  </si>
  <si>
    <t>CURVA 90° OCRE PB - JEI DN 250</t>
  </si>
  <si>
    <t>I6868</t>
  </si>
  <si>
    <t>CURVA 90° OCRE PB - JEI DN 300</t>
  </si>
  <si>
    <t>I6869</t>
  </si>
  <si>
    <t>CURVA 90° OCRE PB - JEI DN 350</t>
  </si>
  <si>
    <t>I6870</t>
  </si>
  <si>
    <t>CURVA 90° OCRE PB - JEI DN 400</t>
  </si>
  <si>
    <t>I6982</t>
  </si>
  <si>
    <t>CURVA 90° PRFV PB JE DN 150</t>
  </si>
  <si>
    <t>I6983</t>
  </si>
  <si>
    <t>CURVA 90° PRFV PB JE DN 200</t>
  </si>
  <si>
    <t>I6984</t>
  </si>
  <si>
    <t>CURVA 90° PRFV PB JE DN 250</t>
  </si>
  <si>
    <t>I6985</t>
  </si>
  <si>
    <t>CURVA 90° PRFV PB JE DN 300</t>
  </si>
  <si>
    <t>I6863</t>
  </si>
  <si>
    <t>CURVA 90° PVC PBS DN 150</t>
  </si>
  <si>
    <t>I9718</t>
  </si>
  <si>
    <t>CURVA 90º AÇO C/PONTAS DN  500</t>
  </si>
  <si>
    <t>I9719</t>
  </si>
  <si>
    <t>CURVA 90º AÇO C/PONTAS DN 1200</t>
  </si>
  <si>
    <t>I9720</t>
  </si>
  <si>
    <t>CURVA 90º AÇO CARBONO SCHEDULE 40 S/COSTURA 4"</t>
  </si>
  <si>
    <t>I9721</t>
  </si>
  <si>
    <t>CURVA 90º AÇO CARBONO SCHEDULE 40 S/COSTURA 6"</t>
  </si>
  <si>
    <t>I9722</t>
  </si>
  <si>
    <t>CURVA 90º AÇO FLANGEADA DN 300</t>
  </si>
  <si>
    <t>I9723</t>
  </si>
  <si>
    <t>CURVA 90º AÇO INOX DN  50</t>
  </si>
  <si>
    <t>I9724</t>
  </si>
  <si>
    <t>CURVA 90º AÇO INOX DN 100</t>
  </si>
  <si>
    <t>I9725</t>
  </si>
  <si>
    <t>CURVA 90º AÇO INOX DN 150</t>
  </si>
  <si>
    <t>I9726</t>
  </si>
  <si>
    <t>CURVA 90º AÇO INOX DN 150, C/PONTA E FLANGE</t>
  </si>
  <si>
    <t>I9728</t>
  </si>
  <si>
    <t>CURVA 90º AÇO SCHEDULE 40 DN 100</t>
  </si>
  <si>
    <t>I9729</t>
  </si>
  <si>
    <t>CURVA 90º AÇO SCHEDULE 40 DN 150</t>
  </si>
  <si>
    <t>I9730</t>
  </si>
  <si>
    <t>CURVA 90º AÇO SCHEDULE 40 DN 200</t>
  </si>
  <si>
    <t>I9727</t>
  </si>
  <si>
    <t>CURVA 90º AÇO SCHEDULE 40 DN 75</t>
  </si>
  <si>
    <t>I9731</t>
  </si>
  <si>
    <t>CURVA 90º AÇO SCHEDULE 40 S/ COSTURA DN 4"</t>
  </si>
  <si>
    <t>I9732</t>
  </si>
  <si>
    <t>CURVA 90º AÇO SCHEDULE 40 S/ COSTURA DN 6"</t>
  </si>
  <si>
    <t>I9733</t>
  </si>
  <si>
    <t>CURVA 90º AÇO SCHEDULE 40 S/ COSTURA DN 8"</t>
  </si>
  <si>
    <t>I9734</t>
  </si>
  <si>
    <t>CURVA 90º AÇO SCHEDULE C/ FLANGES DN 200</t>
  </si>
  <si>
    <t>I9736</t>
  </si>
  <si>
    <t>CURVA 90º FOFO C/ BOLSAS DN 300 PN 10</t>
  </si>
  <si>
    <t>I9735</t>
  </si>
  <si>
    <t>CURVA 90º FOFO C/ BOLSAS E TRAVA INTERNA DN 100MM</t>
  </si>
  <si>
    <t>I9737</t>
  </si>
  <si>
    <t>CURVA 90º FºGº GALV 2 1/2''</t>
  </si>
  <si>
    <t>I9738</t>
  </si>
  <si>
    <t>CURVA 90º LONGA FOGO ROSCÁVEL BOLSA/BOLSA 1 ¼"</t>
  </si>
  <si>
    <t>I9739</t>
  </si>
  <si>
    <t>CURVA 90º LONGA FOGO ROSCÁVEL BOLSA/BOLSA 2"</t>
  </si>
  <si>
    <t>I9740</t>
  </si>
  <si>
    <t>CURVA 90º LONGA FOGO ROSCÁVEL ROSCA INT./BOLSA EXT.  1 ¼"</t>
  </si>
  <si>
    <t>I9741</t>
  </si>
  <si>
    <t>CURVA 90º LONGA FOGO ROSCÁVEL ROSCA INT./BOLSA EXT.  2"</t>
  </si>
  <si>
    <t>I9743</t>
  </si>
  <si>
    <t>CURVA 90º PEAD PN 8 DN 1000</t>
  </si>
  <si>
    <t>I9742</t>
  </si>
  <si>
    <t>CURVA 90º PEAD PN 8 SDR21 DN 800</t>
  </si>
  <si>
    <t>I9744</t>
  </si>
  <si>
    <t>CURVA 90º PRFV C/ BOLSAS DN 150</t>
  </si>
  <si>
    <t>I9745</t>
  </si>
  <si>
    <t>CURVA 90º PRFV FLANGE/PONTA DN 150</t>
  </si>
  <si>
    <t>I9747</t>
  </si>
  <si>
    <t>CURVA 90º PRFV PB JE DN 100</t>
  </si>
  <si>
    <t>I9746</t>
  </si>
  <si>
    <t>CURVA 90º PRFV PB JE DN 50</t>
  </si>
  <si>
    <t>I9748</t>
  </si>
  <si>
    <t>CURVA 90º PVC BB 75MM SOLDÁVEL</t>
  </si>
  <si>
    <t>I9749</t>
  </si>
  <si>
    <t>CURVA 90º RPVC P/B DN 100</t>
  </si>
  <si>
    <t>I9750</t>
  </si>
  <si>
    <t>CURVA 90º RPVC P/B DN 150</t>
  </si>
  <si>
    <t>I9232</t>
  </si>
  <si>
    <t>CURVA DE PÉ 90 FF DN  75 PN10 - P/ ESGOTO</t>
  </si>
  <si>
    <t>I9233</t>
  </si>
  <si>
    <t>CURVA DE PÉ 90 FF DN  80 PN10 - P/ ESGOTO</t>
  </si>
  <si>
    <t>I9234</t>
  </si>
  <si>
    <t>CURVA DE PÉ 90 FF DN 100 PN10 - P/ ESGOTO</t>
  </si>
  <si>
    <t>I12985</t>
  </si>
  <si>
    <t>CURVA DE PÉ 90 FF DN 100 PN25 - P/ ESGOTO</t>
  </si>
  <si>
    <t>I10609</t>
  </si>
  <si>
    <t>CURVA DE PÉ 90 FF DN 100 PN25 - P/ ÁGUA</t>
  </si>
  <si>
    <t>I9235</t>
  </si>
  <si>
    <t>CURVA DE PÉ 90 FF DN 150 PN10 - P/ ESGOTO</t>
  </si>
  <si>
    <t>I12986</t>
  </si>
  <si>
    <t>CURVA DE PÉ 90 FF DN 150 PN25 - P/ ESGOTO</t>
  </si>
  <si>
    <t>I10610</t>
  </si>
  <si>
    <t>CURVA DE PÉ 90 FF DN 150 PN25 - P/ ÁGUA</t>
  </si>
  <si>
    <t>I9236</t>
  </si>
  <si>
    <t>CURVA DE PÉ 90 FF DN 200 PN10 - P/ ESGOTO</t>
  </si>
  <si>
    <t>I12977</t>
  </si>
  <si>
    <t>CURVA DE PÉ 90 FF DN 200 PN16 - P/ ESGOTO</t>
  </si>
  <si>
    <t>I10601</t>
  </si>
  <si>
    <t>CURVA DE PÉ 90 FF DN 200 PN16 - P/ ÁGUA</t>
  </si>
  <si>
    <t>I12987</t>
  </si>
  <si>
    <t>CURVA DE PÉ 90 FF DN 200 PN25 - P/ ESGOTO</t>
  </si>
  <si>
    <t>I10611</t>
  </si>
  <si>
    <t>CURVA DE PÉ 90 FF DN 200 PN25 - P/ ÁGUA</t>
  </si>
  <si>
    <t>I9237</t>
  </si>
  <si>
    <t>CURVA DE PÉ 90 FF DN 250 PN10 - P/ ESGOTO</t>
  </si>
  <si>
    <t>I12978</t>
  </si>
  <si>
    <t>CURVA DE PÉ 90 FF DN 250 PN16 - P/ ESGOTO</t>
  </si>
  <si>
    <t>I10602</t>
  </si>
  <si>
    <t>CURVA DE PÉ 90 FF DN 250 PN16 - P/ ÁGUA</t>
  </si>
  <si>
    <t>I12988</t>
  </si>
  <si>
    <t>CURVA DE PÉ 90 FF DN 250 PN25 - P/ ESGOTO</t>
  </si>
  <si>
    <t>I10612</t>
  </si>
  <si>
    <t>CURVA DE PÉ 90 FF DN 250 PN25 - P/ ÁGUA</t>
  </si>
  <si>
    <t>I9238</t>
  </si>
  <si>
    <t>CURVA DE PÉ 90 FF DN 300 PN10 - P/ ESGOTO</t>
  </si>
  <si>
    <t>I12979</t>
  </si>
  <si>
    <t>CURVA DE PÉ 90 FF DN 300 PN16 - P/ ESGOTO</t>
  </si>
  <si>
    <t>I10603</t>
  </si>
  <si>
    <t>CURVA DE PÉ 90 FF DN 300 PN16 - P/ ÁGUA</t>
  </si>
  <si>
    <t>I12989</t>
  </si>
  <si>
    <t>CURVA DE PÉ 90 FF DN 300 PN25 - P/ ESGOTO</t>
  </si>
  <si>
    <t>I10613</t>
  </si>
  <si>
    <t>CURVA DE PÉ 90 FF DN 300 PN25 - P/ ÁGUA</t>
  </si>
  <si>
    <t>I9239</t>
  </si>
  <si>
    <t>CURVA DE PÉ 90 FF DN 350 PN10 - P/ ESGOTO</t>
  </si>
  <si>
    <t>I12980</t>
  </si>
  <si>
    <t>CURVA DE PÉ 90 FF DN 350 PN16 - P/ ESGOTO</t>
  </si>
  <si>
    <t>I10604</t>
  </si>
  <si>
    <t>CURVA DE PÉ 90 FF DN 350 PN16 - P/ ÁGUA</t>
  </si>
  <si>
    <t>I12990</t>
  </si>
  <si>
    <t>CURVA DE PÉ 90 FF DN 350 PN25 - P/ ESGOTO</t>
  </si>
  <si>
    <t>I10614</t>
  </si>
  <si>
    <t>CURVA DE PÉ 90 FF DN 350 PN25 - P/ ÁGUA</t>
  </si>
  <si>
    <t>I9240</t>
  </si>
  <si>
    <t>CURVA DE PÉ 90 FF DN 400 PN10 - P/ ESGOTO</t>
  </si>
  <si>
    <t>I12981</t>
  </si>
  <si>
    <t>CURVA DE PÉ 90 FF DN 400 PN16 - P/ ESGOTO</t>
  </si>
  <si>
    <t>I10605</t>
  </si>
  <si>
    <t>CURVA DE PÉ 90 FF DN 400 PN16 - P/ ÁGUA</t>
  </si>
  <si>
    <t>I12991</t>
  </si>
  <si>
    <t>CURVA DE PÉ 90 FF DN 400 PN25 - P/ ESGOTO</t>
  </si>
  <si>
    <t>I10615</t>
  </si>
  <si>
    <t>CURVA DE PÉ 90 FF DN 400 PN25 - P/ ÁGUA</t>
  </si>
  <si>
    <t>I12976</t>
  </si>
  <si>
    <t>CURVA DE PÉ 90 FF DN 450 PN10 - P/ ESGOTO</t>
  </si>
  <si>
    <t>I12982</t>
  </si>
  <si>
    <t>CURVA DE PÉ 90 FF DN 450 PN16 - P/ ESGOTO</t>
  </si>
  <si>
    <t>I10606</t>
  </si>
  <si>
    <t>CURVA DE PÉ 90 FF DN 450 PN16 - P/ ÁGUA</t>
  </si>
  <si>
    <t>I10616</t>
  </si>
  <si>
    <t>CURVA DE PÉ 90 FF DN 450 PN25 - P/ ÁGUA</t>
  </si>
  <si>
    <t>I9241</t>
  </si>
  <si>
    <t>CURVA DE PÉ 90 FF DN 500 PN10 - P/ ESGOTO</t>
  </si>
  <si>
    <t>I12983</t>
  </si>
  <si>
    <t>CURVA DE PÉ 90 FF DN 500 PN16 - P/ ESGOTO</t>
  </si>
  <si>
    <t>I10607</t>
  </si>
  <si>
    <t>CURVA DE PÉ 90 FF DN 500 PN16 - P/ ÁGUA</t>
  </si>
  <si>
    <t>I12992</t>
  </si>
  <si>
    <t>CURVA DE PÉ 90 FF DN 500 PN25 - P/ ESGOTO</t>
  </si>
  <si>
    <t>I10617</t>
  </si>
  <si>
    <t>CURVA DE PÉ 90 FF DN 500 PN25 - P/ ÁGUA</t>
  </si>
  <si>
    <t>I9242</t>
  </si>
  <si>
    <t>CURVA DE PÉ 90 FF DN 600 PN10 - P/ ESGOTO</t>
  </si>
  <si>
    <t>I12984</t>
  </si>
  <si>
    <t>CURVA DE PÉ 90 FF DN 600 PN16 - P/ ESGOTO</t>
  </si>
  <si>
    <t>I10608</t>
  </si>
  <si>
    <t>CURVA DE PÉ 90 FF DN 600 PN16 - P/ ÁGUA</t>
  </si>
  <si>
    <t>I12993</t>
  </si>
  <si>
    <t>CURVA DE PÉ 90 FF DN 600 PN25 - P/ ESGOTO</t>
  </si>
  <si>
    <t>I10618</t>
  </si>
  <si>
    <t>CURVA DE PÉ 90 FF DN 600 PN25 - P/ ÁGUA</t>
  </si>
  <si>
    <t>I3475</t>
  </si>
  <si>
    <t>CURVA DE PÉ 90 FF PARA ÁGUA DN  75 PN10</t>
  </si>
  <si>
    <t>I7548</t>
  </si>
  <si>
    <t>CURVA DE PÉ 90 FF PARA ÁGUA DN  80 PN10</t>
  </si>
  <si>
    <t>I3476</t>
  </si>
  <si>
    <t>CURVA DE PÉ 90 FF PARA ÁGUA DN 100 PN10</t>
  </si>
  <si>
    <t>I3477</t>
  </si>
  <si>
    <t>CURVA DE PÉ 90 FF PARA ÁGUA DN 150 PN10</t>
  </si>
  <si>
    <t>I3478</t>
  </si>
  <si>
    <t>CURVA DE PÉ 90 FF PARA ÁGUA DN 200 PN10</t>
  </si>
  <si>
    <t>I3479</t>
  </si>
  <si>
    <t>CURVA DE PÉ 90 FF PARA ÁGUA DN 250 PN10</t>
  </si>
  <si>
    <t>I3480</t>
  </si>
  <si>
    <t>CURVA DE PÉ 90 FF PARA ÁGUA DN 300 PN10</t>
  </si>
  <si>
    <t>I3481</t>
  </si>
  <si>
    <t>CURVA DE PÉ 90 FF PARA ÁGUA DN 350 PN10</t>
  </si>
  <si>
    <t>I3482</t>
  </si>
  <si>
    <t>CURVA DE PÉ 90 FF PARA ÁGUA DN 400 PN10</t>
  </si>
  <si>
    <t>I3483</t>
  </si>
  <si>
    <t>CURVA DE PÉ 90 FF PARA ÁGUA DN 450 PN10</t>
  </si>
  <si>
    <t>I3484</t>
  </si>
  <si>
    <t>CURVA DE PÉ 90 FF PARA ÁGUA DN 500 PN10</t>
  </si>
  <si>
    <t>I3485</t>
  </si>
  <si>
    <t>CURVA DE PÉ 90 FF PARA ÁGUA DN 600 PN10</t>
  </si>
  <si>
    <t>I9751</t>
  </si>
  <si>
    <t>CURVA EM AÇO CARBONO ASTM A1018 SS-36 - ESP.7/16" DN 1500 TIPO1, 3 GOMOS, C/ PONTAS BISELADAS P/ SOLDA 22º30`, REVESTIMENTO INTERNO EM COAL TAR EPOXI 400 MICRAS E REVESTIMENTO EXTERNO EM EPOXI FOSFATO DE ZINCO 150 MICRAS + TINTA POLIURETANO 60 MICRAS</t>
  </si>
  <si>
    <t>I9752</t>
  </si>
  <si>
    <t>CURVA EM AÇO CARBONO ASTM A1018 SS-36 - ESP.7/16" DN 1800 TIPO1, 3 GOMOS, C/ PONTAS BISELADAS P/ SOLDA 45º REVESTIMENTO EXTERNO E INTERNO COALTAR EPOXI 400MICRAS</t>
  </si>
  <si>
    <t>I6471</t>
  </si>
  <si>
    <t>I9259</t>
  </si>
  <si>
    <t>CURVA FoFo 11 15 JTE DN   300 - P/ ESGOTO</t>
  </si>
  <si>
    <t>I9260</t>
  </si>
  <si>
    <t>CURVA FoFo 11 15 JTE DN   350 - P/ ESGOTO</t>
  </si>
  <si>
    <t>I9261</t>
  </si>
  <si>
    <t>CURVA FoFo 11 15 JTE DN   400 - P/ ESGOTO</t>
  </si>
  <si>
    <t>I9262</t>
  </si>
  <si>
    <t>CURVA FoFo 11 15 JTE DN   500 - P/ ESGOTO</t>
  </si>
  <si>
    <t>I9263</t>
  </si>
  <si>
    <t>CURVA FoFo 11 15 JTE DN   600 - P/ ESGOTO</t>
  </si>
  <si>
    <t>I9264</t>
  </si>
  <si>
    <t>CURVA FoFo 11 15 JTE DN   700 - P/ ESGOTO</t>
  </si>
  <si>
    <t>I9265</t>
  </si>
  <si>
    <t>CURVA FoFo 11 15 JTE DN   800 - P/ ESGOTO</t>
  </si>
  <si>
    <t>I9266</t>
  </si>
  <si>
    <t>CURVA FoFo 11 15 JTE DN   900 - P/ ESGOTO</t>
  </si>
  <si>
    <t>I9267</t>
  </si>
  <si>
    <t>CURVA FoFo 11 15 JTE DN 1000 - P/ ESGOTO</t>
  </si>
  <si>
    <t>I9268</t>
  </si>
  <si>
    <t>CURVA FoFo 11 15 JTE DN 1200 - P/ ESGOTO</t>
  </si>
  <si>
    <t>I13023</t>
  </si>
  <si>
    <t>CURVA FoFo 11 15 JTE DN 450 - P/ ESGOTO</t>
  </si>
  <si>
    <t>I7628</t>
  </si>
  <si>
    <t>CURVA FoFo 11 15 JTE PARA ÁGUA DN  300</t>
  </si>
  <si>
    <t>I7629</t>
  </si>
  <si>
    <t>CURVA FoFo 11 15 JTE PARA ÁGUA DN  350</t>
  </si>
  <si>
    <t>I7630</t>
  </si>
  <si>
    <t>CURVA FoFo 11 15 JTE PARA ÁGUA DN  400</t>
  </si>
  <si>
    <t>I10647</t>
  </si>
  <si>
    <t>CURVA FoFo 11 15 JTE PARA ÁGUA DN  450</t>
  </si>
  <si>
    <t>I7631</t>
  </si>
  <si>
    <t>CURVA FoFo 11 15 JTE PARA ÁGUA DN  500</t>
  </si>
  <si>
    <t>I7632</t>
  </si>
  <si>
    <t>CURVA FoFo 11 15 JTE PARA ÁGUA DN  600</t>
  </si>
  <si>
    <t>I7633</t>
  </si>
  <si>
    <t>CURVA FoFo 11 15 JTE PARA ÁGUA DN  700</t>
  </si>
  <si>
    <t>I7634</t>
  </si>
  <si>
    <t>CURVA FoFo 11 15 JTE PARA ÁGUA DN  800</t>
  </si>
  <si>
    <t>I7635</t>
  </si>
  <si>
    <t>CURVA FoFo 11 15 JTE PARA ÁGUA DN  900</t>
  </si>
  <si>
    <t>I7636</t>
  </si>
  <si>
    <t>CURVA FoFo 11 15 JTE PARA ÁGUA DN 1000</t>
  </si>
  <si>
    <t>I7637</t>
  </si>
  <si>
    <t>CURVA FoFo 11 15 JTE PARA ÁGUA DN 1200</t>
  </si>
  <si>
    <t>I13025</t>
  </si>
  <si>
    <t>CURVA FoFo 11 15 JTI PARA ESGOTO DN  300</t>
  </si>
  <si>
    <t>I13024</t>
  </si>
  <si>
    <t>CURVA FoFo 11 15 JTI PARA ESGOTO DN  80</t>
  </si>
  <si>
    <t>I9243</t>
  </si>
  <si>
    <t>CURVA FoFo 11 15' FF DN   75 PN10 - P/ ESGOTO</t>
  </si>
  <si>
    <t>I9244</t>
  </si>
  <si>
    <t>CURVA FoFo 11 15' FF DN   80 PN10 - P/ ESGOTO</t>
  </si>
  <si>
    <t>I9245</t>
  </si>
  <si>
    <t>CURVA FoFo 11 15' FF DN  100 PN10 - P/ ESGOTO</t>
  </si>
  <si>
    <t>I9246</t>
  </si>
  <si>
    <t>CURVA FoFo 11 15' FF DN  150 PN10 - P/ ESGOTO</t>
  </si>
  <si>
    <t>I9247</t>
  </si>
  <si>
    <t>CURVA FoFo 11 15' FF DN  200 PN10 - P/ ESGOTO</t>
  </si>
  <si>
    <t>I9248</t>
  </si>
  <si>
    <t>CURVA FoFo 11 15' FF DN  250 PN10 - P/ ESGOTO</t>
  </si>
  <si>
    <t>I9249</t>
  </si>
  <si>
    <t>CURVA FoFo 11 15' FF DN  300 PN10 - P/ ESGOTO</t>
  </si>
  <si>
    <t>I9250</t>
  </si>
  <si>
    <t>CURVA FoFo 11 15' FF DN  400 PN10 - P/ ESGOTO</t>
  </si>
  <si>
    <t>I9251</t>
  </si>
  <si>
    <t>CURVA FoFo 11 15' FF DN  450 PN10 - P/ ESGOTO</t>
  </si>
  <si>
    <t>I9252</t>
  </si>
  <si>
    <t>CURVA FoFo 11 15' FF DN  500 PN10 - P/ ESGOTO</t>
  </si>
  <si>
    <t>I9253</t>
  </si>
  <si>
    <t>CURVA FoFo 11 15' FF DN  600 PN10 - P/ ESGOTO</t>
  </si>
  <si>
    <t>I9254</t>
  </si>
  <si>
    <t>CURVA FoFo 11 15' FF DN  700 PN10 - P/ ESGOTO</t>
  </si>
  <si>
    <t>I9255</t>
  </si>
  <si>
    <t>CURVA FoFo 11 15' FF DN  800 PN10 - P/ ESGOTO</t>
  </si>
  <si>
    <t>I9256</t>
  </si>
  <si>
    <t>CURVA FoFo 11 15' FF DN  900 PN10 - P/ ESGOTO</t>
  </si>
  <si>
    <t>I13008</t>
  </si>
  <si>
    <t>CURVA FoFo 11 15' FF DN 100 PN25 - P/ ESGOTO</t>
  </si>
  <si>
    <t>I10632</t>
  </si>
  <si>
    <t>CURVA FoFo 11 15' FF DN 100 PN25 - P/ ÁGUA</t>
  </si>
  <si>
    <t>I9257</t>
  </si>
  <si>
    <t>CURVA FoFo 11 15' FF DN 1000 PN10 - P/ ESGOTO</t>
  </si>
  <si>
    <t>I13006</t>
  </si>
  <si>
    <t>CURVA FoFo 11 15' FF DN 1000 PN16 - P/ ESGOTO</t>
  </si>
  <si>
    <t>I10630</t>
  </si>
  <si>
    <t>CURVA FoFo 11 15' FF DN 1000 PN16 - P/ ÁGUA</t>
  </si>
  <si>
    <t>I13021</t>
  </si>
  <si>
    <t>CURVA FoFo 11 15' FF DN 1000 PN25 - P/ ESGOTO</t>
  </si>
  <si>
    <t>I10645</t>
  </si>
  <si>
    <t>CURVA FoFo 11 15' FF DN 1000 PN25 - P/ ÁGUA</t>
  </si>
  <si>
    <t>I9258</t>
  </si>
  <si>
    <t>CURVA FoFo 11 15' FF DN 1200 PN10 - P/ ESGOTO</t>
  </si>
  <si>
    <t>I13007</t>
  </si>
  <si>
    <t>CURVA FoFo 11 15' FF DN 1200 PN16 - P/ ESGOTO</t>
  </si>
  <si>
    <t>I10631</t>
  </si>
  <si>
    <t>CURVA FoFo 11 15' FF DN 1200 PN16 - P/ ÁGUA</t>
  </si>
  <si>
    <t>I13022</t>
  </si>
  <si>
    <t>CURVA FoFo 11 15' FF DN 1200 PN25 - P/ ESGOTO</t>
  </si>
  <si>
    <t>I10646</t>
  </si>
  <si>
    <t>CURVA FoFo 11 15' FF DN 1200 PN25 - P/ ÁGUA</t>
  </si>
  <si>
    <t>I13009</t>
  </si>
  <si>
    <t>CURVA FoFo 11 15' FF DN 150 PN25 - P/ ESGOTO</t>
  </si>
  <si>
    <t>I10633</t>
  </si>
  <si>
    <t>CURVA FoFo 11 15' FF DN 150 PN25 - P/ ÁGUA</t>
  </si>
  <si>
    <t>I12995</t>
  </si>
  <si>
    <t>CURVA FoFo 11 15' FF DN 200 PN16 - P/ ESGOTO</t>
  </si>
  <si>
    <t>I10619</t>
  </si>
  <si>
    <t>CURVA FoFo 11 15' FF DN 200 PN16 - P/ ÁGUA</t>
  </si>
  <si>
    <t>I13010</t>
  </si>
  <si>
    <t>CURVA FoFo 11 15' FF DN 200 PN25 - P/ ESGOTO</t>
  </si>
  <si>
    <t>I10634</t>
  </si>
  <si>
    <t>CURVA FoFo 11 15' FF DN 200 PN25 - P/ ÁGUA</t>
  </si>
  <si>
    <t>I12996</t>
  </si>
  <si>
    <t>CURVA FoFo 11 15' FF DN 250 PN16 - P/ ESGOTO</t>
  </si>
  <si>
    <t>I10620</t>
  </si>
  <si>
    <t>CURVA FoFo 11 15' FF DN 250 PN16 - P/ ÁGUA</t>
  </si>
  <si>
    <t>I13011</t>
  </si>
  <si>
    <t>CURVA FoFo 11 15' FF DN 250 PN25 - P/ ESGOTO</t>
  </si>
  <si>
    <t>I10635</t>
  </si>
  <si>
    <t>CURVA FoFo 11 15' FF DN 250 PN25 - P/ ÁGUA</t>
  </si>
  <si>
    <t>I12997</t>
  </si>
  <si>
    <t>CURVA FoFo 11 15' FF DN 300 PN16 - P/ ESGOTO</t>
  </si>
  <si>
    <t>I10621</t>
  </si>
  <si>
    <t>CURVA FoFo 11 15' FF DN 300 PN16 - P/ ÁGUA</t>
  </si>
  <si>
    <t>I13012</t>
  </si>
  <si>
    <t>CURVA FoFo 11 15' FF DN 300 PN25 - P/ ESGOTO</t>
  </si>
  <si>
    <t>I10636</t>
  </si>
  <si>
    <t>CURVA FoFo 11 15' FF DN 300 PN25 - P/ ÁGUA</t>
  </si>
  <si>
    <t>I12994</t>
  </si>
  <si>
    <t>CURVA FoFo 11 15' FF DN 350 PN10 - P/ ESGOTO</t>
  </si>
  <si>
    <t>I12998</t>
  </si>
  <si>
    <t>CURVA FoFo 11 15' FF DN 350 PN16 - P/ ESGOTO</t>
  </si>
  <si>
    <t>I10622</t>
  </si>
  <si>
    <t>CURVA FoFo 11 15' FF DN 350 PN16 - P/ ÁGUA</t>
  </si>
  <si>
    <t>I13013</t>
  </si>
  <si>
    <t>CURVA FoFo 11 15' FF DN 350 PN25 - P/ ESGOTO</t>
  </si>
  <si>
    <t>I10637</t>
  </si>
  <si>
    <t>CURVA FoFo 11 15' FF DN 350 PN25 - P/ ÁGUA</t>
  </si>
  <si>
    <t>I12999</t>
  </si>
  <si>
    <t>CURVA FoFo 11 15' FF DN 400 PN16 - P/ ESGOTO</t>
  </si>
  <si>
    <t>I10623</t>
  </si>
  <si>
    <t>CURVA FoFo 11 15' FF DN 400 PN16 - P/ ÁGUA</t>
  </si>
  <si>
    <t>I13014</t>
  </si>
  <si>
    <t>CURVA FoFo 11 15' FF DN 400 PN25 - P/ ESGOTO</t>
  </si>
  <si>
    <t>I10638</t>
  </si>
  <si>
    <t>CURVA FoFo 11 15' FF DN 400 PN25 - P/ ÁGUA</t>
  </si>
  <si>
    <t>I13000</t>
  </si>
  <si>
    <t>CURVA FoFo 11 15' FF DN 450 PN16 - P/ ESGOTO</t>
  </si>
  <si>
    <t>I10624</t>
  </si>
  <si>
    <t>CURVA FoFo 11 15' FF DN 450 PN16 - P/ ÁGUA</t>
  </si>
  <si>
    <t>I13015</t>
  </si>
  <si>
    <t>CURVA FoFo 11 15' FF DN 450 PN25 - P/ ESGOTO</t>
  </si>
  <si>
    <t>I10639</t>
  </si>
  <si>
    <t>CURVA FoFo 11 15' FF DN 450 PN25 - P/ ÁGUA</t>
  </si>
  <si>
    <t>I13001</t>
  </si>
  <si>
    <t>CURVA FoFo 11 15' FF DN 500 PN16 - P/ ESGOTO</t>
  </si>
  <si>
    <t>I10625</t>
  </si>
  <si>
    <t>CURVA FoFo 11 15' FF DN 500 PN16 - P/ ÁGUA</t>
  </si>
  <si>
    <t>I13016</t>
  </si>
  <si>
    <t>CURVA FoFo 11 15' FF DN 500 PN25 - P/ ESGOTO</t>
  </si>
  <si>
    <t>I10640</t>
  </si>
  <si>
    <t>CURVA FoFo 11 15' FF DN 500 PN25 - P/ ÁGUA</t>
  </si>
  <si>
    <t>I13002</t>
  </si>
  <si>
    <t>CURVA FoFo 11 15' FF DN 600 PN16 - P/ ESGOTO</t>
  </si>
  <si>
    <t>I10626</t>
  </si>
  <si>
    <t>CURVA FoFo 11 15' FF DN 600 PN16 - P/ ÁGUA</t>
  </si>
  <si>
    <t>I13017</t>
  </si>
  <si>
    <t>CURVA FoFo 11 15' FF DN 600 PN25 - P/ ESGOTO</t>
  </si>
  <si>
    <t>I10641</t>
  </si>
  <si>
    <t>CURVA FoFo 11 15' FF DN 600 PN25 - P/ ÁGUA</t>
  </si>
  <si>
    <t>I13003</t>
  </si>
  <si>
    <t>CURVA FoFo 11 15' FF DN 700 PN16 - P/ ESGOTO</t>
  </si>
  <si>
    <t>I10627</t>
  </si>
  <si>
    <t>CURVA FoFo 11 15' FF DN 700 PN16 - P/ ÁGUA</t>
  </si>
  <si>
    <t>I13018</t>
  </si>
  <si>
    <t>CURVA FoFo 11 15' FF DN 700 PN25 - P/ ESGOTO</t>
  </si>
  <si>
    <t>I10642</t>
  </si>
  <si>
    <t>CURVA FoFo 11 15' FF DN 700 PN25 - P/ ÁGUA</t>
  </si>
  <si>
    <t>I13004</t>
  </si>
  <si>
    <t>CURVA FoFo 11 15' FF DN 800 PN16 - P/ ESGOTO</t>
  </si>
  <si>
    <t>I10628</t>
  </si>
  <si>
    <t>CURVA FoFo 11 15' FF DN 800 PN16 - P/ ÁGUA</t>
  </si>
  <si>
    <t>I13019</t>
  </si>
  <si>
    <t>CURVA FoFo 11 15' FF DN 800 PN25 - P/ ESGOTO</t>
  </si>
  <si>
    <t>I10643</t>
  </si>
  <si>
    <t>CURVA FoFo 11 15' FF DN 800 PN25 - P/ ÁGUA</t>
  </si>
  <si>
    <t>I13005</t>
  </si>
  <si>
    <t>CURVA FoFo 11 15' FF DN 900 PN16 - P/ ESGOTO</t>
  </si>
  <si>
    <t>I10629</t>
  </si>
  <si>
    <t>CURVA FoFo 11 15' FF DN 900 PN16 - P/ ÁGUA</t>
  </si>
  <si>
    <t>I13020</t>
  </si>
  <si>
    <t>CURVA FoFo 11 15' FF DN 900 PN25 - P/ ESGOTO</t>
  </si>
  <si>
    <t>I10644</t>
  </si>
  <si>
    <t>CURVA FoFo 11 15' FF DN 900 PN25 - P/ ÁGUA</t>
  </si>
  <si>
    <t>I3373</t>
  </si>
  <si>
    <t>CURVA FoFo 11 15' FF PARA ÁGUA DN    75 PN10</t>
  </si>
  <si>
    <t>I7116</t>
  </si>
  <si>
    <t>CURVA FoFo 11 15' FF PARA ÁGUA DN    80 PN10</t>
  </si>
  <si>
    <t>I3375</t>
  </si>
  <si>
    <t>CURVA FoFo 11 15' FF PARA ÁGUA DN  150 PN10</t>
  </si>
  <si>
    <t>I3376</t>
  </si>
  <si>
    <t>CURVA FoFo 11 15' FF PARA ÁGUA DN  200 PN10</t>
  </si>
  <si>
    <t>I3377</t>
  </si>
  <si>
    <t>CURVA FoFo 11 15' FF PARA ÁGUA DN  250 PN10</t>
  </si>
  <si>
    <t>I3378</t>
  </si>
  <si>
    <t>CURVA FoFo 11 15' FF PARA ÁGUA DN  300 PN10</t>
  </si>
  <si>
    <t>I3379</t>
  </si>
  <si>
    <t>CURVA FoFo 11 15' FF PARA ÁGUA DN  350 PN10</t>
  </si>
  <si>
    <t>I3380</t>
  </si>
  <si>
    <t>CURVA FoFo 11 15' FF PARA ÁGUA DN  400 PN10</t>
  </si>
  <si>
    <t>I3381</t>
  </si>
  <si>
    <t>CURVA FoFo 11 15' FF PARA ÁGUA DN  450 PN10</t>
  </si>
  <si>
    <t>I3382</t>
  </si>
  <si>
    <t>CURVA FoFo 11 15' FF PARA ÁGUA DN  500 PN10</t>
  </si>
  <si>
    <t>I3383</t>
  </si>
  <si>
    <t>CURVA FoFo 11 15' FF PARA ÁGUA DN  600 PN10</t>
  </si>
  <si>
    <t>I3384</t>
  </si>
  <si>
    <t>CURVA FoFo 11 15' FF PARA ÁGUA DN  700 PN10</t>
  </si>
  <si>
    <t>I3385</t>
  </si>
  <si>
    <t>CURVA FoFo 11 15' FF PARA ÁGUA DN  800 PN10</t>
  </si>
  <si>
    <t>I3386</t>
  </si>
  <si>
    <t>CURVA FoFo 11 15' FF PARA ÁGUA DN  900 PN10</t>
  </si>
  <si>
    <t>I3387</t>
  </si>
  <si>
    <t>CURVA FoFo 11 15' FF PARA ÁGUA DN 1000 PN10</t>
  </si>
  <si>
    <t>I3388</t>
  </si>
  <si>
    <t>CURVA FoFo 11 15' FF PARA ÁGUA DN 1200 PN10</t>
  </si>
  <si>
    <t>I3374</t>
  </si>
  <si>
    <t>CURVA FoFo 11º15' FF PARA ÁGUA DN  100 PN10</t>
  </si>
  <si>
    <t>I9286</t>
  </si>
  <si>
    <t>CURVA FoFo 22 30 JTE DN  300 - P/ ESGOTO</t>
  </si>
  <si>
    <t>I9287</t>
  </si>
  <si>
    <t>CURVA FoFo 22 30 JTE DN  350 - P/ ESGOTO</t>
  </si>
  <si>
    <t>I9288</t>
  </si>
  <si>
    <t>CURVA FoFo 22 30 JTE DN  400 - P/ ESGOTO</t>
  </si>
  <si>
    <t>I9289</t>
  </si>
  <si>
    <t>CURVA FoFo 22 30 JTE DN  500 - P/ ESGOTO</t>
  </si>
  <si>
    <t>I9290</t>
  </si>
  <si>
    <t>CURVA FoFo 22 30 JTE DN  600 - P/ ESGOTO</t>
  </si>
  <si>
    <t>I9291</t>
  </si>
  <si>
    <t>CURVA FoFo 22 30 JTE DN  700 - P/ ESGOTO</t>
  </si>
  <si>
    <t>I9292</t>
  </si>
  <si>
    <t>CURVA FoFo 22 30 JTE DN  800 - P/ ESGOTO</t>
  </si>
  <si>
    <t>I9293</t>
  </si>
  <si>
    <t>CURVA FoFo 22 30 JTE DN  900 - P/ ESGOTO</t>
  </si>
  <si>
    <t>I9294</t>
  </si>
  <si>
    <t>CURVA FoFo 22 30 JTE DN 1000 - P/ ESGOTO</t>
  </si>
  <si>
    <t>I9295</t>
  </si>
  <si>
    <t>CURVA FoFo 22 30 JTE DN 1200 - P/ ESGOTO</t>
  </si>
  <si>
    <t>I13054</t>
  </si>
  <si>
    <t>CURVA FoFo 22 30 JTE DN 450 - P/ ESGOTO</t>
  </si>
  <si>
    <t>I7638</t>
  </si>
  <si>
    <t>CURVA FoFo 22 30 JTE PARA ÁGUA DN  300</t>
  </si>
  <si>
    <t>I7639</t>
  </si>
  <si>
    <t>CURVA FoFo 22 30 JTE PARA ÁGUA DN  350</t>
  </si>
  <si>
    <t>I7640</t>
  </si>
  <si>
    <t>CURVA FoFo 22 30 JTE PARA ÁGUA DN  400</t>
  </si>
  <si>
    <t>I10676</t>
  </si>
  <si>
    <t>CURVA FoFo 22 30 JTE PARA ÁGUA DN  450</t>
  </si>
  <si>
    <t>I7641</t>
  </si>
  <si>
    <t>CURVA FoFo 22 30 JTE PARA ÁGUA DN  500</t>
  </si>
  <si>
    <t>I7642</t>
  </si>
  <si>
    <t>CURVA FoFo 22 30 JTE PARA ÁGUA DN  600</t>
  </si>
  <si>
    <t>I7643</t>
  </si>
  <si>
    <t>CURVA FoFo 22 30 JTE PARA ÁGUA DN  700</t>
  </si>
  <si>
    <t>I7644</t>
  </si>
  <si>
    <t>CURVA FoFo 22 30 JTE PARA ÁGUA DN  800</t>
  </si>
  <si>
    <t>I7645</t>
  </si>
  <si>
    <t>CURVA FoFo 22 30 JTE PARA ÁGUA DN  900</t>
  </si>
  <si>
    <t>I7646</t>
  </si>
  <si>
    <t>CURVA FoFo 22 30 JTE PARA ÁGUA DN 1000</t>
  </si>
  <si>
    <t>I7647</t>
  </si>
  <si>
    <t>CURVA FoFo 22 30 JTE PARA ÁGUA DN 1200</t>
  </si>
  <si>
    <t>I13055</t>
  </si>
  <si>
    <t>CURVA FoFo 22 30 JTI PARA ESGOTO DN  100</t>
  </si>
  <si>
    <t>I13056</t>
  </si>
  <si>
    <t>CURVA FoFo 22 30 JTI PARA ESGOTO DN  200</t>
  </si>
  <si>
    <t>I13057</t>
  </si>
  <si>
    <t>CURVA FoFo 22 30 JTI PARA ESGOTO DN  250</t>
  </si>
  <si>
    <t>I9269</t>
  </si>
  <si>
    <t>CURVA FoFo 22 30' FF DN   75 PN10 - P/ ESGOTO</t>
  </si>
  <si>
    <t>I9270</t>
  </si>
  <si>
    <t>CURVA FoFo 22 30' FF DN   80 PN10 - P/ ESGOTO</t>
  </si>
  <si>
    <t>I9271</t>
  </si>
  <si>
    <t>CURVA FoFo 22 30' FF DN  100 PN10 - P/ ESGOTO</t>
  </si>
  <si>
    <t>I9272</t>
  </si>
  <si>
    <t>CURVA FoFo 22 30' FF DN  150 PN10 - P/ ESGOTO</t>
  </si>
  <si>
    <t>I9273</t>
  </si>
  <si>
    <t>CURVA FoFo 22 30' FF DN  200 PN10 - P/ ESGOTO</t>
  </si>
  <si>
    <t>I9274</t>
  </si>
  <si>
    <t>CURVA FoFo 22 30' FF DN  250 PN10 - P/ ESGOTO</t>
  </si>
  <si>
    <t>I9275</t>
  </si>
  <si>
    <t>CURVA FoFo 22 30' FF DN  300 PN10 - P/ ESGOTO</t>
  </si>
  <si>
    <t>I9276</t>
  </si>
  <si>
    <t>CURVA FoFo 22 30' FF DN  350 PN10 - P/ ESGOTO</t>
  </si>
  <si>
    <t>I9277</t>
  </si>
  <si>
    <t>CURVA FoFo 22 30' FF DN  400 PN10 - P/ ESGOTO</t>
  </si>
  <si>
    <t>I9278</t>
  </si>
  <si>
    <t>CURVA FoFo 22 30' FF DN  450 PN10 - P/ ESGOTO</t>
  </si>
  <si>
    <t>I9279</t>
  </si>
  <si>
    <t>CURVA FoFo 22 30' FF DN  500 PN10 - P/ ESGOTO</t>
  </si>
  <si>
    <t>I9280</t>
  </si>
  <si>
    <t>CURVA FoFo 22 30' FF DN  600 PN10 - P/ ESGOTO</t>
  </si>
  <si>
    <t>I9281</t>
  </si>
  <si>
    <t>CURVA FoFo 22 30' FF DN  700 PN10 - P/ ESGOTO</t>
  </si>
  <si>
    <t>I9282</t>
  </si>
  <si>
    <t>CURVA FoFo 22 30' FF DN  800 PN10 - P/ ESGOTO</t>
  </si>
  <si>
    <t>I9283</t>
  </si>
  <si>
    <t>CURVA FoFo 22 30' FF DN  900 PN10 - P/ ESGOTO</t>
  </si>
  <si>
    <t>I13039</t>
  </si>
  <si>
    <t>CURVA FoFo 22 30' FF DN 100 PN25 - P/ ESGOTO</t>
  </si>
  <si>
    <t>I10661</t>
  </si>
  <si>
    <t>CURVA FoFo 22 30' FF DN 100 PN25/40 - P/ ÁGUA</t>
  </si>
  <si>
    <t>I9284</t>
  </si>
  <si>
    <t>CURVA FoFo 22 30' FF DN 1000 PN10 - P/ ESGOTO</t>
  </si>
  <si>
    <t>I13037</t>
  </si>
  <si>
    <t>CURVA FoFo 22 30' FF DN 1000 PN16 - P/ ESGOTO</t>
  </si>
  <si>
    <t>I10659</t>
  </si>
  <si>
    <t>CURVA FoFo 22 30' FF DN 1000 PN16 - P/ ÁGUA</t>
  </si>
  <si>
    <t>I13052</t>
  </si>
  <si>
    <t>CURVA FoFo 22 30' FF DN 1000 PN25 - P/ ESGOTO</t>
  </si>
  <si>
    <t>I10674</t>
  </si>
  <si>
    <t>CURVA FoFo 22 30' FF DN 1000 PN25 - P/ ÁGUA</t>
  </si>
  <si>
    <t>I9285</t>
  </si>
  <si>
    <t>CURVA FoFo 22 30' FF DN 1200 PN10 - P/ ESGOTO</t>
  </si>
  <si>
    <t>I13038</t>
  </si>
  <si>
    <t>CURVA FoFo 22 30' FF DN 1200 PN16 - P/ ESGOTO</t>
  </si>
  <si>
    <t>I10660</t>
  </si>
  <si>
    <t>CURVA FoFo 22 30' FF DN 1200 PN16 - P/ ÁGUA</t>
  </si>
  <si>
    <t>I13053</t>
  </si>
  <si>
    <t>CURVA FoFo 22 30' FF DN 1200 PN25 - P/ ESGOTO</t>
  </si>
  <si>
    <t>I10675</t>
  </si>
  <si>
    <t>CURVA FoFo 22 30' FF DN 1200 PN25 - P/ ÁGUA</t>
  </si>
  <si>
    <t>I13040</t>
  </si>
  <si>
    <t>CURVA FoFo 22 30' FF DN 150 PN25 - P/ ESGOTO</t>
  </si>
  <si>
    <t>I10662</t>
  </si>
  <si>
    <t>CURVA FoFo 22 30' FF DN 150 PN25 - P/ ÁGUA</t>
  </si>
  <si>
    <t>I13026</t>
  </si>
  <si>
    <t>CURVA FoFo 22 30' FF DN 200 PN16 - P/ ESGOTO</t>
  </si>
  <si>
    <t>I10648</t>
  </si>
  <si>
    <t>CURVA FoFo 22 30' FF DN 200 PN16 - P/ ÁGUA</t>
  </si>
  <si>
    <t>I13041</t>
  </si>
  <si>
    <t>CURVA FoFo 22 30' FF DN 200 PN25 - P/ ESGOTO</t>
  </si>
  <si>
    <t>I10663</t>
  </si>
  <si>
    <t>CURVA FoFo 22 30' FF DN 200 PN25 - P/ ÁGUA</t>
  </si>
  <si>
    <t>I13027</t>
  </si>
  <si>
    <t>CURVA FoFo 22 30' FF DN 250 PN16 - P/ ESGOTO</t>
  </si>
  <si>
    <t>I10649</t>
  </si>
  <si>
    <t>CURVA FoFo 22 30' FF DN 250 PN16 - P/ ÁGUA</t>
  </si>
  <si>
    <t>I13042</t>
  </si>
  <si>
    <t>CURVA FoFo 22 30' FF DN 250 PN25 - P/ ESGOTO</t>
  </si>
  <si>
    <t>I10664</t>
  </si>
  <si>
    <t>CURVA FoFo 22 30' FF DN 250 PN25 - P/ ÁGUA</t>
  </si>
  <si>
    <t>I13028</t>
  </si>
  <si>
    <t>CURVA FoFo 22 30' FF DN 300 PN16 - P/ ESGOTO</t>
  </si>
  <si>
    <t>I10650</t>
  </si>
  <si>
    <t>CURVA FoFo 22 30' FF DN 300 PN16 - P/ ÁGUA</t>
  </si>
  <si>
    <t>I13043</t>
  </si>
  <si>
    <t>CURVA FoFo 22 30' FF DN 300 PN25 - P/ ESGOTO</t>
  </si>
  <si>
    <t>I10665</t>
  </si>
  <si>
    <t>CURVA FoFo 22 30' FF DN 300 PN25 - P/ ÁGUA</t>
  </si>
  <si>
    <t>I13029</t>
  </si>
  <si>
    <t>CURVA FoFo 22 30' FF DN 350 PN16 - P/ ESGOTO</t>
  </si>
  <si>
    <t>I10651</t>
  </si>
  <si>
    <t>CURVA FoFo 22 30' FF DN 350 PN16 - P/ ÁGUA</t>
  </si>
  <si>
    <t>I13044</t>
  </si>
  <si>
    <t>CURVA FoFo 22 30' FF DN 350 PN25 - P/ ESGOTO</t>
  </si>
  <si>
    <t>I10666</t>
  </si>
  <si>
    <t>CURVA FoFo 22 30' FF DN 350 PN25 - P/ ÁGUA</t>
  </si>
  <si>
    <t>I13030</t>
  </si>
  <si>
    <t>CURVA FoFo 22 30' FF DN 400 PN16 - P/ ESGOTO</t>
  </si>
  <si>
    <t>I10652</t>
  </si>
  <si>
    <t>CURVA FoFo 22 30' FF DN 400 PN16 - P/ ÁGUA</t>
  </si>
  <si>
    <t>I13045</t>
  </si>
  <si>
    <t>CURVA FoFo 22 30' FF DN 400 PN25 - P/ ESGOTO</t>
  </si>
  <si>
    <t>I10667</t>
  </si>
  <si>
    <t>CURVA FoFo 22 30' FF DN 400 PN25 - P/ ÁGUA</t>
  </si>
  <si>
    <t>I13031</t>
  </si>
  <si>
    <t>CURVA FoFo 22 30' FF DN 450 PN16 - P/ ESGOTO</t>
  </si>
  <si>
    <t>I10653</t>
  </si>
  <si>
    <t>CURVA FoFo 22 30' FF DN 450 PN16 - P/ ÁGUA</t>
  </si>
  <si>
    <t>I13046</t>
  </si>
  <si>
    <t>CURVA FoFo 22 30' FF DN 450 PN25 - P/ ESGOTO</t>
  </si>
  <si>
    <t>I10668</t>
  </si>
  <si>
    <t>CURVA FoFo 22 30' FF DN 450 PN25 - P/ ÁGUA</t>
  </si>
  <si>
    <t>I13032</t>
  </si>
  <si>
    <t>CURVA FoFo 22 30' FF DN 500 PN16 - P/ ESGOTO</t>
  </si>
  <si>
    <t>I10654</t>
  </si>
  <si>
    <t>CURVA FoFo 22 30' FF DN 500 PN16 - P/ ÁGUA</t>
  </si>
  <si>
    <t>I13047</t>
  </si>
  <si>
    <t>CURVA FoFo 22 30' FF DN 500 PN25 - P/ ESGOTO</t>
  </si>
  <si>
    <t>I10669</t>
  </si>
  <si>
    <t>CURVA FoFo 22 30' FF DN 500 PN25 - P/ ÁGUA</t>
  </si>
  <si>
    <t>I13033</t>
  </si>
  <si>
    <t>CURVA FoFo 22 30' FF DN 600 PN16 - P/ ESGOTO</t>
  </si>
  <si>
    <t>I10655</t>
  </si>
  <si>
    <t>CURVA FoFo 22 30' FF DN 600 PN16 - P/ ÁGUA</t>
  </si>
  <si>
    <t>I13048</t>
  </si>
  <si>
    <t>CURVA FoFo 22 30' FF DN 600 PN25 - P/ ESGOTO</t>
  </si>
  <si>
    <t>I10670</t>
  </si>
  <si>
    <t>CURVA FoFo 22 30' FF DN 600 PN25 - P/ ÁGUA</t>
  </si>
  <si>
    <t>I13034</t>
  </si>
  <si>
    <t>CURVA FoFo 22 30' FF DN 700 PN16 - P/ ESGOTO</t>
  </si>
  <si>
    <t>I10656</t>
  </si>
  <si>
    <t>CURVA FoFo 22 30' FF DN 700 PN16 - P/ ÁGUA</t>
  </si>
  <si>
    <t>I13049</t>
  </si>
  <si>
    <t>CURVA FoFo 22 30' FF DN 700 PN25 - P/ ESGOTO</t>
  </si>
  <si>
    <t>I10671</t>
  </si>
  <si>
    <t>CURVA FoFo 22 30' FF DN 700 PN25 - P/ ÁGUA</t>
  </si>
  <si>
    <t>I13035</t>
  </si>
  <si>
    <t>CURVA FoFo 22 30' FF DN 800 PN16 - P/ ESGOTO</t>
  </si>
  <si>
    <t>I10657</t>
  </si>
  <si>
    <t>CURVA FoFo 22 30' FF DN 800 PN16 - P/ ÁGUA</t>
  </si>
  <si>
    <t>I13050</t>
  </si>
  <si>
    <t>CURVA FoFo 22 30' FF DN 800 PN25 - P/ ESGOTO</t>
  </si>
  <si>
    <t>I10672</t>
  </si>
  <si>
    <t>CURVA FoFo 22 30' FF DN 800 PN25 - P/ ÁGUA</t>
  </si>
  <si>
    <t>I13036</t>
  </si>
  <si>
    <t>CURVA FoFo 22 30' FF DN 900 PN16 - P/ ESGOTO</t>
  </si>
  <si>
    <t>I10658</t>
  </si>
  <si>
    <t>CURVA FoFo 22 30' FF DN 900 PN16 - P/ ÁGUA</t>
  </si>
  <si>
    <t>I13051</t>
  </si>
  <si>
    <t>CURVA FoFo 22 30' FF DN 900 PN25 - P/ ESGOTO</t>
  </si>
  <si>
    <t>I10673</t>
  </si>
  <si>
    <t>CURVA FoFo 22 30' FF DN 900 PN25 - P/ ÁGUA</t>
  </si>
  <si>
    <t>I3390</t>
  </si>
  <si>
    <t>CURVA FoFo 22 30' FF PARA ÁGUA DN   75 PN10</t>
  </si>
  <si>
    <t>I7117</t>
  </si>
  <si>
    <t>CURVA FoFo 22 30' FF PARA ÁGUA DN   80 PN10</t>
  </si>
  <si>
    <t>I3391</t>
  </si>
  <si>
    <t>CURVA FoFo 22 30' FF PARA ÁGUA DN  100 PN10</t>
  </si>
  <si>
    <t>I3392</t>
  </si>
  <si>
    <t>CURVA FoFo 22 30' FF PARA ÁGUA DN  150 PN10</t>
  </si>
  <si>
    <t>I3393</t>
  </si>
  <si>
    <t>CURVA FoFo 22 30' FF PARA ÁGUA DN  200 PN10</t>
  </si>
  <si>
    <t>I3394</t>
  </si>
  <si>
    <t>CURVA FoFo 22 30' FF PARA ÁGUA DN  250 PN10</t>
  </si>
  <si>
    <t>I3395</t>
  </si>
  <si>
    <t>CURVA FoFo 22 30' FF PARA ÁGUA DN  300 PN10</t>
  </si>
  <si>
    <t>I3396</t>
  </si>
  <si>
    <t>CURVA FoFo 22 30' FF PARA ÁGUA DN  350 PN10</t>
  </si>
  <si>
    <t>I3397</t>
  </si>
  <si>
    <t>CURVA FoFo 22 30' FF PARA ÁGUA DN  400 PN10</t>
  </si>
  <si>
    <t>I3398</t>
  </si>
  <si>
    <t>CURVA FoFo 22 30' FF PARA ÁGUA DN  450 PN10</t>
  </si>
  <si>
    <t>I3399</t>
  </si>
  <si>
    <t>CURVA FoFo 22 30' FF PARA ÁGUA DN  500 PN10</t>
  </si>
  <si>
    <t>I3400</t>
  </si>
  <si>
    <t>CURVA FoFo 22 30' FF PARA ÁGUA DN  600 PN10</t>
  </si>
  <si>
    <t>I3401</t>
  </si>
  <si>
    <t>CURVA FoFo 22 30' FF PARA ÁGUA DN  700 PN10</t>
  </si>
  <si>
    <t>I3402</t>
  </si>
  <si>
    <t>CURVA FoFo 22 30' FF PARA ÁGUA DN  800 PN10</t>
  </si>
  <si>
    <t>I3403</t>
  </si>
  <si>
    <t>CURVA FoFo 22 30' FF PARA ÁGUA DN  900 PN10</t>
  </si>
  <si>
    <t>I3404</t>
  </si>
  <si>
    <t>CURVA FoFo 22 30' FF PARA ÁGUA DN 1000 PN10</t>
  </si>
  <si>
    <t>I3405</t>
  </si>
  <si>
    <t>CURVA FoFo 22 30' FF PARA ÁGUA DN 1200 PN10</t>
  </si>
  <si>
    <t>I9296</t>
  </si>
  <si>
    <t>CURVA FoFo 45 FF DN   75 PN10 - P/ ESGOTO</t>
  </si>
  <si>
    <t>I9297</t>
  </si>
  <si>
    <t>CURVA FoFo 45 FF DN   80 PN10 - P/ ESGOTO</t>
  </si>
  <si>
    <t>I9298</t>
  </si>
  <si>
    <t>CURVA FoFo 45 FF DN  100 PN10 - P/ ESGOTO</t>
  </si>
  <si>
    <t>I9299</t>
  </si>
  <si>
    <t>CURVA FoFo 45 FF DN  150 PN10 - P/ ESGOTO</t>
  </si>
  <si>
    <t>I9300</t>
  </si>
  <si>
    <t>CURVA FoFo 45 FF DN  200 PN10 - P/ ESGOTO</t>
  </si>
  <si>
    <t>I9301</t>
  </si>
  <si>
    <t>CURVA FoFo 45 FF DN  250 PN10 - P/ ESGOTO</t>
  </si>
  <si>
    <t>I9302</t>
  </si>
  <si>
    <t>CURVA FoFo 45 FF DN  300 PN10 - P/ ESGOTO</t>
  </si>
  <si>
    <t>I9303</t>
  </si>
  <si>
    <t>CURVA FoFo 45 FF DN  350 PN10 - P/ ESGOTO</t>
  </si>
  <si>
    <t>I9304</t>
  </si>
  <si>
    <t>CURVA FoFo 45 FF DN  400 PN10 - P/ ESGOTO</t>
  </si>
  <si>
    <t>I9305</t>
  </si>
  <si>
    <t>CURVA FoFo 45 FF DN  450 PN10 - P/ ESGOTO</t>
  </si>
  <si>
    <t>I9306</t>
  </si>
  <si>
    <t>CURVA FoFo 45 FF DN  500 PN10 - P/ ESGOTO</t>
  </si>
  <si>
    <t>I9307</t>
  </si>
  <si>
    <t>CURVA FoFo 45 FF DN  600 PN10 - P/ ESGOTO</t>
  </si>
  <si>
    <t>I9308</t>
  </si>
  <si>
    <t>CURVA FoFo 45 FF DN  700 PN10 - P/ ESGOTO</t>
  </si>
  <si>
    <t>I9309</t>
  </si>
  <si>
    <t>CURVA FoFo 45 FF DN  800 PN10 - P/ ESGOTO</t>
  </si>
  <si>
    <t>I9310</t>
  </si>
  <si>
    <t>CURVA FoFo 45 FF DN  900 PN10 - P/ ESGOTO</t>
  </si>
  <si>
    <t>I13071</t>
  </si>
  <si>
    <t>CURVA FoFo 45 FF DN 100 PN25 - P/ ESGOTO</t>
  </si>
  <si>
    <t>I10690</t>
  </si>
  <si>
    <t>CURVA FoFo 45 FF DN 100 PN25 - P/ ÁGUA</t>
  </si>
  <si>
    <t>I9311</t>
  </si>
  <si>
    <t>CURVA FoFo 45 FF DN 1000 PN10 - P/ ESGOTO</t>
  </si>
  <si>
    <t>I13069</t>
  </si>
  <si>
    <t>CURVA FoFo 45 FF DN 1000 PN16 - P/ ESGOTO</t>
  </si>
  <si>
    <t>I10688</t>
  </si>
  <si>
    <t>CURVA FoFo 45 FF DN 1000 PN16 - P/ ÁGUA</t>
  </si>
  <si>
    <t>I13084</t>
  </si>
  <si>
    <t>CURVA FoFo 45 FF DN 1000 PN25 - P/ ESGOTO</t>
  </si>
  <si>
    <t>I10703</t>
  </si>
  <si>
    <t>CURVA FoFo 45 FF DN 1000 PN25 - P/ ÁGUA</t>
  </si>
  <si>
    <t>I9312</t>
  </si>
  <si>
    <t>CURVA FoFo 45 FF DN 1200 PN10 - P/ ESGOTO</t>
  </si>
  <si>
    <t>I13070</t>
  </si>
  <si>
    <t>CURVA FoFo 45 FF DN 1200 PN16 - P/ ESGOTO</t>
  </si>
  <si>
    <t>I10689</t>
  </si>
  <si>
    <t>CURVA FoFo 45 FF DN 1200 PN16 - P/ ÁGUA</t>
  </si>
  <si>
    <t>I13085</t>
  </si>
  <si>
    <t>CURVA FoFo 45 FF DN 1200 PN25 - P/ ESGOTO</t>
  </si>
  <si>
    <t>I10704</t>
  </si>
  <si>
    <t>CURVA FoFo 45 FF DN 1200 PN25 - P/ ÁGUA</t>
  </si>
  <si>
    <t>I13072</t>
  </si>
  <si>
    <t>CURVA FoFo 45 FF DN 150 PN25 - P/ ESGOTO</t>
  </si>
  <si>
    <t>I10691</t>
  </si>
  <si>
    <t>CURVA FoFo 45 FF DN 150 PN25 - P/ ÁGUA</t>
  </si>
  <si>
    <t>I13058</t>
  </si>
  <si>
    <t>CURVA FoFo 45 FF DN 200 PN16 - P/ ESGOTO</t>
  </si>
  <si>
    <t>I10677</t>
  </si>
  <si>
    <t>CURVA FoFo 45 FF DN 200 PN16 - P/ ÁGUA</t>
  </si>
  <si>
    <t>I13073</t>
  </si>
  <si>
    <t>CURVA FoFo 45 FF DN 200 PN25 - P/ ESGOTO</t>
  </si>
  <si>
    <t>I10692</t>
  </si>
  <si>
    <t>CURVA FoFo 45 FF DN 200 PN25 - P/ ÁGUA</t>
  </si>
  <si>
    <t>I13059</t>
  </si>
  <si>
    <t>CURVA FoFo 45 FF DN 250 PN16 - P/ ESGOTO</t>
  </si>
  <si>
    <t>I10678</t>
  </si>
  <si>
    <t>CURVA FoFo 45 FF DN 250 PN16 - P/ ÁGUA</t>
  </si>
  <si>
    <t>I13074</t>
  </si>
  <si>
    <t>CURVA FoFo 45 FF DN 250 PN25 - P/ ESGOTO</t>
  </si>
  <si>
    <t>I10693</t>
  </si>
  <si>
    <t>CURVA FoFo 45 FF DN 250 PN25 - P/ ÁGUA</t>
  </si>
  <si>
    <t>I13060</t>
  </si>
  <si>
    <t>CURVA FoFo 45 FF DN 300 PN16 - P/ ESGOTO</t>
  </si>
  <si>
    <t>I10679</t>
  </si>
  <si>
    <t>CURVA FoFo 45 FF DN 300 PN16 - P/ ÁGUA</t>
  </si>
  <si>
    <t>I13075</t>
  </si>
  <si>
    <t>CURVA FoFo 45 FF DN 300 PN25 - P/ ESGOTO</t>
  </si>
  <si>
    <t>I10694</t>
  </si>
  <si>
    <t>CURVA FoFo 45 FF DN 300 PN25 - P/ ÁGUA</t>
  </si>
  <si>
    <t>I13061</t>
  </si>
  <si>
    <t>CURVA FoFo 45 FF DN 350 PN16 - P/ ESGOTO</t>
  </si>
  <si>
    <t>I10680</t>
  </si>
  <si>
    <t>CURVA FoFo 45 FF DN 350 PN16 - P/ ÁGUA</t>
  </si>
  <si>
    <t>I13076</t>
  </si>
  <si>
    <t>CURVA FoFo 45 FF DN 350 PN25 - P/ ESGOTO</t>
  </si>
  <si>
    <t>I10695</t>
  </si>
  <si>
    <t>CURVA FoFo 45 FF DN 350 PN25 - P/ ÁGUA</t>
  </si>
  <si>
    <t>I13062</t>
  </si>
  <si>
    <t>CURVA FoFo 45 FF DN 400 PN16 - P/ ESGOTO</t>
  </si>
  <si>
    <t>I10681</t>
  </si>
  <si>
    <t>CURVA FoFo 45 FF DN 400 PN16 - P/ ÁGUA</t>
  </si>
  <si>
    <t>I13077</t>
  </si>
  <si>
    <t>CURVA FoFo 45 FF DN 400 PN25 - P/ ESGOTO</t>
  </si>
  <si>
    <t>I10696</t>
  </si>
  <si>
    <t>CURVA FoFo 45 FF DN 400 PN25 - P/ ÁGUA</t>
  </si>
  <si>
    <t>I13063</t>
  </si>
  <si>
    <t>CURVA FoFo 45 FF DN 450 PN16 - P/ ESGOTO</t>
  </si>
  <si>
    <t>I10682</t>
  </si>
  <si>
    <t>CURVA FoFo 45 FF DN 450 PN16 - P/ ÁGUA</t>
  </si>
  <si>
    <t>I13078</t>
  </si>
  <si>
    <t>CURVA FoFo 45 FF DN 450 PN25 - P/ ESGOTO</t>
  </si>
  <si>
    <t>I10697</t>
  </si>
  <si>
    <t>CURVA FoFo 45 FF DN 450 PN25 - P/ ÁGUA</t>
  </si>
  <si>
    <t>I13064</t>
  </si>
  <si>
    <t>CURVA FoFo 45 FF DN 500 PN16 - P/ ESGOTO</t>
  </si>
  <si>
    <t>I10683</t>
  </si>
  <si>
    <t>CURVA FoFo 45 FF DN 500 PN16 - P/ ÁGUA</t>
  </si>
  <si>
    <t>I13079</t>
  </si>
  <si>
    <t>CURVA FoFo 45 FF DN 500 PN25 - P/ ESGOTO</t>
  </si>
  <si>
    <t>I10698</t>
  </si>
  <si>
    <t>CURVA FoFo 45 FF DN 500 PN25 - P/ ÁGUA</t>
  </si>
  <si>
    <t>I13065</t>
  </si>
  <si>
    <t>CURVA FoFo 45 FF DN 600 PN16 - P/ ESGOTO</t>
  </si>
  <si>
    <t>I10684</t>
  </si>
  <si>
    <t>CURVA FoFo 45 FF DN 600 PN16 - P/ ÁGUA</t>
  </si>
  <si>
    <t>I13080</t>
  </si>
  <si>
    <t>CURVA FoFo 45 FF DN 600 PN25 - P/ ESGOTO</t>
  </si>
  <si>
    <t>I10699</t>
  </si>
  <si>
    <t>CURVA FoFo 45 FF DN 600 PN25 - P/ ÁGUA</t>
  </si>
  <si>
    <t>I13066</t>
  </si>
  <si>
    <t>CURVA FoFo 45 FF DN 700 PN16 - P/ ESGOTO</t>
  </si>
  <si>
    <t>I10685</t>
  </si>
  <si>
    <t>CURVA FoFo 45 FF DN 700 PN16 - P/ ÁGUA</t>
  </si>
  <si>
    <t>I13081</t>
  </si>
  <si>
    <t>CURVA FoFo 45 FF DN 700 PN25 - P/ ESGOTO</t>
  </si>
  <si>
    <t>I10700</t>
  </si>
  <si>
    <t>CURVA FoFo 45 FF DN 700 PN25 - P/ ÁGUA</t>
  </si>
  <si>
    <t>I13067</t>
  </si>
  <si>
    <t>CURVA FoFo 45 FF DN 800 PN16 - P/ ESGOTO</t>
  </si>
  <si>
    <t>I10686</t>
  </si>
  <si>
    <t>CURVA FoFo 45 FF DN 800 PN16 - P/ ÁGUA</t>
  </si>
  <si>
    <t>I13082</t>
  </si>
  <si>
    <t>CURVA FoFo 45 FF DN 800 PN25 - P/ ESGOTO</t>
  </si>
  <si>
    <t>I10701</t>
  </si>
  <si>
    <t>CURVA FoFo 45 FF DN 800 PN25 - P/ ÁGUA</t>
  </si>
  <si>
    <t>I13068</t>
  </si>
  <si>
    <t>CURVA FoFo 45 FF DN 900 PN16 - P/ ESGOTO</t>
  </si>
  <si>
    <t>I10687</t>
  </si>
  <si>
    <t>CURVA FoFo 45 FF DN 900 PN16 - P/ ÁGUA</t>
  </si>
  <si>
    <t>I13083</t>
  </si>
  <si>
    <t>CURVA FoFo 45 FF DN 900 PN25 - P/ ESGOTO</t>
  </si>
  <si>
    <t>I10702</t>
  </si>
  <si>
    <t>CURVA FoFo 45 FF DN 900 PN25 - P/ ÁGUA</t>
  </si>
  <si>
    <t>I3407</t>
  </si>
  <si>
    <t>CURVA FoFo 45 FF PARA ÁGUA DN   75 PN10</t>
  </si>
  <si>
    <t>I7118</t>
  </si>
  <si>
    <t>CURVA FoFo 45 FF PARA ÁGUA DN   80 PN10</t>
  </si>
  <si>
    <t>I3408</t>
  </si>
  <si>
    <t>CURVA FoFo 45 FF PARA ÁGUA DN  100 PN10</t>
  </si>
  <si>
    <t>I3409</t>
  </si>
  <si>
    <t>CURVA FoFo 45 FF PARA ÁGUA DN  150 PN10</t>
  </si>
  <si>
    <t>I3410</t>
  </si>
  <si>
    <t>CURVA FoFo 45 FF PARA ÁGUA DN  200 PN10</t>
  </si>
  <si>
    <t>I3411</t>
  </si>
  <si>
    <t>CURVA FoFo 45 FF PARA ÁGUA DN  250 PN10</t>
  </si>
  <si>
    <t>I3412</t>
  </si>
  <si>
    <t>CURVA FoFo 45 FF PARA ÁGUA DN  300 PN10</t>
  </si>
  <si>
    <t>I3413</t>
  </si>
  <si>
    <t>CURVA FoFo 45 FF PARA ÁGUA DN  350 PN10</t>
  </si>
  <si>
    <t>I3414</t>
  </si>
  <si>
    <t>CURVA FoFo 45 FF PARA ÁGUA DN  400 PN10</t>
  </si>
  <si>
    <t>I3415</t>
  </si>
  <si>
    <t>CURVA FoFo 45 FF PARA ÁGUA DN  450 PN10</t>
  </si>
  <si>
    <t>I3416</t>
  </si>
  <si>
    <t>CURVA FoFo 45 FF PARA ÁGUA DN  500 PN10</t>
  </si>
  <si>
    <t>I3417</t>
  </si>
  <si>
    <t>CURVA FoFo 45 FF PARA ÁGUA DN  600 PN10</t>
  </si>
  <si>
    <t>I3418</t>
  </si>
  <si>
    <t>CURVA FoFo 45 FF PARA ÁGUA DN  700 PN10</t>
  </si>
  <si>
    <t>I3419</t>
  </si>
  <si>
    <t>CURVA FoFo 45 FF PARA ÁGUA DN  800 PN10</t>
  </si>
  <si>
    <t>I3420</t>
  </si>
  <si>
    <t>CURVA FoFo 45 FF PARA ÁGUA DN  900 PN10</t>
  </si>
  <si>
    <t>I3421</t>
  </si>
  <si>
    <t>CURVA FoFo 45 FF PARA ÁGUA DN 1000 PN10</t>
  </si>
  <si>
    <t>I3422</t>
  </si>
  <si>
    <t>CURVA FoFo 45 FF PARA ÁGUA DN 1200 PN10</t>
  </si>
  <si>
    <t>I9313</t>
  </si>
  <si>
    <t>CURVA FoFo 45 JTE DN  300 - P/ ESGOTO</t>
  </si>
  <si>
    <t>I9314</t>
  </si>
  <si>
    <t>CURVA FoFo 45 JTE DN  350 - P/ ESGOTO</t>
  </si>
  <si>
    <t>I9315</t>
  </si>
  <si>
    <t>CURVA FoFo 45 JTE DN  400 - P/ ESGOTO</t>
  </si>
  <si>
    <t>I9316</t>
  </si>
  <si>
    <t>CURVA FoFo 45 JTE DN  500 - P/ ESGOTO</t>
  </si>
  <si>
    <t>I9317</t>
  </si>
  <si>
    <t>CURVA FoFo 45 JTE DN  600 - P/ ESGOTO</t>
  </si>
  <si>
    <t>I9318</t>
  </si>
  <si>
    <t>CURVA FoFo 45 JTE DN  700 - P/ ESGOTO</t>
  </si>
  <si>
    <t>I9319</t>
  </si>
  <si>
    <t>CURVA FoFo 45 JTE DN  800 - P/ ESGOTO</t>
  </si>
  <si>
    <t>I9320</t>
  </si>
  <si>
    <t>CURVA FoFo 45 JTE DN  900 - P/ ESGOTO</t>
  </si>
  <si>
    <t>I9321</t>
  </si>
  <si>
    <t>CURVA FoFo 45 JTE DN 1000 - P/ ESGOTO</t>
  </si>
  <si>
    <t>I9322</t>
  </si>
  <si>
    <t>CURVA FoFo 45 JTE DN 1200 - P/ ESGOTO</t>
  </si>
  <si>
    <t>I13086</t>
  </si>
  <si>
    <t>CURVA FoFo 45 JTE DN 450 - P/ ESGOTO</t>
  </si>
  <si>
    <t>I7648</t>
  </si>
  <si>
    <t>CURVA FoFo 45 JTE PARA ÁGUA DN  300</t>
  </si>
  <si>
    <t>I7649</t>
  </si>
  <si>
    <t>CURVA FoFo 45 JTE PARA ÁGUA DN  350</t>
  </si>
  <si>
    <t>I7650</t>
  </si>
  <si>
    <t>CURVA FoFo 45 JTE PARA ÁGUA DN  400</t>
  </si>
  <si>
    <t>I10705</t>
  </si>
  <si>
    <t>CURVA FoFo 45 JTE PARA ÁGUA DN  450</t>
  </si>
  <si>
    <t>I7651</t>
  </si>
  <si>
    <t>CURVA FoFo 45 JTE PARA ÁGUA DN  500</t>
  </si>
  <si>
    <t>I7652</t>
  </si>
  <si>
    <t>CURVA FoFo 45 JTE PARA ÁGUA DN  600</t>
  </si>
  <si>
    <t>I7653</t>
  </si>
  <si>
    <t>CURVA FoFo 45 JTE PARA ÁGUA DN  700</t>
  </si>
  <si>
    <t>I7654</t>
  </si>
  <si>
    <t>CURVA FoFo 45 JTE PARA ÁGUA DN  800</t>
  </si>
  <si>
    <t>I7655</t>
  </si>
  <si>
    <t>CURVA FoFo 45 JTE PARA ÁGUA DN  900</t>
  </si>
  <si>
    <t>I7656</t>
  </si>
  <si>
    <t>CURVA FoFo 45 JTE PARA ÁGUA DN 1000</t>
  </si>
  <si>
    <t>I7657</t>
  </si>
  <si>
    <t>CURVA FoFo 45 JTE PARA ÁGUA DN 1200</t>
  </si>
  <si>
    <t>I13088</t>
  </si>
  <si>
    <t>CURVA FoFo 45 JTI PARA ESGOTO DN  100</t>
  </si>
  <si>
    <t>I13089</t>
  </si>
  <si>
    <t>CURVA FoFo 45 JTI PARA ESGOTO DN  150</t>
  </si>
  <si>
    <t>I13090</t>
  </si>
  <si>
    <t>CURVA FoFo 45 JTI PARA ESGOTO DN  200</t>
  </si>
  <si>
    <t>I13091</t>
  </si>
  <si>
    <t>CURVA FoFo 45 JTI PARA ESGOTO DN  250</t>
  </si>
  <si>
    <t>I13092</t>
  </si>
  <si>
    <t>CURVA FoFo 45 JTI PARA ESGOTO DN  300</t>
  </si>
  <si>
    <t>I13087</t>
  </si>
  <si>
    <t>CURVA FoFo 45 JTI PARA ESGOTO DN  80</t>
  </si>
  <si>
    <t>I9323</t>
  </si>
  <si>
    <t>CURVA FoFo 90 FF DN   50 PN10 - P/ ESGOTO</t>
  </si>
  <si>
    <t>I9324</t>
  </si>
  <si>
    <t>CURVA FoFo 90 FF DN   75 PN10 - P/ ESGOTO</t>
  </si>
  <si>
    <t>I9325</t>
  </si>
  <si>
    <t>CURVA FoFo 90 FF DN   80 PN10 - P/ ESGOTO</t>
  </si>
  <si>
    <t>I9326</t>
  </si>
  <si>
    <t>CURVA FoFo 90 FF DN  100 PN10 - P/ ESGOTO</t>
  </si>
  <si>
    <t>I9327</t>
  </si>
  <si>
    <t>CURVA FoFo 90 FF DN  150 PN10 - P/ ESGOTO</t>
  </si>
  <si>
    <t>I9328</t>
  </si>
  <si>
    <t>CURVA FoFo 90 FF DN  200 PN10 - P/ ESGOTO</t>
  </si>
  <si>
    <t>I9329</t>
  </si>
  <si>
    <t>CURVA FoFo 90 FF DN  250 PN10 - P/ ESGOTO</t>
  </si>
  <si>
    <t>I9330</t>
  </si>
  <si>
    <t>CURVA FoFo 90 FF DN  300 PN10 - P/ ESGOTO</t>
  </si>
  <si>
    <t>I9331</t>
  </si>
  <si>
    <t>CURVA FoFo 90 FF DN  350 PN10 - P/ ESGOTO</t>
  </si>
  <si>
    <t>I9332</t>
  </si>
  <si>
    <t>CURVA FoFo 90 FF DN  400 PN10 - P/ ESGOTO</t>
  </si>
  <si>
    <t>I9333</t>
  </si>
  <si>
    <t>CURVA FoFo 90 FF DN  450 PN10 - P/ ESGOTO</t>
  </si>
  <si>
    <t>I9334</t>
  </si>
  <si>
    <t>CURVA FoFo 90 FF DN  500 PN10 - P/ ESGOTO</t>
  </si>
  <si>
    <t>I9335</t>
  </si>
  <si>
    <t>CURVA FoFo 90 FF DN  600 PN10 - P/ ESGOTO</t>
  </si>
  <si>
    <t>I9336</t>
  </si>
  <si>
    <t>CURVA FoFo 90 FF DN  700 PN10 - P/ ESGOTO</t>
  </si>
  <si>
    <t>I9337</t>
  </si>
  <si>
    <t>CURVA FoFo 90 FF DN  800 PN10 - P/ ESGOTO</t>
  </si>
  <si>
    <t>I9338</t>
  </si>
  <si>
    <t>CURVA FoFo 90 FF DN  900 PN10 - P/ ESGOTO</t>
  </si>
  <si>
    <t>I13106</t>
  </si>
  <si>
    <t>CURVA FoFo 90 FF DN 100 PN25/40 - P/ ESGOTO</t>
  </si>
  <si>
    <t>I10719</t>
  </si>
  <si>
    <t>CURVA FoFo 90 FF DN 100 PN25/40 - P/ ÁGUA</t>
  </si>
  <si>
    <t>I9339</t>
  </si>
  <si>
    <t>CURVA FoFo 90 FF DN 1000 PN10 - P/ ESGOTO</t>
  </si>
  <si>
    <t>I13104</t>
  </si>
  <si>
    <t>CURVA FoFo 90 FF DN 1000 PN16 - P/ ESGOTO</t>
  </si>
  <si>
    <t>I10717</t>
  </si>
  <si>
    <t>CURVA FoFo 90 FF DN 1000 PN16 - P/ ÁGUA</t>
  </si>
  <si>
    <t>I13119</t>
  </si>
  <si>
    <t>CURVA FoFo 90 FF DN 1000 PN25 - P/ ESGOTO</t>
  </si>
  <si>
    <t>I10732</t>
  </si>
  <si>
    <t>CURVA FoFo 90 FF DN 1000 PN25 - P/ ÁGUA</t>
  </si>
  <si>
    <t>I9340</t>
  </si>
  <si>
    <t>CURVA FoFo 90 FF DN 1200 PN10 - P/ ESGOTO</t>
  </si>
  <si>
    <t>I13105</t>
  </si>
  <si>
    <t>CURVA FoFo 90 FF DN 1200 PN16 - P/ ESGOTO</t>
  </si>
  <si>
    <t>I10718</t>
  </si>
  <si>
    <t>CURVA FoFo 90 FF DN 1200 PN16 - P/ ÁGUA</t>
  </si>
  <si>
    <t>I13120</t>
  </si>
  <si>
    <t>CURVA FoFo 90 FF DN 1200 PN25 - P/ ESGOTO</t>
  </si>
  <si>
    <t>I10733</t>
  </si>
  <si>
    <t>CURVA FoFo 90 FF DN 1200 PN25 - P/ ÁGUA</t>
  </si>
  <si>
    <t>I13107</t>
  </si>
  <si>
    <t>CURVA FoFo 90 FF DN 150 PN25 - P/ ESGOTO</t>
  </si>
  <si>
    <t>I10720</t>
  </si>
  <si>
    <t>CURVA FoFo 90 FF DN 150 PN25 - P/ ÁGUA</t>
  </si>
  <si>
    <t>I13093</t>
  </si>
  <si>
    <t>CURVA FoFo 90 FF DN 200 PN16 - P/ ESGOTO</t>
  </si>
  <si>
    <t>I10706</t>
  </si>
  <si>
    <t>CURVA FoFo 90 FF DN 200 PN16 - P/ ÁGUA</t>
  </si>
  <si>
    <t>I13108</t>
  </si>
  <si>
    <t>CURVA FoFo 90 FF DN 200 PN25 - P/ ESGOTO</t>
  </si>
  <si>
    <t>I10721</t>
  </si>
  <si>
    <t>CURVA FoFo 90 FF DN 200 PN25 - P/ ÁGUA</t>
  </si>
  <si>
    <t>I13094</t>
  </si>
  <si>
    <t>CURVA FoFo 90 FF DN 250 PN16 - P/ ESGOTO</t>
  </si>
  <si>
    <t>I10707</t>
  </si>
  <si>
    <t>CURVA FoFo 90 FF DN 250 PN16 - P/ ÁGUA</t>
  </si>
  <si>
    <t>I13109</t>
  </si>
  <si>
    <t>CURVA FoFo 90 FF DN 250 PN25 - P/ ESGOTO</t>
  </si>
  <si>
    <t>I10722</t>
  </si>
  <si>
    <t>CURVA FoFo 90 FF DN 250 PN25 - P/ ÁGUA</t>
  </si>
  <si>
    <t>I13095</t>
  </si>
  <si>
    <t>CURVA FoFo 90 FF DN 300 PN16 - P/ ESGOTO</t>
  </si>
  <si>
    <t>I10708</t>
  </si>
  <si>
    <t>CURVA FoFo 90 FF DN 300 PN16 - P/ ÁGUA</t>
  </si>
  <si>
    <t>I13110</t>
  </si>
  <si>
    <t>CURVA FoFo 90 FF DN 300 PN25 - P/ ESGOTO</t>
  </si>
  <si>
    <t>I10723</t>
  </si>
  <si>
    <t>CURVA FoFo 90 FF DN 300 PN25 - P/ ÁGUA</t>
  </si>
  <si>
    <t>I13096</t>
  </si>
  <si>
    <t>CURVA FoFo 90 FF DN 350 PN16 - P/ ESGOTO</t>
  </si>
  <si>
    <t>I10709</t>
  </si>
  <si>
    <t>CURVA FoFo 90 FF DN 350 PN16 - P/ ÁGUA</t>
  </si>
  <si>
    <t>I13111</t>
  </si>
  <si>
    <t>CURVA FoFo 90 FF DN 350 PN25 - P/ ESGOTO</t>
  </si>
  <si>
    <t>I10724</t>
  </si>
  <si>
    <t>CURVA FoFo 90 FF DN 350 PN25 - P/ ÁGUA</t>
  </si>
  <si>
    <t>I13097</t>
  </si>
  <si>
    <t>CURVA FoFo 90 FF DN 400 PN16 - P/ ESGOTO</t>
  </si>
  <si>
    <t>I10710</t>
  </si>
  <si>
    <t>CURVA FoFo 90 FF DN 400 PN16 - P/ ÁGUA</t>
  </si>
  <si>
    <t>I13112</t>
  </si>
  <si>
    <t>CURVA FoFo 90 FF DN 400 PN25 - P/ ESGOTO</t>
  </si>
  <si>
    <t>I10725</t>
  </si>
  <si>
    <t>CURVA FoFo 90 FF DN 400 PN25 - P/ ÁGUA</t>
  </si>
  <si>
    <t>I13098</t>
  </si>
  <si>
    <t>CURVA FoFo 90 FF DN 450 PN16 - P/ ESGOTO</t>
  </si>
  <si>
    <t>I10711</t>
  </si>
  <si>
    <t>CURVA FoFo 90 FF DN 450 PN16 - P/ ÁGUA</t>
  </si>
  <si>
    <t>I13113</t>
  </si>
  <si>
    <t>CURVA FoFo 90 FF DN 450 PN25 - P/ ESGOTO</t>
  </si>
  <si>
    <t>I10726</t>
  </si>
  <si>
    <t>CURVA FoFo 90 FF DN 450 PN25 - P/ ÁGUA</t>
  </si>
  <si>
    <t>I13099</t>
  </si>
  <si>
    <t>CURVA FoFo 90 FF DN 500 PN16 - P/ ESGOTO</t>
  </si>
  <si>
    <t>I10712</t>
  </si>
  <si>
    <t>CURVA FoFo 90 FF DN 500 PN16 - P/ ÁGUA</t>
  </si>
  <si>
    <t>I13114</t>
  </si>
  <si>
    <t>CURVA FoFo 90 FF DN 500 PN25 - P/ ESGOTO</t>
  </si>
  <si>
    <t>I10727</t>
  </si>
  <si>
    <t>CURVA FoFo 90 FF DN 500 PN25 - P/ ÁGUA</t>
  </si>
  <si>
    <t>I13100</t>
  </si>
  <si>
    <t>CURVA FoFo 90 FF DN 600 PN16 - P/ ESGOTO</t>
  </si>
  <si>
    <t>I10713</t>
  </si>
  <si>
    <t>CURVA FoFo 90 FF DN 600 PN16 - P/ ÁGUA</t>
  </si>
  <si>
    <t>I13115</t>
  </si>
  <si>
    <t>CURVA FoFo 90 FF DN 600 PN25 - P/ ESGOTO</t>
  </si>
  <si>
    <t>I10728</t>
  </si>
  <si>
    <t>CURVA FoFo 90 FF DN 600 PN25 - P/ ÁGUA</t>
  </si>
  <si>
    <t>I13101</t>
  </si>
  <si>
    <t>CURVA FoFo 90 FF DN 700 PN16 - P/ ESGOTO</t>
  </si>
  <si>
    <t>I10714</t>
  </si>
  <si>
    <t>CURVA FoFo 90 FF DN 700 PN16 - P/ ÁGUA</t>
  </si>
  <si>
    <t>I13116</t>
  </si>
  <si>
    <t>CURVA FoFo 90 FF DN 700 PN25 - P/ ESGOTO</t>
  </si>
  <si>
    <t>I10729</t>
  </si>
  <si>
    <t>CURVA FoFo 90 FF DN 700 PN25 - P/ ÁGUA</t>
  </si>
  <si>
    <t>I13102</t>
  </si>
  <si>
    <t>CURVA FoFo 90 FF DN 800 PN16 - P/ ESGOTO</t>
  </si>
  <si>
    <t>I10715</t>
  </si>
  <si>
    <t>CURVA FoFo 90 FF DN 800 PN16 - P/ ÁGUA</t>
  </si>
  <si>
    <t>I13117</t>
  </si>
  <si>
    <t>CURVA FoFo 90 FF DN 800 PN25 - P/ ESGOTO</t>
  </si>
  <si>
    <t>I10730</t>
  </si>
  <si>
    <t>CURVA FoFo 90 FF DN 800 PN25 - P/ ÁGUA</t>
  </si>
  <si>
    <t>I13103</t>
  </si>
  <si>
    <t>CURVA FoFo 90 FF DN 900 PN16 - P/ ESGOTO</t>
  </si>
  <si>
    <t>I10716</t>
  </si>
  <si>
    <t>CURVA FoFo 90 FF DN 900 PN16 - P/ ÁGUA</t>
  </si>
  <si>
    <t>I13118</t>
  </si>
  <si>
    <t>CURVA FoFo 90 FF DN 900 PN25 - P/ ESGOTO</t>
  </si>
  <si>
    <t>I10731</t>
  </si>
  <si>
    <t>CURVA FoFo 90 FF DN 900 PN25 - P/ ÁGUA</t>
  </si>
  <si>
    <t>I3423</t>
  </si>
  <si>
    <t>CURVA FoFo 90 FF PARA ÁGUA DN    50 PN10</t>
  </si>
  <si>
    <t>I3424</t>
  </si>
  <si>
    <t>CURVA FoFo 90 FF PARA ÁGUA DN    75 PN10</t>
  </si>
  <si>
    <t>I7119</t>
  </si>
  <si>
    <t>CURVA FoFo 90 FF PARA ÁGUA DN    80 PN10</t>
  </si>
  <si>
    <t>I3425</t>
  </si>
  <si>
    <t>CURVA FoFo 90 FF PARA ÁGUA DN   100 PN10</t>
  </si>
  <si>
    <t>I3426</t>
  </si>
  <si>
    <t>CURVA FoFo 90 FF PARA ÁGUA DN   150 PN10</t>
  </si>
  <si>
    <t>I3427</t>
  </si>
  <si>
    <t>CURVA FoFo 90 FF PARA ÁGUA DN   200 PN10</t>
  </si>
  <si>
    <t>I3428</t>
  </si>
  <si>
    <t>CURVA FoFo 90 FF PARA ÁGUA DN   250 PN10</t>
  </si>
  <si>
    <t>I3429</t>
  </si>
  <si>
    <t>CURVA FoFo 90 FF PARA ÁGUA DN   300 PN10</t>
  </si>
  <si>
    <t>I3430</t>
  </si>
  <si>
    <t>CURVA FoFo 90 FF PARA ÁGUA DN   350 PN10</t>
  </si>
  <si>
    <t>I3431</t>
  </si>
  <si>
    <t>CURVA FoFo 90 FF PARA ÁGUA DN   400 PN10</t>
  </si>
  <si>
    <t>I3432</t>
  </si>
  <si>
    <t>CURVA FoFo 90 FF PARA ÁGUA DN   450 PN10</t>
  </si>
  <si>
    <t>I3433</t>
  </si>
  <si>
    <t>CURVA FoFo 90 FF PARA ÁGUA DN   500 PN10</t>
  </si>
  <si>
    <t>I3434</t>
  </si>
  <si>
    <t>CURVA FoFo 90 FF PARA ÁGUA DN   600 PN10</t>
  </si>
  <si>
    <t>I3435</t>
  </si>
  <si>
    <t>CURVA FoFo 90 FF PARA ÁGUA DN   700 PN10</t>
  </si>
  <si>
    <t>I3436</t>
  </si>
  <si>
    <t>CURVA FoFo 90 FF PARA ÁGUA DN  800 PN10</t>
  </si>
  <si>
    <t>I3437</t>
  </si>
  <si>
    <t>CURVA FoFo 90 FF PARA ÁGUA DN  900 PN10</t>
  </si>
  <si>
    <t>I3438</t>
  </si>
  <si>
    <t>CURVA FoFo 90 FF PARA ÁGUA DN 1000 PN10</t>
  </si>
  <si>
    <t>I3439</t>
  </si>
  <si>
    <t>CURVA FoFo 90 FF PARA ÁGUA DN 1200 PN10</t>
  </si>
  <si>
    <t>I13122</t>
  </si>
  <si>
    <t>CURVA FoFo 90 JTE DN 1000 - P/ ESGOTO</t>
  </si>
  <si>
    <t>I13123</t>
  </si>
  <si>
    <t>CURVA FoFo 90 JTE DN 1200 - P/ ESGOTO</t>
  </si>
  <si>
    <t>I9341</t>
  </si>
  <si>
    <t>CURVA FoFo 90 JTE DN 300 - P/ ESGOTO</t>
  </si>
  <si>
    <t>I9342</t>
  </si>
  <si>
    <t>CURVA FoFo 90 JTE DN 350 - P/ ESGOTO</t>
  </si>
  <si>
    <t>I13121</t>
  </si>
  <si>
    <t>CURVA FoFo 90 JTE DN 450 - P/ ESGOTO</t>
  </si>
  <si>
    <t>I9344</t>
  </si>
  <si>
    <t>CURVA FoFo 90 JTE DN 500 - P/ ESGOTO</t>
  </si>
  <si>
    <t>I9345</t>
  </si>
  <si>
    <t>CURVA FoFo 90 JTE DN 600 - P/ ESGOTO</t>
  </si>
  <si>
    <t>I10735</t>
  </si>
  <si>
    <t>CURVA FoFo 90 JTE PARA ÁGUA DN 1000</t>
  </si>
  <si>
    <t>I10736</t>
  </si>
  <si>
    <t>CURVA FoFo 90 JTE PARA ÁGUA DN 1200</t>
  </si>
  <si>
    <t>I7658</t>
  </si>
  <si>
    <t>CURVA FoFo 90 JTE PARA ÁGUA DN 300</t>
  </si>
  <si>
    <t>I7659</t>
  </si>
  <si>
    <t>CURVA FoFo 90 JTE PARA ÁGUA DN 350</t>
  </si>
  <si>
    <t>I7660</t>
  </si>
  <si>
    <t>CURVA FoFo 90 JTE PARA ÁGUA DN 400</t>
  </si>
  <si>
    <t>I10734</t>
  </si>
  <si>
    <t>CURVA FoFo 90 JTE PARA ÁGUA DN 450</t>
  </si>
  <si>
    <t>I7661</t>
  </si>
  <si>
    <t>CURVA FoFo 90 JTE PARA ÁGUA DN 500</t>
  </si>
  <si>
    <t>I7662</t>
  </si>
  <si>
    <t>CURVA FoFo 90 JTE PARA ÁGUA DN 600</t>
  </si>
  <si>
    <t>I13125</t>
  </si>
  <si>
    <t>CURVA FoFo 90 JTI PARA ESGOTO DN  100</t>
  </si>
  <si>
    <t>I13126</t>
  </si>
  <si>
    <t>CURVA FoFo 90 JTI PARA ESGOTO DN  150</t>
  </si>
  <si>
    <t>I13127</t>
  </si>
  <si>
    <t>CURVA FoFo 90 JTI PARA ESGOTO DN  200</t>
  </si>
  <si>
    <t>I13128</t>
  </si>
  <si>
    <t>CURVA FoFo 90 JTI PARA ESGOTO DN  250</t>
  </si>
  <si>
    <t>I13129</t>
  </si>
  <si>
    <t>CURVA FoFo 90 JTI PARA ESGOTO DN  300</t>
  </si>
  <si>
    <t>I13124</t>
  </si>
  <si>
    <t>CURVA FoFo 90 JTI PARA ESGOTO DN  80</t>
  </si>
  <si>
    <t>I9753</t>
  </si>
  <si>
    <t>CURVA PVC SOLDÁVEL 50 MM</t>
  </si>
  <si>
    <t>I7066</t>
  </si>
  <si>
    <t>CÂMARA DE CARGA PARA FILTRO DIMENSÃO 0,40 x 5,80m</t>
  </si>
  <si>
    <t>I6296</t>
  </si>
  <si>
    <t>CÂMARA DE CARGA PARA FILTRO DIMENSÃO 0,70 x 6,40m</t>
  </si>
  <si>
    <t>I6297</t>
  </si>
  <si>
    <t>CÂMARA DE CARGA PARA FILTRO DIMENSÃO 1,00 x 6,50m</t>
  </si>
  <si>
    <t>I6298</t>
  </si>
  <si>
    <t>CÂMARA DE CARGA PARA FILTRO DIMENSÃO 1,50 x 6,80m</t>
  </si>
  <si>
    <t>I6299</t>
  </si>
  <si>
    <t>CÂMARA DE CARGA PARA FILTRO DIMENSÃO 2,00 x 6,80m</t>
  </si>
  <si>
    <t>I6072</t>
  </si>
  <si>
    <t>CÂMARA DE DECANTAÇÃO P/DECANTO DIGESTOR, D = 2,00M</t>
  </si>
  <si>
    <t>I6073</t>
  </si>
  <si>
    <t>CÂMARA DE DECANTAÇÃO P/DECANTO DIGESTOR, D = 2,50M</t>
  </si>
  <si>
    <t>I6074</t>
  </si>
  <si>
    <t>CÂMARA DE DECANTAÇÃO P/DECANTO DIGESTOR, D = 3,00M</t>
  </si>
  <si>
    <t>I6075</t>
  </si>
  <si>
    <t>CÂMARA DE DECANTAÇÃO P/DECANTO DIGESTOR, D = 3,50M</t>
  </si>
  <si>
    <t>I6414</t>
  </si>
  <si>
    <t>CÂMARA DE DECANTAÇÃO P/DECANTO DIGESTOR, D=5,00m</t>
  </si>
  <si>
    <t>I9604</t>
  </si>
  <si>
    <t>CÂMARA DE QUEIMA COM COLUNA DE QUEIMA, PAINEL DE COMANDO ELETRICO, DRENAGEM MANUAL DO CONDENSADO, CORTA-CHAMAS PILOTO DO BIOGÁS E DA LINHA PRINCIPAL, VÁLVULA DE ALÍVIO REGULADORA DE PRESSÃO, VÁLVULA DE ESFERA DE BLOQUEIO DO PILOTO DO BIOGÁS</t>
  </si>
  <si>
    <t>I9167</t>
  </si>
  <si>
    <t>DESINCRUSTANTE PARA LIMPEZA QUÍMICA CAUSADA POR CABONATOS, SILICATOS E ÓXIDO DE FERRO, ELIMINANDO ALGAS E BACTÉRIAS</t>
  </si>
  <si>
    <t>I8874</t>
  </si>
  <si>
    <t>DETECTOR DE GÁS CLORO PARA EMERGÊNCIAS</t>
  </si>
  <si>
    <t>I9754</t>
  </si>
  <si>
    <t>DIFUSOR DE AR TIPO BOLHA FINA 9"</t>
  </si>
  <si>
    <t>I6489</t>
  </si>
  <si>
    <t>DISJUNTOR MONOPOLAR 2A</t>
  </si>
  <si>
    <t>I6490</t>
  </si>
  <si>
    <t>DISJUNTOR MONOPOLAR 4A</t>
  </si>
  <si>
    <t>I6491</t>
  </si>
  <si>
    <t>DISJUNTOR MONOPOLAR 6A</t>
  </si>
  <si>
    <t>I9755</t>
  </si>
  <si>
    <t>DISJUNTOR MOTOR 10-16A ( 380V) SOBRECARGA E CURTO CIRCUITO</t>
  </si>
  <si>
    <t>I9756</t>
  </si>
  <si>
    <t>DISJUNTOR MOTOR MPW40-3-U016 (10A16A)</t>
  </si>
  <si>
    <t>I9757</t>
  </si>
  <si>
    <t>DISPLAY INVERSOR</t>
  </si>
  <si>
    <t>I8875</t>
  </si>
  <si>
    <t>DISPOSITIVO DIFERENCIAL RESIDUAL TETRAPOLAR 25A, SENSIBILIDADE 300mA 380V</t>
  </si>
  <si>
    <t>I8876</t>
  </si>
  <si>
    <t>DISPOSITIVO DPS 1 FASE, REDE TN-S/TT 240VAC, CLASSES 1 E 2 INTEGRADOS</t>
  </si>
  <si>
    <t>I8877</t>
  </si>
  <si>
    <t>DISPOSITIVO DPS P/ REDE DE SINAL 4-20MA</t>
  </si>
  <si>
    <t>I8878</t>
  </si>
  <si>
    <t>DISPOSITIVO DPS P/ REDE PROFIBUS</t>
  </si>
  <si>
    <t>I8879</t>
  </si>
  <si>
    <t>DOSADOR DE CLORO GÁS MANUAL (26KG/DIA)</t>
  </si>
  <si>
    <t>I9758</t>
  </si>
  <si>
    <t>DOSADOR DE CLORO PASTILHA</t>
  </si>
  <si>
    <t>I8954</t>
  </si>
  <si>
    <t>ELETRODO DE NÍVEL EM AÇO INOX</t>
  </si>
  <si>
    <t>I6277</t>
  </si>
  <si>
    <t>ELETRODUTO FLEXÍVEL SEALTUBE DN 1"</t>
  </si>
  <si>
    <t>I6279</t>
  </si>
  <si>
    <t>ELETRODUTO FLEXÍVEL SEALTUBE DN 3/4"</t>
  </si>
  <si>
    <t>I6242</t>
  </si>
  <si>
    <t>EQUIPAMENTO P/ CLORAÇÃO, CLORADOR DE PASTILHAS, TIPO SANY-CLOR 5000 INCL. INSTALAÇÃO</t>
  </si>
  <si>
    <t>I7433</t>
  </si>
  <si>
    <t>EQUIPAMENTO P/ CLORAÇÃO, PASTILHAS TIPO CLOROPLAST 1040</t>
  </si>
  <si>
    <t>I13149</t>
  </si>
  <si>
    <t>I13148</t>
  </si>
  <si>
    <t>I13147</t>
  </si>
  <si>
    <t>I13146</t>
  </si>
  <si>
    <t>I9061</t>
  </si>
  <si>
    <t>I9062</t>
  </si>
  <si>
    <t>I9146</t>
  </si>
  <si>
    <t>ESTAÇÃO DE TRATAMENTO DE ESGOTO (ETE), VAZÃO DE 10,00 M3/DIA, CONFECCIONADA EM POLIESTER REFORÇADA E FIBRA DE VIDRO, INCLUINDO GRADEAMENTO, REATOR ANAERÓBIO, REATOR AERÓBIO, MÓDULO DE DECANTAÇÃO, BOMBA DOSADORA E TANQUES DE SOLUÇÃO MÃE, SOPRADORES COM POTÊNCIA INSTALADA DE 3,0CV CADA, PAINEL DE COMANDO ELÉTRICO, PLACAS DE AERAÇÃO EM P.U, DIFUSORES, TUBOS E CONEXÕES EM PVC, TAMPAS DOS BOCAIS DE INSPEÇÃO EM FIBRA DE VIDRO, LEITO SUPORTE PARA O REATOR AERÓBIO (FORNECIMENTO, MONTAGEM E TREINAMENTO)</t>
  </si>
  <si>
    <t>I9147</t>
  </si>
  <si>
    <t>ESTAÇÃO DE TRATAMENTO DE ESGOTO (ETE), VAZÃO DE 15,00 M3/DIA, CONFECCIONADA EM POLIESTER REFORÇADA E FIBRA DE VIDRO, INCLUINDO GRADEAMENTO, REATOR ANAERÓBIO, REATOR AERÓBIO, MÓDULO DE DECANTAÇÃO, BOMBA DOSADORA E TANQUES DE SOLUÇÃO MÃE, SOPRADORES COM POTÊNCIA INSTALADA DE 3,0CV CADA, PAINEL DE COMANDO ELÉTRICO, PLACAS DE AERAÇÃO EM P.U, DIFUSORES, TUBOS E CONEXÕES EM PVC, TAMPAS DOS BOCAIS DE INSPEÇÃO EM FIBRA DE VIDRO, LEITO SUPORTE PARA O REATOR AERÓBIO (FORNECIMENTO, MONTAGEM E TREINAMENTO)</t>
  </si>
  <si>
    <t>I9148</t>
  </si>
  <si>
    <t>ESTAÇÃO DE TRATAMENTO DE ESGOTO (ETE), VAZÃO DE 20,00 M3/DIA, CONFECCIONADA EM POLIESTER REFORÇADA E FIBRA DE VIDRO, INCLUINDO GRADEAMENTO, REATOR ANAERÓBIO, REATOR AERÓBIO, MÓDULO DE DECANTAÇÃO, BOMBA DOSADORA E TANQUES DE SOLUÇÃO MÃE, SOPRADORES COM POTÊNCIA INSTALADA DE 3,0CV CADA, PAINEL DE COMANDO ELÉTRICO, PLACAS DE AERAÇÃO EM P.U, DIFUSORES, TUBOS E CONEXÕES EM PVC, TAMPAS DOS BOCAIS DE INSPEÇÃO EM FIBRA DE VIDRO, LEITO SUPORTE PARA O REATOR AERÓBIO (FORNECIMENTO, MONTAGEM E TREINAMENTO)</t>
  </si>
  <si>
    <t>I13298</t>
  </si>
  <si>
    <t>ESTAÇÃO DE TRATAMENTO DE ESGOTO (ETE), VAZÃO DE 5,00 M3/DIA, CONFECCIONADA EM POLIESTER REFORÇADA E FIBRA DE VIDRO, INCLUINDO GRADEAMENTO, REATOR ANAERÓBIO, REATOR AERÓBIO, MÓDULO DE DECANTAÇÃO, BOMBA DOSADORA E TANQUES DE SOLUÇÃO MÃE, SOPRADORES COM POTÊNCIA INSTALADA DE 3,0CV CADA, PAINEL DE COMANDO ELÉTRICO, PLACAS DE AERAÇÃO EM P.U, DIFUSORES, TUBOS E CONEXÕES EM PVC, TAMPAS DOS BOCAIS DE INSPEÇÃO EM FIBRA DE VIDRO, LEITO SUPORTE PARA O REATOR AERÓBIO (FORNECIMENTO, MONTAGEM E TREINAMENTO)</t>
  </si>
  <si>
    <t>I9760</t>
  </si>
  <si>
    <t>ESTERILIZADOR DE ÁGUA UVC - Q=40M³/H, PRESSÃO MÁX=7,0KGF/CM², TENSÃO=127/220V, P=150W, CORPO REATOR EM AÇO INOX 304</t>
  </si>
  <si>
    <t>I9761</t>
  </si>
  <si>
    <t>ESTUFA AGRÍCOLA INCLUSIVE SISTEMA DE IRRIGAÇÃO POR MICROASPERSÃO</t>
  </si>
  <si>
    <t>I10473</t>
  </si>
  <si>
    <t>EXAUSTOR AXIAL 10CM – 220V</t>
  </si>
  <si>
    <t>I9762</t>
  </si>
  <si>
    <t>EXAUSTOR AXIAL AEROTEC</t>
  </si>
  <si>
    <t>I9763</t>
  </si>
  <si>
    <t>EXPANSÃO 4 ENTRADAS ANALÓGICAS +/- 10V, 0-20MA, 4-20MA+1 SAÍDA ANALÓGICA +/- 10V, 0-20MA, 4-20MA 12 BITS</t>
  </si>
  <si>
    <t>I6217</t>
  </si>
  <si>
    <t>EXTINTOR DE PO QUIMICO PRESSURIZADO DE 4KG</t>
  </si>
  <si>
    <t>I6218</t>
  </si>
  <si>
    <t>EXTINTOR DE PO QUIMICO PRESSURIZADO DE 6KG</t>
  </si>
  <si>
    <t>I3760</t>
  </si>
  <si>
    <t>EXTREMIDADE BF FLANGE JUNTA ELASTICA DN    75 PN10</t>
  </si>
  <si>
    <t>I7120</t>
  </si>
  <si>
    <t>EXTREMIDADE BF FLANGE JUNTA ELASTICA DN    80 PN10</t>
  </si>
  <si>
    <t>I3761</t>
  </si>
  <si>
    <t>EXTREMIDADE BF FLANGE JUNTA ELASTICA DN   100 PN10</t>
  </si>
  <si>
    <t>I3762</t>
  </si>
  <si>
    <t>EXTREMIDADE BF FLANGE JUNTA ELASTICA DN   150 PN10</t>
  </si>
  <si>
    <t>I3763</t>
  </si>
  <si>
    <t>EXTREMIDADE BF FLANGE JUNTA ELASTICA DN   200 PN10</t>
  </si>
  <si>
    <t>I3764</t>
  </si>
  <si>
    <t>EXTREMIDADE BF FLANGE JUNTA ELASTICA DN   250 PN10</t>
  </si>
  <si>
    <t>I3765</t>
  </si>
  <si>
    <t>EXTREMIDADE BF FLANGE JUNTA ELASTICA DN   300 PN 10</t>
  </si>
  <si>
    <t>I3766</t>
  </si>
  <si>
    <t>EXTREMIDADE BF FLANGE JUNTA ELASTICA DN   350 PN10</t>
  </si>
  <si>
    <t>I3767</t>
  </si>
  <si>
    <t>EXTREMIDADE BF FLANGE JUNTA ELASTICA DN   400 PN10</t>
  </si>
  <si>
    <t>I3768</t>
  </si>
  <si>
    <t>EXTREMIDADE BF FLANGE JUNTA ELASTICA DN   450 PN10</t>
  </si>
  <si>
    <t>I3769</t>
  </si>
  <si>
    <t>EXTREMIDADE BF FLANGE JUNTA ELASTICA DN   500 PN10</t>
  </si>
  <si>
    <t>I3770</t>
  </si>
  <si>
    <t>EXTREMIDADE BF FLANGE JUNTA ELASTICA DN   600 PN10</t>
  </si>
  <si>
    <t>I3771</t>
  </si>
  <si>
    <t>EXTREMIDADE BF FLANGE JUNTA ELASTICA DN   700 PN10</t>
  </si>
  <si>
    <t>I3772</t>
  </si>
  <si>
    <t>EXTREMIDADE BF FLANGE JUNTA ELASTICA DN   800 PN10</t>
  </si>
  <si>
    <t>I3773</t>
  </si>
  <si>
    <t>EXTREMIDADE BF FLANGE JUNTA ELASTICA DN   900 PN10</t>
  </si>
  <si>
    <t>I10750</t>
  </si>
  <si>
    <t>EXTREMIDADE BF FLANGE JUNTA ELASTICA DN 100 PN25/40</t>
  </si>
  <si>
    <t>I3774</t>
  </si>
  <si>
    <t>EXTREMIDADE BF FLANGE JUNTA ELASTICA DN 1000 PN10</t>
  </si>
  <si>
    <t>I10748</t>
  </si>
  <si>
    <t>EXTREMIDADE BF FLANGE JUNTA ELASTICA DN 1000 PN16</t>
  </si>
  <si>
    <t>I10763</t>
  </si>
  <si>
    <t>EXTREMIDADE BF FLANGE JUNTA ELASTICA DN 1000 PN25</t>
  </si>
  <si>
    <t>I3776</t>
  </si>
  <si>
    <t>EXTREMIDADE BF FLANGE JUNTA ELASTICA DN 1200 PN10</t>
  </si>
  <si>
    <t>I10749</t>
  </si>
  <si>
    <t>EXTREMIDADE BF FLANGE JUNTA ELASTICA DN 1200 PN16</t>
  </si>
  <si>
    <t>I10764</t>
  </si>
  <si>
    <t>EXTREMIDADE BF FLANGE JUNTA ELASTICA DN 1200 PN25</t>
  </si>
  <si>
    <t>I10751</t>
  </si>
  <si>
    <t>EXTREMIDADE BF FLANGE JUNTA ELASTICA DN 150 PN25</t>
  </si>
  <si>
    <t>I10737</t>
  </si>
  <si>
    <t>EXTREMIDADE BF FLANGE JUNTA ELASTICA DN 200 PN16</t>
  </si>
  <si>
    <t>I10752</t>
  </si>
  <si>
    <t>EXTREMIDADE BF FLANGE JUNTA ELASTICA DN 200 PN25</t>
  </si>
  <si>
    <t>I10738</t>
  </si>
  <si>
    <t>EXTREMIDADE BF FLANGE JUNTA ELASTICA DN 250 PN16</t>
  </si>
  <si>
    <t>I10753</t>
  </si>
  <si>
    <t>EXTREMIDADE BF FLANGE JUNTA ELASTICA DN 250 PN25</t>
  </si>
  <si>
    <t>I10739</t>
  </si>
  <si>
    <t>EXTREMIDADE BF FLANGE JUNTA ELASTICA DN 300 PN16</t>
  </si>
  <si>
    <t>I10754</t>
  </si>
  <si>
    <t>EXTREMIDADE BF FLANGE JUNTA ELASTICA DN 300 PN25</t>
  </si>
  <si>
    <t>I10740</t>
  </si>
  <si>
    <t>EXTREMIDADE BF FLANGE JUNTA ELASTICA DN 350 PN16</t>
  </si>
  <si>
    <t>I10755</t>
  </si>
  <si>
    <t>EXTREMIDADE BF FLANGE JUNTA ELASTICA DN 350 PN25</t>
  </si>
  <si>
    <t>I10741</t>
  </si>
  <si>
    <t>EXTREMIDADE BF FLANGE JUNTA ELASTICA DN 400 PN16</t>
  </si>
  <si>
    <t>I10756</t>
  </si>
  <si>
    <t>EXTREMIDADE BF FLANGE JUNTA ELASTICA DN 400 PN25</t>
  </si>
  <si>
    <t>I10742</t>
  </si>
  <si>
    <t>EXTREMIDADE BF FLANGE JUNTA ELASTICA DN 450 PN16</t>
  </si>
  <si>
    <t>I10757</t>
  </si>
  <si>
    <t>EXTREMIDADE BF FLANGE JUNTA ELASTICA DN 450 PN25</t>
  </si>
  <si>
    <t>I10743</t>
  </si>
  <si>
    <t>EXTREMIDADE BF FLANGE JUNTA ELASTICA DN 500 PN16</t>
  </si>
  <si>
    <t>I10758</t>
  </si>
  <si>
    <t>EXTREMIDADE BF FLANGE JUNTA ELASTICA DN 500 PN25</t>
  </si>
  <si>
    <t>I10744</t>
  </si>
  <si>
    <t>EXTREMIDADE BF FLANGE JUNTA ELASTICA DN 600 PN16</t>
  </si>
  <si>
    <t>I10759</t>
  </si>
  <si>
    <t>EXTREMIDADE BF FLANGE JUNTA ELASTICA DN 600 PN25</t>
  </si>
  <si>
    <t>I10745</t>
  </si>
  <si>
    <t>EXTREMIDADE BF FLANGE JUNTA ELASTICA DN 700 PN16</t>
  </si>
  <si>
    <t>I10760</t>
  </si>
  <si>
    <t>EXTREMIDADE BF FLANGE JUNTA ELASTICA DN 700 PN25</t>
  </si>
  <si>
    <t>I10746</t>
  </si>
  <si>
    <t>EXTREMIDADE BF FLANGE JUNTA ELASTICA DN 800 PN16</t>
  </si>
  <si>
    <t>I10761</t>
  </si>
  <si>
    <t>EXTREMIDADE BF FLANGE JUNTA ELASTICA DN 800 PN25</t>
  </si>
  <si>
    <t>I10747</t>
  </si>
  <si>
    <t>EXTREMIDADE BF FLANGE JUNTA ELASTICA DN 900 PN16</t>
  </si>
  <si>
    <t>I10762</t>
  </si>
  <si>
    <t>EXTREMIDADE BF FLANGE JUNTA ELASTICA DN 900 PN25</t>
  </si>
  <si>
    <t>I7663</t>
  </si>
  <si>
    <t>EXTREMIDADE FJTE DN  300 PN10</t>
  </si>
  <si>
    <t>I7674</t>
  </si>
  <si>
    <t>EXTREMIDADE FJTE DN  300 PN16</t>
  </si>
  <si>
    <t>I7684</t>
  </si>
  <si>
    <t>EXTREMIDADE FJTE DN  300 PN25</t>
  </si>
  <si>
    <t>I7664</t>
  </si>
  <si>
    <t>EXTREMIDADE FJTE DN  350 PN10</t>
  </si>
  <si>
    <t>I7675</t>
  </si>
  <si>
    <t>EXTREMIDADE FJTE DN  350 PN16</t>
  </si>
  <si>
    <t>I7685</t>
  </si>
  <si>
    <t>EXTREMIDADE FJTE DN  350 PN25</t>
  </si>
  <si>
    <t>I7665</t>
  </si>
  <si>
    <t>EXTREMIDADE FJTE DN  400 PN10</t>
  </si>
  <si>
    <t>I7676</t>
  </si>
  <si>
    <t>EXTREMIDADE FJTE DN  400 PN16</t>
  </si>
  <si>
    <t>I7686</t>
  </si>
  <si>
    <t>EXTREMIDADE FJTE DN  400 PN25</t>
  </si>
  <si>
    <t>I7666</t>
  </si>
  <si>
    <t>EXTREMIDADE FJTE DN  450 PN10</t>
  </si>
  <si>
    <t>I7667</t>
  </si>
  <si>
    <t>EXTREMIDADE FJTE DN  500 PN10</t>
  </si>
  <si>
    <t>I7677</t>
  </si>
  <si>
    <t>EXTREMIDADE FJTE DN  500 PN16</t>
  </si>
  <si>
    <t>I7687</t>
  </si>
  <si>
    <t>EXTREMIDADE FJTE DN  500 PN25</t>
  </si>
  <si>
    <t>I7668</t>
  </si>
  <si>
    <t>EXTREMIDADE FJTE DN  600 PN10</t>
  </si>
  <si>
    <t>I7678</t>
  </si>
  <si>
    <t>EXTREMIDADE FJTE DN  600 PN16</t>
  </si>
  <si>
    <t>I7688</t>
  </si>
  <si>
    <t>EXTREMIDADE FJTE DN  600 PN25</t>
  </si>
  <si>
    <t>I7669</t>
  </si>
  <si>
    <t>EXTREMIDADE FJTE DN  700 PN10</t>
  </si>
  <si>
    <t>I7679</t>
  </si>
  <si>
    <t>EXTREMIDADE FJTE DN  700 PN16</t>
  </si>
  <si>
    <t>I7689</t>
  </si>
  <si>
    <t>EXTREMIDADE FJTE DN  700 PN25</t>
  </si>
  <si>
    <t>I7670</t>
  </si>
  <si>
    <t>EXTREMIDADE FJTE DN  800 PN10</t>
  </si>
  <si>
    <t>I7680</t>
  </si>
  <si>
    <t>EXTREMIDADE FJTE DN  800 PN16</t>
  </si>
  <si>
    <t>I7690</t>
  </si>
  <si>
    <t>EXTREMIDADE FJTE DN  800 PN25</t>
  </si>
  <si>
    <t>I7671</t>
  </si>
  <si>
    <t>EXTREMIDADE FJTE DN  900 PN10</t>
  </si>
  <si>
    <t>I7681</t>
  </si>
  <si>
    <t>EXTREMIDADE FJTE DN  900 PN16</t>
  </si>
  <si>
    <t>I7691</t>
  </si>
  <si>
    <t>EXTREMIDADE FJTE DN  900 PN25</t>
  </si>
  <si>
    <t>I7672</t>
  </si>
  <si>
    <t>EXTREMIDADE FJTE DN 1000 PN10</t>
  </si>
  <si>
    <t>I7682</t>
  </si>
  <si>
    <t>EXTREMIDADE FJTE DN 1000 PN16</t>
  </si>
  <si>
    <t>I7692</t>
  </si>
  <si>
    <t>EXTREMIDADE FJTE DN 1000 PN25</t>
  </si>
  <si>
    <t>I7673</t>
  </si>
  <si>
    <t>EXTREMIDADE FJTE DN 1200 PN10</t>
  </si>
  <si>
    <t>I7683</t>
  </si>
  <si>
    <t>EXTREMIDADE FJTE DN 1200 PN16</t>
  </si>
  <si>
    <t>I7693</t>
  </si>
  <si>
    <t>EXTREMIDADE FJTE DN 1200 PN25</t>
  </si>
  <si>
    <t>I10765</t>
  </si>
  <si>
    <t>EXTREMIDADE FJTE DN 450 PN16</t>
  </si>
  <si>
    <t>I10766</t>
  </si>
  <si>
    <t>EXTREMIDADE FJTE DN 450 PN25</t>
  </si>
  <si>
    <t>I3826</t>
  </si>
  <si>
    <t>EXTREMIDADE FLANGE E JUNTA MECÂNICA DN  300 PN10</t>
  </si>
  <si>
    <t>I3827</t>
  </si>
  <si>
    <t>EXTREMIDADE FLANGE E JUNTA MECÂNICA DN  350 PN10</t>
  </si>
  <si>
    <t>I3828</t>
  </si>
  <si>
    <t>EXTREMIDADE FLANGE E JUNTA MECÂNICA DN  400 PN10</t>
  </si>
  <si>
    <t>I3829</t>
  </si>
  <si>
    <t>EXTREMIDADE FLANGE E JUNTA MECÂNICA DN  450 PN10</t>
  </si>
  <si>
    <t>I3830</t>
  </si>
  <si>
    <t>EXTREMIDADE FLANGE E JUNTA MECÂNICA DN  500 PN10</t>
  </si>
  <si>
    <t>I3831</t>
  </si>
  <si>
    <t>EXTREMIDADE FLANGE E JUNTA MECÂNICA DN  600 PN10</t>
  </si>
  <si>
    <t>I3832</t>
  </si>
  <si>
    <t>EXTREMIDADE FLANGE E JUNTA MECÂNICA DN  700 PN10</t>
  </si>
  <si>
    <t>I3833</t>
  </si>
  <si>
    <t>EXTREMIDADE FLANGE E JUNTA MECÂNICA DN  800 PN10</t>
  </si>
  <si>
    <t>I3834</t>
  </si>
  <si>
    <t>EXTREMIDADE FLANGE E JUNTA MECÂNICA DN  900 PN10</t>
  </si>
  <si>
    <t>I3835</t>
  </si>
  <si>
    <t>EXTREMIDADE FLANGE E JUNTA MECÂNICA DN 1000 PN10</t>
  </si>
  <si>
    <t>I3836</t>
  </si>
  <si>
    <t>EXTREMIDADE FLANGE E JUNTA MECÂNICA DN 1200 PN10</t>
  </si>
  <si>
    <t>I3794</t>
  </si>
  <si>
    <t>EXTREMIDADE FLANGE E PONTA DN    75 PN10</t>
  </si>
  <si>
    <t>I7121</t>
  </si>
  <si>
    <t>EXTREMIDADE FLANGE E PONTA DN    80 PN10</t>
  </si>
  <si>
    <t>I3793</t>
  </si>
  <si>
    <t>EXTREMIDADE FLANGE E PONTA DN   50 PN10</t>
  </si>
  <si>
    <t>I3795</t>
  </si>
  <si>
    <t>EXTREMIDADE FLANGE E PONTA DN  100 PN10</t>
  </si>
  <si>
    <t>I3796</t>
  </si>
  <si>
    <t>EXTREMIDADE FLANGE E PONTA DN  150 PN10</t>
  </si>
  <si>
    <t>I3797</t>
  </si>
  <si>
    <t>EXTREMIDADE FLANGE E PONTA DN  200 PN10</t>
  </si>
  <si>
    <t>I3798</t>
  </si>
  <si>
    <t>EXTREMIDADE FLANGE E PONTA DN  250 PN10</t>
  </si>
  <si>
    <t>I3799</t>
  </si>
  <si>
    <t>EXTREMIDADE FLANGE E PONTA DN  300 PN10</t>
  </si>
  <si>
    <t>I3800</t>
  </si>
  <si>
    <t>EXTREMIDADE FLANGE E PONTA DN  350 PN10</t>
  </si>
  <si>
    <t>I3801</t>
  </si>
  <si>
    <t>EXTREMIDADE FLANGE E PONTA DN  400 PN10</t>
  </si>
  <si>
    <t>I3802</t>
  </si>
  <si>
    <t>EXTREMIDADE FLANGE E PONTA DN  450 PN10</t>
  </si>
  <si>
    <t>I3803</t>
  </si>
  <si>
    <t>EXTREMIDADE FLANGE E PONTA DN  500 PN10</t>
  </si>
  <si>
    <t>I3804</t>
  </si>
  <si>
    <t>EXTREMIDADE FLANGE E PONTA DN  600 PN10</t>
  </si>
  <si>
    <t>I3805</t>
  </si>
  <si>
    <t>EXTREMIDADE FLANGE E PONTA DN  700 PN10</t>
  </si>
  <si>
    <t>I3806</t>
  </si>
  <si>
    <t>EXTREMIDADE FLANGE E PONTA DN  800 PN10</t>
  </si>
  <si>
    <t>I3807</t>
  </si>
  <si>
    <t>EXTREMIDADE FLANGE E PONTA DN  900 PN10</t>
  </si>
  <si>
    <t>I10782</t>
  </si>
  <si>
    <t>EXTREMIDADE FLANGE E PONTA DN 100 PN25</t>
  </si>
  <si>
    <t>I3808</t>
  </si>
  <si>
    <t>EXTREMIDADE FLANGE E PONTA DN 1000 PN10</t>
  </si>
  <si>
    <t>I10780</t>
  </si>
  <si>
    <t>EXTREMIDADE FLANGE E PONTA DN 1000 PN16</t>
  </si>
  <si>
    <t>I10796</t>
  </si>
  <si>
    <t>EXTREMIDADE FLANGE E PONTA DN 1000 PN25</t>
  </si>
  <si>
    <t>I3809</t>
  </si>
  <si>
    <t>EXTREMIDADE FLANGE E PONTA DN 1200 PN10</t>
  </si>
  <si>
    <t>I10781</t>
  </si>
  <si>
    <t>EXTREMIDADE FLANGE E PONTA DN 1200 PN16</t>
  </si>
  <si>
    <t>I10797</t>
  </si>
  <si>
    <t>EXTREMIDADE FLANGE E PONTA DN 1200 PN25</t>
  </si>
  <si>
    <t>I10783</t>
  </si>
  <si>
    <t>EXTREMIDADE FLANGE E PONTA DN 150 PN25</t>
  </si>
  <si>
    <t>I10768</t>
  </si>
  <si>
    <t>EXTREMIDADE FLANGE E PONTA DN 200 PN16</t>
  </si>
  <si>
    <t>I10784</t>
  </si>
  <si>
    <t>EXTREMIDADE FLANGE E PONTA DN 200 PN25</t>
  </si>
  <si>
    <t>I10769</t>
  </si>
  <si>
    <t>EXTREMIDADE FLANGE E PONTA DN 250 PN16</t>
  </si>
  <si>
    <t>I10785</t>
  </si>
  <si>
    <t>EXTREMIDADE FLANGE E PONTA DN 250 PN25</t>
  </si>
  <si>
    <t>I10770</t>
  </si>
  <si>
    <t>EXTREMIDADE FLANGE E PONTA DN 300 PN16</t>
  </si>
  <si>
    <t>I10786</t>
  </si>
  <si>
    <t>EXTREMIDADE FLANGE E PONTA DN 300 PN25</t>
  </si>
  <si>
    <t>I10771</t>
  </si>
  <si>
    <t>EXTREMIDADE FLANGE E PONTA DN 350 PN16</t>
  </si>
  <si>
    <t>I10787</t>
  </si>
  <si>
    <t>EXTREMIDADE FLANGE E PONTA DN 350 PN25</t>
  </si>
  <si>
    <t>I10772</t>
  </si>
  <si>
    <t>EXTREMIDADE FLANGE E PONTA DN 400 PN16</t>
  </si>
  <si>
    <t>I10788</t>
  </si>
  <si>
    <t>EXTREMIDADE FLANGE E PONTA DN 400 PN25</t>
  </si>
  <si>
    <t>I10773</t>
  </si>
  <si>
    <t>EXTREMIDADE FLANGE E PONTA DN 450 PN16</t>
  </si>
  <si>
    <t>I10789</t>
  </si>
  <si>
    <t>EXTREMIDADE FLANGE E PONTA DN 450 PN25</t>
  </si>
  <si>
    <t>I10774</t>
  </si>
  <si>
    <t>EXTREMIDADE FLANGE E PONTA DN 500 PN16</t>
  </si>
  <si>
    <t>I10790</t>
  </si>
  <si>
    <t>EXTREMIDADE FLANGE E PONTA DN 500 PN25</t>
  </si>
  <si>
    <t>I10767</t>
  </si>
  <si>
    <t>EXTREMIDADE FLANGE E PONTA DN 550 PN10</t>
  </si>
  <si>
    <t>I10775</t>
  </si>
  <si>
    <t>EXTREMIDADE FLANGE E PONTA DN 550 PN16</t>
  </si>
  <si>
    <t>I10791</t>
  </si>
  <si>
    <t>EXTREMIDADE FLANGE E PONTA DN 550 PN25</t>
  </si>
  <si>
    <t>I10776</t>
  </si>
  <si>
    <t>EXTREMIDADE FLANGE E PONTA DN 600 PN16</t>
  </si>
  <si>
    <t>I10792</t>
  </si>
  <si>
    <t>EXTREMIDADE FLANGE E PONTA DN 600 PN25</t>
  </si>
  <si>
    <t>I10777</t>
  </si>
  <si>
    <t>EXTREMIDADE FLANGE E PONTA DN 700 PN16</t>
  </si>
  <si>
    <t>I10793</t>
  </si>
  <si>
    <t>EXTREMIDADE FLANGE E PONTA DN 700 PN25</t>
  </si>
  <si>
    <t>I10778</t>
  </si>
  <si>
    <t>EXTREMIDADE FLANGE E PONTA DN 800 PN16</t>
  </si>
  <si>
    <t>I10794</t>
  </si>
  <si>
    <t>EXTREMIDADE FLANGE E PONTA DN 800 PN25</t>
  </si>
  <si>
    <t>I10779</t>
  </si>
  <si>
    <t>EXTREMIDADE FLANGE E PONTA DN 900 PN16</t>
  </si>
  <si>
    <t>I10795</t>
  </si>
  <si>
    <t>EXTREMIDADE FLANGE E PONTA DN 900 PN25</t>
  </si>
  <si>
    <t>I3116</t>
  </si>
  <si>
    <t>EXTREMIDADE PBA BOLSA / FLANGE DN   50</t>
  </si>
  <si>
    <t>I3117</t>
  </si>
  <si>
    <t>EXTREMIDADE PBA BOLSA / FLANGE DN   75</t>
  </si>
  <si>
    <t>I3118</t>
  </si>
  <si>
    <t>EXTREMIDADE PBA BOLSA / FLANGE DN 100</t>
  </si>
  <si>
    <t>I3119</t>
  </si>
  <si>
    <t>EXTREMIDADE PBA PONTA / FLANGE DN   50</t>
  </si>
  <si>
    <t>I3120</t>
  </si>
  <si>
    <t>EXTREMIDADE PBA PONTA / FLANGE DN   75</t>
  </si>
  <si>
    <t>I3121</t>
  </si>
  <si>
    <t>EXTREMIDADE PBA PONTA / FLANGE DN 100</t>
  </si>
  <si>
    <t>I3811</t>
  </si>
  <si>
    <t>EXTREMIDADE PF C/ ABA DE VEDAÇÃO DN    75 PN10</t>
  </si>
  <si>
    <t>I7123</t>
  </si>
  <si>
    <t>EXTREMIDADE PF C/ ABA DE VEDAÇÃO DN    80 PN10</t>
  </si>
  <si>
    <t>I3812</t>
  </si>
  <si>
    <t>EXTREMIDADE PF C/ ABA DE VEDAÇÃO DN   100 PN10</t>
  </si>
  <si>
    <t>I3813</t>
  </si>
  <si>
    <t>EXTREMIDADE PF C/ ABA DE VEDAÇÃO DN   150 PN10</t>
  </si>
  <si>
    <t>I3814</t>
  </si>
  <si>
    <t>EXTREMIDADE PF C/ ABA DE VEDAÇÃO DN   200 PN10</t>
  </si>
  <si>
    <t>I3815</t>
  </si>
  <si>
    <t>EXTREMIDADE PF C/ ABA DE VEDAÇÃO DN   250 PN10</t>
  </si>
  <si>
    <t>I3816</t>
  </si>
  <si>
    <t>EXTREMIDADE PF C/ ABA DE VEDAÇÃO DN   300 PN10</t>
  </si>
  <si>
    <t>I3817</t>
  </si>
  <si>
    <t>EXTREMIDADE PF C/ ABA DE VEDAÇÃO DN   350 PN10</t>
  </si>
  <si>
    <t>I3818</t>
  </si>
  <si>
    <t>EXTREMIDADE PF C/ ABA DE VEDAÇÃO DN   400 PN10</t>
  </si>
  <si>
    <t>I7122</t>
  </si>
  <si>
    <t>EXTREMIDADE PF C/ ABA DE VEDAÇÃO DN   450 PN10</t>
  </si>
  <si>
    <t>I3819</t>
  </si>
  <si>
    <t>EXTREMIDADE PF C/ ABA DE VEDAÇÃO DN   500 PN10</t>
  </si>
  <si>
    <t>I3820</t>
  </si>
  <si>
    <t>EXTREMIDADE PF C/ ABA DE VEDAÇÃO DN   600 PN10</t>
  </si>
  <si>
    <t>I3821</t>
  </si>
  <si>
    <t>EXTREMIDADE PF C/ ABA DE VEDAÇÃO DN   700 PN10</t>
  </si>
  <si>
    <t>I3822</t>
  </si>
  <si>
    <t>EXTREMIDADE PF C/ ABA DE VEDAÇÃO DN   800 PN10</t>
  </si>
  <si>
    <t>I3823</t>
  </si>
  <si>
    <t>EXTREMIDADE PF C/ ABA DE VEDAÇÃO DN   900 PN10</t>
  </si>
  <si>
    <t>I10811</t>
  </si>
  <si>
    <t>EXTREMIDADE PF C/ ABA DE VEDAÇÃO DN 100 PN25</t>
  </si>
  <si>
    <t>I3824</t>
  </si>
  <si>
    <t>EXTREMIDADE PF C/ ABA DE VEDAÇÃO DN 1000 PN10</t>
  </si>
  <si>
    <t>I10809</t>
  </si>
  <si>
    <t>EXTREMIDADE PF C/ ABA DE VEDAÇÃO DN 1000 PN16</t>
  </si>
  <si>
    <t>I10824</t>
  </si>
  <si>
    <t>EXTREMIDADE PF C/ ABA DE VEDAÇÃO DN 1000 PN25</t>
  </si>
  <si>
    <t>I3825</t>
  </si>
  <si>
    <t>EXTREMIDADE PF C/ ABA DE VEDAÇÃO DN 1200 PN10</t>
  </si>
  <si>
    <t>I10810</t>
  </si>
  <si>
    <t>EXTREMIDADE PF C/ ABA DE VEDAÇÃO DN 1200 PN16</t>
  </si>
  <si>
    <t>I10825</t>
  </si>
  <si>
    <t>EXTREMIDADE PF C/ ABA DE VEDAÇÃO DN 1200 PN25</t>
  </si>
  <si>
    <t>I10812</t>
  </si>
  <si>
    <t>EXTREMIDADE PF C/ ABA DE VEDAÇÃO DN 150 PN25</t>
  </si>
  <si>
    <t>I10798</t>
  </si>
  <si>
    <t>EXTREMIDADE PF C/ ABA DE VEDAÇÃO DN 200 PN16</t>
  </si>
  <si>
    <t>I10813</t>
  </si>
  <si>
    <t>EXTREMIDADE PF C/ ABA DE VEDAÇÃO DN 200 PN25</t>
  </si>
  <si>
    <t>I10799</t>
  </si>
  <si>
    <t>EXTREMIDADE PF C/ ABA DE VEDAÇÃO DN 250 PN16</t>
  </si>
  <si>
    <t>I10814</t>
  </si>
  <si>
    <t>EXTREMIDADE PF C/ ABA DE VEDAÇÃO DN 250 PN25</t>
  </si>
  <si>
    <t>I10800</t>
  </si>
  <si>
    <t>EXTREMIDADE PF C/ ABA DE VEDAÇÃO DN 300 PN16</t>
  </si>
  <si>
    <t>I10815</t>
  </si>
  <si>
    <t>EXTREMIDADE PF C/ ABA DE VEDAÇÃO DN 300 PN25</t>
  </si>
  <si>
    <t>I10801</t>
  </si>
  <si>
    <t>EXTREMIDADE PF C/ ABA DE VEDAÇÃO DN 350 PN16</t>
  </si>
  <si>
    <t>I10816</t>
  </si>
  <si>
    <t>EXTREMIDADE PF C/ ABA DE VEDAÇÃO DN 350 PN25</t>
  </si>
  <si>
    <t>I10802</t>
  </si>
  <si>
    <t>EXTREMIDADE PF C/ ABA DE VEDAÇÃO DN 400 PN16</t>
  </si>
  <si>
    <t>I10817</t>
  </si>
  <si>
    <t>EXTREMIDADE PF C/ ABA DE VEDAÇÃO DN 400 PN25</t>
  </si>
  <si>
    <t>I10803</t>
  </si>
  <si>
    <t>EXTREMIDADE PF C/ ABA DE VEDAÇÃO DN 450 PN16</t>
  </si>
  <si>
    <t>I10818</t>
  </si>
  <si>
    <t>EXTREMIDADE PF C/ ABA DE VEDAÇÃO DN 450 PN25</t>
  </si>
  <si>
    <t>I10804</t>
  </si>
  <si>
    <t>EXTREMIDADE PF C/ ABA DE VEDAÇÃO DN 500 PN16</t>
  </si>
  <si>
    <t>I10819</t>
  </si>
  <si>
    <t>EXTREMIDADE PF C/ ABA DE VEDAÇÃO DN 500 PN25</t>
  </si>
  <si>
    <t>I10805</t>
  </si>
  <si>
    <t>EXTREMIDADE PF C/ ABA DE VEDAÇÃO DN 600 PN16</t>
  </si>
  <si>
    <t>I10820</t>
  </si>
  <si>
    <t>EXTREMIDADE PF C/ ABA DE VEDAÇÃO DN 600 PN25</t>
  </si>
  <si>
    <t>I10806</t>
  </si>
  <si>
    <t>EXTREMIDADE PF C/ ABA DE VEDAÇÃO DN 700 PN16</t>
  </si>
  <si>
    <t>I10821</t>
  </si>
  <si>
    <t>EXTREMIDADE PF C/ ABA DE VEDAÇÃO DN 700 PN25</t>
  </si>
  <si>
    <t>I10807</t>
  </si>
  <si>
    <t>EXTREMIDADE PF C/ ABA DE VEDAÇÃO DN 800 PN16</t>
  </si>
  <si>
    <t>I10822</t>
  </si>
  <si>
    <t>EXTREMIDADE PF C/ ABA DE VEDAÇÃO DN 800 PN25</t>
  </si>
  <si>
    <t>I10808</t>
  </si>
  <si>
    <t>EXTREMIDADE PF C/ ABA DE VEDAÇÃO DN 900 PN16</t>
  </si>
  <si>
    <t>I10823</t>
  </si>
  <si>
    <t>EXTREMIDADE PF C/ ABA DE VEDAÇÃO DN 900 PN25</t>
  </si>
  <si>
    <t>I9764</t>
  </si>
  <si>
    <t>EXTREMIDADE PP C/ ABA DE VEDAÇÃO DN 500 PN10 L=450</t>
  </si>
  <si>
    <t>I9765</t>
  </si>
  <si>
    <t>FECHAMENTO LATERAL EM FILME PLÁSTICO ESTUFA 150 MICRAS DO TIPO ENROLAR</t>
  </si>
  <si>
    <t>I2937</t>
  </si>
  <si>
    <t>FERRULE DE BRONZE 1"</t>
  </si>
  <si>
    <t>I2936</t>
  </si>
  <si>
    <t>FERRULE DE BRONZE 3/4"</t>
  </si>
  <si>
    <t>I8948</t>
  </si>
  <si>
    <t>FILTRO ASCENDENTE EM FIBRA D=2,00M E H=4,00M</t>
  </si>
  <si>
    <t>I8952</t>
  </si>
  <si>
    <t>FILTRO ASCENDENTE EM FIBRA D=2,50M E H=3,6M, Q=30M3/H</t>
  </si>
  <si>
    <t>I8947</t>
  </si>
  <si>
    <t>FILTRO ASCENDENTE EM FIBRA D=3,50M E H=3,78M</t>
  </si>
  <si>
    <t>I9766</t>
  </si>
  <si>
    <t>FILTRO DE AR 1/4" C/ COPO DE PROTEÇÃO</t>
  </si>
  <si>
    <t>I9767</t>
  </si>
  <si>
    <t>FILTRO DE DISCO 2"</t>
  </si>
  <si>
    <t>I7076</t>
  </si>
  <si>
    <t>FILTRO DE FLUXO ASCENDENTE EM FIBRA COMPLETO COM TAMPA, BARRILETE, ESCADA E MATERIAL FILTRANTE, CAPACIDADE 119,26 m³/h A 178,20 m³/h</t>
  </si>
  <si>
    <t>I7070</t>
  </si>
  <si>
    <t>FILTRO DE FLUXO ASCENDENTE EM FIBRA COMPLETO COM TAMPA, BARRILETE, ESCADA E MATERIAL FILTRANTE, CAPACIDADE 13,29 m³/h A 23,55 m³/h</t>
  </si>
  <si>
    <t>I7071</t>
  </si>
  <si>
    <t>FILTRO DE FLUXO ASCENDENTE EM FIBRA COMPLETO COM TAMPA, BARRILETE, ESCADA E MATERIAL FILTRANTE, CAPACIDADE 23,56 m³/h A 36,83 m³/h</t>
  </si>
  <si>
    <t>I7067</t>
  </si>
  <si>
    <t>FILTRO DE FLUXO ASCENDENTE EM FIBRA COMPLETO COM TAMPA, BARRILETE, ESCADA E MATERIAL FILTRANTE, CAPACIDADE 3,75 m³/h</t>
  </si>
  <si>
    <t>I7068</t>
  </si>
  <si>
    <t>FILTRO DE FLUXO ASCENDENTE EM FIBRA COMPLETO COM TAMPA, BARRILETE, ESCADA E MATERIAL FILTRANTE, CAPACIDADE 3,76 m³/h A 5,93 m³/h</t>
  </si>
  <si>
    <t>I7072</t>
  </si>
  <si>
    <t>FILTRO DE FLUXO ASCENDENTE EM FIBRA COMPLETO COM TAMPA, BARRILETE, ESCADA E MATERIAL FILTRANTE, CAPACIDADE 36,84 m³/h A 53,03 m³/h</t>
  </si>
  <si>
    <t>I7069</t>
  </si>
  <si>
    <t>FILTRO DE FLUXO ASCENDENTE EM FIBRA COMPLETO COM TAMPA, BARRILETE, ESCADA E MATERIAL FILTRANTE, CAPACIDADE 5,94 m³/h A 13,28 m³/h</t>
  </si>
  <si>
    <t>I7073</t>
  </si>
  <si>
    <t>FILTRO DE FLUXO ASCENDENTE EM FIBRA COMPLETO COM TAMPA, BARRILETE, ESCADA E MATERIAL FILTRANTE, CAPACIDADE 53,04 m³/h A 72,15 m³/h</t>
  </si>
  <si>
    <t>I7074</t>
  </si>
  <si>
    <t>FILTRO DE FLUXO ASCENDENTE EM FIBRA COMPLETO COM TAMPA, BARRILETE, ESCADA E MATERIAL FILTRANTE, CAPACIDADE 72,16 m³/h A 94,28 m³/h</t>
  </si>
  <si>
    <t>I7075</t>
  </si>
  <si>
    <t>FILTRO DE FLUXO ASCENDENTE EM FIBRA COMPLETO COM TAMPA, BARRILETE, ESCADA E MATERIAL FILTRANTE, CAPACIDADE 94,29 m³/h A 119,25 m³/h</t>
  </si>
  <si>
    <t>I8950</t>
  </si>
  <si>
    <t>FILTRO DESCENDENTE EM FIBRA D=1,20M E H=4,00M</t>
  </si>
  <si>
    <t>I8949</t>
  </si>
  <si>
    <t>FILTRO DESCENDENTE EM FIBRA D=3,00M E H=3,78M</t>
  </si>
  <si>
    <t>I8951</t>
  </si>
  <si>
    <t>FILTRO DESCENDENTE EM FIBRA DE VIDRO D=1,00M E Q=6,38M3/H</t>
  </si>
  <si>
    <t>I7582</t>
  </si>
  <si>
    <t>FILTRO PVC NERV. REFORÇADO DN 200x2mx0,50mm</t>
  </si>
  <si>
    <t>I7583</t>
  </si>
  <si>
    <t>FILTRO PVC NERV. REFORÇADO DN 200x2mx0,75mm</t>
  </si>
  <si>
    <t>I7584</t>
  </si>
  <si>
    <t>FILTRO PVC NERV. REFORÇADO DN 200x2mx1,00mm</t>
  </si>
  <si>
    <t>I7585</t>
  </si>
  <si>
    <t>FILTRO PVC NERV. REFORÇADO DN 200x2mx1,50mm</t>
  </si>
  <si>
    <t>I7586</t>
  </si>
  <si>
    <t>FILTRO PVC NERV. REFORÇADO DN 200x4mx0,50mm</t>
  </si>
  <si>
    <t>I7587</t>
  </si>
  <si>
    <t>FILTRO PVC NERV. REFORÇADO DN 200x4mx0,75mm</t>
  </si>
  <si>
    <t>I7588</t>
  </si>
  <si>
    <t>FILTRO PVC NERV. REFORÇADO DN 200x4mx1,00mm</t>
  </si>
  <si>
    <t>I7589</t>
  </si>
  <si>
    <t>FILTRO PVC NERV. REFORÇADO DN 200x4mx1,50mm</t>
  </si>
  <si>
    <t>I7566</t>
  </si>
  <si>
    <t>FILTRO PVC NERV. STANDARD DN 154x2mx0,50mm</t>
  </si>
  <si>
    <t>I7567</t>
  </si>
  <si>
    <t>FILTRO PVC NERV. STANDARD DN 154x2mx0,75mm</t>
  </si>
  <si>
    <t>I7568</t>
  </si>
  <si>
    <t>FILTRO PVC NERV. STANDARD DN 154x2mx1,00mm</t>
  </si>
  <si>
    <t>I7569</t>
  </si>
  <si>
    <t>FILTRO PVC NERV. STANDARD DN 154x2mx1,50mm</t>
  </si>
  <si>
    <t>I7570</t>
  </si>
  <si>
    <t>FILTRO PVC NERV. STANDARD DN 154x4mx0,50mm</t>
  </si>
  <si>
    <t>I7571</t>
  </si>
  <si>
    <t>FILTRO PVC NERV. STANDARD DN 154x4mx0,75mm</t>
  </si>
  <si>
    <t>I7572</t>
  </si>
  <si>
    <t>FILTRO PVC NERV. STANDARD DN 154x4mx1,00mm</t>
  </si>
  <si>
    <t>I7573</t>
  </si>
  <si>
    <t>FILTRO PVC NERV. STANDARD DN 154x4mx1,50mm</t>
  </si>
  <si>
    <t>I7574</t>
  </si>
  <si>
    <t>FILTRO PVC NERV. STANDARD DN 206x2mx0,50mm</t>
  </si>
  <si>
    <t>I7575</t>
  </si>
  <si>
    <t>FILTRO PVC NERV. STANDARD DN 206x2mx0,75mm</t>
  </si>
  <si>
    <t>I7576</t>
  </si>
  <si>
    <t>FILTRO PVC NERV. STANDARD DN 206x2mx1,00mm</t>
  </si>
  <si>
    <t>I7577</t>
  </si>
  <si>
    <t>FILTRO PVC NERV. STANDARD DN 206x2mx1,50mm</t>
  </si>
  <si>
    <t>I7578</t>
  </si>
  <si>
    <t>FILTRO PVC NERV. STANDARD DN 206x4mx0,50mm</t>
  </si>
  <si>
    <t>I7579</t>
  </si>
  <si>
    <t>FILTRO PVC NERV. STANDARD DN 206x4mx0,75mm</t>
  </si>
  <si>
    <t>I9768</t>
  </si>
  <si>
    <t>FILTRO TIPO Y DN 50</t>
  </si>
  <si>
    <t>I9769</t>
  </si>
  <si>
    <t>FILTRO TIPO Y DN 75</t>
  </si>
  <si>
    <t>I9770</t>
  </si>
  <si>
    <t>FILTRO TIPO Y FºFº FF DN 100</t>
  </si>
  <si>
    <t>I9771</t>
  </si>
  <si>
    <t>FILTRO TIPO Y FºFº FF DN 150</t>
  </si>
  <si>
    <t>I9772</t>
  </si>
  <si>
    <t>FILTRO TIPO Y FºFº FF DN 200</t>
  </si>
  <si>
    <t>I9773</t>
  </si>
  <si>
    <t>FILTRO TIPO Y FºFº FF DN 250</t>
  </si>
  <si>
    <t>I9774</t>
  </si>
  <si>
    <t>FILTRO TIPO Y FºFº FF DN 300</t>
  </si>
  <si>
    <t>I9775</t>
  </si>
  <si>
    <t>FINAL DE LINHA PARA MANGUEIRA GOTEJADORA DN16</t>
  </si>
  <si>
    <t>I9776</t>
  </si>
  <si>
    <t>FINAL DE LINHA PARA TUBO PELBD DN16</t>
  </si>
  <si>
    <t>I9777</t>
  </si>
  <si>
    <t>FINAL DE LINHA PARA TUBO PELBD DN25</t>
  </si>
  <si>
    <t>I8075</t>
  </si>
  <si>
    <t>FIO DE COBRE NÚ 25mm²</t>
  </si>
  <si>
    <t>I6278</t>
  </si>
  <si>
    <t>FITA AUTO FUSÃO DE 1A QUALIDADE</t>
  </si>
  <si>
    <t>I6422</t>
  </si>
  <si>
    <t>FITA DE INOX P/ FIXAÇÃO DO ELETRODUTO NO POSTE</t>
  </si>
  <si>
    <t>I9778</t>
  </si>
  <si>
    <t>FITA GOTEJADORA DN 16</t>
  </si>
  <si>
    <t>I9779</t>
  </si>
  <si>
    <t>FLANGE AVULSO AÇO CARBONO ATM A36 DN 1600</t>
  </si>
  <si>
    <t>I9780</t>
  </si>
  <si>
    <t>FLANGE AVULSO AÇO CARBONO ATM A36 DN 1800</t>
  </si>
  <si>
    <t>I13293</t>
  </si>
  <si>
    <t>FLANGE AVULSO AÇO CARBONO PN 10 DN 10’’</t>
  </si>
  <si>
    <t>I13294</t>
  </si>
  <si>
    <t>FLANGE AVULSO AÇO CARBONO PN 10 DN 12’’</t>
  </si>
  <si>
    <t>I13287</t>
  </si>
  <si>
    <t>FLANGE AVULSO AÇO CARBONO PN 10 DN 2’’</t>
  </si>
  <si>
    <t>I13288</t>
  </si>
  <si>
    <t>FLANGE AVULSO AÇO CARBONO PN 10 DN 3’’</t>
  </si>
  <si>
    <t>I13289</t>
  </si>
  <si>
    <t>FLANGE AVULSO AÇO CARBONO PN 10 DN 4’’</t>
  </si>
  <si>
    <t>I13290</t>
  </si>
  <si>
    <t>FLANGE AVULSO AÇO CARBONO PN 10 DN 5’’</t>
  </si>
  <si>
    <t>I13291</t>
  </si>
  <si>
    <t>FLANGE AVULSO AÇO CARBONO PN 10 DN 6’’</t>
  </si>
  <si>
    <t>I13292</t>
  </si>
  <si>
    <t>FLANGE AVULSO AÇO CARBONO PN 10 DN 8’’</t>
  </si>
  <si>
    <t>I9781</t>
  </si>
  <si>
    <t>FLANGE AVULSO AÇO INOX 304 3"</t>
  </si>
  <si>
    <t>I13204</t>
  </si>
  <si>
    <t>FLANGE AVULSO AÇO INOX 304 SCH 40 10" PN10</t>
  </si>
  <si>
    <t>I13205</t>
  </si>
  <si>
    <t>FLANGE AVULSO AÇO INOX 304 SCH 40 12" PN10</t>
  </si>
  <si>
    <t>I13199</t>
  </si>
  <si>
    <t>FLANGE AVULSO AÇO INOX 304 SCH 40 2" PN10</t>
  </si>
  <si>
    <t>I13200</t>
  </si>
  <si>
    <t>FLANGE AVULSO AÇO INOX 304 SCH 40 3" PN10</t>
  </si>
  <si>
    <t>I13201</t>
  </si>
  <si>
    <t>FLANGE AVULSO AÇO INOX 304 SCH 40 4" PN10</t>
  </si>
  <si>
    <t>I13202</t>
  </si>
  <si>
    <t>FLANGE AVULSO AÇO INOX 304 SCH 40 6" PN10</t>
  </si>
  <si>
    <t>I13203</t>
  </si>
  <si>
    <t>FLANGE AVULSO AÇO INOX 304 SCH 40 8" PN10</t>
  </si>
  <si>
    <t>I13234</t>
  </si>
  <si>
    <t>FLANGE AVULSO AÇO INOX 316 SCH 40 S/ COSTURA PN 10 DN 10''</t>
  </si>
  <si>
    <t>I13235</t>
  </si>
  <si>
    <t>FLANGE AVULSO AÇO INOX 316 SCH 40 S/ COSTURA PN 10 DN 12''</t>
  </si>
  <si>
    <t>I13229</t>
  </si>
  <si>
    <t>FLANGE AVULSO AÇO INOX 316 SCH 40 S/ COSTURA PN 10 DN 2''</t>
  </si>
  <si>
    <t>I13230</t>
  </si>
  <si>
    <t>FLANGE AVULSO AÇO INOX 316 SCH 40 S/ COSTURA PN 10 DN 3''</t>
  </si>
  <si>
    <t>I13231</t>
  </si>
  <si>
    <t>FLANGE AVULSO AÇO INOX 316 SCH 40 S/ COSTURA PN 10 DN 4''</t>
  </si>
  <si>
    <t>I13232</t>
  </si>
  <si>
    <t>FLANGE AVULSO AÇO INOX 316 SCH 40 S/ COSTURA PN 10 DN 6''</t>
  </si>
  <si>
    <t>I13233</t>
  </si>
  <si>
    <t>FLANGE AVULSO AÇO INOX 316 SCH 40 S/ COSTURA PN 10 DN 8''</t>
  </si>
  <si>
    <t>I9782</t>
  </si>
  <si>
    <t>FLANGE AVULSO AÇO SCHEDULE 40 4"</t>
  </si>
  <si>
    <t>I3856</t>
  </si>
  <si>
    <t>FLANGE AVULSO DN 100 PN10</t>
  </si>
  <si>
    <t>I10841</t>
  </si>
  <si>
    <t>FLANGE AVULSO DN 100 PN25</t>
  </si>
  <si>
    <t>I3869</t>
  </si>
  <si>
    <t>FLANGE AVULSO DN 1000 PN10</t>
  </si>
  <si>
    <t>I10839</t>
  </si>
  <si>
    <t>FLANGE AVULSO DN 1000 PN16</t>
  </si>
  <si>
    <t>I10855</t>
  </si>
  <si>
    <t>FLANGE AVULSO DN 1000 PN25</t>
  </si>
  <si>
    <t>I3871</t>
  </si>
  <si>
    <t>FLANGE AVULSO DN 1200 PN10</t>
  </si>
  <si>
    <t>I10840</t>
  </si>
  <si>
    <t>FLANGE AVULSO DN 1200 PN16</t>
  </si>
  <si>
    <t>I10856</t>
  </si>
  <si>
    <t>FLANGE AVULSO DN 1200 PN25</t>
  </si>
  <si>
    <t>I3857</t>
  </si>
  <si>
    <t>FLANGE AVULSO DN 150 PN10</t>
  </si>
  <si>
    <t>I10842</t>
  </si>
  <si>
    <t>FLANGE AVULSO DN 150 PN25</t>
  </si>
  <si>
    <t>I3858</t>
  </si>
  <si>
    <t>FLANGE AVULSO DN 200 PN10</t>
  </si>
  <si>
    <t>I10827</t>
  </si>
  <si>
    <t>FLANGE AVULSO DN 200 PN16</t>
  </si>
  <si>
    <t>I10843</t>
  </si>
  <si>
    <t>FLANGE AVULSO DN 200 PN25</t>
  </si>
  <si>
    <t>I3859</t>
  </si>
  <si>
    <t>FLANGE AVULSO DN 250 PN10</t>
  </si>
  <si>
    <t>I10828</t>
  </si>
  <si>
    <t>FLANGE AVULSO DN 250 PN16</t>
  </si>
  <si>
    <t>I10844</t>
  </si>
  <si>
    <t>FLANGE AVULSO DN 250 PN25</t>
  </si>
  <si>
    <t>I3860</t>
  </si>
  <si>
    <t>FLANGE AVULSO DN 300 PN10</t>
  </si>
  <si>
    <t>I10829</t>
  </si>
  <si>
    <t>FLANGE AVULSO DN 300 PN16</t>
  </si>
  <si>
    <t>I10845</t>
  </si>
  <si>
    <t>FLANGE AVULSO DN 300 PN25</t>
  </si>
  <si>
    <t>I3861</t>
  </si>
  <si>
    <t>FLANGE AVULSO DN 350 PN10</t>
  </si>
  <si>
    <t>I10830</t>
  </si>
  <si>
    <t>FLANGE AVULSO DN 350 PN16</t>
  </si>
  <si>
    <t>I10846</t>
  </si>
  <si>
    <t>FLANGE AVULSO DN 350 PN25</t>
  </si>
  <si>
    <t>I3862</t>
  </si>
  <si>
    <t>FLANGE AVULSO DN 400 PN10</t>
  </si>
  <si>
    <t>I10831</t>
  </si>
  <si>
    <t>FLANGE AVULSO DN 400 PN16</t>
  </si>
  <si>
    <t>I10847</t>
  </si>
  <si>
    <t>FLANGE AVULSO DN 400 PN25</t>
  </si>
  <si>
    <t>I3863</t>
  </si>
  <si>
    <t>FLANGE AVULSO DN 450 PN10</t>
  </si>
  <si>
    <t>I10832</t>
  </si>
  <si>
    <t>FLANGE AVULSO DN 450 PN16</t>
  </si>
  <si>
    <t>I10848</t>
  </si>
  <si>
    <t>FLANGE AVULSO DN 450 PN25</t>
  </si>
  <si>
    <t>I3864</t>
  </si>
  <si>
    <t>FLANGE AVULSO DN 500 PN10</t>
  </si>
  <si>
    <t>I10833</t>
  </si>
  <si>
    <t>FLANGE AVULSO DN 500 PN16</t>
  </si>
  <si>
    <t>I10849</t>
  </si>
  <si>
    <t>FLANGE AVULSO DN 500 PN25</t>
  </si>
  <si>
    <t>I10826</t>
  </si>
  <si>
    <t>FLANGE AVULSO DN 550 PN10</t>
  </si>
  <si>
    <t>I10834</t>
  </si>
  <si>
    <t>FLANGE AVULSO DN 550 PN16</t>
  </si>
  <si>
    <t>I10850</t>
  </si>
  <si>
    <t>FLANGE AVULSO DN 550 PN25</t>
  </si>
  <si>
    <t>I3865</t>
  </si>
  <si>
    <t>FLANGE AVULSO DN 600 PN10</t>
  </si>
  <si>
    <t>I10835</t>
  </si>
  <si>
    <t>FLANGE AVULSO DN 600 PN16</t>
  </si>
  <si>
    <t>I10851</t>
  </si>
  <si>
    <t>FLANGE AVULSO DN 600 PN25</t>
  </si>
  <si>
    <t>I3866</t>
  </si>
  <si>
    <t>FLANGE AVULSO DN 700 PN10</t>
  </si>
  <si>
    <t>I10836</t>
  </si>
  <si>
    <t>FLANGE AVULSO DN 700 PN16</t>
  </si>
  <si>
    <t>I10852</t>
  </si>
  <si>
    <t>FLANGE AVULSO DN 700 PN25</t>
  </si>
  <si>
    <t>I3855</t>
  </si>
  <si>
    <t>FLANGE AVULSO DN 75 PN10</t>
  </si>
  <si>
    <t>I7124</t>
  </si>
  <si>
    <t>FLANGE AVULSO DN 80 PN10</t>
  </si>
  <si>
    <t>I3867</t>
  </si>
  <si>
    <t>FLANGE AVULSO DN 800 PN10</t>
  </si>
  <si>
    <t>I10837</t>
  </si>
  <si>
    <t>FLANGE AVULSO DN 800 PN16</t>
  </si>
  <si>
    <t>I10853</t>
  </si>
  <si>
    <t>FLANGE AVULSO DN 800 PN25</t>
  </si>
  <si>
    <t>I3868</t>
  </si>
  <si>
    <t>FLANGE AVULSO DN 900 PN10</t>
  </si>
  <si>
    <t>I10838</t>
  </si>
  <si>
    <t>FLANGE AVULSO DN 900 PN16</t>
  </si>
  <si>
    <t>I10854</t>
  </si>
  <si>
    <t>FLANGE AVULSO DN 900 PN25</t>
  </si>
  <si>
    <t>I9783</t>
  </si>
  <si>
    <t>FLANGE AVULSO FIBRA ADAPTADA C/PONTA P/PRFV DN 100 PN10</t>
  </si>
  <si>
    <t>I9785</t>
  </si>
  <si>
    <t xml:space="preserve">FLANGE AVULSO FIBRA ADAPTADA C/PONTA P/PRFV DN 1000 PN10
</t>
  </si>
  <si>
    <t>I9784</t>
  </si>
  <si>
    <t>FLANGE AVULSO FIBRA ADAPTADA C/PONTA P/PRFV DN 150 PN10</t>
  </si>
  <si>
    <t>I9786</t>
  </si>
  <si>
    <t>FLANGE AVULSO PRFV DN 600 PN10</t>
  </si>
  <si>
    <t>I9787</t>
  </si>
  <si>
    <t>FLANGE CEGO AÇO CARBONO ASTM ESP.7/16" DN 1000</t>
  </si>
  <si>
    <t>I9788</t>
  </si>
  <si>
    <t>FLANGE CEGO AÇO CARBONO ASTM ESP.7/16" DN 1200</t>
  </si>
  <si>
    <t>I9789</t>
  </si>
  <si>
    <t>FLANGE CEGO AÇO CARBONO ASTM ESP.7/16" DN 1500</t>
  </si>
  <si>
    <t>I9790</t>
  </si>
  <si>
    <t>FLANGE CEGO AÇO CARBONO ASTM ESP.7/16" DN 1800</t>
  </si>
  <si>
    <t>I9791</t>
  </si>
  <si>
    <t>FLANGE CEGO AÇO CARBONO PN 10 DN 300MM</t>
  </si>
  <si>
    <t>I9792</t>
  </si>
  <si>
    <t>FLANGE CEGO AÇO CARBONO PN 10 DN 400MM</t>
  </si>
  <si>
    <t>I9793</t>
  </si>
  <si>
    <t>FLANGE CEGO AÇO SCHEDULE 40 S/ COSTURA  DN 200</t>
  </si>
  <si>
    <t>I7125</t>
  </si>
  <si>
    <t>FLANGE CEGO DN 80 PN10</t>
  </si>
  <si>
    <t>I9794</t>
  </si>
  <si>
    <t>FLANGE CEGO FIBRA DE VIDRO DN  600 PN10</t>
  </si>
  <si>
    <t>I9795</t>
  </si>
  <si>
    <t>FLANGE CEGO FIBRA DE VIDRO DN 1000 PN10</t>
  </si>
  <si>
    <t>I3839</t>
  </si>
  <si>
    <t>FLANGE CEGO FoFo C/ FUROS DN 100 PN10</t>
  </si>
  <si>
    <t>I10870</t>
  </si>
  <si>
    <t>FLANGE CEGO FoFo C/ FUROS DN 100 PN25</t>
  </si>
  <si>
    <t>I3852</t>
  </si>
  <si>
    <t>FLANGE CEGO FoFo C/ FUROS DN 1000 PN10</t>
  </si>
  <si>
    <t>I10868</t>
  </si>
  <si>
    <t>FLANGE CEGO FoFo C/ FUROS DN 1000 PN16</t>
  </si>
  <si>
    <t>I10883</t>
  </si>
  <si>
    <t>FLANGE CEGO FoFo C/ FUROS DN 1000 PN25</t>
  </si>
  <si>
    <t>I3853</t>
  </si>
  <si>
    <t>FLANGE CEGO FoFo C/ FUROS DN 1200 PN10</t>
  </si>
  <si>
    <t>I10869</t>
  </si>
  <si>
    <t>FLANGE CEGO FoFo C/ FUROS DN 1200 PN16</t>
  </si>
  <si>
    <t>I10884</t>
  </si>
  <si>
    <t>FLANGE CEGO FoFo C/ FUROS DN 1200 PN25</t>
  </si>
  <si>
    <t>I3840</t>
  </si>
  <si>
    <t>FLANGE CEGO FoFo C/ FUROS DN 150 PN10</t>
  </si>
  <si>
    <t>I10871</t>
  </si>
  <si>
    <t>FLANGE CEGO FoFo C/ FUROS DN 150 PN25</t>
  </si>
  <si>
    <t>I3841</t>
  </si>
  <si>
    <t>FLANGE CEGO FoFo C/ FUROS DN 200 PN10</t>
  </si>
  <si>
    <t>I10857</t>
  </si>
  <si>
    <t>FLANGE CEGO FoFo C/ FUROS DN 200 PN16</t>
  </si>
  <si>
    <t>I10872</t>
  </si>
  <si>
    <t>FLANGE CEGO FoFo C/ FUROS DN 200 PN25</t>
  </si>
  <si>
    <t>I3842</t>
  </si>
  <si>
    <t>FLANGE CEGO FoFo C/ FUROS DN 250 PN10</t>
  </si>
  <si>
    <t>I10858</t>
  </si>
  <si>
    <t>FLANGE CEGO FoFo C/ FUROS DN 250 PN16</t>
  </si>
  <si>
    <t>I10873</t>
  </si>
  <si>
    <t>FLANGE CEGO FoFo C/ FUROS DN 250 PN25</t>
  </si>
  <si>
    <t>I3843</t>
  </si>
  <si>
    <t>FLANGE CEGO FoFo C/ FUROS DN 300 PN10</t>
  </si>
  <si>
    <t>I10859</t>
  </si>
  <si>
    <t>FLANGE CEGO FoFo C/ FUROS DN 300 PN16</t>
  </si>
  <si>
    <t>I10874</t>
  </si>
  <si>
    <t>FLANGE CEGO FoFo C/ FUROS DN 300 PN25</t>
  </si>
  <si>
    <t>I3844</t>
  </si>
  <si>
    <t>FLANGE CEGO FoFo C/ FUROS DN 350 PN10</t>
  </si>
  <si>
    <t>I10860</t>
  </si>
  <si>
    <t>FLANGE CEGO FoFo C/ FUROS DN 350 PN16</t>
  </si>
  <si>
    <t>I10875</t>
  </si>
  <si>
    <t>FLANGE CEGO FoFo C/ FUROS DN 350 PN25</t>
  </si>
  <si>
    <t>I3845</t>
  </si>
  <si>
    <t>FLANGE CEGO FoFo C/ FUROS DN 400 PN10</t>
  </si>
  <si>
    <t>I10861</t>
  </si>
  <si>
    <t>FLANGE CEGO FoFo C/ FUROS DN 400 PN16</t>
  </si>
  <si>
    <t>I10876</t>
  </si>
  <si>
    <t>FLANGE CEGO FoFo C/ FUROS DN 400 PN25</t>
  </si>
  <si>
    <t>I3846</t>
  </si>
  <si>
    <t>FLANGE CEGO FoFo C/ FUROS DN 450 PN10</t>
  </si>
  <si>
    <t>I10862</t>
  </si>
  <si>
    <t>FLANGE CEGO FoFo C/ FUROS DN 450 PN16</t>
  </si>
  <si>
    <t>I10877</t>
  </si>
  <si>
    <t>FLANGE CEGO FoFo C/ FUROS DN 450 PN25</t>
  </si>
  <si>
    <t>I3837</t>
  </si>
  <si>
    <t>FLANGE CEGO FoFo C/ FUROS DN 50 PN10</t>
  </si>
  <si>
    <t>I3847</t>
  </si>
  <si>
    <t>FLANGE CEGO FoFo C/ FUROS DN 500 PN10</t>
  </si>
  <si>
    <t>I10863</t>
  </si>
  <si>
    <t>FLANGE CEGO FoFo C/ FUROS DN 500 PN16</t>
  </si>
  <si>
    <t>I10878</t>
  </si>
  <si>
    <t>FLANGE CEGO FoFo C/ FUROS DN 500 PN25</t>
  </si>
  <si>
    <t>I3848</t>
  </si>
  <si>
    <t>FLANGE CEGO FoFo C/ FUROS DN 600 PN10</t>
  </si>
  <si>
    <t>I10864</t>
  </si>
  <si>
    <t>FLANGE CEGO FoFo C/ FUROS DN 600 PN16</t>
  </si>
  <si>
    <t>I10879</t>
  </si>
  <si>
    <t>FLANGE CEGO FoFo C/ FUROS DN 600 PN25</t>
  </si>
  <si>
    <t>I3849</t>
  </si>
  <si>
    <t>FLANGE CEGO FoFo C/ FUROS DN 700 PN10</t>
  </si>
  <si>
    <t>I10865</t>
  </si>
  <si>
    <t>FLANGE CEGO FoFo C/ FUROS DN 700 PN16</t>
  </si>
  <si>
    <t>I10880</t>
  </si>
  <si>
    <t>FLANGE CEGO FoFo C/ FUROS DN 700 PN25</t>
  </si>
  <si>
    <t>I3838</t>
  </si>
  <si>
    <t>FLANGE CEGO FoFo C/ FUROS DN 75 PN10</t>
  </si>
  <si>
    <t>I3850</t>
  </si>
  <si>
    <t>FLANGE CEGO FoFo C/ FUROS DN 800 PN10</t>
  </si>
  <si>
    <t>I10866</t>
  </si>
  <si>
    <t>FLANGE CEGO FoFo C/ FUROS DN 800 PN16</t>
  </si>
  <si>
    <t>I10881</t>
  </si>
  <si>
    <t>FLANGE CEGO FoFo C/ FUROS DN 800 PN25</t>
  </si>
  <si>
    <t>I3851</t>
  </si>
  <si>
    <t>FLANGE CEGO FoFo C/ FUROS DN 900 PN10</t>
  </si>
  <si>
    <t>I10867</t>
  </si>
  <si>
    <t>FLANGE CEGO FoFo C/ FUROS DN 900 PN16</t>
  </si>
  <si>
    <t>I10882</t>
  </si>
  <si>
    <t>FLANGE CEGO FoFo C/ FUROS DN 900 PN25</t>
  </si>
  <si>
    <t>I6871</t>
  </si>
  <si>
    <t>FLANGE LIVRE C/F P/ CONEX. PVC PBS DN 100</t>
  </si>
  <si>
    <t>I6872</t>
  </si>
  <si>
    <t>FLANGE LIVRE C/F P/ CONEX. PVC PBS DN 50</t>
  </si>
  <si>
    <t>I6873</t>
  </si>
  <si>
    <t>FLANGE LIVRE C/F P/ CONEX. PVC PBS DN 75</t>
  </si>
  <si>
    <t>I6874</t>
  </si>
  <si>
    <t>FLANGE LIVRE C/F P/ TUBOS PVC PBS DN 100</t>
  </si>
  <si>
    <t>I6875</t>
  </si>
  <si>
    <t>FLANGE LIVRE C/F P/ TUBOS PVC PBS DN 150</t>
  </si>
  <si>
    <t>I6876</t>
  </si>
  <si>
    <t>FLANGE LIVRE C/F P/ TUBOS PVC PBS DN 50</t>
  </si>
  <si>
    <t>I6877</t>
  </si>
  <si>
    <t>FLANGE LIVRE C/F P/ TUBOS PVC PBS DN 75</t>
  </si>
  <si>
    <t>I6878</t>
  </si>
  <si>
    <t>FLANGE LIVRE S/F P/ CONEX. PVC PBS DN 100</t>
  </si>
  <si>
    <t>I6879</t>
  </si>
  <si>
    <t>FLANGE LIVRE S/F P/ CONEX. PVC PBS DN 75</t>
  </si>
  <si>
    <t>I6880</t>
  </si>
  <si>
    <t>FLANGE LIVRE S/F P/ TUBOS PVC PBS DN 100</t>
  </si>
  <si>
    <t>I6881</t>
  </si>
  <si>
    <t>FLANGE LIVRE S/F P/ TUBOS PVC PBS DN 50</t>
  </si>
  <si>
    <t>I6882</t>
  </si>
  <si>
    <t>FLANGE LIVRE S/F P/ TUBOS PVC PBS DN 75</t>
  </si>
  <si>
    <t>I9796</t>
  </si>
  <si>
    <t>FLANGE PARA TUBO DE AÇO INOX DE 3”</t>
  </si>
  <si>
    <t>I7333</t>
  </si>
  <si>
    <t>FLUTUADOR PARA TUBO PEAD EM FIBRA DN 250 mm</t>
  </si>
  <si>
    <t>I7470</t>
  </si>
  <si>
    <t>FLUTUANTE EM PRFV COM CAP. ATÉ 1.000Kg</t>
  </si>
  <si>
    <t>I9797</t>
  </si>
  <si>
    <t>FONTE DE ALIMENTAÇÃO CHAVEADA 220VCA/24VCC  5A</t>
  </si>
  <si>
    <t>I9798</t>
  </si>
  <si>
    <t>FONTE DE ALIMENTAÇÃO CHAVEADA 220VCA/24VCC 10A</t>
  </si>
  <si>
    <t>I9800</t>
  </si>
  <si>
    <t>FORNECIMENTO E MONTAGEM DE DEFLETOR EM FIBRA DE VIDRO, ESP. 10MM</t>
  </si>
  <si>
    <t>I9801</t>
  </si>
  <si>
    <t>FORNECIMENTO E MONTAGEM DE SEPARADOR DE FASE EM FIBRA, ESP. 10MM</t>
  </si>
  <si>
    <t>I9802</t>
  </si>
  <si>
    <t>FUNIL EM FIBRA DE VIDRO COM ALTURA 30CM ABERTURA MAIOR 20CM E MENOR 3,2CM</t>
  </si>
  <si>
    <t>I9803</t>
  </si>
  <si>
    <t>FUSÍVEL CARTUCHO 20A</t>
  </si>
  <si>
    <t>I6393</t>
  </si>
  <si>
    <t>FÁBRICA DE CLORO MODELO HIDROGEROX HG 3000 COM CAPACIDADE DE 3.000g/dia/CLORO, CONSUMO DE SAL DE 9 kg/dia, COMPOSTA DE 01 (UM) REATOR, 01 (UMA) FONTE DE TENSÃO 220V, VAZÃO DE 35 m3/h E DOSAGEM DE 3,7 ppm, INCLUINDO FORNECIMENTO E MONTAGEM</t>
  </si>
  <si>
    <t>I6392</t>
  </si>
  <si>
    <t>FÁBRICA DE CLORO MODELO HIDROGEROX HG plus 12 COM CAPACIDADE DE 12.000g/dia/CLORO, CONSUMO DE SAL DE 36 kg/dia, COMPOSTA DE 01 (UM) REATOR, 01 (UMA) FONTE DE TENSÃO 220V, VAZÃO DE 75 m3/h E DOSAGEM DE 3,7 ppm, INCLUINDO FORNECIMENTO E MONTAGEM</t>
  </si>
  <si>
    <t>I6583</t>
  </si>
  <si>
    <t>FÁBRICA PARA GERAÇÃO E DOSAGEM DE CLORO COM DOSAGEM DE APLICAÇÃO DE 2 ppm E DOSAG</t>
  </si>
  <si>
    <t>I6585</t>
  </si>
  <si>
    <t>I8076</t>
  </si>
  <si>
    <t>I9804</t>
  </si>
  <si>
    <t>GOTEJADOR TIPO BOTÃO KATIF 3-4 L/H</t>
  </si>
  <si>
    <t>I9805</t>
  </si>
  <si>
    <t>GRADE EM FIBRA DE VIDRO PULTRUDADA E = 4 MM PERFIS GPS 25</t>
  </si>
  <si>
    <t>I13130</t>
  </si>
  <si>
    <t>GRADE EM FIBRA DE VIDRO PULTRUDADA PERFIS GPS 32</t>
  </si>
  <si>
    <t>M²</t>
  </si>
  <si>
    <t>I6423</t>
  </si>
  <si>
    <t>GRAMPO DE INOX P/ PRENDER FITA DE FIXAÇÃO</t>
  </si>
  <si>
    <t>I7003</t>
  </si>
  <si>
    <t>GRUPO GERADOR PARA MOTOR DE 100 CV PARTIDA SOFT START, AUTOMÁTICO C/ QUADRO DE REVERSÃO, COMPLETO, CONFORME TR-04</t>
  </si>
  <si>
    <t>I6997</t>
  </si>
  <si>
    <t>GRUPO GERADOR PARA MOTOR DE 12,5 A 15 CV PARTIDA SOFT START, AUTOMÁTICO C/ QUADRO DE REVERSÃO, COMPLETO, CONFORME TR-04</t>
  </si>
  <si>
    <t>I6994</t>
  </si>
  <si>
    <t>GRUPO GERADOR PARA MOTOR DE 2 CV PARTIDA DIRETA, AUTOMÁTICO C/ QUADRO DE REVERSÃO, COMPLETO, CONFORME TR-04</t>
  </si>
  <si>
    <t>I6998</t>
  </si>
  <si>
    <t>GRUPO GERADOR PARA MOTOR DE 20 A 25 CV PARTIDA SOFT START, AUTOMÁTICO C/ QUADRO DE REVERSÃO, COMPLETO, CONFORME TR-04</t>
  </si>
  <si>
    <t>I6999</t>
  </si>
  <si>
    <t>GRUPO GERADOR PARA MOTOR DE 25 A 30 CV PARTIDA SOFT START, AUTOMÁTICO C/ QUADRO DE REVERSÃO, COMPLETO, CONFORME TR-04</t>
  </si>
  <si>
    <t>I6995</t>
  </si>
  <si>
    <t>GRUPO GERADOR PARA MOTOR DE 3 A 5 CV PARTIDA DIRETA, AUTOMÁTICO C/ QUADRO DE REVERSÃO, COMPLETO, CONFORME TR-04</t>
  </si>
  <si>
    <t>I7000</t>
  </si>
  <si>
    <t>GRUPO GERADOR PARA MOTOR DE 40 A 50 CV PARTIDA SOFT START, AUTOMÁTICO C/ QUADRO DE REVERSÃO, COMPLETO, CONFORME TR-04</t>
  </si>
  <si>
    <t>I7001</t>
  </si>
  <si>
    <t>GRUPO GERADOR PARA MOTOR DE 60 CV PARTIDA SOFT START, AUTOMÁTICO C/ QUADRO DE REVERSÃO, COMPLETO, CONFORME TR-04</t>
  </si>
  <si>
    <t>I6996</t>
  </si>
  <si>
    <t>GRUPO GERADOR PARA MOTOR DE 7,5 A 10 CV PARTIDA SOFT START, AUTOMÁTICO C/ QUADRO DE REVERSÃO, COMPLETO, CONFORME TR-04</t>
  </si>
  <si>
    <t>I7002</t>
  </si>
  <si>
    <t>GRUPO GERADOR PARA MOTOR DE 75 CV PARTIDA SOFT START, AUTOMÁTICO C/ QUADRO DE REVERSÃO, COMPLETO, CONFORME TR-04</t>
  </si>
  <si>
    <t>I13170</t>
  </si>
  <si>
    <t>GUARDA CORPO EM AÇO INOX 304</t>
  </si>
  <si>
    <t>I9060</t>
  </si>
  <si>
    <t>I9374</t>
  </si>
  <si>
    <t>GUARNIÇÃO DN 20 MM P/ TUBETE</t>
  </si>
  <si>
    <t>I10468</t>
  </si>
  <si>
    <t>GUINDASTE EM AÇO CARBONO COM CAP. 250kg, LANÇA DE 2,50m, ÂNGULO DE GIRO DE 0º A 270º</t>
  </si>
  <si>
    <t>I10469</t>
  </si>
  <si>
    <t>GUINDASTE EM AÇO CARBONO COM CAP. 250kg, LANÇA DE 3,00m, ÂNGULO DE GIRO DE 0º A 270º</t>
  </si>
  <si>
    <t>I10470</t>
  </si>
  <si>
    <t>GUINDASTE EM AÇO CARBONO COM CAP. 250kg, LANÇA DE 4,00m, ÂNGULO DE GIRO DE 0º A 270º</t>
  </si>
  <si>
    <t>I9806</t>
  </si>
  <si>
    <t>HASTE DE PROLONGAMENTO C/ QUADRO E BOCA DE CHAVE 1 1/8"</t>
  </si>
  <si>
    <t>I8083</t>
  </si>
  <si>
    <t>HASTE DE TERRA EM AÇO COBREADO, COM SEÇÃO CIRCULAR MÍNIMA DE 13 x 2000mm</t>
  </si>
  <si>
    <t>I4900</t>
  </si>
  <si>
    <t>HASTE PROLONG. C/ ROSCA/ROSCA DN 1.1/8 L=1,00m</t>
  </si>
  <si>
    <t>I4901</t>
  </si>
  <si>
    <t>HASTE PROLONG. C/ ROSCA/ROSCA DN 1.3/4 L=1,00m</t>
  </si>
  <si>
    <t>I4902</t>
  </si>
  <si>
    <t>HASTE PROLONG. C/ ROSCA/ROSCA DN 2 x 1 L=1,00m</t>
  </si>
  <si>
    <t>I4903</t>
  </si>
  <si>
    <t>HASTE PROLONG. C/ ROSCA/ROSCA DN 2.1/2 L=1,00m</t>
  </si>
  <si>
    <t>I4896</t>
  </si>
  <si>
    <t>HASTE PROLONG.C/ROSCA BOCA CHAVE DN 1.1/8 L=1,00m</t>
  </si>
  <si>
    <t>I4897</t>
  </si>
  <si>
    <t>HASTE PROLONG.C/ROSCA BOCA CHAVE DN 1.3/4 L=1,00m</t>
  </si>
  <si>
    <t>I4898</t>
  </si>
  <si>
    <t>HASTE PROLONG.C/ROSCA BOCA CHAVE DN 2 x 1 L=1,00m</t>
  </si>
  <si>
    <t>I4899</t>
  </si>
  <si>
    <t>HASTE PROLONG.C/ROSCA BOCA CHAVE DN 2.1/2 L=1,00m</t>
  </si>
  <si>
    <t>I4892</t>
  </si>
  <si>
    <t>HASTE PROLONG.QUADRADO BOCA/CHAVE DN 1.1/8 L=1,00m</t>
  </si>
  <si>
    <t>I4893</t>
  </si>
  <si>
    <t>HASTE PROLONG.QUADRADO BOCA/CHAVE DN 1.3/4 L=1,00m</t>
  </si>
  <si>
    <t>I4894</t>
  </si>
  <si>
    <t>HASTE PROLONG.QUADRADO BOCA/CHAVE DN 2 x 1 L=1,00m</t>
  </si>
  <si>
    <t>I4895</t>
  </si>
  <si>
    <t>HASTE PROLONG.QUADRADO BOCA/CHAVE DN 2.1/2 L=1,00m</t>
  </si>
  <si>
    <t>I4905</t>
  </si>
  <si>
    <t>HIDRANTE DE COLUNA COM CURVA DN 100</t>
  </si>
  <si>
    <t>I4904</t>
  </si>
  <si>
    <t>HIDRANTE DE COLUNA COM CURVA DN 75</t>
  </si>
  <si>
    <t>I7127</t>
  </si>
  <si>
    <t>HIDRANTE DE COLUNA COM CURVA DN 80</t>
  </si>
  <si>
    <t>I4907</t>
  </si>
  <si>
    <t>HIDRANTE DE COLUNA COMPL.C/CURVA DISSIMETRICA DN 100</t>
  </si>
  <si>
    <t>I4906</t>
  </si>
  <si>
    <t>HIDRANTE DE COLUNA COMPL.C/CURVA DISSIMETRICA DN 75</t>
  </si>
  <si>
    <t>I7126</t>
  </si>
  <si>
    <t>HIDRANTE DE COLUNA COMPL.C/CURVA DISSIMETRICA DN 80</t>
  </si>
  <si>
    <t>I4908</t>
  </si>
  <si>
    <t>HIDRANTE DE COLUNA SIMPLES DN 100</t>
  </si>
  <si>
    <t>I4909</t>
  </si>
  <si>
    <t>HIDRANTE SUBTERRÂNEO C/ CURVA CURTA DN 75 x 60</t>
  </si>
  <si>
    <t>I4910</t>
  </si>
  <si>
    <t>HIDRANTE SUBTERRÂNEO C/ CURVA LONGA DN 75 x 60</t>
  </si>
  <si>
    <t>I4911</t>
  </si>
  <si>
    <t>HIDRANTE SUBTERRÂNEO C/CURVA CURTA E CAIXA DN 75 x 60</t>
  </si>
  <si>
    <t>I4912</t>
  </si>
  <si>
    <t>HIDRANTE SUBTERRÂNEO C/CURVA LONGA E CAIXA DN 75 x 60</t>
  </si>
  <si>
    <t>I2948</t>
  </si>
  <si>
    <t>HIDROM  TIPO TAQUIMÉTRICO  30 m3/h, 2" -  COMPLETO</t>
  </si>
  <si>
    <t>I2946</t>
  </si>
  <si>
    <t>HIDROM  TIPO TAQUIMÉTRICO 10 m3/h, 1"- COMPLETO</t>
  </si>
  <si>
    <t>I2947</t>
  </si>
  <si>
    <t>HIDROM TIPO TAQUIMÉTRICO  20 m3/h, 1 1/2" -  COMPLETO</t>
  </si>
  <si>
    <t>I2945</t>
  </si>
  <si>
    <t>HIDROM TIPO TAQUIMÉTRICO  7 m3/h, 1" - COMPLETO</t>
  </si>
  <si>
    <t>I2943</t>
  </si>
  <si>
    <t>HIDROM TIPO TAQUIMÉTRICO 3 m3/h, 3/4"- COMPLETO</t>
  </si>
  <si>
    <t>I2944</t>
  </si>
  <si>
    <t>HIDROM TIPO TAQUIMÉTRICO 5 m3/h, 3/4"- COMPLETO</t>
  </si>
  <si>
    <t>I8668</t>
  </si>
  <si>
    <t>HIDRÔMETRO TIPO WOLTMANN HORIZONTAL Qn=150m³/h, Dn 150mm - COMPLETO</t>
  </si>
  <si>
    <t>I8666</t>
  </si>
  <si>
    <t>HIDRÔMETRO TIPO WOLTMANN HORIZONTAL Qn=40m³/h, Dn 80mm - COMPLETO</t>
  </si>
  <si>
    <t>I8667</t>
  </si>
  <si>
    <t>HIDRÔMETRO TIPO WOLTMANN HORIZONTAL Qn=60m³/h, Dn 100mm - COMPLETO</t>
  </si>
  <si>
    <t>I9807</t>
  </si>
  <si>
    <t>IHM TOUCH SCREEN COLORIDA  5.7"</t>
  </si>
  <si>
    <t>I9808</t>
  </si>
  <si>
    <t>IHM TOUCH SCREEN COLORIDA  7"</t>
  </si>
  <si>
    <t>I9809</t>
  </si>
  <si>
    <t>IHM TOUCH SCREEN COLORIDA 10.1"</t>
  </si>
  <si>
    <t>I9810</t>
  </si>
  <si>
    <t>INDICADORES PARA PAINEL DE SINAL ANALÓGICO 4-20MA, COM REPETIÇÃO ANALÓGICA E COMUNICAÇÃO MODBUS, ALIMENTAÇÃO 24VCC.</t>
  </si>
  <si>
    <t>I9813</t>
  </si>
  <si>
    <t>INJETOR DE ADUBO TIPO VENTURI 3/4"</t>
  </si>
  <si>
    <t>I9814</t>
  </si>
  <si>
    <t>INSTALAÇÃO E FORNECIMENTO DE GUINDASTE GIRATÓRIO ( 0 À 360º) COM COLUNA, LANÇA 1,50 M. TALHA CAP. 250 KG</t>
  </si>
  <si>
    <t>I9815</t>
  </si>
  <si>
    <t>INSTALAÇÃO E FORNECIMENTO DE GUINDASTE GIRATÓRIO ( 0 À 360º) COM COLUNA, LANÇA 3,00 M. TALHA CAP. 250 KG</t>
  </si>
  <si>
    <t>I9816</t>
  </si>
  <si>
    <t>INSTALAÇÃO E FORNECIMENTO DE GUINDASTE GIRATÓRIO ( 0 À 360º) COM COLUNA, LANÇA 3,00 M. TALHA CAP. 500 KG</t>
  </si>
  <si>
    <t>I9817</t>
  </si>
  <si>
    <t>INSTALAÇÃO E FORNECIMENTO DE PONTE ROLANTE COM TALHA/TROLLEY ELETRICO COM CAPACIDADE DE 2,0 T</t>
  </si>
  <si>
    <t>I9818</t>
  </si>
  <si>
    <t>INVERSOR DE FREQUÊNCIA 7,5CV/380V COM FILTRO INCLUSO</t>
  </si>
  <si>
    <t>I9811</t>
  </si>
  <si>
    <t>INÍCIO DE LINHA PARA TUBO PEBD E MANGUEIRA GOTEJADORA DN16</t>
  </si>
  <si>
    <t>I9812</t>
  </si>
  <si>
    <t>INÍCIO DE LINHA PARA TUBO PELBD DN25</t>
  </si>
  <si>
    <t>I8958</t>
  </si>
  <si>
    <t>ISOLADOR DE SUSPENSÃO POLIMÉRICO, 15KV</t>
  </si>
  <si>
    <t>I8081</t>
  </si>
  <si>
    <t>ISOLADOR DE SUSPENSÃO, VIDRO OU PORCELANA, 15 kV</t>
  </si>
  <si>
    <t>I8515</t>
  </si>
  <si>
    <t>ISOLADOR REFORÇADO 200mm FIXAÇÃO HORIZONTAL</t>
  </si>
  <si>
    <t>I8514</t>
  </si>
  <si>
    <t>ISOLADOR SIMPLES DE USO GERAL 200mm ROSCA MECÂNICA</t>
  </si>
  <si>
    <t>I8522</t>
  </si>
  <si>
    <t>ISOLADOR SIMPLES PARA MASTRO 2" COM 1 DESCIDA</t>
  </si>
  <si>
    <t>I8523</t>
  </si>
  <si>
    <t>ISOLADOR SIMPLES PARA MASTRO 2" COM 2 DESCIDAS</t>
  </si>
  <si>
    <t>I9819</t>
  </si>
  <si>
    <t>JOELHO 45 PVC SOLDÁVEL DE 50MM</t>
  </si>
  <si>
    <t>I6883</t>
  </si>
  <si>
    <t>JOELHO 45° PVC PBS DN 150</t>
  </si>
  <si>
    <t>I9820</t>
  </si>
  <si>
    <t>JOELHO 90 PRFV DN 150</t>
  </si>
  <si>
    <t>I9821</t>
  </si>
  <si>
    <t>JOELHO 90 PVC SOLDÁVEL DE 50MM</t>
  </si>
  <si>
    <t>I9822</t>
  </si>
  <si>
    <t>JOELHO 90 PVC SOLDÁVEL DE 75MM</t>
  </si>
  <si>
    <t>I6884</t>
  </si>
  <si>
    <t>JOELHO 90° PVC PBS DN 150</t>
  </si>
  <si>
    <t>I7885</t>
  </si>
  <si>
    <t>JOELHO ADAPTADOR EM POLIPROPILENO 20x3/4</t>
  </si>
  <si>
    <t>I9823</t>
  </si>
  <si>
    <t>JOELHO AÇO INOX 90º 2”</t>
  </si>
  <si>
    <t>I9824</t>
  </si>
  <si>
    <t>JUNTA ANTIVIBRATÓRIA FLANGE/FLANGE DN 100</t>
  </si>
  <si>
    <t>I9825</t>
  </si>
  <si>
    <t>JUNTA ANTIVIBRATÓRIA FLANGE/FLANGE DN 150</t>
  </si>
  <si>
    <t>I9826</t>
  </si>
  <si>
    <t>JUNTA DE DESMONTAGEM TRAVADA AXIALMENTE PN10 DN 100</t>
  </si>
  <si>
    <t>I9827</t>
  </si>
  <si>
    <t>JUNTA DE DESMONTAGEM TRAVADA AXIALMENTE PN10 DN 150</t>
  </si>
  <si>
    <t>I9828</t>
  </si>
  <si>
    <t>JUNTA DE DESMONTAGEM TRAVADA AXIALMENTE PN10 DN 350</t>
  </si>
  <si>
    <t>I10949</t>
  </si>
  <si>
    <t>JUNTA DE DESMONTAGEM TRAVADA AXIALMENTE PN10 DN1000</t>
  </si>
  <si>
    <t>I10950</t>
  </si>
  <si>
    <t>JUNTA DE DESMONTAGEM TRAVADA AXIALMENTE PN10 DN1200</t>
  </si>
  <si>
    <t>I10951</t>
  </si>
  <si>
    <t>JUNTA DE DESMONTAGEM TRAVADA AXIALMENTE PN10 DN1500</t>
  </si>
  <si>
    <t>I4006</t>
  </si>
  <si>
    <t>JUNTA DE DESMONTAGEM TRAVADA AXIALMENTE PN10 DN200</t>
  </si>
  <si>
    <t>I7616</t>
  </si>
  <si>
    <t>JUNTA DE DESMONTAGEM TRAVADA AXIALMENTE PN10 DN250</t>
  </si>
  <si>
    <t>I4007</t>
  </si>
  <si>
    <t>JUNTA DE DESMONTAGEM TRAVADA AXIALMENTE PN10 DN300</t>
  </si>
  <si>
    <t>I4008</t>
  </si>
  <si>
    <t>JUNTA DE DESMONTAGEM TRAVADA AXIALMENTE PN10 DN400</t>
  </si>
  <si>
    <t>I4009</t>
  </si>
  <si>
    <t>JUNTA DE DESMONTAGEM TRAVADA AXIALMENTE PN10 DN500</t>
  </si>
  <si>
    <t>I10945</t>
  </si>
  <si>
    <t>JUNTA DE DESMONTAGEM TRAVADA AXIALMENTE PN10 DN600</t>
  </si>
  <si>
    <t>I10946</t>
  </si>
  <si>
    <t>JUNTA DE DESMONTAGEM TRAVADA AXIALMENTE PN10 DN700</t>
  </si>
  <si>
    <t>I10947</t>
  </si>
  <si>
    <t>JUNTA DE DESMONTAGEM TRAVADA AXIALMENTE PN10 DN800</t>
  </si>
  <si>
    <t>I10948</t>
  </si>
  <si>
    <t>JUNTA DE DESMONTAGEM TRAVADA AXIALMENTE PN10 DN900</t>
  </si>
  <si>
    <t>I10955</t>
  </si>
  <si>
    <t>JUNTA DE DESMONTAGEM TRAVADA AXIALMENTE PN16 DN 1000</t>
  </si>
  <si>
    <t>I10956</t>
  </si>
  <si>
    <t>JUNTA DE DESMONTAGEM TRAVADA AXIALMENTE PN16 DN 1200</t>
  </si>
  <si>
    <t>I10957</t>
  </si>
  <si>
    <t>JUNTA DE DESMONTAGEM TRAVADA AXIALMENTE PN16 DN 1500</t>
  </si>
  <si>
    <t>I9829</t>
  </si>
  <si>
    <t>JUNTA DE DESMONTAGEM TRAVADA AXIALMENTE PN16 DN 600</t>
  </si>
  <si>
    <t>I10953</t>
  </si>
  <si>
    <t>JUNTA DE DESMONTAGEM TRAVADA AXIALMENTE PN16 DN 800</t>
  </si>
  <si>
    <t>I9830</t>
  </si>
  <si>
    <t>I10954</t>
  </si>
  <si>
    <t>JUNTA DE DESMONTAGEM TRAVADA AXIALMENTE PN16 DN 900</t>
  </si>
  <si>
    <t>I4010</t>
  </si>
  <si>
    <t>JUNTA DE DESMONTAGEM TRAVADA AXIALMENTE PN16 DN100</t>
  </si>
  <si>
    <t>I7617</t>
  </si>
  <si>
    <t>JUNTA DE DESMONTAGEM TRAVADA AXIALMENTE PN16 DN150</t>
  </si>
  <si>
    <t>I4011</t>
  </si>
  <si>
    <t>JUNTA DE DESMONTAGEM TRAVADA AXIALMENTE PN16 DN200</t>
  </si>
  <si>
    <t>I7618</t>
  </si>
  <si>
    <t>JUNTA DE DESMONTAGEM TRAVADA AXIALMENTE PN16 DN250</t>
  </si>
  <si>
    <t>I4012</t>
  </si>
  <si>
    <t>JUNTA DE DESMONTAGEM TRAVADA AXIALMENTE PN16 DN300</t>
  </si>
  <si>
    <t>I10952</t>
  </si>
  <si>
    <t>JUNTA DE DESMONTAGEM TRAVADA AXIALMENTE PN16 DN350</t>
  </si>
  <si>
    <t>I4013</t>
  </si>
  <si>
    <t>JUNTA DE DESMONTAGEM TRAVADA AXIALMENTE PN16 DN400</t>
  </si>
  <si>
    <t>I4014</t>
  </si>
  <si>
    <t>JUNTA DE DESMONTAGEM TRAVADA AXIALMENTE PN16 DN500</t>
  </si>
  <si>
    <t>I10970</t>
  </si>
  <si>
    <t>JUNTA DE DESMONTAGEM TRAVADA AXIALMENTE PN25 DN 1000</t>
  </si>
  <si>
    <t>I10971</t>
  </si>
  <si>
    <t>JUNTA DE DESMONTAGEM TRAVADA AXIALMENTE PN25 DN 1200</t>
  </si>
  <si>
    <t>I10972</t>
  </si>
  <si>
    <t>JUNTA DE DESMONTAGEM TRAVADA AXIALMENTE PN25 DN 1500</t>
  </si>
  <si>
    <t>I10966</t>
  </si>
  <si>
    <t>JUNTA DE DESMONTAGEM TRAVADA AXIALMENTE PN25 DN 600</t>
  </si>
  <si>
    <t>I10967</t>
  </si>
  <si>
    <t>JUNTA DE DESMONTAGEM TRAVADA AXIALMENTE PN25 DN 700</t>
  </si>
  <si>
    <t>I10968</t>
  </si>
  <si>
    <t>JUNTA DE DESMONTAGEM TRAVADA AXIALMENTE PN25 DN 800</t>
  </si>
  <si>
    <t>I10969</t>
  </si>
  <si>
    <t>JUNTA DE DESMONTAGEM TRAVADA AXIALMENTE PN25 DN 900</t>
  </si>
  <si>
    <t>I10958</t>
  </si>
  <si>
    <t>JUNTA DE DESMONTAGEM TRAVADA AXIALMENTE PN25 DN100</t>
  </si>
  <si>
    <t>I10959</t>
  </si>
  <si>
    <t>JUNTA DE DESMONTAGEM TRAVADA AXIALMENTE PN25 DN150</t>
  </si>
  <si>
    <t>I10960</t>
  </si>
  <si>
    <t>JUNTA DE DESMONTAGEM TRAVADA AXIALMENTE PN25 DN200</t>
  </si>
  <si>
    <t>I10961</t>
  </si>
  <si>
    <t>JUNTA DE DESMONTAGEM TRAVADA AXIALMENTE PN25 DN250</t>
  </si>
  <si>
    <t>I10962</t>
  </si>
  <si>
    <t>JUNTA DE DESMONTAGEM TRAVADA AXIALMENTE PN25 DN300</t>
  </si>
  <si>
    <t>I10963</t>
  </si>
  <si>
    <t>JUNTA DE DESMONTAGEM TRAVADA AXIALMENTE PN25 DN350</t>
  </si>
  <si>
    <t>I10964</t>
  </si>
  <si>
    <t>JUNTA DE DESMONTAGEM TRAVADA AXIALMENTE PN25 DN400</t>
  </si>
  <si>
    <t>I10965</t>
  </si>
  <si>
    <t>JUNTA DE DESMONTAGEM TRAVADA AXIALMENTE PN25 DN500</t>
  </si>
  <si>
    <t>I9831</t>
  </si>
  <si>
    <t>JUNTA DE DILATAÇÃO COM FLANGES 4"</t>
  </si>
  <si>
    <t>I9832</t>
  </si>
  <si>
    <t>JUNTA DE EXPANSÃO ANTIVIBRATÓRIA DN 100</t>
  </si>
  <si>
    <t>I9833</t>
  </si>
  <si>
    <t>JUNTA DE EXPANSÃO SANFONADA ANTIVIBRATÓRIA PN10 COM ABA PARA FLANGE DN 100</t>
  </si>
  <si>
    <t>I9834</t>
  </si>
  <si>
    <t>JUNTA DE EXPANSÃO SANFONADA ANTIVIBRATÓRIA PN10 COM ABA PARA FLANGE DN 150</t>
  </si>
  <si>
    <t>I9835</t>
  </si>
  <si>
    <t>JUNTA DE EXPANSÃO SANFONADA ANTIVIBRATÓRIA PN10 COM ABA PARA FLANGE DN 200</t>
  </si>
  <si>
    <t>I9836</t>
  </si>
  <si>
    <t>JUNTA DE EXPANSÃO SANFONADA ANTIVIBRATÓRIA PN10 COM ABA PARA FLANGE DN 250</t>
  </si>
  <si>
    <t>I9837</t>
  </si>
  <si>
    <t>JUNTA DE EXPANSÃO SANFONADA ANTIVIBRATÓRIA PN15 COM ABA PARA FLANGE DN 250</t>
  </si>
  <si>
    <t>I6448</t>
  </si>
  <si>
    <t>JUNTA DRESSERCOM HARNESS, FABRICADA EM AÇO CARBONO ASTM A 36, DN 100mm, DIMENSÕES CONFORME AWWA M 11, REVESTIMENTO INTERNO CONFORME AWWA C - 210 E EXTERNO CONFORME AWWA C - 204</t>
  </si>
  <si>
    <t>I6449</t>
  </si>
  <si>
    <t>JUNTA DRESSERCOM HARNESS, FABRICADA EM AÇO CARBONO ASTM A 36, DN 150mm, DIMENSÕES CONFORME AWWA M 11, REVESTIMENTO INTERNO CONFORME AWWA C - 210 E EXTERNO CONFORME AWWA C - 204</t>
  </si>
  <si>
    <t>I6463</t>
  </si>
  <si>
    <t>JUNTA DRESSERCOM HARNESS, FABRICADA EM AÇO CARBONO ASTM A 36, DN 200mm, DIMENSÕES CONFORME AWWA M 11, REVESTIMENTO INTERNO CONFORME AWWA C - 210 E EXTERNO CONFORME AWWA C - 204</t>
  </si>
  <si>
    <t>I6484</t>
  </si>
  <si>
    <t>JUNTA DRESSERCOM HARNESS, FABRICADA EM AÇO CARBONO ASTM A 36, DN 250mm, DIMENSÕES CONFORME AWWA M 11, REVESTIMENTO INTERNO CONFORME AWWA C - 210 E EXTERNO CONFORME AWWA C - 204</t>
  </si>
  <si>
    <t>I6485</t>
  </si>
  <si>
    <t>JUNTA DRESSERCOM HARNESS, FABRICADA EM AÇO CARBONO ASTM A 36, DN 300mm, DIMENSÕES CONFORME AWWA M 11, REVESTIMENTO INTERNO CONFORME AWWA C - 210 E EXTERNO CONFORME AWWA C - 204</t>
  </si>
  <si>
    <t>I6486</t>
  </si>
  <si>
    <t>JUNTA DRESSERCOM HARNESS, FABRICADA EM AÇO CARBONO ASTM A 36, DN 400mm, DIMENSÕES CONFORME AWWA M 11, REVESTIMENTO INTERNO CONFORME AWWA C - 210 E EXTERNO CONFORME AWWA C - 204</t>
  </si>
  <si>
    <t>I6487</t>
  </si>
  <si>
    <t>JUNTA DRESSERCOM HARNESS, FABRICADA EM AÇO CARBONO ASTM A 36, DN 500mm, DIMENSÕES CONFORME AWWA M 11, REVESTIMENTO INTERNO CONFORME AWWA C - 210 E EXTERNO CONFORME AWWA C - 204</t>
  </si>
  <si>
    <t>I6488</t>
  </si>
  <si>
    <t>JUNTA DRESSERCOM HARNESS, FABRICADA EM AÇO CARBONO ASTM A 36, DN 600mm, DIMENSÕES CONFORME AWWA M 11, REVESTIMENTO INTERNO CONFORME AWWA C - 210 E EXTERNO CONFORME AWWA C - 204</t>
  </si>
  <si>
    <t>I3892</t>
  </si>
  <si>
    <t>JUNTA GIBAULT DN 100</t>
  </si>
  <si>
    <t>I3893</t>
  </si>
  <si>
    <t>JUNTA GIBAULT DN 150</t>
  </si>
  <si>
    <t>I3894</t>
  </si>
  <si>
    <t>JUNTA GIBAULT DN 200</t>
  </si>
  <si>
    <t>I3895</t>
  </si>
  <si>
    <t>JUNTA GIBAULT DN 250</t>
  </si>
  <si>
    <t>I3896</t>
  </si>
  <si>
    <t>JUNTA GIBAULT DN 300</t>
  </si>
  <si>
    <t>I3897</t>
  </si>
  <si>
    <t>JUNTA GIBAULT DN 350</t>
  </si>
  <si>
    <t>I3898</t>
  </si>
  <si>
    <t>JUNTA GIBAULT DN 400</t>
  </si>
  <si>
    <t>I3899</t>
  </si>
  <si>
    <t>JUNTA GIBAULT DN 450</t>
  </si>
  <si>
    <t>I3890</t>
  </si>
  <si>
    <t>JUNTA GIBAULT DN 50</t>
  </si>
  <si>
    <t>I3900</t>
  </si>
  <si>
    <t>JUNTA GIBAULT DN 500</t>
  </si>
  <si>
    <t>I3901</t>
  </si>
  <si>
    <t>JUNTA GIBAULT DN 600</t>
  </si>
  <si>
    <t>I3891</t>
  </si>
  <si>
    <t>JUNTA GIBAULT DN 75</t>
  </si>
  <si>
    <t>I7131</t>
  </si>
  <si>
    <t>JUNTA GIBAULT DN 80</t>
  </si>
  <si>
    <t>I9838</t>
  </si>
  <si>
    <t>JUNTA TIPO DRESSER DN 1500 MODELO 38/T</t>
  </si>
  <si>
    <t>I9839</t>
  </si>
  <si>
    <t>JUNTA TIPO DRESSER TELESCÓPICA DN 1500 - MODELO 63, PROJETADA PARA PERMITIR ATÉ 200MM DE MOVIMENTO AXIAL</t>
  </si>
  <si>
    <t>I9840</t>
  </si>
  <si>
    <t>JUNTA TIPO DRESSER TELESCÓPICA DN 1600 - MODELO 63, PROJETADA PARA PERMITIR ATÉ 200MM DE MOVIMENTO AXIAL</t>
  </si>
  <si>
    <t>I9841</t>
  </si>
  <si>
    <t>JUNTA TIPO DRESSER TELESCÓPICA DN 1800 - MODELO 63, PROJETADA PARA PERMITIR ATÉ 200MM DE MOVIMENTO AXIAL</t>
  </si>
  <si>
    <t>I3875</t>
  </si>
  <si>
    <t>JUNÇÃO 45 FoFo FFF DN 100 x 100 PN10</t>
  </si>
  <si>
    <t>I10919</t>
  </si>
  <si>
    <t>JUNÇÃO 45 FoFo FFF DN 100 x 100 PN25</t>
  </si>
  <si>
    <t>I3874</t>
  </si>
  <si>
    <t>JUNÇÃO 45 FoFo FFF DN 100 x 75 PN10</t>
  </si>
  <si>
    <t>I7128</t>
  </si>
  <si>
    <t>JUNÇÃO 45 FoFo FFF DN 100 x 80 PN10</t>
  </si>
  <si>
    <t>I10918</t>
  </si>
  <si>
    <t>JUNÇÃO 45 FoFo FFF DN 100 x 80 PN25</t>
  </si>
  <si>
    <t>I3876</t>
  </si>
  <si>
    <t>JUNÇÃO 45 FoFo FFF DN 150 x 100 PN10</t>
  </si>
  <si>
    <t>I10922</t>
  </si>
  <si>
    <t>JUNÇÃO 45 FoFo FFF DN 150 x 100 PN25</t>
  </si>
  <si>
    <t>I3877</t>
  </si>
  <si>
    <t>JUNÇÃO 45 FoFo FFF DN 150 x 150 PN10</t>
  </si>
  <si>
    <t>I10923</t>
  </si>
  <si>
    <t>JUNÇÃO 45 FoFo FFF DN 150 x 150 PN25</t>
  </si>
  <si>
    <t>I10885</t>
  </si>
  <si>
    <t>JUNÇÃO 45 FoFo FFF DN 150 x 50 PN10/16</t>
  </si>
  <si>
    <t>I10920</t>
  </si>
  <si>
    <t>JUNÇÃO 45 FoFo FFF DN 150 x 50 PN25</t>
  </si>
  <si>
    <t>I10886</t>
  </si>
  <si>
    <t>JUNÇÃO 45 FoFo FFF DN 150 x 80 PN10/16</t>
  </si>
  <si>
    <t>I10921</t>
  </si>
  <si>
    <t>JUNÇÃO 45 FoFo FFF DN 150 x 80 PN25</t>
  </si>
  <si>
    <t>I3878</t>
  </si>
  <si>
    <t>JUNÇÃO 45 FoFo FFF DN 200 x 100 PN10</t>
  </si>
  <si>
    <t>I10898</t>
  </si>
  <si>
    <t>JUNÇÃO 45 FoFo FFF DN 200 x 100 PN16</t>
  </si>
  <si>
    <t>I10925</t>
  </si>
  <si>
    <t>JUNÇÃO 45 FoFo FFF DN 200 x 100 PN25</t>
  </si>
  <si>
    <t>I3879</t>
  </si>
  <si>
    <t>JUNÇÃO 45 FoFo FFF DN 200 x 150 PN10</t>
  </si>
  <si>
    <t>I10899</t>
  </si>
  <si>
    <t>JUNÇÃO 45 FoFo FFF DN 200 x 150 PN16</t>
  </si>
  <si>
    <t>I10926</t>
  </si>
  <si>
    <t>JUNÇÃO 45 FoFo FFF DN 200 x 150 PN25</t>
  </si>
  <si>
    <t>I3880</t>
  </si>
  <si>
    <t>JUNÇÃO 45 FoFo FFF DN 200 x 200 PN10</t>
  </si>
  <si>
    <t>I10900</t>
  </si>
  <si>
    <t>JUNÇÃO 45 FoFo FFF DN 200 x 200 PN16</t>
  </si>
  <si>
    <t>I10927</t>
  </si>
  <si>
    <t>JUNÇÃO 45 FoFo FFF DN 200 x 200 PN25</t>
  </si>
  <si>
    <t>I10887</t>
  </si>
  <si>
    <t>JUNÇÃO 45 FoFo FFF DN 200 x 80 PN10</t>
  </si>
  <si>
    <t>I10897</t>
  </si>
  <si>
    <t>JUNÇÃO 45 FoFo FFF DN 200 x 80 PN16</t>
  </si>
  <si>
    <t>I10924</t>
  </si>
  <si>
    <t>JUNÇÃO 45 FoFo FFF DN 200 x 80 PN25</t>
  </si>
  <si>
    <t>I3881</t>
  </si>
  <si>
    <t>JUNÇÃO 45 FoFo FFF DN 250 x 150 PN10</t>
  </si>
  <si>
    <t>I10901</t>
  </si>
  <si>
    <t>JUNÇÃO 45 FoFo FFF DN 250 x 150 PN16</t>
  </si>
  <si>
    <t>I10928</t>
  </si>
  <si>
    <t>JUNÇÃO 45 FoFo FFF DN 250 x 150 PN25</t>
  </si>
  <si>
    <t>I3882</t>
  </si>
  <si>
    <t>JUNÇÃO 45 FoFo FFF DN 250 x 200 PN10</t>
  </si>
  <si>
    <t>I10902</t>
  </si>
  <si>
    <t>JUNÇÃO 45 FoFo FFF DN 250 x 200 PN16</t>
  </si>
  <si>
    <t>I10929</t>
  </si>
  <si>
    <t>JUNÇÃO 45 FoFo FFF DN 250 x 200 PN25</t>
  </si>
  <si>
    <t>I3883</t>
  </si>
  <si>
    <t>JUNÇÃO 45 FoFo FFF DN 250 x 250 PN10</t>
  </si>
  <si>
    <t>I10903</t>
  </si>
  <si>
    <t>JUNÇÃO 45 FoFo FFF DN 250 x 250 PN16</t>
  </si>
  <si>
    <t>I10930</t>
  </si>
  <si>
    <t>JUNÇÃO 45 FoFo FFF DN 250 x 250 PN25</t>
  </si>
  <si>
    <t>I10888</t>
  </si>
  <si>
    <t>JUNÇÃO 45 FoFo FFF DN 300 x 150 PN10</t>
  </si>
  <si>
    <t>I10904</t>
  </si>
  <si>
    <t>JUNÇÃO 45 FoFo FFF DN 300 x 150 PN16</t>
  </si>
  <si>
    <t>I10931</t>
  </si>
  <si>
    <t>JUNÇÃO 45 FoFo FFF DN 300 x 150 PN25</t>
  </si>
  <si>
    <t>I3884</t>
  </si>
  <si>
    <t>JUNÇÃO 45 FoFo FFF DN 300 x 200 PN10</t>
  </si>
  <si>
    <t>I10905</t>
  </si>
  <si>
    <t>JUNÇÃO 45 FoFo FFF DN 300 x 200 PN16</t>
  </si>
  <si>
    <t>I10932</t>
  </si>
  <si>
    <t>JUNÇÃO 45 FoFo FFF DN 300 x 200 PN25</t>
  </si>
  <si>
    <t>I3885</t>
  </si>
  <si>
    <t>JUNÇÃO 45 FoFo FFF DN 300 x 250 PN10</t>
  </si>
  <si>
    <t>I10906</t>
  </si>
  <si>
    <t>JUNÇÃO 45 FoFo FFF DN 300 x 250 PN16</t>
  </si>
  <si>
    <t>I10933</t>
  </si>
  <si>
    <t>JUNÇÃO 45 FoFo FFF DN 300 x 250 PN25</t>
  </si>
  <si>
    <t>I3886</t>
  </si>
  <si>
    <t>JUNÇÃO 45 FoFo FFF DN 300 x 300 PN10</t>
  </si>
  <si>
    <t>I10907</t>
  </si>
  <si>
    <t>JUNÇÃO 45 FoFo FFF DN 300 x 300 PN16</t>
  </si>
  <si>
    <t>I10934</t>
  </si>
  <si>
    <t>JUNÇÃO 45 FoFo FFF DN 300 x 300 PN25</t>
  </si>
  <si>
    <t>I10889</t>
  </si>
  <si>
    <t>JUNÇÃO 45 FoFo FFF DN 350 x 350 PN10</t>
  </si>
  <si>
    <t>I10908</t>
  </si>
  <si>
    <t>JUNÇÃO 45 FoFo FFF DN 350 x 350 PN16</t>
  </si>
  <si>
    <t>I10935</t>
  </si>
  <si>
    <t>JUNÇÃO 45 FoFo FFF DN 350 x 350 PN25</t>
  </si>
  <si>
    <t>I10890</t>
  </si>
  <si>
    <t>JUNÇÃO 45 FoFo FFF DN 400 x 200 PN10</t>
  </si>
  <si>
    <t>I10909</t>
  </si>
  <si>
    <t>JUNÇÃO 45 FoFo FFF DN 400 x 200 PN16</t>
  </si>
  <si>
    <t>I10936</t>
  </si>
  <si>
    <t>JUNÇÃO 45 FoFo FFF DN 400 x 200 PN25</t>
  </si>
  <si>
    <t>I3887</t>
  </si>
  <si>
    <t>JUNÇÃO 45 FoFo FFF DN 400 x 300 PN10</t>
  </si>
  <si>
    <t>I10910</t>
  </si>
  <si>
    <t>JUNÇÃO 45 FoFo FFF DN 400 x 300 PN16</t>
  </si>
  <si>
    <t>I10937</t>
  </si>
  <si>
    <t>JUNÇÃO 45 FoFo FFF DN 400 x 300 PN25</t>
  </si>
  <si>
    <t>I3888</t>
  </si>
  <si>
    <t>JUNÇÃO 45 FoFo FFF DN 400 x 350 PN10</t>
  </si>
  <si>
    <t>I3889</t>
  </si>
  <si>
    <t>JUNÇÃO 45 FoFo FFF DN 400 x 400 PN10</t>
  </si>
  <si>
    <t>I10911</t>
  </si>
  <si>
    <t>JUNÇÃO 45 FoFo FFF DN 400 x 400 PN16</t>
  </si>
  <si>
    <t>I10938</t>
  </si>
  <si>
    <t>JUNÇÃO 45 FoFo FFF DN 400 x 400 PN25</t>
  </si>
  <si>
    <t>I10891</t>
  </si>
  <si>
    <t>JUNÇÃO 45 FoFo FFF DN 500 x 300 PN10</t>
  </si>
  <si>
    <t>I10912</t>
  </si>
  <si>
    <t>JUNÇÃO 45 FoFo FFF DN 500 x 300 PN16</t>
  </si>
  <si>
    <t>I10939</t>
  </si>
  <si>
    <t>JUNÇÃO 45 FoFo FFF DN 500 x 300 PN25</t>
  </si>
  <si>
    <t>I10892</t>
  </si>
  <si>
    <t>JUNÇÃO 45 FoFo FFF DN 500 x 400 PN10</t>
  </si>
  <si>
    <t>I10913</t>
  </si>
  <si>
    <t>JUNÇÃO 45 FoFo FFF DN 500 x 400 PN16</t>
  </si>
  <si>
    <t>I10940</t>
  </si>
  <si>
    <t>JUNÇÃO 45 FoFo FFF DN 500 x 400 PN25</t>
  </si>
  <si>
    <t>I10893</t>
  </si>
  <si>
    <t>JUNÇÃO 45 FoFo FFF DN 600 x 600 PN10</t>
  </si>
  <si>
    <t>I10914</t>
  </si>
  <si>
    <t>JUNÇÃO 45 FoFo FFF DN 600 x 600 PN16</t>
  </si>
  <si>
    <t>I10941</t>
  </si>
  <si>
    <t>JUNÇÃO 45 FoFo FFF DN 600 x 600 PN25</t>
  </si>
  <si>
    <t>I10894</t>
  </si>
  <si>
    <t>JUNÇÃO 45 FoFo FFF DN 700 x 700 PN10</t>
  </si>
  <si>
    <t>I10915</t>
  </si>
  <si>
    <t>JUNÇÃO 45 FoFo FFF DN 700 x 700 PN16</t>
  </si>
  <si>
    <t>I10942</t>
  </si>
  <si>
    <t>JUNÇÃO 45 FoFo FFF DN 700 x 700 PN25</t>
  </si>
  <si>
    <t>I3873</t>
  </si>
  <si>
    <t>JUNÇÃO 45 FoFo FFF DN 75 x 75 PN10</t>
  </si>
  <si>
    <t>I7130</t>
  </si>
  <si>
    <t>JUNÇÃO 45 FoFo FFF DN 80 x 80 PN10</t>
  </si>
  <si>
    <t>I10895</t>
  </si>
  <si>
    <t>JUNÇÃO 45 FoFo FFF DN 800 x 400 PN10</t>
  </si>
  <si>
    <t>I10916</t>
  </si>
  <si>
    <t>JUNÇÃO 45 FoFo FFF DN 800 x 400 PN16</t>
  </si>
  <si>
    <t>I10943</t>
  </si>
  <si>
    <t>JUNÇÃO 45 FoFo FFF DN 800 x 400 PN25</t>
  </si>
  <si>
    <t>I10896</t>
  </si>
  <si>
    <t>JUNÇÃO 45 FoFo FFF DN 800 x 800 PN10</t>
  </si>
  <si>
    <t>I10917</t>
  </si>
  <si>
    <t>JUNÇÃO 45 FoFo FFF DN 800 x 800 PN16</t>
  </si>
  <si>
    <t>I10944</t>
  </si>
  <si>
    <t>JUNÇÃO 45 FoFo FFF DN 800 x 800 PN25</t>
  </si>
  <si>
    <t>I2995</t>
  </si>
  <si>
    <t>JUNÇÃO 45 OCRE BBB - JE DN 100</t>
  </si>
  <si>
    <t>I2996</t>
  </si>
  <si>
    <t>JUNÇÃO 45 OCRE BBB - JE DN 150</t>
  </si>
  <si>
    <t>I2997</t>
  </si>
  <si>
    <t>JUNÇÃO 45 OCRE BBB - JE DN 200</t>
  </si>
  <si>
    <t>I2998</t>
  </si>
  <si>
    <t>JUNÇÃO 45 OCRE BBB - JE DN 250</t>
  </si>
  <si>
    <t>I2999</t>
  </si>
  <si>
    <t>JUNÇÃO 45 OCRE BBB - JE DN 300</t>
  </si>
  <si>
    <t>I3000</t>
  </si>
  <si>
    <t>JUNÇÃO 45 OCRE BBB - JE DN 350</t>
  </si>
  <si>
    <t>I3001</t>
  </si>
  <si>
    <t>JUNÇÃO 45 OCRE BBB - JE DN 400</t>
  </si>
  <si>
    <t>I3122</t>
  </si>
  <si>
    <t>JUNÇÃO 45 PBA COM BOLSAS DN 50</t>
  </si>
  <si>
    <t>I6885</t>
  </si>
  <si>
    <t>JUNÇÃO 45° OCRE BBB - JEI DN 100</t>
  </si>
  <si>
    <t>I6886</t>
  </si>
  <si>
    <t>JUNÇÃO 45° OCRE BBB - JEI DN 150</t>
  </si>
  <si>
    <t>I6887</t>
  </si>
  <si>
    <t>JUNÇÃO 45° OCRE BBB - JEI DN 200</t>
  </si>
  <si>
    <t>I6888</t>
  </si>
  <si>
    <t>JUNÇÃO 45° OCRE BBB - JEI DN 250</t>
  </si>
  <si>
    <t>I6889</t>
  </si>
  <si>
    <t>JUNÇÃO 45° OCRE BBB - JEI DN 300</t>
  </si>
  <si>
    <t>I6890</t>
  </si>
  <si>
    <t>JUNÇÃO 45° OCRE BBB - JEI DN 350</t>
  </si>
  <si>
    <t>I6891</t>
  </si>
  <si>
    <t>JUNÇÃO 45° OCRE BBB - JEI DN 400</t>
  </si>
  <si>
    <t>I8915</t>
  </si>
  <si>
    <t>KIT ACÚSTICO ATENUADOR DE RUÍDOS P/ ENTRADA AR FRIO E SAÍDA AR QUENTE C/ PORTA ACÚSTICA 1,20X2,10M</t>
  </si>
  <si>
    <t>I9842</t>
  </si>
  <si>
    <t>KIT ACÚSTICO ATENUADOR DE RUÍDOS P/ ENTRADA AR FRIO E SAÍDA AR QUENTE C/ PORTA ACÚSTICA 1,50 X 2,10M</t>
  </si>
  <si>
    <t>I9843</t>
  </si>
  <si>
    <t>KIT ACÚSTICO ATENUADOR DE RUÍDOS P/ ENTRADA AR FRIO E SAÍDA AR QUENTE C/ PORTA ACÚSTICA 2,00 X 2,10M</t>
  </si>
  <si>
    <t>I8383</t>
  </si>
  <si>
    <t>KIT CAVALETE POLIPROPILENO 3/4" - P002 (CONEXÕES C/REFORÇO BLIN)</t>
  </si>
  <si>
    <t>I8384</t>
  </si>
  <si>
    <t>KIT CAVALETE POLIPROPILENO 3/4" - P003 (CONEXÕES C/REFORÇO BLIN)</t>
  </si>
  <si>
    <t>I8385</t>
  </si>
  <si>
    <t>KIT CAVALETE POLIPROPILENO 3/4" - P005 (CONEXÕES C/REFORÇO BLIN)</t>
  </si>
  <si>
    <t>I2938</t>
  </si>
  <si>
    <t>KIT CAVALETE PVC 3/4"-P002(CONEXÕES C/REFORÇO BLIN)</t>
  </si>
  <si>
    <t>I2939</t>
  </si>
  <si>
    <t>KIT CAVALETE PVC 3/4"-P003(CONEXÕES C/REFORÇO BLIN)</t>
  </si>
  <si>
    <t>I2940</t>
  </si>
  <si>
    <t>KIT CAVALETE PVC 3/4"-P005(CONEXÕES C/REFORÇO BLIN)</t>
  </si>
  <si>
    <t>I7995</t>
  </si>
  <si>
    <t>KIT DE DOSAGEM CLORO COM TANQUE DE 500L, BOMBA DOSADORA E AGITADOR, COMPLETO</t>
  </si>
  <si>
    <t>I7997</t>
  </si>
  <si>
    <t>KIT DE DOSAGEM DE CLORO COM TANQUE DE 1000L, BOMBA DOSADORA E AGITADOR, COMPLETO</t>
  </si>
  <si>
    <t>I7998</t>
  </si>
  <si>
    <t>KIT DE DOSAGEM DE CLORO COM TANQUE DE 1500L, BOMBA DOSADORA E AGITADOR, COMPLETO</t>
  </si>
  <si>
    <t>I7993</t>
  </si>
  <si>
    <t>KIT DE DOSAGEM DE CLORO COM TANQUE DE 150L, BOMBA DOSADORA E AGITADOR, COMPLETO</t>
  </si>
  <si>
    <t>I7999</t>
  </si>
  <si>
    <t>KIT DE DOSAGEM DE CLORO COM TANQUE DE 2000L, BOMBA DOSADORA E AGITADOR, COMPLETO</t>
  </si>
  <si>
    <t>I7994</t>
  </si>
  <si>
    <t>KIT DE DOSAGEM DE CLORO COM TANQUE DE 250L, BOMBA DOSADORA E AGITADOR, COMPLETO</t>
  </si>
  <si>
    <t>I8000</t>
  </si>
  <si>
    <t>KIT DE DOSAGEM DE CLORO COM TANQUE DE 5000L, BOMBA DOSADORA E AGITADOR, COMPLETO</t>
  </si>
  <si>
    <t>I7992</t>
  </si>
  <si>
    <t>KIT DE DOSAGEM DE CLORO COM TANQUE DE 70L, BOMBA DOSADORA E AGITADOR, COMPLETO</t>
  </si>
  <si>
    <t>I7996</t>
  </si>
  <si>
    <t>KIT DE DOSAGEM DE CLORO COM TANQUE DE 750L, BOMBA DOSADORA E AGITADOR, COMPLETO</t>
  </si>
  <si>
    <t>I6302</t>
  </si>
  <si>
    <t>KIT DE DOSAGEM DE SULFATO DE ALUMÍNIO OU CAL  COM TANQUE DE 500L, BOMBA DOSADORA E AGITADOR, COMPLETO</t>
  </si>
  <si>
    <t>I6304</t>
  </si>
  <si>
    <t>KIT DE DOSAGEM DE SULFATO DE ALUMÍNIO OU CAL COM TANQUE DE 1000L, BOMBA DOSADORA E AGITADOR, COMPLETO</t>
  </si>
  <si>
    <t>I6305</t>
  </si>
  <si>
    <t>KIT DE DOSAGEM DE SULFATO DE ALUMÍNIO OU CAL COM TANQUE DE 1500L, BOMBA DOSADORA E AGITADOR, COMPLETO</t>
  </si>
  <si>
    <t>I7991</t>
  </si>
  <si>
    <t>KIT DE DOSAGEM DE SULFATO DE ALUMÍNIO OU CAL COM TANQUE DE 150L, BOMBA DOSADORA E AGITADOR, COMPLETO</t>
  </si>
  <si>
    <t>I6306</t>
  </si>
  <si>
    <t>KIT DE DOSAGEM DE SULFATO DE ALUMÍNIO OU CAL COM TANQUE DE 2000L, BOMBA DOSADORA E AGITADOR, COMPLETO</t>
  </si>
  <si>
    <t>I6301</t>
  </si>
  <si>
    <t>KIT DE DOSAGEM DE SULFATO DE ALUMÍNIO OU CAL COM TANQUE DE 250L, BOMBA DOSADORA E AGITADOR, COMPLETO</t>
  </si>
  <si>
    <t>I6307</t>
  </si>
  <si>
    <t>KIT DE DOSAGEM DE SULFATO DE ALUMÍNIO OU CAL COM TANQUE DE 5000L, BOMBA DOSADORA E AGITADOR, COMPLETO</t>
  </si>
  <si>
    <t>I7990</t>
  </si>
  <si>
    <t>KIT DE DOSAGEM DE SULFATO DE ALUMÍNIO OU CAL COM TANQUE DE 70L, BOMBA DOSADORA E AGITADOR, COMPLETO</t>
  </si>
  <si>
    <t>I6303</t>
  </si>
  <si>
    <t>KIT DE DOSAGEM DE SULFATO DE ALUMÍNIO OU CAL COM TANQUE DE 750L, BOMBA DOSADORA E AGITADOR, COMPLETO</t>
  </si>
  <si>
    <t>I8578</t>
  </si>
  <si>
    <t>KIT DE RELIGAÇÃO DE ÁGUA</t>
  </si>
  <si>
    <t>I6042</t>
  </si>
  <si>
    <t>KIT DE VEDAÇÃO P/ CORTE DE LIGAÇÃO D'ÁGUA</t>
  </si>
  <si>
    <t>I8959</t>
  </si>
  <si>
    <t>KIT MEDIÇÃO COMPARADOR DE CLORO E PH</t>
  </si>
  <si>
    <t>I2953</t>
  </si>
  <si>
    <t>LACRE DE SEGURANÇA TERMOPLÁSTICO C/ARAME, P.CAGECE</t>
  </si>
  <si>
    <t>MIL</t>
  </si>
  <si>
    <t>I9846</t>
  </si>
  <si>
    <t>LOCAÇÃO DE BANHEIRO QUÍMICO - INSTALADO</t>
  </si>
  <si>
    <t>I9848</t>
  </si>
  <si>
    <t>LUVA  CORRER EM PRFV DN  500</t>
  </si>
  <si>
    <t>I9849</t>
  </si>
  <si>
    <t>LUVA  CORRER EM PRFV DN  600</t>
  </si>
  <si>
    <t>I9850</t>
  </si>
  <si>
    <t>LUVA  CORRER EM PRFV DN  700</t>
  </si>
  <si>
    <t>I9851</t>
  </si>
  <si>
    <t>LUVA  CORRER EM PRFV DN  800</t>
  </si>
  <si>
    <t>I9852</t>
  </si>
  <si>
    <t>LUVA  CORRER EM PRFV DN  900</t>
  </si>
  <si>
    <t>I9853</t>
  </si>
  <si>
    <t>LUVA  CORRER EM PRFV DN 1000</t>
  </si>
  <si>
    <t>I3921</t>
  </si>
  <si>
    <t>LUVA  CORRER JUNTA MECÂNICA DN 100</t>
  </si>
  <si>
    <t>I3934</t>
  </si>
  <si>
    <t>LUVA  CORRER JUNTA MECÂNICA DN 1000</t>
  </si>
  <si>
    <t>I3935</t>
  </si>
  <si>
    <t>LUVA  CORRER JUNTA MECÂNICA DN 1200</t>
  </si>
  <si>
    <t>I3922</t>
  </si>
  <si>
    <t>LUVA  CORRER JUNTA MECÂNICA DN 150</t>
  </si>
  <si>
    <t>I3923</t>
  </si>
  <si>
    <t>LUVA  CORRER JUNTA MECÂNICA DN 200</t>
  </si>
  <si>
    <t>I3924</t>
  </si>
  <si>
    <t>LUVA  CORRER JUNTA MECÂNICA DN 250</t>
  </si>
  <si>
    <t>I3925</t>
  </si>
  <si>
    <t>LUVA  CORRER JUNTA MECÂNICA DN 300</t>
  </si>
  <si>
    <t>I3926</t>
  </si>
  <si>
    <t>LUVA  CORRER JUNTA MECÂNICA DN 350</t>
  </si>
  <si>
    <t>I3927</t>
  </si>
  <si>
    <t>LUVA  CORRER JUNTA MECÂNICA DN 400</t>
  </si>
  <si>
    <t>I3928</t>
  </si>
  <si>
    <t>LUVA  CORRER JUNTA MECÂNICA DN 450</t>
  </si>
  <si>
    <t>I3919</t>
  </si>
  <si>
    <t>LUVA  CORRER JUNTA MECÂNICA DN 50</t>
  </si>
  <si>
    <t>I3929</t>
  </si>
  <si>
    <t>LUVA  CORRER JUNTA MECÂNICA DN 500</t>
  </si>
  <si>
    <t>I3930</t>
  </si>
  <si>
    <t>LUVA  CORRER JUNTA MECÂNICA DN 600</t>
  </si>
  <si>
    <t>I3931</t>
  </si>
  <si>
    <t>LUVA  CORRER JUNTA MECÂNICA DN 700</t>
  </si>
  <si>
    <t>I3920</t>
  </si>
  <si>
    <t>LUVA  CORRER JUNTA MECÂNICA DN 75</t>
  </si>
  <si>
    <t>I7132</t>
  </si>
  <si>
    <t>LUVA  CORRER JUNTA MECÂNICA DN 80</t>
  </si>
  <si>
    <t>I3932</t>
  </si>
  <si>
    <t>LUVA  CORRER JUNTA MECÂNICA DN 800</t>
  </si>
  <si>
    <t>I3933</t>
  </si>
  <si>
    <t>LUVA  CORRER JUNTA MECÂNICA DN 900</t>
  </si>
  <si>
    <t>I4938</t>
  </si>
  <si>
    <t>LUVA  HASTE DN 1</t>
  </si>
  <si>
    <t>I4939</t>
  </si>
  <si>
    <t>LUVA  HASTE DN 2</t>
  </si>
  <si>
    <t>I4940</t>
  </si>
  <si>
    <t>LUVA  HASTE DN 3</t>
  </si>
  <si>
    <t>I4941</t>
  </si>
  <si>
    <t>LUVA  HASTE DN 4</t>
  </si>
  <si>
    <t>I8661</t>
  </si>
  <si>
    <t>LUVA AÇO GALVANIZADO DE 3"</t>
  </si>
  <si>
    <t>I7620</t>
  </si>
  <si>
    <t>LUVA BIPARTIDA P/BOLSAS DN 200</t>
  </si>
  <si>
    <t>I7621</t>
  </si>
  <si>
    <t>LUVA BIPARTIDA P/BOLSAS DN 250</t>
  </si>
  <si>
    <t>I7622</t>
  </si>
  <si>
    <t>LUVA BIPARTIDA P/BOLSAS DN 300</t>
  </si>
  <si>
    <t>I7623</t>
  </si>
  <si>
    <t>LUVA BIPARTIDA P/BOLSAS DN 350</t>
  </si>
  <si>
    <t>I7624</t>
  </si>
  <si>
    <t>LUVA BIPARTIDA P/BOLSAS DN 400</t>
  </si>
  <si>
    <t>I7625</t>
  </si>
  <si>
    <t>LUVA BIPARTIDA P/BOLSAS DN 450</t>
  </si>
  <si>
    <t>I7626</t>
  </si>
  <si>
    <t>LUVA BIPARTIDA P/BOLSAS DN 500</t>
  </si>
  <si>
    <t>I7627</t>
  </si>
  <si>
    <t>LUVA BIPARTIDA P/BOLSAS DN 600</t>
  </si>
  <si>
    <t>I10973</t>
  </si>
  <si>
    <t>LUVA CORRER JUNTA MECÂNICA DN 550</t>
  </si>
  <si>
    <t>I9854</t>
  </si>
  <si>
    <t>LUVA DE CORRER FOFO COM BOLSAS DN 250</t>
  </si>
  <si>
    <t>I3002</t>
  </si>
  <si>
    <t>LUVA DE CORRER OCRE DN 100</t>
  </si>
  <si>
    <t>I3003</t>
  </si>
  <si>
    <t>LUVA DE CORRER OCRE DN 125</t>
  </si>
  <si>
    <t>I3004</t>
  </si>
  <si>
    <t>LUVA DE CORRER OCRE DN 150</t>
  </si>
  <si>
    <t>I3005</t>
  </si>
  <si>
    <t>LUVA DE CORRER OCRE DN 200</t>
  </si>
  <si>
    <t>I3006</t>
  </si>
  <si>
    <t>LUVA DE CORRER OCRE DN 250</t>
  </si>
  <si>
    <t>I3007</t>
  </si>
  <si>
    <t>LUVA DE CORRER OCRE DN 300</t>
  </si>
  <si>
    <t>I3008</t>
  </si>
  <si>
    <t>LUVA DE CORRER OCRE DN 350</t>
  </si>
  <si>
    <t>I3009</t>
  </si>
  <si>
    <t>LUVA DE CORRER OCRE DN 400</t>
  </si>
  <si>
    <t>I6892</t>
  </si>
  <si>
    <t>LUVA DE CORRER OCRE JEI DN 100</t>
  </si>
  <si>
    <t>I6893</t>
  </si>
  <si>
    <t>LUVA DE CORRER OCRE JEI DN 150</t>
  </si>
  <si>
    <t>I6894</t>
  </si>
  <si>
    <t>LUVA DE CORRER OCRE JEI DN 200</t>
  </si>
  <si>
    <t>I6895</t>
  </si>
  <si>
    <t>LUVA DE CORRER OCRE JEI DN 250</t>
  </si>
  <si>
    <t>I6896</t>
  </si>
  <si>
    <t>LUVA DE CORRER OCRE JEI DN 300</t>
  </si>
  <si>
    <t>I6897</t>
  </si>
  <si>
    <t>LUVA DE CORRER OCRE JEI DN 350</t>
  </si>
  <si>
    <t>I6898</t>
  </si>
  <si>
    <t>LUVA DE CORRER OCRE JEI DN 400</t>
  </si>
  <si>
    <t>I3125</t>
  </si>
  <si>
    <t>LUVA DE CORRER PBA DN 100</t>
  </si>
  <si>
    <t>I3123</t>
  </si>
  <si>
    <t>LUVA DE CORRER PBA DN 50</t>
  </si>
  <si>
    <t>I3124</t>
  </si>
  <si>
    <t>LUVA DE CORRER PBA DN 75</t>
  </si>
  <si>
    <t>I3127</t>
  </si>
  <si>
    <t>LUVA DE CORRER PVC DEFoFo DN 100</t>
  </si>
  <si>
    <t>I3128</t>
  </si>
  <si>
    <t>LUVA DE CORRER PVC DEFoFo DN 150</t>
  </si>
  <si>
    <t>I3129</t>
  </si>
  <si>
    <t>LUVA DE CORRER PVC DEFoFo DN 200</t>
  </si>
  <si>
    <t>I3130</t>
  </si>
  <si>
    <t>LUVA DE CORRER PVC DEFoFo DN 250</t>
  </si>
  <si>
    <t>I3131</t>
  </si>
  <si>
    <t>LUVA DE CORRER PVC DEFoFo DN 300</t>
  </si>
  <si>
    <t>I6357</t>
  </si>
  <si>
    <t>LUVA DE REDUÇÃO AÇO GALVANIZADO COM ROSCA DN 3x2"</t>
  </si>
  <si>
    <t>I8664</t>
  </si>
  <si>
    <t>LUVA DE REDUÇÃO DE AÇO GALV. 2"x1/2"</t>
  </si>
  <si>
    <t>I6265</t>
  </si>
  <si>
    <t>LUVA DE UNIÃO F. GALV. COM ROSCA DN 2"</t>
  </si>
  <si>
    <t>I7384</t>
  </si>
  <si>
    <t>LUVA DE UNIÃO FG DN 2"</t>
  </si>
  <si>
    <t>I9858</t>
  </si>
  <si>
    <t>LUVA DE UNIÃO FOGO ROSCÁVEL 1 1/4"</t>
  </si>
  <si>
    <t>I9859</t>
  </si>
  <si>
    <t>LUVA DE UNIÃO FOGO ROSCÁVEL 2 1/2”</t>
  </si>
  <si>
    <t>I9860</t>
  </si>
  <si>
    <t>LUVA DE UNIÃO ROSCÁVEL AÇO INOX 3”</t>
  </si>
  <si>
    <t>I5806</t>
  </si>
  <si>
    <t>LUVA EDUTOR PVC DN 40</t>
  </si>
  <si>
    <t>I5807</t>
  </si>
  <si>
    <t>LUVA EDUTOR PVC DN 50</t>
  </si>
  <si>
    <t>I6899</t>
  </si>
  <si>
    <t>LUVA PVC PBS DN 160</t>
  </si>
  <si>
    <t>I6900</t>
  </si>
  <si>
    <t>LUVA REDUÇÃO PVC PBS C/ BOLSAS DN 150 x 100 mm</t>
  </si>
  <si>
    <t>I6469</t>
  </si>
  <si>
    <t>LUVA RETA PARA EMENDA DE ELETRODUTO DE AÇO ZINCADO DN 1 1/2"</t>
  </si>
  <si>
    <t>I6468</t>
  </si>
  <si>
    <t>LUVA RETA PARA EMENDA DE ELETRODUTO DE AÇO ZINCADO DN 1/2"</t>
  </si>
  <si>
    <t>I7706</t>
  </si>
  <si>
    <t>LUVA SIMPLES FoFo JTE DN 1000</t>
  </si>
  <si>
    <t>I7707</t>
  </si>
  <si>
    <t>LUVA SIMPLES FoFo JTE DN 1200</t>
  </si>
  <si>
    <t>I7699</t>
  </si>
  <si>
    <t>LUVA SIMPLES FoFo JTE DN 300</t>
  </si>
  <si>
    <t>I7700</t>
  </si>
  <si>
    <t>LUVA SIMPLES FoFo JTE DN 350</t>
  </si>
  <si>
    <t>I7701</t>
  </si>
  <si>
    <t>LUVA SIMPLES FoFo JTE DN 400</t>
  </si>
  <si>
    <t>I7702</t>
  </si>
  <si>
    <t>LUVA SIMPLES FoFo JTE DN 500</t>
  </si>
  <si>
    <t>I7703</t>
  </si>
  <si>
    <t>LUVA SIMPLES FoFo JTE DN 600</t>
  </si>
  <si>
    <t>I7704</t>
  </si>
  <si>
    <t>LUVA SIMPLES FoFo JTE DN 700</t>
  </si>
  <si>
    <t>I7705</t>
  </si>
  <si>
    <t>LUVA SIMPLES FoFo JTE DN 800</t>
  </si>
  <si>
    <t>I3904</t>
  </si>
  <si>
    <t>LUVA SIMPLES FoFo JUNTA ELASTICA DN 100</t>
  </si>
  <si>
    <t>I3916</t>
  </si>
  <si>
    <t>LUVA SIMPLES FoFo JUNTA ELASTICA DN 1000</t>
  </si>
  <si>
    <t>I3918</t>
  </si>
  <si>
    <t>LUVA SIMPLES FoFo JUNTA ELASTICA DN 1200</t>
  </si>
  <si>
    <t>I3905</t>
  </si>
  <si>
    <t>LUVA SIMPLES FoFo JUNTA ELASTICA DN 150</t>
  </si>
  <si>
    <t>I3906</t>
  </si>
  <si>
    <t>LUVA SIMPLES FoFo JUNTA ELASTICA DN 200</t>
  </si>
  <si>
    <t>I3907</t>
  </si>
  <si>
    <t>LUVA SIMPLES FoFo JUNTA ELASTICA DN 250</t>
  </si>
  <si>
    <t>I3908</t>
  </si>
  <si>
    <t>LUVA SIMPLES FoFo JUNTA ELASTICA DN 300</t>
  </si>
  <si>
    <t>I3909</t>
  </si>
  <si>
    <t>LUVA SIMPLES FoFo JUNTA ELASTICA DN 350</t>
  </si>
  <si>
    <t>I3910</t>
  </si>
  <si>
    <t>LUVA SIMPLES FoFo JUNTA ELASTICA DN 400</t>
  </si>
  <si>
    <t>I3902</t>
  </si>
  <si>
    <t>LUVA SIMPLES FoFo JUNTA ELASTICA DN 50</t>
  </si>
  <si>
    <t>I3911</t>
  </si>
  <si>
    <t>LUVA SIMPLES FoFo JUNTA ELASTICA DN 500</t>
  </si>
  <si>
    <t>I3912</t>
  </si>
  <si>
    <t>LUVA SIMPLES FoFo JUNTA ELASTICA DN 600</t>
  </si>
  <si>
    <t>I3913</t>
  </si>
  <si>
    <t>LUVA SIMPLES FoFo JUNTA ELASTICA DN 700</t>
  </si>
  <si>
    <t>I3903</t>
  </si>
  <si>
    <t>LUVA SIMPLES FoFo JUNTA ELASTICA DN 75</t>
  </si>
  <si>
    <t>I7133</t>
  </si>
  <si>
    <t>LUVA SIMPLES FoFo JUNTA ELASTICA DN 80</t>
  </si>
  <si>
    <t>I3914</t>
  </si>
  <si>
    <t>LUVA SIMPLES FoFo JUNTA ELASTICA DN 800</t>
  </si>
  <si>
    <t>I3915</t>
  </si>
  <si>
    <t>LUVA SIMPLES FoFo JUNTA ELASTICA DN 900</t>
  </si>
  <si>
    <t>I7604</t>
  </si>
  <si>
    <t>LUVA SIMPLES FoFo JUNTA ELÁSTICA DN 450</t>
  </si>
  <si>
    <t>I3134</t>
  </si>
  <si>
    <t>LUVA SIMPLES PVC PBA DN 100</t>
  </si>
  <si>
    <t>I3132</t>
  </si>
  <si>
    <t>LUVA SIMPLES PVC PBA DN 50</t>
  </si>
  <si>
    <t>I3133</t>
  </si>
  <si>
    <t>LUVA SIMPLES PVC PBA DN 75</t>
  </si>
  <si>
    <t>I8916</t>
  </si>
  <si>
    <t>LUVAS DE PROTEÇÃO EM PVC DE CANO LONGO</t>
  </si>
  <si>
    <t>I4942</t>
  </si>
  <si>
    <t>MANCAL INTERMEDIÁRIO DN 1</t>
  </si>
  <si>
    <t>I4943</t>
  </si>
  <si>
    <t>MANCAL INTERMEDIÁRIO DN 2</t>
  </si>
  <si>
    <t>I4944</t>
  </si>
  <si>
    <t>MANCAL INTERMEDIÁRIO DN 3</t>
  </si>
  <si>
    <t>I4945</t>
  </si>
  <si>
    <t>MANCAL INTERMEDIÁRIO DN 4</t>
  </si>
  <si>
    <t>I9861</t>
  </si>
  <si>
    <t>MANCAL INTERMEDIÁRIO EM FOFO DN 1 1/8</t>
  </si>
  <si>
    <t>I9862</t>
  </si>
  <si>
    <t>MANGOTE FLEXÍVEL SPIRAFLEX DN 4"</t>
  </si>
  <si>
    <t>I9863</t>
  </si>
  <si>
    <t>MANIFOLD EM AÇO CARBONO, SCHEDULE 80, CONEXÕES PADRÃO 3000 PSI, DN 3/4", EXTENSAO DE 4M P/ 5 CILINDROS DE 900KG</t>
  </si>
  <si>
    <t>I8077</t>
  </si>
  <si>
    <t>MANILHA SAPATILHA PARA ALÇA PREFORMADA</t>
  </si>
  <si>
    <t>I9865</t>
  </si>
  <si>
    <t>MANTA DE POLIETILENO 2MM</t>
  </si>
  <si>
    <t>I9064</t>
  </si>
  <si>
    <t>MANTA GEOTEXTIL, TECIDA 100% POLIPROPILENO, RESISTÊNCIA A TRAÇÃO DE 55KN/M E DEFORMAÇÃO INFERIOR A 15%</t>
  </si>
  <si>
    <t>I9866</t>
  </si>
  <si>
    <t>MANTA PEAD COM ESPESSURA 1MM</t>
  </si>
  <si>
    <t>I6375</t>
  </si>
  <si>
    <t>MANÔMETRO 1/2 x 4" escala 0 -20 kg/cm2</t>
  </si>
  <si>
    <t>I8917</t>
  </si>
  <si>
    <t>MANÔMETRO GLICERINADO DN 62MM, CONEXÃO 1/4 NPT, CLASSE DE PRECISÃO ABNT, ATÉ 150PSI</t>
  </si>
  <si>
    <t>I9864</t>
  </si>
  <si>
    <t>MANÔMETRO PARA GÁS CLORO, TIPO COM SELO DIAFRAGMA EM PTFE</t>
  </si>
  <si>
    <t>I8918</t>
  </si>
  <si>
    <t>MARRETA MÉDIA OITAVADA DE 500G</t>
  </si>
  <si>
    <t>I8517</t>
  </si>
  <si>
    <t>MASTRO SIMPLES 2,0m x 2"</t>
  </si>
  <si>
    <t>I10476</t>
  </si>
  <si>
    <t>MECANISMO PARA ACIONAMENTO DE CORTINA PARA ESTUFA, INCLUSIVE MANIVELA DE ACIONAMENTO COMPLETO TIPO CORTINA PARA ESTUFA)</t>
  </si>
  <si>
    <t>I8919</t>
  </si>
  <si>
    <t>MEDIDOR DE COR, IN-LINE, FAIXA, 0 A 300UH, SAÍDA 4-20MA</t>
  </si>
  <si>
    <t>I10482</t>
  </si>
  <si>
    <t>MEDIDOR DE VAZÃO ELETROMAGNÉTICO COM TOTALIZADOR DN 1000</t>
  </si>
  <si>
    <t>I10478</t>
  </si>
  <si>
    <t>MEDIDOR DE VAZÃO ELETROMAGNÉTICO COM TOTALIZADOR DN 450</t>
  </si>
  <si>
    <t>I10479</t>
  </si>
  <si>
    <t>MEDIDOR DE VAZÃO ELETROMAGNÉTICO COM TOTALIZADOR DN 600</t>
  </si>
  <si>
    <t>I10480</t>
  </si>
  <si>
    <t>MEDIDOR DE VAZÃO ELETROMAGNÉTICO COM TOTALIZADOR DN 700</t>
  </si>
  <si>
    <t>I10481</t>
  </si>
  <si>
    <t>MEDIDOR DE VAZÃO ELETROMAGNÉTICO COM TOTALIZADOR DN 900</t>
  </si>
  <si>
    <t>I8880</t>
  </si>
  <si>
    <t>MEDIDOR DE VAZÃO ELETROMAGNÉTICO DN 300 C/ CONV./TOTALIZAD</t>
  </si>
  <si>
    <t>I8882</t>
  </si>
  <si>
    <t>MEDIDOR DE VAZÃO ELETROMAGNÉTICO DN 500 C/ CONV./TOTALIZAD</t>
  </si>
  <si>
    <t>I8883</t>
  </si>
  <si>
    <t>MEDIDOR DE VAZÃO ELETROMAGNÉTICO DN 80 C/ CONV./TOTALIZAD</t>
  </si>
  <si>
    <t>I2956</t>
  </si>
  <si>
    <t>MEDIDOR DE VAZÃO MAGNÉTICO DN 100 C/ CONV./ TOTALIZAD</t>
  </si>
  <si>
    <t>I2957</t>
  </si>
  <si>
    <t>MEDIDOR DE VAZÃO MAGNÉTICO DN 150 C/ CONV./ TOTALIZAD</t>
  </si>
  <si>
    <t>I2958</t>
  </si>
  <si>
    <t>MEDIDOR DE VAZÃO MAGNÉTICO DN 200 C/ CONV./ TOTALIZAD</t>
  </si>
  <si>
    <t>I2959</t>
  </si>
  <si>
    <t>MEDIDOR DE VAZÃO MAGNÉTICO DN 250 C/ CONV./ TOTALIZAD</t>
  </si>
  <si>
    <t>I2960</t>
  </si>
  <si>
    <t>MEDIDOR DE VAZÃO MAGNÉTICO DN 350 C/ CONV./ TOTALIZAD</t>
  </si>
  <si>
    <t>I2954</t>
  </si>
  <si>
    <t>MEDIDOR DE VAZÃO MAGNÉTICO DN 50 C/ CONV./ TOTALIZAD</t>
  </si>
  <si>
    <t>I9867</t>
  </si>
  <si>
    <t>MEDIDOR DE VAZÃO ULTRASSÔNICO PARA CANAIS ABERTOS</t>
  </si>
  <si>
    <t>I9869</t>
  </si>
  <si>
    <t>MEDIDOR ELETROMAGNÉTICO DE VAZÃO DN 400</t>
  </si>
  <si>
    <t>I9870</t>
  </si>
  <si>
    <t>MEDIDOR ELETROMAGNÉTICO DE VAZÃO DN 800</t>
  </si>
  <si>
    <t>I9871</t>
  </si>
  <si>
    <t>MEDIDOR PIEZOELETRICO BLINDADO IP68</t>
  </si>
  <si>
    <t>I9872</t>
  </si>
  <si>
    <t>MEIO SUPORTE MSS-265</t>
  </si>
  <si>
    <t>I9873</t>
  </si>
  <si>
    <t>MEIO SUPORTE MSS-365</t>
  </si>
  <si>
    <t>I13131</t>
  </si>
  <si>
    <t>MEIO SUPORTE MSS-435</t>
  </si>
  <si>
    <t>I13132</t>
  </si>
  <si>
    <t>MEIO SUPORTE MSS-545</t>
  </si>
  <si>
    <t>I8920</t>
  </si>
  <si>
    <t>MESA DE COMANDO PARA VÁLVULAS LAVAGEM FILTROS (8X3/4CV - 380V - 60HZ</t>
  </si>
  <si>
    <t>I8921</t>
  </si>
  <si>
    <t>MESA DE PLÁSTICO QUADRADA</t>
  </si>
  <si>
    <t>I8922</t>
  </si>
  <si>
    <t>MISTURADOR SUBMERSÍVEL TRIFÁSICO PARA LÍQUIDOS CORROSIVOS - P=4 CV</t>
  </si>
  <si>
    <t>I8929</t>
  </si>
  <si>
    <t>MONITOR DE COAGULAÇÃO, IN-LINE, SAÍDA 4-20 MA</t>
  </si>
  <si>
    <t>I9885</t>
  </si>
  <si>
    <t>MOTOR A DIESEL REFORÇADO POT=30HP 2200RPM</t>
  </si>
  <si>
    <t>I8886</t>
  </si>
  <si>
    <t>MOTOR ELÉTRICO P/ ACIONAMENTO DE COMPORTAS, P=1 CV</t>
  </si>
  <si>
    <t>I8887</t>
  </si>
  <si>
    <t>MOTOR ELÉTRICO P/ ACIONAMENTO DE VÁLVULAS BORBOLETAS 250 MM, P=1CV</t>
  </si>
  <si>
    <t>I8888</t>
  </si>
  <si>
    <t>MOTOR ELÉTRICO P/ ACIONAMENTO DE VÁLVULAS BORBOLETAS 400 MM, P=1CV</t>
  </si>
  <si>
    <t>I8889</t>
  </si>
  <si>
    <t>MOTOR ELÉTRICO P/ ACIONAMENTO DE VÁLVULAS BORBOLETAS 600 MM, P=1CV</t>
  </si>
  <si>
    <t>I9890</t>
  </si>
  <si>
    <t>MUDA DE EUCALIPTO</t>
  </si>
  <si>
    <t>I9891</t>
  </si>
  <si>
    <t>MUDA DE PAU BRASIL OU EQUIVALENTE DA REGIÃO</t>
  </si>
  <si>
    <t>I9892</t>
  </si>
  <si>
    <t>MUDA DE SABIÁ</t>
  </si>
  <si>
    <t>I9893</t>
  </si>
  <si>
    <t>MUDAS DE BANANA</t>
  </si>
  <si>
    <t>I9894</t>
  </si>
  <si>
    <t>MUDAS DE COCO</t>
  </si>
  <si>
    <t>I9895</t>
  </si>
  <si>
    <t>MUDAS DE GOIABA</t>
  </si>
  <si>
    <t>I9896</t>
  </si>
  <si>
    <t>MUDAS DE MANGA</t>
  </si>
  <si>
    <t>I9897</t>
  </si>
  <si>
    <t>MUDAS DE MARACUJÁ</t>
  </si>
  <si>
    <t>I9898</t>
  </si>
  <si>
    <t>MUDAS DE UVA</t>
  </si>
  <si>
    <t>I8930</t>
  </si>
  <si>
    <t>MULTIMEDIDOR DE GRANDEZAS ELÉTRICAS, DIGITAL, COM MEMÓRIA DE MASSA 800KB, 4 REGISTROS DE DADOS, DISPLAY LCD, SAÍDA 485/234, OU ACOMPANHADO DE CONVERSOR, ENTRADA TRIFÁSICA ATÉ 600VCA, ENTRADA DE CORRENTE 5A</t>
  </si>
  <si>
    <t>I9876</t>
  </si>
  <si>
    <t>MÓDULO  4 SAIDAS ANALÓGICAS 4-20MA</t>
  </si>
  <si>
    <t>I9877</t>
  </si>
  <si>
    <t>MÓDULO 16 ENTRADAS DIGITAIS 24VCC</t>
  </si>
  <si>
    <t>I9879</t>
  </si>
  <si>
    <t>MÓDULO 16 ENTRADAS DIGITAIS,  DIGITAL INPUT, 16DI, 24V DC PARA O CLP MODELO S7 1200</t>
  </si>
  <si>
    <t>I9878</t>
  </si>
  <si>
    <t>MÓDULO 16 ENTRADAS E 16 SAÍDAS DIGITAIS, DIGITAL I/O, 16DI, 24V DC/16 DO, 24V DC  CLP MODELO S7 1200</t>
  </si>
  <si>
    <t>I8955</t>
  </si>
  <si>
    <t>MÓDULO ACOPLADOR DP/PA</t>
  </si>
  <si>
    <t>I8923</t>
  </si>
  <si>
    <t>MÓDULO CAPACITOR TRIFÁSICO 440V, 60HZ, EM CANECA DE ALUMÍNIO CILÍNDRICA, C/ DISPOSITIVO ANTI-EXPLOSÃO, POTÊNCIA DE 1,0KVAr</t>
  </si>
  <si>
    <t>I8924</t>
  </si>
  <si>
    <t>MÓDULO CAPACITOR TRIFÁSICO 440V, 60HZ, EM CANECA DE ALUMÍNIO CILÍNDRICA, C/ DISPOSITIVO ANTI-EXPLOSÃO, POTÊNCIA DE 10,0KVAr</t>
  </si>
  <si>
    <t>I8925</t>
  </si>
  <si>
    <t>MÓDULO CAPACITOR TRIFÁSICO 440V, 60HZ, EM CANECA DE ALUMÍNIO CILÍNDRICA, C/ DISPOSITIVO ANTI-EXPLOSÃO, POTÊNCIA DE 2,5KVAr</t>
  </si>
  <si>
    <t>I8926</t>
  </si>
  <si>
    <t>MÓDULO CAPACITOR TRIFÁSICO 440V, 60HZ, EM CANECA DE ALUMÍNIO CILÍNDRICA, C/ DISPOSITIVO ANTI-EXPLOSÃO, POTÊNCIA DE 3,0KVAr</t>
  </si>
  <si>
    <t>I8884</t>
  </si>
  <si>
    <t>MÓDULO CPU REMOTA C/ 3 PORTAS ETHERNET INDUSTRIAL TCP/IP E 1 PORTA PROFIBUS-DP INTEGRADA</t>
  </si>
  <si>
    <t>I9880</t>
  </si>
  <si>
    <t>MÓDULO DE EXPANSÃO COM 4 SAÍDAS ANALÓGICAS</t>
  </si>
  <si>
    <t>I9881</t>
  </si>
  <si>
    <t>MÓDULO DE EXPANSÃO COM 8 ENTRADAS ANALÓGICAS</t>
  </si>
  <si>
    <t>I8927</t>
  </si>
  <si>
    <t>MÓDULO DE REDUNDÂNCIA DE FONTES VDC 15A</t>
  </si>
  <si>
    <t>I8885</t>
  </si>
  <si>
    <t>MÓDULO INTERFACE PROFIBUS-DP MASTER</t>
  </si>
  <si>
    <t>I9882</t>
  </si>
  <si>
    <t>MÓDULO INTERFACE PROFIBUS-DP SLAVE</t>
  </si>
  <si>
    <t>I9884</t>
  </si>
  <si>
    <t>MÓDULO UPS 15A</t>
  </si>
  <si>
    <t>I8928</t>
  </si>
  <si>
    <t>MÓDULO UPS 24 Vdc/6A</t>
  </si>
  <si>
    <t>I6358</t>
  </si>
  <si>
    <t>NIPLE DUPLO AÇO GALV. COM ROSCA DN 1"</t>
  </si>
  <si>
    <t>I6355</t>
  </si>
  <si>
    <t>NIPLE DUPLO AÇO GALV. COM ROSCA DN 2"</t>
  </si>
  <si>
    <t>I8662</t>
  </si>
  <si>
    <t>NIPLE DUPLO AÇO GALVANIZADO 3"</t>
  </si>
  <si>
    <t>I9900</t>
  </si>
  <si>
    <t>NIPLE FOGO ROSCÁVEL 1 ¼"</t>
  </si>
  <si>
    <t>I9902</t>
  </si>
  <si>
    <t>NIPLE FOGO ROSCÁVEL 2 1/2”</t>
  </si>
  <si>
    <t>I9901</t>
  </si>
  <si>
    <t>NIPLE FOGO ROSCÁVEL 2"</t>
  </si>
  <si>
    <t>I9899</t>
  </si>
  <si>
    <t>NIPLE FOGO ROSCÁVEL 3/4"</t>
  </si>
  <si>
    <t>I9903</t>
  </si>
  <si>
    <t>NIPLE PVC ROSCÁVEL 75MM</t>
  </si>
  <si>
    <t>I9904</t>
  </si>
  <si>
    <t>NOBREAK 700VA 220V</t>
  </si>
  <si>
    <t>I9905</t>
  </si>
  <si>
    <t>NOBREAK 800VA 220/220V</t>
  </si>
  <si>
    <t>I8078</t>
  </si>
  <si>
    <t>OLHAL PARA PARAFUSO</t>
  </si>
  <si>
    <t>I8934</t>
  </si>
  <si>
    <t>PAINEL DO MÓDULO - CAIXA METÁLICA 1100X1800X360MM, AUTO-SUPORTADA, PARA MONTAGEM DE COMPONENTES, PORTA COM VISOR EM ACRÍLICO 900X1600, DOIS COMPARTIMENTOS INTERNOS SEPARADOS POR PLACA METÁLICA, COM ENTRADA DE AR LATERAL COM GRELHA E FILTRO E EXAUSTÃO INDIVIDUAL NOS DOIS COMPARTIMENTOS</t>
  </si>
  <si>
    <t>I8935</t>
  </si>
  <si>
    <t>PAINEL DO MÓDULO - CAIXA METÁLICA 1100X1800X360MM, AUTO-SUPORTADA, PARA MONTAGEM DE COMPONENTES, PORTA COM VISOR EM ACRÍLICO, COM ENTRADA DE AR LATERAL COM GRELHA E FILTRO E EXAUSTÃO INDIVIDUAL</t>
  </si>
  <si>
    <t>I9906</t>
  </si>
  <si>
    <t>PAINEL ELETRICO 1200X650X300MM IP 54</t>
  </si>
  <si>
    <t>I9907</t>
  </si>
  <si>
    <t>PAINEL ELETRICO C/ 1 INVERSOR DE FREQUÊNCIA 10 CV, 380 V / 60 HZ</t>
  </si>
  <si>
    <t>I9908</t>
  </si>
  <si>
    <t>PAINEL ELETRICO C/ 1 INVERSOR DE FREQUÊNCIA 25 CV, 380 V / 60 HZ</t>
  </si>
  <si>
    <t>I9909</t>
  </si>
  <si>
    <t>PAINEL ELETRICO C/ 2 INVERSORES DE FREQUÊNCIA   2 CV, 380 V / 60 HZ</t>
  </si>
  <si>
    <t>I9910</t>
  </si>
  <si>
    <t>PAINEL ELETRICO C/ 2 INVERSORES DE FREQUÊNCIA 100 CV, 380 V / 60 HZ</t>
  </si>
  <si>
    <t>I9911</t>
  </si>
  <si>
    <t>PAINEL ELETRICO C/ 2 INVERSORES DE FREQUÊNCIA 150 CV, 380 V / 60 HZ</t>
  </si>
  <si>
    <t>I9914</t>
  </si>
  <si>
    <t>PAINEL ELETRICO C/ 2 SOFT START 150CV,380,60HZ</t>
  </si>
  <si>
    <t>I8940</t>
  </si>
  <si>
    <t>PAINEL ELETRICO C/ 2 SOFT START 35CV,380V,60Hz</t>
  </si>
  <si>
    <t>I6004</t>
  </si>
  <si>
    <t>PAINEL ELETRICO C/ 2 SOFT START 60CV,380V,60Hz</t>
  </si>
  <si>
    <t>I9912</t>
  </si>
  <si>
    <t>PAINEL ELETRICO C/ 3 INVERSORES DE FREQUÊNCIA  40 CV, 380 V / 60 HZ</t>
  </si>
  <si>
    <t>I9913</t>
  </si>
  <si>
    <t>PAINEL ELETRICO C/ 3 INVERSORES DE FREQUÊNCIA 185 CV, 380 V / 60 HZ</t>
  </si>
  <si>
    <t>I9915</t>
  </si>
  <si>
    <t>PAINEL ELETRICO C/ 3 SOFT START 150CV,380V,60HZ</t>
  </si>
  <si>
    <t>I6010</t>
  </si>
  <si>
    <t>PAINEL ELETRICO C/1 SOFT START 10CV,380V,60Hz</t>
  </si>
  <si>
    <t>I6011</t>
  </si>
  <si>
    <t>PAINEL ELETRICO C/1 SOFT START 12.5CV,380,60Hz</t>
  </si>
  <si>
    <t>I6013</t>
  </si>
  <si>
    <t>PAINEL ELETRICO C/1 SOFT START 20CV,380V,60Hz</t>
  </si>
  <si>
    <t>I6014</t>
  </si>
  <si>
    <t>PAINEL ELETRICO C/1 SOFT START 25CV,380V,60Hz</t>
  </si>
  <si>
    <t>I6015</t>
  </si>
  <si>
    <t>PAINEL ELETRICO C/1 SOFT START 30CV,380V,60Hz</t>
  </si>
  <si>
    <t>I6016</t>
  </si>
  <si>
    <t>PAINEL ELETRICO C/1 SOFT START 40CV,380V,60Hz</t>
  </si>
  <si>
    <t>I6017</t>
  </si>
  <si>
    <t>PAINEL ELETRICO C/1 SOFT START 50CV,380V,60Hz</t>
  </si>
  <si>
    <t>I6009</t>
  </si>
  <si>
    <t>PAINEL ELETRICO C/1 SOFT START 7,5CV,380V,60Hz</t>
  </si>
  <si>
    <t>I5996</t>
  </si>
  <si>
    <t>PAINEL ELETRICO C/2 SOFT START 10CV,380V,60Hz</t>
  </si>
  <si>
    <t>I5997</t>
  </si>
  <si>
    <t>PAINEL ELETRICO C/2 SOFT START 12,5CV,380,60Hz</t>
  </si>
  <si>
    <t>I5998</t>
  </si>
  <si>
    <t>PAINEL ELETRICO C/2 SOFT START 15CV,380V,60Hz</t>
  </si>
  <si>
    <t>I5999</t>
  </si>
  <si>
    <t>PAINEL ELETRICO C/2 SOFT START 20CV,380,60Hz</t>
  </si>
  <si>
    <t>I6000</t>
  </si>
  <si>
    <t>PAINEL ELETRICO C/2 SOFT START 25CV,380V,60Hz</t>
  </si>
  <si>
    <t>I6001</t>
  </si>
  <si>
    <t>PAINEL ELETRICO C/2 SOFT START 30CV,380V,60Hz</t>
  </si>
  <si>
    <t>I6002</t>
  </si>
  <si>
    <t>PAINEL ELETRICO C/2 SOFT START 40CV,380V,60Hz</t>
  </si>
  <si>
    <t>I6003</t>
  </si>
  <si>
    <t>PAINEL ELETRICO C/2 SOFT START 50CV,380V,60Hz</t>
  </si>
  <si>
    <t>I5995</t>
  </si>
  <si>
    <t>PAINEL ELETRICO C/2 SOFT START 7,5CV,380V,60Hz</t>
  </si>
  <si>
    <t>I8936</t>
  </si>
  <si>
    <t>PAINEL ELÉTRICO C/ 2 INVERSORES DE FREQUÊNCIA 0,5 CV, 380 V / 60HZ</t>
  </si>
  <si>
    <t>I8528</t>
  </si>
  <si>
    <t>PAINEL ELÉTRICO C/ 2 INVERSORES DE FREQUÊNCIA 10 CV, 380 V / 60 Hz</t>
  </si>
  <si>
    <t>I8529</t>
  </si>
  <si>
    <t>PAINEL ELÉTRICO C/ 2 INVERSORES DE FREQUÊNCIA 15 CV, 380 V / 60 Hz</t>
  </si>
  <si>
    <t>I8530</t>
  </si>
  <si>
    <t>PAINEL ELÉTRICO C/ 2 INVERSORES DE FREQUÊNCIA 20 CV, 380 V / 60 Hz</t>
  </si>
  <si>
    <t>I8938</t>
  </si>
  <si>
    <t>PAINEL ELÉTRICO C/ 2 INVERSORES DE FREQUÊNCIA 250 CV, 380 V / 60HZ</t>
  </si>
  <si>
    <t>I8531</t>
  </si>
  <si>
    <t>PAINEL ELÉTRICO C/ 2 INVERSORES DE FREQUÊNCIA 30 CV, 380 V / 60 Hz</t>
  </si>
  <si>
    <t>I8532</t>
  </si>
  <si>
    <t>PAINEL ELÉTRICO C/ 2 INVERSORES DE FREQUÊNCIA 40 CV, 380 V / 60 Hz</t>
  </si>
  <si>
    <t>I8533</t>
  </si>
  <si>
    <t>PAINEL ELÉTRICO C/ 2 INVERSORES DE FREQUÊNCIA 50 CV, 380 V / 60 Hz</t>
  </si>
  <si>
    <t>I8534</t>
  </si>
  <si>
    <t>PAINEL ELÉTRICO C/ 2 INVERSORES DE FREQUÊNCIA 60 CV, 380 V / 60 Hz</t>
  </si>
  <si>
    <t>I8527</t>
  </si>
  <si>
    <t>PAINEL ELÉTRICO C/ 2 INVERSORES DE FREQUÊNCIA 7,5 CV, 380 V / 60 Hz</t>
  </si>
  <si>
    <t>I8535</t>
  </si>
  <si>
    <t>PAINEL ELÉTRICO C/ 2 INVERSORES DE FREQUÊNCIA 75 CV, 380 V / 60 Hz</t>
  </si>
  <si>
    <t>I8939</t>
  </si>
  <si>
    <t>PAINEL ELÉTRICO C/ 2 INVERSORES DE FREQUÊNCIA 80 CV, 380 V / 60HZ</t>
  </si>
  <si>
    <t>I8937</t>
  </si>
  <si>
    <t>PAINEL ELÉTRICO C/ 3 INVERSORES DE FREQUÊNCIA 15 CV, 380 V / 60HZ</t>
  </si>
  <si>
    <t>I4241</t>
  </si>
  <si>
    <t>PARAFUSO C/ PORCAS PARA FLANGES DN 16 x 80</t>
  </si>
  <si>
    <t>I4242</t>
  </si>
  <si>
    <t>PARAFUSO C/ PORCAS PARA FLANGES DN 20 x 90</t>
  </si>
  <si>
    <t>I4243</t>
  </si>
  <si>
    <t>PARAFUSO C/ PORCAS PARA FLANGES DN 24 x 100</t>
  </si>
  <si>
    <t>I4244</t>
  </si>
  <si>
    <t>PARAFUSO C/ PORCAS PARA FLANGES DN 27 x 120</t>
  </si>
  <si>
    <t>I4245</t>
  </si>
  <si>
    <t>PARAFUSO C/ PORCAS PARA FLANGES DN 30 x 130</t>
  </si>
  <si>
    <t>I4246</t>
  </si>
  <si>
    <t>PARAFUSO C/ PORCAS PARA FLANGES DN 33 x 130</t>
  </si>
  <si>
    <t>I4247</t>
  </si>
  <si>
    <t>PARAFUSO C/ PORCAS PARA FLANGES DN 36 x 140</t>
  </si>
  <si>
    <t>I4248</t>
  </si>
  <si>
    <t>PARAFUSO C/ PORCAS PARA FLANGES DN 39 x 150</t>
  </si>
  <si>
    <t>I4249</t>
  </si>
  <si>
    <t>PARAFUSO C/ PORCAS PARA FLANGES DN 45 x 180</t>
  </si>
  <si>
    <t>I4250</t>
  </si>
  <si>
    <t>PARAFUSO C/ PORCAS PARA FLANGES DN 52 x 200</t>
  </si>
  <si>
    <t>I9919</t>
  </si>
  <si>
    <t>PARAFUSO CABEÇA LENTILHA AUTO TRAVANTE 1/4" X 1/2"</t>
  </si>
  <si>
    <t>I9918</t>
  </si>
  <si>
    <t>PARAFUSO CABEÇA LENTILHA AUTO TRAVANTE 1/4" X 5/8"</t>
  </si>
  <si>
    <t>I8079</t>
  </si>
  <si>
    <t>PARAFUSO CABEÇA QUADRADA M16 x 2 C-350, R-220</t>
  </si>
  <si>
    <t>I8080</t>
  </si>
  <si>
    <t>PARAFUSO CABEÇA QUADRADA M16 x 2 C-400, R-320</t>
  </si>
  <si>
    <t>I4234</t>
  </si>
  <si>
    <t>PARAFUSO P/ JUNTA MECÂNICA DN 16 x 80</t>
  </si>
  <si>
    <t>I4236</t>
  </si>
  <si>
    <t>PARAFUSO P/ JUNTA MECÂNICA DN 18 x 110</t>
  </si>
  <si>
    <t>I4237</t>
  </si>
  <si>
    <t>PARAFUSO P/ JUNTA MECÂNICA DN 18 x 120</t>
  </si>
  <si>
    <t>I4235</t>
  </si>
  <si>
    <t>PARAFUSO P/ JUNTA MECÂNICA DN 18 x 90</t>
  </si>
  <si>
    <t>I4238</t>
  </si>
  <si>
    <t>PARAFUSO P/ JUNTA MECÂNICA DN 20 x 120</t>
  </si>
  <si>
    <t>I4239</t>
  </si>
  <si>
    <t>PARAFUSO P/ JUNTA MECÂNICA DN 20 x 130</t>
  </si>
  <si>
    <t>I4240</t>
  </si>
  <si>
    <t>PARAFUSO P/ JUNTA MECÂNICA DN 24 x 160</t>
  </si>
  <si>
    <t>I7553</t>
  </si>
  <si>
    <t>PARAFUSO SEXT. UNC. GALVANIZADO 1/4"x2"</t>
  </si>
  <si>
    <t>I9917</t>
  </si>
  <si>
    <t>PASSARELA EM FIBRA DE VIDRO PULTRUDADA L=1,00M</t>
  </si>
  <si>
    <t>I7475</t>
  </si>
  <si>
    <t>PASTA LUBRIFICANTE - BISNAGA  160 g</t>
  </si>
  <si>
    <t>I7476</t>
  </si>
  <si>
    <t>PASTA LUBRIFICANTE - BISNAGA  400 g</t>
  </si>
  <si>
    <t>I7500</t>
  </si>
  <si>
    <t>PASTA LUBRIFICANTE - BISNAGA 1000 g</t>
  </si>
  <si>
    <t>I7474</t>
  </si>
  <si>
    <t>PASTA LUBRIFICANTE - POTE 2400 g</t>
  </si>
  <si>
    <t>I8699</t>
  </si>
  <si>
    <t>PASTILHA DE CLORO ORGÂNICO - TRICOLO-S-TRIAZINA-TRIONA 99%</t>
  </si>
  <si>
    <t>I4974</t>
  </si>
  <si>
    <t>PEDESTAL MANOBRA C/ ENGRENAGEM DN 06</t>
  </si>
  <si>
    <t>I4975</t>
  </si>
  <si>
    <t>PEDESTAL MANOBRA C/ ENGRENAGEM DN 07</t>
  </si>
  <si>
    <t>I4976</t>
  </si>
  <si>
    <t>PEDESTAL MANOBRA C/ENGRENAGEM E INDICADOR DN 18x62</t>
  </si>
  <si>
    <t>I4977</t>
  </si>
  <si>
    <t>PEDESTAL MANOBRA C/ENGRENAGEM E INDICADOR DN 18x63</t>
  </si>
  <si>
    <t>I4978</t>
  </si>
  <si>
    <t>PEDESTAL MANOBRA C/ENGRENAGEM E INDICADOR DN 18x65</t>
  </si>
  <si>
    <t>I4979</t>
  </si>
  <si>
    <t>PEDESTAL MANOBRA C/ENGRENAGEM E INDICADOR DN 18x78</t>
  </si>
  <si>
    <t>I4980</t>
  </si>
  <si>
    <t>PEDESTAL MANOBRA C/ENGRENAGEM E INDICADOR DN 18x79</t>
  </si>
  <si>
    <t>I4981</t>
  </si>
  <si>
    <t>PEDESTAL MANOBRA C/ENGRENAGEM E INDICADOR DN 20x65</t>
  </si>
  <si>
    <t>I4982</t>
  </si>
  <si>
    <t>PEDESTAL MANOBRA C/ENGRENAGEM E INDICADOR DN 20x66</t>
  </si>
  <si>
    <t>I4983</t>
  </si>
  <si>
    <t>PEDESTAL MANOBRA C/ENGRENAGEM E INDICADOR DN 20x67</t>
  </si>
  <si>
    <t>I4984</t>
  </si>
  <si>
    <t>PEDESTAL MANOBRA C/ENGRENAGEM E INDICADOR DN 20x80</t>
  </si>
  <si>
    <t>I4985</t>
  </si>
  <si>
    <t>PEDESTAL MANOBRA C/ENGRENAGEM E INDICADOR DN 20x98</t>
  </si>
  <si>
    <t>I4986</t>
  </si>
  <si>
    <t>PEDESTAL MANOBRA C/ENGRENAGEM E INDICADOR DN 20x99</t>
  </si>
  <si>
    <t>I4987</t>
  </si>
  <si>
    <t>PEDESTAL MANOBRA SIMPLES DN 1</t>
  </si>
  <si>
    <t>I4988</t>
  </si>
  <si>
    <t>PEDESTAL MANOBRA SIMPLES DN 2</t>
  </si>
  <si>
    <t>I4989</t>
  </si>
  <si>
    <t>PEDESTAL MANOBRA SIMPLES DN 3</t>
  </si>
  <si>
    <t>I4990</t>
  </si>
  <si>
    <t>PEDESTAL MANOBRA SIMPLES DN 4</t>
  </si>
  <si>
    <t>I4992</t>
  </si>
  <si>
    <t>PEDESTAL MANOBRA SIMPLES INDIC. ABERTURA DN 08x50</t>
  </si>
  <si>
    <t>I4993</t>
  </si>
  <si>
    <t>PEDESTAL MANOBRA SIMPLES INDIC. ABERTURA DN 08x52</t>
  </si>
  <si>
    <t>I4994</t>
  </si>
  <si>
    <t>PEDESTAL MANOBRA SIMPLES INDIC. ABERTURA DN 08x53</t>
  </si>
  <si>
    <t>I4995</t>
  </si>
  <si>
    <t>PEDESTAL MANOBRA SIMPLES INDIC. ABERTURA DN 09x55</t>
  </si>
  <si>
    <t>I4996</t>
  </si>
  <si>
    <t>PEDESTAL MANOBRA SIMPLES INDIC. ABERTURA DN 09x56</t>
  </si>
  <si>
    <t>I4997</t>
  </si>
  <si>
    <t>PEDESTAL MANOBRA SIMPLES INDIC. ABERTURA DN 09x58</t>
  </si>
  <si>
    <t>I4998</t>
  </si>
  <si>
    <t>PEDESTAL MANOBRA SIMPLES INDIC. ABERTURA DN 09x59</t>
  </si>
  <si>
    <t>I4999</t>
  </si>
  <si>
    <t>PEDESTAL MANOBRA SIMPLES INDIC. ABERTURA DN 09x60</t>
  </si>
  <si>
    <t>I5000</t>
  </si>
  <si>
    <t>PEDESTAL MANOBRA SIMPLES INDIC. ABERTURA DN 10x55</t>
  </si>
  <si>
    <t>I5001</t>
  </si>
  <si>
    <t>PEDESTAL MANOBRA SIMPLES INDIC. ABERTURA DN 10x56</t>
  </si>
  <si>
    <t>I5002</t>
  </si>
  <si>
    <t>PEDESTAL MANOBRA SIMPLES INDIC. ABERTURA DN 10x58</t>
  </si>
  <si>
    <t>I5003</t>
  </si>
  <si>
    <t>PEDESTAL MANOBRA SIMPLES INDIC. ABERTURA DN 10x60</t>
  </si>
  <si>
    <t>I5004</t>
  </si>
  <si>
    <t>PEDESTAL MANOBRA SIMPLES INDIC. ABERTURA DN 10x61</t>
  </si>
  <si>
    <t>I5005</t>
  </si>
  <si>
    <t>PEDESTAL MANOBRA SIMPLES INDIC. ABERTURA DN 10x62</t>
  </si>
  <si>
    <t>I5006</t>
  </si>
  <si>
    <t>PEDESTAL MANOBRA SIMPLES INDIC. ABERTURA DN 12x63</t>
  </si>
  <si>
    <t>I5007</t>
  </si>
  <si>
    <t>PEDESTAL MANOBRA SIMPLES INDIC. ABERTURA DN 12x65</t>
  </si>
  <si>
    <t>I5008</t>
  </si>
  <si>
    <t>PEDESTAL MANOBRA SIMPLES INDIC. ABERTURA DN 13x62</t>
  </si>
  <si>
    <t>I5009</t>
  </si>
  <si>
    <t>PEDESTAL MANOBRA SIMPLES INDIC. ABERTURA DN 13x63</t>
  </si>
  <si>
    <t>I5010</t>
  </si>
  <si>
    <t>PEDESTAL MANOBRA SIMPLES INDIC. ABERTURA DN 13x65</t>
  </si>
  <si>
    <t>I5011</t>
  </si>
  <si>
    <t>PEDESTAL MANOBRA SIMPLES INDIC. ABERTURA DN 13x77</t>
  </si>
  <si>
    <t>I5012</t>
  </si>
  <si>
    <t>PEDESTAL MANOBRA SIMPLES INDIC. ABERTURA DN 13x78</t>
  </si>
  <si>
    <t>I5013</t>
  </si>
  <si>
    <t>PEDESTAL MANOBRA SIMPLES INDIC. ABERTURA DN 13x79</t>
  </si>
  <si>
    <t>I5014</t>
  </si>
  <si>
    <t>PEDESTAL MANOBRA SIMPLES INDIC. ABERTURA DN 14x65</t>
  </si>
  <si>
    <t>I5015</t>
  </si>
  <si>
    <t>PEDESTAL MANOBRA SIMPLES INDIC. ABERTURA DN 14x66</t>
  </si>
  <si>
    <t>I5016</t>
  </si>
  <si>
    <t>PEDESTAL MANOBRA SIMPLES INDIC. ABERTURA DN 14x67</t>
  </si>
  <si>
    <t>I5017</t>
  </si>
  <si>
    <t>PEDESTAL MANOBRA SIMPLES INDIC. ABERTURA DN 14x68</t>
  </si>
  <si>
    <t>I5018</t>
  </si>
  <si>
    <t>PEDESTAL MANOBRA SIMPLES INDIC. ABERTURA DN 14x69</t>
  </si>
  <si>
    <t>I4953</t>
  </si>
  <si>
    <t>PEDESTAL SUSPENSÃO C/ ENGRENAGEM DN 46</t>
  </si>
  <si>
    <t>I4954</t>
  </si>
  <si>
    <t>PEDESTAL SUSPENSÃO C/ ENGRENAGEM DN 47</t>
  </si>
  <si>
    <t>I4955</t>
  </si>
  <si>
    <t>PEDESTAL SUSPENSÃO C/ ENGRENAGEM DN 48</t>
  </si>
  <si>
    <t>I4956</t>
  </si>
  <si>
    <t>PEDESTAL SUSPENSÃO C/ ENGRENAGEM DN 49</t>
  </si>
  <si>
    <t>I4957</t>
  </si>
  <si>
    <t>PEDESTAL SUSPENSÃO C/ ENGRENAGEM DN 50</t>
  </si>
  <si>
    <t>I4958</t>
  </si>
  <si>
    <t>PEDESTAL SUSPENSÃO C/ ENGRENAGEM DN 51</t>
  </si>
  <si>
    <t>I4959</t>
  </si>
  <si>
    <t>PEDESTAL SUSPENSÃO C/ ENGRENAGEM DN 52</t>
  </si>
  <si>
    <t>I4967</t>
  </si>
  <si>
    <t>PEDESTAL SUSPENSÃO C/ENGRENAGEM E INDICADOR DN 35x92</t>
  </si>
  <si>
    <t>I4968</t>
  </si>
  <si>
    <t>PEDESTAL SUSPENSÃO C/ENGRENAGEM E INDICADOR DN 36x93</t>
  </si>
  <si>
    <t>I4969</t>
  </si>
  <si>
    <t>PEDESTAL SUSPENSÃO C/ENGRENAGEM E INDICADOR DN 37x94</t>
  </si>
  <si>
    <t>I4970</t>
  </si>
  <si>
    <t>PEDESTAL SUSPENSÃO C/ENGRENAGEM E INDICADOR DN 38x95</t>
  </si>
  <si>
    <t>I4971</t>
  </si>
  <si>
    <t>PEDESTAL SUSPENSÃO C/ENGRENAGEM E INDICADOR DN 39x96</t>
  </si>
  <si>
    <t>I4972</t>
  </si>
  <si>
    <t>PEDESTAL SUSPENSÃO C/ENGRENAGEM E INDICADOR DN 40x97</t>
  </si>
  <si>
    <t>I4973</t>
  </si>
  <si>
    <t>PEDESTAL SUSPENSÃO C/ENGRENAGEM E INDICADOR DN 41x98</t>
  </si>
  <si>
    <t>I5045</t>
  </si>
  <si>
    <t>PEDESTAL SUSPENSÃO SIMPLES C/INDIC. ABERTURA DN 54x10</t>
  </si>
  <si>
    <t>I5046</t>
  </si>
  <si>
    <t>PEDESTAL SUSPENSÃO SIMPLES C/INDIC. ABERTURA DN 55x11</t>
  </si>
  <si>
    <t>I5047</t>
  </si>
  <si>
    <t>PEDESTAL SUSPENSÃO SIMPLES C/INDIC. ABERTURA DN 56x12</t>
  </si>
  <si>
    <t>I5026</t>
  </si>
  <si>
    <t>PEDESTAL SUSPENSÃO SIMPLES DN 01</t>
  </si>
  <si>
    <t>I6046</t>
  </si>
  <si>
    <t>PEDREGULHO 12,70 A 6,35MM</t>
  </si>
  <si>
    <t>I6045</t>
  </si>
  <si>
    <t>PEDREGULHO 19,05 A 12,70MM</t>
  </si>
  <si>
    <t>I6044</t>
  </si>
  <si>
    <t>PEDREGULHO 25,40 A 19,05MM</t>
  </si>
  <si>
    <t>I6048</t>
  </si>
  <si>
    <t>PEDREGULHO 3,20 A 2,362MM</t>
  </si>
  <si>
    <t>I10462</t>
  </si>
  <si>
    <t>PEDREGULHO 38,10 A 25,40MM</t>
  </si>
  <si>
    <t>I10461</t>
  </si>
  <si>
    <t>PEDREGULHO 38.10 A 19,05MM</t>
  </si>
  <si>
    <t>I6047</t>
  </si>
  <si>
    <t>PEDREGULHO 6,35 A 3,20MM</t>
  </si>
  <si>
    <t>I10463</t>
  </si>
  <si>
    <t>PEDREGULHO 75,00 A 38,10MM</t>
  </si>
  <si>
    <t>I10261</t>
  </si>
  <si>
    <t>PERFIL "I" DE ACO LAMINADO, ABAS INCLINADAS, "I" 152 X 22</t>
  </si>
  <si>
    <t>I9422</t>
  </si>
  <si>
    <t>PERFURATRIZ PNEUMÁTICA TIPO MOLE PARA PERFURAÇÃO EM SOLO QUALQUER, EXCETO ROCHA SÃ E ARGILA ORGÂNICA, MÉTODO NÃO-DESTRUTIVO, VELOCIDADE 10M/H</t>
  </si>
  <si>
    <t>I9921</t>
  </si>
  <si>
    <t>PINTURA EXTERNA DE TUBOS DN 1.500MM X ESP=11,11MM (7/16"), CONSIDERANDO APLICAÇÃO PARA TRECHO ENTERRADO - TUBOS DE 12M</t>
  </si>
  <si>
    <t>I9922</t>
  </si>
  <si>
    <t>PISO GRAMA INTERTRAVADO VAZADO</t>
  </si>
  <si>
    <t>I4015</t>
  </si>
  <si>
    <t>PLACA  REDUÇÃO DN 100 x 50 PN10</t>
  </si>
  <si>
    <t>I4032</t>
  </si>
  <si>
    <t>PLACA  REDUÇÃO DN 1000 x 700 PN10</t>
  </si>
  <si>
    <t>I4033</t>
  </si>
  <si>
    <t>PLACA  REDUÇÃO DN 1000 x 800 PN10</t>
  </si>
  <si>
    <t>I4017</t>
  </si>
  <si>
    <t>PLACA  REDUÇÃO DN 200 x 100 PN10</t>
  </si>
  <si>
    <t>I4016</t>
  </si>
  <si>
    <t>PLACA  REDUÇÃO DN 200 x 75 PN10</t>
  </si>
  <si>
    <t>I7135</t>
  </si>
  <si>
    <t>PLACA  REDUÇÃO DN 200 x 80 PN10</t>
  </si>
  <si>
    <t>I4018</t>
  </si>
  <si>
    <t>PLACA  REDUÇÃO DN 250 x 200 PN10</t>
  </si>
  <si>
    <t>I4019</t>
  </si>
  <si>
    <t>PLACA  REDUÇÃO DN 350 x 150 PN10</t>
  </si>
  <si>
    <t>I4020</t>
  </si>
  <si>
    <t>PLACA  REDUÇÃO DN 350 x 250 PN10</t>
  </si>
  <si>
    <t>I4021</t>
  </si>
  <si>
    <t>PLACA  REDUÇÃO DN 400 x 150 PN10</t>
  </si>
  <si>
    <t>I4022</t>
  </si>
  <si>
    <t>PLACA  REDUÇÃO DN 400 x 200 PN10</t>
  </si>
  <si>
    <t>I4023</t>
  </si>
  <si>
    <t>PLACA  REDUÇÃO DN 400 x 250 PN10</t>
  </si>
  <si>
    <t>I4024</t>
  </si>
  <si>
    <t>PLACA  REDUÇÃO DN 400 x 300 PN10</t>
  </si>
  <si>
    <t>I4025</t>
  </si>
  <si>
    <t>PLACA  REDUÇÃO DN 450 x 350 PN10</t>
  </si>
  <si>
    <t>I4026</t>
  </si>
  <si>
    <t>PLACA  REDUÇÃO DN 500 x 350 PN10</t>
  </si>
  <si>
    <t>I4027</t>
  </si>
  <si>
    <t>PLACA  REDUÇÃO DN 500 x 400 PN10</t>
  </si>
  <si>
    <t>I4029</t>
  </si>
  <si>
    <t>PLACA  REDUÇÃO DN 600 x 450 PN10</t>
  </si>
  <si>
    <t>I4030</t>
  </si>
  <si>
    <t>PLACA  REDUÇÃO DN 700 x 500 PN10</t>
  </si>
  <si>
    <t>I4031</t>
  </si>
  <si>
    <t>PLACA  REDUÇÃO DN 900 x 700 PN10</t>
  </si>
  <si>
    <t>I9923</t>
  </si>
  <si>
    <t>PLACA DE EPS ESPESSURA 20MM</t>
  </si>
  <si>
    <t>I8890</t>
  </si>
  <si>
    <t>PLACA DE PVC DE 2,00MX1,00M, ESP=25MM P/ FLOCULADOR C/ FUROS CONF. PROJETO</t>
  </si>
  <si>
    <t>I8891</t>
  </si>
  <si>
    <t>PLACA DE PVC DE 2,47MX0,75M, ESP=6MM P/ FLOCULADOR</t>
  </si>
  <si>
    <t>I8892</t>
  </si>
  <si>
    <t>PLACA DE PVC DE 2,65MX0,75M, ESP=6MM P/ FLOCULADOR</t>
  </si>
  <si>
    <t>I8893</t>
  </si>
  <si>
    <t>PLACA DE PVC DE 2,80MX0,75M, ESP=6MM P/ FLOCULADOR</t>
  </si>
  <si>
    <t>I8894</t>
  </si>
  <si>
    <t>PLACA DE PVC DE 2,92MX0,75M, ESP=6MM P/ FLOCULADOR</t>
  </si>
  <si>
    <t>I8895</t>
  </si>
  <si>
    <t>PLACA DE PVC DE 5,00MX0,65M, ESP=10MM P/ FLOCULADOR C/ FUROS</t>
  </si>
  <si>
    <t>I9924</t>
  </si>
  <si>
    <t>PLACA EM FIBRA DE VIDRO  ESP. 10MM</t>
  </si>
  <si>
    <t>I13297</t>
  </si>
  <si>
    <t>PLACA EM FIBRA DE VIDRO  ESP. 12MM</t>
  </si>
  <si>
    <t>I13133</t>
  </si>
  <si>
    <t>PLACA EM FIBRA DE VIDRO  ESP. 6MM</t>
  </si>
  <si>
    <t>I13134</t>
  </si>
  <si>
    <t>PLACA EM FIBRA DE VIDRO  ESP. 8MM</t>
  </si>
  <si>
    <t>I9927</t>
  </si>
  <si>
    <t>PLACA EM FIBRA DE VIDRO PULTRADO ESP. 4 MM</t>
  </si>
  <si>
    <t>I10995</t>
  </si>
  <si>
    <t>PLACA REDUÇÃO DN 100 x 50 PN25</t>
  </si>
  <si>
    <t>I10974</t>
  </si>
  <si>
    <t>PLACA REDUÇÃO DN 100 x 80 PN10/16</t>
  </si>
  <si>
    <t>I10996</t>
  </si>
  <si>
    <t>PLACA REDUÇÃO DN 100 x 80 PN25</t>
  </si>
  <si>
    <t>I10994</t>
  </si>
  <si>
    <t>PLACA REDUÇÃO DN 1000 x 700 PN16</t>
  </si>
  <si>
    <t>I11014</t>
  </si>
  <si>
    <t>PLACA REDUÇÃO DN 1000 x 700 PN25</t>
  </si>
  <si>
    <t>I10976</t>
  </si>
  <si>
    <t>PLACA REDUÇÃO DN 150 x 100 PN10/16</t>
  </si>
  <si>
    <t>I10998</t>
  </si>
  <si>
    <t>PLACA REDUÇÃO DN 150 x 100 PN25</t>
  </si>
  <si>
    <t>I10975</t>
  </si>
  <si>
    <t>PLACA REDUÇÃO DN 150 x 80 PN10/16</t>
  </si>
  <si>
    <t>I10997</t>
  </si>
  <si>
    <t>PLACA REDUÇÃO DN 150 x 80 PN25</t>
  </si>
  <si>
    <t>I10980</t>
  </si>
  <si>
    <t>PLACA REDUÇÃO DN 200 x 100 PN16</t>
  </si>
  <si>
    <t>I11000</t>
  </si>
  <si>
    <t>PLACA REDUÇÃO DN 200 x 100 PN25</t>
  </si>
  <si>
    <t>I10977</t>
  </si>
  <si>
    <t>PLACA REDUÇÃO DN 200 x 50 PN10</t>
  </si>
  <si>
    <t>I10979</t>
  </si>
  <si>
    <t>PLACA REDUÇÃO DN 200 x 50 PN16</t>
  </si>
  <si>
    <t>I10999</t>
  </si>
  <si>
    <t>PLACA REDUÇÃO DN 200 x 50 PN25</t>
  </si>
  <si>
    <t>I10981</t>
  </si>
  <si>
    <t>PLACA REDUÇÃO DN 200 x 75 PN16</t>
  </si>
  <si>
    <t>I11001</t>
  </si>
  <si>
    <t>PLACA REDUÇÃO DN 200 x 75 PN25</t>
  </si>
  <si>
    <t>I10982</t>
  </si>
  <si>
    <t>PLACA REDUÇÃO DN 200 x 80 PN16</t>
  </si>
  <si>
    <t>I11002</t>
  </si>
  <si>
    <t>PLACA REDUÇÃO DN 200 x 80 PN25</t>
  </si>
  <si>
    <t>I10983</t>
  </si>
  <si>
    <t>PLACA REDUÇÃO DN 250 x 200 PN16</t>
  </si>
  <si>
    <t>I11003</t>
  </si>
  <si>
    <t>PLACA REDUÇÃO DN 250 x 200 PN25</t>
  </si>
  <si>
    <t>I10984</t>
  </si>
  <si>
    <t>PLACA REDUÇÃO DN 350 x 150 PN16</t>
  </si>
  <si>
    <t>I11004</t>
  </si>
  <si>
    <t>PLACA REDUÇÃO DN 350 x 150 PN25</t>
  </si>
  <si>
    <t>I10985</t>
  </si>
  <si>
    <t>PLACA REDUÇÃO DN 350 x 250 PN16</t>
  </si>
  <si>
    <t>I11005</t>
  </si>
  <si>
    <t>PLACA REDUÇÃO DN 350 x 250 PN25</t>
  </si>
  <si>
    <t>I10986</t>
  </si>
  <si>
    <t>PLACA REDUÇÃO DN 400 x 150 PN16</t>
  </si>
  <si>
    <t>I11006</t>
  </si>
  <si>
    <t>PLACA REDUÇÃO DN 400 x 150 PN25</t>
  </si>
  <si>
    <t>I10987</t>
  </si>
  <si>
    <t>PLACA REDUÇÃO DN 400 x 200 PN16</t>
  </si>
  <si>
    <t>I11007</t>
  </si>
  <si>
    <t>PLACA REDUÇÃO DN 400 x 200 PN25</t>
  </si>
  <si>
    <t>I10988</t>
  </si>
  <si>
    <t>PLACA REDUÇÃO DN 400 x 250 PN16</t>
  </si>
  <si>
    <t>I11008</t>
  </si>
  <si>
    <t>PLACA REDUÇÃO DN 400 x 250 PN25</t>
  </si>
  <si>
    <t>I10989</t>
  </si>
  <si>
    <t>PLACA REDUÇÃO DN 400 x 300 PN16</t>
  </si>
  <si>
    <t>I11009</t>
  </si>
  <si>
    <t>PLACA REDUÇÃO DN 400 x 300 PN25</t>
  </si>
  <si>
    <t>I10978</t>
  </si>
  <si>
    <t>PLACA REDUÇÃO DN 500 x 250 PN10</t>
  </si>
  <si>
    <t>I10990</t>
  </si>
  <si>
    <t>PLACA REDUÇÃO DN 500 x 350 PN16</t>
  </si>
  <si>
    <t>I11010</t>
  </si>
  <si>
    <t>PLACA REDUÇÃO DN 500 x 350 PN25</t>
  </si>
  <si>
    <t>I10991</t>
  </si>
  <si>
    <t>PLACA REDUÇÃO DN 500 x 400 PN16</t>
  </si>
  <si>
    <t>I11011</t>
  </si>
  <si>
    <t>PLACA REDUÇÃO DN 500 x 400 PN25</t>
  </si>
  <si>
    <t>I4028</t>
  </si>
  <si>
    <t>PLACA REDUÇÃO DN 600 x 150 PN10</t>
  </si>
  <si>
    <t>I10992</t>
  </si>
  <si>
    <t>PLACA REDUÇÃO DN 600 x 150 PN16</t>
  </si>
  <si>
    <t>I11012</t>
  </si>
  <si>
    <t>PLACA REDUÇÃO DN 600 x 150 PN25</t>
  </si>
  <si>
    <t>I10993</t>
  </si>
  <si>
    <t>PLACA REDUÇÃO DN 700 x 500 PN16</t>
  </si>
  <si>
    <t>I11013</t>
  </si>
  <si>
    <t>PLACA REDUÇÃO DN 700 x 500 PN25</t>
  </si>
  <si>
    <t>I8974</t>
  </si>
  <si>
    <t>PLANO DE SERVIÇO INTERNET PARA USO DO TABLET</t>
  </si>
  <si>
    <t>I6577</t>
  </si>
  <si>
    <t>PLUG AÇO GALVANIZADO 2"</t>
  </si>
  <si>
    <t>I9928</t>
  </si>
  <si>
    <t>PLUG FÊMEA</t>
  </si>
  <si>
    <t>I9929</t>
  </si>
  <si>
    <t>PLUG FÊMEA STEK TRIFÁSICO 16A</t>
  </si>
  <si>
    <t>I9930</t>
  </si>
  <si>
    <t>PLUG FÊMEA STEK TRIFÁSICO 32A</t>
  </si>
  <si>
    <t>I9931</t>
  </si>
  <si>
    <t>PLUG FÊMEA STEK TRIFÁSICO 3P+T 32A/250V</t>
  </si>
  <si>
    <t>I3010</t>
  </si>
  <si>
    <t>PLUG OCRE DN 100</t>
  </si>
  <si>
    <t>I3011</t>
  </si>
  <si>
    <t>PLUG OCRE DN 125</t>
  </si>
  <si>
    <t>I3012</t>
  </si>
  <si>
    <t>PLUG OCRE DN 150</t>
  </si>
  <si>
    <t>I3013</t>
  </si>
  <si>
    <t>PLUG OCRE DN 200</t>
  </si>
  <si>
    <t>I3014</t>
  </si>
  <si>
    <t>PLUG OCRE DN 250</t>
  </si>
  <si>
    <t>I3015</t>
  </si>
  <si>
    <t>PLUG OCRE DN 300</t>
  </si>
  <si>
    <t>I3016</t>
  </si>
  <si>
    <t>PLUG OCRE DN 350</t>
  </si>
  <si>
    <t>I3017</t>
  </si>
  <si>
    <t>PLUG OCRE DN 400</t>
  </si>
  <si>
    <t>I8941</t>
  </si>
  <si>
    <t>POLÍMERO CATIÔNICO</t>
  </si>
  <si>
    <t>I9934</t>
  </si>
  <si>
    <t>PONTE ROLANTE COM TALHA ELÉTRICA, CAPACIDADE DE 3 TONELADAS</t>
  </si>
  <si>
    <t>I9933</t>
  </si>
  <si>
    <t>PORCA 3/8" LOSANGULAR COM ROSCA (MAX AF.PLR)</t>
  </si>
  <si>
    <t>I8072</t>
  </si>
  <si>
    <t>PORCA QUADRADA PARA PARAFUSO M16 x 2</t>
  </si>
  <si>
    <t>I9936</t>
  </si>
  <si>
    <t>PORTA EXTERNA ESPECIAL COM REVESTIMENTO ACÚSTICO COMPLETA DUAS FOLHAS (1.60X2.10)M</t>
  </si>
  <si>
    <t>I9935</t>
  </si>
  <si>
    <t>PORTA INTERNA ESPECIAL COM REVESTIMENTO ACÚSTICO COMPLETA UMA FOLHA (0,90X 2.10)M</t>
  </si>
  <si>
    <t>I6518</t>
  </si>
  <si>
    <t>POSTE CONCRETO ARMADO CIRCULAR, H = 22 m</t>
  </si>
  <si>
    <t>I9937</t>
  </si>
  <si>
    <t>POSTE FINAL (ESBARRO PARA BORNE)</t>
  </si>
  <si>
    <t>I6097</t>
  </si>
  <si>
    <t>POÇO DE VISITA PRE-MOLDADO CONF. PROJETO CAGECE</t>
  </si>
  <si>
    <t>I9932</t>
  </si>
  <si>
    <t>POÇO PROFUNDO 8" (200MM) COMPLETAMENTE EXECUTADO</t>
  </si>
  <si>
    <t>I8956</t>
  </si>
  <si>
    <t>PRANCHETA DE MADEIRA C/ PRENDEDOR DE METAL</t>
  </si>
  <si>
    <t>I9938</t>
  </si>
  <si>
    <t>PRESSOSTATO PARA CLORO GÁS, TIPO SELO DIAFRAGMA EM TEFLON</t>
  </si>
  <si>
    <t>I8957</t>
  </si>
  <si>
    <t>PROJETOR FECHADO, CORPO EM CHAPA DE ALUMÍNIO, COM ALOJAMENTO PARA EQUIPAMENTO AUXILIAR TEMPERADO, COM SOQUETE E40 PARA LÂMPADA MULTIVAPORES METÁLICOS DE 70W, COM REATOR DE ALTO FATOR DE POTÊNCIA</t>
  </si>
  <si>
    <t>I9939</t>
  </si>
  <si>
    <t>PROTETOR 30V</t>
  </si>
  <si>
    <t>I9940</t>
  </si>
  <si>
    <t>PROTETOR DE SINAL ANALÓGICO - 4-20 MA</t>
  </si>
  <si>
    <t>I8942</t>
  </si>
  <si>
    <t>PROTETOR DE SURTOS, CLASSE I, 30KA</t>
  </si>
  <si>
    <t>I8943</t>
  </si>
  <si>
    <t>PROTETOR DE SURTOS, CLASSE II, 5KA</t>
  </si>
  <si>
    <t>I9941</t>
  </si>
  <si>
    <t>PROTETOR DPS CLAMPER SÉRIE 900 BORNE 922.B0M3.024 FASTER-24V</t>
  </si>
  <si>
    <t>I8944</t>
  </si>
  <si>
    <t>PROVETA GRADUADA 500ML</t>
  </si>
  <si>
    <t>I8933</t>
  </si>
  <si>
    <t>PÁ DE BICO</t>
  </si>
  <si>
    <t>I8082</t>
  </si>
  <si>
    <t>PÁRA-RAIO TIPO VÁLVULA PARA SISTEMA DE DISTRIBUIÇÃO DE 15 kV</t>
  </si>
  <si>
    <t>I6424</t>
  </si>
  <si>
    <t>QUADRO DE MEDIÇÃO TRIFÁSICO PADRÃO COELCE</t>
  </si>
  <si>
    <t>I6316</t>
  </si>
  <si>
    <t>REATOR ANAERÓBIO EM FIBRA CAPACIDADE 100 m3/DIA</t>
  </si>
  <si>
    <t>I6317</t>
  </si>
  <si>
    <t>REATOR ANAERÓBIO EM FIBRA CAPACIDADE 145 m3/DIA</t>
  </si>
  <si>
    <t>I6318</t>
  </si>
  <si>
    <t>REATOR ANAERÓBIO EM FIBRA CAPACIDADE 180 m3/DIA</t>
  </si>
  <si>
    <t>I6319</t>
  </si>
  <si>
    <t>REATOR ANAERÓBIO EM FIBRA CAPACIDADE 270 m3/DIA</t>
  </si>
  <si>
    <t>I6320</t>
  </si>
  <si>
    <t>REATOR ANAERÓBIO EM FIBRA CAPACIDADE 350 m3/DIA</t>
  </si>
  <si>
    <t>I6315</t>
  </si>
  <si>
    <t>REATOR ANAERÓBIO EM FIBRA CAPACIDADE 80 m3/DIA</t>
  </si>
  <si>
    <t>I9350</t>
  </si>
  <si>
    <t xml:space="preserve">REBOQUE BAU PARA MOTO
</t>
  </si>
  <si>
    <t>I10260</t>
  </si>
  <si>
    <t>RECEBIMENTO DE MATERIAL SEGREGADO</t>
  </si>
  <si>
    <t>I9943</t>
  </si>
  <si>
    <t>REDUÇÃO AÇO CARBONO SCHEDULE 40 S/COSTURA, 8"X6"</t>
  </si>
  <si>
    <t>I9944</t>
  </si>
  <si>
    <t>REDUÇÃO AÇO INOX 3”X 2”</t>
  </si>
  <si>
    <t>I9945</t>
  </si>
  <si>
    <t>REDUÇÃO AÇO INOX SCHEDULE 40 DN 75 X DN50</t>
  </si>
  <si>
    <t>I9946</t>
  </si>
  <si>
    <t>REDUÇÃO AÇO INOX, CONCÊNTRICA C/ FLANGES DN150X100</t>
  </si>
  <si>
    <t>I9947</t>
  </si>
  <si>
    <t>REDUÇÃO AÇO INOX, EXCÊNTRICA C/ FLANGES DN150X100</t>
  </si>
  <si>
    <t>I11310</t>
  </si>
  <si>
    <t>REDUÇÃO BOLSA/BOLSA JE FOFO DN  1000 X 700</t>
  </si>
  <si>
    <t>I11311</t>
  </si>
  <si>
    <t>REDUÇÃO BOLSA/BOLSA JE FOFO DN  1000 X 900</t>
  </si>
  <si>
    <t>I11312</t>
  </si>
  <si>
    <t>REDUÇÃO BOLSA/BOLSA JE FOFO DN  1200 X 1000</t>
  </si>
  <si>
    <t>I11282</t>
  </si>
  <si>
    <t>REDUÇÃO BOLSA/BOLSA JE FOFO DN  150 X 100</t>
  </si>
  <si>
    <t>I11281</t>
  </si>
  <si>
    <t>REDUÇÃO BOLSA/BOLSA JE FOFO DN  150 X 75</t>
  </si>
  <si>
    <t>I11283</t>
  </si>
  <si>
    <t>REDUÇÃO BOLSA/BOLSA JE FOFO DN  200 X 100</t>
  </si>
  <si>
    <t>I11284</t>
  </si>
  <si>
    <t>REDUÇÃO BOLSA/BOLSA JE FOFO DN  200 X 150</t>
  </si>
  <si>
    <t>I11285</t>
  </si>
  <si>
    <t>REDUÇÃO BOLSA/BOLSA JE FOFO DN  250 X 100</t>
  </si>
  <si>
    <t>I11286</t>
  </si>
  <si>
    <t>REDUÇÃO BOLSA/BOLSA JE FOFO DN  250 X 150</t>
  </si>
  <si>
    <t>I11287</t>
  </si>
  <si>
    <t>REDUÇÃO BOLSA/BOLSA JE FOFO DN  250 X 200</t>
  </si>
  <si>
    <t>I11288</t>
  </si>
  <si>
    <t>REDUÇÃO BOLSA/BOLSA JE FOFO DN  300 X 150</t>
  </si>
  <si>
    <t>I11289</t>
  </si>
  <si>
    <t>REDUÇÃO BOLSA/BOLSA JE FOFO DN  300 X 200</t>
  </si>
  <si>
    <t>I11290</t>
  </si>
  <si>
    <t>REDUÇÃO BOLSA/BOLSA JE FOFO DN  300 X 250</t>
  </si>
  <si>
    <t>I11291</t>
  </si>
  <si>
    <t>REDUÇÃO BOLSA/BOLSA JE FOFO DN  350 X 150</t>
  </si>
  <si>
    <t>I11292</t>
  </si>
  <si>
    <t>REDUÇÃO BOLSA/BOLSA JE FOFO DN  350 X 200</t>
  </si>
  <si>
    <t>I11293</t>
  </si>
  <si>
    <t>REDUÇÃO BOLSA/BOLSA JE FOFO DN  350 X 250</t>
  </si>
  <si>
    <t>I11294</t>
  </si>
  <si>
    <t>REDUÇÃO BOLSA/BOLSA JE FOFO DN  350 X 300</t>
  </si>
  <si>
    <t>I11295</t>
  </si>
  <si>
    <t>REDUÇÃO BOLSA/BOLSA JE FOFO DN  400 X 100</t>
  </si>
  <si>
    <t>I11296</t>
  </si>
  <si>
    <t>REDUÇÃO BOLSA/BOLSA JE FOFO DN  400 X 250</t>
  </si>
  <si>
    <t>I11297</t>
  </si>
  <si>
    <t>REDUÇÃO BOLSA/BOLSA JE FOFO DN  400 X 300</t>
  </si>
  <si>
    <t>I11298</t>
  </si>
  <si>
    <t>REDUÇÃO BOLSA/BOLSA JE FOFO DN  400 X 350</t>
  </si>
  <si>
    <t>I11299</t>
  </si>
  <si>
    <t>REDUÇÃO BOLSA/BOLSA JE FOFO DN  450 X 400</t>
  </si>
  <si>
    <t>I11300</t>
  </si>
  <si>
    <t>REDUÇÃO BOLSA/BOLSA JE FOFO DN  500 X 200</t>
  </si>
  <si>
    <t>I11301</t>
  </si>
  <si>
    <t>REDUÇÃO BOLSA/BOLSA JE FOFO DN  500 X 300</t>
  </si>
  <si>
    <t>I11302</t>
  </si>
  <si>
    <t>REDUÇÃO BOLSA/BOLSA JE FOFO DN  500 X 350</t>
  </si>
  <si>
    <t>I9948</t>
  </si>
  <si>
    <t>REDUÇÃO BOLSA/BOLSA JE FOFO DN  500 X 400</t>
  </si>
  <si>
    <t>I11303</t>
  </si>
  <si>
    <t>REDUÇÃO BOLSA/BOLSA JE FOFO DN  600 X 400</t>
  </si>
  <si>
    <t>I11304</t>
  </si>
  <si>
    <t>REDUÇÃO BOLSA/BOLSA JE FOFO DN  600 X 500</t>
  </si>
  <si>
    <t>I11305</t>
  </si>
  <si>
    <t>REDUÇÃO BOLSA/BOLSA JE FOFO DN  700 X 500</t>
  </si>
  <si>
    <t>I11306</t>
  </si>
  <si>
    <t>REDUÇÃO BOLSA/BOLSA JE FOFO DN  700 X 600</t>
  </si>
  <si>
    <t>I9949</t>
  </si>
  <si>
    <t>REDUÇÃO BOLSA/BOLSA JE FOFO DN  800 X 600</t>
  </si>
  <si>
    <t>I11307</t>
  </si>
  <si>
    <t>REDUÇÃO BOLSA/BOLSA JE FOFO DN  800 X 700</t>
  </si>
  <si>
    <t>I11308</t>
  </si>
  <si>
    <t>REDUÇÃO BOLSA/BOLSA JE FOFO DN  900 X 700</t>
  </si>
  <si>
    <t>I11309</t>
  </si>
  <si>
    <t>REDUÇÃO BOLSA/BOLSA JE FOFO DN  900 X 800</t>
  </si>
  <si>
    <t>I9950</t>
  </si>
  <si>
    <t>REDUÇÃO BOLSA/BOLSA JE FOFO DN 1000 X 800</t>
  </si>
  <si>
    <t>I11313</t>
  </si>
  <si>
    <t>REDUÇÃO COM BOLSAS JTE 400 x 300</t>
  </si>
  <si>
    <t>I11314</t>
  </si>
  <si>
    <t>REDUÇÃO COM BOLSAS JTE 500 x 400</t>
  </si>
  <si>
    <t>I11315</t>
  </si>
  <si>
    <t>REDUÇÃO COM BOLSAS JTE 700 x 500</t>
  </si>
  <si>
    <t>I13279</t>
  </si>
  <si>
    <t>REDUÇÃO CONCÊNTRICA AÇO CARBONO SCH 40 S/COSTURA 10’’ X 4’’</t>
  </si>
  <si>
    <t>I13280</t>
  </si>
  <si>
    <t>REDUÇÃO CONCÊNTRICA AÇO CARBONO SCH 40 S/COSTURA 10’’ X 5’’</t>
  </si>
  <si>
    <t>I13281</t>
  </si>
  <si>
    <t>REDUÇÃO CONCÊNTRICA AÇO CARBONO SCH 40 S/COSTURA 10’’ X 6’’</t>
  </si>
  <si>
    <t>I13282</t>
  </si>
  <si>
    <t>REDUÇÃO CONCÊNTRICA AÇO CARBONO SCH 40 S/COSTURA 10’’ X 8’’</t>
  </si>
  <si>
    <t>I13286</t>
  </si>
  <si>
    <t>REDUÇÃO CONCÊNTRICA AÇO CARBONO SCH 40 S/COSTURA 12’’ X 10’’</t>
  </si>
  <si>
    <t>I13283</t>
  </si>
  <si>
    <t>REDUÇÃO CONCÊNTRICA AÇO CARBONO SCH 40 S/COSTURA 12’’ X 5’’</t>
  </si>
  <si>
    <t>I13284</t>
  </si>
  <si>
    <t>REDUÇÃO CONCÊNTRICA AÇO CARBONO SCH 40 S/COSTURA 12’’ X 6’’</t>
  </si>
  <si>
    <t>I13285</t>
  </si>
  <si>
    <t>REDUÇÃO CONCÊNTRICA AÇO CARBONO SCH 40 S/COSTURA 12’’ X 8’’</t>
  </si>
  <si>
    <t>I13273</t>
  </si>
  <si>
    <t>REDUÇÃO CONCÊNTRICA AÇO CARBONO SCH 40 S/COSTURA 6’’ X 3’’</t>
  </si>
  <si>
    <t>I13274</t>
  </si>
  <si>
    <t>REDUÇÃO CONCÊNTRICA AÇO CARBONO SCH 40 S/COSTURA 6’’ X 4’’</t>
  </si>
  <si>
    <t>I13275</t>
  </si>
  <si>
    <t>REDUÇÃO CONCÊNTRICA AÇO CARBONO SCH 40 S/COSTURA 6’’ X 5’’</t>
  </si>
  <si>
    <t>I13276</t>
  </si>
  <si>
    <t>REDUÇÃO CONCÊNTRICA AÇO CARBONO SCH 40 S/COSTURA 8’’ X 4’’</t>
  </si>
  <si>
    <t>I13277</t>
  </si>
  <si>
    <t>REDUÇÃO CONCÊNTRICA AÇO CARBONO SCH 40 S/COSTURA 8’’ X 5’’</t>
  </si>
  <si>
    <t>I13278</t>
  </si>
  <si>
    <t>REDUÇÃO CONCÊNTRICA AÇO CARBONO SCH 40 S/COSTURA 8’’ X 6’’</t>
  </si>
  <si>
    <t>I13206</t>
  </si>
  <si>
    <t>REDUÇÃO CONCÊNTRICA AÇO INOX 304 SCH 40 S/ COSTURA PP 4"X2''</t>
  </si>
  <si>
    <t>I13207</t>
  </si>
  <si>
    <t>REDUÇÃO CONCÊNTRICA AÇO INOX 304 SCH 40 S/ COSTURA PP 4"X3''</t>
  </si>
  <si>
    <t>I13208</t>
  </si>
  <si>
    <t>REDUÇÃO CONCÊNTRICA AÇO INOX 304 SCH 40 S/ COSTURA PP 6"X3''</t>
  </si>
  <si>
    <t>I13209</t>
  </si>
  <si>
    <t>REDUÇÃO CONCÊNTRICA AÇO INOX 304 SCH 40 S/ COSTURA PP 6''X4"</t>
  </si>
  <si>
    <t>I9951</t>
  </si>
  <si>
    <t>REDUÇÃO CONCÊNTRICA AÇO SCHEDULE 40 DN 100 X 75</t>
  </si>
  <si>
    <t>I9952</t>
  </si>
  <si>
    <t>REDUÇÃO CONCÊNTRICA AÇO SCHEDULE 40 DN 150 X 100</t>
  </si>
  <si>
    <t>I9953</t>
  </si>
  <si>
    <t>REDUÇÃO CONCÊNTRICA AÇO SCHEDULE 40/S COSTURA DN 8'' X 6''</t>
  </si>
  <si>
    <t>I9954</t>
  </si>
  <si>
    <t>REDUÇÃO CONCÊNTRICA EM AÇO INOX 316 DN 150X100</t>
  </si>
  <si>
    <t>I9955</t>
  </si>
  <si>
    <t>REDUÇÃO CONCÊNTRICA EM FOFO COM BOLSAS DN 800 X 600 PN10</t>
  </si>
  <si>
    <t>I9957</t>
  </si>
  <si>
    <t>REDUÇÃO CONCÊNTRICA PRFV PB DN 150X100 PN10</t>
  </si>
  <si>
    <t>I9958</t>
  </si>
  <si>
    <t>REDUÇÃO EM AÇO SCHEDULE  DN 200X150</t>
  </si>
  <si>
    <t>I13265</t>
  </si>
  <si>
    <t>REDUÇÃO EXCENTRICA AÇO CARBONO SCH 40 S/COSTURA 10’’ X 4’’</t>
  </si>
  <si>
    <t>I13266</t>
  </si>
  <si>
    <t>REDUÇÃO EXCENTRICA AÇO CARBONO SCH 40 S/COSTURA 10’’ X 5’’</t>
  </si>
  <si>
    <t>I13267</t>
  </si>
  <si>
    <t>REDUÇÃO EXCENTRICA AÇO CARBONO SCH 40 S/COSTURA 10’’ X 6’’</t>
  </si>
  <si>
    <t>I13268</t>
  </si>
  <si>
    <t>REDUÇÃO EXCENTRICA AÇO CARBONO SCH 40 S/COSTURA 10’’ X 8’’</t>
  </si>
  <si>
    <t>I13272</t>
  </si>
  <si>
    <t>REDUÇÃO EXCENTRICA AÇO CARBONO SCH 40 S/COSTURA 12’’ X 10’’</t>
  </si>
  <si>
    <t>I13269</t>
  </si>
  <si>
    <t>REDUÇÃO EXCENTRICA AÇO CARBONO SCH 40 S/COSTURA 12’’ X 5’’</t>
  </si>
  <si>
    <t>I13270</t>
  </si>
  <si>
    <t>REDUÇÃO EXCENTRICA AÇO CARBONO SCH 40 S/COSTURA 12’’ X 6’’</t>
  </si>
  <si>
    <t>I13271</t>
  </si>
  <si>
    <t>REDUÇÃO EXCENTRICA AÇO CARBONO SCH 40 S/COSTURA 12’’ X 8’’</t>
  </si>
  <si>
    <t>I13259</t>
  </si>
  <si>
    <t>REDUÇÃO EXCENTRICA AÇO CARBONO SCH 40 S/COSTURA 6’’ X 3’’</t>
  </si>
  <si>
    <t>I13260</t>
  </si>
  <si>
    <t>REDUÇÃO EXCENTRICA AÇO CARBONO SCH 40 S/COSTURA 6’’ X 4’’</t>
  </si>
  <si>
    <t>I13261</t>
  </si>
  <si>
    <t>REDUÇÃO EXCENTRICA AÇO CARBONO SCH 40 S/COSTURA 6’’ X 5’’</t>
  </si>
  <si>
    <t>I13262</t>
  </si>
  <si>
    <t>REDUÇÃO EXCENTRICA AÇO CARBONO SCH 40 S/COSTURA 8’’ X 4’’</t>
  </si>
  <si>
    <t>I13263</t>
  </si>
  <si>
    <t>REDUÇÃO EXCENTRICA AÇO CARBONO SCH 40 S/COSTURA 8’’ X 5’’</t>
  </si>
  <si>
    <t>I13264</t>
  </si>
  <si>
    <t>REDUÇÃO EXCENTRICA AÇO CARBONO SCH 40 S/COSTURA 8’’ X 6’’</t>
  </si>
  <si>
    <t>I7136</t>
  </si>
  <si>
    <t>REDUÇÃO EXCENTRICA C/ FLANGES DN 100 x 80 PN10</t>
  </si>
  <si>
    <t>I7137</t>
  </si>
  <si>
    <t>REDUÇÃO EXCENTRICA C/ FLANGES DN 80 x 50 PN10</t>
  </si>
  <si>
    <t>I4066</t>
  </si>
  <si>
    <t>REDUÇÃO EXCÊNTRICA C/ FLANGES DN 100 x 75 PN10</t>
  </si>
  <si>
    <t>I11078</t>
  </si>
  <si>
    <t>REDUÇÃO EXCÊNTRICA C/ FLANGES DN 100 x 80 PN25</t>
  </si>
  <si>
    <t>I11043</t>
  </si>
  <si>
    <t>REDUÇÃO EXCÊNTRICA C/ FLANGES DN 1000 x 500 PN10</t>
  </si>
  <si>
    <t>I11077</t>
  </si>
  <si>
    <t>REDUÇÃO EXCÊNTRICA C/ FLANGES DN 1000 x 500 PN16</t>
  </si>
  <si>
    <t>I11119</t>
  </si>
  <si>
    <t>REDUÇÃO EXCÊNTRICA C/ FLANGES DN 1000 x 500 PN25</t>
  </si>
  <si>
    <t>I11016</t>
  </si>
  <si>
    <t>REDUÇÃO EXCÊNTRICA C/ FLANGES DN 125 x 100 PN10/16</t>
  </si>
  <si>
    <t>I11080</t>
  </si>
  <si>
    <t>REDUÇÃO EXCÊNTRICA C/ FLANGES DN 125 x 100 PN25</t>
  </si>
  <si>
    <t>I11015</t>
  </si>
  <si>
    <t>REDUÇÃO EXCÊNTRICA C/ FLANGES DN 125 x 80 PN10/16</t>
  </si>
  <si>
    <t>I11079</t>
  </si>
  <si>
    <t>REDUÇÃO EXCÊNTRICA C/ FLANGES DN 125 x 80 PN25</t>
  </si>
  <si>
    <t>I4068</t>
  </si>
  <si>
    <t>REDUÇÃO EXCÊNTRICA C/ FLANGES DN 150 x 100 PN10</t>
  </si>
  <si>
    <t>I11084</t>
  </si>
  <si>
    <t>REDUÇÃO EXCÊNTRICA C/ FLANGES DN 150 x 100 PN25</t>
  </si>
  <si>
    <t>I11018</t>
  </si>
  <si>
    <t>REDUÇÃO EXCÊNTRICA C/ FLANGES DN 150 x 125 PN10/16</t>
  </si>
  <si>
    <t>I11085</t>
  </si>
  <si>
    <t>REDUÇÃO EXCÊNTRICA C/ FLANGES DN 150 x 125 PN25</t>
  </si>
  <si>
    <t>I11017</t>
  </si>
  <si>
    <t>REDUÇÃO EXCÊNTRICA C/ FLANGES DN 150 x 50 PN10/16</t>
  </si>
  <si>
    <t>I11081</t>
  </si>
  <si>
    <t>REDUÇÃO EXCÊNTRICA C/ FLANGES DN 150 x 50 PN25</t>
  </si>
  <si>
    <t>I4067</t>
  </si>
  <si>
    <t>REDUÇÃO EXCÊNTRICA C/ FLANGES DN 150 x 75 PN10</t>
  </si>
  <si>
    <t>I11082</t>
  </si>
  <si>
    <t>REDUÇÃO EXCÊNTRICA C/ FLANGES DN 150 x 75 PN25</t>
  </si>
  <si>
    <t>I7605</t>
  </si>
  <si>
    <t>REDUÇÃO EXCÊNTRICA C/ FLANGES DN 150 x 80 PN10</t>
  </si>
  <si>
    <t>I11083</t>
  </si>
  <si>
    <t>REDUÇÃO EXCÊNTRICA C/ FLANGES DN 150 x 80 PN25</t>
  </si>
  <si>
    <t>I4070</t>
  </si>
  <si>
    <t>REDUÇÃO EXCÊNTRICA C/ FLANGES DN 200 x 100 PN10</t>
  </si>
  <si>
    <t>I11044</t>
  </si>
  <si>
    <t>REDUÇÃO EXCÊNTRICA C/ FLANGES DN 200 x 100 PN16</t>
  </si>
  <si>
    <t>I11086</t>
  </si>
  <si>
    <t>REDUÇÃO EXCÊNTRICA C/ FLANGES DN 200 x 100 PN25</t>
  </si>
  <si>
    <t>I11019</t>
  </si>
  <si>
    <t>REDUÇÃO EXCÊNTRICA C/ FLANGES DN 200 x 125 PN10</t>
  </si>
  <si>
    <t>I11045</t>
  </si>
  <si>
    <t>REDUÇÃO EXCÊNTRICA C/ FLANGES DN 200 x 125 PN16</t>
  </si>
  <si>
    <t>I11087</t>
  </si>
  <si>
    <t>REDUÇÃO EXCÊNTRICA C/ FLANGES DN 200 x 125 PN25</t>
  </si>
  <si>
    <t>I4071</t>
  </si>
  <si>
    <t>REDUÇÃO EXCÊNTRICA C/ FLANGES DN 200 x 150 PN10</t>
  </si>
  <si>
    <t>I11046</t>
  </si>
  <si>
    <t>REDUÇÃO EXCÊNTRICA C/ FLANGES DN 200 x 150 PN16</t>
  </si>
  <si>
    <t>I11088</t>
  </si>
  <si>
    <t>REDUÇÃO EXCÊNTRICA C/ FLANGES DN 200 x 150 PN25</t>
  </si>
  <si>
    <t>I9959</t>
  </si>
  <si>
    <t>REDUÇÃO EXCÊNTRICA C/ FLANGES DN 200X80 (ESPECIAL) PN 10 SAE 1020</t>
  </si>
  <si>
    <t>I11021</t>
  </si>
  <si>
    <t>REDUÇÃO EXCÊNTRICA C/ FLANGES DN 250 x 100 PN10</t>
  </si>
  <si>
    <t>I11048</t>
  </si>
  <si>
    <t>REDUÇÃO EXCÊNTRICA C/ FLANGES DN 250 x 100 PN16</t>
  </si>
  <si>
    <t>I11090</t>
  </si>
  <si>
    <t>REDUÇÃO EXCÊNTRICA C/ FLANGES DN 250 x 100 PN25</t>
  </si>
  <si>
    <t>I11022</t>
  </si>
  <si>
    <t>REDUÇÃO EXCÊNTRICA C/ FLANGES DN 250 x 125 PN10</t>
  </si>
  <si>
    <t>I11049</t>
  </si>
  <si>
    <t>REDUÇÃO EXCÊNTRICA C/ FLANGES DN 250 x 125 PN16</t>
  </si>
  <si>
    <t>I11091</t>
  </si>
  <si>
    <t>REDUÇÃO EXCÊNTRICA C/ FLANGES DN 250 x 125 PN25</t>
  </si>
  <si>
    <t>I4072</t>
  </si>
  <si>
    <t>REDUÇÃO EXCÊNTRICA C/ FLANGES DN 250 x 150 PN10</t>
  </si>
  <si>
    <t>I11050</t>
  </si>
  <si>
    <t>REDUÇÃO EXCÊNTRICA C/ FLANGES DN 250 x 150 PN16</t>
  </si>
  <si>
    <t>I11092</t>
  </si>
  <si>
    <t>REDUÇÃO EXCÊNTRICA C/ FLANGES DN 250 x 150 PN25</t>
  </si>
  <si>
    <t>I4073</t>
  </si>
  <si>
    <t>REDUÇÃO EXCÊNTRICA C/ FLANGES DN 250 x 200 PN10</t>
  </si>
  <si>
    <t>I11051</t>
  </si>
  <si>
    <t>REDUÇÃO EXCÊNTRICA C/ FLANGES DN 250 x 200 PN16</t>
  </si>
  <si>
    <t>I11093</t>
  </si>
  <si>
    <t>REDUÇÃO EXCÊNTRICA C/ FLANGES DN 250 x 200 PN25</t>
  </si>
  <si>
    <t>I11020</t>
  </si>
  <si>
    <t>REDUÇÃO EXCÊNTRICA C/ FLANGES DN 250 x 80 PN10</t>
  </si>
  <si>
    <t>I11047</t>
  </si>
  <si>
    <t>REDUÇÃO EXCÊNTRICA C/ FLANGES DN 250 x 80 PN16</t>
  </si>
  <si>
    <t>I11089</t>
  </si>
  <si>
    <t>REDUÇÃO EXCÊNTRICA C/ FLANGES DN 250 x 80 PN25</t>
  </si>
  <si>
    <t>I11023</t>
  </si>
  <si>
    <t>REDUÇÃO EXCÊNTRICA C/ FLANGES DN 300 x 100 PN10</t>
  </si>
  <si>
    <t>I11052</t>
  </si>
  <si>
    <t>REDUÇÃO EXCÊNTRICA C/ FLANGES DN 300 x 100 PN16</t>
  </si>
  <si>
    <t>I11094</t>
  </si>
  <si>
    <t>REDUÇÃO EXCÊNTRICA C/ FLANGES DN 300 x 100 PN25</t>
  </si>
  <si>
    <t>I11024</t>
  </si>
  <si>
    <t>REDUÇÃO EXCÊNTRICA C/ FLANGES DN 300 x 125 PN10</t>
  </si>
  <si>
    <t>I11053</t>
  </si>
  <si>
    <t>REDUÇÃO EXCÊNTRICA C/ FLANGES DN 300 x 125 PN16</t>
  </si>
  <si>
    <t>I11095</t>
  </si>
  <si>
    <t>REDUÇÃO EXCÊNTRICA C/ FLANGES DN 300 x 125 PN25</t>
  </si>
  <si>
    <t>I4074</t>
  </si>
  <si>
    <t>REDUÇÃO EXCÊNTRICA C/ FLANGES DN 300 x 150 PN10</t>
  </si>
  <si>
    <t>I11054</t>
  </si>
  <si>
    <t>REDUÇÃO EXCÊNTRICA C/ FLANGES DN 300 x 150 PN16</t>
  </si>
  <si>
    <t>I11096</t>
  </si>
  <si>
    <t>REDUÇÃO EXCÊNTRICA C/ FLANGES DN 300 x 150 PN25</t>
  </si>
  <si>
    <t>I4075</t>
  </si>
  <si>
    <t>REDUÇÃO EXCÊNTRICA C/ FLANGES DN 300 x 200 PN10</t>
  </si>
  <si>
    <t>I11055</t>
  </si>
  <si>
    <t>REDUÇÃO EXCÊNTRICA C/ FLANGES DN 300 x 200 PN16</t>
  </si>
  <si>
    <t>I11097</t>
  </si>
  <si>
    <t>REDUÇÃO EXCÊNTRICA C/ FLANGES DN 300 x 200 PN25</t>
  </si>
  <si>
    <t>I4076</t>
  </si>
  <si>
    <t>REDUÇÃO EXCÊNTRICA C/ FLANGES DN 300 x 250 PN10</t>
  </si>
  <si>
    <t>I11056</t>
  </si>
  <si>
    <t>REDUÇÃO EXCÊNTRICA C/ FLANGES DN 300 x 250 PN16</t>
  </si>
  <si>
    <t>I11098</t>
  </si>
  <si>
    <t>REDUÇÃO EXCÊNTRICA C/ FLANGES DN 300 x 250 PN25</t>
  </si>
  <si>
    <t>I11025</t>
  </si>
  <si>
    <t>REDUÇÃO EXCÊNTRICA C/ FLANGES DN 350 x 100 PN10</t>
  </si>
  <si>
    <t>I11057</t>
  </si>
  <si>
    <t>REDUÇÃO EXCÊNTRICA C/ FLANGES DN 350 x 100 PN16</t>
  </si>
  <si>
    <t>I11099</t>
  </si>
  <si>
    <t>REDUÇÃO EXCÊNTRICA C/ FLANGES DN 350 x 100 PN25</t>
  </si>
  <si>
    <t>I11026</t>
  </si>
  <si>
    <t>REDUÇÃO EXCÊNTRICA C/ FLANGES DN 350 x 125 PN10</t>
  </si>
  <si>
    <t>I11058</t>
  </si>
  <si>
    <t>REDUÇÃO EXCÊNTRICA C/ FLANGES DN 350 x 125 PN16</t>
  </si>
  <si>
    <t>I11100</t>
  </si>
  <si>
    <t>REDUÇÃO EXCÊNTRICA C/ FLANGES DN 350 x 125 PN25</t>
  </si>
  <si>
    <t>I11027</t>
  </si>
  <si>
    <t>REDUÇÃO EXCÊNTRICA C/ FLANGES DN 350 x 150 PN10</t>
  </si>
  <si>
    <t>I11059</t>
  </si>
  <si>
    <t>REDUÇÃO EXCÊNTRICA C/ FLANGES DN 350 x 150 PN16</t>
  </si>
  <si>
    <t>I11101</t>
  </si>
  <si>
    <t>REDUÇÃO EXCÊNTRICA C/ FLANGES DN 350 x 150 PN25</t>
  </si>
  <si>
    <t>I11028</t>
  </si>
  <si>
    <t>REDUÇÃO EXCÊNTRICA C/ FLANGES DN 350 x 200 PN10</t>
  </si>
  <si>
    <t>I11060</t>
  </si>
  <si>
    <t>REDUÇÃO EXCÊNTRICA C/ FLANGES DN 350 x 200 PN16</t>
  </si>
  <si>
    <t>I11102</t>
  </si>
  <si>
    <t>REDUÇÃO EXCÊNTRICA C/ FLANGES DN 350 x 200 PN25</t>
  </si>
  <si>
    <t>I11029</t>
  </si>
  <si>
    <t>REDUÇÃO EXCÊNTRICA C/ FLANGES DN 350 x 250 PN10</t>
  </si>
  <si>
    <t>I11061</t>
  </si>
  <si>
    <t>REDUÇÃO EXCÊNTRICA C/ FLANGES DN 350 x 250 PN16</t>
  </si>
  <si>
    <t>I11103</t>
  </si>
  <si>
    <t>REDUÇÃO EXCÊNTRICA C/ FLANGES DN 350 x 250 PN25</t>
  </si>
  <si>
    <t>I11030</t>
  </si>
  <si>
    <t>REDUÇÃO EXCÊNTRICA C/ FLANGES DN 350 x 300 PN10</t>
  </si>
  <si>
    <t>I11062</t>
  </si>
  <si>
    <t>REDUÇÃO EXCÊNTRICA C/ FLANGES DN 350 x 300 PN16</t>
  </si>
  <si>
    <t>I11104</t>
  </si>
  <si>
    <t>REDUÇÃO EXCÊNTRICA C/ FLANGES DN 350 x 300 PN25</t>
  </si>
  <si>
    <t>I11031</t>
  </si>
  <si>
    <t>REDUÇÃO EXCÊNTRICA C/ FLANGES DN 400 x 200 PN10</t>
  </si>
  <si>
    <t>I11063</t>
  </si>
  <si>
    <t>REDUÇÃO EXCÊNTRICA C/ FLANGES DN 400 x 200 PN16</t>
  </si>
  <si>
    <t>I11105</t>
  </si>
  <si>
    <t>REDUÇÃO EXCÊNTRICA C/ FLANGES DN 400 x 200 PN25</t>
  </si>
  <si>
    <t>I4077</t>
  </si>
  <si>
    <t>REDUÇÃO EXCÊNTRICA C/ FLANGES DN 400 x 250 PN10</t>
  </si>
  <si>
    <t>I11064</t>
  </si>
  <si>
    <t>REDUÇÃO EXCÊNTRICA C/ FLANGES DN 400 x 250 PN16</t>
  </si>
  <si>
    <t>I11106</t>
  </si>
  <si>
    <t>REDUÇÃO EXCÊNTRICA C/ FLANGES DN 400 x 250 PN25</t>
  </si>
  <si>
    <t>I4078</t>
  </si>
  <si>
    <t>REDUÇÃO EXCÊNTRICA C/ FLANGES DN 400 x 300 PN10</t>
  </si>
  <si>
    <t>I11065</t>
  </si>
  <si>
    <t>REDUÇÃO EXCÊNTRICA C/ FLANGES DN 400 x 300 PN16</t>
  </si>
  <si>
    <t>I11107</t>
  </si>
  <si>
    <t>REDUÇÃO EXCÊNTRICA C/ FLANGES DN 400 x 300 PN25</t>
  </si>
  <si>
    <t>I11032</t>
  </si>
  <si>
    <t>REDUÇÃO EXCÊNTRICA C/ FLANGES DN 400 x 350 PN10</t>
  </si>
  <si>
    <t>I11066</t>
  </si>
  <si>
    <t>REDUÇÃO EXCÊNTRICA C/ FLANGES DN 400 x 350 PN16</t>
  </si>
  <si>
    <t>I11108</t>
  </si>
  <si>
    <t>REDUÇÃO EXCÊNTRICA C/ FLANGES DN 400 x 350 PN25</t>
  </si>
  <si>
    <t>I11034</t>
  </si>
  <si>
    <t>REDUÇÃO EXCÊNTRICA C/ FLANGES DN 500 x 250 PN10</t>
  </si>
  <si>
    <t>I11068</t>
  </si>
  <si>
    <t>REDUÇÃO EXCÊNTRICA C/ FLANGES DN 500 x 250 PN16</t>
  </si>
  <si>
    <t>I11110</t>
  </si>
  <si>
    <t>REDUÇÃO EXCÊNTRICA C/ FLANGES DN 500 x 250 PN25</t>
  </si>
  <si>
    <t>I11033</t>
  </si>
  <si>
    <t>REDUÇÃO EXCÊNTRICA C/ FLANGES DN 500 x 300 PN10</t>
  </si>
  <si>
    <t>I11067</t>
  </si>
  <si>
    <t>REDUÇÃO EXCÊNTRICA C/ FLANGES DN 500 x 300 PN16</t>
  </si>
  <si>
    <t>I11109</t>
  </si>
  <si>
    <t>REDUÇÃO EXCÊNTRICA C/ FLANGES DN 500 x 300 PN25</t>
  </si>
  <si>
    <t>I11035</t>
  </si>
  <si>
    <t>REDUÇÃO EXCÊNTRICA C/ FLANGES DN 500 x 350 PN10</t>
  </si>
  <si>
    <t>I11069</t>
  </si>
  <si>
    <t>REDUÇÃO EXCÊNTRICA C/ FLANGES DN 500 x 350 PN16</t>
  </si>
  <si>
    <t>I11111</t>
  </si>
  <si>
    <t>REDUÇÃO EXCÊNTRICA C/ FLANGES DN 500 x 350 PN25</t>
  </si>
  <si>
    <t>I11036</t>
  </si>
  <si>
    <t>REDUÇÃO EXCÊNTRICA C/ FLANGES DN 500 x 400 PN10</t>
  </si>
  <si>
    <t>I11070</t>
  </si>
  <si>
    <t>REDUÇÃO EXCÊNTRICA C/ FLANGES DN 500 x 400 PN16</t>
  </si>
  <si>
    <t>I11112</t>
  </si>
  <si>
    <t>REDUÇÃO EXCÊNTRICA C/ FLANGES DN 500 x 400 PN25</t>
  </si>
  <si>
    <t>I11037</t>
  </si>
  <si>
    <t>REDUÇÃO EXCÊNTRICA C/ FLANGES DN 600 x 300 PN10</t>
  </si>
  <si>
    <t>I11071</t>
  </si>
  <si>
    <t>REDUÇÃO EXCÊNTRICA C/ FLANGES DN 600 x 300 PN16</t>
  </si>
  <si>
    <t>I11113</t>
  </si>
  <si>
    <t>REDUÇÃO EXCÊNTRICA C/ FLANGES DN 600 x 300 PN25</t>
  </si>
  <si>
    <t>I11038</t>
  </si>
  <si>
    <t>REDUÇÃO EXCÊNTRICA C/ FLANGES DN 600 x 400 PN10</t>
  </si>
  <si>
    <t>I11072</t>
  </si>
  <si>
    <t>REDUÇÃO EXCÊNTRICA C/ FLANGES DN 600 x 400 PN16</t>
  </si>
  <si>
    <t>I11114</t>
  </si>
  <si>
    <t>REDUÇÃO EXCÊNTRICA C/ FLANGES DN 600 x 400 PN25</t>
  </si>
  <si>
    <t>I11039</t>
  </si>
  <si>
    <t>REDUÇÃO EXCÊNTRICA C/ FLANGES DN 600 x 500 PN10</t>
  </si>
  <si>
    <t>I11073</t>
  </si>
  <si>
    <t>REDUÇÃO EXCÊNTRICA C/ FLANGES DN 600 x 500 PN16</t>
  </si>
  <si>
    <t>I11115</t>
  </si>
  <si>
    <t>REDUÇÃO EXCÊNTRICA C/ FLANGES DN 600 x 500 PN25</t>
  </si>
  <si>
    <t>I11040</t>
  </si>
  <si>
    <t>REDUÇÃO EXCÊNTRICA C/ FLANGES DN 700 x 400 PN10</t>
  </si>
  <si>
    <t>I11074</t>
  </si>
  <si>
    <t>REDUÇÃO EXCÊNTRICA C/ FLANGES DN 700 x 400 PN16</t>
  </si>
  <si>
    <t>I11116</t>
  </si>
  <si>
    <t>REDUÇÃO EXCÊNTRICA C/ FLANGES DN 700 x 400 PN25</t>
  </si>
  <si>
    <t>I11041</t>
  </si>
  <si>
    <t>REDUÇÃO EXCÊNTRICA C/ FLANGES DN 700 x 600 PN10</t>
  </si>
  <si>
    <t>I11075</t>
  </si>
  <si>
    <t>REDUÇÃO EXCÊNTRICA C/ FLANGES DN 700 x 600 PN16</t>
  </si>
  <si>
    <t>I11117</t>
  </si>
  <si>
    <t>REDUÇÃO EXCÊNTRICA C/ FLANGES DN 700 x 600 PN25</t>
  </si>
  <si>
    <t>I4064</t>
  </si>
  <si>
    <t>REDUÇÃO EXCÊNTRICA C/ FLANGES DN 75 x 50 PN10</t>
  </si>
  <si>
    <t>I11042</t>
  </si>
  <si>
    <t>REDUÇÃO EXCÊNTRICA C/ FLANGES DN 800 x 400 PN10</t>
  </si>
  <si>
    <t>I11076</t>
  </si>
  <si>
    <t>REDUÇÃO EXCÊNTRICA C/ FLANGES DN 800 x 400 PN16</t>
  </si>
  <si>
    <t>I11118</t>
  </si>
  <si>
    <t>REDUÇÃO EXCÊNTRICA C/ FLANGES DN 800 x 400 PN25</t>
  </si>
  <si>
    <t>I9964</t>
  </si>
  <si>
    <t>REDUÇÃO EXCÊNTRICA FLANGEADA L=1200 DN 500 X DN125 (PEÇA ESPECIAL EM AÇO)</t>
  </si>
  <si>
    <t>I9962</t>
  </si>
  <si>
    <t>REDUÇÃO EXCÊNTRICA FLANGEADA L=500 DN 300 X DN80 (PEÇA ESPECIAL EM AÇO)</t>
  </si>
  <si>
    <t>I9963</t>
  </si>
  <si>
    <t>REDUÇÃO EXCÊNTRICA FLANGEADA L=600 DN 500 X DN300 (PEÇA ESPECIAL EM AÇO)</t>
  </si>
  <si>
    <t>I9961</t>
  </si>
  <si>
    <t>REDUÇÃO EXCÊNTRICA FOFO C/ FLANGES DN 200 X 125 (ESPECIAL) PN 10 SAE 1020</t>
  </si>
  <si>
    <t>I3018</t>
  </si>
  <si>
    <t>REDUÇÃO EXCÊNTRICA OCRE PB - JE DN 125 x 100</t>
  </si>
  <si>
    <t>I3019</t>
  </si>
  <si>
    <t>REDUÇÃO EXCÊNTRICA OCRE PB - JE DN 150 x 10</t>
  </si>
  <si>
    <t>I3020</t>
  </si>
  <si>
    <t>REDUÇÃO EXCÊNTRICA OCRE PB - JE DN 150 x 125</t>
  </si>
  <si>
    <t>I3021</t>
  </si>
  <si>
    <t>REDUÇÃO EXCÊNTRICA OCRE PB - JE DN 200 x 150</t>
  </si>
  <si>
    <t>I3022</t>
  </si>
  <si>
    <t>REDUÇÃO EXCÊNTRICA OCRE PB - JE DN 250 x 200</t>
  </si>
  <si>
    <t>I8024</t>
  </si>
  <si>
    <t>REDUÇÃO EXCÊNTRICA OCRE PB - JE DN 300 X 200</t>
  </si>
  <si>
    <t>I3023</t>
  </si>
  <si>
    <t>REDUÇÃO EXCÊNTRICA OCRE PB - JE DN 300 x 250</t>
  </si>
  <si>
    <t>I3024</t>
  </si>
  <si>
    <t>REDUÇÃO EXCÊNTRICA OCRE PB - JE DN 350 x 300</t>
  </si>
  <si>
    <t>I3025</t>
  </si>
  <si>
    <t>REDUÇÃO EXCÊNTRICA OCRE PB - JE DN 400 x 300</t>
  </si>
  <si>
    <t>I3026</t>
  </si>
  <si>
    <t>REDUÇÃO EXCÊNTRICA OCRE PB - JE DN 400 x 350</t>
  </si>
  <si>
    <t>I6901</t>
  </si>
  <si>
    <t>REDUÇÃO EXCÊNTRICA OCRE PB - JEI DN 125 x 100</t>
  </si>
  <si>
    <t>I6902</t>
  </si>
  <si>
    <t>REDUÇÃO EXCÊNTRICA OCRE PB - JEI DN 150 x 100</t>
  </si>
  <si>
    <t>I6903</t>
  </si>
  <si>
    <t>REDUÇÃO EXCÊNTRICA OCRE PB - JEI DN 200 x 150</t>
  </si>
  <si>
    <t>I6904</t>
  </si>
  <si>
    <t>REDUÇÃO EXCÊNTRICA OCRE PB - JEI DN 250 x 200</t>
  </si>
  <si>
    <t>I6906</t>
  </si>
  <si>
    <t>REDUÇÃO EXCÊNTRICA OCRE PB - JEI DN 300 x 250</t>
  </si>
  <si>
    <t>I6905</t>
  </si>
  <si>
    <t>REDUÇÃO EXCÊNTRICA OCRE PB - JEI DN 300x 200</t>
  </si>
  <si>
    <t>I6907</t>
  </si>
  <si>
    <t>REDUÇÃO EXCÊNTRICA OCRE PB - JEI DN 350 x 300</t>
  </si>
  <si>
    <t>I6908</t>
  </si>
  <si>
    <t>REDUÇÃO EXCÊNTRICA OCRE PB - JEI DN 400 x 300</t>
  </si>
  <si>
    <t>I6909</t>
  </si>
  <si>
    <t>REDUÇÃO EXCÊNTRICA OCRE PB - JEI DN 400 x 350</t>
  </si>
  <si>
    <t>I9965</t>
  </si>
  <si>
    <t>REDUÇÃO EXCÊNTRICA PRFV C/BOLSAS DN 150X100</t>
  </si>
  <si>
    <t>I9966</t>
  </si>
  <si>
    <t>REDUÇÃO EXCÊNTRICA PRFV C/BOLSAS DN 200X150</t>
  </si>
  <si>
    <t>I9967</t>
  </si>
  <si>
    <t>REDUÇÃO EXCÊNTRICA PRFV C/BOLSAS DN 250X200</t>
  </si>
  <si>
    <t>I9968</t>
  </si>
  <si>
    <t>REDUÇÃO EXCÊNTRICA PRFV P/B DN 150 X 100</t>
  </si>
  <si>
    <t>I9969</t>
  </si>
  <si>
    <t>REDUÇÃO EXCÊNTRICA PRFV P/B DN 200X150</t>
  </si>
  <si>
    <t>I9970</t>
  </si>
  <si>
    <t>REDUÇÃO EXCÊNTRICA PRFV P/B DN 250 X 200</t>
  </si>
  <si>
    <t>I9971</t>
  </si>
  <si>
    <t>REDUÇÃO EXCÊNTRICA RPVC COM BOLSAS DN 150 X 100</t>
  </si>
  <si>
    <t>I9974</t>
  </si>
  <si>
    <t>REDUÇÃO FOFO FF DN 250 X 100</t>
  </si>
  <si>
    <t>I9976</t>
  </si>
  <si>
    <t>REDUÇÃO FOFO FF DN 250 X 65 PN10</t>
  </si>
  <si>
    <t>I9975</t>
  </si>
  <si>
    <t>REDUÇÃO FOFO FF DN 250 X 80 PN10 (PEÇA ESPECIAL)</t>
  </si>
  <si>
    <t>I9977</t>
  </si>
  <si>
    <t>REDUÇÃO FOFO FF DN 300 X 50 PN10</t>
  </si>
  <si>
    <t>I9978</t>
  </si>
  <si>
    <t>REDUÇÃO FOFO FF DN 400 X 200 PN10</t>
  </si>
  <si>
    <t>I9979</t>
  </si>
  <si>
    <t>REDUÇÃO FOGO PONTA/BOLSA  2" X 1 ¼"</t>
  </si>
  <si>
    <t>I4079</t>
  </si>
  <si>
    <t>REDUÇÃO FoFo FF DN   75 x    50 PN10</t>
  </si>
  <si>
    <t>I7140</t>
  </si>
  <si>
    <t>REDUÇÃO FoFo FF DN   80 x    50 PN10</t>
  </si>
  <si>
    <t>I7619</t>
  </si>
  <si>
    <t>REDUÇÃO FoFo FF DN   80 x    75 PN10</t>
  </si>
  <si>
    <t>I4080</t>
  </si>
  <si>
    <t>REDUÇÃO FoFo FF DN  100 x    50 PN10</t>
  </si>
  <si>
    <t>I4081</t>
  </si>
  <si>
    <t>REDUÇÃO FoFo FF DN  100 x    75 PN10</t>
  </si>
  <si>
    <t>I7138</t>
  </si>
  <si>
    <t>REDUÇÃO FoFo FF DN  100 x    80 PN10</t>
  </si>
  <si>
    <t>I4083</t>
  </si>
  <si>
    <t>REDUÇÃO FoFo FF DN  150 x   75 PN10</t>
  </si>
  <si>
    <t>I7139</t>
  </si>
  <si>
    <t>REDUÇÃO FoFo FF DN  150 x   80 PN10</t>
  </si>
  <si>
    <t>I4084</t>
  </si>
  <si>
    <t>REDUÇÃO FoFo FF DN  150 x  100 PN10</t>
  </si>
  <si>
    <t>I4086</t>
  </si>
  <si>
    <t>REDUÇÃO FoFo FF DN  200 x  100 PN10</t>
  </si>
  <si>
    <t>I4087</t>
  </si>
  <si>
    <t>REDUÇÃO FoFo FF DN  200 x  150 PN10</t>
  </si>
  <si>
    <t>I4088</t>
  </si>
  <si>
    <t>REDUÇÃO FoFo FF DN  250 x  150 PN10</t>
  </si>
  <si>
    <t>I4089</t>
  </si>
  <si>
    <t>REDUÇÃO FoFo FF DN  250 x  200 PN10</t>
  </si>
  <si>
    <t>I4090</t>
  </si>
  <si>
    <t>REDUÇÃO FoFo FF DN  300 x  150 PN10</t>
  </si>
  <si>
    <t>I4091</t>
  </si>
  <si>
    <t>REDUÇÃO FoFo FF DN  300 x  200 PN10</t>
  </si>
  <si>
    <t>I4092</t>
  </si>
  <si>
    <t>REDUÇÃO FoFo FF DN  300 x  250 PN10</t>
  </si>
  <si>
    <t>I4093</t>
  </si>
  <si>
    <t>REDUÇÃO FoFo FF DN  350 x  200 PN10</t>
  </si>
  <si>
    <t>I4094</t>
  </si>
  <si>
    <t>REDUÇÃO FoFo FF DN  350 x  250 PN10</t>
  </si>
  <si>
    <t>I4095</t>
  </si>
  <si>
    <t>REDUÇÃO FoFo FF DN  350 x  300 PN10</t>
  </si>
  <si>
    <t>I4096</t>
  </si>
  <si>
    <t>REDUÇÃO FoFo FF DN  400 x  250 PN10</t>
  </si>
  <si>
    <t>I4097</t>
  </si>
  <si>
    <t>REDUÇÃO FoFo FF DN  400 x  300 PN10</t>
  </si>
  <si>
    <t>I4098</t>
  </si>
  <si>
    <t>REDUÇÃO FoFo FF DN  400 x  350 PN10</t>
  </si>
  <si>
    <t>I4099</t>
  </si>
  <si>
    <t>REDUÇÃO FoFo FF DN  450 x  300 PN10</t>
  </si>
  <si>
    <t>I4100</t>
  </si>
  <si>
    <t>REDUÇÃO FoFo FF DN  450 x  350 PN10</t>
  </si>
  <si>
    <t>I4101</t>
  </si>
  <si>
    <t>REDUÇÃO FoFo FF DN  450 x  400 PN10</t>
  </si>
  <si>
    <t>I4102</t>
  </si>
  <si>
    <t>REDUÇÃO FoFo FF DN  500 x  350 PN10</t>
  </si>
  <si>
    <t>I4103</t>
  </si>
  <si>
    <t>REDUÇÃO FoFo FF DN  500 x  400 PN10</t>
  </si>
  <si>
    <t>I4104</t>
  </si>
  <si>
    <t>REDUÇÃO FoFo FF DN  500 x  450 PN10</t>
  </si>
  <si>
    <t>I4105</t>
  </si>
  <si>
    <t>REDUÇÃO FoFo FF DN  600 x  400 PN10</t>
  </si>
  <si>
    <t>I4106</t>
  </si>
  <si>
    <t>REDUÇÃO FoFo FF DN  600 x  450 PN10</t>
  </si>
  <si>
    <t>I4107</t>
  </si>
  <si>
    <t>REDUÇÃO FoFo FF DN  600 x  500 PN10</t>
  </si>
  <si>
    <t>I4108</t>
  </si>
  <si>
    <t>REDUÇÃO FoFo FF DN  700 x  600 PN10</t>
  </si>
  <si>
    <t>I4109</t>
  </si>
  <si>
    <t>REDUÇÃO FoFo FF DN  800 x  700 PN10</t>
  </si>
  <si>
    <t>I4110</t>
  </si>
  <si>
    <t>REDUÇÃO FoFo FF DN  900 x  800 PN10</t>
  </si>
  <si>
    <t>I11184</t>
  </si>
  <si>
    <t>REDUÇÃO FoFo FF DN 100 x 50 PN25/40</t>
  </si>
  <si>
    <t>I11185</t>
  </si>
  <si>
    <t>REDUÇÃO FoFo FF DN 100 x 75 PN25</t>
  </si>
  <si>
    <t>I11186</t>
  </si>
  <si>
    <t>REDUÇÃO FoFo FF DN 100 x 80 PN25/40</t>
  </si>
  <si>
    <t>I4111</t>
  </si>
  <si>
    <t>REDUÇÃO FoFo FF DN 1000 x  900 PN10</t>
  </si>
  <si>
    <t>I11136</t>
  </si>
  <si>
    <t>REDUÇÃO FoFo FF DN 1000 x 800 PN10</t>
  </si>
  <si>
    <t>I11179</t>
  </si>
  <si>
    <t>REDUÇÃO FoFo FF DN 1000 x 800 PN16</t>
  </si>
  <si>
    <t>I11234</t>
  </si>
  <si>
    <t>REDUÇÃO FoFo FF DN 1000 x 800 PN25</t>
  </si>
  <si>
    <t>I11180</t>
  </si>
  <si>
    <t>REDUÇÃO FoFo FF DN 1000 x 900 PN16</t>
  </si>
  <si>
    <t>I11235</t>
  </si>
  <si>
    <t>REDUÇÃO FoFo FF DN 1000 x 900 PN25</t>
  </si>
  <si>
    <t>I4112</t>
  </si>
  <si>
    <t>REDUÇÃO FoFo FF DN 1200 x 1000 PN10</t>
  </si>
  <si>
    <t>I11182</t>
  </si>
  <si>
    <t>REDUÇÃO FoFo FF DN 1200 x 1000 PN16</t>
  </si>
  <si>
    <t>I11236</t>
  </si>
  <si>
    <t>REDUÇÃO FoFo FF DN 1200 x 1000 PN25</t>
  </si>
  <si>
    <t>I11181</t>
  </si>
  <si>
    <t>REDUÇÃO FoFo FF DN 1200 x 900 PN16</t>
  </si>
  <si>
    <t>I11189</t>
  </si>
  <si>
    <t>REDUÇÃO FoFo FF DN 150 x 100 PN25</t>
  </si>
  <si>
    <t>I11121</t>
  </si>
  <si>
    <t>REDUÇÃO FoFo FF DN 150 x 125 PN10/16</t>
  </si>
  <si>
    <t>I11190</t>
  </si>
  <si>
    <t>REDUÇÃO FoFo FF DN 150 x 125 PN25</t>
  </si>
  <si>
    <t>I11120</t>
  </si>
  <si>
    <t>REDUÇÃO FoFo FF DN 150 x 50 PN10/16</t>
  </si>
  <si>
    <t>I11187</t>
  </si>
  <si>
    <t>REDUÇÃO FoFo FF DN 150 x 50 PN25</t>
  </si>
  <si>
    <t>I11188</t>
  </si>
  <si>
    <t>REDUÇÃO FoFo FF DN 150 x 80 PN25</t>
  </si>
  <si>
    <t>I11138</t>
  </si>
  <si>
    <t>REDUÇÃO FoFo FF DN 200 x 100 PN16</t>
  </si>
  <si>
    <t>I11192</t>
  </si>
  <si>
    <t>REDUÇÃO FoFo FF DN 200 x 100 PN25</t>
  </si>
  <si>
    <t>I11123</t>
  </si>
  <si>
    <t>REDUÇÃO FoFo FF DN 200 x 125 PN10</t>
  </si>
  <si>
    <t>I11139</t>
  </si>
  <si>
    <t>REDUÇÃO FoFo FF DN 200 x 125 PN16</t>
  </si>
  <si>
    <t>I11193</t>
  </si>
  <si>
    <t>REDUÇÃO FoFo FF DN 200 x 125 PN25</t>
  </si>
  <si>
    <t>I11140</t>
  </si>
  <si>
    <t>REDUÇÃO FoFo FF DN 200 x 150 PN16</t>
  </si>
  <si>
    <t>I11194</t>
  </si>
  <si>
    <t>REDUÇÃO FoFo FF DN 200 x 150 PN25</t>
  </si>
  <si>
    <t>I11122</t>
  </si>
  <si>
    <t>REDUÇÃO FoFo FF DN 200 x 80 PN10</t>
  </si>
  <si>
    <t>I11137</t>
  </si>
  <si>
    <t>REDUÇÃO FoFo FF DN 200 x 80 PN16</t>
  </si>
  <si>
    <t>I11191</t>
  </si>
  <si>
    <t>REDUÇÃO FoFo FF DN 200 x 80 PN25</t>
  </si>
  <si>
    <t>I11142</t>
  </si>
  <si>
    <t>REDUÇÃO FoFo FF DN 250 X 100 PN16</t>
  </si>
  <si>
    <t>I11141</t>
  </si>
  <si>
    <t>REDUÇÃO FoFo FF DN 250 X 80 PN16</t>
  </si>
  <si>
    <t>I11196</t>
  </si>
  <si>
    <t>REDUÇÃO FoFo FF DN 250 x 100 PN25</t>
  </si>
  <si>
    <t>I11124</t>
  </si>
  <si>
    <t>REDUÇÃO FoFo FF DN 250 x 125 PN10</t>
  </si>
  <si>
    <t>I11143</t>
  </si>
  <si>
    <t>REDUÇÃO FoFo FF DN 250 x 125 PN16</t>
  </si>
  <si>
    <t>I11197</t>
  </si>
  <si>
    <t>REDUÇÃO FoFo FF DN 250 x 125 PN25</t>
  </si>
  <si>
    <t>I11144</t>
  </si>
  <si>
    <t>REDUÇÃO FoFo FF DN 250 x 150 PN16</t>
  </si>
  <si>
    <t>I11198</t>
  </si>
  <si>
    <t>REDUÇÃO FoFo FF DN 250 x 150 PN25</t>
  </si>
  <si>
    <t>I11145</t>
  </si>
  <si>
    <t>REDUÇÃO FoFo FF DN 250 x 200 PN16</t>
  </si>
  <si>
    <t>I11199</t>
  </si>
  <si>
    <t>REDUÇÃO FoFo FF DN 250 x 200 PN25</t>
  </si>
  <si>
    <t>I11195</t>
  </si>
  <si>
    <t>REDUÇÃO FoFo FF DN 250 x 80 PN25</t>
  </si>
  <si>
    <t>I11125</t>
  </si>
  <si>
    <t>REDUÇÃO FoFo FF DN 300 X 100 PN10</t>
  </si>
  <si>
    <t>I11146</t>
  </si>
  <si>
    <t>REDUÇÃO FoFo FF DN 300 X 100 PN16</t>
  </si>
  <si>
    <t>I11126</t>
  </si>
  <si>
    <t>REDUÇÃO FoFo FF DN 300 X 125 PN10</t>
  </si>
  <si>
    <t>I11147</t>
  </si>
  <si>
    <t>REDUÇÃO FoFo FF DN 300 X 125 PN16</t>
  </si>
  <si>
    <t>I11201</t>
  </si>
  <si>
    <t>REDUÇÃO FoFo FF DN 300 x 100 PN25</t>
  </si>
  <si>
    <t>I11202</t>
  </si>
  <si>
    <t>REDUÇÃO FoFo FF DN 300 x 125 PN25</t>
  </si>
  <si>
    <t>I11148</t>
  </si>
  <si>
    <t>REDUÇÃO FoFo FF DN 300 x 150 PN16</t>
  </si>
  <si>
    <t>I11203</t>
  </si>
  <si>
    <t>REDUÇÃO FoFo FF DN 300 x 150 PN25</t>
  </si>
  <si>
    <t>I11149</t>
  </si>
  <si>
    <t>REDUÇÃO FoFo FF DN 300 x 200 PN16</t>
  </si>
  <si>
    <t>I11204</t>
  </si>
  <si>
    <t>REDUÇÃO FoFo FF DN 300 x 200 PN25</t>
  </si>
  <si>
    <t>I11150</t>
  </si>
  <si>
    <t>REDUÇÃO FoFo FF DN 300 x 250 PN16</t>
  </si>
  <si>
    <t>I11205</t>
  </si>
  <si>
    <t>REDUÇÃO FoFo FF DN 300 x 250 PN25</t>
  </si>
  <si>
    <t>I11200</t>
  </si>
  <si>
    <t>REDUÇÃO FoFo FF DN 300 x 800 PN25</t>
  </si>
  <si>
    <t>I11127</t>
  </si>
  <si>
    <t>REDUÇÃO FoFo FF DN 350 x 150 PN10</t>
  </si>
  <si>
    <t>I11151</t>
  </si>
  <si>
    <t>REDUÇÃO FoFo FF DN 350 x 150 PN16</t>
  </si>
  <si>
    <t>I11206</t>
  </si>
  <si>
    <t>REDUÇÃO FoFo FF DN 350 x 150 PN25</t>
  </si>
  <si>
    <t>I11152</t>
  </si>
  <si>
    <t>REDUÇÃO FoFo FF DN 350 x 200 PN16</t>
  </si>
  <si>
    <t>I11207</t>
  </si>
  <si>
    <t>REDUÇÃO FoFo FF DN 350 x 200 PN25</t>
  </si>
  <si>
    <t>I11153</t>
  </si>
  <si>
    <t>REDUÇÃO FoFo FF DN 350 x 250 PN16</t>
  </si>
  <si>
    <t>I11208</t>
  </si>
  <si>
    <t>REDUÇÃO FoFo FF DN 350 x 250 PN25</t>
  </si>
  <si>
    <t>I11154</t>
  </si>
  <si>
    <t>REDUÇÃO FoFo FF DN 350 x 300 PN16</t>
  </si>
  <si>
    <t>I11209</t>
  </si>
  <si>
    <t>REDUÇÃO FoFo FF DN 350 x 300 PN25</t>
  </si>
  <si>
    <t>I11155</t>
  </si>
  <si>
    <t>REDUÇÃO FoFo FF DN 400 x 200 PN16</t>
  </si>
  <si>
    <t>I11210</t>
  </si>
  <si>
    <t>REDUÇÃO FoFo FF DN 400 x 200 PN25</t>
  </si>
  <si>
    <t>I11156</t>
  </si>
  <si>
    <t>REDUÇÃO FoFo FF DN 400 x 250 PN16</t>
  </si>
  <si>
    <t>I11211</t>
  </si>
  <si>
    <t>REDUÇÃO FoFo FF DN 400 x 250 PN25</t>
  </si>
  <si>
    <t>I11157</t>
  </si>
  <si>
    <t>REDUÇÃO FoFo FF DN 400 x 300 PN16</t>
  </si>
  <si>
    <t>I11212</t>
  </si>
  <si>
    <t>REDUÇÃO FoFo FF DN 400 x 300 PN25</t>
  </si>
  <si>
    <t>I11158</t>
  </si>
  <si>
    <t>REDUÇÃO FoFo FF DN 400 x 350 PN16</t>
  </si>
  <si>
    <t>I11213</t>
  </si>
  <si>
    <t>REDUÇÃO FoFo FF DN 400 x 350 PN25</t>
  </si>
  <si>
    <t>I11159</t>
  </si>
  <si>
    <t>REDUÇÃO FoFo FF DN 450 x 300 PN16</t>
  </si>
  <si>
    <t>I11214</t>
  </si>
  <si>
    <t>REDUÇÃO FoFo FF DN 450 x 300 PN25</t>
  </si>
  <si>
    <t>I11160</t>
  </si>
  <si>
    <t>REDUÇÃO FoFo FF DN 450 x 350 PN16</t>
  </si>
  <si>
    <t>I11215</t>
  </si>
  <si>
    <t>REDUÇÃO FoFo FF DN 450 x 350 PN25</t>
  </si>
  <si>
    <t>I11161</t>
  </si>
  <si>
    <t>REDUÇÃO FoFo FF DN 450 x 400 PN16</t>
  </si>
  <si>
    <t>I11216</t>
  </si>
  <si>
    <t>REDUÇÃO FoFo FF DN 450 x 400 PN25</t>
  </si>
  <si>
    <t>I11128</t>
  </si>
  <si>
    <t>REDUÇÃO FoFo FF DN 500 x 300 PN10</t>
  </si>
  <si>
    <t>I11162</t>
  </si>
  <si>
    <t>REDUÇÃO FoFo FF DN 500 x 300 PN16</t>
  </si>
  <si>
    <t>I11217</t>
  </si>
  <si>
    <t>REDUÇÃO FoFo FF DN 500 x 300 PN25</t>
  </si>
  <si>
    <t>I11163</t>
  </si>
  <si>
    <t>REDUÇÃO FoFo FF DN 500 x 350 PN16</t>
  </si>
  <si>
    <t>I11218</t>
  </si>
  <si>
    <t>REDUÇÃO FoFo FF DN 500 x 350 PN25</t>
  </si>
  <si>
    <t>I11164</t>
  </si>
  <si>
    <t>REDUÇÃO FoFo FF DN 500 x 400 PN16</t>
  </si>
  <si>
    <t>I11219</t>
  </si>
  <si>
    <t>REDUÇÃO FoFo FF DN 500 x 400 PN25</t>
  </si>
  <si>
    <t>I11165</t>
  </si>
  <si>
    <t>REDUÇÃO FoFo FF DN 500 x 450 PN16</t>
  </si>
  <si>
    <t>I11220</t>
  </si>
  <si>
    <t>REDUÇÃO FoFo FF DN 500 x 450 PN25</t>
  </si>
  <si>
    <t>I11129</t>
  </si>
  <si>
    <t>REDUÇÃO FoFo FF DN 550 x 450 PN10</t>
  </si>
  <si>
    <t>I11166</t>
  </si>
  <si>
    <t>REDUÇÃO FoFo FF DN 550 x 450 PN16</t>
  </si>
  <si>
    <t>I11221</t>
  </si>
  <si>
    <t>REDUÇÃO FoFo FF DN 550 x 450 PN25</t>
  </si>
  <si>
    <t>I11130</t>
  </si>
  <si>
    <t>REDUÇÃO FoFo FF DN 550 x 500 PN10</t>
  </si>
  <si>
    <t>I11167</t>
  </si>
  <si>
    <t>REDUÇÃO FoFo FF DN 550 x 500 PN16</t>
  </si>
  <si>
    <t>I11222</t>
  </si>
  <si>
    <t>REDUÇÃO FoFo FF DN 550 x 500 PN25</t>
  </si>
  <si>
    <t>I11131</t>
  </si>
  <si>
    <t>REDUÇÃO FoFo FF DN 600 x 350 PN10</t>
  </si>
  <si>
    <t>I11168</t>
  </si>
  <si>
    <t>REDUÇÃO FoFo FF DN 600 x 350 PN16</t>
  </si>
  <si>
    <t>I11223</t>
  </si>
  <si>
    <t>REDUÇÃO FoFo FF DN 600 x 350 PN25</t>
  </si>
  <si>
    <t>I11169</t>
  </si>
  <si>
    <t>REDUÇÃO FoFo FF DN 600 x 400 PN16</t>
  </si>
  <si>
    <t>I11224</t>
  </si>
  <si>
    <t>REDUÇÃO FoFo FF DN 600 x 400 PN25</t>
  </si>
  <si>
    <t>I11170</t>
  </si>
  <si>
    <t>REDUÇÃO FoFo FF DN 600 x 450 PN16</t>
  </si>
  <si>
    <t>I11225</t>
  </si>
  <si>
    <t>REDUÇÃO FoFo FF DN 600 x 450 PN25</t>
  </si>
  <si>
    <t>I11171</t>
  </si>
  <si>
    <t>REDUÇÃO FoFo FF DN 600 x 500 PN16</t>
  </si>
  <si>
    <t>I11226</t>
  </si>
  <si>
    <t>REDUÇÃO FoFo FF DN 600 x 500 PN25</t>
  </si>
  <si>
    <t>I11132</t>
  </si>
  <si>
    <t>REDUÇÃO FoFo FF DN 700 x 400 PN10</t>
  </si>
  <si>
    <t>I11172</t>
  </si>
  <si>
    <t>REDUÇÃO FoFo FF DN 700 x 400 PN16</t>
  </si>
  <si>
    <t>I11227</t>
  </si>
  <si>
    <t>REDUÇÃO FoFo FF DN 700 x 400 PN25</t>
  </si>
  <si>
    <t>I11133</t>
  </si>
  <si>
    <t>REDUÇÃO FoFo FF DN 700 x 500 PN10</t>
  </si>
  <si>
    <t>I11173</t>
  </si>
  <si>
    <t>REDUÇÃO FoFo FF DN 700 x 500 PN16</t>
  </si>
  <si>
    <t>I11228</t>
  </si>
  <si>
    <t>REDUÇÃO FoFo FF DN 700 x 500 PN25</t>
  </si>
  <si>
    <t>I11174</t>
  </si>
  <si>
    <t>REDUÇÃO FoFo FF DN 700 x 600 PN16</t>
  </si>
  <si>
    <t>I11229</t>
  </si>
  <si>
    <t>REDUÇÃO FoFo FF DN 700 x 600 PN25</t>
  </si>
  <si>
    <t>I11183</t>
  </si>
  <si>
    <t>REDUÇÃO FoFo FF DN 80 x 75 PN25</t>
  </si>
  <si>
    <t>I11134</t>
  </si>
  <si>
    <t>REDUÇÃO FoFo FF DN 800 x 600 PN10</t>
  </si>
  <si>
    <t>I11175</t>
  </si>
  <si>
    <t>REDUÇÃO FoFo FF DN 800 x 600 PN16</t>
  </si>
  <si>
    <t>I11230</t>
  </si>
  <si>
    <t>REDUÇÃO FoFo FF DN 800 x 600 PN25</t>
  </si>
  <si>
    <t>I11176</t>
  </si>
  <si>
    <t>REDUÇÃO FoFo FF DN 800 x 700 PN16</t>
  </si>
  <si>
    <t>I11231</t>
  </si>
  <si>
    <t>REDUÇÃO FoFo FF DN 800 x 700 PN25</t>
  </si>
  <si>
    <t>I11135</t>
  </si>
  <si>
    <t>REDUÇÃO FoFo FF DN 900 x 600 PN10</t>
  </si>
  <si>
    <t>I11177</t>
  </si>
  <si>
    <t>REDUÇÃO FoFo FF DN 900 x 600 PN16</t>
  </si>
  <si>
    <t>I11232</t>
  </si>
  <si>
    <t>REDUÇÃO FoFo FF DN 900 x 600 PN25</t>
  </si>
  <si>
    <t>I11178</t>
  </si>
  <si>
    <t>REDUÇÃO FoFo FF DN 900 x 800 PN16</t>
  </si>
  <si>
    <t>I11233</t>
  </si>
  <si>
    <t>REDUÇÃO FoFo FF DN 900 x 800 PN25</t>
  </si>
  <si>
    <t>I7712</t>
  </si>
  <si>
    <t>REDUÇÃO FoFo JTE DN  350 x 300</t>
  </si>
  <si>
    <t>I7713</t>
  </si>
  <si>
    <t>REDUÇÃO FoFo JTE DN  400 x 300</t>
  </si>
  <si>
    <t>I7714</t>
  </si>
  <si>
    <t>REDUÇÃO FoFo JTE DN  400 x 350</t>
  </si>
  <si>
    <t>I7715</t>
  </si>
  <si>
    <t>REDUÇÃO FoFo JTE DN  500 x 350</t>
  </si>
  <si>
    <t>I7716</t>
  </si>
  <si>
    <t>REDUÇÃO FoFo JTE DN  500 x 400</t>
  </si>
  <si>
    <t>I7717</t>
  </si>
  <si>
    <t>REDUÇÃO FoFo JTE DN  600 x 400</t>
  </si>
  <si>
    <t>I7718</t>
  </si>
  <si>
    <t>REDUÇÃO FoFo JTE DN  600 x 500</t>
  </si>
  <si>
    <t>I7719</t>
  </si>
  <si>
    <t>REDUÇÃO FoFo JTE DN  700 x 500</t>
  </si>
  <si>
    <t>I7720</t>
  </si>
  <si>
    <t>REDUÇÃO FoFo JTE DN  700 x 600</t>
  </si>
  <si>
    <t>I7721</t>
  </si>
  <si>
    <t>REDUÇÃO FoFo JTE DN  800 x 600</t>
  </si>
  <si>
    <t>I7722</t>
  </si>
  <si>
    <t>REDUÇÃO FoFo JTE DN  800 x 700</t>
  </si>
  <si>
    <t>I7723</t>
  </si>
  <si>
    <t>REDUÇÃO FoFo JTE DN  900 x 700</t>
  </si>
  <si>
    <t>I7724</t>
  </si>
  <si>
    <t>REDUÇÃO FoFo JTE DN  900 x 800</t>
  </si>
  <si>
    <t>I7725</t>
  </si>
  <si>
    <t>REDUÇÃO FoFo JTE DN 1000 x 800</t>
  </si>
  <si>
    <t>I7726</t>
  </si>
  <si>
    <t>REDUÇÃO FoFo JTE DN 1000 x 900</t>
  </si>
  <si>
    <t>I7727</t>
  </si>
  <si>
    <t>REDUÇÃO FoFo JTE DN 1200 x 1000</t>
  </si>
  <si>
    <t>I7708</t>
  </si>
  <si>
    <t>REDUÇÃO FoFo JTI DN   350 x 200</t>
  </si>
  <si>
    <t>I7709</t>
  </si>
  <si>
    <t>REDUÇÃO FoFo JTI DN   350 x 250</t>
  </si>
  <si>
    <t>I7710</t>
  </si>
  <si>
    <t>REDUÇÃO FoFo JTI DN   400 x 250</t>
  </si>
  <si>
    <t>I9980</t>
  </si>
  <si>
    <t>REDUÇÃO FºGº ROSCÁVEL DN 2" X 65MM</t>
  </si>
  <si>
    <t>I9981</t>
  </si>
  <si>
    <t>REDUÇÃO FºGº ROSCÁVEL DN 65 X 100MM</t>
  </si>
  <si>
    <t>I4059</t>
  </si>
  <si>
    <t>REDUÇÃO PB JE FoFo/PVC DN 100 x 50</t>
  </si>
  <si>
    <t>I4060</t>
  </si>
  <si>
    <t>REDUÇÃO PB JE FoFo/PVC DN 100 x 75</t>
  </si>
  <si>
    <t>I4062</t>
  </si>
  <si>
    <t>REDUÇÃO PB JE FoFo/PVC DN 150 x 100</t>
  </si>
  <si>
    <t>I7141</t>
  </si>
  <si>
    <t>REDUÇÃO PB JE FoFo/PVC DN 150 x 50</t>
  </si>
  <si>
    <t>I4061</t>
  </si>
  <si>
    <t>REDUÇÃO PB JE FoFo/PVC DN 150 x 75</t>
  </si>
  <si>
    <t>I4063</t>
  </si>
  <si>
    <t>REDUÇÃO PB JE FoFo/PVC DN 200 x 100</t>
  </si>
  <si>
    <t>I11242</t>
  </si>
  <si>
    <t>REDUÇÃO PB JE FoFo/PVC DN 200 x 150</t>
  </si>
  <si>
    <t>I11240</t>
  </si>
  <si>
    <t>REDUÇÃO PB JE FoFo/PVC DN 200 x 50</t>
  </si>
  <si>
    <t>I11241</t>
  </si>
  <si>
    <t>REDUÇÃO PB JE FoFo/PVC DN 200 x 75</t>
  </si>
  <si>
    <t>I7142</t>
  </si>
  <si>
    <t>REDUÇÃO PB JE FoFo/PVC DN 250 x 100</t>
  </si>
  <si>
    <t>I11244</t>
  </si>
  <si>
    <t>REDUÇÃO PB JE FoFo/PVC DN 250 x 150</t>
  </si>
  <si>
    <t>I11245</t>
  </si>
  <si>
    <t>REDUÇÃO PB JE FoFo/PVC DN 250 x 200</t>
  </si>
  <si>
    <t>I11243</t>
  </si>
  <si>
    <t>REDUÇÃO PB JE FoFo/PVC DN 250 x 75</t>
  </si>
  <si>
    <t>I11247</t>
  </si>
  <si>
    <t>REDUÇÃO PB JE FoFo/PVC DN 300 x 100</t>
  </si>
  <si>
    <t>I11248</t>
  </si>
  <si>
    <t>REDUÇÃO PB JE FoFo/PVC DN 300 x 150</t>
  </si>
  <si>
    <t>I11249</t>
  </si>
  <si>
    <t>REDUÇÃO PB JE FoFo/PVC DN 300 x 200</t>
  </si>
  <si>
    <t>I11250</t>
  </si>
  <si>
    <t>REDUÇÃO PB JE FoFo/PVC DN 300 x 250</t>
  </si>
  <si>
    <t>I11246</t>
  </si>
  <si>
    <t>REDUÇÃO PB JE FoFo/PVC DN 300 x 75</t>
  </si>
  <si>
    <t>I11251</t>
  </si>
  <si>
    <t>REDUÇÃO PB JE FoFo/PVC DN 350 x 100</t>
  </si>
  <si>
    <t>I11252</t>
  </si>
  <si>
    <t>REDUÇÃO PB JE FoFo/PVC DN 400 x 100</t>
  </si>
  <si>
    <t>I11237</t>
  </si>
  <si>
    <t>REDUÇÃO PB JE FoFo/PVC DN 75 x 50</t>
  </si>
  <si>
    <t>I11239</t>
  </si>
  <si>
    <t>REDUÇÃO PB JE FoFo/PVC DN 80 x 150</t>
  </si>
  <si>
    <t>I11238</t>
  </si>
  <si>
    <t>REDUÇÃO PB JE FoFo/PVC DN 80 x 85</t>
  </si>
  <si>
    <t>I7728</t>
  </si>
  <si>
    <t>REDUÇÃO PJTI FoFo DN 150 x 80</t>
  </si>
  <si>
    <t>I7730</t>
  </si>
  <si>
    <t>REDUÇÃO PJTI FoFo DN 200 x 100</t>
  </si>
  <si>
    <t>I7729</t>
  </si>
  <si>
    <t>REDUÇÃO PJTI FoFo DN 200 x 80</t>
  </si>
  <si>
    <t>I7731</t>
  </si>
  <si>
    <t>REDUÇÃO PJTI FoFo DN 250 x 150</t>
  </si>
  <si>
    <t>I7732</t>
  </si>
  <si>
    <t>REDUÇÃO PJTI FoFo DN 300 x 200</t>
  </si>
  <si>
    <t>I11316</t>
  </si>
  <si>
    <t>REDUÇÃO PONTA E BOLSA JTI 250 X 100</t>
  </si>
  <si>
    <t>I11317</t>
  </si>
  <si>
    <t>REDUÇÃO PONTA E BOLSA JTI 250 X 150</t>
  </si>
  <si>
    <t>I11318</t>
  </si>
  <si>
    <t>REDUÇÃO PONTA E BOLSA JTI 250 X 200</t>
  </si>
  <si>
    <t>I11319</t>
  </si>
  <si>
    <t>REDUÇÃO PONTA E BOLSA JTI 300 X 200</t>
  </si>
  <si>
    <t>I4037</t>
  </si>
  <si>
    <t>REDUÇÃO PONTA/BOLSA JE FoFo DN 100 x 75</t>
  </si>
  <si>
    <t>I7143</t>
  </si>
  <si>
    <t>REDUÇÃO PONTA/BOLSA JE FoFo DN 100 x 80</t>
  </si>
  <si>
    <t>I11280</t>
  </si>
  <si>
    <t>REDUÇÃO PONTA/BOLSA JE FoFo DN 1000 x 900</t>
  </si>
  <si>
    <t>I4040</t>
  </si>
  <si>
    <t>REDUÇÃO PONTA/BOLSA JE FoFo DN 150 x 100</t>
  </si>
  <si>
    <t>I11255</t>
  </si>
  <si>
    <t>REDUÇÃO PONTA/BOLSA JE FoFo DN 150 x 125</t>
  </si>
  <si>
    <t>I11254</t>
  </si>
  <si>
    <t>REDUÇÃO PONTA/BOLSA JE FoFo DN 150 x 50</t>
  </si>
  <si>
    <t>I4039</t>
  </si>
  <si>
    <t>REDUÇÃO PONTA/BOLSA JE FoFo DN 150 x 75</t>
  </si>
  <si>
    <t>I7144</t>
  </si>
  <si>
    <t>REDUÇÃO PONTA/BOLSA JE FoFo DN 150 x 80</t>
  </si>
  <si>
    <t>I4041</t>
  </si>
  <si>
    <t>REDUÇÃO PONTA/BOLSA JE FoFo DN 200 x 100</t>
  </si>
  <si>
    <t>I4042</t>
  </si>
  <si>
    <t>REDUÇÃO PONTA/BOLSA JE FoFo DN 200 x 150</t>
  </si>
  <si>
    <t>I11256</t>
  </si>
  <si>
    <t>REDUÇÃO PONTA/BOLSA JE FoFo DN 200 x 50</t>
  </si>
  <si>
    <t>I11257</t>
  </si>
  <si>
    <t>REDUÇÃO PONTA/BOLSA JE FoFo DN 200 x 75</t>
  </si>
  <si>
    <t>I7145</t>
  </si>
  <si>
    <t>REDUÇÃO PONTA/BOLSA JE FoFo DN 200 x 80</t>
  </si>
  <si>
    <t>I11260</t>
  </si>
  <si>
    <t>REDUÇÃO PONTA/BOLSA JE FoFo DN 250 x 100</t>
  </si>
  <si>
    <t>I4044</t>
  </si>
  <si>
    <t>REDUÇÃO PONTA/BOLSA JE FoFo DN 250 x 150</t>
  </si>
  <si>
    <t>I4045</t>
  </si>
  <si>
    <t>REDUÇÃO PONTA/BOLSA JE FoFo DN 250 x 200</t>
  </si>
  <si>
    <t>I11258</t>
  </si>
  <si>
    <t>REDUÇÃO PONTA/BOLSA JE FoFo DN 250 x 75</t>
  </si>
  <si>
    <t>I11259</t>
  </si>
  <si>
    <t>REDUÇÃO PONTA/BOLSA JE FoFo DN 250 x 80</t>
  </si>
  <si>
    <t>I4047</t>
  </si>
  <si>
    <t>REDUÇÃO PONTA/BOLSA JE FoFo DN 300 X 200</t>
  </si>
  <si>
    <t>I11262</t>
  </si>
  <si>
    <t>REDUÇÃO PONTA/BOLSA JE FoFo DN 300 x 100</t>
  </si>
  <si>
    <t>I4046</t>
  </si>
  <si>
    <t>REDUÇÃO PONTA/BOLSA JE FoFo DN 300 x 150</t>
  </si>
  <si>
    <t>I4048</t>
  </si>
  <si>
    <t>REDUÇÃO PONTA/BOLSA JE FoFo DN 300 x 250</t>
  </si>
  <si>
    <t>I11261</t>
  </si>
  <si>
    <t>REDUÇÃO PONTA/BOLSA JE FoFo DN 300 x 75</t>
  </si>
  <si>
    <t>I4049</t>
  </si>
  <si>
    <t>REDUÇÃO PONTA/BOLSA JE FoFo DN 350 x 200</t>
  </si>
  <si>
    <t>I4050</t>
  </si>
  <si>
    <t>REDUÇÃO PONTA/BOLSA JE FoFo DN 350 x 250</t>
  </si>
  <si>
    <t>I4051</t>
  </si>
  <si>
    <t>REDUÇÃO PONTA/BOLSA JE FoFo DN 350 x 300</t>
  </si>
  <si>
    <t>I11263</t>
  </si>
  <si>
    <t>REDUÇÃO PONTA/BOLSA JE FoFo DN 400 x 150</t>
  </si>
  <si>
    <t>I11264</t>
  </si>
  <si>
    <t>REDUÇÃO PONTA/BOLSA JE FoFo DN 400 x 200</t>
  </si>
  <si>
    <t>I4052</t>
  </si>
  <si>
    <t>REDUÇÃO PONTA/BOLSA JE FoFo DN 400 x 250</t>
  </si>
  <si>
    <t>I4053</t>
  </si>
  <si>
    <t>REDUÇÃO PONTA/BOLSA JE FoFo DN 400 x 300</t>
  </si>
  <si>
    <t>I4054</t>
  </si>
  <si>
    <t>REDUÇÃO PONTA/BOLSA JE FoFo DN 400 x 350</t>
  </si>
  <si>
    <t>I11265</t>
  </si>
  <si>
    <t>REDUÇÃO PONTA/BOLSA JE FoFo DN 450 x 200</t>
  </si>
  <si>
    <t>I11266</t>
  </si>
  <si>
    <t>REDUÇÃO PONTA/BOLSA JE FoFo DN 450 x 300</t>
  </si>
  <si>
    <t>I11267</t>
  </si>
  <si>
    <t>REDUÇÃO PONTA/BOLSA JE FoFo DN 450 x 350</t>
  </si>
  <si>
    <t>I11268</t>
  </si>
  <si>
    <t>REDUÇÃO PONTA/BOLSA JE FoFo DN 450 x 400</t>
  </si>
  <si>
    <t>I11269</t>
  </si>
  <si>
    <t>REDUÇÃO PONTA/BOLSA JE FoFo DN 500 x 150</t>
  </si>
  <si>
    <t>I11270</t>
  </si>
  <si>
    <t>REDUÇÃO PONTA/BOLSA JE FoFo DN 500 x 250</t>
  </si>
  <si>
    <t>I11271</t>
  </si>
  <si>
    <t>REDUÇÃO PONTA/BOLSA JE FoFo DN 500 x 300</t>
  </si>
  <si>
    <t>I4055</t>
  </si>
  <si>
    <t>REDUÇÃO PONTA/BOLSA JE FoFo DN 500 x 350</t>
  </si>
  <si>
    <t>I4056</t>
  </si>
  <si>
    <t>REDUÇÃO PONTA/BOLSA JE FoFo DN 500 x 400</t>
  </si>
  <si>
    <t>I11272</t>
  </si>
  <si>
    <t>REDUÇÃO PONTA/BOLSA JE FoFo DN 500 x 450</t>
  </si>
  <si>
    <t>I11273</t>
  </si>
  <si>
    <t>REDUÇÃO PONTA/BOLSA JE FoFo DN 600 x 200</t>
  </si>
  <si>
    <t>I11274</t>
  </si>
  <si>
    <t>REDUÇÃO PONTA/BOLSA JE FoFo DN 600 x 300</t>
  </si>
  <si>
    <t>I4057</t>
  </si>
  <si>
    <t>REDUÇÃO PONTA/BOLSA JE FoFo DN 600 x 400</t>
  </si>
  <si>
    <t>I11275</t>
  </si>
  <si>
    <t>REDUÇÃO PONTA/BOLSA JE FoFo DN 600 x 450</t>
  </si>
  <si>
    <t>I4058</t>
  </si>
  <si>
    <t>REDUÇÃO PONTA/BOLSA JE FoFo DN 600 x 500</t>
  </si>
  <si>
    <t>I11276</t>
  </si>
  <si>
    <t>REDUÇÃO PONTA/BOLSA JE FoFo DN 700 x 500</t>
  </si>
  <si>
    <t>I11277</t>
  </si>
  <si>
    <t>REDUÇÃO PONTA/BOLSA JE FoFo DN 700 x 600</t>
  </si>
  <si>
    <t>I7146</t>
  </si>
  <si>
    <t>REDUÇÃO PONTA/BOLSA JE FoFo DN 80 x 50</t>
  </si>
  <si>
    <t>I11253</t>
  </si>
  <si>
    <t>REDUÇÃO PONTA/BOLSA JE FoFo DN 80 x 75</t>
  </si>
  <si>
    <t>I11278</t>
  </si>
  <si>
    <t>REDUÇÃO PONTA/BOLSA JE FoFo DN 800 x 600</t>
  </si>
  <si>
    <t>I11279</t>
  </si>
  <si>
    <t>REDUÇÃO PONTA/BOLSA JE FoFo DN 800 x 700</t>
  </si>
  <si>
    <t>I3138</t>
  </si>
  <si>
    <t>REDUÇÃO PVC PBA BOLSA / BOLSA DN 75 x 50</t>
  </si>
  <si>
    <t>I3140</t>
  </si>
  <si>
    <t>REDUÇÃO PVC PBA PONTA / BOLSA DN 100 x 50</t>
  </si>
  <si>
    <t>I3141</t>
  </si>
  <si>
    <t>REDUÇÃO PVC PBA PONTA / BOLSA DN 100 x 75</t>
  </si>
  <si>
    <t>I3139</t>
  </si>
  <si>
    <t>REDUÇÃO PVC PBA PONTA / BOLSA DN 75 x 50</t>
  </si>
  <si>
    <t>I5798</t>
  </si>
  <si>
    <t>REDUÇÃO PVC REFORÇADO DN 154 x 115</t>
  </si>
  <si>
    <t>I5799</t>
  </si>
  <si>
    <t>REDUÇÃO PVC REFORÇADO DN 200 x 150</t>
  </si>
  <si>
    <t>I5800</t>
  </si>
  <si>
    <t>REDUÇÃO PVC REFORÇADO DN 206 x 150</t>
  </si>
  <si>
    <t>I5801</t>
  </si>
  <si>
    <t>REDUÇÃO PVC REFORÇADO DN 250 x 200</t>
  </si>
  <si>
    <t>I9983</t>
  </si>
  <si>
    <t>REDUÇÃO SOLDÁVEL PVC 32X50</t>
  </si>
  <si>
    <t>I6182</t>
  </si>
  <si>
    <t>REGISTO ESFERA PVC ROSCA EXTERNA 2"</t>
  </si>
  <si>
    <t>I5097</t>
  </si>
  <si>
    <t>REGISTRO C/ VOLANTE E FLANGE DN 350 PN10</t>
  </si>
  <si>
    <t>I5098</t>
  </si>
  <si>
    <t>REGISTRO C/ VOLANTE E FLANGE DN 400 PN10</t>
  </si>
  <si>
    <t>I5099</t>
  </si>
  <si>
    <t>REGISTRO C/ VOLANTE E FLANGE DN 450 PN10</t>
  </si>
  <si>
    <t>I5100</t>
  </si>
  <si>
    <t>REGISTRO C/ VOLANTE E FLANGE DN 500 PN10</t>
  </si>
  <si>
    <t>I5101</t>
  </si>
  <si>
    <t>REGISTRO C/ VOLANTE E FLANGE DN 600 PN10</t>
  </si>
  <si>
    <t>I5315</t>
  </si>
  <si>
    <t>REGISTRO CABEÇOTE/FLANGE C/REDUTOR DN 350 PN10</t>
  </si>
  <si>
    <t>I5316</t>
  </si>
  <si>
    <t>REGISTRO CABEÇOTE/FLANGE C/REDUTOR DN 400 PN10</t>
  </si>
  <si>
    <t>I5317</t>
  </si>
  <si>
    <t>REGISTRO CABEÇOTE/FLANGE C/REDUTOR DN 450 PN10</t>
  </si>
  <si>
    <t>I5318</t>
  </si>
  <si>
    <t>REGISTRO CABEÇOTE/FLANGE C/REDUTOR DN 500 PN10</t>
  </si>
  <si>
    <t>I5319</t>
  </si>
  <si>
    <t>REGISTRO CABEÇOTE/FLANGE C/REDUTOR DN 600 PN10</t>
  </si>
  <si>
    <t>I9995</t>
  </si>
  <si>
    <t>REGISTRO CHATO FLANGEADO COM VOLANTE DN 250 PN16</t>
  </si>
  <si>
    <t>I9991</t>
  </si>
  <si>
    <t>REGISTRO COM FLANGES CUNHA DE BORRACHA E VOLANTE DN 150</t>
  </si>
  <si>
    <t>I6185</t>
  </si>
  <si>
    <t>REGISTRO DE ESFERA COM BORBOLETA 1/2"</t>
  </si>
  <si>
    <t>I6186</t>
  </si>
  <si>
    <t>I6183</t>
  </si>
  <si>
    <t>REGISTRO DE ESFERA COM CABECA QUADRADA 1/2"</t>
  </si>
  <si>
    <t>I6184</t>
  </si>
  <si>
    <t>REGISTRO DE ESFERA COM CABECA QUADRADA 3/4"</t>
  </si>
  <si>
    <t>I9985</t>
  </si>
  <si>
    <t>REGISTRO DE ESFERA DN 20 3/4</t>
  </si>
  <si>
    <t>I5054</t>
  </si>
  <si>
    <t>REGISTRO DE GAVETA C/ BOLSAS E CUNHA EMBORRACHADA P/ TUBOS DE FERRO DÚCTIL C/ CABEÇOTE DN 100</t>
  </si>
  <si>
    <t>I5058</t>
  </si>
  <si>
    <t>REGISTRO DE GAVETA C/ BOLSAS E CUNHA EMBORRACHADA P/ TUBOS DE FERRO DÚCTIL C/ CABEÇOTE DN 150</t>
  </si>
  <si>
    <t>I5059</t>
  </si>
  <si>
    <t>REGISTRO DE GAVETA C/ BOLSAS E CUNHA EMBORRACHADA P/ TUBOS DE FERRO DÚCTIL C/ CABEÇOTE DN 200</t>
  </si>
  <si>
    <t>I5060</t>
  </si>
  <si>
    <t>REGISTRO DE GAVETA C/ BOLSAS E CUNHA EMBORRACHADA P/ TUBOS DE FERRO DÚCTIL C/ CABEÇOTE DN 250</t>
  </si>
  <si>
    <t>I5061</t>
  </si>
  <si>
    <t>REGISTRO DE GAVETA C/ BOLSAS E CUNHA EMBORRACHADA P/ TUBOS DE FERRO DÚCTIL C/ CABEÇOTE DN 300</t>
  </si>
  <si>
    <t>I11322</t>
  </si>
  <si>
    <t>REGISTRO DE GAVETA C/ BOLSAS E CUNHA EMBORRACHADA P/ TUBOS DE FERRO DÚCTIL C/ CABEÇOTE DN 350</t>
  </si>
  <si>
    <t>I11323</t>
  </si>
  <si>
    <t>REGISTRO DE GAVETA C/ BOLSAS E CUNHA EMBORRACHADA P/ TUBOS DE FERRO DÚCTIL C/ CABEÇOTE DN 400</t>
  </si>
  <si>
    <t>I11324</t>
  </si>
  <si>
    <t>REGISTRO DE GAVETA C/ BOLSAS E CUNHA EMBORRACHADA P/ TUBOS DE FERRO DÚCTIL C/ CABEÇOTE DN 500</t>
  </si>
  <si>
    <t>I11325</t>
  </si>
  <si>
    <t>REGISTRO DE GAVETA C/ BOLSAS E CUNHA EMBORRACHADA P/ TUBOS DE FERRO DÚCTIL C/ CABEÇOTE DN 600</t>
  </si>
  <si>
    <t>I7149</t>
  </si>
  <si>
    <t>REGISTRO DE GAVETA C/ BOLSAS E CUNHA EMBORRACHADA P/ TUBOS DE FERRO DÚCTIL C/ CABEÇOTE DN 80</t>
  </si>
  <si>
    <t>I5090</t>
  </si>
  <si>
    <t>REGISTRO DE GAVETA C/ BOLSAS E CUNHA EMBORRACHADA P/ TUBOS DE FERRO DÚCTIL C/ VOLANTE DN 100</t>
  </si>
  <si>
    <t>I5117</t>
  </si>
  <si>
    <t>REGISTRO DE GAVETA C/ BOLSAS E CUNHA EMBORRACHADA P/ TUBOS DE FERRO DÚCTIL C/ VOLANTE DN 150</t>
  </si>
  <si>
    <t>I5118</t>
  </si>
  <si>
    <t>REGISTRO DE GAVETA C/ BOLSAS E CUNHA EMBORRACHADA P/ TUBOS DE FERRO DÚCTIL C/ VOLANTE DN 200</t>
  </si>
  <si>
    <t>I5119</t>
  </si>
  <si>
    <t>REGISTRO DE GAVETA C/ BOLSAS E CUNHA EMBORRACHADA P/ TUBOS DE FERRO DÚCTIL C/ VOLANTE DN 250</t>
  </si>
  <si>
    <t>I5120</t>
  </si>
  <si>
    <t>REGISTRO DE GAVETA C/ BOLSAS E CUNHA EMBORRACHADA P/ TUBOS DE FERRO DÚCTIL C/ VOLANTE DN 300</t>
  </si>
  <si>
    <t>I11326</t>
  </si>
  <si>
    <t>REGISTRO DE GAVETA C/ BOLSAS E CUNHA EMBORRACHADA P/ TUBOS DE FERRO DÚCTIL C/ VOLANTE DN 350</t>
  </si>
  <si>
    <t>I11327</t>
  </si>
  <si>
    <t>REGISTRO DE GAVETA C/ BOLSAS E CUNHA EMBORRACHADA P/ TUBOS DE FERRO DÚCTIL C/ VOLANTE DN 400</t>
  </si>
  <si>
    <t>I11328</t>
  </si>
  <si>
    <t>REGISTRO DE GAVETA C/ BOLSAS E CUNHA EMBORRACHADA P/ TUBOS DE FERRO DÚCTIL C/ VOLANTE DN 500</t>
  </si>
  <si>
    <t>I11329</t>
  </si>
  <si>
    <t>REGISTRO DE GAVETA C/ BOLSAS E CUNHA EMBORRACHADA P/ TUBOS DE FERRO DÚCTIL C/ VOLANTE DN 600</t>
  </si>
  <si>
    <t>I7150</t>
  </si>
  <si>
    <t>REGISTRO DE GAVETA C/ BOLSAS E CUNHA EMBORRACHADA P/ TUBOS DE FERRO DÚCTIL C/ VOLANTE DN 80</t>
  </si>
  <si>
    <t>I5307</t>
  </si>
  <si>
    <t>REGISTRO DE GAVETA C/ FLANGES E CUNHA EMBORRACHADA CORPO CURTO C/ CABEÇOTE DN 100 PN10/16</t>
  </si>
  <si>
    <t>I5308</t>
  </si>
  <si>
    <t>REGISTRO DE GAVETA C/ FLANGES E CUNHA EMBORRACHADA CORPO CURTO C/ CABEÇOTE DN 150 PN10/16</t>
  </si>
  <si>
    <t>I5297</t>
  </si>
  <si>
    <t>REGISTRO DE GAVETA C/ FLANGES E CUNHA EMBORRACHADA CORPO CURTO C/ CABEÇOTE DN 200 PN10</t>
  </si>
  <si>
    <t>I5309</t>
  </si>
  <si>
    <t>REGISTRO DE GAVETA C/ FLANGES E CUNHA EMBORRACHADA CORPO CURTO C/ CABEÇOTE DN 200 PN16</t>
  </si>
  <si>
    <t>I5298</t>
  </si>
  <si>
    <t>REGISTRO DE GAVETA C/ FLANGES E CUNHA EMBORRACHADA CORPO CURTO C/ CABEÇOTE DN 250 PN10</t>
  </si>
  <si>
    <t>I11320</t>
  </si>
  <si>
    <t>REGISTRO DE GAVETA C/ FLANGES E CUNHA EMBORRACHADA CORPO CURTO C/ CABEÇOTE DN 250 PN16</t>
  </si>
  <si>
    <t>I5299</t>
  </si>
  <si>
    <t>REGISTRO DE GAVETA C/ FLANGES E CUNHA EMBORRACHADA CORPO CURTO C/ CABEÇOTE DN 300 PN10</t>
  </si>
  <si>
    <t>I9998</t>
  </si>
  <si>
    <t>REGISTRO DE GAVETA C/ FLANGES E CUNHA EMBORRACHADA CORPO CURTO C/ CABEÇOTE DN 300 PN16</t>
  </si>
  <si>
    <t>I5300</t>
  </si>
  <si>
    <t>REGISTRO DE GAVETA C/ FLANGES E CUNHA EMBORRACHADA CORPO CURTO C/ CABEÇOTE DN 350 PN10</t>
  </si>
  <si>
    <t>I11321</t>
  </si>
  <si>
    <t>REGISTRO DE GAVETA C/ FLANGES E CUNHA EMBORRACHADA CORPO CURTO C/ CABEÇOTE DN 350 PN16</t>
  </si>
  <si>
    <t>I5301</t>
  </si>
  <si>
    <t>REGISTRO DE GAVETA C/ FLANGES E CUNHA EMBORRACHADA CORPO CURTO C/ CABEÇOTE DN 400 PN10</t>
  </si>
  <si>
    <t>I10006</t>
  </si>
  <si>
    <t>REGISTRO DE GAVETA C/ FLANGES E CUNHA EMBORRACHADA CORPO CURTO C/ CABEÇOTE DN 400 PN16</t>
  </si>
  <si>
    <t>I5302</t>
  </si>
  <si>
    <t>REGISTRO DE GAVETA C/ FLANGES E CUNHA EMBORRACHADA CORPO CURTO C/ CABEÇOTE DN 450 PN10</t>
  </si>
  <si>
    <t>I5305</t>
  </si>
  <si>
    <t>REGISTRO DE GAVETA C/ FLANGES E CUNHA EMBORRACHADA CORPO CURTO C/ CABEÇOTE DN 50 PN10/16</t>
  </si>
  <si>
    <t>I5303</t>
  </si>
  <si>
    <t>REGISTRO DE GAVETA C/ FLANGES E CUNHA EMBORRACHADA CORPO CURTO C/ CABEÇOTE DN 500 PN10</t>
  </si>
  <si>
    <t>I7147</t>
  </si>
  <si>
    <t>REGISTRO DE GAVETA C/ FLANGES E CUNHA EMBORRACHADA CORPO CURTO C/ CABEÇOTE DN 80 PN10/16</t>
  </si>
  <si>
    <t>I9990</t>
  </si>
  <si>
    <t>REGISTRO DE GAVETA C/ FLANGES E CUNHA EMBORRACHADA CORPO CURTO C/ VOLANTE DN 100 PN10</t>
  </si>
  <si>
    <t>I5327</t>
  </si>
  <si>
    <t>REGISTRO DE GAVETA C/ FLANGES E CUNHA EMBORRACHADA CORPO CURTO C/ VOLANTE DN 100 PN16</t>
  </si>
  <si>
    <t>I10010</t>
  </si>
  <si>
    <t>REGISTRO DE GAVETA C/ FLANGES E CUNHA EMBORRACHADA CORPO CURTO C/ VOLANTE DN 150 PN10</t>
  </si>
  <si>
    <t>I5328</t>
  </si>
  <si>
    <t>REGISTRO DE GAVETA C/ FLANGES E CUNHA EMBORRACHADA CORPO CURTO C/ VOLANTE DN 150 PN16</t>
  </si>
  <si>
    <t>I5094</t>
  </si>
  <si>
    <t>REGISTRO DE GAVETA C/ FLANGES E CUNHA EMBORRACHADA CORPO CURTO C/ VOLANTE DN 200 PN10</t>
  </si>
  <si>
    <t>I5329</t>
  </si>
  <si>
    <t>REGISTRO DE GAVETA C/ FLANGES E CUNHA EMBORRACHADA CORPO CURTO C/ VOLANTE DN 200 PN16</t>
  </si>
  <si>
    <t>I5095</t>
  </si>
  <si>
    <t>REGISTRO DE GAVETA C/ FLANGES E CUNHA EMBORRACHADA CORPO CURTO C/ VOLANTE DN 250 PN10</t>
  </si>
  <si>
    <t>I5096</t>
  </si>
  <si>
    <t>REGISTRO DE GAVETA C/ FLANGES E CUNHA EMBORRACHADA CORPO CURTO C/ VOLANTE DN 300 PN10</t>
  </si>
  <si>
    <t>I10007</t>
  </si>
  <si>
    <t>REGISTRO DE GAVETA C/ FLANGES E CUNHA EMBORRACHADA CORPO CURTO C/ VOLANTE DN 50 PN10</t>
  </si>
  <si>
    <t>I9989</t>
  </si>
  <si>
    <t>REGISTRO DE GAVETA C/ FLANGES E CUNHA EMBORRACHADA CORPO CURTO C/ VOLANTE DN 80 PN10</t>
  </si>
  <si>
    <t>I7615</t>
  </si>
  <si>
    <t>REGISTRO DE GAVETA C/ FLANGES E CUNHA EMBORRACHADA CORPO CURTO C/ VOLANTE DN 80 PN16</t>
  </si>
  <si>
    <t>I9999</t>
  </si>
  <si>
    <t>REGISTRO DE GAVETA CHATO FOFO COM FLANGES E VOLANTE PN16 DN 400MM</t>
  </si>
  <si>
    <t>I9994</t>
  </si>
  <si>
    <t>REGISTRO DE GAVETA EM AÇO SCHEDULE 40 C/ FLANGES DN 200</t>
  </si>
  <si>
    <t>I9992</t>
  </si>
  <si>
    <t>REGISTRO DE GAVETA EM AÇO SCHEDULE 40 S/ COSTURA C/ FLANGES DN 100</t>
  </si>
  <si>
    <t>I9993</t>
  </si>
  <si>
    <t>REGISTRO DE GAVETA EM AÇO SCHEDULE 40 S/ COSTURA C/ FLANGES DN 150</t>
  </si>
  <si>
    <t>I6189</t>
  </si>
  <si>
    <t>REGISTRO DE PRESSAO S-30 ROSCAVEL 1/2"</t>
  </si>
  <si>
    <t>I6190</t>
  </si>
  <si>
    <t>REGISTRO DE PRESSAO S-30 ROSCAVEL 3/4"</t>
  </si>
  <si>
    <t>I6187</t>
  </si>
  <si>
    <t>REGISTRO DE PRESSAO S-30 SOLDAVEL 20</t>
  </si>
  <si>
    <t>I6188</t>
  </si>
  <si>
    <t>REGISTRO DE PRESSAO S-30 SOLDAVEL 25</t>
  </si>
  <si>
    <t>I6057</t>
  </si>
  <si>
    <t>REGISTRO FECHO RÁPIDO 1/2" ROSCA INTERNA/EXTERNA</t>
  </si>
  <si>
    <t>I6058</t>
  </si>
  <si>
    <t>REGISTRO FECHO RÁPIDO 3/4"ROSCA INTERNA/EXTERNA</t>
  </si>
  <si>
    <t>I5310</t>
  </si>
  <si>
    <t>REGISTRO FLANGE/CABEÇOTE C/ BY-PASS DN 350 PN10</t>
  </si>
  <si>
    <t>I5311</t>
  </si>
  <si>
    <t>REGISTRO FLANGE/CABEÇOTE C/ BY-PASS DN 400 PN10</t>
  </si>
  <si>
    <t>I5312</t>
  </si>
  <si>
    <t>REGISTRO FLANGE/CABEÇOTE C/ BY-PASS DN 450 PN10</t>
  </si>
  <si>
    <t>I5313</t>
  </si>
  <si>
    <t>REGISTRO FLANGE/CABEÇOTE C/ BY-PASS DN 500 PN10</t>
  </si>
  <si>
    <t>I5314</t>
  </si>
  <si>
    <t>REGISTRO FLANGE/CABEÇOTE C/ BY-PASS DN 600 PN10</t>
  </si>
  <si>
    <t>I5320</t>
  </si>
  <si>
    <t>REGISTRO FLANGE/CABEÇOTE C/ BY-PASS E REDUTOR DN 350 PN10</t>
  </si>
  <si>
    <t>I5321</t>
  </si>
  <si>
    <t>REGISTRO FLANGE/CABEÇOTE C/ BY-PASS E REDUTOR DN 400 PN10</t>
  </si>
  <si>
    <t>I5322</t>
  </si>
  <si>
    <t>REGISTRO FLANGE/CABEÇOTE C/ BY-PASS E REDUTOR DN 450 PN10</t>
  </si>
  <si>
    <t>I5323</t>
  </si>
  <si>
    <t>REGISTRO FLANGE/CABEÇOTE C/ BY-PASS E REDUTOR DN 500 PN10</t>
  </si>
  <si>
    <t>I5324</t>
  </si>
  <si>
    <t>REGISTRO FLANGE/CABEÇOTE C/ BY-PASS E REDUTOR DN 600 PN10</t>
  </si>
  <si>
    <t>I5304</t>
  </si>
  <si>
    <t>REGISTRO FLANGE/CABEÇOTE DN 600 PN10</t>
  </si>
  <si>
    <t>I5306</t>
  </si>
  <si>
    <t>REGISTRO FLANGE/CABEÇOTE DN 75 PN16</t>
  </si>
  <si>
    <t>I5448</t>
  </si>
  <si>
    <t>REGISTRO GAV, OVAL C/ CABEÇOTE/FLANGE DN 700 PN25</t>
  </si>
  <si>
    <t>I5438</t>
  </si>
  <si>
    <t>REGISTRO GAV. OVAL C/ CABEÇOTE/FLANGE DN 100 PN25</t>
  </si>
  <si>
    <t>I5451</t>
  </si>
  <si>
    <t>REGISTRO GAV. OVAL C/ CABEÇOTE/FLANGE DN 1000 PN25</t>
  </si>
  <si>
    <t>I5439</t>
  </si>
  <si>
    <t>REGISTRO GAV. OVAL C/ CABEÇOTE/FLANGE DN 150 PN25</t>
  </si>
  <si>
    <t>I5440</t>
  </si>
  <si>
    <t>REGISTRO GAV. OVAL C/ CABEÇOTE/FLANGE DN 200 PN25</t>
  </si>
  <si>
    <t>I5441</t>
  </si>
  <si>
    <t>REGISTRO GAV. OVAL C/ CABEÇOTE/FLANGE DN 250 PN25</t>
  </si>
  <si>
    <t>I5442</t>
  </si>
  <si>
    <t>REGISTRO GAV. OVAL C/ CABEÇOTE/FLANGE DN 300 PN25</t>
  </si>
  <si>
    <t>I5443</t>
  </si>
  <si>
    <t>REGISTRO GAV. OVAL C/ CABEÇOTE/FLANGE DN 350 PN25</t>
  </si>
  <si>
    <t>I5444</t>
  </si>
  <si>
    <t>REGISTRO GAV. OVAL C/ CABEÇOTE/FLANGE DN 400 PN25</t>
  </si>
  <si>
    <t>I5445</t>
  </si>
  <si>
    <t>REGISTRO GAV. OVAL C/ CABEÇOTE/FLANGE DN 450 PN25</t>
  </si>
  <si>
    <t>I5436</t>
  </si>
  <si>
    <t>REGISTRO GAV. OVAL C/ CABEÇOTE/FLANGE DN 50 PN25</t>
  </si>
  <si>
    <t>I5446</t>
  </si>
  <si>
    <t>REGISTRO GAV. OVAL C/ CABEÇOTE/FLANGE DN 500 PN25</t>
  </si>
  <si>
    <t>I5447</t>
  </si>
  <si>
    <t>REGISTRO GAV. OVAL C/ CABEÇOTE/FLANGE DN 600 PN25</t>
  </si>
  <si>
    <t>I5437</t>
  </si>
  <si>
    <t>REGISTRO GAV. OVAL C/ CABEÇOTE/FLANGE DN 75 PN25</t>
  </si>
  <si>
    <t>I5449</t>
  </si>
  <si>
    <t>REGISTRO GAV. OVAL C/ CABEÇOTE/FLANGE DN 800 PN25</t>
  </si>
  <si>
    <t>I5450</t>
  </si>
  <si>
    <t>REGISTRO GAV. OVAL C/ CABEÇOTE/FLANGE DN 900 PN25</t>
  </si>
  <si>
    <t>I7148</t>
  </si>
  <si>
    <t>REGISTRO GAV. OVAL CABEÇOTE E FLANGE DN 80 PN25</t>
  </si>
  <si>
    <t>I5083</t>
  </si>
  <si>
    <t>REGISTRO GAVETA  OVAL B/C REDUTOR/BY-PASS DN 350 PN10/16</t>
  </si>
  <si>
    <t>I5053</t>
  </si>
  <si>
    <t>REGISTRO GAVETA BOLSA / CABEÇOTE DN 75 PN10/16</t>
  </si>
  <si>
    <t>I5089</t>
  </si>
  <si>
    <t>REGISTRO GAVETA BOLSA/VOLANTE DN 75 PN10/16</t>
  </si>
  <si>
    <t>I5071</t>
  </si>
  <si>
    <t>REGISTRO GAVETA OVAL B/C BY-PASS DN 350 PN10/16</t>
  </si>
  <si>
    <t>I5072</t>
  </si>
  <si>
    <t>REGISTRO GAVETA OVAL B/C BY-PASS DN 400 PN10/16</t>
  </si>
  <si>
    <t>I5073</t>
  </si>
  <si>
    <t>REGISTRO GAVETA OVAL B/C BY-PASS DN 450 PN10/16</t>
  </si>
  <si>
    <t>I5074</t>
  </si>
  <si>
    <t>REGISTRO GAVETA OVAL B/C BY-PASS DN 500 PN10/16</t>
  </si>
  <si>
    <t>I5075</t>
  </si>
  <si>
    <t>REGISTRO GAVETA OVAL B/C BY-PASS DN 600 PN10/16</t>
  </si>
  <si>
    <t>I5077</t>
  </si>
  <si>
    <t>REGISTRO GAVETA OVAL B/C REDUTOR DN 350 PN10/16</t>
  </si>
  <si>
    <t>I5078</t>
  </si>
  <si>
    <t>REGISTRO GAVETA OVAL B/C REDUTOR DN 400 PN10/16</t>
  </si>
  <si>
    <t>I5079</t>
  </si>
  <si>
    <t>REGISTRO GAVETA OVAL B/C REDUTOR DN 450 PN10/16</t>
  </si>
  <si>
    <t>I5080</t>
  </si>
  <si>
    <t>REGISTRO GAVETA OVAL B/C REDUTOR DN 500 PN10/16</t>
  </si>
  <si>
    <t>I5081</t>
  </si>
  <si>
    <t>REGISTRO GAVETA OVAL B/C REDUTOR DN 600 PN10/16</t>
  </si>
  <si>
    <t>I5084</t>
  </si>
  <si>
    <t>REGISTRO GAVETA OVAL B/C REDUTOR/BY-PASS DN 400 PN10/16</t>
  </si>
  <si>
    <t>I5085</t>
  </si>
  <si>
    <t>REGISTRO GAVETA OVAL B/C REDUTOR/BY-PASS DN 450 PN10/16</t>
  </si>
  <si>
    <t>I5086</t>
  </si>
  <si>
    <t>REGISTRO GAVETA OVAL B/C REDUTOR/BY-PASS DN 500 PN10/16</t>
  </si>
  <si>
    <t>I5087</t>
  </si>
  <si>
    <t>REGISTRO GAVETA OVAL B/C REDUTOR/BY-PASS DN 600 PN10/16</t>
  </si>
  <si>
    <t>I5278</t>
  </si>
  <si>
    <t>REGISTRO GAVETA OVAL B/V COM BY-PASS DN 250 PN10/16</t>
  </si>
  <si>
    <t>I5279</t>
  </si>
  <si>
    <t>REGISTRO GAVETA OVAL B/V COM BY-PASS DN 300 PN10/16</t>
  </si>
  <si>
    <t>I5280</t>
  </si>
  <si>
    <t>REGISTRO GAVETA OVAL B/V COM BY-PASS DN 350 PN10/16</t>
  </si>
  <si>
    <t>I5281</t>
  </si>
  <si>
    <t>REGISTRO GAVETA OVAL B/V COM BY-PASS DN 400 PN10/16</t>
  </si>
  <si>
    <t>I5282</t>
  </si>
  <si>
    <t>REGISTRO GAVETA OVAL B/V COM BY-PASS DN 450 PN10/16</t>
  </si>
  <si>
    <t>I5283</t>
  </si>
  <si>
    <t>REGISTRO GAVETA OVAL B/V COM BY-PASS DN 500 PN10/16</t>
  </si>
  <si>
    <t>I5284</t>
  </si>
  <si>
    <t>REGISTRO GAVETA OVAL B/V COM BY-PASS DN 600 PN10/16</t>
  </si>
  <si>
    <t>I5286</t>
  </si>
  <si>
    <t>REGISTRO GAVETA OVAL B/V MEC/REDUTOR DN 350 PN10/16</t>
  </si>
  <si>
    <t>I5287</t>
  </si>
  <si>
    <t>REGISTRO GAVETA OVAL B/V MEC/REDUTOR DN 400 PN10/16</t>
  </si>
  <si>
    <t>I5288</t>
  </si>
  <si>
    <t>REGISTRO GAVETA OVAL B/V MEC/REDUTOR DN 450 PN10/16</t>
  </si>
  <si>
    <t>I5289</t>
  </si>
  <si>
    <t>REGISTRO GAVETA OVAL B/V MEC/REDUTOR DN 500 PN10/16</t>
  </si>
  <si>
    <t>I5290</t>
  </si>
  <si>
    <t>REGISTRO GAVETA OVAL B/V MEC/REDUTOR DN 600 PN10/16</t>
  </si>
  <si>
    <t>I5292</t>
  </si>
  <si>
    <t>REGISTRO GAVETA OVAL B/V REDUTOR/BY-PASS DN 350 PN10/16</t>
  </si>
  <si>
    <t>I5293</t>
  </si>
  <si>
    <t>REGISTRO GAVETA OVAL B/V REDUTOR/BY-PASS DN 400 PN10/16</t>
  </si>
  <si>
    <t>I5294</t>
  </si>
  <si>
    <t>REGISTRO GAVETA OVAL B/V REDUTOR/BY-PASS DN 450 PN10/16</t>
  </si>
  <si>
    <t>I5295</t>
  </si>
  <si>
    <t>REGISTRO GAVETA OVAL B/V REDUTOR/BY-PASS DN 500 PN10/16</t>
  </si>
  <si>
    <t>I5296</t>
  </si>
  <si>
    <t>REGISTRO GAVETA OVAL B/V REDUTOR/BY-PASS DN 600 PN10/16</t>
  </si>
  <si>
    <t>I11331</t>
  </si>
  <si>
    <t>REGISTRO GAVETA OVAL BOLSA / CABEÇOTE DN 100 PN10/16</t>
  </si>
  <si>
    <t>I11332</t>
  </si>
  <si>
    <t>REGISTRO GAVETA OVAL BOLSA / CABEÇOTE DN 150 PN10/16</t>
  </si>
  <si>
    <t>I11333</t>
  </si>
  <si>
    <t>REGISTRO GAVETA OVAL BOLSA / CABEÇOTE DN 200 PN10/16</t>
  </si>
  <si>
    <t>I11334</t>
  </si>
  <si>
    <t>REGISTRO GAVETA OVAL BOLSA / CABEÇOTE DN 250 PN10/16</t>
  </si>
  <si>
    <t>I11335</t>
  </si>
  <si>
    <t>REGISTRO GAVETA OVAL BOLSA / CABEÇOTE DN 300 PN10/16</t>
  </si>
  <si>
    <t>I5064</t>
  </si>
  <si>
    <t>REGISTRO GAVETA OVAL BOLSA / CABEÇOTE DN 350 PN10/16</t>
  </si>
  <si>
    <t>I5066</t>
  </si>
  <si>
    <t>REGISTRO GAVETA OVAL BOLSA / CABEÇOTE DN 450 PN10/16</t>
  </si>
  <si>
    <t>I5067</t>
  </si>
  <si>
    <t>REGISTRO GAVETA OVAL BOLSA / CABEÇOTE DN 500 PN10/16</t>
  </si>
  <si>
    <t>I5068</t>
  </si>
  <si>
    <t>REGISTRO GAVETA OVAL BOLSA / CABEÇOTE DN 600 PN10/16</t>
  </si>
  <si>
    <t>I11336</t>
  </si>
  <si>
    <t>REGISTRO GAVETA OVAL BOLSA / CABEÇOTE DN 700 PN10/16</t>
  </si>
  <si>
    <t>I11330</t>
  </si>
  <si>
    <t>REGISTRO GAVETA OVAL BOLSA / CABEÇOTE DN 80 PN10/16</t>
  </si>
  <si>
    <t>I11337</t>
  </si>
  <si>
    <t>REGISTRO GAVETA OVAL BOLSA / CABEÇOTE DN 800 PN10/16</t>
  </si>
  <si>
    <t>I5271</t>
  </si>
  <si>
    <t>REGISTRO GAVETA OVAL BOLSA/VOLANTE DN 250 PN10/16</t>
  </si>
  <si>
    <t>I5272</t>
  </si>
  <si>
    <t>REGISTRO GAVETA OVAL BOLSA/VOLANTE DN 300 PN10/16</t>
  </si>
  <si>
    <t>I5273</t>
  </si>
  <si>
    <t>REGISTRO GAVETA OVAL BOLSA/VOLANTE DN 350 PN10/16</t>
  </si>
  <si>
    <t>I5274</t>
  </si>
  <si>
    <t>REGISTRO GAVETA OVAL BOLSA/VOLANTE DN 400 PN10/16</t>
  </si>
  <si>
    <t>I5275</t>
  </si>
  <si>
    <t>REGISTRO GAVETA OVAL BOLSA/VOLANTE DN 450 PN10/16</t>
  </si>
  <si>
    <t>I5276</t>
  </si>
  <si>
    <t>REGISTRO GAVETA OVAL BOLSA/VOLANTE DN 500 PN10/16</t>
  </si>
  <si>
    <t>I5277</t>
  </si>
  <si>
    <t>REGISTRO GAVETA OVAL BOLSA/VOLANTE DN 600 PN10/16</t>
  </si>
  <si>
    <t>I5383</t>
  </si>
  <si>
    <t>REGISTRO GAVETA OVAL C/F E BY-PASS DN 1000 PN10</t>
  </si>
  <si>
    <t>I5394</t>
  </si>
  <si>
    <t>REGISTRO GAVETA OVAL C/F E BY-PASS DN 1000 PN16</t>
  </si>
  <si>
    <t>I5405</t>
  </si>
  <si>
    <t>REGISTRO GAVETA OVAL C/F E BY-PASS DN 1000 PN25</t>
  </si>
  <si>
    <t>I5373</t>
  </si>
  <si>
    <t>REGISTRO GAVETA OVAL C/F E BY-PASS DN 250 PN10</t>
  </si>
  <si>
    <t>I5384</t>
  </si>
  <si>
    <t>REGISTRO GAVETA OVAL C/F E BY-PASS DN 250 PN16</t>
  </si>
  <si>
    <t>I5395</t>
  </si>
  <si>
    <t>REGISTRO GAVETA OVAL C/F E BY-PASS DN 250 PN25</t>
  </si>
  <si>
    <t>I5374</t>
  </si>
  <si>
    <t>REGISTRO GAVETA OVAL C/F E BY-PASS DN 300 PN10</t>
  </si>
  <si>
    <t>I5385</t>
  </si>
  <si>
    <t>REGISTRO GAVETA OVAL C/F E BY-PASS DN 300 PN16</t>
  </si>
  <si>
    <t>I5396</t>
  </si>
  <si>
    <t>REGISTRO GAVETA OVAL C/F E BY-PASS DN 300 PN25</t>
  </si>
  <si>
    <t>I5375</t>
  </si>
  <si>
    <t>REGISTRO GAVETA OVAL C/F E BY-PASS DN 350 PN10</t>
  </si>
  <si>
    <t>I5386</t>
  </si>
  <si>
    <t>REGISTRO GAVETA OVAL C/F E BY-PASS DN 350 PN16</t>
  </si>
  <si>
    <t>I5397</t>
  </si>
  <si>
    <t>REGISTRO GAVETA OVAL C/F E BY-PASS DN 350 PN25</t>
  </si>
  <si>
    <t>I5376</t>
  </si>
  <si>
    <t>REGISTRO GAVETA OVAL C/F E BY-PASS DN 400 PN10</t>
  </si>
  <si>
    <t>I5387</t>
  </si>
  <si>
    <t>REGISTRO GAVETA OVAL C/F E BY-PASS DN 400 PN16</t>
  </si>
  <si>
    <t>I5398</t>
  </si>
  <si>
    <t>REGISTRO GAVETA OVAL C/F E BY-PASS DN 400 PN25</t>
  </si>
  <si>
    <t>I5377</t>
  </si>
  <si>
    <t>REGISTRO GAVETA OVAL C/F E BY-PASS DN 450 PN10</t>
  </si>
  <si>
    <t>I5388</t>
  </si>
  <si>
    <t>REGISTRO GAVETA OVAL C/F E BY-PASS DN 450 PN16</t>
  </si>
  <si>
    <t>I5399</t>
  </si>
  <si>
    <t>REGISTRO GAVETA OVAL C/F E BY-PASS DN 450 PN25</t>
  </si>
  <si>
    <t>I5378</t>
  </si>
  <si>
    <t>REGISTRO GAVETA OVAL C/F E BY-PASS DN 500 PN10</t>
  </si>
  <si>
    <t>I5389</t>
  </si>
  <si>
    <t>REGISTRO GAVETA OVAL C/F E BY-PASS DN 500 PN16</t>
  </si>
  <si>
    <t>I5400</t>
  </si>
  <si>
    <t>REGISTRO GAVETA OVAL C/F E BY-PASS DN 500 PN25</t>
  </si>
  <si>
    <t>I5379</t>
  </si>
  <si>
    <t>REGISTRO GAVETA OVAL C/F E BY-PASS DN 600 PN10</t>
  </si>
  <si>
    <t>I5390</t>
  </si>
  <si>
    <t>REGISTRO GAVETA OVAL C/F E BY-PASS DN 600 PN16</t>
  </si>
  <si>
    <t>I5401</t>
  </si>
  <si>
    <t>REGISTRO GAVETA OVAL C/F E BY-PASS DN 600 PN25</t>
  </si>
  <si>
    <t>I5380</t>
  </si>
  <si>
    <t>REGISTRO GAVETA OVAL C/F E BY-PASS DN 700 PN10</t>
  </si>
  <si>
    <t>I5391</t>
  </si>
  <si>
    <t>REGISTRO GAVETA OVAL C/F E BY-PASS DN 700 PN16</t>
  </si>
  <si>
    <t>I5402</t>
  </si>
  <si>
    <t>REGISTRO GAVETA OVAL C/F E BY-PASS DN 700 PN25</t>
  </si>
  <si>
    <t>I5381</t>
  </si>
  <si>
    <t>REGISTRO GAVETA OVAL C/F E BY-PASS DN 800 PN10</t>
  </si>
  <si>
    <t>I5392</t>
  </si>
  <si>
    <t>REGISTRO GAVETA OVAL C/F E BY-PASS DN 800 PN16</t>
  </si>
  <si>
    <t>I5403</t>
  </si>
  <si>
    <t>REGISTRO GAVETA OVAL C/F E BY-PASS DN 800 PN25</t>
  </si>
  <si>
    <t>I5382</t>
  </si>
  <si>
    <t>REGISTRO GAVETA OVAL C/F E BY-PASS DN 900 PN10</t>
  </si>
  <si>
    <t>I5393</t>
  </si>
  <si>
    <t>REGISTRO GAVETA OVAL C/F E BY-PASS DN 900 PN16</t>
  </si>
  <si>
    <t>I5404</t>
  </si>
  <si>
    <t>REGISTRO GAVETA OVAL C/F E BY-PASS DN 900 PN25</t>
  </si>
  <si>
    <t>I5415</t>
  </si>
  <si>
    <t>REGISTRO GAVETA OVAL C/F E MEC/REDUTOR DN 1000 PN10</t>
  </si>
  <si>
    <t>I5425</t>
  </si>
  <si>
    <t>REGISTRO GAVETA OVAL C/F E MEC/REDUTOR DN 1000 PN16</t>
  </si>
  <si>
    <t>I5435</t>
  </si>
  <si>
    <t>REGISTRO GAVETA OVAL C/F E MEC/REDUTOR DN 1000 PN25</t>
  </si>
  <si>
    <t>I5407</t>
  </si>
  <si>
    <t>REGISTRO GAVETA OVAL C/F E MEC/REDUTOR DN 350 PN10</t>
  </si>
  <si>
    <t>I5417</t>
  </si>
  <si>
    <t>REGISTRO GAVETA OVAL C/F E MEC/REDUTOR DN 350 PN16</t>
  </si>
  <si>
    <t>I5427</t>
  </si>
  <si>
    <t>REGISTRO GAVETA OVAL C/F E MEC/REDUTOR DN 350 PN25</t>
  </si>
  <si>
    <t>I5408</t>
  </si>
  <si>
    <t>REGISTRO GAVETA OVAL C/F E MEC/REDUTOR DN 400 PN10</t>
  </si>
  <si>
    <t>I5418</t>
  </si>
  <si>
    <t>REGISTRO GAVETA OVAL C/F E MEC/REDUTOR DN 400 PN16</t>
  </si>
  <si>
    <t>I5428</t>
  </si>
  <si>
    <t>REGISTRO GAVETA OVAL C/F E MEC/REDUTOR DN 400 PN25</t>
  </si>
  <si>
    <t>I5409</t>
  </si>
  <si>
    <t>REGISTRO GAVETA OVAL C/F E MEC/REDUTOR DN 450 PN10</t>
  </si>
  <si>
    <t>I5419</t>
  </si>
  <si>
    <t>REGISTRO GAVETA OVAL C/F E MEC/REDUTOR DN 450 PN16</t>
  </si>
  <si>
    <t>I5429</t>
  </si>
  <si>
    <t>REGISTRO GAVETA OVAL C/F E MEC/REDUTOR DN 450 PN25</t>
  </si>
  <si>
    <t>I5410</t>
  </si>
  <si>
    <t>REGISTRO GAVETA OVAL C/F E MEC/REDUTOR DN 500 PN10</t>
  </si>
  <si>
    <t>I5420</t>
  </si>
  <si>
    <t>REGISTRO GAVETA OVAL C/F E MEC/REDUTOR DN 500 PN16</t>
  </si>
  <si>
    <t>I5430</t>
  </si>
  <si>
    <t>REGISTRO GAVETA OVAL C/F E MEC/REDUTOR DN 500 PN25</t>
  </si>
  <si>
    <t>I5411</t>
  </si>
  <si>
    <t>REGISTRO GAVETA OVAL C/F E MEC/REDUTOR DN 600 PN10</t>
  </si>
  <si>
    <t>I5421</t>
  </si>
  <si>
    <t>REGISTRO GAVETA OVAL C/F E MEC/REDUTOR DN 600 PN16</t>
  </si>
  <si>
    <t>I5431</t>
  </si>
  <si>
    <t>REGISTRO GAVETA OVAL C/F E MEC/REDUTOR DN 600 PN25</t>
  </si>
  <si>
    <t>I5412</t>
  </si>
  <si>
    <t>REGISTRO GAVETA OVAL C/F E MEC/REDUTOR DN 700 PN10</t>
  </si>
  <si>
    <t>I5422</t>
  </si>
  <si>
    <t>REGISTRO GAVETA OVAL C/F E MEC/REDUTOR DN 700 PN16</t>
  </si>
  <si>
    <t>I5432</t>
  </si>
  <si>
    <t>REGISTRO GAVETA OVAL C/F E MEC/REDUTOR DN 700 PN25</t>
  </si>
  <si>
    <t>I5413</t>
  </si>
  <si>
    <t>REGISTRO GAVETA OVAL C/F E MEC/REDUTOR DN 800 PN10</t>
  </si>
  <si>
    <t>I5423</t>
  </si>
  <si>
    <t>REGISTRO GAVETA OVAL C/F E MEC/REDUTOR DN 800 PN16</t>
  </si>
  <si>
    <t>I5433</t>
  </si>
  <si>
    <t>REGISTRO GAVETA OVAL C/F E MEC/REDUTOR DN 800 PN25</t>
  </si>
  <si>
    <t>I5414</t>
  </si>
  <si>
    <t>REGISTRO GAVETA OVAL C/F E MEC/REDUTOR DN 900 PN10</t>
  </si>
  <si>
    <t>I5424</t>
  </si>
  <si>
    <t>REGISTRO GAVETA OVAL C/F E MEC/REDUTOR DN 900 PN16</t>
  </si>
  <si>
    <t>I5434</t>
  </si>
  <si>
    <t>REGISTRO GAVETA OVAL C/F E MEC/REDUTOR DN 900 PN25</t>
  </si>
  <si>
    <t>I5343</t>
  </si>
  <si>
    <t>REGISTRO GAVETA OVAL CABEÇOTE E FLANGE DN 100 PN16</t>
  </si>
  <si>
    <t>I5341</t>
  </si>
  <si>
    <t>REGISTRO GAVETA OVAL CABEÇOTE E FLANGE DN 1000 PN10</t>
  </si>
  <si>
    <t>I5356</t>
  </si>
  <si>
    <t>REGISTRO GAVETA OVAL CABEÇOTE E FLANGE DN 1000 PN16</t>
  </si>
  <si>
    <t>I5344</t>
  </si>
  <si>
    <t>REGISTRO GAVETA OVAL CABEÇOTE E FLANGE DN 150 PN16</t>
  </si>
  <si>
    <t>I5330</t>
  </si>
  <si>
    <t>REGISTRO GAVETA OVAL CABEÇOTE E FLANGE DN 200 PN10</t>
  </si>
  <si>
    <t>I5345</t>
  </si>
  <si>
    <t>REGISTRO GAVETA OVAL CABEÇOTE E FLANGE DN 200 PN16</t>
  </si>
  <si>
    <t>I5331</t>
  </si>
  <si>
    <t>REGISTRO GAVETA OVAL CABEÇOTE E FLANGE DN 250 PN10</t>
  </si>
  <si>
    <t>I5332</t>
  </si>
  <si>
    <t>REGISTRO GAVETA OVAL CABEÇOTE E FLANGE DN 300 PN10</t>
  </si>
  <si>
    <t>I5347</t>
  </si>
  <si>
    <t>REGISTRO GAVETA OVAL CABEÇOTE E FLANGE DN 300 PN16</t>
  </si>
  <si>
    <t>I5333</t>
  </si>
  <si>
    <t>REGISTRO GAVETA OVAL CABEÇOTE E FLANGE DN 350 PN10</t>
  </si>
  <si>
    <t>I5348</t>
  </si>
  <si>
    <t>REGISTRO GAVETA OVAL CABEÇOTE E FLANGE DN 350 PN16</t>
  </si>
  <si>
    <t>I5334</t>
  </si>
  <si>
    <t>REGISTRO GAVETA OVAL CABEÇOTE E FLANGE DN 400 PN10</t>
  </si>
  <si>
    <t>I5349</t>
  </si>
  <si>
    <t>REGISTRO GAVETA OVAL CABEÇOTE E FLANGE DN 400 PN16</t>
  </si>
  <si>
    <t>I5335</t>
  </si>
  <si>
    <t>REGISTRO GAVETA OVAL CABEÇOTE E FLANGE DN 450 PN10</t>
  </si>
  <si>
    <t>I5350</t>
  </si>
  <si>
    <t>REGISTRO GAVETA OVAL CABEÇOTE E FLANGE DN 450 PN16</t>
  </si>
  <si>
    <t>I5351</t>
  </si>
  <si>
    <t>REGISTRO GAVETA OVAL CABEÇOTE E FLANGE DN 500 PN16</t>
  </si>
  <si>
    <t>I5337</t>
  </si>
  <si>
    <t>REGISTRO GAVETA OVAL CABEÇOTE E FLANGE DN 600 PN10</t>
  </si>
  <si>
    <t>I5352</t>
  </si>
  <si>
    <t>REGISTRO GAVETA OVAL CABEÇOTE E FLANGE DN 600 PN16</t>
  </si>
  <si>
    <t>I5338</t>
  </si>
  <si>
    <t>REGISTRO GAVETA OVAL CABEÇOTE E FLANGE DN 700 PN10</t>
  </si>
  <si>
    <t>I5353</t>
  </si>
  <si>
    <t>REGISTRO GAVETA OVAL CABEÇOTE E FLANGE DN 700 PN16</t>
  </si>
  <si>
    <t>I5342</t>
  </si>
  <si>
    <t>REGISTRO GAVETA OVAL CABEÇOTE E FLANGE DN 75 PN16</t>
  </si>
  <si>
    <t>I5339</t>
  </si>
  <si>
    <t>REGISTRO GAVETA OVAL CABEÇOTE E FLANGE DN 800 PN10</t>
  </si>
  <si>
    <t>I5354</t>
  </si>
  <si>
    <t>REGISTRO GAVETA OVAL CABEÇOTE E FLANGE DN 800 PN16</t>
  </si>
  <si>
    <t>I5340</t>
  </si>
  <si>
    <t>REGISTRO GAVETA OVAL CABEÇOTE E FLANGE DN 900 PN10</t>
  </si>
  <si>
    <t>I5355</t>
  </si>
  <si>
    <t>REGISTRO GAVETA OVAL CABEÇOTE E FLANGE DN 900 PN16</t>
  </si>
  <si>
    <t>I5188</t>
  </si>
  <si>
    <t>REGISTRO GAVETA OVAL V/F COM BY-PASS DN 1000 PN10</t>
  </si>
  <si>
    <t>I5199</t>
  </si>
  <si>
    <t>REGISTRO GAVETA OVAL V/F COM BY-PASS DN 1000 PN16</t>
  </si>
  <si>
    <t>I5210</t>
  </si>
  <si>
    <t>REGISTRO GAVETA OVAL V/F COM BY-PASS DN 1000 PN25</t>
  </si>
  <si>
    <t>I5178</t>
  </si>
  <si>
    <t>REGISTRO GAVETA OVAL V/F COM BY-PASS DN 250 PN10</t>
  </si>
  <si>
    <t>I5189</t>
  </si>
  <si>
    <t>REGISTRO GAVETA OVAL V/F COM BY-PASS DN 250 PN16</t>
  </si>
  <si>
    <t>I5200</t>
  </si>
  <si>
    <t>REGISTRO GAVETA OVAL V/F COM BY-PASS DN 250 PN25</t>
  </si>
  <si>
    <t>I5179</t>
  </si>
  <si>
    <t>REGISTRO GAVETA OVAL V/F COM BY-PASS DN 300 PN10</t>
  </si>
  <si>
    <t>I5190</t>
  </si>
  <si>
    <t>REGISTRO GAVETA OVAL V/F COM BY-PASS DN 300 PN16</t>
  </si>
  <si>
    <t>I5201</t>
  </si>
  <si>
    <t>REGISTRO GAVETA OVAL V/F COM BY-PASS DN 300 PN25</t>
  </si>
  <si>
    <t>I5180</t>
  </si>
  <si>
    <t>REGISTRO GAVETA OVAL V/F COM BY-PASS DN 350 PN10</t>
  </si>
  <si>
    <t>I5191</t>
  </si>
  <si>
    <t>REGISTRO GAVETA OVAL V/F COM BY-PASS DN 350 PN16</t>
  </si>
  <si>
    <t>I5202</t>
  </si>
  <si>
    <t>REGISTRO GAVETA OVAL V/F COM BY-PASS DN 350 PN25</t>
  </si>
  <si>
    <t>I5181</t>
  </si>
  <si>
    <t>REGISTRO GAVETA OVAL V/F COM BY-PASS DN 400 PN10</t>
  </si>
  <si>
    <t>I5192</t>
  </si>
  <si>
    <t>REGISTRO GAVETA OVAL V/F COM BY-PASS DN 400 PN16</t>
  </si>
  <si>
    <t>I5203</t>
  </si>
  <si>
    <t>REGISTRO GAVETA OVAL V/F COM BY-PASS DN 400 PN25</t>
  </si>
  <si>
    <t>I5182</t>
  </si>
  <si>
    <t>REGISTRO GAVETA OVAL V/F COM BY-PASS DN 450 PN10</t>
  </si>
  <si>
    <t>I5193</t>
  </si>
  <si>
    <t>REGISTRO GAVETA OVAL V/F COM BY-PASS DN 450 PN16</t>
  </si>
  <si>
    <t>I5204</t>
  </si>
  <si>
    <t>REGISTRO GAVETA OVAL V/F COM BY-PASS DN 450 PN25</t>
  </si>
  <si>
    <t>I5183</t>
  </si>
  <si>
    <t>REGISTRO GAVETA OVAL V/F COM BY-PASS DN 500 PN10</t>
  </si>
  <si>
    <t>I5194</t>
  </si>
  <si>
    <t>REGISTRO GAVETA OVAL V/F COM BY-PASS DN 500 PN16</t>
  </si>
  <si>
    <t>I5205</t>
  </si>
  <si>
    <t>REGISTRO GAVETA OVAL V/F COM BY-PASS DN 500 PN25</t>
  </si>
  <si>
    <t>I5184</t>
  </si>
  <si>
    <t>REGISTRO GAVETA OVAL V/F COM BY-PASS DN 600 PN10</t>
  </si>
  <si>
    <t>I5195</t>
  </si>
  <si>
    <t>REGISTRO GAVETA OVAL V/F COM BY-PASS DN 600 PN16</t>
  </si>
  <si>
    <t>I5206</t>
  </si>
  <si>
    <t>REGISTRO GAVETA OVAL V/F COM BY-PASS DN 600 PN25</t>
  </si>
  <si>
    <t>I5185</t>
  </si>
  <si>
    <t>REGISTRO GAVETA OVAL V/F COM BY-PASS DN 700 PN10</t>
  </si>
  <si>
    <t>I5196</t>
  </si>
  <si>
    <t>REGISTRO GAVETA OVAL V/F COM BY-PASS DN 700 PN16</t>
  </si>
  <si>
    <t>I5207</t>
  </si>
  <si>
    <t>REGISTRO GAVETA OVAL V/F COM BY-PASS DN 700 PN25</t>
  </si>
  <si>
    <t>I5186</t>
  </si>
  <si>
    <t>REGISTRO GAVETA OVAL V/F COM BY-PASS DN 800 PN10</t>
  </si>
  <si>
    <t>I5197</t>
  </si>
  <si>
    <t>REGISTRO GAVETA OVAL V/F COM BY-PASS DN 800 PN16</t>
  </si>
  <si>
    <t>I5208</t>
  </si>
  <si>
    <t>REGISTRO GAVETA OVAL V/F COM BY-PASS DN 800 PN25</t>
  </si>
  <si>
    <t>I5187</t>
  </si>
  <si>
    <t>REGISTRO GAVETA OVAL V/F COM BY-PASS DN 900 PN10</t>
  </si>
  <si>
    <t>I5198</t>
  </si>
  <si>
    <t>REGISTRO GAVETA OVAL V/F COM BY-PASS DN 900 PN16</t>
  </si>
  <si>
    <t>I5209</t>
  </si>
  <si>
    <t>REGISTRO GAVETA OVAL V/F COM BY-PASS DN 900 PN25</t>
  </si>
  <si>
    <t>I5220</t>
  </si>
  <si>
    <t>REGISTRO GAVETA OVAL V/F COM REDUTOR DN 1000 PN10</t>
  </si>
  <si>
    <t>I5230</t>
  </si>
  <si>
    <t>REGISTRO GAVETA OVAL V/F COM REDUTOR DN 1000 PN16</t>
  </si>
  <si>
    <t>I5240</t>
  </si>
  <si>
    <t>REGISTRO GAVETA OVAL V/F COM REDUTOR DN 1000 PN25</t>
  </si>
  <si>
    <t>I5212</t>
  </si>
  <si>
    <t>REGISTRO GAVETA OVAL V/F COM REDUTOR DN 350 PN10</t>
  </si>
  <si>
    <t>I5222</t>
  </si>
  <si>
    <t>REGISTRO GAVETA OVAL V/F COM REDUTOR DN 350 PN16</t>
  </si>
  <si>
    <t>I5232</t>
  </si>
  <si>
    <t>REGISTRO GAVETA OVAL V/F COM REDUTOR DN 350 PN25</t>
  </si>
  <si>
    <t>I5213</t>
  </si>
  <si>
    <t>REGISTRO GAVETA OVAL V/F COM REDUTOR DN 400 PN10</t>
  </si>
  <si>
    <t>I5223</t>
  </si>
  <si>
    <t>REGISTRO GAVETA OVAL V/F COM REDUTOR DN 400 PN16</t>
  </si>
  <si>
    <t>I5233</t>
  </si>
  <si>
    <t>REGISTRO GAVETA OVAL V/F COM REDUTOR DN 400 PN25</t>
  </si>
  <si>
    <t>I5214</t>
  </si>
  <si>
    <t>REGISTRO GAVETA OVAL V/F COM REDUTOR DN 450 PN10</t>
  </si>
  <si>
    <t>I5224</t>
  </si>
  <si>
    <t>REGISTRO GAVETA OVAL V/F COM REDUTOR DN 450 PN16</t>
  </si>
  <si>
    <t>I5234</t>
  </si>
  <si>
    <t>REGISTRO GAVETA OVAL V/F COM REDUTOR DN 450 PN25</t>
  </si>
  <si>
    <t>I5215</t>
  </si>
  <si>
    <t>REGISTRO GAVETA OVAL V/F COM REDUTOR DN 500 PN10</t>
  </si>
  <si>
    <t>I5225</t>
  </si>
  <si>
    <t>REGISTRO GAVETA OVAL V/F COM REDUTOR DN 500 PN16</t>
  </si>
  <si>
    <t>I5235</t>
  </si>
  <si>
    <t>REGISTRO GAVETA OVAL V/F COM REDUTOR DN 500 PN25</t>
  </si>
  <si>
    <t>I5216</t>
  </si>
  <si>
    <t>REGISTRO GAVETA OVAL V/F COM REDUTOR DN 600 PN10</t>
  </si>
  <si>
    <t>I5226</t>
  </si>
  <si>
    <t>REGISTRO GAVETA OVAL V/F COM REDUTOR DN 600 PN16</t>
  </si>
  <si>
    <t>I5236</t>
  </si>
  <si>
    <t>REGISTRO GAVETA OVAL V/F COM REDUTOR DN 600 PN25</t>
  </si>
  <si>
    <t>I5217</t>
  </si>
  <si>
    <t>REGISTRO GAVETA OVAL V/F COM REDUTOR DN 700 PN10</t>
  </si>
  <si>
    <t>I5227</t>
  </si>
  <si>
    <t>REGISTRO GAVETA OVAL V/F COM REDUTOR DN 700 PN16</t>
  </si>
  <si>
    <t>I5237</t>
  </si>
  <si>
    <t>REGISTRO GAVETA OVAL V/F COM REDUTOR DN 700 PN25</t>
  </si>
  <si>
    <t>I5218</t>
  </si>
  <si>
    <t>REGISTRO GAVETA OVAL V/F COM REDUTOR DN 800 PN10</t>
  </si>
  <si>
    <t>I5228</t>
  </si>
  <si>
    <t>REGISTRO GAVETA OVAL V/F COM REDUTOR DN 800 PN16</t>
  </si>
  <si>
    <t>I5238</t>
  </si>
  <si>
    <t>REGISTRO GAVETA OVAL V/F COM REDUTOR DN 800 PN25</t>
  </si>
  <si>
    <t>I5219</t>
  </si>
  <si>
    <t>REGISTRO GAVETA OVAL V/F COM REDUTOR DN 900 PN10</t>
  </si>
  <si>
    <t>I5229</t>
  </si>
  <si>
    <t>REGISTRO GAVETA OVAL V/F COM REDUTOR DN 900 PN16</t>
  </si>
  <si>
    <t>I5239</t>
  </si>
  <si>
    <t>REGISTRO GAVETA OVAL V/F COM REDUTOR DN 900 PN25</t>
  </si>
  <si>
    <t>I5250</t>
  </si>
  <si>
    <t>REGISTRO GAVETA OVAL V/F REDUTOR/BY-PASS DN 1000 PN10</t>
  </si>
  <si>
    <t>I5260</t>
  </si>
  <si>
    <t>REGISTRO GAVETA OVAL V/F REDUTOR/BY-PASS DN 1000 PN16</t>
  </si>
  <si>
    <t>I5270</t>
  </si>
  <si>
    <t>REGISTRO GAVETA OVAL V/F REDUTOR/BY-PASS DN 1000 PN25</t>
  </si>
  <si>
    <t>I5242</t>
  </si>
  <si>
    <t>REGISTRO GAVETA OVAL V/F REDUTOR/BY-PASS DN 350 PN10</t>
  </si>
  <si>
    <t>I5252</t>
  </si>
  <si>
    <t>REGISTRO GAVETA OVAL V/F REDUTOR/BY-PASS DN 350 PN16</t>
  </si>
  <si>
    <t>I5262</t>
  </si>
  <si>
    <t>REGISTRO GAVETA OVAL V/F REDUTOR/BY-PASS DN 350 PN25</t>
  </si>
  <si>
    <t>I5243</t>
  </si>
  <si>
    <t>REGISTRO GAVETA OVAL V/F REDUTOR/BY-PASS DN 400 PN10</t>
  </si>
  <si>
    <t>I5253</t>
  </si>
  <si>
    <t>REGISTRO GAVETA OVAL V/F REDUTOR/BY-PASS DN 400 PN16</t>
  </si>
  <si>
    <t>I5263</t>
  </si>
  <si>
    <t>REGISTRO GAVETA OVAL V/F REDUTOR/BY-PASS DN 400 PN25</t>
  </si>
  <si>
    <t>I5244</t>
  </si>
  <si>
    <t>REGISTRO GAVETA OVAL V/F REDUTOR/BY-PASS DN 450 PN10</t>
  </si>
  <si>
    <t>I5254</t>
  </si>
  <si>
    <t>REGISTRO GAVETA OVAL V/F REDUTOR/BY-PASS DN 450 PN16</t>
  </si>
  <si>
    <t>I5264</t>
  </si>
  <si>
    <t>REGISTRO GAVETA OVAL V/F REDUTOR/BY-PASS DN 450 PN25</t>
  </si>
  <si>
    <t>I5245</t>
  </si>
  <si>
    <t>REGISTRO GAVETA OVAL V/F REDUTOR/BY-PASS DN 500 PN10</t>
  </si>
  <si>
    <t>I5255</t>
  </si>
  <si>
    <t>REGISTRO GAVETA OVAL V/F REDUTOR/BY-PASS DN 500 PN16</t>
  </si>
  <si>
    <t>I5265</t>
  </si>
  <si>
    <t>REGISTRO GAVETA OVAL V/F REDUTOR/BY-PASS DN 500 PN25</t>
  </si>
  <si>
    <t>I5246</t>
  </si>
  <si>
    <t>REGISTRO GAVETA OVAL V/F REDUTOR/BY-PASS DN 600 PN10</t>
  </si>
  <si>
    <t>I5256</t>
  </si>
  <si>
    <t>REGISTRO GAVETA OVAL V/F REDUTOR/BY-PASS DN 600 PN16</t>
  </si>
  <si>
    <t>I5266</t>
  </si>
  <si>
    <t>REGISTRO GAVETA OVAL V/F REDUTOR/BY-PASS DN 600 PN25</t>
  </si>
  <si>
    <t>I5247</t>
  </si>
  <si>
    <t>REGISTRO GAVETA OVAL V/F REDUTOR/BY-PASS DN 700 PN10</t>
  </si>
  <si>
    <t>I5267</t>
  </si>
  <si>
    <t>REGISTRO GAVETA OVAL V/F REDUTOR/BY-PASS DN 700 PN25</t>
  </si>
  <si>
    <t>I5248</t>
  </si>
  <si>
    <t>REGISTRO GAVETA OVAL V/F REDUTOR/BY-PASS DN 800 PN10</t>
  </si>
  <si>
    <t>I5258</t>
  </si>
  <si>
    <t>REGISTRO GAVETA OVAL V/F REDUTOR/BY-PASS DN 800 PN16</t>
  </si>
  <si>
    <t>I5268</t>
  </si>
  <si>
    <t>REGISTRO GAVETA OVAL V/F REDUTOR/BY-PASS DN 800 PN25</t>
  </si>
  <si>
    <t>I5249</t>
  </si>
  <si>
    <t>REGISTRO GAVETA OVAL V/F REDUTOR/BY-PASS DN 900 PN10</t>
  </si>
  <si>
    <t>I5259</t>
  </si>
  <si>
    <t>REGISTRO GAVETA OVAL V/F REDUTOR/BY-PASS DN 900 PN16</t>
  </si>
  <si>
    <t>I5164</t>
  </si>
  <si>
    <t>REGISTRO GAVETA OVAL VOLANTE E FLANGE DN 100 PN16</t>
  </si>
  <si>
    <t>I5162</t>
  </si>
  <si>
    <t>REGISTRO GAVETA OVAL VOLANTE E FLANGE DN 1000 PN10</t>
  </si>
  <si>
    <t>I5177</t>
  </si>
  <si>
    <t>REGISTRO GAVETA OVAL VOLANTE E FLANGE DN 1000 PN16</t>
  </si>
  <si>
    <t>I5165</t>
  </si>
  <si>
    <t>REGISTRO GAVETA OVAL VOLANTE E FLANGE DN 150 PN16</t>
  </si>
  <si>
    <t>I5166</t>
  </si>
  <si>
    <t>REGISTRO GAVETA OVAL VOLANTE E FLANGE DN 200 PN16</t>
  </si>
  <si>
    <t>I5152</t>
  </si>
  <si>
    <t>REGISTRO GAVETA OVAL VOLANTE E FLANGE DN 250 PN10</t>
  </si>
  <si>
    <t>I5167</t>
  </si>
  <si>
    <t>REGISTRO GAVETA OVAL VOLANTE E FLANGE DN 250 PN16</t>
  </si>
  <si>
    <t>I5153</t>
  </si>
  <si>
    <t>REGISTRO GAVETA OVAL VOLANTE E FLANGE DN 300 PN10</t>
  </si>
  <si>
    <t>I5168</t>
  </si>
  <si>
    <t>REGISTRO GAVETA OVAL VOLANTE E FLANGE DN 300 PN16</t>
  </si>
  <si>
    <t>I5154</t>
  </si>
  <si>
    <t>REGISTRO GAVETA OVAL VOLANTE E FLANGE DN 350 PN10</t>
  </si>
  <si>
    <t>I5169</t>
  </si>
  <si>
    <t>REGISTRO GAVETA OVAL VOLANTE E FLANGE DN 350 PN16</t>
  </si>
  <si>
    <t>I5155</t>
  </si>
  <si>
    <t>REGISTRO GAVETA OVAL VOLANTE E FLANGE DN 400 PN10</t>
  </si>
  <si>
    <t>I5170</t>
  </si>
  <si>
    <t>REGISTRO GAVETA OVAL VOLANTE E FLANGE DN 400 PN16</t>
  </si>
  <si>
    <t>I5156</t>
  </si>
  <si>
    <t>REGISTRO GAVETA OVAL VOLANTE E FLANGE DN 450 PN10</t>
  </si>
  <si>
    <t>I5171</t>
  </si>
  <si>
    <t>REGISTRO GAVETA OVAL VOLANTE E FLANGE DN 450 PN16</t>
  </si>
  <si>
    <t>I5157</t>
  </si>
  <si>
    <t>REGISTRO GAVETA OVAL VOLANTE E FLANGE DN 500 PN10</t>
  </si>
  <si>
    <t>I5172</t>
  </si>
  <si>
    <t>REGISTRO GAVETA OVAL VOLANTE E FLANGE DN 500 PN16</t>
  </si>
  <si>
    <t>I5158</t>
  </si>
  <si>
    <t>REGISTRO GAVETA OVAL VOLANTE E FLANGE DN 600 PN10</t>
  </si>
  <si>
    <t>I5173</t>
  </si>
  <si>
    <t>REGISTRO GAVETA OVAL VOLANTE E FLANGE DN 600 PN16</t>
  </si>
  <si>
    <t>I5159</t>
  </si>
  <si>
    <t>REGISTRO GAVETA OVAL VOLANTE E FLANGE DN 700 PN10</t>
  </si>
  <si>
    <t>I5174</t>
  </si>
  <si>
    <t>REGISTRO GAVETA OVAL VOLANTE E FLANGE DN 700 PN16</t>
  </si>
  <si>
    <t>I5160</t>
  </si>
  <si>
    <t>REGISTRO GAVETA OVAL VOLANTE E FLANGE DN 800 PN10</t>
  </si>
  <si>
    <t>I5175</t>
  </si>
  <si>
    <t>REGISTRO GAVETA OVAL VOLANTE E FLANGE DN 800 PN16</t>
  </si>
  <si>
    <t>I5161</t>
  </si>
  <si>
    <t>REGISTRO GAVETA OVAL VOLANTE E FLANGE DN 900 PN10</t>
  </si>
  <si>
    <t>I5176</t>
  </si>
  <si>
    <t>REGISTRO GAVETA OVAL VOLANTE E FLANGE DN 900 PN16</t>
  </si>
  <si>
    <t>I5057</t>
  </si>
  <si>
    <t>REGISTRO GAVETA P/ PVC C/ CABEÇOTE DN 100 PN10</t>
  </si>
  <si>
    <t>I5055</t>
  </si>
  <si>
    <t>REGISTRO GAVETA P/ PVC C/ CABEÇOTE DN 50 PN10</t>
  </si>
  <si>
    <t>I5056</t>
  </si>
  <si>
    <t>REGISTRO GAVETA P/ PVC C/ CABEÇOTE DN 75 PN10</t>
  </si>
  <si>
    <t>I5093</t>
  </si>
  <si>
    <t>REGISTRO GAVETA P/ PVC COM VOLANTE DN 100 PN10</t>
  </si>
  <si>
    <t>I5091</t>
  </si>
  <si>
    <t>REGISTRO GAVETA P/ PVC COM VOLANTE DN 50 PN10</t>
  </si>
  <si>
    <t>I5092</t>
  </si>
  <si>
    <t>REGISTRO GAVETA P/ PVC COM VOLANTE DN 75 PN10</t>
  </si>
  <si>
    <t>I5065</t>
  </si>
  <si>
    <t>REGISTRO GAVETA. OVAL BOLSA / CABEÇOTE DN 400 PN10/16</t>
  </si>
  <si>
    <t>I5346</t>
  </si>
  <si>
    <t>REGISTRO GAVETA. OVAL CABEÇOTE E FLANGE DN 250 PN16</t>
  </si>
  <si>
    <t>I5336</t>
  </si>
  <si>
    <t>REGISTRO GAVETA. OVAL CABEÇOTE E FLANGE DN 500 PN10</t>
  </si>
  <si>
    <t>I5257</t>
  </si>
  <si>
    <t>REGISTRO GAVETA. OVAL V/F REDUTOR/BY-PASS DN 700 PN16</t>
  </si>
  <si>
    <t>I5269</t>
  </si>
  <si>
    <t>REGISTRO GAVETA. OVAL V/F REDUTOR/BY-PASS DN 900 PN25</t>
  </si>
  <si>
    <t>I8255</t>
  </si>
  <si>
    <t>REGISTRO GLOBO (FECHO RÁPIDO) DE 2 1/2"</t>
  </si>
  <si>
    <t>I10472</t>
  </si>
  <si>
    <t>REGISTRO TAP 1’’</t>
  </si>
  <si>
    <t>I5115</t>
  </si>
  <si>
    <t>REGISTRO VOLANTE E FLANGE  C/ REDUTOR E C/ BY-PASS DN 500 PN10</t>
  </si>
  <si>
    <t>I5102</t>
  </si>
  <si>
    <t>REGISTRO VOLANTE E FLANGE C/ BY-PASS DN 350 PN10</t>
  </si>
  <si>
    <t>I5103</t>
  </si>
  <si>
    <t>REGISTRO VOLANTE E FLANGE C/ BY-PASS DN 400 PN10</t>
  </si>
  <si>
    <t>I5104</t>
  </si>
  <si>
    <t>REGISTRO VOLANTE E FLANGE C/ BY-PASS DN 450 PN10</t>
  </si>
  <si>
    <t>I5105</t>
  </si>
  <si>
    <t>REGISTRO VOLANTE E FLANGE C/ BY-PASS DN 500 PN10</t>
  </si>
  <si>
    <t>I5106</t>
  </si>
  <si>
    <t>REGISTRO VOLANTE E FLANGE C/ BY-PASS DN 600 PN10</t>
  </si>
  <si>
    <t>I5107</t>
  </si>
  <si>
    <t>REGISTRO VOLANTE E FLANGE C/ REDUTOR DN 350 PN10</t>
  </si>
  <si>
    <t>I5108</t>
  </si>
  <si>
    <t>REGISTRO VOLANTE E FLANGE C/ REDUTOR DN 400 PN10</t>
  </si>
  <si>
    <t>I5109</t>
  </si>
  <si>
    <t>REGISTRO VOLANTE E FLANGE C/ REDUTOR DN 450 PN10</t>
  </si>
  <si>
    <t>I5110</t>
  </si>
  <si>
    <t>REGISTRO VOLANTE E FLANGE C/ REDUTOR DN 500 PN10</t>
  </si>
  <si>
    <t>I5111</t>
  </si>
  <si>
    <t>REGISTRO VOLANTE E FLANGE C/ REDUTOR DN 600 PN10</t>
  </si>
  <si>
    <t>I5112</t>
  </si>
  <si>
    <t>REGISTRO VOLANTE E FLANGE C/ REDUTOR E C/ BY-PASS DN 350 PN10</t>
  </si>
  <si>
    <t>I5113</t>
  </si>
  <si>
    <t>REGISTRO VOLANTE E FLANGE C/ REDUTOR E C/ BY-PASS DN 400 PN10</t>
  </si>
  <si>
    <t>I5114</t>
  </si>
  <si>
    <t>REGISTRO VOLANTE E FLANGE C/ REDUTOR E C/ BY-PASS DN 450 PN10</t>
  </si>
  <si>
    <t>I5116</t>
  </si>
  <si>
    <t>REGISTRO VOLANTE E FLANGE C/ REDUTOR E C/ BY-PASS DN 600 PN10</t>
  </si>
  <si>
    <t>I10008</t>
  </si>
  <si>
    <t>REGISTRO VOLANTE E FLANGE DN  75 PN10</t>
  </si>
  <si>
    <t>I5325</t>
  </si>
  <si>
    <t>REGISTRO VOLANTE E FLANGE DN 50 PN16</t>
  </si>
  <si>
    <t>I5326</t>
  </si>
  <si>
    <t>REGISTRO VOLANTE E FLANGE DN 75 PN16</t>
  </si>
  <si>
    <t>I10013</t>
  </si>
  <si>
    <t>RELÉ DE CORRENTE MÍNIMA 220VCA</t>
  </si>
  <si>
    <t>I10014</t>
  </si>
  <si>
    <t>RELÉ DE INTERFACE 1R 220 VCA</t>
  </si>
  <si>
    <t>I10015</t>
  </si>
  <si>
    <t>RELÉ DE INTERFACE 24 VCC</t>
  </si>
  <si>
    <t>I10021</t>
  </si>
  <si>
    <t>RELÉ DE INTERFACE DE CLP 24V DC PARA ENTRADAS E SAÍDAS DIGITAIS</t>
  </si>
  <si>
    <t>I10022</t>
  </si>
  <si>
    <t>RELÉ DE INTERFACE SLIM</t>
  </si>
  <si>
    <t>I8953</t>
  </si>
  <si>
    <t>I10016</t>
  </si>
  <si>
    <t>I10017</t>
  </si>
  <si>
    <t>RELÉ DE TEMPO, 0-20S, 220VCA</t>
  </si>
  <si>
    <t>I10018</t>
  </si>
  <si>
    <t>RELÉ DE TEMPO, 0-2H, 220VCA</t>
  </si>
  <si>
    <t>I10019</t>
  </si>
  <si>
    <t>RELÉ FALTA DE FASE E SEQUÊNCIA DE FASE 220-480V</t>
  </si>
  <si>
    <t>I10020</t>
  </si>
  <si>
    <t>RELÉ MONITOR TRIFÁSICO FALTA E SEQUÊNCIA DE FASE220 A 480VAC</t>
  </si>
  <si>
    <t>I8404</t>
  </si>
  <si>
    <t>RESERVATÓRIO EM ANÉIS PRÉ-MOLDADOS DE CONCRETO, Ø 2,00m, CAP. 20m³, COM CISTERNA DE 10m³, H=11,83m, ESCADA METÁLICA COM GUARDA CORPO E ABRIGO P/ MOTOBOMBA COM PORTÃO DE FERRO - FUSTE 5,02m</t>
  </si>
  <si>
    <t>I8405</t>
  </si>
  <si>
    <t>RESERVATÓRIO EM ANÉIS PRÉ-MOLDADOS DE CONCRETO, Ø 2,00m, CAP. 20m³, COM CISTERNA DE 10m³, H=11,83m, ESCADA METÁLICA COM GUARDA CORPO E ABRIGO P/ MOTOBOMBA COM PORTÃO DE FERRO - FUSTE 6,70m</t>
  </si>
  <si>
    <t>I8406</t>
  </si>
  <si>
    <t>RESERVATÓRIO EM ANÉIS PRÉ-MOLDADOS DE CONCRETO, Ø 2,50m, CAP. 20m³, COM CISTERNA DE 10m³, H=11,43m, ESCADA METÁLICA COM GUARDA CORPO E ABRIGO P/ MOTOBOMBA COM PORTÃO DE FERRO - FUSTE 6,70m</t>
  </si>
  <si>
    <t>I8403</t>
  </si>
  <si>
    <t>RESERVATÓRIO EM ANÉIS PRÉ-MOLDADOS DE CONCRETO, Ø 2,50m, CAP. 20m³, COM CISTERNA DE 10m³, H=9,37m, ESCADA METÁLICA COM GUARDA CORPO E ABRIGO P/ MOTOBOMBA COM PORTÃO DE FERRO - FUSTE 4,65m</t>
  </si>
  <si>
    <t>I8401</t>
  </si>
  <si>
    <t>RESERVATÓRIO EM ANÉIS PRÉ-MOLDADOS DE CONCRETO, Ø 3,00m, CAP. 20m³, COM CISTERNA DE 10m³, H=7,30m, ESCADA METÁLICA COM GUARDA CORPO E ABRIGO P/ MOTOBOMBA COM PORTÃO DE FERRO - FUSTE 4,14m</t>
  </si>
  <si>
    <t>I8402</t>
  </si>
  <si>
    <t>RESERVATÓRIO EM ANÉIS PRÉ-MOLDADOS DE CONCRETO, Ø 3,00m, CAP. 20m³, COM CISTERNA DE 10m³, H=9,37m, ESCADA METÁLICA COM GUARDA CORPO E ABRIGO P/ MOTOBOMBA COM PORTÃO DE FERRO - FUSTE 6,20m</t>
  </si>
  <si>
    <t>I13140</t>
  </si>
  <si>
    <t>RESERVATÓRIO HIDROPNEUMÁTICO CAP=150L C/ BOLSA ELASTOMERICA, PMÁX = 1,0 MPA</t>
  </si>
  <si>
    <t>I13141</t>
  </si>
  <si>
    <t>RESERVATÓRIO HIDROPNEUMÁTICO CAP=2000L C/ BOLSA ELASTOMERICA, PMÁX = 1,0 MPA</t>
  </si>
  <si>
    <t>I13142</t>
  </si>
  <si>
    <t>RESERVATÓRIO HIDROPNEUMÁTICO CAP=3000L C/ BOLSA ELASTOMERICA, PMÁX = 1,0 MPA</t>
  </si>
  <si>
    <t>I13143</t>
  </si>
  <si>
    <t>RESERVATÓRIO HIDROPNEUMÁTICO CAP=6000L C/ BOLSA ELASTOMERICA, PMÁX = 1,0 MPA</t>
  </si>
  <si>
    <t>I13144</t>
  </si>
  <si>
    <t>RESERVATÓRIO HIDROPNEUMÁTICO CAP=7000L C/ BOLSA ELASTOMERICA, PMÁX = 1,0 MPA</t>
  </si>
  <si>
    <t>I13145</t>
  </si>
  <si>
    <t>RESERVATÓRIO HIDROPNEUMÁTICO CAP=8000L C/ BOLSA ELASTOMERICA, PMÁX = 1,0 MPA</t>
  </si>
  <si>
    <t>I8981</t>
  </si>
  <si>
    <t>RESINA TERMOPLÁSTICA</t>
  </si>
  <si>
    <t>I9942</t>
  </si>
  <si>
    <t>RÁDIO MODEM FHSS 902-928 MHZ</t>
  </si>
  <si>
    <t>I8896</t>
  </si>
  <si>
    <t>SAL DE COZINHA - NaCL</t>
  </si>
  <si>
    <t>I5802</t>
  </si>
  <si>
    <t>SAPATA APOIO PVC STANDARD DN 154</t>
  </si>
  <si>
    <t>I3028</t>
  </si>
  <si>
    <t>SELIM 90 ELÁSTICO OCRE DN 150 x 100</t>
  </si>
  <si>
    <t>I3029</t>
  </si>
  <si>
    <t>SELIM 90 ELÁSTICO OCRE DN 200 x 100</t>
  </si>
  <si>
    <t>I3030</t>
  </si>
  <si>
    <t>SELIM 90 ELÁSTICO OCRE DN 250 x 100</t>
  </si>
  <si>
    <t>I3031</t>
  </si>
  <si>
    <t>SELIM 90 ELÁSTICO OCRE DN 300 x 100</t>
  </si>
  <si>
    <t>I3032</t>
  </si>
  <si>
    <t>SELIM 90 ELÁSTICO VFORT. PAREDE DUPLA DN 150 x 100</t>
  </si>
  <si>
    <t>I8029</t>
  </si>
  <si>
    <t>SELIM COMPACTO OCRE DN 150 x 100</t>
  </si>
  <si>
    <t>I8030</t>
  </si>
  <si>
    <t>SELIM COMPACTO OCRE DN 200 x 100</t>
  </si>
  <si>
    <t>I8031</t>
  </si>
  <si>
    <t>SELIM COMPACTO OCRE DN 250 x 100</t>
  </si>
  <si>
    <t>I8032</t>
  </si>
  <si>
    <t>SELIM COMPACTO OCRE DN 300 x 100</t>
  </si>
  <si>
    <t>I8976</t>
  </si>
  <si>
    <t>SELO DE SEGURANÇA TRAVA NIFTY - LOK-AZUL 70CM PARA CORTE DE ÁGUA</t>
  </si>
  <si>
    <t>I8975</t>
  </si>
  <si>
    <t>SELO DE SEGURANÇA TRAVA NIFTY - LOK-VERMELHO 70CM PARA CORTE DE ÁGUA</t>
  </si>
  <si>
    <t>I10026</t>
  </si>
  <si>
    <t>SENSOR DE NÍVEL ULTRASSÔNICO</t>
  </si>
  <si>
    <t>I8897</t>
  </si>
  <si>
    <t>SENSOR DIGITAL DE CLORO LIVRE, ELETROQUÍMICO</t>
  </si>
  <si>
    <t>I8898</t>
  </si>
  <si>
    <t>SENSOR DIGITAL DE DIÓXIDO DE CLORO</t>
  </si>
  <si>
    <t>I8899</t>
  </si>
  <si>
    <t>SENSOR DIGITAL DE PH, FAIXA 0 - 14 PH</t>
  </si>
  <si>
    <t>I8900</t>
  </si>
  <si>
    <t>SENSOR DIGITAL DE TURBIDEZ, FAIXA 0 - 100 UT</t>
  </si>
  <si>
    <t>I10028</t>
  </si>
  <si>
    <t>SENSOR ELETRONICO DE PRESSÃO 0 A 25 BAR COM CABO 2 M E CONECTOR APROPRIADO</t>
  </si>
  <si>
    <t>I7557</t>
  </si>
  <si>
    <t>SIKA TOP 107 CX</t>
  </si>
  <si>
    <t>I10029</t>
  </si>
  <si>
    <t>SINALEIRO COM LED AZUL 24V</t>
  </si>
  <si>
    <t>I10030</t>
  </si>
  <si>
    <t>SINALEIRO COM LED VERDE 24V</t>
  </si>
  <si>
    <t>I10031</t>
  </si>
  <si>
    <t>SINALEIRO COM LED VERMELHO 220V</t>
  </si>
  <si>
    <t>I8513</t>
  </si>
  <si>
    <t>SUPORTE PARA TELHA CERÂMICA</t>
  </si>
  <si>
    <t>I8521</t>
  </si>
  <si>
    <t>SUPORTE PARA TUBO DE 2" FIXAÇÃO HORIZONTAL</t>
  </si>
  <si>
    <t>I10033</t>
  </si>
  <si>
    <t>TALHA ELÉTRICA COM TROLE CAPACIDADE DE 2T, CABOS DE AÇO E ALTURA DE ELEVAÇÃO DE ATÉ 7,0M, ACIONADA POR MOTORES ELÉTRICOS TRIFÁSICOS</t>
  </si>
  <si>
    <t>I10034</t>
  </si>
  <si>
    <t>TALHA ELÉTRICA COM TROLE CAPACIDADE DE 3T, CABOS DE AÇO E ALTURA DE ELEVAÇÃO DE ATÉ 7,0M, ACIONADA POR MOTORES ELÉTRICOS TRIFÁSICOS</t>
  </si>
  <si>
    <t>I6092</t>
  </si>
  <si>
    <t>TAMPA DE FECHAMENTO PRE-MOLDADA, D = 0,72X0,07</t>
  </si>
  <si>
    <t>I10035</t>
  </si>
  <si>
    <t>TAMPA EM FIBRA DE VIDRO E COBERTURA SUPERFICIAL DE CHAPA PLANA ESP. 4MM, C/ ANTI-DERRAPANTE</t>
  </si>
  <si>
    <t>I8901</t>
  </si>
  <si>
    <t>I9063</t>
  </si>
  <si>
    <t>I8525</t>
  </si>
  <si>
    <t>TAMPA PARA CAIXA DE INSPEÇÃO DE TERRA EM FERRO FUNDIDO 300mm</t>
  </si>
  <si>
    <t>I6084</t>
  </si>
  <si>
    <t>TAMPA PRE-MOLDADA COM DOIS FUROS DE 0,60M, D = 2,16M</t>
  </si>
  <si>
    <t>I6085</t>
  </si>
  <si>
    <t>TAMPA PRE-MOLDADA COM DOIS FUROS DE 0,60M, D = 2,66M</t>
  </si>
  <si>
    <t>I6086</t>
  </si>
  <si>
    <t>TAMPA PRE-MOLDADA COM DOIS FUROS DE 0,60M, D = 3,16M</t>
  </si>
  <si>
    <t>I6087</t>
  </si>
  <si>
    <t>TAMPA PRE-MOLDADA COM DOIS FUROS DE 0,60M, D = 3,66M</t>
  </si>
  <si>
    <t>I6088</t>
  </si>
  <si>
    <t>TAMPA PRE-MOLDADA COM TRES FUROS DE 0,60M, D = 2,16M</t>
  </si>
  <si>
    <t>I6089</t>
  </si>
  <si>
    <t>TAMPA PRE-MOLDADA COM TRES FUROS DE 0,60M, D = 2,66M</t>
  </si>
  <si>
    <t>I6090</t>
  </si>
  <si>
    <t>TAMPA PRE-MOLDADA COM TRES FUROS DE 0,60M, D = 3,16M</t>
  </si>
  <si>
    <t>I6091</t>
  </si>
  <si>
    <t>TAMPA PRE-MOLDADA COM TRES FUROS DE 0,60M, D = 3,66M</t>
  </si>
  <si>
    <t>I6095</t>
  </si>
  <si>
    <t>TAMPA PRE-MOLDADA DE CONCRETO, D = 0,70X0,05M</t>
  </si>
  <si>
    <t>I6094</t>
  </si>
  <si>
    <t>TAMPA PRE-MOLDADA DE CONCRETO, D = 0.60X0,05M</t>
  </si>
  <si>
    <t>I6096</t>
  </si>
  <si>
    <t>TAMPA PRE-MOLDADA DE CONCRETO, D = 1,00X0,05M</t>
  </si>
  <si>
    <t>I6093</t>
  </si>
  <si>
    <t>TAMPA PRE-MOLDADE DE CONCRETO, D = 0,50X0,05M</t>
  </si>
  <si>
    <t>I6413</t>
  </si>
  <si>
    <t>TAMPA PRÉ-MOLDADA D=4,24m h=12cm</t>
  </si>
  <si>
    <t>I6412</t>
  </si>
  <si>
    <t>TAMPA PRÉ-MOLDADA D=5,30m h=12cm</t>
  </si>
  <si>
    <t>I10036</t>
  </si>
  <si>
    <t>TAMPÃO COM CORRENTE DE 2 1/2"</t>
  </si>
  <si>
    <t>I3071</t>
  </si>
  <si>
    <t>TAMPÃO COMPLETO P/ TIL DN 100</t>
  </si>
  <si>
    <t>I3072</t>
  </si>
  <si>
    <t>TAMPÃO COMPLETO P/ TIL DN 125</t>
  </si>
  <si>
    <t>I3073</t>
  </si>
  <si>
    <t>TAMPÃO COMPLETO P/ TIL DN 150</t>
  </si>
  <si>
    <t>I3074</t>
  </si>
  <si>
    <t>TAMPÃO COMPLETO P/ TIL DN 200</t>
  </si>
  <si>
    <t>I7598</t>
  </si>
  <si>
    <t>TAMPÃO COMPLETO P/ TIL DN 250</t>
  </si>
  <si>
    <t>I10037</t>
  </si>
  <si>
    <t>TAMPÃO DE FERRO FUNDIDO COM O NOME INCÊNDIO 60 X 40 CM.</t>
  </si>
  <si>
    <t>I8450</t>
  </si>
  <si>
    <t>TAMPÃO DE FoFo DÚCTIL ARTICULADO DN 600mm CL-400 PADRÃO CAGECE</t>
  </si>
  <si>
    <t>I10038</t>
  </si>
  <si>
    <t>TAMPÃO DE FoFo DÚCTIL DN 800MM CL-400 INSPEÇÃO</t>
  </si>
  <si>
    <t>I10039</t>
  </si>
  <si>
    <t>TAMPÃO DE FoFo DÚCTIL DN 900MM</t>
  </si>
  <si>
    <t>I3077</t>
  </si>
  <si>
    <t>TAMPÃO FoFo D=200 x 200mm PARA LIGAÇÃO ESGOTO</t>
  </si>
  <si>
    <t>I3076</t>
  </si>
  <si>
    <t>TAMPÃO FoFo DÚCTIL DN 600 CL-300, DISPOS. ANTI-ROUBO</t>
  </si>
  <si>
    <t>I10471</t>
  </si>
  <si>
    <t>TANQUE DE COMBUSTÍVEL 200L</t>
  </si>
  <si>
    <t>I8375</t>
  </si>
  <si>
    <t>TANQUE DE CONTATO CAPACIDADE DE 0,77M³ DN 0,70M ALTURA 2,20, FABRICADO EM FIBRA DE VIDRO, COMPLETO</t>
  </si>
  <si>
    <t>I8376</t>
  </si>
  <si>
    <t>TANQUE DE CONTATO CAPACIDADE DE 1,81M³ DN 1,00M ALTURA 2,50, FABRICADO EM FIBRA DE VIDRO, COMPLETO</t>
  </si>
  <si>
    <t>I8380</t>
  </si>
  <si>
    <t>TANQUE DE CONTATO CAPACIDADE DE 11,29M³ DN 2,50M ALTURA 2,50, FABRICADO EM FIBRA DE VIDRO, COMPLETO</t>
  </si>
  <si>
    <t>I8381</t>
  </si>
  <si>
    <t>TANQUE DE CONTATO CAPACIDADE DE 16,26M³ DN 3,00M ALTURA 2,50, FABRICADO EM FIBRA DE VIDRO, COMPLETO</t>
  </si>
  <si>
    <t>I8377</t>
  </si>
  <si>
    <t>TANQUE DE CONTATO CAPACIDADE DE 2,60M³ DN 1,20M ALTURA 2,50, FABRICADO EM FIBRA DE VIDRO, COMPLETO</t>
  </si>
  <si>
    <t>I8382</t>
  </si>
  <si>
    <t>TANQUE DE CONTATO CAPACIDADE DE 22,13M³ DN 3,50M ALTURA 2,50, FABRICADO EM FIBRA DE VIDRO, COMPLETO</t>
  </si>
  <si>
    <t>I8378</t>
  </si>
  <si>
    <t>TANQUE DE CONTATO CAPACIDADE DE 4,06M³ DN 1,50M ALTURA 2,50, FABRICADO EM FIBRA DE VIDRO, COMPLETO</t>
  </si>
  <si>
    <t>I8379</t>
  </si>
  <si>
    <t>TANQUE DE CONTATO CAPACIDADE DE 7,23M³ DN 2,00M ALTURA 2,50, FABRICADO EM FIBRA DE VIDRO, COMPLETO</t>
  </si>
  <si>
    <t>I10040</t>
  </si>
  <si>
    <t>TANQUE EM FIBRA DE VIDRO CAPACIDADE  100L</t>
  </si>
  <si>
    <t>I10041</t>
  </si>
  <si>
    <t>TANQUE EM FIBRA DE VIDRO CAPACIDADE  500L</t>
  </si>
  <si>
    <t>I10042</t>
  </si>
  <si>
    <t>TANQUE EM FIBRA DE VIDRO CAPACIDADE 1000L</t>
  </si>
  <si>
    <t>I10043</t>
  </si>
  <si>
    <t>TANQUE EM FIBRA DE VIDRO CAPACIDADE 2000L</t>
  </si>
  <si>
    <t>I10044</t>
  </si>
  <si>
    <t>TANQUE EM FIBRA DE VIDRO COM AGITADOR CAPACIDADE 1000L</t>
  </si>
  <si>
    <t>I13139</t>
  </si>
  <si>
    <t>TANQUE EM PRFV CAP.1000L, COM AGITADOR BOIA E DRENO</t>
  </si>
  <si>
    <t>I13135</t>
  </si>
  <si>
    <t>TANQUE EM PRFV CAP.100L, COM AGITADOR BOIA E DRENO</t>
  </si>
  <si>
    <t>I13136</t>
  </si>
  <si>
    <t>TANQUE EM PRFV CAP.200L, COM AGITADOR BOIA E DRENO</t>
  </si>
  <si>
    <t>I13137</t>
  </si>
  <si>
    <t>TANQUE EM PRFV CAP.250L, COM AGITADOR BOIA E DRENO</t>
  </si>
  <si>
    <t>I13138</t>
  </si>
  <si>
    <t>TANQUE EM PRFV CAP.500L, COM AGITADOR BOIA E DRENO</t>
  </si>
  <si>
    <t>I9036</t>
  </si>
  <si>
    <t>TANQUE HIDROPNEUMÁTICO C/ CAP. 2500L</t>
  </si>
  <si>
    <t>I9037</t>
  </si>
  <si>
    <t>TANQUE HIDROPNEUMÁTICO C/ CAP. 4000L</t>
  </si>
  <si>
    <t>I8905</t>
  </si>
  <si>
    <t>TANQUE HIDROPNEUMÁTICO C/ CAP. 4500L</t>
  </si>
  <si>
    <t>I9038</t>
  </si>
  <si>
    <t>TANQUE HIDROPNEUMÁTICO C/ CAP. 5500L</t>
  </si>
  <si>
    <t>I8902</t>
  </si>
  <si>
    <t>TANQUE HIDROPNEUMÁTICO C/CAP.   500L</t>
  </si>
  <si>
    <t>I8903</t>
  </si>
  <si>
    <t>TANQUE HIDROPNEUMÁTICO C/CAP.  1000L</t>
  </si>
  <si>
    <t>I8904</t>
  </si>
  <si>
    <t>TANQUE HIDROPNEUMÁTICO C/CAP.  3500L</t>
  </si>
  <si>
    <t>I10045</t>
  </si>
  <si>
    <t>TANQUE HIDROPNEUMÁTICO, V= 5000 L</t>
  </si>
  <si>
    <t>I10046</t>
  </si>
  <si>
    <t>TANQUE HIDROPNEUMÁTICO, V=10000L</t>
  </si>
  <si>
    <t>I3033</t>
  </si>
  <si>
    <t>TE 90 DE REDUÇÃO OCRE BBB - JE DN 200 x150</t>
  </si>
  <si>
    <t>I3034</t>
  </si>
  <si>
    <t>TE 90 DE REDUÇÃO OCRE BBB - JE DN 250 x150</t>
  </si>
  <si>
    <t>I8025</t>
  </si>
  <si>
    <t>TE 90 DE REDUÇÃO OCRE BBB - JE DN 300 x 150</t>
  </si>
  <si>
    <t>I3036</t>
  </si>
  <si>
    <t>TE 90 OCRE BBB - JE DN 100</t>
  </si>
  <si>
    <t>I3037</t>
  </si>
  <si>
    <t>TE 90 OCRE BBB - JE DN 125</t>
  </si>
  <si>
    <t>I3038</t>
  </si>
  <si>
    <t>TE 90 OCRE BBB - JE DN 150</t>
  </si>
  <si>
    <t>I3039</t>
  </si>
  <si>
    <t>TE 90 OCRE BBB - JE DN 200</t>
  </si>
  <si>
    <t>I3040</t>
  </si>
  <si>
    <t>TE 90 OCRE BBB - JE DN 250</t>
  </si>
  <si>
    <t>I3041</t>
  </si>
  <si>
    <t>TE 90 OCRE BBB - JE DN 300</t>
  </si>
  <si>
    <t>I3042</t>
  </si>
  <si>
    <t>TE 90 OCRE BBB - JE DN 400</t>
  </si>
  <si>
    <t>I3035</t>
  </si>
  <si>
    <t>TE 90 OCRE BBP INJETADO DN 100</t>
  </si>
  <si>
    <t>I6911</t>
  </si>
  <si>
    <t>TE 90° DE REDUÇÃO OCRE BBB - JEI DN 200 x 150</t>
  </si>
  <si>
    <t>I6912</t>
  </si>
  <si>
    <t>TE 90° DE REDUÇÃO OCRE BBB - JEI DN 250 x 150</t>
  </si>
  <si>
    <t>I6913</t>
  </si>
  <si>
    <t>TE 90° OCRE BBB - JEI DN 100</t>
  </si>
  <si>
    <t>I6914</t>
  </si>
  <si>
    <t>TE 90° OCRE BBB - JEI DN 150</t>
  </si>
  <si>
    <t>I6915</t>
  </si>
  <si>
    <t>TE 90° OCRE BBB - JEI DN 200</t>
  </si>
  <si>
    <t>I6916</t>
  </si>
  <si>
    <t>TE 90° OCRE BBB - JEI DN 250</t>
  </si>
  <si>
    <t>I6917</t>
  </si>
  <si>
    <t>TE 90° OCRE BBB - JEI DN 300</t>
  </si>
  <si>
    <t>I6918</t>
  </si>
  <si>
    <t>TE 90° OCRE BBB - JEI DN 400</t>
  </si>
  <si>
    <t>I6919</t>
  </si>
  <si>
    <t>TE 90° OCRE BBP JEI INJETADO DN 100</t>
  </si>
  <si>
    <t>I6910</t>
  </si>
  <si>
    <t>TE 90° PVC PBS COM BOLSAS DN 150</t>
  </si>
  <si>
    <t>I10047</t>
  </si>
  <si>
    <t>TE AÇO CARBONO COM FLANGES DN 300X300</t>
  </si>
  <si>
    <t>I6266</t>
  </si>
  <si>
    <t>TE AÇO GALVANIZADO C/ ROSCA DN 2"X1"</t>
  </si>
  <si>
    <t>I13210</t>
  </si>
  <si>
    <t>TE AÇO INOX 304 SCH 40 S/ COSTURA 2"</t>
  </si>
  <si>
    <t>I13211</t>
  </si>
  <si>
    <t>TE AÇO INOX 304 SCH 40 S/ COSTURA 3"</t>
  </si>
  <si>
    <t>I13212</t>
  </si>
  <si>
    <t>TE AÇO INOX 304 SCH 40 S/ COSTURA 4"</t>
  </si>
  <si>
    <t>I13213</t>
  </si>
  <si>
    <t>TE AÇO INOX 304 SCH 40 S/ COSTURA 6"</t>
  </si>
  <si>
    <t>I13215</t>
  </si>
  <si>
    <t>TE AÇO INOX 304 SCH 40 S/ COSTURA PP 10"</t>
  </si>
  <si>
    <t>I13216</t>
  </si>
  <si>
    <t>TE AÇO INOX 304 SCH 40 S/ COSTURA PP 12"</t>
  </si>
  <si>
    <t>I13214</t>
  </si>
  <si>
    <t>TE AÇO INOX 304 SCH 40 S/ COSTURA PP 8"</t>
  </si>
  <si>
    <t>I10051</t>
  </si>
  <si>
    <t>TE AÇO INOX 316 C/BOLSAS DN 75</t>
  </si>
  <si>
    <t>I10050</t>
  </si>
  <si>
    <t>TE AÇO INOX 316 DN 50</t>
  </si>
  <si>
    <t>I10052</t>
  </si>
  <si>
    <t>TE AÇO INOX C/ PONTAS DN150</t>
  </si>
  <si>
    <t>I10048</t>
  </si>
  <si>
    <t>TE AÇO INOX SCHEDULLE 40 DN 2"</t>
  </si>
  <si>
    <t>I10049</t>
  </si>
  <si>
    <t>TE AÇO INOX SCHEDULLE 40 DN 3"</t>
  </si>
  <si>
    <t>I10054</t>
  </si>
  <si>
    <t>TE AÇO SCHEDULE 40 C/ FLANGES DN 200</t>
  </si>
  <si>
    <t>I10055</t>
  </si>
  <si>
    <t>TE AÇO SCHEDULE 40 DN 200</t>
  </si>
  <si>
    <t>I10053</t>
  </si>
  <si>
    <t>TE AÇO SCHEDULE 40 DN 75</t>
  </si>
  <si>
    <t>I10056</t>
  </si>
  <si>
    <t>TE AÇO SCHEDULE 40 S/COSTURA DN  2"</t>
  </si>
  <si>
    <t>I10057</t>
  </si>
  <si>
    <t>TE AÇO SCHEDULE 40 S/COSTURA DN  4"</t>
  </si>
  <si>
    <t>I10058</t>
  </si>
  <si>
    <t>TE AÇO SCHEDULE 40 S/COSTURA DN  8"</t>
  </si>
  <si>
    <t>I10059</t>
  </si>
  <si>
    <t>TE AÇO SCHEDULE 40 S/COSTURA DN 10"</t>
  </si>
  <si>
    <t>I10060</t>
  </si>
  <si>
    <t>TE AÇO SCHEDULE 40 S/COSTURA DN 12"</t>
  </si>
  <si>
    <t>I10061</t>
  </si>
  <si>
    <t>TE AÇO SCHEDULE 80 DN 3"</t>
  </si>
  <si>
    <t>I7151</t>
  </si>
  <si>
    <t>TE FoFo BBB JUNTA ELASTICA DN 100 x 80</t>
  </si>
  <si>
    <t>I7152</t>
  </si>
  <si>
    <t>TE FoFo BBB JUNTA ELASTICA DN 150 x 80</t>
  </si>
  <si>
    <t>I7153</t>
  </si>
  <si>
    <t>TE FoFo BBB JUNTA ELASTICA DN 200 x 150</t>
  </si>
  <si>
    <t>I7154</t>
  </si>
  <si>
    <t>TE FoFo BBB JUNTA ELASTICA DN 200 x 80</t>
  </si>
  <si>
    <t>I7155</t>
  </si>
  <si>
    <t>TE FoFo BBB JUNTA ELASTICA DN 250 x 80</t>
  </si>
  <si>
    <t>I7156</t>
  </si>
  <si>
    <t>TE FoFo BBB JUNTA ELASTICA DN 300 x 80</t>
  </si>
  <si>
    <t>I7157</t>
  </si>
  <si>
    <t>TE FoFo BBB JUNTA ELASTICA DN 350 x 100</t>
  </si>
  <si>
    <t>I7158</t>
  </si>
  <si>
    <t>TE FoFo BBB JUNTA ELASTICA DN 350 x 250</t>
  </si>
  <si>
    <t>I7159</t>
  </si>
  <si>
    <t>TE FoFo BBB JUNTA ELASTICA DN 400 x 80</t>
  </si>
  <si>
    <t>I7162</t>
  </si>
  <si>
    <t>TE FoFo BBB JUNTA ELASTICA DN 600 x 500</t>
  </si>
  <si>
    <t>I7163</t>
  </si>
  <si>
    <t>TE FoFo BBB JUNTA ELASTICA DN 80 x 80</t>
  </si>
  <si>
    <t>I3540</t>
  </si>
  <si>
    <t>TE FoFo BBB JUNTA ELÁSTICA DN 100 x 100</t>
  </si>
  <si>
    <t>I3539</t>
  </si>
  <si>
    <t>TE FoFo BBB JUNTA ELÁSTICA DN 100 x 75</t>
  </si>
  <si>
    <t>I3543</t>
  </si>
  <si>
    <t>TE FoFo BBB JUNTA ELÁSTICA DN 150 x 100</t>
  </si>
  <si>
    <t>I3544</t>
  </si>
  <si>
    <t>TE FoFo BBB JUNTA ELÁSTICA DN 150 x 150</t>
  </si>
  <si>
    <t>I3542</t>
  </si>
  <si>
    <t>TE FoFo BBB JUNTA ELÁSTICA DN 150 x 75</t>
  </si>
  <si>
    <t>I3547</t>
  </si>
  <si>
    <t>TE FoFo BBB JUNTA ELÁSTICA DN 200 x 100</t>
  </si>
  <si>
    <t>I3548</t>
  </si>
  <si>
    <t>TE FoFo BBB JUNTA ELÁSTICA DN 200 x 200</t>
  </si>
  <si>
    <t>I3546</t>
  </si>
  <si>
    <t>TE FoFo BBB JUNTA ELÁSTICA DN 200 x 75</t>
  </si>
  <si>
    <t>I3551</t>
  </si>
  <si>
    <t>TE FoFo BBB JUNTA ELÁSTICA DN 250 x 100</t>
  </si>
  <si>
    <t>I3552</t>
  </si>
  <si>
    <t>TE FoFo BBB JUNTA ELÁSTICA DN 250 x 250</t>
  </si>
  <si>
    <t>I3550</t>
  </si>
  <si>
    <t>TE FoFo BBB JUNTA ELÁSTICA DN 250 x 75</t>
  </si>
  <si>
    <t>I3554</t>
  </si>
  <si>
    <t>TE FoFo BBB JUNTA ELÁSTICA DN 300 x 100</t>
  </si>
  <si>
    <t>I3555</t>
  </si>
  <si>
    <t>TE FoFo BBB JUNTA ELÁSTICA DN 300 x 150</t>
  </si>
  <si>
    <t>I3556</t>
  </si>
  <si>
    <t>TE FoFo BBB JUNTA ELÁSTICA DN 300 x 200</t>
  </si>
  <si>
    <t>I3557</t>
  </si>
  <si>
    <t>TE FoFo BBB JUNTA ELÁSTICA DN 300 x 250</t>
  </si>
  <si>
    <t>I3558</t>
  </si>
  <si>
    <t>TE FoFo BBB JUNTA ELÁSTICA DN 300 x 300</t>
  </si>
  <si>
    <t>I3553</t>
  </si>
  <si>
    <t>TE FoFo BBB JUNTA ELÁSTICA DN 300 x 75</t>
  </si>
  <si>
    <t>I7606</t>
  </si>
  <si>
    <t>TE FoFo BBB JUNTA ELÁSTICA DN 350 x 200</t>
  </si>
  <si>
    <t>I7607</t>
  </si>
  <si>
    <t>TE FoFo BBB JUNTA ELÁSTICA DN 350 x 350</t>
  </si>
  <si>
    <t>I3560</t>
  </si>
  <si>
    <t>TE FoFo BBB JUNTA ELÁSTICA DN 400 x 100</t>
  </si>
  <si>
    <t>I3561</t>
  </si>
  <si>
    <t>TE FoFo BBB JUNTA ELÁSTICA DN 400 x 200</t>
  </si>
  <si>
    <t>I3562</t>
  </si>
  <si>
    <t>TE FoFo BBB JUNTA ELÁSTICA DN 400 x 300</t>
  </si>
  <si>
    <t>I3563</t>
  </si>
  <si>
    <t>TE FoFo BBB JUNTA ELÁSTICA DN 400 x 400</t>
  </si>
  <si>
    <t>I3559</t>
  </si>
  <si>
    <t>TE FoFo BBB JUNTA ELÁSTICA DN 400 x 75</t>
  </si>
  <si>
    <t>I3564</t>
  </si>
  <si>
    <t>TE FoFo BBB JUNTA ELÁSTICA DN 500 x 100</t>
  </si>
  <si>
    <t>I3565</t>
  </si>
  <si>
    <t>TE FoFo BBB JUNTA ELÁSTICA DN 500 x 200</t>
  </si>
  <si>
    <t>I3566</t>
  </si>
  <si>
    <t>TE FoFo BBB JUNTA ELÁSTICA DN 500 x 300</t>
  </si>
  <si>
    <t>I3567</t>
  </si>
  <si>
    <t>TE FoFo BBB JUNTA ELÁSTICA DN 500 x 500</t>
  </si>
  <si>
    <t>I7608</t>
  </si>
  <si>
    <t>TE FoFo BBB JUNTA ELÁSTICA DN 500 x 80</t>
  </si>
  <si>
    <t>I3568</t>
  </si>
  <si>
    <t>TE FoFo BBB JUNTA ELÁSTICA DN 600 x 100</t>
  </si>
  <si>
    <t>I3569</t>
  </si>
  <si>
    <t>TE FoFo BBB JUNTA ELÁSTICA DN 600 x 200</t>
  </si>
  <si>
    <t>I3570</t>
  </si>
  <si>
    <t>TE FoFo BBB JUNTA ELÁSTICA DN 600 x 300</t>
  </si>
  <si>
    <t>I3571</t>
  </si>
  <si>
    <t>TE FoFo BBB JUNTA ELÁSTICA DN 600 x 400</t>
  </si>
  <si>
    <t>I3572</t>
  </si>
  <si>
    <t>TE FoFo BBB JUNTA ELÁSTICA DN 600 x 600</t>
  </si>
  <si>
    <t>I3537</t>
  </si>
  <si>
    <t>TE FoFo BBB JUNTA ELÁSTICA DN 75 x 75</t>
  </si>
  <si>
    <t>I3574</t>
  </si>
  <si>
    <t>TE FoFo BBF DN   75 x 50 PN10</t>
  </si>
  <si>
    <t>I3575</t>
  </si>
  <si>
    <t>TE FoFo BBF DN   75 x 75 PN10</t>
  </si>
  <si>
    <t>I7172</t>
  </si>
  <si>
    <t>TE FoFo BBF DN   80 x 50 PN10</t>
  </si>
  <si>
    <t>I7173</t>
  </si>
  <si>
    <t>TE FoFo BBF DN   80 x 80 PN10</t>
  </si>
  <si>
    <t>I7164</t>
  </si>
  <si>
    <t>TE FoFo BBF DN  100 x 100 PN10</t>
  </si>
  <si>
    <t>I3576</t>
  </si>
  <si>
    <t>TE FoFo BBF DN  100 x 50 PN10</t>
  </si>
  <si>
    <t>I7609</t>
  </si>
  <si>
    <t>TE FoFo BBF DN  100 x 80 PN10</t>
  </si>
  <si>
    <t>I7165</t>
  </si>
  <si>
    <t>TE FoFo BBF DN  150 x 100 PN10</t>
  </si>
  <si>
    <t>I7166</t>
  </si>
  <si>
    <t>TE FoFo BBF DN  150 x 150 PN10</t>
  </si>
  <si>
    <t>I3577</t>
  </si>
  <si>
    <t>TE FoFo BBF DN  150 x 50 PN10</t>
  </si>
  <si>
    <t>I3578</t>
  </si>
  <si>
    <t>TE FoFo BBF DN  150 x 75 PN10</t>
  </si>
  <si>
    <t>I7167</t>
  </si>
  <si>
    <t>TE FoFo BBF DN  150 x 80 PN10</t>
  </si>
  <si>
    <t>I3581</t>
  </si>
  <si>
    <t>TE FoFo BBF DN  200 x 100 PN 10</t>
  </si>
  <si>
    <t>I7610</t>
  </si>
  <si>
    <t>TE FoFo BBF DN  200 x 150 PN10</t>
  </si>
  <si>
    <t>I7168</t>
  </si>
  <si>
    <t>TE FoFo BBF DN  200 x 200 PN 10</t>
  </si>
  <si>
    <t>I3579</t>
  </si>
  <si>
    <t>TE FoFo BBF DN  200 x 50 PN10</t>
  </si>
  <si>
    <t>I3580</t>
  </si>
  <si>
    <t>TE FoFo BBF DN  200 x 75 PN10</t>
  </si>
  <si>
    <t>I7169</t>
  </si>
  <si>
    <t>TE FoFo BBF DN  200 x 80 PN10</t>
  </si>
  <si>
    <t>I3584</t>
  </si>
  <si>
    <t>TE FoFo BBF DN  250 x 100 PN 10</t>
  </si>
  <si>
    <t>I7170</t>
  </si>
  <si>
    <t>TE FoFo BBF DN  250 x 250 PN 10</t>
  </si>
  <si>
    <t>I3582</t>
  </si>
  <si>
    <t>TE FoFo BBF DN  250 x 50 PN10</t>
  </si>
  <si>
    <t>I3583</t>
  </si>
  <si>
    <t>TE FoFo BBF DN  250 x 75 PN10</t>
  </si>
  <si>
    <t>I7171</t>
  </si>
  <si>
    <t>TE FoFo BBF DN  250 x 80 PN10</t>
  </si>
  <si>
    <t>I3585</t>
  </si>
  <si>
    <t>TE FoFo BBF DN  300 x 100 PN10</t>
  </si>
  <si>
    <t>I3586</t>
  </si>
  <si>
    <t>TE FoFo BBF DN  300 x 200 PN 10</t>
  </si>
  <si>
    <t>I3587</t>
  </si>
  <si>
    <t>TE FoFo BBF DN  300 x 300 PN 10</t>
  </si>
  <si>
    <t>I3588</t>
  </si>
  <si>
    <t>TE FoFo BBF DN  350 x 100 PN 10</t>
  </si>
  <si>
    <t>I3589</t>
  </si>
  <si>
    <t>TE FoFo BBF DN  350 x 200 PN 10</t>
  </si>
  <si>
    <t>I3590</t>
  </si>
  <si>
    <t>TE FoFo BBF DN  350 x 350 PN 10</t>
  </si>
  <si>
    <t>I3591</t>
  </si>
  <si>
    <t>TE FoFo BBF DN  400 x 100 PN 10</t>
  </si>
  <si>
    <t>I3592</t>
  </si>
  <si>
    <t>TE FoFo BBF DN  400 x 200 PN 10</t>
  </si>
  <si>
    <t>I3593</t>
  </si>
  <si>
    <t>TE FoFo BBF DN  400 x 300 PN 10</t>
  </si>
  <si>
    <t>I3594</t>
  </si>
  <si>
    <t>TE FoFo BBF DN  400 x 400 PN 10</t>
  </si>
  <si>
    <t>I3595</t>
  </si>
  <si>
    <t>TE FoFo BBF DN  500 x 100 PN 10</t>
  </si>
  <si>
    <t>I3596</t>
  </si>
  <si>
    <t>TE FoFo BBF DN  500 x 200 PN 10</t>
  </si>
  <si>
    <t>I3597</t>
  </si>
  <si>
    <t>TE FoFo BBF DN  500 x 300 PN 10</t>
  </si>
  <si>
    <t>I3598</t>
  </si>
  <si>
    <t>TE FoFo BBF DN  500 x 400 PN 10</t>
  </si>
  <si>
    <t>I3599</t>
  </si>
  <si>
    <t>TE FoFo BBF DN  500 x 500 PN 10</t>
  </si>
  <si>
    <t>I3600</t>
  </si>
  <si>
    <t>TE FoFo BBF DN  600 x 100 PN 10</t>
  </si>
  <si>
    <t>I3601</t>
  </si>
  <si>
    <t>TE FoFo BBF DN  600 x 200 PN 10</t>
  </si>
  <si>
    <t>I3602</t>
  </si>
  <si>
    <t>TE FoFo BBF DN  600 x 300 PN 10</t>
  </si>
  <si>
    <t>I3603</t>
  </si>
  <si>
    <t>TE FoFo BBF DN  600 x 400 PN 10</t>
  </si>
  <si>
    <t>I3604</t>
  </si>
  <si>
    <t>TE FoFo BBF DN  600 x 600 PN 10</t>
  </si>
  <si>
    <t>I3605</t>
  </si>
  <si>
    <t>TE FoFo BBF DN  700 x 200 PN 10</t>
  </si>
  <si>
    <t>I3606</t>
  </si>
  <si>
    <t>TE FoFo BBF DN  700 x 400 PN 10</t>
  </si>
  <si>
    <t>I3607</t>
  </si>
  <si>
    <t>TE FoFo BBF DN  700 x 600 PN 10</t>
  </si>
  <si>
    <t>I3608</t>
  </si>
  <si>
    <t>TE FoFo BBF DN  700 x 700 PN 10</t>
  </si>
  <si>
    <t>I3609</t>
  </si>
  <si>
    <t>TE FoFo BBF DN  800 x 200 PN 10</t>
  </si>
  <si>
    <t>I3610</t>
  </si>
  <si>
    <t>TE FoFo BBF DN  800 x 400 PN 10</t>
  </si>
  <si>
    <t>I3611</t>
  </si>
  <si>
    <t>TE FoFo BBF DN  800 x 600 PN 10</t>
  </si>
  <si>
    <t>I3612</t>
  </si>
  <si>
    <t>TE FoFo BBF DN  800 x 800 PN 10</t>
  </si>
  <si>
    <t>I3613</t>
  </si>
  <si>
    <t>TE FoFo BBF DN  900 x 200 PN 10</t>
  </si>
  <si>
    <t>I3614</t>
  </si>
  <si>
    <t>TE FoFo BBF DN  900 x 400 PN 10</t>
  </si>
  <si>
    <t>I3615</t>
  </si>
  <si>
    <t>TE FoFo BBF DN  900 x 600 PN 10</t>
  </si>
  <si>
    <t>I3616</t>
  </si>
  <si>
    <t>TE FoFo BBF DN  900 x 800 PN 10</t>
  </si>
  <si>
    <t>I3617</t>
  </si>
  <si>
    <t>TE FoFo BBF DN  900 x 900 PN 10</t>
  </si>
  <si>
    <t>I3622</t>
  </si>
  <si>
    <t>TE FoFo BBF DN 1000 x 1000 PN 10</t>
  </si>
  <si>
    <t>I3618</t>
  </si>
  <si>
    <t>TE FoFo BBF DN 1000 x 200 PN 10</t>
  </si>
  <si>
    <t>I3619</t>
  </si>
  <si>
    <t>TE FoFo BBF DN 1000 x 400 PN 10</t>
  </si>
  <si>
    <t>I3620</t>
  </si>
  <si>
    <t>TE FoFo BBF DN 1000 x 600 PN 10</t>
  </si>
  <si>
    <t>I3621</t>
  </si>
  <si>
    <t>TE FoFo BBF DN 1000 x 800 PN 10</t>
  </si>
  <si>
    <t>I3627</t>
  </si>
  <si>
    <t>TE FoFo BBF DN 1200 x 1000 PN 10</t>
  </si>
  <si>
    <t>I3628</t>
  </si>
  <si>
    <t>TE FoFo BBF DN 1200 x 1200 PN 10</t>
  </si>
  <si>
    <t>I3623</t>
  </si>
  <si>
    <t>TE FoFo BBF DN 1200 x 200 PN 10</t>
  </si>
  <si>
    <t>I3624</t>
  </si>
  <si>
    <t>TE FoFo BBF DN 1200 x 400 PN10</t>
  </si>
  <si>
    <t>I3625</t>
  </si>
  <si>
    <t>TE FoFo BBF DN 1200 x 600 PN 10</t>
  </si>
  <si>
    <t>I3626</t>
  </si>
  <si>
    <t>TE FoFo BBF DN 1200 x 800 PN 10</t>
  </si>
  <si>
    <t>I3641</t>
  </si>
  <si>
    <t>TE FoFo FF DN   75 x 50 PN10</t>
  </si>
  <si>
    <t>I3642</t>
  </si>
  <si>
    <t>TE FoFo FF DN   75 x 75 PN10</t>
  </si>
  <si>
    <t>I7179</t>
  </si>
  <si>
    <t>TE FoFo FF DN   80 x 50 PN10</t>
  </si>
  <si>
    <t>I7180</t>
  </si>
  <si>
    <t>TE FoFo FF DN   80 x 80 PN10</t>
  </si>
  <si>
    <t>I3645</t>
  </si>
  <si>
    <t>TE FoFo FF DN  100 x 100 PN10</t>
  </si>
  <si>
    <t>I3643</t>
  </si>
  <si>
    <t>TE FoFo FF DN  100 x 50 PN10</t>
  </si>
  <si>
    <t>I3644</t>
  </si>
  <si>
    <t>TE FoFo FF DN  100 x 75 PN10</t>
  </si>
  <si>
    <t>I7174</t>
  </si>
  <si>
    <t>TE FoFo FF DN  100 x 80 PN10</t>
  </si>
  <si>
    <t>I3648</t>
  </si>
  <si>
    <t>TE FoFo FF DN  150 x 100 PN10</t>
  </si>
  <si>
    <t>I3649</t>
  </si>
  <si>
    <t>TE FoFo FF DN  150 x 150 PN10</t>
  </si>
  <si>
    <t>I3646</t>
  </si>
  <si>
    <t>TE FoFo FF DN  150 x 50 PN10</t>
  </si>
  <si>
    <t>I3647</t>
  </si>
  <si>
    <t>TE FoFo FF DN  150 x 75 PN10</t>
  </si>
  <si>
    <t>I7175</t>
  </si>
  <si>
    <t>TE FoFo FF DN  150 x 80 PN10</t>
  </si>
  <si>
    <t>I3652</t>
  </si>
  <si>
    <t>TE FoFo FF DN  200 x 100 PN10</t>
  </si>
  <si>
    <t>I3653</t>
  </si>
  <si>
    <t>TE FoFo FF DN  200 x 150 PN10</t>
  </si>
  <si>
    <t>I3654</t>
  </si>
  <si>
    <t>TE FoFo FF DN  200 x 200 PN10</t>
  </si>
  <si>
    <t>I3650</t>
  </si>
  <si>
    <t>TE FoFo FF DN  200 x 50 PN10</t>
  </si>
  <si>
    <t>I3651</t>
  </si>
  <si>
    <t>TE FoFo FF DN  200 x 75 PN10</t>
  </si>
  <si>
    <t>I7176</t>
  </si>
  <si>
    <t>TE FoFo FF DN  200 x 80 PN10</t>
  </si>
  <si>
    <t>I3657</t>
  </si>
  <si>
    <t>TE FoFo FF DN  250 x 100 PN10</t>
  </si>
  <si>
    <t>I3658</t>
  </si>
  <si>
    <t>TE FoFo FF DN  250 x 200 PN10</t>
  </si>
  <si>
    <t>I3659</t>
  </si>
  <si>
    <t>TE FoFo FF DN  250 x 250 PN10</t>
  </si>
  <si>
    <t>I3655</t>
  </si>
  <si>
    <t>TE FoFo FF DN  250 x 50 PN10</t>
  </si>
  <si>
    <t>I3656</t>
  </si>
  <si>
    <t>TE FoFo FF DN  250 x 75 PN10</t>
  </si>
  <si>
    <t>I7177</t>
  </si>
  <si>
    <t>TE FoFo FF DN  250 x 80 PN10</t>
  </si>
  <si>
    <t>I3660</t>
  </si>
  <si>
    <t>TE FoFo FF DN  300 x 100 PN10</t>
  </si>
  <si>
    <t>I3661</t>
  </si>
  <si>
    <t>TE FoFo FF DN  300 x 200 PN10</t>
  </si>
  <si>
    <t>I3662</t>
  </si>
  <si>
    <t>TE FoFo FF DN  300 x 300 PN10</t>
  </si>
  <si>
    <t>I3663</t>
  </si>
  <si>
    <t>TE FoFo FF DN  350 x 100 PN10</t>
  </si>
  <si>
    <t>I3664</t>
  </si>
  <si>
    <t>TE FoFo FF DN  350 x 200 PN10</t>
  </si>
  <si>
    <t>I3665</t>
  </si>
  <si>
    <t>TE FoFo FF DN  350 x 300 PN10</t>
  </si>
  <si>
    <t>I3666</t>
  </si>
  <si>
    <t>TE FoFo FF DN  350 x 350 PN10</t>
  </si>
  <si>
    <t>I3667</t>
  </si>
  <si>
    <t>TE FoFo FF DN  400 x 100 PN10</t>
  </si>
  <si>
    <t>I3668</t>
  </si>
  <si>
    <t>TE FoFo FF DN  400 x 200 PN10</t>
  </si>
  <si>
    <t>I3669</t>
  </si>
  <si>
    <t>TE FoFo FF DN  400 x 300 PN10</t>
  </si>
  <si>
    <t>I3670</t>
  </si>
  <si>
    <t>TE FoFo FF DN  400 x 400 PN10</t>
  </si>
  <si>
    <t>I3671</t>
  </si>
  <si>
    <t>TE FoFo FF DN  450 x 100 PN10</t>
  </si>
  <si>
    <t>I3672</t>
  </si>
  <si>
    <t>TE FoFo FF DN  450 x 200 PN10</t>
  </si>
  <si>
    <t>I3673</t>
  </si>
  <si>
    <t>TE FoFo FF DN  450 x 300 PN10</t>
  </si>
  <si>
    <t>I3674</t>
  </si>
  <si>
    <t>TE FoFo FF DN  450 x 400 PN10</t>
  </si>
  <si>
    <t>I3675</t>
  </si>
  <si>
    <t>TE FoFo FF DN  450 x 450 PN10</t>
  </si>
  <si>
    <t>I3676</t>
  </si>
  <si>
    <t>TE FoFo FF DN  500 x 100 PN10</t>
  </si>
  <si>
    <t>I3677</t>
  </si>
  <si>
    <t>TE FoFo FF DN  500 x 200 PN10</t>
  </si>
  <si>
    <t>I3678</t>
  </si>
  <si>
    <t>TE FoFo FF DN  500 x 300 PN10</t>
  </si>
  <si>
    <t>I3679</t>
  </si>
  <si>
    <t>TE FoFo FF DN  500 x 400 PN10</t>
  </si>
  <si>
    <t>I3680</t>
  </si>
  <si>
    <t>TE FoFo FF DN  500 x 500 PN10</t>
  </si>
  <si>
    <t>I3681</t>
  </si>
  <si>
    <t>TE FoFo FF DN  600 x 100 PN10</t>
  </si>
  <si>
    <t>I3682</t>
  </si>
  <si>
    <t>TE FoFo FF DN  600 x 200 PN10</t>
  </si>
  <si>
    <t>I3683</t>
  </si>
  <si>
    <t>TE FoFo FF DN  600 x 300 PN10</t>
  </si>
  <si>
    <t>I3684</t>
  </si>
  <si>
    <t>TE FoFo FF DN  600 x 400 PN10</t>
  </si>
  <si>
    <t>I3685</t>
  </si>
  <si>
    <t>TE FoFo FF DN  600 x 500 PN10</t>
  </si>
  <si>
    <t>I3686</t>
  </si>
  <si>
    <t>TE FoFo FF DN  600 x 600 PN10</t>
  </si>
  <si>
    <t>I3687</t>
  </si>
  <si>
    <t>TE FoFo FF DN  700 x 200 PN10</t>
  </si>
  <si>
    <t>I3688</t>
  </si>
  <si>
    <t>TE FoFo FF DN  700 x 400 PN10</t>
  </si>
  <si>
    <t>I3689</t>
  </si>
  <si>
    <t>TE FoFo FF DN  700 x 700 PN10</t>
  </si>
  <si>
    <t>I3690</t>
  </si>
  <si>
    <t>TE FoFo FF DN  800 x 200 PN10</t>
  </si>
  <si>
    <t>I3691</t>
  </si>
  <si>
    <t>TE FoFo FF DN  800 x 400 PN10</t>
  </si>
  <si>
    <t>I3692</t>
  </si>
  <si>
    <t>TE FoFo FF DN  800 x 600 PN10</t>
  </si>
  <si>
    <t>I3693</t>
  </si>
  <si>
    <t>TE FoFo FF DN  800 x 800 PN10</t>
  </si>
  <si>
    <t>I3694</t>
  </si>
  <si>
    <t>TE FoFo FF DN  900 x 200 PN10</t>
  </si>
  <si>
    <t>I3695</t>
  </si>
  <si>
    <t>TE FoFo FF DN  900 x 400 PN10</t>
  </si>
  <si>
    <t>I3696</t>
  </si>
  <si>
    <t>TE FoFo FF DN  900 x 600 PN10</t>
  </si>
  <si>
    <t>I3697</t>
  </si>
  <si>
    <t>TE FoFo FF DN  900 x 900 PN10</t>
  </si>
  <si>
    <t>I3701</t>
  </si>
  <si>
    <t>TE FoFo FF DN 1000 x 1000 PN10</t>
  </si>
  <si>
    <t>I3698</t>
  </si>
  <si>
    <t>TE FoFo FF DN 1000 x 200 PN10</t>
  </si>
  <si>
    <t>I3699</t>
  </si>
  <si>
    <t>TE FoFo FF DN 1000 x 400 PN10</t>
  </si>
  <si>
    <t>I3700</t>
  </si>
  <si>
    <t>TE FoFo FF DN 1000 x 600 PN10</t>
  </si>
  <si>
    <t>I3706</t>
  </si>
  <si>
    <t>TE FoFo FF DN 1200 x 1000 PN10</t>
  </si>
  <si>
    <t>I3707</t>
  </si>
  <si>
    <t>TE FoFo FF DN 1200 x 1200 PN10</t>
  </si>
  <si>
    <t>I3702</t>
  </si>
  <si>
    <t>TE FoFo FF DN 1200 x 200 PN10</t>
  </si>
  <si>
    <t>I3703</t>
  </si>
  <si>
    <t>TE FoFo FF DN 1200 x 400 PN10</t>
  </si>
  <si>
    <t>I3704</t>
  </si>
  <si>
    <t>TE FoFo FF DN 1200 x 600 PN10</t>
  </si>
  <si>
    <t>I3705</t>
  </si>
  <si>
    <t>TE FoFo FF DN 1200 x 800 PN10</t>
  </si>
  <si>
    <t>I7733</t>
  </si>
  <si>
    <t>TE FoFo JTE DN 300 x 300 PN10</t>
  </si>
  <si>
    <t>I7734</t>
  </si>
  <si>
    <t>TE FoFo JTE DN 400 x 300 PN10</t>
  </si>
  <si>
    <t>I7735</t>
  </si>
  <si>
    <t>TE FoFo JTE DN 400 x 400 PN10</t>
  </si>
  <si>
    <t>I7736</t>
  </si>
  <si>
    <t>TE FoFo JTE DN 500 x 300 PN10</t>
  </si>
  <si>
    <t>I7737</t>
  </si>
  <si>
    <t>TE FoFo JTE DN 500 x 500 PN10</t>
  </si>
  <si>
    <t>I7738</t>
  </si>
  <si>
    <t>TE FoFo JTE DN 600 x 300 PN10</t>
  </si>
  <si>
    <t>I7739</t>
  </si>
  <si>
    <t>TE FoFo JTE DN 600 x 400 PN10</t>
  </si>
  <si>
    <t>I7740</t>
  </si>
  <si>
    <t>TE FoFo JTE DN 600 x 600 PN10</t>
  </si>
  <si>
    <t>I7777</t>
  </si>
  <si>
    <t>TE FoFo JTEF DN 1000 x 1000 PN10</t>
  </si>
  <si>
    <t>I7819</t>
  </si>
  <si>
    <t>TE FoFo JTEF DN 1000 x 1000 PN16</t>
  </si>
  <si>
    <t>I7861</t>
  </si>
  <si>
    <t>TE FoFo JTEF DN 1000 x 1000 PN25</t>
  </si>
  <si>
    <t>I7773</t>
  </si>
  <si>
    <t>TE FoFo JTEF DN 1000 x 200 PN10</t>
  </si>
  <si>
    <t>I7815</t>
  </si>
  <si>
    <t>TE FoFo JTEF DN 1000 x 200 PN16</t>
  </si>
  <si>
    <t>I7857</t>
  </si>
  <si>
    <t>TE FoFo JTEF DN 1000 x 200 PN25</t>
  </si>
  <si>
    <t>I7774</t>
  </si>
  <si>
    <t>TE FoFo JTEF DN 1000 x 400 PN10</t>
  </si>
  <si>
    <t>I7816</t>
  </si>
  <si>
    <t>TE FoFo JTEF DN 1000 x 400 PN16</t>
  </si>
  <si>
    <t>I7858</t>
  </si>
  <si>
    <t>TE FoFo JTEF DN 1000 x 400 PN25</t>
  </si>
  <si>
    <t>I7775</t>
  </si>
  <si>
    <t>TE FoFo JTEF DN 1000 x 600 PN10</t>
  </si>
  <si>
    <t>I7817</t>
  </si>
  <si>
    <t>TE FoFo JTEF DN 1000 x 600 PN16</t>
  </si>
  <si>
    <t>I7859</t>
  </si>
  <si>
    <t>TE FoFo JTEF DN 1000 x 600 PN25</t>
  </si>
  <si>
    <t>I7776</t>
  </si>
  <si>
    <t>TE FoFo JTEF DN 1000 x 800 PN10</t>
  </si>
  <si>
    <t>I7818</t>
  </si>
  <si>
    <t>TE FoFo JTEF DN 1000 x 800 PN16</t>
  </si>
  <si>
    <t>I7860</t>
  </si>
  <si>
    <t>TE FoFo JTEF DN 1000 x 800 PN25</t>
  </si>
  <si>
    <t>I7782</t>
  </si>
  <si>
    <t>TE FoFo JTEF DN 1200 x 1000 PN10</t>
  </si>
  <si>
    <t>I7824</t>
  </si>
  <si>
    <t>TE FoFo JTEF DN 1200 x 1000 PN16</t>
  </si>
  <si>
    <t>I7866</t>
  </si>
  <si>
    <t>TE FoFo JTEF DN 1200 x 1000 PN25</t>
  </si>
  <si>
    <t>I7783</t>
  </si>
  <si>
    <t>TE FoFo JTEF DN 1200 x 1200 PN10</t>
  </si>
  <si>
    <t>I7825</t>
  </si>
  <si>
    <t>TE FoFo JTEF DN 1200 x 1200 PN16</t>
  </si>
  <si>
    <t>I7867</t>
  </si>
  <si>
    <t>TE FoFo JTEF DN 1200 x 1200 PN25</t>
  </si>
  <si>
    <t>I7778</t>
  </si>
  <si>
    <t>TE FoFo JTEF DN 1200 x 200 PN10</t>
  </si>
  <si>
    <t>I7820</t>
  </si>
  <si>
    <t>TE FoFo JTEF DN 1200 x 200 PN16</t>
  </si>
  <si>
    <t>I7862</t>
  </si>
  <si>
    <t>TE FoFo JTEF DN 1200 x 200 PN25</t>
  </si>
  <si>
    <t>I7779</t>
  </si>
  <si>
    <t>TE FoFo JTEF DN 1200 x 400 PN10</t>
  </si>
  <si>
    <t>I7821</t>
  </si>
  <si>
    <t>TE FoFo JTEF DN 1200 x 400 PN16</t>
  </si>
  <si>
    <t>I7863</t>
  </si>
  <si>
    <t>TE FoFo JTEF DN 1200 x 400 PN25</t>
  </si>
  <si>
    <t>I7780</t>
  </si>
  <si>
    <t>TE FoFo JTEF DN 1200 x 600 PN10</t>
  </si>
  <si>
    <t>I7822</t>
  </si>
  <si>
    <t>TE FoFo JTEF DN 1200 x 600 PN16</t>
  </si>
  <si>
    <t>I7864</t>
  </si>
  <si>
    <t>TE FoFo JTEF DN 1200 x 600 PN25</t>
  </si>
  <si>
    <t>I7781</t>
  </si>
  <si>
    <t>TE FoFo JTEF DN 1200 x 800 PN10</t>
  </si>
  <si>
    <t>I7823</t>
  </si>
  <si>
    <t>TE FoFo JTEF DN 1200 x 800 PN16</t>
  </si>
  <si>
    <t>I7865</t>
  </si>
  <si>
    <t>TE FoFo JTEF DN 1200 x 800 PN25</t>
  </si>
  <si>
    <t>I7741</t>
  </si>
  <si>
    <t>TE FoFo JTEF DN 300 x 100 PN10</t>
  </si>
  <si>
    <t>I7784</t>
  </si>
  <si>
    <t>TE FoFo JTEF DN 300 x 100 PN16</t>
  </si>
  <si>
    <t>I7742</t>
  </si>
  <si>
    <t>TE FoFo JTEF DN 300 x 200 PN10</t>
  </si>
  <si>
    <t>I7785</t>
  </si>
  <si>
    <t>TE FoFo JTEF DN 300 x 200 PN16</t>
  </si>
  <si>
    <t>I7827</t>
  </si>
  <si>
    <t>TE FoFo JTEF DN 300 x 200 PN25</t>
  </si>
  <si>
    <t>I7743</t>
  </si>
  <si>
    <t>TE FoFo JTEF DN 300 x 300 PN10</t>
  </si>
  <si>
    <t>I7786</t>
  </si>
  <si>
    <t>TE FoFo JTEF DN 300 x 300 PN16</t>
  </si>
  <si>
    <t>I7828</t>
  </si>
  <si>
    <t>TE FoFo JTEF DN 300 x 300 PN25</t>
  </si>
  <si>
    <t>I7744</t>
  </si>
  <si>
    <t>TE FoFo JTEF DN 350 x 100 PN10</t>
  </si>
  <si>
    <t>I7787</t>
  </si>
  <si>
    <t>TE FoFo JTEF DN 350 x 100 PN16</t>
  </si>
  <si>
    <t>I7829</t>
  </si>
  <si>
    <t>TE FoFo JTEF DN 350 x 100 PN25</t>
  </si>
  <si>
    <t>I7745</t>
  </si>
  <si>
    <t>TE FoFo JTEF DN 350 x 200 PN10</t>
  </si>
  <si>
    <t>I7788</t>
  </si>
  <si>
    <t>TE FoFo JTEF DN 350 x 200 PN16</t>
  </si>
  <si>
    <t>I7830</t>
  </si>
  <si>
    <t>TE FoFo JTEF DN 350 x 200 PN25</t>
  </si>
  <si>
    <t>I7746</t>
  </si>
  <si>
    <t>TE FoFo JTEF DN 350 x 350 PN10</t>
  </si>
  <si>
    <t>I7789</t>
  </si>
  <si>
    <t>TE FoFo JTEF DN 350 x 350 PN16</t>
  </si>
  <si>
    <t>I7831</t>
  </si>
  <si>
    <t>TE FoFo JTEF DN 350 x 350 PN25</t>
  </si>
  <si>
    <t>I7747</t>
  </si>
  <si>
    <t>TE FoFo JTEF DN 400 x 100 PN10</t>
  </si>
  <si>
    <t>I7832</t>
  </si>
  <si>
    <t>TE FoFo JTEF DN 400 x 100 PN25</t>
  </si>
  <si>
    <t>I7748</t>
  </si>
  <si>
    <t>TE FoFo JTEF DN 400 x 200 PN10</t>
  </si>
  <si>
    <t>I7790</t>
  </si>
  <si>
    <t>TE FoFo JTEF DN 400 x 200 PN16</t>
  </si>
  <si>
    <t>I7833</t>
  </si>
  <si>
    <t>TE FoFo JTEF DN 400 x 200 PN25</t>
  </si>
  <si>
    <t>I7749</t>
  </si>
  <si>
    <t>TE FoFo JTEF DN 400 x 300 PN10</t>
  </si>
  <si>
    <t>I7791</t>
  </si>
  <si>
    <t>TE FoFo JTEF DN 400 x 300 PN16</t>
  </si>
  <si>
    <t>I7750</t>
  </si>
  <si>
    <t>TE FoFo JTEF DN 400 x 400 PN10</t>
  </si>
  <si>
    <t>I7792</t>
  </si>
  <si>
    <t>TE FoFo JTEF DN 400 x 400 PN16</t>
  </si>
  <si>
    <t>I7834</t>
  </si>
  <si>
    <t>TE FoFo JTEF DN 400 x 400 PN25</t>
  </si>
  <si>
    <t>I7751</t>
  </si>
  <si>
    <t>TE FoFo JTEF DN 500 x 100 PN10</t>
  </si>
  <si>
    <t>I7793</t>
  </si>
  <si>
    <t>TE FoFo JTEF DN 500 x 100 PN16</t>
  </si>
  <si>
    <t>I7835</t>
  </si>
  <si>
    <t>TE FoFo JTEF DN 500 x 100 PN25</t>
  </si>
  <si>
    <t>I7752</t>
  </si>
  <si>
    <t>TE FoFo JTEF DN 500 x 200 PN10</t>
  </si>
  <si>
    <t>I7794</t>
  </si>
  <si>
    <t>TE FoFo JTEF DN 500 x 200 PN16</t>
  </si>
  <si>
    <t>I7836</t>
  </si>
  <si>
    <t>TE FoFo JTEF DN 500 x 200 PN25</t>
  </si>
  <si>
    <t>I7753</t>
  </si>
  <si>
    <t>TE FoFo JTEF DN 500 x 300 PN10</t>
  </si>
  <si>
    <t>I7795</t>
  </si>
  <si>
    <t>TE FoFo JTEF DN 500 x 300 PN16</t>
  </si>
  <si>
    <t>I7837</t>
  </si>
  <si>
    <t>TE FoFo JTEF DN 500 x 300 PN25</t>
  </si>
  <si>
    <t>I7754</t>
  </si>
  <si>
    <t>TE FoFo JTEF DN 500 x 400 PN10</t>
  </si>
  <si>
    <t>I7796</t>
  </si>
  <si>
    <t>TE FoFo JTEF DN 500 x 400 PN16</t>
  </si>
  <si>
    <t>I7838</t>
  </si>
  <si>
    <t>TE FoFo JTEF DN 500 x 400 PN25</t>
  </si>
  <si>
    <t>I7755</t>
  </si>
  <si>
    <t>TE FoFo JTEF DN 500 x 500 PN10</t>
  </si>
  <si>
    <t>I7797</t>
  </si>
  <si>
    <t>TE FoFo JTEF DN 500 x 500 PN16</t>
  </si>
  <si>
    <t>I7839</t>
  </si>
  <si>
    <t>TE FoFo JTEF DN 500 x 500 PN25</t>
  </si>
  <si>
    <t>I7756</t>
  </si>
  <si>
    <t>TE FoFo JTEF DN 600 x 100 PN10</t>
  </si>
  <si>
    <t>I7798</t>
  </si>
  <si>
    <t>TE FoFo JTEF DN 600 x 100 PN16</t>
  </si>
  <si>
    <t>I7840</t>
  </si>
  <si>
    <t>TE FoFo JTEF DN 600 x 100 PN25</t>
  </si>
  <si>
    <t>I7757</t>
  </si>
  <si>
    <t>TE FoFo JTEF DN 600 x 200 PN10</t>
  </si>
  <si>
    <t>I7799</t>
  </si>
  <si>
    <t>TE FoFo JTEF DN 600 x 200 PN16</t>
  </si>
  <si>
    <t>I7841</t>
  </si>
  <si>
    <t>TE FoFo JTEF DN 600 x 200 PN25</t>
  </si>
  <si>
    <t>I7758</t>
  </si>
  <si>
    <t>TE FoFo JTEF DN 600 x 300 PN10</t>
  </si>
  <si>
    <t>I7800</t>
  </si>
  <si>
    <t>TE FoFo JTEF DN 600 x 300 PN16</t>
  </si>
  <si>
    <t>I7842</t>
  </si>
  <si>
    <t>TE FoFo JTEF DN 600 x 300 PN25</t>
  </si>
  <si>
    <t>I7759</t>
  </si>
  <si>
    <t>TE FoFo JTEF DN 600 x 400 PN10</t>
  </si>
  <si>
    <t>I7801</t>
  </si>
  <si>
    <t>TE FoFo JTEF DN 600 x 400 PN16</t>
  </si>
  <si>
    <t>I7843</t>
  </si>
  <si>
    <t>TE FoFo JTEF DN 600 x 400 PN25</t>
  </si>
  <si>
    <t>I7760</t>
  </si>
  <si>
    <t>TE FoFo JTEF DN 600 x 600 PN10</t>
  </si>
  <si>
    <t>I7802</t>
  </si>
  <si>
    <t>TE FoFo JTEF DN 600 x 600 PN16</t>
  </si>
  <si>
    <t>I7844</t>
  </si>
  <si>
    <t>TE FoFo JTEF DN 600 x 600 PN25</t>
  </si>
  <si>
    <t>I7761</t>
  </si>
  <si>
    <t>TE FoFo JTEF DN 700 x 200 PN10</t>
  </si>
  <si>
    <t>I7803</t>
  </si>
  <si>
    <t>TE FoFo JTEF DN 700 x 200 PN16</t>
  </si>
  <si>
    <t>I7845</t>
  </si>
  <si>
    <t>TE FoFo JTEF DN 700 x 200 PN25</t>
  </si>
  <si>
    <t>I7762</t>
  </si>
  <si>
    <t>TE FoFo JTEF DN 700 x 600 PN10</t>
  </si>
  <si>
    <t>I7804</t>
  </si>
  <si>
    <t>TE FoFo JTEF DN 700 x 600 PN16</t>
  </si>
  <si>
    <t>I7846</t>
  </si>
  <si>
    <t>TE FoFo JTEF DN 700 x 600 PN25</t>
  </si>
  <si>
    <t>I7763</t>
  </si>
  <si>
    <t>TE FoFo JTEF DN 700 x 700 PN10</t>
  </si>
  <si>
    <t>I7805</t>
  </si>
  <si>
    <t>TE FoFo JTEF DN 700 x 700 PN16</t>
  </si>
  <si>
    <t>I7847</t>
  </si>
  <si>
    <t>TE FoFo JTEF DN 700 x 700 PN25</t>
  </si>
  <si>
    <t>I7764</t>
  </si>
  <si>
    <t>TE FoFo JTEF DN 800 x 200 PN10</t>
  </si>
  <si>
    <t>I7806</t>
  </si>
  <si>
    <t>TE FoFo JTEF DN 800 x 200 PN16</t>
  </si>
  <si>
    <t>I7848</t>
  </si>
  <si>
    <t>TE FoFo JTEF DN 800 x 200 PN25</t>
  </si>
  <si>
    <t>I7765</t>
  </si>
  <si>
    <t>TE FoFo JTEF DN 800 x 400 PN10</t>
  </si>
  <si>
    <t>I7807</t>
  </si>
  <si>
    <t>TE FoFo JTEF DN 800 x 400 PN16</t>
  </si>
  <si>
    <t>I7849</t>
  </si>
  <si>
    <t>TE FoFo JTEF DN 800 x 400 PN25</t>
  </si>
  <si>
    <t>I7766</t>
  </si>
  <si>
    <t>TE FoFo JTEF DN 800 x 600 PN10</t>
  </si>
  <si>
    <t>I7808</t>
  </si>
  <si>
    <t>TE FoFo JTEF DN 800 x 600 PN16</t>
  </si>
  <si>
    <t>I7850</t>
  </si>
  <si>
    <t>TE FoFo JTEF DN 800 x 600 PN25</t>
  </si>
  <si>
    <t>I7767</t>
  </si>
  <si>
    <t>TE FoFo JTEF DN 800 x 800 PN10</t>
  </si>
  <si>
    <t>I7809</t>
  </si>
  <si>
    <t>TE FoFo JTEF DN 800 x 800 PN16</t>
  </si>
  <si>
    <t>I7851</t>
  </si>
  <si>
    <t>TE FoFo JTEF DN 800 x 800 PN25</t>
  </si>
  <si>
    <t>I7768</t>
  </si>
  <si>
    <t>TE FoFo JTEF DN 900 x 200 PN10</t>
  </si>
  <si>
    <t>I7810</t>
  </si>
  <si>
    <t>TE FoFo JTEF DN 900 x 200 PN16</t>
  </si>
  <si>
    <t>I7852</t>
  </si>
  <si>
    <t>TE FoFo JTEF DN 900 x 200 PN25</t>
  </si>
  <si>
    <t>I7769</t>
  </si>
  <si>
    <t>TE FoFo JTEF DN 900 x 400 PN10</t>
  </si>
  <si>
    <t>I7811</t>
  </si>
  <si>
    <t>TE FoFo JTEF DN 900 x 400 PN16</t>
  </si>
  <si>
    <t>I7853</t>
  </si>
  <si>
    <t>TE FoFo JTEF DN 900 x 400 PN25</t>
  </si>
  <si>
    <t>I7770</t>
  </si>
  <si>
    <t>TE FoFo JTEF DN 900 x 600 PN10</t>
  </si>
  <si>
    <t>I7812</t>
  </si>
  <si>
    <t>TE FoFo JTEF DN 900 x 600 PN16</t>
  </si>
  <si>
    <t>I7854</t>
  </si>
  <si>
    <t>TE FoFo JTEF DN 900 x 600 PN25</t>
  </si>
  <si>
    <t>I7771</t>
  </si>
  <si>
    <t>TE FoFo JTEF DN 900 x 800 PN10</t>
  </si>
  <si>
    <t>I7813</t>
  </si>
  <si>
    <t>TE FoFo JTEF DN 900 x 800 PN16</t>
  </si>
  <si>
    <t>I7855</t>
  </si>
  <si>
    <t>TE FoFo JTEF DN 900 x 800 PN25</t>
  </si>
  <si>
    <t>I7772</t>
  </si>
  <si>
    <t>TE FoFo JTEF DN 900 x 900 PN10</t>
  </si>
  <si>
    <t>I7814</t>
  </si>
  <si>
    <t>TE FoFo JTEF DN 900 x 900 PN16</t>
  </si>
  <si>
    <t>I7856</t>
  </si>
  <si>
    <t>TE FoFo JTEF DN 900 x 900 PN25</t>
  </si>
  <si>
    <t>I3629</t>
  </si>
  <si>
    <t>TE JE FoFo/ PVC BBB DN 100 x 50</t>
  </si>
  <si>
    <t>I3630</t>
  </si>
  <si>
    <t>TE JE FoFo/ PVC BBB DN 100 x 75</t>
  </si>
  <si>
    <t>I3633</t>
  </si>
  <si>
    <t>TE JE FoFo/ PVC BBB DN 150 x 100</t>
  </si>
  <si>
    <t>I3631</t>
  </si>
  <si>
    <t>TE JE FoFo/ PVC BBB DN 150 x 50</t>
  </si>
  <si>
    <t>I3632</t>
  </si>
  <si>
    <t>TE JE FoFo/ PVC BBB DN 150 x 75</t>
  </si>
  <si>
    <t>I3636</t>
  </si>
  <si>
    <t>TE JE FoFo/ PVC BBB DN 200 x 100</t>
  </si>
  <si>
    <t>I3634</t>
  </si>
  <si>
    <t>TE JE FoFo/ PVC BBB DN 200 x 50</t>
  </si>
  <si>
    <t>I3635</t>
  </si>
  <si>
    <t>TE JE FoFo/ PVC BBB DN 200 x 75</t>
  </si>
  <si>
    <t>I3639</t>
  </si>
  <si>
    <t>TE JE FoFo/ PVC BBB DN 250 x 100</t>
  </si>
  <si>
    <t>I3637</t>
  </si>
  <si>
    <t>TE JE FoFo/ PVC BBB DN 250 x 50</t>
  </si>
  <si>
    <t>I3638</t>
  </si>
  <si>
    <t>TE JE FoFo/ PVC BBB DN 250 x 75</t>
  </si>
  <si>
    <t>I3752</t>
  </si>
  <si>
    <t>TE JUNTA MECÂNICA E FLANGE DN 1000 x 1000 PN10</t>
  </si>
  <si>
    <t>I3748</t>
  </si>
  <si>
    <t>TE JUNTA MECÂNICA E FLANGE DN 1000 x 200 PN10</t>
  </si>
  <si>
    <t>I3749</t>
  </si>
  <si>
    <t>TE JUNTA MECÂNICA E FLANGE DN 1000 x 400 PN10</t>
  </si>
  <si>
    <t>I3750</t>
  </si>
  <si>
    <t>TE JUNTA MECÂNICA E FLANGE DN 1000 x 600 PN10</t>
  </si>
  <si>
    <t>I3751</t>
  </si>
  <si>
    <t>TE JUNTA MECÂNICA E FLANGE DN 1000 x 800 PN10</t>
  </si>
  <si>
    <t>I3757</t>
  </si>
  <si>
    <t>TE JUNTA MECÂNICA E FLANGE DN 1200 x 1000 PN10</t>
  </si>
  <si>
    <t>I3758</t>
  </si>
  <si>
    <t>TE JUNTA MECÂNICA E FLANGE DN 1200 x 1200 PN10</t>
  </si>
  <si>
    <t>I3753</t>
  </si>
  <si>
    <t>TE JUNTA MECÂNICA E FLANGE DN 1200 x 200 PN10</t>
  </si>
  <si>
    <t>I3754</t>
  </si>
  <si>
    <t>TE JUNTA MECÂNICA E FLANGE DN 1200 x 400 PN10</t>
  </si>
  <si>
    <t>I3755</t>
  </si>
  <si>
    <t>TE JUNTA MECÂNICA E FLANGE DN 1200 x 600 PN10</t>
  </si>
  <si>
    <t>I3756</t>
  </si>
  <si>
    <t>TE JUNTA MECÂNICA E FLANGE DN 1200 x 800 PN10</t>
  </si>
  <si>
    <t>I3708</t>
  </si>
  <si>
    <t>TE JUNTA MECÂNICA E FLANGE DN 300 x 100 PN10</t>
  </si>
  <si>
    <t>I3709</t>
  </si>
  <si>
    <t>TE JUNTA MECÂNICA E FLANGE DN 300 x 200 PN10</t>
  </si>
  <si>
    <t>I3710</t>
  </si>
  <si>
    <t>TE JUNTA MECÂNICA E FLANGE DN 300 x 300 PN10</t>
  </si>
  <si>
    <t>I3711</t>
  </si>
  <si>
    <t>TE JUNTA MECÂNICA E FLANGE DN 350 x 100 PN10</t>
  </si>
  <si>
    <t>I3712</t>
  </si>
  <si>
    <t>TE JUNTA MECÂNICA E FLANGE DN 350 x 200 PN10</t>
  </si>
  <si>
    <t>I3713</t>
  </si>
  <si>
    <t>TE JUNTA MECÂNICA E FLANGE DN 350 x 250 PN10</t>
  </si>
  <si>
    <t>I3714</t>
  </si>
  <si>
    <t>TE JUNTA MECÂNICA E FLANGE DN 350 x 300 PN10</t>
  </si>
  <si>
    <t>I3715</t>
  </si>
  <si>
    <t>TE JUNTA MECÂNICA E FLANGE DN 350 x 350 PN10</t>
  </si>
  <si>
    <t>I3716</t>
  </si>
  <si>
    <t>TE JUNTA MECÂNICA E FLANGE DN 400 x 100 PN10</t>
  </si>
  <si>
    <t>I3717</t>
  </si>
  <si>
    <t>TE JUNTA MECÂNICA E FLANGE DN 400 x 200 PN10</t>
  </si>
  <si>
    <t>I3718</t>
  </si>
  <si>
    <t>TE JUNTA MECÂNICA E FLANGE DN 400 x 300 PN10</t>
  </si>
  <si>
    <t>I3719</t>
  </si>
  <si>
    <t>TE JUNTA MECÂNICA E FLANGE DN 400 x 400 PN10</t>
  </si>
  <si>
    <t>I3720</t>
  </si>
  <si>
    <t>TE JUNTA MECÂNICA E FLANGE DN 450 x 100 PN10</t>
  </si>
  <si>
    <t>I3721</t>
  </si>
  <si>
    <t>TE JUNTA MECÂNICA E FLANGE DN 450 x 200 PN10</t>
  </si>
  <si>
    <t>I3722</t>
  </si>
  <si>
    <t>TE JUNTA MECÂNICA E FLANGE DN 450 x 300 PN10</t>
  </si>
  <si>
    <t>I3723</t>
  </si>
  <si>
    <t>TE JUNTA MECÂNICA E FLANGE DN 450 x 400 PN10</t>
  </si>
  <si>
    <t>I3724</t>
  </si>
  <si>
    <t>TE JUNTA MECÂNICA E FLANGE DN 450 x 450 PN10</t>
  </si>
  <si>
    <t>I3725</t>
  </si>
  <si>
    <t>TE JUNTA MECÂNICA E FLANGE DN 500 x 100 PN10</t>
  </si>
  <si>
    <t>I3726</t>
  </si>
  <si>
    <t>TE JUNTA MECÂNICA E FLANGE DN 500 x 200 PN10</t>
  </si>
  <si>
    <t>I3727</t>
  </si>
  <si>
    <t>TE JUNTA MECÂNICA E FLANGE DN 500 x 300 PN10</t>
  </si>
  <si>
    <t>I3728</t>
  </si>
  <si>
    <t>TE JUNTA MECÂNICA E FLANGE DN 500 x 400 PN10</t>
  </si>
  <si>
    <t>I3729</t>
  </si>
  <si>
    <t>TE JUNTA MECÂNICA E FLANGE DN 500 x 500 PN10</t>
  </si>
  <si>
    <t>I3730</t>
  </si>
  <si>
    <t>TE JUNTA MECÂNICA E FLANGE DN 600 x 100 PN10</t>
  </si>
  <si>
    <t>I3731</t>
  </si>
  <si>
    <t>TE JUNTA MECÂNICA E FLANGE DN 600 x 200 PN10</t>
  </si>
  <si>
    <t>I3732</t>
  </si>
  <si>
    <t>TE JUNTA MECÂNICA E FLANGE DN 600 x 300 PN10</t>
  </si>
  <si>
    <t>I3733</t>
  </si>
  <si>
    <t>TE JUNTA MECÂNICA E FLANGE DN 600 x 400 PN10</t>
  </si>
  <si>
    <t>I3734</t>
  </si>
  <si>
    <t>TE JUNTA MECÂNICA E FLANGE DN 600 x 600 PN10</t>
  </si>
  <si>
    <t>I3735</t>
  </si>
  <si>
    <t>TE JUNTA MECÂNICA E FLANGE DN 700 x 200 PN10</t>
  </si>
  <si>
    <t>I3736</t>
  </si>
  <si>
    <t>TE JUNTA MECÂNICA E FLANGE DN 700 x 400 PN10</t>
  </si>
  <si>
    <t>I3737</t>
  </si>
  <si>
    <t>TE JUNTA MECÂNICA E FLANGE DN 700 x 600 PN10</t>
  </si>
  <si>
    <t>I3738</t>
  </si>
  <si>
    <t>TE JUNTA MECÂNICA E FLANGE DN 700 x 700 PN10</t>
  </si>
  <si>
    <t>I3739</t>
  </si>
  <si>
    <t>TE JUNTA MECÂNICA E FLANGE DN 800 x 200 PN10</t>
  </si>
  <si>
    <t>I3740</t>
  </si>
  <si>
    <t>TE JUNTA MECÂNICA E FLANGE DN 800 x 400 PN10</t>
  </si>
  <si>
    <t>I3741</t>
  </si>
  <si>
    <t>TE JUNTA MECÂNICA E FLANGE DN 800 x 600 PN10</t>
  </si>
  <si>
    <t>I3742</t>
  </si>
  <si>
    <t>TE JUNTA MECÂNICA E FLANGE DN 800 x 800 PN10</t>
  </si>
  <si>
    <t>I3743</t>
  </si>
  <si>
    <t>TE JUNTA MECÂNICA E FLANGE DN 900 x 200 PN10</t>
  </si>
  <si>
    <t>I3744</t>
  </si>
  <si>
    <t>TE JUNTA MECÂNICA E FLANGE DN 900 x 400 PN10</t>
  </si>
  <si>
    <t>I3745</t>
  </si>
  <si>
    <t>TE JUNTA MECÂNICA E FLANGE DN 900 x 600 PN10</t>
  </si>
  <si>
    <t>I3746</t>
  </si>
  <si>
    <t>TE JUNTA MECÂNICA E FLANGE DN 900 x 800 PN10</t>
  </si>
  <si>
    <t>I3747</t>
  </si>
  <si>
    <t>TE JUNTA MECÂNICA E FLANGE DN 900 x 900 PN10</t>
  </si>
  <si>
    <t>I10066</t>
  </si>
  <si>
    <t>TE PRFV BBB JUNTA ELÁSTICA DN  75</t>
  </si>
  <si>
    <t>I10067</t>
  </si>
  <si>
    <t>TE PRFV BBB JUNTA ELÁSTICA DN 100</t>
  </si>
  <si>
    <t>I10068</t>
  </si>
  <si>
    <t>TE PRFV BBB JUNTA ELÁSTICA DN 150</t>
  </si>
  <si>
    <t>I10069</t>
  </si>
  <si>
    <t>TE PRFV BBB JUNTA ELÁSTICA DN 200</t>
  </si>
  <si>
    <t>I10070</t>
  </si>
  <si>
    <t>TE PRFV BBB JUNTA ELÁSTICA DN 250</t>
  </si>
  <si>
    <t>I6986</t>
  </si>
  <si>
    <t>TE PRFV PB JE DN 150 x 50</t>
  </si>
  <si>
    <t>I6987</t>
  </si>
  <si>
    <t>TE PRFV PB JE DN 200 x 50</t>
  </si>
  <si>
    <t>I6988</t>
  </si>
  <si>
    <t>TE PRFV PB JE DN 250 x 100</t>
  </si>
  <si>
    <t>I6989</t>
  </si>
  <si>
    <t>TE PRFV PB JE DN 300 x 100</t>
  </si>
  <si>
    <t>I3144</t>
  </si>
  <si>
    <t>TE PVC PBA 90 COM BOLSAS DN 100</t>
  </si>
  <si>
    <t>I3142</t>
  </si>
  <si>
    <t>TE PVC PBA 90 COM BOLSAS DN 50</t>
  </si>
  <si>
    <t>I3143</t>
  </si>
  <si>
    <t>TE PVC PBA 90 COM BOLSAS DN 75</t>
  </si>
  <si>
    <t>I6920</t>
  </si>
  <si>
    <t>TE RED 90° PVC PBS COM BOLSAS DN 150 x 100 mm</t>
  </si>
  <si>
    <t>I3146</t>
  </si>
  <si>
    <t>TE REDUÇÃO PVC 90 PBA COM BOLSAS DN 100 x 50</t>
  </si>
  <si>
    <t>I3147</t>
  </si>
  <si>
    <t>TE REDUÇÃO PVC 90 PBA COM BOLSAS DN 100 x 75</t>
  </si>
  <si>
    <t>I3145</t>
  </si>
  <si>
    <t>TE REDUÇÃO PVC 90 PBA COM BOLSAS DN 75 x 50</t>
  </si>
  <si>
    <t>I10072</t>
  </si>
  <si>
    <t>TE RPVC BBB JUNTA ELÁSTICA DN 100</t>
  </si>
  <si>
    <t>I10073</t>
  </si>
  <si>
    <t>TE RPVC BBB JUNTA ELÁSTICA DN 150</t>
  </si>
  <si>
    <t>I13295</t>
  </si>
  <si>
    <t>TELA DE ADVERTÊNCIA SUBTERRÂNEA COM FITA LARGURA 40CM AMARELA</t>
  </si>
  <si>
    <t>I7555</t>
  </si>
  <si>
    <t>TELA DE AÇO SOLDÁVEL Q-92</t>
  </si>
  <si>
    <t>I8982</t>
  </si>
  <si>
    <t>TELA DE POLIESTER MALHA 2X2MM</t>
  </si>
  <si>
    <t>I10475</t>
  </si>
  <si>
    <t>TELHA GALVALUME EM AÇO TRAPEZOIDAL REVESTIDA COM LIGA DE ALUMINIO (55%), ZINCO (45,5%) E SILÍCIO (1,5%) COM ISOLAMENTO TERMOACÚSTICO</t>
  </si>
  <si>
    <t>I8512</t>
  </si>
  <si>
    <t>TERMINAL AÉREO 600mm FIXAÇÃO HORIZONTAL, C/ ABRAÇADEIRA</t>
  </si>
  <si>
    <t>I8511</t>
  </si>
  <si>
    <t>TERMINAL AÉREO 600mm FIXAÇÃO ROSCA MECÂNICA, C/ ABRAÇADEIRA</t>
  </si>
  <si>
    <t>I10082</t>
  </si>
  <si>
    <t>TERMINAL TIPO AGULHA PARA CABO 2,5MM2</t>
  </si>
  <si>
    <t>I8945</t>
  </si>
  <si>
    <t>TESTE NEON - CHAVE TESTE 250V, TAM 1/8X3"</t>
  </si>
  <si>
    <t>I6921</t>
  </si>
  <si>
    <t>TIL DE PASSAGEM REDE OCRE BBB - JEI DN 100 x 100</t>
  </si>
  <si>
    <t>I6922</t>
  </si>
  <si>
    <t>TIL DE PASSAGEM REDE OCRE BBB - JEI DN 150 x 150</t>
  </si>
  <si>
    <t>I6923</t>
  </si>
  <si>
    <t>TIL DE PASSAGEM REDE OCRE BBB - JEI DN 200 x 150</t>
  </si>
  <si>
    <t>I6924</t>
  </si>
  <si>
    <t>TIL DE PASSAGEM REDE OCRE BBB - JEI DN 250 x 150</t>
  </si>
  <si>
    <t>I6925</t>
  </si>
  <si>
    <t>TIL DE PASSAGEM REDE OCRE BBB - JEI DN 300 x 150</t>
  </si>
  <si>
    <t>I3043</t>
  </si>
  <si>
    <t>TIL DE PASSAGEM REDE OCRE BBB-JE DN 100 x100</t>
  </si>
  <si>
    <t>I3044</t>
  </si>
  <si>
    <t>TIL DE PASSAGEM REDE OCRE BBB-JE DN 125 x125</t>
  </si>
  <si>
    <t>I3045</t>
  </si>
  <si>
    <t>TIL DE PASSAGEM REDE OCRE BBB-JE DN 150 x150</t>
  </si>
  <si>
    <t>I3046</t>
  </si>
  <si>
    <t>TIL DE PASSAGEM REDE OCRE BBB-JE DN 200 x150</t>
  </si>
  <si>
    <t>I3047</t>
  </si>
  <si>
    <t>TIL DE PASSAGEM REDE OCRE BBB-JE DN 250 x150</t>
  </si>
  <si>
    <t>I3048</t>
  </si>
  <si>
    <t>TIL DE PASSAGEM REDE OCRE BBB-JE DN 300 x150</t>
  </si>
  <si>
    <t>I6926</t>
  </si>
  <si>
    <t>TIL LIGAÇÃO PREDIAL OCRE BBB - JEI DN 100</t>
  </si>
  <si>
    <t>I3049</t>
  </si>
  <si>
    <t>TIL LIGAÇÃO PREDIAL OCRE BBB-JE DN 100 x100</t>
  </si>
  <si>
    <t>I6927</t>
  </si>
  <si>
    <t>TIL RADIAL CONDOMINIAL OCRE BB - JEI DN 100</t>
  </si>
  <si>
    <t>I3050</t>
  </si>
  <si>
    <t>TIL RADIAL CONDOMINIAL OCRE BB-JE DN 100x100</t>
  </si>
  <si>
    <t>I3052</t>
  </si>
  <si>
    <t>TIL RADIAL REDE OCRE BBB-JE DN 150 x 200</t>
  </si>
  <si>
    <t>I3055</t>
  </si>
  <si>
    <t>TIL RADIAL REDE OCRE BBB-JE DN 300 x 200</t>
  </si>
  <si>
    <t>I4251</t>
  </si>
  <si>
    <t>TIRANTES C/ PORCAS PARA CARRETEIS DN 16 x 360</t>
  </si>
  <si>
    <t>I4252</t>
  </si>
  <si>
    <t>TIRANTES C/ PORCAS PARA CARRETEIS DN 20 x 370</t>
  </si>
  <si>
    <t>I4253</t>
  </si>
  <si>
    <t>TIRANTES C/ PORCAS PARA CARRETEIS DN 24 x 380</t>
  </si>
  <si>
    <t>I4254</t>
  </si>
  <si>
    <t>TIRANTES C/ PORCAS PARA CARRETEIS DN 27 x 430</t>
  </si>
  <si>
    <t>I4255</t>
  </si>
  <si>
    <t>TIRANTES C/ PORCAS PARA CARRETEIS DN 30 x 450</t>
  </si>
  <si>
    <t>I4256</t>
  </si>
  <si>
    <t>TIRANTES C/ PORCAS PARA CARRETEIS DN 33 x 460</t>
  </si>
  <si>
    <t>I4257</t>
  </si>
  <si>
    <t>TIRANTES C/ PORCAS PARA CARRETEIS DN 36 x 480</t>
  </si>
  <si>
    <t>I4258</t>
  </si>
  <si>
    <t>TIRANTES C/ PORCAS PARA CARRETEIS DN 39 x 490</t>
  </si>
  <si>
    <t>I4259</t>
  </si>
  <si>
    <t>TIRANTES C/ PORCAS PARA CARRETEIS DN 45 x 520</t>
  </si>
  <si>
    <t>I4260</t>
  </si>
  <si>
    <t>TIRANTES C/ PORCAS PARA CARRETEIS DN 52 x 550</t>
  </si>
  <si>
    <t>I3992</t>
  </si>
  <si>
    <t>TOCO C/ FLANGES E ABA DE VEDAÇÃO DN 100 PN10</t>
  </si>
  <si>
    <t>I11841</t>
  </si>
  <si>
    <t>TOCO C/ FLANGES E ABA DE VEDAÇÃO DN 100 PN25</t>
  </si>
  <si>
    <t>I4004</t>
  </si>
  <si>
    <t>TOCO C/ FLANGES E ABA DE VEDAÇÃO DN 1000 PN10</t>
  </si>
  <si>
    <t>I11839</t>
  </si>
  <si>
    <t>TOCO C/ FLANGES E ABA DE VEDAÇÃO DN 1000 PN16</t>
  </si>
  <si>
    <t>I11854</t>
  </si>
  <si>
    <t>TOCO C/ FLANGES E ABA DE VEDAÇÃO DN 1000 PN25</t>
  </si>
  <si>
    <t>I4005</t>
  </si>
  <si>
    <t>TOCO C/ FLANGES E ABA DE VEDAÇÃO DN 1200 PN10</t>
  </si>
  <si>
    <t>I11840</t>
  </si>
  <si>
    <t>TOCO C/ FLANGES E ABA DE VEDAÇÃO DN 1200 PN16</t>
  </si>
  <si>
    <t>I11855</t>
  </si>
  <si>
    <t>TOCO C/ FLANGES E ABA DE VEDAÇÃO DN 1200 PN25</t>
  </si>
  <si>
    <t>I3993</t>
  </si>
  <si>
    <t>TOCO C/ FLANGES E ABA DE VEDAÇÃO DN 150 PN10</t>
  </si>
  <si>
    <t>I11842</t>
  </si>
  <si>
    <t>TOCO C/ FLANGES E ABA DE VEDAÇÃO DN 150 PN25</t>
  </si>
  <si>
    <t>I3994</t>
  </si>
  <si>
    <t>TOCO C/ FLANGES E ABA DE VEDAÇÃO DN 200 PN10</t>
  </si>
  <si>
    <t>I11828</t>
  </si>
  <si>
    <t>TOCO C/ FLANGES E ABA DE VEDAÇÃO DN 200 PN16</t>
  </si>
  <si>
    <t>I11843</t>
  </si>
  <si>
    <t>TOCO C/ FLANGES E ABA DE VEDAÇÃO DN 200 PN25</t>
  </si>
  <si>
    <t>I3995</t>
  </si>
  <si>
    <t>TOCO C/ FLANGES E ABA DE VEDAÇÃO DN 250 PN10</t>
  </si>
  <si>
    <t>I11829</t>
  </si>
  <si>
    <t>TOCO C/ FLANGES E ABA DE VEDAÇÃO DN 250 PN16</t>
  </si>
  <si>
    <t>I11844</t>
  </si>
  <si>
    <t>TOCO C/ FLANGES E ABA DE VEDAÇÃO DN 250 PN25</t>
  </si>
  <si>
    <t>I3996</t>
  </si>
  <si>
    <t>TOCO C/ FLANGES E ABA DE VEDAÇÃO DN 300 PN10</t>
  </si>
  <si>
    <t>I11830</t>
  </si>
  <si>
    <t>TOCO C/ FLANGES E ABA DE VEDAÇÃO DN 300 PN16</t>
  </si>
  <si>
    <t>I11845</t>
  </si>
  <si>
    <t>TOCO C/ FLANGES E ABA DE VEDAÇÃO DN 300 PN25</t>
  </si>
  <si>
    <t>I3997</t>
  </si>
  <si>
    <t>TOCO C/ FLANGES E ABA DE VEDAÇÃO DN 350 PN10</t>
  </si>
  <si>
    <t>I11831</t>
  </si>
  <si>
    <t>TOCO C/ FLANGES E ABA DE VEDAÇÃO DN 350 PN16</t>
  </si>
  <si>
    <t>I11846</t>
  </si>
  <si>
    <t>TOCO C/ FLANGES E ABA DE VEDAÇÃO DN 350 PN25</t>
  </si>
  <si>
    <t>I3998</t>
  </si>
  <si>
    <t>TOCO C/ FLANGES E ABA DE VEDAÇÃO DN 400 PN10</t>
  </si>
  <si>
    <t>I11832</t>
  </si>
  <si>
    <t>TOCO C/ FLANGES E ABA DE VEDAÇÃO DN 400 PN16</t>
  </si>
  <si>
    <t>I11847</t>
  </si>
  <si>
    <t>TOCO C/ FLANGES E ABA DE VEDAÇÃO DN 400 PN25</t>
  </si>
  <si>
    <t>I7181</t>
  </si>
  <si>
    <t>TOCO C/ FLANGES E ABA DE VEDAÇÃO DN 450 PN10</t>
  </si>
  <si>
    <t>I11833</t>
  </si>
  <si>
    <t>TOCO C/ FLANGES E ABA DE VEDAÇÃO DN 450 PN16</t>
  </si>
  <si>
    <t>I11848</t>
  </si>
  <si>
    <t>TOCO C/ FLANGES E ABA DE VEDAÇÃO DN 450 PN25</t>
  </si>
  <si>
    <t>I3999</t>
  </si>
  <si>
    <t>TOCO C/ FLANGES E ABA DE VEDAÇÃO DN 500 PN10</t>
  </si>
  <si>
    <t>I11834</t>
  </si>
  <si>
    <t>TOCO C/ FLANGES E ABA DE VEDAÇÃO DN 500 PN16</t>
  </si>
  <si>
    <t>I11849</t>
  </si>
  <si>
    <t>TOCO C/ FLANGES E ABA DE VEDAÇÃO DN 500 PN25</t>
  </si>
  <si>
    <t>I4000</t>
  </si>
  <si>
    <t>TOCO C/ FLANGES E ABA DE VEDAÇÃO DN 600 PN10</t>
  </si>
  <si>
    <t>I11835</t>
  </si>
  <si>
    <t>TOCO C/ FLANGES E ABA DE VEDAÇÃO DN 600 PN16</t>
  </si>
  <si>
    <t>I11850</t>
  </si>
  <si>
    <t>TOCO C/ FLANGES E ABA DE VEDAÇÃO DN 600 PN25</t>
  </si>
  <si>
    <t>I4001</t>
  </si>
  <si>
    <t>TOCO C/ FLANGES E ABA DE VEDAÇÃO DN 700 PN10</t>
  </si>
  <si>
    <t>I11836</t>
  </si>
  <si>
    <t>TOCO C/ FLANGES E ABA DE VEDAÇÃO DN 700 PN16</t>
  </si>
  <si>
    <t>I11851</t>
  </si>
  <si>
    <t>TOCO C/ FLANGES E ABA DE VEDAÇÃO DN 700 PN25</t>
  </si>
  <si>
    <t>I3991</t>
  </si>
  <si>
    <t>TOCO C/ FLANGES E ABA DE VEDAÇÃO DN 75 PN10</t>
  </si>
  <si>
    <t>I7182</t>
  </si>
  <si>
    <t>TOCO C/ FLANGES E ABA DE VEDAÇÃO DN 80 PN10</t>
  </si>
  <si>
    <t>I4002</t>
  </si>
  <si>
    <t>TOCO C/ FLANGES E ABA DE VEDAÇÃO DN 800 PN10</t>
  </si>
  <si>
    <t>I11837</t>
  </si>
  <si>
    <t>TOCO C/ FLANGES E ABA DE VEDAÇÃO DN 800 PN16</t>
  </si>
  <si>
    <t>I11852</t>
  </si>
  <si>
    <t>TOCO C/ FLANGES E ABA DE VEDAÇÃO DN 800 PN25</t>
  </si>
  <si>
    <t>I4003</t>
  </si>
  <si>
    <t>TOCO C/ FLANGES E ABA DE VEDAÇÃO DN 900 PN10</t>
  </si>
  <si>
    <t>I11838</t>
  </si>
  <si>
    <t>TOCO C/ FLANGES E ABA DE VEDAÇÃO DN 900 PN16</t>
  </si>
  <si>
    <t>I11853</t>
  </si>
  <si>
    <t>TOCO C/ FLANGES E ABA DE VEDAÇÃO DN 900 PN25</t>
  </si>
  <si>
    <t>I10083</t>
  </si>
  <si>
    <t>TOCO EM AÇO SCHEDULE S/ COSTURA C/ FLANGES L=0,25M DN 200</t>
  </si>
  <si>
    <t>I10084</t>
  </si>
  <si>
    <t>TOCO EM AÇO SCHEDULE S/ COSTURA C/ FLANGES L=0,50M DN 200</t>
  </si>
  <si>
    <t>I11882</t>
  </si>
  <si>
    <t>TOCO FoFo C/ FLANGES DN 100 PN25 - L=250</t>
  </si>
  <si>
    <t>I11883</t>
  </si>
  <si>
    <t>TOCO FoFo C/ FLANGES DN 100 PN25 - L=500</t>
  </si>
  <si>
    <t>I11878</t>
  </si>
  <si>
    <t>TOCO FoFo C/ FLANGES DN 1000 PN16 - L=250</t>
  </si>
  <si>
    <t>I11879</t>
  </si>
  <si>
    <t>TOCO FoFo C/ FLANGES DN 1000 PN16 - L=500</t>
  </si>
  <si>
    <t>I11908</t>
  </si>
  <si>
    <t>TOCO FoFo C/ FLANGES DN 1000 PN25 - L=250</t>
  </si>
  <si>
    <t>I11909</t>
  </si>
  <si>
    <t>TOCO FoFo C/ FLANGES DN 1000 PN25 - L=500</t>
  </si>
  <si>
    <t>I11880</t>
  </si>
  <si>
    <t>TOCO FoFo C/ FLANGES DN 1200 PN16 - L=250</t>
  </si>
  <si>
    <t>I11881</t>
  </si>
  <si>
    <t>TOCO FoFo C/ FLANGES DN 1200 PN16 - L=500</t>
  </si>
  <si>
    <t>I11910</t>
  </si>
  <si>
    <t>TOCO FoFo C/ FLANGES DN 1200 PN25 - L=250</t>
  </si>
  <si>
    <t>I11911</t>
  </si>
  <si>
    <t>TOCO FoFo C/ FLANGES DN 1200 PN25 - L=500</t>
  </si>
  <si>
    <t>I11884</t>
  </si>
  <si>
    <t>TOCO FoFo C/ FLANGES DN 150 PN25 - L=250</t>
  </si>
  <si>
    <t>I11885</t>
  </si>
  <si>
    <t>TOCO FoFo C/ FLANGES DN 150 PN25 - L=500</t>
  </si>
  <si>
    <t>I11856</t>
  </si>
  <si>
    <t>TOCO FoFo C/ FLANGES DN 200 PN16 - L=250</t>
  </si>
  <si>
    <t>I11857</t>
  </si>
  <si>
    <t>TOCO FoFo C/ FLANGES DN 200 PN16 - L=500</t>
  </si>
  <si>
    <t>I11886</t>
  </si>
  <si>
    <t>TOCO FoFo C/ FLANGES DN 200 PN25 - L=250</t>
  </si>
  <si>
    <t>I11887</t>
  </si>
  <si>
    <t>TOCO FoFo C/ FLANGES DN 200 PN25 - L=500</t>
  </si>
  <si>
    <t>I11858</t>
  </si>
  <si>
    <t>TOCO FoFo C/ FLANGES DN 250 PN16 - L=250</t>
  </si>
  <si>
    <t>I11859</t>
  </si>
  <si>
    <t>TOCO FoFo C/ FLANGES DN 250 PN16 - L=500</t>
  </si>
  <si>
    <t>I11888</t>
  </si>
  <si>
    <t>TOCO FoFo C/ FLANGES DN 250 PN25 - L=250</t>
  </si>
  <si>
    <t>I11889</t>
  </si>
  <si>
    <t>TOCO FoFo C/ FLANGES DN 250 PN25 - L=500</t>
  </si>
  <si>
    <t>I11860</t>
  </si>
  <si>
    <t>TOCO FoFo C/ FLANGES DN 300 PN16 - L=250</t>
  </si>
  <si>
    <t>I11861</t>
  </si>
  <si>
    <t>TOCO FoFo C/ FLANGES DN 300 PN16 - L=500</t>
  </si>
  <si>
    <t>I11890</t>
  </si>
  <si>
    <t>TOCO FoFo C/ FLANGES DN 300 PN25 - L=250</t>
  </si>
  <si>
    <t>I11891</t>
  </si>
  <si>
    <t>TOCO FoFo C/ FLANGES DN 300 PN25 - L=500</t>
  </si>
  <si>
    <t>I11862</t>
  </si>
  <si>
    <t>TOCO FoFo C/ FLANGES DN 350 PN16 - L=250</t>
  </si>
  <si>
    <t>I11863</t>
  </si>
  <si>
    <t>TOCO FoFo C/ FLANGES DN 350 PN16 - L=500</t>
  </si>
  <si>
    <t>I11892</t>
  </si>
  <si>
    <t>TOCO FoFo C/ FLANGES DN 350 PN25 - L=250</t>
  </si>
  <si>
    <t>I11893</t>
  </si>
  <si>
    <t>TOCO FoFo C/ FLANGES DN 350 PN25 - L=500</t>
  </si>
  <si>
    <t>I11864</t>
  </si>
  <si>
    <t>TOCO FoFo C/ FLANGES DN 400 PN16 - L=250</t>
  </si>
  <si>
    <t>I11865</t>
  </si>
  <si>
    <t>TOCO FoFo C/ FLANGES DN 400 PN16 - L=500</t>
  </si>
  <si>
    <t>I11894</t>
  </si>
  <si>
    <t>TOCO FoFo C/ FLANGES DN 400 PN25 - L=250</t>
  </si>
  <si>
    <t>I11895</t>
  </si>
  <si>
    <t>TOCO FoFo C/ FLANGES DN 400 PN25 - L=500</t>
  </si>
  <si>
    <t>I11866</t>
  </si>
  <si>
    <t>TOCO FoFo C/ FLANGES DN 450 PN16 - L=250</t>
  </si>
  <si>
    <t>I11867</t>
  </si>
  <si>
    <t>TOCO FoFo C/ FLANGES DN 450 PN16 - L=500</t>
  </si>
  <si>
    <t>I11896</t>
  </si>
  <si>
    <t>TOCO FoFo C/ FLANGES DN 450 PN25 - L=250</t>
  </si>
  <si>
    <t>I11897</t>
  </si>
  <si>
    <t>TOCO FoFo C/ FLANGES DN 450 PN25 - L=500</t>
  </si>
  <si>
    <t>I11868</t>
  </si>
  <si>
    <t>TOCO FoFo C/ FLANGES DN 500 PN16 - L=250</t>
  </si>
  <si>
    <t>I11869</t>
  </si>
  <si>
    <t>TOCO FoFo C/ FLANGES DN 500 PN16 - L=500</t>
  </si>
  <si>
    <t>I11898</t>
  </si>
  <si>
    <t>TOCO FoFo C/ FLANGES DN 500 PN25 - L=250</t>
  </si>
  <si>
    <t>I11899</t>
  </si>
  <si>
    <t>TOCO FoFo C/ FLANGES DN 500 PN25 - L=500</t>
  </si>
  <si>
    <t>I11870</t>
  </si>
  <si>
    <t>TOCO FoFo C/ FLANGES DN 600 PN16 - L=250</t>
  </si>
  <si>
    <t>I11871</t>
  </si>
  <si>
    <t>TOCO FoFo C/ FLANGES DN 600 PN16 - L=500</t>
  </si>
  <si>
    <t>I11900</t>
  </si>
  <si>
    <t>TOCO FoFo C/ FLANGES DN 600 PN25 - L=250</t>
  </si>
  <si>
    <t>I11901</t>
  </si>
  <si>
    <t>TOCO FoFo C/ FLANGES DN 600 PN25 - L=500</t>
  </si>
  <si>
    <t>I11872</t>
  </si>
  <si>
    <t>TOCO FoFo C/ FLANGES DN 700 PN16 - L=250</t>
  </si>
  <si>
    <t>I11873</t>
  </si>
  <si>
    <t>TOCO FoFo C/ FLANGES DN 700 PN16 - L=500</t>
  </si>
  <si>
    <t>I11902</t>
  </si>
  <si>
    <t>TOCO FoFo C/ FLANGES DN 700 PN25 - L=250</t>
  </si>
  <si>
    <t>I11903</t>
  </si>
  <si>
    <t>TOCO FoFo C/ FLANGES DN 700 PN25 - L=500</t>
  </si>
  <si>
    <t>I11874</t>
  </si>
  <si>
    <t>TOCO FoFo C/ FLANGES DN 800 PN16 - L=250</t>
  </si>
  <si>
    <t>I11875</t>
  </si>
  <si>
    <t>TOCO FoFo C/ FLANGES DN 800 PN16 - L=500</t>
  </si>
  <si>
    <t>I11904</t>
  </si>
  <si>
    <t>TOCO FoFo C/ FLANGES DN 800 PN25 - L=250</t>
  </si>
  <si>
    <t>I11905</t>
  </si>
  <si>
    <t>TOCO FoFo C/ FLANGES DN 800 PN25 - L=500</t>
  </si>
  <si>
    <t>I11876</t>
  </si>
  <si>
    <t>TOCO FoFo C/ FLANGES DN 900 PN16 - L=250</t>
  </si>
  <si>
    <t>I11877</t>
  </si>
  <si>
    <t>TOCO FoFo C/ FLANGES DN 900 PN16 - L=500</t>
  </si>
  <si>
    <t>I11906</t>
  </si>
  <si>
    <t>TOCO FoFo C/ FLANGES DN 900 PN25 - L=250</t>
  </si>
  <si>
    <t>I11907</t>
  </si>
  <si>
    <t>TOCO FoFo C/ FLANGES DN 900 PN25 - L=500</t>
  </si>
  <si>
    <t>I10085</t>
  </si>
  <si>
    <t>TOCO PRFV F/P L=0,50M DN 200</t>
  </si>
  <si>
    <t>I10086</t>
  </si>
  <si>
    <t>TOMADA TRIPOLAR (4P+T) - 32A/380V - SOPREPOR</t>
  </si>
  <si>
    <t>I6354</t>
  </si>
  <si>
    <t>TORNEIRA PVC 3/4 PARA JARDIM</t>
  </si>
  <si>
    <t>I8906</t>
  </si>
  <si>
    <t>TRANSDUTOR DE PRESSÃO DIFERENCIAL 0-25BAR, PROTOCOLO DE COMUNICAÇÃO PROFIBUS-DP</t>
  </si>
  <si>
    <t>I10091</t>
  </si>
  <si>
    <t>TRANSMISSOR C/ SENSOR DE NÍVEL DE RADAR - TENSÃO DE ALIMENTAÇÃO = 18 A 32VCC, SAÍDA = 4 A 20MA, IP65, CLASS III, PRESSÃO MÁXIMA=16 BAR, TEMPERATURA MÁXIMA = 100ºC, MEDIÇÃO DE ALTURA DE ATÉ 3 METROS</t>
  </si>
  <si>
    <t>I10092</t>
  </si>
  <si>
    <t>TRANSMISSOR DE PRESSÃO - APLICAÇÃO EM TRATAMENTO DE ÁGUA, 24VCC, 4-20MA, PRESSÃO MÁX. 10 BAR</t>
  </si>
  <si>
    <t>I8946</t>
  </si>
  <si>
    <t>TRANSMISSOR DE PRESSÃO DIFERENCIAL COM FAIXA DE PRESSÃO DIFERENCIAL 0.4BAR=0004, SINAL DE SAÍDA 4.20MA 2 WIRES=44, CONEXÃO ELÉTRICA BLINDER IP67=B</t>
  </si>
  <si>
    <t>I10093</t>
  </si>
  <si>
    <t>TRAVESSIA DE REDE COLETORA MÉTODO NÃO DESTRUTIVO PARA TUBO PEAD DE 180MM</t>
  </si>
  <si>
    <t>I10095</t>
  </si>
  <si>
    <t>TRAVESSIA DE REDE COLETORA MÉTODO NÃO DESTRUTIVO PARA TUBO PEAD DE 250MM</t>
  </si>
  <si>
    <t>I10094</t>
  </si>
  <si>
    <t>TRAVESSIA DE REDE COLETORA MÉTODO NÃO DESTRUTIVO PARA TUBO PEAD DN 200MM</t>
  </si>
  <si>
    <t>I10096</t>
  </si>
  <si>
    <t>TRAVESSIA DE REDE COLETORA MÉTODO NÃO DESTRUTIVO PARA TUBO PEAD DN 350MM</t>
  </si>
  <si>
    <t>I10097</t>
  </si>
  <si>
    <t>TRILHO DE FIXAÇÃO 35MM GALVANIZADO LISO  - 2 METROS</t>
  </si>
  <si>
    <t>I8977</t>
  </si>
  <si>
    <t>TUBETE CEGO EM POLIPROPILENO 3/4" COR VERMELHA</t>
  </si>
  <si>
    <t>I13241</t>
  </si>
  <si>
    <t>TUBO AÇO CARBONO SCH 40 S/ COSTURA 10’’</t>
  </si>
  <si>
    <t>I13242</t>
  </si>
  <si>
    <t>TUBO AÇO CARBONO SCH 40 S/ COSTURA 12’’</t>
  </si>
  <si>
    <t>I13236</t>
  </si>
  <si>
    <t>TUBO AÇO CARBONO SCH 40 S/ COSTURA 2’’</t>
  </si>
  <si>
    <t>I13237</t>
  </si>
  <si>
    <t>TUBO AÇO CARBONO SCH 40 S/ COSTURA 3’’</t>
  </si>
  <si>
    <t>I13238</t>
  </si>
  <si>
    <t>TUBO AÇO CARBONO SCH 40 S/ COSTURA 4’’</t>
  </si>
  <si>
    <t>I13239</t>
  </si>
  <si>
    <t>TUBO AÇO CARBONO SCH 40 S/ COSTURA 6’’</t>
  </si>
  <si>
    <t>I13240</t>
  </si>
  <si>
    <t>TUBO AÇO CARBONO SCH 40 S/ COSTURA 8’’</t>
  </si>
  <si>
    <t>I13166</t>
  </si>
  <si>
    <t>TUBO AÇO INOX 304 SCH 40 S/ COSTURA 1''</t>
  </si>
  <si>
    <t>I13167</t>
  </si>
  <si>
    <t>TUBO AÇO INOX 304 SCH 40 S/ COSTURA 1.1/4''</t>
  </si>
  <si>
    <t>I13217</t>
  </si>
  <si>
    <t>TUBO AÇO INOX 304 SCH 40 S/COSTURA 2"</t>
  </si>
  <si>
    <t>I13218</t>
  </si>
  <si>
    <t>TUBO AÇO INOX 304 SCH 40 S/COSTURA 3"</t>
  </si>
  <si>
    <t>I13219</t>
  </si>
  <si>
    <t>TUBO AÇO INOX 304 SCH 40 S/COSTURA 4"</t>
  </si>
  <si>
    <t>I13220</t>
  </si>
  <si>
    <t>TUBO AÇO INOX 304 SCH 40 S/COSTURA 6"</t>
  </si>
  <si>
    <t>I13221</t>
  </si>
  <si>
    <t>TUBO AÇO INOX 304 SCH 40 S/COSTURA 8"</t>
  </si>
  <si>
    <t>I13168</t>
  </si>
  <si>
    <t>TUBO AÇO INOX 316L SCH 40 S/ COSTURA 1''</t>
  </si>
  <si>
    <t>I13169</t>
  </si>
  <si>
    <t>TUBO AÇO INOX 316L SCH 40 S/ COSTURA 1.1/4''</t>
  </si>
  <si>
    <t>I13227</t>
  </si>
  <si>
    <t>TUBO AÇO INOX 316L SCH 40 S/ COSTURA DN 10''</t>
  </si>
  <si>
    <t>I13228</t>
  </si>
  <si>
    <t>TUBO AÇO INOX 316L SCH 40 S/ COSTURA DN 12''</t>
  </si>
  <si>
    <t>I13222</t>
  </si>
  <si>
    <t>TUBO AÇO INOX 316L SCH 40 S/ COSTURA DN 2''</t>
  </si>
  <si>
    <t>I13223</t>
  </si>
  <si>
    <t>TUBO AÇO INOX 316L SCH 40 S/ COSTURA DN 3''</t>
  </si>
  <si>
    <t>I13224</t>
  </si>
  <si>
    <t>TUBO AÇO INOX 316L SCH 40 S/ COSTURA DN 4''</t>
  </si>
  <si>
    <t>I13225</t>
  </si>
  <si>
    <t>TUBO AÇO INOX 316L SCH 40 S/ COSTURA DN 6''</t>
  </si>
  <si>
    <t>I13226</t>
  </si>
  <si>
    <t>TUBO AÇO INOX 316L SCH 40 S/ COSTURA DN 8''</t>
  </si>
  <si>
    <t>I10146</t>
  </si>
  <si>
    <t>TUBO CAMISA  AÇO INOX AISI 304, DIÂMETRO EXTERNO DE 16”</t>
  </si>
  <si>
    <t>I10266</t>
  </si>
  <si>
    <t>TUBO CAMISA  AÇO INOX AISI 304, DIÂMETRO EXTERNO DE 24”</t>
  </si>
  <si>
    <t>I10148</t>
  </si>
  <si>
    <t>TUBO CAMISA  AÇO INOX AISI 304, DIÂMETRO EXTERNO DE 28”</t>
  </si>
  <si>
    <t>I10144</t>
  </si>
  <si>
    <t>TUBO CAMISA  AÇO INOX AISI 304, DIÂMETRO EXTERNO DE 36”</t>
  </si>
  <si>
    <t>I10259</t>
  </si>
  <si>
    <t>TUBO CAMISA AÇO CARBONO SEM COSTURA 6", E = 10,97MM, SCHEDULE 80, 42,56 KG/M</t>
  </si>
  <si>
    <t>I10258</t>
  </si>
  <si>
    <t>TUBO CAMISA AÇO CARBONO SEM COSTURA 8", E = 8,18MM, SCHEDULE 40, 42,55 KG/M</t>
  </si>
  <si>
    <t>I10149</t>
  </si>
  <si>
    <t>TUBO CAMISA AÇO INOX 304, DIÂMETRO EXTERNO DE 32”</t>
  </si>
  <si>
    <t>I13150</t>
  </si>
  <si>
    <t>TUBO CAMISA AÇO INOX AISI 304, DIÂMETRO EXTERNO DE 10" (273,05mm) E ESPESSURA DA PAREDE DE 3/16" (4,76mm)</t>
  </si>
  <si>
    <t>I10145</t>
  </si>
  <si>
    <t>TUBO CAMISA AÇO INOX AISI 304, DIÂMETRO EXTERNO DE 12”</t>
  </si>
  <si>
    <t>I13151</t>
  </si>
  <si>
    <t>TUBO CAMISA AÇO INOX AISI 304, DIÂMETRO EXTERNO DE 14" (355,60mm) E ESPESSURA DA PAREDE DE 3/16" (4,76mm)</t>
  </si>
  <si>
    <t>I13152</t>
  </si>
  <si>
    <t>TUBO CAMISA AÇO INOX AISI 304, DIÂMETRO EXTERNO DE 18" (457,20mm) E ESPESSURA DA PAREDE DE 1/4" (6,35mm)</t>
  </si>
  <si>
    <t>I10147</t>
  </si>
  <si>
    <t>TUBO CAMISA AÇO INOX AISI 304, DIÂMETRO EXTERNO DE 20”</t>
  </si>
  <si>
    <t>I13153</t>
  </si>
  <si>
    <t>TUBO CAMISA AÇO INOX AISI 304, DIÂMETRO EXTERNO DE 22" (558,80mm) E ESPESSURA DA PAREDE DE 1/4" (6,35mm)</t>
  </si>
  <si>
    <t>I13154</t>
  </si>
  <si>
    <t>TUBO CAMISA AÇO INOX AISI 304, DIÂMETRO EXTERNO DE 26" (660,40mm) E ESPESSURA DA PAREDE DE 5/16" (7,93mm)</t>
  </si>
  <si>
    <t>I10137</t>
  </si>
  <si>
    <t xml:space="preserve">TUBO CAMISA AÇO INOX AISI 304, DIÂMETRO EXTERNO DE 40”
</t>
  </si>
  <si>
    <t>I6059</t>
  </si>
  <si>
    <t>TUBO DE CONCRETO ARMADO CA1, D = 500MM</t>
  </si>
  <si>
    <t>I6933</t>
  </si>
  <si>
    <t>TUBO DE POLIETILENO PE 80 AZUL - 20 (NBR-8417)</t>
  </si>
  <si>
    <t>I9447</t>
  </si>
  <si>
    <t>TUBO DE POLIETILENO PE 80 AZUL - 32 (NBR-8417)</t>
  </si>
  <si>
    <t>I2961</t>
  </si>
  <si>
    <t>TUBO DE POLIETILENO PE-5 20 (NBR-8417)</t>
  </si>
  <si>
    <t>I8663</t>
  </si>
  <si>
    <t>TUBO EDUTOR EM PVC DN 75MM</t>
  </si>
  <si>
    <t>I5779</t>
  </si>
  <si>
    <t>TUBO EDUTOR PVC DN 40</t>
  </si>
  <si>
    <t>I5780</t>
  </si>
  <si>
    <t>TUBO EDUTOR PVC DN 50</t>
  </si>
  <si>
    <t>I5781</t>
  </si>
  <si>
    <t>TUBO EDUTOR PVC DN 65</t>
  </si>
  <si>
    <t>I10162</t>
  </si>
  <si>
    <t xml:space="preserve">TUBO EM AÇO CARBONO PF COM ABA DE VEDAÇÃO DN  500
</t>
  </si>
  <si>
    <t>I10163</t>
  </si>
  <si>
    <t xml:space="preserve">TUBO EM AÇO CARBONO PF COM ABA DE VEDAÇÃO DN 1200
</t>
  </si>
  <si>
    <t>I10164</t>
  </si>
  <si>
    <t xml:space="preserve">TUBO EM AÇO CARBONO PF COM ABA DE VEDAÇÃO DN 1500
</t>
  </si>
  <si>
    <t>I10150</t>
  </si>
  <si>
    <t>TUBO EM AÇO INOX DE 2", SCH 40, SEM COSTURA PF</t>
  </si>
  <si>
    <t>I10151</t>
  </si>
  <si>
    <t>TUBO EM AÇO INOX DE 2", SCH 40, SEM COSTURA PP</t>
  </si>
  <si>
    <t>I10152</t>
  </si>
  <si>
    <t>TUBO EM AÇO INOX DE 3", SCH 40, SEM COSTURA PP</t>
  </si>
  <si>
    <t>I10153</t>
  </si>
  <si>
    <t>TUBO EM AÇO INOX DE 4", SCH 40, SEM COSTURA PP</t>
  </si>
  <si>
    <t>I10154</t>
  </si>
  <si>
    <t>TUBO EM AÇO INOX DE 6", SCH 40, SEM COSTURA PP</t>
  </si>
  <si>
    <t>I10155</t>
  </si>
  <si>
    <t>TUBO EM AÇO INOX DE 8", SCH 40, SEM COSTURA PP</t>
  </si>
  <si>
    <t>I10158</t>
  </si>
  <si>
    <t>TUBO EM AÇO INOX DN   75, SCH 40, SEM COSTURA PP</t>
  </si>
  <si>
    <t>I10156</t>
  </si>
  <si>
    <t>TUBO EM AÇO INOX DN 100, SCH 40, SEM COSTURA PF</t>
  </si>
  <si>
    <t>I10159</t>
  </si>
  <si>
    <t>TUBO EM AÇO INOX DN 100, SCH 40, SEM COSTURA PP</t>
  </si>
  <si>
    <t>I10160</t>
  </si>
  <si>
    <t>TUBO EM AÇO INOX DN 150, SCH 40, SEM COSTURA PP</t>
  </si>
  <si>
    <t>I10157</t>
  </si>
  <si>
    <t>TUBO EM AÇO INOX DN 200, SCH 40, SEM COSTURA PF</t>
  </si>
  <si>
    <t>I10161</t>
  </si>
  <si>
    <t>TUBO EM AÇO INOX DN 200, SCH 40, SEM COSTURA PP</t>
  </si>
  <si>
    <t>I7064</t>
  </si>
  <si>
    <t>TUBO FoFo C/ FLANGE E BOLSA JE DN 80 PN10 L=500</t>
  </si>
  <si>
    <t>I7065</t>
  </si>
  <si>
    <t>TUBO FoFo C/ FLANGE E PONTA JE DN 80 PN10 L=500</t>
  </si>
  <si>
    <t>I3956</t>
  </si>
  <si>
    <t>TUBO FoFo C/ FLANGES DN   50 PN10 - L= 250</t>
  </si>
  <si>
    <t>I3957</t>
  </si>
  <si>
    <t>TUBO FoFo C/ FLANGES DN   50 PN10 - L= 500</t>
  </si>
  <si>
    <t>I3960</t>
  </si>
  <si>
    <t>TUBO FoFo C/ FLANGES DN  100 PN10 - L= 250</t>
  </si>
  <si>
    <t>I3961</t>
  </si>
  <si>
    <t>TUBO FoFo C/ FLANGES DN  100 PN10 - L= 500</t>
  </si>
  <si>
    <t>I4458</t>
  </si>
  <si>
    <t>TUBO FoFo C/ FLANGES DN  100 PN10 - L=1000</t>
  </si>
  <si>
    <t>I4459</t>
  </si>
  <si>
    <t>TUBO FoFo C/ FLANGES DN  100 PN10 - L=1500</t>
  </si>
  <si>
    <t>I4460</t>
  </si>
  <si>
    <t>TUBO FoFo C/ FLANGES DN  100 PN10 - L=2000</t>
  </si>
  <si>
    <t>I4461</t>
  </si>
  <si>
    <t>TUBO FoFo C/ FLANGES DN  100 PN10 - L=2500</t>
  </si>
  <si>
    <t>I4462</t>
  </si>
  <si>
    <t>TUBO FoFo C/ FLANGES DN  100 PN10 - L=3000</t>
  </si>
  <si>
    <t>I4463</t>
  </si>
  <si>
    <t>TUBO FoFo C/ FLANGES DN  100 PN10 - L=3500</t>
  </si>
  <si>
    <t>I4464</t>
  </si>
  <si>
    <t>TUBO FoFo C/ FLANGES DN  100 PN10 - L=4000</t>
  </si>
  <si>
    <t>I4465</t>
  </si>
  <si>
    <t>TUBO FoFo C/ FLANGES DN  100 PN10 - L=4500</t>
  </si>
  <si>
    <t>I4466</t>
  </si>
  <si>
    <t>TUBO FoFo C/ FLANGES DN  100 PN10 - L=5000</t>
  </si>
  <si>
    <t>I4467</t>
  </si>
  <si>
    <t>TUBO FoFo C/ FLANGES DN  100 PN10 - L=5500</t>
  </si>
  <si>
    <t>I4468</t>
  </si>
  <si>
    <t>TUBO FoFo C/ FLANGES DN  100 PN10 - L=5800</t>
  </si>
  <si>
    <t>I3962</t>
  </si>
  <si>
    <t>TUBO FoFo C/ FLANGES DN  150 PN10 - L= 250</t>
  </si>
  <si>
    <t>I3963</t>
  </si>
  <si>
    <t>TUBO FoFo C/ FLANGES DN  150 PN10 - L= 500</t>
  </si>
  <si>
    <t>I4469</t>
  </si>
  <si>
    <t>TUBO FoFo C/ FLANGES DN  150 PN10 - L=1000</t>
  </si>
  <si>
    <t>I4470</t>
  </si>
  <si>
    <t>TUBO FoFo C/ FLANGES DN  150 PN10 - L=1500</t>
  </si>
  <si>
    <t>I4471</t>
  </si>
  <si>
    <t>TUBO FoFo C/ FLANGES DN  150 PN10 - L=2000</t>
  </si>
  <si>
    <t>I4472</t>
  </si>
  <si>
    <t>TUBO FoFo C/ FLANGES DN  150 PN10 - L=2500</t>
  </si>
  <si>
    <t>I4473</t>
  </si>
  <si>
    <t>TUBO FoFo C/ FLANGES DN  150 PN10 - L=3000</t>
  </si>
  <si>
    <t>I4474</t>
  </si>
  <si>
    <t>TUBO FoFo C/ FLANGES DN  150 PN10 - L=3500</t>
  </si>
  <si>
    <t>I4475</t>
  </si>
  <si>
    <t>TUBO FoFo C/ FLANGES DN  150 PN10 - L=4000</t>
  </si>
  <si>
    <t>I4476</t>
  </si>
  <si>
    <t>TUBO FoFo C/ FLANGES DN  150 PN10 - L=4500</t>
  </si>
  <si>
    <t>I4477</t>
  </si>
  <si>
    <t>TUBO FoFo C/ FLANGES DN  150 PN10 - L=5000</t>
  </si>
  <si>
    <t>I4478</t>
  </si>
  <si>
    <t>TUBO FoFo C/ FLANGES DN  150 PN10 - L=5500</t>
  </si>
  <si>
    <t>I4479</t>
  </si>
  <si>
    <t>TUBO FoFo C/ FLANGES DN  150 PN10 - L=5800</t>
  </si>
  <si>
    <t>I3964</t>
  </si>
  <si>
    <t>TUBO FoFo C/ FLANGES DN  200 PN10 - L= 250</t>
  </si>
  <si>
    <t>I3965</t>
  </si>
  <si>
    <t>TUBO FoFo C/ FLANGES DN  200 PN10 - L= 500</t>
  </si>
  <si>
    <t>I4480</t>
  </si>
  <si>
    <t>TUBO FoFo C/ FLANGES DN  200 PN10 - L=1000</t>
  </si>
  <si>
    <t>I4481</t>
  </si>
  <si>
    <t>TUBO FoFo C/ FLANGES DN  200 PN10 - L=1500</t>
  </si>
  <si>
    <t>I4482</t>
  </si>
  <si>
    <t>TUBO FoFo C/ FLANGES DN  200 PN10 - L=2000</t>
  </si>
  <si>
    <t>I4483</t>
  </si>
  <si>
    <t>TUBO FoFo C/ FLANGES DN  200 PN10 - L=2500</t>
  </si>
  <si>
    <t>I4484</t>
  </si>
  <si>
    <t>TUBO FoFo C/ FLANGES DN  200 PN10 - L=3000</t>
  </si>
  <si>
    <t>I4485</t>
  </si>
  <si>
    <t>TUBO FoFo C/ FLANGES DN  200 PN10 - L=3500</t>
  </si>
  <si>
    <t>I4486</t>
  </si>
  <si>
    <t>TUBO FoFo C/ FLANGES DN  200 PN10 - L=4000</t>
  </si>
  <si>
    <t>I4487</t>
  </si>
  <si>
    <t>TUBO FoFo C/ FLANGES DN  200 PN10 - L=4500</t>
  </si>
  <si>
    <t>I4488</t>
  </si>
  <si>
    <t>TUBO FoFo C/ FLANGES DN  200 PN10 - L=5000</t>
  </si>
  <si>
    <t>I4489</t>
  </si>
  <si>
    <t>TUBO FoFo C/ FLANGES DN  200 PN10 - L=5500</t>
  </si>
  <si>
    <t>I4490</t>
  </si>
  <si>
    <t>TUBO FoFo C/ FLANGES DN  200 PN10 - L=5800</t>
  </si>
  <si>
    <t>I3966</t>
  </si>
  <si>
    <t>TUBO FoFo C/ FLANGES DN  250 PN10 - L= 250</t>
  </si>
  <si>
    <t>I3967</t>
  </si>
  <si>
    <t>TUBO FoFo C/ FLANGES DN  250 PN10 - L= 500</t>
  </si>
  <si>
    <t>I4491</t>
  </si>
  <si>
    <t>TUBO FoFo C/ FLANGES DN  250 PN10 - L=1000</t>
  </si>
  <si>
    <t>I4492</t>
  </si>
  <si>
    <t>TUBO FoFo C/ FLANGES DN  250 PN10 - L=1500</t>
  </si>
  <si>
    <t>I4493</t>
  </si>
  <si>
    <t>TUBO FoFo C/ FLANGES DN  250 PN10 - L=2000</t>
  </si>
  <si>
    <t>I4494</t>
  </si>
  <si>
    <t>TUBO FoFo C/ FLANGES DN  250 PN10 - L=2500</t>
  </si>
  <si>
    <t>I4495</t>
  </si>
  <si>
    <t>TUBO FoFo C/ FLANGES DN  250 PN10 - L=3000</t>
  </si>
  <si>
    <t>I4496</t>
  </si>
  <si>
    <t>TUBO FoFo C/ FLANGES DN  250 PN10 - L=3500</t>
  </si>
  <si>
    <t>I4497</t>
  </si>
  <si>
    <t>TUBO FoFo C/ FLANGES DN  250 PN10 - L=4000</t>
  </si>
  <si>
    <t>I4498</t>
  </si>
  <si>
    <t>TUBO FoFo C/ FLANGES DN  250 PN10 - L=4500</t>
  </si>
  <si>
    <t>I4499</t>
  </si>
  <si>
    <t>TUBO FoFo C/ FLANGES DN  250 PN10 - L=5000</t>
  </si>
  <si>
    <t>I4500</t>
  </si>
  <si>
    <t>TUBO FoFo C/ FLANGES DN  250 PN10 - L=5500</t>
  </si>
  <si>
    <t>I4501</t>
  </si>
  <si>
    <t>TUBO FoFo C/ FLANGES DN  250 PN10 - L=5800</t>
  </si>
  <si>
    <t>I3968</t>
  </si>
  <si>
    <t>TUBO FoFo C/ FLANGES DN  300 PN10 - L= 250</t>
  </si>
  <si>
    <t>I3969</t>
  </si>
  <si>
    <t>TUBO FoFo C/ FLANGES DN  300 PN10 - L= 500</t>
  </si>
  <si>
    <t>I4502</t>
  </si>
  <si>
    <t>TUBO FoFo C/ FLANGES DN  300 PN10 - L=1000</t>
  </si>
  <si>
    <t>I4503</t>
  </si>
  <si>
    <t>TUBO FoFo C/ FLANGES DN  300 PN10 - L=1500</t>
  </si>
  <si>
    <t>I4504</t>
  </si>
  <si>
    <t>TUBO FoFo C/ FLANGES DN  300 PN10 - L=2000</t>
  </si>
  <si>
    <t>I4505</t>
  </si>
  <si>
    <t>TUBO FoFo C/ FLANGES DN  300 PN10 - L=2500</t>
  </si>
  <si>
    <t>I4506</t>
  </si>
  <si>
    <t>TUBO FoFo C/ FLANGES DN  300 PN10 - L=3000</t>
  </si>
  <si>
    <t>I4507</t>
  </si>
  <si>
    <t>TUBO FoFo C/ FLANGES DN  300 PN10 - L=3500</t>
  </si>
  <si>
    <t>I4508</t>
  </si>
  <si>
    <t>TUBO FoFo C/ FLANGES DN  300 PN10 - L=4000</t>
  </si>
  <si>
    <t>I4509</t>
  </si>
  <si>
    <t>TUBO FoFo C/ FLANGES DN  300 PN10 - L=4500</t>
  </si>
  <si>
    <t>I4510</t>
  </si>
  <si>
    <t>TUBO FoFo C/ FLANGES DN  300 PN10 - L=5000</t>
  </si>
  <si>
    <t>I4511</t>
  </si>
  <si>
    <t>TUBO FoFo C/ FLANGES DN  300 PN10 - L=5500</t>
  </si>
  <si>
    <t>I4512</t>
  </si>
  <si>
    <t>TUBO FoFo C/ FLANGES DN  300 PN10 - L=5800</t>
  </si>
  <si>
    <t>I3970</t>
  </si>
  <si>
    <t>TUBO FoFo C/ FLANGES DN  350 PN10 - L= 250</t>
  </si>
  <si>
    <t>I3971</t>
  </si>
  <si>
    <t>TUBO FoFo C/ FLANGES DN  350 PN10 - L= 500</t>
  </si>
  <si>
    <t>I4513</t>
  </si>
  <si>
    <t>TUBO FoFo C/ FLANGES DN  350 PN10 - L=1000</t>
  </si>
  <si>
    <t>I4514</t>
  </si>
  <si>
    <t>TUBO FoFo C/ FLANGES DN  350 PN10 - L=1500</t>
  </si>
  <si>
    <t>I4515</t>
  </si>
  <si>
    <t>TUBO FoFo C/ FLANGES DN  350 PN10 - L=2000</t>
  </si>
  <si>
    <t>I4516</t>
  </si>
  <si>
    <t>TUBO FoFo C/ FLANGES DN  350 PN10 - L=2500</t>
  </si>
  <si>
    <t>I4517</t>
  </si>
  <si>
    <t>TUBO FoFo C/ FLANGES DN  350 PN10 - L=3000</t>
  </si>
  <si>
    <t>I4518</t>
  </si>
  <si>
    <t>TUBO FoFo C/ FLANGES DN  350 PN10 - L=3500</t>
  </si>
  <si>
    <t>I4519</t>
  </si>
  <si>
    <t>TUBO FoFo C/ FLANGES DN  350 PN10 - L=4000</t>
  </si>
  <si>
    <t>I4520</t>
  </si>
  <si>
    <t>TUBO FoFo C/ FLANGES DN  350 PN10 - L=4500</t>
  </si>
  <si>
    <t>I4521</t>
  </si>
  <si>
    <t>TUBO FoFo C/ FLANGES DN  350 PN10 - L=5000</t>
  </si>
  <si>
    <t>I4522</t>
  </si>
  <si>
    <t>TUBO FoFo C/ FLANGES DN  350 PN10 - L=5500</t>
  </si>
  <si>
    <t>I4523</t>
  </si>
  <si>
    <t>TUBO FoFo C/ FLANGES DN  350 PN10 - L=5800</t>
  </si>
  <si>
    <t>I3972</t>
  </si>
  <si>
    <t>TUBO FoFo C/ FLANGES DN  400 PN10 - L= 250</t>
  </si>
  <si>
    <t>I4524</t>
  </si>
  <si>
    <t>TUBO FoFo C/ FLANGES DN  400 PN10 - L=1000</t>
  </si>
  <si>
    <t>I4525</t>
  </si>
  <si>
    <t>TUBO FoFo C/ FLANGES DN  400 PN10 - L=1500</t>
  </si>
  <si>
    <t>I4526</t>
  </si>
  <si>
    <t>TUBO FoFo C/ FLANGES DN  400 PN10 - L=2000</t>
  </si>
  <si>
    <t>I4527</t>
  </si>
  <si>
    <t>TUBO FoFo C/ FLANGES DN  400 PN10 - L=2500</t>
  </si>
  <si>
    <t>I4528</t>
  </si>
  <si>
    <t>TUBO FoFo C/ FLANGES DN  400 PN10 - L=3000</t>
  </si>
  <si>
    <t>I4529</t>
  </si>
  <si>
    <t>TUBO FoFo C/ FLANGES DN  400 PN10 - L=3500</t>
  </si>
  <si>
    <t>I4530</t>
  </si>
  <si>
    <t>TUBO FoFo C/ FLANGES DN  400 PN10 - L=4000</t>
  </si>
  <si>
    <t>I4531</t>
  </si>
  <si>
    <t>TUBO FoFo C/ FLANGES DN  400 PN10 - L=4500</t>
  </si>
  <si>
    <t>I4532</t>
  </si>
  <si>
    <t>TUBO FoFo C/ FLANGES DN  400 PN10 - L=5000</t>
  </si>
  <si>
    <t>I4533</t>
  </si>
  <si>
    <t>TUBO FoFo C/ FLANGES DN  400 PN10 - L=5500</t>
  </si>
  <si>
    <t>I4534</t>
  </si>
  <si>
    <t>TUBO FoFo C/ FLANGES DN  400 PN10 - L=5800</t>
  </si>
  <si>
    <t>I3974</t>
  </si>
  <si>
    <t>TUBO FoFo C/ FLANGES DN  450 PN10 - L= 250</t>
  </si>
  <si>
    <t>I3975</t>
  </si>
  <si>
    <t>TUBO FoFo C/ FLANGES DN  450 PN10 - L= 500</t>
  </si>
  <si>
    <t>I4535</t>
  </si>
  <si>
    <t>TUBO FoFo C/ FLANGES DN  450 PN10 - L=1000</t>
  </si>
  <si>
    <t>I4536</t>
  </si>
  <si>
    <t>TUBO FoFo C/ FLANGES DN  450 PN10 - L=1500</t>
  </si>
  <si>
    <t>I4537</t>
  </si>
  <si>
    <t>TUBO FoFo C/ FLANGES DN  450 PN10 - L=2000</t>
  </si>
  <si>
    <t>I4538</t>
  </si>
  <si>
    <t>TUBO FoFo C/ FLANGES DN  450 PN10 - L=2500</t>
  </si>
  <si>
    <t>I4539</t>
  </si>
  <si>
    <t>TUBO FoFo C/ FLANGES DN  450 PN10 - L=3000</t>
  </si>
  <si>
    <t>I4540</t>
  </si>
  <si>
    <t>TUBO FoFo C/ FLANGES DN  450 PN10 - L=3500</t>
  </si>
  <si>
    <t>I4541</t>
  </si>
  <si>
    <t>TUBO FoFo C/ FLANGES DN  450 PN10 - L=4000</t>
  </si>
  <si>
    <t>I4542</t>
  </si>
  <si>
    <t>TUBO FoFo C/ FLANGES DN  450 PN10 - L=4500</t>
  </si>
  <si>
    <t>I4543</t>
  </si>
  <si>
    <t>TUBO FoFo C/ FLANGES DN  450 PN10 - L=5000</t>
  </si>
  <si>
    <t>I4544</t>
  </si>
  <si>
    <t>TUBO FoFo C/ FLANGES DN  450 PN10 - L=5500</t>
  </si>
  <si>
    <t>I4545</t>
  </si>
  <si>
    <t>TUBO FoFo C/ FLANGES DN  450 PN10 - L=5800</t>
  </si>
  <si>
    <t>I3958</t>
  </si>
  <si>
    <t>TUBO FoFo C/ FLANGES DN  75  PN10 - L=250</t>
  </si>
  <si>
    <t>I3959</t>
  </si>
  <si>
    <t>TUBO FoFo C/ FLANGES DN  75  PN10 - L=500</t>
  </si>
  <si>
    <t>I4447</t>
  </si>
  <si>
    <t>TUBO FoFo C/ FLANGES DN  75 PN10 - L=1000</t>
  </si>
  <si>
    <t>I4448</t>
  </si>
  <si>
    <t>TUBO FoFo C/ FLANGES DN  75 PN10 - L=1500</t>
  </si>
  <si>
    <t>I4449</t>
  </si>
  <si>
    <t>TUBO FoFo C/ FLANGES DN  75 PN10 - L=2000</t>
  </si>
  <si>
    <t>I4450</t>
  </si>
  <si>
    <t>TUBO FoFo C/ FLANGES DN  75 PN10 - L=2500</t>
  </si>
  <si>
    <t>I4451</t>
  </si>
  <si>
    <t>TUBO FoFo C/ FLANGES DN  75 PN10 - L=3000</t>
  </si>
  <si>
    <t>I4452</t>
  </si>
  <si>
    <t>TUBO FoFo C/ FLANGES DN  75 PN10 - L=3500</t>
  </si>
  <si>
    <t>I4453</t>
  </si>
  <si>
    <t>TUBO FoFo C/ FLANGES DN  75 PN10 - L=4000</t>
  </si>
  <si>
    <t>I4454</t>
  </si>
  <si>
    <t>TUBO FoFo C/ FLANGES DN  75 PN10 - L=4500</t>
  </si>
  <si>
    <t>I4455</t>
  </si>
  <si>
    <t>TUBO FoFo C/ FLANGES DN  75 PN10 - L=5000</t>
  </si>
  <si>
    <t>I4456</t>
  </si>
  <si>
    <t>TUBO FoFo C/ FLANGES DN  75 PN10 - L=5500</t>
  </si>
  <si>
    <t>I4457</t>
  </si>
  <si>
    <t>TUBO FoFo C/ FLANGES DN  75 PN10 - L=5800</t>
  </si>
  <si>
    <t>I7183</t>
  </si>
  <si>
    <t>TUBO FoFo C/ FLANGES DN  80 PN10 - L=1000</t>
  </si>
  <si>
    <t>I7184</t>
  </si>
  <si>
    <t>TUBO FoFo C/ FLANGES DN  80 PN10 - L=1500</t>
  </si>
  <si>
    <t>I7185</t>
  </si>
  <si>
    <t>TUBO FoFo C/ FLANGES DN  80 PN10 - L=2000</t>
  </si>
  <si>
    <t>I7186</t>
  </si>
  <si>
    <t>TUBO FoFo C/ FLANGES DN  80 PN10 - L=2500</t>
  </si>
  <si>
    <t>I7187</t>
  </si>
  <si>
    <t>TUBO FoFo C/ FLANGES DN  80 PN10 - L=3000</t>
  </si>
  <si>
    <t>I7188</t>
  </si>
  <si>
    <t>TUBO FoFo C/ FLANGES DN  80 PN10 - L=3500</t>
  </si>
  <si>
    <t>I7189</t>
  </si>
  <si>
    <t>TUBO FoFo C/ FLANGES DN  80 PN10 - L=4000</t>
  </si>
  <si>
    <t>I7190</t>
  </si>
  <si>
    <t>TUBO FoFo C/ FLANGES DN  80 PN10 - L=4500</t>
  </si>
  <si>
    <t>I7191</t>
  </si>
  <si>
    <t>TUBO FoFo C/ FLANGES DN  80 PN10 - L=5000</t>
  </si>
  <si>
    <t>I7192</t>
  </si>
  <si>
    <t>TUBO FoFo C/ FLANGES DN  80 PN10 - L=5500</t>
  </si>
  <si>
    <t>I7193</t>
  </si>
  <si>
    <t>TUBO FoFo C/ FLANGES DN  80 PN10 - L=5800</t>
  </si>
  <si>
    <t>I7062</t>
  </si>
  <si>
    <t>TUBO FoFo C/ FLANGES DN  80 PN10 L=250</t>
  </si>
  <si>
    <t>I7063</t>
  </si>
  <si>
    <t>TUBO FoFo C/ FLANGES DN  80 PN10 L=500</t>
  </si>
  <si>
    <t>I11912</t>
  </si>
  <si>
    <t>TUBO FoFo C/ FLANGES DN 100 PN25 - L=1000</t>
  </si>
  <si>
    <t>I11913</t>
  </si>
  <si>
    <t>TUBO FoFo C/ FLANGES DN 100 PN25 - L=1500</t>
  </si>
  <si>
    <t>I11914</t>
  </si>
  <si>
    <t>TUBO FoFo C/ FLANGES DN 100 PN25 - L=2000</t>
  </si>
  <si>
    <t>I11915</t>
  </si>
  <si>
    <t>TUBO FoFo C/ FLANGES DN 100 PN25 - L=2500</t>
  </si>
  <si>
    <t>I11916</t>
  </si>
  <si>
    <t>TUBO FoFo C/ FLANGES DN 100 PN25 - L=3000</t>
  </si>
  <si>
    <t>I11917</t>
  </si>
  <si>
    <t>TUBO FoFo C/ FLANGES DN 100 PN25 - L=3500</t>
  </si>
  <si>
    <t>I11918</t>
  </si>
  <si>
    <t>TUBO FoFo C/ FLANGES DN 100 PN25 - L=4000</t>
  </si>
  <si>
    <t>I11919</t>
  </si>
  <si>
    <t>TUBO FoFo C/ FLANGES DN 100 PN25 - L=4500</t>
  </si>
  <si>
    <t>I11920</t>
  </si>
  <si>
    <t>TUBO FoFo C/ FLANGES DN 100 PN25 - L=5000</t>
  </si>
  <si>
    <t>I11921</t>
  </si>
  <si>
    <t>TUBO FoFo C/ FLANGES DN 100 PN25 - L=5500</t>
  </si>
  <si>
    <t>I11922</t>
  </si>
  <si>
    <t>TUBO FoFo C/ FLANGES DN 100 PN25 - L=5800</t>
  </si>
  <si>
    <t>I3987</t>
  </si>
  <si>
    <t>TUBO FoFo C/ FLANGES DN 1000 PN10 - L= 500</t>
  </si>
  <si>
    <t>I4607</t>
  </si>
  <si>
    <t>TUBO FoFo C/ FLANGES DN 1000 PN10 - L=1000</t>
  </si>
  <si>
    <t>I4608</t>
  </si>
  <si>
    <t>TUBO FoFo C/ FLANGES DN 1000 PN10 - L=1500</t>
  </si>
  <si>
    <t>I4609</t>
  </si>
  <si>
    <t>TUBO FoFo C/ FLANGES DN 1000 PN10 - L=2000</t>
  </si>
  <si>
    <t>I12136</t>
  </si>
  <si>
    <t>TUBO FoFo C/ FLANGES DN 1000 PN10 - L=250</t>
  </si>
  <si>
    <t>I4610</t>
  </si>
  <si>
    <t>TUBO FoFo C/ FLANGES DN 1000 PN10 - L=2500</t>
  </si>
  <si>
    <t>I4611</t>
  </si>
  <si>
    <t>TUBO FoFo C/ FLANGES DN 1000 PN10 - L=3000</t>
  </si>
  <si>
    <t>I4612</t>
  </si>
  <si>
    <t>TUBO FoFo C/ FLANGES DN 1000 PN10 - L=3500</t>
  </si>
  <si>
    <t>I4613</t>
  </si>
  <si>
    <t>TUBO FoFo C/ FLANGES DN 1000 PN10 - L=4000</t>
  </si>
  <si>
    <t>I4614</t>
  </si>
  <si>
    <t>TUBO FoFo C/ FLANGES DN 1000 PN10 - L=4500</t>
  </si>
  <si>
    <t>I4615</t>
  </si>
  <si>
    <t>TUBO FoFo C/ FLANGES DN 1000 PN10 - L=5000</t>
  </si>
  <si>
    <t>I4616</t>
  </si>
  <si>
    <t>TUBO FoFo C/ FLANGES DN 1000 PN10 - L=5500</t>
  </si>
  <si>
    <t>I4617</t>
  </si>
  <si>
    <t>TUBO FoFo C/ FLANGES DN 1000 PN10 - L=6000</t>
  </si>
  <si>
    <t>I4618</t>
  </si>
  <si>
    <t>TUBO FoFo C/ FLANGES DN 1000 PN10 - L=6500</t>
  </si>
  <si>
    <t>I4619</t>
  </si>
  <si>
    <t>TUBO FoFo C/ FLANGES DN 1000 PN10 - L=6800</t>
  </si>
  <si>
    <t>I12137</t>
  </si>
  <si>
    <t>TUBO FoFo C/ FLANGES DN 1000 PN16 - L=1000</t>
  </si>
  <si>
    <t>I12138</t>
  </si>
  <si>
    <t>TUBO FoFo C/ FLANGES DN 1000 PN16 - L=1500</t>
  </si>
  <si>
    <t>I12139</t>
  </si>
  <si>
    <t>TUBO FoFo C/ FLANGES DN 1000 PN16 - L=2000</t>
  </si>
  <si>
    <t>I12140</t>
  </si>
  <si>
    <t>TUBO FoFo C/ FLANGES DN 1000 PN25 - L=1000</t>
  </si>
  <si>
    <t>I12141</t>
  </si>
  <si>
    <t>TUBO FoFo C/ FLANGES DN 1000 PN25 - L=1500</t>
  </si>
  <si>
    <t>I12142</t>
  </si>
  <si>
    <t>TUBO FoFo C/ FLANGES DN 1000 PN25 - L=2000</t>
  </si>
  <si>
    <t>I3988</t>
  </si>
  <si>
    <t>TUBO FoFo C/ FLANGES DN 1200 PN10 - L= 250</t>
  </si>
  <si>
    <t>I3989</t>
  </si>
  <si>
    <t>TUBO FoFo C/ FLANGES DN 1200 PN10 - L= 500</t>
  </si>
  <si>
    <t>I4620</t>
  </si>
  <si>
    <t>TUBO FoFo C/ FLANGES DN 1200 PN10 - L=1000</t>
  </si>
  <si>
    <t>I4621</t>
  </si>
  <si>
    <t>TUBO FoFo C/ FLANGES DN 1200 PN10 - L=1500</t>
  </si>
  <si>
    <t>I4622</t>
  </si>
  <si>
    <t>TUBO FoFo C/ FLANGES DN 1200 PN10 - L=2000</t>
  </si>
  <si>
    <t>I4623</t>
  </si>
  <si>
    <t>TUBO FoFo C/ FLANGES DN 1200 PN10 - L=2500</t>
  </si>
  <si>
    <t>I4624</t>
  </si>
  <si>
    <t>TUBO FoFo C/ FLANGES DN 1200 PN10 - L=3000</t>
  </si>
  <si>
    <t>I4625</t>
  </si>
  <si>
    <t>TUBO FoFo C/ FLANGES DN 1200 PN10 - L=3500</t>
  </si>
  <si>
    <t>I4626</t>
  </si>
  <si>
    <t>TUBO FoFo C/ FLANGES DN 1200 PN10 - L=4000</t>
  </si>
  <si>
    <t>I4627</t>
  </si>
  <si>
    <t>TUBO FoFo C/ FLANGES DN 1200 PN10 - L=4500</t>
  </si>
  <si>
    <t>I4628</t>
  </si>
  <si>
    <t>TUBO FoFo C/ FLANGES DN 1200 PN10 - L=5000</t>
  </si>
  <si>
    <t>I4629</t>
  </si>
  <si>
    <t>TUBO FoFo C/ FLANGES DN 1200 PN10 - L=5500</t>
  </si>
  <si>
    <t>I4630</t>
  </si>
  <si>
    <t>TUBO FoFo C/ FLANGES DN 1200 PN10 - L=6000</t>
  </si>
  <si>
    <t>I4631</t>
  </si>
  <si>
    <t>TUBO FoFo C/ FLANGES DN 1200 PN10 - L=6500</t>
  </si>
  <si>
    <t>I4632</t>
  </si>
  <si>
    <t>TUBO FoFo C/ FLANGES DN 1200 PN10 - L=6800</t>
  </si>
  <si>
    <t>I12143</t>
  </si>
  <si>
    <t>TUBO FoFo C/ FLANGES DN 1200 PN16 - L=1000</t>
  </si>
  <si>
    <t>I12144</t>
  </si>
  <si>
    <t>TUBO FoFo C/ FLANGES DN 1200 PN16 - L=1500</t>
  </si>
  <si>
    <t>I12145</t>
  </si>
  <si>
    <t>TUBO FoFo C/ FLANGES DN 1200 PN16 - L=2000</t>
  </si>
  <si>
    <t>I12146</t>
  </si>
  <si>
    <t>TUBO FoFo C/ FLANGES DN 1200 PN25 - L=1500</t>
  </si>
  <si>
    <t>I12147</t>
  </si>
  <si>
    <t>TUBO FoFo C/ FLANGES DN 1200 PN25 - L=2000</t>
  </si>
  <si>
    <t>I11923</t>
  </si>
  <si>
    <t>TUBO FoFo C/ FLANGES DN 150 PN25 - L=1000</t>
  </si>
  <si>
    <t>I11924</t>
  </si>
  <si>
    <t>TUBO FoFo C/ FLANGES DN 150 PN25 - L=1500</t>
  </si>
  <si>
    <t>I11925</t>
  </si>
  <si>
    <t>TUBO FoFo C/ FLANGES DN 150 PN25 - L=2000</t>
  </si>
  <si>
    <t>I11926</t>
  </si>
  <si>
    <t>TUBO FoFo C/ FLANGES DN 150 PN25 - L=2500</t>
  </si>
  <si>
    <t>I11927</t>
  </si>
  <si>
    <t>TUBO FoFo C/ FLANGES DN 150 PN25 - L=3000</t>
  </si>
  <si>
    <t>I11928</t>
  </si>
  <si>
    <t>TUBO FoFo C/ FLANGES DN 150 PN25 - L=3500</t>
  </si>
  <si>
    <t>I11929</t>
  </si>
  <si>
    <t>TUBO FoFo C/ FLANGES DN 150 PN25 - L=4000</t>
  </si>
  <si>
    <t>I11930</t>
  </si>
  <si>
    <t>TUBO FoFo C/ FLANGES DN 150 PN25 - L=4500</t>
  </si>
  <si>
    <t>I11931</t>
  </si>
  <si>
    <t>TUBO FoFo C/ FLANGES DN 150 PN25 - L=5000</t>
  </si>
  <si>
    <t>I11932</t>
  </si>
  <si>
    <t>TUBO FoFo C/ FLANGES DN 150 PN25 - L=5500</t>
  </si>
  <si>
    <t>I11933</t>
  </si>
  <si>
    <t>TUBO FoFo C/ FLANGES DN 150 PN25 - L=5800</t>
  </si>
  <si>
    <t>I11934</t>
  </si>
  <si>
    <t>TUBO FoFo C/ FLANGES DN 200 PN16 - L=1000</t>
  </si>
  <si>
    <t>I11935</t>
  </si>
  <si>
    <t>TUBO FoFo C/ FLANGES DN 200 PN16 - L=1500</t>
  </si>
  <si>
    <t>I11936</t>
  </si>
  <si>
    <t>TUBO FoFo C/ FLANGES DN 200 PN16 - L=2000</t>
  </si>
  <si>
    <t>I11937</t>
  </si>
  <si>
    <t>TUBO FoFo C/ FLANGES DN 200 PN16 - L=2500</t>
  </si>
  <si>
    <t>I11938</t>
  </si>
  <si>
    <t>TUBO FoFo C/ FLANGES DN 200 PN16 - L=3000</t>
  </si>
  <si>
    <t>I11939</t>
  </si>
  <si>
    <t>TUBO FoFo C/ FLANGES DN 200 PN16 - L=3500</t>
  </si>
  <si>
    <t>I11940</t>
  </si>
  <si>
    <t>TUBO FoFo C/ FLANGES DN 200 PN16 - L=4000</t>
  </si>
  <si>
    <t>I11941</t>
  </si>
  <si>
    <t>TUBO FoFo C/ FLANGES DN 200 PN16 - L=4500</t>
  </si>
  <si>
    <t>I11942</t>
  </si>
  <si>
    <t>TUBO FoFo C/ FLANGES DN 200 PN16 - L=5000</t>
  </si>
  <si>
    <t>I11943</t>
  </si>
  <si>
    <t>TUBO FoFo C/ FLANGES DN 200 PN16 - L=5500</t>
  </si>
  <si>
    <t>I11944</t>
  </si>
  <si>
    <t>TUBO FoFo C/ FLANGES DN 200 PN16 - L=5800</t>
  </si>
  <si>
    <t>I11945</t>
  </si>
  <si>
    <t>TUBO FoFo C/ FLANGES DN 200 PN25 - L=1000</t>
  </si>
  <si>
    <t>I11946</t>
  </si>
  <si>
    <t>TUBO FoFo C/ FLANGES DN 200 PN25 - L=1500</t>
  </si>
  <si>
    <t>I11947</t>
  </si>
  <si>
    <t>TUBO FoFo C/ FLANGES DN 200 PN25 - L=2000</t>
  </si>
  <si>
    <t>I11948</t>
  </si>
  <si>
    <t>TUBO FoFo C/ FLANGES DN 200 PN25 - L=2500</t>
  </si>
  <si>
    <t>I11949</t>
  </si>
  <si>
    <t>TUBO FoFo C/ FLANGES DN 200 PN25 - L=3000</t>
  </si>
  <si>
    <t>I11950</t>
  </si>
  <si>
    <t>TUBO FoFo C/ FLANGES DN 200 PN25 - L=3500</t>
  </si>
  <si>
    <t>I11951</t>
  </si>
  <si>
    <t>TUBO FoFo C/ FLANGES DN 200 PN25 - L=4000</t>
  </si>
  <si>
    <t>I11952</t>
  </si>
  <si>
    <t>TUBO FoFo C/ FLANGES DN 200 PN25 - L=4500</t>
  </si>
  <si>
    <t>I11953</t>
  </si>
  <si>
    <t>TUBO FoFo C/ FLANGES DN 200 PN25 - L=5000</t>
  </si>
  <si>
    <t>I11954</t>
  </si>
  <si>
    <t>TUBO FoFo C/ FLANGES DN 200 PN25 - L=5500</t>
  </si>
  <si>
    <t>I11955</t>
  </si>
  <si>
    <t>TUBO FoFo C/ FLANGES DN 200 PN25 - L=5800</t>
  </si>
  <si>
    <t>I11956</t>
  </si>
  <si>
    <t>TUBO FoFo C/ FLANGES DN 250 PN16 - L=1000</t>
  </si>
  <si>
    <t>I11957</t>
  </si>
  <si>
    <t>TUBO FoFo C/ FLANGES DN 250 PN16 - L=1500</t>
  </si>
  <si>
    <t>I11958</t>
  </si>
  <si>
    <t>TUBO FoFo C/ FLANGES DN 250 PN16 - L=2000</t>
  </si>
  <si>
    <t>I11959</t>
  </si>
  <si>
    <t>TUBO FoFo C/ FLANGES DN 250 PN16 - L=2500</t>
  </si>
  <si>
    <t>I11960</t>
  </si>
  <si>
    <t>TUBO FoFo C/ FLANGES DN 250 PN16 - L=3000</t>
  </si>
  <si>
    <t>I11961</t>
  </si>
  <si>
    <t>TUBO FoFo C/ FLANGES DN 250 PN16 - L=3500</t>
  </si>
  <si>
    <t>I11962</t>
  </si>
  <si>
    <t>TUBO FoFo C/ FLANGES DN 250 PN16 - L=4000</t>
  </si>
  <si>
    <t>I11963</t>
  </si>
  <si>
    <t>TUBO FoFo C/ FLANGES DN 250 PN16 - L=4500</t>
  </si>
  <si>
    <t>I11964</t>
  </si>
  <si>
    <t>TUBO FoFo C/ FLANGES DN 250 PN16 - L=5000</t>
  </si>
  <si>
    <t>I11965</t>
  </si>
  <si>
    <t>TUBO FoFo C/ FLANGES DN 250 PN16 - L=5500</t>
  </si>
  <si>
    <t>I11966</t>
  </si>
  <si>
    <t>TUBO FoFo C/ FLANGES DN 250 PN16 - L=5800</t>
  </si>
  <si>
    <t>I11967</t>
  </si>
  <si>
    <t>TUBO FoFo C/ FLANGES DN 250 PN25 - L=1000</t>
  </si>
  <si>
    <t>I11968</t>
  </si>
  <si>
    <t>TUBO FoFo C/ FLANGES DN 250 PN25 - L=1500</t>
  </si>
  <si>
    <t>I11969</t>
  </si>
  <si>
    <t>TUBO FoFo C/ FLANGES DN 250 PN25 - L=2000</t>
  </si>
  <si>
    <t>I11970</t>
  </si>
  <si>
    <t>TUBO FoFo C/ FLANGES DN 250 PN25 - L=2500</t>
  </si>
  <si>
    <t>I11971</t>
  </si>
  <si>
    <t>TUBO FoFo C/ FLANGES DN 250 PN25 - L=3000</t>
  </si>
  <si>
    <t>I11972</t>
  </si>
  <si>
    <t>TUBO FoFo C/ FLANGES DN 250 PN25 - L=3500</t>
  </si>
  <si>
    <t>I11973</t>
  </si>
  <si>
    <t>TUBO FoFo C/ FLANGES DN 250 PN25 - L=4000</t>
  </si>
  <si>
    <t>I11974</t>
  </si>
  <si>
    <t>TUBO FoFo C/ FLANGES DN 250 PN25 - L=4500</t>
  </si>
  <si>
    <t>I11975</t>
  </si>
  <si>
    <t>TUBO FoFo C/ FLANGES DN 250 PN25 - L=5000</t>
  </si>
  <si>
    <t>I11976</t>
  </si>
  <si>
    <t>TUBO FoFo C/ FLANGES DN 250 PN25 - L=5500</t>
  </si>
  <si>
    <t>I11977</t>
  </si>
  <si>
    <t>TUBO FoFo C/ FLANGES DN 250 PN25 - L=5800</t>
  </si>
  <si>
    <t>I11978</t>
  </si>
  <si>
    <t>TUBO FoFo C/ FLANGES DN 300 PN16 - L=1000</t>
  </si>
  <si>
    <t>I11979</t>
  </si>
  <si>
    <t>TUBO FoFo C/ FLANGES DN 300 PN16 - L=1500</t>
  </si>
  <si>
    <t>I11980</t>
  </si>
  <si>
    <t>TUBO FoFo C/ FLANGES DN 300 PN16 - L=2000</t>
  </si>
  <si>
    <t>I11981</t>
  </si>
  <si>
    <t>TUBO FoFo C/ FLANGES DN 300 PN16 - L=2500</t>
  </si>
  <si>
    <t>I11982</t>
  </si>
  <si>
    <t>TUBO FoFo C/ FLANGES DN 300 PN16 - L=3000</t>
  </si>
  <si>
    <t>I11983</t>
  </si>
  <si>
    <t>TUBO FoFo C/ FLANGES DN 300 PN16 - L=3500</t>
  </si>
  <si>
    <t>I11984</t>
  </si>
  <si>
    <t>TUBO FoFo C/ FLANGES DN 300 PN16 - L=4000</t>
  </si>
  <si>
    <t>I11985</t>
  </si>
  <si>
    <t>TUBO FoFo C/ FLANGES DN 300 PN16 - L=4500</t>
  </si>
  <si>
    <t>I11986</t>
  </si>
  <si>
    <t>TUBO FoFo C/ FLANGES DN 300 PN16 - L=5000</t>
  </si>
  <si>
    <t>I11987</t>
  </si>
  <si>
    <t>TUBO FoFo C/ FLANGES DN 300 PN16 - L=5500</t>
  </si>
  <si>
    <t>I11988</t>
  </si>
  <si>
    <t>TUBO FoFo C/ FLANGES DN 300 PN16 - L=5800</t>
  </si>
  <si>
    <t>I11989</t>
  </si>
  <si>
    <t>TUBO FoFo C/ FLANGES DN 300 PN25 - L=1000</t>
  </si>
  <si>
    <t>I11990</t>
  </si>
  <si>
    <t>TUBO FoFo C/ FLANGES DN 300 PN25 - L=1500</t>
  </si>
  <si>
    <t>I11991</t>
  </si>
  <si>
    <t>TUBO FoFo C/ FLANGES DN 300 PN25 - L=2000</t>
  </si>
  <si>
    <t>I11992</t>
  </si>
  <si>
    <t>TUBO FoFo C/ FLANGES DN 300 PN25 - L=2500</t>
  </si>
  <si>
    <t>I11993</t>
  </si>
  <si>
    <t>TUBO FoFo C/ FLANGES DN 300 PN25 - L=3000</t>
  </si>
  <si>
    <t>I11994</t>
  </si>
  <si>
    <t>TUBO FoFo C/ FLANGES DN 300 PN25 - L=3500</t>
  </si>
  <si>
    <t>I11995</t>
  </si>
  <si>
    <t>TUBO FoFo C/ FLANGES DN 300 PN25 - L=4000</t>
  </si>
  <si>
    <t>I11996</t>
  </si>
  <si>
    <t>TUBO FoFo C/ FLANGES DN 300 PN25 - L=4500</t>
  </si>
  <si>
    <t>I11997</t>
  </si>
  <si>
    <t>TUBO FoFo C/ FLANGES DN 300 PN25 - L=5000</t>
  </si>
  <si>
    <t>I11998</t>
  </si>
  <si>
    <t>TUBO FoFo C/ FLANGES DN 300 PN25 - L=5500</t>
  </si>
  <si>
    <t>I11999</t>
  </si>
  <si>
    <t>TUBO FoFo C/ FLANGES DN 300 PN25 - L=5800</t>
  </si>
  <si>
    <t>I12000</t>
  </si>
  <si>
    <t>TUBO FoFo C/ FLANGES DN 350 PN16 - L=1000</t>
  </si>
  <si>
    <t>I12001</t>
  </si>
  <si>
    <t>TUBO FoFo C/ FLANGES DN 350 PN16 - L=1500</t>
  </si>
  <si>
    <t>I12002</t>
  </si>
  <si>
    <t>TUBO FoFo C/ FLANGES DN 350 PN16 - L=2000</t>
  </si>
  <si>
    <t>I12003</t>
  </si>
  <si>
    <t>TUBO FoFo C/ FLANGES DN 350 PN16 - L=2500</t>
  </si>
  <si>
    <t>I12004</t>
  </si>
  <si>
    <t>TUBO FoFo C/ FLANGES DN 350 PN16 - L=3000</t>
  </si>
  <si>
    <t>I12005</t>
  </si>
  <si>
    <t>TUBO FoFo C/ FLANGES DN 350 PN16 - L=3500</t>
  </si>
  <si>
    <t>I12006</t>
  </si>
  <si>
    <t>TUBO FoFo C/ FLANGES DN 350 PN16 - L=4000</t>
  </si>
  <si>
    <t>I12007</t>
  </si>
  <si>
    <t>TUBO FoFo C/ FLANGES DN 350 PN16 - L=4500</t>
  </si>
  <si>
    <t>I12008</t>
  </si>
  <si>
    <t>TUBO FoFo C/ FLANGES DN 350 PN16 - L=5000</t>
  </si>
  <si>
    <t>I12009</t>
  </si>
  <si>
    <t>TUBO FoFo C/ FLANGES DN 350 PN16 - L=5500</t>
  </si>
  <si>
    <t>I12010</t>
  </si>
  <si>
    <t>TUBO FoFo C/ FLANGES DN 350 PN16 - L=5800</t>
  </si>
  <si>
    <t>I12011</t>
  </si>
  <si>
    <t>TUBO FoFo C/ FLANGES DN 350 PN25 - L=1000</t>
  </si>
  <si>
    <t>I12012</t>
  </si>
  <si>
    <t>TUBO FoFo C/ FLANGES DN 350 PN25 - L=1500</t>
  </si>
  <si>
    <t>I12013</t>
  </si>
  <si>
    <t>TUBO FoFo C/ FLANGES DN 350 PN25 - L=2000</t>
  </si>
  <si>
    <t>I12014</t>
  </si>
  <si>
    <t>TUBO FoFo C/ FLANGES DN 350 PN25 - L=2500</t>
  </si>
  <si>
    <t>I12015</t>
  </si>
  <si>
    <t>TUBO FoFo C/ FLANGES DN 350 PN25 - L=3000</t>
  </si>
  <si>
    <t>I12016</t>
  </si>
  <si>
    <t>TUBO FoFo C/ FLANGES DN 350 PN25 - L=3500</t>
  </si>
  <si>
    <t>I12017</t>
  </si>
  <si>
    <t>TUBO FoFo C/ FLANGES DN 350 PN25 - L=4000</t>
  </si>
  <si>
    <t>I12018</t>
  </si>
  <si>
    <t>TUBO FoFo C/ FLANGES DN 350 PN25 - L=4500</t>
  </si>
  <si>
    <t>I12019</t>
  </si>
  <si>
    <t>TUBO FoFo C/ FLANGES DN 350 PN25 - L=5000</t>
  </si>
  <si>
    <t>I12020</t>
  </si>
  <si>
    <t>TUBO FoFo C/ FLANGES DN 350 PN25 - L=5500</t>
  </si>
  <si>
    <t>I12021</t>
  </si>
  <si>
    <t>TUBO FoFo C/ FLANGES DN 350 PN25 - L=5800</t>
  </si>
  <si>
    <t>I12022</t>
  </si>
  <si>
    <t>TUBO FoFo C/ FLANGES DN 400 PN16 - L=1000</t>
  </si>
  <si>
    <t>I12023</t>
  </si>
  <si>
    <t>TUBO FoFo C/ FLANGES DN 400 PN16 - L=1500</t>
  </si>
  <si>
    <t>I12024</t>
  </si>
  <si>
    <t>TUBO FoFo C/ FLANGES DN 400 PN16 - L=2000</t>
  </si>
  <si>
    <t>I12025</t>
  </si>
  <si>
    <t>TUBO FoFo C/ FLANGES DN 400 PN16 - L=2500</t>
  </si>
  <si>
    <t>I12026</t>
  </si>
  <si>
    <t>TUBO FoFo C/ FLANGES DN 400 PN16 - L=3000</t>
  </si>
  <si>
    <t>I12027</t>
  </si>
  <si>
    <t>TUBO FoFo C/ FLANGES DN 400 PN16 - L=3500</t>
  </si>
  <si>
    <t>I12028</t>
  </si>
  <si>
    <t>TUBO FoFo C/ FLANGES DN 400 PN16 - L=4000</t>
  </si>
  <si>
    <t>I12029</t>
  </si>
  <si>
    <t>TUBO FoFo C/ FLANGES DN 400 PN16 - L=4500</t>
  </si>
  <si>
    <t>I12030</t>
  </si>
  <si>
    <t>TUBO FoFo C/ FLANGES DN 400 PN16 - L=5000</t>
  </si>
  <si>
    <t>I12031</t>
  </si>
  <si>
    <t>TUBO FoFo C/ FLANGES DN 400 PN16 - L=5500</t>
  </si>
  <si>
    <t>I12032</t>
  </si>
  <si>
    <t>TUBO FoFo C/ FLANGES DN 400 PN16 - L=5800</t>
  </si>
  <si>
    <t>I12033</t>
  </si>
  <si>
    <t>TUBO FoFo C/ FLANGES DN 400 PN25 - L=1000</t>
  </si>
  <si>
    <t>I12034</t>
  </si>
  <si>
    <t>TUBO FoFo C/ FLANGES DN 400 PN25 - L=1500</t>
  </si>
  <si>
    <t>I12035</t>
  </si>
  <si>
    <t>TUBO FoFo C/ FLANGES DN 400 PN25 - L=2000</t>
  </si>
  <si>
    <t>I12036</t>
  </si>
  <si>
    <t>TUBO FoFo C/ FLANGES DN 400 PN25 - L=2500</t>
  </si>
  <si>
    <t>I12037</t>
  </si>
  <si>
    <t>TUBO FoFo C/ FLANGES DN 400 PN25 - L=3000</t>
  </si>
  <si>
    <t>I12038</t>
  </si>
  <si>
    <t>TUBO FoFo C/ FLANGES DN 400 PN25 - L=3500</t>
  </si>
  <si>
    <t>I12039</t>
  </si>
  <si>
    <t>TUBO FoFo C/ FLANGES DN 400 PN25 - L=4000</t>
  </si>
  <si>
    <t>I12040</t>
  </si>
  <si>
    <t>TUBO FoFo C/ FLANGES DN 400 PN25 - L=4500</t>
  </si>
  <si>
    <t>I12041</t>
  </si>
  <si>
    <t>TUBO FoFo C/ FLANGES DN 400 PN25 - L=5000</t>
  </si>
  <si>
    <t>I12042</t>
  </si>
  <si>
    <t>TUBO FoFo C/ FLANGES DN 400 PN25 - L=5500</t>
  </si>
  <si>
    <t>I12043</t>
  </si>
  <si>
    <t>TUBO FoFo C/ FLANGES DN 400 PN25 - L=5800</t>
  </si>
  <si>
    <t>I12044</t>
  </si>
  <si>
    <t>TUBO FoFo C/ FLANGES DN 450 PN16 - L=1000</t>
  </si>
  <si>
    <t>I12045</t>
  </si>
  <si>
    <t>TUBO FoFo C/ FLANGES DN 450 PN16 - L=1500</t>
  </si>
  <si>
    <t>I12046</t>
  </si>
  <si>
    <t>TUBO FoFo C/ FLANGES DN 450 PN16 - L=2000</t>
  </si>
  <si>
    <t>I12047</t>
  </si>
  <si>
    <t>TUBO FoFo C/ FLANGES DN 450 PN16 - L=2500</t>
  </si>
  <si>
    <t>I12048</t>
  </si>
  <si>
    <t>TUBO FoFo C/ FLANGES DN 450 PN16 - L=3000</t>
  </si>
  <si>
    <t>I12049</t>
  </si>
  <si>
    <t>TUBO FoFo C/ FLANGES DN 450 PN16 - L=3500</t>
  </si>
  <si>
    <t>I12050</t>
  </si>
  <si>
    <t>TUBO FoFo C/ FLANGES DN 450 PN16 - L=4000</t>
  </si>
  <si>
    <t>I12051</t>
  </si>
  <si>
    <t>TUBO FoFo C/ FLANGES DN 450 PN16 - L=4500</t>
  </si>
  <si>
    <t>I12052</t>
  </si>
  <si>
    <t>TUBO FoFo C/ FLANGES DN 450 PN16 - L=5000</t>
  </si>
  <si>
    <t>I12053</t>
  </si>
  <si>
    <t>TUBO FoFo C/ FLANGES DN 450 PN16 - L=5500</t>
  </si>
  <si>
    <t>I12054</t>
  </si>
  <si>
    <t>TUBO FoFo C/ FLANGES DN 450 PN16 - L=5800</t>
  </si>
  <si>
    <t>I12055</t>
  </si>
  <si>
    <t>TUBO FoFo C/ FLANGES DN 450 PN25 - L=1000</t>
  </si>
  <si>
    <t>I12056</t>
  </si>
  <si>
    <t>TUBO FoFo C/ FLANGES DN 450 PN25 - L=1500</t>
  </si>
  <si>
    <t>I12057</t>
  </si>
  <si>
    <t>TUBO FoFo C/ FLANGES DN 450 PN25 - L=2000</t>
  </si>
  <si>
    <t>I12058</t>
  </si>
  <si>
    <t>TUBO FoFo C/ FLANGES DN 450 PN25 - L=2500</t>
  </si>
  <si>
    <t>I12059</t>
  </si>
  <si>
    <t>TUBO FoFo C/ FLANGES DN 450 PN25 - L=3000</t>
  </si>
  <si>
    <t>I12060</t>
  </si>
  <si>
    <t>TUBO FoFo C/ FLANGES DN 450 PN25 - L=3500</t>
  </si>
  <si>
    <t>I12061</t>
  </si>
  <si>
    <t>TUBO FoFo C/ FLANGES DN 450 PN25 - L=4000</t>
  </si>
  <si>
    <t>I12062</t>
  </si>
  <si>
    <t>TUBO FoFo C/ FLANGES DN 450 PN25 - L=4500</t>
  </si>
  <si>
    <t>I12063</t>
  </si>
  <si>
    <t>TUBO FoFo C/ FLANGES DN 450 PN25 - L=5000</t>
  </si>
  <si>
    <t>I12064</t>
  </si>
  <si>
    <t>TUBO FoFo C/ FLANGES DN 450 PN25 - L=5500</t>
  </si>
  <si>
    <t>I12065</t>
  </si>
  <si>
    <t>TUBO FoFo C/ FLANGES DN 450 PN25 - L=5800</t>
  </si>
  <si>
    <t>I3976</t>
  </si>
  <si>
    <t>TUBO FoFo C/ FLANGES DN 500 PN10 - L= 250</t>
  </si>
  <si>
    <t>I4546</t>
  </si>
  <si>
    <t>TUBO FoFo C/ FLANGES DN 500 PN10 - L=1000</t>
  </si>
  <si>
    <t>I4547</t>
  </si>
  <si>
    <t>TUBO FoFo C/ FLANGES DN 500 PN10 - L=1500</t>
  </si>
  <si>
    <t>I4548</t>
  </si>
  <si>
    <t>TUBO FoFo C/ FLANGES DN 500 PN10 - L=2000</t>
  </si>
  <si>
    <t>I4549</t>
  </si>
  <si>
    <t>TUBO FoFo C/ FLANGES DN 500 PN10 - L=2500</t>
  </si>
  <si>
    <t>I4550</t>
  </si>
  <si>
    <t>TUBO FoFo C/ FLANGES DN 500 PN10 - L=3000</t>
  </si>
  <si>
    <t>I4551</t>
  </si>
  <si>
    <t>TUBO FoFo C/ FLANGES DN 500 PN10 - L=3500</t>
  </si>
  <si>
    <t>I4552</t>
  </si>
  <si>
    <t>TUBO FoFo C/ FLANGES DN 500 PN10 - L=4000</t>
  </si>
  <si>
    <t>I4553</t>
  </si>
  <si>
    <t>TUBO FoFo C/ FLANGES DN 500 PN10 - L=4500</t>
  </si>
  <si>
    <t>I3977</t>
  </si>
  <si>
    <t>TUBO FoFo C/ FLANGES DN 500 PN10 - L=500</t>
  </si>
  <si>
    <t>I4554</t>
  </si>
  <si>
    <t>TUBO FoFo C/ FLANGES DN 500 PN10 - L=5000</t>
  </si>
  <si>
    <t>I4555</t>
  </si>
  <si>
    <t>TUBO FoFo C/ FLANGES DN 500 PN10 - L=5500</t>
  </si>
  <si>
    <t>I4556</t>
  </si>
  <si>
    <t>TUBO FoFo C/ FLANGES DN 500 PN10 - L=5800</t>
  </si>
  <si>
    <t>I12066</t>
  </si>
  <si>
    <t>TUBO FoFo C/ FLANGES DN 500 PN16 - L=1000</t>
  </si>
  <si>
    <t>I12067</t>
  </si>
  <si>
    <t>TUBO FoFo C/ FLANGES DN 500 PN16 - L=1500</t>
  </si>
  <si>
    <t>I12068</t>
  </si>
  <si>
    <t>TUBO FoFo C/ FLANGES DN 500 PN16 - L=2000</t>
  </si>
  <si>
    <t>I12069</t>
  </si>
  <si>
    <t>TUBO FoFo C/ FLANGES DN 500 PN16 - L=2500</t>
  </si>
  <si>
    <t>I12070</t>
  </si>
  <si>
    <t>TUBO FoFo C/ FLANGES DN 500 PN16 - L=3000</t>
  </si>
  <si>
    <t>I12071</t>
  </si>
  <si>
    <t>TUBO FoFo C/ FLANGES DN 500 PN16 - L=3500</t>
  </si>
  <si>
    <t>I12072</t>
  </si>
  <si>
    <t>TUBO FoFo C/ FLANGES DN 500 PN16 - L=4000</t>
  </si>
  <si>
    <t>I12073</t>
  </si>
  <si>
    <t>TUBO FoFo C/ FLANGES DN 500 PN16 - L=4500</t>
  </si>
  <si>
    <t>I12074</t>
  </si>
  <si>
    <t>TUBO FoFo C/ FLANGES DN 500 PN16 - L=5000</t>
  </si>
  <si>
    <t>I12075</t>
  </si>
  <si>
    <t>TUBO FoFo C/ FLANGES DN 500 PN16 - L=5500</t>
  </si>
  <si>
    <t>I12076</t>
  </si>
  <si>
    <t>TUBO FoFo C/ FLANGES DN 500 PN16 - L=5800</t>
  </si>
  <si>
    <t>I12077</t>
  </si>
  <si>
    <t>TUBO FoFo C/ FLANGES DN 500 PN25 - L=1000</t>
  </si>
  <si>
    <t>I12078</t>
  </si>
  <si>
    <t>TUBO FoFo C/ FLANGES DN 500 PN25 - L=1500</t>
  </si>
  <si>
    <t>I12079</t>
  </si>
  <si>
    <t>TUBO FoFo C/ FLANGES DN 500 PN25 - L=2000</t>
  </si>
  <si>
    <t>I12080</t>
  </si>
  <si>
    <t>TUBO FoFo C/ FLANGES DN 500 PN25 - L=2500</t>
  </si>
  <si>
    <t>I12081</t>
  </si>
  <si>
    <t>TUBO FoFo C/ FLANGES DN 500 PN25 - L=3000</t>
  </si>
  <si>
    <t>I12082</t>
  </si>
  <si>
    <t>TUBO FoFo C/ FLANGES DN 500 PN25 - L=3500</t>
  </si>
  <si>
    <t>I12083</t>
  </si>
  <si>
    <t>TUBO FoFo C/ FLANGES DN 500 PN25 - L=4000</t>
  </si>
  <si>
    <t>I12084</t>
  </si>
  <si>
    <t>TUBO FoFo C/ FLANGES DN 500 PN25 - L=4500</t>
  </si>
  <si>
    <t>I12085</t>
  </si>
  <si>
    <t>TUBO FoFo C/ FLANGES DN 500 PN25 - L=5000</t>
  </si>
  <si>
    <t>I12086</t>
  </si>
  <si>
    <t>TUBO FoFo C/ FLANGES DN 500 PN25 - L=5500</t>
  </si>
  <si>
    <t>I12087</t>
  </si>
  <si>
    <t>TUBO FoFo C/ FLANGES DN 500 PN25 - L=5800</t>
  </si>
  <si>
    <t>I4557</t>
  </si>
  <si>
    <t>TUBO FoFo C/ FLANGES DN 600 PN10 - L=1000</t>
  </si>
  <si>
    <t>I4558</t>
  </si>
  <si>
    <t>TUBO FoFo C/ FLANGES DN 600 PN10 - L=1500</t>
  </si>
  <si>
    <t>I4559</t>
  </si>
  <si>
    <t>TUBO FoFo C/ FLANGES DN 600 PN10 - L=2000</t>
  </si>
  <si>
    <t>I3978</t>
  </si>
  <si>
    <t>TUBO FoFo C/ FLANGES DN 600 PN10 - L=250</t>
  </si>
  <si>
    <t>I4560</t>
  </si>
  <si>
    <t>TUBO FoFo C/ FLANGES DN 600 PN10 - L=2500</t>
  </si>
  <si>
    <t>I4561</t>
  </si>
  <si>
    <t>TUBO FoFo C/ FLANGES DN 600 PN10 - L=3000</t>
  </si>
  <si>
    <t>I4562</t>
  </si>
  <si>
    <t>TUBO FoFo C/ FLANGES DN 600 PN10 - L=3500</t>
  </si>
  <si>
    <t>I4563</t>
  </si>
  <si>
    <t>TUBO FoFo C/ FLANGES DN 600 PN10 - L=4000</t>
  </si>
  <si>
    <t>I4564</t>
  </si>
  <si>
    <t>TUBO FoFo C/ FLANGES DN 600 PN10 - L=4500</t>
  </si>
  <si>
    <t>I3979</t>
  </si>
  <si>
    <t>TUBO FoFo C/ FLANGES DN 600 PN10 - L=500</t>
  </si>
  <si>
    <t>I4565</t>
  </si>
  <si>
    <t>TUBO FoFo C/ FLANGES DN 600 PN10 - L=5000</t>
  </si>
  <si>
    <t>I4566</t>
  </si>
  <si>
    <t>TUBO FoFo C/ FLANGES DN 600 PN10 - L=5500</t>
  </si>
  <si>
    <t>I4567</t>
  </si>
  <si>
    <t>TUBO FoFo C/ FLANGES DN 600 PN10 - L=5800</t>
  </si>
  <si>
    <t>I12088</t>
  </si>
  <si>
    <t>TUBO FoFo C/ FLANGES DN 600 PN16 - L=1000</t>
  </si>
  <si>
    <t>I12089</t>
  </si>
  <si>
    <t>TUBO FoFo C/ FLANGES DN 600 PN16 - L=1500</t>
  </si>
  <si>
    <t>I12090</t>
  </si>
  <si>
    <t>TUBO FoFo C/ FLANGES DN 600 PN16 - L=2000</t>
  </si>
  <si>
    <t>I12091</t>
  </si>
  <si>
    <t>TUBO FoFo C/ FLANGES DN 600 PN16 - L=2500</t>
  </si>
  <si>
    <t>I12092</t>
  </si>
  <si>
    <t>TUBO FoFo C/ FLANGES DN 600 PN16 - L=3000</t>
  </si>
  <si>
    <t>I12093</t>
  </si>
  <si>
    <t>TUBO FoFo C/ FLANGES DN 600 PN16 - L=3500</t>
  </si>
  <si>
    <t>I12094</t>
  </si>
  <si>
    <t>TUBO FoFo C/ FLANGES DN 600 PN16 - L=4000</t>
  </si>
  <si>
    <t>I12095</t>
  </si>
  <si>
    <t>TUBO FoFo C/ FLANGES DN 600 PN16 - L=4500</t>
  </si>
  <si>
    <t>I12096</t>
  </si>
  <si>
    <t>TUBO FoFo C/ FLANGES DN 600 PN16 - L=5000</t>
  </si>
  <si>
    <t>I12097</t>
  </si>
  <si>
    <t>TUBO FoFo C/ FLANGES DN 600 PN16 - L=5500</t>
  </si>
  <si>
    <t>I12098</t>
  </si>
  <si>
    <t>TUBO FoFo C/ FLANGES DN 600 PN16 - L=5800</t>
  </si>
  <si>
    <t>I12099</t>
  </si>
  <si>
    <t>TUBO FoFo C/ FLANGES DN 600 PN25 - L=1000</t>
  </si>
  <si>
    <t>I12100</t>
  </si>
  <si>
    <t>TUBO FoFo C/ FLANGES DN 600 PN25 - L=1500</t>
  </si>
  <si>
    <t>I12101</t>
  </si>
  <si>
    <t>TUBO FoFo C/ FLANGES DN 600 PN25 - L=2000</t>
  </si>
  <si>
    <t>I12102</t>
  </si>
  <si>
    <t>TUBO FoFo C/ FLANGES DN 600 PN25 - L=2500</t>
  </si>
  <si>
    <t>I12103</t>
  </si>
  <si>
    <t>TUBO FoFo C/ FLANGES DN 600 PN25 - L=3000</t>
  </si>
  <si>
    <t>I12104</t>
  </si>
  <si>
    <t>TUBO FoFo C/ FLANGES DN 600 PN25 - L=3500</t>
  </si>
  <si>
    <t>I12105</t>
  </si>
  <si>
    <t>TUBO FoFo C/ FLANGES DN 600 PN25 - L=4000</t>
  </si>
  <si>
    <t>I12106</t>
  </si>
  <si>
    <t>TUBO FoFo C/ FLANGES DN 600 PN25 - L=4500</t>
  </si>
  <si>
    <t>I12107</t>
  </si>
  <si>
    <t>TUBO FoFo C/ FLANGES DN 600 PN25 - L=5000</t>
  </si>
  <si>
    <t>I12108</t>
  </si>
  <si>
    <t>TUBO FoFo C/ FLANGES DN 600 PN25 - L=5500</t>
  </si>
  <si>
    <t>I12109</t>
  </si>
  <si>
    <t>TUBO FoFo C/ FLANGES DN 600 PN25 - L=5800</t>
  </si>
  <si>
    <t>I3980</t>
  </si>
  <si>
    <t>TUBO FoFo C/ FLANGES DN 700  PN10 - L=250</t>
  </si>
  <si>
    <t>I3981</t>
  </si>
  <si>
    <t>TUBO FoFo C/ FLANGES DN 700  PN10 - L=500</t>
  </si>
  <si>
    <t>I4568</t>
  </si>
  <si>
    <t>TUBO FoFo C/ FLANGES DN 700 PN10 - L=1000</t>
  </si>
  <si>
    <t>I4569</t>
  </si>
  <si>
    <t>TUBO FoFo C/ FLANGES DN 700 PN10 - L=1500</t>
  </si>
  <si>
    <t>I4570</t>
  </si>
  <si>
    <t>TUBO FoFo C/ FLANGES DN 700 PN10 - L=2000</t>
  </si>
  <si>
    <t>I4571</t>
  </si>
  <si>
    <t>TUBO FoFo C/ FLANGES DN 700 PN10 - L=2500</t>
  </si>
  <si>
    <t>I4572</t>
  </si>
  <si>
    <t>TUBO FoFo C/ FLANGES DN 700 PN10 - L=3000</t>
  </si>
  <si>
    <t>I4573</t>
  </si>
  <si>
    <t>TUBO FoFo C/ FLANGES DN 700 PN10 - L=3500</t>
  </si>
  <si>
    <t>I4574</t>
  </si>
  <si>
    <t>TUBO FoFo C/ FLANGES DN 700 PN10 - L=4000</t>
  </si>
  <si>
    <t>I4575</t>
  </si>
  <si>
    <t>TUBO FoFo C/ FLANGES DN 700 PN10 - L=4500</t>
  </si>
  <si>
    <t>I4576</t>
  </si>
  <si>
    <t>TUBO FoFo C/ FLANGES DN 700 PN10 - L=5000</t>
  </si>
  <si>
    <t>I4577</t>
  </si>
  <si>
    <t>TUBO FoFo C/ FLANGES DN 700 PN10 - L=5500</t>
  </si>
  <si>
    <t>I4578</t>
  </si>
  <si>
    <t>TUBO FoFo C/ FLANGES DN 700 PN10 - L=6000</t>
  </si>
  <si>
    <t>I4579</t>
  </si>
  <si>
    <t>TUBO FoFo C/ FLANGES DN 700 PN10 - L=6500</t>
  </si>
  <si>
    <t>I4580</t>
  </si>
  <si>
    <t>TUBO FoFo C/ FLANGES DN 700 PN10 - L=6800</t>
  </si>
  <si>
    <t>I12110</t>
  </si>
  <si>
    <t>TUBO FoFo C/ FLANGES DN 700 PN16 - L=1000</t>
  </si>
  <si>
    <t>I12111</t>
  </si>
  <si>
    <t>TUBO FoFo C/ FLANGES DN 700 PN16 - L=1500</t>
  </si>
  <si>
    <t>I12112</t>
  </si>
  <si>
    <t>TUBO FoFo C/ FLANGES DN 700 PN16 - L=2000</t>
  </si>
  <si>
    <t>I12113</t>
  </si>
  <si>
    <t>TUBO FoFo C/ FLANGES DN 700 PN16 - L=2500</t>
  </si>
  <si>
    <t>I12114</t>
  </si>
  <si>
    <t>TUBO FoFo C/ FLANGES DN 700 PN16 - L=3000</t>
  </si>
  <si>
    <t>I12115</t>
  </si>
  <si>
    <t>TUBO FoFo C/ FLANGES DN 700 PN16 - L=3500</t>
  </si>
  <si>
    <t>I12116</t>
  </si>
  <si>
    <t>TUBO FoFo C/ FLANGES DN 700 PN16 - L=4000</t>
  </si>
  <si>
    <t>I12117</t>
  </si>
  <si>
    <t>TUBO FoFo C/ FLANGES DN 700 PN16 - L=4500</t>
  </si>
  <si>
    <t>I12118</t>
  </si>
  <si>
    <t>TUBO FoFo C/ FLANGES DN 700 PN16 - L=5000</t>
  </si>
  <si>
    <t>I12119</t>
  </si>
  <si>
    <t>TUBO FoFo C/ FLANGES DN 700 PN16 - L=5500</t>
  </si>
  <si>
    <t>I12120</t>
  </si>
  <si>
    <t>TUBO FoFo C/ FLANGES DN 700 PN16 - L=6000</t>
  </si>
  <si>
    <t>I12121</t>
  </si>
  <si>
    <t>TUBO FoFo C/ FLANGES DN 700 PN16 - L=6500</t>
  </si>
  <si>
    <t>I12122</t>
  </si>
  <si>
    <t>TUBO FoFo C/ FLANGES DN 700 PN16 - L=6800</t>
  </si>
  <si>
    <t>I3982</t>
  </si>
  <si>
    <t>TUBO FoFo C/ FLANGES DN 800  PN10 - L=250</t>
  </si>
  <si>
    <t>I3983</t>
  </si>
  <si>
    <t>TUBO FoFo C/ FLANGES DN 800  PN10 - L=500</t>
  </si>
  <si>
    <t>I4581</t>
  </si>
  <si>
    <t>TUBO FoFo C/ FLANGES DN 800 PN10 - L=1000</t>
  </si>
  <si>
    <t>I4582</t>
  </si>
  <si>
    <t>TUBO FoFo C/ FLANGES DN 800 PN10 - L=1500</t>
  </si>
  <si>
    <t>I4583</t>
  </si>
  <si>
    <t>TUBO FoFo C/ FLANGES DN 800 PN10 - L=2000</t>
  </si>
  <si>
    <t>I4584</t>
  </si>
  <si>
    <t>TUBO FoFo C/ FLANGES DN 800 PN10 - L=2500</t>
  </si>
  <si>
    <t>I4585</t>
  </si>
  <si>
    <t>TUBO FoFo C/ FLANGES DN 800 PN10 - L=3000</t>
  </si>
  <si>
    <t>I4586</t>
  </si>
  <si>
    <t>TUBO FoFo C/ FLANGES DN 800 PN10 - L=3500</t>
  </si>
  <si>
    <t>I4587</t>
  </si>
  <si>
    <t>TUBO FoFo C/ FLANGES DN 800 PN10 - L=4000</t>
  </si>
  <si>
    <t>I4588</t>
  </si>
  <si>
    <t>TUBO FoFo C/ FLANGES DN 800 PN10 - L=4500</t>
  </si>
  <si>
    <t>I12123</t>
  </si>
  <si>
    <t>TUBO FoFo C/ FLANGES DN 800 PN10 - L=4600</t>
  </si>
  <si>
    <t>I4589</t>
  </si>
  <si>
    <t>TUBO FoFo C/ FLANGES DN 800 PN10 - L=5000</t>
  </si>
  <si>
    <t>I4590</t>
  </si>
  <si>
    <t>TUBO FoFo C/ FLANGES DN 800 PN10 - L=5500</t>
  </si>
  <si>
    <t>I4591</t>
  </si>
  <si>
    <t>TUBO FoFo C/ FLANGES DN 800 PN10 - L=6000</t>
  </si>
  <si>
    <t>I4592</t>
  </si>
  <si>
    <t>TUBO FoFo C/ FLANGES DN 800 PN10 - L=6500</t>
  </si>
  <si>
    <t>I4593</t>
  </si>
  <si>
    <t>TUBO FoFo C/ FLANGES DN 800 PN10 - L=6800</t>
  </si>
  <si>
    <t>I12124</t>
  </si>
  <si>
    <t>TUBO FoFo C/ FLANGES DN 800 PN16 - L=1000</t>
  </si>
  <si>
    <t>I12125</t>
  </si>
  <si>
    <t>TUBO FoFo C/ FLANGES DN 800 PN16 - L=1500</t>
  </si>
  <si>
    <t>I12126</t>
  </si>
  <si>
    <t>TUBO FoFo C/ FLANGES DN 800 PN16 - L=2000</t>
  </si>
  <si>
    <t>I12127</t>
  </si>
  <si>
    <t>TUBO FoFo C/ FLANGES DN 800 PN25 - L=1000</t>
  </si>
  <si>
    <t>I12128</t>
  </si>
  <si>
    <t>TUBO FoFo C/ FLANGES DN 800 PN25 - L=1500</t>
  </si>
  <si>
    <t>I12129</t>
  </si>
  <si>
    <t>TUBO FoFo C/ FLANGES DN 800 PN25 - L=2000</t>
  </si>
  <si>
    <t>I3984</t>
  </si>
  <si>
    <t>TUBO FoFo C/ FLANGES DN 900  PN10 - L=250</t>
  </si>
  <si>
    <t>I3985</t>
  </si>
  <si>
    <t>TUBO FoFo C/ FLANGES DN 900  PN10 - L=500</t>
  </si>
  <si>
    <t>I4594</t>
  </si>
  <si>
    <t>TUBO FoFo C/ FLANGES DN 900 PN10 - L=1000</t>
  </si>
  <si>
    <t>I4595</t>
  </si>
  <si>
    <t>TUBO FoFo C/ FLANGES DN 900 PN10 - L=1500</t>
  </si>
  <si>
    <t>I4596</t>
  </si>
  <si>
    <t>TUBO FoFo C/ FLANGES DN 900 PN10 - L=2000</t>
  </si>
  <si>
    <t>I4597</t>
  </si>
  <si>
    <t>TUBO FoFo C/ FLANGES DN 900 PN10 - L=2500</t>
  </si>
  <si>
    <t>I4598</t>
  </si>
  <si>
    <t>TUBO FoFo C/ FLANGES DN 900 PN10 - L=3000</t>
  </si>
  <si>
    <t>I4599</t>
  </si>
  <si>
    <t>TUBO FoFo C/ FLANGES DN 900 PN10 - L=3500</t>
  </si>
  <si>
    <t>I4600</t>
  </si>
  <si>
    <t>TUBO FoFo C/ FLANGES DN 900 PN10 - L=4000</t>
  </si>
  <si>
    <t>I4601</t>
  </si>
  <si>
    <t>TUBO FoFo C/ FLANGES DN 900 PN10 - L=4500</t>
  </si>
  <si>
    <t>I4602</t>
  </si>
  <si>
    <t>TUBO FoFo C/ FLANGES DN 900 PN10 - L=5000</t>
  </si>
  <si>
    <t>I4603</t>
  </si>
  <si>
    <t>TUBO FoFo C/ FLANGES DN 900 PN10 - L=5500</t>
  </si>
  <si>
    <t>I4604</t>
  </si>
  <si>
    <t>TUBO FoFo C/ FLANGES DN 900 PN10 - L=6000</t>
  </si>
  <si>
    <t>I4605</t>
  </si>
  <si>
    <t>TUBO FoFo C/ FLANGES DN 900 PN10 - L=6500</t>
  </si>
  <si>
    <t>I4606</t>
  </si>
  <si>
    <t>TUBO FoFo C/ FLANGES DN 900 PN10 - L=6800</t>
  </si>
  <si>
    <t>I12130</t>
  </si>
  <si>
    <t>TUBO FoFo C/ FLANGES DN 900 PN16 - L=1000</t>
  </si>
  <si>
    <t>I12131</t>
  </si>
  <si>
    <t>TUBO FoFo C/ FLANGES DN 900 PN16 - L=1500</t>
  </si>
  <si>
    <t>I12132</t>
  </si>
  <si>
    <t>TUBO FoFo C/ FLANGES DN 900 PN16 - L=2000</t>
  </si>
  <si>
    <t>I12133</t>
  </si>
  <si>
    <t>TUBO FoFo C/ FLANGES DN 900 PN25 - L=1000</t>
  </si>
  <si>
    <t>I12134</t>
  </si>
  <si>
    <t>TUBO FoFo C/ FLANGES DN 900 PN25 - L=1500</t>
  </si>
  <si>
    <t>I12135</t>
  </si>
  <si>
    <t>TUBO FoFo C/ FLANGES DN 900 PN25 - L=2000</t>
  </si>
  <si>
    <t>I12243</t>
  </si>
  <si>
    <t>TUBO FoFo C/ FLANGES P/ ESGOTO DN 1000 PN10 - L=1000</t>
  </si>
  <si>
    <t>I12244</t>
  </si>
  <si>
    <t>TUBO FoFo C/ FLANGES P/ ESGOTO DN 1000 PN10 - L=1500</t>
  </si>
  <si>
    <t>I12245</t>
  </si>
  <si>
    <t>TUBO FoFo C/ FLANGES P/ ESGOTO DN 1000 PN10 - L=2000</t>
  </si>
  <si>
    <t>I12246</t>
  </si>
  <si>
    <t>TUBO FoFo C/ FLANGES P/ ESGOTO DN 1000 PN10 - L=2500</t>
  </si>
  <si>
    <t>I12247</t>
  </si>
  <si>
    <t>TUBO FoFo C/ FLANGES P/ ESGOTO DN 1000 PN10 - L=3000</t>
  </si>
  <si>
    <t>I12248</t>
  </si>
  <si>
    <t>TUBO FoFo C/ FLANGES P/ ESGOTO DN 1000 PN10 - L=3500</t>
  </si>
  <si>
    <t>I12249</t>
  </si>
  <si>
    <t>TUBO FoFo C/ FLANGES P/ ESGOTO DN 1000 PN10 - L=4000</t>
  </si>
  <si>
    <t>I12250</t>
  </si>
  <si>
    <t>TUBO FoFo C/ FLANGES P/ ESGOTO DN 1000 PN10 - L=4500</t>
  </si>
  <si>
    <t>I12251</t>
  </si>
  <si>
    <t>TUBO FoFo C/ FLANGES P/ ESGOTO DN 1000 PN10 - L=5000</t>
  </si>
  <si>
    <t>I12252</t>
  </si>
  <si>
    <t>TUBO FoFo C/ FLANGES P/ ESGOTO DN 1000 PN10 - L=5500</t>
  </si>
  <si>
    <t>I12253</t>
  </si>
  <si>
    <t>TUBO FoFo C/ FLANGES P/ ESGOTO DN 1000 PN10 - L=6800</t>
  </si>
  <si>
    <t>I12254</t>
  </si>
  <si>
    <t>TUBO FoFo C/ FLANGES P/ ESGOTO DN 1200 PN10 - L=1000</t>
  </si>
  <si>
    <t>I12255</t>
  </si>
  <si>
    <t>TUBO FoFo C/ FLANGES P/ ESGOTO DN 1200 PN10 - L=1500</t>
  </si>
  <si>
    <t>I12256</t>
  </si>
  <si>
    <t>TUBO FoFo C/ FLANGES P/ ESGOTO DN 1200 PN10 - L=2000</t>
  </si>
  <si>
    <t>I12257</t>
  </si>
  <si>
    <t>TUBO FoFo C/ FLANGES P/ ESGOTO DN 1200 PN10 - L=4000</t>
  </si>
  <si>
    <t>I12258</t>
  </si>
  <si>
    <t>TUBO FoFo C/ FLANGES P/ ESGOTO DN 1200 PN10 - L=4500</t>
  </si>
  <si>
    <t>I12259</t>
  </si>
  <si>
    <t>TUBO FoFo C/ FLANGES P/ ESGOTO DN 1200 PN10 - L=5500</t>
  </si>
  <si>
    <t>I12260</t>
  </si>
  <si>
    <t>TUBO FoFo C/ FLANGES P/ ESGOTO DN 1200 PN10 - L=6000</t>
  </si>
  <si>
    <t>I12261</t>
  </si>
  <si>
    <t>TUBO FoFo C/ FLANGES P/ ESGOTO DN 1200 PN10 - L=6800</t>
  </si>
  <si>
    <t>I12148</t>
  </si>
  <si>
    <t>TUBO FoFo C/ FLANGES P/ ESGOTO DN 200 PN10 - L=1000</t>
  </si>
  <si>
    <t>I12149</t>
  </si>
  <si>
    <t>TUBO FoFo C/ FLANGES P/ ESGOTO DN 200 PN10 - L=1500</t>
  </si>
  <si>
    <t>I12150</t>
  </si>
  <si>
    <t>TUBO FoFo C/ FLANGES P/ ESGOTO DN 200 PN10 - L=2000</t>
  </si>
  <si>
    <t>I12151</t>
  </si>
  <si>
    <t>TUBO FoFo C/ FLANGES P/ ESGOTO DN 200 PN10 - L=2500</t>
  </si>
  <si>
    <t>I12152</t>
  </si>
  <si>
    <t>TUBO FoFo C/ FLANGES P/ ESGOTO DN 200 PN10 - L=3000</t>
  </si>
  <si>
    <t>I12153</t>
  </si>
  <si>
    <t>TUBO FoFo C/ FLANGES P/ ESGOTO DN 200 PN10 - L=3500</t>
  </si>
  <si>
    <t>I12154</t>
  </si>
  <si>
    <t>TUBO FoFo C/ FLANGES P/ ESGOTO DN 200 PN10 - L=4000</t>
  </si>
  <si>
    <t>I12155</t>
  </si>
  <si>
    <t>TUBO FoFo C/ FLANGES P/ ESGOTO DN 200 PN10 - L=4500</t>
  </si>
  <si>
    <t>I12156</t>
  </si>
  <si>
    <t>TUBO FoFo C/ FLANGES P/ ESGOTO DN 200 PN10 - L=5000</t>
  </si>
  <si>
    <t>I12157</t>
  </si>
  <si>
    <t>TUBO FoFo C/ FLANGES P/ ESGOTO DN 200 PN10 - L=5800</t>
  </si>
  <si>
    <t>I12158</t>
  </si>
  <si>
    <t>TUBO FoFo C/ FLANGES P/ ESGOTO DN 250 PN10 - L=1000</t>
  </si>
  <si>
    <t>I12159</t>
  </si>
  <si>
    <t>TUBO FoFo C/ FLANGES P/ ESGOTO DN 250 PN10 - L=1500</t>
  </si>
  <si>
    <t>I12160</t>
  </si>
  <si>
    <t>TUBO FoFo C/ FLANGES P/ ESGOTO DN 250 PN10 - L=2000</t>
  </si>
  <si>
    <t>I12161</t>
  </si>
  <si>
    <t>TUBO FoFo C/ FLANGES P/ ESGOTO DN 250 PN10 - L=2500</t>
  </si>
  <si>
    <t>I12162</t>
  </si>
  <si>
    <t>TUBO FoFo C/ FLANGES P/ ESGOTO DN 250 PN10 - L=3000</t>
  </si>
  <si>
    <t>I12163</t>
  </si>
  <si>
    <t>TUBO FoFo C/ FLANGES P/ ESGOTO DN 250 PN10 - L=3500</t>
  </si>
  <si>
    <t>I12164</t>
  </si>
  <si>
    <t>TUBO FoFo C/ FLANGES P/ ESGOTO DN 250 PN10 - L=4000</t>
  </si>
  <si>
    <t>I12165</t>
  </si>
  <si>
    <t>TUBO FoFo C/ FLANGES P/ ESGOTO DN 250 PN10 - L=4500</t>
  </si>
  <si>
    <t>I12166</t>
  </si>
  <si>
    <t>TUBO FoFo C/ FLANGES P/ ESGOTO DN 250 PN10 - L=5000</t>
  </si>
  <si>
    <t>I12167</t>
  </si>
  <si>
    <t>TUBO FoFo C/ FLANGES P/ ESGOTO DN 250 PN10 - L=5500</t>
  </si>
  <si>
    <t>I12168</t>
  </si>
  <si>
    <t>TUBO FoFo C/ FLANGES P/ ESGOTO DN 250 PN10 - L=5800</t>
  </si>
  <si>
    <t>I12169</t>
  </si>
  <si>
    <t>TUBO FoFo C/ FLANGES P/ ESGOTO DN 300 PN10 - L=1000</t>
  </si>
  <si>
    <t>I12170</t>
  </si>
  <si>
    <t>TUBO FoFo C/ FLANGES P/ ESGOTO DN 300 PN10 - L=1500</t>
  </si>
  <si>
    <t>I12171</t>
  </si>
  <si>
    <t>TUBO FoFo C/ FLANGES P/ ESGOTO DN 300 PN10 - L=2000</t>
  </si>
  <si>
    <t>I12172</t>
  </si>
  <si>
    <t>TUBO FoFo C/ FLANGES P/ ESGOTO DN 300 PN10 - L=2500</t>
  </si>
  <si>
    <t>I12173</t>
  </si>
  <si>
    <t>TUBO FoFo C/ FLANGES P/ ESGOTO DN 300 PN10 - L=3000</t>
  </si>
  <si>
    <t>I12174</t>
  </si>
  <si>
    <t>TUBO FoFo C/ FLANGES P/ ESGOTO DN 300 PN10 - L=3500</t>
  </si>
  <si>
    <t>I12175</t>
  </si>
  <si>
    <t>TUBO FoFo C/ FLANGES P/ ESGOTO DN 300 PN10 - L=4000</t>
  </si>
  <si>
    <t>I12176</t>
  </si>
  <si>
    <t>TUBO FoFo C/ FLANGES P/ ESGOTO DN 300 PN10 - L=4500</t>
  </si>
  <si>
    <t>I12177</t>
  </si>
  <si>
    <t>TUBO FoFo C/ FLANGES P/ ESGOTO DN 300 PN10 - L=5000</t>
  </si>
  <si>
    <t>I12178</t>
  </si>
  <si>
    <t>TUBO FoFo C/ FLANGES P/ ESGOTO DN 300 PN10 - L=5500</t>
  </si>
  <si>
    <t>I12179</t>
  </si>
  <si>
    <t>TUBO FoFo C/ FLANGES P/ ESGOTO DN 300 PN10 - L=5800</t>
  </si>
  <si>
    <t>I12180</t>
  </si>
  <si>
    <t>TUBO FoFo C/ FLANGES P/ ESGOTO DN 350 PN10 - L=1000</t>
  </si>
  <si>
    <t>I12181</t>
  </si>
  <si>
    <t>TUBO FoFo C/ FLANGES P/ ESGOTO DN 350 PN10 - L=1500</t>
  </si>
  <si>
    <t>I12182</t>
  </si>
  <si>
    <t>TUBO FoFo C/ FLANGES P/ ESGOTO DN 350 PN10 - L=2500</t>
  </si>
  <si>
    <t>I12183</t>
  </si>
  <si>
    <t>TUBO FoFo C/ FLANGES P/ ESGOTO DN 350 PN10 - L=3000</t>
  </si>
  <si>
    <t>I12184</t>
  </si>
  <si>
    <t>TUBO FoFo C/ FLANGES P/ ESGOTO DN 350 PN10 - L=5000</t>
  </si>
  <si>
    <t>I12185</t>
  </si>
  <si>
    <t>TUBO FoFo C/ FLANGES P/ ESGOTO DN 350 PN10 - L=5500</t>
  </si>
  <si>
    <t>I12186</t>
  </si>
  <si>
    <t>TUBO FoFo C/ FLANGES P/ ESGOTO DN 350 PN10 - L=5800</t>
  </si>
  <si>
    <t>I12187</t>
  </si>
  <si>
    <t>TUBO FoFo C/ FLANGES P/ ESGOTO DN 400 PN10 - L=1000</t>
  </si>
  <si>
    <t>I12188</t>
  </si>
  <si>
    <t>TUBO FoFo C/ FLANGES P/ ESGOTO DN 400 PN10 - L=1500</t>
  </si>
  <si>
    <t>I12189</t>
  </si>
  <si>
    <t>TUBO FoFo C/ FLANGES P/ ESGOTO DN 400 PN10 - L=2000</t>
  </si>
  <si>
    <t>I12190</t>
  </si>
  <si>
    <t>TUBO FoFo C/ FLANGES P/ ESGOTO DN 400 PN10 - L=2500</t>
  </si>
  <si>
    <t>I12191</t>
  </si>
  <si>
    <t>TUBO FoFo C/ FLANGES P/ ESGOTO DN 400 PN10 - L=3000</t>
  </si>
  <si>
    <t>I12192</t>
  </si>
  <si>
    <t>TUBO FoFo C/ FLANGES P/ ESGOTO DN 400 PN10 - L=3500</t>
  </si>
  <si>
    <t>I12193</t>
  </si>
  <si>
    <t>TUBO FoFo C/ FLANGES P/ ESGOTO DN 400 PN10 - L=4000</t>
  </si>
  <si>
    <t>I12194</t>
  </si>
  <si>
    <t>TUBO FoFo C/ FLANGES P/ ESGOTO DN 400 PN10 - L=4500</t>
  </si>
  <si>
    <t>I12195</t>
  </si>
  <si>
    <t>TUBO FoFo C/ FLANGES P/ ESGOTO DN 400 PN10 - L=5000</t>
  </si>
  <si>
    <t>I12196</t>
  </si>
  <si>
    <t>TUBO FoFo C/ FLANGES P/ ESGOTO DN 400 PN10 - L=5500</t>
  </si>
  <si>
    <t>I12197</t>
  </si>
  <si>
    <t>TUBO FoFo C/ FLANGES P/ ESGOTO DN 400 PN10 - L=5800</t>
  </si>
  <si>
    <t>I12198</t>
  </si>
  <si>
    <t>TUBO FoFo C/ FLANGES P/ ESGOTO DN 450 PN10 - L=1500</t>
  </si>
  <si>
    <t>I12199</t>
  </si>
  <si>
    <t>TUBO FoFo C/ FLANGES P/ ESGOTO DN 450 PN10 - L=3500</t>
  </si>
  <si>
    <t>I12200</t>
  </si>
  <si>
    <t>TUBO FoFo C/ FLANGES P/ ESGOTO DN 450 PN10 - L=5800</t>
  </si>
  <si>
    <t>I12201</t>
  </si>
  <si>
    <t>TUBO FoFo C/ FLANGES P/ ESGOTO DN 500 PN10 - L=1000</t>
  </si>
  <si>
    <t>I12202</t>
  </si>
  <si>
    <t>TUBO FoFo C/ FLANGES P/ ESGOTO DN 500 PN10 - L=1500</t>
  </si>
  <si>
    <t>I12203</t>
  </si>
  <si>
    <t>TUBO FoFo C/ FLANGES P/ ESGOTO DN 500 PN10 - L=2000</t>
  </si>
  <si>
    <t>I12204</t>
  </si>
  <si>
    <t>TUBO FoFo C/ FLANGES P/ ESGOTO DN 500 PN10 - L=2500</t>
  </si>
  <si>
    <t>I12205</t>
  </si>
  <si>
    <t>TUBO FoFo C/ FLANGES P/ ESGOTO DN 500 PN10 - L=3000</t>
  </si>
  <si>
    <t>I12206</t>
  </si>
  <si>
    <t>TUBO FoFo C/ FLANGES P/ ESGOTO DN 500 PN10 - L=3500</t>
  </si>
  <si>
    <t>I12207</t>
  </si>
  <si>
    <t>TUBO FoFo C/ FLANGES P/ ESGOTO DN 500 PN10 - L=4000</t>
  </si>
  <si>
    <t>I12208</t>
  </si>
  <si>
    <t>TUBO FoFo C/ FLANGES P/ ESGOTO DN 500 PN10 - L=4500</t>
  </si>
  <si>
    <t>I12209</t>
  </si>
  <si>
    <t>TUBO FoFo C/ FLANGES P/ ESGOTO DN 500 PN10 - L=5000</t>
  </si>
  <si>
    <t>I12210</t>
  </si>
  <si>
    <t>TUBO FoFo C/ FLANGES P/ ESGOTO DN 500 PN10 - L=5500</t>
  </si>
  <si>
    <t>I12211</t>
  </si>
  <si>
    <t>TUBO FoFo C/ FLANGES P/ ESGOTO DN 500 PN10 - L=5800</t>
  </si>
  <si>
    <t>I12212</t>
  </si>
  <si>
    <t>TUBO FoFo C/ FLANGES P/ ESGOTO DN 600 PN10 - L=1000</t>
  </si>
  <si>
    <t>I12213</t>
  </si>
  <si>
    <t>TUBO FoFo C/ FLANGES P/ ESGOTO DN 600 PN10 - L=1500</t>
  </si>
  <si>
    <t>I12214</t>
  </si>
  <si>
    <t>TUBO FoFo C/ FLANGES P/ ESGOTO DN 600 PN10 - L=2000</t>
  </si>
  <si>
    <t>I12215</t>
  </si>
  <si>
    <t>TUBO FoFo C/ FLANGES P/ ESGOTO DN 600 PN10 - L=2500</t>
  </si>
  <si>
    <t>I12216</t>
  </si>
  <si>
    <t>TUBO FoFo C/ FLANGES P/ ESGOTO DN 600 PN10 - L=3000</t>
  </si>
  <si>
    <t>I12217</t>
  </si>
  <si>
    <t>TUBO FoFo C/ FLANGES P/ ESGOTO DN 600 PN10 - L=3500</t>
  </si>
  <si>
    <t>I12218</t>
  </si>
  <si>
    <t>TUBO FoFo C/ FLANGES P/ ESGOTO DN 600 PN10 - L=4000</t>
  </si>
  <si>
    <t>I12219</t>
  </si>
  <si>
    <t>TUBO FoFo C/ FLANGES P/ ESGOTO DN 600 PN10 - L=4500</t>
  </si>
  <si>
    <t>I12220</t>
  </si>
  <si>
    <t>TUBO FoFo C/ FLANGES P/ ESGOTO DN 600 PN10 - L=5000</t>
  </si>
  <si>
    <t>I12221</t>
  </si>
  <si>
    <t>TUBO FoFo C/ FLANGES P/ ESGOTO DN 600 PN10 - L=5800</t>
  </si>
  <si>
    <t>I12222</t>
  </si>
  <si>
    <t>TUBO FoFo C/ FLANGES P/ ESGOTO DN 700 PN10 - L=1000</t>
  </si>
  <si>
    <t>I12223</t>
  </si>
  <si>
    <t>TUBO FoFo C/ FLANGES P/ ESGOTO DN 700 PN10 - L=1500</t>
  </si>
  <si>
    <t>I12224</t>
  </si>
  <si>
    <t>TUBO FoFo C/ FLANGES P/ ESGOTO DN 700 PN10 - L=2000</t>
  </si>
  <si>
    <t>I12225</t>
  </si>
  <si>
    <t>TUBO FoFo C/ FLANGES P/ ESGOTO DN 700 PN10 - L=4500</t>
  </si>
  <si>
    <t>I12226</t>
  </si>
  <si>
    <t>TUBO FoFo C/ FLANGES P/ ESGOTO DN 700 PN10 - L=6000</t>
  </si>
  <si>
    <t>I12227</t>
  </si>
  <si>
    <t>TUBO FoFo C/ FLANGES P/ ESGOTO DN 700 PN10 - L=6800</t>
  </si>
  <si>
    <t>I12228</t>
  </si>
  <si>
    <t>TUBO FoFo C/ FLANGES P/ ESGOTO DN 800 PN10 - L=1000</t>
  </si>
  <si>
    <t>I12229</t>
  </si>
  <si>
    <t>TUBO FoFo C/ FLANGES P/ ESGOTO DN 800 PN10 - L=1500</t>
  </si>
  <si>
    <t>I12230</t>
  </si>
  <si>
    <t>TUBO FoFo C/ FLANGES P/ ESGOTO DN 800 PN10 - L=2000</t>
  </si>
  <si>
    <t>I12231</t>
  </si>
  <si>
    <t>TUBO FoFo C/ FLANGES P/ ESGOTO DN 800 PN10 - L=2500</t>
  </si>
  <si>
    <t>I12232</t>
  </si>
  <si>
    <t>TUBO FoFo C/ FLANGES P/ ESGOTO DN 800 PN10 - L=3000</t>
  </si>
  <si>
    <t>I12233</t>
  </si>
  <si>
    <t>TUBO FoFo C/ FLANGES P/ ESGOTO DN 800 PN10 - L=3500</t>
  </si>
  <si>
    <t>I12234</t>
  </si>
  <si>
    <t>TUBO FoFo C/ FLANGES P/ ESGOTO DN 800 PN10 - L=4000</t>
  </si>
  <si>
    <t>I12235</t>
  </si>
  <si>
    <t>TUBO FoFo C/ FLANGES P/ ESGOTO DN 800 PN10 - L=4500</t>
  </si>
  <si>
    <t>I12236</t>
  </si>
  <si>
    <t>TUBO FoFo C/ FLANGES P/ ESGOTO DN 800 PN10 - L=5000</t>
  </si>
  <si>
    <t>I12237</t>
  </si>
  <si>
    <t>TUBO FoFo C/ FLANGES P/ ESGOTO DN 800 PN10 - L=5500</t>
  </si>
  <si>
    <t>I12238</t>
  </si>
  <si>
    <t>TUBO FoFo C/ FLANGES P/ ESGOTO DN 800 PN10 - L=5800</t>
  </si>
  <si>
    <t>I12239</t>
  </si>
  <si>
    <t>TUBO FoFo C/ FLANGES P/ ESGOTO DN 800 PN10 - L=6800</t>
  </si>
  <si>
    <t>I12240</t>
  </si>
  <si>
    <t>TUBO FoFo C/ FLANGES P/ ESGOTO DN 900 PN10 - L=1000</t>
  </si>
  <si>
    <t>I12241</t>
  </si>
  <si>
    <t>TUBO FoFo C/ FLANGES P/ ESGOTO DN 900 PN10 - L=1500</t>
  </si>
  <si>
    <t>I12242</t>
  </si>
  <si>
    <t>TUBO FoFo C/ FLANGES P/ ESGOTO DN 900 PN10 - L=2000</t>
  </si>
  <si>
    <t>I6649</t>
  </si>
  <si>
    <t>TUBO FoFo C/FLANGE E BOLSA DN   75 PN10 L=500</t>
  </si>
  <si>
    <t>I6650</t>
  </si>
  <si>
    <t>TUBO FoFo C/FLANGE E BOLSA DN  100 PN10 L=500</t>
  </si>
  <si>
    <t>I6651</t>
  </si>
  <si>
    <t>TUBO FoFo C/FLANGE E BOLSA DN  150 PN10 L=500</t>
  </si>
  <si>
    <t>I6652</t>
  </si>
  <si>
    <t>TUBO FoFo C/FLANGE E BOLSA DN  200 PN10 L=500</t>
  </si>
  <si>
    <t>I6653</t>
  </si>
  <si>
    <t>TUBO FoFo C/FLANGE E BOLSA DN  250 PN10 L=500</t>
  </si>
  <si>
    <t>I6654</t>
  </si>
  <si>
    <t>TUBO FoFo C/FLANGE E BOLSA DN  300 PN10 L=500</t>
  </si>
  <si>
    <t>I6655</t>
  </si>
  <si>
    <t>TUBO FoFo C/FLANGE E BOLSA DN  350 PN10 L=500</t>
  </si>
  <si>
    <t>I6656</t>
  </si>
  <si>
    <t>TUBO FoFo C/FLANGE E BOLSA DN  400 PN10 L=500</t>
  </si>
  <si>
    <t>I6657</t>
  </si>
  <si>
    <t>TUBO FoFo C/FLANGE E BOLSA DN  450 PN10 L=500</t>
  </si>
  <si>
    <t>I6658</t>
  </si>
  <si>
    <t>TUBO FoFo C/FLANGE E BOLSA DN  500 PN10 L=500</t>
  </si>
  <si>
    <t>I6659</t>
  </si>
  <si>
    <t>TUBO FoFo C/FLANGE E BOLSA DN  600 PN10 L=500</t>
  </si>
  <si>
    <t>I6660</t>
  </si>
  <si>
    <t>TUBO FoFo C/FLANGE E BOLSA DN  700 PN10 L=500</t>
  </si>
  <si>
    <t>I6661</t>
  </si>
  <si>
    <t>TUBO FoFo C/FLANGE E BOLSA DN  800 PN10 L=500</t>
  </si>
  <si>
    <t>I6662</t>
  </si>
  <si>
    <t>TUBO FoFo C/FLANGE E BOLSA DN  900 PN10 L=500</t>
  </si>
  <si>
    <t>I6663</t>
  </si>
  <si>
    <t>TUBO FoFo C/FLANGE E BOLSA DN 1000 PN10 L=500</t>
  </si>
  <si>
    <t>I6664</t>
  </si>
  <si>
    <t>TUBO FoFo C/FLANGE E BOLSA DN 1200 PN10 L=500</t>
  </si>
  <si>
    <t>I4261</t>
  </si>
  <si>
    <t>TUBO FoFo C/FLANGE E BOLSA JE DN   75 PN10 - L=1000</t>
  </si>
  <si>
    <t>I4262</t>
  </si>
  <si>
    <t>TUBO FoFo C/FLANGE E BOLSA JE DN   75 PN10 - L=1500</t>
  </si>
  <si>
    <t>I4263</t>
  </si>
  <si>
    <t>TUBO FoFo C/FLANGE E BOLSA JE DN   75 PN10 - L=2000</t>
  </si>
  <si>
    <t>I4264</t>
  </si>
  <si>
    <t>TUBO FoFo C/FLANGE E BOLSA JE DN   75 PN10 - L=2500</t>
  </si>
  <si>
    <t>I4265</t>
  </si>
  <si>
    <t>TUBO FoFo C/FLANGE E BOLSA JE DN   75 PN10 - L=3000</t>
  </si>
  <si>
    <t>I4266</t>
  </si>
  <si>
    <t>TUBO FoFo C/FLANGE E BOLSA JE DN   75 PN10 - L=3500</t>
  </si>
  <si>
    <t>I4267</t>
  </si>
  <si>
    <t>TUBO FoFo C/FLANGE E BOLSA JE DN   75 PN10 - L=4000</t>
  </si>
  <si>
    <t>I4268</t>
  </si>
  <si>
    <t>TUBO FoFo C/FLANGE E BOLSA JE DN   75 PN10 - L=4500</t>
  </si>
  <si>
    <t>I4269</t>
  </si>
  <si>
    <t>TUBO FoFo C/FLANGE E BOLSA JE DN   75 PN10 - L=5000</t>
  </si>
  <si>
    <t>I4270</t>
  </si>
  <si>
    <t>TUBO FoFo C/FLANGE E BOLSA JE DN   75 PN10 - L=5500</t>
  </si>
  <si>
    <t>I4271</t>
  </si>
  <si>
    <t>TUBO FoFo C/FLANGE E BOLSA JE DN   75 PN10 - L=5800</t>
  </si>
  <si>
    <t>I7194</t>
  </si>
  <si>
    <t>TUBO FoFo C/FLANGE E BOLSA JE DN   80 PN10 - L=1000m</t>
  </si>
  <si>
    <t>I7195</t>
  </si>
  <si>
    <t>TUBO FoFo C/FLANGE E BOLSA JE DN   80 PN10 - L=1500m</t>
  </si>
  <si>
    <t>I7196</t>
  </si>
  <si>
    <t>TUBO FoFo C/FLANGE E BOLSA JE DN   80 PN10 - L=2000m</t>
  </si>
  <si>
    <t>I7197</t>
  </si>
  <si>
    <t>TUBO FoFo C/FLANGE E BOLSA JE DN   80 PN10 - L=2500m</t>
  </si>
  <si>
    <t>I7198</t>
  </si>
  <si>
    <t>TUBO FoFo C/FLANGE E BOLSA JE DN   80 PN10 - L=3000m</t>
  </si>
  <si>
    <t>I7199</t>
  </si>
  <si>
    <t>TUBO FoFo C/FLANGE E BOLSA JE DN   80 PN10 - L=3500m</t>
  </si>
  <si>
    <t>I7200</t>
  </si>
  <si>
    <t>TUBO FoFo C/FLANGE E BOLSA JE DN   80 PN10 - L=4000m</t>
  </si>
  <si>
    <t>I7201</t>
  </si>
  <si>
    <t>TUBO FoFo C/FLANGE E BOLSA JE DN   80 PN10 - L=4500m</t>
  </si>
  <si>
    <t>I7202</t>
  </si>
  <si>
    <t>TUBO FoFo C/FLANGE E BOLSA JE DN   80 PN10 - L=5000m</t>
  </si>
  <si>
    <t>I7203</t>
  </si>
  <si>
    <t>TUBO FoFo C/FLANGE E BOLSA JE DN   80 PN10 - L=5500m</t>
  </si>
  <si>
    <t>I7204</t>
  </si>
  <si>
    <t>TUBO FoFo C/FLANGE E BOLSA JE DN   80 PN10 - L=5800m</t>
  </si>
  <si>
    <t>I4272</t>
  </si>
  <si>
    <t>TUBO FoFo C/FLANGE E BOLSA JE DN  100 PN10 - L=1000</t>
  </si>
  <si>
    <t>I4273</t>
  </si>
  <si>
    <t>TUBO FoFo C/FLANGE E BOLSA JE DN  100 PN10 - L=1500</t>
  </si>
  <si>
    <t>I4274</t>
  </si>
  <si>
    <t>TUBO FoFo C/FLANGE E BOLSA JE DN  100 PN10 - L=2000</t>
  </si>
  <si>
    <t>I4275</t>
  </si>
  <si>
    <t>TUBO FoFo C/FLANGE E BOLSA JE DN  100 PN10 - L=2500</t>
  </si>
  <si>
    <t>I4276</t>
  </si>
  <si>
    <t>TUBO FoFo C/FLANGE E BOLSA JE DN  100 PN10 - L=3000</t>
  </si>
  <si>
    <t>I4277</t>
  </si>
  <si>
    <t>TUBO FoFo C/FLANGE E BOLSA JE DN  100 PN10 - L=3500</t>
  </si>
  <si>
    <t>I4278</t>
  </si>
  <si>
    <t>TUBO FoFo C/FLANGE E BOLSA JE DN  100 PN10 - L=4000</t>
  </si>
  <si>
    <t>I4279</t>
  </si>
  <si>
    <t>TUBO FoFo C/FLANGE E BOLSA JE DN  100 PN10 - L=4500</t>
  </si>
  <si>
    <t>I4280</t>
  </si>
  <si>
    <t>TUBO FoFo C/FLANGE E BOLSA JE DN  100 PN10 - L=5000</t>
  </si>
  <si>
    <t>I4281</t>
  </si>
  <si>
    <t>TUBO FoFo C/FLANGE E BOLSA JE DN  100 PN10 - L=5500</t>
  </si>
  <si>
    <t>I4282</t>
  </si>
  <si>
    <t>TUBO FoFo C/FLANGE E BOLSA JE DN  100 PN10 - L=5800</t>
  </si>
  <si>
    <t>I4283</t>
  </si>
  <si>
    <t>TUBO FoFo C/FLANGE E BOLSA JE DN  150 PN10 - L=1000</t>
  </si>
  <si>
    <t>I4284</t>
  </si>
  <si>
    <t>TUBO FoFo C/FLANGE E BOLSA JE DN  150 PN10 - L=1500</t>
  </si>
  <si>
    <t>I4285</t>
  </si>
  <si>
    <t>TUBO FoFo C/FLANGE E BOLSA JE DN  150 PN10 - L=2000</t>
  </si>
  <si>
    <t>I4286</t>
  </si>
  <si>
    <t>TUBO FoFo C/FLANGE E BOLSA JE DN  150 PN10 - L=2500</t>
  </si>
  <si>
    <t>I4287</t>
  </si>
  <si>
    <t>TUBO FoFo C/FLANGE E BOLSA JE DN  150 PN10 - L=3000</t>
  </si>
  <si>
    <t>I4294</t>
  </si>
  <si>
    <t>TUBO FoFo C/FLANGE E BOLSA JE DN  200 PN10 - L=1000</t>
  </si>
  <si>
    <t>I4295</t>
  </si>
  <si>
    <t>TUBO FoFo C/FLANGE E BOLSA JE DN  200 PN10 - L=1500</t>
  </si>
  <si>
    <t>I4296</t>
  </si>
  <si>
    <t>TUBO FoFo C/FLANGE E BOLSA JE DN  200 PN10 - L=2000</t>
  </si>
  <si>
    <t>I4297</t>
  </si>
  <si>
    <t>TUBO FoFo C/FLANGE E BOLSA JE DN  200 PN10 - L=2500</t>
  </si>
  <si>
    <t>I4298</t>
  </si>
  <si>
    <t>TUBO FoFo C/FLANGE E BOLSA JE DN  200 PN10 - L=3000</t>
  </si>
  <si>
    <t>I4299</t>
  </si>
  <si>
    <t>TUBO FoFo C/FLANGE E BOLSA JE DN  200 PN10 - L=3500</t>
  </si>
  <si>
    <t>I4300</t>
  </si>
  <si>
    <t>TUBO FoFo C/FLANGE E BOLSA JE DN  200 PN10 - L=4000</t>
  </si>
  <si>
    <t>I4301</t>
  </si>
  <si>
    <t>TUBO FoFo C/FLANGE E BOLSA JE DN  200 PN10 - L=4500</t>
  </si>
  <si>
    <t>I4302</t>
  </si>
  <si>
    <t>TUBO FoFo C/FLANGE E BOLSA JE DN  200 PN10 - L=5000</t>
  </si>
  <si>
    <t>I4303</t>
  </si>
  <si>
    <t>TUBO FoFo C/FLANGE E BOLSA JE DN  200 PN10 - L=5500</t>
  </si>
  <si>
    <t>I4304</t>
  </si>
  <si>
    <t>TUBO FoFo C/FLANGE E BOLSA JE DN  200 PN10 - L=5800</t>
  </si>
  <si>
    <t>I4305</t>
  </si>
  <si>
    <t>TUBO FoFo C/FLANGE E BOLSA JE DN  250 PN10 - L=1000</t>
  </si>
  <si>
    <t>I4306</t>
  </si>
  <si>
    <t>TUBO FoFo C/FLANGE E BOLSA JE DN  250 PN10 - L=1500</t>
  </si>
  <si>
    <t>I4307</t>
  </si>
  <si>
    <t>TUBO FoFo C/FLANGE E BOLSA JE DN  250 PN10 - L=2000</t>
  </si>
  <si>
    <t>I4308</t>
  </si>
  <si>
    <t>TUBO FoFo C/FLANGE E BOLSA JE DN  250 PN10 - L=2500</t>
  </si>
  <si>
    <t>I4309</t>
  </si>
  <si>
    <t>TUBO FoFo C/FLANGE E BOLSA JE DN  250 PN10 - L=3000</t>
  </si>
  <si>
    <t>I4310</t>
  </si>
  <si>
    <t>TUBO FoFo C/FLANGE E BOLSA JE DN  250 PN10 - L=3500</t>
  </si>
  <si>
    <t>I4311</t>
  </si>
  <si>
    <t>TUBO FoFo C/FLANGE E BOLSA JE DN  250 PN10 - L=4000</t>
  </si>
  <si>
    <t>I4312</t>
  </si>
  <si>
    <t>TUBO FoFo C/FLANGE E BOLSA JE DN  250 PN10 - L=4500</t>
  </si>
  <si>
    <t>I4313</t>
  </si>
  <si>
    <t>TUBO FoFo C/FLANGE E BOLSA JE DN  250 PN10 - L=5000</t>
  </si>
  <si>
    <t>I4314</t>
  </si>
  <si>
    <t>TUBO FoFo C/FLANGE E BOLSA JE DN  250 PN10 - L=5500</t>
  </si>
  <si>
    <t>I4315</t>
  </si>
  <si>
    <t>TUBO FoFo C/FLANGE E BOLSA JE DN  250 PN10 - L=5800</t>
  </si>
  <si>
    <t>I4316</t>
  </si>
  <si>
    <t>TUBO FoFo C/FLANGE E BOLSA JE DN  300 PN10 - L=1000</t>
  </si>
  <si>
    <t>I4317</t>
  </si>
  <si>
    <t>TUBO FoFo C/FLANGE E BOLSA JE DN  300 PN10 - L=1500</t>
  </si>
  <si>
    <t>I4318</t>
  </si>
  <si>
    <t>TUBO FoFo C/FLANGE E BOLSA JE DN  300 PN10 - L=2000</t>
  </si>
  <si>
    <t>I4319</t>
  </si>
  <si>
    <t>TUBO FoFo C/FLANGE E BOLSA JE DN  300 PN10 - L=2500</t>
  </si>
  <si>
    <t>I4320</t>
  </si>
  <si>
    <t>TUBO FoFo C/FLANGE E BOLSA JE DN  300 PN10 - L=3000</t>
  </si>
  <si>
    <t>I4321</t>
  </si>
  <si>
    <t>TUBO FoFo C/FLANGE E BOLSA JE DN  300 PN10 - L=3500</t>
  </si>
  <si>
    <t>I4322</t>
  </si>
  <si>
    <t>TUBO FoFo C/FLANGE E BOLSA JE DN  300 PN10 - L=4000</t>
  </si>
  <si>
    <t>I4323</t>
  </si>
  <si>
    <t>TUBO FoFo C/FLANGE E BOLSA JE DN  300 PN10 - L=4500</t>
  </si>
  <si>
    <t>I4324</t>
  </si>
  <si>
    <t>TUBO FoFo C/FLANGE E BOLSA JE DN  300 PN10 - L=5000</t>
  </si>
  <si>
    <t>I4325</t>
  </si>
  <si>
    <t>TUBO FoFo C/FLANGE E BOLSA JE DN  300 PN10 - L=5500</t>
  </si>
  <si>
    <t>I4326</t>
  </si>
  <si>
    <t>TUBO FoFo C/FLANGE E BOLSA JE DN  300 PN10 - L=5800</t>
  </si>
  <si>
    <t>I4327</t>
  </si>
  <si>
    <t>TUBO FoFo C/FLANGE E BOLSA JE DN  350 PN10 - L=1000</t>
  </si>
  <si>
    <t>I4328</t>
  </si>
  <si>
    <t>TUBO FoFo C/FLANGE E BOLSA JE DN  350 PN10 - L=1500</t>
  </si>
  <si>
    <t>I4329</t>
  </si>
  <si>
    <t>TUBO FoFo C/FLANGE E BOLSA JE DN  350 PN10 - L=2000</t>
  </si>
  <si>
    <t>I4330</t>
  </si>
  <si>
    <t>TUBO FoFo C/FLANGE E BOLSA JE DN  350 PN10 - L=2500</t>
  </si>
  <si>
    <t>I4331</t>
  </si>
  <si>
    <t>TUBO FoFo C/FLANGE E BOLSA JE DN  350 PN10 - L=3000</t>
  </si>
  <si>
    <t>I4332</t>
  </si>
  <si>
    <t>TUBO FoFo C/FLANGE E BOLSA JE DN  350 PN10 - L=3500</t>
  </si>
  <si>
    <t>I4333</t>
  </si>
  <si>
    <t>TUBO FoFo C/FLANGE E BOLSA JE DN  350 PN10 - L=4000</t>
  </si>
  <si>
    <t>I4334</t>
  </si>
  <si>
    <t>TUBO FoFo C/FLANGE E BOLSA JE DN  350 PN10 - L=4500</t>
  </si>
  <si>
    <t>I4335</t>
  </si>
  <si>
    <t>TUBO FoFo C/FLANGE E BOLSA JE DN  350 PN10 - L=5000</t>
  </si>
  <si>
    <t>I4336</t>
  </si>
  <si>
    <t>TUBO FoFo C/FLANGE E BOLSA JE DN  350 PN10 - L=5500</t>
  </si>
  <si>
    <t>I4337</t>
  </si>
  <si>
    <t>TUBO FoFo C/FLANGE E BOLSA JE DN  350 PN10 - L=5800</t>
  </si>
  <si>
    <t>I4338</t>
  </si>
  <si>
    <t>TUBO FoFo C/FLANGE E BOLSA JE DN  400 PN10 - L=1000</t>
  </si>
  <si>
    <t>I4339</t>
  </si>
  <si>
    <t>TUBO FoFo C/FLANGE E BOLSA JE DN  400 PN10 - L=1500</t>
  </si>
  <si>
    <t>I4340</t>
  </si>
  <si>
    <t>TUBO FoFo C/FLANGE E BOLSA JE DN  400 PN10 - L=2000</t>
  </si>
  <si>
    <t>I4341</t>
  </si>
  <si>
    <t>TUBO FoFo C/FLANGE E BOLSA JE DN  400 PN10 - L=2500</t>
  </si>
  <si>
    <t>I4342</t>
  </si>
  <si>
    <t>TUBO FoFo C/FLANGE E BOLSA JE DN  400 PN10 - L=3000</t>
  </si>
  <si>
    <t>I4343</t>
  </si>
  <si>
    <t>TUBO FoFo C/FLANGE E BOLSA JE DN  400 PN10 - L=3500</t>
  </si>
  <si>
    <t>I4344</t>
  </si>
  <si>
    <t>TUBO FoFo C/FLANGE E BOLSA JE DN  400 PN10 - L=4000</t>
  </si>
  <si>
    <t>I4345</t>
  </si>
  <si>
    <t>TUBO FoFo C/FLANGE E BOLSA JE DN  400 PN10 - L=4500</t>
  </si>
  <si>
    <t>I4346</t>
  </si>
  <si>
    <t>TUBO FoFo C/FLANGE E BOLSA JE DN  400 PN10 - L=5000</t>
  </si>
  <si>
    <t>I4347</t>
  </si>
  <si>
    <t>TUBO FoFo C/FLANGE E BOLSA JE DN  400 PN10 - L=5500</t>
  </si>
  <si>
    <t>I4348</t>
  </si>
  <si>
    <t>TUBO FoFo C/FLANGE E BOLSA JE DN  400 PN10 - L=5800</t>
  </si>
  <si>
    <t>I4349</t>
  </si>
  <si>
    <t>TUBO FoFo C/FLANGE E BOLSA JE DN  450 PN10 - L=1000</t>
  </si>
  <si>
    <t>I4350</t>
  </si>
  <si>
    <t>TUBO FoFo C/FLANGE E BOLSA JE DN  450 PN10 - L=1500</t>
  </si>
  <si>
    <t>I4351</t>
  </si>
  <si>
    <t>TUBO FoFo C/FLANGE E BOLSA JE DN  450 PN10 - L=2000</t>
  </si>
  <si>
    <t>I4352</t>
  </si>
  <si>
    <t>TUBO FoFo C/FLANGE E BOLSA JE DN  450 PN10 - L=2500</t>
  </si>
  <si>
    <t>I4353</t>
  </si>
  <si>
    <t>TUBO FoFo C/FLANGE E BOLSA JE DN  450 PN10 - L=3000</t>
  </si>
  <si>
    <t>I4354</t>
  </si>
  <si>
    <t>TUBO FoFo C/FLANGE E BOLSA JE DN  450 PN10 - L=3500</t>
  </si>
  <si>
    <t>I4355</t>
  </si>
  <si>
    <t>TUBO FoFo C/FLANGE E BOLSA JE DN  450 PN10 - L=4000</t>
  </si>
  <si>
    <t>I4356</t>
  </si>
  <si>
    <t>TUBO FoFo C/FLANGE E BOLSA JE DN  450 PN10 - L=4500</t>
  </si>
  <si>
    <t>I4357</t>
  </si>
  <si>
    <t>TUBO FoFo C/FLANGE E BOLSA JE DN  450 PN10 - L=5000</t>
  </si>
  <si>
    <t>I4358</t>
  </si>
  <si>
    <t>TUBO FoFo C/FLANGE E BOLSA JE DN  450 PN10 - L=5500</t>
  </si>
  <si>
    <t>I4359</t>
  </si>
  <si>
    <t>TUBO FoFo C/FLANGE E BOLSA JE DN  450 PN10 - L=5800</t>
  </si>
  <si>
    <t>I4360</t>
  </si>
  <si>
    <t>TUBO FoFo C/FLANGE E BOLSA JE DN  500 PN10 - L=1000</t>
  </si>
  <si>
    <t>I4361</t>
  </si>
  <si>
    <t>TUBO FoFo C/FLANGE E BOLSA JE DN  500 PN10 - L=1500</t>
  </si>
  <si>
    <t>I4362</t>
  </si>
  <si>
    <t>TUBO FoFo C/FLANGE E BOLSA JE DN  500 PN10 - L=2000</t>
  </si>
  <si>
    <t>I4363</t>
  </si>
  <si>
    <t>TUBO FoFo C/FLANGE E BOLSA JE DN  500 PN10 - L=2500</t>
  </si>
  <si>
    <t>I4364</t>
  </si>
  <si>
    <t>TUBO FoFo C/FLANGE E BOLSA JE DN  500 PN10 - L=3000</t>
  </si>
  <si>
    <t>I4365</t>
  </si>
  <si>
    <t>TUBO FoFo C/FLANGE E BOLSA JE DN  500 PN10 - L=3500</t>
  </si>
  <si>
    <t>I4366</t>
  </si>
  <si>
    <t>TUBO FoFo C/FLANGE E BOLSA JE DN  500 PN10 - L=4000</t>
  </si>
  <si>
    <t>I4367</t>
  </si>
  <si>
    <t>TUBO FoFo C/FLANGE E BOLSA JE DN  500 PN10 - L=4500</t>
  </si>
  <si>
    <t>I4368</t>
  </si>
  <si>
    <t>TUBO FoFo C/FLANGE E BOLSA JE DN  500 PN10 - L=5000</t>
  </si>
  <si>
    <t>I4369</t>
  </si>
  <si>
    <t>TUBO FoFo C/FLANGE E BOLSA JE DN  500 PN10 - L=5500</t>
  </si>
  <si>
    <t>I4370</t>
  </si>
  <si>
    <t>TUBO FoFo C/FLANGE E BOLSA JE DN  500 PN10 - L=5800</t>
  </si>
  <si>
    <t>I4371</t>
  </si>
  <si>
    <t>TUBO FoFo C/FLANGE E BOLSA JE DN  600 PN10 - L=1000</t>
  </si>
  <si>
    <t>I4372</t>
  </si>
  <si>
    <t>TUBO FoFo C/FLANGE E BOLSA JE DN  600 PN10 - L=1500</t>
  </si>
  <si>
    <t>I4373</t>
  </si>
  <si>
    <t>TUBO FoFo C/FLANGE E BOLSA JE DN  600 PN10 - L=2000</t>
  </si>
  <si>
    <t>I4374</t>
  </si>
  <si>
    <t>TUBO FoFo C/FLANGE E BOLSA JE DN  600 PN10 - L=2500</t>
  </si>
  <si>
    <t>I4375</t>
  </si>
  <si>
    <t>TUBO FoFo C/FLANGE E BOLSA JE DN  600 PN10 - L=3000</t>
  </si>
  <si>
    <t>I4376</t>
  </si>
  <si>
    <t>TUBO FoFo C/FLANGE E BOLSA JE DN  600 PN10 - L=3500</t>
  </si>
  <si>
    <t>I4377</t>
  </si>
  <si>
    <t>TUBO FoFo C/FLANGE E BOLSA JE DN  600 PN10 - L=4000</t>
  </si>
  <si>
    <t>I4378</t>
  </si>
  <si>
    <t>TUBO FoFo C/FLANGE E BOLSA JE DN  600 PN10 - L=4500</t>
  </si>
  <si>
    <t>I4379</t>
  </si>
  <si>
    <t>TUBO FoFo C/FLANGE E BOLSA JE DN  600 PN10 - L=5000</t>
  </si>
  <si>
    <t>I4380</t>
  </si>
  <si>
    <t>TUBO FoFo C/FLANGE E BOLSA JE DN  600 PN10 - L=5500</t>
  </si>
  <si>
    <t>I4381</t>
  </si>
  <si>
    <t>TUBO FoFo C/FLANGE E BOLSA JE DN  600 PN10 - L=5800</t>
  </si>
  <si>
    <t>I4382</t>
  </si>
  <si>
    <t>TUBO FoFo C/FLANGE E BOLSA JE DN  700 PN10 - L=1000</t>
  </si>
  <si>
    <t>I4383</t>
  </si>
  <si>
    <t>TUBO FoFo C/FLANGE E BOLSA JE DN  700 PN10 - L=1500</t>
  </si>
  <si>
    <t>I4384</t>
  </si>
  <si>
    <t>TUBO FoFo C/FLANGE E BOLSA JE DN  700 PN10 - L=2000</t>
  </si>
  <si>
    <t>I4385</t>
  </si>
  <si>
    <t>TUBO FoFo C/FLANGE E BOLSA JE DN  700 PN10 - L=2500</t>
  </si>
  <si>
    <t>I4386</t>
  </si>
  <si>
    <t>TUBO FoFo C/FLANGE E BOLSA JE DN  700 PN10 - L=3000</t>
  </si>
  <si>
    <t>I4387</t>
  </si>
  <si>
    <t>TUBO FoFo C/FLANGE E BOLSA JE DN  700 PN10 - L=3500</t>
  </si>
  <si>
    <t>I4388</t>
  </si>
  <si>
    <t>TUBO FoFo C/FLANGE E BOLSA JE DN  700 PN10 - L=4000</t>
  </si>
  <si>
    <t>I4389</t>
  </si>
  <si>
    <t>TUBO FoFo C/FLANGE E BOLSA JE DN  700 PN10 - L=4500</t>
  </si>
  <si>
    <t>I4390</t>
  </si>
  <si>
    <t>TUBO FoFo C/FLANGE E BOLSA JE DN  700 PN10 - L=5000</t>
  </si>
  <si>
    <t>I4391</t>
  </si>
  <si>
    <t>TUBO FoFo C/FLANGE E BOLSA JE DN  700 PN10 - L=5500</t>
  </si>
  <si>
    <t>I4392</t>
  </si>
  <si>
    <t>TUBO FoFo C/FLANGE E BOLSA JE DN  700 PN10 - L=6000</t>
  </si>
  <si>
    <t>I4393</t>
  </si>
  <si>
    <t>TUBO FoFo C/FLANGE E BOLSA JE DN  700 PN10 - L=6500</t>
  </si>
  <si>
    <t>I4394</t>
  </si>
  <si>
    <t>TUBO FoFo C/FLANGE E BOLSA JE DN  700 PN10 - L=6800</t>
  </si>
  <si>
    <t>I12262</t>
  </si>
  <si>
    <t>TUBO FoFo C/FLANGE E BOLSA JE DN 100 PN25 - L=1000</t>
  </si>
  <si>
    <t>I12263</t>
  </si>
  <si>
    <t>TUBO FoFo C/FLANGE E BOLSA JE DN 100 PN25 - L=1500</t>
  </si>
  <si>
    <t>I12264</t>
  </si>
  <si>
    <t>TUBO FoFo C/FLANGE E BOLSA JE DN 100 PN25 - L=2000</t>
  </si>
  <si>
    <t>I12265</t>
  </si>
  <si>
    <t>TUBO FoFo C/FLANGE E BOLSA JE DN 100 PN25 - L=2500</t>
  </si>
  <si>
    <t>I12266</t>
  </si>
  <si>
    <t>TUBO FoFo C/FLANGE E BOLSA JE DN 100 PN25 - L=3000</t>
  </si>
  <si>
    <t>I12267</t>
  </si>
  <si>
    <t>TUBO FoFo C/FLANGE E BOLSA JE DN 100 PN25 - L=3500</t>
  </si>
  <si>
    <t>I12268</t>
  </si>
  <si>
    <t>TUBO FoFo C/FLANGE E BOLSA JE DN 100 PN25 - L=4000</t>
  </si>
  <si>
    <t>I12269</t>
  </si>
  <si>
    <t>TUBO FoFo C/FLANGE E BOLSA JE DN 100 PN25 - L=4500</t>
  </si>
  <si>
    <t>I12270</t>
  </si>
  <si>
    <t>TUBO FoFo C/FLANGE E BOLSA JE DN 100 PN25 - L=5000</t>
  </si>
  <si>
    <t>I12271</t>
  </si>
  <si>
    <t>TUBO FoFo C/FLANGE E BOLSA JE DN 100 PN25 - L=5500</t>
  </si>
  <si>
    <t>I12272</t>
  </si>
  <si>
    <t>TUBO FoFo C/FLANGE E BOLSA JE DN 100 PN25 - L=5800</t>
  </si>
  <si>
    <t>I4421</t>
  </si>
  <si>
    <t>TUBO FoFo C/FLANGE E BOLSA JE DN 1000 PN10 - L=1000</t>
  </si>
  <si>
    <t>I4422</t>
  </si>
  <si>
    <t>TUBO FoFo C/FLANGE E BOLSA JE DN 1000 PN10 - L=1500</t>
  </si>
  <si>
    <t>I4423</t>
  </si>
  <si>
    <t>TUBO FoFo C/FLANGE E BOLSA JE DN 1000 PN10 - L=2000</t>
  </si>
  <si>
    <t>I4424</t>
  </si>
  <si>
    <t>TUBO FoFo C/FLANGE E BOLSA JE DN 1000 PN10 - L=2500</t>
  </si>
  <si>
    <t>I4425</t>
  </si>
  <si>
    <t>TUBO FoFo C/FLANGE E BOLSA JE DN 1000 PN10 - L=3000</t>
  </si>
  <si>
    <t>I4426</t>
  </si>
  <si>
    <t>TUBO FoFo C/FLANGE E BOLSA JE DN 1000 PN10 - L=3500</t>
  </si>
  <si>
    <t>I4427</t>
  </si>
  <si>
    <t>TUBO FoFo C/FLANGE E BOLSA JE DN 1000 PN10 - L=4000</t>
  </si>
  <si>
    <t>I4428</t>
  </si>
  <si>
    <t>TUBO FoFo C/FLANGE E BOLSA JE DN 1000 PN10 - L=4500</t>
  </si>
  <si>
    <t>I4429</t>
  </si>
  <si>
    <t>TUBO FoFo C/FLANGE E BOLSA JE DN 1000 PN10 - L=5000</t>
  </si>
  <si>
    <t>I4430</t>
  </si>
  <si>
    <t>TUBO FoFo C/FLANGE E BOLSA JE DN 1000 PN10 - L=5500</t>
  </si>
  <si>
    <t>I4431</t>
  </si>
  <si>
    <t>TUBO FoFo C/FLANGE E BOLSA JE DN 1000 PN10 - L=6000</t>
  </si>
  <si>
    <t>I4432</t>
  </si>
  <si>
    <t>TUBO FoFo C/FLANGE E BOLSA JE DN 1000 PN10 - L=6500</t>
  </si>
  <si>
    <t>I4433</t>
  </si>
  <si>
    <t>TUBO FoFo C/FLANGE E BOLSA JE DN 1000 PN10 - L=6800</t>
  </si>
  <si>
    <t>I4434</t>
  </si>
  <si>
    <t>TUBO FoFo C/FLANGE E BOLSA JE DN 1200 PN10 - L=1000</t>
  </si>
  <si>
    <t>I4435</t>
  </si>
  <si>
    <t>TUBO FoFo C/FLANGE E BOLSA JE DN 1200 PN10 - L=1500</t>
  </si>
  <si>
    <t>I4436</t>
  </si>
  <si>
    <t>TUBO FoFo C/FLANGE E BOLSA JE DN 1200 PN10 - L=2000</t>
  </si>
  <si>
    <t>I4437</t>
  </si>
  <si>
    <t>TUBO FoFo C/FLANGE E BOLSA JE DN 1200 PN10 - L=2500</t>
  </si>
  <si>
    <t>I4438</t>
  </si>
  <si>
    <t>TUBO FoFo C/FLANGE E BOLSA JE DN 1200 PN10 - L=3000</t>
  </si>
  <si>
    <t>I4439</t>
  </si>
  <si>
    <t>TUBO FoFo C/FLANGE E BOLSA JE DN 1200 PN10 - L=3500</t>
  </si>
  <si>
    <t>I4440</t>
  </si>
  <si>
    <t>TUBO FoFo C/FLANGE E BOLSA JE DN 1200 PN10 - L=4000</t>
  </si>
  <si>
    <t>I4441</t>
  </si>
  <si>
    <t>TUBO FoFo C/FLANGE E BOLSA JE DN 1200 PN10 - L=4500</t>
  </si>
  <si>
    <t>I4442</t>
  </si>
  <si>
    <t>TUBO FoFo C/FLANGE E BOLSA JE DN 1200 PN10 - L=5000</t>
  </si>
  <si>
    <t>I4443</t>
  </si>
  <si>
    <t>TUBO FoFo C/FLANGE E BOLSA JE DN 1200 PN10 - L=5500</t>
  </si>
  <si>
    <t>I4444</t>
  </si>
  <si>
    <t>TUBO FoFo C/FLANGE E BOLSA JE DN 1200 PN10 - L=6000</t>
  </si>
  <si>
    <t>I4445</t>
  </si>
  <si>
    <t>TUBO FoFo C/FLANGE E BOLSA JE DN 1200 PN10 - L=6500</t>
  </si>
  <si>
    <t>I4446</t>
  </si>
  <si>
    <t>TUBO FoFo C/FLANGE E BOLSA JE DN 1200 PN10 - L=6800</t>
  </si>
  <si>
    <t>I4288</t>
  </si>
  <si>
    <t>TUBO FoFo C/FLANGE E BOLSA JE DN 150 PN10 - L=3500</t>
  </si>
  <si>
    <t>I4289</t>
  </si>
  <si>
    <t>TUBO FoFo C/FLANGE E BOLSA JE DN 150 PN10 - L=4000</t>
  </si>
  <si>
    <t>I4290</t>
  </si>
  <si>
    <t>TUBO FoFo C/FLANGE E BOLSA JE DN 150 PN10 - L=4500</t>
  </si>
  <si>
    <t>I4291</t>
  </si>
  <si>
    <t>TUBO FoFo C/FLANGE E BOLSA JE DN 150 PN10 - L=5000</t>
  </si>
  <si>
    <t>I4292</t>
  </si>
  <si>
    <t>TUBO FoFo C/FLANGE E BOLSA JE DN 150 PN10 - L=5500</t>
  </si>
  <si>
    <t>I4293</t>
  </si>
  <si>
    <t>TUBO FoFo C/FLANGE E BOLSA JE DN 150 PN10 - L=5800</t>
  </si>
  <si>
    <t>I12273</t>
  </si>
  <si>
    <t>TUBO FoFo C/FLANGE E BOLSA JE DN 150 PN25 - L=1000</t>
  </si>
  <si>
    <t>I12274</t>
  </si>
  <si>
    <t>TUBO FoFo C/FLANGE E BOLSA JE DN 150 PN25 - L=1500</t>
  </si>
  <si>
    <t>I12275</t>
  </si>
  <si>
    <t>TUBO FoFo C/FLANGE E BOLSA JE DN 150 PN25 - L=2000</t>
  </si>
  <si>
    <t>I12276</t>
  </si>
  <si>
    <t>TUBO FoFo C/FLANGE E BOLSA JE DN 150 PN25 - L=2500</t>
  </si>
  <si>
    <t>I12277</t>
  </si>
  <si>
    <t>TUBO FoFo C/FLANGE E BOLSA JE DN 150 PN25 - L=3000</t>
  </si>
  <si>
    <t>I12278</t>
  </si>
  <si>
    <t>TUBO FoFo C/FLANGE E BOLSA JE DN 150 PN25 - L=3500</t>
  </si>
  <si>
    <t>I12279</t>
  </si>
  <si>
    <t>TUBO FoFo C/FLANGE E BOLSA JE DN 150 PN25 - L=4000</t>
  </si>
  <si>
    <t>I12280</t>
  </si>
  <si>
    <t>TUBO FoFo C/FLANGE E BOLSA JE DN 150 PN25 - L=4500</t>
  </si>
  <si>
    <t>I12281</t>
  </si>
  <si>
    <t>TUBO FoFo C/FLANGE E BOLSA JE DN 150 PN25 - L=5000</t>
  </si>
  <si>
    <t>I12282</t>
  </si>
  <si>
    <t>TUBO FoFo C/FLANGE E BOLSA JE DN 150 PN25 - L=5500</t>
  </si>
  <si>
    <t>I12283</t>
  </si>
  <si>
    <t>TUBO FoFo C/FLANGE E BOLSA JE DN 150 PN25 - L=5800</t>
  </si>
  <si>
    <t>I12284</t>
  </si>
  <si>
    <t>TUBO FoFo C/FLANGE E BOLSA JE DN 200 PN16 - L=1000</t>
  </si>
  <si>
    <t>I12285</t>
  </si>
  <si>
    <t>TUBO FoFo C/FLANGE E BOLSA JE DN 200 PN16 - L=1500</t>
  </si>
  <si>
    <t>I12286</t>
  </si>
  <si>
    <t>TUBO FoFo C/FLANGE E BOLSA JE DN 200 PN16 - L=2000</t>
  </si>
  <si>
    <t>I12287</t>
  </si>
  <si>
    <t>TUBO FoFo C/FLANGE E BOLSA JE DN 200 PN16 - L=2500</t>
  </si>
  <si>
    <t>I12288</t>
  </si>
  <si>
    <t>TUBO FoFo C/FLANGE E BOLSA JE DN 200 PN16 - L=3000</t>
  </si>
  <si>
    <t>I12289</t>
  </si>
  <si>
    <t>TUBO FoFo C/FLANGE E BOLSA JE DN 200 PN16 - L=3500</t>
  </si>
  <si>
    <t>I12290</t>
  </si>
  <si>
    <t>TUBO FoFo C/FLANGE E BOLSA JE DN 200 PN16 - L=4000</t>
  </si>
  <si>
    <t>I12291</t>
  </si>
  <si>
    <t>TUBO FoFo C/FLANGE E BOLSA JE DN 200 PN16 - L=4500</t>
  </si>
  <si>
    <t>I12292</t>
  </si>
  <si>
    <t>TUBO FoFo C/FLANGE E BOLSA JE DN 200 PN16 - L=5000</t>
  </si>
  <si>
    <t>I12293</t>
  </si>
  <si>
    <t>TUBO FoFo C/FLANGE E BOLSA JE DN 200 PN16 - L=5500</t>
  </si>
  <si>
    <t>I12294</t>
  </si>
  <si>
    <t>TUBO FoFo C/FLANGE E BOLSA JE DN 200 PN16 - L=5800</t>
  </si>
  <si>
    <t>I12295</t>
  </si>
  <si>
    <t>TUBO FoFo C/FLANGE E BOLSA JE DN 200 PN25 - L=1000</t>
  </si>
  <si>
    <t>I12296</t>
  </si>
  <si>
    <t>TUBO FoFo C/FLANGE E BOLSA JE DN 200 PN25 - L=1500</t>
  </si>
  <si>
    <t>I12297</t>
  </si>
  <si>
    <t>TUBO FoFo C/FLANGE E BOLSA JE DN 200 PN25 - L=2000</t>
  </si>
  <si>
    <t>I12298</t>
  </si>
  <si>
    <t>TUBO FoFo C/FLANGE E BOLSA JE DN 200 PN25 - L=2500</t>
  </si>
  <si>
    <t>I12299</t>
  </si>
  <si>
    <t>TUBO FoFo C/FLANGE E BOLSA JE DN 200 PN25 - L=3000</t>
  </si>
  <si>
    <t>I12300</t>
  </si>
  <si>
    <t>TUBO FoFo C/FLANGE E BOLSA JE DN 200 PN25 - L=3500</t>
  </si>
  <si>
    <t>I12301</t>
  </si>
  <si>
    <t>TUBO FoFo C/FLANGE E BOLSA JE DN 200 PN25 - L=4000</t>
  </si>
  <si>
    <t>I12302</t>
  </si>
  <si>
    <t>TUBO FoFo C/FLANGE E BOLSA JE DN 200 PN25 - L=4500</t>
  </si>
  <si>
    <t>I12303</t>
  </si>
  <si>
    <t>TUBO FoFo C/FLANGE E BOLSA JE DN 200 PN25 - L=5000</t>
  </si>
  <si>
    <t>I12304</t>
  </si>
  <si>
    <t>TUBO FoFo C/FLANGE E BOLSA JE DN 200 PN25 - L=5500</t>
  </si>
  <si>
    <t>I12305</t>
  </si>
  <si>
    <t>TUBO FoFo C/FLANGE E BOLSA JE DN 200 PN25 - L=5800</t>
  </si>
  <si>
    <t>I12306</t>
  </si>
  <si>
    <t>TUBO FoFo C/FLANGE E BOLSA JE DN 250 PN16 - L=1000</t>
  </si>
  <si>
    <t>I12307</t>
  </si>
  <si>
    <t>TUBO FoFo C/FLANGE E BOLSA JE DN 250 PN16 - L=1500</t>
  </si>
  <si>
    <t>I12308</t>
  </si>
  <si>
    <t>TUBO FoFo C/FLANGE E BOLSA JE DN 250 PN16 - L=2000</t>
  </si>
  <si>
    <t>I12309</t>
  </si>
  <si>
    <t>TUBO FoFo C/FLANGE E BOLSA JE DN 250 PN16 - L=2500</t>
  </si>
  <si>
    <t>I12310</t>
  </si>
  <si>
    <t>TUBO FoFo C/FLANGE E BOLSA JE DN 250 PN16 - L=3000</t>
  </si>
  <si>
    <t>I12311</t>
  </si>
  <si>
    <t>TUBO FoFo C/FLANGE E BOLSA JE DN 250 PN16 - L=3500</t>
  </si>
  <si>
    <t>I12312</t>
  </si>
  <si>
    <t>TUBO FoFo C/FLANGE E BOLSA JE DN 250 PN16 - L=4000</t>
  </si>
  <si>
    <t>I12313</t>
  </si>
  <si>
    <t>TUBO FoFo C/FLANGE E BOLSA JE DN 250 PN16 - L=4500</t>
  </si>
  <si>
    <t>I12314</t>
  </si>
  <si>
    <t>TUBO FoFo C/FLANGE E BOLSA JE DN 250 PN16 - L=5000</t>
  </si>
  <si>
    <t>I12315</t>
  </si>
  <si>
    <t>TUBO FoFo C/FLANGE E BOLSA JE DN 250 PN16 - L=5500</t>
  </si>
  <si>
    <t>I12316</t>
  </si>
  <si>
    <t>TUBO FoFo C/FLANGE E BOLSA JE DN 250 PN16 - L=5800</t>
  </si>
  <si>
    <t>I12317</t>
  </si>
  <si>
    <t>TUBO FoFo C/FLANGE E BOLSA JE DN 250 PN25 - L=1000</t>
  </si>
  <si>
    <t>I12318</t>
  </si>
  <si>
    <t>TUBO FoFo C/FLANGE E BOLSA JE DN 250 PN25 - L=1500</t>
  </si>
  <si>
    <t>I12319</t>
  </si>
  <si>
    <t>TUBO FoFo C/FLANGE E BOLSA JE DN 250 PN25 - L=2000</t>
  </si>
  <si>
    <t>I12320</t>
  </si>
  <si>
    <t>TUBO FoFo C/FLANGE E BOLSA JE DN 250 PN25 - L=2500</t>
  </si>
  <si>
    <t>I12321</t>
  </si>
  <si>
    <t>TUBO FoFo C/FLANGE E BOLSA JE DN 250 PN25 - L=3000</t>
  </si>
  <si>
    <t>I12322</t>
  </si>
  <si>
    <t>TUBO FoFo C/FLANGE E BOLSA JE DN 250 PN25 - L=3500</t>
  </si>
  <si>
    <t>I12323</t>
  </si>
  <si>
    <t>TUBO FoFo C/FLANGE E BOLSA JE DN 250 PN25 - L=4000</t>
  </si>
  <si>
    <t>I12324</t>
  </si>
  <si>
    <t>TUBO FoFo C/FLANGE E BOLSA JE DN 250 PN25 - L=4500</t>
  </si>
  <si>
    <t>I12325</t>
  </si>
  <si>
    <t>TUBO FoFo C/FLANGE E BOLSA JE DN 250 PN25 - L=5000</t>
  </si>
  <si>
    <t>I12326</t>
  </si>
  <si>
    <t>TUBO FoFo C/FLANGE E BOLSA JE DN 250 PN25 - L=5500</t>
  </si>
  <si>
    <t>I12327</t>
  </si>
  <si>
    <t>TUBO FoFo C/FLANGE E BOLSA JE DN 250 PN25 - L=5800</t>
  </si>
  <si>
    <t>I12328</t>
  </si>
  <si>
    <t>TUBO FoFo C/FLANGE E BOLSA JE DN 300 PN16 - L=1000</t>
  </si>
  <si>
    <t>I12329</t>
  </si>
  <si>
    <t>TUBO FoFo C/FLANGE E BOLSA JE DN 300 PN16 - L=1500</t>
  </si>
  <si>
    <t>I12330</t>
  </si>
  <si>
    <t>TUBO FoFo C/FLANGE E BOLSA JE DN 300 PN16 - L=2000</t>
  </si>
  <si>
    <t>I12331</t>
  </si>
  <si>
    <t>TUBO FoFo C/FLANGE E BOLSA JE DN 300 PN16 - L=2500</t>
  </si>
  <si>
    <t>I12332</t>
  </si>
  <si>
    <t>TUBO FoFo C/FLANGE E BOLSA JE DN 300 PN16 - L=3000</t>
  </si>
  <si>
    <t>I12333</t>
  </si>
  <si>
    <t>TUBO FoFo C/FLANGE E BOLSA JE DN 300 PN16 - L=3500</t>
  </si>
  <si>
    <t>I12334</t>
  </si>
  <si>
    <t>TUBO FoFo C/FLANGE E BOLSA JE DN 300 PN16 - L=4000</t>
  </si>
  <si>
    <t>I12335</t>
  </si>
  <si>
    <t>TUBO FoFo C/FLANGE E BOLSA JE DN 300 PN16 - L=4500</t>
  </si>
  <si>
    <t>I12336</t>
  </si>
  <si>
    <t>TUBO FoFo C/FLANGE E BOLSA JE DN 300 PN16 - L=5000</t>
  </si>
  <si>
    <t>I12337</t>
  </si>
  <si>
    <t>TUBO FoFo C/FLANGE E BOLSA JE DN 300 PN16 - L=5500</t>
  </si>
  <si>
    <t>I12338</t>
  </si>
  <si>
    <t>TUBO FoFo C/FLANGE E BOLSA JE DN 300 PN16 - L=5800</t>
  </si>
  <si>
    <t>I12339</t>
  </si>
  <si>
    <t>TUBO FoFo C/FLANGE E BOLSA JE DN 300 PN25 - L=1000</t>
  </si>
  <si>
    <t>I12340</t>
  </si>
  <si>
    <t>TUBO FoFo C/FLANGE E BOLSA JE DN 300 PN25 - L=1500</t>
  </si>
  <si>
    <t>I12341</t>
  </si>
  <si>
    <t>TUBO FoFo C/FLANGE E BOLSA JE DN 300 PN25 - L=2000</t>
  </si>
  <si>
    <t>I12342</t>
  </si>
  <si>
    <t>TUBO FoFo C/FLANGE E BOLSA JE DN 300 PN25 - L=2500</t>
  </si>
  <si>
    <t>I12343</t>
  </si>
  <si>
    <t>TUBO FoFo C/FLANGE E BOLSA JE DN 300 PN25 - L=3000</t>
  </si>
  <si>
    <t>I12344</t>
  </si>
  <si>
    <t>TUBO FoFo C/FLANGE E BOLSA JE DN 300 PN25 - L=3500</t>
  </si>
  <si>
    <t>I12345</t>
  </si>
  <si>
    <t>TUBO FoFo C/FLANGE E BOLSA JE DN 300 PN25 - L=4000</t>
  </si>
  <si>
    <t>I12346</t>
  </si>
  <si>
    <t>TUBO FoFo C/FLANGE E BOLSA JE DN 300 PN25 - L=4500</t>
  </si>
  <si>
    <t>I12347</t>
  </si>
  <si>
    <t>TUBO FoFo C/FLANGE E BOLSA JE DN 300 PN25 - L=5000</t>
  </si>
  <si>
    <t>I12348</t>
  </si>
  <si>
    <t>TUBO FoFo C/FLANGE E BOLSA JE DN 300 PN25 - L=5500</t>
  </si>
  <si>
    <t>I12349</t>
  </si>
  <si>
    <t>TUBO FoFo C/FLANGE E BOLSA JE DN 300 PN25 - L=5800</t>
  </si>
  <si>
    <t>I12350</t>
  </si>
  <si>
    <t>TUBO FoFo C/FLANGE E BOLSA JE DN 350 PN16 - L=1000</t>
  </si>
  <si>
    <t>I12351</t>
  </si>
  <si>
    <t>TUBO FoFo C/FLANGE E BOLSA JE DN 350 PN16 - L=1500</t>
  </si>
  <si>
    <t>I12352</t>
  </si>
  <si>
    <t>TUBO FoFo C/FLANGE E BOLSA JE DN 350 PN16 - L=2000</t>
  </si>
  <si>
    <t>I12353</t>
  </si>
  <si>
    <t>TUBO FoFo C/FLANGE E BOLSA JE DN 350 PN16 - L=2500</t>
  </si>
  <si>
    <t>I12354</t>
  </si>
  <si>
    <t>TUBO FoFo C/FLANGE E BOLSA JE DN 350 PN16 - L=3000</t>
  </si>
  <si>
    <t>I12355</t>
  </si>
  <si>
    <t>TUBO FoFo C/FLANGE E BOLSA JE DN 350 PN16 - L=3500</t>
  </si>
  <si>
    <t>I12356</t>
  </si>
  <si>
    <t>TUBO FoFo C/FLANGE E BOLSA JE DN 350 PN16 - L=4000</t>
  </si>
  <si>
    <t>I12357</t>
  </si>
  <si>
    <t>TUBO FoFo C/FLANGE E BOLSA JE DN 350 PN16 - L=4500</t>
  </si>
  <si>
    <t>I12358</t>
  </si>
  <si>
    <t>TUBO FoFo C/FLANGE E BOLSA JE DN 350 PN16 - L=5000</t>
  </si>
  <si>
    <t>I12359</t>
  </si>
  <si>
    <t>TUBO FoFo C/FLANGE E BOLSA JE DN 350 PN16 - L=5500</t>
  </si>
  <si>
    <t>I12360</t>
  </si>
  <si>
    <t>TUBO FoFo C/FLANGE E BOLSA JE DN 350 PN16 - L=5800</t>
  </si>
  <si>
    <t>I12361</t>
  </si>
  <si>
    <t>TUBO FoFo C/FLANGE E BOLSA JE DN 350 PN25 - L=1000</t>
  </si>
  <si>
    <t>I12362</t>
  </si>
  <si>
    <t>TUBO FoFo C/FLANGE E BOLSA JE DN 350 PN25 - L=1500</t>
  </si>
  <si>
    <t>I12363</t>
  </si>
  <si>
    <t>TUBO FoFo C/FLANGE E BOLSA JE DN 350 PN25 - L=2000</t>
  </si>
  <si>
    <t>I12364</t>
  </si>
  <si>
    <t>TUBO FoFo C/FLANGE E BOLSA JE DN 350 PN25 - L=2500</t>
  </si>
  <si>
    <t>I12365</t>
  </si>
  <si>
    <t>TUBO FoFo C/FLANGE E BOLSA JE DN 350 PN25 - L=3000</t>
  </si>
  <si>
    <t>I12366</t>
  </si>
  <si>
    <t>TUBO FoFo C/FLANGE E BOLSA JE DN 350 PN25 - L=3500</t>
  </si>
  <si>
    <t>I12367</t>
  </si>
  <si>
    <t>TUBO FoFo C/FLANGE E BOLSA JE DN 350 PN25 - L=4000</t>
  </si>
  <si>
    <t>I12368</t>
  </si>
  <si>
    <t>TUBO FoFo C/FLANGE E BOLSA JE DN 350 PN25 - L=4500</t>
  </si>
  <si>
    <t>I12369</t>
  </si>
  <si>
    <t>TUBO FoFo C/FLANGE E BOLSA JE DN 350 PN25 - L=5000</t>
  </si>
  <si>
    <t>I12370</t>
  </si>
  <si>
    <t>TUBO FoFo C/FLANGE E BOLSA JE DN 350 PN25 - L=5500</t>
  </si>
  <si>
    <t>I12371</t>
  </si>
  <si>
    <t>TUBO FoFo C/FLANGE E BOLSA JE DN 350 PN25 - L=5800</t>
  </si>
  <si>
    <t>I12372</t>
  </si>
  <si>
    <t>TUBO FoFo C/FLANGE E BOLSA JE DN 400 PN16 - L=1000</t>
  </si>
  <si>
    <t>I12373</t>
  </si>
  <si>
    <t>TUBO FoFo C/FLANGE E BOLSA JE DN 400 PN16 - L=1500</t>
  </si>
  <si>
    <t>I12374</t>
  </si>
  <si>
    <t>TUBO FoFo C/FLANGE E BOLSA JE DN 400 PN16 - L=2000</t>
  </si>
  <si>
    <t>I12375</t>
  </si>
  <si>
    <t>TUBO FoFo C/FLANGE E BOLSA JE DN 400 PN16 - L=2500</t>
  </si>
  <si>
    <t>I12376</t>
  </si>
  <si>
    <t>TUBO FoFo C/FLANGE E BOLSA JE DN 400 PN16 - L=3000</t>
  </si>
  <si>
    <t>I12377</t>
  </si>
  <si>
    <t>TUBO FoFo C/FLANGE E BOLSA JE DN 400 PN16 - L=3500</t>
  </si>
  <si>
    <t>I12378</t>
  </si>
  <si>
    <t>TUBO FoFo C/FLANGE E BOLSA JE DN 400 PN16 - L=4000</t>
  </si>
  <si>
    <t>I12379</t>
  </si>
  <si>
    <t>TUBO FoFo C/FLANGE E BOLSA JE DN 400 PN16 - L=4500</t>
  </si>
  <si>
    <t>I12380</t>
  </si>
  <si>
    <t>TUBO FoFo C/FLANGE E BOLSA JE DN 400 PN16 - L=5000</t>
  </si>
  <si>
    <t>I12381</t>
  </si>
  <si>
    <t>TUBO FoFo C/FLANGE E BOLSA JE DN 400 PN16 - L=5500</t>
  </si>
  <si>
    <t>I12382</t>
  </si>
  <si>
    <t>TUBO FoFo C/FLANGE E BOLSA JE DN 400 PN16 - L=5800</t>
  </si>
  <si>
    <t>I12383</t>
  </si>
  <si>
    <t>TUBO FoFo C/FLANGE E BOLSA JE DN 400 PN25 - L=1000</t>
  </si>
  <si>
    <t>I12384</t>
  </si>
  <si>
    <t>TUBO FoFo C/FLANGE E BOLSA JE DN 400 PN25 - L=1500</t>
  </si>
  <si>
    <t>I12385</t>
  </si>
  <si>
    <t>TUBO FoFo C/FLANGE E BOLSA JE DN 400 PN25 - L=2000</t>
  </si>
  <si>
    <t>I12386</t>
  </si>
  <si>
    <t>TUBO FoFo C/FLANGE E BOLSA JE DN 400 PN25 - L=2500</t>
  </si>
  <si>
    <t>I12387</t>
  </si>
  <si>
    <t>TUBO FoFo C/FLANGE E BOLSA JE DN 400 PN25 - L=3000</t>
  </si>
  <si>
    <t>I12388</t>
  </si>
  <si>
    <t>TUBO FoFo C/FLANGE E BOLSA JE DN 400 PN25 - L=3500</t>
  </si>
  <si>
    <t>I12389</t>
  </si>
  <si>
    <t>TUBO FoFo C/FLANGE E BOLSA JE DN 400 PN25 - L=4000</t>
  </si>
  <si>
    <t>I12390</t>
  </si>
  <si>
    <t>TUBO FoFo C/FLANGE E BOLSA JE DN 400 PN25 - L=4500</t>
  </si>
  <si>
    <t>I12391</t>
  </si>
  <si>
    <t>TUBO FoFo C/FLANGE E BOLSA JE DN 400 PN25 - L=5000</t>
  </si>
  <si>
    <t>I12392</t>
  </si>
  <si>
    <t>TUBO FoFo C/FLANGE E BOLSA JE DN 400 PN25 - L=5500</t>
  </si>
  <si>
    <t>I12393</t>
  </si>
  <si>
    <t>TUBO FoFo C/FLANGE E BOLSA JE DN 400 PN25 - L=5800</t>
  </si>
  <si>
    <t>I12394</t>
  </si>
  <si>
    <t>TUBO FoFo C/FLANGE E BOLSA JE DN 450 PN16 - L=1000</t>
  </si>
  <si>
    <t>I12395</t>
  </si>
  <si>
    <t>TUBO FoFo C/FLANGE E BOLSA JE DN 450 PN16 - L=1500</t>
  </si>
  <si>
    <t>I12396</t>
  </si>
  <si>
    <t>TUBO FoFo C/FLANGE E BOLSA JE DN 450 PN16 - L=2000</t>
  </si>
  <si>
    <t>I12397</t>
  </si>
  <si>
    <t>TUBO FoFo C/FLANGE E BOLSA JE DN 450 PN16 - L=2500</t>
  </si>
  <si>
    <t>I12398</t>
  </si>
  <si>
    <t>TUBO FoFo C/FLANGE E BOLSA JE DN 450 PN16 - L=3000</t>
  </si>
  <si>
    <t>I12399</t>
  </si>
  <si>
    <t>TUBO FoFo C/FLANGE E BOLSA JE DN 450 PN16 - L=3500</t>
  </si>
  <si>
    <t>I12400</t>
  </si>
  <si>
    <t>TUBO FoFo C/FLANGE E BOLSA JE DN 450 PN16 - L=4000</t>
  </si>
  <si>
    <t>I12401</t>
  </si>
  <si>
    <t>TUBO FoFo C/FLANGE E BOLSA JE DN 450 PN16 - L=4500</t>
  </si>
  <si>
    <t>I12402</t>
  </si>
  <si>
    <t>TUBO FoFo C/FLANGE E BOLSA JE DN 450 PN16 - L=5000</t>
  </si>
  <si>
    <t>I12403</t>
  </si>
  <si>
    <t>TUBO FoFo C/FLANGE E BOLSA JE DN 450 PN16 - L=5500</t>
  </si>
  <si>
    <t>I12404</t>
  </si>
  <si>
    <t>TUBO FoFo C/FLANGE E BOLSA JE DN 450 PN16 - L=5800</t>
  </si>
  <si>
    <t>I12405</t>
  </si>
  <si>
    <t>TUBO FoFo C/FLANGE E BOLSA JE DN 450 PN25 - L=1000</t>
  </si>
  <si>
    <t>I12406</t>
  </si>
  <si>
    <t>TUBO FoFo C/FLANGE E BOLSA JE DN 450 PN25 - L=1500</t>
  </si>
  <si>
    <t>I12407</t>
  </si>
  <si>
    <t>TUBO FoFo C/FLANGE E BOLSA JE DN 450 PN25 - L=2000</t>
  </si>
  <si>
    <t>I12408</t>
  </si>
  <si>
    <t>TUBO FoFo C/FLANGE E BOLSA JE DN 450 PN25 - L=2500</t>
  </si>
  <si>
    <t>I12409</t>
  </si>
  <si>
    <t>TUBO FoFo C/FLANGE E BOLSA JE DN 450 PN25 - L=3000</t>
  </si>
  <si>
    <t>I12410</t>
  </si>
  <si>
    <t>TUBO FoFo C/FLANGE E BOLSA JE DN 450 PN25 - L=3500</t>
  </si>
  <si>
    <t>I12411</t>
  </si>
  <si>
    <t>TUBO FoFo C/FLANGE E BOLSA JE DN 450 PN25 - L=4000</t>
  </si>
  <si>
    <t>I12412</t>
  </si>
  <si>
    <t>TUBO FoFo C/FLANGE E BOLSA JE DN 450 PN25 - L=4500</t>
  </si>
  <si>
    <t>I12413</t>
  </si>
  <si>
    <t>TUBO FoFo C/FLANGE E BOLSA JE DN 450 PN25 - L=5000</t>
  </si>
  <si>
    <t>I12414</t>
  </si>
  <si>
    <t>TUBO FoFo C/FLANGE E BOLSA JE DN 450 PN25 - L=5500</t>
  </si>
  <si>
    <t>I12415</t>
  </si>
  <si>
    <t>TUBO FoFo C/FLANGE E BOLSA JE DN 450 PN25 - L=5800</t>
  </si>
  <si>
    <t>I12416</t>
  </si>
  <si>
    <t>TUBO FoFo C/FLANGE E BOLSA JE DN 500 PN16 - L=1000</t>
  </si>
  <si>
    <t>I12417</t>
  </si>
  <si>
    <t>TUBO FoFo C/FLANGE E BOLSA JE DN 500 PN16 - L=1500</t>
  </si>
  <si>
    <t>I12418</t>
  </si>
  <si>
    <t>TUBO FoFo C/FLANGE E BOLSA JE DN 500 PN16 - L=2000</t>
  </si>
  <si>
    <t>I12419</t>
  </si>
  <si>
    <t>TUBO FoFo C/FLANGE E BOLSA JE DN 500 PN16 - L=2500</t>
  </si>
  <si>
    <t>I12420</t>
  </si>
  <si>
    <t>TUBO FoFo C/FLANGE E BOLSA JE DN 500 PN16 - L=3000</t>
  </si>
  <si>
    <t>I12421</t>
  </si>
  <si>
    <t>TUBO FoFo C/FLANGE E BOLSA JE DN 500 PN16 - L=3500</t>
  </si>
  <si>
    <t>I12422</t>
  </si>
  <si>
    <t>TUBO FoFo C/FLANGE E BOLSA JE DN 500 PN16 - L=4000</t>
  </si>
  <si>
    <t>I12423</t>
  </si>
  <si>
    <t>TUBO FoFo C/FLANGE E BOLSA JE DN 500 PN16 - L=4500</t>
  </si>
  <si>
    <t>I12424</t>
  </si>
  <si>
    <t>TUBO FoFo C/FLANGE E BOLSA JE DN 500 PN16 - L=5000</t>
  </si>
  <si>
    <t>I12425</t>
  </si>
  <si>
    <t>TUBO FoFo C/FLANGE E BOLSA JE DN 500 PN16 - L=5500</t>
  </si>
  <si>
    <t>I12426</t>
  </si>
  <si>
    <t>TUBO FoFo C/FLANGE E BOLSA JE DN 500 PN16 - L=5800</t>
  </si>
  <si>
    <t>I12427</t>
  </si>
  <si>
    <t>TUBO FoFo C/FLANGE E BOLSA JE DN 500 PN25 - L=1000</t>
  </si>
  <si>
    <t>I12428</t>
  </si>
  <si>
    <t>TUBO FoFo C/FLANGE E BOLSA JE DN 500 PN25 - L=1500</t>
  </si>
  <si>
    <t>I12429</t>
  </si>
  <si>
    <t>TUBO FoFo C/FLANGE E BOLSA JE DN 500 PN25 - L=2000</t>
  </si>
  <si>
    <t>I12430</t>
  </si>
  <si>
    <t>TUBO FoFo C/FLANGE E BOLSA JE DN 500 PN25 - L=2500</t>
  </si>
  <si>
    <t>I12431</t>
  </si>
  <si>
    <t>TUBO FoFo C/FLANGE E BOLSA JE DN 500 PN25 - L=3000</t>
  </si>
  <si>
    <t>I12432</t>
  </si>
  <si>
    <t>TUBO FoFo C/FLANGE E BOLSA JE DN 500 PN25 - L=3500</t>
  </si>
  <si>
    <t>I12433</t>
  </si>
  <si>
    <t>TUBO FoFo C/FLANGE E BOLSA JE DN 500 PN25 - L=4000</t>
  </si>
  <si>
    <t>I12434</t>
  </si>
  <si>
    <t>TUBO FoFo C/FLANGE E BOLSA JE DN 500 PN25 - L=4500</t>
  </si>
  <si>
    <t>I12435</t>
  </si>
  <si>
    <t>TUBO FoFo C/FLANGE E BOLSA JE DN 500 PN25 - L=5000</t>
  </si>
  <si>
    <t>I12436</t>
  </si>
  <si>
    <t>TUBO FoFo C/FLANGE E BOLSA JE DN 500 PN25 - L=5500</t>
  </si>
  <si>
    <t>I12437</t>
  </si>
  <si>
    <t>TUBO FoFo C/FLANGE E BOLSA JE DN 500 PN25 - L=5800</t>
  </si>
  <si>
    <t>I12438</t>
  </si>
  <si>
    <t>TUBO FoFo C/FLANGE E BOLSA JE DN 600 PN16 - L=1000</t>
  </si>
  <si>
    <t>I12439</t>
  </si>
  <si>
    <t>TUBO FoFo C/FLANGE E BOLSA JE DN 600 PN16 - L=1500</t>
  </si>
  <si>
    <t>I12440</t>
  </si>
  <si>
    <t>TUBO FoFo C/FLANGE E BOLSA JE DN 600 PN16 - L=2000</t>
  </si>
  <si>
    <t>I12441</t>
  </si>
  <si>
    <t>TUBO FoFo C/FLANGE E BOLSA JE DN 600 PN16 - L=2500</t>
  </si>
  <si>
    <t>I12442</t>
  </si>
  <si>
    <t>TUBO FoFo C/FLANGE E BOLSA JE DN 600 PN16 - L=3000</t>
  </si>
  <si>
    <t>I12443</t>
  </si>
  <si>
    <t>TUBO FoFo C/FLANGE E BOLSA JE DN 600 PN16 - L=3500</t>
  </si>
  <si>
    <t>I12444</t>
  </si>
  <si>
    <t>TUBO FoFo C/FLANGE E BOLSA JE DN 600 PN16 - L=4000</t>
  </si>
  <si>
    <t>I12445</t>
  </si>
  <si>
    <t>TUBO FoFo C/FLANGE E BOLSA JE DN 600 PN16 - L=4500</t>
  </si>
  <si>
    <t>I12446</t>
  </si>
  <si>
    <t>TUBO FoFo C/FLANGE E BOLSA JE DN 600 PN16 - L=5000</t>
  </si>
  <si>
    <t>I12447</t>
  </si>
  <si>
    <t>TUBO FoFo C/FLANGE E BOLSA JE DN 600 PN16 - L=5500</t>
  </si>
  <si>
    <t>I12448</t>
  </si>
  <si>
    <t>TUBO FoFo C/FLANGE E BOLSA JE DN 600 PN16 - L=5800</t>
  </si>
  <si>
    <t>I12449</t>
  </si>
  <si>
    <t>TUBO FoFo C/FLANGE E BOLSA JE DN 600 PN25 - L=1000</t>
  </si>
  <si>
    <t>I12450</t>
  </si>
  <si>
    <t>TUBO FoFo C/FLANGE E BOLSA JE DN 600 PN25 - L=1500</t>
  </si>
  <si>
    <t>I12451</t>
  </si>
  <si>
    <t>TUBO FoFo C/FLANGE E BOLSA JE DN 600 PN25 - L=2000</t>
  </si>
  <si>
    <t>I12452</t>
  </si>
  <si>
    <t>TUBO FoFo C/FLANGE E BOLSA JE DN 600 PN25 - L=2500</t>
  </si>
  <si>
    <t>I12453</t>
  </si>
  <si>
    <t>TUBO FoFo C/FLANGE E BOLSA JE DN 600 PN25 - L=3000</t>
  </si>
  <si>
    <t>I12454</t>
  </si>
  <si>
    <t>TUBO FoFo C/FLANGE E BOLSA JE DN 600 PN25 - L=3500</t>
  </si>
  <si>
    <t>I12455</t>
  </si>
  <si>
    <t>TUBO FoFo C/FLANGE E BOLSA JE DN 600 PN25 - L=4000</t>
  </si>
  <si>
    <t>I12456</t>
  </si>
  <si>
    <t>TUBO FoFo C/FLANGE E BOLSA JE DN 600 PN25 - L=4500</t>
  </si>
  <si>
    <t>I12457</t>
  </si>
  <si>
    <t>TUBO FoFo C/FLANGE E BOLSA JE DN 600 PN25 - L=5000</t>
  </si>
  <si>
    <t>I12458</t>
  </si>
  <si>
    <t>TUBO FoFo C/FLANGE E BOLSA JE DN 600 PN25 - L=5500</t>
  </si>
  <si>
    <t>I12459</t>
  </si>
  <si>
    <t>TUBO FoFo C/FLANGE E BOLSA JE DN 600 PN25 - L=5800</t>
  </si>
  <si>
    <t>I12460</t>
  </si>
  <si>
    <t>TUBO FoFo C/FLANGE E BOLSA JE DN 700 PN16 - L=1000</t>
  </si>
  <si>
    <t>I12461</t>
  </si>
  <si>
    <t>TUBO FoFo C/FLANGE E BOLSA JE DN 700 PN16 - L=1500</t>
  </si>
  <si>
    <t>I12462</t>
  </si>
  <si>
    <t>TUBO FoFo C/FLANGE E BOLSA JE DN 700 PN16 - L=2000</t>
  </si>
  <si>
    <t>I12463</t>
  </si>
  <si>
    <t>TUBO FoFo C/FLANGE E BOLSA JE DN 700 PN16 - L=2500</t>
  </si>
  <si>
    <t>I12464</t>
  </si>
  <si>
    <t>TUBO FoFo C/FLANGE E BOLSA JE DN 700 PN16 - L=3000</t>
  </si>
  <si>
    <t>I12465</t>
  </si>
  <si>
    <t>TUBO FoFo C/FLANGE E BOLSA JE DN 700 PN16 - L=3500</t>
  </si>
  <si>
    <t>I12466</t>
  </si>
  <si>
    <t>TUBO FoFo C/FLANGE E BOLSA JE DN 700 PN16 - L=4000</t>
  </si>
  <si>
    <t>I12467</t>
  </si>
  <si>
    <t>TUBO FoFo C/FLANGE E BOLSA JE DN 700 PN16 - L=4500</t>
  </si>
  <si>
    <t>I12468</t>
  </si>
  <si>
    <t>TUBO FoFo C/FLANGE E BOLSA JE DN 700 PN16 - L=5000</t>
  </si>
  <si>
    <t>I12469</t>
  </si>
  <si>
    <t>TUBO FoFo C/FLANGE E BOLSA JE DN 700 PN16 - L=5500</t>
  </si>
  <si>
    <t>I12470</t>
  </si>
  <si>
    <t>TUBO FoFo C/FLANGE E BOLSA JE DN 700 PN16 - L=6000</t>
  </si>
  <si>
    <t>I12471</t>
  </si>
  <si>
    <t>TUBO FoFo C/FLANGE E BOLSA JE DN 700 PN16 - L=6500</t>
  </si>
  <si>
    <t>I12472</t>
  </si>
  <si>
    <t>TUBO FoFo C/FLANGE E BOLSA JE DN 700 PN16 - L=6800</t>
  </si>
  <si>
    <t>I4395</t>
  </si>
  <si>
    <t>TUBO FoFo C/FLANGE E BOLSA JE DN 800 PN10 - L=1000</t>
  </si>
  <si>
    <t>I4396</t>
  </si>
  <si>
    <t>TUBO FoFo C/FLANGE E BOLSA JE DN 800 PN10 - L=1500</t>
  </si>
  <si>
    <t>I4397</t>
  </si>
  <si>
    <t>TUBO FoFo C/FLANGE E BOLSA JE DN 800 PN10 - L=2000</t>
  </si>
  <si>
    <t>I4398</t>
  </si>
  <si>
    <t>TUBO FoFo C/FLANGE E BOLSA JE DN 800 PN10 - L=2500</t>
  </si>
  <si>
    <t>I4399</t>
  </si>
  <si>
    <t>TUBO FoFo C/FLANGE E BOLSA JE DN 800 PN10 - L=3000</t>
  </si>
  <si>
    <t>I4400</t>
  </si>
  <si>
    <t>TUBO FoFo C/FLANGE E BOLSA JE DN 800 PN10 - L=3500</t>
  </si>
  <si>
    <t>I4401</t>
  </si>
  <si>
    <t>TUBO FoFo C/FLANGE E BOLSA JE DN 800 PN10 - L=4000</t>
  </si>
  <si>
    <t>I4402</t>
  </si>
  <si>
    <t>TUBO FoFo C/FLANGE E BOLSA JE DN 800 PN10 - L=4500</t>
  </si>
  <si>
    <t>I4403</t>
  </si>
  <si>
    <t>TUBO FoFo C/FLANGE E BOLSA JE DN 800 PN10 - L=5000</t>
  </si>
  <si>
    <t>I4404</t>
  </si>
  <si>
    <t>TUBO FoFo C/FLANGE E BOLSA JE DN 800 PN10 - L=5500</t>
  </si>
  <si>
    <t>I4405</t>
  </si>
  <si>
    <t>TUBO FoFo C/FLANGE E BOLSA JE DN 800 PN10 - L=6000</t>
  </si>
  <si>
    <t>I4406</t>
  </si>
  <si>
    <t>TUBO FoFo C/FLANGE E BOLSA JE DN 800 PN10 - L=6500</t>
  </si>
  <si>
    <t>I4407</t>
  </si>
  <si>
    <t>TUBO FoFo C/FLANGE E BOLSA JE DN 800 PN10 - L=6800</t>
  </si>
  <si>
    <t>I4408</t>
  </si>
  <si>
    <t>TUBO FoFo C/FLANGE E BOLSA JE DN 900 PN10 - L=1000</t>
  </si>
  <si>
    <t>I4409</t>
  </si>
  <si>
    <t>TUBO FoFo C/FLANGE E BOLSA JE DN 900 PN10 - L=1500</t>
  </si>
  <si>
    <t>I4410</t>
  </si>
  <si>
    <t>TUBO FoFo C/FLANGE E BOLSA JE DN 900 PN10 - L=2000</t>
  </si>
  <si>
    <t>I4411</t>
  </si>
  <si>
    <t>TUBO FoFo C/FLANGE E BOLSA JE DN 900 PN10 - L=2500</t>
  </si>
  <si>
    <t>I4412</t>
  </si>
  <si>
    <t>TUBO FoFo C/FLANGE E BOLSA JE DN 900 PN10 - L=3000</t>
  </si>
  <si>
    <t>I4413</t>
  </si>
  <si>
    <t>TUBO FoFo C/FLANGE E BOLSA JE DN 900 PN10 - L=3500</t>
  </si>
  <si>
    <t>I4414</t>
  </si>
  <si>
    <t>TUBO FoFo C/FLANGE E BOLSA JE DN 900 PN10 - L=4000</t>
  </si>
  <si>
    <t>I4415</t>
  </si>
  <si>
    <t>TUBO FoFo C/FLANGE E BOLSA JE DN 900 PN10 - L=4500</t>
  </si>
  <si>
    <t>I4416</t>
  </si>
  <si>
    <t>TUBO FoFo C/FLANGE E BOLSA JE DN 900 PN10 - L=5000</t>
  </si>
  <si>
    <t>I4417</t>
  </si>
  <si>
    <t>TUBO FoFo C/FLANGE E BOLSA JE DN 900 PN10 - L=5500</t>
  </si>
  <si>
    <t>I4418</t>
  </si>
  <si>
    <t>TUBO FoFo C/FLANGE E BOLSA JE DN 900 PN10 - L=6000</t>
  </si>
  <si>
    <t>I4419</t>
  </si>
  <si>
    <t>TUBO FoFo C/FLANGE E BOLSA JE DN 900 PN10 - L=6500</t>
  </si>
  <si>
    <t>I4420</t>
  </si>
  <si>
    <t>TUBO FoFo C/FLANGE E BOLSA JE DN 900 PN10 - L=6800</t>
  </si>
  <si>
    <t>I12568</t>
  </si>
  <si>
    <t>TUBO FoFo C/FLANGE E BOLSA JE P/ ESGOTO DN 1000 PN10 - L=1000</t>
  </si>
  <si>
    <t>I12569</t>
  </si>
  <si>
    <t>TUBO FoFo C/FLANGE E BOLSA JE P/ ESGOTO DN 1000 PN10 - L=1500</t>
  </si>
  <si>
    <t>I12570</t>
  </si>
  <si>
    <t>TUBO FoFo C/FLANGE E BOLSA JE P/ ESGOTO DN 1000 PN10 - L=2000</t>
  </si>
  <si>
    <t>I12571</t>
  </si>
  <si>
    <t>TUBO FoFo C/FLANGE E BOLSA JE P/ ESGOTO DN 1000 PN10 - L=2500</t>
  </si>
  <si>
    <t>I12572</t>
  </si>
  <si>
    <t>TUBO FoFo C/FLANGE E BOLSA JE P/ ESGOTO DN 1000 PN10 - L=3000</t>
  </si>
  <si>
    <t>I12573</t>
  </si>
  <si>
    <t>TUBO FoFo C/FLANGE E BOLSA JE P/ ESGOTO DN 1000 PN10 - L=3500</t>
  </si>
  <si>
    <t>I12574</t>
  </si>
  <si>
    <t>TUBO FoFo C/FLANGE E BOLSA JE P/ ESGOTO DN 1000 PN10 - L=4000</t>
  </si>
  <si>
    <t>I12575</t>
  </si>
  <si>
    <t>TUBO FoFo C/FLANGE E BOLSA JE P/ ESGOTO DN 1000 PN10 - L=4500</t>
  </si>
  <si>
    <t>I12576</t>
  </si>
  <si>
    <t>TUBO FoFo C/FLANGE E BOLSA JE P/ ESGOTO DN 1000 PN10 - L=5000</t>
  </si>
  <si>
    <t>I12577</t>
  </si>
  <si>
    <t>TUBO FoFo C/FLANGE E BOLSA JE P/ ESGOTO DN 1000 PN10 - L=5500</t>
  </si>
  <si>
    <t>I12578</t>
  </si>
  <si>
    <t>TUBO FoFo C/FLANGE E BOLSA JE P/ ESGOTO DN 1000 PN10 - L=6800</t>
  </si>
  <si>
    <t>I12579</t>
  </si>
  <si>
    <t>TUBO FoFo C/FLANGE E BOLSA JE P/ ESGOTO DN 1200 PN10 - L=1000</t>
  </si>
  <si>
    <t>I12580</t>
  </si>
  <si>
    <t>TUBO FoFo C/FLANGE E BOLSA JE P/ ESGOTO DN 1200 PN10 - L=1500</t>
  </si>
  <si>
    <t>I12581</t>
  </si>
  <si>
    <t>TUBO FoFo C/FLANGE E BOLSA JE P/ ESGOTO DN 1200 PN10 - L=2000</t>
  </si>
  <si>
    <t>I12582</t>
  </si>
  <si>
    <t>TUBO FoFo C/FLANGE E BOLSA JE P/ ESGOTO DN 1200 PN10 - L=4000</t>
  </si>
  <si>
    <t>I12583</t>
  </si>
  <si>
    <t>TUBO FoFo C/FLANGE E BOLSA JE P/ ESGOTO DN 1200 PN10 - L=4500</t>
  </si>
  <si>
    <t>I12584</t>
  </si>
  <si>
    <t>TUBO FoFo C/FLANGE E BOLSA JE P/ ESGOTO DN 1200 PN10 - L=5500</t>
  </si>
  <si>
    <t>I12585</t>
  </si>
  <si>
    <t>TUBO FoFo C/FLANGE E BOLSA JE P/ ESGOTO DN 1200 PN10 - L=6000</t>
  </si>
  <si>
    <t>I12586</t>
  </si>
  <si>
    <t>TUBO FoFo C/FLANGE E BOLSA JE P/ ESGOTO DN 1200 PN10 - L=6800</t>
  </si>
  <si>
    <t>I12473</t>
  </si>
  <si>
    <t>TUBO FoFo C/FLANGE E BOLSA JE P/ ESGOTO DN 200 PN10 - L=1000</t>
  </si>
  <si>
    <t>I12474</t>
  </si>
  <si>
    <t>TUBO FoFo C/FLANGE E BOLSA JE P/ ESGOTO DN 200 PN10 - L=1500</t>
  </si>
  <si>
    <t>I12475</t>
  </si>
  <si>
    <t>TUBO FoFo C/FLANGE E BOLSA JE P/ ESGOTO DN 200 PN10 - L=2000</t>
  </si>
  <si>
    <t>I12476</t>
  </si>
  <si>
    <t>TUBO FoFo C/FLANGE E BOLSA JE P/ ESGOTO DN 200 PN10 - L=2500</t>
  </si>
  <si>
    <t>I12477</t>
  </si>
  <si>
    <t>TUBO FoFo C/FLANGE E BOLSA JE P/ ESGOTO DN 200 PN10 - L=3000</t>
  </si>
  <si>
    <t>I12478</t>
  </si>
  <si>
    <t>TUBO FoFo C/FLANGE E BOLSA JE P/ ESGOTO DN 200 PN10 - L=3500</t>
  </si>
  <si>
    <t>I12479</t>
  </si>
  <si>
    <t>TUBO FoFo C/FLANGE E BOLSA JE P/ ESGOTO DN 200 PN10 - L=4000</t>
  </si>
  <si>
    <t>I12480</t>
  </si>
  <si>
    <t>TUBO FoFo C/FLANGE E BOLSA JE P/ ESGOTO DN 200 PN10 - L=4500</t>
  </si>
  <si>
    <t>I12481</t>
  </si>
  <si>
    <t>TUBO FoFo C/FLANGE E BOLSA JE P/ ESGOTO DN 200 PN10 - L=5000</t>
  </si>
  <si>
    <t>I12482</t>
  </si>
  <si>
    <t>TUBO FoFo C/FLANGE E BOLSA JE P/ ESGOTO DN 200 PN10 - L=5800</t>
  </si>
  <si>
    <t>I12483</t>
  </si>
  <si>
    <t>TUBO FoFo C/FLANGE E BOLSA JE P/ ESGOTO DN 250 PN10 - L=1000</t>
  </si>
  <si>
    <t>I12484</t>
  </si>
  <si>
    <t>TUBO FoFo C/FLANGE E BOLSA JE P/ ESGOTO DN 250 PN10 - L=1500</t>
  </si>
  <si>
    <t>I12485</t>
  </si>
  <si>
    <t>TUBO FoFo C/FLANGE E BOLSA JE P/ ESGOTO DN 250 PN10 - L=2000</t>
  </si>
  <si>
    <t>I12486</t>
  </si>
  <si>
    <t>TUBO FoFo C/FLANGE E BOLSA JE P/ ESGOTO DN 250 PN10 - L=2500</t>
  </si>
  <si>
    <t>I12487</t>
  </si>
  <si>
    <t>TUBO FoFo C/FLANGE E BOLSA JE P/ ESGOTO DN 250 PN10 - L=3000</t>
  </si>
  <si>
    <t>I12488</t>
  </si>
  <si>
    <t>TUBO FoFo C/FLANGE E BOLSA JE P/ ESGOTO DN 250 PN10 - L=3500</t>
  </si>
  <si>
    <t>I12489</t>
  </si>
  <si>
    <t>TUBO FoFo C/FLANGE E BOLSA JE P/ ESGOTO DN 250 PN10 - L=4000</t>
  </si>
  <si>
    <t>I12490</t>
  </si>
  <si>
    <t>TUBO FoFo C/FLANGE E BOLSA JE P/ ESGOTO DN 250 PN10 - L=4500</t>
  </si>
  <si>
    <t>I12491</t>
  </si>
  <si>
    <t>TUBO FoFo C/FLANGE E BOLSA JE P/ ESGOTO DN 250 PN10 - L=5000</t>
  </si>
  <si>
    <t>I12492</t>
  </si>
  <si>
    <t>TUBO FoFo C/FLANGE E BOLSA JE P/ ESGOTO DN 250 PN10 - L=5500</t>
  </si>
  <si>
    <t>I12493</t>
  </si>
  <si>
    <t>TUBO FoFo C/FLANGE E BOLSA JE P/ ESGOTO DN 250 PN10 - L=5800</t>
  </si>
  <si>
    <t>I12494</t>
  </si>
  <si>
    <t>TUBO FoFo C/FLANGE E BOLSA JE P/ ESGOTO DN 300 PN10 - L=1000</t>
  </si>
  <si>
    <t>I12495</t>
  </si>
  <si>
    <t>TUBO FoFo C/FLANGE E BOLSA JE P/ ESGOTO DN 300 PN10 - L=1500</t>
  </si>
  <si>
    <t>I12496</t>
  </si>
  <si>
    <t>TUBO FoFo C/FLANGE E BOLSA JE P/ ESGOTO DN 300 PN10 - L=2000</t>
  </si>
  <si>
    <t>I12497</t>
  </si>
  <si>
    <t>TUBO FoFo C/FLANGE E BOLSA JE P/ ESGOTO DN 300 PN10 - L=2500</t>
  </si>
  <si>
    <t>I12498</t>
  </si>
  <si>
    <t>TUBO FoFo C/FLANGE E BOLSA JE P/ ESGOTO DN 300 PN10 - L=3000</t>
  </si>
  <si>
    <t>I12499</t>
  </si>
  <si>
    <t>TUBO FoFo C/FLANGE E BOLSA JE P/ ESGOTO DN 300 PN10 - L=3500</t>
  </si>
  <si>
    <t>I12500</t>
  </si>
  <si>
    <t>TUBO FoFo C/FLANGE E BOLSA JE P/ ESGOTO DN 300 PN10 - L=4000</t>
  </si>
  <si>
    <t>I12501</t>
  </si>
  <si>
    <t>TUBO FoFo C/FLANGE E BOLSA JE P/ ESGOTO DN 300 PN10 - L=4500</t>
  </si>
  <si>
    <t>I12502</t>
  </si>
  <si>
    <t>TUBO FoFo C/FLANGE E BOLSA JE P/ ESGOTO DN 300 PN10 - L=5000</t>
  </si>
  <si>
    <t>I12503</t>
  </si>
  <si>
    <t>TUBO FoFo C/FLANGE E BOLSA JE P/ ESGOTO DN 300 PN10 - L=5500</t>
  </si>
  <si>
    <t>I12504</t>
  </si>
  <si>
    <t>TUBO FoFo C/FLANGE E BOLSA JE P/ ESGOTO DN 300 PN10 - L=5800</t>
  </si>
  <si>
    <t>I12505</t>
  </si>
  <si>
    <t>TUBO FoFo C/FLANGE E BOLSA JE P/ ESGOTO DN 350 PN10 - L=1000</t>
  </si>
  <si>
    <t>I12506</t>
  </si>
  <si>
    <t>TUBO FoFo C/FLANGE E BOLSA JE P/ ESGOTO DN 350 PN10 - L=1500</t>
  </si>
  <si>
    <t>I12507</t>
  </si>
  <si>
    <t>TUBO FoFo C/FLANGE E BOLSA JE P/ ESGOTO DN 350 PN10 - L=2500</t>
  </si>
  <si>
    <t>I12508</t>
  </si>
  <si>
    <t>TUBO FoFo C/FLANGE E BOLSA JE P/ ESGOTO DN 350 PN10 - L=3000</t>
  </si>
  <si>
    <t>I12509</t>
  </si>
  <si>
    <t>TUBO FoFo C/FLANGE E BOLSA JE P/ ESGOTO DN 350 PN10 - L=5000</t>
  </si>
  <si>
    <t>I12510</t>
  </si>
  <si>
    <t>TUBO FoFo C/FLANGE E BOLSA JE P/ ESGOTO DN 350 PN10 - L=5500</t>
  </si>
  <si>
    <t>I12511</t>
  </si>
  <si>
    <t>TUBO FoFo C/FLANGE E BOLSA JE P/ ESGOTO DN 350 PN10 - L=5800</t>
  </si>
  <si>
    <t>I12512</t>
  </si>
  <si>
    <t>TUBO FoFo C/FLANGE E BOLSA JE P/ ESGOTO DN 400 PN10 - L=1000</t>
  </si>
  <si>
    <t>I12513</t>
  </si>
  <si>
    <t>TUBO FoFo C/FLANGE E BOLSA JE P/ ESGOTO DN 400 PN10 - L=1500</t>
  </si>
  <si>
    <t>I12514</t>
  </si>
  <si>
    <t>TUBO FoFo C/FLANGE E BOLSA JE P/ ESGOTO DN 400 PN10 - L=2000</t>
  </si>
  <si>
    <t>I12515</t>
  </si>
  <si>
    <t>TUBO FoFo C/FLANGE E BOLSA JE P/ ESGOTO DN 400 PN10 - L=2500</t>
  </si>
  <si>
    <t>I12516</t>
  </si>
  <si>
    <t>TUBO FoFo C/FLANGE E BOLSA JE P/ ESGOTO DN 400 PN10 - L=3000</t>
  </si>
  <si>
    <t>I12517</t>
  </si>
  <si>
    <t>TUBO FoFo C/FLANGE E BOLSA JE P/ ESGOTO DN 400 PN10 - L=3500</t>
  </si>
  <si>
    <t>I12518</t>
  </si>
  <si>
    <t>TUBO FoFo C/FLANGE E BOLSA JE P/ ESGOTO DN 400 PN10 - L=4000</t>
  </si>
  <si>
    <t>I12519</t>
  </si>
  <si>
    <t>TUBO FoFo C/FLANGE E BOLSA JE P/ ESGOTO DN 400 PN10 - L=4500</t>
  </si>
  <si>
    <t>I12520</t>
  </si>
  <si>
    <t>TUBO FoFo C/FLANGE E BOLSA JE P/ ESGOTO DN 400 PN10 - L=5000</t>
  </si>
  <si>
    <t>I12521</t>
  </si>
  <si>
    <t>TUBO FoFo C/FLANGE E BOLSA JE P/ ESGOTO DN 400 PN10 - L=5500</t>
  </si>
  <si>
    <t>I12522</t>
  </si>
  <si>
    <t>TUBO FoFo C/FLANGE E BOLSA JE P/ ESGOTO DN 400 PN10 - L=5800</t>
  </si>
  <si>
    <t>I12523</t>
  </si>
  <si>
    <t>TUBO FoFo C/FLANGE E BOLSA JE P/ ESGOTO DN 450 PN10 - L=1500</t>
  </si>
  <si>
    <t>I12524</t>
  </si>
  <si>
    <t>TUBO FoFo C/FLANGE E BOLSA JE P/ ESGOTO DN 450 PN10 - L=3500</t>
  </si>
  <si>
    <t>I12525</t>
  </si>
  <si>
    <t>TUBO FoFo C/FLANGE E BOLSA JE P/ ESGOTO DN 450 PN10 - L=5800</t>
  </si>
  <si>
    <t>I12526</t>
  </si>
  <si>
    <t>TUBO FoFo C/FLANGE E BOLSA JE P/ ESGOTO DN 500 PN10 - L=1000</t>
  </si>
  <si>
    <t>I12527</t>
  </si>
  <si>
    <t>TUBO FoFo C/FLANGE E BOLSA JE P/ ESGOTO DN 500 PN10 - L=1500</t>
  </si>
  <si>
    <t>I12528</t>
  </si>
  <si>
    <t>TUBO FoFo C/FLANGE E BOLSA JE P/ ESGOTO DN 500 PN10 - L=2000</t>
  </si>
  <si>
    <t>I12529</t>
  </si>
  <si>
    <t>TUBO FoFo C/FLANGE E BOLSA JE P/ ESGOTO DN 500 PN10 - L=2500</t>
  </si>
  <si>
    <t>I12530</t>
  </si>
  <si>
    <t>TUBO FoFo C/FLANGE E BOLSA JE P/ ESGOTO DN 500 PN10 - L=3000</t>
  </si>
  <si>
    <t>I12531</t>
  </si>
  <si>
    <t>TUBO FoFo C/FLANGE E BOLSA JE P/ ESGOTO DN 500 PN10 - L=3500</t>
  </si>
  <si>
    <t>I12532</t>
  </si>
  <si>
    <t>TUBO FoFo C/FLANGE E BOLSA JE P/ ESGOTO DN 500 PN10 - L=4000</t>
  </si>
  <si>
    <t>I12533</t>
  </si>
  <si>
    <t>TUBO FoFo C/FLANGE E BOLSA JE P/ ESGOTO DN 500 PN10 - L=4500</t>
  </si>
  <si>
    <t>I12534</t>
  </si>
  <si>
    <t>TUBO FoFo C/FLANGE E BOLSA JE P/ ESGOTO DN 500 PN10 - L=5000</t>
  </si>
  <si>
    <t>I12535</t>
  </si>
  <si>
    <t>TUBO FoFo C/FLANGE E BOLSA JE P/ ESGOTO DN 500 PN10 - L=5500</t>
  </si>
  <si>
    <t>I12536</t>
  </si>
  <si>
    <t>TUBO FoFo C/FLANGE E BOLSA JE P/ ESGOTO DN 500 PN10 - L=5800</t>
  </si>
  <si>
    <t>I12537</t>
  </si>
  <si>
    <t>TUBO FoFo C/FLANGE E BOLSA JE P/ ESGOTO DN 600 PN10 - L=1000</t>
  </si>
  <si>
    <t>I12538</t>
  </si>
  <si>
    <t>TUBO FoFo C/FLANGE E BOLSA JE P/ ESGOTO DN 600 PN10 - L=1500</t>
  </si>
  <si>
    <t>I12539</t>
  </si>
  <si>
    <t>TUBO FoFo C/FLANGE E BOLSA JE P/ ESGOTO DN 600 PN10 - L=2000</t>
  </si>
  <si>
    <t>I12540</t>
  </si>
  <si>
    <t>TUBO FoFo C/FLANGE E BOLSA JE P/ ESGOTO DN 600 PN10 - L=2500</t>
  </si>
  <si>
    <t>I12541</t>
  </si>
  <si>
    <t>TUBO FoFo C/FLANGE E BOLSA JE P/ ESGOTO DN 600 PN10 - L=3000</t>
  </si>
  <si>
    <t>I12542</t>
  </si>
  <si>
    <t>TUBO FoFo C/FLANGE E BOLSA JE P/ ESGOTO DN 600 PN10 - L=3500</t>
  </si>
  <si>
    <t>I12543</t>
  </si>
  <si>
    <t>TUBO FoFo C/FLANGE E BOLSA JE P/ ESGOTO DN 600 PN10 - L=4000</t>
  </si>
  <si>
    <t>I12544</t>
  </si>
  <si>
    <t>TUBO FoFo C/FLANGE E BOLSA JE P/ ESGOTO DN 600 PN10 - L=4500</t>
  </si>
  <si>
    <t>I12545</t>
  </si>
  <si>
    <t>TUBO FoFo C/FLANGE E BOLSA JE P/ ESGOTO DN 600 PN10 - L=5000</t>
  </si>
  <si>
    <t>I12546</t>
  </si>
  <si>
    <t>TUBO FoFo C/FLANGE E BOLSA JE P/ ESGOTO DN 600 PN10 - L=5800</t>
  </si>
  <si>
    <t>I12547</t>
  </si>
  <si>
    <t>TUBO FoFo C/FLANGE E BOLSA JE P/ ESGOTO DN 700 PN10 - L=1000</t>
  </si>
  <si>
    <t>I12548</t>
  </si>
  <si>
    <t>TUBO FoFo C/FLANGE E BOLSA JE P/ ESGOTO DN 700 PN10 - L=1500</t>
  </si>
  <si>
    <t>I12549</t>
  </si>
  <si>
    <t>TUBO FoFo C/FLANGE E BOLSA JE P/ ESGOTO DN 700 PN10 - L=2000</t>
  </si>
  <si>
    <t>I12550</t>
  </si>
  <si>
    <t>TUBO FoFo C/FLANGE E BOLSA JE P/ ESGOTO DN 700 PN10 - L=4500</t>
  </si>
  <si>
    <t>I12551</t>
  </si>
  <si>
    <t>TUBO FoFo C/FLANGE E BOLSA JE P/ ESGOTO DN 700 PN10 - L=6000</t>
  </si>
  <si>
    <t>I12552</t>
  </si>
  <si>
    <t>TUBO FoFo C/FLANGE E BOLSA JE P/ ESGOTO DN 700 PN10 - L=6800</t>
  </si>
  <si>
    <t>I12553</t>
  </si>
  <si>
    <t>TUBO FoFo C/FLANGE E BOLSA JE P/ ESGOTO DN 800 PN10 - L=1000</t>
  </si>
  <si>
    <t>I12554</t>
  </si>
  <si>
    <t>TUBO FoFo C/FLANGE E BOLSA JE P/ ESGOTO DN 800 PN10 - L=1500</t>
  </si>
  <si>
    <t>I12555</t>
  </si>
  <si>
    <t>TUBO FoFo C/FLANGE E BOLSA JE P/ ESGOTO DN 800 PN10 - L=2000</t>
  </si>
  <si>
    <t>I12556</t>
  </si>
  <si>
    <t>TUBO FoFo C/FLANGE E BOLSA JE P/ ESGOTO DN 800 PN10 - L=2500</t>
  </si>
  <si>
    <t>I12557</t>
  </si>
  <si>
    <t>TUBO FoFo C/FLANGE E BOLSA JE P/ ESGOTO DN 800 PN10 - L=3000</t>
  </si>
  <si>
    <t>I12558</t>
  </si>
  <si>
    <t>TUBO FoFo C/FLANGE E BOLSA JE P/ ESGOTO DN 800 PN10 - L=3500</t>
  </si>
  <si>
    <t>I12559</t>
  </si>
  <si>
    <t>TUBO FoFo C/FLANGE E BOLSA JE P/ ESGOTO DN 800 PN10 - L=4000</t>
  </si>
  <si>
    <t>I12560</t>
  </si>
  <si>
    <t>TUBO FoFo C/FLANGE E BOLSA JE P/ ESGOTO DN 800 PN10 - L=4500</t>
  </si>
  <si>
    <t>I12561</t>
  </si>
  <si>
    <t>TUBO FoFo C/FLANGE E BOLSA JE P/ ESGOTO DN 800 PN10 - L=5000</t>
  </si>
  <si>
    <t>I12562</t>
  </si>
  <si>
    <t>TUBO FoFo C/FLANGE E BOLSA JE P/ ESGOTO DN 800 PN10 - L=5500</t>
  </si>
  <si>
    <t>I12563</t>
  </si>
  <si>
    <t>TUBO FoFo C/FLANGE E BOLSA JE P/ ESGOTO DN 800 PN10 - L=5800</t>
  </si>
  <si>
    <t>I12564</t>
  </si>
  <si>
    <t>TUBO FoFo C/FLANGE E BOLSA JE P/ ESGOTO DN 800 PN10 - L=6800</t>
  </si>
  <si>
    <t>I12565</t>
  </si>
  <si>
    <t>TUBO FoFo C/FLANGE E BOLSA JE P/ ESGOTO DN 900 PN10 - L=1000</t>
  </si>
  <si>
    <t>I12566</t>
  </si>
  <si>
    <t>TUBO FoFo C/FLANGE E BOLSA JE P/ ESGOTO DN 900 PN10 - L=1500</t>
  </si>
  <si>
    <t>I12567</t>
  </si>
  <si>
    <t>TUBO FoFo C/FLANGE E BOLSA JE P/ ESGOTO DN 900 PN10 - L=2000</t>
  </si>
  <si>
    <t>I6665</t>
  </si>
  <si>
    <t>TUBO FoFo C/FLANGE E PONTA DN   75 PN10 - L= 500</t>
  </si>
  <si>
    <t>I4633</t>
  </si>
  <si>
    <t>TUBO FoFo C/FLANGE E PONTA DN   75 PN10 - L=1000</t>
  </si>
  <si>
    <t>I4634</t>
  </si>
  <si>
    <t>TUBO FoFo C/FLANGE E PONTA DN   75 PN10 - L=1500</t>
  </si>
  <si>
    <t>I4635</t>
  </si>
  <si>
    <t>TUBO FoFo C/FLANGE E PONTA DN   75 PN10 - L=2000</t>
  </si>
  <si>
    <t>I4636</t>
  </si>
  <si>
    <t>TUBO FoFo C/FLANGE E PONTA DN   75 PN10 - L=2500</t>
  </si>
  <si>
    <t>I4637</t>
  </si>
  <si>
    <t>TUBO FoFo C/FLANGE E PONTA DN   75 PN10 - L=3000</t>
  </si>
  <si>
    <t>I4638</t>
  </si>
  <si>
    <t>TUBO FoFo C/FLANGE E PONTA DN   75 PN10 - L=3500</t>
  </si>
  <si>
    <t>I4639</t>
  </si>
  <si>
    <t>TUBO FoFo C/FLANGE E PONTA DN   75 PN10 - L=4000</t>
  </si>
  <si>
    <t>I4640</t>
  </si>
  <si>
    <t>TUBO FoFo C/FLANGE E PONTA DN   75 PN10 - L=4500</t>
  </si>
  <si>
    <t>I4641</t>
  </si>
  <si>
    <t>TUBO FoFo C/FLANGE E PONTA DN   75 PN10 - L=5000</t>
  </si>
  <si>
    <t>I4642</t>
  </si>
  <si>
    <t>TUBO FoFo C/FLANGE E PONTA DN   75 PN10 - L=5500</t>
  </si>
  <si>
    <t>I4643</t>
  </si>
  <si>
    <t>TUBO FoFo C/FLANGE E PONTA DN   75 PN10 - L=5800</t>
  </si>
  <si>
    <t>I7205</t>
  </si>
  <si>
    <t>TUBO FoFo C/FLANGE E PONTA DN   80 PN10 - L=1000</t>
  </si>
  <si>
    <t>I7206</t>
  </si>
  <si>
    <t>TUBO FoFo C/FLANGE E PONTA DN   80 PN10 - L=1500</t>
  </si>
  <si>
    <t>I7207</t>
  </si>
  <si>
    <t>TUBO FoFo C/FLANGE E PONTA DN   80 PN10 - L=2000</t>
  </si>
  <si>
    <t>I7208</t>
  </si>
  <si>
    <t>TUBO FoFo C/FLANGE E PONTA DN   80 PN10 - L=2500</t>
  </si>
  <si>
    <t>I7209</t>
  </si>
  <si>
    <t>TUBO FoFo C/FLANGE E PONTA DN   80 PN10 - L=3000</t>
  </si>
  <si>
    <t>I7210</t>
  </si>
  <si>
    <t>TUBO FoFo C/FLANGE E PONTA DN   80 PN10 - L=3500</t>
  </si>
  <si>
    <t>I7211</t>
  </si>
  <si>
    <t>TUBO FoFo C/FLANGE E PONTA DN   80 PN10 - L=4000</t>
  </si>
  <si>
    <t>I7212</t>
  </si>
  <si>
    <t>TUBO FoFo C/FLANGE E PONTA DN   80 PN10 - L=4500</t>
  </si>
  <si>
    <t>I7213</t>
  </si>
  <si>
    <t>TUBO FoFo C/FLANGE E PONTA DN   80 PN10 - L=5000</t>
  </si>
  <si>
    <t>I7214</t>
  </si>
  <si>
    <t>TUBO FoFo C/FLANGE E PONTA DN   80 PN10 - L=5500</t>
  </si>
  <si>
    <t>I7215</t>
  </si>
  <si>
    <t>TUBO FoFo C/FLANGE E PONTA DN   80 PN10 - L=5800</t>
  </si>
  <si>
    <t>I6666</t>
  </si>
  <si>
    <t>TUBO FoFo C/FLANGE E PONTA DN  100 PN10   L= 500</t>
  </si>
  <si>
    <t>I4644</t>
  </si>
  <si>
    <t>TUBO FoFo C/FLANGE E PONTA DN  100 PN10 - L=1000</t>
  </si>
  <si>
    <t>I4645</t>
  </si>
  <si>
    <t>TUBO FoFo C/FLANGE E PONTA DN  100 PN10 - L=1500</t>
  </si>
  <si>
    <t>I4646</t>
  </si>
  <si>
    <t>TUBO FoFo C/FLANGE E PONTA DN  100 PN10 - L=2000</t>
  </si>
  <si>
    <t>I4647</t>
  </si>
  <si>
    <t>TUBO FoFo C/FLANGE E PONTA DN  100 PN10 - L=2500</t>
  </si>
  <si>
    <t>I4648</t>
  </si>
  <si>
    <t>TUBO FoFo C/FLANGE E PONTA DN  100 PN10 - L=3000</t>
  </si>
  <si>
    <t>I4649</t>
  </si>
  <si>
    <t>TUBO FoFo C/FLANGE E PONTA DN  100 PN10 - L=3500</t>
  </si>
  <si>
    <t>I4650</t>
  </si>
  <si>
    <t>TUBO FoFo C/FLANGE E PONTA DN  100 PN10 - L=4000</t>
  </si>
  <si>
    <t>I4651</t>
  </si>
  <si>
    <t>TUBO FoFo C/FLANGE E PONTA DN  100 PN10 - L=4500</t>
  </si>
  <si>
    <t>I4652</t>
  </si>
  <si>
    <t>TUBO FoFo C/FLANGE E PONTA DN  100 PN10 - L=5000</t>
  </si>
  <si>
    <t>I4653</t>
  </si>
  <si>
    <t>TUBO FoFo C/FLANGE E PONTA DN  100 PN10 - L=5500</t>
  </si>
  <si>
    <t>I4654</t>
  </si>
  <si>
    <t>TUBO FoFo C/FLANGE E PONTA DN  100 PN10 - L=5800</t>
  </si>
  <si>
    <t>I6667</t>
  </si>
  <si>
    <t>TUBO FoFo C/FLANGE E PONTA DN  150 PN10 - L= 500</t>
  </si>
  <si>
    <t>I4655</t>
  </si>
  <si>
    <t>TUBO FoFo C/FLANGE E PONTA DN  150 PN10 - L=1000</t>
  </si>
  <si>
    <t>I4656</t>
  </si>
  <si>
    <t>TUBO FoFo C/FLANGE E PONTA DN  150 PN10 - L=1500</t>
  </si>
  <si>
    <t>I4657</t>
  </si>
  <si>
    <t>TUBO FoFo C/FLANGE E PONTA DN  150 PN10 - L=2000</t>
  </si>
  <si>
    <t>I4658</t>
  </si>
  <si>
    <t>TUBO FoFo C/FLANGE E PONTA DN  150 PN10 - L=2500</t>
  </si>
  <si>
    <t>I4659</t>
  </si>
  <si>
    <t>TUBO FoFo C/FLANGE E PONTA DN  150 PN10 - L=3000</t>
  </si>
  <si>
    <t>I4660</t>
  </si>
  <si>
    <t>TUBO FoFo C/FLANGE E PONTA DN  150 PN10 - L=3500</t>
  </si>
  <si>
    <t>I4661</t>
  </si>
  <si>
    <t>TUBO FoFo C/FLANGE E PONTA DN  150 PN10 - L=4000</t>
  </si>
  <si>
    <t>I4662</t>
  </si>
  <si>
    <t>TUBO FoFo C/FLANGE E PONTA DN  150 PN10 - L=4500</t>
  </si>
  <si>
    <t>I4663</t>
  </si>
  <si>
    <t>TUBO FoFo C/FLANGE E PONTA DN  150 PN10 - L=5000</t>
  </si>
  <si>
    <t>I4664</t>
  </si>
  <si>
    <t>TUBO FoFo C/FLANGE E PONTA DN  150 PN10 - L=5500</t>
  </si>
  <si>
    <t>I4665</t>
  </si>
  <si>
    <t>TUBO FoFo C/FLANGE E PONTA DN  150 PN10 - L=5800</t>
  </si>
  <si>
    <t>I6668</t>
  </si>
  <si>
    <t>TUBO FoFo C/FLANGE E PONTA DN  200 PN10 - L= 500</t>
  </si>
  <si>
    <t>I4666</t>
  </si>
  <si>
    <t>TUBO FoFo C/FLANGE E PONTA DN  200 PN10 - L=1000</t>
  </si>
  <si>
    <t>I4667</t>
  </si>
  <si>
    <t>TUBO FoFo C/FLANGE E PONTA DN  200 PN10 - L=1500</t>
  </si>
  <si>
    <t>I4668</t>
  </si>
  <si>
    <t>TUBO FoFo C/FLANGE E PONTA DN  200 PN10 - L=2000</t>
  </si>
  <si>
    <t>I4669</t>
  </si>
  <si>
    <t>TUBO FoFo C/FLANGE E PONTA DN  200 PN10 - L=2500</t>
  </si>
  <si>
    <t>I4670</t>
  </si>
  <si>
    <t>TUBO FoFo C/FLANGE E PONTA DN  200 PN10 - L=3000</t>
  </si>
  <si>
    <t>I4671</t>
  </si>
  <si>
    <t>TUBO FoFo C/FLANGE E PONTA DN  200 PN10 - L=3500</t>
  </si>
  <si>
    <t>I4672</t>
  </si>
  <si>
    <t>TUBO FoFo C/FLANGE E PONTA DN  200 PN10 - L=4000</t>
  </si>
  <si>
    <t>I4673</t>
  </si>
  <si>
    <t>TUBO FoFo C/FLANGE E PONTA DN  200 PN10 - L=4500</t>
  </si>
  <si>
    <t>I4674</t>
  </si>
  <si>
    <t>TUBO FoFo C/FLANGE E PONTA DN  200 PN10 - L=5000</t>
  </si>
  <si>
    <t>I4675</t>
  </si>
  <si>
    <t>TUBO FoFo C/FLANGE E PONTA DN  200 PN10 - L=5500</t>
  </si>
  <si>
    <t>I4676</t>
  </si>
  <si>
    <t>TUBO FoFo C/FLANGE E PONTA DN  200 PN10 - L=5800</t>
  </si>
  <si>
    <t>I6669</t>
  </si>
  <si>
    <t>TUBO FoFo C/FLANGE E PONTA DN  250 PN10 - L= 500</t>
  </si>
  <si>
    <t>I4677</t>
  </si>
  <si>
    <t>TUBO FoFo C/FLANGE E PONTA DN  250 PN10 - L=1000</t>
  </si>
  <si>
    <t>I4678</t>
  </si>
  <si>
    <t>TUBO FoFo C/FLANGE E PONTA DN  250 PN10 - L=1500</t>
  </si>
  <si>
    <t>I4679</t>
  </si>
  <si>
    <t>TUBO FoFo C/FLANGE E PONTA DN  250 PN10 - L=2000</t>
  </si>
  <si>
    <t>I4680</t>
  </si>
  <si>
    <t>TUBO FoFo C/FLANGE E PONTA DN  250 PN10 - L=2500</t>
  </si>
  <si>
    <t>I4681</t>
  </si>
  <si>
    <t>TUBO FoFo C/FLANGE E PONTA DN  250 PN10 - L=3000</t>
  </si>
  <si>
    <t>I4682</t>
  </si>
  <si>
    <t>TUBO FoFo C/FLANGE E PONTA DN  250 PN10 - L=3500</t>
  </si>
  <si>
    <t>I4683</t>
  </si>
  <si>
    <t>TUBO FoFo C/FLANGE E PONTA DN  250 PN10 - L=4000</t>
  </si>
  <si>
    <t>I4684</t>
  </si>
  <si>
    <t>TUBO FoFo C/FLANGE E PONTA DN  250 PN10 - L=4500</t>
  </si>
  <si>
    <t>I4685</t>
  </si>
  <si>
    <t>TUBO FoFo C/FLANGE E PONTA DN  250 PN10 - L=5000</t>
  </si>
  <si>
    <t>I4686</t>
  </si>
  <si>
    <t>TUBO FoFo C/FLANGE E PONTA DN  250 PN10 - L=5500</t>
  </si>
  <si>
    <t>I4687</t>
  </si>
  <si>
    <t>TUBO FoFo C/FLANGE E PONTA DN  250 PN10 - L=5800</t>
  </si>
  <si>
    <t>I6670</t>
  </si>
  <si>
    <t>TUBO FoFo C/FLANGE E PONTA DN  300 PN10 - L= 500</t>
  </si>
  <si>
    <t>I4688</t>
  </si>
  <si>
    <t>TUBO FoFo C/FLANGE E PONTA DN  300 PN10 - L=1000</t>
  </si>
  <si>
    <t>I4689</t>
  </si>
  <si>
    <t>TUBO FoFo C/FLANGE E PONTA DN  300 PN10 - L=1500</t>
  </si>
  <si>
    <t>I4690</t>
  </si>
  <si>
    <t>TUBO FoFo C/FLANGE E PONTA DN  300 PN10 - L=2000</t>
  </si>
  <si>
    <t>I4691</t>
  </si>
  <si>
    <t>TUBO FoFo C/FLANGE E PONTA DN  300 PN10 - L=2500</t>
  </si>
  <si>
    <t>I4692</t>
  </si>
  <si>
    <t>TUBO FoFo C/FLANGE E PONTA DN  300 PN10 - L=3000</t>
  </si>
  <si>
    <t>I4693</t>
  </si>
  <si>
    <t>TUBO FoFo C/FLANGE E PONTA DN  300 PN10 - L=3500</t>
  </si>
  <si>
    <t>I4694</t>
  </si>
  <si>
    <t>TUBO FoFo C/FLANGE E PONTA DN  300 PN10 - L=4000</t>
  </si>
  <si>
    <t>I4695</t>
  </si>
  <si>
    <t>TUBO FoFo C/FLANGE E PONTA DN  300 PN10 - L=4500</t>
  </si>
  <si>
    <t>I4696</t>
  </si>
  <si>
    <t>TUBO FoFo C/FLANGE E PONTA DN  300 PN10 - L=5000</t>
  </si>
  <si>
    <t>I4697</t>
  </si>
  <si>
    <t>TUBO FoFo C/FLANGE E PONTA DN  300 PN10 - L=5500</t>
  </si>
  <si>
    <t>I4698</t>
  </si>
  <si>
    <t>TUBO FoFo C/FLANGE E PONTA DN  300 PN10 - L=5800</t>
  </si>
  <si>
    <t>I6671</t>
  </si>
  <si>
    <t>TUBO FoFo C/FLANGE E PONTA DN  350 PN10 - L= 500</t>
  </si>
  <si>
    <t>I4699</t>
  </si>
  <si>
    <t>TUBO FoFo C/FLANGE E PONTA DN  350 PN10 - L=1000</t>
  </si>
  <si>
    <t>I4700</t>
  </si>
  <si>
    <t>TUBO FoFo C/FLANGE E PONTA DN  350 PN10 - L=1500</t>
  </si>
  <si>
    <t>I4701</t>
  </si>
  <si>
    <t>TUBO FoFo C/FLANGE E PONTA DN  350 PN10 - L=2000</t>
  </si>
  <si>
    <t>I4702</t>
  </si>
  <si>
    <t>TUBO FoFo C/FLANGE E PONTA DN  350 PN10 - L=2500</t>
  </si>
  <si>
    <t>I4703</t>
  </si>
  <si>
    <t>TUBO FoFo C/FLANGE E PONTA DN  350 PN10 - L=3000</t>
  </si>
  <si>
    <t>I4704</t>
  </si>
  <si>
    <t>TUBO FoFo C/FLANGE E PONTA DN  350 PN10 - L=3500</t>
  </si>
  <si>
    <t>I4705</t>
  </si>
  <si>
    <t>TUBO FoFo C/FLANGE E PONTA DN  350 PN10 - L=4000</t>
  </si>
  <si>
    <t>I4706</t>
  </si>
  <si>
    <t>TUBO FoFo C/FLANGE E PONTA DN  350 PN10 - L=4500</t>
  </si>
  <si>
    <t>I4707</t>
  </si>
  <si>
    <t>TUBO FoFo C/FLANGE E PONTA DN  350 PN10 - L=5000</t>
  </si>
  <si>
    <t>I4708</t>
  </si>
  <si>
    <t>TUBO FoFo C/FLANGE E PONTA DN  350 PN10 - L=5500</t>
  </si>
  <si>
    <t>I4709</t>
  </si>
  <si>
    <t>TUBO FoFo C/FLANGE E PONTA DN  350 PN10 - L=5800</t>
  </si>
  <si>
    <t>I6672</t>
  </si>
  <si>
    <t>TUBO FoFo C/FLANGE E PONTA DN  400 PN10 - L= 500</t>
  </si>
  <si>
    <t>I4710</t>
  </si>
  <si>
    <t>TUBO FoFo C/FLANGE E PONTA DN  400 PN10 - L=1000</t>
  </si>
  <si>
    <t>I4711</t>
  </si>
  <si>
    <t>TUBO FoFo C/FLANGE E PONTA DN  400 PN10 - L=1500</t>
  </si>
  <si>
    <t>I4712</t>
  </si>
  <si>
    <t>TUBO FoFo C/FLANGE E PONTA DN  400 PN10 - L=2000</t>
  </si>
  <si>
    <t>I4713</t>
  </si>
  <si>
    <t>TUBO FoFo C/FLANGE E PONTA DN  400 PN10 - L=2500</t>
  </si>
  <si>
    <t>I4714</t>
  </si>
  <si>
    <t>TUBO FoFo C/FLANGE E PONTA DN  400 PN10 - L=3000</t>
  </si>
  <si>
    <t>I4715</t>
  </si>
  <si>
    <t>TUBO FoFo C/FLANGE E PONTA DN  400 PN10 - L=3500</t>
  </si>
  <si>
    <t>I4716</t>
  </si>
  <si>
    <t>TUBO FoFo C/FLANGE E PONTA DN  400 PN10 - L=4000</t>
  </si>
  <si>
    <t>I4717</t>
  </si>
  <si>
    <t>TUBO FoFo C/FLANGE E PONTA DN  400 PN10 - L=4500</t>
  </si>
  <si>
    <t>I4718</t>
  </si>
  <si>
    <t>TUBO FoFo C/FLANGE E PONTA DN  400 PN10 - L=5000</t>
  </si>
  <si>
    <t>I4719</t>
  </si>
  <si>
    <t>TUBO FoFo C/FLANGE E PONTA DN  400 PN10 - L=5500</t>
  </si>
  <si>
    <t>I4720</t>
  </si>
  <si>
    <t>TUBO FoFo C/FLANGE E PONTA DN  400 PN10 - L=5800</t>
  </si>
  <si>
    <t>I6673</t>
  </si>
  <si>
    <t>TUBO FoFo C/FLANGE E PONTA DN  450 PN10 - L= 500</t>
  </si>
  <si>
    <t>I4721</t>
  </si>
  <si>
    <t>TUBO FoFo C/FLANGE E PONTA DN  450 PN10 - L=1000</t>
  </si>
  <si>
    <t>I4722</t>
  </si>
  <si>
    <t>TUBO FoFo C/FLANGE E PONTA DN  450 PN10 - L=1500</t>
  </si>
  <si>
    <t>I4723</t>
  </si>
  <si>
    <t>TUBO FoFo C/FLANGE E PONTA DN  450 PN10 - L=2000</t>
  </si>
  <si>
    <t>I4724</t>
  </si>
  <si>
    <t>TUBO FoFo C/FLANGE E PONTA DN  450 PN10 - L=2500</t>
  </si>
  <si>
    <t>I4725</t>
  </si>
  <si>
    <t>TUBO FoFo C/FLANGE E PONTA DN  450 PN10 - L=3000</t>
  </si>
  <si>
    <t>I4726</t>
  </si>
  <si>
    <t>TUBO FoFo C/FLANGE E PONTA DN  450 PN10 - L=3500</t>
  </si>
  <si>
    <t>I4727</t>
  </si>
  <si>
    <t>TUBO FoFo C/FLANGE E PONTA DN  450 PN10 - L=4000</t>
  </si>
  <si>
    <t>I4728</t>
  </si>
  <si>
    <t>TUBO FoFo C/FLANGE E PONTA DN  450 PN10 - L=4500</t>
  </si>
  <si>
    <t>I4729</t>
  </si>
  <si>
    <t>TUBO FoFo C/FLANGE E PONTA DN  450 PN10 - L=5000</t>
  </si>
  <si>
    <t>I4730</t>
  </si>
  <si>
    <t>TUBO FoFo C/FLANGE E PONTA DN  450 PN10 - L=5500</t>
  </si>
  <si>
    <t>I4731</t>
  </si>
  <si>
    <t>TUBO FoFo C/FLANGE E PONTA DN  450 PN10 - L=5800</t>
  </si>
  <si>
    <t>I6674</t>
  </si>
  <si>
    <t>TUBO FoFo C/FLANGE E PONTA DN  500 PN10 - L= 500</t>
  </si>
  <si>
    <t>I4732</t>
  </si>
  <si>
    <t>TUBO FoFo C/FLANGE E PONTA DN  500 PN10 - L=1000</t>
  </si>
  <si>
    <t>I4733</t>
  </si>
  <si>
    <t>TUBO FoFo C/FLANGE E PONTA DN  500 PN10 - L=1500</t>
  </si>
  <si>
    <t>I4734</t>
  </si>
  <si>
    <t>TUBO FoFo C/FLANGE E PONTA DN  500 PN10 - L=2000</t>
  </si>
  <si>
    <t>I4735</t>
  </si>
  <si>
    <t>TUBO FoFo C/FLANGE E PONTA DN  500 PN10 - L=2500</t>
  </si>
  <si>
    <t>I4736</t>
  </si>
  <si>
    <t>TUBO FoFo C/FLANGE E PONTA DN  500 PN10 - L=3000</t>
  </si>
  <si>
    <t>I4737</t>
  </si>
  <si>
    <t>TUBO FoFo C/FLANGE E PONTA DN  500 PN10 - L=3500</t>
  </si>
  <si>
    <t>I4738</t>
  </si>
  <si>
    <t>TUBO FoFo C/FLANGE E PONTA DN  500 PN10 - L=4000</t>
  </si>
  <si>
    <t>I4739</t>
  </si>
  <si>
    <t>TUBO FoFo C/FLANGE E PONTA DN  500 PN10 - L=4500</t>
  </si>
  <si>
    <t>I4740</t>
  </si>
  <si>
    <t>TUBO FoFo C/FLANGE E PONTA DN  500 PN10 - L=5000</t>
  </si>
  <si>
    <t>I4741</t>
  </si>
  <si>
    <t>TUBO FoFo C/FLANGE E PONTA DN  500 PN10 - L=5500</t>
  </si>
  <si>
    <t>I4742</t>
  </si>
  <si>
    <t>TUBO FoFo C/FLANGE E PONTA DN  500 PN10 - L=5800</t>
  </si>
  <si>
    <t>I6675</t>
  </si>
  <si>
    <t>TUBO FoFo C/FLANGE E PONTA DN  600 PN10 - L= 500</t>
  </si>
  <si>
    <t>I4743</t>
  </si>
  <si>
    <t>TUBO FoFo C/FLANGE E PONTA DN  600 PN10 - L=1000</t>
  </si>
  <si>
    <t>I4744</t>
  </si>
  <si>
    <t>TUBO FoFo C/FLANGE E PONTA DN  600 PN10 - L=1500</t>
  </si>
  <si>
    <t>I4745</t>
  </si>
  <si>
    <t>TUBO FoFo C/FLANGE E PONTA DN  600 PN10 - L=2000</t>
  </si>
  <si>
    <t>I4746</t>
  </si>
  <si>
    <t>TUBO FoFo C/FLANGE E PONTA DN  600 PN10 - L=2500</t>
  </si>
  <si>
    <t>I4747</t>
  </si>
  <si>
    <t>TUBO FoFo C/FLANGE E PONTA DN  600 PN10 - L=3000</t>
  </si>
  <si>
    <t>I4748</t>
  </si>
  <si>
    <t>TUBO FoFo C/FLANGE E PONTA DN  600 PN10 - L=3500</t>
  </si>
  <si>
    <t>I4749</t>
  </si>
  <si>
    <t>TUBO FoFo C/FLANGE E PONTA DN  600 PN10 - L=4000</t>
  </si>
  <si>
    <t>I4750</t>
  </si>
  <si>
    <t>TUBO FoFo C/FLANGE E PONTA DN  600 PN10 - L=4500</t>
  </si>
  <si>
    <t>I4751</t>
  </si>
  <si>
    <t>TUBO FoFo C/FLANGE E PONTA DN  600 PN10 - L=5000</t>
  </si>
  <si>
    <t>I4752</t>
  </si>
  <si>
    <t>TUBO FoFo C/FLANGE E PONTA DN  600 PN10 - L=5500</t>
  </si>
  <si>
    <t>I4753</t>
  </si>
  <si>
    <t>TUBO FoFo C/FLANGE E PONTA DN  600 PN10 - L=5800</t>
  </si>
  <si>
    <t>I6676</t>
  </si>
  <si>
    <t>TUBO FoFo C/FLANGE E PONTA DN  700 PN10 - L= 500</t>
  </si>
  <si>
    <t>I4754</t>
  </si>
  <si>
    <t>TUBO FoFo C/FLANGE E PONTA DN  700 PN10 - L=1000</t>
  </si>
  <si>
    <t>I4755</t>
  </si>
  <si>
    <t>TUBO FoFo C/FLANGE E PONTA DN  700 PN10 - L=1500</t>
  </si>
  <si>
    <t>I4756</t>
  </si>
  <si>
    <t>TUBO FoFo C/FLANGE E PONTA DN  700 PN10 - L=2000</t>
  </si>
  <si>
    <t>I4757</t>
  </si>
  <si>
    <t>TUBO FoFo C/FLANGE E PONTA DN  700 PN10 - L=2500</t>
  </si>
  <si>
    <t>I4758</t>
  </si>
  <si>
    <t>TUBO FoFo C/FLANGE E PONTA DN  700 PN10 - L=3000</t>
  </si>
  <si>
    <t>I4759</t>
  </si>
  <si>
    <t>TUBO FoFo C/FLANGE E PONTA DN  700 PN10 - L=3500</t>
  </si>
  <si>
    <t>I4760</t>
  </si>
  <si>
    <t>TUBO FoFo C/FLANGE E PONTA DN  700 PN10 - L=4000</t>
  </si>
  <si>
    <t>I4761</t>
  </si>
  <si>
    <t>TUBO FoFo C/FLANGE E PONTA DN  700 PN10 - L=4500</t>
  </si>
  <si>
    <t>I4762</t>
  </si>
  <si>
    <t>TUBO FoFo C/FLANGE E PONTA DN  700 PN10 - L=5000</t>
  </si>
  <si>
    <t>I4763</t>
  </si>
  <si>
    <t>TUBO FoFo C/FLANGE E PONTA DN  700 PN10 - L=5500</t>
  </si>
  <si>
    <t>I4764</t>
  </si>
  <si>
    <t>TUBO FoFo C/FLANGE E PONTA DN  700 PN10 - L=6000</t>
  </si>
  <si>
    <t>I4765</t>
  </si>
  <si>
    <t>TUBO FoFo C/FLANGE E PONTA DN  700 PN10 - L=6500</t>
  </si>
  <si>
    <t>I4766</t>
  </si>
  <si>
    <t>TUBO FoFo C/FLANGE E PONTA DN  700 PN10 - L=6800</t>
  </si>
  <si>
    <t>I6677</t>
  </si>
  <si>
    <t>TUBO FoFo C/FLANGE E PONTA DN  800 PN10 - L= 500</t>
  </si>
  <si>
    <t>I4767</t>
  </si>
  <si>
    <t>TUBO FoFo C/FLANGE E PONTA DN  800 PN10 - L=1000</t>
  </si>
  <si>
    <t>I4768</t>
  </si>
  <si>
    <t>TUBO FoFo C/FLANGE E PONTA DN  800 PN10 - L=1500</t>
  </si>
  <si>
    <t>I4769</t>
  </si>
  <si>
    <t>TUBO FoFo C/FLANGE E PONTA DN  800 PN10 - L=2000</t>
  </si>
  <si>
    <t>I4770</t>
  </si>
  <si>
    <t>TUBO FoFo C/FLANGE E PONTA DN  800 PN10 - L=2500</t>
  </si>
  <si>
    <t>I4771</t>
  </si>
  <si>
    <t>TUBO FoFo C/FLANGE E PONTA DN  800 PN10 - L=3000</t>
  </si>
  <si>
    <t>I4772</t>
  </si>
  <si>
    <t>TUBO FoFo C/FLANGE E PONTA DN  800 PN10 - L=3500</t>
  </si>
  <si>
    <t>I4773</t>
  </si>
  <si>
    <t>TUBO FoFo C/FLANGE E PONTA DN  800 PN10 - L=4000</t>
  </si>
  <si>
    <t>I4774</t>
  </si>
  <si>
    <t>TUBO FoFo C/FLANGE E PONTA DN  800 PN10 - L=4500</t>
  </si>
  <si>
    <t>I4775</t>
  </si>
  <si>
    <t>TUBO FoFo C/FLANGE E PONTA DN  800 PN10 - L=5000</t>
  </si>
  <si>
    <t>I4776</t>
  </si>
  <si>
    <t>TUBO FoFo C/FLANGE E PONTA DN  800 PN10 - L=5500</t>
  </si>
  <si>
    <t>I4777</t>
  </si>
  <si>
    <t>TUBO FoFo C/FLANGE E PONTA DN  800 PN10 - L=6000</t>
  </si>
  <si>
    <t>I4778</t>
  </si>
  <si>
    <t>TUBO FoFo C/FLANGE E PONTA DN  800 PN10 - L=6500</t>
  </si>
  <si>
    <t>I4779</t>
  </si>
  <si>
    <t>TUBO FoFo C/FLANGE E PONTA DN  800 PN10 - L=6800</t>
  </si>
  <si>
    <t>I6678</t>
  </si>
  <si>
    <t>TUBO FoFo C/FLANGE E PONTA DN  900 PN10 - L= 500</t>
  </si>
  <si>
    <t>I4780</t>
  </si>
  <si>
    <t>TUBO FoFo C/FLANGE E PONTA DN  900 PN10 - L=1000</t>
  </si>
  <si>
    <t>I4781</t>
  </si>
  <si>
    <t>TUBO FoFo C/FLANGE E PONTA DN  900 PN10 - L=1500</t>
  </si>
  <si>
    <t>I4782</t>
  </si>
  <si>
    <t>TUBO FoFo C/FLANGE E PONTA DN  900 PN10 - L=2000</t>
  </si>
  <si>
    <t>I4783</t>
  </si>
  <si>
    <t>TUBO FoFo C/FLANGE E PONTA DN  900 PN10 - L=2500</t>
  </si>
  <si>
    <t>I4784</t>
  </si>
  <si>
    <t>TUBO FoFo C/FLANGE E PONTA DN  900 PN10 - L=3000</t>
  </si>
  <si>
    <t>I4785</t>
  </si>
  <si>
    <t>TUBO FoFo C/FLANGE E PONTA DN  900 PN10 - L=3500</t>
  </si>
  <si>
    <t>I4786</t>
  </si>
  <si>
    <t>TUBO FoFo C/FLANGE E PONTA DN  900 PN10 - L=4000</t>
  </si>
  <si>
    <t>I4787</t>
  </si>
  <si>
    <t>TUBO FoFo C/FLANGE E PONTA DN  900 PN10 - L=4500</t>
  </si>
  <si>
    <t>I4788</t>
  </si>
  <si>
    <t>TUBO FoFo C/FLANGE E PONTA DN  900 PN10 - L=5000</t>
  </si>
  <si>
    <t>I4789</t>
  </si>
  <si>
    <t>TUBO FoFo C/FLANGE E PONTA DN  900 PN10 - L=5500</t>
  </si>
  <si>
    <t>I4790</t>
  </si>
  <si>
    <t>TUBO FoFo C/FLANGE E PONTA DN  900 PN10 - L=6000</t>
  </si>
  <si>
    <t>I4791</t>
  </si>
  <si>
    <t>TUBO FoFo C/FLANGE E PONTA DN  900 PN10 - L=6500</t>
  </si>
  <si>
    <t>I4792</t>
  </si>
  <si>
    <t>TUBO FoFo C/FLANGE E PONTA DN  900 PN10 - L=6800</t>
  </si>
  <si>
    <t>I12587</t>
  </si>
  <si>
    <t>TUBO FoFo C/FLANGE E PONTA DN 100 PN25 - L=1000</t>
  </si>
  <si>
    <t>I12588</t>
  </si>
  <si>
    <t>TUBO FoFo C/FLANGE E PONTA DN 100 PN25 - L=1500</t>
  </si>
  <si>
    <t>I12589</t>
  </si>
  <si>
    <t>TUBO FoFo C/FLANGE E PONTA DN 100 PN25 - L=2000</t>
  </si>
  <si>
    <t>I12590</t>
  </si>
  <si>
    <t>TUBO FoFo C/FLANGE E PONTA DN 100 PN25 - L=2500</t>
  </si>
  <si>
    <t>I12591</t>
  </si>
  <si>
    <t>TUBO FoFo C/FLANGE E PONTA DN 100 PN25 - L=3000</t>
  </si>
  <si>
    <t>I12592</t>
  </si>
  <si>
    <t>TUBO FoFo C/FLANGE E PONTA DN 100 PN25 - L=3500</t>
  </si>
  <si>
    <t>I12593</t>
  </si>
  <si>
    <t>TUBO FoFo C/FLANGE E PONTA DN 100 PN25 - L=4000</t>
  </si>
  <si>
    <t>I12594</t>
  </si>
  <si>
    <t>TUBO FoFo C/FLANGE E PONTA DN 100 PN25 - L=4500</t>
  </si>
  <si>
    <t>I12595</t>
  </si>
  <si>
    <t>TUBO FoFo C/FLANGE E PONTA DN 100 PN25 - L=5000</t>
  </si>
  <si>
    <t>I12596</t>
  </si>
  <si>
    <t>TUBO FoFo C/FLANGE E PONTA DN 100 PN25 - L=5500</t>
  </si>
  <si>
    <t>I12597</t>
  </si>
  <si>
    <t>TUBO FoFo C/FLANGE E PONTA DN 100 PN25 - L=5800</t>
  </si>
  <si>
    <t>I4793</t>
  </si>
  <si>
    <t>TUBO FoFo C/FLANGE E PONTA DN 1000 PN10 - L=1000</t>
  </si>
  <si>
    <t>I4794</t>
  </si>
  <si>
    <t>TUBO FoFo C/FLANGE E PONTA DN 1000 PN10 - L=1500</t>
  </si>
  <si>
    <t>I4795</t>
  </si>
  <si>
    <t>TUBO FoFo C/FLANGE E PONTA DN 1000 PN10 - L=2000</t>
  </si>
  <si>
    <t>I4796</t>
  </si>
  <si>
    <t>TUBO FoFo C/FLANGE E PONTA DN 1000 PN10 - L=2500</t>
  </si>
  <si>
    <t>I4797</t>
  </si>
  <si>
    <t>TUBO FoFo C/FLANGE E PONTA DN 1000 PN10 - L=3000</t>
  </si>
  <si>
    <t>I4798</t>
  </si>
  <si>
    <t>TUBO FoFo C/FLANGE E PONTA DN 1000 PN10 - L=3500</t>
  </si>
  <si>
    <t>I4799</t>
  </si>
  <si>
    <t>TUBO FoFo C/FLANGE E PONTA DN 1000 PN10 - L=4000</t>
  </si>
  <si>
    <t>I4800</t>
  </si>
  <si>
    <t>TUBO FoFo C/FLANGE E PONTA DN 1000 PN10 - L=4500</t>
  </si>
  <si>
    <t>I6679</t>
  </si>
  <si>
    <t>TUBO FoFo C/FLANGE E PONTA DN 1000 PN10 - L=500</t>
  </si>
  <si>
    <t>I4801</t>
  </si>
  <si>
    <t>TUBO FoFo C/FLANGE E PONTA DN 1000 PN10 - L=5000</t>
  </si>
  <si>
    <t>I4802</t>
  </si>
  <si>
    <t>TUBO FoFo C/FLANGE E PONTA DN 1000 PN10 - L=5500</t>
  </si>
  <si>
    <t>I4803</t>
  </si>
  <si>
    <t>TUBO FoFo C/FLANGE E PONTA DN 1000 PN10 - L=6000</t>
  </si>
  <si>
    <t>I4804</t>
  </si>
  <si>
    <t>TUBO FoFo C/FLANGE E PONTA DN 1000 PN10 - L=6500</t>
  </si>
  <si>
    <t>I4805</t>
  </si>
  <si>
    <t>TUBO FoFo C/FLANGE E PONTA DN 1000 PN10 - L=6800</t>
  </si>
  <si>
    <t>I12810</t>
  </si>
  <si>
    <t>TUBO FoFo C/FLANGE E PONTA DN 1000 PN16 - L=1000</t>
  </si>
  <si>
    <t>I12811</t>
  </si>
  <si>
    <t>TUBO FoFo C/FLANGE E PONTA DN 1000 PN16 - L=1500</t>
  </si>
  <si>
    <t>I12812</t>
  </si>
  <si>
    <t>TUBO FoFo C/FLANGE E PONTA DN 1000 PN16 - L=2000</t>
  </si>
  <si>
    <t>I12813</t>
  </si>
  <si>
    <t>TUBO FoFo C/FLANGE E PONTA DN 1000 PN25 - L=1000</t>
  </si>
  <si>
    <t>I12814</t>
  </si>
  <si>
    <t>TUBO FoFo C/FLANGE E PONTA DN 1000 PN25 - L=1500</t>
  </si>
  <si>
    <t>I12815</t>
  </si>
  <si>
    <t>TUBO FoFo C/FLANGE E PONTA DN 1000 PN25 - L=2000</t>
  </si>
  <si>
    <t>I6680</t>
  </si>
  <si>
    <t>TUBO FoFo C/FLANGE E PONTA DN 1200 PN10 - L= 500</t>
  </si>
  <si>
    <t>I4806</t>
  </si>
  <si>
    <t>TUBO FoFo C/FLANGE E PONTA DN 1200 PN10 - L=1000</t>
  </si>
  <si>
    <t>I4807</t>
  </si>
  <si>
    <t>TUBO FoFo C/FLANGE E PONTA DN 1200 PN10 - L=1500</t>
  </si>
  <si>
    <t>I4808</t>
  </si>
  <si>
    <t>TUBO FoFo C/FLANGE E PONTA DN 1200 PN10 - L=2000</t>
  </si>
  <si>
    <t>I4809</t>
  </si>
  <si>
    <t>TUBO FoFo C/FLANGE E PONTA DN 1200 PN10 - L=2500</t>
  </si>
  <si>
    <t>I4810</t>
  </si>
  <si>
    <t>TUBO FoFo C/FLANGE E PONTA DN 1200 PN10 - L=3000</t>
  </si>
  <si>
    <t>I4811</t>
  </si>
  <si>
    <t>TUBO FoFo C/FLANGE E PONTA DN 1200 PN10 - L=3500</t>
  </si>
  <si>
    <t>I4812</t>
  </si>
  <si>
    <t>TUBO FoFo C/FLANGE E PONTA DN 1200 PN10 - L=4000</t>
  </si>
  <si>
    <t>I4813</t>
  </si>
  <si>
    <t>TUBO FoFo C/FLANGE E PONTA DN 1200 PN10 - L=4500</t>
  </si>
  <si>
    <t>I4814</t>
  </si>
  <si>
    <t>TUBO FoFo C/FLANGE E PONTA DN 1200 PN10 - L=5000</t>
  </si>
  <si>
    <t>I4815</t>
  </si>
  <si>
    <t>TUBO FoFo C/FLANGE E PONTA DN 1200 PN10 - L=5500</t>
  </si>
  <si>
    <t>I4816</t>
  </si>
  <si>
    <t>TUBO FoFo C/FLANGE E PONTA DN 1200 PN10 - L=6000</t>
  </si>
  <si>
    <t>I4817</t>
  </si>
  <si>
    <t>TUBO FoFo C/FLANGE E PONTA DN 1200 PN10 - L=6500</t>
  </si>
  <si>
    <t>I4818</t>
  </si>
  <si>
    <t>TUBO FoFo C/FLANGE E PONTA DN 1200 PN10 - L=6800</t>
  </si>
  <si>
    <t>I12816</t>
  </si>
  <si>
    <t>TUBO FoFo C/FLANGE E PONTA DN 1200 PN16 - L=1000</t>
  </si>
  <si>
    <t>I12817</t>
  </si>
  <si>
    <t>TUBO FoFo C/FLANGE E PONTA DN 1200 PN16 - L=1500</t>
  </si>
  <si>
    <t>I12818</t>
  </si>
  <si>
    <t>TUBO FoFo C/FLANGE E PONTA DN 1200 PN16 - L=2000</t>
  </si>
  <si>
    <t>I12819</t>
  </si>
  <si>
    <t>TUBO FoFo C/FLANGE E PONTA DN 1200 PN25 - L=1500</t>
  </si>
  <si>
    <t>I12820</t>
  </si>
  <si>
    <t>TUBO FoFo C/FLANGE E PONTA DN 1200 PN25 - L=2000</t>
  </si>
  <si>
    <t>I12598</t>
  </si>
  <si>
    <t>TUBO FoFo C/FLANGE E PONTA DN 150 PN25 - L=1000</t>
  </si>
  <si>
    <t>I12599</t>
  </si>
  <si>
    <t>TUBO FoFo C/FLANGE E PONTA DN 150 PN25 - L=1500</t>
  </si>
  <si>
    <t>I12600</t>
  </si>
  <si>
    <t>TUBO FoFo C/FLANGE E PONTA DN 150 PN25 - L=2000</t>
  </si>
  <si>
    <t>I12601</t>
  </si>
  <si>
    <t>TUBO FoFo C/FLANGE E PONTA DN 150 PN25 - L=2500</t>
  </si>
  <si>
    <t>I12602</t>
  </si>
  <si>
    <t>TUBO FoFo C/FLANGE E PONTA DN 150 PN25 - L=3000</t>
  </si>
  <si>
    <t>I12603</t>
  </si>
  <si>
    <t>TUBO FoFo C/FLANGE E PONTA DN 150 PN25 - L=3500</t>
  </si>
  <si>
    <t>I12604</t>
  </si>
  <si>
    <t>TUBO FoFo C/FLANGE E PONTA DN 150 PN25 - L=4000</t>
  </si>
  <si>
    <t>I12605</t>
  </si>
  <si>
    <t>TUBO FoFo C/FLANGE E PONTA DN 150 PN25 - L=4500</t>
  </si>
  <si>
    <t>I12606</t>
  </si>
  <si>
    <t>TUBO FoFo C/FLANGE E PONTA DN 150 PN25 - L=5000</t>
  </si>
  <si>
    <t>I12607</t>
  </si>
  <si>
    <t>TUBO FoFo C/FLANGE E PONTA DN 150 PN25 - L=5500</t>
  </si>
  <si>
    <t>I12608</t>
  </si>
  <si>
    <t>TUBO FoFo C/FLANGE E PONTA DN 150 PN25 - L=5800</t>
  </si>
  <si>
    <t>I12609</t>
  </si>
  <si>
    <t>TUBO FoFo C/FLANGE E PONTA DN 200 PN16 - L=1000</t>
  </si>
  <si>
    <t>I12610</t>
  </si>
  <si>
    <t>TUBO FoFo C/FLANGE E PONTA DN 200 PN16 - L=1500</t>
  </si>
  <si>
    <t>I12611</t>
  </si>
  <si>
    <t>TUBO FoFo C/FLANGE E PONTA DN 200 PN16 - L=2000</t>
  </si>
  <si>
    <t>I12612</t>
  </si>
  <si>
    <t>TUBO FoFo C/FLANGE E PONTA DN 200 PN16 - L=2500</t>
  </si>
  <si>
    <t>I12613</t>
  </si>
  <si>
    <t>TUBO FoFo C/FLANGE E PONTA DN 200 PN16 - L=3000</t>
  </si>
  <si>
    <t>I12614</t>
  </si>
  <si>
    <t>TUBO FoFo C/FLANGE E PONTA DN 200 PN16 - L=3500</t>
  </si>
  <si>
    <t>I12615</t>
  </si>
  <si>
    <t>TUBO FoFo C/FLANGE E PONTA DN 200 PN16 - L=4000</t>
  </si>
  <si>
    <t>I12616</t>
  </si>
  <si>
    <t>TUBO FoFo C/FLANGE E PONTA DN 200 PN16 - L=4500</t>
  </si>
  <si>
    <t>I12617</t>
  </si>
  <si>
    <t>TUBO FoFo C/FLANGE E PONTA DN 200 PN16 - L=5000</t>
  </si>
  <si>
    <t>I12618</t>
  </si>
  <si>
    <t>TUBO FoFo C/FLANGE E PONTA DN 200 PN16 - L=5500</t>
  </si>
  <si>
    <t>I12619</t>
  </si>
  <si>
    <t>TUBO FoFo C/FLANGE E PONTA DN 200 PN16 - L=5800</t>
  </si>
  <si>
    <t>I12620</t>
  </si>
  <si>
    <t>TUBO FoFo C/FLANGE E PONTA DN 200 PN25 - L=1000</t>
  </si>
  <si>
    <t>I12621</t>
  </si>
  <si>
    <t>TUBO FoFo C/FLANGE E PONTA DN 200 PN25 - L=1500</t>
  </si>
  <si>
    <t>I12622</t>
  </si>
  <si>
    <t>TUBO FoFo C/FLANGE E PONTA DN 200 PN25 - L=2000</t>
  </si>
  <si>
    <t>I12623</t>
  </si>
  <si>
    <t>TUBO FoFo C/FLANGE E PONTA DN 200 PN25 - L=2500</t>
  </si>
  <si>
    <t>I12624</t>
  </si>
  <si>
    <t>TUBO FoFo C/FLANGE E PONTA DN 200 PN25 - L=3000</t>
  </si>
  <si>
    <t>I12625</t>
  </si>
  <si>
    <t>TUBO FoFo C/FLANGE E PONTA DN 200 PN25 - L=3500</t>
  </si>
  <si>
    <t>I12626</t>
  </si>
  <si>
    <t>TUBO FoFo C/FLANGE E PONTA DN 200 PN25 - L=4000</t>
  </si>
  <si>
    <t>I12627</t>
  </si>
  <si>
    <t>TUBO FoFo C/FLANGE E PONTA DN 200 PN25 - L=4500</t>
  </si>
  <si>
    <t>I12628</t>
  </si>
  <si>
    <t>TUBO FoFo C/FLANGE E PONTA DN 200 PN25 - L=5000</t>
  </si>
  <si>
    <t>I12629</t>
  </si>
  <si>
    <t>TUBO FoFo C/FLANGE E PONTA DN 200 PN25 - L=5500</t>
  </si>
  <si>
    <t>I12630</t>
  </si>
  <si>
    <t>TUBO FoFo C/FLANGE E PONTA DN 200 PN25 - L=5800</t>
  </si>
  <si>
    <t>I12631</t>
  </si>
  <si>
    <t>TUBO FoFo C/FLANGE E PONTA DN 250 PN16 - L=1000</t>
  </si>
  <si>
    <t>I12632</t>
  </si>
  <si>
    <t>TUBO FoFo C/FLANGE E PONTA DN 250 PN16 - L=1500</t>
  </si>
  <si>
    <t>I12633</t>
  </si>
  <si>
    <t>TUBO FoFo C/FLANGE E PONTA DN 250 PN16 - L=2000</t>
  </si>
  <si>
    <t>I12634</t>
  </si>
  <si>
    <t>TUBO FoFo C/FLANGE E PONTA DN 250 PN16 - L=2500</t>
  </si>
  <si>
    <t>I12635</t>
  </si>
  <si>
    <t>TUBO FoFo C/FLANGE E PONTA DN 250 PN16 - L=3000</t>
  </si>
  <si>
    <t>I12636</t>
  </si>
  <si>
    <t>TUBO FoFo C/FLANGE E PONTA DN 250 PN16 - L=3500</t>
  </si>
  <si>
    <t>I12637</t>
  </si>
  <si>
    <t>TUBO FoFo C/FLANGE E PONTA DN 250 PN16 - L=4000</t>
  </si>
  <si>
    <t>I12638</t>
  </si>
  <si>
    <t>TUBO FoFo C/FLANGE E PONTA DN 250 PN16 - L=4500</t>
  </si>
  <si>
    <t>I12639</t>
  </si>
  <si>
    <t>TUBO FoFo C/FLANGE E PONTA DN 250 PN16 - L=5000</t>
  </si>
  <si>
    <t>I12640</t>
  </si>
  <si>
    <t>TUBO FoFo C/FLANGE E PONTA DN 250 PN16 - L=5500</t>
  </si>
  <si>
    <t>I12641</t>
  </si>
  <si>
    <t>TUBO FoFo C/FLANGE E PONTA DN 250 PN16 - L=5800</t>
  </si>
  <si>
    <t>I12642</t>
  </si>
  <si>
    <t>TUBO FoFo C/FLANGE E PONTA DN 250 PN25 - L=1000</t>
  </si>
  <si>
    <t>I12643</t>
  </si>
  <si>
    <t>TUBO FoFo C/FLANGE E PONTA DN 250 PN25 - L=1500</t>
  </si>
  <si>
    <t>I12644</t>
  </si>
  <si>
    <t>TUBO FoFo C/FLANGE E PONTA DN 250 PN25 - L=2000</t>
  </si>
  <si>
    <t>I12645</t>
  </si>
  <si>
    <t>TUBO FoFo C/FLANGE E PONTA DN 250 PN25 - L=2500</t>
  </si>
  <si>
    <t>I12646</t>
  </si>
  <si>
    <t>TUBO FoFo C/FLANGE E PONTA DN 250 PN25 - L=3000</t>
  </si>
  <si>
    <t>I12647</t>
  </si>
  <si>
    <t>TUBO FoFo C/FLANGE E PONTA DN 250 PN25 - L=3500</t>
  </si>
  <si>
    <t>I12648</t>
  </si>
  <si>
    <t>TUBO FoFo C/FLANGE E PONTA DN 250 PN25 - L=4000</t>
  </si>
  <si>
    <t>I12649</t>
  </si>
  <si>
    <t>TUBO FoFo C/FLANGE E PONTA DN 250 PN25 - L=4500</t>
  </si>
  <si>
    <t>I12650</t>
  </si>
  <si>
    <t>TUBO FoFo C/FLANGE E PONTA DN 250 PN25 - L=5000</t>
  </si>
  <si>
    <t>I12651</t>
  </si>
  <si>
    <t>TUBO FoFo C/FLANGE E PONTA DN 250 PN25 - L=5500</t>
  </si>
  <si>
    <t>I12652</t>
  </si>
  <si>
    <t>TUBO FoFo C/FLANGE E PONTA DN 250 PN25 - L=5800</t>
  </si>
  <si>
    <t>I12653</t>
  </si>
  <si>
    <t>TUBO FoFo C/FLANGE E PONTA DN 300 PN16 - L=1000</t>
  </si>
  <si>
    <t>I12654</t>
  </si>
  <si>
    <t>TUBO FoFo C/FLANGE E PONTA DN 300 PN16 - L=1500</t>
  </si>
  <si>
    <t>I12655</t>
  </si>
  <si>
    <t>TUBO FoFo C/FLANGE E PONTA DN 300 PN16 - L=2000</t>
  </si>
  <si>
    <t>I12656</t>
  </si>
  <si>
    <t>TUBO FoFo C/FLANGE E PONTA DN 300 PN16 - L=2500</t>
  </si>
  <si>
    <t>I12657</t>
  </si>
  <si>
    <t>TUBO FoFo C/FLANGE E PONTA DN 300 PN16 - L=3000</t>
  </si>
  <si>
    <t>I12658</t>
  </si>
  <si>
    <t>TUBO FoFo C/FLANGE E PONTA DN 300 PN16 - L=3500</t>
  </si>
  <si>
    <t>I12659</t>
  </si>
  <si>
    <t>TUBO FoFo C/FLANGE E PONTA DN 300 PN16 - L=4000</t>
  </si>
  <si>
    <t>I12660</t>
  </si>
  <si>
    <t>TUBO FoFo C/FLANGE E PONTA DN 300 PN16 - L=4500</t>
  </si>
  <si>
    <t>I12661</t>
  </si>
  <si>
    <t>TUBO FoFo C/FLANGE E PONTA DN 300 PN16 - L=5000</t>
  </si>
  <si>
    <t>I12662</t>
  </si>
  <si>
    <t>TUBO FoFo C/FLANGE E PONTA DN 300 PN16 - L=5500</t>
  </si>
  <si>
    <t>I12663</t>
  </si>
  <si>
    <t>TUBO FoFo C/FLANGE E PONTA DN 300 PN16 - L=5800</t>
  </si>
  <si>
    <t>I12664</t>
  </si>
  <si>
    <t>TUBO FoFo C/FLANGE E PONTA DN 300 PN25 - L=1000</t>
  </si>
  <si>
    <t>I12665</t>
  </si>
  <si>
    <t>TUBO FoFo C/FLANGE E PONTA DN 300 PN25 - L=1500</t>
  </si>
  <si>
    <t>I12666</t>
  </si>
  <si>
    <t>TUBO FoFo C/FLANGE E PONTA DN 300 PN25 - L=2000</t>
  </si>
  <si>
    <t>I12667</t>
  </si>
  <si>
    <t>TUBO FoFo C/FLANGE E PONTA DN 300 PN25 - L=2500</t>
  </si>
  <si>
    <t>I12668</t>
  </si>
  <si>
    <t>TUBO FoFo C/FLANGE E PONTA DN 300 PN25 - L=3000</t>
  </si>
  <si>
    <t>I12669</t>
  </si>
  <si>
    <t>TUBO FoFo C/FLANGE E PONTA DN 300 PN25 - L=3500</t>
  </si>
  <si>
    <t>I12670</t>
  </si>
  <si>
    <t>TUBO FoFo C/FLANGE E PONTA DN 300 PN25 - L=4000</t>
  </si>
  <si>
    <t>I12671</t>
  </si>
  <si>
    <t>TUBO FoFo C/FLANGE E PONTA DN 300 PN25 - L=4500</t>
  </si>
  <si>
    <t>I12672</t>
  </si>
  <si>
    <t>TUBO FoFo C/FLANGE E PONTA DN 300 PN25 - L=5000</t>
  </si>
  <si>
    <t>I12673</t>
  </si>
  <si>
    <t>TUBO FoFo C/FLANGE E PONTA DN 300 PN25 - L=5500</t>
  </si>
  <si>
    <t>I12674</t>
  </si>
  <si>
    <t>TUBO FoFo C/FLANGE E PONTA DN 300 PN25 - L=5800</t>
  </si>
  <si>
    <t>I12675</t>
  </si>
  <si>
    <t>TUBO FoFo C/FLANGE E PONTA DN 350 PN16 - L=1000</t>
  </si>
  <si>
    <t>I12676</t>
  </si>
  <si>
    <t>TUBO FoFo C/FLANGE E PONTA DN 350 PN16 - L=1500</t>
  </si>
  <si>
    <t>I12677</t>
  </si>
  <si>
    <t>TUBO FoFo C/FLANGE E PONTA DN 350 PN16 - L=2000</t>
  </si>
  <si>
    <t>I12678</t>
  </si>
  <si>
    <t>TUBO FoFo C/FLANGE E PONTA DN 350 PN16 - L=2500</t>
  </si>
  <si>
    <t>I12679</t>
  </si>
  <si>
    <t>TUBO FoFo C/FLANGE E PONTA DN 350 PN16 - L=3000</t>
  </si>
  <si>
    <t>I12680</t>
  </si>
  <si>
    <t>TUBO FoFo C/FLANGE E PONTA DN 350 PN16 - L=3500</t>
  </si>
  <si>
    <t>I12681</t>
  </si>
  <si>
    <t>TUBO FoFo C/FLANGE E PONTA DN 350 PN16 - L=4000</t>
  </si>
  <si>
    <t>I12682</t>
  </si>
  <si>
    <t>TUBO FoFo C/FLANGE E PONTA DN 350 PN16 - L=4500</t>
  </si>
  <si>
    <t>I12683</t>
  </si>
  <si>
    <t>TUBO FoFo C/FLANGE E PONTA DN 350 PN16 - L=5000</t>
  </si>
  <si>
    <t>I12684</t>
  </si>
  <si>
    <t>TUBO FoFo C/FLANGE E PONTA DN 350 PN16 - L=5500</t>
  </si>
  <si>
    <t>I12685</t>
  </si>
  <si>
    <t>TUBO FoFo C/FLANGE E PONTA DN 350 PN16 - L=5800</t>
  </si>
  <si>
    <t>I12686</t>
  </si>
  <si>
    <t>TUBO FoFo C/FLANGE E PONTA DN 350 PN25 - L=1000</t>
  </si>
  <si>
    <t>I12687</t>
  </si>
  <si>
    <t>TUBO FoFo C/FLANGE E PONTA DN 350 PN25 - L=1500</t>
  </si>
  <si>
    <t>I12688</t>
  </si>
  <si>
    <t>TUBO FoFo C/FLANGE E PONTA DN 350 PN25 - L=2000</t>
  </si>
  <si>
    <t>I12689</t>
  </si>
  <si>
    <t>TUBO FoFo C/FLANGE E PONTA DN 350 PN25 - L=2500</t>
  </si>
  <si>
    <t>I12690</t>
  </si>
  <si>
    <t>TUBO FoFo C/FLANGE E PONTA DN 350 PN25 - L=3000</t>
  </si>
  <si>
    <t>I12691</t>
  </si>
  <si>
    <t>TUBO FoFo C/FLANGE E PONTA DN 350 PN25 - L=3500</t>
  </si>
  <si>
    <t>I12692</t>
  </si>
  <si>
    <t>TUBO FoFo C/FLANGE E PONTA DN 350 PN25 - L=4000</t>
  </si>
  <si>
    <t>I12693</t>
  </si>
  <si>
    <t>TUBO FoFo C/FLANGE E PONTA DN 350 PN25 - L=4500</t>
  </si>
  <si>
    <t>I12694</t>
  </si>
  <si>
    <t>TUBO FoFo C/FLANGE E PONTA DN 350 PN25 - L=5000</t>
  </si>
  <si>
    <t>I12695</t>
  </si>
  <si>
    <t>TUBO FoFo C/FLANGE E PONTA DN 350 PN25 - L=5500</t>
  </si>
  <si>
    <t>I12696</t>
  </si>
  <si>
    <t>TUBO FoFo C/FLANGE E PONTA DN 350 PN25 - L=5800</t>
  </si>
  <si>
    <t>I12697</t>
  </si>
  <si>
    <t>TUBO FoFo C/FLANGE E PONTA DN 400 PN16 - L=1000</t>
  </si>
  <si>
    <t>I12698</t>
  </si>
  <si>
    <t>TUBO FoFo C/FLANGE E PONTA DN 400 PN16 - L=1500</t>
  </si>
  <si>
    <t>I12699</t>
  </si>
  <si>
    <t>TUBO FoFo C/FLANGE E PONTA DN 400 PN16 - L=2000</t>
  </si>
  <si>
    <t>I12700</t>
  </si>
  <si>
    <t>TUBO FoFo C/FLANGE E PONTA DN 400 PN16 - L=2500</t>
  </si>
  <si>
    <t>I12701</t>
  </si>
  <si>
    <t>TUBO FoFo C/FLANGE E PONTA DN 400 PN16 - L=3000</t>
  </si>
  <si>
    <t>I12702</t>
  </si>
  <si>
    <t>TUBO FoFo C/FLANGE E PONTA DN 400 PN16 - L=3500</t>
  </si>
  <si>
    <t>I12703</t>
  </si>
  <si>
    <t>TUBO FoFo C/FLANGE E PONTA DN 400 PN16 - L=4000</t>
  </si>
  <si>
    <t>I12704</t>
  </si>
  <si>
    <t>TUBO FoFo C/FLANGE E PONTA DN 400 PN16 - L=4500</t>
  </si>
  <si>
    <t>I12705</t>
  </si>
  <si>
    <t>TUBO FoFo C/FLANGE E PONTA DN 400 PN16 - L=5000</t>
  </si>
  <si>
    <t>I12706</t>
  </si>
  <si>
    <t>TUBO FoFo C/FLANGE E PONTA DN 400 PN16 - L=5500</t>
  </si>
  <si>
    <t>I12707</t>
  </si>
  <si>
    <t>TUBO FoFo C/FLANGE E PONTA DN 400 PN16 - L=5800</t>
  </si>
  <si>
    <t>I12708</t>
  </si>
  <si>
    <t>TUBO FoFo C/FLANGE E PONTA DN 400 PN25 - L=1000</t>
  </si>
  <si>
    <t>I12709</t>
  </si>
  <si>
    <t>TUBO FoFo C/FLANGE E PONTA DN 400 PN25 - L=1500</t>
  </si>
  <si>
    <t>I12710</t>
  </si>
  <si>
    <t>TUBO FoFo C/FLANGE E PONTA DN 400 PN25 - L=2000</t>
  </si>
  <si>
    <t>I12711</t>
  </si>
  <si>
    <t>TUBO FoFo C/FLANGE E PONTA DN 400 PN25 - L=2500</t>
  </si>
  <si>
    <t>I12712</t>
  </si>
  <si>
    <t>TUBO FoFo C/FLANGE E PONTA DN 400 PN25 - L=3000</t>
  </si>
  <si>
    <t>I12713</t>
  </si>
  <si>
    <t>TUBO FoFo C/FLANGE E PONTA DN 400 PN25 - L=3500</t>
  </si>
  <si>
    <t>I12714</t>
  </si>
  <si>
    <t>TUBO FoFo C/FLANGE E PONTA DN 400 PN25 - L=4000</t>
  </si>
  <si>
    <t>I12715</t>
  </si>
  <si>
    <t>TUBO FoFo C/FLANGE E PONTA DN 400 PN25 - L=4500</t>
  </si>
  <si>
    <t>I12716</t>
  </si>
  <si>
    <t>TUBO FoFo C/FLANGE E PONTA DN 400 PN25 - L=5000</t>
  </si>
  <si>
    <t>I12717</t>
  </si>
  <si>
    <t>TUBO FoFo C/FLANGE E PONTA DN 400 PN25 - L=5500</t>
  </si>
  <si>
    <t>I12718</t>
  </si>
  <si>
    <t>TUBO FoFo C/FLANGE E PONTA DN 400 PN25 - L=5800</t>
  </si>
  <si>
    <t>I12719</t>
  </si>
  <si>
    <t>TUBO FoFo C/FLANGE E PONTA DN 450 PN16 - L=1000</t>
  </si>
  <si>
    <t>I12720</t>
  </si>
  <si>
    <t>TUBO FoFo C/FLANGE E PONTA DN 450 PN16 - L=1500</t>
  </si>
  <si>
    <t>I12721</t>
  </si>
  <si>
    <t>TUBO FoFo C/FLANGE E PONTA DN 450 PN16 - L=2000</t>
  </si>
  <si>
    <t>I12722</t>
  </si>
  <si>
    <t>TUBO FoFo C/FLANGE E PONTA DN 450 PN16 - L=2500</t>
  </si>
  <si>
    <t>I12723</t>
  </si>
  <si>
    <t>TUBO FoFo C/FLANGE E PONTA DN 450 PN16 - L=3000</t>
  </si>
  <si>
    <t>I12724</t>
  </si>
  <si>
    <t>TUBO FoFo C/FLANGE E PONTA DN 450 PN16 - L=3500</t>
  </si>
  <si>
    <t>I12725</t>
  </si>
  <si>
    <t>TUBO FoFo C/FLANGE E PONTA DN 450 PN16 - L=4000</t>
  </si>
  <si>
    <t>I12726</t>
  </si>
  <si>
    <t>TUBO FoFo C/FLANGE E PONTA DN 450 PN16 - L=4500</t>
  </si>
  <si>
    <t>I12727</t>
  </si>
  <si>
    <t>TUBO FoFo C/FLANGE E PONTA DN 450 PN16 - L=5000</t>
  </si>
  <si>
    <t>I12728</t>
  </si>
  <si>
    <t>TUBO FoFo C/FLANGE E PONTA DN 450 PN16 - L=5500</t>
  </si>
  <si>
    <t>I12729</t>
  </si>
  <si>
    <t>TUBO FoFo C/FLANGE E PONTA DN 450 PN16 - L=5800</t>
  </si>
  <si>
    <t>I12730</t>
  </si>
  <si>
    <t>TUBO FoFo C/FLANGE E PONTA DN 450 PN25 - L=1000</t>
  </si>
  <si>
    <t>I12731</t>
  </si>
  <si>
    <t>TUBO FoFo C/FLANGE E PONTA DN 450 PN25 - L=1500</t>
  </si>
  <si>
    <t>I12732</t>
  </si>
  <si>
    <t>TUBO FoFo C/FLANGE E PONTA DN 450 PN25 - L=2000</t>
  </si>
  <si>
    <t>I12733</t>
  </si>
  <si>
    <t>TUBO FoFo C/FLANGE E PONTA DN 450 PN25 - L=2500</t>
  </si>
  <si>
    <t>I12734</t>
  </si>
  <si>
    <t>TUBO FoFo C/FLANGE E PONTA DN 450 PN25 - L=3000</t>
  </si>
  <si>
    <t>I12735</t>
  </si>
  <si>
    <t>TUBO FoFo C/FLANGE E PONTA DN 450 PN25 - L=3500</t>
  </si>
  <si>
    <t>I12736</t>
  </si>
  <si>
    <t>TUBO FoFo C/FLANGE E PONTA DN 450 PN25 - L=4000</t>
  </si>
  <si>
    <t>I12737</t>
  </si>
  <si>
    <t>TUBO FoFo C/FLANGE E PONTA DN 450 PN25 - L=4500</t>
  </si>
  <si>
    <t>I12738</t>
  </si>
  <si>
    <t>TUBO FoFo C/FLANGE E PONTA DN 450 PN25 - L=5000</t>
  </si>
  <si>
    <t>I12739</t>
  </si>
  <si>
    <t>TUBO FoFo C/FLANGE E PONTA DN 450 PN25 - L=5500</t>
  </si>
  <si>
    <t>I12740</t>
  </si>
  <si>
    <t>TUBO FoFo C/FLANGE E PONTA DN 450 PN25 - L=5800</t>
  </si>
  <si>
    <t>I12741</t>
  </si>
  <si>
    <t>TUBO FoFo C/FLANGE E PONTA DN 500 PN16 - L=1000</t>
  </si>
  <si>
    <t>I12742</t>
  </si>
  <si>
    <t>TUBO FoFo C/FLANGE E PONTA DN 500 PN16 - L=1500</t>
  </si>
  <si>
    <t>I12743</t>
  </si>
  <si>
    <t>TUBO FoFo C/FLANGE E PONTA DN 500 PN16 - L=2000</t>
  </si>
  <si>
    <t>I12744</t>
  </si>
  <si>
    <t>TUBO FoFo C/FLANGE E PONTA DN 500 PN16 - L=2500</t>
  </si>
  <si>
    <t>I12745</t>
  </si>
  <si>
    <t>TUBO FoFo C/FLANGE E PONTA DN 500 PN16 - L=3000</t>
  </si>
  <si>
    <t>I12746</t>
  </si>
  <si>
    <t>TUBO FoFo C/FLANGE E PONTA DN 500 PN16 - L=3500</t>
  </si>
  <si>
    <t>I12747</t>
  </si>
  <si>
    <t>TUBO FoFo C/FLANGE E PONTA DN 500 PN16 - L=4000</t>
  </si>
  <si>
    <t>I12748</t>
  </si>
  <si>
    <t>TUBO FoFo C/FLANGE E PONTA DN 500 PN16 - L=4500</t>
  </si>
  <si>
    <t>I12749</t>
  </si>
  <si>
    <t>TUBO FoFo C/FLANGE E PONTA DN 500 PN16 - L=5000</t>
  </si>
  <si>
    <t>I12750</t>
  </si>
  <si>
    <t>TUBO FoFo C/FLANGE E PONTA DN 500 PN16 - L=5500</t>
  </si>
  <si>
    <t>I12751</t>
  </si>
  <si>
    <t>TUBO FoFo C/FLANGE E PONTA DN 500 PN16 - L=5800</t>
  </si>
  <si>
    <t>I12752</t>
  </si>
  <si>
    <t>TUBO FoFo C/FLANGE E PONTA DN 500 PN25 - L=1000</t>
  </si>
  <si>
    <t>I12753</t>
  </si>
  <si>
    <t>TUBO FoFo C/FLANGE E PONTA DN 500 PN25 - L=1500</t>
  </si>
  <si>
    <t>I12754</t>
  </si>
  <si>
    <t>TUBO FoFo C/FLANGE E PONTA DN 500 PN25 - L=2000</t>
  </si>
  <si>
    <t>I12755</t>
  </si>
  <si>
    <t>TUBO FoFo C/FLANGE E PONTA DN 500 PN25 - L=2500</t>
  </si>
  <si>
    <t>I12756</t>
  </si>
  <si>
    <t>TUBO FoFo C/FLANGE E PONTA DN 500 PN25 - L=3000</t>
  </si>
  <si>
    <t>I12757</t>
  </si>
  <si>
    <t>TUBO FoFo C/FLANGE E PONTA DN 500 PN25 - L=3500</t>
  </si>
  <si>
    <t>I12758</t>
  </si>
  <si>
    <t>TUBO FoFo C/FLANGE E PONTA DN 500 PN25 - L=4000</t>
  </si>
  <si>
    <t>I12759</t>
  </si>
  <si>
    <t>TUBO FoFo C/FLANGE E PONTA DN 500 PN25 - L=4500</t>
  </si>
  <si>
    <t>I12760</t>
  </si>
  <si>
    <t>TUBO FoFo C/FLANGE E PONTA DN 500 PN25 - L=5000</t>
  </si>
  <si>
    <t>I12761</t>
  </si>
  <si>
    <t>TUBO FoFo C/FLANGE E PONTA DN 500 PN25 - L=5500</t>
  </si>
  <si>
    <t>I12762</t>
  </si>
  <si>
    <t>TUBO FoFo C/FLANGE E PONTA DN 500 PN25 - L=5800</t>
  </si>
  <si>
    <t>I12763</t>
  </si>
  <si>
    <t>TUBO FoFo C/FLANGE E PONTA DN 600 PN16 - L=1000</t>
  </si>
  <si>
    <t>I12764</t>
  </si>
  <si>
    <t>TUBO FoFo C/FLANGE E PONTA DN 600 PN16 - L=1500</t>
  </si>
  <si>
    <t>I12765</t>
  </si>
  <si>
    <t>TUBO FoFo C/FLANGE E PONTA DN 600 PN16 - L=2000</t>
  </si>
  <si>
    <t>I12766</t>
  </si>
  <si>
    <t>TUBO FoFo C/FLANGE E PONTA DN 600 PN16 - L=2500</t>
  </si>
  <si>
    <t>I12767</t>
  </si>
  <si>
    <t>TUBO FoFo C/FLANGE E PONTA DN 600 PN16 - L=3000</t>
  </si>
  <si>
    <t>I12768</t>
  </si>
  <si>
    <t>TUBO FoFo C/FLANGE E PONTA DN 600 PN16 - L=3500</t>
  </si>
  <si>
    <t>I12769</t>
  </si>
  <si>
    <t>TUBO FoFo C/FLANGE E PONTA DN 600 PN16 - L=4000</t>
  </si>
  <si>
    <t>I12770</t>
  </si>
  <si>
    <t>TUBO FoFo C/FLANGE E PONTA DN 600 PN16 - L=4500</t>
  </si>
  <si>
    <t>I12771</t>
  </si>
  <si>
    <t>TUBO FoFo C/FLANGE E PONTA DN 600 PN16 - L=5000</t>
  </si>
  <si>
    <t>I12772</t>
  </si>
  <si>
    <t>TUBO FoFo C/FLANGE E PONTA DN 600 PN16 - L=5500</t>
  </si>
  <si>
    <t>I12773</t>
  </si>
  <si>
    <t>TUBO FoFo C/FLANGE E PONTA DN 600 PN16 - L=5800</t>
  </si>
  <si>
    <t>I12774</t>
  </si>
  <si>
    <t>TUBO FoFo C/FLANGE E PONTA DN 600 PN25 - L=1000</t>
  </si>
  <si>
    <t>I12775</t>
  </si>
  <si>
    <t>TUBO FoFo C/FLANGE E PONTA DN 600 PN25 - L=1500</t>
  </si>
  <si>
    <t>I12776</t>
  </si>
  <si>
    <t>TUBO FoFo C/FLANGE E PONTA DN 600 PN25 - L=2000</t>
  </si>
  <si>
    <t>I12777</t>
  </si>
  <si>
    <t>TUBO FoFo C/FLANGE E PONTA DN 600 PN25 - L=2500</t>
  </si>
  <si>
    <t>I12778</t>
  </si>
  <si>
    <t>TUBO FoFo C/FLANGE E PONTA DN 600 PN25 - L=3000</t>
  </si>
  <si>
    <t>I12779</t>
  </si>
  <si>
    <t>TUBO FoFo C/FLANGE E PONTA DN 600 PN25 - L=3500</t>
  </si>
  <si>
    <t>I12780</t>
  </si>
  <si>
    <t>TUBO FoFo C/FLANGE E PONTA DN 600 PN25 - L=4000</t>
  </si>
  <si>
    <t>I12781</t>
  </si>
  <si>
    <t>TUBO FoFo C/FLANGE E PONTA DN 600 PN25 - L=4500</t>
  </si>
  <si>
    <t>I12782</t>
  </si>
  <si>
    <t>TUBO FoFo C/FLANGE E PONTA DN 600 PN25 - L=5000</t>
  </si>
  <si>
    <t>I12783</t>
  </si>
  <si>
    <t>TUBO FoFo C/FLANGE E PONTA DN 600 PN25 - L=5500</t>
  </si>
  <si>
    <t>I12784</t>
  </si>
  <si>
    <t>TUBO FoFo C/FLANGE E PONTA DN 600 PN25 - L=5800</t>
  </si>
  <si>
    <t>I12785</t>
  </si>
  <si>
    <t>TUBO FoFo C/FLANGE E PONTA DN 700 PN16 - L=1000</t>
  </si>
  <si>
    <t>I12786</t>
  </si>
  <si>
    <t>TUBO FoFo C/FLANGE E PONTA DN 700 PN16 - L=1500</t>
  </si>
  <si>
    <t>I12787</t>
  </si>
  <si>
    <t>TUBO FoFo C/FLANGE E PONTA DN 700 PN16 - L=2000</t>
  </si>
  <si>
    <t>I12788</t>
  </si>
  <si>
    <t>TUBO FoFo C/FLANGE E PONTA DN 700 PN16 - L=2500</t>
  </si>
  <si>
    <t>I12789</t>
  </si>
  <si>
    <t>TUBO FoFo C/FLANGE E PONTA DN 700 PN16 - L=3000</t>
  </si>
  <si>
    <t>I12790</t>
  </si>
  <si>
    <t>TUBO FoFo C/FLANGE E PONTA DN 700 PN16 - L=3500</t>
  </si>
  <si>
    <t>I12791</t>
  </si>
  <si>
    <t>TUBO FoFo C/FLANGE E PONTA DN 700 PN16 - L=4000</t>
  </si>
  <si>
    <t>I12792</t>
  </si>
  <si>
    <t>TUBO FoFo C/FLANGE E PONTA DN 700 PN16 - L=4500</t>
  </si>
  <si>
    <t>I12793</t>
  </si>
  <si>
    <t>TUBO FoFo C/FLANGE E PONTA DN 700 PN16 - L=5000</t>
  </si>
  <si>
    <t>I12794</t>
  </si>
  <si>
    <t>TUBO FoFo C/FLANGE E PONTA DN 700 PN16 - L=5500</t>
  </si>
  <si>
    <t>I12795</t>
  </si>
  <si>
    <t>TUBO FoFo C/FLANGE E PONTA DN 700 PN16 - L=6000</t>
  </si>
  <si>
    <t>I12796</t>
  </si>
  <si>
    <t>TUBO FoFo C/FLANGE E PONTA DN 700 PN16 - L=6500</t>
  </si>
  <si>
    <t>I12797</t>
  </si>
  <si>
    <t>TUBO FoFo C/FLANGE E PONTA DN 700 PN16 - L=6800</t>
  </si>
  <si>
    <t>I12798</t>
  </si>
  <si>
    <t>TUBO FoFo C/FLANGE E PONTA DN 800 PN16 - L=1000</t>
  </si>
  <si>
    <t>I12799</t>
  </si>
  <si>
    <t>TUBO FoFo C/FLANGE E PONTA DN 800 PN16 - L=1500</t>
  </si>
  <si>
    <t>I12800</t>
  </si>
  <si>
    <t>TUBO FoFo C/FLANGE E PONTA DN 800 PN16 - L=2000</t>
  </si>
  <si>
    <t>I12801</t>
  </si>
  <si>
    <t>TUBO FoFo C/FLANGE E PONTA DN 800 PN25 - L=1000</t>
  </si>
  <si>
    <t>I12802</t>
  </si>
  <si>
    <t>TUBO FoFo C/FLANGE E PONTA DN 800 PN25 - L=1500</t>
  </si>
  <si>
    <t>I12803</t>
  </si>
  <si>
    <t>TUBO FoFo C/FLANGE E PONTA DN 800 PN25 - L=2000</t>
  </si>
  <si>
    <t>I12804</t>
  </si>
  <si>
    <t>TUBO FoFo C/FLANGE E PONTA DN 900 PN16 - L=1000</t>
  </si>
  <si>
    <t>I12805</t>
  </si>
  <si>
    <t>TUBO FoFo C/FLANGE E PONTA DN 900 PN16 - L=1500</t>
  </si>
  <si>
    <t>I12806</t>
  </si>
  <si>
    <t>TUBO FoFo C/FLANGE E PONTA DN 900 PN16 - L=2000</t>
  </si>
  <si>
    <t>I12807</t>
  </si>
  <si>
    <t>TUBO FoFo C/FLANGE E PONTA DN 900 PN25 - L=1000</t>
  </si>
  <si>
    <t>I12808</t>
  </si>
  <si>
    <t>TUBO FoFo C/FLANGE E PONTA DN 900 PN25 - L=1500</t>
  </si>
  <si>
    <t>I12809</t>
  </si>
  <si>
    <t>TUBO FoFo C/FLANGE E PONTA DN 900 PN25 - L=2000</t>
  </si>
  <si>
    <t>I12916</t>
  </si>
  <si>
    <t>TUBO FoFo C/FLANGE E PONTA P/ ESGOTO DN 1000 PN10 - L=1000</t>
  </si>
  <si>
    <t>I12917</t>
  </si>
  <si>
    <t>TUBO FoFo C/FLANGE E PONTA P/ ESGOTO DN 1000 PN10 - L=1500</t>
  </si>
  <si>
    <t>I12918</t>
  </si>
  <si>
    <t>TUBO FoFo C/FLANGE E PONTA P/ ESGOTO DN 1000 PN10 - L=2000</t>
  </si>
  <si>
    <t>I12919</t>
  </si>
  <si>
    <t>TUBO FoFo C/FLANGE E PONTA P/ ESGOTO DN 1000 PN10 - L=2500</t>
  </si>
  <si>
    <t>I12920</t>
  </si>
  <si>
    <t>TUBO FoFo C/FLANGE E PONTA P/ ESGOTO DN 1000 PN10 - L=3000</t>
  </si>
  <si>
    <t>I12921</t>
  </si>
  <si>
    <t>TUBO FoFo C/FLANGE E PONTA P/ ESGOTO DN 1000 PN10 - L=3500</t>
  </si>
  <si>
    <t>I12922</t>
  </si>
  <si>
    <t>TUBO FoFo C/FLANGE E PONTA P/ ESGOTO DN 1000 PN10 - L=4000</t>
  </si>
  <si>
    <t>I12923</t>
  </si>
  <si>
    <t>TUBO FoFo C/FLANGE E PONTA P/ ESGOTO DN 1000 PN10 - L=4500</t>
  </si>
  <si>
    <t>I12924</t>
  </si>
  <si>
    <t>TUBO FoFo C/FLANGE E PONTA P/ ESGOTO DN 1000 PN10 - L=5000</t>
  </si>
  <si>
    <t>I12925</t>
  </si>
  <si>
    <t>TUBO FoFo C/FLANGE E PONTA P/ ESGOTO DN 1000 PN10 - L=5500</t>
  </si>
  <si>
    <t>I12926</t>
  </si>
  <si>
    <t>TUBO FoFo C/FLANGE E PONTA P/ ESGOTO DN 1000 PN10 - L=6800</t>
  </si>
  <si>
    <t>I12927</t>
  </si>
  <si>
    <t>TUBO FoFo C/FLANGE E PONTA P/ ESGOTO DN 1200 PN10 - L=1000</t>
  </si>
  <si>
    <t>I12928</t>
  </si>
  <si>
    <t>TUBO FoFo C/FLANGE E PONTA P/ ESGOTO DN 1200 PN10 - L=1500</t>
  </si>
  <si>
    <t>I12929</t>
  </si>
  <si>
    <t>TUBO FoFo C/FLANGE E PONTA P/ ESGOTO DN 1200 PN10 - L=2000</t>
  </si>
  <si>
    <t>I12930</t>
  </si>
  <si>
    <t>TUBO FoFo C/FLANGE E PONTA P/ ESGOTO DN 1200 PN10 - L=4000</t>
  </si>
  <si>
    <t>I12931</t>
  </si>
  <si>
    <t>TUBO FoFo C/FLANGE E PONTA P/ ESGOTO DN 1200 PN10 - L=4500</t>
  </si>
  <si>
    <t>I12932</t>
  </si>
  <si>
    <t>TUBO FoFo C/FLANGE E PONTA P/ ESGOTO DN 1200 PN10 - L=5500</t>
  </si>
  <si>
    <t>I12933</t>
  </si>
  <si>
    <t>TUBO FoFo C/FLANGE E PONTA P/ ESGOTO DN 1200 PN10 - L=6000</t>
  </si>
  <si>
    <t>I12934</t>
  </si>
  <si>
    <t>TUBO FoFo C/FLANGE E PONTA P/ ESGOTO DN 1200 PN10 - L=6800</t>
  </si>
  <si>
    <t>I12821</t>
  </si>
  <si>
    <t>TUBO FoFo C/FLANGE E PONTA P/ ESGOTO DN 200 PN10 - L=1000</t>
  </si>
  <si>
    <t>I12822</t>
  </si>
  <si>
    <t>TUBO FoFo C/FLANGE E PONTA P/ ESGOTO DN 200 PN10 - L=1500</t>
  </si>
  <si>
    <t>I12823</t>
  </si>
  <si>
    <t>TUBO FoFo C/FLANGE E PONTA P/ ESGOTO DN 200 PN10 - L=2000</t>
  </si>
  <si>
    <t>I12824</t>
  </si>
  <si>
    <t>TUBO FoFo C/FLANGE E PONTA P/ ESGOTO DN 200 PN10 - L=2500</t>
  </si>
  <si>
    <t>I12825</t>
  </si>
  <si>
    <t>TUBO FoFo C/FLANGE E PONTA P/ ESGOTO DN 200 PN10 - L=3000</t>
  </si>
  <si>
    <t>I12826</t>
  </si>
  <si>
    <t>TUBO FoFo C/FLANGE E PONTA P/ ESGOTO DN 200 PN10 - L=3500</t>
  </si>
  <si>
    <t>I12827</t>
  </si>
  <si>
    <t>TUBO FoFo C/FLANGE E PONTA P/ ESGOTO DN 200 PN10 - L=4000</t>
  </si>
  <si>
    <t>I12828</t>
  </si>
  <si>
    <t>TUBO FoFo C/FLANGE E PONTA P/ ESGOTO DN 200 PN10 - L=4500</t>
  </si>
  <si>
    <t>I12829</t>
  </si>
  <si>
    <t>TUBO FoFo C/FLANGE E PONTA P/ ESGOTO DN 200 PN10 - L=5000</t>
  </si>
  <si>
    <t>I12830</t>
  </si>
  <si>
    <t>TUBO FoFo C/FLANGE E PONTA P/ ESGOTO DN 200 PN10 - L=5800</t>
  </si>
  <si>
    <t>I12831</t>
  </si>
  <si>
    <t>TUBO FoFo C/FLANGE E PONTA P/ ESGOTO DN 250 PN10 - L=1000</t>
  </si>
  <si>
    <t>I12832</t>
  </si>
  <si>
    <t>TUBO FoFo C/FLANGE E PONTA P/ ESGOTO DN 250 PN10 - L=1500</t>
  </si>
  <si>
    <t>I12833</t>
  </si>
  <si>
    <t>TUBO FoFo C/FLANGE E PONTA P/ ESGOTO DN 250 PN10 - L=2000</t>
  </si>
  <si>
    <t>I12834</t>
  </si>
  <si>
    <t>TUBO FoFo C/FLANGE E PONTA P/ ESGOTO DN 250 PN10 - L=2500</t>
  </si>
  <si>
    <t>I12835</t>
  </si>
  <si>
    <t>TUBO FoFo C/FLANGE E PONTA P/ ESGOTO DN 250 PN10 - L=3000</t>
  </si>
  <si>
    <t>I12836</t>
  </si>
  <si>
    <t>TUBO FoFo C/FLANGE E PONTA P/ ESGOTO DN 250 PN10 - L=3500</t>
  </si>
  <si>
    <t>I12837</t>
  </si>
  <si>
    <t>TUBO FoFo C/FLANGE E PONTA P/ ESGOTO DN 250 PN10 - L=4000</t>
  </si>
  <si>
    <t>I12838</t>
  </si>
  <si>
    <t>TUBO FoFo C/FLANGE E PONTA P/ ESGOTO DN 250 PN10 - L=4500</t>
  </si>
  <si>
    <t>I12839</t>
  </si>
  <si>
    <t>TUBO FoFo C/FLANGE E PONTA P/ ESGOTO DN 250 PN10 - L=5000</t>
  </si>
  <si>
    <t>I12840</t>
  </si>
  <si>
    <t>TUBO FoFo C/FLANGE E PONTA P/ ESGOTO DN 250 PN10 - L=5500</t>
  </si>
  <si>
    <t>I12841</t>
  </si>
  <si>
    <t>TUBO FoFo C/FLANGE E PONTA P/ ESGOTO DN 250 PN10 - L=5800</t>
  </si>
  <si>
    <t>I12842</t>
  </si>
  <si>
    <t>TUBO FoFo C/FLANGE E PONTA P/ ESGOTO DN 300 PN10 - L=1000</t>
  </si>
  <si>
    <t>I12843</t>
  </si>
  <si>
    <t>TUBO FoFo C/FLANGE E PONTA P/ ESGOTO DN 300 PN10 - L=1500</t>
  </si>
  <si>
    <t>I12844</t>
  </si>
  <si>
    <t>TUBO FoFo C/FLANGE E PONTA P/ ESGOTO DN 300 PN10 - L=2000</t>
  </si>
  <si>
    <t>I12845</t>
  </si>
  <si>
    <t>TUBO FoFo C/FLANGE E PONTA P/ ESGOTO DN 300 PN10 - L=2500</t>
  </si>
  <si>
    <t>I12846</t>
  </si>
  <si>
    <t>TUBO FoFo C/FLANGE E PONTA P/ ESGOTO DN 300 PN10 - L=3000</t>
  </si>
  <si>
    <t>I12847</t>
  </si>
  <si>
    <t>TUBO FoFo C/FLANGE E PONTA P/ ESGOTO DN 300 PN10 - L=3500</t>
  </si>
  <si>
    <t>I12848</t>
  </si>
  <si>
    <t>TUBO FoFo C/FLANGE E PONTA P/ ESGOTO DN 300 PN10 - L=4000</t>
  </si>
  <si>
    <t>I12849</t>
  </si>
  <si>
    <t>TUBO FoFo C/FLANGE E PONTA P/ ESGOTO DN 300 PN10 - L=4500</t>
  </si>
  <si>
    <t>I12850</t>
  </si>
  <si>
    <t>TUBO FoFo C/FLANGE E PONTA P/ ESGOTO DN 300 PN10 - L=5000</t>
  </si>
  <si>
    <t>I12851</t>
  </si>
  <si>
    <t>TUBO FoFo C/FLANGE E PONTA P/ ESGOTO DN 300 PN10 - L=5500</t>
  </si>
  <si>
    <t>I12852</t>
  </si>
  <si>
    <t>TUBO FoFo C/FLANGE E PONTA P/ ESGOTO DN 300 PN10 - L=5800</t>
  </si>
  <si>
    <t>I12853</t>
  </si>
  <si>
    <t>TUBO FoFo C/FLANGE E PONTA P/ ESGOTO DN 350 PN10 - L=1000</t>
  </si>
  <si>
    <t>I12854</t>
  </si>
  <si>
    <t>TUBO FoFo C/FLANGE E PONTA P/ ESGOTO DN 350 PN10 - L=1500</t>
  </si>
  <si>
    <t>I12855</t>
  </si>
  <si>
    <t>TUBO FoFo C/FLANGE E PONTA P/ ESGOTO DN 350 PN10 - L=2500</t>
  </si>
  <si>
    <t>I12856</t>
  </si>
  <si>
    <t>TUBO FoFo C/FLANGE E PONTA P/ ESGOTO DN 350 PN10 - L=3000</t>
  </si>
  <si>
    <t>I12857</t>
  </si>
  <si>
    <t>TUBO FoFo C/FLANGE E PONTA P/ ESGOTO DN 350 PN10 - L=5000</t>
  </si>
  <si>
    <t>I12858</t>
  </si>
  <si>
    <t>TUBO FoFo C/FLANGE E PONTA P/ ESGOTO DN 350 PN10 - L=5500</t>
  </si>
  <si>
    <t>I12859</t>
  </si>
  <si>
    <t>TUBO FoFo C/FLANGE E PONTA P/ ESGOTO DN 350 PN10 - L=5800</t>
  </si>
  <si>
    <t>I12860</t>
  </si>
  <si>
    <t>TUBO FoFo C/FLANGE E PONTA P/ ESGOTO DN 400 PN10 - L=1000</t>
  </si>
  <si>
    <t>I12861</t>
  </si>
  <si>
    <t>TUBO FoFo C/FLANGE E PONTA P/ ESGOTO DN 400 PN10 - L=1500</t>
  </si>
  <si>
    <t>I12862</t>
  </si>
  <si>
    <t>TUBO FoFo C/FLANGE E PONTA P/ ESGOTO DN 400 PN10 - L=2000</t>
  </si>
  <si>
    <t>I12863</t>
  </si>
  <si>
    <t>TUBO FoFo C/FLANGE E PONTA P/ ESGOTO DN 400 PN10 - L=2500</t>
  </si>
  <si>
    <t>I12864</t>
  </si>
  <si>
    <t>TUBO FoFo C/FLANGE E PONTA P/ ESGOTO DN 400 PN10 - L=3000</t>
  </si>
  <si>
    <t>I12865</t>
  </si>
  <si>
    <t>TUBO FoFo C/FLANGE E PONTA P/ ESGOTO DN 400 PN10 - L=3500</t>
  </si>
  <si>
    <t>I12866</t>
  </si>
  <si>
    <t>TUBO FoFo C/FLANGE E PONTA P/ ESGOTO DN 400 PN10 - L=4000</t>
  </si>
  <si>
    <t>I12867</t>
  </si>
  <si>
    <t>TUBO FoFo C/FLANGE E PONTA P/ ESGOTO DN 400 PN10 - L=4500</t>
  </si>
  <si>
    <t>I12868</t>
  </si>
  <si>
    <t>TUBO FoFo C/FLANGE E PONTA P/ ESGOTO DN 400 PN10 - L=5000</t>
  </si>
  <si>
    <t>I12869</t>
  </si>
  <si>
    <t>TUBO FoFo C/FLANGE E PONTA P/ ESGOTO DN 400 PN10 - L=5500</t>
  </si>
  <si>
    <t>I12870</t>
  </si>
  <si>
    <t>TUBO FoFo C/FLANGE E PONTA P/ ESGOTO DN 400 PN10 - L=5800</t>
  </si>
  <si>
    <t>I12871</t>
  </si>
  <si>
    <t>TUBO FoFo C/FLANGE E PONTA P/ ESGOTO DN 450 PN10 - L=1500</t>
  </si>
  <si>
    <t>I12872</t>
  </si>
  <si>
    <t>TUBO FoFo C/FLANGE E PONTA P/ ESGOTO DN 450 PN10 - L=3500</t>
  </si>
  <si>
    <t>I12873</t>
  </si>
  <si>
    <t>TUBO FoFo C/FLANGE E PONTA P/ ESGOTO DN 450 PN10 - L=5800</t>
  </si>
  <si>
    <t>I12874</t>
  </si>
  <si>
    <t>TUBO FoFo C/FLANGE E PONTA P/ ESGOTO DN 500 PN10 - L=1000</t>
  </si>
  <si>
    <t>I12875</t>
  </si>
  <si>
    <t>TUBO FoFo C/FLANGE E PONTA P/ ESGOTO DN 500 PN10 - L=1500</t>
  </si>
  <si>
    <t>I12876</t>
  </si>
  <si>
    <t>TUBO FoFo C/FLANGE E PONTA P/ ESGOTO DN 500 PN10 - L=2000</t>
  </si>
  <si>
    <t>I12877</t>
  </si>
  <si>
    <t>TUBO FoFo C/FLANGE E PONTA P/ ESGOTO DN 500 PN10 - L=2500</t>
  </si>
  <si>
    <t>I12878</t>
  </si>
  <si>
    <t>TUBO FoFo C/FLANGE E PONTA P/ ESGOTO DN 500 PN10 - L=3000</t>
  </si>
  <si>
    <t>I12879</t>
  </si>
  <si>
    <t>TUBO FoFo C/FLANGE E PONTA P/ ESGOTO DN 500 PN10 - L=3500</t>
  </si>
  <si>
    <t>I12880</t>
  </si>
  <si>
    <t>TUBO FoFo C/FLANGE E PONTA P/ ESGOTO DN 500 PN10 - L=4000</t>
  </si>
  <si>
    <t>I12881</t>
  </si>
  <si>
    <t>TUBO FoFo C/FLANGE E PONTA P/ ESGOTO DN 500 PN10 - L=4500</t>
  </si>
  <si>
    <t>I12882</t>
  </si>
  <si>
    <t>TUBO FoFo C/FLANGE E PONTA P/ ESGOTO DN 500 PN10 - L=5000</t>
  </si>
  <si>
    <t>I12883</t>
  </si>
  <si>
    <t>TUBO FoFo C/FLANGE E PONTA P/ ESGOTO DN 500 PN10 - L=5500</t>
  </si>
  <si>
    <t>I12884</t>
  </si>
  <si>
    <t>TUBO FoFo C/FLANGE E PONTA P/ ESGOTO DN 500 PN10 - L=5800</t>
  </si>
  <si>
    <t>I12885</t>
  </si>
  <si>
    <t>TUBO FoFo C/FLANGE E PONTA P/ ESGOTO DN 600 PN10 - L=1000</t>
  </si>
  <si>
    <t>I12886</t>
  </si>
  <si>
    <t>TUBO FoFo C/FLANGE E PONTA P/ ESGOTO DN 600 PN10 - L=1500</t>
  </si>
  <si>
    <t>I12887</t>
  </si>
  <si>
    <t>TUBO FoFo C/FLANGE E PONTA P/ ESGOTO DN 600 PN10 - L=2000</t>
  </si>
  <si>
    <t>I12888</t>
  </si>
  <si>
    <t>TUBO FoFo C/FLANGE E PONTA P/ ESGOTO DN 600 PN10 - L=2500</t>
  </si>
  <si>
    <t>I12889</t>
  </si>
  <si>
    <t>TUBO FoFo C/FLANGE E PONTA P/ ESGOTO DN 600 PN10 - L=3000</t>
  </si>
  <si>
    <t>I12890</t>
  </si>
  <si>
    <t>TUBO FoFo C/FLANGE E PONTA P/ ESGOTO DN 600 PN10 - L=3500</t>
  </si>
  <si>
    <t>I12891</t>
  </si>
  <si>
    <t>TUBO FoFo C/FLANGE E PONTA P/ ESGOTO DN 600 PN10 - L=4000</t>
  </si>
  <si>
    <t>I12892</t>
  </si>
  <si>
    <t>TUBO FoFo C/FLANGE E PONTA P/ ESGOTO DN 600 PN10 - L=4500</t>
  </si>
  <si>
    <t>I12893</t>
  </si>
  <si>
    <t>TUBO FoFo C/FLANGE E PONTA P/ ESGOTO DN 600 PN10 - L=5000</t>
  </si>
  <si>
    <t>I12894</t>
  </si>
  <si>
    <t>TUBO FoFo C/FLANGE E PONTA P/ ESGOTO DN 600 PN10 - L=5800</t>
  </si>
  <si>
    <t>I12895</t>
  </si>
  <si>
    <t>TUBO FoFo C/FLANGE E PONTA P/ ESGOTO DN 700 PN10 - L=1000</t>
  </si>
  <si>
    <t>I12896</t>
  </si>
  <si>
    <t>TUBO FoFo C/FLANGE E PONTA P/ ESGOTO DN 700 PN10 - L=1500</t>
  </si>
  <si>
    <t>I12897</t>
  </si>
  <si>
    <t>TUBO FoFo C/FLANGE E PONTA P/ ESGOTO DN 700 PN10 - L=2000</t>
  </si>
  <si>
    <t>I12898</t>
  </si>
  <si>
    <t>TUBO FoFo C/FLANGE E PONTA P/ ESGOTO DN 700 PN10 - L=4500</t>
  </si>
  <si>
    <t>I12899</t>
  </si>
  <si>
    <t>TUBO FoFo C/FLANGE E PONTA P/ ESGOTO DN 700 PN10 - L=6000</t>
  </si>
  <si>
    <t>I12900</t>
  </si>
  <si>
    <t>TUBO FoFo C/FLANGE E PONTA P/ ESGOTO DN 700 PN10 - L=6800</t>
  </si>
  <si>
    <t>I12901</t>
  </si>
  <si>
    <t>TUBO FoFo C/FLANGE E PONTA P/ ESGOTO DN 800 PN10 - L=1000</t>
  </si>
  <si>
    <t>I12902</t>
  </si>
  <si>
    <t>TUBO FoFo C/FLANGE E PONTA P/ ESGOTO DN 800 PN10 - L=1500</t>
  </si>
  <si>
    <t>I12903</t>
  </si>
  <si>
    <t>TUBO FoFo C/FLANGE E PONTA P/ ESGOTO DN 800 PN10 - L=2000</t>
  </si>
  <si>
    <t>I12904</t>
  </si>
  <si>
    <t>TUBO FoFo C/FLANGE E PONTA P/ ESGOTO DN 800 PN10 - L=2500</t>
  </si>
  <si>
    <t>I12905</t>
  </si>
  <si>
    <t>TUBO FoFo C/FLANGE E PONTA P/ ESGOTO DN 800 PN10 - L=3000</t>
  </si>
  <si>
    <t>I12906</t>
  </si>
  <si>
    <t>TUBO FoFo C/FLANGE E PONTA P/ ESGOTO DN 800 PN10 - L=3500</t>
  </si>
  <si>
    <t>I12907</t>
  </si>
  <si>
    <t>TUBO FoFo C/FLANGE E PONTA P/ ESGOTO DN 800 PN10 - L=4000</t>
  </si>
  <si>
    <t>I12908</t>
  </si>
  <si>
    <t>TUBO FoFo C/FLANGE E PONTA P/ ESGOTO DN 800 PN10 - L=4500</t>
  </si>
  <si>
    <t>I12909</t>
  </si>
  <si>
    <t>TUBO FoFo C/FLANGE E PONTA P/ ESGOTO DN 800 PN10 - L=5000</t>
  </si>
  <si>
    <t>I12910</t>
  </si>
  <si>
    <t>TUBO FoFo C/FLANGE E PONTA P/ ESGOTO DN 800 PN10 - L=5500</t>
  </si>
  <si>
    <t>I12911</t>
  </si>
  <si>
    <t>TUBO FoFo C/FLANGE E PONTA P/ ESGOTO DN 800 PN10 - L=5800</t>
  </si>
  <si>
    <t>I12912</t>
  </si>
  <si>
    <t>TUBO FoFo C/FLANGE E PONTA P/ ESGOTO DN 800 PN10 - L=6800</t>
  </si>
  <si>
    <t>I12913</t>
  </si>
  <si>
    <t>TUBO FoFo C/FLANGE E PONTA P/ ESGOTO DN 900 PN10 - L=1000</t>
  </si>
  <si>
    <t>I12914</t>
  </si>
  <si>
    <t>TUBO FoFo C/FLANGE E PONTA P/ ESGOTO DN 900 PN10 - L=1500</t>
  </si>
  <si>
    <t>I12915</t>
  </si>
  <si>
    <t>TUBO FoFo C/FLANGE E PONTA P/ ESGOTO DN 900 PN10 - L=2000</t>
  </si>
  <si>
    <t>I8700</t>
  </si>
  <si>
    <t>TUBO FoFo C/FLANGES DN   400 PN10 - L= 500</t>
  </si>
  <si>
    <t>I3986</t>
  </si>
  <si>
    <t>TUBO FoFo C/FLANGES DN 1000 PN10 - L= 250</t>
  </si>
  <si>
    <t>I8054</t>
  </si>
  <si>
    <t>TUBO FoFo CILÍNDRICO P/ ESGOTO DN    80, L = 5800mm</t>
  </si>
  <si>
    <t>I8055</t>
  </si>
  <si>
    <t>TUBO FoFo CILÍNDRICO P/ ESGOTO DN  100, L = 5800mm</t>
  </si>
  <si>
    <t>I8056</t>
  </si>
  <si>
    <t>TUBO FoFo CILÍNDRICO P/ ESGOTO DN  150, L = 5800mm</t>
  </si>
  <si>
    <t>I8057</t>
  </si>
  <si>
    <t>TUBO FoFo CILÍNDRICO P/ ESGOTO DN  200, L = 5800mm</t>
  </si>
  <si>
    <t>I8058</t>
  </si>
  <si>
    <t>TUBO FoFo CILÍNDRICO P/ ESGOTO DN  250, L = 5800mm</t>
  </si>
  <si>
    <t>I8059</t>
  </si>
  <si>
    <t>TUBO FoFo CILÍNDRICO P/ ESGOTO DN  300, L = 5800mm</t>
  </si>
  <si>
    <t>I8060</t>
  </si>
  <si>
    <t>TUBO FoFo CILÍNDRICO P/ ESGOTO DN  350, L = 5800mm</t>
  </si>
  <si>
    <t>I8061</t>
  </si>
  <si>
    <t>TUBO FoFo CILÍNDRICO P/ ESGOTO DN  400, L = 5800mm</t>
  </si>
  <si>
    <t>I8062</t>
  </si>
  <si>
    <t>TUBO FoFo CILÍNDRICO P/ ESGOTO DN  450, L = 5800mm</t>
  </si>
  <si>
    <t>I8063</t>
  </si>
  <si>
    <t>TUBO FoFo CILÍNDRICO P/ ESGOTO DN  500, L = 5800mm</t>
  </si>
  <si>
    <t>I8064</t>
  </si>
  <si>
    <t>TUBO FoFo CILÍNDRICO P/ ESGOTO DN  600, L = 5800mm</t>
  </si>
  <si>
    <t>I8065</t>
  </si>
  <si>
    <t>TUBO FoFo CILÍNDRICO P/ ESGOTO DN  700, L = 6800mm</t>
  </si>
  <si>
    <t>I8066</t>
  </si>
  <si>
    <t>TUBO FoFo CILÍNDRICO P/ ESGOTO DN  800, L = 6800mm</t>
  </si>
  <si>
    <t>I8067</t>
  </si>
  <si>
    <t>TUBO FoFo CILÍNDRICO P/ ESGOTO DN  900, L = 6800mm</t>
  </si>
  <si>
    <t>I8068</t>
  </si>
  <si>
    <t>TUBO FoFo CILÍNDRICO P/ ESGOTO DN 1000, L = 6800mm</t>
  </si>
  <si>
    <t>I8069</t>
  </si>
  <si>
    <t>TUBO FoFo CILÍNDRICO P/ ESGOTO DN 1200, L = 6800mm</t>
  </si>
  <si>
    <t>I8038</t>
  </si>
  <si>
    <t>TUBO FoFo CILÍNDRICO P/ ÁGUA DN    80, L = 5800mm</t>
  </si>
  <si>
    <t>I8039</t>
  </si>
  <si>
    <t>TUBO FoFo CILÍNDRICO P/ ÁGUA DN  100, L = 5800mm</t>
  </si>
  <si>
    <t>I8040</t>
  </si>
  <si>
    <t>TUBO FoFo CILÍNDRICO P/ ÁGUA DN  150, L = 5800mm</t>
  </si>
  <si>
    <t>I8041</t>
  </si>
  <si>
    <t>TUBO FoFo CILÍNDRICO P/ ÁGUA DN  200, L = 5800mm</t>
  </si>
  <si>
    <t>I8042</t>
  </si>
  <si>
    <t>TUBO FoFo CILÍNDRICO P/ ÁGUA DN  250, L = 5800mm</t>
  </si>
  <si>
    <t>I8043</t>
  </si>
  <si>
    <t>TUBO FoFo CILÍNDRICO P/ ÁGUA DN  300, L = 5800mm</t>
  </si>
  <si>
    <t>I8044</t>
  </si>
  <si>
    <t>TUBO FoFo CILÍNDRICO P/ ÁGUA DN  350, L = 5800mm</t>
  </si>
  <si>
    <t>I8045</t>
  </si>
  <si>
    <t>TUBO FoFo CILÍNDRICO P/ ÁGUA DN  400, L = 5800mm</t>
  </si>
  <si>
    <t>I8046</t>
  </si>
  <si>
    <t>TUBO FoFo CILÍNDRICO P/ ÁGUA DN  450, L = 5800mm</t>
  </si>
  <si>
    <t>I8047</t>
  </si>
  <si>
    <t>TUBO FoFo CILÍNDRICO P/ ÁGUA DN  500, L = 5800mm</t>
  </si>
  <si>
    <t>I8048</t>
  </si>
  <si>
    <t>TUBO FoFo CILÍNDRICO P/ ÁGUA DN  600, L = 5800mm</t>
  </si>
  <si>
    <t>I8049</t>
  </si>
  <si>
    <t>TUBO FoFo CILÍNDRICO P/ ÁGUA DN  700, L = 6800mm</t>
  </si>
  <si>
    <t>I8050</t>
  </si>
  <si>
    <t>TUBO FoFo CILÍNDRICO P/ ÁGUA DN  800, L = 6800mm</t>
  </si>
  <si>
    <t>I8051</t>
  </si>
  <si>
    <t>TUBO FoFo CILÍNDRICO P/ ÁGUA DN  900, L = 6800mm</t>
  </si>
  <si>
    <t>I8052</t>
  </si>
  <si>
    <t>TUBO FoFo CILÍNDRICO P/ ÁGUA DN 1000, L = 6800mm</t>
  </si>
  <si>
    <t>I8053</t>
  </si>
  <si>
    <t>TUBO FoFo CILÍNDRICO P/ ÁGUA DN 1200, L = 6800mm</t>
  </si>
  <si>
    <t>I8536</t>
  </si>
  <si>
    <t>TUBO FoFo DÚCTIL JGS JE INTEGRAL K-7 P/ ESGOTO DN   80</t>
  </si>
  <si>
    <t>I8537</t>
  </si>
  <si>
    <t>TUBO FoFo DÚCTIL JGS JE INTEGRAL K-7 P/ ESGOTO DN  100</t>
  </si>
  <si>
    <t>I8538</t>
  </si>
  <si>
    <t>TUBO FoFo DÚCTIL JGS JE INTEGRAL K-7 P/ ESGOTO DN  150</t>
  </si>
  <si>
    <t>I8539</t>
  </si>
  <si>
    <t>TUBO FoFo DÚCTIL JGS JE INTEGRAL K-7 P/ ESGOTO DN  200</t>
  </si>
  <si>
    <t>I8540</t>
  </si>
  <si>
    <t>TUBO FoFo DÚCTIL JGS JE INTEGRAL K-7 P/ ESGOTO DN  250</t>
  </si>
  <si>
    <t>I8541</t>
  </si>
  <si>
    <t>TUBO FoFo DÚCTIL JGS JE INTEGRAL K-7 P/ ESGOTO DN  300</t>
  </si>
  <si>
    <t>I8542</t>
  </si>
  <si>
    <t>TUBO FoFo DÚCTIL JGS JE INTEGRAL K-7 P/ ESGOTO DN  350</t>
  </si>
  <si>
    <t>I8543</t>
  </si>
  <si>
    <t>TUBO FoFo DÚCTIL JGS JE INTEGRAL K-7 P/ ESGOTO DN  400</t>
  </si>
  <si>
    <t>I8544</t>
  </si>
  <si>
    <t>TUBO FoFo DÚCTIL JGS JE INTEGRAL K-7 P/ ESGOTO DN  450</t>
  </si>
  <si>
    <t>I8545</t>
  </si>
  <si>
    <t>TUBO FoFo DÚCTIL JGS JE INTEGRAL K-7 P/ ESGOTO DN  500</t>
  </si>
  <si>
    <t>I8546</t>
  </si>
  <si>
    <t>TUBO FoFo DÚCTIL JGS JE INTEGRAL K-7 P/ ESGOTO DN  600</t>
  </si>
  <si>
    <t>I8547</t>
  </si>
  <si>
    <t>TUBO FoFo DÚCTIL JGS JE INTEGRAL K-7 P/ ESGOTO DN  700</t>
  </si>
  <si>
    <t>I8548</t>
  </si>
  <si>
    <t>TUBO FoFo DÚCTIL JGS JE INTEGRAL K-7 P/ ESGOTO DN  800</t>
  </si>
  <si>
    <t>I8549</t>
  </si>
  <si>
    <t>TUBO FoFo DÚCTIL JGS JE INTEGRAL K-7 P/ ESGOTO DN  900</t>
  </si>
  <si>
    <t>I8550</t>
  </si>
  <si>
    <t>TUBO FoFo DÚCTIL JGS JE INTEGRAL K-7 P/ ESGOTO DN 1000</t>
  </si>
  <si>
    <t>I8551</t>
  </si>
  <si>
    <t>TUBO FoFo DÚCTIL JGS JE INTEGRAL K-7 P/ ESGOTO DN 1200</t>
  </si>
  <si>
    <t>I3208</t>
  </si>
  <si>
    <t>TUBO FoFo DÚCTIL JGS JE K-7 P/ ÁGUA DN  150</t>
  </si>
  <si>
    <t>I3209</t>
  </si>
  <si>
    <t>TUBO FoFo DÚCTIL JGS JE K-7 P/ ÁGUA DN  200</t>
  </si>
  <si>
    <t>I3210</t>
  </si>
  <si>
    <t>TUBO FoFo DÚCTIL JGS JE K-7 P/ ÁGUA DN  250</t>
  </si>
  <si>
    <t>I3211</t>
  </si>
  <si>
    <t>TUBO FoFo DÚCTIL JGS JE K-7 P/ ÁGUA DN  300</t>
  </si>
  <si>
    <t>I3212</t>
  </si>
  <si>
    <t>TUBO FoFo DÚCTIL JGS JE K-7 P/ ÁGUA DN  350</t>
  </si>
  <si>
    <t>I3213</t>
  </si>
  <si>
    <t>TUBO FoFo DÚCTIL JGS JE K-7 P/ ÁGUA DN  400</t>
  </si>
  <si>
    <t>I3214</t>
  </si>
  <si>
    <t>TUBO FoFo DÚCTIL JGS JE K-7 P/ ÁGUA DN  450</t>
  </si>
  <si>
    <t>I3215</t>
  </si>
  <si>
    <t>TUBO FoFo DÚCTIL JGS JE K-7 P/ ÁGUA DN  500</t>
  </si>
  <si>
    <t>I3216</t>
  </si>
  <si>
    <t>TUBO FoFo DÚCTIL JGS JE K-7 P/ ÁGUA DN  600</t>
  </si>
  <si>
    <t>I3217</t>
  </si>
  <si>
    <t>TUBO FoFo DÚCTIL JGS JE K-7 P/ ÁGUA DN  700</t>
  </si>
  <si>
    <t>I3218</t>
  </si>
  <si>
    <t>TUBO FoFo DÚCTIL JGS JE K-7 P/ ÁGUA DN  800</t>
  </si>
  <si>
    <t>I3219</t>
  </si>
  <si>
    <t>TUBO FoFo DÚCTIL JGS JE K-7 P/ ÁGUA DN  900</t>
  </si>
  <si>
    <t>I3220</t>
  </si>
  <si>
    <t>TUBO FoFo DÚCTIL JGS JE K-7 P/ ÁGUA DN 1000</t>
  </si>
  <si>
    <t>I3222</t>
  </si>
  <si>
    <t>TUBO FoFo DÚCTIL JGS JE K-7 P/ ÁGUA DN 1200</t>
  </si>
  <si>
    <t>I12939</t>
  </si>
  <si>
    <t>TUBO FoFo JTE TRAVADA K-7 DN 1000</t>
  </si>
  <si>
    <t>I12940</t>
  </si>
  <si>
    <t>TUBO FoFo JTE TRAVADA K-7 DN 1200</t>
  </si>
  <si>
    <t>I12935</t>
  </si>
  <si>
    <t>TUBO FoFo JTE TRAVADA K-7 DN 600</t>
  </si>
  <si>
    <t>I12936</t>
  </si>
  <si>
    <t>TUBO FoFo JTE TRAVADA K-7 DN 700</t>
  </si>
  <si>
    <t>I12937</t>
  </si>
  <si>
    <t>TUBO FoFo JTE TRAVADA K-7 DN 800</t>
  </si>
  <si>
    <t>I12938</t>
  </si>
  <si>
    <t>TUBO FoFo JTE TRAVADA K-7 DN 900</t>
  </si>
  <si>
    <t>I7087</t>
  </si>
  <si>
    <t>TUBO FoFo JTE TRAVADA K-9 DN  300</t>
  </si>
  <si>
    <t>I7088</t>
  </si>
  <si>
    <t>TUBO FoFo JTE TRAVADA K-9 DN  350</t>
  </si>
  <si>
    <t>I7089</t>
  </si>
  <si>
    <t>TUBO FoFo JTE TRAVADA K-9 DN  400</t>
  </si>
  <si>
    <t>I7886</t>
  </si>
  <si>
    <t>TUBO FoFo JTE TRAVADA K-9 DN  500</t>
  </si>
  <si>
    <t>I7887</t>
  </si>
  <si>
    <t>TUBO FoFo JTE TRAVADA K-9 DN  600</t>
  </si>
  <si>
    <t>I7090</t>
  </si>
  <si>
    <t>TUBO FoFo JTE TRAVADA K-9 DN  700</t>
  </si>
  <si>
    <t>I7091</t>
  </si>
  <si>
    <t>TUBO FoFo JTE TRAVADA K-9 DN  800</t>
  </si>
  <si>
    <t>I7092</t>
  </si>
  <si>
    <t>TUBO FoFo JTE TRAVADA K-9 DN  900</t>
  </si>
  <si>
    <t>I7093</t>
  </si>
  <si>
    <t>TUBO FoFo JTE TRAVADA K-9 DN 1000</t>
  </si>
  <si>
    <t>I7094</t>
  </si>
  <si>
    <t>TUBO FoFo JTE TRAVADA K-9 DN 1200</t>
  </si>
  <si>
    <t>I12950</t>
  </si>
  <si>
    <t>TUBO FoFo JTE TRAVADA K-9 DN 450</t>
  </si>
  <si>
    <t>I7085</t>
  </si>
  <si>
    <t>TUBO FoFo JTI  TRAVADA K-9 DN  250</t>
  </si>
  <si>
    <t>I7086</t>
  </si>
  <si>
    <t>TUBO FoFo JTI  TRAVADA K-9 DN  300</t>
  </si>
  <si>
    <t>I12941</t>
  </si>
  <si>
    <t>TUBO FoFo JTI TRAVADA K-7 DN 150</t>
  </si>
  <si>
    <t>I12942</t>
  </si>
  <si>
    <t>TUBO FoFo JTI TRAVADA K-7 DN 200</t>
  </si>
  <si>
    <t>I12943</t>
  </si>
  <si>
    <t>TUBO FoFo JTI TRAVADA K-7 DN 250</t>
  </si>
  <si>
    <t>I12944</t>
  </si>
  <si>
    <t>TUBO FoFo JTI TRAVADA K-7 DN 300</t>
  </si>
  <si>
    <t>I12945</t>
  </si>
  <si>
    <t>TUBO FoFo JTI TRAVADA K-7 DN 350</t>
  </si>
  <si>
    <t>I12946</t>
  </si>
  <si>
    <t>TUBO FoFo JTI TRAVADA K-7 DN 400</t>
  </si>
  <si>
    <t>I12947</t>
  </si>
  <si>
    <t>TUBO FoFo JTI TRAVADA K-7 DN 450</t>
  </si>
  <si>
    <t>I12948</t>
  </si>
  <si>
    <t>TUBO FoFo JTI TRAVADA K-7 DN 500</t>
  </si>
  <si>
    <t>I12949</t>
  </si>
  <si>
    <t>TUBO FoFo JTI TRAVADA K-7 DN 600</t>
  </si>
  <si>
    <t>I12952</t>
  </si>
  <si>
    <t>TUBO FoFo JTI TRAVADA K-9 DN 100</t>
  </si>
  <si>
    <t>I12953</t>
  </si>
  <si>
    <t>TUBO FoFo JTI TRAVADA K-9 DN 150</t>
  </si>
  <si>
    <t>I12954</t>
  </si>
  <si>
    <t>TUBO FoFo JTI TRAVADA K-9 DN 200</t>
  </si>
  <si>
    <t>I12955</t>
  </si>
  <si>
    <t>TUBO FoFo JTI TRAVADA K-9 DN 350</t>
  </si>
  <si>
    <t>I12956</t>
  </si>
  <si>
    <t>TUBO FoFo JTI TRAVADA K-9 DN 400</t>
  </si>
  <si>
    <t>I12957</t>
  </si>
  <si>
    <t>TUBO FoFo JTI TRAVADA K-9 DN 450</t>
  </si>
  <si>
    <t>I12958</t>
  </si>
  <si>
    <t>TUBO FoFo JTI TRAVADA K-9 DN 500</t>
  </si>
  <si>
    <t>I12959</t>
  </si>
  <si>
    <t>TUBO FoFo JTI TRAVADA K-9 DN 600</t>
  </si>
  <si>
    <t>I12951</t>
  </si>
  <si>
    <t>TUBO FoFo JTI TRAVADA K-9 DN 80</t>
  </si>
  <si>
    <t>I7266</t>
  </si>
  <si>
    <t>TUBO FoFo PB JE K-9 P/ ESGOTO DN  150</t>
  </si>
  <si>
    <t>I7267</t>
  </si>
  <si>
    <t>TUBO FoFo PB JE K-9 P/ ESGOTO DN  200</t>
  </si>
  <si>
    <t>I7268</t>
  </si>
  <si>
    <t>TUBO FoFo PB JE K-9 P/ ESGOTO DN  250</t>
  </si>
  <si>
    <t>I7269</t>
  </si>
  <si>
    <t>TUBO FoFo PB JE K-9 P/ ESGOTO DN  300</t>
  </si>
  <si>
    <t>I7270</t>
  </si>
  <si>
    <t>TUBO FoFo PB JE K-9 P/ ESGOTO DN  350</t>
  </si>
  <si>
    <t>I7271</t>
  </si>
  <si>
    <t>TUBO FoFo PB JE K-9 P/ ESGOTO DN  400</t>
  </si>
  <si>
    <t>I7272</t>
  </si>
  <si>
    <t>TUBO FoFo PB JE K-9 P/ ESGOTO DN  450</t>
  </si>
  <si>
    <t>I7273</t>
  </si>
  <si>
    <t>TUBO FoFo PB JE K-9 P/ ESGOTO DN  500</t>
  </si>
  <si>
    <t>I7274</t>
  </si>
  <si>
    <t>TUBO FoFo PB JE K-9 P/ ESGOTO DN  600</t>
  </si>
  <si>
    <t>I7275</t>
  </si>
  <si>
    <t>TUBO FoFo PB JE K-9 P/ ESGOTO DN  700</t>
  </si>
  <si>
    <t>I7279</t>
  </si>
  <si>
    <t>TUBO FoFo PB JE K-9 P/ ESGOTO DN  800</t>
  </si>
  <si>
    <t>I7278</t>
  </si>
  <si>
    <t>TUBO FoFo PB JE K-9 P/ ESGOTO DN  900</t>
  </si>
  <si>
    <t>I7264</t>
  </si>
  <si>
    <t>TUBO FoFo PB JE K-9 P/ ESGOTO DN 1000</t>
  </si>
  <si>
    <t>I7265</t>
  </si>
  <si>
    <t>TUBO FoFo PB JE K-9 P/ ESGOTO DN 1200</t>
  </si>
  <si>
    <t>I7262</t>
  </si>
  <si>
    <t>TUBO FoFo PB JE K-9 P/ ÁGUA DN   80</t>
  </si>
  <si>
    <t>I3225</t>
  </si>
  <si>
    <t>TUBO FoFo PB JE K-9 P/ ÁGUA DN  100</t>
  </si>
  <si>
    <t>I3226</t>
  </si>
  <si>
    <t>TUBO FoFo PB JE K-9 P/ ÁGUA DN  150</t>
  </si>
  <si>
    <t>I3227</t>
  </si>
  <si>
    <t>TUBO FoFo PB JE K-9 P/ ÁGUA DN  200</t>
  </si>
  <si>
    <t>I3228</t>
  </si>
  <si>
    <t>TUBO FoFo PB JE K-9 P/ ÁGUA DN  250</t>
  </si>
  <si>
    <t>I3229</t>
  </si>
  <si>
    <t>TUBO FoFo PB JE K-9 P/ ÁGUA DN  300</t>
  </si>
  <si>
    <t>I3230</t>
  </si>
  <si>
    <t>TUBO FoFo PB JE K-9 P/ ÁGUA DN  350</t>
  </si>
  <si>
    <t>I3231</t>
  </si>
  <si>
    <t>TUBO FoFo PB JE K-9 P/ ÁGUA DN  400</t>
  </si>
  <si>
    <t>I3232</t>
  </si>
  <si>
    <t>TUBO FoFo PB JE K-9 P/ ÁGUA DN  450</t>
  </si>
  <si>
    <t>I3233</t>
  </si>
  <si>
    <t>TUBO FoFo PB JE K-9 P/ ÁGUA DN  500</t>
  </si>
  <si>
    <t>I3234</t>
  </si>
  <si>
    <t>TUBO FoFo PB JE K-9 P/ ÁGUA DN  600</t>
  </si>
  <si>
    <t>I3235</t>
  </si>
  <si>
    <t>TUBO FoFo PB JE K-9 P/ ÁGUA DN  700</t>
  </si>
  <si>
    <t>I3236</t>
  </si>
  <si>
    <t>TUBO FoFo PB JE K-9 P/ ÁGUA DN  800</t>
  </si>
  <si>
    <t>I3237</t>
  </si>
  <si>
    <t>TUBO FoFo PB JE K-9 P/ ÁGUA DN  900</t>
  </si>
  <si>
    <t>I3238</t>
  </si>
  <si>
    <t>TUBO FoFo PB JE K-9 P/ ÁGUA DN 1000</t>
  </si>
  <si>
    <t>I3240</t>
  </si>
  <si>
    <t>TUBO FoFo PB JE K-9 P/ ÁGUA DN 1200</t>
  </si>
  <si>
    <t>I10242</t>
  </si>
  <si>
    <t xml:space="preserve">TUBO PEAD CORRUGADO SN 4 C/ PAREDE ESTRUTURADA - DN/DI  250MM, PAREDE INTERNA LISA (ABNT NBR ISO 21138)
</t>
  </si>
  <si>
    <t>I10243</t>
  </si>
  <si>
    <t xml:space="preserve">TUBO PEAD CORRUGADO SN 4 C/ PAREDE ESTRUTURADA - DN/DI  300MM, PAREDE INTERNA LISA (ABNT NBR ISO 21138)
</t>
  </si>
  <si>
    <t>I10244</t>
  </si>
  <si>
    <t xml:space="preserve">TUBO PEAD CORRUGADO SN 4 C/ PAREDE ESTRUTURADA - DN/DI  400MM, PAREDE INTERNA LISA (ABNT NBR ISO 21138)
</t>
  </si>
  <si>
    <t>I10248</t>
  </si>
  <si>
    <t>TUBO PEAD CORRUGADO SN 4 C/ PAREDE ESTRUTURADA - DN/DI 1000MM, PAREDE INTERNA LISA (ABNT NBR ISO 21138)</t>
  </si>
  <si>
    <t>I10249</t>
  </si>
  <si>
    <t xml:space="preserve">TUBO PEAD CORRUGADO SN 4 C/ PAREDE ESTRUTURADA - DN/DI 1200MM, PAREDE INTERNA LISA (ABNT NBR ISO 21138)
</t>
  </si>
  <si>
    <t>I10245</t>
  </si>
  <si>
    <t xml:space="preserve">TUBO PEAD CORRUGADO SN 4 C/ PAREDE ESTRUTURADA - DN/DI 500MM, PAREDE INTERNA LISA (ABNT NBR ISO 21138)
</t>
  </si>
  <si>
    <t>I10246</t>
  </si>
  <si>
    <t xml:space="preserve">TUBO PEAD CORRUGADO SN 4 C/ PAREDE ESTRUTURADA - DN/DI 600MM, PAREDE INTERNA LISA (ABNT NBR ISO 21138)
</t>
  </si>
  <si>
    <t>I10247</t>
  </si>
  <si>
    <t xml:space="preserve">TUBO PEAD CORRUGADO SN 4 C/ PAREDE ESTRUTURADA - DN/DI 800MM, PAREDE INTERNA LISA (ABNT NBR ISO 21138)
</t>
  </si>
  <si>
    <t>I9531</t>
  </si>
  <si>
    <t xml:space="preserve">TUBO PEAD CORRUGADO SN 8 C/ PAREDE ESTRUTURADA - DN/DI 250MM, PAREDE INTERNA LISA (ABNT NBR ISO 21138)
</t>
  </si>
  <si>
    <t>I9920</t>
  </si>
  <si>
    <t xml:space="preserve">TUBO PEAD CORRUGADO SN 8 C/ PAREDE ESTRUTURADA - DN/DI 300MM, PAREDE INTERNA LISA (ABNT NBR ISO 21138)
</t>
  </si>
  <si>
    <t>I10135</t>
  </si>
  <si>
    <t xml:space="preserve">TUBO PEAD CORRUGADO SN 8 C/ PAREDE ESTRUTURADA - DN/DI 400MM, PAREDE INTERNA LISA (ABNT NBR ISO 21138)
</t>
  </si>
  <si>
    <t>I10136</t>
  </si>
  <si>
    <t xml:space="preserve">TUBO PEAD CORRUGADO SN 8 C/ PAREDE ESTRUTURADA - DN/DI 500MM, PAREDE INTERNA LISA (ABNT NBR ISO 21138)
</t>
  </si>
  <si>
    <t>I10238</t>
  </si>
  <si>
    <t xml:space="preserve">TUBO PEAD CORRUGADO SN 8 C/ PAREDE ESTRUTURADA - DN/DI 600MM, PAREDE INTERNA LISA (ABNT NBR ISO 21138)
</t>
  </si>
  <si>
    <t>I10241</t>
  </si>
  <si>
    <t>TUBO PEAD CORRUGADO SN 8 C/ PAREDE ESTRUTURADA - DN/DI 800MM, PAREDE INTERNA LISA (ABNT NBR ISO 21138)</t>
  </si>
  <si>
    <t>I3300</t>
  </si>
  <si>
    <t>TUBO PEAD DE=140mm PN 10 C/FLANGES TRAMO 12m</t>
  </si>
  <si>
    <t>I3301</t>
  </si>
  <si>
    <t>TUBO PEAD DE=160mm PN 10 C/FLANGES TRAMO 12m</t>
  </si>
  <si>
    <t>I3302</t>
  </si>
  <si>
    <t>TUBO PEAD DE=180mm PN 10 C/FLANGES TRAMO 12m</t>
  </si>
  <si>
    <t>I3303</t>
  </si>
  <si>
    <t>TUBO PEAD DE=225mm PN 10 C/FLANGES TRAMO 12m</t>
  </si>
  <si>
    <t>I3304</t>
  </si>
  <si>
    <t>TUBO PEAD DE=250mm PN 10 C/FLANGES TRAMO 12m</t>
  </si>
  <si>
    <t>I3305</t>
  </si>
  <si>
    <t>TUBO PEAD DE=315mm PN 10 C/FLANGES TRAMO 12m</t>
  </si>
  <si>
    <t>I3306</t>
  </si>
  <si>
    <t>TUBO PEAD DE=355mm PN 10 C/FLANGES TRAMO 12m</t>
  </si>
  <si>
    <t>I10321</t>
  </si>
  <si>
    <t>TUBO PEAD PE 100 PN10 DE 1000 P/ ÁGUA OU ESGOTO</t>
  </si>
  <si>
    <t>I9364</t>
  </si>
  <si>
    <t>TUBO PEAD PE 100 PN10 DE 110 P/ ÁGUA OU ESGOTO</t>
  </si>
  <si>
    <t>I10322</t>
  </si>
  <si>
    <t>TUBO PEAD PE 100 PN10 DE 1200 P/ ÁGUA OU ESGOTO</t>
  </si>
  <si>
    <t>I10317</t>
  </si>
  <si>
    <t>TUBO PEAD PE 100 PN10 DE 125 P/ ÁGUA OU ESGOTO</t>
  </si>
  <si>
    <t>I10318</t>
  </si>
  <si>
    <t>TUBO PEAD PE 100 PN10 DE 140 P/ ÁGUA OU ESGOTO</t>
  </si>
  <si>
    <t>I9365</t>
  </si>
  <si>
    <t>TUBO PEAD PE 100 PN10 DE 160 P/ ÁGUA OU ESGOTO</t>
  </si>
  <si>
    <t>I9366</t>
  </si>
  <si>
    <t>TUBO PEAD PE 100 PN10 DE 180 P/ ÁGUA OU ESGOTO</t>
  </si>
  <si>
    <t>I9367</t>
  </si>
  <si>
    <t>TUBO PEAD PE 100 PN10 DE 200 P/ ÁGUA OU ESGOTO</t>
  </si>
  <si>
    <t>I9368</t>
  </si>
  <si>
    <t>TUBO PEAD PE 100 PN10 DE 225 P/ ÁGUA OU ESGOTO</t>
  </si>
  <si>
    <t>I9369</t>
  </si>
  <si>
    <t>TUBO PEAD PE 100 PN10 DE 250 P/ ÁGUA OU ESGOTO</t>
  </si>
  <si>
    <t>I9370</t>
  </si>
  <si>
    <t>TUBO PEAD PE 100 PN10 DE 280 P/ ÁGUA OU ESGOTO</t>
  </si>
  <si>
    <t>I9371</t>
  </si>
  <si>
    <t>TUBO PEAD PE 100 PN10 DE 315 P/ ÁGUA OU ESGOTO</t>
  </si>
  <si>
    <t>I9372</t>
  </si>
  <si>
    <t>TUBO PEAD PE 100 PN10 DE 355 P/ ÁGUA OU ESGOTO</t>
  </si>
  <si>
    <t>I9343</t>
  </si>
  <si>
    <t>TUBO PEAD PE 100 PN10 DE 400 P/ ÁGUA OU ESGOTO</t>
  </si>
  <si>
    <t>I9161</t>
  </si>
  <si>
    <t>TUBO PEAD PE 100 PN10 DE 450 P/ ÁGUA OU ESGOTO</t>
  </si>
  <si>
    <t>I9162</t>
  </si>
  <si>
    <t>TUBO PEAD PE 100 PN10 DE 500 P/ ÁGUA OU ESGOTO</t>
  </si>
  <si>
    <t>I9163</t>
  </si>
  <si>
    <t>TUBO PEAD PE 100 PN10 DE 560 P/ ÁGUA OU ESGOTO</t>
  </si>
  <si>
    <t>I9362</t>
  </si>
  <si>
    <t>TUBO PEAD PE 100 PN10 DE 63 P/ ÁGUA OU ESGOTO</t>
  </si>
  <si>
    <t>I9164</t>
  </si>
  <si>
    <t>TUBO PEAD PE 100 PN10 DE 630 P/ ÁGUA OU ESGOTO</t>
  </si>
  <si>
    <t>I9165</t>
  </si>
  <si>
    <t>TUBO PEAD PE 100 PN10 DE 710 P/ ÁGUA OU ESGOTO</t>
  </si>
  <si>
    <t>I10319</t>
  </si>
  <si>
    <t>TUBO PEAD PE 100 PN10 DE 800 P/ ÁGUA OU ESGOTO</t>
  </si>
  <si>
    <t>I9363</t>
  </si>
  <si>
    <t>TUBO PEAD PE 100 PN10 DE 90 P/ ÁGUA OU ESGOTO</t>
  </si>
  <si>
    <t>I10320</t>
  </si>
  <si>
    <t>TUBO PEAD PE 100 PN10 DE 900 P/ ÁGUA OU ESGOTO</t>
  </si>
  <si>
    <t>I10327</t>
  </si>
  <si>
    <t>TUBO PEAD PE 100 PN12,5 DE 1000 P/ ÁGUA OU ESGOTO</t>
  </si>
  <si>
    <t>I9430</t>
  </si>
  <si>
    <t>TUBO PEAD PE 100 PN12,5 DE 110 P/ ÁGUA OU ESGOTO</t>
  </si>
  <si>
    <t>I10328</t>
  </si>
  <si>
    <t>TUBO PEAD PE 100 PN12,5 DE 1200 P/ ÁGUA OU ESGOTO</t>
  </si>
  <si>
    <t>I10323</t>
  </si>
  <si>
    <t>TUBO PEAD PE 100 PN12,5 DE 125 P/ ÁGUA OU ESGOTO</t>
  </si>
  <si>
    <t>I10324</t>
  </si>
  <si>
    <t>TUBO PEAD PE 100 PN12,5 DE 140 P/ ÁGUA OU ESGOTO</t>
  </si>
  <si>
    <t>I9166</t>
  </si>
  <si>
    <t>TUBO PEAD PE 100 PN12,5 DE 63 P/ ÁGUA OU ESGOTO</t>
  </si>
  <si>
    <t>I10325</t>
  </si>
  <si>
    <t>TUBO PEAD PE 100 PN12,5 DE 800 P/ ÁGUA OU ESGOTO</t>
  </si>
  <si>
    <t>I9429</t>
  </si>
  <si>
    <t>TUBO PEAD PE 100 PN12,5 DE 90 P/ ÁGUA OU ESGOTO</t>
  </si>
  <si>
    <t>I10326</t>
  </si>
  <si>
    <t>TUBO PEAD PE 100 PN12,5 DE 900 P/ ÁGUA OU ESGOTO</t>
  </si>
  <si>
    <t>I10299</t>
  </si>
  <si>
    <t>TUBO PEAD PE 100 PN6 DE 1000 P/ ÁGUA OU ESGOTO</t>
  </si>
  <si>
    <t>I10287</t>
  </si>
  <si>
    <t>TUBO PEAD PE 100 PN6 DE 110 P/ ÁGUA OU ESGOTO</t>
  </si>
  <si>
    <t>I10300</t>
  </si>
  <si>
    <t>TUBO PEAD PE 100 PN6 DE 1200 P/ ÁGUA OU ESGOTO</t>
  </si>
  <si>
    <t>I10288</t>
  </si>
  <si>
    <t>TUBO PEAD PE 100 PN6 DE 125 P/ ÁGUA OU ESGOTO</t>
  </si>
  <si>
    <t>I10289</t>
  </si>
  <si>
    <t>TUBO PEAD PE 100 PN6 DE 140 P/ ÁGUA OU ESGOTO</t>
  </si>
  <si>
    <t>I10290</t>
  </si>
  <si>
    <t>TUBO PEAD PE 100 PN6 DE 160 P/ ÁGUA OU ESGOTO</t>
  </si>
  <si>
    <t>I10291</t>
  </si>
  <si>
    <t>TUBO PEAD PE 100 PN6 DE 180 P/ ÁGUA OU ESGOTO</t>
  </si>
  <si>
    <t>I10292</t>
  </si>
  <si>
    <t>TUBO PEAD PE 100 PN6 DE 200 P/ ÁGUA OU ESGOTO</t>
  </si>
  <si>
    <t>I10293</t>
  </si>
  <si>
    <t>TUBO PEAD PE 100 PN6 DE 225 P/ ÁGUA OU ESGOTO</t>
  </si>
  <si>
    <t>I10294</t>
  </si>
  <si>
    <t>TUBO PEAD PE 100 PN6 DE 250 P/ ÁGUA OU ESGOTO</t>
  </si>
  <si>
    <t>I10295</t>
  </si>
  <si>
    <t>TUBO PEAD PE 100 PN6 DE 280 P/ ÁGUA OU ESGOTO</t>
  </si>
  <si>
    <t>I10296</t>
  </si>
  <si>
    <t>TUBO PEAD PE 100 PN6 DE 315 P/ ÁGUA OU ESGOTO</t>
  </si>
  <si>
    <t>I9355</t>
  </si>
  <si>
    <t xml:space="preserve">TUBO PEAD PE 100 PN6 DE 355 P/ ÁGUA OU ESGOTO
</t>
  </si>
  <si>
    <t>I9356</t>
  </si>
  <si>
    <t>TUBO PEAD PE 100 PN6 DE 400 P/ ÁGUA OU ESGOTO</t>
  </si>
  <si>
    <t>I9357</t>
  </si>
  <si>
    <t>TUBO PEAD PE 100 PN6 DE 450 P/ ÁGUA OU ESGOTO</t>
  </si>
  <si>
    <t>I9358</t>
  </si>
  <si>
    <t>TUBO PEAD PE 100 PN6 DE 500 P/ ÁGUA OU ESGOTO</t>
  </si>
  <si>
    <t>I9359</t>
  </si>
  <si>
    <t>TUBO PEAD PE 100 PN6 DE 560 P/ ÁGUA OU ESGOTO</t>
  </si>
  <si>
    <t>I9360</t>
  </si>
  <si>
    <t>TUBO PEAD PE 100 PN6 DE 630 P/ ÁGUA OU ESGOTO</t>
  </si>
  <si>
    <t>I9361</t>
  </si>
  <si>
    <t>TUBO PEAD PE 100 PN6 DE 710 P/ ÁGUA OU ESGOTO</t>
  </si>
  <si>
    <t>I10297</t>
  </si>
  <si>
    <t>TUBO PEAD PE 100 PN6 DE 800 P/ ÁGUA OU ESGOTO</t>
  </si>
  <si>
    <t>I10298</t>
  </si>
  <si>
    <t>TUBO PEAD PE 100 PN6 DE 900 P/ ÁGUA OU ESGOTO</t>
  </si>
  <si>
    <t>I10171</t>
  </si>
  <si>
    <t>TUBO PEAD PE 100 PN8 DE 1000 P/ ÁGUA OU ESGOTO</t>
  </si>
  <si>
    <t>I10167</t>
  </si>
  <si>
    <t xml:space="preserve">TUBO PEAD PE 100 PN8 DE 110 P/ ÁGUA OU ESGOTO
</t>
  </si>
  <si>
    <t>I10316</t>
  </si>
  <si>
    <t>TUBO PEAD PE 100 PN8 DE 1200 P/ ÁGUA OU ESGOTO</t>
  </si>
  <si>
    <t>I10301</t>
  </si>
  <si>
    <t>TUBO PEAD PE 100 PN8 DE 125 P/ ÁGUA OU ESGOTO</t>
  </si>
  <si>
    <t>I10302</t>
  </si>
  <si>
    <t>TUBO PEAD PE 100 PN8 DE 140 P/ ÁGUA OU ESGOTO</t>
  </si>
  <si>
    <t>I10303</t>
  </si>
  <si>
    <t>TUBO PEAD PE 100 PN8 DE 160 P/ ÁGUA OU ESGOTO</t>
  </si>
  <si>
    <t>I10304</t>
  </si>
  <si>
    <t>TUBO PEAD PE 100 PN8 DE 180 P/ ÁGUA OU ESGOTO</t>
  </si>
  <si>
    <t>I10305</t>
  </si>
  <si>
    <t>TUBO PEAD PE 100 PN8 DE 200 P/ ÁGUA OU ESGOTO</t>
  </si>
  <si>
    <t>I10306</t>
  </si>
  <si>
    <t>TUBO PEAD PE 100 PN8 DE 225 P/ ÁGUA OU ESGOTO</t>
  </si>
  <si>
    <t>I10307</t>
  </si>
  <si>
    <t>TUBO PEAD PE 100 PN8 DE 250 P/ ÁGUA OU ESGOTO</t>
  </si>
  <si>
    <t>I10308</t>
  </si>
  <si>
    <t>TUBO PEAD PE 100 PN8 DE 280 P/ ÁGUA OU ESGOTO</t>
  </si>
  <si>
    <t>I10309</t>
  </si>
  <si>
    <t>TUBO PEAD PE 100 PN8 DE 315 P/ ÁGUA OU ESGOTO</t>
  </si>
  <si>
    <t>I10310</t>
  </si>
  <si>
    <t>TUBO PEAD PE 100 PN8 DE 355 P/ ÁGUA OU ESGOTO</t>
  </si>
  <si>
    <t>I10311</t>
  </si>
  <si>
    <t>TUBO PEAD PE 100 PN8 DE 400 P/ ÁGUA OU ESGOTO</t>
  </si>
  <si>
    <t>I10312</t>
  </si>
  <si>
    <t>TUBO PEAD PE 100 PN8 DE 450 P/ ÁGUA OU ESGOTO</t>
  </si>
  <si>
    <t>I10313</t>
  </si>
  <si>
    <t>TUBO PEAD PE 100 PN8 DE 500 P/ ÁGUA OU ESGOTO</t>
  </si>
  <si>
    <t>I10314</t>
  </si>
  <si>
    <t>TUBO PEAD PE 100 PN8 DE 560 P/ ÁGUA OU ESGOTO</t>
  </si>
  <si>
    <t>I10315</t>
  </si>
  <si>
    <t>TUBO PEAD PE 100 PN8 DE 630 P/ ÁGUA OU ESGOTO</t>
  </si>
  <si>
    <t>I10168</t>
  </si>
  <si>
    <t>TUBO PEAD PE 100 PN8 DE 710 P/ ÁGUA OU ESGOTO</t>
  </si>
  <si>
    <t>I10169</t>
  </si>
  <si>
    <t>TUBO PEAD PE 100 PN8 DE 800 P/ ÁGUA OU ESGOTO</t>
  </si>
  <si>
    <t>I10170</t>
  </si>
  <si>
    <t>TUBO PEAD PE 100 PN8 DE 900 P/ ÁGUA OU ESGOTO</t>
  </si>
  <si>
    <t>I9431</t>
  </si>
  <si>
    <t>TUBO PEAD SDR 13,6 PN 12,5 DE 160 PARA ÁGUA OU ESGOTO</t>
  </si>
  <si>
    <t>I9432</t>
  </si>
  <si>
    <t>TUBO PEAD SDR 13,6 PN 12,5 DE 180 PARA ÁGUA OU ESGOTO</t>
  </si>
  <si>
    <t>I9433</t>
  </si>
  <si>
    <t>TUBO PEAD SDR 13,6 PN 12,5 DE 200 PARA ÁGUA OU ESGOTO</t>
  </si>
  <si>
    <t>I9434</t>
  </si>
  <si>
    <t>TUBO PEAD SDR 13,6 PN 12,5 DE 225 PARA ÁGUA OU ESGOTO</t>
  </si>
  <si>
    <t>I9435</t>
  </si>
  <si>
    <t>TUBO PEAD SDR 13,6 PN 12,5 DE 250 PARA ÁGUA OU ESGOTO</t>
  </si>
  <si>
    <t>I9436</t>
  </si>
  <si>
    <t>TUBO PEAD SDR 13,6 PN 12,5 DE 280 PARA ÁGUA OU ESGOTO</t>
  </si>
  <si>
    <t>I9437</t>
  </si>
  <si>
    <t>TUBO PEAD SDR 13,6 PN 12,5 DE 315 PARA ÁGUA OU ESGOTO</t>
  </si>
  <si>
    <t>I9438</t>
  </si>
  <si>
    <t>TUBO PEAD SDR 13,6 PN 12,5 DE 355 PARA ÁGUA OU ESGOTO</t>
  </si>
  <si>
    <t>I9439</t>
  </si>
  <si>
    <t>TUBO PEAD SDR 13,6 PN 12,5 DE 400 PARA ÁGUA OU ESGOTO</t>
  </si>
  <si>
    <t>I9440</t>
  </si>
  <si>
    <t>TUBO PEAD SDR 13,6 PN 12,5 DE 450 PARA ÁGUA OU ESGOTO</t>
  </si>
  <si>
    <t>I9441</t>
  </si>
  <si>
    <t>TUBO PEAD SDR 13,6 PN 12,5 DE 500 PARA ÁGUA OU ESGOTO</t>
  </si>
  <si>
    <t>I9442</t>
  </si>
  <si>
    <t>TUBO PEAD SDR 13,6 PN 12,5 DE 560 PARA ÁGUA OU ESGOTO</t>
  </si>
  <si>
    <t>I9443</t>
  </si>
  <si>
    <t>TUBO PEAD SDR 13,6 PN 12,5 DE 630 PARA ÁGUA OU ESGOTO</t>
  </si>
  <si>
    <t>I9444</t>
  </si>
  <si>
    <t>TUBO PEAD SDR 13,6 PN 12,5 DE 710 PARA ÁGUA OU ESGOTO</t>
  </si>
  <si>
    <t>I9373</t>
  </si>
  <si>
    <t>TUBO PEAD SDR 17 PN 10 DE 400 PARA ÁGUA OU ESGOTO</t>
  </si>
  <si>
    <t>I9351</t>
  </si>
  <si>
    <t>TUBO PEAD SDR 32,25 PN 5 DE 500 PARA ÁGUA OU ESGOTO</t>
  </si>
  <si>
    <t>I9352</t>
  </si>
  <si>
    <t>TUBO PEAD SDR 32,25 PN 5 DE 560 PARA ÁGUA OU ESGOTO</t>
  </si>
  <si>
    <t>I9353</t>
  </si>
  <si>
    <t>TUBO PEAD SDR 32,25 PN 5 DE 630 PARA ÁGUA OU ESGOTO</t>
  </si>
  <si>
    <t>I9354</t>
  </si>
  <si>
    <t>TUBO PEAD SDR 32,25 PN 5 DE 710 PARA ÁGUA OU ESGOTO</t>
  </si>
  <si>
    <t>I10173</t>
  </si>
  <si>
    <t>TUBO PRFV CL 10 JE FF CLASSE DE RIGIDEZ 5.000 N/M² DN 150</t>
  </si>
  <si>
    <t>I10174</t>
  </si>
  <si>
    <t>TUBO PRFV CL 10 JE FF CLASSE DE RIGIDEZ 5.000 N/M² DN 200</t>
  </si>
  <si>
    <t>I10175</t>
  </si>
  <si>
    <t>TUBO PRFV CL 10 JE FF CLASSE DE RIGIDEZ 5.000 N/M² DN 300</t>
  </si>
  <si>
    <t>I10176</t>
  </si>
  <si>
    <t>TUBO PRFV CL 10 JE FF CLASSE DE RIGIDEZ 5.000 N/M² DN 400</t>
  </si>
  <si>
    <t>I10177</t>
  </si>
  <si>
    <t>TUBO PRFV CL 10 JE FF CLASSE DE RIGIDEZ 5.000 N/M² DN 500</t>
  </si>
  <si>
    <t>I10178</t>
  </si>
  <si>
    <t>TUBO PRFV CL 10 JE PB CLASSE DE RIGIDEZ 5.000 N/M² DN  50</t>
  </si>
  <si>
    <t>I10179</t>
  </si>
  <si>
    <t>TUBO PRFV CL 10 JE PB CLASSE DE RIGIDEZ 5.000 N/M² DN 100</t>
  </si>
  <si>
    <t>I6957</t>
  </si>
  <si>
    <t>TUBO PRFV CL 10 JE PB CLASSE DE RIGIDEZ 5.000 N/m² DN 150</t>
  </si>
  <si>
    <t>I6958</t>
  </si>
  <si>
    <t>TUBO PRFV CL 10 JE PB CLASSE DE RIGIDEZ 5.000 N/m² DN 200</t>
  </si>
  <si>
    <t>I6959</t>
  </si>
  <si>
    <t>TUBO PRFV CL 10 JE PB CLASSE DE RIGIDEZ 5.000 N/m² DN 250</t>
  </si>
  <si>
    <t>I6960</t>
  </si>
  <si>
    <t>TUBO PRFV CL 10 JE PB CLASSE DE RIGIDEZ 5.000 N/m² DN 300</t>
  </si>
  <si>
    <t>I10180</t>
  </si>
  <si>
    <t>TUBO PRFV CL 10 JE PF CLASSE DE RIGIDEZ 5.000 N/M² DN 150</t>
  </si>
  <si>
    <t>I10181</t>
  </si>
  <si>
    <t>TUBO PRFV CL 10 JE PP CLASSE DE RIGIDEZ 5.000 N/M² DN 100</t>
  </si>
  <si>
    <t>I10182</t>
  </si>
  <si>
    <t>TUBO PRFV CL 10 JE PP CLASSE DE RIGIDEZ 5.000 N/M² DN 150</t>
  </si>
  <si>
    <t>I8983</t>
  </si>
  <si>
    <t>TUBO PRFV CL 12 JE PB CLASSE DE RIGIDEZ 5.000 N/M2 DN 1000</t>
  </si>
  <si>
    <t>I6961</t>
  </si>
  <si>
    <t>TUBO PRFV CL 12 JE PB CLASSE DE RIGIDEZ 5.000 N/m² DN  150</t>
  </si>
  <si>
    <t>I6962</t>
  </si>
  <si>
    <t>TUBO PRFV CL 12 JE PB CLASSE DE RIGIDEZ 5.000 N/m² DN  200</t>
  </si>
  <si>
    <t>I6963</t>
  </si>
  <si>
    <t>TUBO PRFV CL 12 JE PB CLASSE DE RIGIDEZ 5.000 N/m² DN  250</t>
  </si>
  <si>
    <t>I6964</t>
  </si>
  <si>
    <t>TUBO PRFV CL 12 JE PB CLASSE DE RIGIDEZ 5.000 N/m² DN  300</t>
  </si>
  <si>
    <t>I8992</t>
  </si>
  <si>
    <t>TUBO PRFV CL 12 JE PB CLASSE DE RIGIDEZ 5.000 N/m² DN  350</t>
  </si>
  <si>
    <t>I8993</t>
  </si>
  <si>
    <t>TUBO PRFV CL 12 JE PB CLASSE DE RIGIDEZ 5.000 N/m² DN  400</t>
  </si>
  <si>
    <t>I8994</t>
  </si>
  <si>
    <t>TUBO PRFV CL 12 JE PB CLASSE DE RIGIDEZ 5.000 N/m² DN  450</t>
  </si>
  <si>
    <t>I8995</t>
  </si>
  <si>
    <t>TUBO PRFV CL 12 JE PB CLASSE DE RIGIDEZ 5.000 N/m² DN  500</t>
  </si>
  <si>
    <t>I8996</t>
  </si>
  <si>
    <t>TUBO PRFV CL 12 JE PB CLASSE DE RIGIDEZ 5.000 N/m² DN  550</t>
  </si>
  <si>
    <t>I8997</t>
  </si>
  <si>
    <t>TUBO PRFV CL 12 JE PB CLASSE DE RIGIDEZ 5.000 N/m² DN  600</t>
  </si>
  <si>
    <t>I8998</t>
  </si>
  <si>
    <t>TUBO PRFV CL 12 JE PB CLASSE DE RIGIDEZ 5.000 N/m² DN  650</t>
  </si>
  <si>
    <t>I8999</t>
  </si>
  <si>
    <t>TUBO PRFV CL 12 JE PB CLASSE DE RIGIDEZ 5.000 N/m² DN  700</t>
  </si>
  <si>
    <t>I9000</t>
  </si>
  <si>
    <t>TUBO PRFV CL 12 JE PB CLASSE DE RIGIDEZ 5.000 N/m² DN  750</t>
  </si>
  <si>
    <t>I9001</t>
  </si>
  <si>
    <t>TUBO PRFV CL 12 JE PB CLASSE DE RIGIDEZ 5.000 N/m² DN  800</t>
  </si>
  <si>
    <t>I9002</t>
  </si>
  <si>
    <t>TUBO PRFV CL 12 JE PB CLASSE DE RIGIDEZ 5.000 N/m² DN  900</t>
  </si>
  <si>
    <t>I8984</t>
  </si>
  <si>
    <t>TUBO PRFV CL 12 JE PB CLASSE DE RIGIDEZ 5.000 N/m² DN 1050</t>
  </si>
  <si>
    <t>I8985</t>
  </si>
  <si>
    <t>TUBO PRFV CL 12 JE PB CLASSE DE RIGIDEZ 5.000 N/m² DN 1100</t>
  </si>
  <si>
    <t>I8986</t>
  </si>
  <si>
    <t>TUBO PRFV CL 12 JE PB CLASSE DE RIGIDEZ 5.000 N/m² DN 1200</t>
  </si>
  <si>
    <t>I8987</t>
  </si>
  <si>
    <t>TUBO PRFV CL 12 JE PB CLASSE DE RIGIDEZ 5.000 N/m² DN 1250</t>
  </si>
  <si>
    <t>I8988</t>
  </si>
  <si>
    <t>TUBO PRFV CL 12 JE PB CLASSE DE RIGIDEZ 5.000 N/m² DN 1300</t>
  </si>
  <si>
    <t>I8989</t>
  </si>
  <si>
    <t>TUBO PRFV CL 12 JE PB CLASSE DE RIGIDEZ 5.000 N/m² DN 1400</t>
  </si>
  <si>
    <t>I8990</t>
  </si>
  <si>
    <t>TUBO PRFV CL 12 JE PB CLASSE DE RIGIDEZ 5.000 N/m² DN 1500</t>
  </si>
  <si>
    <t>I8991</t>
  </si>
  <si>
    <t>TUBO PRFV CL 12 JE PB CLASSE DE RIGIDEZ 5.000 N/m² DN 1600</t>
  </si>
  <si>
    <t>I6965</t>
  </si>
  <si>
    <t>TUBO PRFV CL 16 JE PB CLASSE DE RIGIDEZ 5.000 N/m² DN  150</t>
  </si>
  <si>
    <t>I6966</t>
  </si>
  <si>
    <t>TUBO PRFV CL 16 JE PB CLASSE DE RIGIDEZ 5.000 N/m² DN  200</t>
  </si>
  <si>
    <t>I6967</t>
  </si>
  <si>
    <t>TUBO PRFV CL 16 JE PB CLASSE DE RIGIDEZ 5.000 N/m² DN  250</t>
  </si>
  <si>
    <t>I6968</t>
  </si>
  <si>
    <t>TUBO PRFV CL 16 JE PB CLASSE DE RIGIDEZ 5.000 N/m² DN  300</t>
  </si>
  <si>
    <t>I9012</t>
  </si>
  <si>
    <t>TUBO PRFV CL 16 JE PB CLASSE DE RIGIDEZ 5.000 N/m² DN  350</t>
  </si>
  <si>
    <t>I6969</t>
  </si>
  <si>
    <t>TUBO PRFV CL 16 JE PB CLASSE DE RIGIDEZ 5.000 N/m² DN  400</t>
  </si>
  <si>
    <t>I9013</t>
  </si>
  <si>
    <t>TUBO PRFV CL 16 JE PB CLASSE DE RIGIDEZ 5.000 N/m² DN  450</t>
  </si>
  <si>
    <t>I6970</t>
  </si>
  <si>
    <t>TUBO PRFV CL 16 JE PB CLASSE DE RIGIDEZ 5.000 N/m² DN  500</t>
  </si>
  <si>
    <t>I9014</t>
  </si>
  <si>
    <t>TUBO PRFV CL 16 JE PB CLASSE DE RIGIDEZ 5.000 N/m² DN  550</t>
  </si>
  <si>
    <t>I9015</t>
  </si>
  <si>
    <t>TUBO PRFV CL 16 JE PB CLASSE DE RIGIDEZ 5.000 N/m² DN  600</t>
  </si>
  <si>
    <t>I9016</t>
  </si>
  <si>
    <t>TUBO PRFV CL 16 JE PB CLASSE DE RIGIDEZ 5.000 N/m² DN  650</t>
  </si>
  <si>
    <t>I9017</t>
  </si>
  <si>
    <t>TUBO PRFV CL 16 JE PB CLASSE DE RIGIDEZ 5.000 N/m² DN  700</t>
  </si>
  <si>
    <t>I9018</t>
  </si>
  <si>
    <t>TUBO PRFV CL 16 JE PB CLASSE DE RIGIDEZ 5.000 N/m² DN  750</t>
  </si>
  <si>
    <t>I9019</t>
  </si>
  <si>
    <t>TUBO PRFV CL 16 JE PB CLASSE DE RIGIDEZ 5.000 N/m² DN  800</t>
  </si>
  <si>
    <t>I9020</t>
  </si>
  <si>
    <t>TUBO PRFV CL 16 JE PB CLASSE DE RIGIDEZ 5.000 N/m² DN  900</t>
  </si>
  <si>
    <t>I9003</t>
  </si>
  <si>
    <t>TUBO PRFV CL 16 JE PB CLASSE DE RIGIDEZ 5.000 N/m² DN 1000</t>
  </si>
  <si>
    <t>I9004</t>
  </si>
  <si>
    <t>TUBO PRFV CL 16 JE PB CLASSE DE RIGIDEZ 5.000 N/m² DN 1050</t>
  </si>
  <si>
    <t>I9005</t>
  </si>
  <si>
    <t>TUBO PRFV CL 16 JE PB CLASSE DE RIGIDEZ 5.000 N/m² DN 1100</t>
  </si>
  <si>
    <t>I9006</t>
  </si>
  <si>
    <t>TUBO PRFV CL 16 JE PB CLASSE DE RIGIDEZ 5.000 N/m² DN 1200</t>
  </si>
  <si>
    <t>I9007</t>
  </si>
  <si>
    <t>TUBO PRFV CL 16 JE PB CLASSE DE RIGIDEZ 5.000 N/m² DN 1250</t>
  </si>
  <si>
    <t>I9008</t>
  </si>
  <si>
    <t>TUBO PRFV CL 16 JE PB CLASSE DE RIGIDEZ 5.000 N/m² DN 1300</t>
  </si>
  <si>
    <t>I9009</t>
  </si>
  <si>
    <t>TUBO PRFV CL 16 JE PB CLASSE DE RIGIDEZ 5.000 N/m² DN 1400</t>
  </si>
  <si>
    <t>I9010</t>
  </si>
  <si>
    <t>TUBO PRFV CL 16 JE PB CLASSE DE RIGIDEZ 5.000 N/m² DN 1500</t>
  </si>
  <si>
    <t>I9011</t>
  </si>
  <si>
    <t>TUBO PRFV CL 16 JE PB CLASSE DE RIGIDEZ 5.000 N/m² DN 1600</t>
  </si>
  <si>
    <t>I6971</t>
  </si>
  <si>
    <t>TUBO PRFV CL 18 JE PB CLASSE DE RIGIDEZ 5.000 N/m² DN  150</t>
  </si>
  <si>
    <t>I6972</t>
  </si>
  <si>
    <t>TUBO PRFV CL 18 JE PB CLASSE DE RIGIDEZ 5.000 N/m² DN  200</t>
  </si>
  <si>
    <t>I6973</t>
  </si>
  <si>
    <t>TUBO PRFV CL 18 JE PB CLASSE DE RIGIDEZ 5.000 N/m² DN  250</t>
  </si>
  <si>
    <t>I6974</t>
  </si>
  <si>
    <t>TUBO PRFV CL 18 JE PB CLASSE DE RIGIDEZ 5.000 N/m² DN  300</t>
  </si>
  <si>
    <t>I6990</t>
  </si>
  <si>
    <t>TUBO PRFV CL 20 JE PB CLASSE DE RIGIDEZ 5.000 N/m² DN  600</t>
  </si>
  <si>
    <t>I6991</t>
  </si>
  <si>
    <t>TUBO PRFV CL 20 JE PB CLASSE DE RIGIDEZ 5.000 N/m² DN  700</t>
  </si>
  <si>
    <t>I6992</t>
  </si>
  <si>
    <t>TUBO PRFV CL 20 JE PB CLASSE DE RIGIDEZ 5.000 N/m² DN  800</t>
  </si>
  <si>
    <t>I6993</t>
  </si>
  <si>
    <t>TUBO PRFV CL 20 JE PB CLASSE DE RIGIDEZ 5.000 N/m² DN  900</t>
  </si>
  <si>
    <t>I9021</t>
  </si>
  <si>
    <t>TUBO PRFV CL 6 JE PB CLASSE DE RIGIDEZ 5.000 N/m² DN 300</t>
  </si>
  <si>
    <t>I9022</t>
  </si>
  <si>
    <t>TUBO PRFV CL 6 JE PB CLASSE DE RIGIDEZ 5.000 N/m² DN 350</t>
  </si>
  <si>
    <t>I6975</t>
  </si>
  <si>
    <t>TUBO PRFV CL 6 JE PB CLASSE DE RIGIDEZ 5.000 N/m² DN 400</t>
  </si>
  <si>
    <t>I9023</t>
  </si>
  <si>
    <t>TUBO PRFV CL 6 JE PB CLASSE DE RIGIDEZ 5.000 N/m² DN 450</t>
  </si>
  <si>
    <t>I6976</t>
  </si>
  <si>
    <t>TUBO PRFV CL 6 JE PB CLASSE DE RIGIDEZ 5.000 N/m² DN 500</t>
  </si>
  <si>
    <t>I9024</t>
  </si>
  <si>
    <t>TUBO PRFV CL 6 JE PB CLASSE DE RIGIDEZ 5.000 N/m² DN 550</t>
  </si>
  <si>
    <t>I6977</t>
  </si>
  <si>
    <t>TUBO PRFV CL 6 JE PB CLASSE DE RIGIDEZ 5.000 N/m² DN 600</t>
  </si>
  <si>
    <t>I3180</t>
  </si>
  <si>
    <t>TUBO PVC CORRUGADO E PERFURADO DN 100</t>
  </si>
  <si>
    <t>I3181</t>
  </si>
  <si>
    <t>TUBO PVC CORRUGADO E PERFURADO DN 150</t>
  </si>
  <si>
    <t>I6523</t>
  </si>
  <si>
    <t>TUBO PVC DEFoFo DÚCTIL JEI 1MPa DN 100 (NBR-7665-07/03/07)</t>
  </si>
  <si>
    <t>I6524</t>
  </si>
  <si>
    <t>TUBO PVC DEFoFo DÚCTIL JEI 1MPa DN 150 (NBR-7665-07/03/07)</t>
  </si>
  <si>
    <t>I6525</t>
  </si>
  <si>
    <t>TUBO PVC DEFoFo DÚCTIL JEI 1MPa DN 200 (NBR-7665-07/03/07)</t>
  </si>
  <si>
    <t>I6527</t>
  </si>
  <si>
    <t>TUBO PVC DEFoFo DÚCTIL JEI 1MPa DN 250 (NBR-7665-07/03/07)</t>
  </si>
  <si>
    <t>I6528</t>
  </si>
  <si>
    <t>TUBO PVC DEFoFo DÚCTIL JEI 1MPa DN 300 (NBR-7665-07/03/07)</t>
  </si>
  <si>
    <t>I10184</t>
  </si>
  <si>
    <t>TUBO PVC DEFoFo DÚCTIL JEI 1MPa DN 350 (NBR-7665-07/03/07)</t>
  </si>
  <si>
    <t>I8552</t>
  </si>
  <si>
    <t>TUBO PVC DEFoFo DÚCTIL JEI 1MPa DN 400 (NBR-7665-01/03/99)</t>
  </si>
  <si>
    <t>I8553</t>
  </si>
  <si>
    <t>TUBO PVC DEFoFo DÚCTIL JEI 1MPa DN 500 (NBR-7665-01/03/99)</t>
  </si>
  <si>
    <t>I10183</t>
  </si>
  <si>
    <t>TUBO PVC DEFoFo DÚCTIL JEI 1MPa DN 75 (NBR-7665-07/03/07)</t>
  </si>
  <si>
    <t>I6203</t>
  </si>
  <si>
    <t>TUBO PVC ESGOTO PRIMARIO DN  75 (NBR 5688)</t>
  </si>
  <si>
    <t>I6204</t>
  </si>
  <si>
    <t>TUBO PVC ESGOTO PRIMARIO DN 150 (NBR 5688)</t>
  </si>
  <si>
    <t>I6205</t>
  </si>
  <si>
    <t>TUBO PVC ESGOTO SERIE R JEI DN 100</t>
  </si>
  <si>
    <t>I6206</t>
  </si>
  <si>
    <t>TUBO PVC ESGOTO SERIE R JEI DN 150</t>
  </si>
  <si>
    <t>I7590</t>
  </si>
  <si>
    <t>TUBO PVC NERVURADO LEVE DN 154x2m</t>
  </si>
  <si>
    <t>I7591</t>
  </si>
  <si>
    <t>TUBO PVC NERVURADO LEVE DN 154x4m</t>
  </si>
  <si>
    <t>I7596</t>
  </si>
  <si>
    <t>TUBO PVC NERVURADO REFORÇADO DN 200x2m</t>
  </si>
  <si>
    <t>I7597</t>
  </si>
  <si>
    <t>TUBO PVC NERVURADO REFORÇADO DN 200x4m</t>
  </si>
  <si>
    <t>I7592</t>
  </si>
  <si>
    <t>TUBO PVC NERVURADO STANDARD DN 154x2m</t>
  </si>
  <si>
    <t>I7593</t>
  </si>
  <si>
    <t>TUBO PVC NERVURADO STANDARD DN 154x4m</t>
  </si>
  <si>
    <t>I7594</t>
  </si>
  <si>
    <t>TUBO PVC NERVURADO STANDARD DN 206x2m</t>
  </si>
  <si>
    <t>I7595</t>
  </si>
  <si>
    <t>TUBO PVC NERVURADO STANDARD DN 206x4m</t>
  </si>
  <si>
    <t>I3070</t>
  </si>
  <si>
    <t>TUBO PVC OCRE PAREDE DUPLA JE DN 150(NBR-7362-3)</t>
  </si>
  <si>
    <t>I3150</t>
  </si>
  <si>
    <t>TUBO PVC PBA JE CL-12 DN   50 (NBR-5647)</t>
  </si>
  <si>
    <t>I3151</t>
  </si>
  <si>
    <t>TUBO PVC PBA JE CL-12 DN   75 (NBR-5647)</t>
  </si>
  <si>
    <t>I3152</t>
  </si>
  <si>
    <t>TUBO PVC PBA JE CL-12 DN 100 (NBR-5647)</t>
  </si>
  <si>
    <t>I3153</t>
  </si>
  <si>
    <t>TUBO PVC PBA JE CL-15 DN   50 (NBR-5647)</t>
  </si>
  <si>
    <t>I3154</t>
  </si>
  <si>
    <t>TUBO PVC PBA JE CL-15 DN   75 (NBR-5647)</t>
  </si>
  <si>
    <t>I3155</t>
  </si>
  <si>
    <t>TUBO PVC PBA JE CL-15 DN 100 (NBR-5647)</t>
  </si>
  <si>
    <t>I3156</t>
  </si>
  <si>
    <t>TUBO PVC PBA JE CL-20 DN   50 (NBR-5647)</t>
  </si>
  <si>
    <t>I3157</t>
  </si>
  <si>
    <t>TUBO PVC PBA JE CL-20 DN   75 (NBR-5647)</t>
  </si>
  <si>
    <t>I3158</t>
  </si>
  <si>
    <t>TUBO PVC PBA JE CL-20 DN 100 (NBR-5647)</t>
  </si>
  <si>
    <t>I3159</t>
  </si>
  <si>
    <t>TUBO PVC PBA JEI CL-12 DN   50 (NBR-5647)</t>
  </si>
  <si>
    <t>I3160</t>
  </si>
  <si>
    <t>TUBO PVC PBA JEI CL-12 DN   75 (NBR-5647)</t>
  </si>
  <si>
    <t>I3161</t>
  </si>
  <si>
    <t>TUBO PVC PBA JEI CL-12 DN 100 (NBR-5647)</t>
  </si>
  <si>
    <t>I3162</t>
  </si>
  <si>
    <t>TUBO PVC PBA JEI CL-15 DN   50 (NBR-5647)</t>
  </si>
  <si>
    <t>I3163</t>
  </si>
  <si>
    <t>TUBO PVC PBA JEI CL-15 DN   75 (NBR-5647)</t>
  </si>
  <si>
    <t>I3164</t>
  </si>
  <si>
    <t>TUBO PVC PBA JEI CL-15 DN 100 (NBR-5647)</t>
  </si>
  <si>
    <t>I3165</t>
  </si>
  <si>
    <t>TUBO PVC PBA JEI CL-20 DN   50 (NBR-5647)</t>
  </si>
  <si>
    <t>I3166</t>
  </si>
  <si>
    <t>TUBO PVC PBA JEI CL-20 DN   75 (NBR-5647)</t>
  </si>
  <si>
    <t>I3167</t>
  </si>
  <si>
    <t>TUBO PVC PBA JEI CL-20 DN 100 (NBR-5647)</t>
  </si>
  <si>
    <t>I6941</t>
  </si>
  <si>
    <t>TUBO PVC PBS CLASSE CL-12 DN 150</t>
  </si>
  <si>
    <t>I6942</t>
  </si>
  <si>
    <t>TUBO PVC PBS CLASSE CL-12 DN 200</t>
  </si>
  <si>
    <t>I6943</t>
  </si>
  <si>
    <t>TUBO PVC PBS CLASSE CL-15 DN 150</t>
  </si>
  <si>
    <t>I6944</t>
  </si>
  <si>
    <t>TUBO PVC PBS CLASSE CL-15 DN 200</t>
  </si>
  <si>
    <t>I6948</t>
  </si>
  <si>
    <t>TUBO PVC PBS CLASSE CL-20 DN  50</t>
  </si>
  <si>
    <t>I6949</t>
  </si>
  <si>
    <t>TUBO PVC PBS CLASSE CL-20 DN  75</t>
  </si>
  <si>
    <t>I6945</t>
  </si>
  <si>
    <t>TUBO PVC PBS CLASSE CL-20 DN 100</t>
  </si>
  <si>
    <t>I6946</t>
  </si>
  <si>
    <t>TUBO PVC PBS CLASSE CL-20 DN 150</t>
  </si>
  <si>
    <t>I6947</t>
  </si>
  <si>
    <t>TUBO PVC PBS CLASSE CL-20 DN 200</t>
  </si>
  <si>
    <t>I6207</t>
  </si>
  <si>
    <t>TUBO PVC RIGIDO LEVES DN 125</t>
  </si>
  <si>
    <t>I6208</t>
  </si>
  <si>
    <t>TUBO PVC RIGIDO LEVES DN 150</t>
  </si>
  <si>
    <t>I6209</t>
  </si>
  <si>
    <t>TUBO PVC RIGIDO LEVES DN 200</t>
  </si>
  <si>
    <t>I6210</t>
  </si>
  <si>
    <t>TUBO PVC RIGIDO LEVES DN 250</t>
  </si>
  <si>
    <t>I6211</t>
  </si>
  <si>
    <t>TUBO PVC RIGIDO LEVES DN 300</t>
  </si>
  <si>
    <t>I6212</t>
  </si>
  <si>
    <t>TUBO PVC RIGIDO LEVES DN 400</t>
  </si>
  <si>
    <t>I6213</t>
  </si>
  <si>
    <t>TUBO PVC RIGIDO LEVES DN 450</t>
  </si>
  <si>
    <t>I3062</t>
  </si>
  <si>
    <t>TUBO PVC RIGIDO OCRE JE DN 100 (NBR-7362)</t>
  </si>
  <si>
    <t>I3063</t>
  </si>
  <si>
    <t>TUBO PVC RIGIDO OCRE JE DN 125 (NBR-7362)</t>
  </si>
  <si>
    <t>I3064</t>
  </si>
  <si>
    <t>TUBO PVC RIGIDO OCRE JE DN 150 (NBR-7362)</t>
  </si>
  <si>
    <t>I3065</t>
  </si>
  <si>
    <t>TUBO PVC RIGIDO OCRE JE DN 200 (NBR-7362)</t>
  </si>
  <si>
    <t>I3066</t>
  </si>
  <si>
    <t>TUBO PVC RIGIDO OCRE JE DN 250 (NBR-7362)</t>
  </si>
  <si>
    <t>I3067</t>
  </si>
  <si>
    <t>TUBO PVC RIGIDO OCRE JE DN 300 (NBR-7362)</t>
  </si>
  <si>
    <t>I3068</t>
  </si>
  <si>
    <t>TUBO PVC RIGIDO OCRE JE DN 350 (NBR-7362)</t>
  </si>
  <si>
    <t>I3069</t>
  </si>
  <si>
    <t>TUBO PVC RIGIDO OCRE JE DN 400 (NBR-7362)</t>
  </si>
  <si>
    <t>I6950</t>
  </si>
  <si>
    <t>TUBO PVC RÍGIDO OCRE JEI DN 100 (NBR-7362)</t>
  </si>
  <si>
    <t>I6951</t>
  </si>
  <si>
    <t>TUBO PVC RÍGIDO OCRE JEI DN 150 (NBR-7362)</t>
  </si>
  <si>
    <t>I6952</t>
  </si>
  <si>
    <t>TUBO PVC RÍGIDO OCRE JEI DN 200 (NBR-7362)</t>
  </si>
  <si>
    <t>I6953</t>
  </si>
  <si>
    <t>TUBO PVC RÍGIDO OCRE JEI DN 250 (NBR-7362)</t>
  </si>
  <si>
    <t>I6954</t>
  </si>
  <si>
    <t>TUBO PVC RÍGIDO OCRE JEI DN 300 (NBR-7362)</t>
  </si>
  <si>
    <t>I6955</t>
  </si>
  <si>
    <t>TUBO PVC RÍGIDO OCRE JEI DN 350 (NBR-7362)</t>
  </si>
  <si>
    <t>I6956</t>
  </si>
  <si>
    <t>TUBO PVC RÍGIDO OCRE JEI DN 400 (NBR-7362)</t>
  </si>
  <si>
    <t>I10189</t>
  </si>
  <si>
    <t>TUBO RPVC CL10 PB DN  75</t>
  </si>
  <si>
    <t>I10190</t>
  </si>
  <si>
    <t>TUBO RPVC CL10 PB DN 100</t>
  </si>
  <si>
    <t>I10191</t>
  </si>
  <si>
    <t>TUBO RPVC CL10 PB DN 150</t>
  </si>
  <si>
    <t>I10192</t>
  </si>
  <si>
    <t>TUBO RPVC CL10 PF DN  75</t>
  </si>
  <si>
    <t>I10193</t>
  </si>
  <si>
    <t>TUBO RPVC CL10 PF DN 100</t>
  </si>
  <si>
    <t>I10194</t>
  </si>
  <si>
    <t>TUBO RPVC CL10 PF DN 150</t>
  </si>
  <si>
    <t>I10195</t>
  </si>
  <si>
    <t>TUBO RPVC CL10 PP DN  25</t>
  </si>
  <si>
    <t>I10196</t>
  </si>
  <si>
    <t>TUBO RPVC CL10 PP DN  50</t>
  </si>
  <si>
    <t>I10197</t>
  </si>
  <si>
    <t>TUBO RPVC CL10 PP DN  75</t>
  </si>
  <si>
    <t>I10198</t>
  </si>
  <si>
    <t>TUBO RPVC CL10 PP DN 100</t>
  </si>
  <si>
    <t>I11371</t>
  </si>
  <si>
    <t>TÊ FoFo BBB JTI DN 100 x 100</t>
  </si>
  <si>
    <t>I11372</t>
  </si>
  <si>
    <t>TÊ FoFo BBB JTI DN 150 x 100</t>
  </si>
  <si>
    <t>I11373</t>
  </si>
  <si>
    <t>TÊ FoFo BBB JTI DN 150 x 150</t>
  </si>
  <si>
    <t>I11374</t>
  </si>
  <si>
    <t>TÊ FoFo BBB JTI DN 250 x 250</t>
  </si>
  <si>
    <t>I11375</t>
  </si>
  <si>
    <t>TÊ FoFo BBB JTI DN 300 x 200</t>
  </si>
  <si>
    <t>I11376</t>
  </si>
  <si>
    <t>TÊ FoFo BBB JTI DN 300 x 300</t>
  </si>
  <si>
    <t>I11370</t>
  </si>
  <si>
    <t>TÊ FoFo BBB JUNTA ELÁSTICA DN 1200 x 1000</t>
  </si>
  <si>
    <t>I11338</t>
  </si>
  <si>
    <t>TÊ FoFo BBB JUNTA ELÁSTICA DN 250 x 150</t>
  </si>
  <si>
    <t>I11339</t>
  </si>
  <si>
    <t>TÊ FoFo BBB JUNTA ELÁSTICA DN 250 x 200</t>
  </si>
  <si>
    <t>I11340</t>
  </si>
  <si>
    <t>TÊ FoFo BBB JUNTA ELÁSTICA DN 350 x 150</t>
  </si>
  <si>
    <t>I11341</t>
  </si>
  <si>
    <t>TÊ FoFo BBB JUNTA ELÁSTICA DN 350 x 300</t>
  </si>
  <si>
    <t>I11342</t>
  </si>
  <si>
    <t>TÊ FoFo BBB JUNTA ELÁSTICA DN 400 x 150</t>
  </si>
  <si>
    <t>I11343</t>
  </si>
  <si>
    <t>TÊ FoFo BBB JUNTA ELÁSTICA DN 400 x 250</t>
  </si>
  <si>
    <t>I11344</t>
  </si>
  <si>
    <t>TÊ FoFo BBB JUNTA ELÁSTICA DN 450 x 100</t>
  </si>
  <si>
    <t>I11345</t>
  </si>
  <si>
    <t>TÊ FoFo BBB JUNTA ELÁSTICA DN 450 x 200</t>
  </si>
  <si>
    <t>I11346</t>
  </si>
  <si>
    <t>TÊ FoFo BBB JUNTA ELÁSTICA DN 450 x 300</t>
  </si>
  <si>
    <t>I11347</t>
  </si>
  <si>
    <t>TÊ FoFo BBB JUNTA ELÁSTICA DN 450 x 350</t>
  </si>
  <si>
    <t>I11348</t>
  </si>
  <si>
    <t>TÊ FoFo BBB JUNTA ELÁSTICA DN 450 x 450</t>
  </si>
  <si>
    <t>I11349</t>
  </si>
  <si>
    <t>TÊ FoFo BBB JUNTA ELÁSTICA DN 500 x 150</t>
  </si>
  <si>
    <t>I11350</t>
  </si>
  <si>
    <t>TÊ FoFo BBB JUNTA ELÁSTICA DN 500 x 250</t>
  </si>
  <si>
    <t>I11351</t>
  </si>
  <si>
    <t>TÊ FoFo BBB JUNTA ELÁSTICA DN 500 x 350</t>
  </si>
  <si>
    <t>I11352</t>
  </si>
  <si>
    <t>TÊ FoFo BBB JUNTA ELÁSTICA DN 500 x 400</t>
  </si>
  <si>
    <t>I11353</t>
  </si>
  <si>
    <t>TÊ FoFo BBB JUNTA ELÁSTICA DN 500 x 600</t>
  </si>
  <si>
    <t>I11354</t>
  </si>
  <si>
    <t>TÊ FoFo BBB JUNTA ELÁSTICA DN 550 x 600</t>
  </si>
  <si>
    <t>I11355</t>
  </si>
  <si>
    <t>TÊ FoFo BBB JUNTA ELÁSTICA DN 600 x 150</t>
  </si>
  <si>
    <t>I11356</t>
  </si>
  <si>
    <t>TÊ FoFo BBB JUNTA ELÁSTICA DN 600 x 250</t>
  </si>
  <si>
    <t>I11357</t>
  </si>
  <si>
    <t>TÊ FoFo BBB JUNTA ELÁSTICA DN 600 x 350</t>
  </si>
  <si>
    <t>I11358</t>
  </si>
  <si>
    <t>TÊ FoFo BBB JUNTA ELÁSTICA DN 700 x 150</t>
  </si>
  <si>
    <t>I11359</t>
  </si>
  <si>
    <t>TÊ FoFo BBB JUNTA ELÁSTICA DN 700 x 200</t>
  </si>
  <si>
    <t>I11360</t>
  </si>
  <si>
    <t>TÊ FoFo BBB JUNTA ELÁSTICA DN 700 x 250</t>
  </si>
  <si>
    <t>I11361</t>
  </si>
  <si>
    <t>TÊ FoFo BBB JUNTA ELÁSTICA DN 700 x 400</t>
  </si>
  <si>
    <t>I11362</t>
  </si>
  <si>
    <t>TÊ FoFo BBB JUNTA ELÁSTICA DN 700 x 500</t>
  </si>
  <si>
    <t>I11363</t>
  </si>
  <si>
    <t>TÊ FoFo BBB JUNTA ELÁSTICA DN 700 x 600</t>
  </si>
  <si>
    <t>I11364</t>
  </si>
  <si>
    <t>TÊ FoFo BBB JUNTA ELÁSTICA DN 700 x 700</t>
  </si>
  <si>
    <t>I11365</t>
  </si>
  <si>
    <t>TÊ FoFo BBB JUNTA ELÁSTICA DN 800 x 200</t>
  </si>
  <si>
    <t>I11366</t>
  </si>
  <si>
    <t>TÊ FoFo BBB JUNTA ELÁSTICA DN 800 x 800</t>
  </si>
  <si>
    <t>I11367</t>
  </si>
  <si>
    <t>TÊ FoFo BBB JUNTA ELÁSTICA DN 900 x 200</t>
  </si>
  <si>
    <t>I11368</t>
  </si>
  <si>
    <t>TÊ FoFo BBB JUNTA ELÁSTICA DN 900 x 600</t>
  </si>
  <si>
    <t>I11369</t>
  </si>
  <si>
    <t>TÊ FoFo BBB JUNTA ELÁSTICA DN 900 x 900</t>
  </si>
  <si>
    <t>I11464</t>
  </si>
  <si>
    <t>TÊ FoFo BBF DN 100 x 100 PN 25</t>
  </si>
  <si>
    <t>I11457</t>
  </si>
  <si>
    <t>TÊ FoFo BBF DN 1000 x 1000 PN 16</t>
  </si>
  <si>
    <t>I11536</t>
  </si>
  <si>
    <t>TÊ FoFo BBF DN 1000 x 1000 PN 25</t>
  </si>
  <si>
    <t>I11453</t>
  </si>
  <si>
    <t>TÊ FoFo BBF DN 1000 x 200 PN 16</t>
  </si>
  <si>
    <t>I11532</t>
  </si>
  <si>
    <t>TÊ FoFo BBF DN 1000 x 200 PN 25</t>
  </si>
  <si>
    <t>I11454</t>
  </si>
  <si>
    <t>TÊ FoFo BBF DN 1000 x 400 PN 16</t>
  </si>
  <si>
    <t>I11533</t>
  </si>
  <si>
    <t>TÊ FoFo BBF DN 1000 x 400 PN 25</t>
  </si>
  <si>
    <t>I11455</t>
  </si>
  <si>
    <t>TÊ FoFo BBF DN 1000 x 600 PN 16</t>
  </si>
  <si>
    <t>I11534</t>
  </si>
  <si>
    <t>TÊ FoFo BBF DN 1000 x 600 PN 25</t>
  </si>
  <si>
    <t>I11456</t>
  </si>
  <si>
    <t>TÊ FoFo BBF DN 1000 x 800 PN 16</t>
  </si>
  <si>
    <t>I11535</t>
  </si>
  <si>
    <t>TÊ FoFo BBF DN 1000 x 800 PN 25</t>
  </si>
  <si>
    <t>I11462</t>
  </si>
  <si>
    <t>TÊ FoFo BBF DN 1200 x 1000 PN 16</t>
  </si>
  <si>
    <t>I11542</t>
  </si>
  <si>
    <t>TÊ FoFo BBF DN 1200 x 1000 PN 25</t>
  </si>
  <si>
    <t>I11463</t>
  </si>
  <si>
    <t>TÊ FoFo BBF DN 1200 x 1200 PN 16</t>
  </si>
  <si>
    <t>I11543</t>
  </si>
  <si>
    <t>TÊ FoFo BBF DN 1200 x 1200 PN 25</t>
  </si>
  <si>
    <t>I11458</t>
  </si>
  <si>
    <t>TÊ FoFo BBF DN 1200 x 200 PN 16</t>
  </si>
  <si>
    <t>I11537</t>
  </si>
  <si>
    <t>TÊ FoFo BBF DN 1200 x 200 PN 25</t>
  </si>
  <si>
    <t>I11538</t>
  </si>
  <si>
    <t>TÊ FoFo BBF DN 1200 x 300 PN 25</t>
  </si>
  <si>
    <t>I11459</t>
  </si>
  <si>
    <t>TÊ FoFo BBF DN 1200 x 400 PN 16</t>
  </si>
  <si>
    <t>I11539</t>
  </si>
  <si>
    <t>TÊ FoFo BBF DN 1200 x 400 PN 25</t>
  </si>
  <si>
    <t>I11460</t>
  </si>
  <si>
    <t>TÊ FoFo BBF DN 1200 x 600 PN 16</t>
  </si>
  <si>
    <t>I11540</t>
  </si>
  <si>
    <t>TÊ FoFo BBF DN 1200 x 600 PN 25</t>
  </si>
  <si>
    <t>I11461</t>
  </si>
  <si>
    <t>TÊ FoFo BBF DN 1200 x 800 PN 16</t>
  </si>
  <si>
    <t>I11541</t>
  </si>
  <si>
    <t>TÊ FoFo BBF DN 1200 x 800 PN 25</t>
  </si>
  <si>
    <t>I11465</t>
  </si>
  <si>
    <t>TÊ FoFo BBF DN 150 x 100 PN 25</t>
  </si>
  <si>
    <t>I11466</t>
  </si>
  <si>
    <t>TÊ FoFo BBF DN 150 x 150 PN 25</t>
  </si>
  <si>
    <t>I11467</t>
  </si>
  <si>
    <t>TÊ FoFo BBF DN 200 x 100 PN 25</t>
  </si>
  <si>
    <t>I11468</t>
  </si>
  <si>
    <t>TÊ FoFo BBF DN 200 x 150 PN 25</t>
  </si>
  <si>
    <t>I11404</t>
  </si>
  <si>
    <t>TÊ FoFo BBF DN 200 x 200 PN 16</t>
  </si>
  <si>
    <t>I11469</t>
  </si>
  <si>
    <t>TÊ FoFo BBF DN 200 x 200 PN 25</t>
  </si>
  <si>
    <t>I11470</t>
  </si>
  <si>
    <t>TÊ FoFo BBF DN 250 x 100 PN 25/40</t>
  </si>
  <si>
    <t>I11377</t>
  </si>
  <si>
    <t>TÊ FoFo BBF DN 250 x 150 PN 10/16</t>
  </si>
  <si>
    <t>I11471</t>
  </si>
  <si>
    <t>TÊ FoFo BBF DN 250 x 150 PN 25</t>
  </si>
  <si>
    <t>I11378</t>
  </si>
  <si>
    <t>TÊ FoFo BBF DN 250 x 200 PN 10</t>
  </si>
  <si>
    <t>I11405</t>
  </si>
  <si>
    <t>TÊ FoFo BBF DN 250 x 200 PN 16</t>
  </si>
  <si>
    <t>I11472</t>
  </si>
  <si>
    <t>TÊ FoFo BBF DN 250 x 200 PN 25</t>
  </si>
  <si>
    <t>I11406</t>
  </si>
  <si>
    <t>TÊ FoFo BBF DN 250 x 250 PN 16</t>
  </si>
  <si>
    <t>I11473</t>
  </si>
  <si>
    <t>TÊ FoFo BBF DN 250 x 250 PN 25</t>
  </si>
  <si>
    <t>I11474</t>
  </si>
  <si>
    <t>TÊ FoFo BBF DN 300 x 100 PN 25</t>
  </si>
  <si>
    <t>I11379</t>
  </si>
  <si>
    <t>TÊ FoFo BBF DN 300 x 150 PN 10/16</t>
  </si>
  <si>
    <t>I11475</t>
  </si>
  <si>
    <t>TÊ FoFo BBF DN 300 x 150 PN 25</t>
  </si>
  <si>
    <t>I11407</t>
  </si>
  <si>
    <t>TÊ FoFo BBF DN 300 x 200 PN 16</t>
  </si>
  <si>
    <t>I11476</t>
  </si>
  <si>
    <t>TÊ FoFo BBF DN 300 x 200 PN 25</t>
  </si>
  <si>
    <t>I11380</t>
  </si>
  <si>
    <t>TÊ FoFo BBF DN 300 x 250 PN 10</t>
  </si>
  <si>
    <t>I11408</t>
  </si>
  <si>
    <t>TÊ FoFo BBF DN 300 x 250 PN 16</t>
  </si>
  <si>
    <t>I11477</t>
  </si>
  <si>
    <t>TÊ FoFo BBF DN 300 x 250 PN 25</t>
  </si>
  <si>
    <t>I11409</t>
  </si>
  <si>
    <t>TÊ FoFo BBF DN 300 x 300 PN 16</t>
  </si>
  <si>
    <t>I11478</t>
  </si>
  <si>
    <t>TÊ FoFo BBF DN 300 x 300 PN 25</t>
  </si>
  <si>
    <t>I11479</t>
  </si>
  <si>
    <t>TÊ FoFo BBF DN 350 x 100 PN 25</t>
  </si>
  <si>
    <t>I11381</t>
  </si>
  <si>
    <t>TÊ FoFo BBF DN 350 x 150 PN 10/16</t>
  </si>
  <si>
    <t>I11480</t>
  </si>
  <si>
    <t>TÊ FoFo BBF DN 350 x 150 PN 25</t>
  </si>
  <si>
    <t>I11410</t>
  </si>
  <si>
    <t>TÊ FoFo BBF DN 350 x 200 PN 16</t>
  </si>
  <si>
    <t>I11481</t>
  </si>
  <si>
    <t>TÊ FoFo BBF DN 350 x 200 PN 25</t>
  </si>
  <si>
    <t>I11382</t>
  </si>
  <si>
    <t>TÊ FoFo BBF DN 350 x 250 PN 10</t>
  </si>
  <si>
    <t>I11411</t>
  </si>
  <si>
    <t>TÊ FoFo BBF DN 350 x 250 PN 16</t>
  </si>
  <si>
    <t>I11482</t>
  </si>
  <si>
    <t>TÊ FoFo BBF DN 350 x 250 PN 25</t>
  </si>
  <si>
    <t>I11383</t>
  </si>
  <si>
    <t>TÊ FoFo BBF DN 350 x 300 PN 10</t>
  </si>
  <si>
    <t>I11412</t>
  </si>
  <si>
    <t>TÊ FoFo BBF DN 350 x 300 PN 16</t>
  </si>
  <si>
    <t>I11483</t>
  </si>
  <si>
    <t>TÊ FoFo BBF DN 350 x 300 PN 25</t>
  </si>
  <si>
    <t>I11413</t>
  </si>
  <si>
    <t>TÊ FoFo BBF DN 350 x 350 PN 16</t>
  </si>
  <si>
    <t>I11484</t>
  </si>
  <si>
    <t>TÊ FoFo BBF DN 350 x 350 PN 25</t>
  </si>
  <si>
    <t>I11485</t>
  </si>
  <si>
    <t>TÊ FoFo BBF DN 400 x 100 PN 25</t>
  </si>
  <si>
    <t>I11384</t>
  </si>
  <si>
    <t>TÊ FoFo BBF DN 400 x 150 PN 10/16</t>
  </si>
  <si>
    <t>I11486</t>
  </si>
  <si>
    <t>TÊ FoFo BBF DN 400 x 150 PN 25</t>
  </si>
  <si>
    <t>I11414</t>
  </si>
  <si>
    <t>TÊ FoFo BBF DN 400 x 200 PN 16</t>
  </si>
  <si>
    <t>I11487</t>
  </si>
  <si>
    <t>TÊ FoFo BBF DN 400 x 200 PN 25</t>
  </si>
  <si>
    <t>I11385</t>
  </si>
  <si>
    <t>TÊ FoFo BBF DN 400 x 250 PN 10</t>
  </si>
  <si>
    <t>I11415</t>
  </si>
  <si>
    <t>TÊ FoFo BBF DN 400 x 250 PN 16</t>
  </si>
  <si>
    <t>I11488</t>
  </si>
  <si>
    <t>TÊ FoFo BBF DN 400 x 250 PN 25</t>
  </si>
  <si>
    <t>I11416</t>
  </si>
  <si>
    <t>TÊ FoFo BBF DN 400 x 300 PN 16</t>
  </si>
  <si>
    <t>I11489</t>
  </si>
  <si>
    <t>TÊ FoFo BBF DN 400 x 300 PN 25</t>
  </si>
  <si>
    <t>I11417</t>
  </si>
  <si>
    <t>TÊ FoFo BBF DN 400 x 400 PN 16</t>
  </si>
  <si>
    <t>I11490</t>
  </si>
  <si>
    <t>TÊ FoFo BBF DN 400 x 400 PN 25</t>
  </si>
  <si>
    <t>I11386</t>
  </si>
  <si>
    <t>TÊ FoFo BBF DN 450 x 300 PN 10</t>
  </si>
  <si>
    <t>I11418</t>
  </si>
  <si>
    <t>TÊ FoFo BBF DN 450 x 300 PN 16</t>
  </si>
  <si>
    <t>I11491</t>
  </si>
  <si>
    <t>TÊ FoFo BBF DN 450 x 300 PN 25</t>
  </si>
  <si>
    <t>I11387</t>
  </si>
  <si>
    <t>TÊ FoFo BBF DN 450 x 450 PN 10</t>
  </si>
  <si>
    <t>I11419</t>
  </si>
  <si>
    <t>TÊ FoFo BBF DN 450 x 450 PN 16</t>
  </si>
  <si>
    <t>I11492</t>
  </si>
  <si>
    <t>TÊ FoFo BBF DN 450 x 450 PN 25</t>
  </si>
  <si>
    <t>I11493</t>
  </si>
  <si>
    <t>TÊ FoFo BBF DN 500 x 100 PN 25</t>
  </si>
  <si>
    <t>I11388</t>
  </si>
  <si>
    <t>TÊ FoFo BBF DN 500 x 150 PN 10/16</t>
  </si>
  <si>
    <t>I11494</t>
  </si>
  <si>
    <t>TÊ FoFo BBF DN 500 x 150 PN 25</t>
  </si>
  <si>
    <t>I11420</t>
  </si>
  <si>
    <t>TÊ FoFo BBF DN 500 x 200 PN 16</t>
  </si>
  <si>
    <t>I11495</t>
  </si>
  <si>
    <t>TÊ FoFo BBF DN 500 x 200 PN 25</t>
  </si>
  <si>
    <t>I11389</t>
  </si>
  <si>
    <t>TÊ FoFo BBF DN 500 x 250 PN 10</t>
  </si>
  <si>
    <t>I11421</t>
  </si>
  <si>
    <t>TÊ FoFo BBF DN 500 x 250 PN 16</t>
  </si>
  <si>
    <t>I11496</t>
  </si>
  <si>
    <t>TÊ FoFo BBF DN 500 x 250 PN 25</t>
  </si>
  <si>
    <t>I11422</t>
  </si>
  <si>
    <t>TÊ FoFo BBF DN 500 x 300 PN 16</t>
  </si>
  <si>
    <t>I11497</t>
  </si>
  <si>
    <t>TÊ FoFo BBF DN 500 x 300 PN 25</t>
  </si>
  <si>
    <t>I11390</t>
  </si>
  <si>
    <t>TÊ FoFo BBF DN 500 x 350 PN 10</t>
  </si>
  <si>
    <t>I11423</t>
  </si>
  <si>
    <t>TÊ FoFo BBF DN 500 x 350 PN 16</t>
  </si>
  <si>
    <t>I11498</t>
  </si>
  <si>
    <t>TÊ FoFo BBF DN 500 x 350 PN 25</t>
  </si>
  <si>
    <t>I11424</t>
  </si>
  <si>
    <t>TÊ FoFo BBF DN 500 x 400 PN 16</t>
  </si>
  <si>
    <t>I11499</t>
  </si>
  <si>
    <t>TÊ FoFo BBF DN 500 x 400 PN 25</t>
  </si>
  <si>
    <t>I11425</t>
  </si>
  <si>
    <t>TÊ FoFo BBF DN 500 x 500 PN 16</t>
  </si>
  <si>
    <t>I11500</t>
  </si>
  <si>
    <t>TÊ FoFo BBF DN 500 x 500 PN 25</t>
  </si>
  <si>
    <t>I11391</t>
  </si>
  <si>
    <t>TÊ FoFo BBF DN 550 x 600 PN 10</t>
  </si>
  <si>
    <t>I11426</t>
  </si>
  <si>
    <t>TÊ FoFo BBF DN 550 x 600 PN 16</t>
  </si>
  <si>
    <t>I11501</t>
  </si>
  <si>
    <t>TÊ FoFo BBF DN 550 x 600 PN 25</t>
  </si>
  <si>
    <t>I11502</t>
  </si>
  <si>
    <t>TÊ FoFo BBF DN 600 x 100 PN 25</t>
  </si>
  <si>
    <t>I11392</t>
  </si>
  <si>
    <t>TÊ FoFo BBF DN 600 x 150 PN 10/16</t>
  </si>
  <si>
    <t>I11503</t>
  </si>
  <si>
    <t>TÊ FoFo BBF DN 600 x 150 PN 25</t>
  </si>
  <si>
    <t>I11427</t>
  </si>
  <si>
    <t>TÊ FoFo BBF DN 600 x 200 PN 16</t>
  </si>
  <si>
    <t>I11504</t>
  </si>
  <si>
    <t>TÊ FoFo BBF DN 600 x 200 PN 25</t>
  </si>
  <si>
    <t>I11393</t>
  </si>
  <si>
    <t>TÊ FoFo BBF DN 600 x 250 PN 10</t>
  </si>
  <si>
    <t>I11428</t>
  </si>
  <si>
    <t>TÊ FoFo BBF DN 600 x 250 PN 16</t>
  </si>
  <si>
    <t>I11505</t>
  </si>
  <si>
    <t>TÊ FoFo BBF DN 600 x 250 PN 25</t>
  </si>
  <si>
    <t>I11429</t>
  </si>
  <si>
    <t>TÊ FoFo BBF DN 600 x 300 PN 16</t>
  </si>
  <si>
    <t>I11506</t>
  </si>
  <si>
    <t>TÊ FoFo BBF DN 600 x 300 PN 25</t>
  </si>
  <si>
    <t>I11394</t>
  </si>
  <si>
    <t>TÊ FoFo BBF DN 600 x 350 PN 10</t>
  </si>
  <si>
    <t>I11430</t>
  </si>
  <si>
    <t>TÊ FoFo BBF DN 600 x 350 PN 16</t>
  </si>
  <si>
    <t>I11507</t>
  </si>
  <si>
    <t>TÊ FoFo BBF DN 600 x 350 PN 25</t>
  </si>
  <si>
    <t>I11431</t>
  </si>
  <si>
    <t>TÊ FoFo BBF DN 600 x 400 PN 16</t>
  </si>
  <si>
    <t>I11508</t>
  </si>
  <si>
    <t>TÊ FoFo BBF DN 600 x 400 PN 25</t>
  </si>
  <si>
    <t>I11395</t>
  </si>
  <si>
    <t>TÊ FoFo BBF DN 600 x 500 PN 10</t>
  </si>
  <si>
    <t>I11432</t>
  </si>
  <si>
    <t>TÊ FoFo BBF DN 600 x 500 PN 16</t>
  </si>
  <si>
    <t>I11509</t>
  </si>
  <si>
    <t>TÊ FoFo BBF DN 600 x 500 PN 25</t>
  </si>
  <si>
    <t>I11433</t>
  </si>
  <si>
    <t>TÊ FoFo BBF DN 600 x 600 PN 16</t>
  </si>
  <si>
    <t>I11510</t>
  </si>
  <si>
    <t>TÊ FoFo BBF DN 600 x 600 PN 25</t>
  </si>
  <si>
    <t>I11396</t>
  </si>
  <si>
    <t>TÊ FoFo BBF DN 700 x 100 PN 10/16</t>
  </si>
  <si>
    <t>I11511</t>
  </si>
  <si>
    <t>TÊ FoFo BBF DN 700 x 100 PN 25</t>
  </si>
  <si>
    <t>I11434</t>
  </si>
  <si>
    <t>TÊ FoFo BBF DN 700 x 200 PN 16</t>
  </si>
  <si>
    <t>I11512</t>
  </si>
  <si>
    <t>TÊ FoFo BBF DN 700 x 200 PN 25</t>
  </si>
  <si>
    <t>I11397</t>
  </si>
  <si>
    <t>TÊ FoFo BBF DN 700 x 250 PN 10</t>
  </si>
  <si>
    <t>I11435</t>
  </si>
  <si>
    <t>TÊ FoFo BBF DN 700 x 250 PN 16</t>
  </si>
  <si>
    <t>I11513</t>
  </si>
  <si>
    <t>TÊ FoFo BBF DN 700 x 250 PN 25</t>
  </si>
  <si>
    <t>I11398</t>
  </si>
  <si>
    <t>TÊ FoFo BBF DN 700 x 300 PN 10</t>
  </si>
  <si>
    <t>I11436</t>
  </si>
  <si>
    <t>TÊ FoFo BBF DN 700 x 300 PN 16</t>
  </si>
  <si>
    <t>I11514</t>
  </si>
  <si>
    <t>TÊ FoFo BBF DN 700 x 300 PN 25</t>
  </si>
  <si>
    <t>I11437</t>
  </si>
  <si>
    <t>TÊ FoFo BBF DN 700 x 400 PN 16</t>
  </si>
  <si>
    <t>I11515</t>
  </si>
  <si>
    <t>TÊ FoFo BBF DN 700 x 400 PN 25</t>
  </si>
  <si>
    <t>I11399</t>
  </si>
  <si>
    <t>TÊ FoFo BBF DN 700 x 500 PN 10</t>
  </si>
  <si>
    <t>I11438</t>
  </si>
  <si>
    <t>TÊ FoFo BBF DN 700 x 500 PN 16</t>
  </si>
  <si>
    <t>I11516</t>
  </si>
  <si>
    <t>TÊ FoFo BBF DN 700 x 500 PN 25</t>
  </si>
  <si>
    <t>I11439</t>
  </si>
  <si>
    <t>TÊ FoFo BBF DN 700 x 600 PN 16</t>
  </si>
  <si>
    <t>I11517</t>
  </si>
  <si>
    <t>TÊ FoFo BBF DN 700 x 600 PN 25</t>
  </si>
  <si>
    <t>I11440</t>
  </si>
  <si>
    <t>TÊ FoFo BBF DN 700 x 700 PN 16</t>
  </si>
  <si>
    <t>I11518</t>
  </si>
  <si>
    <t>TÊ FoFo BBF DN 700 x 700 PN 25</t>
  </si>
  <si>
    <t>I11400</t>
  </si>
  <si>
    <t>TÊ FoFo BBF DN 800 x 100 PN 10/16</t>
  </si>
  <si>
    <t>I11519</t>
  </si>
  <si>
    <t>TÊ FoFo BBF DN 800 x 100 PN 25</t>
  </si>
  <si>
    <t>I11441</t>
  </si>
  <si>
    <t>TÊ FoFo BBF DN 800 x 200 PN 16</t>
  </si>
  <si>
    <t>I11520</t>
  </si>
  <si>
    <t>TÊ FoFo BBF DN 800 x 200 PN 25</t>
  </si>
  <si>
    <t>I11401</t>
  </si>
  <si>
    <t>TÊ FoFo BBF DN 800 x 300 PN 10</t>
  </si>
  <si>
    <t>I11442</t>
  </si>
  <si>
    <t>TÊ FoFo BBF DN 800 x 300 PN 16</t>
  </si>
  <si>
    <t>I11521</t>
  </si>
  <si>
    <t>TÊ FoFo BBF DN 800 x 300 PN 25</t>
  </si>
  <si>
    <t>I11443</t>
  </si>
  <si>
    <t>TÊ FoFo BBF DN 800 x 400 PN 16</t>
  </si>
  <si>
    <t>I11522</t>
  </si>
  <si>
    <t>TÊ FoFo BBF DN 800 x 400 PN 25</t>
  </si>
  <si>
    <t>I11402</t>
  </si>
  <si>
    <t>TÊ FoFo BBF DN 800 x 500 PN 10</t>
  </si>
  <si>
    <t>I11444</t>
  </si>
  <si>
    <t>TÊ FoFo BBF DN 800 x 500 PN 16</t>
  </si>
  <si>
    <t>I11523</t>
  </si>
  <si>
    <t>TÊ FoFo BBF DN 800 x 500 PN 25</t>
  </si>
  <si>
    <t>I11445</t>
  </si>
  <si>
    <t>TÊ FoFo BBF DN 800 x 600 PN 16</t>
  </si>
  <si>
    <t>I11524</t>
  </si>
  <si>
    <t>TÊ FoFo BBF DN 800 x 600 PN 25</t>
  </si>
  <si>
    <t>I11403</t>
  </si>
  <si>
    <t>TÊ FoFo BBF DN 800 x 700 PN 10</t>
  </si>
  <si>
    <t>I11446</t>
  </si>
  <si>
    <t>TÊ FoFo BBF DN 800 x 700 PN 16</t>
  </si>
  <si>
    <t>I11525</t>
  </si>
  <si>
    <t>TÊ FoFo BBF DN 800 x 700 PN 25</t>
  </si>
  <si>
    <t>I11447</t>
  </si>
  <si>
    <t>TÊ FoFo BBF DN 800 x 800 PN 16</t>
  </si>
  <si>
    <t>I11526</t>
  </si>
  <si>
    <t>TÊ FoFo BBF DN 800 x 800 PN 25</t>
  </si>
  <si>
    <t>I11448</t>
  </si>
  <si>
    <t>TÊ FoFo BBF DN 900 x 200 PN 16</t>
  </si>
  <si>
    <t>I11527</t>
  </si>
  <si>
    <t>TÊ FoFo BBF DN 900 x 200 PN 25</t>
  </si>
  <si>
    <t>I11449</t>
  </si>
  <si>
    <t>TÊ FoFo BBF DN 900 x 400 PN 16</t>
  </si>
  <si>
    <t>I11528</t>
  </si>
  <si>
    <t>TÊ FoFo BBF DN 900 x 400 PN 25</t>
  </si>
  <si>
    <t>I11450</t>
  </si>
  <si>
    <t>TÊ FoFo BBF DN 900 x 600 PN 16</t>
  </si>
  <si>
    <t>I11529</t>
  </si>
  <si>
    <t>TÊ FoFo BBF DN 900 x 600 PN 25</t>
  </si>
  <si>
    <t>I11451</t>
  </si>
  <si>
    <t>TÊ FoFo BBF DN 900 x 800 PN 16</t>
  </si>
  <si>
    <t>I11530</t>
  </si>
  <si>
    <t>TÊ FoFo BBF DN 900 x 800 PN 25</t>
  </si>
  <si>
    <t>I11452</t>
  </si>
  <si>
    <t>TÊ FoFo BBF DN 900 x 900 PN 16</t>
  </si>
  <si>
    <t>I11531</t>
  </si>
  <si>
    <t>TÊ FoFo BBF DN 900 x 900 PN 25</t>
  </si>
  <si>
    <t>I11576</t>
  </si>
  <si>
    <t>TÊ FoFo BBF JTE DN 1000 x 200 PN 10</t>
  </si>
  <si>
    <t>I11610</t>
  </si>
  <si>
    <t>TÊ FoFo BBF JTE DN 1000 x 200 PN 16</t>
  </si>
  <si>
    <t>I11648</t>
  </si>
  <si>
    <t>TÊ FoFo BBF JTE DN 1000 x 200 PN 25</t>
  </si>
  <si>
    <t>I11577</t>
  </si>
  <si>
    <t>TÊ FoFo BBF JTE DN 1000 x 400 PN 10</t>
  </si>
  <si>
    <t>I11611</t>
  </si>
  <si>
    <t>TÊ FoFo BBF JTE DN 1000 x 400 PN 16</t>
  </si>
  <si>
    <t>I11649</t>
  </si>
  <si>
    <t>TÊ FoFo BBF JTE DN 1000 x 400 PN 25</t>
  </si>
  <si>
    <t>I11578</t>
  </si>
  <si>
    <t>TÊ FoFo BBF JTE DN 1000 x 600 PN 10</t>
  </si>
  <si>
    <t>I11612</t>
  </si>
  <si>
    <t>TÊ FoFo BBF JTE DN 1000 x 600 PN 16</t>
  </si>
  <si>
    <t>I11650</t>
  </si>
  <si>
    <t>TÊ FoFo BBF JTE DN 1000 x 600 PN 25</t>
  </si>
  <si>
    <t>I11579</t>
  </si>
  <si>
    <t>TÊ FoFo BBF JTE DN 1000 x 800 PN 10</t>
  </si>
  <si>
    <t>I11613</t>
  </si>
  <si>
    <t>TÊ FoFo BBF JTE DN 1000 x 800 PN 16</t>
  </si>
  <si>
    <t>I11651</t>
  </si>
  <si>
    <t>TÊ FoFo BBF JTE DN 1000 x 800 PN 25</t>
  </si>
  <si>
    <t>I11580</t>
  </si>
  <si>
    <t>TÊ FoFo BBF JTE DN 1200 x 200 PN 10</t>
  </si>
  <si>
    <t>I11614</t>
  </si>
  <si>
    <t>TÊ FoFo BBF JTE DN 1200 x 200 PN 16</t>
  </si>
  <si>
    <t>I11652</t>
  </si>
  <si>
    <t>TÊ FoFo BBF JTE DN 1200 x 200 PN 25</t>
  </si>
  <si>
    <t>I11581</t>
  </si>
  <si>
    <t>TÊ FoFo BBF JTE DN 1200 x 600 PN 10</t>
  </si>
  <si>
    <t>I11615</t>
  </si>
  <si>
    <t>TÊ FoFo BBF JTE DN 1200 x 600 PN 16</t>
  </si>
  <si>
    <t>I11653</t>
  </si>
  <si>
    <t>TÊ FoFo BBF JTE DN 1200 x 600 PN 25</t>
  </si>
  <si>
    <t>I11582</t>
  </si>
  <si>
    <t>TÊ FoFo BBF JTE DN 1200 x 800 PN 10</t>
  </si>
  <si>
    <t>I11616</t>
  </si>
  <si>
    <t>TÊ FoFo BBF JTE DN 1200 x 800 PN 16</t>
  </si>
  <si>
    <t>I11654</t>
  </si>
  <si>
    <t>TÊ FoFo BBF JTE DN 1200 x 800 PN 25</t>
  </si>
  <si>
    <t>I11544</t>
  </si>
  <si>
    <t>TÊ FoFo BBF JTE DN 300 x 100 PN 10/16</t>
  </si>
  <si>
    <t>I11545</t>
  </si>
  <si>
    <t>TÊ FoFo BBF JTE DN 300 x 200 PN 10</t>
  </si>
  <si>
    <t>I11583</t>
  </si>
  <si>
    <t>TÊ FoFo BBF JTE DN 300 x 200 PN 16</t>
  </si>
  <si>
    <t>I11617</t>
  </si>
  <si>
    <t>TÊ FoFo BBF JTE DN 300 x 200 PN 25</t>
  </si>
  <si>
    <t>I11546</t>
  </si>
  <si>
    <t>TÊ FoFo BBF JTE DN 300 x 300 PN 10</t>
  </si>
  <si>
    <t>I11584</t>
  </si>
  <si>
    <t>TÊ FoFo BBF JTE DN 300 x 300 PN 16</t>
  </si>
  <si>
    <t>I11618</t>
  </si>
  <si>
    <t>TÊ FoFo BBF JTE DN 300 x 300 PN 25</t>
  </si>
  <si>
    <t>I11547</t>
  </si>
  <si>
    <t>TÊ FoFo BBF JTE DN 350 x 100 PN 10/16</t>
  </si>
  <si>
    <t>I11619</t>
  </si>
  <si>
    <t>TÊ FoFo BBF JTE DN 350 x 100 PN 25</t>
  </si>
  <si>
    <t>I11548</t>
  </si>
  <si>
    <t>TÊ FoFo BBF JTE DN 350 x 200 PN 10</t>
  </si>
  <si>
    <t>I11585</t>
  </si>
  <si>
    <t>TÊ FoFo BBF JTE DN 350 x 200 PN 16</t>
  </si>
  <si>
    <t>I11620</t>
  </si>
  <si>
    <t>TÊ FoFo BBF JTE DN 350 x 200 PN 25</t>
  </si>
  <si>
    <t>I11549</t>
  </si>
  <si>
    <t>TÊ FoFo BBF JTE DN 350 x 350 PN 10</t>
  </si>
  <si>
    <t>I11586</t>
  </si>
  <si>
    <t>TÊ FoFo BBF JTE DN 350 x 350 PN 16</t>
  </si>
  <si>
    <t>I11621</t>
  </si>
  <si>
    <t>TÊ FoFo BBF JTE DN 350 x 350 PN 25</t>
  </si>
  <si>
    <t>I11550</t>
  </si>
  <si>
    <t>TÊ FoFo BBF JTE DN 400 x 100 PN 10/16</t>
  </si>
  <si>
    <t>I11622</t>
  </si>
  <si>
    <t>TÊ FoFo BBF JTE DN 400 x 100 PN 25</t>
  </si>
  <si>
    <t>I11551</t>
  </si>
  <si>
    <t>TÊ FoFo BBF JTE DN 400 x 200 PN 10</t>
  </si>
  <si>
    <t>I11587</t>
  </si>
  <si>
    <t>TÊ FoFo BBF JTE DN 400 x 200 PN 16</t>
  </si>
  <si>
    <t>I11623</t>
  </si>
  <si>
    <t>TÊ FoFo BBF JTE DN 400 x 200 PN 25</t>
  </si>
  <si>
    <t>I11552</t>
  </si>
  <si>
    <t>TÊ FoFo BBF JTE DN 400 x 300 PN 10</t>
  </si>
  <si>
    <t>I11588</t>
  </si>
  <si>
    <t>TÊ FoFo BBF JTE DN 400 x 300 PN 16</t>
  </si>
  <si>
    <t>I11624</t>
  </si>
  <si>
    <t>TÊ FoFo BBF JTE DN 400 x 300 PN 25</t>
  </si>
  <si>
    <t>I11553</t>
  </si>
  <si>
    <t>TÊ FoFo BBF JTE DN 400 x 400 PN 10</t>
  </si>
  <si>
    <t>I11589</t>
  </si>
  <si>
    <t>TÊ FoFo BBF JTE DN 400 x 400 PN 16</t>
  </si>
  <si>
    <t>I11625</t>
  </si>
  <si>
    <t>TÊ FoFo BBF JTE DN 400 x 400 PN 25</t>
  </si>
  <si>
    <t>I11554</t>
  </si>
  <si>
    <t>TÊ FoFo BBF JTE DN 500 x 100 PN 10/16</t>
  </si>
  <si>
    <t>I11626</t>
  </si>
  <si>
    <t>TÊ FoFo BBF JTE DN 500 x 100 PN 25</t>
  </si>
  <si>
    <t>I11555</t>
  </si>
  <si>
    <t>TÊ FoFo BBF JTE DN 500 x 200 PN 10</t>
  </si>
  <si>
    <t>I11590</t>
  </si>
  <si>
    <t>TÊ FoFo BBF JTE DN 500 x 200 PN 16</t>
  </si>
  <si>
    <t>I11627</t>
  </si>
  <si>
    <t>TÊ FoFo BBF JTE DN 500 x 200 PN 25</t>
  </si>
  <si>
    <t>I11556</t>
  </si>
  <si>
    <t>TÊ FoFo BBF JTE DN 500 x 300 PN 10</t>
  </si>
  <si>
    <t>I11591</t>
  </si>
  <si>
    <t>TÊ FoFo BBF JTE DN 500 x 300 PN 16</t>
  </si>
  <si>
    <t>I11628</t>
  </si>
  <si>
    <t>TÊ FoFo BBF JTE DN 500 x 300 PN 25</t>
  </si>
  <si>
    <t>I11557</t>
  </si>
  <si>
    <t>TÊ FoFo BBF JTE DN 500 x 400 PN 10</t>
  </si>
  <si>
    <t>I11592</t>
  </si>
  <si>
    <t>TÊ FoFo BBF JTE DN 500 x 400 PN 16</t>
  </si>
  <si>
    <t>I11629</t>
  </si>
  <si>
    <t>TÊ FoFo BBF JTE DN 500 x 400 PN 25</t>
  </si>
  <si>
    <t>I11558</t>
  </si>
  <si>
    <t>TÊ FoFo BBF JTE DN 500 x 500 PN 10</t>
  </si>
  <si>
    <t>I11593</t>
  </si>
  <si>
    <t>TÊ FoFo BBF JTE DN 500 x 500 PN 16</t>
  </si>
  <si>
    <t>I11630</t>
  </si>
  <si>
    <t>TÊ FoFo BBF JTE DN 500 x 500 PN 25</t>
  </si>
  <si>
    <t>I11559</t>
  </si>
  <si>
    <t>TÊ FoFo BBF JTE DN 600 x 100 PN 10/16</t>
  </si>
  <si>
    <t>I11631</t>
  </si>
  <si>
    <t>TÊ FoFo BBF JTE DN 600 x 100 PN 25</t>
  </si>
  <si>
    <t>I11560</t>
  </si>
  <si>
    <t>TÊ FoFo BBF JTE DN 600 x 200 PN 10</t>
  </si>
  <si>
    <t>I11594</t>
  </si>
  <si>
    <t>TÊ FoFo BBF JTE DN 600 x 200 PN 16</t>
  </si>
  <si>
    <t>I11632</t>
  </si>
  <si>
    <t>TÊ FoFo BBF JTE DN 600 x 200 PN 25</t>
  </si>
  <si>
    <t>I11561</t>
  </si>
  <si>
    <t>TÊ FoFo BBF JTE DN 600 x 300 PN 10</t>
  </si>
  <si>
    <t>I11595</t>
  </si>
  <si>
    <t>TÊ FoFo BBF JTE DN 600 x 300 PN 16</t>
  </si>
  <si>
    <t>I11633</t>
  </si>
  <si>
    <t>TÊ FoFo BBF JTE DN 600 x 300 PN 25</t>
  </si>
  <si>
    <t>I11562</t>
  </si>
  <si>
    <t>TÊ FoFo BBF JTE DN 600 x 400 PN 10</t>
  </si>
  <si>
    <t>I11596</t>
  </si>
  <si>
    <t>TÊ FoFo BBF JTE DN 600 x 400 PN 16</t>
  </si>
  <si>
    <t>I11634</t>
  </si>
  <si>
    <t>TÊ FoFo BBF JTE DN 600 x 400 PN 25</t>
  </si>
  <si>
    <t>I11563</t>
  </si>
  <si>
    <t>TÊ FoFo BBF JTE DN 600 x 600 PN 10</t>
  </si>
  <si>
    <t>I11597</t>
  </si>
  <si>
    <t>TÊ FoFo BBF JTE DN 600 x 600 PN 16</t>
  </si>
  <si>
    <t>I11635</t>
  </si>
  <si>
    <t>TÊ FoFo BBF JTE DN 600 x 600 PN 25</t>
  </si>
  <si>
    <t>I11564</t>
  </si>
  <si>
    <t>TÊ FoFo BBF JTE DN 700 x 200 PN 10</t>
  </si>
  <si>
    <t>I11598</t>
  </si>
  <si>
    <t>TÊ FoFo BBF JTE DN 700 x 200 PN 16</t>
  </si>
  <si>
    <t>I11636</t>
  </si>
  <si>
    <t>TÊ FoFo BBF JTE DN 700 x 200 PN 25</t>
  </si>
  <si>
    <t>I11565</t>
  </si>
  <si>
    <t>TÊ FoFo BBF JTE DN 700 x 600 PN 10</t>
  </si>
  <si>
    <t>I11599</t>
  </si>
  <si>
    <t>TÊ FoFo BBF JTE DN 700 x 600 PN 16</t>
  </si>
  <si>
    <t>I11637</t>
  </si>
  <si>
    <t>TÊ FoFo BBF JTE DN 700 x 600 PN 25</t>
  </si>
  <si>
    <t>I11566</t>
  </si>
  <si>
    <t>TÊ FoFo BBF JTE DN 700 x 700 PN 10</t>
  </si>
  <si>
    <t>I11600</t>
  </si>
  <si>
    <t>TÊ FoFo BBF JTE DN 700 x 700 PN 16</t>
  </si>
  <si>
    <t>I11638</t>
  </si>
  <si>
    <t>TÊ FoFo BBF JTE DN 700 x 700 PN 25</t>
  </si>
  <si>
    <t>I11567</t>
  </si>
  <si>
    <t>TÊ FoFo BBF JTE DN 800 x 200 PN 10</t>
  </si>
  <si>
    <t>I11601</t>
  </si>
  <si>
    <t>TÊ FoFo BBF JTE DN 800 x 200 PN 16</t>
  </si>
  <si>
    <t>I11639</t>
  </si>
  <si>
    <t>TÊ FoFo BBF JTE DN 800 x 200 PN 25</t>
  </si>
  <si>
    <t>I11568</t>
  </si>
  <si>
    <t>TÊ FoFo BBF JTE DN 800 x 400 PN 10</t>
  </si>
  <si>
    <t>I11602</t>
  </si>
  <si>
    <t>TÊ FoFo BBF JTE DN 800 x 400 PN 16</t>
  </si>
  <si>
    <t>I11640</t>
  </si>
  <si>
    <t>TÊ FoFo BBF JTE DN 800 x 400 PN 25</t>
  </si>
  <si>
    <t>I11569</t>
  </si>
  <si>
    <t>TÊ FoFo BBF JTE DN 800 x 600 PN 10</t>
  </si>
  <si>
    <t>I11603</t>
  </si>
  <si>
    <t>TÊ FoFo BBF JTE DN 800 x 600 PN 16</t>
  </si>
  <si>
    <t>I11641</t>
  </si>
  <si>
    <t>TÊ FoFo BBF JTE DN 800 x 600 PN 25</t>
  </si>
  <si>
    <t>I11570</t>
  </si>
  <si>
    <t>TÊ FoFo BBF JTE DN 800 x 800 PN 10</t>
  </si>
  <si>
    <t>I11604</t>
  </si>
  <si>
    <t>TÊ FoFo BBF JTE DN 800 x 800 PN 16</t>
  </si>
  <si>
    <t>I11642</t>
  </si>
  <si>
    <t>TÊ FoFo BBF JTE DN 800 x 800 PN 25</t>
  </si>
  <si>
    <t>I11571</t>
  </si>
  <si>
    <t>TÊ FoFo BBF JTE DN 900 x 200 PN 10</t>
  </si>
  <si>
    <t>I11605</t>
  </si>
  <si>
    <t>TÊ FoFo BBF JTE DN 900 x 200 PN 16</t>
  </si>
  <si>
    <t>I11643</t>
  </si>
  <si>
    <t>TÊ FoFo BBF JTE DN 900 x 200 PN 25</t>
  </si>
  <si>
    <t>I11572</t>
  </si>
  <si>
    <t>TÊ FoFo BBF JTE DN 900 x 400 PN 10</t>
  </si>
  <si>
    <t>I11606</t>
  </si>
  <si>
    <t>TÊ FoFo BBF JTE DN 900 x 400 PN 16</t>
  </si>
  <si>
    <t>I11644</t>
  </si>
  <si>
    <t>TÊ FoFo BBF JTE DN 900 x 400 PN 25</t>
  </si>
  <si>
    <t>I11573</t>
  </si>
  <si>
    <t>TÊ FoFo BBF JTE DN 900 x 600 PN 10</t>
  </si>
  <si>
    <t>I11607</t>
  </si>
  <si>
    <t>TÊ FoFo BBF JTE DN 900 x 600 PN 16</t>
  </si>
  <si>
    <t>I11645</t>
  </si>
  <si>
    <t>TÊ FoFo BBF JTE DN 900 x 600 PN 25</t>
  </si>
  <si>
    <t>I11574</t>
  </si>
  <si>
    <t>TÊ FoFo BBF JTE DN 900 x 800 PN 10</t>
  </si>
  <si>
    <t>I11608</t>
  </si>
  <si>
    <t>TÊ FoFo BBF JTE DN 900 x 800 PN 16</t>
  </si>
  <si>
    <t>I11646</t>
  </si>
  <si>
    <t>TÊ FoFo BBF JTE DN 900 x 800 PN 25</t>
  </si>
  <si>
    <t>I11575</t>
  </si>
  <si>
    <t>TÊ FoFo BBF JTE DN 900 x 900 PN 10</t>
  </si>
  <si>
    <t>I11609</t>
  </si>
  <si>
    <t>TÊ FoFo BBF JTE DN 900 x 900 PN 16</t>
  </si>
  <si>
    <t>I11647</t>
  </si>
  <si>
    <t>TÊ FoFo BBF JTE DN 900 x 900 PN 25</t>
  </si>
  <si>
    <t>I11748</t>
  </si>
  <si>
    <t>TÊ FoFo FF DN 100 x 100 PN25/40</t>
  </si>
  <si>
    <t>I11746</t>
  </si>
  <si>
    <t>TÊ FoFo FF DN 100 x 50 PN25</t>
  </si>
  <si>
    <t>I11747</t>
  </si>
  <si>
    <t>TÊ FoFo FF DN 100 x 80 PN25</t>
  </si>
  <si>
    <t>I11740</t>
  </si>
  <si>
    <t>TÊ FoFo FF DN 1000 x 1000 PN16</t>
  </si>
  <si>
    <t>I11822</t>
  </si>
  <si>
    <t>TÊ FoFo FF DN 1000 x 1000 PN25</t>
  </si>
  <si>
    <t>I11736</t>
  </si>
  <si>
    <t>TÊ FoFo FF DN 1000 x 200 PN16</t>
  </si>
  <si>
    <t>I11818</t>
  </si>
  <si>
    <t>TÊ FoFo FF DN 1000 x 200 PN25</t>
  </si>
  <si>
    <t>I11737</t>
  </si>
  <si>
    <t>TÊ FoFo FF DN 1000 x 400 PN16</t>
  </si>
  <si>
    <t>I11819</t>
  </si>
  <si>
    <t>TÊ FoFo FF DN 1000 x 400 PN25</t>
  </si>
  <si>
    <t>I11738</t>
  </si>
  <si>
    <t>TÊ FoFo FF DN 1000 x 600 PN16</t>
  </si>
  <si>
    <t>I11820</t>
  </si>
  <si>
    <t>TÊ FoFo FF DN 1000 x 600 PN25</t>
  </si>
  <si>
    <t>I11670</t>
  </si>
  <si>
    <t>TÊ FoFo FF DN 1000 x 800 PN10</t>
  </si>
  <si>
    <t>I11739</t>
  </si>
  <si>
    <t>TÊ FoFo FF DN 1000 x 800 PN16</t>
  </si>
  <si>
    <t>I11821</t>
  </si>
  <si>
    <t>TÊ FoFo FF DN 1000 x 800 PN25</t>
  </si>
  <si>
    <t>I11744</t>
  </si>
  <si>
    <t>TÊ FoFo FF DN 1200 x 1000 PN16</t>
  </si>
  <si>
    <t>I11826</t>
  </si>
  <si>
    <t>TÊ FoFo FF DN 1200 x 1000 PN25</t>
  </si>
  <si>
    <t>I11745</t>
  </si>
  <si>
    <t>TÊ FoFo FF DN 1200 x 1200 PN16</t>
  </si>
  <si>
    <t>I11827</t>
  </si>
  <si>
    <t>TÊ FoFo FF DN 1200 x 1200 PN25</t>
  </si>
  <si>
    <t>I11741</t>
  </si>
  <si>
    <t>TÊ FoFo FF DN 1200 x 200 PN16</t>
  </si>
  <si>
    <t>I11823</t>
  </si>
  <si>
    <t>TÊ FoFo FF DN 1200 x 200 PN25</t>
  </si>
  <si>
    <t>I11742</t>
  </si>
  <si>
    <t>TÊ FoFo FF DN 1200 x 400 PN16</t>
  </si>
  <si>
    <t>I11824</t>
  </si>
  <si>
    <t>TÊ FoFo FF DN 1200 x 400 PN25</t>
  </si>
  <si>
    <t>I11743</t>
  </si>
  <si>
    <t>TÊ FoFo FF DN 1200 x 600 PN16</t>
  </si>
  <si>
    <t>I11825</t>
  </si>
  <si>
    <t>TÊ FoFo FF DN 1200 x 600 PN25</t>
  </si>
  <si>
    <t>I11752</t>
  </si>
  <si>
    <t>TÊ FoFo FF DN 150 x 100 PN25</t>
  </si>
  <si>
    <t>I11753</t>
  </si>
  <si>
    <t>TÊ FoFo FF DN 150 x 150 PN25</t>
  </si>
  <si>
    <t>I11749</t>
  </si>
  <si>
    <t>TÊ FoFo FF DN 150 x 50 PN25</t>
  </si>
  <si>
    <t>I11750</t>
  </si>
  <si>
    <t>TÊ FoFo FF DN 150 x 75 PN25</t>
  </si>
  <si>
    <t>I11751</t>
  </si>
  <si>
    <t>TÊ FoFo FF DN 150 x 80 PN25</t>
  </si>
  <si>
    <t>I11674</t>
  </si>
  <si>
    <t>TÊ FoFo FF DN 200 x 100 PN16</t>
  </si>
  <si>
    <t>I11756</t>
  </si>
  <si>
    <t>TÊ FoFo FF DN 200 x 100 PN25</t>
  </si>
  <si>
    <t>I11675</t>
  </si>
  <si>
    <t>TÊ FoFo FF DN 200 x 150 PN16</t>
  </si>
  <si>
    <t>I11757</t>
  </si>
  <si>
    <t>TÊ FoFo FF DN 200 x 150 PN25</t>
  </si>
  <si>
    <t>I11676</t>
  </si>
  <si>
    <t>TÊ FoFo FF DN 200 x 200 PN16</t>
  </si>
  <si>
    <t>I11758</t>
  </si>
  <si>
    <t>TÊ FoFo FF DN 200 x 200 PN25</t>
  </si>
  <si>
    <t>I11671</t>
  </si>
  <si>
    <t>TÊ FoFo FF DN 200 x 50 PN16</t>
  </si>
  <si>
    <t>I11754</t>
  </si>
  <si>
    <t>TÊ FoFo FF DN 200 x 50 PN25</t>
  </si>
  <si>
    <t>I11672</t>
  </si>
  <si>
    <t>TÊ FoFo FF DN 200 x 75 PN16</t>
  </si>
  <si>
    <t>I11673</t>
  </si>
  <si>
    <t>TÊ FoFo FF DN 200 x 80 PN16</t>
  </si>
  <si>
    <t>I11755</t>
  </si>
  <si>
    <t>TÊ FoFo FF DN 200 x 80 PN25</t>
  </si>
  <si>
    <t>I11680</t>
  </si>
  <si>
    <t>TÊ FoFo FF DN 250 x 100 PN16</t>
  </si>
  <si>
    <t>I11762</t>
  </si>
  <si>
    <t>TÊ FoFo FF DN 250 x 100 PN25</t>
  </si>
  <si>
    <t>I11655</t>
  </si>
  <si>
    <t>TÊ FoFo FF DN 250 x 150 PN10</t>
  </si>
  <si>
    <t>I11681</t>
  </si>
  <si>
    <t>TÊ FoFo FF DN 250 x 150 PN16</t>
  </si>
  <si>
    <t>I11763</t>
  </si>
  <si>
    <t>TÊ FoFo FF DN 250 x 150 PN25</t>
  </si>
  <si>
    <t>I11682</t>
  </si>
  <si>
    <t>TÊ FoFo FF DN 250 x 200 PN16</t>
  </si>
  <si>
    <t>I11764</t>
  </si>
  <si>
    <t>TÊ FoFo FF DN 250 x 200 PN25</t>
  </si>
  <si>
    <t>I11683</t>
  </si>
  <si>
    <t>TÊ FoFo FF DN 250 x 250 PN16</t>
  </si>
  <si>
    <t>I11765</t>
  </si>
  <si>
    <t>TÊ FoFo FF DN 250 x 250 PN25</t>
  </si>
  <si>
    <t>I11677</t>
  </si>
  <si>
    <t>TÊ FoFo FF DN 250 x 50 PN16</t>
  </si>
  <si>
    <t>I11759</t>
  </si>
  <si>
    <t>TÊ FoFo FF DN 250 x 50 PN25</t>
  </si>
  <si>
    <t>I11678</t>
  </si>
  <si>
    <t>TÊ FoFo FF DN 250 x 75 PN16</t>
  </si>
  <si>
    <t>I11760</t>
  </si>
  <si>
    <t>TÊ FoFo FF DN 250 x 75 PN25</t>
  </si>
  <si>
    <t>I11679</t>
  </si>
  <si>
    <t>TÊ FoFo FF DN 250 x 80 PN16</t>
  </si>
  <si>
    <t>I11761</t>
  </si>
  <si>
    <t>TÊ FoFo FF DN 250 x 80 PN25</t>
  </si>
  <si>
    <t>I11684</t>
  </si>
  <si>
    <t>TÊ FoFo FF DN 300 x 100 PN16</t>
  </si>
  <si>
    <t>I11766</t>
  </si>
  <si>
    <t>TÊ FoFo FF DN 300 x 100 PN25</t>
  </si>
  <si>
    <t>I11656</t>
  </si>
  <si>
    <t>TÊ FoFo FF DN 300 x 150 PN10</t>
  </si>
  <si>
    <t>I11685</t>
  </si>
  <si>
    <t>TÊ FoFo FF DN 300 x 150 PN16</t>
  </si>
  <si>
    <t>I11767</t>
  </si>
  <si>
    <t>TÊ FoFo FF DN 300 x 150 PN25</t>
  </si>
  <si>
    <t>I11686</t>
  </si>
  <si>
    <t>TÊ FoFo FF DN 300 x 200 PN16</t>
  </si>
  <si>
    <t>I11768</t>
  </si>
  <si>
    <t>TÊ FoFo FF DN 300 x 200 PN25</t>
  </si>
  <si>
    <t>I11657</t>
  </si>
  <si>
    <t>TÊ FoFo FF DN 300 x 250 PN10</t>
  </si>
  <si>
    <t>I11687</t>
  </si>
  <si>
    <t>TÊ FoFo FF DN 300 x 250 PN16</t>
  </si>
  <si>
    <t>I11769</t>
  </si>
  <si>
    <t>TÊ FoFo FF DN 300 x 250 PN25</t>
  </si>
  <si>
    <t>I11688</t>
  </si>
  <si>
    <t>TÊ FoFo FF DN 300 x 300 PN16</t>
  </si>
  <si>
    <t>I11770</t>
  </si>
  <si>
    <t>TÊ FoFo FF DN 300 x 300 PN25</t>
  </si>
  <si>
    <t>I11689</t>
  </si>
  <si>
    <t>TÊ FoFo FF DN 350 x 100 PN16</t>
  </si>
  <si>
    <t>I11771</t>
  </si>
  <si>
    <t>TÊ FoFo FF DN 350 x 100 PN25</t>
  </si>
  <si>
    <t>I11658</t>
  </si>
  <si>
    <t>TÊ FoFo FF DN 350 x 150 PN10</t>
  </si>
  <si>
    <t>I11690</t>
  </si>
  <si>
    <t>TÊ FoFo FF DN 350 x 150 PN16</t>
  </si>
  <si>
    <t>I11772</t>
  </si>
  <si>
    <t>TÊ FoFo FF DN 350 x 150 PN25</t>
  </si>
  <si>
    <t>I11691</t>
  </si>
  <si>
    <t>TÊ FoFo FF DN 350 x 200 PN16</t>
  </si>
  <si>
    <t>I11773</t>
  </si>
  <si>
    <t>TÊ FoFo FF DN 350 x 200 PN25</t>
  </si>
  <si>
    <t>I11659</t>
  </si>
  <si>
    <t>TÊ FoFo FF DN 350 x 250 PN10</t>
  </si>
  <si>
    <t>I11692</t>
  </si>
  <si>
    <t>TÊ FoFo FF DN 350 x 250 PN16</t>
  </si>
  <si>
    <t>I11774</t>
  </si>
  <si>
    <t>TÊ FoFo FF DN 350 x 250 PN25</t>
  </si>
  <si>
    <t>I11693</t>
  </si>
  <si>
    <t>TÊ FoFo FF DN 350 x 300 PN16</t>
  </si>
  <si>
    <t>I11775</t>
  </si>
  <si>
    <t>TÊ FoFo FF DN 350 x 300 PN25</t>
  </si>
  <si>
    <t>I11694</t>
  </si>
  <si>
    <t>TÊ FoFo FF DN 350 x 350 PN16</t>
  </si>
  <si>
    <t>I11776</t>
  </si>
  <si>
    <t>TÊ FoFo FF DN 350 x 350 PN25</t>
  </si>
  <si>
    <t>I11695</t>
  </si>
  <si>
    <t>TÊ FoFo FF DN 400 x 100 PN16</t>
  </si>
  <si>
    <t>I11777</t>
  </si>
  <si>
    <t>TÊ FoFo FF DN 400 x 100 PN25</t>
  </si>
  <si>
    <t>I11660</t>
  </si>
  <si>
    <t>TÊ FoFo FF DN 400 x 150 PN10</t>
  </si>
  <si>
    <t>I11696</t>
  </si>
  <si>
    <t>TÊ FoFo FF DN 400 x 150 PN16</t>
  </si>
  <si>
    <t>I11778</t>
  </si>
  <si>
    <t>TÊ FoFo FF DN 400 x 150 PN25</t>
  </si>
  <si>
    <t>I11697</t>
  </si>
  <si>
    <t>TÊ FoFo FF DN 400 x 200 PN16</t>
  </si>
  <si>
    <t>I11779</t>
  </si>
  <si>
    <t>TÊ FoFo FF DN 400 x 200 PN25</t>
  </si>
  <si>
    <t>I11661</t>
  </si>
  <si>
    <t>TÊ FoFo FF DN 400 x 250 PN10</t>
  </si>
  <si>
    <t>I11698</t>
  </si>
  <si>
    <t>TÊ FoFo FF DN 400 x 250 PN16</t>
  </si>
  <si>
    <t>I11780</t>
  </si>
  <si>
    <t>TÊ FoFo FF DN 400 x 250 PN25</t>
  </si>
  <si>
    <t>I11699</t>
  </si>
  <si>
    <t>TÊ FoFo FF DN 400 x 300 PN16</t>
  </si>
  <si>
    <t>I11781</t>
  </si>
  <si>
    <t>TÊ FoFo FF DN 400 x 300 PN25</t>
  </si>
  <si>
    <t>I11662</t>
  </si>
  <si>
    <t>TÊ FoFo FF DN 400 x 350 PN10</t>
  </si>
  <si>
    <t>I11700</t>
  </si>
  <si>
    <t>TÊ FoFo FF DN 400 x 350 PN16</t>
  </si>
  <si>
    <t>I11782</t>
  </si>
  <si>
    <t>TÊ FoFo FF DN 400 x 350 PN25</t>
  </si>
  <si>
    <t>I11701</t>
  </si>
  <si>
    <t>TÊ FoFo FF DN 400 x 400 PN16</t>
  </si>
  <si>
    <t>I11783</t>
  </si>
  <si>
    <t>TÊ FoFo FF DN 400 x 400 PN25</t>
  </si>
  <si>
    <t>I11702</t>
  </si>
  <si>
    <t>TÊ FoFo FF DN 450 x 100 PN16</t>
  </si>
  <si>
    <t>I11784</t>
  </si>
  <si>
    <t>TÊ FoFo FF DN 450 x 100 PN25</t>
  </si>
  <si>
    <t>I11703</t>
  </si>
  <si>
    <t>TÊ FoFo FF DN 450 x 200 PN16</t>
  </si>
  <si>
    <t>I11785</t>
  </si>
  <si>
    <t>TÊ FoFo FF DN 450 x 200 PN25</t>
  </si>
  <si>
    <t>I11663</t>
  </si>
  <si>
    <t>TÊ FoFo FF DN 450 x 250 PN10</t>
  </si>
  <si>
    <t>I11704</t>
  </si>
  <si>
    <t>TÊ FoFo FF DN 450 x 250 PN16</t>
  </si>
  <si>
    <t>I11786</t>
  </si>
  <si>
    <t>TÊ FoFo FF DN 450 x 250 PN25</t>
  </si>
  <si>
    <t>I11705</t>
  </si>
  <si>
    <t>TÊ FoFo FF DN 450 x 300 PN16</t>
  </si>
  <si>
    <t>I11787</t>
  </si>
  <si>
    <t>TÊ FoFo FF DN 450 x 300 PN25</t>
  </si>
  <si>
    <t>I11706</t>
  </si>
  <si>
    <t>TÊ FoFo FF DN 450 x 400 PN16</t>
  </si>
  <si>
    <t>I11788</t>
  </si>
  <si>
    <t>TÊ FoFo FF DN 450 x 400 PN25</t>
  </si>
  <si>
    <t>I11707</t>
  </si>
  <si>
    <t>TÊ FoFo FF DN 450 x 450 PN16</t>
  </si>
  <si>
    <t>I11789</t>
  </si>
  <si>
    <t>TÊ FoFo FF DN 450 x 450 PN25</t>
  </si>
  <si>
    <t>I11708</t>
  </si>
  <si>
    <t>TÊ FoFo FF DN 500 x 100 PN16</t>
  </si>
  <si>
    <t>I11790</t>
  </si>
  <si>
    <t>TÊ FoFo FF DN 500 x 100 PN25</t>
  </si>
  <si>
    <t>I11709</t>
  </si>
  <si>
    <t>TÊ FoFo FF DN 500 x 200 PN16</t>
  </si>
  <si>
    <t>I11791</t>
  </si>
  <si>
    <t>TÊ FoFo FF DN 500 x 200 PN25</t>
  </si>
  <si>
    <t>I11664</t>
  </si>
  <si>
    <t>TÊ FoFo FF DN 500 x 250 PN10</t>
  </si>
  <si>
    <t>I11710</t>
  </si>
  <si>
    <t>TÊ FoFo FF DN 500 x 250 PN16</t>
  </si>
  <si>
    <t>I11792</t>
  </si>
  <si>
    <t>TÊ FoFo FF DN 500 x 250 PN25</t>
  </si>
  <si>
    <t>I11711</t>
  </si>
  <si>
    <t>TÊ FoFo FF DN 500 x 300 PN16</t>
  </si>
  <si>
    <t>I11793</t>
  </si>
  <si>
    <t>TÊ FoFo FF DN 500 x 300 PN25</t>
  </si>
  <si>
    <t>I11665</t>
  </si>
  <si>
    <t>TÊ FoFo FF DN 500 x 350 PN10</t>
  </si>
  <si>
    <t>I11712</t>
  </si>
  <si>
    <t>TÊ FoFo FF DN 500 x 350 PN16</t>
  </si>
  <si>
    <t>I11794</t>
  </si>
  <si>
    <t>TÊ FoFo FF DN 500 x 350 PN25</t>
  </si>
  <si>
    <t>I11713</t>
  </si>
  <si>
    <t>TÊ FoFo FF DN 500 x 400 PN16</t>
  </si>
  <si>
    <t>I11795</t>
  </si>
  <si>
    <t>TÊ FoFo FF DN 500 x 400 PN25</t>
  </si>
  <si>
    <t>I11714</t>
  </si>
  <si>
    <t>TÊ FoFo FF DN 500 x 500 PN16</t>
  </si>
  <si>
    <t>I11796</t>
  </si>
  <si>
    <t>TÊ FoFo FF DN 500 x 500 PN25</t>
  </si>
  <si>
    <t>I11715</t>
  </si>
  <si>
    <t>TÊ FoFo FF DN 600 x 100 PN16</t>
  </si>
  <si>
    <t>I11797</t>
  </si>
  <si>
    <t>TÊ FoFo FF DN 600 x 100 PN25</t>
  </si>
  <si>
    <t>I11666</t>
  </si>
  <si>
    <t>TÊ FoFo FF DN 600 x 150 PN10</t>
  </si>
  <si>
    <t>I11716</t>
  </si>
  <si>
    <t>TÊ FoFo FF DN 600 x 150 PN16</t>
  </si>
  <si>
    <t>I11798</t>
  </si>
  <si>
    <t>TÊ FoFo FF DN 600 x 150 PN25</t>
  </si>
  <si>
    <t>I11717</t>
  </si>
  <si>
    <t>TÊ FoFo FF DN 600 x 200 PN16</t>
  </si>
  <si>
    <t>I11799</t>
  </si>
  <si>
    <t>TÊ FoFo FF DN 600 x 200 PN25</t>
  </si>
  <si>
    <t>I11667</t>
  </si>
  <si>
    <t>TÊ FoFo FF DN 600 x 250 PN10</t>
  </si>
  <si>
    <t>I11718</t>
  </si>
  <si>
    <t>TÊ FoFo FF DN 600 x 250 PN16</t>
  </si>
  <si>
    <t>I11800</t>
  </si>
  <si>
    <t>TÊ FoFo FF DN 600 x 250 PN25</t>
  </si>
  <si>
    <t>I11719</t>
  </si>
  <si>
    <t>TÊ FoFo FF DN 600 x 300 PN16</t>
  </si>
  <si>
    <t>I11801</t>
  </si>
  <si>
    <t>TÊ FoFo FF DN 600 x 300 PN25</t>
  </si>
  <si>
    <t>I11668</t>
  </si>
  <si>
    <t>TÊ FoFo FF DN 600 x 350 PN10</t>
  </si>
  <si>
    <t>I11720</t>
  </si>
  <si>
    <t>TÊ FoFo FF DN 600 x 350 PN16</t>
  </si>
  <si>
    <t>I11802</t>
  </si>
  <si>
    <t>TÊ FoFo FF DN 600 x 350 PN25</t>
  </si>
  <si>
    <t>I11721</t>
  </si>
  <si>
    <t>TÊ FoFo FF DN 600 x 400 PN16</t>
  </si>
  <si>
    <t>I11803</t>
  </si>
  <si>
    <t>TÊ FoFo FF DN 600 x 400 PN25</t>
  </si>
  <si>
    <t>I11722</t>
  </si>
  <si>
    <t>TÊ FoFo FF DN 600 x 500 PN16</t>
  </si>
  <si>
    <t>I11804</t>
  </si>
  <si>
    <t>TÊ FoFo FF DN 600 x 500 PN25</t>
  </si>
  <si>
    <t>I11723</t>
  </si>
  <si>
    <t>TÊ FoFo FF DN 600 x 600 PN16</t>
  </si>
  <si>
    <t>I11805</t>
  </si>
  <si>
    <t>TÊ FoFo FF DN 600 x 600 PN25</t>
  </si>
  <si>
    <t>I11724</t>
  </si>
  <si>
    <t>TÊ FoFo FF DN 700 x 200 PN16</t>
  </si>
  <si>
    <t>I11806</t>
  </si>
  <si>
    <t>TÊ FoFo FF DN 700 x 200 PN25</t>
  </si>
  <si>
    <t>I11725</t>
  </si>
  <si>
    <t>TÊ FoFo FF DN 700 x 400 PN16</t>
  </si>
  <si>
    <t>I11807</t>
  </si>
  <si>
    <t>TÊ FoFo FF DN 700 x 400 PN25</t>
  </si>
  <si>
    <t>I11726</t>
  </si>
  <si>
    <t>TÊ FoFo FF DN 700 x 700 PN16</t>
  </si>
  <si>
    <t>I11808</t>
  </si>
  <si>
    <t>TÊ FoFo FF DN 700 x 700 PN25</t>
  </si>
  <si>
    <t>I11727</t>
  </si>
  <si>
    <t>TÊ FoFo FF DN 800 x 200 PN16</t>
  </si>
  <si>
    <t>I11809</t>
  </si>
  <si>
    <t>TÊ FoFo FF DN 800 x 200 PN25</t>
  </si>
  <si>
    <t>I11669</t>
  </si>
  <si>
    <t>TÊ FoFo FF DN 800 x 250 PN10</t>
  </si>
  <si>
    <t>I11728</t>
  </si>
  <si>
    <t>TÊ FoFo FF DN 800 x 250 PN16</t>
  </si>
  <si>
    <t>I11810</t>
  </si>
  <si>
    <t>TÊ FoFo FF DN 800 x 250 PN25</t>
  </si>
  <si>
    <t>I11729</t>
  </si>
  <si>
    <t>TÊ FoFo FF DN 800 x 400 PN16</t>
  </si>
  <si>
    <t>I11811</t>
  </si>
  <si>
    <t>TÊ FoFo FF DN 800 x 400 PN25</t>
  </si>
  <si>
    <t>I11730</t>
  </si>
  <si>
    <t>TÊ FoFo FF DN 800 x 600 PN16</t>
  </si>
  <si>
    <t>I11812</t>
  </si>
  <si>
    <t>TÊ FoFo FF DN 800 x 600 PN25</t>
  </si>
  <si>
    <t>I11731</t>
  </si>
  <si>
    <t>TÊ FoFo FF DN 800 x 800 PN16</t>
  </si>
  <si>
    <t>I11813</t>
  </si>
  <si>
    <t>TÊ FoFo FF DN 800 x 800 PN25</t>
  </si>
  <si>
    <t>I11732</t>
  </si>
  <si>
    <t>TÊ FoFo FF DN 900 x 200 PN16</t>
  </si>
  <si>
    <t>I11814</t>
  </si>
  <si>
    <t>TÊ FoFo FF DN 900 x 200 PN25</t>
  </si>
  <si>
    <t>I11733</t>
  </si>
  <si>
    <t>TÊ FoFo FF DN 900 x 400 PN16</t>
  </si>
  <si>
    <t>I11815</t>
  </si>
  <si>
    <t>TÊ FoFo FF DN 900 x 400 PN25</t>
  </si>
  <si>
    <t>I11734</t>
  </si>
  <si>
    <t>TÊ FoFo FF DN 900 x 600 PN16</t>
  </si>
  <si>
    <t>I11816</t>
  </si>
  <si>
    <t>TÊ FoFo FF DN 900 x 600 PN25</t>
  </si>
  <si>
    <t>I11735</t>
  </si>
  <si>
    <t>TÊ FoFo FF DN 900 x 900 PN16</t>
  </si>
  <si>
    <t>I11817</t>
  </si>
  <si>
    <t>TÊ FoFo FF DN 900 x 900 PN25</t>
  </si>
  <si>
    <t>I6321</t>
  </si>
  <si>
    <t>UNIDADE DE PRÉ-TRATAMENTO EM FIBRA E ELEVATÓRIA SEM CONJUNTO MOTOBOMBA CAPACIDADE  24  a 36 m3/DIA</t>
  </si>
  <si>
    <t>I6322</t>
  </si>
  <si>
    <t>UNIDADE DE PRÉ-TRATAMENTO EM FIBRA E ELEVATÓRIA SEM CONJUNTO MOTOBOMBA CAPACIDADE  37  a 65 m3/DIA</t>
  </si>
  <si>
    <t>I6323</t>
  </si>
  <si>
    <t>UNIDADE DE PRÉ-TRATAMENTO EM FIBRA E ELEVATÓRIA SEM CONJUNTO MOTOBOMBA CAPACIDADE  66  a 96 m3/DIA</t>
  </si>
  <si>
    <t>I6324</t>
  </si>
  <si>
    <t>UNIDADE DE PRÉ-TRATAMENTO EM FIBRA E ELEVATÓRIA SEM CONJUNTO MOTOBOMBA CAPACIDADE  97  a 137 m3/DIA</t>
  </si>
  <si>
    <t>I6325</t>
  </si>
  <si>
    <t>UNIDADE DE PRÉ-TRATAMENTO EM FIBRA E ELEVATÓRIA SEM CONJUNTO MOTOBOMBA CAPACIDADE 138  a 204 m3/DIA</t>
  </si>
  <si>
    <t>I6326</t>
  </si>
  <si>
    <t>UNIDADE DE PRÉ-TRATAMENTO EM FIBRA E ELEVATÓRIA SEM CONJUNTO MOTOBOMBA CAPACIDADE 205  a 360 m3/DIA</t>
  </si>
  <si>
    <t>I6327</t>
  </si>
  <si>
    <t>UNIDADE DE PRÉ-TRATAMENTO EM FIBRA E ELEVATÓRIA SEM CONJUNTO MOTOBOMBA CAPACIDADE 361  a 451 m3/DIA</t>
  </si>
  <si>
    <t>I6328</t>
  </si>
  <si>
    <t>UNIDADE DE PRÉ-TRATAMENTO EM FIBRA E ELEVATÓRIA SEM CONJUNTO MOTOBOMBA CAPACIDADE 452  a 569 m3/DIA</t>
  </si>
  <si>
    <t>I6329</t>
  </si>
  <si>
    <t>UNIDADE DE PRÉ-TRATAMENTO EM FIBRA E ELEVATÓRIA SEM CONJUNTO MOTOBOMBA CAPACIDADE 570  a 852 m3/DIA</t>
  </si>
  <si>
    <t>I7061</t>
  </si>
  <si>
    <t>UNIDADE DE PRÉ-TRATAMENTO EM FIBRA E ELEVATÓRIA SEM CONJUNTO MOTOBOMBA CAPACIDADE 852 A 1428 m³/DIA</t>
  </si>
  <si>
    <t>I2963</t>
  </si>
  <si>
    <t>UNIÃO P/ POLIETILENO 20</t>
  </si>
  <si>
    <t>I5599</t>
  </si>
  <si>
    <t>VALV. BORB. AWWA MEC/V PORCA VIAJ. DN 600 PN16</t>
  </si>
  <si>
    <t>I5687</t>
  </si>
  <si>
    <t>VALV.RET. PORT. UNICA FLANGE C/BY-PASS DN  50 PN16</t>
  </si>
  <si>
    <t>I5688</t>
  </si>
  <si>
    <t>VALV.RET. PORT. UNICA FLANGE C/BY-PASS DN  75 PN16</t>
  </si>
  <si>
    <t>I5689</t>
  </si>
  <si>
    <t>VALV.RET. PORT. UNICA FLANGE C/BY-PASS DN 100 PN16</t>
  </si>
  <si>
    <t>I5690</t>
  </si>
  <si>
    <t>VALV.RET. PORT. UNICA FLANGE C/BY-PASS DN 150 PN16</t>
  </si>
  <si>
    <t>I5679</t>
  </si>
  <si>
    <t>VALV.RET. PORT. UNICA FLANGE C/BY-PASS DN 200 PN10</t>
  </si>
  <si>
    <t>I5691</t>
  </si>
  <si>
    <t>VALV.RET. PORT. UNICA FLANGE C/BY-PASS DN 200 PN16</t>
  </si>
  <si>
    <t>I5680</t>
  </si>
  <si>
    <t>VALV.RET. PORT. UNICA FLANGE C/BY-PASS DN 250 PN10</t>
  </si>
  <si>
    <t>I5692</t>
  </si>
  <si>
    <t>VALV.RET. PORT. UNICA FLANGE C/BY-PASS DN 250 PN16</t>
  </si>
  <si>
    <t>I5681</t>
  </si>
  <si>
    <t>VALV.RET. PORT. UNICA FLANGE C/BY-PASS DN 300 PN10</t>
  </si>
  <si>
    <t>I5693</t>
  </si>
  <si>
    <t>VALV.RET. PORT. UNICA FLANGE C/BY-PASS DN 300 PN16</t>
  </si>
  <si>
    <t>I5683</t>
  </si>
  <si>
    <t>VALV.RET. PORT. UNICA FLANGE C/BY-PASS DN 400 PN10</t>
  </si>
  <si>
    <t>I5695</t>
  </si>
  <si>
    <t>VALV.RET. PORT. UNICA FLANGE C/BY-PASS DN 400 PN16</t>
  </si>
  <si>
    <t>I5707</t>
  </si>
  <si>
    <t>VALV.RET.PORT. UNICA SIMPLES EXTREM.FF DN  50 PN16</t>
  </si>
  <si>
    <t>I5708</t>
  </si>
  <si>
    <t>VALV.RET.PORT. UNICA SIMPLES EXTREM.FF DN  75 PN16</t>
  </si>
  <si>
    <t>I5709</t>
  </si>
  <si>
    <t>VALV.RET.PORT. UNICA SIMPLES EXTREM.FF DN 100 PN16</t>
  </si>
  <si>
    <t>I5710</t>
  </si>
  <si>
    <t>VALV.RET.PORT. UNICA SIMPLES EXTREM.FF DN 150 PN16</t>
  </si>
  <si>
    <t>I5699</t>
  </si>
  <si>
    <t>VALV.RET.PORT. UNICA SIMPLES EXTREM.FF DN 200 PN10</t>
  </si>
  <si>
    <t>I5711</t>
  </si>
  <si>
    <t>VALV.RET.PORT. UNICA SIMPLES EXTREM.FF DN 200 PN16</t>
  </si>
  <si>
    <t>I5700</t>
  </si>
  <si>
    <t>VALV.RET.PORT. UNICA SIMPLES EXTREM.FF DN 250 PN10</t>
  </si>
  <si>
    <t>I5712</t>
  </si>
  <si>
    <t>VALV.RET.PORT. UNICA SIMPLES EXTREM.FF DN 250 PN16</t>
  </si>
  <si>
    <t>I5701</t>
  </si>
  <si>
    <t>VALV.RET.PORT. UNICA SIMPLES EXTREM.FF DN 300 PN10</t>
  </si>
  <si>
    <t>I5713</t>
  </si>
  <si>
    <t>VALV.RET.PORT. UNICA SIMPLES EXTREM.FF DN 300 PN16</t>
  </si>
  <si>
    <t>I5703</t>
  </si>
  <si>
    <t>VALV.RET.PORT. UNICA SIMPLES EXTREM.FF DN 400 PN10</t>
  </si>
  <si>
    <t>I5715</t>
  </si>
  <si>
    <t>VALV.RET.PORT. UNICA SIMPLES EXTREM.FF DN 400 PN16</t>
  </si>
  <si>
    <t>I5734</t>
  </si>
  <si>
    <t>VALVULA ANTECIPADORA DE ONDAS PN16 2" - COMPLETA</t>
  </si>
  <si>
    <t>I5735</t>
  </si>
  <si>
    <t>VALVULA ANTECIPADORA DE ONDAS PN16 3" - COMPLETA</t>
  </si>
  <si>
    <t>I5736</t>
  </si>
  <si>
    <t>VALVULA ANTECIPADORA DE ONDAS PN16 4" - COMPLETA</t>
  </si>
  <si>
    <t>I5737</t>
  </si>
  <si>
    <t>VALVULA ANTECIPADORA DE ONDAS PN16 6" - COMPLETA</t>
  </si>
  <si>
    <t>I10199</t>
  </si>
  <si>
    <t>VALVULA BORBOLETA BI-EXCENTRICA COM FLANGES DN 50</t>
  </si>
  <si>
    <t>I10200</t>
  </si>
  <si>
    <t>VALVULA BORBOLETA BI-EXCENTRICA COM FLANGES DN 75</t>
  </si>
  <si>
    <t>I10203</t>
  </si>
  <si>
    <t>VALVULA BORBOLETA BI-EXCENTRICA FLANGEADA COM ATUADOR ELETRICO DN 800</t>
  </si>
  <si>
    <t>I10201</t>
  </si>
  <si>
    <t>VALVULA BORBOLETA BI-EXCÊNTRICA FLANGEADA COM ATUADOR ELETRICO DN 300</t>
  </si>
  <si>
    <t>I10202</t>
  </si>
  <si>
    <t>VALVULA BORBOLETA BI-EXCÊNTRICA FLANGEADA COM ATUADOR ELETRICO DN 500</t>
  </si>
  <si>
    <t>I8701</t>
  </si>
  <si>
    <t>VALVULA BORBOLETA COM BOIA DN  50</t>
  </si>
  <si>
    <t>I8702</t>
  </si>
  <si>
    <t>VALVULA BORBOLETA COM BOIA DN 100</t>
  </si>
  <si>
    <t>I5608</t>
  </si>
  <si>
    <t>VALVULA BORBOLETA COM BOIA DN 200</t>
  </si>
  <si>
    <t>I5609</t>
  </si>
  <si>
    <t>VALVULA BORBOLETA COM BOIA DN 250</t>
  </si>
  <si>
    <t>I5610</t>
  </si>
  <si>
    <t>VALVULA BORBOLETA COM BOIA DN 300</t>
  </si>
  <si>
    <t>I8703</t>
  </si>
  <si>
    <t>VALVULA BORBOLETA COM BOIA DN 400</t>
  </si>
  <si>
    <t>I8711</t>
  </si>
  <si>
    <t>VALVULA BORBOLETA FLANGEADA C VOLANTE DN 200</t>
  </si>
  <si>
    <t>I8712</t>
  </si>
  <si>
    <t>VALVULA BORBOLETA FLANGEADA C VOLANTE DN 250</t>
  </si>
  <si>
    <t>I8713</t>
  </si>
  <si>
    <t>VALVULA BORBOLETA FLANGEADA C VOLANTE DN 300</t>
  </si>
  <si>
    <t>I8714</t>
  </si>
  <si>
    <t>VALVULA BORBOLETA FLANGEADA C VOLANTE DN 350</t>
  </si>
  <si>
    <t>I10207</t>
  </si>
  <si>
    <t>VALVULA BORBOLETA FLANGEADA COM ACIONADOR ELETRICO DN 100</t>
  </si>
  <si>
    <t>I10208</t>
  </si>
  <si>
    <t>VALVULA BORBOLETA FLANGEADA COM ACIONADOR ELETRICO DN 400</t>
  </si>
  <si>
    <t>I8715</t>
  </si>
  <si>
    <t>VALVULA BORBOLETA FLANGEADA COM ACIONADOR ELETRICO F F  DN 200</t>
  </si>
  <si>
    <t>I8716</t>
  </si>
  <si>
    <t>VALVULA BORBOLETA FLANGEADA COM ACIONADOR ELETRICO F F  DN 250</t>
  </si>
  <si>
    <t>I8717</t>
  </si>
  <si>
    <t>VALVULA BORBOLETA FLANGEADA COM ACIONADOR ELETRICO FoFo DN 300</t>
  </si>
  <si>
    <t>I10205</t>
  </si>
  <si>
    <t>VALVULA BORBOLETA FLANGEADA DN 100</t>
  </si>
  <si>
    <t>I8704</t>
  </si>
  <si>
    <t>VALVULA BORBOLETA FLANGEADA DN 200</t>
  </si>
  <si>
    <t>I8705</t>
  </si>
  <si>
    <t>VALVULA BORBOLETA FLANGEADA DN 250</t>
  </si>
  <si>
    <t>I8706</t>
  </si>
  <si>
    <t>VALVULA BORBOLETA FLANGEADA DN 300</t>
  </si>
  <si>
    <t>I8707</t>
  </si>
  <si>
    <t>VALVULA BORBOLETA FLANGEADA DN 350</t>
  </si>
  <si>
    <t>I8708</t>
  </si>
  <si>
    <t>VALVULA BORBOLETA FLANGEADA DN 400</t>
  </si>
  <si>
    <t>I8709</t>
  </si>
  <si>
    <t>VALVULA BORBOLETA FLANGEADA DN 500</t>
  </si>
  <si>
    <t>I8710</t>
  </si>
  <si>
    <t>VALVULA BORBOLETA FLANGEADA DN 600</t>
  </si>
  <si>
    <t>I10204</t>
  </si>
  <si>
    <t>VALVULA BORBOLETA FLANGEADA DN 80</t>
  </si>
  <si>
    <t>I10209</t>
  </si>
  <si>
    <t>VALVULA BORBOLETA TIPO LUG COM FLANGES E ALAVANCA DN 100</t>
  </si>
  <si>
    <t>I10210</t>
  </si>
  <si>
    <t>VALVULA COM CONTROLE PROPORCIONAL - APLICAÇÃO ÁGUA OU AR COMPRIMIDO</t>
  </si>
  <si>
    <t>I5759</t>
  </si>
  <si>
    <t>VALVULA CONTROLADORA NÍVEL MÁX. C/ FLUTUADOR DN 200</t>
  </si>
  <si>
    <t>I5760</t>
  </si>
  <si>
    <t>VALVULA CONTROLADORA NÍVEL MÁX. C/ FLUTUADOR DN 250</t>
  </si>
  <si>
    <t>I5761</t>
  </si>
  <si>
    <t>VALVULA CONTROLADORA NÍVEL MÁX. C/ FLUTUADOR DN 300</t>
  </si>
  <si>
    <t>I10214</t>
  </si>
  <si>
    <t>VALVULA CORTA CHAMAS DE FINAL DE LINHA C/FLANGE  2"</t>
  </si>
  <si>
    <t>I10215</t>
  </si>
  <si>
    <t>VALVULA CORTA CHAMAS DE FINAL DE LINHA C/FLANGE  3"</t>
  </si>
  <si>
    <t>I5738</t>
  </si>
  <si>
    <t>VALVULA DE ALÍVIO DN 2" COMPLETA</t>
  </si>
  <si>
    <t>I5739</t>
  </si>
  <si>
    <t>VALVULA DE ALÍVIO DN 3" COMPLETA</t>
  </si>
  <si>
    <t>I10216</t>
  </si>
  <si>
    <t>VALVULA DE BLOQUEIO MANUAL TIPO BORBOLETA WAFER 3” DISCO EM INOX E CORPO EM FOFO</t>
  </si>
  <si>
    <t>I10219</t>
  </si>
  <si>
    <t>VALVULA DE ESFERA EXCENTRICA COM ATUADOR ELETRO-MECÂNICO DN 500 PN10</t>
  </si>
  <si>
    <t>I10217</t>
  </si>
  <si>
    <t>VALVULA DE ESFERA EXCÊNTRICA COM ATUADOR ELETRO-MECÂNICO DN 350 PN10</t>
  </si>
  <si>
    <t>I10218</t>
  </si>
  <si>
    <t>VALVULA DE ESFERA EXCÊNTRICA COM ATUADOR ELETRO-MECÂNICO DN 400 PN10</t>
  </si>
  <si>
    <t>I10220</t>
  </si>
  <si>
    <t>VALVULA DE GAVETA AÇO INOX 304 C/ FLANGES DN 50</t>
  </si>
  <si>
    <t>I5619</t>
  </si>
  <si>
    <t>VALVULA DE PE C/ CRIVO COM FLANGE DN  75  PN16</t>
  </si>
  <si>
    <t>I5620</t>
  </si>
  <si>
    <t>VALVULA DE PE C/ CRIVO COM FLANGE DN 100 PN16</t>
  </si>
  <si>
    <t>I5621</t>
  </si>
  <si>
    <t>VALVULA DE PE C/ CRIVO COM FLANGE DN 150 PN16</t>
  </si>
  <si>
    <t>I5611</t>
  </si>
  <si>
    <t>VALVULA DE PE C/ CRIVO COM FLANGE DN 200 PN10</t>
  </si>
  <si>
    <t>I5622</t>
  </si>
  <si>
    <t>VALVULA DE PE C/ CRIVO COM FLANGE DN 200 PN16</t>
  </si>
  <si>
    <t>I5612</t>
  </si>
  <si>
    <t>VALVULA DE PE C/ CRIVO COM FLANGE DN 250 PN10</t>
  </si>
  <si>
    <t>I5623</t>
  </si>
  <si>
    <t>VALVULA DE PE C/ CRIVO COM FLANGE DN 250 PN16</t>
  </si>
  <si>
    <t>I5613</t>
  </si>
  <si>
    <t>VALVULA DE PE C/ CRIVO COM FLANGE DN 300 PN10</t>
  </si>
  <si>
    <t>I5624</t>
  </si>
  <si>
    <t>VALVULA DE PE C/ CRIVO COM FLANGE DN 300 PN16</t>
  </si>
  <si>
    <t>I5614</t>
  </si>
  <si>
    <t>VALVULA DE PE C/ CRIVO COM FLANGE DN 350 PN10</t>
  </si>
  <si>
    <t>I5625</t>
  </si>
  <si>
    <t>VALVULA DE PE C/ CRIVO COM FLANGE DN 350 PN16</t>
  </si>
  <si>
    <t>I5615</t>
  </si>
  <si>
    <t>VALVULA DE PE C/ CRIVO COM FLANGE DN 400 PN10</t>
  </si>
  <si>
    <t>I5626</t>
  </si>
  <si>
    <t>VALVULA DE PE C/ CRIVO COM FLANGE DN 400 PN16</t>
  </si>
  <si>
    <t>I5616</t>
  </si>
  <si>
    <t>VALVULA DE PE C/ CRIVO COM FLANGE DN 450 PN10</t>
  </si>
  <si>
    <t>I5627</t>
  </si>
  <si>
    <t>VALVULA DE PE C/ CRIVO COM FLANGE DN 450 PN16</t>
  </si>
  <si>
    <t>I5617</t>
  </si>
  <si>
    <t>VALVULA DE PE C/ CRIVO COM FLANGE DN 500 PN10</t>
  </si>
  <si>
    <t>I5628</t>
  </si>
  <si>
    <t>VALVULA DE PE C/ CRIVO COM FLANGE DN 500 PN16</t>
  </si>
  <si>
    <t>I5618</t>
  </si>
  <si>
    <t>VALVULA DE PE C/ CRIVO COM FLANGE DN 600 PN10</t>
  </si>
  <si>
    <t>I5629</t>
  </si>
  <si>
    <t>VALVULA DE PE C/ CRIVO COM FLANGE DN 600 PN16</t>
  </si>
  <si>
    <t>I5638</t>
  </si>
  <si>
    <t>VALVULA DE PE C/CRIVO PORT. DUPLA FLANGE DN   75 PN16</t>
  </si>
  <si>
    <t>I5639</t>
  </si>
  <si>
    <t>VALVULA DE PE C/CRIVO PORT. DUPLA FLANGE DN 100 PN16</t>
  </si>
  <si>
    <t>I5640</t>
  </si>
  <si>
    <t>VALVULA DE PE C/CRIVO PORT. DUPLA FLANGE DN 150 PN16</t>
  </si>
  <si>
    <t>I5630</t>
  </si>
  <si>
    <t>VALVULA DE PE C/CRIVO PORT. DUPLA FLANGE DN 200 PN10</t>
  </si>
  <si>
    <t>I5641</t>
  </si>
  <si>
    <t>VALVULA DE PE C/CRIVO PORT. DUPLA FLANGE DN 200 PN16</t>
  </si>
  <si>
    <t>I5631</t>
  </si>
  <si>
    <t>VALVULA DE PE C/CRIVO PORT. DUPLA FLANGE DN 250 PN10</t>
  </si>
  <si>
    <t>I5642</t>
  </si>
  <si>
    <t>VALVULA DE PE C/CRIVO PORT. DUPLA FLANGE DN 250 PN16</t>
  </si>
  <si>
    <t>I5632</t>
  </si>
  <si>
    <t>VALVULA DE PE C/CRIVO PORT. DUPLA FLANGE DN 300 PN10</t>
  </si>
  <si>
    <t>I5643</t>
  </si>
  <si>
    <t>VALVULA DE PE C/CRIVO PORT. DUPLA FLANGE DN 300 PN16</t>
  </si>
  <si>
    <t>I5633</t>
  </si>
  <si>
    <t>VALVULA DE PE C/CRIVO PORT. DUPLA FLANGE DN 350 PN10</t>
  </si>
  <si>
    <t>I5644</t>
  </si>
  <si>
    <t>VALVULA DE PE C/CRIVO PORT. DUPLA FLANGE DN 350 PN16</t>
  </si>
  <si>
    <t>I5634</t>
  </si>
  <si>
    <t>VALVULA DE PE C/CRIVO PORT. DUPLA FLANGE DN 400 PN10</t>
  </si>
  <si>
    <t>I5645</t>
  </si>
  <si>
    <t>VALVULA DE PE C/CRIVO PORT. DUPLA FLANGE DN 400 PN16</t>
  </si>
  <si>
    <t>I5635</t>
  </si>
  <si>
    <t>VALVULA DE PE C/CRIVO PORT. DUPLA FLANGE DN 450 PN10</t>
  </si>
  <si>
    <t>I5646</t>
  </si>
  <si>
    <t>VALVULA DE PE C/CRIVO PORT. DUPLA FLANGE DN 450 PN16</t>
  </si>
  <si>
    <t>I5636</t>
  </si>
  <si>
    <t>VALVULA DE PE C/CRIVO PORT. DUPLA FLANGE DN 500 PN10</t>
  </si>
  <si>
    <t>I5647</t>
  </si>
  <si>
    <t>VALVULA DE PE C/CRIVO PORT. DUPLA FLANGE DN 500 PN16</t>
  </si>
  <si>
    <t>I5637</t>
  </si>
  <si>
    <t>VALVULA DE PE C/CRIVO PORT. DUPLA FLANGE DN 600 PN10</t>
  </si>
  <si>
    <t>I5648</t>
  </si>
  <si>
    <t>VALVULA DE PE C/CRIVO PORT. DUPLA FLANGE DN 600 PN16</t>
  </si>
  <si>
    <t>I5649</t>
  </si>
  <si>
    <t>VALVULA DE PÉ COM CRIVO EM BRONZE 2"</t>
  </si>
  <si>
    <t>I5650</t>
  </si>
  <si>
    <t>VALVULA DE PÉ COM CRIVO EM BRONZE 3"</t>
  </si>
  <si>
    <t>I6055</t>
  </si>
  <si>
    <t>VALVULA DE RETENÇÃO HORIZONTAL EM BRONZE 2"</t>
  </si>
  <si>
    <t>I6056</t>
  </si>
  <si>
    <t>VALVULA DE RETENÇÃO HORIZONTAL EM BRONZE 3"</t>
  </si>
  <si>
    <t>I5755</t>
  </si>
  <si>
    <t>VALVULA LIMITADORA DE VAZÃO PN10  4", COMPLETA</t>
  </si>
  <si>
    <t>I5756</t>
  </si>
  <si>
    <t>VALVULA LIMITADORA DE VAZÃO PN10  6", COMPLETA</t>
  </si>
  <si>
    <t>I5757</t>
  </si>
  <si>
    <t>VALVULA LIMITADORA DE VAZÃO PN10  8", COMPLETA</t>
  </si>
  <si>
    <t>I5758</t>
  </si>
  <si>
    <t>VALVULA LIMITADORA DE VAZÃO PN10 10", COMPLETA</t>
  </si>
  <si>
    <t>I10224</t>
  </si>
  <si>
    <t>VALVULA REGULADORA DE PRESSÃO DE GÁS C/FLANGES DN 50</t>
  </si>
  <si>
    <t>I5749</t>
  </si>
  <si>
    <t>VALVULA RETENÇÃO DN 100 PN16 FECH. RÁPIDO (CLASAR)</t>
  </si>
  <si>
    <t>I5750</t>
  </si>
  <si>
    <t>VALVULA RETENÇÃO DN 150 PN16 FECH. RÁPIDO (CLASAR)</t>
  </si>
  <si>
    <t>I5751</t>
  </si>
  <si>
    <t>VALVULA RETENÇÃO DN 200 PN16 FECH. RÁPIDO (CLASAR)</t>
  </si>
  <si>
    <t>I5752</t>
  </si>
  <si>
    <t>VALVULA RETENÇÃO DN 250 PN16 FECH. RÁPIDO (CLASAR)</t>
  </si>
  <si>
    <t>I5753</t>
  </si>
  <si>
    <t>VALVULA RETENÇÃO DN 300 PN16 FECH. RÁPIDO (CLASAR)</t>
  </si>
  <si>
    <t>I5754</t>
  </si>
  <si>
    <t>VALVULA RETENÇÃO DN 400 PN16 FECH. RÁPIDO (CLASAR)</t>
  </si>
  <si>
    <t>I10227</t>
  </si>
  <si>
    <t>VALVULA RETENÇÃO FOFO PORT. DUPLA C/FLANGES DN 100 PN10</t>
  </si>
  <si>
    <t>I10228</t>
  </si>
  <si>
    <t>VALVULA RETENÇÃO FOFO PORT. DUPLA C/FLANGES DN 400 PN10</t>
  </si>
  <si>
    <t>I10229</t>
  </si>
  <si>
    <t>VALVULA RETENÇÃO FOFO PORT. UNICA SIMPLES EXTREM. FF DN 350 PN10</t>
  </si>
  <si>
    <t>I10230</t>
  </si>
  <si>
    <t>VALVULA RETENÇÃO FOFO PORT. UNICA SIMPLES EXTREM. FF DN 500 PN10</t>
  </si>
  <si>
    <t>I10231</t>
  </si>
  <si>
    <t>VALVULA RETENÇÃO TIPO BOLA DN 150</t>
  </si>
  <si>
    <t>I10460</t>
  </si>
  <si>
    <t>VENTOSA SIMPLES C/ FLANGE DN 100 PN10 P/ ÁGUA</t>
  </si>
  <si>
    <t>I5719</t>
  </si>
  <si>
    <t>VENTOSA SIMPLES C/ FLANGES DN 50 PN25</t>
  </si>
  <si>
    <t>I5720</t>
  </si>
  <si>
    <t>VENTOSA SIMPLES C/ ROSCA DN   3/4</t>
  </si>
  <si>
    <t>I5721</t>
  </si>
  <si>
    <t>VENTOSA SIMPLES C/ ROSCA DN 1</t>
  </si>
  <si>
    <t>I5722</t>
  </si>
  <si>
    <t>VENTOSA SIMPLES C/ ROSCA DN 1 1/2</t>
  </si>
  <si>
    <t>I5723</t>
  </si>
  <si>
    <t>VENTOSA SIMPLES C/ ROSCA DN 1 1/4</t>
  </si>
  <si>
    <t>I5724</t>
  </si>
  <si>
    <t>VENTOSA SIMPLES C/ ROSCA DN 2</t>
  </si>
  <si>
    <t>I5729</t>
  </si>
  <si>
    <t>VENTOSA TRIPLICE FUNÇÃO/FLANGE DN   50 PN25</t>
  </si>
  <si>
    <t>I7329</t>
  </si>
  <si>
    <t>VENTOSA TRIPLICE FUNÇÃO/FLANGE DN   80 PN25</t>
  </si>
  <si>
    <t>I7328</t>
  </si>
  <si>
    <t>VENTOSA TRIPLICE FUNÇÃO/FLANGE DN  80 PN10/16</t>
  </si>
  <si>
    <t>I5726</t>
  </si>
  <si>
    <t>VENTOSA TRIPLICE FUNÇÃO/FLANGE DN 100 PN16</t>
  </si>
  <si>
    <t>I5730</t>
  </si>
  <si>
    <t>VENTOSA TRIPLICE FUNÇÃO/FLANGE DN 100 PN25</t>
  </si>
  <si>
    <t>I5727</t>
  </si>
  <si>
    <t>VENTOSA TRIPLICE FUNÇÃO/FLANGE DN 150 PN16</t>
  </si>
  <si>
    <t>I5731</t>
  </si>
  <si>
    <t>VENTOSA TRIPLICE FUNÇÃO/FLANGE DN 150 PN25</t>
  </si>
  <si>
    <t>I5725</t>
  </si>
  <si>
    <t>VENTOSA TRIPLICE FUNÇÃO/FLANGE DN 200 PN10</t>
  </si>
  <si>
    <t>I5728</t>
  </si>
  <si>
    <t>VENTOSA TRIPLICE FUNÇÃO/FLANGE DN 200 PN16</t>
  </si>
  <si>
    <t>I5732</t>
  </si>
  <si>
    <t>VENTOSA TRIPLICE FUNÇÃO/FLANGE DN 200 PN25</t>
  </si>
  <si>
    <t>I10233</t>
  </si>
  <si>
    <t>VENTOSA TRÍPLICE FUNÇÃO DE ALTO DESEMPENHO FOFO DN  50</t>
  </si>
  <si>
    <t>I10234</t>
  </si>
  <si>
    <t>VENTOSA TRÍPLICE FUNÇÃO DE ALTO DESEMPENHO FOFO DN 100</t>
  </si>
  <si>
    <t>I10235</t>
  </si>
  <si>
    <t>VENTOSA TRÍPLICE FUNÇÃO DE ALTO DESEMPENHO FOFO DN 200</t>
  </si>
  <si>
    <t>I7471</t>
  </si>
  <si>
    <t>VOLANTE EM FERRO DÚCTIL COM CUNHA METÁLICA 18</t>
  </si>
  <si>
    <t>I7472</t>
  </si>
  <si>
    <t>VOLANTE EM FERRO DÚCTIL COM CUNHA METÁLICA 21</t>
  </si>
  <si>
    <t>I7473</t>
  </si>
  <si>
    <t>VOLANTE EM FERRO DÚCTIL COM CUNHA METÁLICA 23</t>
  </si>
  <si>
    <t>I10364</t>
  </si>
  <si>
    <t>VÁLVULA BORBOLETA BI-EXCÊNTRICA FLANGEADA COM ACIONAMENTO MANUAL, (REDUTOR) PN 10 DN 100</t>
  </si>
  <si>
    <t>I10377</t>
  </si>
  <si>
    <t>VÁLVULA BORBOLETA BI-EXCÊNTRICA FLANGEADA COM ACIONAMENTO MANUAL, (REDUTOR) PN 10 DN 1000</t>
  </si>
  <si>
    <t>I10365</t>
  </si>
  <si>
    <t>VÁLVULA BORBOLETA BI-EXCÊNTRICA FLANGEADA COM ACIONAMENTO MANUAL, (REDUTOR) PN 10 DN 150</t>
  </si>
  <si>
    <t>I10366</t>
  </si>
  <si>
    <t>VÁLVULA BORBOLETA BI-EXCÊNTRICA FLANGEADA COM ACIONAMENTO MANUAL, (REDUTOR) PN 10 DN 200</t>
  </si>
  <si>
    <t>I10367</t>
  </si>
  <si>
    <t>VÁLVULA BORBOLETA BI-EXCÊNTRICA FLANGEADA COM ACIONAMENTO MANUAL, (REDUTOR) PN 10 DN 250</t>
  </si>
  <si>
    <t>I10368</t>
  </si>
  <si>
    <t>VÁLVULA BORBOLETA BI-EXCÊNTRICA FLANGEADA COM ACIONAMENTO MANUAL, (REDUTOR) PN 10 DN 300</t>
  </si>
  <si>
    <t>I10369</t>
  </si>
  <si>
    <t>VÁLVULA BORBOLETA BI-EXCÊNTRICA FLANGEADA COM ACIONAMENTO MANUAL, (REDUTOR) PN 10 DN 350</t>
  </si>
  <si>
    <t>I10370</t>
  </si>
  <si>
    <t>VÁLVULA BORBOLETA BI-EXCÊNTRICA FLANGEADA COM ACIONAMENTO MANUAL, (REDUTOR) PN 10 DN 400</t>
  </si>
  <si>
    <t>I10371</t>
  </si>
  <si>
    <t>VÁLVULA BORBOLETA BI-EXCÊNTRICA FLANGEADA COM ACIONAMENTO MANUAL, (REDUTOR) PN 10 DN 450</t>
  </si>
  <si>
    <t>I10372</t>
  </si>
  <si>
    <t>VÁLVULA BORBOLETA BI-EXCÊNTRICA FLANGEADA COM ACIONAMENTO MANUAL, (REDUTOR) PN 10 DN 500</t>
  </si>
  <si>
    <t>I10373</t>
  </si>
  <si>
    <t>VÁLVULA BORBOLETA BI-EXCÊNTRICA FLANGEADA COM ACIONAMENTO MANUAL, (REDUTOR) PN 10 DN 600</t>
  </si>
  <si>
    <t>I10374</t>
  </si>
  <si>
    <t>VÁLVULA BORBOLETA BI-EXCÊNTRICA FLANGEADA COM ACIONAMENTO MANUAL, (REDUTOR) PN 10 DN 700</t>
  </si>
  <si>
    <t>I10375</t>
  </si>
  <si>
    <t>VÁLVULA BORBOLETA BI-EXCÊNTRICA FLANGEADA COM ACIONAMENTO MANUAL, (REDUTOR) PN 10 DN 800</t>
  </si>
  <si>
    <t>I10376</t>
  </si>
  <si>
    <t>VÁLVULA BORBOLETA BI-EXCÊNTRICA FLANGEADA COM ACIONAMENTO MANUAL, (REDUTOR) PN 10 DN 900</t>
  </si>
  <si>
    <t>I10378</t>
  </si>
  <si>
    <t>VÁLVULA BORBOLETA BI-EXCÊNTRICA FLANGEADA COM ACIONAMENTO MANUAL, (REDUTOR) PN 16 DN 100</t>
  </si>
  <si>
    <t>I10391</t>
  </si>
  <si>
    <t>VÁLVULA BORBOLETA BI-EXCÊNTRICA FLANGEADA COM ACIONAMENTO MANUAL, (REDUTOR) PN 16 DN 1000</t>
  </si>
  <si>
    <t>I10379</t>
  </si>
  <si>
    <t>VÁLVULA BORBOLETA BI-EXCÊNTRICA FLANGEADA COM ACIONAMENTO MANUAL, (REDUTOR) PN 16 DN 150</t>
  </si>
  <si>
    <t>I10380</t>
  </si>
  <si>
    <t>VÁLVULA BORBOLETA BI-EXCÊNTRICA FLANGEADA COM ACIONAMENTO MANUAL, (REDUTOR) PN 16 DN 200</t>
  </si>
  <si>
    <t>I10381</t>
  </si>
  <si>
    <t>VÁLVULA BORBOLETA BI-EXCÊNTRICA FLANGEADA COM ACIONAMENTO MANUAL, (REDUTOR) PN 16 DN 250</t>
  </si>
  <si>
    <t>I10382</t>
  </si>
  <si>
    <t>VÁLVULA BORBOLETA BI-EXCÊNTRICA FLANGEADA COM ACIONAMENTO MANUAL, (REDUTOR) PN 16 DN 300</t>
  </si>
  <si>
    <t>I10383</t>
  </si>
  <si>
    <t>VÁLVULA BORBOLETA BI-EXCÊNTRICA FLANGEADA COM ACIONAMENTO MANUAL, (REDUTOR) PN 16 DN 350</t>
  </si>
  <si>
    <t>I10384</t>
  </si>
  <si>
    <t>VÁLVULA BORBOLETA BI-EXCÊNTRICA FLANGEADA COM ACIONAMENTO MANUAL, (REDUTOR) PN 16 DN 400</t>
  </si>
  <si>
    <t>I10385</t>
  </si>
  <si>
    <t>VÁLVULA BORBOLETA BI-EXCÊNTRICA FLANGEADA COM ACIONAMENTO MANUAL, (REDUTOR) PN 16 DN 450</t>
  </si>
  <si>
    <t>I10386</t>
  </si>
  <si>
    <t>VÁLVULA BORBOLETA BI-EXCÊNTRICA FLANGEADA COM ACIONAMENTO MANUAL, (REDUTOR) PN 16 DN 500</t>
  </si>
  <si>
    <t>I10387</t>
  </si>
  <si>
    <t>VÁLVULA BORBOLETA BI-EXCÊNTRICA FLANGEADA COM ACIONAMENTO MANUAL, (REDUTOR) PN 16 DN 600</t>
  </si>
  <si>
    <t>I10388</t>
  </si>
  <si>
    <t>VÁLVULA BORBOLETA BI-EXCÊNTRICA FLANGEADA COM ACIONAMENTO MANUAL, (REDUTOR) PN 16 DN 700</t>
  </si>
  <si>
    <t>I10389</t>
  </si>
  <si>
    <t>VÁLVULA BORBOLETA BI-EXCÊNTRICA FLANGEADA COM ACIONAMENTO MANUAL, (REDUTOR) PN 16 DN 800</t>
  </si>
  <si>
    <t>I10390</t>
  </si>
  <si>
    <t>VÁLVULA BORBOLETA BI-EXCÊNTRICA FLANGEADA COM ACIONAMENTO MANUAL, (REDUTOR) PN 16 DN 900</t>
  </si>
  <si>
    <t>I10392</t>
  </si>
  <si>
    <t>VÁLVULA BORBOLETA BI-EXCÊNTRICA FLANGEADA COM ACIONAMENTO MANUAL, (REDUTOR) PN 25 DN 100</t>
  </si>
  <si>
    <t>I10405</t>
  </si>
  <si>
    <t>VÁLVULA BORBOLETA BI-EXCÊNTRICA FLANGEADA COM ACIONAMENTO MANUAL, (REDUTOR) PN 25 DN 1000</t>
  </si>
  <si>
    <t>I10393</t>
  </si>
  <si>
    <t>VÁLVULA BORBOLETA BI-EXCÊNTRICA FLANGEADA COM ACIONAMENTO MANUAL, (REDUTOR) PN 25 DN 150</t>
  </si>
  <si>
    <t>I10394</t>
  </si>
  <si>
    <t>VÁLVULA BORBOLETA BI-EXCÊNTRICA FLANGEADA COM ACIONAMENTO MANUAL, (REDUTOR) PN 25 DN 200</t>
  </si>
  <si>
    <t>I10395</t>
  </si>
  <si>
    <t>VÁLVULA BORBOLETA BI-EXCÊNTRICA FLANGEADA COM ACIONAMENTO MANUAL, (REDUTOR) PN 25 DN 250</t>
  </si>
  <si>
    <t>I10396</t>
  </si>
  <si>
    <t>VÁLVULA BORBOLETA BI-EXCÊNTRICA FLANGEADA COM ACIONAMENTO MANUAL, (REDUTOR) PN 25 DN 300</t>
  </si>
  <si>
    <t>I10397</t>
  </si>
  <si>
    <t>VÁLVULA BORBOLETA BI-EXCÊNTRICA FLANGEADA COM ACIONAMENTO MANUAL, (REDUTOR) PN 25 DN 350</t>
  </si>
  <si>
    <t>I10398</t>
  </si>
  <si>
    <t>VÁLVULA BORBOLETA BI-EXCÊNTRICA FLANGEADA COM ACIONAMENTO MANUAL, (REDUTOR) PN 25 DN 400</t>
  </si>
  <si>
    <t>I10399</t>
  </si>
  <si>
    <t>VÁLVULA BORBOLETA BI-EXCÊNTRICA FLANGEADA COM ACIONAMENTO MANUAL, (REDUTOR) PN 25 DN 450</t>
  </si>
  <si>
    <t>I10400</t>
  </si>
  <si>
    <t>VÁLVULA BORBOLETA BI-EXCÊNTRICA FLANGEADA COM ACIONAMENTO MANUAL, (REDUTOR) PN 25 DN 500</t>
  </si>
  <si>
    <t>I10401</t>
  </si>
  <si>
    <t>VÁLVULA BORBOLETA BI-EXCÊNTRICA FLANGEADA COM ACIONAMENTO MANUAL, (REDUTOR) PN 25 DN 600</t>
  </si>
  <si>
    <t>I10402</t>
  </si>
  <si>
    <t>VÁLVULA BORBOLETA BI-EXCÊNTRICA FLANGEADA COM ACIONAMENTO MANUAL, (REDUTOR) PN 25 DN 700</t>
  </si>
  <si>
    <t>I10403</t>
  </si>
  <si>
    <t>VÁLVULA BORBOLETA BI-EXCÊNTRICA FLANGEADA COM ACIONAMENTO MANUAL, (REDUTOR) PN 25 DN 800</t>
  </si>
  <si>
    <t>I10404</t>
  </si>
  <si>
    <t>VÁLVULA BORBOLETA BI-EXCÊNTRICA FLANGEADA COM ACIONAMENTO MANUAL, (REDUTOR) PN 25 DN 900</t>
  </si>
  <si>
    <t>I10406</t>
  </si>
  <si>
    <t>VÁLVULA BORBOLETA BI-EXCÊNTRICA FLANGEADA COM ATUADOR ELETROMECANICO, (ON OFF), PN 10 DN 100</t>
  </si>
  <si>
    <t>I10419</t>
  </si>
  <si>
    <t>VÁLVULA BORBOLETA BI-EXCÊNTRICA FLANGEADA COM ATUADOR ELETROMECANICO, (ON OFF), PN 10 DN 1000</t>
  </si>
  <si>
    <t>I10407</t>
  </si>
  <si>
    <t>VÁLVULA BORBOLETA BI-EXCÊNTRICA FLANGEADA COM ATUADOR ELETROMECANICO, (ON OFF), PN 10 DN 150</t>
  </si>
  <si>
    <t>I10408</t>
  </si>
  <si>
    <t>VÁLVULA BORBOLETA BI-EXCÊNTRICA FLANGEADA COM ATUADOR ELETROMECANICO, (ON OFF), PN 10 DN 200</t>
  </si>
  <si>
    <t>I10409</t>
  </si>
  <si>
    <t>VÁLVULA BORBOLETA BI-EXCÊNTRICA FLANGEADA COM ATUADOR ELETROMECANICO, (ON OFF), PN 10 DN 250</t>
  </si>
  <si>
    <t>I10410</t>
  </si>
  <si>
    <t>VÁLVULA BORBOLETA BI-EXCÊNTRICA FLANGEADA COM ATUADOR ELETROMECANICO, (ON OFF), PN 10 DN 300</t>
  </si>
  <si>
    <t>I10411</t>
  </si>
  <si>
    <t>VÁLVULA BORBOLETA BI-EXCÊNTRICA FLANGEADA COM ATUADOR ELETROMECANICO, (ON OFF), PN 10 DN 350</t>
  </si>
  <si>
    <t>I10412</t>
  </si>
  <si>
    <t>VÁLVULA BORBOLETA BI-EXCÊNTRICA FLANGEADA COM ATUADOR ELETROMECANICO, (ON OFF), PN 10 DN 400</t>
  </si>
  <si>
    <t>I10413</t>
  </si>
  <si>
    <t>VÁLVULA BORBOLETA BI-EXCÊNTRICA FLANGEADA COM ATUADOR ELETROMECANICO, (ON OFF), PN 10 DN 450</t>
  </si>
  <si>
    <t>I10414</t>
  </si>
  <si>
    <t>VÁLVULA BORBOLETA BI-EXCÊNTRICA FLANGEADA COM ATUADOR ELETROMECANICO, (ON OFF), PN 10 DN 500</t>
  </si>
  <si>
    <t>I10415</t>
  </si>
  <si>
    <t>VÁLVULA BORBOLETA BI-EXCÊNTRICA FLANGEADA COM ATUADOR ELETROMECANICO, (ON OFF), PN 10 DN 600</t>
  </si>
  <si>
    <t>I10416</t>
  </si>
  <si>
    <t>VÁLVULA BORBOLETA BI-EXCÊNTRICA FLANGEADA COM ATUADOR ELETROMECANICO, (ON OFF), PN 10 DN 700</t>
  </si>
  <si>
    <t>I10417</t>
  </si>
  <si>
    <t>VÁLVULA BORBOLETA BI-EXCÊNTRICA FLANGEADA COM ATUADOR ELETROMECANICO, (ON OFF), PN 10 DN 800</t>
  </si>
  <si>
    <t>I10418</t>
  </si>
  <si>
    <t>VÁLVULA BORBOLETA BI-EXCÊNTRICA FLANGEADA COM ATUADOR ELETROMECANICO, (ON OFF), PN 10 DN 900</t>
  </si>
  <si>
    <t>I10420</t>
  </si>
  <si>
    <t>VÁLVULA BORBOLETA BI-EXCÊNTRICA FLANGEADA COM ATUADOR ELETROMECANICO, (ON OFF), PN 16 DN 100</t>
  </si>
  <si>
    <t>I10433</t>
  </si>
  <si>
    <t>VÁLVULA BORBOLETA BI-EXCÊNTRICA FLANGEADA COM ATUADOR ELETROMECANICO, (ON OFF), PN 16 DN 1000</t>
  </si>
  <si>
    <t>I10421</t>
  </si>
  <si>
    <t>VÁLVULA BORBOLETA BI-EXCÊNTRICA FLANGEADA COM ATUADOR ELETROMECANICO, (ON OFF), PN 16 DN 150</t>
  </si>
  <si>
    <t>I10422</t>
  </si>
  <si>
    <t>VÁLVULA BORBOLETA BI-EXCÊNTRICA FLANGEADA COM ATUADOR ELETROMECANICO, (ON OFF), PN 16 DN 200</t>
  </si>
  <si>
    <t>I10423</t>
  </si>
  <si>
    <t>VÁLVULA BORBOLETA BI-EXCÊNTRICA FLANGEADA COM ATUADOR ELETROMECANICO, (ON OFF), PN 16 DN 250</t>
  </si>
  <si>
    <t>I10424</t>
  </si>
  <si>
    <t>VÁLVULA BORBOLETA BI-EXCÊNTRICA FLANGEADA COM ATUADOR ELETROMECANICO, (ON OFF), PN 16 DN 300</t>
  </si>
  <si>
    <t>I10425</t>
  </si>
  <si>
    <t>VÁLVULA BORBOLETA BI-EXCÊNTRICA FLANGEADA COM ATUADOR ELETROMECANICO, (ON OFF), PN 16 DN 350</t>
  </si>
  <si>
    <t>I10426</t>
  </si>
  <si>
    <t>VÁLVULA BORBOLETA BI-EXCÊNTRICA FLANGEADA COM ATUADOR ELETROMECANICO, (ON OFF), PN 16 DN 400</t>
  </si>
  <si>
    <t>I10427</t>
  </si>
  <si>
    <t>VÁLVULA BORBOLETA BI-EXCÊNTRICA FLANGEADA COM ATUADOR ELETROMECANICO, (ON OFF), PN 16 DN 450</t>
  </si>
  <si>
    <t>I10428</t>
  </si>
  <si>
    <t>VÁLVULA BORBOLETA BI-EXCÊNTRICA FLANGEADA COM ATUADOR ELETROMECANICO, (ON OFF), PN 16 DN 500</t>
  </si>
  <si>
    <t>I10429</t>
  </si>
  <si>
    <t>VÁLVULA BORBOLETA BI-EXCÊNTRICA FLANGEADA COM ATUADOR ELETROMECANICO, (ON OFF), PN 16 DN 600</t>
  </si>
  <si>
    <t>I10430</t>
  </si>
  <si>
    <t>VÁLVULA BORBOLETA BI-EXCÊNTRICA FLANGEADA COM ATUADOR ELETROMECANICO, (ON OFF), PN 16 DN 700</t>
  </si>
  <si>
    <t>I10431</t>
  </si>
  <si>
    <t>VÁLVULA BORBOLETA BI-EXCÊNTRICA FLANGEADA COM ATUADOR ELETROMECANICO, (ON OFF), PN 16 DN 800</t>
  </si>
  <si>
    <t>I10432</t>
  </si>
  <si>
    <t>VÁLVULA BORBOLETA BI-EXCÊNTRICA FLANGEADA COM ATUADOR ELETROMECANICO, (ON OFF), PN 16 DN 900</t>
  </si>
  <si>
    <t>I10434</t>
  </si>
  <si>
    <t>VÁLVULA BORBOLETA BI-EXCÊNTRICA FLANGEADA COM ATUADOR ELETROMECANICO, (ON OFF), PN 25 DN 100</t>
  </si>
  <si>
    <t>I10447</t>
  </si>
  <si>
    <t>VÁLVULA BORBOLETA BI-EXCÊNTRICA FLANGEADA COM ATUADOR ELETROMECANICO, (ON OFF), PN 25 DN 1000</t>
  </si>
  <si>
    <t>I10435</t>
  </si>
  <si>
    <t>VÁLVULA BORBOLETA BI-EXCÊNTRICA FLANGEADA COM ATUADOR ELETROMECANICO, (ON OFF), PN 25 DN 150</t>
  </si>
  <si>
    <t>I10436</t>
  </si>
  <si>
    <t>VÁLVULA BORBOLETA BI-EXCÊNTRICA FLANGEADA COM ATUADOR ELETROMECANICO, (ON OFF), PN 25 DN 200</t>
  </si>
  <si>
    <t>I10437</t>
  </si>
  <si>
    <t>VÁLVULA BORBOLETA BI-EXCÊNTRICA FLANGEADA COM ATUADOR ELETROMECANICO, (ON OFF), PN 25 DN 250</t>
  </si>
  <si>
    <t>I10438</t>
  </si>
  <si>
    <t>VÁLVULA BORBOLETA BI-EXCÊNTRICA FLANGEADA COM ATUADOR ELETROMECANICO, (ON OFF), PN 25 DN 300</t>
  </si>
  <si>
    <t>I10439</t>
  </si>
  <si>
    <t>VÁLVULA BORBOLETA BI-EXCÊNTRICA FLANGEADA COM ATUADOR ELETROMECANICO, (ON OFF), PN 25 DN 350</t>
  </si>
  <si>
    <t>I10440</t>
  </si>
  <si>
    <t>VÁLVULA BORBOLETA BI-EXCÊNTRICA FLANGEADA COM ATUADOR ELETROMECANICO, (ON OFF), PN 25 DN 400</t>
  </si>
  <si>
    <t>I10441</t>
  </si>
  <si>
    <t>VÁLVULA BORBOLETA BI-EXCÊNTRICA FLANGEADA COM ATUADOR ELETROMECANICO, (ON OFF), PN 25 DN 450</t>
  </si>
  <si>
    <t>I10442</t>
  </si>
  <si>
    <t>VÁLVULA BORBOLETA BI-EXCÊNTRICA FLANGEADA COM ATUADOR ELETROMECANICO, (ON OFF), PN 25 DN 500</t>
  </si>
  <si>
    <t>I10443</t>
  </si>
  <si>
    <t>VÁLVULA BORBOLETA BI-EXCÊNTRICA FLANGEADA COM ATUADOR ELETROMECANICO, (ON OFF), PN 25 DN 600</t>
  </si>
  <si>
    <t>I10444</t>
  </si>
  <si>
    <t>VÁLVULA BORBOLETA BI-EXCÊNTRICA FLANGEADA COM ATUADOR ELETROMECANICO, (ON OFF), PN 25 DN 700</t>
  </si>
  <si>
    <t>I10445</t>
  </si>
  <si>
    <t>VÁLVULA BORBOLETA BI-EXCÊNTRICA FLANGEADA COM ATUADOR ELETROMECANICO, (ON OFF), PN 25 DN 800</t>
  </si>
  <si>
    <t>I10446</t>
  </si>
  <si>
    <t>VÁLVULA BORBOLETA BI-EXCÊNTRICA FLANGEADA COM ATUADOR ELETROMECANICO, (ON OFF), PN 25 DN 900</t>
  </si>
  <si>
    <t>I7077</t>
  </si>
  <si>
    <t>VÁLVULA BORBOLETA COM BÓIA DN 150</t>
  </si>
  <si>
    <t>I7304</t>
  </si>
  <si>
    <t>VÁLVULA BORBOLETA FLANGEADA C/ MECANISMO C+CABEÇOTE DN   75 N16</t>
  </si>
  <si>
    <t>I7280</t>
  </si>
  <si>
    <t>VÁLVULA BORBOLETA FLANGEADA C/ MECANISMO C+CABEÇOTE DN  100 N16</t>
  </si>
  <si>
    <t>I7285</t>
  </si>
  <si>
    <t>VÁLVULA BORBOLETA FLANGEADA C/ MECANISMO C+CABEÇOTE DN  150 N16</t>
  </si>
  <si>
    <t>I7286</t>
  </si>
  <si>
    <t>VÁLVULA BORBOLETA FLANGEADA C/ MECANISMO C+CABEÇOTE DN  200 N10</t>
  </si>
  <si>
    <t>I7287</t>
  </si>
  <si>
    <t>VÁLVULA BORBOLETA FLANGEADA C/ MECANISMO C+CABEÇOTE DN  200 N16</t>
  </si>
  <si>
    <t>I7288</t>
  </si>
  <si>
    <t>VÁLVULA BORBOLETA FLANGEADA C/ MECANISMO C+CABEÇOTE DN  250 N10</t>
  </si>
  <si>
    <t>I7289</t>
  </si>
  <si>
    <t>VÁLVULA BORBOLETA FLANGEADA C/ MECANISMO C+CABEÇOTE DN  250 N16</t>
  </si>
  <si>
    <t>I7290</t>
  </si>
  <si>
    <t>VÁLVULA BORBOLETA FLANGEADA C/ MECANISMO C+CABEÇOTE DN  300 N10</t>
  </si>
  <si>
    <t>I7291</t>
  </si>
  <si>
    <t>VÁLVULA BORBOLETA FLANGEADA C/ MECANISMO C+CABEÇOTE DN  300 N16</t>
  </si>
  <si>
    <t>I7292</t>
  </si>
  <si>
    <t>VÁLVULA BORBOLETA FLANGEADA C/ MECANISMO C+CABEÇOTE DN  350 N10</t>
  </si>
  <si>
    <t>I7293</t>
  </si>
  <si>
    <t>VÁLVULA BORBOLETA FLANGEADA C/ MECANISMO C+CABEÇOTE DN  350 N16</t>
  </si>
  <si>
    <t>I7294</t>
  </si>
  <si>
    <t>VÁLVULA BORBOLETA FLANGEADA C/ MECANISMO C+CABEÇOTE DN  400 N10</t>
  </si>
  <si>
    <t>I7295</t>
  </si>
  <si>
    <t>VÁLVULA BORBOLETA FLANGEADA C/ MECANISMO C+CABEÇOTE DN  400 N16</t>
  </si>
  <si>
    <t>I7296</t>
  </si>
  <si>
    <t>VÁLVULA BORBOLETA FLANGEADA C/ MECANISMO C+CABEÇOTE DN  450 N10</t>
  </si>
  <si>
    <t>I7297</t>
  </si>
  <si>
    <t>VÁLVULA BORBOLETA FLANGEADA C/ MECANISMO C+CABEÇOTE DN  450 N16</t>
  </si>
  <si>
    <t>I7298</t>
  </si>
  <si>
    <t>VÁLVULA BORBOLETA FLANGEADA C/ MECANISMO C+CABEÇOTE DN  500 N10</t>
  </si>
  <si>
    <t>I7299</t>
  </si>
  <si>
    <t>VÁLVULA BORBOLETA FLANGEADA C/ MECANISMO C+CABEÇOTE DN  500 N16</t>
  </si>
  <si>
    <t>I7300</t>
  </si>
  <si>
    <t>VÁLVULA BORBOLETA FLANGEADA C/ MECANISMO C+CABEÇOTE DN  600 N10</t>
  </si>
  <si>
    <t>I7301</t>
  </si>
  <si>
    <t>VÁLVULA BORBOLETA FLANGEADA C/ MECANISMO C+CABEÇOTE DN  600 N16</t>
  </si>
  <si>
    <t>I7302</t>
  </si>
  <si>
    <t>VÁLVULA BORBOLETA FLANGEADA C/ MECANISMO C+CABEÇOTE DN  700 N10</t>
  </si>
  <si>
    <t>I7303</t>
  </si>
  <si>
    <t>VÁLVULA BORBOLETA FLANGEADA C/ MECANISMO C+CABEÇOTE DN  700 N16</t>
  </si>
  <si>
    <t>I7305</t>
  </si>
  <si>
    <t>VÁLVULA BORBOLETA FLANGEADA C/ MECANISMO C+CABEÇOTE DN  750 N10</t>
  </si>
  <si>
    <t>I7306</t>
  </si>
  <si>
    <t>VÁLVULA BORBOLETA FLANGEADA C/ MECANISMO C+CABEÇOTE DN  750 N16</t>
  </si>
  <si>
    <t>I7307</t>
  </si>
  <si>
    <t>VÁLVULA BORBOLETA FLANGEADA C/ MECANISMO C+CABEÇOTE DN  800 N10</t>
  </si>
  <si>
    <t>I7308</t>
  </si>
  <si>
    <t>VÁLVULA BORBOLETA FLANGEADA C/ MECANISMO C+CABEÇOTE DN  800 N16</t>
  </si>
  <si>
    <t>I7309</t>
  </si>
  <si>
    <t>VÁLVULA BORBOLETA FLANGEADA C/ MECANISMO C+CABEÇOTE DN  900 N10</t>
  </si>
  <si>
    <t>I7310</t>
  </si>
  <si>
    <t>VÁLVULA BORBOLETA FLANGEADA C/ MECANISMO C+CABEÇOTE DN  900 N16</t>
  </si>
  <si>
    <t>I7281</t>
  </si>
  <si>
    <t>VÁLVULA BORBOLETA FLANGEADA C/ MECANISMO C+CABEÇOTE DN 1000 N10</t>
  </si>
  <si>
    <t>I7282</t>
  </si>
  <si>
    <t>VÁLVULA BORBOLETA FLANGEADA C/ MECANISMO C+CABEÇOTE DN 1000 N16</t>
  </si>
  <si>
    <t>I7283</t>
  </si>
  <si>
    <t>VÁLVULA BORBOLETA FLANGEADA C/ MECANISMO C+CABEÇOTE DN 1200 N10</t>
  </si>
  <si>
    <t>I7284</t>
  </si>
  <si>
    <t>VÁLVULA BORBOLETA FLANGEADA C/ MECANISMO C+CABEÇOTE DN 1200 N16</t>
  </si>
  <si>
    <t>I8001</t>
  </si>
  <si>
    <t>VÁLVULA BORBOLETA FLANGEADA C/ MECANISMO C+VOLANTE DN  200 N10</t>
  </si>
  <si>
    <t>I8002</t>
  </si>
  <si>
    <t>VÁLVULA BORBOLETA FLANGEADA C/ MECANISMO C+VOLANTE DN  250 N10</t>
  </si>
  <si>
    <t>I8003</t>
  </si>
  <si>
    <t>VÁLVULA BORBOLETA FLANGEADA C/ MECANISMO C+VOLANTE DN  300 N10</t>
  </si>
  <si>
    <t>I8004</t>
  </si>
  <si>
    <t>VÁLVULA BORBOLETA FLANGEADA C/ MECANISMO C+VOLANTE DN  350 N10</t>
  </si>
  <si>
    <t>I8005</t>
  </si>
  <si>
    <t>VÁLVULA BORBOLETA FLANGEADA C/ MECANISMO C+VOLANTE DN  400 N10</t>
  </si>
  <si>
    <t>I8006</t>
  </si>
  <si>
    <t>VÁLVULA BORBOLETA FLANGEADA C/ MECANISMO C+VOLANTE DN  450 N10</t>
  </si>
  <si>
    <t>I8007</t>
  </si>
  <si>
    <t>VÁLVULA BORBOLETA FLANGEADA C/ MECANISMO C+VOLANTE DN  500 N10</t>
  </si>
  <si>
    <t>I8008</t>
  </si>
  <si>
    <t>VÁLVULA BORBOLETA FLANGEADA C/ MECANISMO C+VOLANTE DN  600 N10</t>
  </si>
  <si>
    <t>I8009</t>
  </si>
  <si>
    <t>VÁLVULA BORBOLETA FLANGEADA C/ MECANISMO C+VOLANTE DN  700 N10</t>
  </si>
  <si>
    <t>I8010</t>
  </si>
  <si>
    <t>VÁLVULA BORBOLETA FLANGEADA C/ MECANISMO C+VOLANTE DN  750 N10</t>
  </si>
  <si>
    <t>I8011</t>
  </si>
  <si>
    <t>VÁLVULA BORBOLETA FLANGEADA C/ MECANISMO C+VOLANTE DN  800 N10</t>
  </si>
  <si>
    <t>I8012</t>
  </si>
  <si>
    <t>VÁLVULA BORBOLETA FLANGEADA C/ MECANISMO C+VOLANTE DN  900 N10</t>
  </si>
  <si>
    <t>I12960</t>
  </si>
  <si>
    <t>VÁLVULA BORBOLETA FLANGEADA C/ MECANISMO C+VOLANTE DN 100 N16</t>
  </si>
  <si>
    <t>I8013</t>
  </si>
  <si>
    <t>VÁLVULA BORBOLETA FLANGEADA C/ MECANISMO C+VOLANTE DN 1000 N10</t>
  </si>
  <si>
    <t>I12974</t>
  </si>
  <si>
    <t>VÁLVULA BORBOLETA FLANGEADA C/ MECANISMO C+VOLANTE DN 1000 N16</t>
  </si>
  <si>
    <t>I8014</t>
  </si>
  <si>
    <t>VÁLVULA BORBOLETA FLANGEADA C/ MECANISMO C+VOLANTE DN 1200 N10</t>
  </si>
  <si>
    <t>I12975</t>
  </si>
  <si>
    <t>VÁLVULA BORBOLETA FLANGEADA C/ MECANISMO C+VOLANTE DN 1200 N16</t>
  </si>
  <si>
    <t>I12961</t>
  </si>
  <si>
    <t>VÁLVULA BORBOLETA FLANGEADA C/ MECANISMO C+VOLANTE DN 150 N16</t>
  </si>
  <si>
    <t>I12962</t>
  </si>
  <si>
    <t>VÁLVULA BORBOLETA FLANGEADA C/ MECANISMO C+VOLANTE DN 200 N16</t>
  </si>
  <si>
    <t>I12963</t>
  </si>
  <si>
    <t>VÁLVULA BORBOLETA FLANGEADA C/ MECANISMO C+VOLANTE DN 250 N16</t>
  </si>
  <si>
    <t>I12964</t>
  </si>
  <si>
    <t>VÁLVULA BORBOLETA FLANGEADA C/ MECANISMO C+VOLANTE DN 300 N16</t>
  </si>
  <si>
    <t>I12965</t>
  </si>
  <si>
    <t>VÁLVULA BORBOLETA FLANGEADA C/ MECANISMO C+VOLANTE DN 350 N16</t>
  </si>
  <si>
    <t>I12966</t>
  </si>
  <si>
    <t>VÁLVULA BORBOLETA FLANGEADA C/ MECANISMO C+VOLANTE DN 400 N16</t>
  </si>
  <si>
    <t>I12967</t>
  </si>
  <si>
    <t>VÁLVULA BORBOLETA FLANGEADA C/ MECANISMO C+VOLANTE DN 450 N16</t>
  </si>
  <si>
    <t>I12968</t>
  </si>
  <si>
    <t>VÁLVULA BORBOLETA FLANGEADA C/ MECANISMO C+VOLANTE DN 500 N16</t>
  </si>
  <si>
    <t>I12969</t>
  </si>
  <si>
    <t>VÁLVULA BORBOLETA FLANGEADA C/ MECANISMO C+VOLANTE DN 600 N16</t>
  </si>
  <si>
    <t>I12970</t>
  </si>
  <si>
    <t>VÁLVULA BORBOLETA FLANGEADA C/ MECANISMO C+VOLANTE DN 700 N16</t>
  </si>
  <si>
    <t>I12971</t>
  </si>
  <si>
    <t>VÁLVULA BORBOLETA FLANGEADA C/ MECANISMO C+VOLANTE DN 750 N16</t>
  </si>
  <si>
    <t>I12972</t>
  </si>
  <si>
    <t>VÁLVULA BORBOLETA FLANGEADA C/ MECANISMO C+VOLANTE DN 800 N16</t>
  </si>
  <si>
    <t>I12973</t>
  </si>
  <si>
    <t>VÁLVULA BORBOLETA FLANGEADA C/ MECANISMO C+VOLANTE DN 900 N16</t>
  </si>
  <si>
    <t>I7327</t>
  </si>
  <si>
    <t>VÁLVULA BORBOLETA FLANGEADA C/ MECANISMO K+CABEÇOTE DN  75 N16</t>
  </si>
  <si>
    <t>I7311</t>
  </si>
  <si>
    <t>VÁLVULA BORBOLETA FLANGEADA C/ MECANISMO K+CABEÇOTE DN 100 N16</t>
  </si>
  <si>
    <t>I7312</t>
  </si>
  <si>
    <t>VÁLVULA BORBOLETA FLANGEADA C/ MECANISMO K+CABEÇOTE DN 150 N16</t>
  </si>
  <si>
    <t>I7313</t>
  </si>
  <si>
    <t>VÁLVULA BORBOLETA FLANGEADA C/ MECANISMO K+CABEÇOTE DN 200 N10</t>
  </si>
  <si>
    <t>I7314</t>
  </si>
  <si>
    <t>VÁLVULA BORBOLETA FLANGEADA C/ MECANISMO K+CABEÇOTE DN 200 N16</t>
  </si>
  <si>
    <t>I7315</t>
  </si>
  <si>
    <t>VÁLVULA BORBOLETA FLANGEADA C/ MECANISMO K+CABEÇOTE DN 250 N10</t>
  </si>
  <si>
    <t>I7316</t>
  </si>
  <si>
    <t>VÁLVULA BORBOLETA FLANGEADA C/ MECANISMO K+CABEÇOTE DN 250 N16</t>
  </si>
  <si>
    <t>I7317</t>
  </si>
  <si>
    <t>VÁLVULA BORBOLETA FLANGEADA C/ MECANISMO K+CABEÇOTE DN 300 N10</t>
  </si>
  <si>
    <t>I7318</t>
  </si>
  <si>
    <t>VÁLVULA BORBOLETA FLANGEADA C/ MECANISMO K+CABEÇOTE DN 300 N16</t>
  </si>
  <si>
    <t>I7319</t>
  </si>
  <si>
    <t>VÁLVULA BORBOLETA FLANGEADA C/ MECANISMO K+CABEÇOTE DN 350 N10</t>
  </si>
  <si>
    <t>I7320</t>
  </si>
  <si>
    <t>VÁLVULA BORBOLETA FLANGEADA C/ MECANISMO K+CABEÇOTE DN 350 N16</t>
  </si>
  <si>
    <t>I7321</t>
  </si>
  <si>
    <t>VÁLVULA BORBOLETA FLANGEADA C/ MECANISMO K+CABEÇOTE DN 400 N10</t>
  </si>
  <si>
    <t>I7322</t>
  </si>
  <si>
    <t>VÁLVULA BORBOLETA FLANGEADA C/ MECANISMO K+CABEÇOTE DN 400 N16</t>
  </si>
  <si>
    <t>I7323</t>
  </si>
  <si>
    <t>VÁLVULA BORBOLETA FLANGEADA C/ MECANISMO K+CABEÇOTE DN 450 N10</t>
  </si>
  <si>
    <t>I7324</t>
  </si>
  <si>
    <t>VÁLVULA BORBOLETA FLANGEADA C/ MECANISMO K+CABEÇOTE DN 450 N16</t>
  </si>
  <si>
    <t>I7325</t>
  </si>
  <si>
    <t>VÁLVULA BORBOLETA FLANGEADA C/ MECANISMO K+CABEÇOTE DN 500 N10</t>
  </si>
  <si>
    <t>I7326</t>
  </si>
  <si>
    <t>VÁLVULA BORBOLETA FLANGEADA C/ MECANISMO K+CABEÇOTE DN 600 N10</t>
  </si>
  <si>
    <t>I8015</t>
  </si>
  <si>
    <t>VÁLVULA BORBOLETA FLANGEADA C/ MECANISMO K+VOLANTE DN  75 N16</t>
  </si>
  <si>
    <t>I8016</t>
  </si>
  <si>
    <t>VÁLVULA BORBOLETA FLANGEADA C/ MECANISMO K+VOLANTE DN 100 N16</t>
  </si>
  <si>
    <t>I8017</t>
  </si>
  <si>
    <t>VÁLVULA BORBOLETA FLANGEADA C/ MECANISMO K+VOLANTE DN 150 N16</t>
  </si>
  <si>
    <t>I8018</t>
  </si>
  <si>
    <t>VÁLVULA BORBOLETA FLANGEADA C/ MECANISMO K+VOLANTE DN 200 N16</t>
  </si>
  <si>
    <t>I8019</t>
  </si>
  <si>
    <t>VÁLVULA BORBOLETA FLANGEADA C/ MECANISMO K+VOLANTE DN 250 N16</t>
  </si>
  <si>
    <t>I8020</t>
  </si>
  <si>
    <t>VÁLVULA BORBOLETA FLANGEADA C/ MECANISMO K+VOLANTE DN 300 N16</t>
  </si>
  <si>
    <t>I8021</t>
  </si>
  <si>
    <t>VÁLVULA BORBOLETA FLANGEADA C/ MECANISMO K+VOLANTE DN 350 N16</t>
  </si>
  <si>
    <t>I8022</t>
  </si>
  <si>
    <t>VÁLVULA BORBOLETA FLANGEADA C/ MECANISMO K+VOLANTE DN 400 N16</t>
  </si>
  <si>
    <t>I8023</t>
  </si>
  <si>
    <t>VÁLVULA BORBOLETA FLANGEADA C/ MECANISMO K+VOLANTE DN 450 N16</t>
  </si>
  <si>
    <t>I8718</t>
  </si>
  <si>
    <t>VÁLVULA BORBOLETA FLANGEADA COM ACIONADOR ELÉTRICO FoFo DN 350</t>
  </si>
  <si>
    <t>I8719</t>
  </si>
  <si>
    <t>VÁLVULA BORBOLETA FLANGEADA COM ACIONADOR ELÉTRICO FoFo DN 400</t>
  </si>
  <si>
    <t>I10450</t>
  </si>
  <si>
    <t>VÁLVULA BORBOLETA FLANGEADA COM BOIA DN 100 PN 10</t>
  </si>
  <si>
    <t>I10451</t>
  </si>
  <si>
    <t>VÁLVULA BORBOLETA FLANGEADA COM BOIA DN 150 PN 10</t>
  </si>
  <si>
    <t>I10452</t>
  </si>
  <si>
    <t>VÁLVULA BORBOLETA FLANGEADA COM BOIA DN 200 PN 10</t>
  </si>
  <si>
    <t>I10453</t>
  </si>
  <si>
    <t>VÁLVULA BORBOLETA FLANGEADA COM BOIA DN 250 PN 10</t>
  </si>
  <si>
    <t>I10454</t>
  </si>
  <si>
    <t>VÁLVULA BORBOLETA FLANGEADA COM BOIA DN 300 PN 10</t>
  </si>
  <si>
    <t>I10455</t>
  </si>
  <si>
    <t>VÁLVULA BORBOLETA FLANGEADA COM BOIA DN 350 PN 10</t>
  </si>
  <si>
    <t>I10456</t>
  </si>
  <si>
    <t>VÁLVULA BORBOLETA FLANGEADA COM BOIA DN 400 PN 10</t>
  </si>
  <si>
    <t>I10457</t>
  </si>
  <si>
    <t>VÁLVULA BORBOLETA FLANGEADA COM BOIA DN 450 PN 10</t>
  </si>
  <si>
    <t>I10448</t>
  </si>
  <si>
    <t>VÁLVULA BORBOLETA FLANGEADA COM BOIA DN 50 PN 10</t>
  </si>
  <si>
    <t>I10458</t>
  </si>
  <si>
    <t>VÁLVULA BORBOLETA FLANGEADA COM BOIA DN 500 PN 10</t>
  </si>
  <si>
    <t>I10459</t>
  </si>
  <si>
    <t>VÁLVULA BORBOLETA FLANGEADA COM BOIA DN 600 PN 10</t>
  </si>
  <si>
    <t>I10449</t>
  </si>
  <si>
    <t>VÁLVULA BORBOLETA FLANGEADA COM BOIA DN 80 PN 10</t>
  </si>
  <si>
    <t>I8731</t>
  </si>
  <si>
    <t>VÁLVULA BORBOLETA FLANGEADA, BI-EXCÊNTRICA, EM CORPO DE FERRO NODULAR, ACIONAMENTO MANUAL POR REDUTOR DN 700 PN10</t>
  </si>
  <si>
    <t>I8724</t>
  </si>
  <si>
    <t>VÁLVULA BORBOLETA WAFER C/ ALAVANCA DN 100MM</t>
  </si>
  <si>
    <t>I8725</t>
  </si>
  <si>
    <t>VÁLVULA BORBOLETA WAFER C/ ALAVANCA DN 150MM</t>
  </si>
  <si>
    <t>I8726</t>
  </si>
  <si>
    <t>VÁLVULA BORBOLETA WAFER C/ ALAVANCA DN 200MM</t>
  </si>
  <si>
    <t>I8720</t>
  </si>
  <si>
    <t>VÁLVULA BORBOLETA WAFER DN 100</t>
  </si>
  <si>
    <t>I8721</t>
  </si>
  <si>
    <t>VÁLVULA BORBOLETA WAFER DN 150</t>
  </si>
  <si>
    <t>I8722</t>
  </si>
  <si>
    <t>VÁLVULA BORBOLETA WAFER DN 200</t>
  </si>
  <si>
    <t>I8723</t>
  </si>
  <si>
    <t>VÁLVULA BORBOLETA WAFER DN 250</t>
  </si>
  <si>
    <t>I8728</t>
  </si>
  <si>
    <t>VÁLVULA BORBOLETA WAFER, BI-EXCÊNTRICA, EM CORPO DE FERRO NODULAR ACIONAMENTO MANUAL POR REDUTOR DN 400 PN10</t>
  </si>
  <si>
    <t>I8729</t>
  </si>
  <si>
    <t>VÁLVULA BORBOLETA WAFER, BI-EXCÊNTRICA, EM CORPO DE FERRO NODULAR ACIONAMENTO MANUAL POR REDUTOR DN 500 PN10</t>
  </si>
  <si>
    <t>I8730</t>
  </si>
  <si>
    <t>VÁLVULA BORBOLETA WAFER, BI-EXCÊNTRICA, EM CORPO DE FERRO NODULAR ACIONAMENTO MANUAL POR REDUTOR DN 600 PN10</t>
  </si>
  <si>
    <t>I8727</t>
  </si>
  <si>
    <t>VÁLVULA BORBOLETA WAFER, DUPLO EXCÊNTRICO, EM CORPO DE FERRO NODULAR, ACIONAMENTO POR ATUADOR ELÉTRICO/MECÂNICO DN 500 PN10</t>
  </si>
  <si>
    <t>I8732</t>
  </si>
  <si>
    <t>VÁLVULA CONTROLADORA DE NÍVEL E DE VAZÃO DE RESERVATÓRIO DN 75</t>
  </si>
  <si>
    <t>I8733</t>
  </si>
  <si>
    <t>VÁLVULA CONTROLADORA DE NÍVEL MÁXIMO DN  75</t>
  </si>
  <si>
    <t>I8734</t>
  </si>
  <si>
    <t>VÁLVULA CONTROLADORA DE NÍVEL MÁXIMO DN 100</t>
  </si>
  <si>
    <t>I8735</t>
  </si>
  <si>
    <t>VÁLVULA CONTROLADORA DE NÍVEL MÁXIMO DN 150</t>
  </si>
  <si>
    <t>I8736</t>
  </si>
  <si>
    <t>VÁLVULA CONTROLADORA DE NÍVEL MÁXIMO DN 200</t>
  </si>
  <si>
    <t>I8737</t>
  </si>
  <si>
    <t>VÁLVULA CONTROLADORA DE NÍVEL MÁXIMO DN 250</t>
  </si>
  <si>
    <t>I8738</t>
  </si>
  <si>
    <t>VÁLVULA CONTROLADORA DE NÍVEL MÁXIMO DN 300</t>
  </si>
  <si>
    <t>I8739</t>
  </si>
  <si>
    <t>VÁLVULA CONTROLADORA DE NÍVEL MÁXIMO DN 350</t>
  </si>
  <si>
    <t>I10333</t>
  </si>
  <si>
    <t>VÁLVULA CORTA-CHAMAS À PROVA DE DEFLAGRAÇÃO C/ FLANGE (FIM DE LINHA) DN 100 (4')</t>
  </si>
  <si>
    <t>I8740</t>
  </si>
  <si>
    <t>VÁLVULA DE ALTITUDE CONTROLADORA DE NÍVEL DN  50</t>
  </si>
  <si>
    <t>I8741</t>
  </si>
  <si>
    <t>VÁLVULA DE ALTITUDE CONTROLADORA DE NÍVEL DN  75</t>
  </si>
  <si>
    <t>I8742</t>
  </si>
  <si>
    <t>VÁLVULA DE ALTITUDE CONTROLADORA DE NÍVEL DN 100</t>
  </si>
  <si>
    <t>I10334</t>
  </si>
  <si>
    <t>VÁLVULA DE ALÍVIO DE PRESSÃO DN 100 (4’’)</t>
  </si>
  <si>
    <t>I10335</t>
  </si>
  <si>
    <t>VÁLVULA DE ESFERA EXCÊNTRICA COM ATUADOR ELETRO-MECÂNICO (ABERTURA TIPO ON-OFF) DN 250 PN10 P/ ÁGUAS RESIDUAIS / ESGOTO</t>
  </si>
  <si>
    <t>I10336</t>
  </si>
  <si>
    <t>VÁLVULA DE ESFERA EXCÊNTRICA COM ATUADOR ELETRO-MECÂNICO (ABERTURA TIPO ON-OFF) DN 300 PN10 P/ ÁGUAS RESIDUAIS / ESGOTO</t>
  </si>
  <si>
    <t>I10337</t>
  </si>
  <si>
    <t>VÁLVULA DE ESFERA EXCÊNTRICA COM ATUADOR ELETRO-MECÂNICO (ABERTURA TIPO ON-OFF) DN 450 PN10 P/ ÁGUAS RESIDUAIS / ESGOTO</t>
  </si>
  <si>
    <t>I10338</t>
  </si>
  <si>
    <t>VÁLVULA DE ESFERA EXCÊNTRICA COM ATUADOR ELETRO-MECÂNICO (ABERTURA TIPO ON-OFF) DN 600 PN10 P/ ÁGUAS RESIDUAIS / ESGOTO</t>
  </si>
  <si>
    <t>I8771</t>
  </si>
  <si>
    <t>VÁLVULA DE LINHA  3/4"</t>
  </si>
  <si>
    <t>I10349</t>
  </si>
  <si>
    <t>VÁLVULA DE RETENÇÃO DE FECHAMENTO RÁPIDO TIPO, (CLASAR), PN 10 DN 500</t>
  </si>
  <si>
    <t>I10350</t>
  </si>
  <si>
    <t>VÁLVULA DE RETENÇÃO DE FECHAMENTO RÁPIDO TIPO, (CLASAR), PN 10 DN 600</t>
  </si>
  <si>
    <t>I10351</t>
  </si>
  <si>
    <t>VÁLVULA DE RETENÇÃO DE FECHAMENTO RÁPIDO TIPO, (CLASAR), PN 10 DN 700</t>
  </si>
  <si>
    <t>I10352</t>
  </si>
  <si>
    <t>VÁLVULA DE RETENÇÃO DE FECHAMENTO RÁPIDO TIPO, (CLASAR), PN 10 DN 900</t>
  </si>
  <si>
    <t>I10330</t>
  </si>
  <si>
    <t>VÁLVULA DE RETENÇÃO PORTINHOLA ÚNICA C/ FLANGES DN 400 PN10 P/ ÁGUAS RESIDUAIS / ESGOTO</t>
  </si>
  <si>
    <t>I10331</t>
  </si>
  <si>
    <t>VÁLVULA DE RETENÇÃO PORTINHOLA ÚNICA C/ FLANGES DN 500 PN10 P/ ÁGUAS RESIDUAIS / ESGOTO</t>
  </si>
  <si>
    <t>I10332</t>
  </si>
  <si>
    <t>VÁLVULA DE RETENÇÃO PORTINHOLA ÚNICA C/ FLANGES DN 600 PN10 P/ ÁGUAS RESIDUAIS / ESGOTO</t>
  </si>
  <si>
    <t>I10353</t>
  </si>
  <si>
    <t>VÁLVULA DE RETENÇÃO TIPO BOLA C/ FLANGES DN 100 PN10 P/ ÁGUAS RESIDUAIS / ESGOTO</t>
  </si>
  <si>
    <t>I10362</t>
  </si>
  <si>
    <t>VÁLVULA DE RETENÇÃO TIPO BOLA C/ FLANGES DN 100 PN16 P/ ÁGUAS RESIDUAIS / ESGOTO</t>
  </si>
  <si>
    <t>I10354</t>
  </si>
  <si>
    <t>VÁLVULA DE RETENÇÃO TIPO BOLA C/ FLANGES DN 150 PN10 P/ ÁGUAS RESIDUAIS / ESGOTO</t>
  </si>
  <si>
    <t>I10363</t>
  </si>
  <si>
    <t>VÁLVULA DE RETENÇÃO TIPO BOLA C/ FLANGES DN 150 PN16 P/ ÁGUAS RESIDUAIS / ESGOTO</t>
  </si>
  <si>
    <t>I10355</t>
  </si>
  <si>
    <t>VÁLVULA DE RETENÇÃO TIPO BOLA C/ FLANGES DN 200 PN10 P/ ÁGUAS RESIDUAIS / ESGOTO</t>
  </si>
  <si>
    <t>I10356</t>
  </si>
  <si>
    <t>VÁLVULA DE RETENÇÃO TIPO BOLA C/ FLANGES DN 250 PN10 P/ ÁGUAS RESIDUAIS / ESGOTO</t>
  </si>
  <si>
    <t>I10357</t>
  </si>
  <si>
    <t>VÁLVULA DE RETENÇÃO TIPO BOLA C/ FLANGES DN 300 PN10 P/ ÁGUAS RESIDUAIS / ESGOTO</t>
  </si>
  <si>
    <t>I10358</t>
  </si>
  <si>
    <t>VÁLVULA DE RETENÇÃO TIPO BOLA C/ FLANGES DN 400 PN10 P/ ÁGUAS RESIDUAIS / ESGOTO</t>
  </si>
  <si>
    <t>I10361</t>
  </si>
  <si>
    <t>VÁLVULA DE RETENÇÃO TIPO BOLA C/ FLANGES DN 50 PN16 P/ ÁGUAS RESIDUAIS / ESGOTO</t>
  </si>
  <si>
    <t>I10359</t>
  </si>
  <si>
    <t>VÁLVULA DE RETENÇÃO TIPO BOLA C/ FLANGES DN 500 PN10 P/ ÁGUAS RESIDUAIS / ESGOTO</t>
  </si>
  <si>
    <t>I10360</t>
  </si>
  <si>
    <t>VÁLVULA DE RETENÇÃO TIPO BOLA C/ FLANGES DN 600 PN10 P/ ÁGUAS RESIDUAIS / ESGOTO</t>
  </si>
  <si>
    <t>I8753</t>
  </si>
  <si>
    <t>VÁLVULA FLAP DN 075</t>
  </si>
  <si>
    <t>I8754</t>
  </si>
  <si>
    <t>VÁLVULA FLAP DN 100</t>
  </si>
  <si>
    <t>I8755</t>
  </si>
  <si>
    <t>VÁLVULA FLAP DN 150</t>
  </si>
  <si>
    <t>I8756</t>
  </si>
  <si>
    <t>VÁLVULA FLAP DN 200</t>
  </si>
  <si>
    <t>I8757</t>
  </si>
  <si>
    <t>VÁLVULA FLAP DN 250</t>
  </si>
  <si>
    <t>I8758</t>
  </si>
  <si>
    <t>VÁLVULA FLAP DN 300</t>
  </si>
  <si>
    <t>I10339</t>
  </si>
  <si>
    <t>VÁLVULA FLAP DN 350 PN10</t>
  </si>
  <si>
    <t>I8759</t>
  </si>
  <si>
    <t>VÁLVULA FLAP DN 400</t>
  </si>
  <si>
    <t>I10340</t>
  </si>
  <si>
    <t>VÁLVULA FLAP DN 450 PN10</t>
  </si>
  <si>
    <t>I10341</t>
  </si>
  <si>
    <t>VÁLVULA FLAP DN 500 PN10</t>
  </si>
  <si>
    <t>I10342</t>
  </si>
  <si>
    <t>VÁLVULA FLAP DN 600 PN10</t>
  </si>
  <si>
    <t>I8760</t>
  </si>
  <si>
    <t>VÁLVULA FLAP DN 700</t>
  </si>
  <si>
    <t>I10343</t>
  </si>
  <si>
    <t>VÁLVULA FLAP DN 800 PN10</t>
  </si>
  <si>
    <t>I10344</t>
  </si>
  <si>
    <t>VÁLVULA LIMITADORA DE VAZÃO PN10 12", COMPLETA</t>
  </si>
  <si>
    <t>I10345</t>
  </si>
  <si>
    <t>VÁLVULA LIMITADORA DE VAZÃO PN10 14", COMPLETA</t>
  </si>
  <si>
    <t>I10346</t>
  </si>
  <si>
    <t>VÁLVULA LIMITADORA DE VAZÃO PN10 16", COMPLETA</t>
  </si>
  <si>
    <t>I10347</t>
  </si>
  <si>
    <t>VÁLVULA LIMITADORA DE VAZÃO PN10 18", COMPLETA</t>
  </si>
  <si>
    <t>I10348</t>
  </si>
  <si>
    <t>VÁLVULA LIMITADORA DE VAZÃO PN10 20", COMPLETA</t>
  </si>
  <si>
    <t>I8761</t>
  </si>
  <si>
    <t>VÁLVULA REDUTORA DE PRESSÃO DN  75</t>
  </si>
  <si>
    <t>I8762</t>
  </si>
  <si>
    <t>VÁLVULA REDUTORA DE PRESSÃO DN 100</t>
  </si>
  <si>
    <t>I8763</t>
  </si>
  <si>
    <t>VÁLVULA REDUTORA DE PRESSÃO DN 150</t>
  </si>
  <si>
    <t>I8764</t>
  </si>
  <si>
    <t>VÁLVULA REDUTORA DE PRESSÃO DN 200</t>
  </si>
  <si>
    <t>I8765</t>
  </si>
  <si>
    <t>VÁLVULA REDUTORA DE PRESSÃO DN 250</t>
  </si>
  <si>
    <t>I8766</t>
  </si>
  <si>
    <t>VÁLVULA REDUTORA DE PRESSÃO DN 300</t>
  </si>
  <si>
    <t>I8767</t>
  </si>
  <si>
    <t>VÁLVULA REDUTORA DE PRESSÃO DN 350</t>
  </si>
  <si>
    <t>I8772</t>
  </si>
  <si>
    <t>VÁLVULA REDUTORA DE VÁCUO C/ CAPACIDADE P/500 Lb/Dia 3/4"</t>
  </si>
  <si>
    <t>I10226</t>
  </si>
  <si>
    <t>VÁLVULA REGULADORA DE PRESSÃO DE GÁS C/FLANGES 3"</t>
  </si>
  <si>
    <t>I8752</t>
  </si>
  <si>
    <t>VÁLVULA RETENÇÃO DN 80 PN16 FECH. RÁPIDO (CLASAR)</t>
  </si>
  <si>
    <t>I5667</t>
  </si>
  <si>
    <t>VÁLVULA RETENÇÃO PORT. DUPLA DN    50 PN25</t>
  </si>
  <si>
    <t>I5668</t>
  </si>
  <si>
    <t>VÁLVULA RETENÇÃO PORT. DUPLA DN    75 PN25</t>
  </si>
  <si>
    <t>I5669</t>
  </si>
  <si>
    <t>VÁLVULA RETENÇÃO PORT. DUPLA DN  100 PN25</t>
  </si>
  <si>
    <t>I5670</t>
  </si>
  <si>
    <t>VÁLVULA RETENÇÃO PORT. DUPLA DN  150 PN25</t>
  </si>
  <si>
    <t>I5654</t>
  </si>
  <si>
    <t>VÁLVULA RETENÇÃO PORT. DUPLA DN  200 PN16</t>
  </si>
  <si>
    <t>I5671</t>
  </si>
  <si>
    <t>VÁLVULA RETENÇÃO PORT. DUPLA DN  200 PN25</t>
  </si>
  <si>
    <t>I5655</t>
  </si>
  <si>
    <t>VÁLVULA RETENÇÃO PORT. DUPLA DN  250 PN16</t>
  </si>
  <si>
    <t>I5672</t>
  </si>
  <si>
    <t>VÁLVULA RETENÇÃO PORT. DUPLA DN  250 PN25</t>
  </si>
  <si>
    <t>I5656</t>
  </si>
  <si>
    <t>VÁLVULA RETENÇÃO PORT. DUPLA DN  300 PN16</t>
  </si>
  <si>
    <t>I5673</t>
  </si>
  <si>
    <t>VÁLVULA RETENÇÃO PORT. DUPLA DN  300 PN25</t>
  </si>
  <si>
    <t>I5657</t>
  </si>
  <si>
    <t>VÁLVULA RETENÇÃO PORT. DUPLA DN  350 PN16</t>
  </si>
  <si>
    <t>I5674</t>
  </si>
  <si>
    <t>VÁLVULA RETENÇÃO PORT. DUPLA DN  350 PN25</t>
  </si>
  <si>
    <t>I5658</t>
  </si>
  <si>
    <t>VÁLVULA RETENÇÃO PORT. DUPLA DN  400 PN16</t>
  </si>
  <si>
    <t>I5675</t>
  </si>
  <si>
    <t>VÁLVULA RETENÇÃO PORT. DUPLA DN  400 PN25</t>
  </si>
  <si>
    <t>I5651</t>
  </si>
  <si>
    <t>VÁLVULA RETENÇÃO PORT. DUPLA DN  450 PN10</t>
  </si>
  <si>
    <t>I5659</t>
  </si>
  <si>
    <t>VÁLVULA RETENÇÃO PORT. DUPLA DN  450 PN16</t>
  </si>
  <si>
    <t>I5652</t>
  </si>
  <si>
    <t>VÁLVULA RETENÇÃO PORT. DUPLA DN  500 PN10</t>
  </si>
  <si>
    <t>I5660</t>
  </si>
  <si>
    <t>VÁLVULA RETENÇÃO PORT. DUPLA DN  500 PN16</t>
  </si>
  <si>
    <t>I5677</t>
  </si>
  <si>
    <t>VÁLVULA RETENÇÃO PORT. DUPLA DN  500 PN25</t>
  </si>
  <si>
    <t>I5653</t>
  </si>
  <si>
    <t>VÁLVULA RETENÇÃO PORT. DUPLA DN  600 PN10</t>
  </si>
  <si>
    <t>I5661</t>
  </si>
  <si>
    <t>VÁLVULA RETENÇÃO PORT. DUPLA DN  600 PN16</t>
  </si>
  <si>
    <t>I5678</t>
  </si>
  <si>
    <t>VÁLVULA RETENÇÃO PORT. DUPLA DN  600 PN25</t>
  </si>
  <si>
    <t>I5662</t>
  </si>
  <si>
    <t>VÁLVULA RETENÇÃO PORT. DUPLA DN  700 PN16</t>
  </si>
  <si>
    <t>I5663</t>
  </si>
  <si>
    <t>VÁLVULA RETENÇÃO PORT. DUPLA DN  800 PN16</t>
  </si>
  <si>
    <t>I5664</t>
  </si>
  <si>
    <t>VÁLVULA RETENÇÃO PORT. DUPLA DN  900 PN16</t>
  </si>
  <si>
    <t>I5665</t>
  </si>
  <si>
    <t>VÁLVULA RETENÇÃO PORT. DUPLA DN 1000 PN16</t>
  </si>
  <si>
    <t>I5666</t>
  </si>
  <si>
    <t>VÁLVULA RETENÇÃO PORT. DUPLA DN 1200 PN16</t>
  </si>
  <si>
    <t>I5676</t>
  </si>
  <si>
    <t>VÁLVULA RETENÇÃO PORT. DUPLA DN 450 PN25</t>
  </si>
  <si>
    <t>I8750</t>
  </si>
  <si>
    <t>VÁLVULA RETENÇÃO PORTA ÚNICA ANTI-GOLPE FLANGE DN 100 PN16</t>
  </si>
  <si>
    <t>I8751</t>
  </si>
  <si>
    <t>VÁLVULA RETENÇÃO PORTA ÚNICA ANTI-GOLPE FLANGE DN 200 PN16</t>
  </si>
  <si>
    <t>I8743</t>
  </si>
  <si>
    <t>VÁLVULA RETENÇÃO PORTA ÚNICA C/FLANGES DN  75 P/ESGOTO</t>
  </si>
  <si>
    <t>I8744</t>
  </si>
  <si>
    <t>VÁLVULA RETENÇÃO PORTA ÚNICA C/FLANGES DN 100 P/ESGOTO</t>
  </si>
  <si>
    <t>I8745</t>
  </si>
  <si>
    <t>VÁLVULA RETENÇÃO PORTA ÚNICA C/FLANGES DN 150 P/ESGOTO</t>
  </si>
  <si>
    <t>I8746</t>
  </si>
  <si>
    <t>VÁLVULA RETENÇÃO PORTA ÚNICA C/FLANGES DN 200 P/ESGOTO</t>
  </si>
  <si>
    <t>I8747</t>
  </si>
  <si>
    <t>VÁLVULA RETENÇÃO PORTA ÚNICA C/FLANGES DN 250 P/ESGOTO</t>
  </si>
  <si>
    <t>I8748</t>
  </si>
  <si>
    <t>VÁLVULA RETENÇÃO PORTA ÚNICA C/FLANGES DN 300 P/ESGOTO</t>
  </si>
  <si>
    <t>I8749</t>
  </si>
  <si>
    <t>VÁLVULA RETENÇÃO PORTA ÚNICA C/FLANGES DN 350 P/ESGOTO</t>
  </si>
  <si>
    <t>I8768</t>
  </si>
  <si>
    <t>VÁLVULA TIPO LUG COM ALAVANCA DN 150</t>
  </si>
  <si>
    <t>I8769</t>
  </si>
  <si>
    <t>VÁLVULA TIPO LUG COM ALAVANCA DN 200</t>
  </si>
  <si>
    <t>I8770</t>
  </si>
  <si>
    <t>VÁLVULA TIPO LUG COM ALAVANCA DN 250</t>
  </si>
  <si>
    <t>I6499</t>
  </si>
  <si>
    <t>VÁLVULA VENTOSA TRÍPLICE FUNÇÃO P/ ÁGUAS RESIDUAIS/ESGOTO DN  50 mm</t>
  </si>
  <si>
    <t>I6514</t>
  </si>
  <si>
    <t>VÁLVULA VENTOSA TRÍPLICE FUNÇÃO P/ ÁGUAS RESIDUAIS/ESGOTO DN  75 mm</t>
  </si>
  <si>
    <t>I6515</t>
  </si>
  <si>
    <t>VÁLVULA VENTOSA TRÍPLICE FUNÇÃO P/ ÁGUAS RESIDUAIS/ESGOTO DN 100 mm</t>
  </si>
  <si>
    <t>I6516</t>
  </si>
  <si>
    <t>VÁLVULA VENTOSA TRÍPLICE FUNÇÃO P/ ÁGUAS RESIDUAIS/ESGOTO DN 150 mm</t>
  </si>
  <si>
    <t>I6517</t>
  </si>
  <si>
    <t>VÁLVULA VENTOSA TRÍPLICE FUNÇÃO P/ ÁGUAS RESIDUAIS/ESGOTO DN 200 mm</t>
  </si>
  <si>
    <t>I8931</t>
  </si>
  <si>
    <t>ÓCULOS DE PLÁSTICO TRANSPARENTE C/ PROTEÇÃO DE PARTÍCULAS VOLANTES</t>
  </si>
  <si>
    <t>I8932</t>
  </si>
  <si>
    <t>ÓCULOS INCOLOR ANTIEMBAÇANTE</t>
  </si>
  <si>
    <t>COTAÇÃO / MATERIAIS FORNECIDOS TUBO ASTM</t>
  </si>
  <si>
    <t>I10105</t>
  </si>
  <si>
    <t>TUBO AÇO CARBONO ASTM ESP 1/2" PF  DN 1600</t>
  </si>
  <si>
    <t>I10098</t>
  </si>
  <si>
    <t>TUBO AÇO CARBONO ASTM ESP 7/16" PF  DN   400</t>
  </si>
  <si>
    <t>I10099</t>
  </si>
  <si>
    <t>TUBO AÇO CARBONO ASTM ESP 7/16" PF  DN   500</t>
  </si>
  <si>
    <t>I10100</t>
  </si>
  <si>
    <t>TUBO AÇO CARBONO ASTM ESP 7/16" PF  DN   600</t>
  </si>
  <si>
    <t>I10101</t>
  </si>
  <si>
    <t>TUBO AÇO CARBONO ASTM ESP 7/16" PF  DN   700</t>
  </si>
  <si>
    <t>I10102</t>
  </si>
  <si>
    <t>TUBO AÇO CARBONO ASTM ESP 7/16" PF  DN   800</t>
  </si>
  <si>
    <t>I10103</t>
  </si>
  <si>
    <t>TUBO AÇO CARBONO ASTM ESP 7/16" PF  DN   900</t>
  </si>
  <si>
    <t>I10104</t>
  </si>
  <si>
    <t>TUBO AÇO CARBONO ASTM ESP 7/16" PF  DN 1000</t>
  </si>
  <si>
    <t>I10106</t>
  </si>
  <si>
    <t>TUBO AÇO CARBONO ASTM ESP 7/16" PP  DN  400</t>
  </si>
  <si>
    <t>I10107</t>
  </si>
  <si>
    <t>TUBO AÇO CARBONO ASTM ESP 7/16" PP  DN  500</t>
  </si>
  <si>
    <t>I10108</t>
  </si>
  <si>
    <t>TUBO AÇO CARBONO ASTM ESP 7/16" PP  DN  600</t>
  </si>
  <si>
    <t>I10109</t>
  </si>
  <si>
    <t>TUBO AÇO CARBONO ASTM ESP 7/16" PP  DN  700</t>
  </si>
  <si>
    <t>I10110</t>
  </si>
  <si>
    <t>TUBO AÇO CARBONO ASTM ESP 7/16" PP  DN  800</t>
  </si>
  <si>
    <t>I10111</t>
  </si>
  <si>
    <t>TUBO AÇO CARBONO ASTM ESP 7/16" PP  DN  900</t>
  </si>
  <si>
    <t>I10112</t>
  </si>
  <si>
    <t>TUBO AÇO CARBONO ASTM ESP 7/16" PP  DN 1000</t>
  </si>
  <si>
    <t>I10113</t>
  </si>
  <si>
    <t>TUBO AÇO CARBONO ASTM ESP 7/16" PP  DN 1200</t>
  </si>
  <si>
    <t>I10114</t>
  </si>
  <si>
    <t>TUBO AÇO CARBONO ASTM ESP 7/16" PP  DN 1500</t>
  </si>
  <si>
    <t>I10115</t>
  </si>
  <si>
    <t>TUBO AÇO CHAPA ASTM A36 E=1/2", REVESTIMENTO EXTERNO EM ALUMÍNIO FENÓLICO PP  DN 1600</t>
  </si>
  <si>
    <t>I6170</t>
  </si>
  <si>
    <t>TUBO CAMISA AÇO CHAPA ASTM A36 1/4" DN 300mm</t>
  </si>
  <si>
    <t>I6171</t>
  </si>
  <si>
    <t>TUBO CAMISA AÇO CHAPA ASTM A36 1/4" DN 400mm</t>
  </si>
  <si>
    <t>I6172</t>
  </si>
  <si>
    <t>TUBO CAMISA AÇO CHAPA ASTM A36 1/4" DN 500mm</t>
  </si>
  <si>
    <t>I9157</t>
  </si>
  <si>
    <t>TUBO CAMISA AÇO CHAPA ASTM A36 5/16" DN  600mm</t>
  </si>
  <si>
    <t>I8085</t>
  </si>
  <si>
    <t>TUBO CAMISA AÇO CHAPA ASTM A36 5/16" DN  700mm</t>
  </si>
  <si>
    <t>I9158</t>
  </si>
  <si>
    <t>TUBO CAMISA AÇO CHAPA ASTM A36 5/16" DN  800mm</t>
  </si>
  <si>
    <t>I9159</t>
  </si>
  <si>
    <t>TUBO CAMISA AÇO CHAPA ASTM A36 5/16" DN  900mm</t>
  </si>
  <si>
    <t>I8579</t>
  </si>
  <si>
    <t>TUBO CAMISA AÇO CHAPA ASTM A36 5/16" DN 1000mm</t>
  </si>
  <si>
    <t>I9028</t>
  </si>
  <si>
    <t xml:space="preserve">TUBO CAMISA AÇO CHAPA ASTM A36 5/16" DN 1200mm
</t>
  </si>
  <si>
    <t>I8580</t>
  </si>
  <si>
    <t>TUBO CAMISA AÇO CHAPA ASTM A36 5/16" DN 1500mm</t>
  </si>
  <si>
    <t>I8581</t>
  </si>
  <si>
    <t>TUBO CAMISA AÇO CHAPA ASTM A36 5/16" DN 2000mm</t>
  </si>
  <si>
    <t>I10143</t>
  </si>
  <si>
    <t xml:space="preserve">TUBO CAMISA AÇO CHAPA ASTM A36 5/16" PP  DN 350mm
</t>
  </si>
  <si>
    <t>I10142</t>
  </si>
  <si>
    <t xml:space="preserve">TUBO CAMISA AÇO CHAPA ASTM A36 5/16" PP DN 250mm
</t>
  </si>
  <si>
    <t>I9034</t>
  </si>
  <si>
    <t>TUBO DE ACO CHAPA ASTM A36 1/2" DN 1000mm</t>
  </si>
  <si>
    <t>I9035</t>
  </si>
  <si>
    <t>TUBO DE ACO CHAPA ASTM A36 1/2" DN 1200mm</t>
  </si>
  <si>
    <t>I7883</t>
  </si>
  <si>
    <t>TUBO DE ACO CHAPA ASTM A36 1/2" DN 1400mm COM PONTAS</t>
  </si>
  <si>
    <t>I7884</t>
  </si>
  <si>
    <t>TUBO DE ACO CHAPA ASTM A36 1/2" DN 1600mm COM PONTAS</t>
  </si>
  <si>
    <t>I7877</t>
  </si>
  <si>
    <t>TUBO DE ACO CHAPA ASTM A36 1/4" DN  600mm COM PONTAS</t>
  </si>
  <si>
    <t>I7878</t>
  </si>
  <si>
    <t>TUBO DE ACO CHAPA ASTM A36 1/4" DN  700mm COM PONTAS</t>
  </si>
  <si>
    <t>I7879</t>
  </si>
  <si>
    <t>TUBO DE ACO CHAPA ASTM A36 1/4" DN  800mm COM PONTAS</t>
  </si>
  <si>
    <t>I9025</t>
  </si>
  <si>
    <t>TUBO DE ACO CHAPA ASTM A36 3/16" DN  300mm</t>
  </si>
  <si>
    <t>I7875</t>
  </si>
  <si>
    <t>TUBO DE ACO CHAPA ASTM A36 3/16" DN  400mm COM PONTAS</t>
  </si>
  <si>
    <t>I7876</t>
  </si>
  <si>
    <t>TUBO DE ACO CHAPA ASTM A36 3/16" DN  500mm COM PONTAS</t>
  </si>
  <si>
    <t>I9029</t>
  </si>
  <si>
    <t>TUBO DE ACO CHAPA ASTM A36 3/8" DN  600mm</t>
  </si>
  <si>
    <t>I9030</t>
  </si>
  <si>
    <t>TUBO DE ACO CHAPA ASTM A36 3/8" DN  700mm</t>
  </si>
  <si>
    <t>I9031</t>
  </si>
  <si>
    <t>TUBO DE ACO CHAPA ASTM A36 3/8" DN  800mm</t>
  </si>
  <si>
    <t>I9032</t>
  </si>
  <si>
    <t>TUBO DE ACO CHAPA ASTM A36 3/8" DN  900mm</t>
  </si>
  <si>
    <t>I9033</t>
  </si>
  <si>
    <t>TUBO DE ACO CHAPA ASTM A36 3/8" DN 1000mm</t>
  </si>
  <si>
    <t>I7882</t>
  </si>
  <si>
    <t>TUBO DE ACO CHAPA ASTM A36 3/8" DN 1200mm COM PONTAS</t>
  </si>
  <si>
    <t>I9026</t>
  </si>
  <si>
    <t>TUBO DE ACO CHAPA ASTM A36 5/16" DN  600mm</t>
  </si>
  <si>
    <t>I9027</t>
  </si>
  <si>
    <t>TUBO DE ACO CHAPA ASTM A36 5/16" DN  800mm</t>
  </si>
  <si>
    <t>I7880</t>
  </si>
  <si>
    <t>TUBO DE ACO CHAPA ASTM A36 5/16" DN  900mm COM PONTAS</t>
  </si>
  <si>
    <t>I7881</t>
  </si>
  <si>
    <t>TUBO DE ACO CHAPA ASTM A36 5/16" DN 1000mm COM PONTAS</t>
  </si>
  <si>
    <t>I9154</t>
  </si>
  <si>
    <t>TUBO DE AÇO CHAPA ASTM A36 1/4" DN  300mm COM PONTAS</t>
  </si>
  <si>
    <t>I9155</t>
  </si>
  <si>
    <t>TUBO DE AÇO CHAPA ASTM A36 1/4" DN  400mm COM PONTAS</t>
  </si>
  <si>
    <t>I9156</t>
  </si>
  <si>
    <t>TUBO DE AÇO CHAPA ASTM A36 1/4" DN  500mm COM PONTAS</t>
  </si>
  <si>
    <t>COTAÇÃO / MATERIAIS GÁS</t>
  </si>
  <si>
    <t>G0847</t>
  </si>
  <si>
    <t>1 TOLDO +1 CONJUNTOS DE MESA E 4 CADEIRAS DE PLÁSTICO - (INSUMO 990253U - COMPESA)</t>
  </si>
  <si>
    <t>G0001</t>
  </si>
  <si>
    <t>ACOPLADEIRA EXTERNA EM AÇO PARA SOLDA EM TUBOS EM AÇO CARBONO DN  2"</t>
  </si>
  <si>
    <t>G0002</t>
  </si>
  <si>
    <t>ACOPLADEIRA EXTERNA EM AÇO PARA SOLDA EM TUBOS EM AÇO CARBONO DN  3"</t>
  </si>
  <si>
    <t>G0003</t>
  </si>
  <si>
    <t>ACOPLADEIRA EXTERNA EM AÇO PARA SOLDA EM TUBOS EM AÇO CARBONO DN  4"</t>
  </si>
  <si>
    <t>G0004</t>
  </si>
  <si>
    <t>ACOPLADEIRA EXTERNA EM AÇO PARA SOLDA EM TUBOS EM AÇO CARBONO DN  6"</t>
  </si>
  <si>
    <t>G0005</t>
  </si>
  <si>
    <t>ACOPLADEIRA EXTERNA EM AÇO PARA SOLDA EM TUBOS EM AÇO CARBONO DN  8"</t>
  </si>
  <si>
    <t>G0006</t>
  </si>
  <si>
    <t>ACOPLADEIRA EXTERNA EM AÇO PARA SOLDA EM TUBOS EM AÇO CARBONO DN 10"</t>
  </si>
  <si>
    <t>G0007</t>
  </si>
  <si>
    <t>ACOPLADEIRA EXTERNA EM AÇO PARA SOLDA EM TUBOS EM AÇO CARBONO DN 12"</t>
  </si>
  <si>
    <t>G0629</t>
  </si>
  <si>
    <t>ADAPTADOR MACHO TUBO X ROSCA, 3/8” OD X 1/4” NPT, ROSCA PADRÃO NPT/ ISO ASME ANSI B1.20.1, EM AÇO INOX AISI 316/316L</t>
  </si>
  <si>
    <t>G0805</t>
  </si>
  <si>
    <t>G0630</t>
  </si>
  <si>
    <t>ADAPTADOR MACHO TUBO X ROSCA, 6MM OD X 1/4” NPT, ROSCA PADRÃO NPT/ ISO ASME ANSI B1.20.1, EM AÇO INOX AISI 316/316L</t>
  </si>
  <si>
    <t>G0806</t>
  </si>
  <si>
    <t>G0008</t>
  </si>
  <si>
    <t>ALARGADOR FLUTED  4,5" PARA FURO DIRECIONAL</t>
  </si>
  <si>
    <t>G0009</t>
  </si>
  <si>
    <t>ALARGADOR FLUTED  6" PARA FURO DIRECIONAL</t>
  </si>
  <si>
    <t>G0010</t>
  </si>
  <si>
    <t>ALARGADOR FLUTED  8" PARA FURO DIRECIONAL</t>
  </si>
  <si>
    <t>G0011</t>
  </si>
  <si>
    <t>ALARGADOR FLUTED 10" PARA FURO DIRECIONAL</t>
  </si>
  <si>
    <t>G0012</t>
  </si>
  <si>
    <t>ALARGADOR FLUTED 12" PARA FURO DIRECIONAL</t>
  </si>
  <si>
    <t>G0013</t>
  </si>
  <si>
    <t>ALARGADOR FLUTED 14" PARA FURO DIRECIONAL</t>
  </si>
  <si>
    <t>G0014</t>
  </si>
  <si>
    <t>ALARGADOR FLUTED 16" PARA FURO DIRECIONAL</t>
  </si>
  <si>
    <t>G0015</t>
  </si>
  <si>
    <t>ALARGADOR FLUTED 18" PARA FURO DIRECIONAL</t>
  </si>
  <si>
    <t>G0016</t>
  </si>
  <si>
    <t>ALARGADOR FLUTED 20" PARA FURO DIRECIONAL</t>
  </si>
  <si>
    <t>G0018</t>
  </si>
  <si>
    <t>ALARGADOR SPIRAL  4,5" PARA FURO DIRECIONAL</t>
  </si>
  <si>
    <t>G0019</t>
  </si>
  <si>
    <t>ALARGADOR SPIRAL  6" PARA FURO DIRECIONAL</t>
  </si>
  <si>
    <t>G0020</t>
  </si>
  <si>
    <t>ALARGADOR SPIRAL  8" PARA FURO DIRECIONAL</t>
  </si>
  <si>
    <t>G0017</t>
  </si>
  <si>
    <t>ALARGADOR SPIRAL 10" PARA FURO DIRECIONAL</t>
  </si>
  <si>
    <t>G0021</t>
  </si>
  <si>
    <t>ALARGADOR SPIRAL 12" PARA FURO DIRECIONAL</t>
  </si>
  <si>
    <t>G0022</t>
  </si>
  <si>
    <t>ALARGADOR SPIRAL 14" PARA FURO DIRECIONAL</t>
  </si>
  <si>
    <t>G0023</t>
  </si>
  <si>
    <t>ALARGADOR SPIRAL 16" PARA FURO DIRECIONAL</t>
  </si>
  <si>
    <t>G0024</t>
  </si>
  <si>
    <t>ALARGADOR SPIRAL 18" PARA FURO DIRECIONAL</t>
  </si>
  <si>
    <t>G0025</t>
  </si>
  <si>
    <t>ALARGADOR SPIRAL 20" PARA FURO DIRECIONAL</t>
  </si>
  <si>
    <t>G0031</t>
  </si>
  <si>
    <t>ALARGADOR WING CUTTER OU SIMILAR 36 000 LIBRAS 18" PARA FURO DIRECIONAL COM DESTORCEDOR E ADAPTADOR</t>
  </si>
  <si>
    <t>G0026</t>
  </si>
  <si>
    <t>ALARGADOR WING CUTTER OU SIMILAR 36.000 LIBRAS  8" PARA FURO DIRECIONAL COM DESTORCEDOR E ADAPTADOR</t>
  </si>
  <si>
    <t>G0027</t>
  </si>
  <si>
    <t>ALARGADOR WING CUTTER OU SIMILAR 36.000 LIBRAS 10" PARA FURO DIRECIONAL COM DESTORCEDOR E ADAPTADOR</t>
  </si>
  <si>
    <t>G0028</t>
  </si>
  <si>
    <t>ALARGADOR WING CUTTER OU SIMILAR 36.000 LIBRAS 12" PARA FURO DIRECIONAL COM DESTORCEDOR E ADAPTADOR</t>
  </si>
  <si>
    <t>G0029</t>
  </si>
  <si>
    <t>ALARGADOR WING CUTTER OU SIMILAR 36.000 LIBRAS 14" PARA FURO DIRECIONAL  COM DESTORCEDOR E ADAPTADOR</t>
  </si>
  <si>
    <t>G0030</t>
  </si>
  <si>
    <t>ALARGADOR WING CUTTER OU SIMILAR 36.000 LIBRAS 16" PARA FURO DIRECIONAL COM DESTORCEDOR E ADAPTADOR</t>
  </si>
  <si>
    <t>G0661</t>
  </si>
  <si>
    <t>ALICATE DE CORTE DIAGONAL PARA ARAME DURO (ATÉ 1,6MM) DIN ISO 5749, EM AÇO CROMO-VANÁDIO, ACABAMENTO FOSFATIZADO, CABO COM ISOLAMENTO CONFORME NBR 9699</t>
  </si>
  <si>
    <t>G0660</t>
  </si>
  <si>
    <t>ALICATE DE PRESSÃO COM MORDENTES CURVOS EM AÇO CROMO-VANÁDIO; REFERÊNCIA: 10” (ABERTURA DE 42MM)</t>
  </si>
  <si>
    <t>G0662</t>
  </si>
  <si>
    <t>ALICATE TIPO TELEFONE BICO RETO DIN ISO 5745 FORMA A, EM AÇO CROMO-VANÁDIO, ACABAMENTO NIQUELADO E CROMADO, CABO COM ISOLAMENTO CONFORME NBR 9699</t>
  </si>
  <si>
    <t>G0663</t>
  </si>
  <si>
    <t>ALICATE UNIVERSAL DIN ISO 5746, EM AÇO CROMO-VANÁDIO, ACABAMENTO NIQUELADO E CROMADO, CABO COM ISOLAMENTO CONFORME NBR 9699
REFERÊNCIA: 7”</t>
  </si>
  <si>
    <t>G0838</t>
  </si>
  <si>
    <t>ALUGUEL DE MÁQUINA DE CORTE EM ASFALTO/CONCRETO UTILIZANDO DISCO DIAMANTADO DIAM. 350 MM (NÃO INCLUI O DISCO) - (INSUMO 12749/ORSE)</t>
  </si>
  <si>
    <t>G0032</t>
  </si>
  <si>
    <t>ANEL ESPAÇADOR PARA FLANGE DE DIÂMETRO  2”; MATERIAL: ASTM A516 GR. 60; EXTREMIDADE: FR (FLANGE DE RESSALTO); PADRÃO DIMENSIONAL: N-120</t>
  </si>
  <si>
    <t>G0033</t>
  </si>
  <si>
    <t>ANEL ESPAÇADOR PARA FLANGE DE DIÂMETRO  3”; MATERIAL: ASTM A516 GR. 60; EXTREMIDADE: FR (FLANGE DE RESSALTO); PADRÃO DIMENSIONAL: N-120</t>
  </si>
  <si>
    <t>G0034</t>
  </si>
  <si>
    <t>ANEL ESPAÇADOR PARA FLANGE DE DIÂMETRO  4”; MATERIAL: ASTM A516 GR. 60; EXTREMIDADE: FR (FLANGE DE RESSALTO); PADRÃO DIMENSIONAL: N-120</t>
  </si>
  <si>
    <t>G0035</t>
  </si>
  <si>
    <t>ANEL ESPAÇADOR PARA FLANGE DE DIÂMETRO  6”; MATERIAL: ASTM A516 GR. 60; EXTREMIDADE: FR (FLANGE DE RESSALTO); PADRÃO DIMENSIONAL: N-120</t>
  </si>
  <si>
    <t>G0036</t>
  </si>
  <si>
    <t>ANEL ESPAÇADOR PARA FLANGE DE DIÂMETRO  8”; MATERIAL: ASTM A516 GR. 60; EXTREMIDADE: FR (FLANGE DE RESSALTO); PADRÃO DIMENSIONAL: N-120</t>
  </si>
  <si>
    <t>G0037</t>
  </si>
  <si>
    <t>ANEL ESPAÇADOR PARA FLANGE DE DIÂMETRO 10”; MATERIAL: ASTM A516 GR. 60; EXTREMIDADE: FR (FLANGE DE RESSALTO); PADRÃO DIMENSIONAL: N-120</t>
  </si>
  <si>
    <t>G0038</t>
  </si>
  <si>
    <t>ANEL ESPAÇADOR PARA FLANGE DE DIÂMETRO 12”; MATERIAL: ASTM A516 GR. 60; EXTREMIDADE: FR (FLANGE DE RESSALTO); PADRÃO DIMENSIONAL: N-120</t>
  </si>
  <si>
    <t>G0631</t>
  </si>
  <si>
    <t>ANILHA DIANTEIRA 1/4" OD, ASTM A276 UNS-S31600</t>
  </si>
  <si>
    <t>G0807</t>
  </si>
  <si>
    <t>G0634</t>
  </si>
  <si>
    <t>ANILHA DIANTEIRA 3/8" OD, ASTM A276 UNS-S31600</t>
  </si>
  <si>
    <t>G0808</t>
  </si>
  <si>
    <t>G0637</t>
  </si>
  <si>
    <t>ANILHA DIANTEIRA 6MM OD, ASTM A276 UNS-S31600</t>
  </si>
  <si>
    <t>G0809</t>
  </si>
  <si>
    <t>G0632</t>
  </si>
  <si>
    <t>ANILHA TRASEIRA 1/4" OD, ASTM A276 UNS-S31600 COM DIFUSÃO DE CARBONO</t>
  </si>
  <si>
    <t>G0810</t>
  </si>
  <si>
    <t>G0635</t>
  </si>
  <si>
    <t>ANILHA TRASEIRA 3/8" OD, ASTM A276 UNS-S31600 COM DIFUSÃO DE CARBONO</t>
  </si>
  <si>
    <t>G0811</t>
  </si>
  <si>
    <t>G0638</t>
  </si>
  <si>
    <t>ANILHA TRASEIRA 6MM OD, ASTM A276  UNS-S31600 COM DIFUSÃO DE CARBONO</t>
  </si>
  <si>
    <t>G0812</t>
  </si>
  <si>
    <t>G0698</t>
  </si>
  <si>
    <t>ARAME DE AÇO INOXIDÁVEL, COMPOSTO POR 07 (SETE) FIOS (7 X 32) REVESTIDO DE PLÁSTICO, FORMANDO UM CONJUNTO COM DIÂMETRO DE 0,89MM APROXIMADAMENTE, EM ROLO DE 500 METROS</t>
  </si>
  <si>
    <t>G0673</t>
  </si>
  <si>
    <t>ARCO DE SERRA, COM SISTEMA RÁPIDO PARA TROCA DE LÂMINA E REGULAGEM DE TENSÃO
REFERÊNCIA: 12”</t>
  </si>
  <si>
    <t>G0039</t>
  </si>
  <si>
    <t>ARGÔNIO</t>
  </si>
  <si>
    <t>G0846</t>
  </si>
  <si>
    <t>BANHEIRO QUÍMICO - (INSUMO 990254U - COMPESA)</t>
  </si>
  <si>
    <t>G0040</t>
  </si>
  <si>
    <t>BARRA DE POLIETILENO (BASTÃO-MELT STICK) PREENCHIMENTO PARA RECUPERAÇÃO REVESTIMENTO 3LP3, 300MM DE COMPRIMENTO, N-2911, COMPATÍVEL PARA FURO DIRECIONAL E VALA A CÉU ABERTO</t>
  </si>
  <si>
    <t>G0041</t>
  </si>
  <si>
    <t>BARRILHA LEVE</t>
  </si>
  <si>
    <t>G0781</t>
  </si>
  <si>
    <t>BATERIA DE 3,6 V CLORETO DE LÍTIO-TIONILA PRIMÁRIA (Li-SOCl2)</t>
  </si>
  <si>
    <t>G0042</t>
  </si>
  <si>
    <t>BETONITA ATIVADA E DE ALTO DESEMPENHO PARA FURO DIRECIONAL HDD</t>
  </si>
  <si>
    <t>G0043</t>
  </si>
  <si>
    <t>BIOPOLIMERO GAMA XANTANA PARA FURO DIRECIONAL</t>
  </si>
  <si>
    <t>G0713</t>
  </si>
  <si>
    <t>BUCHA DE REDUCAO, DN 1 1/2"X1 1/4", NORMA DE FABRICAÇÃO: NBR 6943; MATERIAL: NBR 6590, FERRO MALEÁVEL PRETO;ROSCA: BSP NBR NM ISO 7-1 RC; PROTEÇÃO SUPERFICIAL: GALVANIZADO A FOGO NBR 6323</t>
  </si>
  <si>
    <t>G0707</t>
  </si>
  <si>
    <t>BUCHA DE REDUCAO, DN 1 1/2"X1", NORMA DE FABRICAÇÃO: NBR 6943; MATERIAL: NBR 6590, FERRO MALEÁVEL PRETO;ROSCA: BSP NBR NM ISO 7-1 RC; PROTEÇÃO SUPERFICIAL: GALVANIZADO A FOGO NBR 6323</t>
  </si>
  <si>
    <t>G0712</t>
  </si>
  <si>
    <t>BUCHA DE REDUCAO, DN 1 1/2"X1/2", NORMA DE FABRICAÇÃO: NBR 6943; MATERIAL: NBR 6590, FERRO MALEÁVEL PRETO;ROSCA: BSP NBR NM ISO 7-1 RC; PROTEÇÃO SUPERFICIAL: GALVANIZADO A FOGO NBR 6323</t>
  </si>
  <si>
    <t>G0711</t>
  </si>
  <si>
    <t>BUCHA DE REDUCAO, DN 1 1/2"X3/4", NORMA DE FABRICAÇÃO: NBR 6943; MATERIAL: NBR 6590, FERRO MALEÁVEL PRETO;ROSCA: BSP NBR NM ISO 7-1 RC; PROTEÇÃO SUPERFICIAL: GALVANIZADO A FOGO NBR 6323</t>
  </si>
  <si>
    <t>G0710</t>
  </si>
  <si>
    <t>BUCHA DE REDUCAO, DN 1 1/4"X1", NORMA DE FABRICAÇÃO: NBR 6943; MATERIAL: NBR 6590, FERRO MALEÁVEL PRETO; ROSCA: BSP NBR NM ISO 7-1 RC; PROTEÇÃO SUPERFICIAL: GALVANIZADO A FOGO NBR 6323</t>
  </si>
  <si>
    <t>G0708</t>
  </si>
  <si>
    <t>BUCHA DE REDUCAO, DN 1 1/4"X1/2", NORMA DE FABRICAÇÃO: NBR 6943; MATERIAL: NBR 6590, FERRO MALEÁVEL PRETO; ROSCA: BSP NBR NM ISO 7-1 RC; PROTEÇÃO SUPERFICIAL: GALVANIZADO A FOGO NBR 6323</t>
  </si>
  <si>
    <t>G0709</t>
  </si>
  <si>
    <t>BUCHA DE REDUCAO, DN 1 1/4"X3/4", NORMA DE FABRICAÇÃO: NBR 6943; MATERIAL: NBR 6590, FERRO MALEÁVEL PRETO; ROSCA: BSP NBR NM ISO 7-1 RC; PROTEÇÃO SUPERFICIAL: GALVANIZADO A FOGO NBR 6323</t>
  </si>
  <si>
    <t>G0705</t>
  </si>
  <si>
    <t>BUCHA DE REDUCAO, DN 1"X1/2", NORMA DE FABRICAÇÃO: NBR 6943; MATERIAL: NBR 6590, FERRO MALEÁVEL PRETO;ROSCA: BSP NBR NM ISO 7-1 RC; PROTEÇÃO SUPERFICIAL: GALVANIZADO A FOGO NBR 6323</t>
  </si>
  <si>
    <t>G0706</t>
  </si>
  <si>
    <t>BUCHA DE REDUCAO, DN 1"X3/4"; NORMA DE FABRICAÇÃO: NBR 6943; MATERIAL: NBR 6590, FERRO MALEÁVEL PRETO;ROSCA: BSP NBR NM ISO 7-1 RC; PROTEÇÃO SUPERFICIAL: GALVANIZADO A FOGO NBR 6323</t>
  </si>
  <si>
    <t>G0704</t>
  </si>
  <si>
    <t>BUCHA DE REDUCAO, DN 3/4"X1/2", NORMA DE FABRICAÇÃO: NBR 6943; MATERIAL: NBR 6590, FERRO MALEÁVEL PRETO;ROSCA: BSP NBR NM ISO 7-1 RC; PROTEÇÃO SUPERFICIAL: GALVANIZADO A FOGO NBR 6323</t>
  </si>
  <si>
    <t>G0703</t>
  </si>
  <si>
    <t>BUCHA DE REDUCAO, DN 3/4"X1/4", NORMA DE FABRICAÇÃO: NBR 6943; MATERIAL: NBR 6590, FERRO MALEÁVEL PRETO;ROSCA: BSP NBR NM ISO 7-1 RC; PROTEÇÃO SUPERFICIAL: GALVANIZADO A FOGO NBR 6323</t>
  </si>
  <si>
    <t>G0719</t>
  </si>
  <si>
    <t>BUJAO, DN 1 1/2", NORMA DE FABRICAÇÃO: NBR 6943; MATERIAL: NBR 6590, FERRO MALEÁVEL PRETO;ROSCA: BSP NBR NM ISO 7-1 RC; PROTEÇÃO SUPERFICIAL: GALVANIZADO A FOGO NBR 6323</t>
  </si>
  <si>
    <t>G0718</t>
  </si>
  <si>
    <t>BUJAO, DN 1 1/4", NORMA DE FABRICAÇÃO: NBR 6943; MATERIAL: NBR 6590, FERRO MALEÁVEL PRETO;ROSCA: BSP NBR NM ISO 7-1 RC; PROTEÇÃO SUPERFICIAL: GALVANIZADO A FOGO NBR 6323</t>
  </si>
  <si>
    <t>G0717</t>
  </si>
  <si>
    <t>BUJAO, DN 1", NORMA DE FABRICAÇÃO: NBR 6943; MATERIAL: NBR 6590, FERRO MALEÁVEL PRETO;ROSCA: BSP NBR NM ISO 7-1 RC; PROTEÇÃO SUPERFICIAL: GALVANIZADO A FOGO NBR 6323</t>
  </si>
  <si>
    <t>G0715</t>
  </si>
  <si>
    <t>BUJAO, DN 1/2", NORMA DE FABRICAÇÃO: NBR 6943; MATERIAL: NBR 6590, FERRO MALEÁVEL PRETO;ROSCA: BSP NBR NM ISO 7-1 RC; PROTEÇÃO SUPERFICIAL: GALVANIZADO A FOGO NBR 6323</t>
  </si>
  <si>
    <t>G0714</t>
  </si>
  <si>
    <t>BUJAO, DN 1/4", NORMA DE FABRICAÇÃO: NBR 6943; MATERIAL: NBR 6590, FERRO MALEÁVEL PRETO;ROSCA: BSP NBR NM ISO 7-1 RC; PROTEÇÃO SUPERFICIAL: GALVANIZADO A FOGO NBR 6323</t>
  </si>
  <si>
    <t>G0716</t>
  </si>
  <si>
    <t>BUJAO, DN 3/4", NORMA DE FABRICAÇÃO: NBR 6943; MATERIAL: NBR 6590, FERRO MALEÁVEL PRETO;ROSCA: BSP NBR NM ISO 7-1 RC; PROTEÇÃO SUPERFICIAL: GALVANIZADO A FOGO NBR 6323</t>
  </si>
  <si>
    <t>G0044</t>
  </si>
  <si>
    <t>BUJÃO CABEÇA SEXTAVADA     1", 3000#, RO, AFO, NPT,ASTM A105, ANSI B16.11</t>
  </si>
  <si>
    <t>G0045</t>
  </si>
  <si>
    <t>BUJÃO CABEÇA SEXTAVADA 1/2", 3000#, RO, AFO, NPT,ASTM A105, ANSI B16.11</t>
  </si>
  <si>
    <t>G0046</t>
  </si>
  <si>
    <t>BUJÃO CABEÇA SEXTAVADA 3/4", 3000#, RO, AFO, NPT,ASTM A105, ANSI B16.11</t>
  </si>
  <si>
    <t>G0047</t>
  </si>
  <si>
    <t>BUJÃO EM AÇO INOX DE 1" CABEÇA QUADRADA, ANSI 316, NPT, PARA TUBO SCH 40</t>
  </si>
  <si>
    <t>G0667</t>
  </si>
  <si>
    <t>CAIXA PARA FERRAMENTAS TIPO SANFONA, COM 5 GAVETAS, EM CHAPA REFORÇADA, 2 ALÇAS PARA MAIOR ESTABILIDADE, CAPACIDADE DE CARGA ESTÁTICA: 25 KG DISTRIBUÍDOS</t>
  </si>
  <si>
    <t>G0470</t>
  </si>
  <si>
    <t>CANTONEIRA EM AÇO ABAS IGUAIS " L" 1 1/2" x 1 1/2" ESPESSURA DE 3/16" PESO NOMINAL 2,68KG/M</t>
  </si>
  <si>
    <t>G0048</t>
  </si>
  <si>
    <t>CAP    1", 3000#, RO, NPT, Gr. WPB, ASTM A105, ANSI B16.11</t>
  </si>
  <si>
    <t>G0049</t>
  </si>
  <si>
    <t>CAP 1/2", 3000#, RO, AFO, NPT, ASTM A105, ANSI B16.11</t>
  </si>
  <si>
    <t>G0050</t>
  </si>
  <si>
    <t>CAP 3/4", 3000#, RO, AFO, NPT,ASTM A105, ANSI B16.11</t>
  </si>
  <si>
    <t>G0051</t>
  </si>
  <si>
    <t>CAP EM PEAD, DN  32mm, ELETROFUSÃO, PE 100, SDR 11, conf. ABNT NBR 14462, EN 1555, ISO 4437</t>
  </si>
  <si>
    <t>G0052</t>
  </si>
  <si>
    <t>CAP EM PEAD, DN  63MM, ELETROFUSÃO, PE 100, SDR 11, conf. ABNT NBR 14462, EN 1555, ISO 4437</t>
  </si>
  <si>
    <t>G0053</t>
  </si>
  <si>
    <t>CAP EM PEAD, DN  90mm, ELETROFUSÃO, PE 100, SDR 11, conf. ABNT NBR 14462, EN 1555, ISO 4437</t>
  </si>
  <si>
    <t>G0054</t>
  </si>
  <si>
    <t>CAP EM PEAD, DN 110mm, ELETROFUSÃO, PE 100, SDR 11, conf. ABNT NBR 14462, EN 1555, ISO 4437</t>
  </si>
  <si>
    <t>G0824</t>
  </si>
  <si>
    <t>CAP, 125 mm, PEAD, ELETROFUSÃO, PE 100, SDR 11, conf. ABNT NBR 14462, EN 1555, ISO 4437</t>
  </si>
  <si>
    <t>G0825</t>
  </si>
  <si>
    <t>CAP, 180 mm, PEAD, ELETROFUSÃO, PE 100, SDR 11, conf. ABNT NBR 14462, EN 1555, ISO 4437</t>
  </si>
  <si>
    <t>G0655</t>
  </si>
  <si>
    <t>CHAVE AJUSTÁVEL, AÇO-LIGA DE ALTA RESISTÊNCIA MECÂNICA, ACABAMENTO FOSFATIZADO E CABEÇA POLIDA; REFERÊNCIA: 10”</t>
  </si>
  <si>
    <t>G0654</t>
  </si>
  <si>
    <t>CHAVE AJUSTÁVEL, AÇO-LIGA DE ALTA RESISTÊNCIA MECÂNICA, ACABAMENTO FOSFATIZADO E CABEÇA POLIDA;REFERÊNCIA: 8”</t>
  </si>
  <si>
    <t>G0683</t>
  </si>
  <si>
    <t>CHAVE COMBINADA PLANA COM CATRACA, AÇO CROMO-VANÁDIO, ACABAMENTO NIQUELADO E CROMADO
REFERÊNCIA: 10MM</t>
  </si>
  <si>
    <t>G0684</t>
  </si>
  <si>
    <t>CHAVE COMBINADA PLANA COM CATRACA, AÇO CROMO-VANÁDIO, ACABAMENTO NIQUELADO E CROMADO
REFERÊNCIA: 11MM</t>
  </si>
  <si>
    <t>G0685</t>
  </si>
  <si>
    <t>CHAVE COMBINADA PLANA COM CATRACA, AÇO CROMO-VANÁDIO, ACABAMENTO NIQUELADO E CROMADO
REFERÊNCIA: 12MM</t>
  </si>
  <si>
    <t>G0686</t>
  </si>
  <si>
    <t>CHAVE COMBINADA PLANA COM CATRACA, AÇO CROMO-VANÁDIO, ACABAMENTO NIQUELADO E CROMADO
REFERÊNCIA: 13MM</t>
  </si>
  <si>
    <t>G0687</t>
  </si>
  <si>
    <t>CHAVE COMBINADA PLANA COM CATRACA, AÇO CROMO-VANÁDIO, ACABAMENTO NIQUELADO E CROMADO
REFERÊNCIA: 14MM</t>
  </si>
  <si>
    <t>G0688</t>
  </si>
  <si>
    <t>CHAVE COMBINADA PLANA COM CATRACA, AÇO CROMO-VANÁDIO, ACABAMENTO NIQUELADO E CROMADO
REFERÊNCIA: 15MM</t>
  </si>
  <si>
    <t>G0689</t>
  </si>
  <si>
    <t>CHAVE COMBINADA PLANA COM CATRACA, AÇO CROMO-VANÁDIO, ACABAMENTO NIQUELADO E CROMADO
REFERÊNCIA: 16MM</t>
  </si>
  <si>
    <t>G0690</t>
  </si>
  <si>
    <t>CHAVE COMBINADA PLANA COM CATRACA, AÇO CROMO-VANÁDIO, ACABAMENTO NIQUELADO E CROMADO
REFERÊNCIA: 17MM</t>
  </si>
  <si>
    <t>G0691</t>
  </si>
  <si>
    <t>CHAVE COMBINADA PLANA COM CATRACA, AÇO CROMO-VANÁDIO, ACABAMENTO NIQUELADO E CROMADO
REFERÊNCIA: 18MM</t>
  </si>
  <si>
    <t>G0692</t>
  </si>
  <si>
    <t>CHAVE COMBINADA PLANA COM CATRACA, AÇO CROMO-VANÁDIO, ACABAMENTO NIQUELADO E CROMADO
REFERÊNCIA: 19MM</t>
  </si>
  <si>
    <t>G0693</t>
  </si>
  <si>
    <t>CHAVE COMBINADA PLANA COM CATRACA, AÇO CROMO-VANÁDIO, ACABAMENTO NIQUELADO E CROMADO
REFERÊNCIA: 21MM</t>
  </si>
  <si>
    <t>G0694</t>
  </si>
  <si>
    <t>CHAVE COMBINADA PLANA COM CATRACA, AÇO CROMO-VANÁDIO, ACABAMENTO NIQUELADO E CROMADO
REFERÊNCIA: 22MM</t>
  </si>
  <si>
    <t>G0695</t>
  </si>
  <si>
    <t>CHAVE COMBINADA PLANA COM CATRACA, AÇO CROMO-VANÁDIO, ACABAMENTO NIQUELADO E CROMADO
REFERÊNCIA: 24MM</t>
  </si>
  <si>
    <t>G0696</t>
  </si>
  <si>
    <t>CHAVE COMBINADA PLANA COM CATRACA, AÇO CROMO-VANÁDIO, ACABAMENTO NIQUELADO E CROMADO
REFERÊNCIA: 27MM</t>
  </si>
  <si>
    <t>G0681</t>
  </si>
  <si>
    <t>CHAVE COMBINADA PLANA COM CATRACA, AÇO CROMO-VANÁDIO, ACABAMENTO NIQUELADO E CROMADO
REFERÊNCIA: 8MM</t>
  </si>
  <si>
    <t>G0682</t>
  </si>
  <si>
    <t>CHAVE COMBINADA PLANA COM CATRACA, AÇO CROMO-VANÁDIO, ACABAMENTO NIQUELADO E CROMADO
REFERÊNCIA: 9MM</t>
  </si>
  <si>
    <t>G0641</t>
  </si>
  <si>
    <t>CHAVE COMBINADA, AÇO CROMO VANÁDIO, ACABAMENTO NIQUELADO, REFERÊNCIA: 1.1/16”</t>
  </si>
  <si>
    <t>G0642</t>
  </si>
  <si>
    <t>CHAVE COMBINADA, AÇO CROMO VANÁDIO, ACABAMENTO NIQUELADO, REFERÊNCIA: 1.1/4”</t>
  </si>
  <si>
    <t>G0644</t>
  </si>
  <si>
    <t>CHAVE COMBINADA, AÇO CROMO VANÁDIO, ACABAMENTO NIQUELADO, REFERÊNCIA: 1.5/8”</t>
  </si>
  <si>
    <t>G0643</t>
  </si>
  <si>
    <t>CHAVE COMBINADA, AÇO CROMO VANÁDIO, ACABAMENTO NIQUELADO, REFERÊNCIA: 1.7/16”</t>
  </si>
  <si>
    <t>G0645</t>
  </si>
  <si>
    <t>CHAVE COMBINADA, AÇO CROMO VANÁDIO, ACABAMENTO NIQUELADO, REFERÊNCIA: 16MM</t>
  </si>
  <si>
    <t>G0646</t>
  </si>
  <si>
    <t>CHAVE COMBINADA, AÇO CROMO VANÁDIO, ACABAMENTO NIQUELADO, REFERÊNCIA: 25MM</t>
  </si>
  <si>
    <t>G0647</t>
  </si>
  <si>
    <t>CHAVE COMBINADA, AÇO CROMO VANÁDIO, ACABAMENTO NIQUELADO, REFERÊNCIA: 28MM</t>
  </si>
  <si>
    <t>G0648</t>
  </si>
  <si>
    <t>CHAVE COMBINADA, AÇO CROMO VANÁDIO, ACABAMENTO NIQUELADO, REFERÊNCIA: 29MM</t>
  </si>
  <si>
    <t>G0649</t>
  </si>
  <si>
    <t>CHAVE COMBINADA, AÇO CROMO VANÁDIO, ACABAMENTO NIQUELADO, REFERÊNCIA: 34MM</t>
  </si>
  <si>
    <t>G0650</t>
  </si>
  <si>
    <t>CHAVE COMBINADA, AÇO CROMO VANÁDIO, ACABAMENTO NIQUELADO, REFERÊNCIA: 36MM</t>
  </si>
  <si>
    <t>G0640</t>
  </si>
  <si>
    <t>CHAVE COMBINADA, AÇO CROMO VANÁDIO, ACABAMENTO NIQUELADO, REFERÊNCIA: 7/8”</t>
  </si>
  <si>
    <t>G0651</t>
  </si>
  <si>
    <t>CHAVE COMBINADA, AÇO CROMO-VANÁDIO, ACABAMENTO NIQUELADO E CROMADO;
REFERÊNCIA: 38MM</t>
  </si>
  <si>
    <t>G0652</t>
  </si>
  <si>
    <t>CHAVE COMBINADA, AÇO CROMO-VANÁDIO, ACABAMENTO NIQUELADO E CROMADO;
REFERÊNCIA: 41MM</t>
  </si>
  <si>
    <t>G0676</t>
  </si>
  <si>
    <t>CHAVE DE FENDA CRUZADA TOCO, HASTE AÇO CROMO-VANÁDIO COM ACABAMENTO NIQUELADO E CROMADO E CABO EM POLIPROPILENO
REFERÊNCIA: 1/8” X 1.1/2”</t>
  </si>
  <si>
    <t>G0678</t>
  </si>
  <si>
    <t>CHAVE DE FENDA CRUZADA, HASTE AÇO CROMO-VANÁDIO COM ACABAMENTO NIQUELADO E CROMADO E CABO EM POLIPROPILENO
REFERÊNCIA: 3/16” X 10”</t>
  </si>
  <si>
    <t>G0677</t>
  </si>
  <si>
    <t>CHAVE DE FENDA CRUZADA, HASTE AÇO CROMO-VANÁDIO COM ACABAMENTO NIQUELADO E CROMADO E CABO EM POLIPROPILENO
REFERÊNCIA: 3/8” X 8”</t>
  </si>
  <si>
    <t>G0656</t>
  </si>
  <si>
    <t>CHAVE DE FENDA SIMPLES TOCO, HASTE AÇO CROMO-VANÁDIO COM ACABAMENTO NIQUELADO E CROMADO E CABO EM POLIPROPILENO
REFERÊNCIA: 1/8” X 1.1/2”</t>
  </si>
  <si>
    <t>G0659</t>
  </si>
  <si>
    <t>CHAVE DE FENDA SIMPLES, HASTE AÇO CROMO-VANÁDIO COM ACABAMENTO NIQUELADO E CROMADO E CABO EM POLIPROPILENO
REFERÊNCIA: 3/16” X 10”</t>
  </si>
  <si>
    <t>G0657</t>
  </si>
  <si>
    <t>CHAVE DE FENDA SIMPLES, HASTE AÇO CROMO-VANÁDIO COM ACABAMENTO NIQUELADO E CROMADO E CABO EM POLIPROPILENO; REFERÊNCIA: 1/4” X 6”</t>
  </si>
  <si>
    <t>G0658</t>
  </si>
  <si>
    <t>CHAVE DE FENDA SIMPLES, HASTE AÇO CROMO-VANÁDIO COM ACABAMENTO NIQUELADO E CROMADO E CABO EM POLIPROPILENO; REFERÊNCIA: 3/8” X 8”</t>
  </si>
  <si>
    <t>G0664</t>
  </si>
  <si>
    <t>CHAVE PARA TUBOS, MODELO AMERICANO, CABEÇA E CASTANHA EM AÇO-LIGA DE ALTA RESISTÊNCIA MECÂNICA, CABO EM FERRO FUNDIDO NODULAR
REFERÊNCIA: 14”</t>
  </si>
  <si>
    <t>G0665</t>
  </si>
  <si>
    <t>CHAVE PARA TUBOS, MODELO AMERICANO, CABEÇA E CASTANHA EM AÇO-LIGA DE ALTA RESISTÊNCIA MECÂNICA, CABO EM FERRO FUNDIDO NODULAR
REFERÊNCIA: 18</t>
  </si>
  <si>
    <t>G0666</t>
  </si>
  <si>
    <t>CHAVE PARA TUBOS, MODELO AMERICANO, CABEÇA E CASTANHA EM AÇO-LIGA DE ALTA RESISTÊNCIA MECÂNICA, CABO EM FERRO FUNDIDO NODULAR
REFERÊNCIA: 24”</t>
  </si>
  <si>
    <t>G0479</t>
  </si>
  <si>
    <t>CINTA MAGNÉTICA, PARA PIG DN 10"</t>
  </si>
  <si>
    <t>G0480</t>
  </si>
  <si>
    <t>CINTA MAGNÉTICA, PARA PIG DN 12"</t>
  </si>
  <si>
    <t>G0474</t>
  </si>
  <si>
    <t>CINTA MAGNÉTICA, PARA PIG DN 2"</t>
  </si>
  <si>
    <t>G0475</t>
  </si>
  <si>
    <t>CINTA MAGNÉTICA, PARA PIG DN 3"</t>
  </si>
  <si>
    <t>G0476</t>
  </si>
  <si>
    <t>CINTA MAGNÉTICA, PARA PIG DN 4"</t>
  </si>
  <si>
    <t>G0477</t>
  </si>
  <si>
    <t>CINTA MAGNÉTICA, PARA PIG DN 6"</t>
  </si>
  <si>
    <t>G0478</t>
  </si>
  <si>
    <t>CINTA MAGNÉTICA, PARA PIG DN 8"</t>
  </si>
  <si>
    <t>G0842</t>
  </si>
  <si>
    <t>CLORO LÍQUIDO PARA LIMPEZA E DESINFECÇÃO - (INSUMO 00615/ORSE)</t>
  </si>
  <si>
    <t>G0473</t>
  </si>
  <si>
    <t>COLA POLIESTER</t>
  </si>
  <si>
    <t>G0055</t>
  </si>
  <si>
    <t>COLAR DE DERIVAÇÃO, DE  63mm x 32mm, PEAD, ELETROFUSÃO, PE 100, SDR 11, conf. ABNT NBR 14462, EN 1555, ISO 4437</t>
  </si>
  <si>
    <t>G0056</t>
  </si>
  <si>
    <t>COLAR DE DERIVAÇÃO, DE  63mm x 63mm, PEAD, ELETROFUSÃO, PE 100, SDR 11, conf. ABNT NBR 14462, EN 1555, ISO 4437</t>
  </si>
  <si>
    <t>G0057</t>
  </si>
  <si>
    <t>COLAR DE DERIVAÇÃO, DE  90mm x 32mm, PEAD, ELETROFUSÃO, PE 100, SDR 11, conf. ABNT NBR 14462, EN 1555, ISO 4437</t>
  </si>
  <si>
    <t>G0058</t>
  </si>
  <si>
    <t>COLAR DE DERIVAÇÃO, DE  90mm x 63mm, PEAD, ELETROFUSÃO, PE 100, SDR 11, conf. ABNT NBR 14462, EN 1555, ISO 4437</t>
  </si>
  <si>
    <t>G0059</t>
  </si>
  <si>
    <t>COLAR DE DERIVAÇÃO, DE 110mm x 32mm, PEAD, ELETROFUSÃO, PE 100, SDR 11, conf. ABNT NBR 14462, EN 1555, ISO 4437</t>
  </si>
  <si>
    <t>G0060</t>
  </si>
  <si>
    <t>COLAR DE DERIVAÇÃO, DE 110mm x 63mm, PEAD, ELETROFUSÃO, PE 100, SDR 11, conf. ABNT NBR 14462, EN 1555, ISO 4437</t>
  </si>
  <si>
    <t>G0061</t>
  </si>
  <si>
    <t>COLAR DE DERIVAÇÃO, DE 110mm x 90mm, PEAD, ELETROFUSÃO, PE 100, SDR 11, conf. ABNT NBR 14462, EN 1555, ISO 4437</t>
  </si>
  <si>
    <t>G0826</t>
  </si>
  <si>
    <t>COLAR DE REPARO/SELA DE REPARO, 125 mm, PEAD, ELETROFUSÃO, PE 100, SDR 11, conf. ABNT NBR 14462, EN 1555, ISO 4437</t>
  </si>
  <si>
    <t>G0827</t>
  </si>
  <si>
    <t>COLAR DE REPARO/SELA DE REPARO, 180 mm, PEAD, ELETROFUSÃO, PE 100, SDR 11, conf. ABNT NBR 14462, EN 1555, ISO 4437</t>
  </si>
  <si>
    <t>G0062</t>
  </si>
  <si>
    <t>COLAR DE REPARO/SELA DE REPARO, DE  63mm, PEAD, ELETROFUSÃO, PE 100, SDR 11, conf. ABNT NBR 14462, EN 1555, ISO 4437</t>
  </si>
  <si>
    <t>G0063</t>
  </si>
  <si>
    <t>COLAR DE REPARO/SELA DE REPARO, DE  90mm, PEAD, ELETROFUSÃO, PE 100, SDR 11, conf. ABNT NBR 14462, EN 1555, ISO 4437</t>
  </si>
  <si>
    <t>G0064</t>
  </si>
  <si>
    <t>COLAR DE REPARO/SELA DE REPARO, DE 110mm, PEAD, ELETROFUSÃO, PE 100, SDR 11, conf. ABNT NBR 14462, EN 1555, ISO 4437</t>
  </si>
  <si>
    <t>G0624</t>
  </si>
  <si>
    <t>CONECTOR MACHO DUPLA ANILHA (DIANTEIRA E TRASEIRA)  TUBO X ROSCA 1/4" OD X 1/4" NPT, ROSCA PADRÃO NPT/ ISO ASME ANSI B1.20.1, EM AÇO INOX AISI 316/316L</t>
  </si>
  <si>
    <t>G0800</t>
  </si>
  <si>
    <t>G0627</t>
  </si>
  <si>
    <t>CONECTOR MACHO DUPLA ANILHA (DIANTEIRA E TRASEIRA) 3/8" OD X 1/2" NPT, ROSCA PADRÃO NPT/ ISO ASME ANSI B1.20.1, EM AÇO INOX AISI 316/316L</t>
  </si>
  <si>
    <t>G0803</t>
  </si>
  <si>
    <t>G0626</t>
  </si>
  <si>
    <t>CONECTOR MACHO DUPLA ANILHA (DIANTEIRA E TRASEIRA) TUBO X ROSCA 1/4" OD X 1/2" NPT, ROSCA PADRÃO NPT/ ISO ASME ANSI B1.20.1, EM AÇO INOX AISI 316/316L</t>
  </si>
  <si>
    <t>G0801</t>
  </si>
  <si>
    <t>G0625</t>
  </si>
  <si>
    <t>CONECTOR MACHO DUPLA ANILHA (DIANTEIRA E TRASEIRA) TUBO X ROSCA 3/8" OD X 1/4" NPT, ROSCA PADRÃO NPT/ ISO ASME ANSI B1.20.1, EM AÇO INOX AISI 316/316L</t>
  </si>
  <si>
    <t>G0802</t>
  </si>
  <si>
    <t>G0628</t>
  </si>
  <si>
    <t>CONECTOR MACHO DUPLA ANILHA (DIANTEIRA E TRASEIRA) TUBO X ROSCA, 6 MM OD X 1/4” NPT, ROSCA PADRÃO NPT/ ISO ASME ANSI B1.20.1, EM AÇO INOX AISI 316/316L</t>
  </si>
  <si>
    <t>G0804</t>
  </si>
  <si>
    <t>G0486</t>
  </si>
  <si>
    <t>COPO CÔNICO EM POLIURETANO, PARA PIG DN 10"</t>
  </si>
  <si>
    <t>G0487</t>
  </si>
  <si>
    <t>COPO CÔNICO EM POLIURETANO, PARA PIG DN 12"</t>
  </si>
  <si>
    <t>G0481</t>
  </si>
  <si>
    <t>COPO CÔNICO EM POLIURETANO, PARA PIG DN 2"</t>
  </si>
  <si>
    <t>G0482</t>
  </si>
  <si>
    <t>COPO CÔNICO EM POLIURETANO, PARA PIG DN 3"</t>
  </si>
  <si>
    <t>G0483</t>
  </si>
  <si>
    <t>COPO CÔNICO EM POLIURETANO, PARA PIG DN 4"</t>
  </si>
  <si>
    <t>G0484</t>
  </si>
  <si>
    <t>COPO CÔNICO EM POLIURETANO, PARA PIG DN 6"</t>
  </si>
  <si>
    <t>G0485</t>
  </si>
  <si>
    <t>COPO CÔNICO EM POLIURETANO, PARA PIG DN 8"</t>
  </si>
  <si>
    <t>G0068</t>
  </si>
  <si>
    <t>COTOVELO 45º PEAD PE 100 DN 110MM, ELETROFUSÃO, SDR 11, ABNT NBR 14462, EN 1555, ISO 4437</t>
  </si>
  <si>
    <t>G0065</t>
  </si>
  <si>
    <t>COTOVELO 45º PEAD PE 100 DN 32MM, ELETROFUSÃO, SDR 11, ABNT NBR 14462, EN 1555, ISO 4437</t>
  </si>
  <si>
    <t>G0066</t>
  </si>
  <si>
    <t>COTOVELO 45º PEAD PE 100 DN 63MM, ELETROFUSÃO, SDR 11, ABNT NBR 14462, EN 1555, ISO 4437</t>
  </si>
  <si>
    <t>G0067</t>
  </si>
  <si>
    <t>COTOVELO 45º PEAD PE 100 DN 90MM, ELETROFUSÃO, SDR 11, ABNT NBR 14462, EN 1555, ISO 4437</t>
  </si>
  <si>
    <t>G0072</t>
  </si>
  <si>
    <t>COTOVELO 90º PEAD PE 100 DN 110MM, ELETROFUSÃO, SDR 11, ABNT NBR 14462, EN 1555, ISO 4437</t>
  </si>
  <si>
    <t>G0069</t>
  </si>
  <si>
    <t>COTOVELO 90º PEAD PE 100 DN 32MM, ELETROFUSÃO, SDR 11, ABNT NBR 14462, EN 1555, ISO 4437</t>
  </si>
  <si>
    <t>G0070</t>
  </si>
  <si>
    <t>COTOVELO 90º PEAD PE 100 DN 63MM, ELETROFUSÃO, SDR 11, ABNT NBR 14462, EN 1555, ISO 4437</t>
  </si>
  <si>
    <t>G0071</t>
  </si>
  <si>
    <t>COTOVELO 90º PEAD PE 100 DN 90MM, ELETROFUSÃO, SDR 11, ABNT NBR 14462, EN 1555, ISO 4437</t>
  </si>
  <si>
    <t>G0724</t>
  </si>
  <si>
    <t>COTOVELO 90º, DN 1 1/2", NORMA DE FABRICAÇÃO: NBR 6943; MATERIAL: NBR 6590, FERRO MALEÁVEL PRETO;ROSCA: BSP NBR NM ISO 7-1 RC; PROTEÇÃO SUPERFICIAL: GALVANIZADO A FOGO NBR 6323</t>
  </si>
  <si>
    <t>G0723</t>
  </si>
  <si>
    <t>COTOVELO 90º, DN 1 1/4", NORMA DE FABRICAÇÃO: NBR 6943; MATERIAL: NBR 6590, FERRO MALEÁVEL PRETO;ROSCA: BSP NBR NM ISO 7-1 RC; PROTEÇÃO SUPERFICIAL: GALVANIZADO A FOGO NBR 6323</t>
  </si>
  <si>
    <t>G0721</t>
  </si>
  <si>
    <t>COTOVELO 90º, DN 1/2", NORMA DE FABRICAÇÃO: NBR 6943; MATERIAL: NBR 6590, FERRO MALEÁVEL PRETO;ROSCA: BSP NBR NM ISO 7-1 RC; PROTEÇÃO SUPERFICIAL: GALVANIZADO A FOGO NBR 6323</t>
  </si>
  <si>
    <t>G0720</t>
  </si>
  <si>
    <t>COTOVELO 90º, DN 1/4", NORMA DE FABRICAÇÃO: NBR 6943; MATERIAL: NBR 6590, FERRO MALEÁVEL PRETO;ROSCA: BSP NBR NM ISO 7-1 RC; PROTEÇÃO SUPERFICIAL: GALVANIZADO A FOGO NBR 6323</t>
  </si>
  <si>
    <t>G0722</t>
  </si>
  <si>
    <t>COTOVELO 90º, DN 3/4",NORMA DE FABRICAÇÃO: NBR 6943; MATERIAL: NBR 6590, FERRO MALEÁVEL PRETO;ROSCA: BSP NBR NM ISO 7-1 RC; PROTEÇÃO SUPERFICIAL: GALVANIZADO A FOGO NBR 6323</t>
  </si>
  <si>
    <t>G0614</t>
  </si>
  <si>
    <t>COTOVELO MACHO DUPLA ANILHA (DIANTEIRA E TRASEIRA) TUBO X ROSCA 1/4” OD X 1/2" NPT, ROSCA PADRÃO NPT / ISO ASME / ANSI B1. 20.1, EM AÇO INOX AISI 316/316L</t>
  </si>
  <si>
    <t>G0789</t>
  </si>
  <si>
    <t>G0612</t>
  </si>
  <si>
    <t>COTOVELO MACHO DUPLA ANILHA (DIANTEIRA E TRASEIRA) TUBO X ROSCA 1/4” OD X 1/4" NPT, ROSCA PADRÃO NPT / ISO ASME / ANSI B1. 20.1, EM AÇO INOX AISI 316/316L</t>
  </si>
  <si>
    <t>G0788</t>
  </si>
  <si>
    <t>G0615</t>
  </si>
  <si>
    <t>COTOVELO MACHO DUPLA ANILHA (DIANTEIRA E TRASEIRA) TUBO X ROSCA 3/8” OD X 1/2" NPT, ROSCA PADRÃO NPT / ISO ASME / ANSI B1. 20.1, EM AÇO INOX AISI 316/316L</t>
  </si>
  <si>
    <t>G0792</t>
  </si>
  <si>
    <t>G0613</t>
  </si>
  <si>
    <t>COTOVELO MACHO DUPLA ANILHA (DIANTEIRA E TRASEIRA) TUBO X ROSCA 3/8” OD X 1/4" NPT, ROSCA PADRÃO NPT / ISO ASME / ANSI B1. 20.1, EM AÇO INOX AISI 316/316L</t>
  </si>
  <si>
    <t>G0791</t>
  </si>
  <si>
    <t>G0616</t>
  </si>
  <si>
    <t>COTOVELO UNIÃO DUPLA ANILHA (DIANTEIRA E TRASEIRA) TUBO X TUBO 1/4" OD X 1/4" OD, EM AÇO INOX AISI 316/316L</t>
  </si>
  <si>
    <t>G0790</t>
  </si>
  <si>
    <t>G0617</t>
  </si>
  <si>
    <t>COTOVELO UNIÃO DUPLA ANILHA (DIANTEIRA E TRASEIRA) TUBO X TUBO 3/8" OD X 3/8" OD, EM AÇO INOX AISI 316/316L</t>
  </si>
  <si>
    <t>G0793</t>
  </si>
  <si>
    <t>G0073</t>
  </si>
  <si>
    <t>CURVA 45° RAIO 3D, DN  2”, AC, ASTM A234 Gr.WPB, ANSI B 16.9, PC, SCH 40, SC</t>
  </si>
  <si>
    <t>G0074</t>
  </si>
  <si>
    <t>CURVA 45° RAIO 3D, DN  3”, AC, ASTM A234 Gr.WPB, ANSI B 16.9, PC, SCH 40, SC</t>
  </si>
  <si>
    <t>G0075</t>
  </si>
  <si>
    <t>CURVA 45° RAIO 3D, DN  4”, AC, ASTM A234 Gr.WPB, ANSI B 16.9, PC, SCH 40, SC</t>
  </si>
  <si>
    <t>G0076</t>
  </si>
  <si>
    <t>CURVA 45° RAIO 3D, DN  6”, AC, ASTM A234 Gr.WPB, ANSI B 16.9, PC, SCH 40, SC</t>
  </si>
  <si>
    <t>G0077</t>
  </si>
  <si>
    <t>CURVA 45° RAIO 3D, DN  8”, AC, ASTM A234 Gr.WPB, ANSI B 16.9, PC, SCH 40, SC</t>
  </si>
  <si>
    <t>G0078</t>
  </si>
  <si>
    <t>CURVA 45° RAIO 3D, DN 10”, AC, ASTM A234 Gr.WPB, ANSI B 16.9, PC, SCH 40, SC</t>
  </si>
  <si>
    <t>G0079</t>
  </si>
  <si>
    <t>CURVA 45° RAIO 3D, DN 12”, AC, ASTM A234 Gr.WPB, ANSI B 16.9, PC, SCH 40, SC</t>
  </si>
  <si>
    <t>G0080</t>
  </si>
  <si>
    <t>CURVA 45° RAIO 5D, DN  8”, AC, ASTM A234 Gr.WPB, ANSI B 16.9, PC, SCH 40, SC</t>
  </si>
  <si>
    <t>G0081</t>
  </si>
  <si>
    <t>CURVA 45° RAIO 5D, DN 10”, AC, ASTM A234 Gr.WPB, ANSI B 16.9, PC, SCH 40, SC</t>
  </si>
  <si>
    <t>G0082</t>
  </si>
  <si>
    <t>CURVA 45° RAIO 5D, DN 12”, AC, ASTM A234 Gr.WPB, ANSI B 16.9, PC, SCH 40, SC</t>
  </si>
  <si>
    <t>G0084</t>
  </si>
  <si>
    <t>CURVA 45° RAIO CURTO, DN  3”, AC, ASTM A234 Gr.WPB, ANSI B 16.9, PC, SCH 40, SC</t>
  </si>
  <si>
    <t>G0085</t>
  </si>
  <si>
    <t>CURVA 45° RAIO CURTO, DN  4”, AC, ASTM A234 Gr.WPB, ANSI B 16.9, PC, SCH 40, SC</t>
  </si>
  <si>
    <t>G0086</t>
  </si>
  <si>
    <t>CURVA 45° RAIO CURTO, DN  6”, AC, ASTM A234 Gr.WPB, ANSI B 16.9, PC, SCH 40, SC</t>
  </si>
  <si>
    <t>G0087</t>
  </si>
  <si>
    <t>CURVA 45° RAIO CURTO, DN  8”, AC, ASTM A234 Gr.WPB, ANSI B 16.9, PC, SCH 40, SC</t>
  </si>
  <si>
    <t>G0088</t>
  </si>
  <si>
    <t>CURVA 45° RAIO CURTO, DN 10”, AC, ASTM A234 Gr.WPB, ANSI B 16.9, PC, SCH 40, SC</t>
  </si>
  <si>
    <t>G0089</t>
  </si>
  <si>
    <t>CURVA 45° RAIO CURTO, DN 12”, AC, ASTM A234 Gr.WPB, ANSI B 16.9, PC, SCH 40, SC</t>
  </si>
  <si>
    <t>G0090</t>
  </si>
  <si>
    <t>CURVA 45° RAIO LONGO, DN  2”, AC, ASTM A234 Gr.WPB, ANSI B 16.9, PC, SCH 40, SC</t>
  </si>
  <si>
    <t>G0091</t>
  </si>
  <si>
    <t>CURVA 45° RAIO LONGO, DN  3”, AC, ASTM A234 Gr.WPB, ANSI B 16.9, PC, SCH 40, SC</t>
  </si>
  <si>
    <t>G0092</t>
  </si>
  <si>
    <t>CURVA 45° RAIO LONGO, DN  4”, AC, ASTM A234 Gr.WPB, ANSI B 16.9, PC, SCH 40, SC</t>
  </si>
  <si>
    <t>G0093</t>
  </si>
  <si>
    <t>CURVA 45° RAIO LONGO, DN  6”, AC, ASTM A234 Gr.WPB, ANSI B 16.9, PC, SCH 40, SC</t>
  </si>
  <si>
    <t>G0094</t>
  </si>
  <si>
    <t>CURVA 45° RAIO LONGO, DN  8”, AC, ASTM A234 Gr.WPB, ANSI B 16.9, PC, SCH 40, SC</t>
  </si>
  <si>
    <t>G0095</t>
  </si>
  <si>
    <t>CURVA 45° RAIO LONGO, DN 10”, AC, ASTM A234 Gr.WPB, ANSI B 16.9, PC, SCH 40, SC</t>
  </si>
  <si>
    <t>G0096</t>
  </si>
  <si>
    <t>CURVA 45° RAIO LONGO, DN 12”, AC, ASTM A234 Gr.WPB, ANSI B 16.9, PC, SCH 40, SC</t>
  </si>
  <si>
    <t>G0098</t>
  </si>
  <si>
    <t>CURVA 90° RAIO 3D, DN  2”, AC, ASTM A234 Gr.WPB, ANSI B 16.9, PC, SCH 40, SC</t>
  </si>
  <si>
    <t>G0099</t>
  </si>
  <si>
    <t>CURVA 90° RAIO 3D, DN  3”, AC, ASTM A234 Gr.WPB, ANSI B 16.9, PC, SCH 40, SC</t>
  </si>
  <si>
    <t>G0100</t>
  </si>
  <si>
    <t>CURVA 90° RAIO 3D, DN  4”, AC, ASTM A234 Gr.WPB, ANSI B 16.9, PC, SCH 40, SC</t>
  </si>
  <si>
    <t>G0101</t>
  </si>
  <si>
    <t>CURVA 90° RAIO 3D, DN  6”, AC, ASTM A234 Gr.WPB, ANSI B 16.9, PC, SCH 40, SC</t>
  </si>
  <si>
    <t>G0102</t>
  </si>
  <si>
    <t>CURVA 90° RAIO 3D, DN  8”, AC, ASTM A234 Gr.WPB, ANSI B 16.9, PC, SCH 40, SC</t>
  </si>
  <si>
    <t>G0103</t>
  </si>
  <si>
    <t>CURVA 90° RAIO 3D, DN 10”, AC, ASTM A234 Gr.WPB, ANSI B 16.9, PC, SCH 40, SC</t>
  </si>
  <si>
    <t>G0104</t>
  </si>
  <si>
    <t>CURVA 90° RAIO 3D, DN 12”, AC, ASTM A234 Gr.WPB, ANSI B 16.9, PC, SCH 40, SC</t>
  </si>
  <si>
    <t>G0097</t>
  </si>
  <si>
    <t xml:space="preserve">CURVA 90° RAIO 5D, DN  8", AC, ASTM A234 Gr.WPB, ANSI B 16.9, PC, SCH 40, SC
</t>
  </si>
  <si>
    <t>G0105</t>
  </si>
  <si>
    <t>CURVA 90° RAIO CURTO, DN  1", AC, ASTM A234 Gr.WPB, ANSI B 16.9, PL, SCH 40, SC</t>
  </si>
  <si>
    <t>G0107</t>
  </si>
  <si>
    <t>CURVA 90° RAIO CURTO, DN  2”, AC, ASTM A234 Gr.WPB, ANSI B 16.9, PC, SCH 40, SC</t>
  </si>
  <si>
    <t>G0108</t>
  </si>
  <si>
    <t>CURVA 90° RAIO CURTO, DN  3”, AC, ASTM A234 Gr.WPB, ANSI B 16.9, PC, SCH 40, SC</t>
  </si>
  <si>
    <t>G0109</t>
  </si>
  <si>
    <t>CURVA 90° RAIO CURTO, DN  4”, AC, ASTM A234 Gr.WPB, ANSI B 16.9, PC, SCH 40, SC</t>
  </si>
  <si>
    <t>G0110</t>
  </si>
  <si>
    <t>CURVA 90° RAIO CURTO, DN  6”, AC, ASTM A234 Gr.WPB, ANSI B 16.9, PC, SCH 40, SC</t>
  </si>
  <si>
    <t>G0111</t>
  </si>
  <si>
    <t>CURVA 90° RAIO CURTO, DN  8”, AC, ASTM A234 Gr.WPB, ANSI B 16.9, PC, SCH 40, SC</t>
  </si>
  <si>
    <t>G0106</t>
  </si>
  <si>
    <t>CURVA 90° RAIO CURTO, DN 1.1/2", AC, ASTM A234 Gr.WPB, ANSI B 16.9, PL, SCH 40, SC</t>
  </si>
  <si>
    <t>G0112</t>
  </si>
  <si>
    <t>CURVA 90° RAIO CURTO, DN 10”, AC, ASTM A234 Gr.WPB, ANSI B 16.9, PC, SCH 40, SC</t>
  </si>
  <si>
    <t>G0113</t>
  </si>
  <si>
    <t>CURVA 90° RAIO CURTO, DN 12”, AC, ASTM A234 Gr.WPB, ANSI B 16.9, PC, SCH 40, SC</t>
  </si>
  <si>
    <t>G0114</t>
  </si>
  <si>
    <t>CURVA 90° RAIO LONGO, DN  1", AC, ASTM A234 Gr.WPB, ANSI B 16.9, PL,  SCH 40, SC</t>
  </si>
  <si>
    <t>G0116</t>
  </si>
  <si>
    <t>CURVA 90° RAIO LONGO, DN  2”, AC, ASTM A234 Gr.WPB, ANSI B 16.9, PC, SCH 40, SC</t>
  </si>
  <si>
    <t>G0117</t>
  </si>
  <si>
    <t>CURVA 90° RAIO LONGO, DN  3”, AC, ASTM A234 Gr.WPB, ANSI B 16.9, PC, SCH 40, SC</t>
  </si>
  <si>
    <t>G0118</t>
  </si>
  <si>
    <t>CURVA 90° RAIO LONGO, DN  4”, AC, ASTM A234 Gr.WPB, ANSI B 16.9, PC, SCH 40, SC</t>
  </si>
  <si>
    <t>G0119</t>
  </si>
  <si>
    <t>CURVA 90° RAIO LONGO, DN  6”, AC, ASTM A234 Gr.WPB, ANSI B 16.9, PC, SCH 40, SC</t>
  </si>
  <si>
    <t>G0120</t>
  </si>
  <si>
    <t>CURVA 90° RAIO LONGO, DN  8”, AC, ASTM A234 Gr.WPB, ANSI B 16.9, PC, SCH 40, SC</t>
  </si>
  <si>
    <t>G0121</t>
  </si>
  <si>
    <t>CURVA 90° RAIO LONGO, DN 10”, AC, ASTM A234 Gr.WPB, ANSI B 16.9, PC, SCH 40, SC</t>
  </si>
  <si>
    <t>G0122</t>
  </si>
  <si>
    <t>CURVA 90° RAIO LONGO, DN 12”, AC, ASTM A234 Gr.WPB, ANSI B 16.9, PC, SCH 40, SC</t>
  </si>
  <si>
    <t>G0123</t>
  </si>
  <si>
    <t xml:space="preserve">CURVA 90º RAIO 5D, DN 10", AC, ASTM A234 Gr.WPB, ANSI B 16.9, PC, SCH 40, SC
</t>
  </si>
  <si>
    <t>G0124</t>
  </si>
  <si>
    <t xml:space="preserve">CURVA 90º RAIO 5D, DN 12", AC, ASTM A234 Gr.WPB, ANSI B 16.9, PC, SCH 40, SC
</t>
  </si>
  <si>
    <t>G0115</t>
  </si>
  <si>
    <t>CURVA 90º RAIO LONGO, DN    1.1/2", AC, ASTM A234 Gr.WPB, ANSI B 16.9, PL ,SCH 40, SC</t>
  </si>
  <si>
    <t>G0725</t>
  </si>
  <si>
    <t>CURVA DE 90º MACHO/FEMEA DN 1/4", NORMA DE FABRICAÇÃO: NBR 6943; MATERIAL: NBR 6590, FERRO MALEÁVEL PRETO;ROSCA: BSP NBR NM ISO 7-1 RC; PROTEÇÃO SUPERFICIAL: GALVANIZADO A FOGO NBR 6323</t>
  </si>
  <si>
    <t>G0728</t>
  </si>
  <si>
    <t>CURVA DE 90º, MACHO/FEMEA, DN 1 1/2", NORMA DE FABRICAÇÃO: NBR 6943; MATERIAL: NBR 6590, FERRO MALEÁVEL PRETO;ROSCA: BSP NBR NM ISO 7-1 RC; PROTEÇÃO SUPERFICIAL: GALVANIZADO A FOGO NBR 6323</t>
  </si>
  <si>
    <t>G0727</t>
  </si>
  <si>
    <t>CURVA DE 90º, MACHO/FEMEA, DN 1 1/4", NORMA DE FABRICAÇÃO: NBR 6943; MATERIAL: NBR 6590, FERRO MALEÁVEL PRETO;ROSCA: BSP NBR NM ISO 7-1 RC; PROTEÇÃO SUPERFICIAL: GALVANIZADO A FOGO NBR 6323</t>
  </si>
  <si>
    <t>G0726</t>
  </si>
  <si>
    <t>CURVA DE 90º, MACHO/FEMEA, DN 3/4", NORMA DE FABRICAÇÃO: NBR 6943; MATERIAL: NBR 6590, FERRO MALEÁVEL PRETO;ROSCA: BSP NBR NM ISO 7-1 RC; PROTEÇÃO SUPERFICIAL: GALVANIZADO A FOGO NBR 6323</t>
  </si>
  <si>
    <t>G0699</t>
  </si>
  <si>
    <t>CURVA SOLDÁVEL 45º, PA-U 12, SDR 11, DN 160 MM, CONFORME NBR ISO 16486-3</t>
  </si>
  <si>
    <t>G0700</t>
  </si>
  <si>
    <t>CURVA SOLDÁVEL 90º, PA-U 12, SDR 11, DN 160 MM, CONFORME NBR ISO 16486-3</t>
  </si>
  <si>
    <t>G0125</t>
  </si>
  <si>
    <t>DILUENTE PARA TINTA EPOXI</t>
  </si>
  <si>
    <t>G0126</t>
  </si>
  <si>
    <t>DISCO DE CORTE  DE 7" PARA TUDOS DE AÇO CARBONO</t>
  </si>
  <si>
    <t>G0839</t>
  </si>
  <si>
    <t>DISCO DE CORTE DIAMANTADO PARA ASFALTO E CONCRETO DIAM. 350MM (UTILIZAÇÃO 1.000,0M) - (INSUMO 12750/ORSE)</t>
  </si>
  <si>
    <t>G0493</t>
  </si>
  <si>
    <t>DISCO SELO EM POLIURETANO, PARA PIG DN 10"</t>
  </si>
  <si>
    <t>G0494</t>
  </si>
  <si>
    <t>DISCO SELO EM POLIURETANO, PARA PIG DN 12"</t>
  </si>
  <si>
    <t>G0488</t>
  </si>
  <si>
    <t>DISCO SELO EM POLIURETANO, PARA PIG DN 2"</t>
  </si>
  <si>
    <t>G0489</t>
  </si>
  <si>
    <t>DISCO SELO EM POLIURETANO, PARA PIG DN 3"</t>
  </si>
  <si>
    <t>G0490</t>
  </si>
  <si>
    <t>DISCO SELO EM POLIURETANO, PARA PIG DN 4"</t>
  </si>
  <si>
    <t>G0491</t>
  </si>
  <si>
    <t>DISCO SELO EM POLIURETANO, PARA PIG DN 6"</t>
  </si>
  <si>
    <t>G0492</t>
  </si>
  <si>
    <t>DISCO SELO EM POLIURETANO, PARA PIG DN 8"</t>
  </si>
  <si>
    <t>G0127</t>
  </si>
  <si>
    <t>DISPERSANTE A BASE DE POLIFOSFATO TENSOATIVADO (TENSOATIVO NÃO-IÔNICO) DESTINADO A REMOÇÃO DE DISPERSÃO DE BENTONITA E ARGILAS NATURAIS E TAMBÉM PARA USO NA PUXADA EM PERFURAÇÃO DIRECIONAL HDD EM SOLOS ARGILOSOS</t>
  </si>
  <si>
    <t>G0780</t>
  </si>
  <si>
    <t>ENSAIO DE DETERMINAÇÃO DA CONCENTRAÇÃO DE ODORANTE NO GÁS (COG)</t>
  </si>
  <si>
    <t>G0500</t>
  </si>
  <si>
    <t>ESCOVA DE AÇO CARBONO, PARA PIG DN 10"</t>
  </si>
  <si>
    <t>G0501</t>
  </si>
  <si>
    <t>ESCOVA DE AÇO CARBONO, PARA PIG DN 12"</t>
  </si>
  <si>
    <t>G0495</t>
  </si>
  <si>
    <t>ESCOVA DE AÇO CARBONO, PARA PIG DN 2"</t>
  </si>
  <si>
    <t>G0496</t>
  </si>
  <si>
    <t>ESCOVA DE AÇO CARBONO, PARA PIG DN 3"</t>
  </si>
  <si>
    <t>G0497</t>
  </si>
  <si>
    <t>ESCOVA DE AÇO CARBONO, PARA PIG DN 4"</t>
  </si>
  <si>
    <t>G0498</t>
  </si>
  <si>
    <t>ESCOVA DE AÇO CARBONO, PARA PIG DN 6"</t>
  </si>
  <si>
    <t>G0499</t>
  </si>
  <si>
    <t>ESCOVA DE AÇO CARBONO, PARA PIG DN 8"</t>
  </si>
  <si>
    <t>G0128</t>
  </si>
  <si>
    <t>ESCOVA DE AÇO COPO TRANÇADA 4 1/2"</t>
  </si>
  <si>
    <t>G0129</t>
  </si>
  <si>
    <t>ESCOVA DE BRONZE COM CABO DE MADEIRA, PVC OU SIMILAR, COM TRÊS CARREIRAS DE TUFOS, COM CABO CURTO MEDINDO APROXIMADAMENTE  ENTRE 10CM A 15CM.</t>
  </si>
  <si>
    <t>G0130</t>
  </si>
  <si>
    <t>ESCOVA MANUAL DE ARAME DE AÇO, COM QUATRO CARREIRAS DE TUFOS, COM CABO CURTO, DE MADEIRA, PVC OU SIMILAR, MEDINDO APROXIMADAMENTE ENTRE 10CM E 15CM, COR NATURAL, AÇO NA COR DOURADA, COM FORMATO RETANGULAR, IDEAL PARA METAIS, UTILIZADA NA PREPARAÇÃO DE SUPERFÍCIES; RASPAGEM. DIMENSÕES: 30CM X 300MM.</t>
  </si>
  <si>
    <t>G0131</t>
  </si>
  <si>
    <t>ESPATULA E MASSADEIRA COM FOLHA DE 5CM A 6CM DE LARGURA COM 1,5MM DE ESPESSURA, COM CABO DE MADEIRA.</t>
  </si>
  <si>
    <t>G0840</t>
  </si>
  <si>
    <t>ESTOPA LIMPEZA - (INSUMO 00925/ORSE)</t>
  </si>
  <si>
    <t>G0133</t>
  </si>
  <si>
    <t>FIGURA 8 PARA FLANGE DE DIÂMETRO  2”; MATERIAL: ASTM A516 GR. 60; EXTREMIDADE: FR (FLANGE DE RESSALTO); PADRÃO DIMENSIONAL: N-120</t>
  </si>
  <si>
    <t>G0134</t>
  </si>
  <si>
    <t>FIGURA 8 PARA FLANGE DE DIÂMETRO  3”; MATERIAL: ASTM A516 GR. 60; EXTREMIDADE: FR (FLANGE DE RESSALTO); PADRÃO DIMENSIONAL: N-120</t>
  </si>
  <si>
    <t>G0135</t>
  </si>
  <si>
    <t>FIGURA 8 PARA FLANGE DE DIÂMETRO  4”; MATERIAL: ASTM A516 GR. 60; EXTREMIDADE: FR (FLANGE DE RESSALTO); PADRÃO DIMENSIONAL: N-120</t>
  </si>
  <si>
    <t>G0136</t>
  </si>
  <si>
    <t>FIGURA 8 PARA FLANGE DE DIÂMETRO  6”; MATERIAL: ASTM A516 GR. 60; EXTREMIDADE: FR (FLANGE DE RESSALTO); PADRÃO DIMENSIONAL: N-120</t>
  </si>
  <si>
    <t>G0137</t>
  </si>
  <si>
    <t>FIGURA 8 PARA FLANGE DE DIÂMETRO  8”; MATERIAL: ASTM A516 GR. 60; EXTREMIDADE: FR (FLANGE DE RESSALTO); PADRÃO DIMENSIONAL: N-120</t>
  </si>
  <si>
    <t>G0132</t>
  </si>
  <si>
    <t>FIGURA 8 PARA FLANGE DE DIÂMETRO 10”; MATERIAL: ASTM A516 GR. 60; EXTREMIDADE: FR (FLANGE DE RESSALTO); PADRÃO DIMENSIONAL: N-120</t>
  </si>
  <si>
    <t>G0138</t>
  </si>
  <si>
    <t>FIGURA 8 PARA FLANGE DE DIÂMETRO 12”; MATERIAL: ASTM A516 GR. 60; EXTREMIDADE: FR (FLANGE DE RESSALTO); PADRÃO DIMENSIONAL: N-120</t>
  </si>
  <si>
    <t>G0139</t>
  </si>
  <si>
    <t>FITA DE SINALIZAÇÃO COM TELA</t>
  </si>
  <si>
    <t>G0633</t>
  </si>
  <si>
    <t>FLANGE (PORCA) 1/4" OD, EM AÇO INOX AISI 316/316L, REVESTIMENTO INTERNO EM FILME DE PRATA</t>
  </si>
  <si>
    <t>G0814</t>
  </si>
  <si>
    <t>G0636</t>
  </si>
  <si>
    <t>FLANGE (PORCA) 3/8" OD, EM AÇO INOX AISI 316/316L, REVESTIMENTO INTERNO EM FILME DE PRATA</t>
  </si>
  <si>
    <t>G0813</t>
  </si>
  <si>
    <t>G0639</t>
  </si>
  <si>
    <t>FLANGE (PORCA) 6MM OD, EM AÇO INOX AISI 316/316L, REVESTIMENTO INTERNO EM FILME DE PRATA</t>
  </si>
  <si>
    <t>G0815</t>
  </si>
  <si>
    <t>G0140</t>
  </si>
  <si>
    <t>FLANGE CEGO DE DIÂMETRO  2”,  150#; PADRÃO: ASME B16.5; MATERIAL: ASTM A105; FACE COM RESSALTO (FR); ACABAMENTO DA FACE: RANHURADO CONCÊNTRICO OU ESPIRALADO 125 µIN – 250 µIN; SCH 40</t>
  </si>
  <si>
    <t>G0141</t>
  </si>
  <si>
    <t>FLANGE CEGO DE DIÂMETRO  3”, 150#; PADRÃO: ASME B16.5; MATERIAL: ASTM A105; FACE COM RESSALTO (FR); ACABAMENTO DA FACE: RANHURADO CONCÊNTRICO OU ESPIRALADO 125 µIN – 250 µIN; SCH 40</t>
  </si>
  <si>
    <t>G0142</t>
  </si>
  <si>
    <t>FLANGE CEGO DE DIÂMETRO  4”, 150#; PADRÃO: ASME B16.5; MATERIAL: ASTM A105; FACE COM RESSALTO (FR); ACABAMENTO DA FACE: RANHURADO CONCÊNTRICO OU ESPIRALADO 125 µIN – 250 µIN; SCH 40</t>
  </si>
  <si>
    <t>G0143</t>
  </si>
  <si>
    <t>FLANGE CEGO DE DIÂMETRO  6”, 150#; PADRÃO: ASME B16.5; MATERIAL: ASTM A105; FACE COM RESSALTO (FR); ACABAMENTO DA FACE: RANHURADO CONCÊNTRICO OU ESPIRALADO 125 µIN – 250 µIN; SCH 40</t>
  </si>
  <si>
    <t>G0144</t>
  </si>
  <si>
    <t>FLANGE CEGO DE DIÂMETRO  8”, 150#; PADRÃO: ASME B16.5; MATERIAL: ASTM A105; FACE COM RESSALTO (FR); ACABAMENTO DA FACE: RANHURADO CONCÊNTRICO OU ESPIRALADO 125 µIN – 250 µIN; SCH 40</t>
  </si>
  <si>
    <t>G0145</t>
  </si>
  <si>
    <t>FLANGE CEGO DE DIÂMETRO 10”, 150#; PADRÃO: ASME B16.5; MATERIAL: ASTM A105; FACE COM RESSALTO (FR); ACABAMENTO DA FACE: RANHURADO CONCÊNTRICO OU ESPIRALADO 125 µIN – 250 µIN; SCH 40</t>
  </si>
  <si>
    <t>G0146</t>
  </si>
  <si>
    <t>FLANGE CEGO DE DIÂMETRO 12”, 150#; PADRÃO: ASME B16.5; MATERIAL: ASTM A105; FACE COM RESSALTO (FR); ACABAMENTO DA FACE: RANHURADO CONCÊNTRICO OU ESPIRALADO 125 µIN – 250 µIN; SCH 40</t>
  </si>
  <si>
    <t>G0147</t>
  </si>
  <si>
    <t>FLANGE CEGO, AÇO CARBONO FORJADO DE  1", RF, ASTM A 105, ASME/ANSI B 16.5,150#, FACE COM ACABAMENTO COM RANHURAS CONCÊNTRICO OU ESPIRALADO 125 µIN – 250 µIN</t>
  </si>
  <si>
    <t>G0149</t>
  </si>
  <si>
    <t>FLANGE CEGO, AÇO CARBONO FORJADO DE  1", RF, ASTM A 105, ASME/ANSI B 16.5,300#, FACE COM ACABAMENTO COM RANHURAS CONCÊNTRICO OU ESPIRALADO 125 µIN – 250 µIN</t>
  </si>
  <si>
    <t>G0148</t>
  </si>
  <si>
    <t>FLANGE CEGO, AÇO CARBONO FORJADO DE  1.1/2", RF, ASTM A 105, ASME/ANSI B 16.5,150#, FACE COM ACABAMENTO COM RANHURAS CONCÊNTRICO OU ESPIRALADO 125 µIN – 250 µIN</t>
  </si>
  <si>
    <t>G0150</t>
  </si>
  <si>
    <t>FLANGE CEGO, AÇO CARBONO FORJADO DE  1.1/2", RF, ASTM A 105, ASME/ANSI B 16.5,300#, FACE COM ACABAMENTO COM RANHURAS CONCÊNTRICO OU ESPIRALADO 125 µIN – 250 µIN</t>
  </si>
  <si>
    <t>G0151</t>
  </si>
  <si>
    <t>FLANGE DE ENCAIXE PARA SOLDA, AÇO CARBONO FORJADO, DN 1", SCH 40, RF, ASTM A 105, ASME/ANSI B 16.5, 150#, FACE COM ACABAMENTO RANHURADO, RANHURAS CONCÊNTRICO OU ESPIRALADO 125 µIN – 250 µIN</t>
  </si>
  <si>
    <t>G0153</t>
  </si>
  <si>
    <t>FLANGE DE ENCAIXE PARA SOLDA, AÇO CARBONO FORJADO, DN 1", SCH 40, RF, ASTM A 105, ASME/ANSI B 16.5, 300#, FACE COM ACABAMENTO RANHURADO, RANHURAS CONCÊNTRICO OU ESPIRALADO 125 µIN – 250 µIN</t>
  </si>
  <si>
    <t>G0152</t>
  </si>
  <si>
    <t>FLANGE DE ENCAIXE PARA SOLDA, AÇO CARBONO FORJADO, DN 1.1/2", SCH 40, RF, ASTM A 105, ASME/ANSI B 16.5, 150#, FACE COM ACABAMENTO RANHURADO, RANHURAS CONCÊNTRICO OU ESPIRALADO 125 µIN – 250 µIN</t>
  </si>
  <si>
    <t>G0154</t>
  </si>
  <si>
    <t>FLANGE DE ENCAIXE PARA SOLDA, AÇO CARBONO FORJADO, DN 1.1/2", SCH 40, RF, ASTM A 105, ASME/ANSI B 16.5, 300#, FACE COM ACABAMENTO RANHURADO, RANHURAS CONCÊNTRICO OU ESPIRALADO 125 µIN – 250 µIN</t>
  </si>
  <si>
    <t>G0155</t>
  </si>
  <si>
    <t>FLANGE DE PESCOÇO (PE) DE DIÂMETRO  2”, 150#; PADRÃO: ASME B16.5; MATERIAL: ASTM A105; FACE COM RESSALTO (FR); ACABAMENTO DA FACE: RANHURADO CONCÊNTRICO OU ESPIRALADO 125 µIN – 250 µIN; SCH 40</t>
  </si>
  <si>
    <t>G0156</t>
  </si>
  <si>
    <t>FLANGE DE PESCOÇO (PE) DE DIÂMETRO  3”, 150#; PADRÃO: ASME B16.5; MATERIAL: ASTM A105; FACE COM RESSALTO (FR); ACABAMENTO DA FACE: RANHURADO CONCÊNTRICO OU ESPIRALADO 125 µIN – 250 µIN; SCH 40</t>
  </si>
  <si>
    <t>G0157</t>
  </si>
  <si>
    <t>FLANGE DE PESCOÇO (PE) DE DIÂMETRO  4”, 150#; PADRÃO: ASME B16.5; MATERIAL: ASTM A105; FACE COM RESSALTO (FR); ACABAMENTO DA FACE: RANHURADO CONCÊNTRICO OU ESPIRALADO 125 µIN – 250 µIN; SCH 40</t>
  </si>
  <si>
    <t>G0158</t>
  </si>
  <si>
    <t>FLANGE DE PESCOÇO (PE) DE DIÂMETRO  6”, 150#; PADRÃO: ASME B16.5; MATERIAL: ASTM A105; FACE COM RESSALTO (FR); ACABAMENTO DA FACE: RANHURADO CONCÊNTRICO OU ESPIRALADO 125 µIN – 250 µIN; SCH 40</t>
  </si>
  <si>
    <t>G0159</t>
  </si>
  <si>
    <t>FLANGE DE PESCOÇO (PE) DE DIÂMETRO  8”, 150#; PADRÃO: ASME B16.5; MATERIAL: ASTM A105; FACE COM RESSALTO (FR); ACABAMENTO DA FACE: RANHURADO CONCÊNTRICO OU ESPIRALADO 125 µIN – 250 µIN; SCH 40</t>
  </si>
  <si>
    <t>G0160</t>
  </si>
  <si>
    <t>FLANGE DE PESCOÇO (PE) DE DIÂMETRO 10”, 150#; PADRÃO: ASME B16.5; MATERIAL: ASTM A105; FACE COM RESSALTO (FR); ACABAMENTO DA FACE: RANHURADO CONCÊNTRICO OU ESPIRALADO 125 µIN – 250 µIN; SCH 40</t>
  </si>
  <si>
    <t>G0161</t>
  </si>
  <si>
    <t>FLANGE DE PESCOÇO (PE) DE DIÂMETRO 12”, 150#; PADRÃO: ASME B16.5; MATERIAL: ASTM A105; FACE COM RESSALTO (FR); ACABAMENTO DA FACE: RANHURADO CONCÊNTRICO OU ESPIRALADO 125 µIN – 250 µIN; SCH 40</t>
  </si>
  <si>
    <t>G0841</t>
  </si>
  <si>
    <t>GRAXA LUBRIFICANTE - (INSUMO 04229/SINAPI)</t>
  </si>
  <si>
    <t>G0162</t>
  </si>
  <si>
    <t>HOLIDAY DETECTOR DE FALHA DE REVESTIMENTO EM MANTA TERMOCONTRATIL - VOLTAGEM DE 12 KV  A 20 KV, DE CORRENTE PULSANTE, VIA SECA, CONFORME NORMA NACE STANDARD RP-0274</t>
  </si>
  <si>
    <t>G0164</t>
  </si>
  <si>
    <t>JOELHO 90o  1/2", 3000#, NPT, AFO, ASTM A105, ANSI B16.11</t>
  </si>
  <si>
    <t>G0165</t>
  </si>
  <si>
    <t>JOELHO 90o  3/4", 3000#, NPT, AFO, ASTM A105, ANSI B16.11</t>
  </si>
  <si>
    <t>G0166</t>
  </si>
  <si>
    <t>JOELHO 90o 1", 3000#, NPT, AFO, ASTM A105, ANSI B16.11</t>
  </si>
  <si>
    <t>G0163</t>
  </si>
  <si>
    <t>JOELHO 90º  DN 1/2", CLASSE 3000#, AC, ASTM A105,  ANSI B 16.11, ES (SOLDA DE ENCAIXE)</t>
  </si>
  <si>
    <t>G0167</t>
  </si>
  <si>
    <t>JOELHO 90º DN   3/4", CLASSE 3000#, AC, ASTM A105,  ANSI B 16.11, ES (SOLDA DE ENCAIXE)</t>
  </si>
  <si>
    <t>G0168</t>
  </si>
  <si>
    <t>JOELHO 90º DN  1 1/2", CLASSE 3000#, AC, ASTM A105 , ANSI B 16.11, ES (SOLDA DE ENCAIXE)</t>
  </si>
  <si>
    <t>G0169</t>
  </si>
  <si>
    <t>JOELHO 90º DN 1", CLASSE 3000#, AC, ASTM A105 , ANSI B 16.11, ES  SOLDA DE ENCAIXE)</t>
  </si>
  <si>
    <t>G0675</t>
  </si>
  <si>
    <t>JOGO DE ALICATES PARA ANÉIS, AÇO CROMO-VANÁDIO, ACABAMENTO FOSFATIZADO E CABOS PLASTIFICADOS:
REFERÊNCIAS:
- ANÉIS EXTERNOS PONTAS RETAS – A1
- ANÉIS EXTERNOS PONTAS CURVAS 90° – A11
- ANÉIS INTERNOS PONTAS RETAS - J1
- ANÉIS INTERNOS PONTAS CURVAS 90° - J11
- ANÉIS EXTERNOS PONTAS RETAS – A2
- ANÉIS EXTERNOS PONTAS CURVAS 90° – A21
- ANÉIS INTERNOS PONTAS RETAS – J2
- ANÉIS INTERNOS PONTAS CURVAS 90° - J21</t>
  </si>
  <si>
    <t>G0680</t>
  </si>
  <si>
    <t>JOGO DE CHAVES CANHÃO COM 12 PEÇAS, HASTE EM CROMO-VANÁDIO E CABO EM POLIPROPILENO:
REFERÊNCIAS: 3MM, 4MM, 5MM, 6MM, 7MM, 8MM, 9MM, 10MM, 11MM, 12MM, 13MM, 14MM</t>
  </si>
  <si>
    <t>G0653</t>
  </si>
  <si>
    <t>JOGO DE CHAVES COMBINADAS, 24 PEÇAS, AÇO CROMO-VANÁDIO, ACABAMENTO NIQUELADO E CROMADO; REFERÊNCIA: 6MM À 32MM</t>
  </si>
  <si>
    <t>G0674</t>
  </si>
  <si>
    <t>JOGO DE CHAVES HEXAGONAIS ALLEN LONGAS COM 28 PEÇAS:
REFERÊNCIAS:
- MILÍMETRO: 1,5; 2, 2,5; 3, 4, 5, 6, 7, 8, 9, 10, 11, 12, 14 
- POLEGADA: 1/16”, 5/64”, 3/32”, 1/8”, 9/64”, 5/32”, 3/16”, 7/32”, 5/16”, 3/8”, 7/16”, 1/2", 9/16”, 1/4"</t>
  </si>
  <si>
    <t>G0679</t>
  </si>
  <si>
    <t>JOGO DE SOQUETES E ACESSÓRIOS 1/2", 43 PEÇAS:
- SOQUETES ESTRIADOS (UNIT DRIVE) ENCAIXE DE 1/2", MILÍMETRO: 10MM À 32MM
- SOQUETES ESTRIADOS (UNIT DRIVE) ENCAIXE DE 1/2", POLEGADA: 3/8” À 1.1/4”
- CABO “T” DE 1/2"
- EXTENSÃO DE 1/2", COMPRIMENTO 5”
- EXTENSÃO DE 1/2", COMPRIMENTO 10”
- CATRACA REVERSÍVEL 1/2"
- JUNTA UNIVERSAL DE 1/2"</t>
  </si>
  <si>
    <t>G0170</t>
  </si>
  <si>
    <t>JUNTA TIPO ESPIRALADA DE  2", JUNTA CIRCULAR, PADRÃO DIMENSIONAL ASME B16.20, AISI 304 COM ENCHIMENTO DE GRAFITE FLEXÍVEL, ANEL DE CENTRALIZAÇÃO EXTERNO EM AÇO CARBONO E INTERNO EM AISI 304,CLASSE PRESSÃO 150 #, ESPESSURA 4,4 MM, PARA FLANGE ASME B16.5 TIPO FACE COM RESSALTO,ANEL DE CENTRALIZAÇÃO EXTERNO E INTERNO</t>
  </si>
  <si>
    <t>G0171</t>
  </si>
  <si>
    <t>JUNTA TIPO ESPIRALADA DE  3", JUNTA CIRCULAR, PADRÃO DIMENSIONAL ASME B16.20, AISI 304 COM ENCHIMENTO DE GRAFITE FLEXÍVEL, ANEL DE CENTRALIZAÇÃO EXTERNO EM AÇO CARBONO E INTERNO EM AISI 304,CLASSE PRESSÃO 150 #, ESPESSURA 4,4 MM, PARA FLANGE ASME B16.5 TIPO FACE COM RESSALTO,ANEL DE CENTRALIZAÇÃO EXTERNO E INTERNO</t>
  </si>
  <si>
    <t>G0172</t>
  </si>
  <si>
    <t>JUNTA TIPO ESPIRALADA DE  4", JUNTA CIRCULAR, PADRÃO DIMENSIONAL ASME B16.20, AISI 304 COM ENCHIMENTO DE GRAFITE FLEXÍVEL, ANEL DE CENTRALIZAÇÃO EXTERNO EM AÇO CARBONO E INTERNO EM AISI 304,CLASSE PRESSÃO 150 #, ESPESSURA 4,4 MM, PARA FLANGE ASME B16.5 TIPO FACE COM RESSALTO,ANEL DE CENTRALIZAÇÃO EXTERNO E INTERNO</t>
  </si>
  <si>
    <t>G0173</t>
  </si>
  <si>
    <t>JUNTA TIPO ESPIRALADA DE  6", JUNTA CIRCULAR, PADRÃO DIMENSIONAL ASME B16.20, AISI 304 COM ENCHIMENTO DE GRAFITE FLEXÍVEL, ANEL DE CENTRALIZAÇÃO EXTERNO EM AÇO CARBONO E INTERNO EM AISI 304,CLASSE PRESSÃO 150 #, ESPESSURA 4,4 MM, PARA FLANGE ASME B16.5 TIPO FACE COM RESSALTO,ANEL DE CENTRALIZAÇÃO EXTERNO E INTERNO</t>
  </si>
  <si>
    <t>G0174</t>
  </si>
  <si>
    <t>JUNTA TIPO ESPIRALADA DE  8", JUNTA CIRCULAR, PADRÃO DIMENSIONAL ASME B16.20, AISI 304 COM ENCHIMENTO DE GRAFITE FLEXÍVEL, ANEL DE CENTRALIZAÇÃO EXTERNO EM AÇO CARBONO E INTERNO EM AISI 304,CLASSE PRESSÃO 150 #, ESPESSURA 4,4 MM, PARA FLANGE ASME B16.5 TIPO FACE COM RESSALTO,ANEL DE CENTRALIZAÇÃO EXTERNO E INTERNO</t>
  </si>
  <si>
    <t>G0175</t>
  </si>
  <si>
    <t>JUNTA TIPO ESPIRALADA DE 10", JUNTA CIRCULAR, PADRÃO DIMENSIONAL ASME B16.20, AISI 304 COM ENCHIMENTO DE GRAFITE FLEXÍVEL, ANEL DE CENTRALIZAÇÃO EXTERNO EM AÇO CARBONO E INTERNO EM AISI 304,CLASSE PRESSÃO 150 #, ESPESSURA 4,4 MM, PARA FLANGE ASME B16.5 TIPO FACE COM RESSALTO,ANEL DE CENTRALIZAÇÃO EXTERNO E INTERNO</t>
  </si>
  <si>
    <t>G0176</t>
  </si>
  <si>
    <t>JUNTA TIPO ESPIRALADA DE 12", JUNTA CIRCULAR, PADRÃO DIMENSIONAL ASME B16.20, AISI 304 COM ENCHIMENTO DE GRAFITE FLEXÍVEL, ANEL DE CENTRALIZAÇÃO EXTERNO EM AÇO CARBONO E INTERNO EM AISI 304,CLASSE PRESSÃO 150 #, ESPESSURA 4,4 MM, PARA FLANGE ASME B16.5 TIPO FACE COM RESSALTO,ANEL DE CENTRALIZAÇÃO EXTERNO E INTERNO</t>
  </si>
  <si>
    <t>G0697</t>
  </si>
  <si>
    <t>LACRE EM POLICARBONATO (MODELO ROTO SEAL II), NA COR VERDE, PERSONALIZADO NA ABA CEGÁS, COM NUMERAÇÃO SEQUENCIAL DE 07 (SETE) DÍGITOS, GRAVAÇÃO INDELÉVEIS EM ALTO RELEVO NA COR, USO EM MEDIDORES DE GÁS</t>
  </si>
  <si>
    <t>G0843</t>
  </si>
  <si>
    <t>LUBRIFICANTE SPRAY GAR-LUB OU SIMILAR - (INSUMO 03531/ORSE)</t>
  </si>
  <si>
    <t>G0177</t>
  </si>
  <si>
    <t>LUBRIFICANTES  BIODEGRADAVEL PARA SOLOS   PARA FURO DIRECIONAL HDD</t>
  </si>
  <si>
    <t>G0770</t>
  </si>
  <si>
    <t>LUVA COM ROSCA ESQUERDA/DIREITA, DN 1", NORMA DE FABRICAÇÃO: NBR 6943; MATERIAL: NBR 6590, FERRO MALEÁVEL PRETO;ROSCA: BSP NBR NM ISO 7-1 RC; PROTEÇÃO SUPERFICIAL: ALVANIZADO A FOGO NBR 6323</t>
  </si>
  <si>
    <t>G0768</t>
  </si>
  <si>
    <t>LUVA COM ROSCA ESQUERDA/DIREITA, DN 1/2", NORMA DE FABRICAÇÃO: NBR 6943; MATERIAL: NBR 6590, FERRO MALEÁVEL PRETO;ROSCA: BSP NBR NM ISO 7-1 RC; PROTEÇÃO SUPERFICIAL: ALVANIZADO A FOGO NBR 6323</t>
  </si>
  <si>
    <t>G0767</t>
  </si>
  <si>
    <t>LUVA COM ROSCA ESQUERDA/DIREITA, DN 1/4", NORMA DE FABRICAÇÃO: NBR 6943; MATERIAL: NBR 6590, FERRO MALEÁVEL PRETO;ROSCA: BSP NBR NM ISO 7-1 RC; PROTEÇÃO SUPERFICIAL: ALVANIZADO A FOGO NBR 6323</t>
  </si>
  <si>
    <t>G0769</t>
  </si>
  <si>
    <t>LUVA COM ROSCA ESQUERDA/DIREITA, DN 3/4", NORMA DE FABRICAÇÃO: NBR 6943; MATERIAL: NBR 6590, FERRO MALEÁVEL PRETO;ROSCA: BSP NBR NM ISO 7-1 RC; PROTEÇÃO SUPERFICIAL: ALVANIZADO A FOGO NBR 6323</t>
  </si>
  <si>
    <t>G0734</t>
  </si>
  <si>
    <t>LUVA DE REDUCAO, 1 1/2"X1", NORMA DE FABRICAÇÃO: NBR 6943; MATERIAL: NBR 6590, FERRO MALEÁVEL PRETO;ROSCA: BSP NBR NM ISO 7-1 RC; PROTEÇÃO SUPERFICIAL: GALVANIZADO A FOGO NBR 6323</t>
  </si>
  <si>
    <t>G0730</t>
  </si>
  <si>
    <t>LUVA DE REDUCAO, 1"X1/2", NORMA DE FABRICAÇÃO: NBR 6943; MATERIAL: NBR 6590, FERRO MALEÁVEL PRETO;ROSCA: BSP NBR NM ISO 7-1 RC; PROTEÇÃO SUPERFICIAL: GALVANIZADO A FOGO NBR 6323</t>
  </si>
  <si>
    <t>G0733</t>
  </si>
  <si>
    <t>LUVA DE REDUCAO, DN 1 1/2" X 1 1/4", NORMA DE FABRICAÇÃO: NBR 6943; MATERIAL: NBR 6590, FERRO MALEÁVEL PRETO;ROSCA: BSP NBR NM ISO 7-1 RC; PROTEÇÃO SUPERFICIAL: GALVANIZADO A FOGO NBR 6323</t>
  </si>
  <si>
    <t>G0732</t>
  </si>
  <si>
    <t>LUVA DE REDUCAO, DN 1 1/4"X1", NORMA DE FABRICAÇÃO: NBR 6943; MATERIAL: NBR 6590, FERRO MALEÁVEL PRETO;ROSCA: BSP NBR NM ISO 7-1 RC; PROTEÇÃO SUPERFICIAL: GALVANIZADO A FOGO NBR 6323</t>
  </si>
  <si>
    <t>G0731</t>
  </si>
  <si>
    <t>LUVA DE REDUCAO, DN 1"X3/4", NORMA DE FABRICAÇÃO: NBR 6943; MATERIAL: NBR 6590, FERRO MALEÁVEL PRETO;ROSCA: BSP NBR NM ISO 7-1 RC; PROTEÇÃO SUPERFICIAL: GALVANIZADO A FOGO NBR 6323</t>
  </si>
  <si>
    <t>G0729</t>
  </si>
  <si>
    <t>LUVA DE REDUCAO, DN 3/4"X1/2", NORMA DE FABRICAÇÃO: NBR 6943; MATERIAL: NBR 6590, FERRO MALEÁVEL PRETO;ROSCA: BSP NBR NM ISO 7-1 RC; PROTEÇÃO SUPERFICIAL: GALVANIZADO A FOGO NBR 6323</t>
  </si>
  <si>
    <t>G0178</t>
  </si>
  <si>
    <t>LUVA DE REDUÇÃO , DE  63mm x 32mm, PEAD, ELETROFUSÃO, PE 100, SDR 11, conf. ABNT NBR 14462, EN 1555, ISO 4437</t>
  </si>
  <si>
    <t>G0179</t>
  </si>
  <si>
    <t>LUVA DE REDUÇÃO , DE 110mm x 63mm, PEAD, ELETROFUSÃO, PE 100, SDR 11, conf. ABNT NBR 14462, EN 1555, ISO 4437</t>
  </si>
  <si>
    <t>G0180</t>
  </si>
  <si>
    <t>LUVA DE REDUÇÃO , DE 110mm x 90mm, PEAD, ELETROFUSÃO, PE 100, SDR 11, conf. ABNT NBR 14462, EN 1555, ISO 4437</t>
  </si>
  <si>
    <t>G0828</t>
  </si>
  <si>
    <t>LUVA DE REDUÇÃO, 125 mm x 90 mm, PEAD, ELETROFUSÃO, PE 100, SDR 11, conf. ABNT NBR 14462, EN 1555, ISO 4437</t>
  </si>
  <si>
    <t>G0829</t>
  </si>
  <si>
    <t>LUVA DE REDUÇÃO, 180 mm x 125 mm, PEAD, ELETROFUSÃO, PE 100, SDR 11, conf. ABNT NBR 14462, EN 1555, ISO 4437</t>
  </si>
  <si>
    <t>G0181</t>
  </si>
  <si>
    <t>LUVA DE REDUÇÃO, DE  90mm x 63mm, PEAD, ELETROFUSÃO, PE 100, SDR 11, conf. ABNT NBR 14462, EN 1555, ISO 4437</t>
  </si>
  <si>
    <t>G0182</t>
  </si>
  <si>
    <t>LUVA DE TRANSIÇÃO PEAD × AÇO PONTA SOLDA - DE X DN 32mm x 1” (PEAD, ELETROFUSÃO, PE 100, SDR 11, MOP 10 BAR (GÁS),conf. ABNT NBR 14462, EN 1555, ISO 4437 x  ACO CARBONO,  API 5L Gr B, SCH 40).</t>
  </si>
  <si>
    <t>G0183</t>
  </si>
  <si>
    <t>LUVA DE TRANSIÇÃO PEAD × AÇO PONTA SOLDA - DE X DN 32mm x 3/4” (PEAD, ELETROFUSÃO, PE 100, SDR 11,MOP 10 BAR (GÁS), conf. ABNT NBR 14462, EN 1555, ISO 4437 x  ACO CARBONO,  API 5L Gr B,SCH 40).</t>
  </si>
  <si>
    <t>G0184</t>
  </si>
  <si>
    <t>LUVA DE TRANSIÇÃO PEAD × AÇO PONTA SOLDA - DE X DN 63mm x 1 1/2” (PEAD, ELETROFUSÃO, PE 100, SDR 11,MOP 10 BAR (GÁS), conf. ABNT NBR 14462, EN 1555, ISO 4437 x  ACO CARBONO,  API 5L Gr B, SCH 40).</t>
  </si>
  <si>
    <t>G0185</t>
  </si>
  <si>
    <t>LUVA DE TRANSIÇÃO PEAD × AÇO PONTA SOLDA - DE X DN 63mm x 2” (PEAD, ELETROFUSÃO, PE 100, SDR 11,MOP 10 BAR (GÁS), conf. ABNT NBR 14462, EN 1555, ISO 4437 x  ACO CARBONO,  API 5L Gr B,  SCH 40).</t>
  </si>
  <si>
    <t>G0186</t>
  </si>
  <si>
    <t>LUVA DE TRANSIÇÃO PEAD × AÇO ROSCA  - DE X DN 32mm x 1” (PEAD, ELETROFUSÃO, PE 100, SDR 11 X  FÊMIA NPT, MOP 10 BAR (GÁS) .</t>
  </si>
  <si>
    <t>G0187</t>
  </si>
  <si>
    <t>LUVA DE TRANSIÇÃO PEAD × AÇO ROSCA  - DE X DN 63mm x 1” (PEAD, ELETROFUSÃO, PE 100, SDR 11 X  FÊMIA NPT, MOP 10 BAR (GÁS) .</t>
  </si>
  <si>
    <t>G0188</t>
  </si>
  <si>
    <t>LUVA EM AÇO INOX DE 1" CABEÇA QUADRADA, ANSI 316, NPT, PARA TUBO SCH 40</t>
  </si>
  <si>
    <t>G0739</t>
  </si>
  <si>
    <t>LUVA M/F RED, DN 1 1/4"(FEMEA)X3/4"(MACHO), NORMA DE FABRICAÇÃO: NBR 6943; MATERIAL: NBR 6590, FERRO MALEÁVEL PRETO;ROSCA: BSP NBR NM ISO 7-1 RC; PROTEÇÃO SUPERFICIAL: GALVANIZADO A FOGO NBR 6323</t>
  </si>
  <si>
    <t>G0737</t>
  </si>
  <si>
    <t>LUVA M/F RED, DN 1" (FEMEA) X 3/4" (MACHO) , NORMA DE FABRICAÇÃO: NBR 6943; MATERIAL: NBR 6590, FERRO MALEÁVEL PRETO;ROSCA: BSP NBR NM ISO 7-1 RC; PROTEÇÃO SUPERFICIAL: ALVANIZADO A FOGO NBR 6323</t>
  </si>
  <si>
    <t>G0738</t>
  </si>
  <si>
    <t>LUVA M/F RED, DN 1" (FEMEA)X1/2"(MACHO), NORMA DE FABRICAÇÃO: NBR 6943; MATERIAL: NBR 6590, FERRO MALEÁVEL PRETO;ROSCA: BSP NBR NM ISO 7-1 RC; PROTEÇÃO SUPERFICIAL: GALVANIZADO A FOGO NBR 6323</t>
  </si>
  <si>
    <t>G0735</t>
  </si>
  <si>
    <t>LUVA M/F RED, DN 1/2"(FEMEA)X1/4"(MACHO), NORMA DE FABRICAÇÃO: NBR 6943; MATERIAL: NBR 6590, FERRO MALEÁVEL PRETO;ROSCA: BSP NBR NM ISO 7-1 RC; PROTEÇÃO SUPERFICIAL: GALVANIZADO A FOGO NBR 6323</t>
  </si>
  <si>
    <t>G0736</t>
  </si>
  <si>
    <t>LUVA M/F RED, DN 3/4"(FEMEA)X1/2"(MACHO), NORMA DE FABRICAÇÃO: NBR 6943; MATERIAL: NBR 6590, FERRO MALEÁVEL PRETO;ROSCA: BSP NBR NM ISO 7-1 RC; PROTEÇÃO SUPERFICIAL: GALVANIZADO A FOGO NBR 6323</t>
  </si>
  <si>
    <t>G0189</t>
  </si>
  <si>
    <t>LUVA SIMPLES  1/2", 3000#, NPT, AFO,ASTM A105, ANSI B16.11</t>
  </si>
  <si>
    <t>G0190</t>
  </si>
  <si>
    <t>LUVA SIMPLES 1", 3000#, NPT, AFO, NPT, ASTM A105, ANSI B16.11</t>
  </si>
  <si>
    <t>G0191</t>
  </si>
  <si>
    <t>LUVA SIMPLES 3/4", 3000#, NPT, AFO, NPT, ASTM A105, ANSI B16.11</t>
  </si>
  <si>
    <t>G0830</t>
  </si>
  <si>
    <t>LUVA SIMPLES, 125 mm, PEAD, ELETROFUSÃO, PE 100, SDR 11, conf. ABNT NBR 14462, EN 1555, ISO 4437</t>
  </si>
  <si>
    <t>G0831</t>
  </si>
  <si>
    <t>LUVA SIMPLES, 180 mm, PEAD, ELETROFUSÃO, PE 100, SDR 11, conf. ABNT NBR 14462, EN 1555, ISO 4437</t>
  </si>
  <si>
    <t>G0192</t>
  </si>
  <si>
    <t>LUVA SIMPLES, DE  32mm, PEAD, ELETROFUSÃO, PE 100, SDR 11, conf. ABNT NBR 14462, EN 1555, ISO 4437</t>
  </si>
  <si>
    <t>G0193</t>
  </si>
  <si>
    <t>LUVA SIMPLES, DE  63mm, PEAD, ELETROFUSÃO, PE 100, SDR 11, conf. ABNT NBR 14462, EN 1555, ISO 4437</t>
  </si>
  <si>
    <t>G0194</t>
  </si>
  <si>
    <t>LUVA SIMPLES, DE  90mm, PEAD, ELETROFUSÃO, PE 100, SDR 11, conf. ABNT NBR 14462, EN 1555, ISO 4437</t>
  </si>
  <si>
    <t>G0195</t>
  </si>
  <si>
    <t>LUVA SIMPLES, DE 110mm, PEAD, ELETROFUSÃO, PE 100, SDR 11, conf. ABNT NBR 14462, EN 1555, ISO 4437</t>
  </si>
  <si>
    <t>G0701</t>
  </si>
  <si>
    <t>LUVA SOLDÁVEL, PA-U 12, SDR 11, DN 160 MM, CONFORME NBR ISO 16486-3</t>
  </si>
  <si>
    <t>G0745</t>
  </si>
  <si>
    <t>LUVA, DN 1 1/2",NORMA DE FABRICAÇÃO: NBR 6943; MATERIAL: NBR 6590, FERRO MALEÁVEL PRETO;ROSCA: BSP NBR NM ISO 7-1 RC; PROTEÇÃO SUPERFICIAL: GALVANIZADO A FOGO NBR 6323</t>
  </si>
  <si>
    <t>G0744</t>
  </si>
  <si>
    <t>LUVA, DN 1 1/4", NORMA DE FABRICAÇÃO: NBR 6943; MATERIAL: NBR 6590, FERRO MALEÁVEL PRETO;ROSCA: BSP NBR NM ISO 7-1 RC; PROTEÇÃO SUPERFICIAL: GALVANIZADO A FOGO NBR 6323</t>
  </si>
  <si>
    <t>G0743</t>
  </si>
  <si>
    <t>LUVA, DN 1", NORMA DE FABRICAÇÃO: NBR 6943; MATERIAL: NBR 6590, FERRO MALEÁVEL PRETO;ROSCA: BSP NBR NM ISO 7-1 RC; PROTEÇÃO SUPERFICIAL: GALVANIZADO A FOGO NBR 6323</t>
  </si>
  <si>
    <t>G0741</t>
  </si>
  <si>
    <t>LUVA, DN 1/2", NORMA DE FABRICAÇÃO: NBR 6943; MATERIAL: NBR 6590, FERRO MALEÁVEL PRETO;ROSCA: BSP NBR NM ISO 7-1 RC; PROTEÇÃO SUPERFICIAL: GALVANIZADO A FOGO NBR 6323</t>
  </si>
  <si>
    <t>G0740</t>
  </si>
  <si>
    <t>LUVA, DN 1/4", NORMA DE FABRICAÇÃO: NBR 6943; MATERIAL: NBR 6590, FERRO MALEÁVEL PRETO;ROSCA: BSP NBR NM ISO 7-1 RC; PROTEÇÃO SUPERFICIAL: GALVANIZADO A FOGO NBR 6323</t>
  </si>
  <si>
    <t>G0742</t>
  </si>
  <si>
    <t>LUVA, DN 3/4", NORMA DE FABRICAÇÃO: NBR 6943; MATERIAL: NBR 6590, FERRO MALEÁVEL PRETO;ROSCA: BSP NBR NM ISO 7-1 RC; PROTEÇÃO SUPERFICIAL: GALVANIZADO A FOGO NBR 6323</t>
  </si>
  <si>
    <t>G0671</t>
  </si>
  <si>
    <t>MACHO MANUAL EM AÇO RÁPIDO (HSS), ROSCA CÔNICA PARA TUBO NPT
REFERÊNCIA: 1/2"</t>
  </si>
  <si>
    <t>G0670</t>
  </si>
  <si>
    <t>MACHO MANUAL EM AÇO RÁPIDO (HSS), ROSCA CÔNICA PARA TUBO NPT
REFERÊNCIA: 1/4"</t>
  </si>
  <si>
    <t>G0672</t>
  </si>
  <si>
    <t>MACHO MANUAL EM AÇO RÁPIDO (HSS), ROSCA CÔNICA PARA TUBO NPT
REFERÊNCIA: 3/4"</t>
  </si>
  <si>
    <t>G0196</t>
  </si>
  <si>
    <t>MANCHÃO (LAMINADO DE POLIETILENO IRRADIADO COM HOT MELT) DE REPARO PARA 3LP3 COM ESPESSURA MÍNIMA DE 1,00MM, LARGURA MÍNIMA DE 300MM  N 2911,COMPATÍVEL PARA FURO DIRECIONAL E VALA A CÉU ABERTO</t>
  </si>
  <si>
    <t>G0204</t>
  </si>
  <si>
    <t>MANTA TERMOCONTRATIL, PARA DUTOS  2"  COM REVESTIMENTOS DE 3LPE OU FBE, JUNTA SOLDADA EM CAMPO, DE LARGURA MÍNIMA  500MM E ESPESSURA MÍNIMA DE 0,75MM COMPOSTO POR FILME DE POLIETILENO RETICULADO POR PROCESSO IRRADIAÇÃO, COM ADESIVO DO TIPO HOT MELT  EM UMA DAS FACES DE ESPESSURA MÍNIMA DE 1,1 MM, SELO DE FECHAMENTO RETICULADO NÃO TERMOCONTRATIL COM ADESIVO EM UMA FACE, TEMPERATURA DE OPERAÇÃO MÁXIMA 60°,  KIT COM PRIMER EPÓXI LÍQUIDO COM  100% SÓLIDOS ESPESSURA MÍNIMA 100 µm PELÍCULA SECA, CONSTRUÇÃO EM VALA A CÉU ABERTO DE ACORDO COM NORMA PETROBRAS N-2328</t>
  </si>
  <si>
    <t>G0208</t>
  </si>
  <si>
    <t>MANTA TERMOCONTRATIL, PARA DUTOS  2" COM REVESTIMENTOS DE 3LP3 OU FBE, JUNTA SOLDADA EM CAMPO, DE LARGURA MÍNIMA DE 500MM  E ESPESSURA MÍNIMA DE 0,75MM COMPOSTO POR FILME DE POLIETILENO RETICULADO POR PROCESSO IRRADIAÇÃO, COM ADESIVO DO TIPO HOT MELT EM UMA DAS FACES COM ESPESSURA MÍNIMA DE 1,1 MM, COM MANTA DE SACRIFÍCIO COM FIBRA DE VIDRO COM ESPESSURA MÍNIMA 1,65MM E ADESIVO 1,00MM OU REVESTIMENTO EXTERNO DE EPOXI ANTI-ABRASIVO COM ESPESSURA MÍNIMA DE 0,75MM E ADESIVO DE 1,1 MM COM 150MM DE LARGURA, SELO DE FECHAMENTO RETICULADO NÃO TERMOCONTRATIL ADESIVO EM UMA FACE, TEMPERATURA DE OPERAÇÃO MÁXIMA 80º, KIT COM PRIMER EPÓXI LÍQUIDO COM 100 % SOLIDOS ESPESSURA MÍNIMA 100 µm PELICULA SECA,CONSTRUÇÃO EM FURO DIRECIONAL EM SOLOS ARGILOSOS E SILTES DE ACORDO COM NORMA PETROBRAS N 2328</t>
  </si>
  <si>
    <t>G0209</t>
  </si>
  <si>
    <t>MANTA TERMOCONTRATIL, PARA DUTOS  2" COM REVESTIMENTOS DE 3LP3 OU FBE, JUNTA SOLDADA EM CAMPO, DE LARGURA MÍNIMA DE 500MM E ESPESSURA MÍNIMA DE 1,65MM COMPOSTO POR FILME DE POLIETILENO RETICULADO POR PROCESSO IRRADIAÇÃO  COM REFORÇO DE FIBRA DE VIDRO OU POLIPROPILENO RETICULADO DE 0,85MM COM MANTA DE SACRIFICIO DE  MESMO MATERIAL COM LARGURA  150MM,COM ADESIVO DO TIPO HOT MELT EM UMA DAS FACES DE ESPESSURA MÍNIMA DE 1,00 PRIMEIRO CASO E 1,40 NO SEGUNDO CASO, SELO DE FECHAMENTO RETICULADO NÃO TERMOCONTRATIL ADESIVADO EM UMA FACE, TEMPERATURA DE OPERAÇÃO MÁXIMA 60º,  KIT COM PRIMER EPÓXI LÍQUIDO COM 100 % SOLIDOS ESPESSURA MÍNIMA 100 µm PELICULA SECA,CONSTRUÇÃO EM FURO DIRECIONAL EM SOLOS ARENOSOS E ROCHOSOS DE ACORDO COM NORMA PETROBRAS N 2328</t>
  </si>
  <si>
    <t>G0197</t>
  </si>
  <si>
    <t>MANTA TERMOCONTRATIL, PARA DUTOS  3"  COM REVESTIMENTOS DE 3LPE OU FBE, JUNTA SOLDADA EM CAMPO, DE LARGURA MÍNIMA  500MM E ESPESSURA MÍNIMA DE 0,75MM COMPOSTO POR FILME DE POLIETILENO RETICULADO POR PROCESSO IRRADIAÇÃO, COM ADESIVO DO TIPO HOT MELT  EM UMA DAS FACES DE ESPESSURA MÍNIMA DE 1,1 MM, SELO DE FECHAMENTO RETICULADO NÃO TERMOCONTRATIL COM ADESIVO EM UMA FACE, TEMPERATURA DE OPERAÇÃO MÁXIMA 65°,  KIT COM PRIMER EPÓXI LÍQUIDO COM  100% SOLIDOS ESPESSURA MÍNIMA 100 µm PELICULA SECA,CONSTRUÇÃO EM VALA A CÉU ABERTO DE ACORDO COM NORMA PETROBRAS N-2328</t>
  </si>
  <si>
    <t>G0210</t>
  </si>
  <si>
    <t>MANTA TERMOCONTRATIL, PARA DUTOS  3" COM REVESTIMENTOS DE 3LP3 OU FBE, JUNTA SOLDADA EM CAMPO, DE LARGURA MÍNIMA DE 500MM  E ESPESSURA MÍNIMA DE 0,75MM COMPOSTO POR FILME DE POLIETILENO RETICULADO POR PROCESSO IRRADIAÇÃO, COM ADESIVO DO TIPO HOT MELT EM UMA DAS FACES COM ESPESSURA MÍNIMA DE 1,1 MM, COM MANTA DE SACRIFÍCIO COM FIBRA DE VIDRO COM ESPESSURA MÍNIMA 1,65MM E ADESIVO 1,00MM OU REVESTIMENTO EXTERNO DE EPOXI ANTI-ABRASIVO COM ESPESSURA MÍNIMA DE 0,75MM E ADESIVO DE 1,1 MM COM 150MM DE LARGURA, SELO DE FECHAMENTO RETICULADO NÃO TERMOCONTRATIL ADESIVO EM UMA FACE, TEMPERATURA DE OPERAÇÃO MÁXIMA 80º, KIT COM PRIMER EPÓXI LÍQUIDO COM 100 % SOLIDOS ESPESSURA MÍNIMA 100 µm PELICULA SECA,CONSTRUÇÃO EM FURO DIRECIONAL EM SOLOS ARGILOSOS E SILTES DE ACORDO COM NORMA PETROBRAS N 2328</t>
  </si>
  <si>
    <t>G0211</t>
  </si>
  <si>
    <t>MANTA TERMOCONTRATIL, PARA DUTOS  3" COM REVESTIMENTOS DE 3LP3 OU FBE, JUNTA SOLDADA EM CAMPO, DE LARGURA MÍNIMA DE 500MM E ESPESSURA MÍNIMA DE 1,65MM COMPOSTO POR FILME DE POLIETILENO RETICULADO POR PROCESSO IRRADIAÇÃO  COM REFORÇO DE FIBRA DE VIDRO OU POLIPROPILENO RETICULADO DE 0,85MM COM MANTA DE SACRIFICIO DE  MESMO MATERIAL COM LARGURA  150MM,COM ADESIVO DO TIPO HOT MELT EM UMA DAS FACES DE ESPESSURA MÍNIMA DE 1,00 PRIMEIRO CASO E 1,40 NO SEGUNDO CASO, SELO DE FECHAMENTO RETICULADO NÃO TERMOCONTRATIL ADESIVADO EM UMA FACE, TEMPERATURA DE OPERAÇÃO MÁXIMA 60º,  KIT COM PRIMER EPÓXI LÍQUIDO COM 100 % SOLIDOS ESPESSURA MÍNIMA 100 µm PELICULA SECA,CONSTRUÇÃO EM FURO DIRECIONAL EM SOLOS ARENOSOS E ROCHOSOS DE ACORDO COM NORMA PETROBRAS N 2328</t>
  </si>
  <si>
    <t>G0198</t>
  </si>
  <si>
    <t>MANTA TERMOCONTRATIL, PARA DUTOS  4"  COM REVESTIMENTOS DE 3LPE OU FBE, JUNTA SOLDADA EM CAMPO, DE LARGURA MÍNIMA  500MM E ESPESSURA MÍNIMA DE 0,75MM COMPOSTO POR FILME DE POLIETILENO RETICULADO POR PROCESSO IRRADIAÇÃO, COM ADESIVO DO TIPO HOT MELT  EM UMA DAS FACES DE ESPESSURA MÍNIMA DE 1,1 MM, SELO DE FECHAMENTO RETICULADO NÃO TERMOCONTRATIL COM ADESIVO EM UMA FACE, TEMPERATURA DE OPERAÇÃO MÁXIMA 65°,  KIT COM PRIMER EPÓXI LÍQUIDO COM  100% SOLIDOS ESPESSURA MÍNIMA 100 µm PELICULA SECA,CONSTRUÇÃO EM VALA A CÉU ABERTO DE ACORDO COM NORMA PETROBRAS N 2328</t>
  </si>
  <si>
    <t>G0212</t>
  </si>
  <si>
    <t>MANTA TERMOCONTRATIL, PARA DUTOS  4" COM REVESTIMENTOS DE 3LP3 OU FBE, JUNTA SOLDADA EM CAMPO, DE LARGURA MÍNIMA DE 500MM  E ESPESSURA MÍNIMA DE 0,75MM COMPOSTO POR FILME DE POLIETILENO RETICULADO POR PROCESSO IRRADIAÇÃO, COM ADESIVO DO TIPO HOT MELT EM UMA DAS FACES COM ESPESSURA MÍNIMA DE 1,1 MM, COM MANTA DE SACRIFÍCIO COM FIBRA DE VIDRO COM ESPESSURA MÍNIMA 1,65MM E ADESIVO 1,00MM OU REVESTIMENTO EXTERNO DE EPOXI ANTI-ABRASIVO COM ESPESSURA MÍNIMA DE 0,75MM E ADESIVO DE 1,1 MM COM 150MM DE LARGURA, SELO DE FECHAMENTO RETICULADO NÃO TERMOCONTRATIL ADESIVO EM UMA FACE, TEMPERATURA DE OPERAÇÃO MÁXIMA 80º, KIT COM PRIMER EPÓXI LÍQUIDO COM 100 % SOLIDOS ESPESSURA MÍNIMA 100 µm PELICULA SECA,CONSTRUÇÃO EM FURO DIRECIONAL EM SOLOS ARGILOSOS E SILTES DE ACORDO COMNORMA PETROBRAS N 2328</t>
  </si>
  <si>
    <t>G0199</t>
  </si>
  <si>
    <t>MANTA TERMOCONTRATIL, PARA DUTOS  6"  COM REVESTIMENTOS DE 3LPE OU FBE, JUNTA SOLDADA EM CAMPO, DE LARGURA MÍNIMA  500MM E ESPESSURA MÍNIMA DE 0,75MM COMPOSTO POR FILME DE POLIETILENO RETICULADO POR PROCESSO IRRADIAÇÃO, COM ADESIVO DO TIPO HOT MELT  EM UMA DAS FACES DE ESPESSURA MÍNIMA DE 1,1 MM, SELO DE FECHAMENTO RETICULADO NÃO TERMOCONTRATIL COM ADESIVO EM UMA FACE, TEMPERATURA DE OPERAÇÃO MÁXIMA 65°,  KIT COM PRIMER EPÓXI LÍQUIDO COM 100% SOLIDOS ESPESSURA MÍNIMA 100 µm PELICULA SECA,CONSTRUÇÃO EM VALA A CÉU ABERTO DE ACORDO COM NORMA PETROBRAS N-2328</t>
  </si>
  <si>
    <t>G0214</t>
  </si>
  <si>
    <t>MANTA TERMOCONTRATIL, PARA DUTOS  6" COM REVESTIMENTOS DE 3LP3 OU FBE, JUNTA SOLDADA EM CAMPO, DE LARGURA MÍNIMA DE 500MM  E ESPESSURA MÍNIMA DE 0,75MM COMPOSTO POR FILME DE POLIETILENO RETICULADO POR PROCESSO IRRADIAÇÃO, COM ADESIVO DO TIPO HOT MELT EM UMA DAS FACES COM ESPESSURA MÍNIMA DE 1,1 MM, COM MANTA DE SACRIFÍCIO COM FIBRA DE VIDRO COM ESPESSURA MÍNIMA 1,65MM E ADESIVO 1,00MM OU REVESTIMENTO EXTERNO DE EPOXI ANTI-ABRASIVO COM ESPESSURA MÍNIMA DE 0,75MM E ADESIVO DE 1,1 MM COM 150MM DE LARGURA, SELO DE FECHAMENTO RETICULADO NÃO TERMOCONTRATIL ADESIVO EM UMA FACE, TEMPERATURA DE OPERAÇÃO MÁXIMA 80º, KIT COM PRIMER EPÓXI LÍQUIDO COM 100 % SOLIDOS ESPESSURA MÍNIMA 100 µm PELICULA SECA   CONSTRUÇÃO EM FURO DIRECIONAL EM SOLOS ARGILOSOS E SILTES DE ACORDO COM NORMA PETROBRAS N 2328</t>
  </si>
  <si>
    <t>G0200</t>
  </si>
  <si>
    <t>MANTA TERMOCONTRATIL, PARA DUTOS  8"  COM REVESTIMENTOS DE 3LPE OU FBE, JUNTA SOLDADA EM CAMPO, DE LARGURA MÍNIMA  500MM E ESPESSURA MÍNIMA DE 0,75MM COMPOSTO POR FILME DE POLIETILENO RETICULADO POR PROCESSO IRRADIAÇÃO, COM ADESIVO DO TIPO HOT MELT  EM UMA DAS FACES DE ESPESSURA MÍNIMA DE 1,1 MM, SELO DE FECHAMENTO RETICULADO NÃO TERMOCONTRATIL COM ADESIVO EM UMA FACE, TEMPERATURA DE OPERAÇÃO MÁXIMA 65°,  KIT COM PRIMER EPÓXI LÍQUIDO COM 100% SOLIDOS ESPESSURA MÍNIMA 100 µm PELICULA SECA,CONSTRUÇÃO EM VALA A CÉU ABERTO DE ACORDO COM NORMA PETROBRAS N-2328</t>
  </si>
  <si>
    <t>G0216</t>
  </si>
  <si>
    <t>MANTA TERMOCONTRATIL, PARA DUTOS  8" COM REVESTIMENTOS DE 3LP3 OU FBE, JUNTA SOLDADA EM CAMPO, DE LARGURA MÍNIMA DE 500MM  E ESPESSURA MÍNIMA DE 0,75MM COMPOSTO POR FILME DE POLIETILENO RETICULADO POR PROCESSO IRRADIAÇÃO, COM ADESIVO DO TIPO HOT MELT EM UMA DAS FACES COM ESPESSURA MÍNIMA DE 1,1 MM, COM MANTA DE SACRIFÍCIO COM FIBRA DE VIDRO COM ESPESSURA MÍNIMA 1,65MM E ADESIVO 1,00MM OU REVESTIMENTO EXTERNO DE EPOXI ANTI-ABRASIVO COM ESPESSURA MÍNIMA DE 0,75MM E ADESIVO DE 1,1 MM COM 150MM DE LARGURA, SELO DE FECHAMENTO RETICULADO NÃO TERMOCONTRATIL ADESIVO EM UMA FACE, TEMPERATURA DE OPERAÇÃO MÁXIMA 80º, KIT COM PRIMER EPÓXI LÍQUIDO COM 100 % SOLIDOS ESPESSURA MÍNIMA 100 µm PELICULA SECA   CONSTRUÇÃO EM FURO DIRECIONAL EM SOLOS ARGILOSOS E SILTES DE ACORDO COM NORMA PETROBRAS N 2328</t>
  </si>
  <si>
    <t>G0201</t>
  </si>
  <si>
    <t>MANTA TERMOCONTRATIL, PARA DUTOS 10"  COM REVESTIMENTOS DE 3LPE OU FBE, JUNTA SOLDADA EM CAMPO, DE LARGURA MÍNIMA  500MM E ESPESSURA MÍNIMA DE 0,75MM COMPOSTO POR FILME DE POLIETILENO RETICULADO POR PROCESSO IRRADIAÇÃO, COM ADESIVO DO TIPO HOT MELT  EM UMA DAS FACES DE ESPESSURA MÍNIMA DE 1,1 MM, SELO DE FECHAMENTO RETICULADO NÃO TERMOCONTRATIL COM ADESIVO EM UMA FACE, TEMPERATURA DE OPERAÇÃO MÁXIMA 65°, KIT COM PRIMER EPÓXI LÍQUIDO COM 100% SÓLIDOS ESPESSURA MÍNIMA 100 µm PELICULA SECA, CONSTRUÇÃO EM VALA A CÉU ABERTO DE ACORDO COM NORMA PETROBRAS N-2328</t>
  </si>
  <si>
    <t>G0205</t>
  </si>
  <si>
    <t>MANTA TERMOCONTRATIL, PARA DUTOS 10" COM REVESTIMENTOS DE 3LP3 OU FBE, JUNTA SOLDADA EM CAMPO, DE LARGURA MÍNIMA DE 500MM  E ESPESSURA MÍNIMA DE 0,75MM COMPOSTO POR FILME DE POLIETILENO RETICULADO POR PROCESSO IRRADIAÇÃO, COM ADESIVO DO TIPO HOT MELT EM UMA DAS FACES COM ESPESSURA MÍNIMA DE 1,1 MM, COM MANTA DE SACRIFÍCIO COM FIBRA DE VIDRO COM ESPESSURA MÍNIMA 1,65MM E ADESIVO 1,00MM OU REVESTIMENTO EXTERNO DE EPOXI ANTI-ABRASIVO COM ESPESSURA MÍNIMA DE 0,75MM E ADESIVO DE 1,1 MM COM 150MM DE LARGURA, SELO DE FECHAMENTO RETICULADO NÃO TERMOCONTRATIL ADESIVO EM UMA FACE, TEMPERATURA DE OPERAÇÃO MÁXIMA 80º, KIT COM PRIMER EPÓXI LÍQUIDO COM 100 % SOLIDOS ESPESSURA MÍNIMA 100 µm PELICULA SECA,CONSTRUÇÃO EM FURO DIRECIONAL EM SOLOS ARGILOSOS E SILTES DE ACORDO COM NORMA PETROBRAS N 2328</t>
  </si>
  <si>
    <t>G0206</t>
  </si>
  <si>
    <t>MANTA TERMOCONTRATIL, PARA DUTOS 10" COM REVESTIMENTOS DE 3LP3 OU FBE, JUNTA SOLDADA EM CAMPO, DE LARGURA MÍNIMA DE 500MM E ESPESSURA MÍNIMA DE 1,65MM COMPOSTO POR FILME DE POLIETILENO RETICULADO POR PROCESSO IRRADIAÇÃO  COM REFORÇO DE FIBRA DE VIDRO OU POLIPROPILENO RETICULADO DE 0,85MM COM MANTA DE SACRIFICIO DE  MESMO MATERIAL COM LARGURA  150MM,COM ADESIVO DO TIPO HOT MELT EM UMA DAS FACES DE ESPESSURA MÍNIMA DE 1,00 PRIMEIRO CASO E 1,40 NO SEGUNDO CASO, SELO DE FECHAMENTO RETICULADO NÃO TERMOCONTRATIL ADESIVADO EM UMA FACE, TEMPERATURA DE OPERAÇÃO MÁXIMA 60º,  KIT COM PRIMER EPÓXI LÍQUIDO COM 100 % SOLIDOS ESPESSURA MÍNIMA 100 µm PELICULA SECA, CONSTRUÇÃO EM FURO DIRECIONAL EM SOLOS ARENOSOS E ROCHOSOS DE ACORDO COM NORMA PETROBRAS N 2328</t>
  </si>
  <si>
    <t>G0202</t>
  </si>
  <si>
    <t>MANTA TERMOCONTRATIL, PARA DUTOS 12"  COM REVESTIMENTOS DE 3LPE OU FBE, JUNTA SOLDADA EM CAMPO, DE LARGURA MÍNIMA  500MM E ESPESSURA MÍNIMA DE 0,75MM COMPOSTO POR FILME DE POLIETILENO RETICULADO POR PROCESSO IRRADIAÇÃO, COM ADESIVO DO TIPO HOT MELT  EM UMA DAS FACES DE ESPESSURA MÍNIMA DE 1,1 MM, SELO DE FECHAMENTO RETICULADO NÃO TERMOCONTRATIL COM ADESIVO EM UMA FACE, TEMPERATURA DE OPERAÇÃO MÁXIMA 65º,  KIT COM PRIMER EPÓXI LÍQUIDO COM  100 % SOLIDOS ESPESSURA MÍNIMA 100 µm PELICULA SECA, CONSTRUÇÃO EM VALA A CÉU ABERTO DE ACORDO COM NORMA PETROBRAS N 2328</t>
  </si>
  <si>
    <t>G0207</t>
  </si>
  <si>
    <t>MANTA TERMOCONTRATIL, PARA DUTOS 12" COM REVESTIMENTOS DE 3LP3 OU FBE, JUNTA SOLDADA EM CAMPO, DE LARGURA MÍNIMA DE 500MM  E ESPESSURA MÍNIMA DE 0,75MM COMPOSTO POR FILME DE POLIETILENO RETICULADO POR PROCESSO IRRADIAÇÃO, COM ADESIVO DO TIPO HOT MELT EM UMA DAS FACES COM ESPESSURA MÍNIMA DE 1,1 MM, COM MANTA DE SACRIFÍCIO COM FIBRA DE VIDRO COM ESPESSURA MÍNIMA 1,65MM E ADESIVO 1,00MM OU REVESTIMENTO EXTERNO DE EPOXI ANTI-ABRASIVO COM ESPESSURA MÍNIMA DE 0,75MM E ADESIVO DE 1,1 MM COM 150MM DE LARGURA, SELO DE FECHAMENTO RETICULADO NÃO TERMOCONTRATIL ADESIVO EM UMA FACE, TEMPERATURA DE OPERAÇÃO MÁXIMA 80º, KIT COM PRIMER EPÓXI LÍQUIDO COM 100 % SOLIDOS ESPESSURA MÍNIMA 100 µm PELICULA SECA,CONSTRUÇÃO EM FURO DIRECIONAL EM SOLOS ARGILOSOS E SILTES DE ACORDO COM NORMA PETROBRAS N 2328</t>
  </si>
  <si>
    <t>G0203</t>
  </si>
  <si>
    <t>MANTA TERMOCONTRATIL, PARA DUTOS 12" COM REVESTIMENTOS DE 3LP3 OU FBE, JUNTA SOLDADA EM CAMPO, DE LARGURA MÍNIMA DE 500MM E ESPESSURA MÍNIMA DE 1,65MM COMPOSTO POR FILME DE POLIETILENO RETICULADO POR PROCESSO IRRADIAÇÃO  COM REFORÇO DE FIBRA DE VIDRO OU POLIPROPILENO RETICULADO DE 0,85MM COM MANTA DE SACRIFICIO DE  MESMO MATERIAL COM LARGURA  150MM,COM ADESIVO DO TIPO HOT MELT EM UMA DAS FACES DE ESPESSURA MÍNIMA DE 1,00 PRIMEIRO CASO E 1,40 NO SEGUNDO CASO, SELO DE FECHAMENTO RETICULADO NÃO TERMOCONTRATIL ADESIVADO EM UMA FACE, TEMPERATURA DE OPERAÇÃO MÁXIMA 60º,  KIT COM PRIMER EPÓXI LÍQUIDO COM 100 % SOLIDOS ESPESSURA MÍNIMA 100 µm PELICULA SECA,CONSTRUÇÃO EM FURO DIRECIONAL EM SOLOS ARENOSOS E ROCHOSOS DE ACORDO COM NORMA PETROBRAS N 2328</t>
  </si>
  <si>
    <t>G0213</t>
  </si>
  <si>
    <t>MANTA TERMOCONTRATIL, PARA DUTOS DE  4" COM REVESTIMENTOS DE 3LP3 OU FBE, JUNTA SOLDADA EM CAMPO, DE LARGURA MÍNIMA DE 500MM E ESPESSURA MÍNIMA DE 1,65MM COMPOSTO POR FILME DE POLIETILENO RETICULADO POR PROCESSO IRRADIAÇÃO  COM REFORÇO DE FIBRA DE VIDRO OU POLIPROPILENO RETICULADO DE 0,85MM COM MANTA DE SACRIFICIO DE  MESMO MATERIAL COM LARGURA  150MM,COM ADESIVO DO TIPO HOT MELT EM UMA DAS FACES DE ESPESSURA MÍNIMA DE 1,00 PRIMEIRO CASO E 1,40 NO SEGUNDO CASO, SELO DE FECHAMENTO RETICULADO NÃO TERMOCONTRATIL ADESIVADO EM UMA FACE, TEMPERATURA DE OPERAÇÃO MÁXIMA 60º,  KIT COM PRIMER EPÓXI LÍQUIDO COM 100 % SOLIDOS ESPESSURA MÍNIMA 100 µm PELICULA SECA,CONSTRUÇÃO EM FURO DIRECIONAL EM SOLOS ARENOSOS E ROCHOSOS DE ACORDO COM NORMA PETROBRAS N 2328</t>
  </si>
  <si>
    <t>G0215</t>
  </si>
  <si>
    <t>MANTA TERMOCONTRATIL, PARA DUTOS DE  6" COM REVESTIMENTOS DE 3LP3 OU FBE, JUNTA SOLDADA EM CAMPO, DE LARGURA MÍNIMA DE 500MM E ESPESSURA MÍNIMA DE 1,65MM COMPOSTO POR FILME DE POLIETILENO RETICULADO POR PROCESSO IRRADIAÇÃO  COM REFORÇO DE FIBRA DE VIDRO OU POLIPROPILENO RETICULADO DE 0,85MM COM MANTA DE SACRIFICIO DE  MESMO MATERIAL COM LARGURA  150MM,COM ADESIVO DO TIPO HOT MELT EM UMA DAS FACES DE ESPESSURA MÍNIMA DE 1,00 PRIMEIRO CASO E 1,40 NO SEGUNDO CASO, SELO DE FECHAMENTO RETICULADO NÃO TERMOCONTRATIL ADESIVADO EM UMA FACE, TEMPERATURA DE OPERAÇÃO MÁXIMA 60º,  KIT COM PRIMER EPÓXI LÍQUIDO COM 100 % SOLIDOS ESPESSURA MÍNIMA 100 µm PELICULA SECA, CONSTRUÇÃO EM FURO DIRECIONAL EM SOLOS ARENOSOS E ROCHOSOS DE ACORDO COM NORMA PETROBRAS N 2328</t>
  </si>
  <si>
    <t>G0217</t>
  </si>
  <si>
    <t>MANTA TERMOCONTRATIL, PARA DUTOS DE  8" COM REVESTIMENTOS DE 3LP3 OU FBE, JUNTA SOLDADA EM CAMPO, DE LARGURA MÍNIMA DE 500MM E ESPESSURA MÍNIMA DE 1,65MM COMPOSTO POR FILME DE POLIETILENO RETICULADO POR PROCESSO IRRADIAÇÃO  COM REFORÇO DE FIBRA DE VIDRO OU POLIPROPILENO RETICULADO DE 0,85MM COM MANTA DE SACRIFICIO DE  MESMO MATERIAL COM LARGURA  150MM,COM ADESIVO DO TIPO HOT MELT EM UMA DAS FACES DE ESPESSURA MÍNIMA DE 1,00 PRIMEIRO CASO E 1,40 NO SEGUNDO CASO, SELO DE FECHAMENTO RETICULADO NÃO TERMOCONTRATIL ADESIVADO EM UMA FACE, TEMPERATURA DE OPERAÇÃO MÁXIMA 60º,  KIT COM PRIMER EPÓXI LÍQUIDO COM 100 % SOLIDOS ESPESSURA MÍNIMA 100 µm PELICULA SECA, CONSTRUÇÃO EM FURO DIRECIONAL EM SOLOS ARENOSOS E ROCHOSOS DE ACORDO COM NORMA PETROBRAS N 2328</t>
  </si>
  <si>
    <t>G0668</t>
  </si>
  <si>
    <t>MARRETA OITAVADA EM AÇO REFERÊNCIA: 2.000G</t>
  </si>
  <si>
    <t>G0669</t>
  </si>
  <si>
    <t>MARTELO TIPO PENA EM AÇO REFERÊNCIA: 800G</t>
  </si>
  <si>
    <t>G0218</t>
  </si>
  <si>
    <t>MASTIQUE (ELASTOMÉRICO) DE PREENCHIMENTO PARA 3LP3 DE ESPESSURA DE 3,00MM LARGURA  50MM, N2911, COMPATÍVEL PARA FURO DIRECIONAL E VALA A CÉU ABERTO</t>
  </si>
  <si>
    <t>G0572</t>
  </si>
  <si>
    <t>MEDIDOR PARA GÁS NATURAL TIPO DIAFRAGMA G0.6</t>
  </si>
  <si>
    <t>G0573</t>
  </si>
  <si>
    <t>MEDIDOR PARA GÁS NATURAL TIPO DIAFRAGMA G1.6</t>
  </si>
  <si>
    <t>G0577</t>
  </si>
  <si>
    <t>MEDIDOR PARA GÁS NATURAL TIPO DIAFRAGMA G10</t>
  </si>
  <si>
    <t>G0578</t>
  </si>
  <si>
    <t>MEDIDOR PARA GÁS NATURAL TIPO DIAFRAGMA G16</t>
  </si>
  <si>
    <t>G0574</t>
  </si>
  <si>
    <t>MEDIDOR PARA GÁS NATURAL TIPO DIAFRAGMA G2.5</t>
  </si>
  <si>
    <t>G0575</t>
  </si>
  <si>
    <t>MEDIDOR PARA GÁS NATURAL TIPO DIAFRAGMA G4</t>
  </si>
  <si>
    <t>G0576</t>
  </si>
  <si>
    <t>MEDIDOR PARA GÁS NATURAL TIPO DIAFRAGMA G6</t>
  </si>
  <si>
    <t>G0586</t>
  </si>
  <si>
    <t>MEDIDOR PARA GÁS NATURAL TIPO ROTATIVO G10 DN50 L171</t>
  </si>
  <si>
    <t>G0585</t>
  </si>
  <si>
    <t>MEDIDOR PARA GÁS NATURAL TIPO ROTATIVO G100 DN50 L171</t>
  </si>
  <si>
    <t>G0588</t>
  </si>
  <si>
    <t>MEDIDOR PARA GÁS NATURAL TIPO ROTATIVO G100 DN80 L171</t>
  </si>
  <si>
    <t>G0590</t>
  </si>
  <si>
    <t>MEDIDOR PARA GÁS NATURAL TIPO ROTATIVO G1000 DN200 L600</t>
  </si>
  <si>
    <t>G0600</t>
  </si>
  <si>
    <t>MEDIDOR PARA GÁS NATURAL TIPO ROTATIVO G1000 DN250 L750</t>
  </si>
  <si>
    <t>G0581</t>
  </si>
  <si>
    <t>MEDIDOR PARA GÁS NATURAL TIPO ROTATIVO G16, DN50, COMPRIMENTO DE 171MM</t>
  </si>
  <si>
    <t>G0589</t>
  </si>
  <si>
    <t>MEDIDOR PARA GÁS NATURAL TIPO ROTATIVO G160 DN80 L171</t>
  </si>
  <si>
    <t>G0593</t>
  </si>
  <si>
    <t>MEDIDOR PARA GÁS NATURAL TIPO ROTATIVO G160 DN80 L241</t>
  </si>
  <si>
    <t>G0591</t>
  </si>
  <si>
    <t>MEDIDOR PARA GÁS NATURAL TIPO ROTATIVO G1600 DN200 L600</t>
  </si>
  <si>
    <t>G0601</t>
  </si>
  <si>
    <t>MEDIDOR PARA GÁS NATURAL TIPO ROTATIVO G1600 DN250 L750</t>
  </si>
  <si>
    <t>G0582</t>
  </si>
  <si>
    <t>MEDIDOR PARA GÁS NATURAL TIPO ROTATIVO G25 DN50 L171</t>
  </si>
  <si>
    <t>G0583</t>
  </si>
  <si>
    <t>MEDIDOR PARA GÁS NATURAL TIPO ROTATIVO G40 DN50 L171</t>
  </si>
  <si>
    <t>G0579</t>
  </si>
  <si>
    <t>MEDIDOR PARA GÁS NATURAL TIPO ROTATIVO G65 DN50 L150</t>
  </si>
  <si>
    <t>G0584</t>
  </si>
  <si>
    <t>MEDIDOR PARA GÁS NATURAL TIPO ROTATIVO G65 DN50 L171</t>
  </si>
  <si>
    <t>G0587</t>
  </si>
  <si>
    <t>MEDIDOR PARA GÁS NATURAL TIPO ROTATIVO G65 DN80 L171</t>
  </si>
  <si>
    <t>G0592</t>
  </si>
  <si>
    <t>MEDIDOR PARA GÁS NATURAL TIPO ROTATIVO G65 DN80 L240</t>
  </si>
  <si>
    <t>G0598</t>
  </si>
  <si>
    <t>MEDIDOR PARA GÁS NATURAL TIPO TURBINA G1000 DN150 L450</t>
  </si>
  <si>
    <t>G0594</t>
  </si>
  <si>
    <t>MEDIDOR PARA GÁS NATURAL TIPO TURBINA G160 DN100 L300</t>
  </si>
  <si>
    <t>G0595</t>
  </si>
  <si>
    <t>MEDIDOR PARA GÁS NATURAL TIPO TURBINA G250 DN100 L300</t>
  </si>
  <si>
    <t>G0596</t>
  </si>
  <si>
    <t>MEDIDOR PARA GÁS NATURAL TIPO TURBINA G400 DN150 L450</t>
  </si>
  <si>
    <t>G0580</t>
  </si>
  <si>
    <t>MEDIDOR PARA GÁS NATURAL TIPO TURBINA G65 DN50 L150</t>
  </si>
  <si>
    <t>G0597</t>
  </si>
  <si>
    <t>MEDIDOR PARA GÁS NATURAL TIPO TURBINA G650 DN150 L450</t>
  </si>
  <si>
    <t>G0599</t>
  </si>
  <si>
    <t>MEDIDOR PARA GÁS NATURAL TIPO TURBINA G650 DN200 L600</t>
  </si>
  <si>
    <t>G0219</t>
  </si>
  <si>
    <t>MEIA LUVA  1/2", 3000#, ES (ENCAIXE DE SOLDA), AFO, ASTM A105, ANSI B16.11</t>
  </si>
  <si>
    <t>G0222</t>
  </si>
  <si>
    <t>MEIA LUVA  1/2", 3000#, NPT, AFO, ASTM A105, ANSI B16.11</t>
  </si>
  <si>
    <t>G0220</t>
  </si>
  <si>
    <t>MEIA LUVA  3/4", 3000#, ES (ENCAIXE DE SOLDA), AFO, ASTM A105, ANSI B16.11</t>
  </si>
  <si>
    <t>G0223</t>
  </si>
  <si>
    <t>MEIA LUVA  3/4", 3000#, NPT, AFO, ASTM A105, ANSI B16.11</t>
  </si>
  <si>
    <t>G0221</t>
  </si>
  <si>
    <t>MEIA LUVA 1", 3000#, ES (ENCAIXE DE SOLDA) AFO, ASTM A105, ANSI B16.11</t>
  </si>
  <si>
    <t>G0224</t>
  </si>
  <si>
    <t>MEIA LUVA 1", 3000#, NPT, AFO,ASTM A105, ANSI B16.11</t>
  </si>
  <si>
    <t>G0820</t>
  </si>
  <si>
    <t>MÁQUINA DE SOLDA UNIVERSAL PARA ELETROFUSÃO PEAD</t>
  </si>
  <si>
    <t>G0750</t>
  </si>
  <si>
    <t>NIPLE DE REDUCAO, DN 1 1/2"X1", NORMA DE FABRICAÇÃO: NBR 6943; MATERIAL: NBR 6590, FERRO MALEÁVEL PRETO;ROSCA: BSP NBR NM ISO 7-1 RC; PROTEÇÃO SUPERFICIAL: GALVANIZADO A FOGO NBR 6323</t>
  </si>
  <si>
    <t>G0749</t>
  </si>
  <si>
    <t>NIPLE DE REDUCAO, DN 1 1/4"X1", NORMA DE FABRICAÇÃO: NBR 6943; MATERIAL: NBR 6590, FERRO MALEÁVEL PRETO;ROSCA: BSP NBR NM ISO 7-1 RC; PROTEÇÃO SUPERFICIAL: GALVANIZADO A FOGO NBR 6323</t>
  </si>
  <si>
    <t>G0225</t>
  </si>
  <si>
    <t>NIPLE DUPLO CÔNICO SEXTAVADO  1/2", 3000#, RO, AFO, NPT, ASTM A105, ANSI B16.11</t>
  </si>
  <si>
    <t>G0226</t>
  </si>
  <si>
    <t>NIPLE DUPLO CÔNICO SEXTAVADO  3/4", 3000#, RO, AFO, NPT, ASTM A105, ANSI B16.11</t>
  </si>
  <si>
    <t>G0227</t>
  </si>
  <si>
    <t>NIPLE DUPLO CÔNICO SEXTAVADO 1", 3000#, RO, AFO, NPT, ASTM A105, ANSI B16.11</t>
  </si>
  <si>
    <t>G0751</t>
  </si>
  <si>
    <t>NIPLE DUPLO DE REDUCAO, 1 1/2"X1 1/4", NORMA DE FABRICAÇÃO: NBR 6943; MATERIAL: NBR 6590, FERRO MALEÁVEL PRETO;ROSCA: BSP NBR NM ISO 7-1 RC; PROTEÇÃO SUPERFICIAL: GALVANIZADO A FOGO NBR 6323</t>
  </si>
  <si>
    <t>G0747</t>
  </si>
  <si>
    <t>NIPLE DUPLO DE REDUCAO, 1" X 3/4", NORMA DE FABRICAÇÃO: NBR 6943; MATERIAL: NBR 6590, FERRO MALEÁVEL PRETO;ROSCA: BSP NBR NM ISO 7-1 RC; PROTEÇÃO SUPERFICIAL: GALVANIZADO A FOGO NBR 6323</t>
  </si>
  <si>
    <t>G0748</t>
  </si>
  <si>
    <t>NIPLE DUPLO REDUCAO, DN 1 1/4"X3/4", NORMA DE FABRICAÇÃO: NBR 6943; MATERIAL: NBR 6590, FERRO MALEÁVEL PRETO;ROSCA: BSP NBR NM ISO 7-1 RC; PROTEÇÃO SUPERFICIAL: GALVANIZADO A FOGO NBR 6323</t>
  </si>
  <si>
    <t>G0746</t>
  </si>
  <si>
    <t>NIPLE DUPLO REDUCAO, DN 1/2"X1/4", NORMA DE FABRICAÇÃO: NBR 6943; MATERIAL: NBR 6590, FERRO MALEÁVEL PRETO;ROSCA: BSP NBR NM ISO 7-1 RC; PROTEÇÃO SUPERFICIAL: GALVANIZADO A FOGO NBR 6323</t>
  </si>
  <si>
    <t>G0755</t>
  </si>
  <si>
    <t>NIPLE DUPLO, DN 1 1/4", NORMA DE FABRICAÇÃO: NBR 6943; MATERIAL: NBR 6590, FERRO MALEÁVEL PRETO;ROSCA: BSP NBR NM ISO 7-1 RC; PROTEÇÃO SUPERFICIAL: GALVANIZADO A FOGO NBR 6323</t>
  </si>
  <si>
    <t>G0754</t>
  </si>
  <si>
    <t>NIPLE DUPLO, DN 1", NORMA DE FABRICAÇÃO: NBR 6943; MATERIAL: NBR 6590, FERRO MALEÁVEL PRETO;ROSCA: BSP NBR NM ISO 7-1 RC; PROTEÇÃO SUPERFICIAL: GALVANIZADO A FOGO NBR 6323</t>
  </si>
  <si>
    <t>G0752</t>
  </si>
  <si>
    <t>NIPLE DUPLO, DN 1/2", NORMA DE FABRICAÇÃO: NBR 6943; MATERIAL: NBR 6590, FERRO MALEÁVEL PRETO;ROSCA: BSP NBR NM ISO 7-1 RC; PROTEÇÃO SUPERFICIAL: GALVANIZADO A FOGO NBR 6323</t>
  </si>
  <si>
    <t>G0753</t>
  </si>
  <si>
    <t>NIPLE DUPLO, DN 3/4", NORMA DE FABRICAÇÃO: NBR 6943; MATERIAL: NBR 6590, FERRO MALEÁVEL PRETO;ROSCA: BSP NBR NM ISO 7-1 RC; PROTEÇÃO SUPERFICIAL: GALVANIZADO A FOGO NBR 6323</t>
  </si>
  <si>
    <t>G0228</t>
  </si>
  <si>
    <t>NITROGÊNIO</t>
  </si>
  <si>
    <t>G0230</t>
  </si>
  <si>
    <t>PARAFUSO DE TIPO ESTOJO; MATERIAL DO ESTOJO: ASTM A193 GR B7; TIPO DE ROSCA DO ESTOJO: ASME B1.1 UNC 2A; TIPO DE ROSCA DA PORCA: ASME B1.1 UNC 2B; QUANTIDADE DE PORCAS PARA CADA ESTOJO: 02 (DUAS); TIPO DE PORCAS: SEXTAVADAS, SÉRIE PESADA, ASTM A194 GR 2H; DIÂMETRO DO ESTOJO: 5/8”; COMPRIMENTO DO ESTOJO: 3 ½”; PARA USO EM FLANGES DE 2”</t>
  </si>
  <si>
    <t>G0231</t>
  </si>
  <si>
    <t>PARAFUSO DE TIPO ESTOJO; MATERIAL DO ESTOJO: ASTM A193 GR B7; TIPO DE ROSCA DO ESTOJO: ASME B1.1 UNC 2A; TIPO DE ROSCA DA PORCA: ASME B1.1 UNC 2B; QUANTIDADE DE PORCAS PARA CADA ESTOJO: 02 (DUAS); TIPO DE PORCAS: SEXTAVADAS, SÉRIE PESADA, ASTM A194 GR 2H; DIÂMETRO DO ESTOJO: 5/8”; COMPRIMENTO DO ESTOJO: 4”; PARA USO EM FLANGES DE 3”</t>
  </si>
  <si>
    <t>G0232</t>
  </si>
  <si>
    <t>PARAFUSO DE TIPO ESTOJO; MATERIAL DO ESTOJO: ASTM A193 GR B7; TIPO DE ROSCA DO ESTOJO: ASME B1.1 UNC 2A; TIPO DE ROSCA DA PORCA: ASME B1.1 UNC 2B; QUANTIDADE DE PORCAS PARA CADA ESTOJO: 02 (DUAS); TIPO DE PORCAS: SEXTAVADAS, SÉRIE PESADA, ASTM A194 GR 2H; DIÂMETRO DO ESTOJO: 5/8”; COMPRIMENTO DO ESTOJO: 4”; PARA USO EM FLANGES DE 4”</t>
  </si>
  <si>
    <t>G0235</t>
  </si>
  <si>
    <t>PARAFUSO DE TIPO ESTOJO; MATERIAL DO ESTOJO: ASTM A193 GR B7; TIPO DE ROSCA DO ESTOJO: ASME B1.1 UNC 2A; TIPO DE ROSCA DA PORCA: ASME B1.1 UNC 2B; QUANTIDADE DE PORCAS PARA CADA ESTOJO: 02 (DUAS); TIPO DE PORCAS: SEXTAVADAS, SÉRIE PESADA, ASTM A194 GR 2H; DIÂMETRO DO ESTOJO: 7/8”; COMPRIMENTO DO ESTOJO: 5”; PARA USO EM FLANGES DE 10”</t>
  </si>
  <si>
    <t>G0236</t>
  </si>
  <si>
    <t>PARAFUSO DE TIPO ESTOJO; MATERIAL DO ESTOJO: ASTM A193 GR B7; TIPO DE ROSCA DO ESTOJO: ASME B1.1 UNC 2A; TIPO DE ROSCA DA PORCA: ASME B1.1 UNC 2B; QUANTIDADE DE PORCAS PARA CADA ESTOJO: 02 (DUAS); TIPO DE PORCAS: SEXTAVADAS, SÉRIE PESADA, ASTM A194 GR 2H; DIÂMETRO DO ESTOJO: 7/8”; COMPRIMENTO DO ESTOJO: 5”; PARA USO EM FLANGES DE 12”</t>
  </si>
  <si>
    <t>G0234</t>
  </si>
  <si>
    <t>PARAFUSO DE TIPO ESTOJO; MATERIAL DO ESTOJO: ASTM A193 GR B7; TIPO DE ROSCA DO ESTOJO: ASME B1.1 UNC 2A; TIPO DE ROSCA DA PORCA: ASME B1.1 UNC 2B; QUANTIDADE DE PORCAS PARA CADA ESTOJO: 02 (DUAS); TIPO DE PORCAS: SEXTAVADAS, SÉRIE PESADA, ASTM A194 GR 2H; DIÂMETRO DO ESTOJO: ¾”; COMPRIMENTO DO ESTOJO: 4 ½”; PARA USO EM FLANGES DE 8”</t>
  </si>
  <si>
    <t>G0233</t>
  </si>
  <si>
    <t>PARAFUSO DE TIPO ESTOJO; MATERIAL DO ESTOJO: ASTM A193 GR B7; TIPO DE ROSCA DO ESTOJO: ASME B1.1 UNC 2A; TIPO DE ROSCA DA PORCA: ASME B1.1 UNC 2B; QUANTIDADE DE PORCAS PARA CADA ESTOJO: 02 (DUAS); TIPO DE PORCAS: SEXTAVADAS, SÉRIE PESADA, ASTM A194 GR 2H; DIÂMETRO DO ESTOJO: ¾”; COMPRIMENTO DO ESTOJO: 4”; PARA USO EM FLANGES DE 6”</t>
  </si>
  <si>
    <t>G0563</t>
  </si>
  <si>
    <t>PIG EM ESPUMA DE POLIURETANO, CÉLULAS ABERTAS, ALTA RESISTÊNCIA E ALTA DENSIDADE, CORPO COM FORMATO DE PROJÉTIL, REVESTIDO COM PRÉ-POLÍMEROS, PARA DUTO COM DIÂMETRO NOMINAL DE 10"</t>
  </si>
  <si>
    <t>G0564</t>
  </si>
  <si>
    <t>PIG EM ESPUMA DE POLIURETANO, CÉLULAS ABERTAS, ALTA RESISTÊNCIA E ALTA DENSIDADE, CORPO COM FORMATO DE PROJÉTIL, REVESTIDO COM PRÉ-POLÍMEROS, PARA DUTO COM DIÂMETRO NOMINAL DE 12"</t>
  </si>
  <si>
    <t>G0558</t>
  </si>
  <si>
    <t>PIG EM ESPUMA DE POLIURETANO, CÉLULAS ABERTAS, ALTA RESISTÊNCIA E ALTA DENSIDADE, CORPO COM FORMATO DE PROJÉTIL, REVESTIDO COM PRÉ-POLÍMEROS, PARA DUTO COM DIÂMETRO NOMINAL DE 2"</t>
  </si>
  <si>
    <t>G0559</t>
  </si>
  <si>
    <t>PIG EM ESPUMA DE POLIURETANO, CÉLULAS ABERTAS, ALTA RESISTÊNCIA E ALTA DENSIDADE, CORPO COM FORMATO DE PROJÉTIL, REVESTIDO COM PRÉ-POLÍMEROS, PARA DUTO COM DIÂMETRO NOMINAL DE 3"</t>
  </si>
  <si>
    <t>G0560</t>
  </si>
  <si>
    <t>PIG EM ESPUMA DE POLIURETANO, CÉLULAS ABERTAS, ALTA RESISTÊNCIA E ALTA DENSIDADE, CORPO COM FORMATO DE PROJÉTIL, REVESTIDO COM PRÉ-POLÍMEROS, PARA DUTO COM DIÂMETRO NOMINAL DE 4"</t>
  </si>
  <si>
    <t>G0561</t>
  </si>
  <si>
    <t>PIG EM ESPUMA DE POLIURETANO, CÉLULAS ABERTAS, ALTA RESISTÊNCIA E ALTA DENSIDADE, CORPO COM FORMATO DE PROJÉTIL, REVESTIDO COM PRÉ-POLÍMEROS, PARA DUTO COM DIÂMETRO NOMINAL DE 6"</t>
  </si>
  <si>
    <t>G0562</t>
  </si>
  <si>
    <t>PIG EM ESPUMA DE POLIURETANO, CÉLULAS ABERTAS, ALTA RESISTÊNCIA E ALTA DENSIDADE, CORPO COM FORMATO DE PROJÉTIL, REVESTIDO COM PRÉ-POLÍMEROS, PARA DUTO COM DIÂMETRO NOMINAL DE 8"</t>
  </si>
  <si>
    <t>G0237</t>
  </si>
  <si>
    <t>PIG ESPUMA LIMPEZA LEVE, INVESTIGAÇÃO E SECAGEM PARA TUBO DE  63 MM EM ESPUMA DE POLIURETANO DE CELULAS ABERTAS, ALTA RESISTÊNCIA, BAIXA DENSIDADE , FORMADO PRÓJETIL,DIÂMETRO EFETIVO DE 60 MM X 120 MM, TOLERÂNCIA DE 2%</t>
  </si>
  <si>
    <t>G0238</t>
  </si>
  <si>
    <t>PIG ESPUMA LIMPEZA LEVE, INVESTIGAÇÃO E SECAGEM PARA TUBO DE  90 MMEM ESPUMA DE POLIURETANO DE CELULAS ABERTAS, ALTA RESISTÊNCIA, BAIXA DENSIDADE , FORMADO PRÓJETIL,DIÂMETRO EFETIVO DE 81 MM X 160 MM, TOLERÂNCIA DE 2%</t>
  </si>
  <si>
    <t>G0239</t>
  </si>
  <si>
    <t>PIG ESPUMA LIMPEZA LEVE, INVESTIGAÇÃO E SECAGEM PARA TUBO DE 110 MMEM ESPUMA DE POLIURETANO DE CELULAS ABERTAS, ALTA RESISTÊNCIA, BAIXA DENSIDADE , FORMADO PRÓJETIL,DIÂMETRO EFETIVO DE 106 MM X 210 MM, TOLERÂNCIA DE 2%</t>
  </si>
  <si>
    <t>G0240</t>
  </si>
  <si>
    <t>PIG ESPUMA LIMPEZA, REMOÇÃO DE LÍQUIDOS E DESLOCAMENTO DE PRODUTOS PARA TUBO DE  63MMEM ESPUMA DE POLIURETANO DE CELULAS ABERTAS, ALTA RESISTÊNCIA, BAIXA DENSIDADE, REVESTIDO COM PRÉ-POLÍMEROS FORMADO PRÓJETIL, DIÂMETRO EFETIVO DE 60MM X 120MM, TOLERÂNCIA DE 2%</t>
  </si>
  <si>
    <t>G0241</t>
  </si>
  <si>
    <t>PIG ESPUMA LIMPEZA, REMOÇÃO DE LÍQUIDOS E DESLOCAMENTO DE PRODUTOS PARA TUBO DE  90MMEM ESPUMA DE POLIURETANO DE CELULAS ABERTAS, ALTA RESISTÊNCIA, BAIXA DENSIDADE, REVESTIDO COM PRÉ-POLÍMEROS FORMADO PRÓJETIL, DIÂMETRO EFETIVO DE 78MM X150MM, TOLERÂNCIA DE 2%</t>
  </si>
  <si>
    <t>G0242</t>
  </si>
  <si>
    <t>PIG ESPUMA LIMPEZA, REMOÇÃO DE LÍQUIDOS E DESLOCAMENTO DE PRODUTOS PARA TUBO DE 110MMEM ESPUMA DE POLIURETANO DE CELULAS ABERTAS, ALTA RESISTÊNCIA, BAIXA DENSIDADE, REVESTIDO COM PRÉ-POLÍMEROS FORMADO PRÓJETIL, DIÂMETRO EFETIVO DE 106MM X200MM, TOLERÂNCIA DE 2%</t>
  </si>
  <si>
    <t>G0514</t>
  </si>
  <si>
    <t>PIG FABRICADO EM POLIURETANO, CÉLULAS ABERTAS, ALTA RESISTÊNCIA E ALTA DENSIDADE, CORPO COM FORMATO DE PROJÉTIL, PROVIDO DE SELO DE VEDAÇÃO NA PARTE TRASEIRA, PARA DUTO COM DIÂMETRO NOMINAL DE 10"</t>
  </si>
  <si>
    <t>G0515</t>
  </si>
  <si>
    <t>PIG FABRICADO EM POLIURETANO, CÉLULAS ABERTAS, ALTA RESISTÊNCIA E ALTA DENSIDADE, CORPO COM FORMATO DE PROJÉTIL, PROVIDO DE SELO DE VEDAÇÃO NA PARTE TRASEIRA, PARA DUTO COM DIÂMETRO NOMINAL DE 12"</t>
  </si>
  <si>
    <t>G0509</t>
  </si>
  <si>
    <t>PIG FABRICADO EM POLIURETANO, CÉLULAS ABERTAS, ALTA RESISTÊNCIA E ALTA DENSIDADE, CORPO COM FORMATO DE PROJÉTIL, PROVIDO DE SELO DE VEDAÇÃO NA PARTE TRASEIRA, PARA DUTO COM DIÂMETRO NOMINAL DE 2"</t>
  </si>
  <si>
    <t>G0510</t>
  </si>
  <si>
    <t>PIG FABRICADO EM POLIURETANO, CÉLULAS ABERTAS, ALTA RESISTÊNCIA E ALTA DENSIDADE, CORPO COM FORMATO DE PROJÉTIL, PROVIDO DE SELO DE VEDAÇÃO NA PARTE TRASEIRA, PARA DUTO COM DIÂMETRO NOMINAL DE 3"</t>
  </si>
  <si>
    <t>G0511</t>
  </si>
  <si>
    <t>PIG FABRICADO EM POLIURETANO, CÉLULAS ABERTAS, ALTA RESISTÊNCIA E ALTA DENSIDADE, CORPO COM FORMATO DE PROJÉTIL, PROVIDO DE SELO DE VEDAÇÃO NA PARTE TRASEIRA, PARA DUTO COM DIÂMETRO NOMINAL DE 4"</t>
  </si>
  <si>
    <t>G0512</t>
  </si>
  <si>
    <t>PIG FABRICADO EM POLIURETANO, CÉLULAS ABERTAS, ALTA RESISTÊNCIA E ALTA DENSIDADE, CORPO COM FORMATO DE PROJÉTIL, PROVIDO DE SELO DE VEDAÇÃO NA PARTE TRASEIRA, PARA DUTO COM DIÂMETRO NOMINAL DE 6"</t>
  </si>
  <si>
    <t>G0513</t>
  </si>
  <si>
    <t>PIG FABRICADO EM POLIURETANO, CÉLULAS ABERTAS, ALTA RESISTÊNCIA E ALTA DENSIDADE, CORPO COM FORMATO DE PROJÉTIL, PROVIDO DE SELO DE VEDAÇÃO NA PARTE TRASEIRA, PARA DUTO COM DIÂMETRO NOMINAL DE 8"</t>
  </si>
  <si>
    <t>G0535</t>
  </si>
  <si>
    <t>PIG FABRICADO EM POLIURETANO, CÉLULAS ABERTAS, ALTA RESISTÊNCIA E BAIXA DENSIDADE DE 26 A 30KG/M3, CORPO COM FORMATO DE PROJÉTIL, PROVIDO DE SELO DE VEDAÇÃO NA PARTE TRASEIRA, PARA DUTO COM DIÂMETRO NOMINAL DE 10"</t>
  </si>
  <si>
    <t>G0536</t>
  </si>
  <si>
    <t>PIG FABRICADO EM POLIURETANO, CÉLULAS ABERTAS, ALTA RESISTÊNCIA E BAIXA DENSIDADE DE 26 A 30KG/M3, CORPO COM FORMATO DE PROJÉTIL, PROVIDO DE SELO DE VEDAÇÃO NA PARTE TRASEIRA, PARA DUTO COM DIÂMETRO NOMINAL DE 12"</t>
  </si>
  <si>
    <t>G0530</t>
  </si>
  <si>
    <t>PIG FABRICADO EM POLIURETANO, CÉLULAS ABERTAS, ALTA RESISTÊNCIA E BAIXA DENSIDADE DE 26 A 30KG/M3, CORPO COM FORMATO DE PROJÉTIL, PROVIDO DE SELO DE VEDAÇÃO NA PARTE TRASEIRA, PARA DUTO COM DIÂMETRO NOMINAL DE 2"</t>
  </si>
  <si>
    <t>G0531</t>
  </si>
  <si>
    <t>PIG FABRICADO EM POLIURETANO, CÉLULAS ABERTAS, ALTA RESISTÊNCIA E BAIXA DENSIDADE DE 26 A 30KG/M3, CORPO COM FORMATO DE PROJÉTIL, PROVIDO DE SELO DE VEDAÇÃO NA PARTE TRASEIRA, PARA DUTO COM DIÂMETRO NOMINAL DE 3"</t>
  </si>
  <si>
    <t>G0532</t>
  </si>
  <si>
    <t>PIG FABRICADO EM POLIURETANO, CÉLULAS ABERTAS, ALTA RESISTÊNCIA E BAIXA DENSIDADE DE 26 A 30KG/M3, CORPO COM FORMATO DE PROJÉTIL, PROVIDO DE SELO DE VEDAÇÃO NA PARTE TRASEIRA, PARA DUTO COM DIÂMETRO NOMINAL DE 4"</t>
  </si>
  <si>
    <t>G0533</t>
  </si>
  <si>
    <t>PIG FABRICADO EM POLIURETANO, CÉLULAS ABERTAS, ALTA RESISTÊNCIA E BAIXA DENSIDADE DE 26 A 30KG/M3, CORPO COM FORMATO DE PROJÉTIL, PROVIDO DE SELO DE VEDAÇÃO NA PARTE TRASEIRA, PARA DUTO COM DIÂMETRO NOMINAL DE 6"</t>
  </si>
  <si>
    <t>G0534</t>
  </si>
  <si>
    <t>PIG FABRICADO EM POLIURETANO, CÉLULAS ABERTAS, ALTA RESISTÊNCIA E BAIXA DENSIDADE DE 26 A 30KG/M3, CORPO COM FORMATO DE PROJÉTIL, PROVIDO DE SELO DE VEDAÇÃO NA PARTE TRASEIRA, PARA DUTO COM DIÂMETRO NOMINAL DE 8"</t>
  </si>
  <si>
    <t>G0528</t>
  </si>
  <si>
    <t>PIG FABRICADO EM POLIURETANO, CÉLULAS ABERTAS, ALTA RESISTÊNCIA E BAIXA DENSIDADE DE 40 A 50KG/M3, CORPO COM FORMATO DE PROJÉTIL, PROVIDO DE SELO DE VEDAÇÃO NA PARTE TRASEIRA, PARA DUTO COM DIÂMETRO NOMINAL DE 10"</t>
  </si>
  <si>
    <t>G0529</t>
  </si>
  <si>
    <t>PIG FABRICADO EM POLIURETANO, CÉLULAS ABERTAS, ALTA RESISTÊNCIA E BAIXA DENSIDADE DE 40 A 50KG/M3, CORPO COM FORMATO DE PROJÉTIL, PROVIDO DE SELO DE VEDAÇÃO NA PARTE TRASEIRA, PARA DUTO COM DIÂMETRO NOMINAL DE 12"</t>
  </si>
  <si>
    <t>G0523</t>
  </si>
  <si>
    <t>PIG FABRICADO EM POLIURETANO, CÉLULAS ABERTAS, ALTA RESISTÊNCIA E BAIXA DENSIDADE DE 40 A 50KG/M3, CORPO COM FORMATO DE PROJÉTIL, PROVIDO DE SELO DE VEDAÇÃO NA PARTE TRASEIRA, PARA DUTO COM DIÂMETRO NOMINAL DE 2"</t>
  </si>
  <si>
    <t>G0524</t>
  </si>
  <si>
    <t>PIG FABRICADO EM POLIURETANO, CÉLULAS ABERTAS, ALTA RESISTÊNCIA E BAIXA DENSIDADE DE 40 A 50KG/M3, CORPO COM FORMATO DE PROJÉTIL, PROVIDO DE SELO DE VEDAÇÃO NA PARTE TRASEIRA, PARA DUTO COM DIÂMETRO NOMINAL DE 3"</t>
  </si>
  <si>
    <t>G0525</t>
  </si>
  <si>
    <t>PIG FABRICADO EM POLIURETANO, CÉLULAS ABERTAS, ALTA RESISTÊNCIA E BAIXA DENSIDADE DE 40 A 50KG/M3, CORPO COM FORMATO DE PROJÉTIL, PROVIDO DE SELO DE VEDAÇÃO NA PARTE TRASEIRA, PARA DUTO COM DIÂMETRO NOMINAL DE 4"</t>
  </si>
  <si>
    <t>G0526</t>
  </si>
  <si>
    <t>PIG FABRICADO EM POLIURETANO, CÉLULAS ABERTAS, ALTA RESISTÊNCIA E BAIXA DENSIDADE DE 40 A 50KG/M3, CORPO COM FORMATO DE PROJÉTIL, PROVIDO DE SELO DE VEDAÇÃO NA PARTE TRASEIRA, PARA DUTO COM DIÂMETRO NOMINAL DE 6"</t>
  </si>
  <si>
    <t>G0527</t>
  </si>
  <si>
    <t>PIG FABRICADO EM POLIURETANO, CÉLULAS ABERTAS, ALTA RESISTÊNCIA E BAIXA DENSIDADE DE 40 A 50KG/M3, CORPO COM FORMATO DE PROJÉTIL, PROVIDO DE SELO DE VEDAÇÃO NA PARTE TRASEIRA, PARA DUTO COM DIÂMETRO NOMINAL DE 8"</t>
  </si>
  <si>
    <t>G0521</t>
  </si>
  <si>
    <t>PIG FABRICADO EM POLIURETANO, CÉLULAS ABERTAS, ALTA RESISTÊNCIA E MÉDIA DENSIDADE, CORPO COM FORMATO DE PROJÉTIL, PROVIDO DE SELO DE VEDAÇÃO NA PARTE TRASEIRA, PARA DUTO COM DIÂMETRO NOMINAL DE 10"</t>
  </si>
  <si>
    <t>G0522</t>
  </si>
  <si>
    <t>PIG FABRICADO EM POLIURETANO, CÉLULAS ABERTAS, ALTA RESISTÊNCIA E MÉDIA DENSIDADE, CORPO COM FORMATO DE PROJÉTIL, PROVIDO DE SELO DE VEDAÇÃO NA PARTE TRASEIRA, PARA DUTO COM DIÂMETRO NOMINAL DE 12"</t>
  </si>
  <si>
    <t>G0516</t>
  </si>
  <si>
    <t>PIG FABRICADO EM POLIURETANO, CÉLULAS ABERTAS, ALTA RESISTÊNCIA E MÉDIA DENSIDADE, CORPO COM FORMATO DE PROJÉTIL, PROVIDO DE SELO DE VEDAÇÃO NA PARTE TRASEIRA, PARA DUTO COM DIÂMETRO NOMINAL DE 2"</t>
  </si>
  <si>
    <t>G0517</t>
  </si>
  <si>
    <t>PIG FABRICADO EM POLIURETANO, CÉLULAS ABERTAS, ALTA RESISTÊNCIA E MÉDIA DENSIDADE, CORPO COM FORMATO DE PROJÉTIL, PROVIDO DE SELO DE VEDAÇÃO NA PARTE TRASEIRA, PARA DUTO COM DIÂMETRO NOMINAL DE 3"</t>
  </si>
  <si>
    <t>G0518</t>
  </si>
  <si>
    <t>PIG FABRICADO EM POLIURETANO, CÉLULAS ABERTAS, ALTA RESISTÊNCIA E MÉDIA DENSIDADE, CORPO COM FORMATO DE PROJÉTIL, PROVIDO DE SELO DE VEDAÇÃO NA PARTE TRASEIRA, PARA DUTO COM DIÂMETRO NOMINAL DE 4"</t>
  </si>
  <si>
    <t>G0519</t>
  </si>
  <si>
    <t>PIG FABRICADO EM POLIURETANO, CÉLULAS ABERTAS, ALTA RESISTÊNCIA E MÉDIA DENSIDADE, CORPO COM FORMATO DE PROJÉTIL, PROVIDO DE SELO DE VEDAÇÃO NA PARTE TRASEIRA, PARA DUTO COM DIÂMETRO NOMINAL DE 6"</t>
  </si>
  <si>
    <t>G0520</t>
  </si>
  <si>
    <t>PIG FABRICADO EM POLIURETANO, CÉLULAS ABERTAS, ALTA RESISTÊNCIA E MÉDIA DENSIDADE, CORPO COM FORMATO DE PROJÉTIL, PROVIDO DE SELO DE VEDAÇÃO NA PARTE TRASEIRA, PARA DUTO COM DIÂMETRO NOMINAL DE 8"</t>
  </si>
  <si>
    <t>G0507</t>
  </si>
  <si>
    <t>PIG FABRICADO EM POLIURETANO, NA DUREZA DE 70 A 80 SHORE A, CORPO MONOLÍTICO, PROVIDO DE 05 (CINCO) DISCOS E 01 (UM) COPO DE VEDAÇÃO NA PARTE TRASEIRA, PARA DUTO COM DIÂMETRO NOMINAL DE 10"</t>
  </si>
  <si>
    <t>G0508</t>
  </si>
  <si>
    <t>PIG FABRICADO EM POLIURETANO, NA DUREZA DE 70 A 80 SHORE A, CORPO MONOLÍTICO, PROVIDO DE 05 (CINCO) DISCOS E 01 (UM) COPO DE VEDAÇÃO NA PARTE TRASEIRA, PARA DUTO COM DIÂMETRO NOMINAL DE 12"</t>
  </si>
  <si>
    <t>G0502</t>
  </si>
  <si>
    <t>PIG FABRICADO EM POLIURETANO, NA DUREZA DE 70 A 80 SHORE A, CORPO MONOLÍTICO, PROVIDO DE 05 (CINCO) DISCOS E 01 (UM) COPO DE VEDAÇÃO NA PARTE TRASEIRA, PARA DUTO COM DIÂMETRO NOMINAL DE 2"</t>
  </si>
  <si>
    <t>G0503</t>
  </si>
  <si>
    <t>PIG FABRICADO EM POLIURETANO, NA DUREZA DE 70 A 80 SHORE A, CORPO MONOLÍTICO, PROVIDO DE 05 (CINCO) DISCOS E 01 (UM) COPO DE VEDAÇÃO NA PARTE TRASEIRA, PARA DUTO COM DIÂMETRO NOMINAL DE 3"</t>
  </si>
  <si>
    <t>G0504</t>
  </si>
  <si>
    <t>PIG FABRICADO EM POLIURETANO, NA DUREZA DE 70 A 80 SHORE A, CORPO MONOLÍTICO, PROVIDO DE 05 (CINCO) DISCOS E 01 (UM) COPO DE VEDAÇÃO NA PARTE TRASEIRA, PARA DUTO COM DIÂMETRO NOMINAL DE 4"</t>
  </si>
  <si>
    <t>G0505</t>
  </si>
  <si>
    <t>PIG FABRICADO EM POLIURETANO, NA DUREZA DE 70 A 80 SHORE A, CORPO MONOLÍTICO, PROVIDO DE 05 (CINCO) DISCOS E 01 (UM) COPO DE VEDAÇÃO NA PARTE TRASEIRA, PARA DUTO COM DIÂMETRO NOMINAL DE 6"</t>
  </si>
  <si>
    <t>G0506</t>
  </si>
  <si>
    <t>PIG FABRICADO EM POLIURETANO, NA DUREZA DE 70 A 80 SHORE A, CORPO MONOLÍTICO, PROVIDO DE 05 (CINCO) DISCOS E 01 (UM) COPO DE VEDAÇÃO NA PARTE TRASEIRA, PARA DUTO COM DIÂMETRO NOMINAL DE 8"</t>
  </si>
  <si>
    <t>G0543</t>
  </si>
  <si>
    <t>PIG TIPO MANDRIL, BIDIRECIONAL, FABRICADO COM 02 (DOIS) DISCOS GUIA E 04 (QUATRO) DISCOS SELO EM POLIURETANO, 01 (UMA) ESCOVA DE AÇO, PARA DUTO COM DIÂMETRO NOMINAL DE 12"</t>
  </si>
  <si>
    <t>G0556</t>
  </si>
  <si>
    <t>PIG TIPO MANDRIL, BIDIRECIONAL, FABRICADO COM 02 (DOIS) DISCOS GUIA E 04 (QUATRO) DISCOS SELO EM POLIURETANO, 01 (UMA) PLACA CALIBRADORA DE ALUMÍNIO, PARA DUTO COM DIÂMETRO NOMINAL DE 10"</t>
  </si>
  <si>
    <t>G0557</t>
  </si>
  <si>
    <t>PIG TIPO MANDRIL, BIDIRECIONAL, FABRICADO COM 02 (DOIS) DISCOS GUIA E 04 (QUATRO) DISCOS SELO EM POLIURETANO, 01 (UMA) PLACA CALIBRADORA DE ALUMÍNIO, PARA DUTO COM DIÂMETRO NOMINAL DE 12"</t>
  </si>
  <si>
    <t>G0551</t>
  </si>
  <si>
    <t>PIG TIPO MANDRIL, BIDIRECIONAL, FABRICADO COM 02 (DOIS) DISCOS GUIA E 04 (QUATRO) DISCOS SELO EM POLIURETANO, 01 (UMA) PLACA CALIBRADORA DE ALUMÍNIO, PARA DUTO COM DIÂMETRO NOMINAL DE 2"</t>
  </si>
  <si>
    <t>G0552</t>
  </si>
  <si>
    <t>PIG TIPO MANDRIL, BIDIRECIONAL, FABRICADO COM 02 (DOIS) DISCOS GUIA E 04 (QUATRO) DISCOS SELO EM POLIURETANO, 01 (UMA) PLACA CALIBRADORA DE ALUMÍNIO, PARA DUTO COM DIÂMETRO NOMINAL DE 3"</t>
  </si>
  <si>
    <t>G0553</t>
  </si>
  <si>
    <t>PIG TIPO MANDRIL, BIDIRECIONAL, FABRICADO COM 02 (DOIS) DISCOS GUIA E 04 (QUATRO) DISCOS SELO EM POLIURETANO, 01 (UMA) PLACA CALIBRADORA DE ALUMÍNIO, PARA DUTO COM DIÂMETRO NOMINAL DE 4"</t>
  </si>
  <si>
    <t>G0554</t>
  </si>
  <si>
    <t>PIG TIPO MANDRIL, BIDIRECIONAL, FABRICADO COM 02 (DOIS) DISCOS GUIA E 04 (QUATRO) DISCOS SELO EM POLIURETANO, 01 (UMA) PLACA CALIBRADORA DE ALUMÍNIO, PARA DUTO COM DIÂMETRO NOMINAL DE 6"</t>
  </si>
  <si>
    <t>G0555</t>
  </si>
  <si>
    <t>PIG TIPO MANDRIL, BIDIRECIONAL, FABRICADO COM 02 (DOIS) DISCOS GUIA E 04 (QUATRO) DISCOS SELO EM POLIURETANO, 01 (UMA) PLACA CALIBRADORA DE ALUMÍNIO, PARA DUTO COM DIÂMETRO NOMINAL DE 8"</t>
  </si>
  <si>
    <t>G0549</t>
  </si>
  <si>
    <t>PIG TIPO MANDRIL, BIDIRECIONAL, FABRICADO COM 02 (DOIS) DISCOS GUIA E 04 (QUATRO) DISCOS SELO EM POLIURETANO, MAGNETOS DE IMANTAÇÃO, PARA DUTO COM DIÂMETRO NOMINAL DE 10"</t>
  </si>
  <si>
    <t>G0550</t>
  </si>
  <si>
    <t>PIG TIPO MANDRIL, BIDIRECIONAL, FABRICADO COM 02 (DOIS) DISCOS GUIA E 04 (QUATRO) DISCOS SELO EM POLIURETANO, MAGNETOS DE IMANTAÇÃO, PARA DUTO COM DIÂMETRO NOMINAL DE 12"</t>
  </si>
  <si>
    <t>G0544</t>
  </si>
  <si>
    <t>PIG TIPO MANDRIL, BIDIRECIONAL, FABRICADO COM 02 (DOIS) DISCOS GUIA E 04 (QUATRO) DISCOS SELO EM POLIURETANO, MAGNETOS DE IMANTAÇÃO, PARA DUTO COM DIÂMETRO NOMINAL DE 2"</t>
  </si>
  <si>
    <t>G0545</t>
  </si>
  <si>
    <t>PIG TIPO MANDRIL, BIDIRECIONAL, FABRICADO COM 02 (DOIS) DISCOS GUIA E 04 (QUATRO) DISCOS SELO EM POLIURETANO, MAGNETOS DE IMANTAÇÃO, PARA DUTO COM DIÂMETRO NOMINAL DE 3"</t>
  </si>
  <si>
    <t>G0546</t>
  </si>
  <si>
    <t>PIG TIPO MANDRIL, BIDIRECIONAL, FABRICADO COM 02 (DOIS) DISCOS GUIA E 04 (QUATRO) DISCOS SELO EM POLIURETANO, MAGNETOS DE IMANTAÇÃO, PARA DUTO COM DIÂMETRO NOMINAL DE 4"</t>
  </si>
  <si>
    <t>G0547</t>
  </si>
  <si>
    <t>PIG TIPO MANDRIL, BIDIRECIONAL, FABRICADO COM 02 (DOIS) DISCOS GUIA E 04 (QUATRO) DISCOS SELO EM POLIURETANO, MAGNETOS DE IMANTAÇÃO, PARA DUTO COM DIÂMETRO NOMINAL DE 6"</t>
  </si>
  <si>
    <t>G0548</t>
  </si>
  <si>
    <t>PIG TIPO MANDRIL, BIDIRECIONAL, FABRICADO COM 02 (DOIS) DISCOS GUIA E 04 (QUATRO) DISCOS SELO EM POLIURETANO, MAGNETOS DE IMANTAÇÃO, PARA DUTO COM DIÂMETRO NOMINAL DE 8"</t>
  </si>
  <si>
    <t>G0542</t>
  </si>
  <si>
    <t>PIG TIPO MANDRIL, BIDIRECIONAL, FABRICADO COM 02 (DOIS) DISCOS GUIA E 04 (QUATRO) DISCOS SELOS EM POLIURETANO, 01 (UMA) ESCOVA DE AÇO, PARA DUTO COM DIÂMETRO NOMINAL DE 10"</t>
  </si>
  <si>
    <t>G0537</t>
  </si>
  <si>
    <t>PIG TIPO MANDRIL, BIDIRECIONAL, FABRICADO COM 02 (DOIS) DISCOS GUIA E 04 (QUATRO) DISCOS SELOS EM POLIURETANO, 01 (UMA) ESCOVA DE AÇO, PARA DUTO COM DIÂMETRO NOMINAL DE 2"</t>
  </si>
  <si>
    <t>G0538</t>
  </si>
  <si>
    <t>PIG TIPO MANDRIL, BIDIRECIONAL, FABRICADO COM 02 (DOIS) DISCOS GUIA E 04 (QUATRO) DISCOS SELOS EM POLIURETANO, 01 (UMA) ESCOVA DE AÇO, PARA DUTO COM DIÂMETRO NOMINAL DE 3"</t>
  </si>
  <si>
    <t>G0539</t>
  </si>
  <si>
    <t>PIG TIPO MANDRIL, BIDIRECIONAL, FABRICADO COM 02 (DOIS) DISCOS GUIA E 04 (QUATRO) DISCOS SELOS EM POLIURETANO, 01 (UMA) ESCOVA DE AÇO, PARA DUTO COM DIÂMETRO NOMINAL DE 4"</t>
  </si>
  <si>
    <t>G0540</t>
  </si>
  <si>
    <t>PIG TIPO MANDRIL, BIDIRECIONAL, FABRICADO COM 02 (DOIS) DISCOS GUIA E 04 (QUATRO) DISCOS SELOS EM POLIURETANO, 01 (UMA) ESCOVA DE AÇO, PARA DUTO COM DIÂMETRO NOMINAL DE 6"</t>
  </si>
  <si>
    <t>G0541</t>
  </si>
  <si>
    <t>PIG TIPO MANDRIL, BIDIRECIONAL, FABRICADO COM 02 (DOIS) DISCOS GUIA E 04 (QUATRO) DISCOS SELOS EM POLIURETANO, 01 (UMA) ESCOVA DE AÇO, PARA DUTO COM DIÂMETRO NOMINAL DE 8"</t>
  </si>
  <si>
    <t>G0245</t>
  </si>
  <si>
    <t>PINCEL PARA METAIS, COM CABO CURTO, NA COR AMARELO, CERDAS NA COR PRETA, FORMATO BÁSICO, IDEAL PA METAIS, MATERIAL DO CABO; PLÁSTICO, TAMANHO EM POLEGADAS; 1",PODENDO SER UTILIZADO EM TINTA ESMALTE E TINTA A ÓLEO, COM VIROLA ESTANHADA.</t>
  </si>
  <si>
    <t>G0246</t>
  </si>
  <si>
    <t>PINCEL PARA METAIS, COM CABO CURTO, NA COR AMARELO, CERDAS NA COR PRETA, FORMATO BÁSICO, IDEAL PARA  METAIS, MATERIAL DO CABO; PLÁSTICO, TAMANHO EM POLEGADAS;1.1/2",PODENDO SER UTILIZADO EM TINTA ESMALTE E TINTA A ÓLEO, COM VIROLA ESTANHADA.</t>
  </si>
  <si>
    <t>G0247</t>
  </si>
  <si>
    <t>PINCEL PARA METAIS, COM CABO CURTO,NA COR AMARELO, CERDAS NA COR PRETA, FORMATO BÁSICO, IDEAL PA METAIS, MATERIAL DO CABO; PLÁSTICO, TAMANHO EM POLEGADAS;1/2",PODENDO SER UTILIZADO EM TINTA ESMALTE E TINTA A ÓLEO, COM VIROLA ESTANHADA.</t>
  </si>
  <si>
    <t>G0243</t>
  </si>
  <si>
    <t>PINÇADOR HIDRÁULICO PARA TUBOS DE PEAD, BITOLAS MÍNIMAS 90mm a 200mm DE ACORDO COM NORMA  NBR 14473</t>
  </si>
  <si>
    <t>G0244</t>
  </si>
  <si>
    <t>PINÇADOR MECÂNICO PARA TUBOS DE PEAD, BITOLAS MÍNIMAS 32mm a 63mm DE ACORDO COM NORMA NBR 14473</t>
  </si>
  <si>
    <t>G0570</t>
  </si>
  <si>
    <t>PLACA CALIBRADORA PARA PIG, FABRICADA EM ALUMÍNIO LIGA 5052-F, DIÂMETRO NOMINAL DE 10", COM 08 (OITO) CORTES RADIAIS, ESPESSURA DE 6,35MM</t>
  </si>
  <si>
    <t>G0571</t>
  </si>
  <si>
    <t>PLACA CALIBRADORA PARA PIG, FABRICADA EM ALUMÍNIO LIGA 5052-F, DIÂMETRO NOMINAL DE 12", COM 08 (OITO) CORTES RADIAIS, ESPESSURA DE 6,35MM</t>
  </si>
  <si>
    <t>G0565</t>
  </si>
  <si>
    <t>PLACA CALIBRADORA PARA PIG, FABRICADA EM ALUMÍNIO LIGA 5052-F, DIÂMETRO NOMINAL DE 2", COM 08 (OITO) CORTES RADIAIS, ESPESSURA DE 6,35MM</t>
  </si>
  <si>
    <t>G0566</t>
  </si>
  <si>
    <t>PLACA CALIBRADORA PARA PIG, FABRICADA EM ALUMÍNIO LIGA 5052-F, DIÂMETRO NOMINAL DE 3", COM 08 (OITO) CORTES RADIAIS, ESPESSURA DE 6,35MM</t>
  </si>
  <si>
    <t>G0567</t>
  </si>
  <si>
    <t>PLACA CALIBRADORA PARA PIG, FABRICADA EM ALUMÍNIO LIGA 5052-F, DIÂMETRO NOMINAL DE 4", COM 08 (OITO) CORTES RADIAIS, ESPESSURA DE 6,35MM</t>
  </si>
  <si>
    <t>G0568</t>
  </si>
  <si>
    <t>PLACA CALIBRADORA PARA PIG, FABRICADA EM ALUMÍNIO LIGA 5052-F, DIÂMETRO NOMINAL DE 6", COM 08 (OITO) CORTES RADIAIS, ESPESSURA DE 6,35MM</t>
  </si>
  <si>
    <t>G0569</t>
  </si>
  <si>
    <t>PLACA CALIBRADORA PARA PIG, FABRICADA EM ALUMÍNIO LIGA 5052-F, DIÂMETRO NOMINAL DE 8", COM 08 (OITO) CORTES RADIAIS, ESPESSURA DE 6,35MM</t>
  </si>
  <si>
    <t>G0248</t>
  </si>
  <si>
    <t>POLIACRILAMIDA PARCIALMENTE HIDROLISADA(PHPA) EMULSÃO INIBIDOR PARA FURO DIRECIONAL HDD CONCEBIDO PARA USO COM BETONITA</t>
  </si>
  <si>
    <t>G0249</t>
  </si>
  <si>
    <t>POLIMERO DE CARBOXIMETILCELULOSE DE SODIO (CMC), CONTROLE DE FILTRAGEM PARA FURO DIRECIONAL (HDD)</t>
  </si>
  <si>
    <t>G0250</t>
  </si>
  <si>
    <t>PONTA MONTADA ABRASIVA TIPO A-21</t>
  </si>
  <si>
    <t>G0251</t>
  </si>
  <si>
    <t>PRIMER EPÓXI LÍQUIDO COM 100 % SOLIDOS AGENTE DE  BASE DE ACORDO COM NORMA PETROBRAS N 2911 PARA MASTIQUE,COMPATÍVEL PARA FURO DIRECIONAL E VALA A CÉU ABERTO</t>
  </si>
  <si>
    <t>G0229</t>
  </si>
  <si>
    <t>PÁ DE CORTE 4.5" PARA FURO DIRECIONAL</t>
  </si>
  <si>
    <t>G0252</t>
  </si>
  <si>
    <t>RAQUETE PARA FLANGE DE DIÂMETRO  2”; MATERIAL: ASTM A516 GR. 60; EXTREMIDADE: FR (FLANGE DE RESSALTO); PADRÃO DIMENSIONAL: N-120</t>
  </si>
  <si>
    <t>G0253</t>
  </si>
  <si>
    <t>RAQUETE PARA FLANGE DE DIÂMETRO  3”; MATERIAL: ASTM A516 GR. 60; EXTREMIDADE: FR (FLANGE DE RESSALTO); PADRÃO DIMENSIONAL: N-120</t>
  </si>
  <si>
    <t>G0254</t>
  </si>
  <si>
    <t>RAQUETE PARA FLANGE DE DIÂMETRO  4”; MATERIAL: ASTM A516 GR. 60; EXTREMIDADE: FR (FLANGE DE RESSALTO); PADRÃO DIMENSIONAL: N-120</t>
  </si>
  <si>
    <t>G0255</t>
  </si>
  <si>
    <t>RAQUETE PARA FLANGE DE DIÂMETRO  6”; MATERIAL: ASTM A516 GR. 60; EXTREMIDADE: FR (FLANGE DE RESSALTO); PADRÃO DIMENSIONAL: N-120</t>
  </si>
  <si>
    <t>G0256</t>
  </si>
  <si>
    <t>RAQUETE PARA FLANGE DE DIÂMETRO  8”; MATERIAL: ASTM A516 GR. 60; EXTREMIDADE: FR (FLANGE DE RESSALTO); PADRÃO DIMENSIONAL: N-120</t>
  </si>
  <si>
    <t>G0257</t>
  </si>
  <si>
    <t>RAQUETE PARA FLANGE DE DIÂMETRO 10”; MATERIAL: ASTM A516 GR. 60; EXTREMIDADE: FR (FLANGE DE RESSALTO); PADRÃO DIMENSIONAL: N-120</t>
  </si>
  <si>
    <t>G0258</t>
  </si>
  <si>
    <t>RAQUETE PARA FLANGE DE DIÂMETRO 12”; MATERIAL: ASTM A516 GR. 60; EXTREMIDADE: FR (FLANGE DE RESSALTO); PADRÃO DIMENSIONAL: N-120</t>
  </si>
  <si>
    <t>G0259</t>
  </si>
  <si>
    <t>RASPADOR GIRATÓRIO PARA TUBOS DE PEAD, BITOLA 25MM a 110MM</t>
  </si>
  <si>
    <t>G0260</t>
  </si>
  <si>
    <t>RASPADOR MANUAL PARA TUBOS DE PEAD, BITOLA 2.1/2”</t>
  </si>
  <si>
    <t>G0276</t>
  </si>
  <si>
    <t>REDUÇÃO CONCÊNTRICA, DN  1.1/2" x 1”, AC, ASTM A234 Gr.WPB, ANSI B 16.9, PL, SCH 40, SC</t>
  </si>
  <si>
    <t>G0261</t>
  </si>
  <si>
    <t>REDUÇÃO CONCÊNTRICA, DN  2" x  1.1/2”, AC, ASTM A234 Gr.WPB, ANSI B 16.9, PC, SCH 40, SC</t>
  </si>
  <si>
    <t>G0262</t>
  </si>
  <si>
    <t>REDUÇÃO CONCÊNTRICA, DN  2" x 1”, AC, ASTM A234 Gr.WPB, ANSI B 16.9, PC, SCH 40, SC</t>
  </si>
  <si>
    <t>G0263</t>
  </si>
  <si>
    <t>REDUÇÃO CONCÊNTRICA, DN  3" x  1.1/2”, AC, ASTM A234 Gr.WPB, ANSI B 16.9, PC, SCH 40, SC</t>
  </si>
  <si>
    <t>G0264</t>
  </si>
  <si>
    <t>REDUÇÃO CONCÊNTRICA, DN  3" x 1”, AC, ASTM A234 Gr.WPB, ANSI B 16.9, PC, SCH 40, SC</t>
  </si>
  <si>
    <t>G0265</t>
  </si>
  <si>
    <t>REDUÇÃO CONCÊNTRICA, DN  3" x 2”, AC, ASTM A234 Gr.WPB, ANSI B 16.9, PC, SCH 40, SC</t>
  </si>
  <si>
    <t>G0266</t>
  </si>
  <si>
    <t>REDUÇÃO CONCÊNTRICA, DN  4" x  1.1/2”, AC, ASTM A234 Gr.WPB, ANSI B 16.9, PC, SCH 40, SC</t>
  </si>
  <si>
    <t>G0267</t>
  </si>
  <si>
    <t>REDUÇÃO CONCÊNTRICA, DN  4" x 1”, AC, ASTM A234 Gr.WPB, ANSI B 16.9, PC, SCH 40, SC</t>
  </si>
  <si>
    <t>G0268</t>
  </si>
  <si>
    <t>REDUÇÃO CONCÊNTRICA, DN  4" x 2”, AC, ASTM A234 Gr.WPB, ANSI B 16.9, PC, SCH 40, SC</t>
  </si>
  <si>
    <t>G0269</t>
  </si>
  <si>
    <t>REDUÇÃO CONCÊNTRICA, DN  4" x 3”, AC, ASTM A234 Gr.WPB, ANSI B 16.9, PC, SCH 40, SC</t>
  </si>
  <si>
    <t>G0270</t>
  </si>
  <si>
    <t>REDUÇÃO CONCÊNTRICA, DN  6" x 2”, AC, ASTM A234 Gr.WPB, ANSI B 16.9, PC, SCH 40, SC</t>
  </si>
  <si>
    <t>G0271</t>
  </si>
  <si>
    <t>REDUÇÃO CONCÊNTRICA, DN  6" x 3”, AC, ASTM A234 Gr.WPB, ANSI B 16.9, PC, SCH 40, SC</t>
  </si>
  <si>
    <t>G0272</t>
  </si>
  <si>
    <t>REDUÇÃO CONCÊNTRICA, DN  6" x 4”, AC, ASTM A234 Gr.WPB, ANSI B 16.9, PC, SCH 40, SC</t>
  </si>
  <si>
    <t>G0273</t>
  </si>
  <si>
    <t>REDUÇÃO CONCÊNTRICA, DN  8" x 3”, AC, ASTM A234 Gr.WPB, ANSI B 16.9, PC, SCH 40, SC</t>
  </si>
  <si>
    <t>G0274</t>
  </si>
  <si>
    <t>REDUÇÃO CONCÊNTRICA, DN  8" x 4”, AC, ASTM A234 Gr.WPB, ANSI B 16.9, PC, SCH 40, SC</t>
  </si>
  <si>
    <t>G0275</t>
  </si>
  <si>
    <t>REDUÇÃO CONCÊNTRICA, DN  8" x 6”, AC, ASTM A234 Gr.WPB, ANSI B 16.9, PC, SCH 40, SC</t>
  </si>
  <si>
    <t>G0277</t>
  </si>
  <si>
    <t>REDUÇÃO CONCÊNTRICA, DN 10" x  4”, AC, ASTM A234 Gr.WPB, ANSI B 16.9, PC, SCH 40, SC</t>
  </si>
  <si>
    <t>G0278</t>
  </si>
  <si>
    <t>REDUÇÃO CONCÊNTRICA, DN 10" x  6”, AC, ASTM A234 Gr.WPB, ANSI B 16.9, PC, SCH 40, SC</t>
  </si>
  <si>
    <t>G0279</t>
  </si>
  <si>
    <t>REDUÇÃO CONCÊNTRICA, DN 10" x  8”, AC, ASTM A234 Gr.WPB, ANSI B 16.9, PC, SCH 40, SC</t>
  </si>
  <si>
    <t>G0280</t>
  </si>
  <si>
    <t>REDUÇÃO CONCÊNTRICA, DN 12" x  6”, AC, ASTM A234 Gr.WPB, ANSI B 16.9, PC, SCH 40, SC</t>
  </si>
  <si>
    <t>G0281</t>
  </si>
  <si>
    <t>REDUÇÃO CONCÊNTRICA, DN 12" x  8”, AC, ASTM A234 Gr.WPB, ANSI B 16.9, PC, SCH 40, SC</t>
  </si>
  <si>
    <t>G0282</t>
  </si>
  <si>
    <t>REDUÇÃO CONCÊNTRICA, DN 12" x 10”, AC, ASTM A234 Gr.WPB, ANSI B 16.9, PC, SCH 40, SC</t>
  </si>
  <si>
    <t>G0848</t>
  </si>
  <si>
    <t>REGISTRADOR LOGOSCREEN 601, COM SISTEMA COMPUTACIONAL PARA TESTE HIDROSTÁTICO</t>
  </si>
  <si>
    <t>G0283</t>
  </si>
  <si>
    <t>ROLO DE LA DE CARNEIRO DE 15CM</t>
  </si>
  <si>
    <t>G0284</t>
  </si>
  <si>
    <t>ROLO DE LA DE CARNEIRO DE 9CM</t>
  </si>
  <si>
    <t>G0285</t>
  </si>
  <si>
    <t>ROLO PARA UTILIZAÇÃO NA PINTURA DE METAIS, COMPOSTO EM POLIESTER, NA COR AMARELO, NO FORMATO DE ROLO, INDICADO PARA SUPERFÍCIES LISAS, COM DIMENSÃO DE 150MM.</t>
  </si>
  <si>
    <t>G0286</t>
  </si>
  <si>
    <t>ROLO PARA UTILIZAÇÃO NA PINTURA DE METAIS, COMPOSTO EM POLIESTER, NA COR AMARELO, NO FORMATO DE ROLO, INDICADO PARA SUPERFÍCIES LISAS, COM DIMENSÃO DE 90MM.</t>
  </si>
  <si>
    <t>G0837</t>
  </si>
  <si>
    <t>SINALIZAÇÃO DE VIAS COM CONE DE PVC H=0,75M, PORTA PESO E BALDE PLÁSTICO (INCLUSIVE ILUMINAÇÃO) - (INSUMO 02461/ORSE)</t>
  </si>
  <si>
    <t>G0836</t>
  </si>
  <si>
    <t>SINALIZAÇÃO DE VIAS COM PLACAS INDICATIVAS REFLETIVA (0,30 X 0,40)M, POSTA PESO, SUPORTE TUBO FoGo 2", REUSO 25 VEZES (INSUMO 11674/ORSE)</t>
  </si>
  <si>
    <t>G0287</t>
  </si>
  <si>
    <t>SOFTWARE PARA PLANEJAMENTO DE FURO DIRECIONAL</t>
  </si>
  <si>
    <t>G0289</t>
  </si>
  <si>
    <t>SOLVENTE P/ TINTA EPOXI EMBALAGEM 5 LITROS</t>
  </si>
  <si>
    <t>G0290</t>
  </si>
  <si>
    <t>TACHA DE SINALIZAÇÃO PADRÃO CEGÁS</t>
  </si>
  <si>
    <t>G0759</t>
  </si>
  <si>
    <t>TAMPAO, DN 1 1/2", NORMA DE FABRICAÇÃO: NBR 6943; MATERIAL: NBR 6590, FERRO MALEÁVEL PRETO;ROSCA: BSP NBR NM ISO 7-1 RC; PROTEÇÃO SUPERFICIAL: GALVANIZADO A FOGO NBR 6323</t>
  </si>
  <si>
    <t>G0760</t>
  </si>
  <si>
    <t>TAMPAO, DN 1 1/4", NORMA DE FABRICAÇÃO: NBR 6943; MATERIAL: NBR 6590, FERRO MALEÁVEL PRETO;ROSCA: BSP NBR NM ISO 7-1 RC; PROTEÇÃO SUPERFICIAL: GALVANIZADO A FOGO NBR 6323</t>
  </si>
  <si>
    <t>G0758</t>
  </si>
  <si>
    <t>TAMPAO, DN 1", NORMA DE FABRICAÇÃO: NBR 6943; MATERIAL: NBR 6590, FERRO MALEÁVEL PRETO;ROSCA: BSP NBR NM ISO 7-1 RC; PROTEÇÃO SUPERFICIAL: GALVANIZADO A FOGO NBR 6323</t>
  </si>
  <si>
    <t>G0756</t>
  </si>
  <si>
    <t>TAMPAO, DN 1/4", NORMA DE FABRICAÇÃO: NBR 6943; MATERIAL: NBR 6590, FERRO MALEÁVEL PRETO;ROSCA: BSP NBR NM ISO 7-1 RC; PROTEÇÃO SUPERFICIAL: GALVANIZADO A FOGO NBR 6323</t>
  </si>
  <si>
    <t>G0757</t>
  </si>
  <si>
    <t>TAMPAO, DN 3/4", NORMA DE FABRICAÇÃO: NBR 6943; MATERIAL: NBR 6590, FERRO MALEÁVEL PRETO;ROSCA: BSP NBR NM ISO 7-1 RC; PROTEÇÃO SUPERFICIAL: GALVANIZADO A FOGO NBR 6323</t>
  </si>
  <si>
    <t>G0832</t>
  </si>
  <si>
    <t>TE 90º, 125 mm, PEAD, ELETROFUSÃO, PE 100, SDR 11, conf. ABNT NBR 14462, EN 1555, ISO 4437</t>
  </si>
  <si>
    <t>G0766</t>
  </si>
  <si>
    <t>TE, DN 1 1/2", NORMA DE FABRICAÇÃO: NBR 6943; MATERIAL: NBR 6590, FERRO MALEÁVEL PRETO;ROSCA: BSP NBR NM ISO 7-1 RC; PROTEÇÃO SUPERFICIAL: GALVANIZADO A FOGO NBR 6323</t>
  </si>
  <si>
    <t>G0765</t>
  </si>
  <si>
    <t>TE, DN 1 1/4", NORMA DE FABRICAÇÃO: NBR 6943; MATERIAL: NBR 6590, FERRO MALEÁVEL PRETO;ROSCA: BSP NBR NM ISO 7-1 RC; PROTEÇÃO SUPERFICIAL: GALVANIZADO A FOGO NBR 6323</t>
  </si>
  <si>
    <t>G0764</t>
  </si>
  <si>
    <t>TE, DN 1", NORMA DE FABRICAÇÃO: NBR 6943; MATERIAL: NBR 6590, FERRO MALEÁVEL PRETO;ROSCA: BSP NBR NM ISO 7-1 RC; PROTEÇÃO SUPERFICIAL: GALVANIZADO A FOGO NBR 6323</t>
  </si>
  <si>
    <t>G0762</t>
  </si>
  <si>
    <t>TE, DN 1/2", NORMA DE FABRICAÇÃO: NBR 6943; MATERIAL: NBR 6590, FERRO MALEÁVEL PRETO;ROSCA: BSP NBR NM ISO 7-1 RC; PROTEÇÃO SUPERFICIAL: GALVANIZADO A FOGO NBR 6323</t>
  </si>
  <si>
    <t>G0761</t>
  </si>
  <si>
    <t>TE, DN 1/4", NORMA DE FABRICAÇÃO: NBR 6943; MATERIAL: NBR 6590, FERRO MALEÁVEL PRETO;ROSCA: BSP NBR NM ISO 7-1 RC; PROTEÇÃO SUPERFICIAL: GALVANIZADO A FOGO NBR 6323</t>
  </si>
  <si>
    <t>G0763</t>
  </si>
  <si>
    <t>TE, DN 3/4", NORMA DE FABRICAÇÃO: NBR 6943; MATERIAL: NBR 6590, FERRO MALEÁVEL PRETO;ROSCA: BSP NBR NM ISO 7-1 RC; PROTEÇÃO SUPERFICIAL: GALVANIZADO A FOGO NBR 6323</t>
  </si>
  <si>
    <t>G0619</t>
  </si>
  <si>
    <t>TEE MACHO CENTRAL DUPLA ANILHA (DIANTEIRA E TRASEIRA) TUBO X ROSCA X TUBO 1/4" OD X 1/2" NPT X 1/4” OD, ROSCA PADRÃO NPT/ ISO ASME ANSI B1.20.1, EM AÇO INOX AISI 316/316L</t>
  </si>
  <si>
    <t>G0795</t>
  </si>
  <si>
    <t>G0618</t>
  </si>
  <si>
    <t>TEE MACHO CENTRAL DUPLA ANILHA (DIANTEIRA E TRASEIRA) TUBO X ROSCA X TUBO 1/4" OD X 1/4" NPT X 1/4” OD, ROSCA PADRÃO NPT/ ISO ASME ANSI B1.20.1, EM AÇO INOX AISI 316/316L</t>
  </si>
  <si>
    <t>G0794</t>
  </si>
  <si>
    <t>G0621</t>
  </si>
  <si>
    <t>TEE MACHO CENTRAL DUPLA ANILHA (DIANTEIRA E TRASEIRA) TUBO X ROSCA X TUBO 3/8" OD X 1/2" NPT X 3/8” OD, ROSCA PADRÃO NPT/ ISO ASME ANSI B1.20.1, EM AÇO INOX AISI 316/316L</t>
  </si>
  <si>
    <t>G0797</t>
  </si>
  <si>
    <t>G0620</t>
  </si>
  <si>
    <t>TEE MACHO CENTRAL DUPLA ANILHA (DIANTEIRA E TRASEIRA) TUBO X ROSCA X TUBO 3/8" OD X 1/4" NPT X 3/8” OD, ROSCA PADRÃO NPT/ ISO ASME ANSI B1.20.1, EM AÇO INOX AISI 316/316L</t>
  </si>
  <si>
    <t>G0796</t>
  </si>
  <si>
    <t>G0622</t>
  </si>
  <si>
    <t>TEE UNIÃO DUPLA ANILHA (DIANTEIRA E TRASEIRA) TUBO X TUBO X TUBO 1/4" OD, EM AÇO INOX AISI 316/316L</t>
  </si>
  <si>
    <t>G0798</t>
  </si>
  <si>
    <t>G0623</t>
  </si>
  <si>
    <t>TEE UNIÃO DUPLA ANILHA (DIANTEIRA E TRASEIRA) TUBO X TUBO X TUBO 3/8" OD, EM AÇO INOX AISI 316/316L</t>
  </si>
  <si>
    <t>G0799</t>
  </si>
  <si>
    <t>G0845</t>
  </si>
  <si>
    <t>TELA PLÁSTICA LARANJA, TIPO TAPUME PARA SINALIZAÇÃO, MALHA RETANGULAR, ROLO 1.20 X 50 M (L X C) - (INSUMO 37524 - COMPESA)</t>
  </si>
  <si>
    <t>G0337</t>
  </si>
  <si>
    <t>TESTE DA VÁLVULA    1/2" TRIPARTIDA NIPLE ESTENDIDO, HIDROSTÁTICO DO CORPO E VEDAÇÃO E PNEUMÁTICO DA VEDAÇÃO COM EMISSÃO DE RELATÓRIO</t>
  </si>
  <si>
    <t>G0338</t>
  </si>
  <si>
    <t>TESTE DA VÁLVULA    1/2" TRIPARTIDA ROSCA, HIDROSTÁTICO DO CORPO E VEDAÇÃO E PNEUMÁTICO DA VEDAÇÃO COM EMISSÃO DE RELATÓRIO</t>
  </si>
  <si>
    <t>G0339</t>
  </si>
  <si>
    <t>TESTE DA VÁLVULA    3/4" TRIPARTIDA NIPLE ESTENDIDO, HIDROSTÁTICO DO CORPO E VEDAÇÃO E PNEUMÁTICO DA VEDAÇÃO COM EMISSÃO DE RELATÓRIO</t>
  </si>
  <si>
    <t>G0340</t>
  </si>
  <si>
    <t>TESTE DA VÁLVULA    3/4" TRIPARTIDA ROSCA, HIDROSTÁTICO DO CORPO E VEDAÇÃO E PNEUMÁTICO DA VEDAÇÃO COM EMISSÃO DE RELATÓRIO</t>
  </si>
  <si>
    <t>G0341</t>
  </si>
  <si>
    <t>TESTE DA VÁLVULA  1 1/2" TRIPARTIDA NIPLE ESTENDIDO, HIDROSTÁTICO DO CORPO E VEDAÇÃO E PNEUMÁTICO DA VEDAÇÃO COM EMISSÃO DE RELATÓRIO</t>
  </si>
  <si>
    <t>G0342</t>
  </si>
  <si>
    <t>TESTE DA VÁLVULA  1 1/2" TRIPARTIDA ROSCA, HIDROSTÁTICO DO CORPO E VEDAÇÃO E PNEUMÁTICO DA VEDAÇÃO COM EMISSÃO DE RELATÓRIO</t>
  </si>
  <si>
    <t>G0343</t>
  </si>
  <si>
    <t>TESTE DA VÁLVULA 1" TRIPARTIDA NIPLE ESTENDIDO, HIDROSTÁTICO DO CORPO E VEDAÇÃO E PNEUMÁTICO DA VEDAÇÃO COM EMISSÃO DE RELATÓRIO</t>
  </si>
  <si>
    <t>G0344</t>
  </si>
  <si>
    <t>TESTE DA VÁLVULA 1" TRIPARTIDA ROSCA, HIDROSTÁTICO DO CORPO E VEDAÇÃO E PNEUMÁTICO DA VEDAÇÃO COM EMISSÃO DE RELATÓRIO</t>
  </si>
  <si>
    <t>G0345</t>
  </si>
  <si>
    <t>TESTE DA VÁLVULA BIPARTIDA FLANGEADA  2", HIDROSTÁTICO DO CORPO E VEDAÇÃO E PNEUMÁTICO DA VEDAÇÃO COM EMISSÃO DE RELATÓRIO</t>
  </si>
  <si>
    <t>G0346</t>
  </si>
  <si>
    <t>TESTE DA VÁLVULA BIPARTIDA FLANGEADA  3", HIDROSTÁTICO DO CORPO E VEDAÇÃO E PNEUMÁTICO DA VEDAÇÃO COM EMISSÃO DE RELATÓRIO</t>
  </si>
  <si>
    <t>G0347</t>
  </si>
  <si>
    <t>TESTE DA VÁLVULA BIPARTIDA FLANGEADA  4", HIDROSTÁTICO DO CORPO E VEDAÇÃO E PNEUMÁTICO DA VEDAÇÃO COM EMISSÃO DE RELATÓRIO</t>
  </si>
  <si>
    <t>G0348</t>
  </si>
  <si>
    <t>TESTE DA VÁLVULA BIPARTIDA FLANGEADA  6", HIDROSTÁTICO DO CORPO E VEDAÇÃO E PNEUMÁTICO DA VEDAÇÃO COM EMISSÃO DE RELATÓRIO</t>
  </si>
  <si>
    <t>G0349</t>
  </si>
  <si>
    <t>TESTE DA VÁLVULA BIPARTIDA FLANGEADA  8", HIDROSTÁTICO DO CORPO E VEDAÇÃO E PNEUMÁTICO DA VEDAÇÃO COM EMISSÃO DE RELATÓRIO</t>
  </si>
  <si>
    <t>G0350</t>
  </si>
  <si>
    <t>TESTE DA VÁLVULA BIPARTIDA FLANGEADA 10", HIDROSTÁTICO DO CORPO E VEDAÇÃO E PNEUMÁTICO DA VEDAÇÃO COM EMISSÃO DE RELATÓRIO</t>
  </si>
  <si>
    <t>G0351</t>
  </si>
  <si>
    <t>TESTE DA VÁLVULA BIPARTIDA FLANGEADA 12", HIDROSTÁTICO DO CORPO E VEDAÇÃO E PNEUMÁTICO DA VEDAÇÃO COM EMISSÃO DE RELATÓRIO</t>
  </si>
  <si>
    <t>G0352</t>
  </si>
  <si>
    <t>TINTA AMARELO-SEGURANCA ESMALTE SINTÉTICO BRILHANTE NORMA PETROBRAS Nº2492 COM RESINA ALQUIDICA, SOLIDOS POR VOLUME 38% MÍNIMO TEMPO DE SECAGEM AO TOQUE 4 HORAS. ACOMPANHAR CERTIFICADO DE ANALISE E QUALIDADE, BOLETIM TÉCNICO, VALIDADE SUPERIOR A 9 MESES - GALÃO DE 3,6 LITROS.</t>
  </si>
  <si>
    <t>G0353</t>
  </si>
  <si>
    <t>TINTA AZUL-SEGURANÇA ESMALTE SINTÉTICO BRILHANTE NR PETROBRAS Nº2492/1198-TP COM RESINA ALQUIDICA, SÓLIDOS POR VOLUME 38% MÍNIMO TEMPO DE SECAGEM AO TOQUE 4 HORAS. ACOMPANHAR CERTIFICADO DE ANALISE E QUALIDADE, BOLETIM TÉCNICO - VALIDADE SUPERIOR A 9 MESES - GALAO DE 3,6 L</t>
  </si>
  <si>
    <t>G0355</t>
  </si>
  <si>
    <t>TINTA DE FUNDO EPOXI PIGMENTADA COM ALUMÍNIO PARA SUPERFÍCIES NÃO JATEADAS, FORMADA PELO COMPOSTO A:01 GALÃO DE OXIBAR ALUMÍNIO E DO COMPOSTO B:01 GALÃO DE REAGENTE, TOTALIZANDO UM CONJUNTO DE 02 GALOES, OU 7,20 LITROS. ATENDENDO A NORMA DA PETROBRAS Nº-2288 E AS SEGUINTES CARACTERISTICAS: SÓLIDOS POR VOLUME 70% MÍNIMO, TEMPO DE SECAGEM PARA REPINTURA 16 HORAS MÍNIMO, APRESENTAR BOLETIM TECNICO - VALIDADE SUPERIOR A 9 MESES (CBMS - 143081)</t>
  </si>
  <si>
    <t>G0469</t>
  </si>
  <si>
    <t>TINTA DE ZINCO ETIL SILICATO (PETROBRAS N-1661)</t>
  </si>
  <si>
    <t>G0356</t>
  </si>
  <si>
    <t>TINTA EPOXI POLIAMIDA DE ALTA ESPESSURA (PETROBRAS N-2628)</t>
  </si>
  <si>
    <t>G0357</t>
  </si>
  <si>
    <t>TINTA EPÓXI FOSFATO DE ZINCO DE ALTA ESPESSURA (PETROBRAS N-2630)</t>
  </si>
  <si>
    <t>G0471</t>
  </si>
  <si>
    <t>TINTA EPÓXI ZINCO POLIAMIDA (PETROBRAS N-1277)</t>
  </si>
  <si>
    <t>G0468</t>
  </si>
  <si>
    <t>TINTA EPÓXI ÓXIDO DE FERRO (PETROBRAS N-1202)</t>
  </si>
  <si>
    <t>G0472</t>
  </si>
  <si>
    <t>TINTA POLIURETANO ACRÍLICO (PETROBRAS N-2677)</t>
  </si>
  <si>
    <t>G0358</t>
  </si>
  <si>
    <t>TINTA PRETA ESMALTE SINTÉTICO BRILHANTE NORMA PETROBRAS N-2492 CÓDIGO 0010COM RESINA ALQUIDICA, SÓLIDOS POR VOLUME 38% MÍNIMO TEMPO DE SECAGEM AO TOQUE 4 HORAS. ACOMPANHAR CERTIFICADO DE ANALISE E QUALIDADE, BOLETIM TÉCNICO -VALIDADE SUPERIOR A 9 MESES - GALÃO DE 3,6 L</t>
  </si>
  <si>
    <t>G0359</t>
  </si>
  <si>
    <t>TINTA VERMELHO-SEGURANÇA ESMALTE SINTÉTICO BRILHANTE NORMA PETROBRAS Nº2492 COM RESINA ALQUIDICA,SÓLIDOS POR VOLUME 38% MÍNIMO TEMPO DE SECAGEM AO TOQUE 4 HORAS. ACOMPANHAR CERTIFICADO DE ANALISE E QUALIDADE, BOLETIM TECNICO - VALIDADE SUPERIOR A 9 MESES - GALÃO DE 3,6L</t>
  </si>
  <si>
    <t>G0702</t>
  </si>
  <si>
    <t>TRANSIÇÃO AÇO X PA-U 12, PA-U 12, SDR 11, DN 160 MM, CONFORME NBR ISO 16486-3</t>
  </si>
  <si>
    <t>G0821</t>
  </si>
  <si>
    <t>TUBO DE POLIETILENO DE ALTA DENSIDADE, DE 110mm, PEAD, PE 100, SDR 11, CONSTRUÍDO CONFORME NBR 14462 E ISO CD 4437 IDENTIFICADOS COM GRAVAÇÃO EM BAIXO-RELEVO, EM COR CONSTRASTANTE COM A DO TUBO, EM BARRA</t>
  </si>
  <si>
    <t>G0822</t>
  </si>
  <si>
    <t>TUBO DE POLIETILENO DE ALTA DENSIDADE, DE 125mm, PEAD, PE 100, SDR 11, CONSTRUÍDO CONFORME NBR 14462 E ISO CD 4437 IDENTIFICADOS COM GRAVAÇÃO EM BAIXO-RELEVO, EM COR CONSTRASTANTE COM A DO TUBO, EM BARRA</t>
  </si>
  <si>
    <t>G0823</t>
  </si>
  <si>
    <t>TUBO DE POLIETILENO DE ALTA DENSIDADE, DE 180mm, PEAD, PE 100, SDR 11, CONSTRUÍDO CONFORME NBR 14462 E ISO CD 4437 IDENTIFICADOS COM GRAVAÇÃO EM BAIXO-RELEVO, EM COR CONSTRASTANTE COM A DO TUBO, EM BARRA</t>
  </si>
  <si>
    <t>G0360</t>
  </si>
  <si>
    <t>TUBO EM AÇO INOX DE 1", ANSI 316, SCH 40S</t>
  </si>
  <si>
    <t>G0606</t>
  </si>
  <si>
    <t>TUBOS SEM COSTURA EM AÇO INOXIDÁVEL 1/4” OD – AISI 316/316L, DE ACORDO COM A NORMA ASTM A269/A213. VARA DE 6 METROS.</t>
  </si>
  <si>
    <t>G0782</t>
  </si>
  <si>
    <t>G0607</t>
  </si>
  <si>
    <t>TUBOS SEM COSTURA EM AÇO INOXIDÁVEL 3/8” OD –  AISI 316/316L, DE ACORDO COM A NORMA ASTM A269/A213. VARA DE 6 METROS.</t>
  </si>
  <si>
    <t>G0783</t>
  </si>
  <si>
    <t>G0608</t>
  </si>
  <si>
    <t>TUBOS SEM COSTURA EM AÇO INOXIDÁVEL 6MM OD –  AISI 316/316L, DE ACORDO COM A NORMA ASTM A269/A213. VARA DE 6 METROS.</t>
  </si>
  <si>
    <t>G0784</t>
  </si>
  <si>
    <t>G0833</t>
  </si>
  <si>
    <t>TÊ 90º, 180 mm, PEAD, ELETROFUSÃO, PE 100, SDR 11, conf. ABNT NBR 14462, EN 1555, ISO 4437</t>
  </si>
  <si>
    <t>G0304</t>
  </si>
  <si>
    <t>TÊ DE REDUÇÃO DN  2" x  1.1/2”, AC, ASTM A234 Gr.WPB, ANSI B 16.9, PC, SCH 40, SC</t>
  </si>
  <si>
    <t>G0305</t>
  </si>
  <si>
    <t xml:space="preserve">TÊ DE REDUÇÃO DN  2" x 1”, AC, ASTM A234 Gr.WPB, ANSI B 16.9, PC, SCH 40, SC
</t>
  </si>
  <si>
    <t>G0306</t>
  </si>
  <si>
    <t xml:space="preserve">TÊ DE REDUÇÃO DN  3" x  1.1/2”, AC, ASTM A234 Gr.WPB, ANSI B 16.9, PC, SCH 40, SC
</t>
  </si>
  <si>
    <t>G0307</t>
  </si>
  <si>
    <t xml:space="preserve">TÊ DE REDUÇÃO DN  3" x 2”, AC, ASTM A234 Gr.WPB, ANSI B 16.9, PC, SCH 40, SC
</t>
  </si>
  <si>
    <t>G0308</t>
  </si>
  <si>
    <t xml:space="preserve">TÊ DE REDUÇÃO DN  4" x  1.1/2”, AC, ASTM A234 Gr.WPB, ANSI B 16.9, PC, SCH 40, SC
</t>
  </si>
  <si>
    <t>G0309</t>
  </si>
  <si>
    <t xml:space="preserve">TÊ DE REDUÇÃO DN  4" x 2”, AC, ASTM A234 Gr.WPB, ANSI B 16.9, PC, SCH 40, SC
</t>
  </si>
  <si>
    <t>G0310</t>
  </si>
  <si>
    <t xml:space="preserve">TÊ DE REDUÇÃO DN  4" x 3”, AC, ASTM A234 Gr.WPB, ANSI B 16.9, PC, SCH 40, SC
</t>
  </si>
  <si>
    <t>G0312</t>
  </si>
  <si>
    <t xml:space="preserve">TÊ DE REDUÇÃO DN  8" x 6”, AC, ASTM A234 Gr.WPB, ANSI B 16.9, PC, SCH 40, SC
</t>
  </si>
  <si>
    <t>G0301</t>
  </si>
  <si>
    <t xml:space="preserve">TÊ DE REDUÇÃO DN 1 x  1/2”, AC, ASTM A234 Gr.WPB, ANSI B 16.9, PC, SCH 40, SC
</t>
  </si>
  <si>
    <t>G0298</t>
  </si>
  <si>
    <t xml:space="preserve">TÊ DE REDUÇÃO DN 1 x  1/2”, CLASSE 3000#, AC, ASTM A105, ANSI B 16.11, ES (SOLDA DE ENCAIXE)
</t>
  </si>
  <si>
    <t>G0302</t>
  </si>
  <si>
    <t>TÊ DE REDUÇÃO DN 1.1/2" x  1/2”, CLASSE 3000#, AC, ASTM A105, ANSI B 16.11, ES (SOLDA DE ENCAIXE)</t>
  </si>
  <si>
    <t>G0303</t>
  </si>
  <si>
    <t>TÊ DE REDUÇÃO DN 1.1/2" x 1”, AC, ASTM A234 Gr.WPB, ANSI B 16.9, PC, SCH 40, SC</t>
  </si>
  <si>
    <t>G0299</t>
  </si>
  <si>
    <t>TÊ DE REDUÇÃO DN 1.1/2" x 1”, CLASSE 3000#, AC, ASTM A105, ANSI B 16.11, ES (SOLDA DE ENCAIXE)</t>
  </si>
  <si>
    <t>G0315</t>
  </si>
  <si>
    <t xml:space="preserve">TÊ DE REDUÇÃO DN 10" x 4”, AC, ASTM A234 Gr.WPB, ANSI B 16.9, PC, SCH 40, SC
</t>
  </si>
  <si>
    <t>G0318</t>
  </si>
  <si>
    <t xml:space="preserve">TÊ DE REDUÇÃO DN 12" x 6”, AC, ASTM A234 Gr.WPB, ANSI B 16.9, PC, SCH 40, SC
</t>
  </si>
  <si>
    <t>G0319</t>
  </si>
  <si>
    <t xml:space="preserve">TÊ DE REDUÇÃO DN 12" x 8”, AC, ASTM A234 Gr.WPB, ANSI B 16.9, PC, SCH 40, SC
</t>
  </si>
  <si>
    <t>G0295</t>
  </si>
  <si>
    <t xml:space="preserve">TÊ DE REDUÇÃO PEAD PE 100, DE  90mm x 63mm x 90mm, ELETROFUSÃO, SDR 11, ABNT NBR 14462, EN 1555, ISO 4437
</t>
  </si>
  <si>
    <t>G0296</t>
  </si>
  <si>
    <t>TÊ DE REDUÇÃO PEAD PE 100, DE 110mm x 63mm x 110mm, ELETROFUSÃO, SDR 11, ABNT NBR 14462, EN 1555, ISO 4437</t>
  </si>
  <si>
    <t>G0297</t>
  </si>
  <si>
    <t xml:space="preserve">TÊ DE REDUÇÃO PEAD PE 100, DE 110mm x 90mm x 110mm, ELETROFUSÃO, SDR 11, ABNT NBR 14462, EN 1555, ISO 4437
</t>
  </si>
  <si>
    <t>G0300</t>
  </si>
  <si>
    <t>TÊ DE REDUÇÃO, DN 1.1/2" x 1/2”, AC, ASTM A234 Gr.WPB, ANSI B 16.9, PC, SCH 40, SC</t>
  </si>
  <si>
    <t>G0834</t>
  </si>
  <si>
    <t>TÊ DE SERVIÇO, 125 mm x 90 mm, PEAD, ELETROFUSÃO, PE 100, SDR 11, conf. ABNT NBR 14462, EN 1555, ISO 4437</t>
  </si>
  <si>
    <t>G0835</t>
  </si>
  <si>
    <t>TÊ DE SERVIÇO, 180 mm x 90 mm, PEAD, ELETROFUSÃO, PE 100, SDR 11, conf. ABNT NBR 14462, EN 1555, ISO 4437</t>
  </si>
  <si>
    <t>G0292</t>
  </si>
  <si>
    <t>TÊ RETO, DN  1.1/2", AC, ASTM A234 Gr.WPB, ANSI B 16.9, PL, SCH 40, SC</t>
  </si>
  <si>
    <t>G0294</t>
  </si>
  <si>
    <t>TÊ RETO, DN  1.1/2", CLASSE 3000#, AC, ASTM A105 , ANSI B 16.11, ES (SOLDA DE ENCAIXE).</t>
  </si>
  <si>
    <t>G0291</t>
  </si>
  <si>
    <t>TÊ RETO, DN 1", AC, ASTM A234 Gr.WPB, ANSI B 16.9, PL, SCH 40, SC</t>
  </si>
  <si>
    <t>G0293</t>
  </si>
  <si>
    <t>TÊ RETO, DN 1", CLASSE 3000#, AC, ASTM A105 , ANSI B 16.11, ES (SOLDA DE ENCAIXE).</t>
  </si>
  <si>
    <t>G0320</t>
  </si>
  <si>
    <t>TÊE DE SERVIÇO, DE  63mm x 32mm, PEAD, ELETROFUSÃO, PE 100, SDR 11, conf. ABNT NBR 14462, EN 1555, ISO 4437</t>
  </si>
  <si>
    <t>G0321</t>
  </si>
  <si>
    <t>TÊE DE SERVIÇO, DE  63mm x 63mm, PEAD, ELETROFUSÃO, PE 100, SDR 11, conf. ABNT NBR 14462, EN 1555, ISO 4437</t>
  </si>
  <si>
    <t>G0322</t>
  </si>
  <si>
    <t>TÊE DE SERVIÇO, DE  90mm x 32mm, PEAD, ELETROFUSÃO, PE 100, SDR 11, conf. ABNT NBR 14462, EN 1555, ISO 4437</t>
  </si>
  <si>
    <t>G0323</t>
  </si>
  <si>
    <t>TÊE DE SERVIÇO, DE  90mm x 63mm, PEAD, ELETROFUSÃO, PE 100, SDR 11, conf. ABNT NBR 14462, EN 1555, ISO 4437</t>
  </si>
  <si>
    <t>G0324</t>
  </si>
  <si>
    <t>TÊE DE SERVIÇO, DE 110mm x 32mm, PEAD, ELETROFUSÃO, PE 100, SDR 11, conf. ABNT NBR 14462, EN 1555, ISO 4437</t>
  </si>
  <si>
    <t>G0325</t>
  </si>
  <si>
    <t>TÊE DE SERVIÇO, DE 110mm x 63mm, PEAD, ELETROFUSÃO, PE 100, SDR 11, conf. ABNT NBR 14462, EN 1555, ISO 4437</t>
  </si>
  <si>
    <t>G0326</t>
  </si>
  <si>
    <t>TÊE RETO, DN   2”, AC, ASTM A234 Gr.WPB, ANSI B 16.9, PC, SCH 40, SC</t>
  </si>
  <si>
    <t>G0327</t>
  </si>
  <si>
    <t>TÊE RETO, DN   3”, AC, ASTM A234 Gr.WPB, ANSI B 16.9, PC, SCH 40, SC</t>
  </si>
  <si>
    <t>G0328</t>
  </si>
  <si>
    <t>TÊE RETO, DN   4”, AC, ASTM A234 Gr.WPB, ANSI B 16.9, PC, SCH 40, SC</t>
  </si>
  <si>
    <t>G0329</t>
  </si>
  <si>
    <t>TÊE RETO, DN   6”, AC, ASTM A234 Gr.WPB, ANSI B 16.9, PC, SCH 40, SC</t>
  </si>
  <si>
    <t>G0330</t>
  </si>
  <si>
    <t>TÊE RETO, DN   8”, AC, ASTM A234 Gr.WPB, ANSI B 16.9, PC, SCH 40, SC</t>
  </si>
  <si>
    <t>G0331</t>
  </si>
  <si>
    <t>TÊE RETO, DN  10”, AC, ASTM A234 Gr.WPB, ANSI B 16.9, PC, SCH 40, SC</t>
  </si>
  <si>
    <t>G0332</t>
  </si>
  <si>
    <t>TÊE RETO, DN  12”, AC, ASTM A234 Gr.WPB, ANSI B 16.9, PC, SCH 40, SC</t>
  </si>
  <si>
    <t>G0333</t>
  </si>
  <si>
    <t>TÊE RETO, DN  32MM, PEAD, ELETROFUSÃO, PE 100, SDR 11, conf. ABNT NBR 14462, EN 1555, ISO 4437</t>
  </si>
  <si>
    <t>G0334</t>
  </si>
  <si>
    <t>TÊE RETO, DN  63MM, PEAD, ELETROFUSÃO, PE 100, SDR 11, conf. ABNT NBR 14462, EN 1555, ISO 4437</t>
  </si>
  <si>
    <t>G0335</t>
  </si>
  <si>
    <t>TÊE RETO, DN  90MM, PEAD, ELETROFUSÃO, PE 100, SDR 11, conf. ABNT NBR 14462, EN 1555, ISO 4437</t>
  </si>
  <si>
    <t>G0336</t>
  </si>
  <si>
    <t>TÊE RETO, DN 110MM, PEAD, ELETROFUSÃO, PE 100, SDR 11, conf. ABNT NBR 14462, EN 1555, ISO 4437</t>
  </si>
  <si>
    <t>G0771</t>
  </si>
  <si>
    <t>UNIAO ASSENTO CÔNICO BRONZE/FERRO DN 1/2", NORMA DE FABRICAÇÃO: NBR 69439; MATERIAL: NBR 6590, FERRO MALEÁVEL PRETO;ROSCA: BSP NBR NM ISO 7-1 RC; PROTEÇÃO SUPERFICIAL: GALVANIZADO A FOGO NBR 6323</t>
  </si>
  <si>
    <t>G0772</t>
  </si>
  <si>
    <t>UNIAO ASSENTO CÔNICO BRONZE/FERRO DN 3/4", NORMA DE FABRICAÇÃO: NBR 69439; MATERIAL: NBR 6590, FERRO MALEÁVEL PRETO;ROSCA: BSP NBR NM ISO 7-1 RC; PROTEÇÃO SUPERFICIAL: GALVANIZADO A FOGO NBR 6323</t>
  </si>
  <si>
    <t>G0773</t>
  </si>
  <si>
    <t>UNIAO ASSENTO CÔNICO BRONZE/FERRO, DN 1 1/4", NORMA DE FABRICAÇÃO: NBR 69439; MATERIAL: NBR 6590, FERRO MALEÁVEL PRETO;ROSCA: BSP NBR NM ISO 7-1 RC; PROTEÇÃO SUPERFICIAL: GALVANIZADO A FOGO NBR 6323</t>
  </si>
  <si>
    <t>G0776</t>
  </si>
  <si>
    <t>UNIAO COTOVELO COM ASSENTO CÔNICO DE FERRO DN 1", NORMA DE FABRICAÇÃO: NBR 69439;MATERIAL: NBR 6590, FERRO MALEÁVEL PRETO;ROSCA: BSP NBR NM ISO 7-1 RC; PROTEÇÃO SUPERFICIAL: GALVANIZADO A FOGO NBR 6323</t>
  </si>
  <si>
    <t>G0774</t>
  </si>
  <si>
    <t>UNIAO COTOVELO COM ASSENTO CÔNICO DE FERRO DN 1/2", NORMA DE FABRICAÇÃO: NBR 69439;MATERIAL: NBR 6590, FERRO MALEÁVEL PRETO;ROSCA: BSP NBR NM ISO 7-1 RC; PROTEÇÃO SUPERFICIAL: GALVANIZADO A FOGO NBR 6323</t>
  </si>
  <si>
    <t>G0775</t>
  </si>
  <si>
    <t>UNIAO COTOVELO COM ASSENTO CÔNICO DE FERRO DN 3/4", NORMA DE FABRICAÇÃO: NBR 69439;MATERIAL: NBR 6590, FERRO MALEÁVEL PRETO;ROSCA: BSP NBR NM ISO 7-1 RC; PROTEÇÃO SUPERFICIAL: GALVANIZADO A FOGO NBR 6323</t>
  </si>
  <si>
    <t>G0779</t>
  </si>
  <si>
    <t>UNIAO COTOVELO COM ASSENTO CÔNICO DE FERRO MF - MACHO FÊMEA DN 1",NORMA DE FABRICAÇÃO: NBR 69439; MATERIAL: NBR 6590, FERRO MALEÁVEL PRETO;ROSCA: BSP NBR NM ISO 7-1 RC; PROTEÇÃO SUPERFICIAL: GALVANIZADO A FOGO NBR 6323</t>
  </si>
  <si>
    <t>G0777</t>
  </si>
  <si>
    <t>UNIAO COTOVELO COM ASSENTO CÔNICO DE FERRO MF - MACHO FÊMEA DN 1/2", NORMA DE FABRICAÇÃO: NBR 69439; MATERIAL: NBR 6590, FERRO MALEÁVEL PRETO;ROSCA: BSP NBR NM ISO 7-1 RC; PROTEÇÃO SUPERFICIAL: GALVANIZADO A FOGO NBR 6323</t>
  </si>
  <si>
    <t>G0778</t>
  </si>
  <si>
    <t>UNIAO COTOVELO COM ASSENTO CÔNICO DE FERRO MF – DN 3/4", NORMA DE FABRICAÇÃO: NBR 69439; MATERIAL: NBR 6590, FERRO MALEÁVEL PRETO;ROSCA: BSP NBR NM ISO 7-1 RC; PROTEÇÃO SUPERFICIAL: GALVANIZADO A FOGO NBR 6323</t>
  </si>
  <si>
    <t>G0611</t>
  </si>
  <si>
    <t>UNIÃO DE REDUÇÃO DUPLA ANILHA (DIANTEIRA E TRASEIRA) TUBO X TUBO 3/8” OD X1/4” OD, EM AÇO INOX AISI 316/316L</t>
  </si>
  <si>
    <t>G0787</t>
  </si>
  <si>
    <t>G0609</t>
  </si>
  <si>
    <t>UNIÃO DUPLA ANILHA (DIANTEIRA E TRASEIRA) TUBO X TUBO 1/4” OD, EM AÇO INOX AISI 316/316L</t>
  </si>
  <si>
    <t>G0785</t>
  </si>
  <si>
    <t>G0610</t>
  </si>
  <si>
    <t>UNIÃO DUPLA ANILHA (DIANTEIRA E TRASEIRA) TUBO X TUBO 3/8” OD, EM AÇO INOX AISI 316/316L</t>
  </si>
  <si>
    <t>G0786</t>
  </si>
  <si>
    <t>G0404</t>
  </si>
  <si>
    <t>VARETA PARA SOLDA TIG ER70-S3</t>
  </si>
  <si>
    <t>G0604</t>
  </si>
  <si>
    <t>VÁLVULA DE RETENÇÃO DUPLA PORTINHOLA RETORNO POR MOLA PARA GÁS NATURAL. INSTALAÇÃO ENTRE FLANGES (TIPO WAFFER), FACE PLANA COM RANHURA ESPIRAL. FACE A FACE ASME B16.10. CLASSE DE PRESSÃO: 150 LIBRAS NPS: 4”. MATERIAL DO CORPO: ASTM A216 GR. WCB. MATERIAL DO DISCO: ASTM A216 GR. WCB. MATERIAL DA SEDE: BUNA N</t>
  </si>
  <si>
    <t>G0818</t>
  </si>
  <si>
    <t>G0602</t>
  </si>
  <si>
    <t>VÁLVULA DE RETENÇÃO DUPLA PORTINHOLA RETORNO POR MOLA PARA GÁS NATURAL. INSTALAÇÃO ENTRE FLANGES (TIPO WAFFER), FACE PLANA COM RANHURA ESPIRAL. FACE A FACE ASME B16.10. CLASSE DE PRESSÃO: 150 LIBRAS. NPS: 2”. MATERIAL DO CORPO: ASTM A216 GR. WCB. MATERIAL DO DISCO: ASTM A216 GR. WCB. MATERIAL DA SEDE: BUNA N</t>
  </si>
  <si>
    <t>G0816</t>
  </si>
  <si>
    <t xml:space="preserve">VÁLVULA DE RETENÇÃO DUPLA PORTINHOLA RETORNO POR MOLA PARA GÁS NATURAL. INSTALAÇÃO ENTRE FLANGES (TIPO WAFFER), FACE PLANA COM RANHURA ESPIRAL. FACE A FACE ASME B16.10. CLASSE DE PRESSÃO: 150 LIBRAS. NPS: 2”. MATERIAL DO CORPO: ASTM A216 GR. WCB. MATERIAL DO DISCO: ASTM A216 GR. WCB. MATERIAL DA SEDE: BUNA N
</t>
  </si>
  <si>
    <t>G0603</t>
  </si>
  <si>
    <t>VÁLVULA DE RETENÇÃO DUPLA PORTINHOLA RETORNO POR MOLA PARA GÁS NATURAL. INSTALAÇÃO ENTRE FLANGES (TIPO WAFFER), FACE PLANA COM RANHURA ESPIRAL. FACE A FACE ASME B16.10. CLASSE DE PRESSÃO: 150 LIBRAS. NPS: 3”. MATERIAL DO CORPO: ASTM A216 GR. WCB. MATERIAL DO DISCO: ASTM A216 GR. WCB. MATERIAL DA SEDE: BUNA N</t>
  </si>
  <si>
    <t>G0817</t>
  </si>
  <si>
    <t>G0605</t>
  </si>
  <si>
    <t>VÁLVULA DE RETENÇÃO DUPLA PORTINHOLA RETORNO POR MOLA PARA GÁS NATURAL. INSTALAÇÃO ENTRE FLANGES (TIPO WAFFER), FACE PLANA COM RANHURA ESPIRAL. FACE A FACE ASME B16.10. CLASSE DE PRESSÃO: 150 LIBRAS. NPS: 6”. MATERIAL DO CORPO: ASTM A216 GR. WCB. MATERIAL DO DISCO: ASTM A216 GR. WCB. MATERIAL DA SEDE: BUNA N</t>
  </si>
  <si>
    <t>G0819</t>
  </si>
  <si>
    <t>G0361</t>
  </si>
  <si>
    <t>VÁLVULA ESFERA DO TIPO BIPARTIDA DE DIÂMETRO  2”; TIPO DE USO: NORMAL; ACIONAMENTO MANUAL; PADRÃO CONSTRUTIVO: API 6D; EXTREMIDADE DE CONEXÃO: FLANGE ASME B16.5 FR (FLANGE DE RESSALTO); ACABAMENTO DA FACE: CONFORME ASME B16.5; CLASSE DE PRESSÃO: 150 LIBRAS; CORPO COM PARTES APARAFUSADAS; MATERIAL DO CORPO: AÇO FUNDIDO ASTM A216 GR. WCB; PASSAGEM PLENA; CORPO COM PARTES APARAFUSADAS; MATERIAL DO CORPO: AÇO FORJADO ASTM A105; MATERIAL DO OBTURADOR: AISI 410, SEDE RESILIENTE; TIPO DE ACIONADOR: ALAVANCA; ESFERA FLUTUANTE; ABNT NBR 15857 ANEXO C, TESTADA A FOGO</t>
  </si>
  <si>
    <t>G0362</t>
  </si>
  <si>
    <t>VÁLVULA ESFERA DO TIPO BIPARTIDA DE DIÂMETRO  3”; TIPO DE USO: NORMAL; ACIONAMENTO MANUAL; PADRÃO CONSTRUTIVO: API 6D; EXTREMIDADE DE CONEXÃO: FLANGE ASME B16.5 FR (FLANGE DE RESSALTO); ACABAMENTO DA FACE: CONFORME ASME B16.5; CLASSE DE PRESSÃO: 150 LIBRAS; CORPO COM PARTES APARAFUSADAS; MATERIAL DO CORPO: AÇO FUNDIDO ASTM A216 GR. WCB; PASSAGEM PLENA; CORPO COM PARTES APARAFUSADAS; MATERIAL DO CORPO: AÇO FORJADO ASTM A105; MATERIAL DO OBTURADOR: AISI 410, SEDE RESILIENTE; TIPO DE ACIONADOR: ALAVANCA; ESFERA FLUTUANTE; ABNT NBR 15857 ANEXO C, TESTADA A FOGO</t>
  </si>
  <si>
    <t>G0363</t>
  </si>
  <si>
    <t>VÁLVULA ESFERA DO TIPO BIPARTIDA DE DIÂMETRO  4”; TIPO DE USO: NORMAL; ACIONAMENTO MANUAL; PADRÃO CONSTRUTIVO: API 6D; EXTREMIDADE DE CONEXÃO: FLANGE ASME B16.5 FR (FLANGE DE RESSALTO); ACABAMENTO DA FACE: CONFORME ASME B16.5; CLASSE DE PRESSÃO: 150 LIBRAS; CORPO COM PARTES APARAFUSADAS; MATERIAL DO CORPO: AÇO FUNDIDO ASTM A216 GR. WCB; PASSAGEM PLENA; CORPO COM PARTES APARAFUSADAS; MATERIAL DO CORPO: AÇO FORJADO ASTM A105; MATERIAL DO OBTURADOR: AISI 410, SEDE RESILIENTE; TIPO DE ACIONADOR: ALAVANCA; ESFERA FLUTUANTE; ABNT NBR 15857 ANEXO C, TESTADA A FOGO</t>
  </si>
  <si>
    <t>G0364</t>
  </si>
  <si>
    <t>VÁLVULA ESFERA DO TIPO BIPARTIDA DE DIÂMETRO  6”; TIPO DE USO: NORMAL; ACIONAMENTO MANUAL; PADRÃO CONSTRUTIVO: API 6D; EXTREMIDADE DE CONEXÃO: FLANGE ASME B16.5 FR (FLANGE DE RESSALTO); ACABAMENTO DA FACE: CONFORME ASME B16.5; CLASSE DE PRESSÃO: 150 LIBRAS; CORPO COM PARTES APARAFUSADAS; MATERIAL DO CORPO: AÇO FUNDIDO ASTM A216 GR. WCB; PASSAGEM PLENA; MATERIAL DO OBTURADOR: AISI 410, SEDE RESILIENTE; TIPO DE ACIONADOR: VOLANTE COM ENGRENAGEM DE REDUÇÃO; TIPO DE MONTAGEM DA ESFERA: “TRUNNION”; REQUISITOS COMPLEMENTARES: ABNT NBR 15827 ANEXO C</t>
  </si>
  <si>
    <t>G0365</t>
  </si>
  <si>
    <t>VÁLVULA ESFERA DO TIPO BIPARTIDA DE DIÂMETRO  8”; TIPO DE USO: NORMAL; ACIONAMENTO MANUAL; PADRÃO CONSTRUTIVO: API 6D; EXTREMIDADE DE CONEXÃO: FLANGE ASME B16.5 FR (FLANGE DE RESSALTO); ACABAMENTO DA FACE: CONFORME ASME B16.5; CLASSE DE PRESSÃO: 150 LIBRAS; CORPO COM PARTES APARAFUSADAS; MATERIAL DO CORPO: AÇO FUNDIDO ASTM A216 GR. WCB; PASSAGEM PLENA; MATERIAL DO OBTURADOR: AISI 410, SEDE RESILIENTE; TIPO DE ACIONADOR: VOLANTE COM ENGRENAGEM DE REDUÇÃO; TIPO DE MONTAGEM DA ESFERA: “TRUNNION”; REQUISITOS COMPLEMENTARES: ABNT NBR 15827 ANEXO C</t>
  </si>
  <si>
    <t>G0366</t>
  </si>
  <si>
    <t>VÁLVULA ESFERA DO TIPO BIPARTIDA DE DIÂMETRO 10”; TIPO DE USO: NORMAL; ACIONAMENTO MANUAL; PADRÃO CONSTRUTIVO: API 6D; EXTREMIDADE DE CONEXÃO: FLANGE ASME B16.5 FR (FLANGE DE RESSALTO); ACABAMENTO DA FACE: CONFORME ASME B16.5; CLASSE DE PRESSÃO: 150 LIBRAS; CORPO COM PARTES APARAFUSADAS; MATERIAL DO CORPO: AÇO FUNDIDO ASTM A216 GR. WCB; PASSAGEM PLENA; MATERIAL DO OBTURADOR: AISI 410, SEDE RESILIENTE; TIPO DE ACIONADOR: VOLANTE COM ENGRENAGEM DE REDUÇÃO; TIPO DE MONTAGEM DA ESFERA: “TRUNNION”; REQUISITOS COMPLEMENTARES: ABNT NBR 15827 ANEXO C</t>
  </si>
  <si>
    <t>G0367</t>
  </si>
  <si>
    <t>VÁLVULA ESFERA DO TIPO BIPARTIDA DE DIÂMETRO 12”; TIPO DE USO: NORMAL; ACIONAMENTO MANUAL; PADRÃO CONSTRUTIVO: API 6D; EXTREMIDADE DE CONEXÃO: FLANGE ASME B16.5 FR (FLANGE DE RESSALTO); ACABAMENTO DA FACE: CONFORME ASME B16.5; CLASSE DE PRESSÃO: 150 LIBRAS; CORPO COM PARTES APARAFUSADAS; MATERIAL DO CORPO: AÇO FUNDIDO ASTM A216 GR. WCB; PASSAGEM PLENA; MATERIAL DO OBTURADOR: AISI 410, SEDE RESILIENTE; TIPO DE ACIONADOR: VOLANTE COM ENGRENAGEM DE REDUÇÃO; TIPO DE MONTAGEM DA ESFERA: “TRUNNION”; REQUISITOS COMPLEMENTARES: ABNT NBR 15827 ANEXO C</t>
  </si>
  <si>
    <t>G0371</t>
  </si>
  <si>
    <t>VÁLVULA ESFERA DO TIPO TRIPARTIDA DE DIÂMETRO   1 1/2”, TESTADA A FOGO (“FIRE TESTED TYPE”) CONFORME ISO 10497; ACIONAMENTO MANUAL; PADRÃO CONSTRUTIVO: ISO 17292; EXTREMIDADE DE CONEXÃO: ENCAIXE PARA SOLDA (ES), COM NIPLE DE EXTENSÃO, SCH 160; CLASSE DE PRESSÃO: 800 LIBRAS; CORPO COM PARTES APARAFUSADAS; MATERIAL DO CORPO: AÇO FORJADO ASTM A105; PASSAGEM PLENA; MATERIAL DO OBTURADOR: AISI 410, SEDE RESILIENTE; TIPO DE ACIONADOR: ALAVANCA; ESFERA FLUTUANTE; ABNT NBR 15857 ANEXO C, TESTADA A FOGO</t>
  </si>
  <si>
    <t>G0368</t>
  </si>
  <si>
    <t>VÁLVULA ESFERA DO TIPO TRIPARTIDA DE DIÂMETRO   1/2”, TESTADA A FOGO (“FIRE TESTED TYPE”) CONFORME ISO 10497; ACIONAMENTO MANUAL; PADRÃO CONSTRUTIVO: ISO 17292; EXTREMIDADE DE CONEXÃO: ENCAIXE PARA SOLDA (ES), COM NIPLE DE EXTENSÃO, SCH 160; CLASSE DE PRESSÃO: 800 LIBRAS; CORPO COM PARTES APARAFUSADAS; MATERIAL DO CORPO: AÇO FORJADO ASTM A105; PASSAGEM PLENA; MATERIAL DO OBTURADOR: AISI 410, SEDE RESILIENTE; TIPO DE ACIONADOR: ALAVANCA; ESFERA FLUTUANTE; ABNT NBR 15857 ANEXO C, TESTADA A FOGO</t>
  </si>
  <si>
    <t>G0369</t>
  </si>
  <si>
    <t>VÁLVULA ESFERA DO TIPO TRIPARTIDA DE DIÂMETRO   3/4”, TESTADA A FOGO (“FIRE TESTED TYPE”) CONFORME ISO 10497; ACIONAMENTO MANUAL; PADRÃO CONSTRUTIVO: ISO 17292; EXTREMIDADE DE CONEXÃO: ENCAIXE PARA SOLDA (ES), COM NIPLE DE EXTENSÃO, SCH 160; CLASSE DE PRESSÃO: 800 LIBRAS; CORPO COM PARTES APARAFUSADAS; MATERIAL DO CORPO: AÇO FORJADO ASTM A105; PASSAGEM PLENA; MATERIAL DO OBTURADOR: AISI 410, SEDE RESILIENTE; TIPO DE ACIONADOR: ALAVANCA; ESFERA FLUTUANTE; ABNT NBR 15857 ANEXO C, TESTADA A FOGO</t>
  </si>
  <si>
    <t>G0370</t>
  </si>
  <si>
    <t>VÁLVULA ESFERA DO TIPO TRIPARTIDA DE DIÂMETRO  1”, TESTADA A FOGO (“FIRE TESTED TYPE”) CONFORME ISO 10497; ACIONAMENTO MANUAL; PADRÃO CONSTRUTIVO: ISO 17292; EXTREMIDADE DE CONEXÃO: ENCAIXE PARA SOLDA (ES), COM NIPLE DE EXTENSÃO, SCH 160; CLASSE DE PRESSÃO: 800 LIBRAS; CORPO COM PARTES APARAFUSADAS; MATERIAL DO CORPO: AÇO FORJADO ASTM A105; PASSAGEM PLENA; MATERIAL DO OBTURADOR: AISI 410, SEDE RESILIENTE; TIPO DE ACIONADOR: ALAVANCA; ESFERA FLUTUANTE; ABNT NBR 15857 ANEXO C, TESTADA A FOGO</t>
  </si>
  <si>
    <t>G0844</t>
  </si>
  <si>
    <t>VÁLVULA ESFERA MONOBLOCO, VEDAÇÃO TEFLON PURO, PASSAGEM PLENA ROSCA BSP 3/4" - (INSUMO 08610/ORSE)</t>
  </si>
  <si>
    <t>G0372</t>
  </si>
  <si>
    <t>VÁLVULA ESFERA, DN  32MM, PASSAGEM PLENA, FECHAMENTO A 90°, PEAD, ELETROFUSÃO, PE 100, SDR 11, MOP 10 BAR (GÁS), conf. ABNT NBR 14462, EN 1555, ISO 4437</t>
  </si>
  <si>
    <t>G0373</t>
  </si>
  <si>
    <t>VÁLVULA ESFERA, DN  63MM, PASSAGEM PLENA, FECHAMENTO A 90°, PEAD, ELETROFUSÃO, PE 100, SDR 11, MOP 10 BAR (GÁS), conf. ABNT NBR 14462, EN 1555, ISO 4437</t>
  </si>
  <si>
    <t>G0374</t>
  </si>
  <si>
    <t>VÁLVULA ESFERA, DN  90MM, PASSAGEM PLENA, FECHAMENTO A 90°, PEAD, ELETROFUSÃO, PE 100, SDR 11, MOP 10 BAR (GÁS), conf. ABNT NBR 14462, EN 1555, ISO 4437</t>
  </si>
  <si>
    <t>G0375</t>
  </si>
  <si>
    <t>VÁLVULA ESFERA, DN 110MM, PASSAGEM PLENA, FECHAMENTO A 90°, PEAD, ELETROFUSÃO, PE 100, SDR 11, MOP 10 BAR (GÁS), conf. ABNT NBR 14462, EN 1555, ISO 4437</t>
  </si>
  <si>
    <t>G0402</t>
  </si>
  <si>
    <t>WELDOLET 10" - AC ASTM A 105, MSS SP-97, ANSI B 16.9, PC, SCH 40</t>
  </si>
  <si>
    <t>G0377</t>
  </si>
  <si>
    <t>WELDOLET 10" - AC ASTM A 105,MSS SP-97, ANSI B 16.9 ,PC, SCH 40 ,COM DERIVAÇÃO 3"</t>
  </si>
  <si>
    <t>G0378</t>
  </si>
  <si>
    <t>WELDOLET 10" - AC ASTM A 105,MSS SP-97, ANSI B 16.9 ,PC, SCH 40 ,COM DERIVAÇÃO 8"</t>
  </si>
  <si>
    <t>G0376</t>
  </si>
  <si>
    <t>WELDOLET 10" - AC ASTM A 105,MSS SP-97, ANSI B 16.9 ,PC, SCH 40, COM DERIVAÇÃO 2"</t>
  </si>
  <si>
    <t>G0379</t>
  </si>
  <si>
    <t>WELDOLET 10" - AC ASTM A 105,MSS SP-97, ANSI B 16.9, PC ,SCH 40 ,COM DERIVAÇÃO 4"</t>
  </si>
  <si>
    <t>G0380</t>
  </si>
  <si>
    <t>WELDOLET 10" - AC ASTM A 105,MSS SP-97, ANSI B 16.9, PC, SCH 40 ,COM DERIVAÇÃO 6"</t>
  </si>
  <si>
    <t>G0403</t>
  </si>
  <si>
    <t xml:space="preserve">WELDOLET 12" - AC ASTM A 105, MSS SP-97, ANSI B 16.9, PC ,SCH 40
</t>
  </si>
  <si>
    <t>G0381</t>
  </si>
  <si>
    <t>WELDOLET 12" - AC ASTM A 105,MSS SP-97, ANSI B 16.9 ,PC ,SCH 40 ,COM DERIVAÇÃO  2"</t>
  </si>
  <si>
    <t>G0382</t>
  </si>
  <si>
    <t>WELDOLET 12" - AC ASTM A 105,MSS SP-97, ANSI B 16.9 ,PC ,SCH 40 ,COM DERIVAÇÃO 10"</t>
  </si>
  <si>
    <t>G0383</t>
  </si>
  <si>
    <t>WELDOLET 12" - AC ASTM A 105,MSS SP-97, ANSI B 16.9 ,PC, SCH 40, COM DERIVAÇÃO  6"</t>
  </si>
  <si>
    <t>G0384</t>
  </si>
  <si>
    <t>WELDOLET 12" - AC ASTM A 105,MSS SP-97, ANSI B 16.9, PC ,SCH 40, COM DERIVAÇÃO  8"</t>
  </si>
  <si>
    <t>G0385</t>
  </si>
  <si>
    <t>WELDOLET 12" - AC ASTM A 105,MSS SP-97, ANSI B 16.9, PC, SCH 40, COM DERIVAÇÃO  3"</t>
  </si>
  <si>
    <t>G0386</t>
  </si>
  <si>
    <t>WELDOLET 12" - AC ASTM A 105,MSS SP-97, ANSI B 16.9, PC, SCH 40, COM DERIVAÇÃO  4"</t>
  </si>
  <si>
    <t>G0387</t>
  </si>
  <si>
    <t>WELDOLET 2" - AC ASTM A 105,MSS SP-97, ANSI B 16.9, PC, SCH 40</t>
  </si>
  <si>
    <t>G0388</t>
  </si>
  <si>
    <t>WELDOLET 3" - AC ASTM A 105,MSS SP-97, ANSI B 16.9 ,PC, SCH 40</t>
  </si>
  <si>
    <t>G0389</t>
  </si>
  <si>
    <t>WELDOLET 3" - AC ASTM A 105,MSS SP-97, ANSI B 16.9, PC, SCH 40, COM DERIVAÇÃO 2"</t>
  </si>
  <si>
    <t>G0390</t>
  </si>
  <si>
    <t>WELDOLET 4" - AC ASTM A 105,MSS SP-97, ANSI B 16.9 ,PC, SCH 40, COM DERIVAÇÃO 2"</t>
  </si>
  <si>
    <t>G0391</t>
  </si>
  <si>
    <t>WELDOLET 4" - AC ASTM A 105,MSS SP-97, ANSI B 16.9, PC, SCH 40</t>
  </si>
  <si>
    <t>G0392</t>
  </si>
  <si>
    <t>WELDOLET 4" - AC ASTM A 105,MSS SP-97, ANSI B 16.9, PC, SCH 40,COM DERIVAÇÃO 3"</t>
  </si>
  <si>
    <t>G0393</t>
  </si>
  <si>
    <t>WELDOLET 6" - AC ASTM A 105,MSS SP-97, ANSI B 16.9, PC ,SCH 40 ,COM DERIVAÇÃO 2"</t>
  </si>
  <si>
    <t>G0394</t>
  </si>
  <si>
    <t>WELDOLET 6" - AC ASTM A 105,MSS SP-97, ANSI B 16.9, PC ,SCH 40, COM DERIVAÇÃO 3"</t>
  </si>
  <si>
    <t>G0395</t>
  </si>
  <si>
    <t>WELDOLET 6" - AC ASTM A 105,MSS SP-97, ANSI B 16.9, PC, SCH 40</t>
  </si>
  <si>
    <t>G0396</t>
  </si>
  <si>
    <t>WELDOLET 6" - AC ASTM A 105,MSS SP-97, ANSI B 16.9, PC, SCH 40, COM DERIVAÇÃO 4"</t>
  </si>
  <si>
    <t>G0397</t>
  </si>
  <si>
    <t>WELDOLET 8" - AC ASTM A 105,MSS SP-97, ANSI B 16.9, PC ,SCH 40</t>
  </si>
  <si>
    <t>G0398</t>
  </si>
  <si>
    <t>WELDOLET 8" - AC ASTM A 105,MSS SP-97, ANSI B 16.9, PC ,SCH 40, COM DERIVAÇÃO 6"</t>
  </si>
  <si>
    <t>G0399</t>
  </si>
  <si>
    <t>WELDOLET 8" - AC ASTM A 105,MSS SP-97, ANSI B 16.9, PC, SCH 40 ,COM DERIVAÇÃO 3"</t>
  </si>
  <si>
    <t>G0400</t>
  </si>
  <si>
    <t>WELDOLET 8" - AC ASTM A 105,MSS SP-97, ANSI B 16.9, PC, SCH 40, COM DERIVAÇÃO 2"</t>
  </si>
  <si>
    <t>G0401</t>
  </si>
  <si>
    <t>WELDOLET 8" - AC ASTM A 105,MSS SP-97, ANSI B 16.9, PC, SCH 40, COM DERIVAÇÃO 4"</t>
  </si>
  <si>
    <t>COTAÇÃO / MATERIAIS PADRÃO MUTIRÃO</t>
  </si>
  <si>
    <t>I6118</t>
  </si>
  <si>
    <t>ARMADOR RABO DE ANDORINHA F.G. (PADRÃO MUTIRÃO)</t>
  </si>
  <si>
    <t>I6108</t>
  </si>
  <si>
    <t>BATEDOR DE MADEIRA MISTA 2 X 2 CM (PADRÃO MUTIRÃO)</t>
  </si>
  <si>
    <t>I6123</t>
  </si>
  <si>
    <t>CAIXA DE GORDURA PRÉ-MOLDADA DE CIMENTO (PADRÃO MUTIRÃO)</t>
  </si>
  <si>
    <t>I6124</t>
  </si>
  <si>
    <t>CAIXA DE PLÁSTICO 4" X 2" (PADRÃO MUTIRÃO)</t>
  </si>
  <si>
    <t>I6114</t>
  </si>
  <si>
    <t>DOBRADIÇA DE FERRO TIPO CRUZ (PADRÃO MUTIRÃO)</t>
  </si>
  <si>
    <t>I6125</t>
  </si>
  <si>
    <t>ELETROD. FLEXÍVEL DE 1/2" (PADRÃO MUTIRÃO)</t>
  </si>
  <si>
    <t>I6115</t>
  </si>
  <si>
    <t>FERROLHO DE FERRO CHATO DE 3" (PADRÃO MUTIRÃO)</t>
  </si>
  <si>
    <t>I6126</t>
  </si>
  <si>
    <t>FIO RETORCIDO DE 2 X 0,75 MM2 (PADRÃO MUTIRÃO)</t>
  </si>
  <si>
    <t>I6109</t>
  </si>
  <si>
    <t>FORRAMENTO LISO 10 X 3 CM MADEIRA MISTA (PADRÃO MUTIRÃO)</t>
  </si>
  <si>
    <t>I6127</t>
  </si>
  <si>
    <t>HASTE DE FERRO GALVANIZADO 1,20 M PARA ATERRAMENTO (PADRÃO MUTIRÃO)</t>
  </si>
  <si>
    <t>I6110</t>
  </si>
  <si>
    <t>JANELA TIPO FICHA 1,40 X 1,00 M MADEIRA MISTA (PADRÃO MUTIRÃO)</t>
  </si>
  <si>
    <t>I6111</t>
  </si>
  <si>
    <t>MATA JUNTA (PADRÃO MUTIRÃO)</t>
  </si>
  <si>
    <t>I6128</t>
  </si>
  <si>
    <t>MINI POSTE 1,50 M, REX MONO E ROLD. (PADRÃO MUTIRÃO)</t>
  </si>
  <si>
    <t>I6119</t>
  </si>
  <si>
    <t>PIA DE COZINHA DE CIMENTO - 1,20 M (PADRÃO MUTIRÃO)</t>
  </si>
  <si>
    <t>I6131</t>
  </si>
  <si>
    <t>PINCEL DE TUCUM PARA CAIAÇÃO (PADRÃO MUTIRÃO)</t>
  </si>
  <si>
    <t>I6112</t>
  </si>
  <si>
    <t>PORTA TIPO FICHA 0,60 X 2,10 M MADEIRA MISTA (PADRÃO MUTIRÃO)</t>
  </si>
  <si>
    <t>I6113</t>
  </si>
  <si>
    <t>PORTA TIPO FICHA 0,80 X 2,10 M ROLADA MADEIRA MISTA (PADRÃO MUTIRÃO)</t>
  </si>
  <si>
    <t>I6129</t>
  </si>
  <si>
    <t>QUADRO MEDIÇÃO PADRÃO COELCE (PADRÃO MUTIRÃO)</t>
  </si>
  <si>
    <t>I6121</t>
  </si>
  <si>
    <t>REGISTRO DE PRESSÃO SIMPLES 3/4" (PADRÃO MUTIRÃO)</t>
  </si>
  <si>
    <t>I6116</t>
  </si>
  <si>
    <t>RIPA 2" X 1/2" (PADRÃO MUTIRÃO)</t>
  </si>
  <si>
    <t>I6130</t>
  </si>
  <si>
    <t>SOQUETE DE BAQUELITE (PADRÃO MUTIRÃO)</t>
  </si>
  <si>
    <t>I6117</t>
  </si>
  <si>
    <t>TELHA TRANSLÚCIDA PLÁSTICA (PADRÃO MUTIRÃO)</t>
  </si>
  <si>
    <t>I6120</t>
  </si>
  <si>
    <t>TORNEIRA DE PLÁSTICO 3/4" (PADRÃO MUTIRÃO)</t>
  </si>
  <si>
    <t>I6122</t>
  </si>
  <si>
    <t>TORNEIRA DE PLÁSTICO CURTA DE 1/2" (PADRÃO MUTIRÃO)</t>
  </si>
  <si>
    <t>I6105</t>
  </si>
  <si>
    <t>VERGAS DE CONCRETO (0,10 X 0,10 X 1,00)M (PADRÃO MUTIRÃO)</t>
  </si>
  <si>
    <t>I6106</t>
  </si>
  <si>
    <t>VERGAS DE CONCRETO (0,10 X 0,10 X 1,20) M (PADRÃO MUTIRÃO)</t>
  </si>
  <si>
    <t>I6107</t>
  </si>
  <si>
    <t>VERGAS DE CONCRETO (0,10 X 0,10 X 1,70)M (PADRÃO MUTIRÃO)</t>
  </si>
  <si>
    <t>COTAÇÃO / MATERIAL BETUMINOSO - ADITIVOS</t>
  </si>
  <si>
    <t>I8423</t>
  </si>
  <si>
    <t>ADITIVO LÍQUIDO CONTROLADOR DE RUPTURA</t>
  </si>
  <si>
    <t>I8425</t>
  </si>
  <si>
    <t>DOPE</t>
  </si>
  <si>
    <t>I8411</t>
  </si>
  <si>
    <t>REJUVENESCEDOR ASFÁLTICO DE PENETRAÇÃO DIRETA</t>
  </si>
  <si>
    <t>COTAÇÃO / MISTURAS USINADAS</t>
  </si>
  <si>
    <t>I0106</t>
  </si>
  <si>
    <t>AREIA ASFÁLTICA USINADA A QUENTE - AAUQ</t>
  </si>
  <si>
    <t>I0826</t>
  </si>
  <si>
    <t>CONCRETO BETUMINOSO USINADO A QUENTE - CBUQ</t>
  </si>
  <si>
    <t>I0827</t>
  </si>
  <si>
    <t>CONCRETO USINADO FCK=10 MPA</t>
  </si>
  <si>
    <t>I0834</t>
  </si>
  <si>
    <t>CONCRETO USINADO FCK=15 MPA</t>
  </si>
  <si>
    <t>I0835</t>
  </si>
  <si>
    <t>CONCRETO USINADO FCK=18 MPA</t>
  </si>
  <si>
    <t>I0836</t>
  </si>
  <si>
    <t>CONCRETO USINADO FCK=20 MPA</t>
  </si>
  <si>
    <t>I0828</t>
  </si>
  <si>
    <t>CONCRETO USINADO FCK=25 MPA</t>
  </si>
  <si>
    <t>I0829</t>
  </si>
  <si>
    <t>CONCRETO USINADO FCK=30 MPA</t>
  </si>
  <si>
    <t>I0830</t>
  </si>
  <si>
    <t>CONCRETO USINADO FCK=35 MPA</t>
  </si>
  <si>
    <t>I0831</t>
  </si>
  <si>
    <t>CONCRETO USINADO FCK=40MPA</t>
  </si>
  <si>
    <t>I7971</t>
  </si>
  <si>
    <t>CONCRETO USINADO FCK=50 MPA</t>
  </si>
  <si>
    <t>I7972</t>
  </si>
  <si>
    <t>CONCRETO USINADO FCK=50 MPA - ALTO DESEMPENHO</t>
  </si>
  <si>
    <t>I7973</t>
  </si>
  <si>
    <t>CONCRETO USINADO FCK=50 MPA - BOMBEAMENTO SUBMERSO</t>
  </si>
  <si>
    <t>COTAÇÃO / PAISAGISMO</t>
  </si>
  <si>
    <t>I0030</t>
  </si>
  <si>
    <t>ADUBO MINERAL (10-10-10NPK)</t>
  </si>
  <si>
    <t>I0031</t>
  </si>
  <si>
    <t>ADUBO ORGANICO CURTIDO (ESTERCO)</t>
  </si>
  <si>
    <t>I0105</t>
  </si>
  <si>
    <t>ARBUSTO ORNAMENTAL</t>
  </si>
  <si>
    <t>I0142</t>
  </si>
  <si>
    <t>ARVORE DE 1,50 a 2,00m C/ADUBO, TUTOR, COVA</t>
  </si>
  <si>
    <t>I0143</t>
  </si>
  <si>
    <t>ARVORE ORNAMENTAL</t>
  </si>
  <si>
    <t>I0444</t>
  </si>
  <si>
    <t>CALCARIO DOLOMITICO</t>
  </si>
  <si>
    <t>I2479</t>
  </si>
  <si>
    <t>GRAMA C/ARBUSTO</t>
  </si>
  <si>
    <t>I6228</t>
  </si>
  <si>
    <t>GRAMA CAPIM DE BURRO/PAPUAN C/ADUBO VEGETAL</t>
  </si>
  <si>
    <t>I9149</t>
  </si>
  <si>
    <t>GRAMA SINTÉTICA ESPORTIVA PARA FUTEBOL EM POLIETILENO, COM ALTURA MINIMA DE 50MM, INCLUSO FORNECIMENTO E MONTAGEM, FRETE, GRANULO DE PNEU MAIS AREIA PARA AMORTECIMENTO, DEMARCAÇÃO EM GRAMA SINTETICA NA COR BRANCA, PROTEÇÃO UV E GARANTIA DE 5 ANOS</t>
  </si>
  <si>
    <t>I1225</t>
  </si>
  <si>
    <t>GRAMA TIPO BATATAIS EM PLACA</t>
  </si>
  <si>
    <t>I1245</t>
  </si>
  <si>
    <t>HERBACEA ORNAMENTAL-EXTERNA</t>
  </si>
  <si>
    <t>I1859</t>
  </si>
  <si>
    <t>SERVIÇOS DE HIDROSSEMEADURA</t>
  </si>
  <si>
    <t>I1887</t>
  </si>
  <si>
    <t>SOLUÇÃO HERBICIDA</t>
  </si>
  <si>
    <t>I2077</t>
  </si>
  <si>
    <t>TERRA VEGETAL</t>
  </si>
  <si>
    <t>I2294</t>
  </si>
  <si>
    <t>ÁGUA</t>
  </si>
  <si>
    <t>COTAÇÃO / PAVIMENTAÇÃO E DRENAGEM</t>
  </si>
  <si>
    <t>I8570</t>
  </si>
  <si>
    <t>I8655</t>
  </si>
  <si>
    <t>I8656</t>
  </si>
  <si>
    <t>I8657</t>
  </si>
  <si>
    <t>I8658</t>
  </si>
  <si>
    <t>I8659</t>
  </si>
  <si>
    <t>I8652</t>
  </si>
  <si>
    <t>I8653</t>
  </si>
  <si>
    <t>I8654</t>
  </si>
  <si>
    <t>I1601</t>
  </si>
  <si>
    <t>PEDRA PORTUGUESA  BRANCA</t>
  </si>
  <si>
    <t>I1602</t>
  </si>
  <si>
    <t>PEDRA PORTUGUESA PRETA/VERMELHA</t>
  </si>
  <si>
    <t>I8677</t>
  </si>
  <si>
    <t>TUBO CORRUGADO DUPLA PAREDE PEAD D=105,0cm</t>
  </si>
  <si>
    <t>I8678</t>
  </si>
  <si>
    <t>TUBO CORRUGADO DUPLA PAREDE PEAD D=120,0cm</t>
  </si>
  <si>
    <t>I8672</t>
  </si>
  <si>
    <t>TUBO CORRUGADO DUPLA PAREDE PEAD D=37,5cm</t>
  </si>
  <si>
    <t>I9473</t>
  </si>
  <si>
    <t>TUBO CORRUGADO DUPLA PAREDE PEAD D=40,0cm</t>
  </si>
  <si>
    <t>I8673</t>
  </si>
  <si>
    <t>TUBO CORRUGADO DUPLA PAREDE PEAD D=45,0cm</t>
  </si>
  <si>
    <t>I8674</t>
  </si>
  <si>
    <t>TUBO CORRUGADO DUPLA PAREDE PEAD D=60,0cm</t>
  </si>
  <si>
    <t>I8675</t>
  </si>
  <si>
    <t>TUBO CORRUGADO DUPLA PAREDE PEAD D=75,0cm</t>
  </si>
  <si>
    <t>I8676</t>
  </si>
  <si>
    <t>TUBO CORRUGADO DUPLA PAREDE PEAD D=90,0cm</t>
  </si>
  <si>
    <t>I6706</t>
  </si>
  <si>
    <t>TUBO DE PVC HELICOIDAL "RIB LOC" D=0,40m, INCLUSIVE ADESIVO E JUNTAS</t>
  </si>
  <si>
    <t>I6707</t>
  </si>
  <si>
    <t>TUBO DE PVC HELICOIDAL "RIB LOC" D=0,50m, INCLUSIVE ADESIVO E JUNTAS</t>
  </si>
  <si>
    <t>I6708</t>
  </si>
  <si>
    <t>TUBO DE PVC HELICOIDAL "RIB LOC" D=0,60m, INCLUSIVE ADESIVO E JUNTAS</t>
  </si>
  <si>
    <t>I6709</t>
  </si>
  <si>
    <t>TUBO DE PVC HELICOIDAL "RIB LOC" D=0,70m, INCLUSIVE ADESIVO E JUNTAS</t>
  </si>
  <si>
    <t>I6710</t>
  </si>
  <si>
    <t>TUBO DE PVC HELICOIDAL "RIB LOC" D=0,80m, INCLUSIVE ADESIVO E JUNTAS</t>
  </si>
  <si>
    <t>I6711</t>
  </si>
  <si>
    <t>TUBO DE PVC HELICOIDAL "RIB LOC" D=0,90m, INCLUSIVE ADESIVO E JUNTAS</t>
  </si>
  <si>
    <t>I6712</t>
  </si>
  <si>
    <t>TUBO DE PVC HELICOIDAL "RIB LOC" D=1,00m, INCLUSIVE ADESIVO E JUNTAS</t>
  </si>
  <si>
    <t>I6713</t>
  </si>
  <si>
    <t>TUBO DE PVC HELICOIDAL "RIB LOC" D=1,20m, INCLUSIVE ADESIVO E JUNTAS</t>
  </si>
  <si>
    <t>COTAÇÃO / PRODUTOS INDUSTRIALIZADOS</t>
  </si>
  <si>
    <t>I6801</t>
  </si>
  <si>
    <t>ADITIVO PLASTIFICANTE DENSIFICADOR E RETARDADOR DE PEGA</t>
  </si>
  <si>
    <t>I6802</t>
  </si>
  <si>
    <t>ADITIVO SUPERPLASTIFICANTE DENSIFICADOR E RETARDADOR DE PEGA</t>
  </si>
  <si>
    <t>I0113</t>
  </si>
  <si>
    <t>ARGAMASSA COLANTE PRE-MISTURADA</t>
  </si>
  <si>
    <t>I6508</t>
  </si>
  <si>
    <t>ARGAMASSA COLANTE PRÉ-FABRICADA P/ CERÂMICAS E PORCELANATOS</t>
  </si>
  <si>
    <t>I0114</t>
  </si>
  <si>
    <t>ARGAMASSA DE ALTA RESIST.INICIAL/FINAL P/GRAUT</t>
  </si>
  <si>
    <t>I8359</t>
  </si>
  <si>
    <t>ARGAMASSA FIXABLOCK</t>
  </si>
  <si>
    <t>I9059</t>
  </si>
  <si>
    <t>ARGAMASSA POLIMÉRICA P/ REPAROS SUPERFICIAIS DE 5MM A 25MM, RENDEROC S2</t>
  </si>
  <si>
    <t>I9058</t>
  </si>
  <si>
    <t>ARGAMASSA POLIMÉRICA RP PLUS BOTAMENT, COMPOSTO POR PONTE DE ADERÊNCIA E PINTURA PROTETORA CONTRA A CORROSÃO, P/ REPAROS SEMI-PROFUNDOS</t>
  </si>
  <si>
    <t>I0119</t>
  </si>
  <si>
    <t>ARGAMASSA PRE-FABRICADA PARA PASTILHAS</t>
  </si>
  <si>
    <t>I0117</t>
  </si>
  <si>
    <t>ARGAMASSA PRE-FABRICADA PARA REBOCO</t>
  </si>
  <si>
    <t>I0118</t>
  </si>
  <si>
    <t>ARGAMASSA PRE-FABRICADA PARA REJUNTAMENTO</t>
  </si>
  <si>
    <t>I8287</t>
  </si>
  <si>
    <t>ARGAMASSA PRÉ-FABRICADA PARA REJUNTAMENTO A BASE DE EPÓXI</t>
  </si>
  <si>
    <t>I0800</t>
  </si>
  <si>
    <t>CIMENTO COLANTE</t>
  </si>
  <si>
    <t>I0814</t>
  </si>
  <si>
    <t>COLA ESPECIAL 'PVA'</t>
  </si>
  <si>
    <t>I0815</t>
  </si>
  <si>
    <t>COLA ESPECIAL DE NEOPRENE</t>
  </si>
  <si>
    <t>I8200</t>
  </si>
  <si>
    <t>GRELHA DE FoFo (900 x 500 x 70) mm</t>
  </si>
  <si>
    <t>I9056</t>
  </si>
  <si>
    <t>INIBIDOR NITROPRIMER PARA PROTEÇÃO DE ARMADURA</t>
  </si>
  <si>
    <t>I9057</t>
  </si>
  <si>
    <t>MICROCONCRETO PARA REPAROS PROFUNDOS ATÉ 300MM</t>
  </si>
  <si>
    <t>I9055</t>
  </si>
  <si>
    <t>NITOBOND AR EMULSÃO P/APLICAÇÃO DE PONTE DE ADERÊNCIA</t>
  </si>
  <si>
    <t>I7890</t>
  </si>
  <si>
    <t>REJUNTE PARA GRANITO</t>
  </si>
  <si>
    <t>I1886</t>
  </si>
  <si>
    <t>SOLUÇÃO DE CLOROPRENE</t>
  </si>
  <si>
    <t>I1889</t>
  </si>
  <si>
    <t>SOLUÇÃO POLIETILENO CLOROSSULFONADO</t>
  </si>
  <si>
    <t>I2428</t>
  </si>
  <si>
    <t>SULFATO DE COBRE GRANULADO</t>
  </si>
  <si>
    <t>I6803</t>
  </si>
  <si>
    <t>SÍLICA ATIVA</t>
  </si>
  <si>
    <t>I2431</t>
  </si>
  <si>
    <t>TAMPA EM FoFo PARA LIGAÇÃO DE ESGOTO</t>
  </si>
  <si>
    <t>COTAÇÃO / PRODUTOS MANUFATURADOS</t>
  </si>
  <si>
    <t>I0818</t>
  </si>
  <si>
    <t>COLCHÃO ARAME GALV. REVEST. PVC TIPO RENO h=0,17M</t>
  </si>
  <si>
    <t>I0819</t>
  </si>
  <si>
    <t>COLCHÃO ARAME GALV. REVEST. PVC TIPO RENO h=0,23M</t>
  </si>
  <si>
    <t>I0820</t>
  </si>
  <si>
    <t>COLCHÃO ARAME GALV. REVEST. PVC TIPO RENO h=0,30M</t>
  </si>
  <si>
    <t>I2346</t>
  </si>
  <si>
    <t>GABIÃO ARAME GALV. REVEST. PVC TIPO CAIXA, h=0,50M</t>
  </si>
  <si>
    <t>I2347</t>
  </si>
  <si>
    <t>GABIÃO ARAME GALV. REVEST. PVC TIPO CAIXA, h=1,00M</t>
  </si>
  <si>
    <t>I1211</t>
  </si>
  <si>
    <t>GABIÃO COLCHÃO MALHA HEXAGONAL 6X8CM. ESP 30CM</t>
  </si>
  <si>
    <t>I1213</t>
  </si>
  <si>
    <t>GABIÃO COM MALHA HEXAGONAL 8X10CM - ZINCADO</t>
  </si>
  <si>
    <t>I9054</t>
  </si>
  <si>
    <t>GABIÃO SACO MALHA HEXAGONAL 8 X 10 CM (ZN/AL + PVC), FIO 2,4 MM</t>
  </si>
  <si>
    <t>I0974</t>
  </si>
  <si>
    <t>LIXEIRA EM FIBRA DE VIDRO CAP.=40L E DIAM.=35cm</t>
  </si>
  <si>
    <t>I2520</t>
  </si>
  <si>
    <t>MEIO FIO DE PEDRA GRANITICA</t>
  </si>
  <si>
    <t>I2527</t>
  </si>
  <si>
    <t>PARALELEPIPEDO (11 X 18 CM)</t>
  </si>
  <si>
    <t>I2105</t>
  </si>
  <si>
    <t>TOLDO PLÁSTICO</t>
  </si>
  <si>
    <t>COTAÇÃO / PRODUTOS METALICOS</t>
  </si>
  <si>
    <t>I0050</t>
  </si>
  <si>
    <t>ALUMINIO ESTRUTURAL USINADO PARA ESTRUTURA</t>
  </si>
  <si>
    <t>I0464</t>
  </si>
  <si>
    <t>CANTONEIRA DE ALUMÍNIO 1 1/4" X 1 1/4" (0,516kg/m)</t>
  </si>
  <si>
    <t>I0465</t>
  </si>
  <si>
    <t>CANTONEIRA DE ALUMÍNIO 1/2'' X1/2" (0,102kg/m)</t>
  </si>
  <si>
    <t>I0522</t>
  </si>
  <si>
    <t>CHAPA COBRE N.26 DESENV 0.33M</t>
  </si>
  <si>
    <t>I0523</t>
  </si>
  <si>
    <t>CHAPA COBRE N.26 DESENV 0.50M</t>
  </si>
  <si>
    <t>I0530</t>
  </si>
  <si>
    <t>CHAPA DE ALUMÍNIO 2.00 x 1.00m N. 14, ESP. = 2,00MM (5,40KG/M2)</t>
  </si>
  <si>
    <t>I9375</t>
  </si>
  <si>
    <t>CHAPA DE ALUMÍNIO LISA 22, DIMENSÕES 2,0X1,0M, ESP. = 0,80MM (2,16KG/M2)</t>
  </si>
  <si>
    <t>I8618</t>
  </si>
  <si>
    <t>CHAPA DE ALUMÍNIO TIPO XADREZ LAVRADA ESP. 3mm (8,10KG/M2)</t>
  </si>
  <si>
    <t>I7546</t>
  </si>
  <si>
    <t>CHAPA DE ALUMÍNIO XADREZ DE 1/4" (8,1KG/M2)</t>
  </si>
  <si>
    <t>I8624</t>
  </si>
  <si>
    <t>CHAPA EM ALUMÍNIO N.16, ESP. = 1,50MM (4,05KG/M2)</t>
  </si>
  <si>
    <t>I0824</t>
  </si>
  <si>
    <t>COMPONENTES ESTRUTURAIS DE ACO</t>
  </si>
  <si>
    <t>I6202</t>
  </si>
  <si>
    <t>GUIAS DE CRAVAÇÃO</t>
  </si>
  <si>
    <t>I6021</t>
  </si>
  <si>
    <t>MÃO FRANCESA EM AÇO GALVANIZADO A FOGO REVESTIDA EM FIBRA DE VIDRO PARA ELETROCALHA 300mm</t>
  </si>
  <si>
    <t>I6022</t>
  </si>
  <si>
    <t>MÃO FRANCESA EM AÇO GALVANIZADO A FOGO REVESTIDA EM FIBRA DE VIDRO PARA ELETROCALHA 500mm</t>
  </si>
  <si>
    <t>I1614</t>
  </si>
  <si>
    <t>PERFIL "U" EM ALUMÍNIO  1/2" (1X1 CM) P/ FACHADAS</t>
  </si>
  <si>
    <t>I8247</t>
  </si>
  <si>
    <t>PERFIL "U" EM ALUMÍNIO 3/4" x 3/4"</t>
  </si>
  <si>
    <t>I1135</t>
  </si>
  <si>
    <t>PERFIL 'U' DE AÇO ENRIJECIDO, C/PRIMER CHAPA 10 (DIVISÓRIA)</t>
  </si>
  <si>
    <t>I1623</t>
  </si>
  <si>
    <t>PERFIL DE ALUMINIO ANODIZADO FOSCO (DIVISORIA)</t>
  </si>
  <si>
    <t>I1624</t>
  </si>
  <si>
    <t>PERFIL DE ALUMINIO TIPO ( L - T - U )</t>
  </si>
  <si>
    <t>I6809</t>
  </si>
  <si>
    <t>PERFIL DE ALUMÍNIO 2" (5X5CM)</t>
  </si>
  <si>
    <t>I2035</t>
  </si>
  <si>
    <t>TELA DE ARAME GALVANIZADO DE 2" (5 X 5 CM) FIO N.12 (2,77MM BWG)</t>
  </si>
  <si>
    <t>I2036</t>
  </si>
  <si>
    <t>TELA DE ARAME GALVANIZADO DE 2" (5 X 5 CM) FIO N.14 (2,11MM BWG)</t>
  </si>
  <si>
    <t>I8252</t>
  </si>
  <si>
    <t>TELA DE AÇO ELETROSOLDADA COM FIO 3,4mm (0,97 KG/M2), MALHA 15 x 15 CM</t>
  </si>
  <si>
    <t>I8253</t>
  </si>
  <si>
    <t>TELA DE AÇO ELETROSOLDADA COM FIO 5,0mm (2,61 KG/M2), MALHA 15 x 15 CM</t>
  </si>
  <si>
    <t>I2039</t>
  </si>
  <si>
    <t>TELA ELETROSOLDADA MALHA RETANGULAR 10X 5CM FIO N.11 (3,05MM BWG)</t>
  </si>
  <si>
    <t>I6810</t>
  </si>
  <si>
    <t>TELA EM ALUMINIO FIO 1,5MM E MALHA 4MM</t>
  </si>
  <si>
    <t>I2579</t>
  </si>
  <si>
    <t>TORRE METALICA</t>
  </si>
  <si>
    <t>I7953</t>
  </si>
  <si>
    <t>TUBO TREIMING</t>
  </si>
  <si>
    <t>PÇ</t>
  </si>
  <si>
    <t>COTAÇÃO / RECICLADOS</t>
  </si>
  <si>
    <t>R0003</t>
  </si>
  <si>
    <t>BRITA RECICLADA (SEM TRANSPORTE)</t>
  </si>
  <si>
    <t>R0005</t>
  </si>
  <si>
    <t>MACADAME 50/50 RECICLADO (SEM TRANSPORTE)</t>
  </si>
  <si>
    <t>R0002</t>
  </si>
  <si>
    <t>PEDRA DE MÃO (RACHÃO) RECICLADO(SEM TRANSPORTE)</t>
  </si>
  <si>
    <t>R0001</t>
  </si>
  <si>
    <t>PÓ DE PEDRA RECICLADO (SEM TRANSPORTE)</t>
  </si>
  <si>
    <t>R0008</t>
  </si>
  <si>
    <t>SOLO BRITA 30/70 RECICLADO (SEM TRANSPORTE)</t>
  </si>
  <si>
    <t>R0007</t>
  </si>
  <si>
    <t>SOLO BRITA 50/50 RECICLADO (SEM TRANSPORTE)</t>
  </si>
  <si>
    <t>R0006</t>
  </si>
  <si>
    <t>SOLO BRITA 60/40 RECICLADO (SEM TRANSPORTE)</t>
  </si>
  <si>
    <t>R0004</t>
  </si>
  <si>
    <t>SUB BASE C/ AGREGADO RECICLADO (SEM TRANSPORTE)</t>
  </si>
  <si>
    <t>COTAÇÃO / REVESTIMENTO</t>
  </si>
  <si>
    <t>I0153</t>
  </si>
  <si>
    <t>AZULEJO BRANCO 15X15CM</t>
  </si>
  <si>
    <t>I7893</t>
  </si>
  <si>
    <t>BANCADA DE GRANITO CINZA POLIDO E=2cm</t>
  </si>
  <si>
    <t>I7894</t>
  </si>
  <si>
    <t>BANCADA DE GRANITO OUTRAS CORES E=2cm,</t>
  </si>
  <si>
    <t>I1230</t>
  </si>
  <si>
    <t>BANCADA DE GRANITO OUTRAS CORES, E=3cm</t>
  </si>
  <si>
    <t>I9533</t>
  </si>
  <si>
    <t>BANCADA EM MARMORE BRANCO POLIDO E=3cm</t>
  </si>
  <si>
    <t>I0462</t>
  </si>
  <si>
    <t>CANTONEIRA DE AJUSTE</t>
  </si>
  <si>
    <t>I0463</t>
  </si>
  <si>
    <t>CANTONEIRA DE ALUMINIO PARA AZULEJO</t>
  </si>
  <si>
    <t>I0497</t>
  </si>
  <si>
    <t>CARPETE. ESPESSURA 4MM</t>
  </si>
  <si>
    <t>I6497</t>
  </si>
  <si>
    <t>CERÂMICA ESMALTADA DIMENSÕES ATÉ 10x10cm (100 cm²) - DECORATIVA</t>
  </si>
  <si>
    <t>I6498</t>
  </si>
  <si>
    <t xml:space="preserve">CERÂMICA ESMALTADA RETIFICADA DIMENSÕES ATÉ 30x30cm (900 cm²) - PEI-5/PEI-4
</t>
  </si>
  <si>
    <t>I6500</t>
  </si>
  <si>
    <t xml:space="preserve">CERÂMICA ESMALTADA RETIFICADA DIMENSÕES MAIORES DE 30x30cm (900 cm²) - PEI-5/PEI-4
</t>
  </si>
  <si>
    <t>I0519</t>
  </si>
  <si>
    <t>CERÂMICA VERMELHA 7.5X15CM</t>
  </si>
  <si>
    <t>I0540</t>
  </si>
  <si>
    <t>CHAPA LISA DE FIBROCIMENTO DE 6MM</t>
  </si>
  <si>
    <t>I6619</t>
  </si>
  <si>
    <t>CHAPIM DE GRANITO VERDE MERUOCA</t>
  </si>
  <si>
    <t>I0870</t>
  </si>
  <si>
    <t>CORTICA ESPESSURA 12MM</t>
  </si>
  <si>
    <t>I0962</t>
  </si>
  <si>
    <t>DEGRAU DE MARMORE</t>
  </si>
  <si>
    <t>I0963</t>
  </si>
  <si>
    <t>DEGRAU PRE-MOLDADO DE GRANILITE DE 30X100CM</t>
  </si>
  <si>
    <t>I7895</t>
  </si>
  <si>
    <t>I7917</t>
  </si>
  <si>
    <t>DIVISÓRIA DE GRANITO CINZA E=3CM</t>
  </si>
  <si>
    <t>I8634</t>
  </si>
  <si>
    <t>ESPELHO EM GRANITO OUTRAS CORES ESP. 3cm E ALTURA 10cm</t>
  </si>
  <si>
    <t>I1165</t>
  </si>
  <si>
    <t>FILETE DE GRANITO  L = 4CM</t>
  </si>
  <si>
    <t>I1645</t>
  </si>
  <si>
    <t>GRANILITE, MAMORITE POLIDO 1 FACE</t>
  </si>
  <si>
    <t>I1672</t>
  </si>
  <si>
    <t>GRANILITE, MARMORITE</t>
  </si>
  <si>
    <t>I1647</t>
  </si>
  <si>
    <t>GRANILITE, MARMORITE POLIDO 2 FACES</t>
  </si>
  <si>
    <t>I2351</t>
  </si>
  <si>
    <t>GRANITO PARA PISO INDUSTRIAL</t>
  </si>
  <si>
    <t>I7892</t>
  </si>
  <si>
    <t>GRANITO POLIDO BRANCO E=2cm</t>
  </si>
  <si>
    <t>I1659</t>
  </si>
  <si>
    <t>GRANITO POLIDO CINZA E=2cm</t>
  </si>
  <si>
    <t>I1229</t>
  </si>
  <si>
    <t>GRANITO POLIDO OUTRAS CORES E=2cm</t>
  </si>
  <si>
    <t>I1231</t>
  </si>
  <si>
    <t>GRANITO POLIDO PRETO E=2cm</t>
  </si>
  <si>
    <t>I1332</t>
  </si>
  <si>
    <t>LADRILHO HIDRAULICO DE UMA COR</t>
  </si>
  <si>
    <t>I2480</t>
  </si>
  <si>
    <t>LAMBRI 7x1cm EM ANGELIM</t>
  </si>
  <si>
    <t>I1342</t>
  </si>
  <si>
    <t>LAMINADO MELAMINICO,  ESP.=1MM</t>
  </si>
  <si>
    <t>I1506</t>
  </si>
  <si>
    <t>MANTA EM FELTRO P/ REVESTIMENTO</t>
  </si>
  <si>
    <t>I8554</t>
  </si>
  <si>
    <t>I1561</t>
  </si>
  <si>
    <t>PAPEL DE PAREDE</t>
  </si>
  <si>
    <t>I1595</t>
  </si>
  <si>
    <t>PASTA DE CIMENTO BRANCO</t>
  </si>
  <si>
    <t>I8349</t>
  </si>
  <si>
    <t>PASTILHA 5x5cm</t>
  </si>
  <si>
    <t>I1598</t>
  </si>
  <si>
    <t>PASTILHA DE PORCELANA ESMALTADA</t>
  </si>
  <si>
    <t>I1531</t>
  </si>
  <si>
    <t>PASTILHA DE VIDRO (MOSAICO VIDROSO) 2X2CM</t>
  </si>
  <si>
    <t>I2484</t>
  </si>
  <si>
    <t>I1603</t>
  </si>
  <si>
    <t>PEDRAS NATURAIS DECORATIVAS</t>
  </si>
  <si>
    <t>I1604</t>
  </si>
  <si>
    <t>PEDRAS NATURAIS DECORATIVAS POLIDAS</t>
  </si>
  <si>
    <t>I1608</t>
  </si>
  <si>
    <t>PEITORIL DE MARMORE  - 25CM</t>
  </si>
  <si>
    <t>I1607</t>
  </si>
  <si>
    <t>PEITORIL DE MARMORE - 15CM</t>
  </si>
  <si>
    <t>I2485</t>
  </si>
  <si>
    <t>I1609</t>
  </si>
  <si>
    <t>PEITORIL PRE-MOLDADO DE GRANILITE DE L= 10 cm</t>
  </si>
  <si>
    <t>I1610</t>
  </si>
  <si>
    <t>PEITORIS DE GRANITO 15CM</t>
  </si>
  <si>
    <t>I1644</t>
  </si>
  <si>
    <t>PEÇA ' L' DE ANCORAGEM</t>
  </si>
  <si>
    <t>I1653</t>
  </si>
  <si>
    <t>PISO ANTIDERR. NITROPISO TF-5000, SELADO C/FC-140</t>
  </si>
  <si>
    <t>I1655</t>
  </si>
  <si>
    <t>PISO CERÂMICO GAIL 240X115X14 MM</t>
  </si>
  <si>
    <t>I1660</t>
  </si>
  <si>
    <t>PISO DE BORRACHA (LENCOL) ANTIDERRAPANTE TIPO GRAO DE ARROZ</t>
  </si>
  <si>
    <t>I1657</t>
  </si>
  <si>
    <t>PISO DE BORRACHA 50X50CM ESPESSURA 13MM</t>
  </si>
  <si>
    <t>I1656</t>
  </si>
  <si>
    <t>PISO DE BORRACHA 50x50cm ESPESSURA 7,5mm</t>
  </si>
  <si>
    <t>I2396</t>
  </si>
  <si>
    <t>I1661</t>
  </si>
  <si>
    <t>PISO PEDRA CARIRI E=2CM</t>
  </si>
  <si>
    <t>I8623</t>
  </si>
  <si>
    <t>PISO TÁTIL ALERTA OU DIRECIONAL EM PMC (CONCRETO) ESP. 3cm</t>
  </si>
  <si>
    <t>I8622</t>
  </si>
  <si>
    <t>PISO TÁTIL ALERTA OU DIRECIONAL EMBORRACHADO COR PRETO</t>
  </si>
  <si>
    <t>I1509</t>
  </si>
  <si>
    <t xml:space="preserve">PISO/ REVESTIMENTO EM MARMORE POLIDO BRANCO, ESP.=3CM
</t>
  </si>
  <si>
    <t>I1670</t>
  </si>
  <si>
    <t>PLACA DE MÁRMORE PADRONIZADA 15X30CM</t>
  </si>
  <si>
    <t>I6632</t>
  </si>
  <si>
    <t>PLACA EM FIBRA DE VIDRO ESP=3mm</t>
  </si>
  <si>
    <t>I6503</t>
  </si>
  <si>
    <t xml:space="preserve">PORCELANATO RETIFICADO NATURAL (FOSCO ESMALTADO)
</t>
  </si>
  <si>
    <t>I6501</t>
  </si>
  <si>
    <t xml:space="preserve">PORCELANATO RETIFICADO POLIDO 
</t>
  </si>
  <si>
    <t>I9532</t>
  </si>
  <si>
    <t>PRATELEIRA EM MARMORE POLIDO NATURAL E=3cm</t>
  </si>
  <si>
    <t>I1820</t>
  </si>
  <si>
    <t>REVESTIMENTO EPÓXICO PARA PISOS</t>
  </si>
  <si>
    <t>I1821</t>
  </si>
  <si>
    <t>REVESTIMENTO METÁLICO, TIPO REYNOBOND, DUAS CHAPAS</t>
  </si>
  <si>
    <t>I1822</t>
  </si>
  <si>
    <t>REVESTIMENTO TEXTURADO PERMALIT DESEMPENADEIRA 222</t>
  </si>
  <si>
    <t>I1823</t>
  </si>
  <si>
    <t>REVESTIMENTO TEXTURADO PERMALIT-ROLO 444</t>
  </si>
  <si>
    <t>I7497</t>
  </si>
  <si>
    <t>I1828</t>
  </si>
  <si>
    <t>RODAPÉ DE MÁRMORE - 10CM</t>
  </si>
  <si>
    <t>I1830</t>
  </si>
  <si>
    <t>RODAPÉ PRE-MOLDADO DE GRANILITE DE 10CM</t>
  </si>
  <si>
    <t>I1880</t>
  </si>
  <si>
    <t>SOLEIRA DE GRANITO DE 15CM</t>
  </si>
  <si>
    <t>I1881</t>
  </si>
  <si>
    <t>SOLEIRA DE GRANITO DE 25CM</t>
  </si>
  <si>
    <t>I1882</t>
  </si>
  <si>
    <t>SOLEIRA DE MARMORE DE 15CM</t>
  </si>
  <si>
    <t>I1883</t>
  </si>
  <si>
    <t>SOLEIRA DE MARMORE DE 25CM</t>
  </si>
  <si>
    <t>I2495</t>
  </si>
  <si>
    <t>I1884</t>
  </si>
  <si>
    <t>SOLEIRA PRE-MOLDADA DE GRANILITE DE 15CM</t>
  </si>
  <si>
    <t>I1885</t>
  </si>
  <si>
    <t>SOLEIRA PRE-MOLDADA DE GRANILITE DE 25CM</t>
  </si>
  <si>
    <t>I1900</t>
  </si>
  <si>
    <t>SUPORTE MÁRMORE PARA FILTRO</t>
  </si>
  <si>
    <t>I1938</t>
  </si>
  <si>
    <t>TAPETE TIPO TABACOW, DE 6MM A 10MM (COLOCADO)</t>
  </si>
  <si>
    <t>I1939</t>
  </si>
  <si>
    <t>TAPETE TIPO TABACOW,ATE 6MM (COLOCADO)</t>
  </si>
  <si>
    <t>I2034</t>
  </si>
  <si>
    <t>TELA DE ACABAMENTO NO FORRO - E. EOLICO</t>
  </si>
  <si>
    <t>I2078</t>
  </si>
  <si>
    <t>TESTEIRA EXTRUDIDA PARA DEGRAUS</t>
  </si>
  <si>
    <t>I2157</t>
  </si>
  <si>
    <t>TRILHO DE ALUMINIO PARA FORRO DE GESSO</t>
  </si>
  <si>
    <t>COTAÇÃO / SERVIÇOS EMPREITADOS</t>
  </si>
  <si>
    <t>I8224</t>
  </si>
  <si>
    <t>BALANÇA ELETRÔNICA C/ OPLATAFORMA 18x3, CAP. 80 TON. (FORN./MONTAGEM)</t>
  </si>
  <si>
    <t>I7545</t>
  </si>
  <si>
    <t>CENTRAL DE TELEFONIA C/ 50 RAMAIS E 10LINHAS TRONCO (FORN./MONTAGEM)</t>
  </si>
  <si>
    <t>I7975</t>
  </si>
  <si>
    <t>I0865</t>
  </si>
  <si>
    <t>CORTE DE PERFIL DUPLO I DE 10" X 4"X 5/8"</t>
  </si>
  <si>
    <t>I0866</t>
  </si>
  <si>
    <t>CORTE DE PERFIL DUPLO I DE 12" X 5"X 1/4"</t>
  </si>
  <si>
    <t>I0867</t>
  </si>
  <si>
    <t>CORTE DE PERFIL METALICO I DE 10"X4"X5/8"</t>
  </si>
  <si>
    <t>I0868</t>
  </si>
  <si>
    <t>CORTE DE PERFIL METALICO I DE 12"X 5"X 1/4"</t>
  </si>
  <si>
    <t>I0869</t>
  </si>
  <si>
    <t>CORTE DE SUPERFICIE C/DISCO DIAMANTADO</t>
  </si>
  <si>
    <t>I8686</t>
  </si>
  <si>
    <t>CRAVAÇÃO DE PERFIL METÁLICO "I" OU "H"</t>
  </si>
  <si>
    <t>I7976</t>
  </si>
  <si>
    <t>I7942</t>
  </si>
  <si>
    <t>I8320</t>
  </si>
  <si>
    <t>DIVISÓRIA DE GESSO ACARTONADO e=48mm, S/ REVESTIMENTO (MONTADA)</t>
  </si>
  <si>
    <t>I8321</t>
  </si>
  <si>
    <t>DIVISÓRIA DE GESSO ACARTONADO e=70mm, S/ REVESTIMENTO (MONTADA)</t>
  </si>
  <si>
    <t>I8314</t>
  </si>
  <si>
    <t>DIVISÓRIA PAINEL CELULAR, MONTANTE/RODAPÉ DUPLO, PERFIL EM ALUMÍNIO (MONTADA)</t>
  </si>
  <si>
    <t>I8312</t>
  </si>
  <si>
    <t>DIVISÓRIA PAINEL CELULAR, MONTANTE/RODAPÉ DUPLO, PERFIL EM AÇO (MONTADA)</t>
  </si>
  <si>
    <t>I8313</t>
  </si>
  <si>
    <t>DIVISÓRIA PAINEL CELULAR, MONTANTE/RODAPÉ SIMPLES, PERFIL EM ALUMÍNIO (MONTADA)</t>
  </si>
  <si>
    <t>I8311</t>
  </si>
  <si>
    <t>DIVISÓRIA PAINEL CELULAR, MONTANTE/RODAPÉ SIMPLES, PERFIL EM AÇO (MONTADA)</t>
  </si>
  <si>
    <t>I8325</t>
  </si>
  <si>
    <t>DIVISÓRIA PAINEL FIBRAROC, MONTANTE/RODAPÉ DUPLO, PERFIL EM ALUMÍNIO (MONTADA)</t>
  </si>
  <si>
    <t>I8324</t>
  </si>
  <si>
    <t>DIVISÓRIA PAINEL FIBRAROC, MONTANTE/RODAPÉ DUPLO, PERFIL EM AÇO (MONTADA)</t>
  </si>
  <si>
    <t>I8323</t>
  </si>
  <si>
    <t>DIVISÓRIA PAINEL FIBRAROC, MONTANTE/RODAPÉ SIMPLES, PERFIL EM ALUMÍNIO (MONTADA)</t>
  </si>
  <si>
    <t>I8322</t>
  </si>
  <si>
    <t>DIVISÓRIA PAINEL FIBRAROC, MONTANTE/RODAPÉ SIMPLES, PERFIL EM AÇO (MONTADA)</t>
  </si>
  <si>
    <t>I8319</t>
  </si>
  <si>
    <t>DIVISÓRIA PAINEL PVC, MONTANTE/RODAPÉ SIMPLES, PERFIL EM ALUMÍNIO (MONTADA)</t>
  </si>
  <si>
    <t>I8318</t>
  </si>
  <si>
    <t>DIVISÓRIA PAINEL PVC, MONTANTE/RODAPÉ SIMPLES, PERFIL EM AÇO (MONTADA)</t>
  </si>
  <si>
    <t>I8189</t>
  </si>
  <si>
    <t>I8235</t>
  </si>
  <si>
    <t>I8238</t>
  </si>
  <si>
    <t>ESTRUTURA PRÉ-FABRICADA EM AÇO GALVANIZADO PARA ESCADA (FORNECIMENTO E MONTAGEM)</t>
  </si>
  <si>
    <t>I8261</t>
  </si>
  <si>
    <t>I9048</t>
  </si>
  <si>
    <t>FIXADOR POLIAMIDA PARA POSTE, NAS CORES VERDE OU BRANCA</t>
  </si>
  <si>
    <t>I7456</t>
  </si>
  <si>
    <t>FORMA DE PAPELÃO RESINADO TIPO ESTRUTUBOS D=1,20 M (FORNECIMENTO/MONTAGEM/DESMONTAGEM)</t>
  </si>
  <si>
    <t>I8306</t>
  </si>
  <si>
    <t>FORRO ACÚSTICO EM PLACAS DE FIBRA MINERAL C/PERFIL "CARTOLA" EM ALUMÍNIO (INSTALADO)</t>
  </si>
  <si>
    <t>I8305</t>
  </si>
  <si>
    <t>FORRO ACÚSTICO EM PLACAS DE FIBRA MINERAL C/PERFIL "T" EM ALUMÍNIO (INSTALADO)</t>
  </si>
  <si>
    <t>I8304</t>
  </si>
  <si>
    <t>FORRO ACÚSTICO EM PLACAS DE FIBRA MINERAL C/PERFIL "T" EM AÇO (INSTALADO)</t>
  </si>
  <si>
    <t>I9105</t>
  </si>
  <si>
    <t>FORRO BOREAL MODULADO ESTRUTURADO (25X625X1250MM), COM PERFIL T LEVE EM AÇO BRANCO E TRATAMENTO TERMO-ACÚSTICO EM LÃ DE VIDRO, FECHAMENTO EM PELÍCULA DE PVC PERFURADO OU EQUIVALENTE (INSTALADO)</t>
  </si>
  <si>
    <t>I8291</t>
  </si>
  <si>
    <t>FORRO DE GESSO ACARTONADO ARAMADO (INSTALADO)</t>
  </si>
  <si>
    <t>I8292</t>
  </si>
  <si>
    <t>FORRO DE GESSO ACARTONADO ESTRUTURADO (INSTALADO)</t>
  </si>
  <si>
    <t>I8288</t>
  </si>
  <si>
    <t>FORRO DE GESSO CONVENCIONAL (60x60)cm COM TIRO E ARAME GALVANIZADO ENCAPADO (INSTALADO)</t>
  </si>
  <si>
    <t>I8289</t>
  </si>
  <si>
    <t>FORRO DE GESSO CONVENCIONAL (60x60)cm SEM TIRO E ARAME GALVANIZADO ENCAPADO (INSTALADO)</t>
  </si>
  <si>
    <t>I8310</t>
  </si>
  <si>
    <t>FORRO PACOTE C/ PERFIL "CARTOLA" EM ALUMÍNIO (INSTALADO)</t>
  </si>
  <si>
    <t>I8309</t>
  </si>
  <si>
    <t>FORRO PACOTE C/ PERFIL "CARTOLA" EM AÇO (INSTALADO)</t>
  </si>
  <si>
    <t>I8308</t>
  </si>
  <si>
    <t>FORRO PACOTE C/ PERFIL "T" EM ALUMÍNIO (INSTALADO)</t>
  </si>
  <si>
    <t>I8307</t>
  </si>
  <si>
    <t>FORRO PACOTE C/ PERFIL "T" EM AÇO (INSTALADO)</t>
  </si>
  <si>
    <t>I8297</t>
  </si>
  <si>
    <t>FORRO PVC - COLMÉIA (INSTALADO)</t>
  </si>
  <si>
    <t>I8293</t>
  </si>
  <si>
    <t>FORRO PVC - LAMBRI (100x6000 OU 200x6000)mm. DE 8MM A 10MM. INCLUSIVE ESTRUTURA DE FIXAÇÃO (INSTALADO)</t>
  </si>
  <si>
    <t>I8296</t>
  </si>
  <si>
    <t>FORRO PVC - MODULADO (618x1250)mm C/ PERFIL "CARTOLA" EM ALUMÍNIO (INSTALADO)</t>
  </si>
  <si>
    <t>I8295</t>
  </si>
  <si>
    <t>FORRO PVC - MODULADO (618x1250)mm C/ PERFIL "T" EM ALUMÍNIO (INSTALADO)</t>
  </si>
  <si>
    <t>I8294</t>
  </si>
  <si>
    <t>FORRO PVC - MODULADO (618x1250)mm C/ PERFIL "T" EM AÇO (INSTALADO)</t>
  </si>
  <si>
    <t>I7540</t>
  </si>
  <si>
    <t>IMPERMEABILIZAÇÃO DE ACABAMENTO C/ HEYDICRYL PLUS, COR BRANCA,CONSUMO 3,0 KG/M2, REFORÇADO C/ TELA DE PLIESTER MALHA 2x2m</t>
  </si>
  <si>
    <t>I8339</t>
  </si>
  <si>
    <t>JANELA EM ALUMÍNIO ANODIZADO NATURAL/FOSCO, DE CORRER, COM BANDEIROLA E/OU PEITORIL, SEM VIDRO (COLOCADA)</t>
  </si>
  <si>
    <t>I8337</t>
  </si>
  <si>
    <t>JANELA EM ALUMÍNIO ANODIZADO NATURAL/FOSCO, DE CORRER, SEM BANDEIROLA E/OU PEITORIL, SEM VIDRO (COLOCADA)</t>
  </si>
  <si>
    <t>I8345</t>
  </si>
  <si>
    <t>JANELA EM ALUMÍNIO ANODIZADO PRETO, DE CORRER, COM BANDEIROLA E/OU PEITORIL, SEM VIDRO (COLOCADA)</t>
  </si>
  <si>
    <t>I8343</t>
  </si>
  <si>
    <t>JANELA EM ALUMÍNIO ANODIZADO PRETO, DE CORRER, SEM BANDEIROLA E/OU PEITORIL, SEM VIDRO (COLOCADA)</t>
  </si>
  <si>
    <t>I0175</t>
  </si>
  <si>
    <t>I0499</t>
  </si>
  <si>
    <t>I0472</t>
  </si>
  <si>
    <t>I7980</t>
  </si>
  <si>
    <t>I9151</t>
  </si>
  <si>
    <t>PAINEL NYLOFOR 1,03M x 2,5M (A X L) - MALHA 5 x 20 CM - FIO 4,30MM, REVESTIDO EM POLIESTER POR PROCESSO DE PINTURA ELETROSTÁTICA, NAS CORES VERDE OU BRANCA</t>
  </si>
  <si>
    <t>I9153</t>
  </si>
  <si>
    <t>PAINEL NYLOFOR 1,03M x 2,5M (A X L) - MALHA 5 x 20 CM - FIO 5,00MM, REVESTIDO EM POLIESTER POR PROCESSO DE PINTURA ELETROSTÁTICA, NAS CORES VERDE OU BRANCA</t>
  </si>
  <si>
    <t>I9044</t>
  </si>
  <si>
    <t>PAINEL NYLOFOR 1,53M x 2,5M (A X L) - MALHA 5 x 20 CM - FIO 4,30MM, REVESTIDO EM POLIESTER POR PROCESSO DE PINTURA ELETROSTÁTICA, NAS CORES VERDE OU BRANCA</t>
  </si>
  <si>
    <t>I9041</t>
  </si>
  <si>
    <t>PAINEL NYLOFOR 1,53M x 2,5M (A X L) - MALHA 5 x 20 CM - FIO 5,00MM, REVESTIDO EM POLIESTER POR PROCESSO DE PINTURA ELETROSTÁTICA, NAS CORES VERDE OU BRANCA</t>
  </si>
  <si>
    <t>I9043</t>
  </si>
  <si>
    <t>PAINEL NYLOFOR 2,03M x 2,5M (A X L) - MALHA 5 x 20 CM - FIO 4,30MM, REVESTIDO EM POLIESTER POR PROCESSO DE PINTURA ELETROSTÁTICA, NAS CORES VERDE OU BRANCA</t>
  </si>
  <si>
    <t>I9040</t>
  </si>
  <si>
    <t>PAINEL NYLOFOR 2,03M x 2,5M (A X L) - MALHA 5 x 20 CM - FIO 5,00MM, REVESTIDO EM POLIESTER POR PROCESSO DE PINTURA ELETROSTÁTICA, NAS CORES VERDE OU BRANCA</t>
  </si>
  <si>
    <t>I9042</t>
  </si>
  <si>
    <t>PAINEL NYLOFOR 2,43M x 2,5M (A X L) - MALHA 5 x 20 CM - FIO 4,30MM, REVESTIDO EM POLIESTER POR PROCESSO DE PINTURA ELETROSTÁTICA, NAS CORES VERDE OU BRANCA</t>
  </si>
  <si>
    <t>I9039</t>
  </si>
  <si>
    <t xml:space="preserve">PAINEL NYLOFOR 2,43M x 2,5M (A X L) - MALHA 5 x 20 CM - FIO 5MM, REVESTIDO EM POLIESTER POR PROCESSO DE PINTURA ELETROSTÁTICA, NAS CORES VERDE OU BRANCA
</t>
  </si>
  <si>
    <t>I8333</t>
  </si>
  <si>
    <t>PAREDE DE BLOCO DE GESSO HIDROFUGANTE, INCLUSIVE EMASSAMENTO (EXECUTADO)</t>
  </si>
  <si>
    <t>I8332</t>
  </si>
  <si>
    <t>PAREDE DE BLOCO DE GESSO STAND, INCLUSIVE EMASSAMENTO (EXECUTADO)</t>
  </si>
  <si>
    <t>I7332</t>
  </si>
  <si>
    <t xml:space="preserve">PERFURAÇÃO DE POÇO PROFUNDO D=6" COMPLETAMENTE EXECUTADO
</t>
  </si>
  <si>
    <t>I13299</t>
  </si>
  <si>
    <t>PISO EMBORRACHADO DRENANTE E ANTI-IMPACTO, COMPOSTO POR PARTÍCULAS DE BORRACHA RECICLADA PRENSADA, PIGMENTADA E ATÓXICA, 50X50X4CM (EXECUTADO)</t>
  </si>
  <si>
    <t>I9143</t>
  </si>
  <si>
    <t>PISO EMBORRACHADO E ANTI-IMPACTO, COMPOSTO POR PARTÍCULAS DE BORRACHA RECICLADA PRENSADA, PIGMENTADA E ATÓXICA (COLOCADO)</t>
  </si>
  <si>
    <t>I7969</t>
  </si>
  <si>
    <t>PISO MONOLÍTICO DE POLIURETANO, ANTIDERRAPANTE, AUTONIVELANTE, S/ JUNTA</t>
  </si>
  <si>
    <t>I7541</t>
  </si>
  <si>
    <t>PISO TIPO MONOLÍTICO DE ALTA RESISTÊNCIA, DE BAIXA ESPESSURA, DE POLIURETANO ANTIDERRAPANTE, S/ JUNTAS, TIPO DUROCOR OU SIMILAR (FORN/MONT)</t>
  </si>
  <si>
    <t>I8328</t>
  </si>
  <si>
    <t>PISO VINÍLICO TIPO "PAVIFLEX", e=1,6mm (COLOCADO)</t>
  </si>
  <si>
    <t>I8329</t>
  </si>
  <si>
    <t>PISO VINÍLICO TIPO "PAVIFLEX", e=2,0mm (COLOCADO)</t>
  </si>
  <si>
    <t>I7920</t>
  </si>
  <si>
    <t>I8248</t>
  </si>
  <si>
    <t>PORTA DE MADEIRA TIPO VENEZIANA 0,60 x 1,80 (FORNECIMENTO E MONTAGEM)</t>
  </si>
  <si>
    <t>I8342</t>
  </si>
  <si>
    <t>PORTA EM ALUMÍNIO ANODIZADO NATURAL/FOSCO, DE ABRIR, COM BANDEIROLA E/OU PEITORIL, SEM VIDRO</t>
  </si>
  <si>
    <t>I8341</t>
  </si>
  <si>
    <t>PORTA EM ALUMÍNIO ANODIZADO NATURAL/FOSCO, DE ABRIR, SEM BANDEIROLA E/OU PEITORIL, SEM VIDRO</t>
  </si>
  <si>
    <t>I8340</t>
  </si>
  <si>
    <t>PORTA EM ALUMÍNIO ANODIZADO NATURAL/FOSCO, DE CORRER, COM BANDEIROLA E/OU PEITORIL, SEM VIDRO</t>
  </si>
  <si>
    <t>I8338</t>
  </si>
  <si>
    <t>PORTA EM ALUMÍNIO ANODIZADO NATURAL/FOSCO, DE CORRER, SEM BANDEIROLA E/OU PEITORIL, SEM VIDRO</t>
  </si>
  <si>
    <t>I8348</t>
  </si>
  <si>
    <t>PORTA EM ALUMÍNIO ANODIZADO PRETO, DE ABRIR, COM BANDEIROLA E/OU PEITORIL, SEM VIDRO</t>
  </si>
  <si>
    <t>I8347</t>
  </si>
  <si>
    <t>PORTA EM ALUMÍNIO ANODIZADO PRETO, DE ABRIR, SEM BANDEIROLA E/OU PEITORIL, SEM VIDRO</t>
  </si>
  <si>
    <t>I8346</t>
  </si>
  <si>
    <t>PORTA EM ALUMÍNIO ANODIZADO PRETO, DE CORRER, COM BANDEIROLA E/OU PEITORIL, SEM VIDRO</t>
  </si>
  <si>
    <t>I8344</t>
  </si>
  <si>
    <t>PORTA EM ALUMÍNIO ANODIZADO PRETO, DE CORRER, SEM BANDEIROLA E/OU PEITORIL, SEM VIDRO</t>
  </si>
  <si>
    <t>I8437</t>
  </si>
  <si>
    <t xml:space="preserve">PORTÃO DESLIZANTE NYLOFOR, COMPOSTO DE QUADRO, PAINÉIS E ACESSÓRIOS COM PINTURA ELETROSTÁTICA COM TINTA POLIESTER, NAS CORES VERDE OU BRANCA, COM POSTE EM AÇO REVESTIDO, COR VERDE OU BRANCA - FORNECIMENTO E MONTAGEM
</t>
  </si>
  <si>
    <t>I8249</t>
  </si>
  <si>
    <t>PORTÃO EM ALUMÍNIO EM TUBOS DE 20 mm (FORNECIMENTO E MONTAGEM)</t>
  </si>
  <si>
    <t>I8436</t>
  </si>
  <si>
    <t xml:space="preserve">PORTÃO PIVOTANTE NYLOFOR, COMPOSTO DE QUADRO, PAINÉIS E ACESSÓRIOS COM PINTURA ELETROSTÁTICA COM TINTA POLIESTER, NAS CORES VERDE OU BRANCA, COM POSTE EM AÇO REVESTIDO, COR VERDE OU BRANCA - FORNECIMENTO E MONTAGEM
</t>
  </si>
  <si>
    <t>I9046</t>
  </si>
  <si>
    <t>POSTE 40 x 60 MM, PINTURA ELETROSTÁTICA EM POLIESTER, NAS CORES VERDE OU BRANCA ( H=2,50M - COM TAMPA) CHUMBADO</t>
  </si>
  <si>
    <t>I9152</t>
  </si>
  <si>
    <t>POSTE 40 x 60 MM, PINTURA ELETROSTÁTICA EM POLIESTER, NAS CORES VERDE OU BRANCA (H=1,50M - COM TAMPA) CHUMBADO</t>
  </si>
  <si>
    <t>I9047</t>
  </si>
  <si>
    <t>POSTE 40 x 60 MM, PINTURA ELETROSTÁTICA EM POLIESTER, NAS CORES VERDE OU BRANCA (H=2,00M - COM TAMPA) CHUMBADO</t>
  </si>
  <si>
    <t>I9045</t>
  </si>
  <si>
    <t>POSTE 40 x 60 MM, PINTURA ELETROSTÁTICA EM POLIESTER, NAS CORES VERDE OU BRANCA (H=3,20M - COM TAMPA) CHUMBADO</t>
  </si>
  <si>
    <t>I9069</t>
  </si>
  <si>
    <t>POÇO TUBULAR C/ TUBO GEOMECÂNICO DE 6`` PROFUNDIDADE 100M, COMPLETAMENTE EXECUTADO, INCLUSIVE MARCAÇÃO (FORNECIMENTO E EXECUÇÃO)</t>
  </si>
  <si>
    <t>I9488</t>
  </si>
  <si>
    <t>I9489</t>
  </si>
  <si>
    <t>I8335</t>
  </si>
  <si>
    <t>REBOCO DE GESSO SOBRE BLOCO DE CONCRETO E/OU TIJOLO CERÂMICO</t>
  </si>
  <si>
    <t>I8334</t>
  </si>
  <si>
    <t>REBOCO DE GESSO SOBRE GESSO E/OU EMBOÇO</t>
  </si>
  <si>
    <t>I7509</t>
  </si>
  <si>
    <t>REDE DE GÁS P/ COZINHA</t>
  </si>
  <si>
    <t>I7944</t>
  </si>
  <si>
    <t>I7940</t>
  </si>
  <si>
    <t>I6807</t>
  </si>
  <si>
    <t>I8336</t>
  </si>
  <si>
    <t>REMANEJAMENTO DE FORROS (PACOTE / MODULADOS)</t>
  </si>
  <si>
    <t>I7368</t>
  </si>
  <si>
    <t>REMANEJAMENTO DE GRELHA DE INSUFLAMENTO/RETORNO ATÉ 0,25 M2</t>
  </si>
  <si>
    <t>I7369</t>
  </si>
  <si>
    <t>REMANEJAMENTO DE GRELHA DE INSUFLAMENTO/RETORNO DE 0,26 M2 ATÉ 0,49 M2</t>
  </si>
  <si>
    <t>I7370</t>
  </si>
  <si>
    <t>REMANEJAMENTO DE GRELHA DE INSUFLAMENTO/RETORNO DE 0,50 M2 ATÉ 0,64M2</t>
  </si>
  <si>
    <t>I7371</t>
  </si>
  <si>
    <t>REMANEJAMENTO DE GRELHA DE INSUFLAMENTO/RETORNO DE 0,65 M2 À 0,81 M2</t>
  </si>
  <si>
    <t>I7372</t>
  </si>
  <si>
    <t>REMANEJAMENTO DE GRELHA DE INSUFLAMENTO/RETORNO DE 0,81 M2 ATÉ 1,00 M2</t>
  </si>
  <si>
    <t>I8330</t>
  </si>
  <si>
    <t>RODAPÉ VINÍLICO, H=5cm (FORNECIMENTO E COLOCAÇÃO)</t>
  </si>
  <si>
    <t>I8331</t>
  </si>
  <si>
    <t>SANCA DE GESSO P/ FORRO ACARTONADO (FORNECIMENTO E COLOCAÇÃO)</t>
  </si>
  <si>
    <t>I8290</t>
  </si>
  <si>
    <t>SANCA DE GESSO P/ FORRO CONVENCIONAL (FORNECIMENTO E COLOCAÇÃO)</t>
  </si>
  <si>
    <t>I9492</t>
  </si>
  <si>
    <t>I9490</t>
  </si>
  <si>
    <t>I9491</t>
  </si>
  <si>
    <t>I9049</t>
  </si>
  <si>
    <t>SERVIÇO - COLOCAÇÃO E MONTAGEM DE CERCA/GRADIL NYLOFOR</t>
  </si>
  <si>
    <t>I7406</t>
  </si>
  <si>
    <t>SERVIÇO DE SONDAGEM  ROTATIVA</t>
  </si>
  <si>
    <t>I0454</t>
  </si>
  <si>
    <t>I0412</t>
  </si>
  <si>
    <t>I1860</t>
  </si>
  <si>
    <t>SERVIÇOS DE SONDAGEM À PERCUSSÃO</t>
  </si>
  <si>
    <t>I7979</t>
  </si>
  <si>
    <t>I8687</t>
  </si>
  <si>
    <t>SOLDA DE TOPO EM PERFIL METÁLICO "I" OU "H"</t>
  </si>
  <si>
    <t>I1878</t>
  </si>
  <si>
    <t>SOLDA LONGITUDINAL EM PERFIL METALICO - EMPREIT</t>
  </si>
  <si>
    <t>I8316</t>
  </si>
  <si>
    <t>VÃO DE PORTA - PORTA COMPLETA C/ FECHADURA TIPO CILINDRO, P/ DIVISÓRIAS EM GERAL (COM REQUADRO EM ALUMÍNIO)</t>
  </si>
  <si>
    <t>I8315</t>
  </si>
  <si>
    <t>VÃO DE PORTA - PORTA COMPLETA C/ FECHADURA TIPO CILINDRO, P/ DIVISÓRIAS EM GERAL (SEM REQUADRO)</t>
  </si>
  <si>
    <t>COTAÇÃO / SINALIZAÇÃO</t>
  </si>
  <si>
    <t>I2505</t>
  </si>
  <si>
    <t>DEFENSAS METALICAS SIMPLES</t>
  </si>
  <si>
    <t>ML</t>
  </si>
  <si>
    <t>I2515</t>
  </si>
  <si>
    <t>FITA REFLETIVA</t>
  </si>
  <si>
    <t>I2521</t>
  </si>
  <si>
    <t>MICRO ESFERA DE VIDRO</t>
  </si>
  <si>
    <t>I8430</t>
  </si>
  <si>
    <t>PELÍCULA REFLETIVA LENTES EXPOSTAS</t>
  </si>
  <si>
    <t>I8429</t>
  </si>
  <si>
    <t>PELÍCULA REFLETIVA LENTES INCLUSAS</t>
  </si>
  <si>
    <t>I2695</t>
  </si>
  <si>
    <t>PLACA REFLETIVA DE ACO GALVANIZADO</t>
  </si>
  <si>
    <t>I2572</t>
  </si>
  <si>
    <t>PLACA REFLETIVA DE ALUMINIO C/PELICULA ANTI-PICHANTE</t>
  </si>
  <si>
    <t>I2696</t>
  </si>
  <si>
    <t>PLACA REFLETIVA DE ALUMÍNIO</t>
  </si>
  <si>
    <t>I2573</t>
  </si>
  <si>
    <t>PLACA REFLETIVA DE AÇO GALVANIZADO C/PELICULA ANTI-PICHANTE</t>
  </si>
  <si>
    <t>I2574</t>
  </si>
  <si>
    <t>PLACA REFLETIVA DE POLIESTER DE FIBRA DE VIDRO C/PELICULA ANTI-PICHANTE</t>
  </si>
  <si>
    <t>I2697</t>
  </si>
  <si>
    <t>PLACA REFLETIVA DE POLIÉSTER DE FIBRA DE VIDRO</t>
  </si>
  <si>
    <t>I2575</t>
  </si>
  <si>
    <t>PLACA SEMI REFLETIVA DE ALUMINIO C/PELICULA ANTI-PICHANTE</t>
  </si>
  <si>
    <t>I2699</t>
  </si>
  <si>
    <t>PLACA SEMI REFLETIVA DE ALUMÍNIO</t>
  </si>
  <si>
    <t>I2698</t>
  </si>
  <si>
    <t>PLACA SEMI REFLETIVA DE AÇO GALVANIZADO</t>
  </si>
  <si>
    <t>I2576</t>
  </si>
  <si>
    <t>PLACA SEMI REFLETIVA DE AÇO GALVANIZADO C/PELICULA ANTI-PICHANTE</t>
  </si>
  <si>
    <t>I2700</t>
  </si>
  <si>
    <t>PLACA SEMI REFLETIVA DE POLIÉSTER C/ FIBRA DE VIDRO</t>
  </si>
  <si>
    <t>I2577</t>
  </si>
  <si>
    <t>PLACA SEMI REFLETIVA DE POLIÉSTER C/FIBRA DE VIDRO C/PELICULA ANTI-PICHANTE</t>
  </si>
  <si>
    <t>I6685</t>
  </si>
  <si>
    <t>SEGREGADOR DE TRAFEGO TIPO JABOTI  D=25cm  E  H=15cm</t>
  </si>
  <si>
    <t>I2533</t>
  </si>
  <si>
    <t>SOLVENTE (TOLUENO)</t>
  </si>
  <si>
    <t>I8362</t>
  </si>
  <si>
    <t>TACHAS BIDIRECIONAIS</t>
  </si>
  <si>
    <t>I2536</t>
  </si>
  <si>
    <t>TACHAS MONODIRECIONAIS</t>
  </si>
  <si>
    <t>I8363</t>
  </si>
  <si>
    <t>TACHÕES BIDIRECIONAIS</t>
  </si>
  <si>
    <t>I2537</t>
  </si>
  <si>
    <t>TACHÕES MONODIRECIONAIS</t>
  </si>
  <si>
    <t>I2539</t>
  </si>
  <si>
    <t>TARTARUGAS PARA SINALIZAÇÃO</t>
  </si>
  <si>
    <t>I2540</t>
  </si>
  <si>
    <t>TINTA REFLETIVA RESINA ACRÍLICA (P/SINALIZAÇÃO)</t>
  </si>
  <si>
    <t>I2541</t>
  </si>
  <si>
    <t>TINTA REFLETIVA/RESINA ACRÍLICA A BASE D`AGUA</t>
  </si>
  <si>
    <t>COTAÇÃO / TELHAS</t>
  </si>
  <si>
    <t>I8222</t>
  </si>
  <si>
    <t>ABÓBADA DE POLICARBONATO TRANSPARENTE</t>
  </si>
  <si>
    <t>I0032</t>
  </si>
  <si>
    <t>AFASTADOR FIBROCIMENTO (CANALETE 90)</t>
  </si>
  <si>
    <t>I0136</t>
  </si>
  <si>
    <t>ARRUELA DE PVC RIGIDO</t>
  </si>
  <si>
    <t>I0139</t>
  </si>
  <si>
    <t>ARRUELA PLASTICA 4X16</t>
  </si>
  <si>
    <t>I0446</t>
  </si>
  <si>
    <t>CALCO PARA TELHA DE MADEIRA COMPENSADA</t>
  </si>
  <si>
    <t>I0470</t>
  </si>
  <si>
    <t>CANTONEIRA FIBROCIMENTO (ONDULADA)</t>
  </si>
  <si>
    <t>I0542</t>
  </si>
  <si>
    <t>CHAPA POLICARBONATO 4MM, FUME</t>
  </si>
  <si>
    <t>I0544</t>
  </si>
  <si>
    <t>CHAPA POLICARBONATO 6MM,ALVEOLAR CRISTAL</t>
  </si>
  <si>
    <t>I0545</t>
  </si>
  <si>
    <t>CHAPA POLICARBONATO 6MM,COMPACTO CRISTAL</t>
  </si>
  <si>
    <t>I0917</t>
  </si>
  <si>
    <t>CUMEEIRA FIBROCIMENTO ARTICULADA (MODULADA)</t>
  </si>
  <si>
    <t>I0918</t>
  </si>
  <si>
    <t>CUMEEIRA FIBROCIMENTO ARTICULADA (VOGATEX)</t>
  </si>
  <si>
    <t>I0919</t>
  </si>
  <si>
    <t>CUMEEIRA FIBROCIMENTO NORMAL (CANALETE 49)</t>
  </si>
  <si>
    <t>I0920</t>
  </si>
  <si>
    <t>CUMEEIRA FIBROCIMENTO NORMAL (CANALETE 90)</t>
  </si>
  <si>
    <t>I0921</t>
  </si>
  <si>
    <t>CUMEEIRA FIBROCIMENTO NORMAL (KALHETA)</t>
  </si>
  <si>
    <t>I0922</t>
  </si>
  <si>
    <t>CUMEEIRA FIBROCIMENTO NORMAL (KALHETAO)</t>
  </si>
  <si>
    <t>I0923</t>
  </si>
  <si>
    <t>CUMEEIRA FIBROCIMENTO NORMAL (MAXIPLAC)</t>
  </si>
  <si>
    <t>I0924</t>
  </si>
  <si>
    <t>CUMEEIRA FIBROCIMENTO NORMAL (ONDULADA)</t>
  </si>
  <si>
    <t>I0925</t>
  </si>
  <si>
    <t>CUMEEIRA FIBROCIMENTO UNIVERSAL (ONDULADA)</t>
  </si>
  <si>
    <t>I2296</t>
  </si>
  <si>
    <t>CUMEEIRA NORMAL P/TELHA DE 6MM, LARGURA 1.10M</t>
  </si>
  <si>
    <t>I13296</t>
  </si>
  <si>
    <t>CUMEEIRA ONDULADA DE ALUMÍNIO 0,50 X 0,50 M</t>
  </si>
  <si>
    <t>I0926</t>
  </si>
  <si>
    <t>CUMEEIRA PARA TELHA CERAMICA</t>
  </si>
  <si>
    <t>I0927</t>
  </si>
  <si>
    <t>CUMEEIRA PARA TELHA DE CONCRETO</t>
  </si>
  <si>
    <t>I0928</t>
  </si>
  <si>
    <t>CUMEEIRA PARA TELHA DE MADEIRA - NORMAL</t>
  </si>
  <si>
    <t>I0929</t>
  </si>
  <si>
    <t>CUMEEIRA TERMOACUSTICA</t>
  </si>
  <si>
    <t>I0930</t>
  </si>
  <si>
    <t>CUMEEIRA TIPO ONDULINE (0,90 X 0,50)M</t>
  </si>
  <si>
    <t>I1039</t>
  </si>
  <si>
    <t>DOMO DE ACRILICO - INDIVIDUAL</t>
  </si>
  <si>
    <t>I1040</t>
  </si>
  <si>
    <t>DOMO DE ACRILICO - MODULAR</t>
  </si>
  <si>
    <t>I1041</t>
  </si>
  <si>
    <t>DOMO DE FIBRA DE VIDRO - INDIVIDUAL</t>
  </si>
  <si>
    <t>I1042</t>
  </si>
  <si>
    <t>DOMO DE FIBRA DE VIDRO - MODULAR</t>
  </si>
  <si>
    <t>I1104</t>
  </si>
  <si>
    <t>ESPAÇADOR (MAXIPLAC)</t>
  </si>
  <si>
    <t>I1161</t>
  </si>
  <si>
    <t>FERRAGEM PARA TELHADOS</t>
  </si>
  <si>
    <t>I1182</t>
  </si>
  <si>
    <t>FIXADOR DE ABA (KALHETA DELTA)</t>
  </si>
  <si>
    <t>I1183</t>
  </si>
  <si>
    <t>FIXADOR DE ABA (KALHETAO)</t>
  </si>
  <si>
    <t>I1184</t>
  </si>
  <si>
    <t>FIXADOR DE ABAS (MAXIPLAC)</t>
  </si>
  <si>
    <t>I1185</t>
  </si>
  <si>
    <t>FIXADOR DE ABAS (MODULADA)</t>
  </si>
  <si>
    <t>I1186</t>
  </si>
  <si>
    <t>FIXADOR DE ABAS C/ ANILHA DE PVC</t>
  </si>
  <si>
    <t>I1187</t>
  </si>
  <si>
    <t>FIXADOR DE ABAS SIMPLES (CANALETE 90)</t>
  </si>
  <si>
    <t>I1214</t>
  </si>
  <si>
    <t>GANCHO CHATO DE 110MM</t>
  </si>
  <si>
    <t>I1215</t>
  </si>
  <si>
    <t>GANCHO COM PORCA E ARRUELA</t>
  </si>
  <si>
    <t>I2348</t>
  </si>
  <si>
    <t>GANCHO DE 450MM</t>
  </si>
  <si>
    <t>I2349</t>
  </si>
  <si>
    <t>GANCHO DE 500MM</t>
  </si>
  <si>
    <t>I1216</t>
  </si>
  <si>
    <t>GANCHO DE ALUMINIO</t>
  </si>
  <si>
    <t>I1514</t>
  </si>
  <si>
    <t>MASSA DE VEDAÇÃO</t>
  </si>
  <si>
    <t>I2398</t>
  </si>
  <si>
    <t>PLACA DE VENTILAÇÃO P/TELHA 49</t>
  </si>
  <si>
    <t>I2399</t>
  </si>
  <si>
    <t>PLACA DE VENTILAÇÃO P/TELHA 90</t>
  </si>
  <si>
    <t>I1834</t>
  </si>
  <si>
    <t>RUFO FIBROCIMENTO (CANALETE 49)</t>
  </si>
  <si>
    <t>I1835</t>
  </si>
  <si>
    <t>RUFO FIBROCIMENTO (CANALETE 90)</t>
  </si>
  <si>
    <t>I1836</t>
  </si>
  <si>
    <t>RUFO FIBROCIMENTO (MAXIPLAC)</t>
  </si>
  <si>
    <t>I1837</t>
  </si>
  <si>
    <t>RUFO FIBROCIMENTO (MODULADA)</t>
  </si>
  <si>
    <t>I1838</t>
  </si>
  <si>
    <t>RUFO FIBROCIMENTO (ONDULADA)</t>
  </si>
  <si>
    <t>I1895</t>
  </si>
  <si>
    <t>SUPORTE DE ABAS SIMPLES (CANELETE 90)</t>
  </si>
  <si>
    <t>I1920</t>
  </si>
  <si>
    <t>TALA DE AJUSTE</t>
  </si>
  <si>
    <t>I1932</t>
  </si>
  <si>
    <t>TAMPÃO FIBROCIMENTO (CANALETE 90)</t>
  </si>
  <si>
    <t>I1933</t>
  </si>
  <si>
    <t>TAMPÃO FIBROCIMENTO (KALHETA DELTA)</t>
  </si>
  <si>
    <t>I1934</t>
  </si>
  <si>
    <t>TAMPÃO FIBROCIMENTO (KALHETÃO)</t>
  </si>
  <si>
    <t>I9141</t>
  </si>
  <si>
    <t>TELHA ALUMINIO ONDULADA, ALTURA = *18* MM, E = 0,7 MM</t>
  </si>
  <si>
    <t>I2041</t>
  </si>
  <si>
    <t>TELHA ALUMÍNIO, MIOLO POLIURETANO, T+ L</t>
  </si>
  <si>
    <t>I2042</t>
  </si>
  <si>
    <t>TELHA ALUMÍNIO, MIOLO POLIURETANO, T+T</t>
  </si>
  <si>
    <t>I2437</t>
  </si>
  <si>
    <t>TELHA CANALETE 49 EM FIBROCIMENTO DE 4.00M</t>
  </si>
  <si>
    <t>I2438</t>
  </si>
  <si>
    <t>TELHA CANALETE 90 EM FIBROCIMENTO DE 6.00M</t>
  </si>
  <si>
    <t>I2043</t>
  </si>
  <si>
    <t>TELHA CERÂMICA , TIPO CANAL C/ ESBARRO"TIMON"</t>
  </si>
  <si>
    <t>I2045</t>
  </si>
  <si>
    <t>TELHA CERÂMICA COLONIAL</t>
  </si>
  <si>
    <t>I2044</t>
  </si>
  <si>
    <t>TELHA CERÂMICA FRANCESA</t>
  </si>
  <si>
    <t>I2046</t>
  </si>
  <si>
    <t>TELHA CERÂMICA PLAN</t>
  </si>
  <si>
    <t>I2047</t>
  </si>
  <si>
    <t>TELHA CERÂMICA,TIPO RETANGULAR C/ ESBARRO"TIMON"</t>
  </si>
  <si>
    <t>I8434</t>
  </si>
  <si>
    <t>I2049</t>
  </si>
  <si>
    <t>TELHA DE CONCRETO 330X419MM</t>
  </si>
  <si>
    <t>I2440</t>
  </si>
  <si>
    <t>TELHA DE FIBROCIMENTO DE 4MM (0.50 x 2.44M)</t>
  </si>
  <si>
    <t>I2050</t>
  </si>
  <si>
    <t>TELHA DE FIBROCIMENTO MAXIPLAC 6MM</t>
  </si>
  <si>
    <t>I2051</t>
  </si>
  <si>
    <t>TELHA DE FIBROCIMENTO ONDULADA - 4MM</t>
  </si>
  <si>
    <t>I2441</t>
  </si>
  <si>
    <t>TELHA DE FIBROCIMENTO ONDULADA 6MM (1.10 x 1.83M)</t>
  </si>
  <si>
    <t>I2052</t>
  </si>
  <si>
    <t>TELHA DE MADEIRA COMPENSADA - ONDULADA</t>
  </si>
  <si>
    <t>I2053</t>
  </si>
  <si>
    <t>TELHA DE POLIESTER ONDULADA</t>
  </si>
  <si>
    <t>I2054</t>
  </si>
  <si>
    <t>TELHA FIBROCIMENTO CANALETE 49</t>
  </si>
  <si>
    <t>I2055</t>
  </si>
  <si>
    <t>TELHA FIBROCIMENTO CANALETE 90</t>
  </si>
  <si>
    <t>I2056</t>
  </si>
  <si>
    <t>TELHA FIBROCIMENTO KALHETA DELTA</t>
  </si>
  <si>
    <t>I2057</t>
  </si>
  <si>
    <t>TELHA FIBROCIMENTO KALHETAO</t>
  </si>
  <si>
    <t>I2058</t>
  </si>
  <si>
    <t>TELHA FIBROCIMENTO MODULADA</t>
  </si>
  <si>
    <t>I2059</t>
  </si>
  <si>
    <t>TELHA FIBROCIMENTO ONDULADA - 6MM</t>
  </si>
  <si>
    <t>I6814</t>
  </si>
  <si>
    <t>TELHA FIBROCIMENTO ONDULADA - 8MM</t>
  </si>
  <si>
    <t>I2060</t>
  </si>
  <si>
    <t>TELHA FIBROCIMENTO VOGATEX</t>
  </si>
  <si>
    <t>I2061</t>
  </si>
  <si>
    <t>TELHA ONDULADA DE PVC RIGIDO</t>
  </si>
  <si>
    <t>I2062</t>
  </si>
  <si>
    <t>TELHA TERMOACUSTICA</t>
  </si>
  <si>
    <t>I2063</t>
  </si>
  <si>
    <t>TELHA TIPO ONDULINE</t>
  </si>
  <si>
    <t>I2064</t>
  </si>
  <si>
    <t>I2067</t>
  </si>
  <si>
    <t>TELHA ZINCADA PRE-PINTADA C/ MONTAGEM KP-120</t>
  </si>
  <si>
    <t>I2068</t>
  </si>
  <si>
    <t>TELHA ZINCADA PRE-PINTADA C/ MONTAGEM KP-135</t>
  </si>
  <si>
    <t>I2069</t>
  </si>
  <si>
    <t>TELHA ZINCADA PRE-PINTADA C/ MONTAGEM KP-150</t>
  </si>
  <si>
    <t>I2065</t>
  </si>
  <si>
    <t>TELHA ZINCADA PRE-PINTADA C/ MONTAGEM KP-90</t>
  </si>
  <si>
    <t>I2066</t>
  </si>
  <si>
    <t>TELHA ZINCADA PRE-PINTADA C/ MONTAGEM MK-90</t>
  </si>
  <si>
    <t>I2102</t>
  </si>
  <si>
    <t>TIRANTE COMPLETO (KALHETAO)</t>
  </si>
  <si>
    <t>I2103</t>
  </si>
  <si>
    <t>TIRANTE DE CONTRA VENTAMENTO P/TELHAS ESTRUT.</t>
  </si>
  <si>
    <t>COTAÇÃO / TINTAS</t>
  </si>
  <si>
    <t>I0035</t>
  </si>
  <si>
    <t>AGUARRÁS MINERAL</t>
  </si>
  <si>
    <t>I0052</t>
  </si>
  <si>
    <t>AMONIA</t>
  </si>
  <si>
    <t>I0440</t>
  </si>
  <si>
    <t>CAL EM PO PARA PINTURA</t>
  </si>
  <si>
    <t>I0817</t>
  </si>
  <si>
    <t>COLA PARA PINTURA</t>
  </si>
  <si>
    <t>I0854</t>
  </si>
  <si>
    <t>CONSERVADO "P" , IMPERMEAVEL</t>
  </si>
  <si>
    <t>I1613</t>
  </si>
  <si>
    <t>CUPINICIDA (PENTOX OU SIMILAR) P/ MADEIRAS</t>
  </si>
  <si>
    <t>I1251</t>
  </si>
  <si>
    <t>CUPINICIDA TIPO "JINO CUPIM" E "PENETROL"</t>
  </si>
  <si>
    <t>I1099</t>
  </si>
  <si>
    <t>ESMALTE A BASE DE BORRACHA CLORADA</t>
  </si>
  <si>
    <t>I1100</t>
  </si>
  <si>
    <t>ESMALTE SINTETICO</t>
  </si>
  <si>
    <t>I1178</t>
  </si>
  <si>
    <t>FITA CREPE 16MM</t>
  </si>
  <si>
    <t>I1199</t>
  </si>
  <si>
    <t>FUNDO BRANCO FOSCO NIVELADOR P/ MADEIRAS</t>
  </si>
  <si>
    <t>I1200</t>
  </si>
  <si>
    <t>FUNDO OXIDO DE FERRO</t>
  </si>
  <si>
    <t>I1201</t>
  </si>
  <si>
    <t>FUNDO PRIMER PARA CONCRETO</t>
  </si>
  <si>
    <t>I2353</t>
  </si>
  <si>
    <t>HIDRACOR</t>
  </si>
  <si>
    <t>I2355</t>
  </si>
  <si>
    <t>INIBIDOR DE CORROSÃO MIGRATÓRIO MCI2020</t>
  </si>
  <si>
    <t>I6165</t>
  </si>
  <si>
    <t>LIQUIBRILHO INCOLOR</t>
  </si>
  <si>
    <t>I1345</t>
  </si>
  <si>
    <t>LIXA DE CARBURETO DE SILÍCIO DE 7''</t>
  </si>
  <si>
    <t>I1346</t>
  </si>
  <si>
    <t>LIXA PARA FERRO</t>
  </si>
  <si>
    <t>I1347</t>
  </si>
  <si>
    <t>LIXA PARA MADEIRA/MASSA</t>
  </si>
  <si>
    <t>I1488</t>
  </si>
  <si>
    <t>LÍQUIDO PREPARADOR DE SUPERFICIES</t>
  </si>
  <si>
    <t>I1489</t>
  </si>
  <si>
    <t>LÍQUIDO SELADOR IF</t>
  </si>
  <si>
    <t>I1490</t>
  </si>
  <si>
    <t>LÍQUIDO SELADOR PARA PINTURA LATEX</t>
  </si>
  <si>
    <t>I1510</t>
  </si>
  <si>
    <t>MASSA A BASE DE EPOXI</t>
  </si>
  <si>
    <t>I1511</t>
  </si>
  <si>
    <t>MASSA ACRILICA PARA PINTURA LATEX</t>
  </si>
  <si>
    <t>I1512</t>
  </si>
  <si>
    <t>MASSA CORRIDA A BASE DE OLEO</t>
  </si>
  <si>
    <t>I1513</t>
  </si>
  <si>
    <t>MASSA CORRIDA A BASE DE PVA</t>
  </si>
  <si>
    <t>I1650</t>
  </si>
  <si>
    <t>PIGMENTO PARA TINTA</t>
  </si>
  <si>
    <t>I1734</t>
  </si>
  <si>
    <t>PRIMER A BASE DE BORRACHA CLORADA</t>
  </si>
  <si>
    <t>I1735</t>
  </si>
  <si>
    <t>PRIMER A BASE DE EPOXI</t>
  </si>
  <si>
    <t>I1736</t>
  </si>
  <si>
    <t>PRIMER PARA MANTA FK</t>
  </si>
  <si>
    <t>I1737</t>
  </si>
  <si>
    <t>PRIMER SINTÉTICO</t>
  </si>
  <si>
    <t>I9394</t>
  </si>
  <si>
    <t>REMOVEDOR DE TINTA OLEO/ESMALTE VERNIZ</t>
  </si>
  <si>
    <t>I1818</t>
  </si>
  <si>
    <t>RESINA ACRÍLICA</t>
  </si>
  <si>
    <t>I1819</t>
  </si>
  <si>
    <t>RESINA DE EPÓXI</t>
  </si>
  <si>
    <t>I1856</t>
  </si>
  <si>
    <t>SELADOR ACRÍLICO</t>
  </si>
  <si>
    <t>I1857</t>
  </si>
  <si>
    <t>SELADOR ACRÍLICO P/CONCRETO</t>
  </si>
  <si>
    <t>I1869</t>
  </si>
  <si>
    <t>SINTECO P/ PISOS DE MADEIRA</t>
  </si>
  <si>
    <t>I1871</t>
  </si>
  <si>
    <t>SODA CAUSTICA</t>
  </si>
  <si>
    <t>I2425</t>
  </si>
  <si>
    <t>SOLVENTE</t>
  </si>
  <si>
    <t>I2426</t>
  </si>
  <si>
    <t>SOLVENTE P/RESINA POLIURETANA</t>
  </si>
  <si>
    <t>I1890</t>
  </si>
  <si>
    <t>SOLVENTE P/TINTA EPOXI E BORRACHA CLORADA</t>
  </si>
  <si>
    <t>I2496</t>
  </si>
  <si>
    <t>SUPERCAL</t>
  </si>
  <si>
    <t>I2079</t>
  </si>
  <si>
    <t>TEXTURA ACRÍLICA</t>
  </si>
  <si>
    <t>I2083</t>
  </si>
  <si>
    <t>TINTA 100% ACRÍLICA</t>
  </si>
  <si>
    <t>I2084</t>
  </si>
  <si>
    <t>TINTA A BASE DE EMULSÃO ACRÍLICA (PARA PISOS)</t>
  </si>
  <si>
    <t>I2085</t>
  </si>
  <si>
    <t>TINTA ACRÍLICA C/QUARTZO P/PISO</t>
  </si>
  <si>
    <t>I2086</t>
  </si>
  <si>
    <t>TINTA ALUMÍNIO DE BASE ASFÁLTICA</t>
  </si>
  <si>
    <t>I2087</t>
  </si>
  <si>
    <t>TINTA ALUMÍNIO SINTÉTICO</t>
  </si>
  <si>
    <t>I8428</t>
  </si>
  <si>
    <t>TINTA ANTI-CORROSIVA</t>
  </si>
  <si>
    <t>I2088</t>
  </si>
  <si>
    <t>TINTA ANTIFLAMA</t>
  </si>
  <si>
    <t>I2089</t>
  </si>
  <si>
    <t>TINTA ASFÁLTICA</t>
  </si>
  <si>
    <t>I2091</t>
  </si>
  <si>
    <t>TINTA BETUMINOSA</t>
  </si>
  <si>
    <t>I2093</t>
  </si>
  <si>
    <t>TINTA EPOXI PARA ACABAMENTO</t>
  </si>
  <si>
    <t>I2094</t>
  </si>
  <si>
    <t>TINTA EPOXI PARA FUNDO (PRIMER)</t>
  </si>
  <si>
    <t>I2500</t>
  </si>
  <si>
    <t>TINTA ESMALTE SINTETICO</t>
  </si>
  <si>
    <t>I2095</t>
  </si>
  <si>
    <t>TINTA GRAFITE</t>
  </si>
  <si>
    <t>I2096</t>
  </si>
  <si>
    <t>TINTA LATEX</t>
  </si>
  <si>
    <t>I2097</t>
  </si>
  <si>
    <t>TINTA LATEX ACRÍLICA</t>
  </si>
  <si>
    <t>I2098</t>
  </si>
  <si>
    <t>TINTA MINERAL IMPERMEÁVEL EM PÓ</t>
  </si>
  <si>
    <t>I2099</t>
  </si>
  <si>
    <t>TINTA PRIMARIA</t>
  </si>
  <si>
    <t>I2100</t>
  </si>
  <si>
    <t>TINTA ÓLEO</t>
  </si>
  <si>
    <t>I2158</t>
  </si>
  <si>
    <t>TRINCHA 2'</t>
  </si>
  <si>
    <t>I2248</t>
  </si>
  <si>
    <t>VERNIZ ACRÍLICO PARA CONCRETO</t>
  </si>
  <si>
    <t>I2249</t>
  </si>
  <si>
    <t>VERNIZ POLIURETANO PARA CONCRETO, ALVENARIA E ESTRUTURAS DE AÇO CARBONO</t>
  </si>
  <si>
    <t>I2250</t>
  </si>
  <si>
    <t>VERNIZ SINTÉTICO</t>
  </si>
  <si>
    <t>I2293</t>
  </si>
  <si>
    <t>ZARCÃO</t>
  </si>
  <si>
    <t>I0154</t>
  </si>
  <si>
    <t>ÁCIDO MURIÁTICO</t>
  </si>
  <si>
    <t>I2295</t>
  </si>
  <si>
    <t>ÓLEO DE LINHACA</t>
  </si>
  <si>
    <t>COTAÇÃO / URBANISMO</t>
  </si>
  <si>
    <t>I6714</t>
  </si>
  <si>
    <t>BALANÇO ANDORINHA C/02 CADEIRAS, CONFEC. EM TUBO VAPOR E PINTURA ESMALTE SINTÉTICO</t>
  </si>
  <si>
    <t>I0182</t>
  </si>
  <si>
    <t>BALANÇO ANDORINHA C/03 CADEIRAS, CONFEC. EM TUBO VAPOR E PINTURA ESMALTE SINTETICO</t>
  </si>
  <si>
    <t>I0188</t>
  </si>
  <si>
    <t>BANCO DE MADEIRA C/ESTRUTURA DE FERRO - L=3,00M</t>
  </si>
  <si>
    <t>I0267</t>
  </si>
  <si>
    <t xml:space="preserve">BORBOLETA/CATRACA DE ACESSO MECÂNICA COM CONTADOR DE GIRO
</t>
  </si>
  <si>
    <t>I6715</t>
  </si>
  <si>
    <t>CARROSSEL ESPECIAL C/04 CADEIRAS, CONFEC. EM TUBO VAPOR E PINTURA ESMALTE SINTÉTICO</t>
  </si>
  <si>
    <t>I0496</t>
  </si>
  <si>
    <t>CARROSSEL TIPO OLA</t>
  </si>
  <si>
    <t>I6716</t>
  </si>
  <si>
    <t>CARROSSEL TIPO OLA, CONFEC. EM TUBO VAPOR E PINTURA ESMALTE SINTÉTICO</t>
  </si>
  <si>
    <t>I2474</t>
  </si>
  <si>
    <t>ESCADA HORIZANTAL E VERTICAL, CONFEC. EM TUBO VAPOR E PINTURA ESMALTE SINTETICO</t>
  </si>
  <si>
    <t>I2475</t>
  </si>
  <si>
    <t>ESCORREGADOR GRANDE, CONFEC. EM TUBO VAPOR E PINTURA ESMALTE SINTETICO</t>
  </si>
  <si>
    <t>I6718</t>
  </si>
  <si>
    <t>ESCORREGADOR PEQUENO,  CONFEC. EM TUBO VAPOR E PINTURA ESMALTE SINTÉTICO</t>
  </si>
  <si>
    <t>I1139</t>
  </si>
  <si>
    <t>ESTRUTURA METÁLICA P/ TABELA DE BASQUETE, EM TUBOS DE AÇO DE 4" E DE 1" PAREDE 2MM, ACABAMENTO EM MASSA PLÁSTICA, PRIMER E TINTA ESMALTE SINTÉTICO, COM REFORÇO TIPO MÃO FRANCESA, AVANÇO LIVRE DE 2,30M</t>
  </si>
  <si>
    <t>I6719</t>
  </si>
  <si>
    <t>GAIOLA ESCORREGADOR PEQUENO,  CONFEC. EM TUBO VAPOR E PINTURA ESMALTE SINTÉTICO</t>
  </si>
  <si>
    <t>I6720</t>
  </si>
  <si>
    <t>GANGORRA C/02 PRANCHAS, CONFEC. EM TUBO VAPOR E PINTURA ESMALTE SINTÉTICO</t>
  </si>
  <si>
    <t>I2477</t>
  </si>
  <si>
    <t>GANGORRA C/03 PRANCHAS, CONFEC. EM TUBO VAPOR E PINTURA ESMALTE SINTETICO</t>
  </si>
  <si>
    <t>I10254</t>
  </si>
  <si>
    <t>MASTRO SIMPLES FG DE 1 1/2''X3M</t>
  </si>
  <si>
    <t>I9455</t>
  </si>
  <si>
    <t>POSTE DE CONCRETO CIRCULAR, RESISTÊNCIA NOMINAL 200KG, H= 7,00M, PESO APROXIMADO 470 KG</t>
  </si>
  <si>
    <t>I9514</t>
  </si>
  <si>
    <t>POSTE DE CONCRETO CIRCULAR, RESISTÊNCIA NOMINAL 200KG, H= 8,00M, PESO APROXIMADO DE 570 KG</t>
  </si>
  <si>
    <t>I9456</t>
  </si>
  <si>
    <t>I9515</t>
  </si>
  <si>
    <t>I9457</t>
  </si>
  <si>
    <t>I9458</t>
  </si>
  <si>
    <t>I9459</t>
  </si>
  <si>
    <t>I9460</t>
  </si>
  <si>
    <t>I9461</t>
  </si>
  <si>
    <t>I9462</t>
  </si>
  <si>
    <t>I9472</t>
  </si>
  <si>
    <t>POSTE DE CONCRETO CIRCULAR, RESISTÊNCIA NOMINAL 400KG, H=12,00M, PESO APROXIMADO 1130KG</t>
  </si>
  <si>
    <t>I9463</t>
  </si>
  <si>
    <t>POSTE DE CONCRETO CIRCULAR, RESISTÊNCIA NOMINAL 400KG, H=14,00M, PESO APROXIMADO 1430KG</t>
  </si>
  <si>
    <t>I1720</t>
  </si>
  <si>
    <t>POSTE DE CONCRETO DUPLO T ( 8MX300KG), RESISTÊNCIA NOMIAL 300KG, H= 8,00M, PESO APROXIMADO 708KG</t>
  </si>
  <si>
    <t>I1719</t>
  </si>
  <si>
    <t>POSTE DE CONCRETO DUPLO T (11MX400KG), RESISTÊNCIA NOMINAL 400KG, H=11,00M, PESO APROXIMADO 1158KG</t>
  </si>
  <si>
    <t>I2405</t>
  </si>
  <si>
    <t>POSTE DE CONCRETO DUPLO T (150/9), RESISTÊNCIA NOMINAL 150KG, H=9,00M, PESO APROXIMADO 470KG</t>
  </si>
  <si>
    <t>I9471</t>
  </si>
  <si>
    <t>POSTE DE CONCRETO DUPLO T, RESISTÊNCIA NOMINAL  150KG, H= 9,00M, PESO APROXIMADO 470KG</t>
  </si>
  <si>
    <t>I9464</t>
  </si>
  <si>
    <t>POSTE DE CONCRETO DUPLO T, RESISTÊNCIA NOMINAL  200KG, H= 8,00M, PESO APROXIMADO 400KG</t>
  </si>
  <si>
    <t>I9465</t>
  </si>
  <si>
    <t>POSTE DE CONCRETO DUPLO T, RESISTÊNCIA NOMINAL  200KG, H= 9,00M, PESO APROXIMADO 470KG</t>
  </si>
  <si>
    <t>I9466</t>
  </si>
  <si>
    <t>POSTE DE CONCRETO DUPLO T, RESISTÊNCIA NOMINAL  200KG, H=11,000M, PESO APROXIMADO 640KG</t>
  </si>
  <si>
    <t>I9467</t>
  </si>
  <si>
    <t>POSTE DE CONCRETO DUPLO T, RESISTÊNCIA NOMINAL  300KG, H= 9,00M, PESO APROXIMADO 845KG</t>
  </si>
  <si>
    <t>I9468</t>
  </si>
  <si>
    <t>POSTE DE CONCRETO DUPLO T, RESISTÊNCIA NOMINAL  300KG, H=10,00M, PESO APROXIMADO 993KG</t>
  </si>
  <si>
    <t>I9420</t>
  </si>
  <si>
    <t>POSTE DE CONCRETO DUPLO T, RESISTÊNCIA NOMINAL  300KG, H=12,00M, PESO APROXIMADO 1.330KG</t>
  </si>
  <si>
    <t>I9470</t>
  </si>
  <si>
    <t>POSTE DE CONCRETO DUPLO T, RESISTÊNCIA NOMINAL  400KG, H=12,00M, PESO APROXIMADO 1.3307KG</t>
  </si>
  <si>
    <t>I9421</t>
  </si>
  <si>
    <t>POSTE DE CONCRETO DUPLO T, RESISTÊNCIA NOMINAL  600KG, H=12,00M, PESO APROXIMADO 1.330KG</t>
  </si>
  <si>
    <t>I9068</t>
  </si>
  <si>
    <t>I1140</t>
  </si>
  <si>
    <t xml:space="preserve">REDE PARA PARA QUADRA DE  VOLEI COMPLETA, COM POSTES EM TUBO DE ACO GALVANIZADO 3", H = *255* CM, PINTURA EM TINTA ESMALTE SINTETICO, REDE DE NYLON COM 2 MM, MALHA 10 X 10 CM E ANTENAS OFICIAIS EM FIBRA DE VIDRO
</t>
  </si>
  <si>
    <t>I1833</t>
  </si>
  <si>
    <t>RODÍZIO GIRATÓRIO PARA TABELA DE BASQUETE</t>
  </si>
  <si>
    <t>I1911</t>
  </si>
  <si>
    <t>TABELAS DE BASQUETE, INCLUSIVE COMPENSADO NAVAL, MODELO OFICIAL, 1,05X1,80M, ESP. 18MM, SEM ESTRUTURA DE FIXAÇÃO</t>
  </si>
  <si>
    <t>I6219</t>
  </si>
  <si>
    <t>TELA DE NYLON e=3mm RETICULADA DE 5x5cm</t>
  </si>
  <si>
    <t>I1138</t>
  </si>
  <si>
    <t>TRAVES DE FUTEBOL DE CAMPO OFICIAL, EM TUBOS DE AÇO GALVANIZADO, DIMENSÕES 7,32 X 2,44 X 1,50, COM ACABAMENTO E PINTURA, INCLUSIVE REDE EM FIO 100% NYLON COM PROTEÇÃO UV, SEM COLOCAÇÃO</t>
  </si>
  <si>
    <t>I1137</t>
  </si>
  <si>
    <t>TRAVES PARA FUTSAL OFICIAL COMPLETA, DE 3,00 X 2,00 M EM TUBO DE ACO GALVANIZADO 3" COM REQUADRO EM TUBO DE 1", PINTURA EM PRIMER COM TINTA ESMALTE SINTÉTICO E REDES DE POLIETILENO FIO 4 MM</t>
  </si>
  <si>
    <t>COTAÇÃO / VEDAÇÃO</t>
  </si>
  <si>
    <t>I0122</t>
  </si>
  <si>
    <t>ARMARIO DE ACO P/ UTENSILIOS (1,90X0,9X0,5)M</t>
  </si>
  <si>
    <t>I0123</t>
  </si>
  <si>
    <t>ARMARIO DE ACO TIPO ESCANINHO - MOD. 3 PORTAS</t>
  </si>
  <si>
    <t>I9527</t>
  </si>
  <si>
    <t xml:space="preserve">CHAPA MDF BRANCO LISO 2 FACES, E=25MM
</t>
  </si>
  <si>
    <t>I1557</t>
  </si>
  <si>
    <t>PAINEL FLEXIVEL DE LA DE VIDRO. ESPESSURA 50MM</t>
  </si>
  <si>
    <t>I1558</t>
  </si>
  <si>
    <t>PAINEL RIGIDO DE LA DE VIDRO. ESPESSURA 25MM</t>
  </si>
  <si>
    <t>I6743</t>
  </si>
  <si>
    <t>PORTA EM PVC P/DIVISÓRIA (0,80 X 2,10)M INCLUS. FECHADURA, DOBRADIÇA E REQUADRO ( FORNECIMENTO E MONTAGEM )</t>
  </si>
  <si>
    <t>I6742</t>
  </si>
  <si>
    <t>PORTA EM PVC SANFONADA (0,80 X 2,10)M, INCLUS. PERFIL "U",  FECHO E TRILHO ( FORNECIMENTO E MONTAGEM )</t>
  </si>
  <si>
    <t>I6747</t>
  </si>
  <si>
    <t xml:space="preserve">TELA LOSANGULAR EM PVC FIO 10 (3,40MM BWG) MALHA 2"X2"
</t>
  </si>
  <si>
    <t>I6741</t>
  </si>
  <si>
    <t>VENEZIANA INDUSTRIAL EM PVC RÍGIDO, TRANSLÚCIDO E MONTANTE EM AÇO GALVANIZADO OU ALUMÍNIO (FORNECIMENTO E MONTAGEM)</t>
  </si>
  <si>
    <t>COTAÇÃO / VIDRO</t>
  </si>
  <si>
    <t>I9145</t>
  </si>
  <si>
    <t>ESPELHO CRISTAL E = 4 MM</t>
  </si>
  <si>
    <t>I1515</t>
  </si>
  <si>
    <t>MASSA IGAS PARA CAIXILHO DE ALUMINIO</t>
  </si>
  <si>
    <t>I1516</t>
  </si>
  <si>
    <t>MASSA PARA VIDRO</t>
  </si>
  <si>
    <t>I1611</t>
  </si>
  <si>
    <t>PELICULA DE INSULFILM</t>
  </si>
  <si>
    <t>I1612</t>
  </si>
  <si>
    <t>PELÍCULA DE POLIESTER , INVESTIGAÇÃO</t>
  </si>
  <si>
    <t>I1893</t>
  </si>
  <si>
    <t>SUPORTE COM MIOLO PARA 2 VIDROS (1306)</t>
  </si>
  <si>
    <t>I1894</t>
  </si>
  <si>
    <t>SUPORTE COM MIOLO PARA 3 VIDROS (1308)</t>
  </si>
  <si>
    <t>I1896</t>
  </si>
  <si>
    <t>SUPORTE DE CANTO (1302)</t>
  </si>
  <si>
    <t>I1897</t>
  </si>
  <si>
    <t>SUPORTE DE CENTRO (1329)</t>
  </si>
  <si>
    <t>I1905</t>
  </si>
  <si>
    <t>SUPORTE PARA BANDEIRA COM PONTO GIRO (1203)</t>
  </si>
  <si>
    <t>I1906</t>
  </si>
  <si>
    <t>SUPORTE PARA DOBRADIÇA BASCULANTE (1230)</t>
  </si>
  <si>
    <t>I1907</t>
  </si>
  <si>
    <t>SUPORTE PARA FIXAÇÃO DE 4 VIDROS (1317)</t>
  </si>
  <si>
    <t>I1909</t>
  </si>
  <si>
    <t>SUPORTE PARA UNIÃO DE 3 VIDROS COM BATENTE (1315)</t>
  </si>
  <si>
    <t>I2465</t>
  </si>
  <si>
    <t>VIDRO CANELADO OU MARTELADO 3MM, COLOCADO</t>
  </si>
  <si>
    <t>I2252</t>
  </si>
  <si>
    <t>VIDRO COMUM FUMÊ, E = 4MM (COLOCADO)</t>
  </si>
  <si>
    <t>I2253</t>
  </si>
  <si>
    <t>VIDRO COMUM FUMÊ, E = 5MM (COLOCADO)</t>
  </si>
  <si>
    <t>I2254</t>
  </si>
  <si>
    <t>VIDRO COMUM FUMÊ, E = 6MM (COLOCADO)</t>
  </si>
  <si>
    <t>I9140</t>
  </si>
  <si>
    <t xml:space="preserve">VIDRO COMUM LAMINADO, LISO, INCOLOR, DUPLO, ESPESSURA TOTAL 6 MM (CADA CAMADA E= 3 MM) - COLOCADO
</t>
  </si>
  <si>
    <t>I2256</t>
  </si>
  <si>
    <t>VIDRO LISO, E= 4MM(COLOCADO)</t>
  </si>
  <si>
    <t>I2257</t>
  </si>
  <si>
    <t>VIDRO LISO, E= 5MM (COLOCADO)</t>
  </si>
  <si>
    <t>I2255</t>
  </si>
  <si>
    <t>VIDRO LISO, E=6MM (COLOCADO)</t>
  </si>
  <si>
    <t>I2259</t>
  </si>
  <si>
    <t>VIDRO TEMPERADO  6MM INCOLOR SEM COLOCAÇÃO</t>
  </si>
  <si>
    <t>I9448</t>
  </si>
  <si>
    <t>VIDRO TEMPERADO  8MM INCOLOR SEM COLOCAÇÃO</t>
  </si>
  <si>
    <t>I2258</t>
  </si>
  <si>
    <t>VIDRO TEMPERADO 10MM INCOLOR SEM COLOCAÇÃO</t>
  </si>
  <si>
    <t>I8358</t>
  </si>
  <si>
    <t>VIDRO TEMPERADO DE 10mm FIXADOS COM SPIDER GLASS DE 4, 3 E 2 APOIOS, INCLUSIVE FERRAGENS PARA PORTA</t>
  </si>
  <si>
    <t>IMPERMEABILIZAÇÃO COM MANTA ASFÁLTICA, CLASSE B, ESTRUTURADA COM POLIESTER NÃO TECIDO, FACE EXPOSTA EM ALUMÍNIO, TIPO III, E=3MM</t>
  </si>
  <si>
    <t>ORÇAMENTO CONSOLIDADO</t>
  </si>
  <si>
    <t>INSTITUTO FEDERAL DE EDUCAÇÃO CIÊNCIA E TECNOLOGIA DO CEARÁ - CAMPUS BOA VIAGEM</t>
  </si>
  <si>
    <t>OBRA:</t>
  </si>
  <si>
    <t>LOCAL:</t>
  </si>
  <si>
    <t>SEDE DO MUNICÍPIO</t>
  </si>
  <si>
    <t>MUNICÍPIO:</t>
  </si>
  <si>
    <t>BOA VIAGEM - CE</t>
  </si>
  <si>
    <t>FONTE DOS PREÇOS:</t>
  </si>
  <si>
    <t>CENTRO DE INOVAÇÃO E DIFUSÃO DE TECNOLOGIA PARA O SEMIÁRIDO - CAMPUS BOA VIAGEM</t>
  </si>
  <si>
    <r>
      <rPr>
        <b/>
        <sz val="10"/>
        <color rgb="FF212121"/>
        <rFont val="Arial"/>
        <family val="2"/>
      </rPr>
      <t>ITEM</t>
    </r>
  </si>
  <si>
    <r>
      <rPr>
        <b/>
        <sz val="10"/>
        <color rgb="FF212121"/>
        <rFont val="Arial"/>
        <family val="2"/>
      </rPr>
      <t>BASE</t>
    </r>
  </si>
  <si>
    <r>
      <rPr>
        <b/>
        <sz val="10"/>
        <color rgb="FF212121"/>
        <rFont val="Arial"/>
        <family val="2"/>
      </rPr>
      <t>DESCRIÇÃO DO PRODUTO</t>
    </r>
  </si>
  <si>
    <r>
      <rPr>
        <b/>
        <sz val="10"/>
        <color rgb="FF212121"/>
        <rFont val="Arial"/>
        <family val="2"/>
      </rPr>
      <t>Unid.</t>
    </r>
  </si>
  <si>
    <r>
      <rPr>
        <b/>
        <sz val="10"/>
        <color rgb="FF212121"/>
        <rFont val="Arial"/>
        <family val="2"/>
      </rPr>
      <t>QTDE</t>
    </r>
  </si>
  <si>
    <r>
      <rPr>
        <b/>
        <sz val="10"/>
        <color rgb="FF212121"/>
        <rFont val="Arial"/>
        <family val="2"/>
      </rPr>
      <t>P. Total (R$)</t>
    </r>
  </si>
  <si>
    <r>
      <rPr>
        <sz val="10"/>
        <color rgb="FF212121"/>
        <rFont val="Arial"/>
        <family val="2"/>
      </rPr>
      <t>C2785</t>
    </r>
  </si>
  <si>
    <t>TABELA SEINFRA 028.1 DESONERADA</t>
  </si>
  <si>
    <t>DATA REFERÊNCIA TÉCNICA: 10/2023</t>
  </si>
  <si>
    <t>ENCARGOS SOCIAIS: 84,44% (HORA) - 47,48% (MÊS)</t>
  </si>
  <si>
    <t>Instruções para Preenchimento (NÃO IMPRIMIR ESTA PARTE):</t>
  </si>
  <si>
    <t>COD</t>
  </si>
  <si>
    <t>%</t>
  </si>
  <si>
    <t>Preencher os campos em amarelo</t>
  </si>
  <si>
    <t>DESPESAS INDIRETAS</t>
  </si>
  <si>
    <t>Não ultrapassar a faixa de limites abaixo, caso tenha duvida sobre o tipo da obra, realizar consulta no ACORDÃO 2622/2013-TCU ou pedir orientações pra alguem da GIDUR.</t>
  </si>
  <si>
    <t>ADMINISTRAÇÃO CENTRAL</t>
  </si>
  <si>
    <t>DESPESAS FINANCEIRAS</t>
  </si>
  <si>
    <t>RISCOS</t>
  </si>
  <si>
    <t xml:space="preserve"> Para o tipo de obra “Construção de Edifícios”:</t>
  </si>
  <si>
    <t>Para o tipo de obra “Construção de Redes de Abastecimento de Água, Coleta de Esgoto e Construções Correlatas”:</t>
  </si>
  <si>
    <t>PARCELA DO BDI</t>
  </si>
  <si>
    <t>1 Quartil</t>
  </si>
  <si>
    <t>Médio</t>
  </si>
  <si>
    <t>3 Quartil</t>
  </si>
  <si>
    <t>BENEFÍCIO</t>
  </si>
  <si>
    <t>Administração Central</t>
  </si>
  <si>
    <t>S+G</t>
  </si>
  <si>
    <t>GARANTIA/SEGUROS</t>
  </si>
  <si>
    <t>Seguro e Garantia</t>
  </si>
  <si>
    <t>Risco</t>
  </si>
  <si>
    <t>Despesas Financeiras</t>
  </si>
  <si>
    <t>Lucro</t>
  </si>
  <si>
    <t>PIS</t>
  </si>
  <si>
    <t>PIS, COFINS e ISSQN</t>
  </si>
  <si>
    <t>Conforme legislação específica</t>
  </si>
  <si>
    <t>COFINS</t>
  </si>
  <si>
    <t xml:space="preserve"> Para o tipo de obra “Construção de Rodovias e Ferrovias”:</t>
  </si>
  <si>
    <t>Para “Fornecimento de Materiais e Equipamentos”:</t>
  </si>
  <si>
    <t>ISS</t>
  </si>
  <si>
    <t xml:space="preserve">CPRB (4,5%, APENAS QUANDO TIVER DESONERAÇÃO INSS) </t>
  </si>
  <si>
    <t>TOTAL DOS IMPOSTOS</t>
  </si>
  <si>
    <t xml:space="preserve">BDI = </t>
  </si>
  <si>
    <t>O valor final do BDI não pode ultrapassar os limites abaixo, quando não tiver desoneração do INSS na folha de pagamento, pois foram calculados sem desoneração:</t>
  </si>
  <si>
    <t>BDI A SER UTILIZADO</t>
  </si>
  <si>
    <t>VALORES DE BDI POR TIPO DE OBRA</t>
  </si>
  <si>
    <t>TIPO DE OBRA</t>
  </si>
  <si>
    <t>Construção de Edifícios (Aplicavel a: Construção e Reforma de Edificios, Unidades Habitacionais, Escolas, Hospitais, Hoteis, Restaurantes, Armazéns e Depósitos, Estádios Esportivos e Quadras Cobertas etc)</t>
  </si>
  <si>
    <t>Construção de Rodovias e Ferrovias (Aplicável também a: Construção, Pavimentação e Sinalização de Vias Urbanas, Ruas e Locais para estacionamento de veículos; Construção de Praças e Calçadas; Elevado, Passarelas e Civlovias ect.)</t>
  </si>
  <si>
    <t>Construção de Redes de Abastecimento de Água, Coleta de Esgoto e Construções Correlatas (Aplicavel também a: Construção de Galerias Pluviais - micro e macro drenagem; Obras de Irrigação etc.)</t>
  </si>
  <si>
    <t>Construção e Manutenção de Estações e Redes de Distribuição de Energia Elétrica (Aplicável também a: Construção de redes de eletrificação para ferrovias e metrô; Barragens e Represas para geração de energia elétrica etc)</t>
  </si>
  <si>
    <t>Obras Portuárias, Marítimas e Fluviais (Aplicavel também a: Enrocamentos; Obras de Drenagem; Aterro Hidráulico; Barragens, Represas e Diques -  exceto para energia elétrica; Piers e outras obras com influência direta de cursos d'água)</t>
  </si>
  <si>
    <t>Fornecimento de Materiais e Equipamentos (Aplicável a: Materiais e equipamentos relevantes de natureza específica, tais como: Materias betuminosos para obras rodoviárias; Tubos de ferro fundido ou PVC para obras de abastecimento de água; Elevadores e Escadas rolantes para obras aeroportuárias)</t>
  </si>
  <si>
    <t>COMPOSIÇÃO DE BDI</t>
  </si>
  <si>
    <t>ITEM</t>
  </si>
  <si>
    <t>VALOR (R$)</t>
  </si>
  <si>
    <t>30 DIAS</t>
  </si>
  <si>
    <t>60 DIAS</t>
  </si>
  <si>
    <t>90 DIAS</t>
  </si>
  <si>
    <t>TOTAL GERAL DA OBRA C/ BDI (R$)</t>
  </si>
  <si>
    <t>120 DIAS</t>
  </si>
  <si>
    <t>150 DIAS</t>
  </si>
  <si>
    <t>180 DIAS</t>
  </si>
  <si>
    <t>CRONOGRAMA FÍSICO-FINANCEIRO</t>
  </si>
  <si>
    <t>BDI:</t>
  </si>
  <si>
    <t>PREÇO UNIT. (R$) C/ BDI</t>
  </si>
  <si>
    <t>PREÇO UNIT. (R$) S/ BDI</t>
  </si>
  <si>
    <t>ADMINISTRAÇÃO LOCAL</t>
  </si>
  <si>
    <t>TOTAL GERAL C/ B.D.I :</t>
  </si>
  <si>
    <t>ASSENTAMENTO DE TUBO DE FERRO FUNDIDO PARA REDE DE ÁGUA, DN 80 MM, JUNTA ELÁSTICA, INSTALADO EM LOCAL COM NÍVEL ALTO DE INTERFERÊNCIAS (NÃO INCLUI FORNECIMENTO). AF_05/2024</t>
  </si>
  <si>
    <t>ASSENTAMENTO DE TUBO DE FERRO FUNDIDO PARA REDE DE ÁGUA, DN 100 MM, JUNTA ELÁSTICA, INSTALADO EM LOCAL COM NÍVEL ALTO DE INTERFERÊNCIAS (NÃO INCLUI FORNECIMENTO). AF_05/2024</t>
  </si>
  <si>
    <t>ASSENTAMENTO DE TUBO DE FERRO FUNDIDO PARA REDE DE ÁGUA, DN 150 MM, JUNTA ELÁSTICA, INSTALADO EM LOCAL COM NÍVEL ALTO DE INTERFERÊNCIAS (NÃO INCLUI FORNECIMENTO). AF_05/2024</t>
  </si>
  <si>
    <t>ASSENTAMENTO DE TUBO DE FERRO FUNDIDO PARA REDE DE ÁGUA, DN 200 MM, JUNTA ELÁSTICA, INSTALADO EM LOCAL COM NÍVEL ALTO DE INTERFERÊNCIAS (NÃO INCLUI FORNECIMENTO). AF_05/2024</t>
  </si>
  <si>
    <t>ASSENTAMENTO DE TUBO DE FERRO FUNDIDO PARA REDE DE ÁGUA, DN 250 MM, JUNTA ELÁSTICA, INSTALADO EM LOCAL COM NÍVEL ALTO DE INTERFERÊNCIAS (NÃO INCLUI FORNECIMENTO). AF_05/2024</t>
  </si>
  <si>
    <t>ASSENTAMENTO DE TUBO DE FERRO FUNDIDO PARA REDE DE ÁGUA, DN 300 MM, JUNTA ELÁSTICA, INSTALADO EM LOCAL COM NÍVEL ALTO DE INTERFERÊNCIAS (NÃO INCLUI FORNECIMENTO). AF_05/2024</t>
  </si>
  <si>
    <t>ASSENTAMENTO DE TUBO DE FERRO FUNDIDO PARA REDE DE ÁGUA, DN 350 MM, JUNTA ELÁSTICA, INSTALADO EM LOCAL COM NÍVEL ALTO DE INTERFERÊNCIAS (NÃO INCLUI FORNECIMENTO). AF_05/2024</t>
  </si>
  <si>
    <t>ASSENTAMENTO DE TUBO DE FERRO FUNDIDO PARA REDE DE ÁGUA, DN 400 MM, JUNTA ELÁSTICA, INSTALADO EM LOCAL COM NÍVEL ALTO DE INTERFERÊNCIAS (NÃO INCLUI FORNECIMENTO). AF_05/2024</t>
  </si>
  <si>
    <t>ASSENTAMENTO DE TUBO DE FERRO FUNDIDO PARA REDE DE ÁGUA, DN 450 MM, JUNTA ELÁSTICA, INSTALADO EM LOCAL COM NÍVEL ALTO DE INTERFERÊNCIAS (NÃO INCLUI FORNECIMENTO). AF_05/2024</t>
  </si>
  <si>
    <t>ASSENTAMENTO DE TUBO DE FERRO FUNDIDO PARA REDE DE ÁGUA, DN 500 MM, JUNTA ELÁSTICA, INSTALADO EM LOCAL COM NÍVEL ALTO DE INTERFERÊNCIAS (NÃO INCLUI FORNECIMENTO). AF_05/2024</t>
  </si>
  <si>
    <t>ASSENTAMENTO DE TUBO DE FERRO FUNDIDO PARA REDE DE ÁGUA, DN 600 MM, JUNTA ELÁSTICA, INSTALADO EM LOCAL COM NÍVEL ALTO DE INTERFERÊNCIAS (NÃO INCLUI FORNECIMENTO). AF_05/2024</t>
  </si>
  <si>
    <t>ASSENTAMENTO DE TUBO DE FERRO FUNDIDO PARA REDE DE ÁGUA, DN 700 MM, JUNTA ELÁSTICA, INSTALADO EM LOCAL COM NÍVEL ALTO DE INTERFERÊNCIAS (NÃO INCLUI FORNECIMENTO). AF_05/2024</t>
  </si>
  <si>
    <t>ASSENTAMENTO DE TUBO DE FERRO FUNDIDO PARA REDE DE ÁGUA, DN 800 MM, JUNTA ELÁSTICA, INSTALADO EM LOCAL COM NÍVEL ALTO DE INTERFERÊNCIAS (NÃO INCLUI FORNECIMENTO). AF_05/2024</t>
  </si>
  <si>
    <t>ASSENTAMENTO DE TUBO DE FERRO FUNDIDO PARA REDE DE ÁGUA, DN 900 MM, JUNTA ELÁSTICA, INSTALADO EM LOCAL COM NÍVEL ALTO DE INTERFERÊNCIAS (NÃO INCLUI FORNECIMENTO). AF_05/2024</t>
  </si>
  <si>
    <t>ASSENTAMENTO DE TUBO DE FERRO FUNDIDO PARA REDE DE ÁGUA, DN 1000 MM, JUNTA ELÁSTICA, INSTALADO EM LOCAL COM NÍVEL ALTO DE INTERFERÊNCIAS (NÃO INCLUI FORNECIMENTO). AF_05/2024</t>
  </si>
  <si>
    <t>ASSENTAMENTO DE TUBO DE FERRO FUNDIDO PARA REDE DE ÁGUA, DN 1200 MM, JUNTA ELÁSTICA, INSTALADO EM LOCAL COM NÍVEL ALTO DE INTERFERÊNCIAS (NÃO INCLUI FORNECIMENTO). AF_05/2024</t>
  </si>
  <si>
    <t>ASSENTAMENTO DE TUBO DE FERRO FUNDIDO PARA REDE DE ÁGUA, DN 80 MM, JUNTA ELÁSTICA, INSTALADO EM LOCAL COM NÍVEL BAIXO DE INTERFERÊNCIAS (NÃO INCLUI FORNECIMENTO). AF_05/2024</t>
  </si>
  <si>
    <t>ASSENTAMENTO DE TUBO DE FERRO FUNDIDO PARA REDE DE ÁGUA, DN 100 MM, JUNTA ELÁSTICA, INSTALADO EM LOCAL COM NÍVEL BAIXO DE INTERFERÊNCIAS (NÃO INCLUI FORNECIMENTO). AF_05/2024</t>
  </si>
  <si>
    <t>ASSENTAMENTO DE TUBO DE FERRO FUNDIDO PARA REDE DE ÁGUA, DN 150 MM, JUNTA ELÁSTICA, INSTALADO EM LOCAL COM NÍVEL BAIXO DE INTERFERÊNCIAS (NÃO INCLUI FORNECIMENTO). AF_05/2024</t>
  </si>
  <si>
    <t>ASSENTAMENTO DE TUBO DE FERRO FUNDIDO PARA REDE DE ÁGUA, DN 200 MM, JUNTA ELÁSTICA, INSTALADO EM LOCAL COM NÍVEL BAIXO DE INTERFERÊNCIAS (NÃO INCLUI FORNECIMENTO). AF_05/2024</t>
  </si>
  <si>
    <t>ASSENTAMENTO DE TUBO DE FERRO FUNDIDO PARA REDE DE ÁGUA, DN 250 MM, JUNTA ELÁSTICA, INSTALADO EM LOCAL COM NÍVEL BAIXO DE INTERFERÊNCIAS (NÃO INCLUI FORNECIMENTO). AF_05/2024</t>
  </si>
  <si>
    <t>ASSENTAMENTO DE TUBO DE FERRO FUNDIDO PARA REDE DE ÁGUA, DN 300 MM, JUNTA ELÁSTICA, INSTALADO EM LOCAL COM NÍVEL BAIXO DE INTERFERÊNCIAS (NÃO INCLUI FORNECIMENTO). AF_05/2024</t>
  </si>
  <si>
    <t>ASSENTAMENTO DE TUBO DE FERRO FUNDIDO PARA REDE DE ÁGUA, DN 350 MM, JUNTA ELÁSTICA, INSTALADO EM LOCAL COM NÍVEL BAIXO DE INTERFERÊNCIAS (NÃO INCLUI FORNECIMENTO). AF_05/2024</t>
  </si>
  <si>
    <t>ASSENTAMENTO DE TUBO DE FERRO FUNDIDO PARA REDE DE ÁGUA, DN 400 MM, JUNTA ELÁSTICA, INSTALADO EM LOCAL COM NÍVEL BAIXO DE INTERFERÊNCIAS (NÃO INCLUI FORNECIMENTO). AF_05/2024</t>
  </si>
  <si>
    <t>ASSENTAMENTO DE TUBO DE FERRO FUNDIDO PARA REDE DE ÁGUA, DN 450 MM, JUNTA ELÁSTICA, INSTALADO EM LOCAL COM NÍVEL BAIXO DE INTERFERÊNCIAS (NÃO INCLUI FORNECIMENTO). AF_05/2024</t>
  </si>
  <si>
    <t>ASSENTAMENTO DE TUBO DE FERRO FUNDIDO PARA REDE DE ÁGUA, DN 500 MM, JUNTA ELÁSTICA, INSTALADO EM LOCAL COM NÍVEL BAIXO DE INTERFERÊNCIAS (NÃO INCLUI FORNECIMENTO). AF_05/2024</t>
  </si>
  <si>
    <t>ASSENTAMENTO DE TUBO DE FERRO FUNDIDO PARA REDE DE ÁGUA, DN 600 MM, JUNTA ELÁSTICA, INSTALADO EM LOCAL COM NÍVEL BAIXO DE INTERFERÊNCIAS (NÃO INCLUI FORNECIMENTO). AF_05/2024</t>
  </si>
  <si>
    <t>ASSENTAMENTO DE TUBO DE FERRO FUNDIDO PARA REDE DE ÁGUA, DN 700 MM, JUNTA ELÁSTICA, INSTALADO EM LOCAL COM NÍVEL BAIXO DE INTERFERÊNCIAS (NÃO INCLUI FORNECIMENTO). AF_05/2024</t>
  </si>
  <si>
    <t>ASSENTAMENTO DE TUBO DE FERRO FUNDIDO PARA REDE DE ÁGUA, DN 800 MM, JUNTA ELÁSTICA, INSTALADO EM LOCAL COM NÍVEL BAIXO DE INTERFERÊNCIAS (NÃO INCLUI FORNECIMENTO). AF_05/2024</t>
  </si>
  <si>
    <t>ASSENTAMENTO DE TUBO DE FERRO FUNDIDO PARA REDE DE ÁGUA, DN 900 MM, JUNTA ELÁSTICA, INSTALADO EM LOCAL COM NÍVEL BAIXO DE INTERFERÊNCIAS (NÃO INCLUI FORNECIMENTO). AF_05/2024</t>
  </si>
  <si>
    <t>ASSENTAMENTO DE TUBO DE FERRO FUNDIDO PARA REDE DE ÁGUA, DN 1000 MM, JUNTA ELÁSTICA, INSTALADO EM LOCAL COM NÍVEL BAIXO DE INTERFERÊNCIAS (NÃO INCLUI FORNECIMENTO). AF_05/2024</t>
  </si>
  <si>
    <t>ASSENTAMENTO DE TUBO DE FERRO FUNDIDO PARA REDE DE ÁGUA, DN 1200 MM, JUNTA ELÁSTICA, INSTALADO EM LOCAL COM NÍVEL BAIXO DE INTERFERÊNCIAS (NÃO INCLUI FORNECIMENTO). AF_05/2024</t>
  </si>
  <si>
    <t>ASSENTAMENTO DE CONEXÃO 2 ACESSOS ALINHADOS DE FERRO FUNDIDO PARA REDE DE ÁGUA, DN 1200, JUNTA ELÁSTICA, INSTALADO EM LOCAL COM NÍVEL ALTO DE INTERFERÊNCIAS (NÃO INCLUI FORNECIMENTO). AF_05/2024</t>
  </si>
  <si>
    <t>ASSENTAMENTO DE CONEXÃO 2 ACESSOS INCLINADOS DE FERRO FUNDIDO PARA REDE DE ÁGUA, DN 80, JUNTA ELÁSTICA, INSTALADO EM LOCAL COM NÍVEL ALTO DE INTERFERÊNCIAS (NÃO INCLUI FORNECIMENTO). AF_05/2024</t>
  </si>
  <si>
    <t>ASSENTAMENTO DE CONEXÃO 2 ACESSOS INCLINADOS DE FERRO FUNDIDO PARA REDE DE ÁGUA, DN 100, JUNTA ELÁSTICA, INSTALADO EM LOCAL COM NÍVEL ALTO DE INTERFERÊNCIAS (NÃO INCLUI FORNECIMENTO). AF_05/2024</t>
  </si>
  <si>
    <t>ASSENTAMENTO DE CONEXÃO 2 ACESSOS INCLINADOS DE FERRO FUNDIDO PARA REDE DE ÁGUA, DN 150, JUNTA ELÁSTICA, INSTALADO EM LOCAL COM NÍVEL ALTO DE INTERFERÊNCIAS (NÃO INCLUI FORNECIMENTO). AF_05/2024</t>
  </si>
  <si>
    <t>ASSENTAMENTO DE CONEXÃO 2 ACESSOS INCLINADOS DE FERRO FUNDIDO PARA REDE DE ÁGUA, DN 200, JUNTA ELÁSTICA, INSTALADO EM LOCAL COM NÍVEL ALTO DE INTERFERÊNCIAS (NÃO INCLUI FORNECIMENTO). AF_05/2024</t>
  </si>
  <si>
    <t>ASSENTAMENTO DE CONEXÃO 2 ACESSOS INCLINADOS DE FERRO FUNDIDO PARA REDE DE ÁGUA, DN 250, JUNTA ELÁSTICA, INSTALADO EM LOCAL COM NÍVEL ALTO DE INTERFERÊNCIAS (NÃO INCLUI FORNECIMENTO). AF_05/2024</t>
  </si>
  <si>
    <t>ASSENTAMENTO DE CONEXÃO 2 ACESSOS INCLINADOS DE FERRO FUNDIDO PARA REDE DE ÁGUA, DN 300, JUNTA ELÁSTICA, INSTALADO EM LOCAL COM NÍVEL ALTO DE INTERFERÊNCIAS (NÃO INCLUI FORNECIMENTO). AF_05/2024</t>
  </si>
  <si>
    <t>ASSENTAMENTO DE CONEXÃO 2 ACESSOS INCLINADOS DE FERRO FUNDIDO PARA REDE DE ÁGUA, DN 350, JUNTA ELÁSTICA, INSTALADO EM LOCAL COM NÍVEL ALTO DE INTERFERÊNCIAS (NÃO INCLUI FORNECIMENTO). AF_05/2024</t>
  </si>
  <si>
    <t>ASSENTAMENTO DE CONEXÃO 2 ACESSOS INCLINADOS DE FERRO FUNDIDO PARA REDE DE ÁGUA, DN 400, JUNTA ELÁSTICA, INSTALADO EM LOCAL COM NÍVEL ALTO DE INTERFERÊNCIAS (NÃO INCLUI FORNECIMENTO). AF_05/2024</t>
  </si>
  <si>
    <t>ASSENTAMENTO DE CONEXÃO 2 ACESSOS ALINHADOS DE FERRO FUNDIDO PARA REDE DE ÁGUA, DN 400, JUNTA ELÁSTICA, INSTALADO EM LOCAL COM NÍVEL BAIXO DE INTERFERÊNCIAS (NÃO INCLUI FORNECIMENTO). AF_05/2024</t>
  </si>
  <si>
    <t>ASSENTAMENTO DE CONEXÃO 3 ACESSOS DE FERRO FUNDIDO PARA REDE DE ÁGUA, DN 100, JUNTA ELÁSTICA, INSTALADO EM LOCAL COM NÍVEL BAIXO DE INTERFERÊNCIAS (NÃO INCLUI FORNECIMENTO). AF_05/2024</t>
  </si>
  <si>
    <t>ASSENTAMENTO DE CONEXÃO 2 ACESSOS ALINHADOS DE FERRO FUNDIDO PARA REDE DE ÁGUA, DN 450, JUNTA ELÁSTICA, INSTALADO EM LOCAL COM NÍVEL BAIXO DE INTERFERÊNCIAS (NÃO INCLUI FORNECIMENTO). AF_05/2024</t>
  </si>
  <si>
    <t>ASSENTAMENTO DE CONEXÃO 2 ACESSOS ALINHADOS DE FERRO FUNDIDO PARA REDE DE ÁGUA, DN 500, JUNTA ELÁSTICA, INSTALADO EM LOCAL COM NÍVEL BAIXO DE INTERFERÊNCIAS (NÃO INCLUI FORNECIMENTO). AF_05/2024</t>
  </si>
  <si>
    <t>ASSENTAMENTO DE CONEXÃO 2 ACESSOS ALINHADOS DE FERRO FUNDIDO PARA REDE DE ÁGUA, DN 600, JUNTA ELÁSTICA, INSTALADO EM LOCAL COM NÍVEL BAIXO DE INTERFERÊNCIAS (NÃO INCLUI FORNECIMENTO). AF_05/2024</t>
  </si>
  <si>
    <t>ASSENTAMENTO DE CONEXÃO 2 ACESSOS ALINHADOS DE FERRO FUNDIDO PARA REDE DE ÁGUA, DN 700, JUNTA ELÁSTICA, INSTALADO EM LOCAL COM NÍVEL BAIXO DE INTERFERÊNCIAS (NÃO INCLUI FORNECIMENTO). AF_05/2024</t>
  </si>
  <si>
    <t>ASSENTAMENTO DE CONEXÃO 2 ACESSOS ALINHADOS DE FERRO FUNDIDO PARA REDE DE ÁGUA, DN 800, JUNTA ELÁSTICA, INSTALADO EM LOCAL COM NÍVEL BAIXO DE INTERFERÊNCIAS (NÃO INCLUI FORNECIMENTO). AF_05/2024</t>
  </si>
  <si>
    <t>ASSENTAMENTO DE CONEXÃO 2 ACESSOS ALINHADOS DE FERRO FUNDIDO PARA REDE DE ÁGUA, DN 900, JUNTA ELÁSTICA, INSTALADO EM LOCAL COM NÍVEL BAIXO DE INTERFERÊNCIAS (NÃO INCLUI FORNECIMENTO). AF_05/2024</t>
  </si>
  <si>
    <t>ASSENTAMENTO DE CONEXÃO 2 ACESSOS ALINHADOS DE FERRO FUNDIDO PARA REDE DE ÁGUA, DN 1000, JUNTA ELÁSTICA, INSTALADO EM LOCAL COM NÍVEL BAIXO DE INTERFERÊNCIAS (NÃO INCLUI FORNECIMENTO). AF_05/2024</t>
  </si>
  <si>
    <t>ASSENTAMENTO DE CONEXÃO 2 ACESSOS ALINHADOS DE FERRO FUNDIDO PARA REDE DE ÁGUA, DN 1200, JUNTA ELÁSTICA, INSTALADO EM LOCAL COM NÍVEL BAIXO DE INTERFERÊNCIAS (NÃO INCLUI FORNECIMENTO). AF_05/2024</t>
  </si>
  <si>
    <t>ASSENTAMENTO DE CONEXÃO 2 ACESSOS INCLINADOS DE FERRO FUNDIDO PARA REDE DE ÁGUA, DN 80, JUNTA ELÁSTICA, INSTALADO EM LOCAL COM NÍVEL BAIXO DE INTERFERÊNCIAS (NÃO INCLUI FORNECIMENTO). AF_05/2024</t>
  </si>
  <si>
    <t>ASSENTAMENTO DE CONEXÃO 2 ACESSOS INCLINADOS DE FERRO FUNDIDO PARA REDE DE ÁGUA, DN 450, JUNTA ELÁSTICA, INSTALADO EM LOCAL COM NÍVEL ALTO DE INTERFERÊNCIAS (NÃO INCLUI FORNECIMENTO). AF_05/2024</t>
  </si>
  <si>
    <t>ASSENTAMENTO DE CONEXÃO 2 ACESSOS INCLINADOS DE FERRO FUNDIDO PARA REDE DE ÁGUA, DN 500, JUNTA ELÁSTICA, INSTALADO EM LOCAL COM NÍVEL ALTO DE INTERFERÊNCIAS (NÃO INCLUI FORNECIMENTO). AF_05/2024</t>
  </si>
  <si>
    <t>ASSENTAMENTO DE CONEXÃO 2 ACESSOS INCLINADOS DE FERRO FUNDIDO PARA REDE DE ÁGUA, DN 600, JUNTA ELÁSTICA, INSTALADO EM LOCAL COM NÍVEL ALTO DE INTERFERÊNCIAS (NÃO INCLUI FORNECIMENTO). AF_05/2024</t>
  </si>
  <si>
    <t>ASSENTAMENTO DE CONEXÃO 2 ACESSOS INCLINADOS DE FERRO FUNDIDO PARA REDE DE ÁGUA, DN 700, JUNTA ELÁSTICA, INSTALADO EM LOCAL COM NÍVEL ALTO DE INTERFERÊNCIAS (NÃO INCLUI FORNECIMENTO). AF_05/2024</t>
  </si>
  <si>
    <t>ASSENTAMENTO DE CONEXÃO 2 ACESSOS INCLINADOS DE FERRO FUNDIDO PARA REDE DE ÁGUA, DN 800, JUNTA ELÁSTICA, INSTALADO EM LOCAL COM NÍVEL ALTO DE INTERFERÊNCIAS (NÃO INCLUI FORNECIMENTO). AF_05/2024</t>
  </si>
  <si>
    <t>ASSENTAMENTO DE CONEXÃO 2 ACESSOS INCLINADOS DE FERRO FUNDIDO PARA REDE DE ÁGUA, DN 900, JUNTA ELÁSTICA, INSTALADO EM LOCAL COM NÍVEL ALTO DE INTERFERÊNCIAS (NÃO INCLUI FORNECIMENTO). AF_05/2024</t>
  </si>
  <si>
    <t>ASSENTAMENTO DE CONEXÃO 2 ACESSOS INCLINADOS DE FERRO FUNDIDO PARA REDE DE ÁGUA, DN 1000, JUNTA ELÁSTICA, INSTALADO EM LOCAL COM NÍVEL ALTO DE INTERFERÊNCIAS (NÃO INCLUI FORNECIMENTO). AF_05/2024</t>
  </si>
  <si>
    <t>ASSENTAMENTO DE CONEXÃO 2 ACESSOS INCLINADOS DE FERRO FUNDIDO PARA REDE DE ÁGUA, DN 1200, JUNTA ELÁSTICA, INSTALADO EM LOCAL COM NÍVEL ALTO DE INTERFERÊNCIAS (NÃO INCLUI FORNECIMENTO). AF_05/2024</t>
  </si>
  <si>
    <t>ASSENTAMENTO DE CONEXÃO 3 ACESSOS DE FERRO FUNDIDO PARA REDE DE ÁGUA, DN 80, JUNTA ELÁSTICA, INSTALADO EM LOCAL COM NÍVEL ALTO DE INTERFERÊNCIAS (NÃO INCLUI FORNECIMENTO). AF_05/2024</t>
  </si>
  <si>
    <t>ASSENTAMENTO DE CONEXÃO 3 ACESSOS DE FERRO FUNDIDO PARA REDE DE ÁGUA, DN 100, JUNTA ELÁSTICA, INSTALADO EM LOCAL COM NÍVEL ALTO DE INTERFERÊNCIAS (NÃO INCLUI FORNECIMENTO). AF_05/2024</t>
  </si>
  <si>
    <t>ASSENTAMENTO DE CONEXÃO 3 ACESSOS DE FERRO FUNDIDO PARA REDE DE ÁGUA, DN 150, JUNTA ELÁSTICA, INSTALADO EM LOCAL COM NÍVEL ALTO DE INTERFERÊNCIAS (NÃO INCLUI FORNECIMENTO). AF_05/2024</t>
  </si>
  <si>
    <t>ASSENTAMENTO DE CONEXÃO 3 ACESSOS DE FERRO FUNDIDO PARA REDE DE ÁGUA, DN 200, JUNTA ELÁSTICA, INSTALADO EM LOCAL COM NÍVEL ALTO DE INTERFERÊNCIAS (NÃO INCLUI FORNECIMENTO). AF_05/2024</t>
  </si>
  <si>
    <t>ASSENTAMENTO DE CONEXÃO 2 ACESSOS INCLINADOS DE FERRO FUNDIDO PARA REDE DE ÁGUA, DN 100, JUNTA ELÁSTICA, INSTALADO EM LOCAL COM NÍVEL BAIXO DE INTERFERÊNCIAS (NÃO INCLUI FORNECIMENTO). AF_05/2024</t>
  </si>
  <si>
    <t>ASSENTAMENTO DE CONEXÃO 3 ACESSOS DE FERRO FUNDIDO PARA REDE DE ÁGUA, DN 150, JUNTA ELÁSTICA, INSTALADO EM LOCAL COM NÍVEL BAIXO DE INTERFERÊNCIAS (NÃO INCLUI FORNECIMENTO). AF_05/2024</t>
  </si>
  <si>
    <t>ASSENTAMENTO DE CONEXÃO 3 ACESSOS DE FERRO FUNDIDO PARA REDE DE ÁGUA, DN 250, JUNTA ELÁSTICA, INSTALADO EM LOCAL COM NÍVEL ALTO DE INTERFERÊNCIAS (NÃO INCLUI FORNECIMENTO). AF_05/2024</t>
  </si>
  <si>
    <t>ASSENTAMENTO DE CONEXÃO 2 ACESSOS ALINHADOS DE FERRO FUNDIDO PARA REDE DE ÁGUA, DN 80, JUNTA ELÁSTICA, INSTALADO EM LOCAL COM NÍVEL ALTO DE INTERFERÊNCIAS (NÃO INCLUI FORNECIMENTO). AF_05/2024</t>
  </si>
  <si>
    <t>ASSENTAMENTO DE CONEXÃO 2 ACESSOS INCLINADOS DE FERRO FUNDIDO PARA REDE DE ÁGUA, DN 150, JUNTA ELÁSTICA, INSTALADO EM LOCAL COM NÍVEL BAIXO DE INTERFERÊNCIAS (NÃO INCLUI FORNECIMENTO). AF_05/2024</t>
  </si>
  <si>
    <t>ASSENTAMENTO DE CONEXÃO 2 ACESSOS INCLINADOS DE FERRO FUNDIDO PARA REDE DE ÁGUA, DN 200, JUNTA ELÁSTICA, INSTALADO EM LOCAL COM NÍVEL BAIXO DE INTERFERÊNCIAS (NÃO INCLUI FORNECIMENTO). AF_05/2024</t>
  </si>
  <si>
    <t>ASSENTAMENTO DE CONEXÃO 2 ACESSOS INCLINADOS DE FERRO FUNDIDO PARA REDE DE ÁGUA, DN 250, JUNTA ELÁSTICA, INSTALADO EM LOCAL COM NÍVEL BAIXO DE INTERFERÊNCIAS (NÃO INCLUI FORNECIMENTO). AF_05/2024</t>
  </si>
  <si>
    <t>ASSENTAMENTO DE CONEXÃO 2 ACESSOS INCLINADOS DE FERRO FUNDIDO PARA REDE DE ÁGUA, DN 300, JUNTA ELÁSTICA, INSTALADO EM LOCAL COM NÍVEL BAIXO DE INTERFERÊNCIAS (NÃO INCLUI FORNECIMENTO). AF_05/2024</t>
  </si>
  <si>
    <t>ASSENTAMENTO DE CONEXÃO 2 ACESSOS INCLINADOS DE FERRO FUNDIDO PARA REDE DE ÁGUA, DN 350, JUNTA ELÁSTICA, INSTALADO EM LOCAL COM NÍVEL BAIXO DE INTERFERÊNCIAS (NÃO INCLUI FORNECIMENTO). AF_05/2024</t>
  </si>
  <si>
    <t>ASSENTAMENTO DE CONEXÃO 2 ACESSOS INCLINADOS DE FERRO FUNDIDO PARA REDE DE ÁGUA, DN 400, JUNTA ELÁSTICA, INSTALADO EM LOCAL COM NÍVEL BAIXO DE INTERFERÊNCIAS (NÃO INCLUI FORNECIMENTO). AF_05/2024</t>
  </si>
  <si>
    <t>ASSENTAMENTO DE CONEXÃO 2 ACESSOS INCLINADOS DE FERRO FUNDIDO PARA REDE DE ÁGUA, DN 450, JUNTA ELÁSTICA, INSTALADO EM LOCAL COM NÍVEL BAIXO DE INTERFERÊNCIAS (NÃO INCLUI FORNECIMENTO). AF_05/2024</t>
  </si>
  <si>
    <t>ASSENTAMENTO DE CONEXÃO 2 ACESSOS INCLINADOS DE FERRO FUNDIDO PARA REDE DE ÁGUA, DN 500, JUNTA ELÁSTICA, INSTALADO EM LOCAL COM NÍVEL BAIXO DE INTERFERÊNCIAS (NÃO INCLUI FORNECIMENTO). AF_05/2024</t>
  </si>
  <si>
    <t>ASSENTAMENTO DE CONEXÃO 2 ACESSOS INCLINADOS DE FERRO FUNDIDO PARA REDE DE ÁGUA, DN 600, JUNTA ELÁSTICA, INSTALADO EM LOCAL COM NÍVEL BAIXO DE INTERFERÊNCIAS (NÃO INCLUI FORNECIMENTO). AF_05/2024</t>
  </si>
  <si>
    <t>ASSENTAMENTO DE CONEXÃO 2 ACESSOS INCLINADOS DE FERRO FUNDIDO PARA REDE DE ÁGUA, DN 700, JUNTA ELÁSTICA, INSTALADO EM LOCAL COM NÍVEL BAIXO DE INTERFERÊNCIAS (NÃO INCLUI FORNECIMENTO). AF_05/2024</t>
  </si>
  <si>
    <t>ASSENTAMENTO DE CONEXÃO 2 ACESSOS ALINHADOS DE FERRO FUNDIDO PARA REDE DE ÁGUA, DN 300, JUNTA ELÁSTICA, INSTALADO EM LOCAL COM NÍVEL BAIXO DE INTERFERÊNCIAS (NÃO INCLUI FORNECIMENTO). AF_05/2024</t>
  </si>
  <si>
    <t>ASSENTAMENTO DE CONEXÃO 2 ACESSOS ALINHADOS DE FERRO FUNDIDO PARA REDE DE ÁGUA, DN 350, JUNTA ELÁSTICA, INSTALADO EM LOCAL COM NÍVEL BAIXO DE INTERFERÊNCIAS (NÃO INCLUI FORNECIMENTO). AF_05/2024</t>
  </si>
  <si>
    <t>ASSENTAMENTO DE CONEXÃO 3 ACESSOS DE FERRO FUNDIDO PARA REDE DE ÁGUA, DN 200, JUNTA ELÁSTICA, INSTALADO EM LOCAL COM NÍVEL BAIXO DE INTERFERÊNCIAS (NÃO INCLUI FORNECIMENTO). AF_05/2024</t>
  </si>
  <si>
    <t>ASSENTAMENTO DE CONEXÃO 3 ACESSOS DE FERRO FUNDIDO PARA REDE DE ÁGUA, DN 250, JUNTA ELÁSTICA, INSTALADO EM LOCAL COM NÍVEL BAIXO DE INTERFERÊNCIAS (NÃO INCLUI FORNECIMENTO). AF_05/2024</t>
  </si>
  <si>
    <t>ASSENTAMENTO DE CONEXÃO 3 ACESSOS DE FERRO FUNDIDO PARA REDE DE ÁGUA, DN 300, JUNTA ELÁSTICA, INSTALADO EM LOCAL COM NÍVEL BAIXO DE INTERFERÊNCIAS (NÃO INCLUI FORNECIMENTO). AF_05/2024</t>
  </si>
  <si>
    <t>ASSENTAMENTO DE CONEXÃO 3 ACESSOS DE FERRO FUNDIDO PARA REDE DE ÁGUA, DN 350, JUNTA ELÁSTICA, INSTALADO EM LOCAL COM NÍVEL BAIXO DE INTERFERÊNCIAS (NÃO INCLUI FORNECIMENTO). AF_05/2024</t>
  </si>
  <si>
    <t>ASSENTAMENTO DE CONEXÃO 3 ACESSOS DE FERRO FUNDIDO PARA REDE DE ÁGUA, DN 400, JUNTA ELÁSTICA, INSTALADO EM LOCAL COM NÍVEL BAIXO DE INTERFERÊNCIAS (NÃO INCLUI FORNECIMENTO). AF_05/2024</t>
  </si>
  <si>
    <t>ASSENTAMENTO DE CONEXÃO 3 ACESSOS DE FERRO FUNDIDO PARA REDE DE ÁGUA, DN 450, JUNTA ELÁSTICA, INSTALADO EM LOCAL COM NÍVEL BAIXO DE INTERFERÊNCIAS (NÃO INCLUI FORNECIMENTO). AF_05/2024</t>
  </si>
  <si>
    <t>ASSENTAMENTO DE CONEXÃO 3 ACESSOS DE FERRO FUNDIDO PARA REDE DE ÁGUA, DN 500, JUNTA ELÁSTICA, INSTALADO EM LOCAL COM NÍVEL BAIXO DE INTERFERÊNCIAS (NÃO INCLUI FORNECIMENTO). AF_05/2024</t>
  </si>
  <si>
    <t>ASSENTAMENTO DE CONEXÃO 3 ACESSOS DE FERRO FUNDIDO PARA REDE DE ÁGUA, DN 600, JUNTA ELÁSTICA, INSTALADO EM LOCAL COM NÍVEL BAIXO DE INTERFERÊNCIAS (NÃO INCLUI FORNECIMENTO). AF_05/2024</t>
  </si>
  <si>
    <t>ASSENTAMENTO DE CONEXÃO 2 ACESSOS INCLINADOS DE FERRO FUNDIDO PARA REDE DE ÁGUA, DN 800, JUNTA ELÁSTICA, INSTALADO EM LOCAL COM NÍVEL BAIXO DE INTERFERÊNCIAS (NÃO INCLUI FORNECIMENTO). AF_05/2024</t>
  </si>
  <si>
    <t>ASSENTAMENTO DE CONEXÃO 2 ACESSOS INCLINADOS DE FERRO FUNDIDO PARA REDE DE ÁGUA, DN 1000, JUNTA ELÁSTICA, INSTALADO EM LOCAL COM NÍVEL BAIXO DE INTERFERÊNCIAS (NÃO INCLUI FORNECIMENTO). AF_05/2024</t>
  </si>
  <si>
    <t>ASSENTAMENTO DE CONEXÃO 2 ACESSOS INCLINADOS DE FERRO FUNDIDO PARA REDE DE ÁGUA, DN 1200, JUNTA ELÁSTICA, INSTALADO EM LOCAL COM NÍVEL BAIXO DE INTERFERÊNCIAS (NÃO INCLUI FORNECIMENTO). AF_05/2024</t>
  </si>
  <si>
    <t>ASSENTAMENTO DE CONEXÃO 3 ACESSOS DE FERRO FUNDIDO PARA REDE DE ÁGUA, DN 80, JUNTA ELÁSTICA, INSTALADO EM LOCAL COM NÍVEL BAIXO DE INTERFERÊNCIAS (NÃO INCLUI FORNECIMENTO). AF_05/2024</t>
  </si>
  <si>
    <t>ASSENTAMENTO DE CONEXÃO 3 ACESSOS DE FERRO FUNDIDO PARA REDE DE ÁGUA, DN 700, JUNTA ELÁSTICA, INSTALADO EM LOCAL COM NÍVEL BAIXO DE INTERFERÊNCIAS (NÃO INCLUI FORNECIMENTO). AF_05/2024</t>
  </si>
  <si>
    <t>ASSENTAMENTO DE CONEXÃO 3 ACESSOS DE FERRO FUNDIDO PARA REDE DE ÁGUA, DN 900, JUNTA ELÁSTICA, INSTALADO EM LOCAL COM NÍVEL BAIXO DE INTERFERÊNCIAS (NÃO INCLUI FORNECIMENTO). AF_05/2024</t>
  </si>
  <si>
    <t>ASSENTAMENTO DE CONEXÃO 3 ACESSOS DE FERRO FUNDIDO PARA REDE DE ÁGUA, DN 1000, JUNTA ELÁSTICA, INSTALADO EM LOCAL COM NÍVEL BAIXO DE INTERFERÊNCIAS (NÃO INCLUI FORNECIMENTO). AF_05/2024</t>
  </si>
  <si>
    <t>ASSENTAMENTO DE CONEXÃO 3 ACESSOS DE FERRO FUNDIDO PARA REDE DE ÁGUA, DN 1200, JUNTA ELÁSTICA, INSTALADO EM LOCAL COM NÍVEL BAIXO DE INTERFERÊNCIAS (NÃO INCLUI FORNECIMENTO). AF_05/2024</t>
  </si>
  <si>
    <t>ASSENTAMENTO DE CONEXÃO 3 ACESSOS DE FERRO FUNDIDO PARA REDE DE ÁGUA, DN 300, JUNTA ELÁSTICA, INSTALADO EM LOCAL COM NÍVEL ALTO DE INTERFERÊNCIAS (NÃO INCLUI FORNECIMENTO). AF_05/2024</t>
  </si>
  <si>
    <t>ASSENTAMENTO DE CONEXÃO 3 ACESSOS DE FERRO FUNDIDO PARA REDE DE ÁGUA, DN 350, JUNTA ELÁSTICA, INSTALADO EM LOCAL COM NÍVEL ALTO DE INTERFERÊNCIAS (NÃO INCLUI FORNECIMENTO). AF_05/2024</t>
  </si>
  <si>
    <t>ASSENTAMENTO DE CONEXÃO 3 ACESSOS DE FERRO FUNDIDO PARA REDE DE ÁGUA, DN 400, JUNTA ELÁSTICA, INSTALADO EM LOCAL COM NÍVEL ALTO DE INTERFERÊNCIAS (NÃO INCLUI FORNECIMENTO). AF_05/2024</t>
  </si>
  <si>
    <t>ASSENTAMENTO DE CONEXÃO 3 ACESSOS DE FERRO FUNDIDO PARA REDE DE ÁGUA, DN 450, JUNTA ELÁSTICA, INSTALADO EM LOCAL COM NÍVEL ALTO DE INTERFERÊNCIAS (NÃO INCLUI FORNECIMENTO). AF_05/2024</t>
  </si>
  <si>
    <t>ASSENTAMENTO DE CONEXÃO 3 ACESSOS DE FERRO FUNDIDO PARA REDE DE ÁGUA, DN 500, JUNTA ELÁSTICA, INSTALADO EM LOCAL COM NÍVEL ALTO DE INTERFERÊNCIAS (NÃO INCLUI FORNECIMENTO). AF_05/2024</t>
  </si>
  <si>
    <t>ASSENTAMENTO DE CONEXÃO 3 ACESSOS DE FERRO FUNDIDO PARA REDE DE ÁGUA, DN 600, JUNTA ELÁSTICA, INSTALADO EM LOCAL COM NÍVEL ALTO DE INTERFERÊNCIAS (NÃO INCLUI FORNECIMENTO). AF_05/2024</t>
  </si>
  <si>
    <t>ASSENTAMENTO DE CONEXÃO 3 ACESSOS DE FERRO FUNDIDO PARA REDE DE ÁGUA, DN 700, JUNTA ELÁSTICA, INSTALADO EM LOCAL COM NÍVEL ALTO DE INTERFERÊNCIAS (NÃO INCLUI FORNECIMENTO). AF_05/2024</t>
  </si>
  <si>
    <t>ASSENTAMENTO DE CONEXÃO 3 ACESSOS DE FERRO FUNDIDO PARA REDE DE ÁGUA, DN 800, JUNTA ELÁSTICA, INSTALADO EM LOCAL COM NÍVEL ALTO DE INTERFERÊNCIAS (NÃO INCLUI FORNECIMENTO). AF_05/2024</t>
  </si>
  <si>
    <t>ASSENTAMENTO DE CONEXÃO 3 ACESSOS DE FERRO FUNDIDO PARA REDE DE ÁGUA, DN 900, JUNTA ELÁSTICA, INSTALADO EM LOCAL COM NÍVEL ALTO DE INTERFERÊNCIAS (NÃO INCLUI FORNECIMENTO). AF_05/2024</t>
  </si>
  <si>
    <t>ASSENTAMENTO DE CONEXÃO 3 ACESSOS DE FERRO FUNDIDO PARA REDE DE ÁGUA, DN 1000, JUNTA ELÁSTICA, INSTALADO EM LOCAL COM NÍVEL ALTO DE INTERFERÊNCIAS (NÃO INCLUI FORNECIMENTO). AF_05/2024</t>
  </si>
  <si>
    <t>ASSENTAMENTO DE CONEXÃO 3 ACESSOS DE FERRO FUNDIDO PARA REDE DE ÁGUA, DN 1200, JUNTA ELÁSTICA, INSTALADO EM LOCAL COM NÍVEL ALTO DE INTERFERÊNCIAS (NÃO INCLUI FORNECIMENTO). AF_05/2024</t>
  </si>
  <si>
    <t>FORNECIMENTO E ASSENTAMENTO DE TE RANHURADO EM FERRO FUNDIDO, DN 80 (3") PARA REDE DE ÁGUA, INSTALADO EM LOCAL COM NÍVEL ALTO DE INTERFERÊNCIAS (INCLUI FORNECIMENTO). AF_05/2024</t>
  </si>
  <si>
    <t>FORNECIMENTO E ASSENTAMENTO DE CURVA 45 GRAUS RANHURADA EM FERRO FUNDIDO, DN 80 MM (3") PARA REDE DE ÁGUA, INSTALADO EM LOCAL COM NÍVEL ALTO DE INTERFERÊNCIAS (INCLUI FORNECIMENTO). AF_05/2024</t>
  </si>
  <si>
    <t>ASSENTAMENTO DE CONEXÃO 2 ACESSOS ALINHADOS DE FERRO FUNDIDO PARA REDE DE ÁGUA, DN 100, JUNTA ELÁSTICA, INSTALADO EM LOCAL COM NÍVEL ALTO DE INTERFERÊNCIAS (NÃO INCLUI FORNECIMENTO). AF_05/2024</t>
  </si>
  <si>
    <t>ASSENTAMENTO DE CONEXÃO 2 ACESSOS ALINHADOS DE FERRO FUNDIDO PARA REDE DE ÁGUA, DN 150, JUNTA ELÁSTICA, INSTALADO EM LOCAL COM NÍVEL ALTO DE INTERFERÊNCIAS (NÃO INCLUI FORNECIMENTO). AF_05/2024</t>
  </si>
  <si>
    <t>ASSENTAMENTO DE CONEXÃO 2 ACESSOS ALINHADOS DE FERRO FUNDIDO PARA REDE DE ÁGUA, DN 1000, JUNTA ELÁSTICA, INSTALADO EM LOCAL COM NÍVEL ALTO DE INTERFERÊNCIAS (NÃO INCLUI FORNECIMENTO). AF_05/2024</t>
  </si>
  <si>
    <t>ASSENTAMENTO DE CONEXÃO 2 ACESSOS ALINHADOS DE FERRO FUNDIDO PARA REDE DE ÁGUA, DN 150, JUNTA ELÁSTICA, INSTALADO EM LOCAL COM NÍVEL BAIXO DE INTERFERÊNCIAS (NÃO INCLUI FORNECIMENTO). AF_05/2024</t>
  </si>
  <si>
    <t>ASSENTAMENTO DE CONEXÃO 2 ACESSOS ALINHADOS DE FERRO FUNDIDO PARA REDE DE ÁGUA, DN 200, JUNTA ELÁSTICA, INSTALADO EM LOCAL COM NÍVEL BAIXO DE INTERFERÊNCIAS (NÃO INCLUI FORNECIMENTO). AF_05/2024</t>
  </si>
  <si>
    <t>ASSENTAMENTO DE CONEXÃO 2 ACESSOS INCLINADOS DE FERRO FUNDIDO PARA REDE DE ÁGUA, DN 900, JUNTA ELÁSTICA, INSTALADO EM LOCAL COM NÍVEL BAIXO DE INTERFERÊNCIAS (NÃO INCLUI FORNECIMENTO). AF_05/2024</t>
  </si>
  <si>
    <t>ASSENTAMENTO DE CONEXÃO 3 ACESSOS DE FERRO FUNDIDO PARA REDE DE ÁGUA, DN 800, JUNTA ELÁSTICA, INSTALADO EM LOCAL COM NÍVEL BAIXO DE INTERFERÊNCIAS (NÃO INCLUI FORNECIMENTO). AF_05/2024</t>
  </si>
  <si>
    <t>ASSENTAMENTO DE CONEXÃO 2 ACESSOS ALINHADOS DE FERRO FUNDIDO PARA REDE DE ÁGUA, DN 200, JUNTA ELÁSTICA, INSTALADO EM LOCAL COM NÍVEL ALTO DE INTERFERÊNCIAS (NÃO INCLUI FORNECIMENTO). AF_05/2024</t>
  </si>
  <si>
    <t>ASSENTAMENTO DE CONEXÃO 2 ACESSOS ALINHADOS DE FERRO FUNDIDO PARA REDE DE ÁGUA, DN 250, JUNTA ELÁSTICA, INSTALADO EM LOCAL COM NÍVEL ALTO DE INTERFERÊNCIAS (NÃO INCLUI FORNECIMENTO). AF_05/2024</t>
  </si>
  <si>
    <t>ASSENTAMENTO DE CONEXÃO 2 ACESSOS ALINHADOS DE FERRO FUNDIDO PARA REDE DE ÁGUA, DN 300, JUNTA ELÁSTICA, INSTALADO EM LOCAL COM NÍVEL ALTO DE INTERFERÊNCIAS (NÃO INCLUI FORNECIMENTO). AF_05/2024</t>
  </si>
  <si>
    <t>ASSENTAMENTO DE CONEXÃO 2 ACESSOS ALINHADOS DE FERRO FUNDIDO PARA REDE DE ÁGUA, DN 350, JUNTA ELÁSTICA, INSTALADO EM LOCAL COM NÍVEL ALTO DE INTERFERÊNCIAS (NÃO INCLUI FORNECIMENTO). AF_05/2024</t>
  </si>
  <si>
    <t>ASSENTAMENTO DE CONEXÃO 2 ACESSOS ALINHADOS DE FERRO FUNDIDO PARA REDE DE ÁGUA, DN 400, JUNTA ELÁSTICA, INSTALADO EM LOCAL COM NÍVEL ALTO DE INTERFERÊNCIAS (NÃO INCLUI FORNECIMENTO). AF_05/2024</t>
  </si>
  <si>
    <t>ASSENTAMENTO DE CONEXÃO 2 ACESSOS ALINHADOS DE FERRO FUNDIDO PARA REDE DE ÁGUA, DN 450, JUNTA ELÁSTICA, INSTALADO EM LOCAL COM NÍVEL ALTO DE INTERFERÊNCIAS (NÃO INCLUI FORNECIMENTO). AF_05/2024</t>
  </si>
  <si>
    <t>ASSENTAMENTO DE CONEXÃO 2 ACESSOS ALINHADOS DE FERRO FUNDIDO PARA REDE DE ÁGUA, DN 500, JUNTA ELÁSTICA, INSTALADO EM LOCAL COM NÍVEL ALTO DE INTERFERÊNCIAS (NÃO INCLUI FORNECIMENTO). AF_05/2024</t>
  </si>
  <si>
    <t>ASSENTAMENTO DE CONEXÃO 2 ACESSOS ALINHADOS DE FERRO FUNDIDO PARA REDE DE ÁGUA, DN 600, JUNTA ELÁSTICA, INSTALADO EM LOCAL COM NÍVEL ALTO DE INTERFERÊNCIAS (NÃO INCLUI FORNECIMENTO). AF_05/2024</t>
  </si>
  <si>
    <t>ASSENTAMENTO DE CONEXÃO 2 ACESSOS ALINHADOS DE FERRO FUNDIDO PARA REDE DE ÁGUA, DN 700, JUNTA ELÁSTICA, INSTALADO EM LOCAL COM NÍVEL ALTO DE INTERFERÊNCIAS (NÃO INCLUI FORNECIMENTO). AF_05/2024</t>
  </si>
  <si>
    <t>ASSENTAMENTO DE CONEXÃO 2 ACESSOS ALINHADOS DE FERRO FUNDIDO PARA REDE DE ÁGUA, DN 800, JUNTA ELÁSTICA, INSTALADO EM LOCAL COM NÍVEL ALTO DE INTERFERÊNCIAS (NÃO INCLUI FORNECIMENTO). AF_05/2024</t>
  </si>
  <si>
    <t>ASSENTAMENTO DE CONEXÃO 2 ACESSOS ALINHADOS DE FERRO FUNDIDO PARA REDE DE ÁGUA, DN 900, JUNTA ELÁSTICA, INSTALADO EM LOCAL COM NÍVEL ALTO DE INTERFERÊNCIAS (NÃO INCLUI FORNECIMENTO). AF_05/2024</t>
  </si>
  <si>
    <t>ASSENTAMENTO DE TUBO DE AÇO CARBONO PARA REDE DE ÁGUA, DN 600 MM (24"), JUNTA SOLDADA, INSTALADO EM LOCAL COM NÍVEL ALTO DE INTERFERÊNCIAS (NÃO INCLUI FORNECIMENTO). AF_05/2024</t>
  </si>
  <si>
    <t>ASSENTAMENTO DE TUBO DE AÇO CARBONO PARA REDE DE ÁGUA, DN 700 MM (28"), JUNTA SOLDADA, INSTALADO EM LOCAL COM NÍVEL ALTO DE INTERFERÊNCIAS (NÃO INCLUI FORNECIMENTO). AF_05/2024</t>
  </si>
  <si>
    <t>ASSENTAMENTO DE TUBO DE AÇO CARBONO PARA REDE DE ÁGUA, DN 800 MM (32"), JUNTA SOLDADA, INSTALADO EM LOCAL COM NÍVEL ALTO DE INTERFERÊNCIAS (NÃO INCLUI FORNECIMENTO). AF_05/2024</t>
  </si>
  <si>
    <t>ASSENTAMENTO DE TUBO DE AÇO CARBONO PARA REDE DE ÁGUA, DN 900 MM (36"), JUNTA SOLDADA, INSTALADO EM LOCAL COM NÍVEL ALTO DE INTERFERÊNCIAS (NÃO INCLUI FORNECIMENTO). AF_05/2024</t>
  </si>
  <si>
    <t>ASSENTAMENTO DE TUBO DE AÇO CARBONO PARA REDE DE ÁGUA, DN 1000 MM (40") OU DN 1100 MM (44"), JUNTA SOLDADA, INSTALADO EM LOCAL COM NÍVEL ALTO DE INTERFERÊNCIAS (NÃO INCLUI FORNECIMENTO). AF_05/2024</t>
  </si>
  <si>
    <t>ASSENTAMENTO DE TUBO DE AÇO CARBONO PARA REDE DE ÁGUA, DN 1200 MM (48") OU DN 1300 MM (52"), JUNTA SOLDADA, INSTALADO EM LOCAL COM NÍVEL ALTO DE INTERFERÊNCIAS (NÃO INCLUI FORNECIMENTO). AF_05/2024</t>
  </si>
  <si>
    <t>ASSENTAMENTO DE TUBO DE AÇO CARBONO PARA REDE DE ÁGUA, DN 1400 MM (56'') OU DN 1500 MM (60"), JUNTA SOLDADA, INSTALADO EM LOCAL COM NÍVEL ALTO DE INTERFERÊNCIAS (NÃO INCLUI FORNECIMENTO). AF_05/2024</t>
  </si>
  <si>
    <t>ASSENTAMENTO DE TUBO DE AÇO CARBONO PARA REDE DE ÁGUA, DN 1600 MM (64") OU DN 1700 MM (68"), JUNTA SOLDADA, INSTALADO EM LOCAL COM NÍVEL ALTO DE INTERFERÊNCIAS (NÃO INCLUI FORNECIMENTO). AF_05/2024</t>
  </si>
  <si>
    <t>ASSENTAMENTO DE TUBO DE AÇO CARBONO PARA REDE DE ÁGUA, DN 1800 MM (72") OU DN 1900 MM (76"), JUNTA SOLDADA, INSTALADO EM LOCAL COM NÍVEL ALTO DE INTERFERÊNCIAS (NÃO INCLUI FORNECIMENTO). AF_05/2024</t>
  </si>
  <si>
    <t>ASSENTAMENTO DE TUBO DE AÇO CARBONO PARA REDE DE ÁGUA, DN 2000 MM (80") OU DN 2100 MM (84"), JUNTA SOLDADA, INSTALADO EM LOCAL COM NÍVEL ALTO DE INTERFERÊNCIAS (NÃO INCLUI FORNECIMENTO). AF_05/2024</t>
  </si>
  <si>
    <t>ASSENTAMENTO DE TUBO DE AÇO CARBONO PARA REDE DE ÁGUA, DN 600 MM (24"), JUNTA SOLDADA, INSTALADO EM LOCAL COM NÍVEL BAIXO DE INTERFERÊNCIAS (NÃO INCLUI FORNECIMENTO). AF_05/2024</t>
  </si>
  <si>
    <t>ASSENTAMENTO DE TUBO DE AÇO CARBONO PARA REDE DE ÁGUA, DN 700 MM (28"), JUNTA SOLDADA, INSTALADO EM LOCAL COM NÍVEL BAIXO DE INTERFERÊNCIAS (NÃO INCLUI FORNECIMENTO). AF_05/2024</t>
  </si>
  <si>
    <t>ASSENTAMENTO DE TUBO DE AÇO CARBONO PARA REDE DE ÁGUA, DN 800 MM (32"), JUNTA SOLDADA, INSTALADO EM LOCAL COM NÍVEL BAIXO DE INTERFERÊNCIAS (NÃO INCLUI FORNECIMENTO). AF_05/2024</t>
  </si>
  <si>
    <t>ASSENTAMENTO DE TUBO DE AÇO CARBONO PARA REDE DE ÁGUA, DN 900 MM (36"), JUNTA SOLDADA, INSTALADO EM LOCAL COM NÍVEL BAIXO DE INTERFERÊNCIAS (NÃO INCLUI FORNECIMENTO). AF_05/2024</t>
  </si>
  <si>
    <t>ASSENTAMENTO DE TUBO DE AÇO CARBONO PARA REDE DE ÁGUA, DN 1000 MM (40") OU DN 1100 MM (44"), JUNTA SOLDADA, INSTALADO EM LOCAL COM NÍVEL BAIXO DE INTERFERÊNCIAS (NÃO INCLUI FORNECIMENTO). AF_05/2024</t>
  </si>
  <si>
    <t>ASSENTAMENTO DE TUBO DE AÇO CARBONO PARA REDE DE ÁGUA, DN 1200 MM (48") OU DN 1300 MM (52"), JUNTA SOLDADA, INSTALADO EM LOCAL COM NÍVEL BAIXO DE INTERFERÊNCIAS (NÃO INCLUI FORNECIMENTO). AF_05/2024</t>
  </si>
  <si>
    <t>ASSENTAMENTO DE TUBO DE AÇO CARBONO PARA REDE DE ÁGUA, DN 1400 MM (56'') OU DN 1500 MM (60"), JUNTA SOLDADA, INSTALADO EM LOCAL COM NÍVEL BAIXO DE INTERFERÊNCIAS (NÃO INCLUI FORNECIMENTO). AF_05/2024</t>
  </si>
  <si>
    <t>ASSENTAMENTO DE TUBO DE AÇO CARBONO PARA REDE DE ÁGUA, DN 1600 MM (64") OU DN 1700 MM (68"), JUNTA SOLDADA, INSTALADO EM LOCAL COM NÍVEL BAIXO DE INTERFERÊNCIAS (NÃO INCLUI FORNECIMENTO). AF_05/2024</t>
  </si>
  <si>
    <t>ASSENTAMENTO DE TUBO DE AÇO CARBONO PARA REDE DE ÁGUA, DN 1800 MM (72") OU DN 1900 MM (76"), JUNTA SOLDADA, INSTALADO EM LOCAL COM NÍVEL BAIXO DE INTERFERÊNCIAS (NÃO INCLUI FORNECIMENTO). AF_05/2024</t>
  </si>
  <si>
    <t>ASSENTAMENTO DE TUBO DE AÇO CARBONO PARA REDE DE ÁGUA, DN 2000 MM (80") OU DN 2100 MM (84"), JUNTA SOLDADA, INSTALADO EM LOCAL COM NÍVEL BAIXO DE INTERFERÊNCIAS (NÃO INCLUI FORNECIMENTO). AF_05/2024</t>
  </si>
  <si>
    <t>ASSENTAMENTO DE TUBO DE PVC PBA PARA REDE DE ÁGUA, DN 50 MM, JUNTA ELÁSTICA INTEGRADA, INSTALADO EM LOCAL COM NÍVEL ALTO DE INTERFERÊNCIAS (NÃO INCLUI FORNECIMENTO). AF_05/2024</t>
  </si>
  <si>
    <t>ASSENTAMENTO DE TUBO DE PVC PBA PARA REDE DE ÁGUA, DN 75 MM, JUNTA ELÁSTICA INTEGRADA, INSTALADO EM LOCAL COM NÍVEL ALTO DE INTERFERÊNCIAS (NÃO INCLUI FORNECIMENTO). AF_05/2024</t>
  </si>
  <si>
    <t>ASSENTAMENTO DE TUBO DE PVC PBA PARA REDE DE ÁGUA, DN 100 MM, JUNTA ELÁSTICA INTEGRADA, INSTALADO EM LOCAL COM NÍVEL ALTO DE INTERFERÊNCIAS (NÃO INCLUI FORNECIMENTO). AF_05/2024</t>
  </si>
  <si>
    <t>ASSENTAMENTO DE TUBO DE PVC PBA PARA REDE DE ÁGUA, DN 50 MM, JUNTA ELÁSTICA INTEGRADA, INSTALADO EM LOCAL COM NÍVEL BAIXO DE INTERFERÊNCIAS (NÃO INCLUI FORNECIMENTO). AF_05/2024</t>
  </si>
  <si>
    <t>ASSENTAMENTO DE TUBO DE PVC PBA PARA REDE DE ÁGUA, DN 75 MM, JUNTA ELÁSTICA INTEGRADA, INSTALADO EM LOCAL COM NÍVEL BAIXO DE INTERFERÊNCIAS (NÃO INCLUI FORNECIMENTO). AF_05/2024</t>
  </si>
  <si>
    <t>ASSENTAMENTO DE TUBO DE PVC PBA PARA REDE DE ÁGUA, DN 100 MM, JUNTA ELÁSTICA INTEGRADA, INSTALADO EM LOCAL COM NÍVEL BAIXO DE INTERFERÊNCIAS (NÃO INCLUI FORNECIMENTO). AF_05/2024</t>
  </si>
  <si>
    <t>ASSENTAMENTO E FORNECIMENTO DE TUBO DE PVC PBA PARA REDE DE ÁGUA, DN 50, JUNTA ELÁSTICA INTEGRADA, INSTALADO EM LOCAL COM NÍVEL ALTO DE INTERFERÊNCIAS (INCLUI FORNECIMENTO). AF_05/2024</t>
  </si>
  <si>
    <t>ASSENTAMENTO E FORNECIMENTO DE TUBO DE PVC PBA PARA REDE DE ÁGUA, DN 50, JUNTA ELÁSTICA INTEGRADA, INSTALADO EM LOCAL COM NÍVEL BAIXO DE INTERFERÊNCIAS (INCLUI FORNECIMENTO). AF_05/2024</t>
  </si>
  <si>
    <t>ASSENTAMENTO E FORNECIMENTO DE LUVA SIMPLES, PVC PBA, JE, DN 50 / DE 60 MM, PARA REDE AGUA, JUNTA ELÁSTICA INTEGRADA, INSTALADO EM LOCAL COM NÍVEL ALTO DE INTERFERÊNCIAS (INCLUI FORNECIMENTO). AF_05/2024</t>
  </si>
  <si>
    <t>ASSENTAMENTO E FORNECIMENTO DE LUVA SIMPLES, PVC PBA, JE, DN 50 / DE 60 MM, PARA REDE AGUA, JUNTA ELÁSTICA INTEGRADA, INSTALADO EM LOCAL COM NÍVEL BAIXO DE INTERFERÊNCIAS (INCLUI FORNECIMENTO). AF_05/2024</t>
  </si>
  <si>
    <t>ASSENTAMENTO E FORNECIMENTO DE LUVA SIMPLES, PVC PBA, JE, DN 75 / DE 85 MM, PARA REDE AGUA, JUNTA ELÁSTICA INTEGRADA, INSTALADO EM LOCAL COM NÍVEL ALTO DE INTERFERÊNCIAS (INCLUI FORNECIMENTO). AF_05/2024</t>
  </si>
  <si>
    <t>ASSENTAMENTO E FORNECIMENTO DE LUVA SIMPLES, PVC PBA, JE, DN 75 / DE 85 MM, PARA REDE AGUA, JUNTA ELÁSTICA INTEGRADA, INSTALADO EM LOCAL COM NÍVEL BAIXO DE INTERFERÊNCIAS (INCLUI FORNECIMENTO). AF_05/2024</t>
  </si>
  <si>
    <t>ASSENTAMENTO E FORNECIMENTO DE LUVA SIMPLES, PVC PBA, JE, DN 100 / DE 110 MM, PARA REDE AGUA, JUNTA ELÁSTICA INTEGRADA, INSTALADO EM LOCAL COM NÍVEL ALTO DE INTERFERÊNCIAS (INCLUI FORNECIMENTO). AF_05/2024</t>
  </si>
  <si>
    <t>ASSENTAMENTO E FORNECIMENTO DE LUVA SIMPLES, PVC PBA, JE, DN 100 / DE 110 MM, PARA REDE AGUA, JUNTA ELÁSTICA INTEGRADA, INSTALADO EM LOCAL COM NÍVEL BAIXO DE INTERFERÊNCIAS (INCLUI FORNECIMENTO). AF_05/2024</t>
  </si>
  <si>
    <t>ASSENTAMENTO E FORNECIMENTO DE CURVA PVC PBA, JE, PB, 45 GRAUS, DN 50 / DE 60 MM, PARA REDE AGUA, JUNTA ELÁSTICA INTEGRADA, INSTALADO EM LOCAL COM NÍVEL ALTO DE INTERFERÊNCIAS (INCLUI FORNECIMENTO). AF_05/2024</t>
  </si>
  <si>
    <t>ASSENTAMENTO E FORNECIMENTO DE CURVA PVC PBA, JE, PB, 45 GRAUS, DN 50 / DE 60 MM, PARA REDE AGUA, JUNTA ELÁSTICA INTEGRADA, INSTALADO EM LOCAL COM NÍVEL BAIXO DE INTERFERÊNCIAS (INCLUI FORNECIMENTO). AF_05/2024</t>
  </si>
  <si>
    <t>ASSENTAMENTO E FORNECIMENTO DE CURVA PVC PBA, JE, PB, 45 GRAUS, DN 75 / DE 85 MM, PARA REDE AGUA, JUNTA ELÁSTICA INTEGRADA, INSTALADO EM LOCAL COM NÍVEL ALTO DE INTERFERÊNCIAS (INCLUI FORNECIMENTO). AF_05/2024</t>
  </si>
  <si>
    <t>ASSENTAMENTO E FORNECIMENTO DE CURVA PVC PBA, JE, PB, 45 GRAUS, DN 75 / DE 85 MM, PARA REDE AGUA, JUNTA ELÁSTICA INTEGRADA, INSTALADO EM LOCAL COM NÍVEL BAIXO DE INTERFERÊNCIAS (INCLUI FORNECIMENTO). AF_05/2024</t>
  </si>
  <si>
    <t>ASSENTAMENTO E FORNECIMENTO DE CURVA PVC PBA, JE, PB, 45 GRAUS, DN 100 / DE 110 MM, PARA REDE AGUA, JUNTA ELÁSTICA INTEGRADA, INSTALADO EM LOCAL COM NÍVEL ALTO DE INTERFERÊNCIAS (INCLUI FORNECIMENTO). AF_05/2024</t>
  </si>
  <si>
    <t>ASSENTAMENTO DE TUBO DE PVC PBA PARA REDE DE ÁGUA, DN 125, JUNTA ELÁSTICA INTEGRADA, INSTALADO EM LOCAL COM NÍVEL ALTO DE INTERFERÊNCIAS (NÃO INCLUI FORNECIMENTO). AF_05/2024</t>
  </si>
  <si>
    <t>ASSENTAMENTO DE TUBO DE PVC PBA PARA REDE DE ÁGUA, DN 140, JUNTA ELÁSTICA INTEGRADA, INSTALADO EM LOCAL COM NÍVEL ALTO DE INTERFERÊNCIAS (NÃO INCLUI FORNECIMENTO). AF_05/2024</t>
  </si>
  <si>
    <t>ASSENTAMENTO DE TUBO DE PVC PBA PARA REDE DE ÁGUA, DN 180, JUNTA ELÁSTICA INTEGRADA, INSTALADO EM LOCAL COM NÍVEL ALTO DE INTERFERÊNCIAS (NÃO INCLUI FORNECIMENTO). AF_05/2024</t>
  </si>
  <si>
    <t>ASSENTAMENTO DE TUBO DE PVC DEFOFO OU PRFV OU RPVC PARA REDE DE ÁGUA, DN 100, JUNTA ELÁSTICA INTEGRADA, INSTALADO EM LOCAL COM NÍVEL ALTO DE INTERFERÊNCIAS (NÃO INCLUI FORNECIMENTO). AF_05/2024</t>
  </si>
  <si>
    <t>ASSENTAMENTO DE TUBO DE PVC PBA PARA REDE DE ÁGUA, DN 125, JUNTA ELÁSTICA INTEGRADA, INSTALADO EM LOCAL COM NÍVEL BAIXO DE INTERFERÊNCIAS (NÃO INCLUI FORNECIMENTO). AF_05/2024</t>
  </si>
  <si>
    <t>ASSENTAMENTO DE TUBO DE PVC PBA PARA REDE DE ÁGUA, DN 140, JUNTA ELÁSTICA INTEGRADA, INSTALADO EM LOCAL COM NÍVEL BAIXO DE INTERFERÊNCIAS (NÃO INCLUI FORNECIMENTO). AF_05/2024</t>
  </si>
  <si>
    <t>ASSENTAMENTO DE TUBO DE PVC PBA PARA REDE DE ÁGUA, DN 180, JUNTA ELÁSTICA INTEGRADA, INSTALADO EM LOCAL COM NÍVEL BAIXO DE INTERFERÊNCIAS (NÃO INCLUI FORNECIMENTO). AF_05/2024</t>
  </si>
  <si>
    <t>ASSENTAMENTO DE CONEXÃO 2 ACESSOS ALINHADOS DE PVC PBA PARA REDE DE ÁGUA, DN 50, JUNTA ELÁSTICA INTEGRADA, INSTALADO EM LOCAL COM NÍVEL BAIXO DE INTERFERÊNCIAS (NÃO INCLUI FORNECIMENTO). AF_05/2024</t>
  </si>
  <si>
    <t>ASSENTAMENTO DE CONEXÃO 2 ACESSOS ALINHADOS DE FERRO FUNDIDO PARA REDE DE ÁGUA, DN 250, JUNTA ELÁSTICA, INSTALADO EM LOCAL COM NÍVEL BAIXO DE INTERFERÊNCIAS (NÃO INCLUI FORNECIMENTO). AF_05/2024</t>
  </si>
  <si>
    <t>ASSENTAMENTO E FORNECIMENTO DE TUBO DE PVC PBA PARA REDE DE ÁGUA, DN 75, JUNTA ELÁSTICA INTEGRADA, INSTALADO EM LOCAL COM NÍVEL ALTO DE INTERFERÊNCIAS (INCLUI FORNECIMENTO). AF_05/2024</t>
  </si>
  <si>
    <t>ASSENTAMENTO E FORNECIMENTO DE TUBO DE PVC PBA PARA REDE DE ÁGUA, DN 75, JUNTA ELÁSTICA INTEGRADA, INSTALADO EM LOCAL COM NÍVEL BAIXO DE INTERFERÊNCIAS (INCLUI FORNECIMENTO). AF_05/2024</t>
  </si>
  <si>
    <t>ASSENTAMENTO E FORNECIMENTO DE TUBO DE PVC PBA PARA REDE DE ÁGUA, DN 100, JUNTA ELÁSTICA INTEGRADA, INSTALADO EM LOCAL COM NÍVEL ALTO DE INTERFERÊNCIAS (INCLUI FORNECIMENTO). AF_05/2024</t>
  </si>
  <si>
    <t>ASSENTAMENTO E FORNECIMENTO DE TUBO DE PVC PBA PARA REDE DE ÁGUA, DN 100, JUNTA ELÁSTICA INTEGRADA, INSTALADO EM LOCAL COM NÍVEL BAIXO DE INTERFERÊNCIAS (INCLUI FORNECIMENTO). AF_05/2024</t>
  </si>
  <si>
    <t>ASSENTAMENTO E FORNECIMENTO DE TUBO DE PVC DEFOFO OU PRFV OU RPVC PARA REDE DE ÁGUA, DN 100, JUNTA ELÁSTICA INTEGRADA, INSTALADO EM LOCAL COM NÍVEL ALTO DE INTERFERÊNCIAS (INCLUI FORNECIMENTO). AF_05/2024</t>
  </si>
  <si>
    <t>ASSENTAMENTO E FORNECIMENTO DE TUBO DE PVC DEFOFO OU PRFV OU RPVC PARA REDE DE ÁGUA, DN 100, JUNTA ELÁSTICA INTEGRADA, INSTALADO EM LOCAL COM NÍVEL BAIXO DE INTERFERÊNCIAS (INCLUI FORNECIMENTO). AF_05/2024</t>
  </si>
  <si>
    <t>ASSENTAMENTO E FORNECIMENTO DE TUBO DE PVC DEFOFO PARA REDE DE ÁGUA, DN 200, JUNTA ELÁSTICA INTEGRADA, INSTALADO EM LOCAL COM NÍVEL ALTO DE INTERFERÊNCIAS (INCLUI FORNECIMENTO). AF_05/2024</t>
  </si>
  <si>
    <t>ASSENTAMENTO E FORNECIMENTO DE TUBO DE PVC DEFOFO PARA REDE DE ÁGUA, DN 200, JUNTA ELÁSTICA INTEGRADA, INSTALADO EM LOCAL COM NÍVEL BAIXO DE INTERFERÊNCIAS (INCLUI FORNECIMENTO). AF_05/2024</t>
  </si>
  <si>
    <t>ASSENTAMENTO E FORNECIMENTO DE TUBO DE PVC DEFOFO PARA REDE DE ÁGUA, DN 250, JUNTA ELÁSTICA INTEGRADA, INSTALADO EM LOCAL COM NÍVEL ALTO DE INTERFERÊNCIAS (INCLUI FORNECIMENTO). AF_05/2024</t>
  </si>
  <si>
    <t>ASSENTAMENTO E FORNECIMENTO DE TUBO DE PVC DEFOFO PARA REDE DE ÁGUA, DN 250, JUNTA ELÁSTICA INTEGRADA, INSTALADO EM LOCAL COM NÍVEL BAIXO DE INTERFERÊNCIAS (INCLUI FORNECIMENTO). AF_05/2024</t>
  </si>
  <si>
    <t>ASSENTAMENTO E FORNECIMENTO DE TUBO DE PVC DEFOFO PARA REDE DE ÁGUA, DN 300, JUNTA ELÁSTICA INTEGRADA, INSTALADO EM LOCAL COM NÍVEL ALTO DE INTERFERÊNCIAS (INCLUI FORNECIMENTO). AF_05/2024</t>
  </si>
  <si>
    <t>ASSENTAMENTO E FORNECIMENTO DE TUBO DE PVC DEFOFO PARA REDE DE ÁGUA, DN 300, JUNTA ELÁSTICA INTEGRADA, INSTALADO EM LOCAL COM NÍVEL BAIXO DE INTERFERÊNCIAS (INCLUI FORNECIMENTO). AF_05/2024</t>
  </si>
  <si>
    <t>ASSENTAMENTO DE TUBO DE PVC DEFOFO OU PRFV OU RPVC PARA REDE DE ÁGUA, DN 100, JUNTA ELÁSTICA INTEGRADA, INSTALADO EM LOCAL COM NÍVEL BAIXO DE INTERFERÊNCIAS (NÃO INCLUI FORNECIMENTO). AF_05/2024</t>
  </si>
  <si>
    <t>ASSENTAMENTO DE CONEXÃO 2 ACESSOS ALINHADOS DE PVC PBA PARA REDE DE ÁGUA, DN 50, JUNTA ELÁSTICA INTEGRADA, INSTALADO EM LOCAL COM NÍVEL ALTO DE INTERFERÊNCIAS (NÃO INCLUI FORNECIMENTO). AF_05/2024</t>
  </si>
  <si>
    <t>ASSENTAMENTO DE CONEXÃO 2 ACESSOS ALINHADOS DE PVC PBA PARA REDE DE ÁGUA, DN 75, JUNTA ELÁSTICA INTEGRADA, INSTALADO EM LOCAL COM NÍVEL ALTO DE INTERFERÊNCIAS (NÃO INCLUI FORNECIMENTO). AF_05/2024</t>
  </si>
  <si>
    <t>ASSENTAMENTO DE CONEXÃO 2 ACESSOS ALINHADOS DE PVC PBA PARA REDE DE ÁGUA, DN 100, JUNTA ELÁSTICA INTEGRADA, INSTALADO EM LOCAL COM NÍVEL ALTO DE INTERFERÊNCIAS (NÃO INCLUI FORNECIMENTO). AF_05/2024</t>
  </si>
  <si>
    <t>ASSENTAMENTO DE CONEXÃO 2 ACESSOS INCLINADOS DE PVC PBA PARA REDE DE ÁGUA, DN 50, JUNTA ELÁSTICA INTEGRADA, INSTALADO EM LOCAL COM NÍVEL ALTO DE INTERFERÊNCIAS (NÃO INCLUI FORNECIMENTO). AF_05/2024</t>
  </si>
  <si>
    <t>ASSENTAMENTO DE CONEXÃO 2 ACESSOS INCLINADOS DE PVC PBA PARA REDE DE ÁGUA, DN 75, JUNTA ELÁSTICA INTEGRADA, INSTALADO EM LOCAL COM NÍVEL ALTO DE INTERFERÊNCIAS (NÃO INCLUI FORNECIMENTO). AF_05/2024</t>
  </si>
  <si>
    <t>ASSENTAMENTO DE CONEXÃO 2 ACESSOS INCLINADOS DE PVC PBA PARA REDE DE ÁGUA, DN 100, JUNTA ELÁSTICA INTEGRADA, INSTALADO EM LOCAL COM NÍVEL ALTO DE INTERFERÊNCIAS (NÃO INCLUI FORNECIMENTO). AF_05/2024</t>
  </si>
  <si>
    <t>ASSENTAMENTO DE CONEXÃO 3 ACESSOS DE PVC PBA PARA REDE DE ÁGUA, DN 50, JUNTA ELÁSTICA INTEGRADA, INSTALADO EM LOCAL COM NÍVEL ALTO DE INTERFERÊNCIAS (NÃO INCLUI FORNECIMENTO). AF_05/2024</t>
  </si>
  <si>
    <t>ASSENTAMENTO DE CONEXÃO 3 ACESSOS DE PVC PBA PARA REDE DE ÁGUA, DN 75, JUNTA ELÁSTICA INTEGRADA, INSTALADO EM LOCAL COM NÍVEL ALTO DE INTERFERÊNCIAS (NÃO INCLUI FORNECIMENTO). AF_05/2024</t>
  </si>
  <si>
    <t>ASSENTAMENTO DE CONEXÃO 3 ACESSOS DE PVC PBA PARA REDE DE ÁGUA, DN 100, JUNTA ELÁSTICA INTEGRADA, INSTALADO EM LOCAL COM NÍVEL ALTO DE INTERFERÊNCIAS (NÃO INCLUI FORNECIMENTO). AF_05/2024</t>
  </si>
  <si>
    <t>FORNECIMENTO E ASSENTAMENTO DE CURVA 45 GRAUS RANHURADA EM FERRO FUNDIDO, DN 80 MM (3") PARA REDE DE ÁGUA, INSTALADO EM LOCAL COM NÍVEL BAIXO DE INTERFERÊNCIAS (INCLUI FORNECIMENTO). AF_05/2024</t>
  </si>
  <si>
    <t>FORNECIMENTO E ASSENTAMENTO DE TE RANHURADO EM FERRO FUNDIDO, DN 80 (3") PARA REDE DE ÁGUA, INSTALADO EM LOCAL COM NÍVEL BAIXO DE INTERFERÊNCIAS (INCLUI FORNECIMENTO). AF_05/2024</t>
  </si>
  <si>
    <t>ASSENTAMENTO DE CONEXÃO 3 ACESSOS DE PVC PBA PARA REDE DE ÁGUA, DN 100, JUNTA ELÁSTICA INTEGRADA, INSTALADO EM LOCAL COM NÍVEL BAIXO DE INTERFERÊNCIAS (NÃO INCLUI FORNECIMENTO). AF_05/2024</t>
  </si>
  <si>
    <t>ASSENTAMENTO DE CONEXÃO 2 ACESSOS ALINHADOS DE FERRO FUNDIDO PARA REDE DE ÁGUA, DN 80, JUNTA ELÁSTICA, INSTALADO EM LOCAL COM NÍVEL BAIXO DE INTERFERÊNCIAS (NÃO INCLUI FORNECIMENTO). AF_05/2024</t>
  </si>
  <si>
    <t>ASSENTAMENTO DE CONEXÃO 2 ACESSOS ALINHADOS DE FERRO FUNDIDO PARA REDE DE ÁGUA, DN 100, JUNTA ELÁSTICA, INSTALADO EM LOCAL COM NÍVEL BAIXO DE INTERFERÊNCIAS (NÃO INCLUI FORNECIMENTO). AF_05/2024</t>
  </si>
  <si>
    <t>ASSENTAMENTO E FORNECIMENTO DE CURVA PVC PBA, JE, PB, 45 GRAUS, DN 100 / DE 110 MM, PARA REDE AGUA, JUNTA ELÁSTICA INTEGRADA, INSTALADO EM LOCAL COM NÍVEL BAIXO DE INTERFERÊNCIAS (INCLUI FORNECIMENTO). AF_05/2024</t>
  </si>
  <si>
    <t>ASSENTAMENTO E FORNECIMENTO DE TE DE REDUCAO, PVC PBA, BBB, JE, DN 100 X 50 / DE 110 X 60 MM, PARA REDE AGUA, JUNTA ELÁSTICA INTEGRADA, INSTALADO EM LOCAL COM NÍVEL ALTO DE INTERFERÊNCIAS (INCLUI FORNECIMENTO). AF_05/2024</t>
  </si>
  <si>
    <t>ASSENTAMENTO E FORNECIMENTO DE TE DE REDUCAO, PVC PBA, BBB, JE, DN 100 X 50 / DE 110 X 60 MM, PARA REDE AGUA, JUNTA ELÁSTICA INTEGRADA, INSTALADO EM LOCAL COM NÍVEL BAIXO DE INTERFERÊNCIAS (INCLUI FORNECIMENTO). AF_05/2024</t>
  </si>
  <si>
    <t>ASSENTAMENTO DE CONEXÃO 2 ACESSOS ALINHADOS DE PVC PBA PARA REDE DE ÁGUA, DN 75, JUNTA ELÁSTICA INTEGRADA, INSTALADO EM LOCAL COM NÍVEL BAIXO DE INTERFERÊNCIAS (NÃO INCLUI FORNECIMENTO). AF_05/2024</t>
  </si>
  <si>
    <t>ASSENTAMENTO DE CONEXÃO 2 ACESSOS ALINHADOS DE PVC PBA PARA REDE DE ÁGUA, DN 100, JUNTA ELÁSTICA INTEGRADA, INSTALADO EM LOCAL COM NÍVEL BAIXO DE INTERFERÊNCIAS (NÃO INCLUI FORNECIMENTO). AF_05/2024</t>
  </si>
  <si>
    <t>ASSENTAMENTO DE CONEXÃO 2 ACESSOS INCLINADOS DE PVC PBA PARA REDE DE ÁGUA, DN 50, JUNTA ELÁSTICA INTEGRADA, INSTALADO EM LOCAL COM NÍVEL BAIXO DE INTERFERÊNCIAS (NÃO INCLUI FORNECIMENTO). AF_05/2024</t>
  </si>
  <si>
    <t>ASSENTAMENTO DE CONEXÃO 2 ACESSOS INCLINADOS DE PVC PBA PARA REDE DE ÁGUA, DN 75, JUNTA ELÁSTICA INTEGRADA, INSTALADO EM LOCAL COM NÍVEL BAIXO DE INTERFERÊNCIAS (NÃO INCLUI FORNECIMENTO). AF_05/2024</t>
  </si>
  <si>
    <t>ASSENTAMENTO DE CONEXÃO 2 ACESSOS INCLINADOS DE PVC PBA PARA REDE DE ÁGUA, DN 100, JUNTA ELÁSTICA INTEGRADA, INSTALADO EM LOCAL COM NÍVEL BAIXO DE INTERFERÊNCIAS (NÃO INCLUI FORNECIMENTO). AF_05/2024</t>
  </si>
  <si>
    <t>ASSENTAMENTO DE CONEXÃO 3 ACESSOS DE PVC PBA PARA REDE DE ÁGUA, DN 50, JUNTA ELÁSTICA INTEGRADA, INSTALADO EM LOCAL COM NÍVEL BAIXO DE INTERFERÊNCIAS (NÃO INCLUI FORNECIMENTO). AF_05/2024</t>
  </si>
  <si>
    <t>ASSENTAMENTO DE CONEXÃO 3 ACESSOS DE PVC PBA PARA REDE DE ÁGUA, DN 75, JUNTA ELÁSTICA INTEGRADA, INSTALADO EM LOCAL COM NÍVEL BAIXO DE INTERFERÊNCIAS (NÃO INCLUI FORNECIMENTO). AF_05/2024</t>
  </si>
  <si>
    <t>ASSENTAMENTO DE TUBO DE PVC DEFOFO OU PRFV OU RPVC PARA REDE DE ÁGUA, DN 150 MM, JUNTA ELÁSTICA INTEGRADA, INSTALADO EM LOCAL COM NÍVEL ALTO DE INTERFERÊNCIAS (NÃO INCLUI FORNECIMENTO). AF_05/2024</t>
  </si>
  <si>
    <t>ASSENTAMENTO DE TUBO DE PVC DEFOFO OU PRFV OU RPVC PARA REDE DE ÁGUA, DN 200 MM, JUNTA ELÁSTICA INTEGRADA, INSTALADO EM LOCAL COM NÍVEL ALTO DE INTERFERÊNCIAS (NÃO INCLUI FORNECIMENTO). AF_05/2024</t>
  </si>
  <si>
    <t>ASSENTAMENTO DE TUBO DE PVC DEFOFO OU PRFV OU RPVC PARA REDE DE ÁGUA, DN 250 MM, JUNTA ELÁSTICA INTEGRADA, INSTALADO EM LOCAL COM NÍVEL ALTO DE INTERFERÊNCIAS (NÃO INCLUI FORNECIMENTO). AF_05/2024</t>
  </si>
  <si>
    <t>ASSENTAMENTO DE TUBO DE PVC DEFOFO OU PRFV OU RPVC PARA REDE DE ÁGUA, DN 300 MM, JUNTA ELÁSTICA INTEGRADA, INSTALADO EM LOCAL COM NÍVEL ALTO DE INTERFERÊNCIAS (NÃO INCLUI FORNECIMENTO). AF_05/2024</t>
  </si>
  <si>
    <t>ASSENTAMENTO DE TUBO DE PVC DEFOFO OU PRFV OU RPVC PARA REDE DE ÁGUA, DN 350 MM, JUNTA ELÁSTICA INTEGRADA, INSTALADO EM LOCAL COM NÍVEL ALTO DE INTERFERÊNCIAS (NÃO INCLUI FORNECIMENTO). AF_05/2024</t>
  </si>
  <si>
    <t>ASSENTAMENTO DE TUBO DE PVC DEFOFO OU PRFV OU RPVC PARA REDE DE ÁGUA, DN 400 MM, JUNTA ELÁSTICA INTEGRADA, INSTALADO EM LOCAL COM NÍVEL ALTO DE INTERFERÊNCIAS (NÃO INCLUI FORNECIMENTO). AF_05/2024</t>
  </si>
  <si>
    <t>ASSENTAMENTO DE TUBO DE PVC DEFOFO OU PRFV OU RPVC PARA REDE DE ÁGUA, DN 500 MM, JUNTA ELÁSTICA INTEGRADA, INSTALADO EM LOCAL COM NÍVEL ALTO DE INTERFERÊNCIAS (NÃO INCLUI FORNECIMENTO). AF_05/2024</t>
  </si>
  <si>
    <t>ASSENTAMENTO DE TUBO DE PVC DEFOFO OU PRFV OU RPVC PARA REDE DE ÁGUA, DN 150 MM, JUNTA ELÁSTICA INTEGRADA, INSTALADO EM LOCAL COM NÍVEL BAIXO DE INTERFERÊNCIAS (NÃO INCLUI FORNECIMENTO). AF_05/2024</t>
  </si>
  <si>
    <t>ASSENTAMENTO DE TUBO DE PVC DEFOFO OU PRFV OU RPVC PARA REDE DE ÁGUA, DN 200 MM, JUNTA ELÁSTICA INTEGRADA, INSTALADO EM LOCAL COM NÍVEL BAIXO DE INTERFERÊNCIAS (NÃO INCLUI FORNECIMENTO). AF_05/2024</t>
  </si>
  <si>
    <t>ASSENTAMENTO DE TUBO DE PVC DEFOFO OU PRFV OU RPVC PARA REDE DE ÁGUA, DN 250 MM, JUNTA ELÁSTICA INTEGRADA, INSTALADO EM LOCAL COM NÍVEL BAIXO DE INTERFERÊNCIAS (NÃO INCLUI FORNECIMENTO). AF_05/2024</t>
  </si>
  <si>
    <t>ASSENTAMENTO DE TUBO DE PVC DEFOFO OU PRFV OU RPVC PARA REDE DE ÁGUA, DN 300 MM, JUNTA ELÁSTICA INTEGRADA, INSTALADO EM LOCAL COM NÍVEL BAIXO DE INTERFERÊNCIAS (NÃO INCLUI FORNECIMENTO). AF_05/2024</t>
  </si>
  <si>
    <t>ASSENTAMENTO DE TUBO DE PVC DEFOFO OU PRFV OU RPVC PARA REDE DE ÁGUA, DN 350 MM, JUNTA ELÁSTICA INTEGRADA, INSTALADO EM LOCAL COM NÍVEL BAIXO DE INTERFERÊNCIAS (NÃO INCLUI FORNECIMENTO). AF_05/2024</t>
  </si>
  <si>
    <t>ASSENTAMENTO DE TUBO DE PVC DEFOFO OU PRFV OU RPVC PARA REDE DE ÁGUA, DN 400 MM, JUNTA ELÁSTICA INTEGRADA, INSTALADO EM LOCAL COM NÍVEL BAIXO DE INTERFERÊNCIAS (NÃO INCLUI FORNECIMENTO). AF_05/2024</t>
  </si>
  <si>
    <t>ASSENTAMENTO DE TUBO DE PVC DEFOFO OU PRFV OU RPVC PARA REDE DE ÁGUA, DN 500 MM, JUNTA ELÁSTICA INTEGRADA, INSTALADO EM LOCAL COM NÍVEL BAIXO DE INTERFERÊNCIAS (NÃO INCLUI FORNECIMENTO). AF_05/2024</t>
  </si>
  <si>
    <t>ESTRUTURA DE MADEIRA PROVISÓRIA PARA SUPORTE DE CAIXA DÁGUA ELEVADA DE 1000 LITROS. AF_03/2024</t>
  </si>
  <si>
    <t>ESTRUTURA DE MADEIRA PROVISÓRIA PARA SUPORTE DE CAIXA DÁGUA ELEVADA DE 3000 LITROS. AF_03/2024</t>
  </si>
  <si>
    <t>ESTRUTURA DE MADEIRA PROVISÓRIA PARA SUPORTE DE CAIXA D'ÁGUA ELEVADA DE 2000 LITROS. AF_03/2024</t>
  </si>
  <si>
    <t>FABRICAÇÃO E INSTALAÇÃO DE TESOURA INTEIRA EM AÇO, VÃO DE 3 M, PARA TELHA CERÂMICA OU DE CONCRETO, INCLUSO IÇAMENTO. AF_07/2019</t>
  </si>
  <si>
    <t>FABRICAÇÃO E INSTALAÇÃO DE TESOURA INTEIRA EM AÇO, VÃO DE 4 M, PARA TELHA CERÂMICA OU DE CONCRETO, INCLUSO IÇAMENTO. AF_07/2019</t>
  </si>
  <si>
    <t>FABRICAÇÃO E INSTALAÇÃO DE TESOURA INTEIRA EM AÇO, VÃO DE 5 M, PARA TELHA CERÂMICA OU DE CONCRETO, INCLUSO IÇAMENTO. AF_07/2019</t>
  </si>
  <si>
    <t>FABRICAÇÃO E INSTALAÇÃO DE TESOURA INTEIRA EM AÇO, VÃO DE 6 M, PARA TELHA CERÂMICA OU DE CONCRETO, INCLUSO IÇAMENTO. AF_07/2019</t>
  </si>
  <si>
    <t>FABRICAÇÃO E INSTALAÇÃO DE TESOURA INTEIRA EM AÇO, VÃO DE 7 M, PARA TELHA CERÂMICA OU DE CONCRETO, INCLUSO IÇAMENTO. AF_07/2019</t>
  </si>
  <si>
    <t>FABRICAÇÃO E INSTALAÇÃO DE TESOURA INTEIRA EM AÇO, VÃO DE 8 M, PARA TELHA CERÂMICA OU DE CONCRETO, INCLUSO IÇAMENTO. AF_07/2019</t>
  </si>
  <si>
    <t>FABRICAÇÃO E INSTALAÇÃO DE TESOURA INTEIRA EM AÇO, VÃO DE 9 M, PARA TELHA CERÂMICA OU DE CONCRETO, INCLUSO IÇAMENTO. AF_07/2019</t>
  </si>
  <si>
    <t>FABRICAÇÃO E INSTALAÇÃO DE TESOURA INTEIRA EM AÇO, VÃO DE 10 M, PARA TELHA CERÂMICA OU DE CONCRETO, INCLUSO IÇAMENTO. AF_07/2019</t>
  </si>
  <si>
    <t>FABRICAÇÃO E INSTALAÇÃO DE TESOURA INTEIRA EM AÇO, VÃO DE 11 M, PARA TELHA CERÂMICA OU DE CONCRETO, INCLUSO IÇAMENTO. AF_07/2019</t>
  </si>
  <si>
    <t>FABRICAÇÃO E INSTALAÇÃO DE TESOURA INTEIRA EM AÇO, VÃO DE 12 M, PARA TELHA CERÂMICA OU DE CONCRETO, INCLUSO IÇAMENTO. AF_07/2019</t>
  </si>
  <si>
    <t>FABRICAÇÃO E INSTALAÇÃO DE TESOURA INTEIRA EM AÇO, VÃO DE 3 M, PARA TELHA ONDULADA DE FIBROCIMENTO, METÁLICA, PLÁSTICA OU TERMOACÚSTICA, INCLUSO IÇAMENTO. AF_07/2019</t>
  </si>
  <si>
    <t>FABRICAÇÃO E INSTALAÇÃO DE TESOURA INTEIRA EM AÇO, VÃO DE 4 M, PARA TELHA ONDULADA DE FIBROCIMENTO, METÁLICA, PLÁSTICA OU TERMOACÚSTICA, INCLUSO IÇAMENTO. AF_07/2019</t>
  </si>
  <si>
    <t>FABRICAÇÃO E INSTALAÇÃO DE TESOURA INTEIRA EM AÇO, VÃO DE 5 M, PARA TELHA ONDULADA DE FIBROCIMENTO, METÁLICA, PLÁSTICA OU TERMOACÚSTICA, INCLUSO IÇAMENTO. AF_07/2019</t>
  </si>
  <si>
    <t>FABRICAÇÃO E INSTALAÇÃO DE TESOURA INTEIRA EM AÇO, VÃO DE 6 M, PARA TELHA ONDULADA DE FIBROCIMENTO, METÁLICA, PLÁSTICA OU TERMOACÚSTICA, INCLUSO IÇAMENTO. AF_07/2019</t>
  </si>
  <si>
    <t>FABRICAÇÃO E INSTALAÇÃO DE TESOURA INTEIRA EM AÇO, VÃO DE 7 M, PARA TELHA ONDULADA DE FIBROCIMENTO, METÁLICA, PLÁSTICA OU TERMOACÚSTICA, INCLUSO IÇAMENTO. AF_07/2019</t>
  </si>
  <si>
    <t>FABRICAÇÃO E INSTALAÇÃO DE TESOURA INTEIRA EM AÇO, VÃO DE 8 M, PARA TELHA ONDULADA DE FIBROCIMENTO, METÁLICA, PLÁSTICA OU TERMOACÚSTICA, INCLUSO IÇAMENTO, INCLUSO IÇAMENTO. AF_07/2019</t>
  </si>
  <si>
    <t>FABRICAÇÃO E INSTALAÇÃO DE TESOURA INTEIRA EM AÇO, VÃO DE 9 M, PARA TELHA ONDULADA DE FIBROCIMENTO, METÁLICA, PLÁSTICA OU TERMOACÚSTICA, INCLUSO IÇAMENTO. AF_07/2019</t>
  </si>
  <si>
    <t>FABRICAÇÃO E INSTALAÇÃO DE TESOURA INTEIRA EM AÇO, VÃO DE 10 M, PARA TELHA ONDULADA DE FIBROCIMENTO, METÁLICA, PLÁSTICA OU TERMOACÚSTICA, INCLUSO IÇAMENTO. AF_07/2019</t>
  </si>
  <si>
    <t>FABRICAÇÃO E INSTALAÇÃO DE TESOURA INTEIRA EM AÇO, VÃO DE 11 M, PARA TELHA ONDULADA DE FIBROCIMENTO, METÁLICA, PLÁSTICA OU TERMOACÚSTICA, INCLUSO IÇAMENTO. AF_07/2019</t>
  </si>
  <si>
    <t>FABRICAÇÃO E INSTALAÇÃO DE TESOURA INTEIRA EM AÇO, VÃO DE 12 M, PARA TELHA ONDULADA DE FIBROCIMENTO, METÁLICA, PLÁSTICA OU TERMOACÚSTICA, INCLUSO IÇAMENTO. AF_07/2019</t>
  </si>
  <si>
    <t>MURO DE GABIÃO, ENCHIMENTO COM PEDRA DE MÃO TIPO RACHÃO, DE GRAVIDADE, COM GAIOLAS DE COMPRIMENTO IGUAL A 2 M, PARA MUROS COM ALTURA MENOR OU IGUAL A 4 M - FORNECIMENTO E EXECUÇÃO. AF_03/2024</t>
  </si>
  <si>
    <t>MURO DE GABIÃO, ENCHIMENTO COM PEDRA DE MÃO TIPO RACHÃO, DE GRAVIDADE, COM GAIOLAS DE COMPRIMENTO IGUAL A 5 M, PARA MUROS COM ALTURA MENOR OU IGUAL A 4 M - FORNECIMENTO E EXECUÇÃO. AF_03/2024</t>
  </si>
  <si>
    <t>MURO DE GABIÃO, ENCHIMENTO COM PEDRA DE MÃO TIPO RACHÃO, DE GRAVIDADE, COM GAIOLAS DE COMPRIMENTO IGUAL A 2 M, PARA MUROS COM ALTURA MAIOR QUE 4 M E MENOR OU IGUAL A 6 M - FORNECIMENTO E EXECUÇÃO. AF_03/2024</t>
  </si>
  <si>
    <t>MURO DE GABIÃO, ENCHIMENTO COM PEDRA DE MÃO TIPO RACHÃO, DE GRAVIDADE, COM GAIOLAS DE COMPRIMENTO IGUAL A 5 M, PARA MUROS COM ALTURA MAIOR QUE 4 M E MENOR OU IGUAL A 6 M - FORNECIMENTO E EXECUÇÃO. AF_03/2024</t>
  </si>
  <si>
    <t>MURO DE GABIÃO, ENCHIMENTO COM PEDRA DE MÃO TIPO RACHÃO, DE GRAVIDADE, COM GAIOLAS DE COMPRIMENTO IGUAL A 2 M, PARA MUROS COM ALTURA MAIOR QUE 6 M E MENOR OU IGUAL A 10 M - FORNECIMENTO E EXECUÇÃO. AF_03/2024</t>
  </si>
  <si>
    <t>MURO DE GABIÃO, ENCHIMENTO COM PEDRA DE MÃO TIPO RACHÃO, DE GRAVIDADE, COM GAIOLAS DE COMPRIMENTO IGUAL A 5 M, PARA MUROS COM ALTURA MAIOR QUE 6 M E MENOR OU IGUAL A 10 M- FORNECIMENTO E EXECUÇÃO. AF_03/2024</t>
  </si>
  <si>
    <t>MURO DE GABIÃO, ENCHIMENTO COM PEDRA DE MÃO TIPO RACHÃO, COM SOLO REFORÇADO, PARA MUROS COM ALTURA MENOR OU IGUAL A 4 M - FORNECIMENTO E EXECUÇÃO. AF_03/2024</t>
  </si>
  <si>
    <t>MURO DE GABIÃO, ENCHIMENTO COM PEDRA DE MÃO TIPO RACHÃO, COM SOLO REFORÇADO, PARA MUROS COM ALTURA MAIOR QUE 4 M E MENOR OU IGUAL A 12 M - FORNECIMENTO E EXECUÇÃO. AF_03/2024</t>
  </si>
  <si>
    <t>MURO DE GABIÃO, ENCHIMENTO COM PEDRA DE MÃO TIPO RACHÃO, COM SOLO REFORÇADO, PARA MUROS COM ALTURA MAIOR QUE 12 M E MENOR OU IGUAL A 20 M - FORNECIMENTO E EXECUÇÃO. AF_03/2024</t>
  </si>
  <si>
    <t>MURO DE GABIÃO, ENCHIMENTO COM PEDRA DE MÃO TIPO RACHÃO, COM SOLO REFORÇADO, PARA MUROS COM ALTURA MAIOR QUE 20 M E MENOR OU IGUAL A 28 M - FORNECIMENTO E EXECUÇÃO. AF_03/2024</t>
  </si>
  <si>
    <t>MURO DE GABIÃO, ENCHIMENTO COM RESÍDUO DE CONSTRUÇÃO E DEMOLIÇÃO, DE GRAVIDADE, COM GAIOLA TRAPEZOIDAL DE COMPRIMENTO IGUAL A 2 M, PARA MUROS COM ALTURA MENOR OU IGUAL A 2 M - FORNECIMENTO E EXECUÇÃO. AF_03/2024</t>
  </si>
  <si>
    <t>MURO DE GABIÃO, ENCHIMENTO COM RESÍDUO DE CONSTRUÇÃO E DEMOLIÇÃO, DE GRAVIDADE, COM GAIOLA TRAPEZOIDAL DE COMPRIMENTO IGUAL A 2 M, PARA MUROS COM ALTURA MAIOR QUE 2 M E MENOR OU IGUAL A 4 M - FORNECIMENTO E EXECUÇÃO. AF_03/2024</t>
  </si>
  <si>
    <t>PROTEÇÃO SUPERFICIAL DE CANAL EM GABIÃO TIPO COLCHÃO, ALTURA DE 17 CENTÍMETROS, ENCHIMENTO COM PEDRA DE MÃO TIPO RACHÃO - FORNECIMENTO E EXECUÇÃO. AF_03/2024</t>
  </si>
  <si>
    <t>PROTEÇÃO SUPERFICIAL DE CANAL EM GABIÃO TIPO COLCHÃO, ALTURA DE 23 CENTÍMETROS, ENCHIMENTO COM PEDRA DE MÃO TIPO RACHÃO - FORNECIMENTO E EXECUÇÃO. AF_03/2024</t>
  </si>
  <si>
    <t>PROTEÇÃO SUPERFICIAL DE CANAL EM GABIÃO TIPO COLCHÃO, ALTURA DE 30 CENTÍMETROS, ENCHIMENTO COM PEDRA DE MÃO TIPO RACHÃO - FORNECIMENTO E EXECUÇÃO. AF_03/2024</t>
  </si>
  <si>
    <t>PROTEÇÃO SUPERFICIAL DE CANAL EM GABIÃO TIPO SACO, DIÂMETRO DE 65 CENTÍMETROS, ENCHIMENTO MANUAL COM PEDRA DE MÃO TIPO RACHÃO - FORNECIMENTO E EXECUÇÃO. AF_03/2024</t>
  </si>
  <si>
    <t>MONTAGEM E DESMONTAGEM DE FÔRMA DE VIGA, ESCORAMENTO METÁLICO, PÉ-DIREITO DUPLO, EM CHAPA DE MADEIRA RESINADA, 6 UTILIZAÇÕES. AF_09/2020</t>
  </si>
  <si>
    <t>FABRICAÇÃO DE FÔRMA PARA PILARES CIRCULARES, EM CHAPA DE MADEIRA COMPENSADA RESINADA, PÉ-DIREITO SIMPLES. AF_05/2024</t>
  </si>
  <si>
    <t>MONTAGEM E DESMONTAGEM DE FÔRMA DE PILARES CIRCULARES, PÉ-DIREITO SIMPLES, EM MADEIRA, 2 UTILIZAÇÕES. AF_05/2024</t>
  </si>
  <si>
    <t>FABRICAÇÃO DE FÔRMA PARA ESCADA DUPLA COM 2 LANCES EM X E LAJE PLANA, EM MADEIRA SERRADA, E=25 MM. AF_11/2020</t>
  </si>
  <si>
    <t>FABRICAÇÃO DE FÔRMA PARA ESCADA DUPLA COM 2 LANCES EM X E LAJE CASCATA, EM MADEIRA SERRADA, E=25 MM. AF_11/2020</t>
  </si>
  <si>
    <t>FABRICAÇÃO DE FÔRMA PARA PILARES CIRCULARES, EM CHAPA DE MADEIRA COMPENSADA RESINADA, PÉ-DIREITO DUPLO. AF_05/2024</t>
  </si>
  <si>
    <t>MONTAGEM E DESMONTAGEM DE FÔRMA DE PILARES CIRCULARES, PÉ-DIREITO DUPLO, EM MADEIRA, 2 UTILIZAÇÕES. AF_05/2024</t>
  </si>
  <si>
    <t>PEÇA CIRCULAR PRÉ-MOLDADA, VOLUME DE CONCRETO DE 10 A 30 LITROS, TAXA DE FIBRA DE POLIPROPILENO APROXIMADA DE 6 KG/M³. AF_03/2024_PS</t>
  </si>
  <si>
    <t>IMPERMEABILIZAÇÃO DE SUPERFÍCIE COM ARGAMASSA POLIMÉRICA / MEMBRANA ACRÍLICA, 4 DEMÃOS, REFORÇADA COM VÉU DE POLIÉSTER (MAV). AF_09/2023</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</si>
  <si>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</si>
  <si>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</si>
  <si>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</si>
  <si>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</si>
  <si>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</si>
  <si>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</si>
  <si>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</si>
  <si>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</si>
  <si>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AR CONDICIONADO SPLIT INVERTER, PISO TETO, 18000 BTU/H, CICLO FRIO - FORNECIMENTO E INSTALAÇÃO. AF_11/2021_PSE</t>
  </si>
  <si>
    <t>AR CONDICIONADO SPLIT ON/OFF, PISO TETO, 18.000 BTU/H, CICLO FRIO - FORNECIMENTO E INSTALAÇÃO. AF_11/2021_PSE</t>
  </si>
  <si>
    <t>AR CONDICIONADO SPLIT INVERTER, PISO TETO, 24000 BTU/H, CICLO FRIO - FORNECIMENTO E INSTALAÇÃO. AF_11/2021_PSE</t>
  </si>
  <si>
    <t>AR CONDICIONADO SPLIT ON/OFF, PISO TETO, 24.000 BTU/H, CICLO FRIO - FORNECIMENTO E INSTALAÇÃO. AF_11/2021_PSE</t>
  </si>
  <si>
    <t>AR CONDICIONADO SPLIT INVERTER, PISO TETO, 24000 BTU/H, QUENTE/FRIO - FORNECIMENTO E INSTALAÇÃO. AF_11/2021_PSE</t>
  </si>
  <si>
    <t>AR CONDICIONADO SPLIT INVERTER, PISO TETO, 36000 BTU/H, CICLO FRIO - FORNECIMENTO E INSTALAÇÃO. AF_11/2021_PSE</t>
  </si>
  <si>
    <t>AR CONDICIONADO SPLIT ON/OFF, PISO TETO, 36.000 BTU/H, CICLO FRIO - FORNECIMENTO E INSTALAÇÃO. AF_11/2021_PSE</t>
  </si>
  <si>
    <t>TUBO DE AÇO GALVANIZADO COM COSTURA, CLASSE MÉDIA, DN 50 MM (2"), CONEXÃO ROSQUEADA, INSTALADO EM RESERVAÇÃO PREDIAL DE ÁGUA - FORNECIMENTO E INSTALAÇÃO. AF_04/2024</t>
  </si>
  <si>
    <t>TUBO DE AÇO GALVANIZADO COM COSTURA, CLASSE MÉDIA, DN 65 MM (2 1/2"), CONEXÃO ROSQUEADA, INSTALADO EM RESERVAÇÃO PREDIAL DE ÁGUA - FORNECIMENTO E INSTALAÇÃO. AF_04/2024</t>
  </si>
  <si>
    <t>TUBO DE AÇO GALVANIZADO COM COSTURA, CLASSE MÉDIA, DN 80 MM (3"), CONEXÃO ROSQUEADA, INSTALADO EM RESERVAÇÃO PREDIAL DE ÁGUA - FORNECIMENTO E INSTALAÇÃO. AF_04/2024</t>
  </si>
  <si>
    <t>TUBO EM COBRE RÍGIDO, DN 54 MM, CLASSE E, SEM ISOLAMENTO, INSTALADO EM RESERVAÇÃO PREDIAL DE ÁGUA - FORNECIMENTO E INSTALAÇÃO. AF_04/2024</t>
  </si>
  <si>
    <t>TUBO EM COBRE RÍGIDO, DN 66 MM, CLASSE E, SEM ISOLAMENTO, INSTALADO EM RESERVAÇÃO PREDIAL DE ÁGUA - FORNECIMENTO E INSTALAÇÃO. AF_04/2024</t>
  </si>
  <si>
    <t>TUBO EM COBRE RÍGIDO, DN 79 MM, CLASSE E, SEM ISOLAMENTO, INSTALADO EM RESERVAÇÃO PREDIAL DE ÁGUA - FORNECIMENTO E INSTALAÇÃO. AF_04/2024</t>
  </si>
  <si>
    <t>TUBO EM COBRE RÍGIDO, DN 104 MM, CLASSE E, SEM ISOLAMENTO, INSTALADO EM RESERVAÇÃO PREDIAL DE ÁGUA - FORNECIMENTO E INSTALAÇÃO. AF_04/2024</t>
  </si>
  <si>
    <t>TUBO, CPVC, SOLDÁVEL, DN 22 MM, INSTALADO EM RESERVAÇÃO PREDIAL DE ÁGUA - FORNECIMENTO E INSTALAÇÃO. AF_04/2024</t>
  </si>
  <si>
    <t>TUBO, CPVC, SOLDÁVEL, DN 28 MM, INSTALADO EM RESERVAÇÃO PREDIAL DE ÁGUA - FORNECIMENTO E INSTALAÇÃO. AF_04/2024</t>
  </si>
  <si>
    <t>TUBO, CPVC, SOLDÁVEL, DN 35 MM, INSTALADO EM RESERVAÇÃO PREDIAL DE ÁGUA - FORNECIMENTO E INSTALAÇÃO. AF_04/2024</t>
  </si>
  <si>
    <t>TUBO, CPVC, SOLDÁVEL, DN 42 MM, INSTALADO EM RESERVAÇÃO PREDIAL DE ÁGUA - FORNECIMENTO E INSTALAÇÃO. AF_04/2024</t>
  </si>
  <si>
    <t>TUBO, CPVC, SOLDÁVEL, DN 54 MM, INSTALADO EM RESERVAÇÃO PREDIAL DE ÁGUA - FORNECIMENTO E INSTALAÇÃO. AF_04/2024</t>
  </si>
  <si>
    <t>TUBO, CPVC, SOLDÁVEL, DN 73 MM, INSTALADO EM RESERVAÇÃO PREDIAL DE ÁGUA - FORNECIMENTO E INSTALAÇÃO. AF_04/2024</t>
  </si>
  <si>
    <t>TUBO, CPVC, SOLDÁVEL, DN 89 MM, INSTALADO EM RESERVAÇÃO PREDIAL DE ÁGUA - FORNECIMENTO E INSTALAÇÃO. AF_04/2024</t>
  </si>
  <si>
    <t>TUBO, CPVC, SOLDÁVEL, DN 114 MM, INSTALADO EM RESERVAÇÃO PREDIAL DE ÁGUA - FORNECIMENTO E INSTALAÇÃO. AF_04/2024</t>
  </si>
  <si>
    <t>BUCHA DE REDUÇÃO PVC, SOLDÁVEL, LONGA, DN 60 X 25 MM, INSTALADO EM RESERVAÇÃO PREDIAL DE ÁGUA - FORNECIMENTO E INSTALAÇÃO. AF_04/2024</t>
  </si>
  <si>
    <t>BUCHA DE REDUÇÃO PVC, SOLDÁVEL, LONGA, DN 60 X 32 MM, INSTALADO EM RESERVAÇÃO PREDIAL DE ÁGUA - FORNECIMENTO E INSTALAÇÃO. AF_04/2024</t>
  </si>
  <si>
    <t>BUCHA DE REDUÇÃO PVC, SOLDÁVEL, LONGA, DN 60 X 50 MM, INSTALADO EM RESERVAÇÃO PREDIAL DE ÁGUA - FORNECIMENTO E INSTALAÇÃO. AF_04/2024</t>
  </si>
  <si>
    <t>BUCHA DE REDUÇÃO PVC, SOLDÁVEL, LONGA, DN 75 X 50 MM, INSTALADO EM RESERVAÇÃO PREDIAL DE ÁGUA - FORNECIMENTO E INSTALAÇÃO. AF_04/2024</t>
  </si>
  <si>
    <t>LUVA DE REDUÇÃO SOLDÁVEL, PVC, DN 32 MM X 25 MM, INSTALADO EM RESERVAÇÃO PREDIAL DE ÁGUA - FORNECIMENTO E INSTALAÇÃO. AF_04/2024</t>
  </si>
  <si>
    <t>LUVA DE REDUÇÃO SOLDÁVEL, PVC, DN 40 MM X 32 MM, INSTALADO EM RESERVAÇÃO PREDIAL DE ÁGUA - FORNECIMENTO E INSTALAÇÃO. AF_04/2024</t>
  </si>
  <si>
    <t>LUVA DE REDUÇÃO SOLDÁVEL, PVC, DN 60 MM X 50 MM, INSTALADO EM RESERVAÇÃO PREDIAL DE ÁGUA - FORNECIMENTO E INSTALAÇÃO. AF_04/2024</t>
  </si>
  <si>
    <t>LUVA DE REDUÇÃO, SOLDÁVEL, PVC, DN 50 X 25 MM, INSTALADO EM RESERVAÇÃO PREDIAL DE ÁGUA - FORNECIMENTO E INSTALAÇÃO. AF_04/2024</t>
  </si>
  <si>
    <t>JOELHO PPR 45 GRAUS, SOLDÁVEL, DN 63 MM, INSTALADO EM RESERVAÇÃO PREDIAL DE ÁGUA - FORNECIMENTO E INSTALAÇÃO. AF_04/2024</t>
  </si>
  <si>
    <t>LUVA, EM FERRO GALVANIZADO, CONEXÃO ROSQUEADA, DN 50 MM (2"), INSTALADO EM RESERVAÇÃO PREDIAL DE ÁGUA - FORNECIMENTO E INSTALAÇÃO. AF_04/2024</t>
  </si>
  <si>
    <t>NIPLE, EM FERRO GALVANIZADO, CONEXÃO ROSQUEADA, DN 50 MM (2"), INSTALADO EM RESERVAÇÃO PREDIAL DE ÁGUA - FORNECIMENTO E INSTALAÇÃO. AF_04/2024</t>
  </si>
  <si>
    <t>LUVA, EM FERRO GALVANIZADO, CONEXÃO ROSQUEADA, DN 65 MM (2 1/2"), INSTALADO EM RESERVAÇÃO PREDIAL DE ÁGUA - FORNECIMENTO E INSTALAÇÃO. AF_04/2024</t>
  </si>
  <si>
    <t>NIPLE, EM FERRO GALVANIZADO, CONEXÃO ROSQUEADA, DN 65 MM (2 1/2"), INSTALADO EM RESERVAÇÃO PREDIAL DE ÁGUA - FORNECIMENTO E INSTALAÇÃO. AF_04/2024</t>
  </si>
  <si>
    <t>LUVA, EM FERRO GALVANIZADO, CONEXÃO ROSQUEADA, DN 80 MM (3"), INSTALADO EM RESERVAÇÃO PREDIAL DE ÁGUA - FORNECIMENTO E INSTALAÇÃO. AF_04/2024</t>
  </si>
  <si>
    <t>NIPLE, EM FERRO GALVANIZADO, CONEXÃO ROSQUEADA, DN 80 MM (3"), INSTALADO EM RESERVAÇÃO PREDIAL DE ÁGUA - FORNECIMENTO E INSTALAÇÃO. AF_04/2024</t>
  </si>
  <si>
    <t>COTOVELO 90 GRAUS, EM FERRO GALVANIZADO, CONEXÃO ROSQUEADA, DN 50 MM (2"), INSTALADO EM RESERVAÇÃO PREDIAL DE ÁGUA - FORNECIMENTO E INSTALAÇÃO. AF_04/2024</t>
  </si>
  <si>
    <t>COTOVELO 45 GRAUS, EM FERRO GALVANIZADO, CONEXÃO ROSQUEADA, DN 50 MM (2"), INSTALADO EM RESERVAÇÃO PREDIAL DE ÁGUA - FORNECIMENTO E INSTALAÇÃO. AF_04/2024</t>
  </si>
  <si>
    <t>COTOVELO 90 GRAUS, EM FERRO GALVANIZADO, CONEXÃO ROSQUEADA, DN 65 MM (2 1/2"), INSTALADO EM RESERVAÇÃO PREDIAL DE ÁGUA - FORNECIMENTO E INSTALAÇÃO. AF_04/2024</t>
  </si>
  <si>
    <t>COTOVELO 45 GRAUS, EM FERRO GALVANIZADO, CONEXÃO ROSQUEADA, DN 65 MM (2 1/2"), INSTALADO EM RESERVAÇÃO PREDIAL DE ÁGUA - FORNECIMENTO E INSTALAÇÃO. AF_04/2024</t>
  </si>
  <si>
    <t>COTOVELO 90 GRAUS, EM FERRO GALVANIZADO, CONEXÃO ROSQUEADA, DN 80 MM (3"), INSTALADO EM RESERVAÇÃO PREDIAL DE ÁGUA - FORNECIMENTO E INSTALAÇÃO. AF_04/2024</t>
  </si>
  <si>
    <t>COTOVELO 45 GRAUS, EM FERRO GALVANIZADO, CONEXÃO ROSQUEADA, DN 80 MM (3"), INSTALADO EM RESERVAÇÃO PREDIAL DE ÁGUA - FORNECIMENTO E INSTALAÇÃO. AF_04/2024</t>
  </si>
  <si>
    <t>TÊ, EM FERRO GALVANIZADO, CONEXÃO ROSQUEADA, DN 50 MM (2"), INSTALADO EM RESERVAÇÃO PREDIAL DE ÁGUA - FORNECIMENTO E INSTALAÇÃO. AF_04/2024</t>
  </si>
  <si>
    <t>TÊ, EM FERRO GALVANIZADO, CONEXÃO ROSQUEADA, DN 65 MM (2 1/2"), INSTALADO EM RESERVAÇÃO PREDIAL DE ÁGUA - FORNECIMENTO E INSTALAÇÃO. AF_04/2024</t>
  </si>
  <si>
    <t>TÊ, EM FERRO GALVANIZADO, CONEXÃO ROSQUEADA, DN 80 MM (3"), INSTALADO EM RESERVAÇÃO PREDIAL DE ÁGUA - FORNECIMENTO E INSTALAÇÃO. AF_04/2024</t>
  </si>
  <si>
    <t>LUVA EM COBRE, DN 54 MM, SEM ANEL DE SOLDA, INSTALADO EM RESERVAÇÃO PREDIAL DE ÁGUA - FORNECIMENTO E INSTALAÇÃO. AF_04/2024</t>
  </si>
  <si>
    <t>LUVA EM COBRE, DN 66 MM, SEM ANEL DE SOLDA, INSTALADO EM RESERVAÇÃO PREDIAL DE ÁGUA - FORNECIMENTO E INSTALAÇÃO. AF_04/2024</t>
  </si>
  <si>
    <t>LUVA EM COBRE, DN 79 MM, SEM ANEL DE SOLDA, INSTALADO EM RESERVAÇÃO PREDIAL DE ÁGUA - FORNECIMENTO E INSTALAÇÃO. AF_04/2024</t>
  </si>
  <si>
    <t>LUVA DE COBRE, DN 104 MM, SEM ANEL DE SOLDA, INSTALADO EM RESERVAÇÃO PREDIAL DE ÁGUA - FORNECIMENTO E INSTALAÇÃO. AF_04/2024</t>
  </si>
  <si>
    <t>COTOVELO EM COBRE, DN 54 MM, 90 GRAUS, SEM ANEL DE SOLDA, INSTALADO EM RESERVAÇÃO PREDIAL DE ÁGUA - FORNECIMENTO E INSTALAÇÃO. AF_04/2024</t>
  </si>
  <si>
    <t>CURVA EM COBRE, DN 54 MM, 45 GRAUS, SEM ANEL DE SOLDA, BOLSA X BOLSA, INSTALADO EM RESERVAÇÃO PREDIAL DE ÁGUA - FORNECIMENTO E INSTALAÇÃO. AF_04/2024</t>
  </si>
  <si>
    <t>COTOVELO EM COBRE, DN 66 MM, 90 GRAUS, SEM ANEL DE SOLDA, INSTALADO EM RESERVAÇÃO PREDIAL DE ÁGUA - FORNECIMENTO E INSTALAÇÃO. AF_04/2024</t>
  </si>
  <si>
    <t>CURVA EM COBRE, DN 66 MM, 45 GRAUS, SEM ANEL DE SOLDA, BOLSA X BOLSA, INSTALADO EM RESERVAÇÃO PREDIAL DE ÁGUA - FORNECIMENTO E INSTALAÇÃO. AF_04/2024</t>
  </si>
  <si>
    <t>COTOVELO EM COBRE, DN 79 MM, 90 GRAUS, SEM ANEL DE SOLDA, INSTALADO EM RESERVAÇÃO PREDIAL DE ÁGUA - FORNECIMENTO E INSTALAÇÃO. AF_04/2024</t>
  </si>
  <si>
    <t>COTOVELO EM COBRE, DN 104 MM, 90 GRAUS, SEM ANEL DE SOLDA, INSTALADO EM RESERVAÇÃO PREDIAL DE ÁGUA - FORNECIMENTO E INSTALAÇÃO. AF_04/2024</t>
  </si>
  <si>
    <t>TE EM COBRE, DN 54 MM, SEM ANEL DE SOLDA, INSTALADO EM RESERVAÇÃO PREDIAL DE ÁGUA - FORNECIMENTO E INSTALAÇÃO. AF_04/2024</t>
  </si>
  <si>
    <t>TE EM COBRE, DN 66 MM, SEM ANEL DE SOLDA, INSTALADO EM RESERVAÇÃO PREDIAL DE ÁGUA - FORNECIMENTO E INSTALAÇÃO. AF_04/2024</t>
  </si>
  <si>
    <t>TE EM COBRE, DN 79 MM, SEM ANEL DE SOLDA, INSTALADO EM RESERVAÇÃO PREDIAL DE ÁGUA - FORNECIMENTO E INSTALAÇÃO. AF_04/2024</t>
  </si>
  <si>
    <t>TE EM COBRE, DN 104 MM, SEM ANEL DE SOLDA, INSTALADO EM RESERVAÇÃO PREDIAL DE ÁGUA - FORNECIMENTO E INSTALAÇÃO. AF_04/2024</t>
  </si>
  <si>
    <t>ADAPTADOR CURTO COM BOLSA E ROSCA PARA REGISTRO, PVC, SOLDÁVEL, DN 32 MM X 1", INSTALADO EM RESERVAÇÃO PREDIAL DE ÁGUA - FORNECIMENTO E INSTALAÇÃO. AF_04/2024</t>
  </si>
  <si>
    <t>LUVA PVC, SOLDÁVEL, DN 32 MM, INSTALADO EM RESERVAÇÃO PREDIAL DE ÁGUA - FORNECIMENTO E INSTALAÇÃO. AF_04/2024</t>
  </si>
  <si>
    <t>ADAPTADOR CURTO COM BOLSA E ROSCA PARA REGISTRO, PVC, SOLDÁVEL, DN 40 MM X 1 1/4", INSTALADO EM RESERVAÇÃO PREDIAL DE ÁGUA - FORNECIMENTO E INSTALAÇÃO. AF_04/2024</t>
  </si>
  <si>
    <t>LUVA, PVC, SOLDÁVEL, DN 40 MM, INSTALADO EM RESERVAÇÃO PREDIAL DE ÁGUA - FORNECIMENTO E INSTALAÇÃO. AF_04/2024</t>
  </si>
  <si>
    <t>ADAPTADOR CURTO COM BOLSA E ROSCA PARA REGISTRO, PVC, SOLDÁVEL, DN 50 MM X 1 1/2", INSTALADO EM RESERVAÇÃO PREDIAL DE ÁGUA - FORNECIMENTO E INSTALAÇÃO. AF_04/2024</t>
  </si>
  <si>
    <t>LUVA, PVC, SOLDÁVEL, DN 50 MM, INSTALADO EM RESERVAÇÃO PREDIAL DE ÁGUA - FORNECIMENTO E INSTALAÇÃO. AF_04/2024</t>
  </si>
  <si>
    <t>ADAPTADOR CURTO COM BOLSA E ROSCA PARA REGISTRO, PVC, SOLDÁVEL, DN 60 MM X 2", INSTALADO EM RESERVAÇÃO PREDIAL DE ÁGUA - FORNECIMENTO E INSTALAÇÃO. AF_04/2024</t>
  </si>
  <si>
    <t>LUVA, PVC, SOLDÁVEL, DN 60 MM, INSTALADO EM RESERVAÇÃO PREDIAL DE ÁGUA - FORNECIMENTO E INSTALAÇÃO. AF_04/2024</t>
  </si>
  <si>
    <t>ADAPTADOR CURTO COM BOLSA E ROSCA PARA REGISTRO, PVC, SOLDÁVEL, DN 75 MM X 2 1/2", INSTALADO EM RESERVAÇÃO PREDIAL DE ÁGUA - FORNECIMENTO E INSTALAÇÃO. AF_04/2024</t>
  </si>
  <si>
    <t>LUVA, PVC, SOLDÁVEL, DN 75 MM, INSTALADO EM RESERVAÇÃO PREDIAL DE ÁGUA - FORNECIMENTO E INSTALAÇÃO. AF_04/2024</t>
  </si>
  <si>
    <t>ADAPTADOR CURTO COM BOLSA E ROSCA PARA REGISTRO, PVC, SOLDÁVEL, DN 85 MM X 3", INSTALADO EM RESERVAÇÃO PREDIAL DE ÁGUA - FORNECIMENTO E INSTALAÇÃO. AF_04/2024</t>
  </si>
  <si>
    <t>LUVA, PVC, SOLDÁVEL, DN 85 MM, INSTALADO EM RESERVAÇÃO PREDIAL DE ÁGUA - FORNECIMENTO E INSTALAÇÃO. AF_04/2024</t>
  </si>
  <si>
    <t>ADAPTADOR CURTO COM BOLSA E ROSCA PARA REGISTRO, PVC, SOLDÁVEL, DN 110 MM X 4", INSTALADO EM RESERVAÇÃO PREDIAL DE ÁGUA - FORNECIMENTO E INSTALAÇÃO. AF_04/2024</t>
  </si>
  <si>
    <t>LUVA, PVC, SOLDÁVEL, DN 110 MM, INSTALADO EM RESERVAÇÃO PREDIAL DE ÁGUA - FORNECIMENTO E INSTALAÇÃO. AF_04/2024</t>
  </si>
  <si>
    <t>JOELHO 90 GRAUS, PVC, SOLDÁVEL, DN 32 MM INSTALADO EM RESERVAÇÃO PREDIAL DE ÁGUA - FORNECIMENTO E INSTALAÇÃO. AF_04/2024</t>
  </si>
  <si>
    <t>CURVA 90 GRAUS, PVC, SOLDÁVEL, DN 32 MM, INSTALADO EM RESERVAÇÃO PREDIAL DE ÁGUA - FORNECIMENTO E INSTALAÇÃO. AF_04/2024</t>
  </si>
  <si>
    <t>JOELHO 90 GRAUS, PVC, SOLDÁVEL, DN 40 MM INSTALADO EM RESERVAÇÃO PREDIAL DE ÁGUA - FORNECIMENTO E INSTALAÇÃO. AF_04/2024</t>
  </si>
  <si>
    <t>CURVA 90 GRAUS, PVC, SOLDÁVEL, DN 40 MM, INSTALADO EM RESERVAÇÃO PREDIAL DE ÁGUA - FORNECIMENTO E INSTALAÇÃO. AF_04/2024</t>
  </si>
  <si>
    <t>JOELHO 90 GRAUS, PVC, SOLDÁVEL, DN 50 MM INSTALADO EM RESERVAÇÃO PREDIAL DE ÁGUA - FORNECIMENTO E INSTALAÇÃO. AF_04/2024</t>
  </si>
  <si>
    <t>CURVA 90 GRAUS, PVC, SOLDÁVEL, DN 50 MM, INSTALADO EM RESERVAÇÃO PREDIAL DE ÁGUA - FORNECIMENTO E INSTALAÇÃO. AF_04/2024</t>
  </si>
  <si>
    <t>JOELHO 90 GRAUS, PVC, SOLDÁVEL, DN 60 MM INSTALADO EM RESERVAÇÃO PREDIAL DE ÁGUA - FORNECIMENTO E INSTALAÇÃO. AF_04/2024</t>
  </si>
  <si>
    <t>CURVA 90 GRAUS, PVC, SOLDÁVEL, DN 60 MM, INSTALADO EM RESERVAÇÃO PREDIAL DE ÁGUA - FORNECIMENTO E INSTALAÇÃO. AF_04/2024</t>
  </si>
  <si>
    <t>JOELHO 90 GRAUS, PVC, SOLDÁVEL, DN 75 MM INSTALADO EM RESERVAÇÃO PREDIAL DE ÁGUA - FORNECIMENTO E INSTALAÇÃO. AF_04/2024</t>
  </si>
  <si>
    <t>CURVA 90 GRAUS, PVC, SOLDÁVEL, DN 75 MM, INSTALADO EM RESERVAÇÃO PREDIAL DE ÁGUA - FORNECIMENTO E INSTALAÇÃO. AF_04/2024</t>
  </si>
  <si>
    <t>JOELHO 90 GRAUS, PVC, SOLDÁVEL, DN 85 MM INSTALADO EM RESERVAÇÃO PREDIAL DE ÁGUA - FORNECIMENTO E INSTALAÇÃO. AF_04/2024</t>
  </si>
  <si>
    <t>CURVA 90 GRAUS, PVC, SOLDÁVEL, DN 85 MM, INSTALADO EM RESERVAÇÃO PREDIAL DE ÁGUA - FORNECIMENTO E INSTALAÇÃO. AF_04/2024</t>
  </si>
  <si>
    <t>JOELHO 90 GRAUS, PVC, SOLDÁVEL, DN 110 MM INSTALADO EM RESERVAÇÃO PREDIAL DE ÁGUA - FORNECIMENTO E INSTALAÇÃO. AF_04/2024</t>
  </si>
  <si>
    <t>CURVA 90 GRAUS, PVC, SOLDÁVEL, DN 110 MM, INSTALADO EM RESERVAÇÃO PREDIAL DE ÁGUA - FORNECIMENTO E INSTALAÇÃO. AF_04/2024</t>
  </si>
  <si>
    <t>TÊ, PVC, SOLDÁVEL, DN 32 MM INSTALADO EM RESERVAÇÃO PREDIAL DE ÁGUA - FORNECIMENTO E INSTALAÇÃO. AF_04/2024</t>
  </si>
  <si>
    <t>TÊ, PVC, SOLDÁVEL, DN 40 MM INSTALADO EM RESERVAÇÃO PREDIAL DE ÁGUA - FORNECIMENTO E INSTALAÇÃO. AF_04/2024</t>
  </si>
  <si>
    <t>TÊ DE REDUÇÃO, PVC, SOLDÁVEL, DN 40 MM X 32 MM, INSTALADO EM RESERVAÇÃO PREDIAL DE ÁGUA - FORNECIMENTO E INSTALAÇÃO. AF_04/2024</t>
  </si>
  <si>
    <t>TÊ, PVC, SOLDÁVEL, DN 50 MM INSTALADO EM RESERVAÇÃO PREDIAL DE ÁGUA - FORNECIMENTO E INSTALAÇÃO. AF_04/2024</t>
  </si>
  <si>
    <t>TÊ DE REDUÇÃO, PVC, SOLDÁVEL, DN 50 MM X 40 MM, INSTALADO EM RESERVAÇÃO PREDIAL DE ÁGUA - FORNECIMENTO E INSTALAÇÃO. AF_04/2024</t>
  </si>
  <si>
    <t>TÊ, PVC, SOLDÁVEL, DN 60 MM INSTALADO EM RESERVAÇÃO PREDIAL DE ÁGUA - FORNECIMENTO E INSTALAÇÃO. AF_04/2024</t>
  </si>
  <si>
    <t>TÊ, PVC, SOLDÁVEL, DN 75 MM INSTALADO EM RESERVAÇÃO PREDIAL DE ÁGUA - FORNECIMENTO E INSTALAÇÃO. AF_04/2024</t>
  </si>
  <si>
    <t>TÊ DE REDUÇÃO, PVC, SOLDÁVEL, DN 75 MM X 50 MM, INSTALADO EM RESERVAÇÃO PREDIAL DE ÁGUA - FORNECIMENTO E INSTALAÇÃO. AF_04/2024</t>
  </si>
  <si>
    <t>TÊ, PVC, SOLDÁVEL, DN 85 MM INSTALADO EM RESERVAÇÃO PREDIAL DE ÁGUA - FORNECIMENTO E INSTALAÇÃO. AF_04/2024</t>
  </si>
  <si>
    <t>TÊ DE REDUÇÃO, PVC, SOLDÁVEL, DN 85 MM X 60 MM, INSTALADO EM RESERVAÇÃO PREDIAL DE ÁGUA - FORNECIMENTO E INSTALAÇÃO. AF_04/2024</t>
  </si>
  <si>
    <t>TÊ, PVC, SOLDÁVEL, DN 110 MM INSTALADO EM RESERVAÇÃO PREDIAL DE ÁGUA - FORNECIMENTO E INSTALAÇÃO. AF_04/2024</t>
  </si>
  <si>
    <t>TÊ DE REDUÇÃO, PVC, SOLDÁVEL, DN 110 MM X 60 MM, INSTALADO EM RESERVAÇÃO PREDIAL DE ÁGUA - FORNECIMENTO E INSTALAÇÃO. AF_04/2024</t>
  </si>
  <si>
    <t>ADAPTADOR COM FLANGE E ANEL DE VEDAÇÃO, PVC, SOLDÁVEL, DN 32 MM X 1", INSTALADO EM RESERVAÇÃO PREDIAL DE ÁGUA - FORNECIMENTO E INSTALAÇÃO. AF_04/2024</t>
  </si>
  <si>
    <t>ADAPTADOR COM FLANGE E ANEL DE VEDAÇÃO, PVC, SOLDÁVEL, DN 40 MM X 1 1/4", INSTALADO EM RESERVAÇÃO PREDIAL DE ÁGUA - FORNECIMENTO E INSTALAÇÃO. AF_04/2024</t>
  </si>
  <si>
    <t>ADAPTADOR COM FLANGE E ANEL DE VEDAÇÃO, PVC, SOLDÁVEL, DN 50 MM X 1 1/2", INSTALADO EM RESERVAÇÃO PREDIAL DE ÁGUA - FORNECIMENTO E INSTALAÇÃO. AF_04/2024</t>
  </si>
  <si>
    <t>ADAPTADOR COM FLANGE E ANEL DE VEDAÇÃO, PVC, SOLDÁVEL, DN 60 MM X 2", INSTALADO EM RESERVAÇÃO PREDIAL DE ÁGUA - FORNECIMENTO E INSTALAÇÃO. AF_04/2024</t>
  </si>
  <si>
    <t>ADAPTADOR COM FLANGES LIVRES, PVC, SOLDÁVEL, DN 75 MM X 2 1/2", INSTALADO EM RESERVAÇÃO PREDIAL DE ÁGUA - FORNECIMENTO E INSTALAÇÃO. AF_04/2024</t>
  </si>
  <si>
    <t>ADAPTADOR COM FLANGES LIVRES, PVC, SOLDÁVEL, DN 85 MM X 3", INSTALADO EM RESERVAÇÃO PREDIAL DE ÁGUA - FORNECIMENTO E INSTALAÇÃO. AF_04/2024</t>
  </si>
  <si>
    <t>ADAPTADOR COM FLANGES LIVRES, PVC, SOLDÁVEL, DN 110 MM X 4", INSTALADO EM RESERVAÇÃO PREDIAL DE ÁGUA - FORNECIMENTO E INSTALAÇÃO. AF_04/2024</t>
  </si>
  <si>
    <t>CONECTOR, CPVC, SOLDÁVEL, DN 22 MM X 3/4", INSTALADO EM RESERVAÇÃO PREDIAL DE ÁGUA - FORNECIMENTO E INSTALAÇÃO. AF_04/2024</t>
  </si>
  <si>
    <t>LUVA, CPVC, SOLDÁVEL, DN 22 MM, INSTALADO EM RESERVAÇÃO PREDIAL DE ÁGUA - FORNECIMENTO E INSTALAÇÃO. AF_04/2024</t>
  </si>
  <si>
    <t>CONECTOR, CPVC, SOLDÁVEL, DN 28 MM X 1", INSTALADO EM RESERVAÇÃO PREDIAL DE ÁGUA - FORNECIMENTO E INSTALAÇÃO. AF_04/2024</t>
  </si>
  <si>
    <t>LUVA, CPVC, SOLDÁVEL, DN 28 MM, INSTALADO EM RESERVAÇÃO PREDIAL DE ÁGUA - FORNECIMENTO E INSTALAÇÃO. AF_04/2024</t>
  </si>
  <si>
    <t>CONECTOR, CPVC, SOLDÁVEL, DN 35 MM X 1 1/4", INSTALADO EM RESERVAÇÃO PREDIAL DE ÁGUA - FORNECIMENTO E INSTALAÇÃO. AF_04/2024</t>
  </si>
  <si>
    <t>LUVA, CPVC, SOLDÁVEL, DN 35 MM, INSTALADO EM RESERVAÇÃO PREDIAL DE ÁGUA - FORNECIMENTO E INSTALAÇÃO. AF_04/2024</t>
  </si>
  <si>
    <t>CONECTOR, CPVC, SOLDÁVEL, DN 42 MM X 1 1/2", INSTALADO EM RESERVAÇÃO PREDIAL DE ÁGUA - FORNECIMENTO E INSTALAÇÃO. AF_04/2024</t>
  </si>
  <si>
    <t>LUVA, CPVC, SOLDÁVEL, DN 42 MM, INSTALADO EM RESERVAÇÃO PREDIAL DE ÁGUA - FORNECIMENTO E INSTALAÇÃO. AF_04/2024</t>
  </si>
  <si>
    <t>CONECTOR, CPVC, SOLDÁVEL, DN 54 MM X 2", INSTALADO EM RESERVAÇÃO PREDIAL DE ÁGUA - FORNECIMENTO E INSTALAÇÃO. AF_04/2024</t>
  </si>
  <si>
    <t>LUVA, CPVC, SOLDÁVEL, DN 54 MM, INSTALADO EM RESERVAÇÃO PREDIAL DE ÁGUA - FORNECIMENTO E INSTALAÇÃO. AF_04/2024</t>
  </si>
  <si>
    <t>CONECTOR, CPVC, SOLDÁVEL, DN 73 MM X 2 1/2", INSTALADO EM RESERVAÇÃO PREDIAL DE ÁGUA - FORNECIMENTO E INSTALAÇÃO. AF_04/2024</t>
  </si>
  <si>
    <t>CONECTOR, CPVC, SOLDÁVEL, DN 89 MM X 3", INSTALADO EM RESERVAÇÃO PREDIAL DE ÁGUA - FORNECIMENTO E INSTALAÇÃO. AF_04/2024</t>
  </si>
  <si>
    <t>LUVA, CPVC, SOLDÁVEL, DN 89 MM, INSTALADO EM RESERVAÇÃO PREDIAL DE ÁGUA - FORNECIMENTO E INSTALAÇÃO. AF_04/2024</t>
  </si>
  <si>
    <t>CONECTOR, CPVC, SOLDÁVEL, DN 114 MM X 4", INSTALADO EM RESERVAÇÃO PREDIAL DE ÁGUA - FORNECIMENTO E INSTALAÇÃO. AF_04/2024</t>
  </si>
  <si>
    <t>LUVA, CPVC, SOLDÁVEL, DN 114 MM, INSTALADO EM RESERVAÇÃO PREDIAL DE ÁGUA - FORNECIMENTO E INSTALAÇÃO. AF_04/2024</t>
  </si>
  <si>
    <t>JOELHO 90 GRAUS, CPVC, SOLDÁVEL, DN 22 MM, INSTALADO EM RESERVAÇÃO PREDIAL DE ÁGUA - FORNECIMENTO E INSTALAÇÃO. AF_04/2024</t>
  </si>
  <si>
    <t>CURVA 90 GRAUS, CPVC, SOLDÁVEL, DN 22 MM, INSTALADO EM RESERVAÇÃO PREDIAL DE ÁGUA - FORNECIMENTO E INSTALAÇÃO. AF_04/2024</t>
  </si>
  <si>
    <t>JOELHO 90 GRAUS, CPVC, SOLDÁVEL, DN 28 MM, INSTALADO EM RESERVAÇÃO PREDIAL DE ÁGUA - FORNECIMENTO E INSTALAÇÃO. AF_04/2024</t>
  </si>
  <si>
    <t>CURVA 90 GRAUS, CPVC, SOLDÁVEL, DN 28 MM, INSTALADO EM RESERVAÇÃO PREDIAL DE ÁGUA - FORNECIMENTO E INSTALAÇÃO. AF_04/2024</t>
  </si>
  <si>
    <t>JOELHO 90 GRAUS, CPVC, SOLDÁVEL, DN 35 MM, INSTALADO EM RESERVAÇÃO PREDIAL DE ÁGUA - FORNECIMENTO E INSTALAÇÃO. AF_04/2024</t>
  </si>
  <si>
    <t>JOELHO 90 GRAUS, CPVC, SOLDÁVEL, DN 42 MM, INSTALADO EM RESERVAÇÃO PREDIAL DE ÁGUA - FORNECIMENTO E INSTALAÇÃO. AF_04/2024</t>
  </si>
  <si>
    <t>JOELHO 90 GRAUS, CPVC, SOLDÁVEL, DN 54 MM, INSTALADO EM RESERVAÇÃO PREDIAL DE ÁGUA - FORNECIMENTO E INSTALAÇÃO. AF_04/2024</t>
  </si>
  <si>
    <t>JOELHO 90 GRAUS, CPVC, SOLDÁVEL, DN 73 MM, INSTALADO EM RESERVAÇÃO PREDIAL DE ÁGUA - FORNECIMENTO E INSTALAÇÃO. AF_04/2024</t>
  </si>
  <si>
    <t>JOELHO 90 GRAUS, CPVC, SOLDÁVEL, DN 89 MM, INSTALADO EM RESERVAÇÃO PREDIAL DE ÁGUA - FORNECIMENTO E INSTALAÇÃO. AF_04/2024</t>
  </si>
  <si>
    <t>JOELHO 90 GRAUS, CPVC, SOLDÁVEL, DN 114 MM, INSTALADO EM RESERVAÇÃO PREDIAL DE ÁGUA - FORNECIMENTO E INSTALAÇÃO. AF_04/2024</t>
  </si>
  <si>
    <t>TE, CPVC, SOLDÁVEL, DN 22 MM, INSTALADO EM RESERVAÇÃO PREDIAL DE ÁGUA - FORNECIMENTO E INSTALAÇÃO. AF_04/2024</t>
  </si>
  <si>
    <t>TE, CPVC, SOLDÁVEL, DN 28 MM, INSTALADO EM RESERVAÇÃO PREDIAL DE ÁGUA - FORNECIMENTO E INSTALAÇÃO. AF_04/2024</t>
  </si>
  <si>
    <t>TE, CPVC, SOLDÁVEL, DN 35 MM, INSTALADO EM RESERVAÇÃO PREDIAL DE ÁGUA - FORNECIMENTO E INSTALAÇÃO. AF_04/2024</t>
  </si>
  <si>
    <t>TE, CPVC, SOLDÁVEL, DN 42 MM, INSTALADO EM RESERVAÇÃO PREDIAL DE ÁGUA - FORNECIMENTO E INSTALAÇÃO. AF_04/2024</t>
  </si>
  <si>
    <t>TE, CPVC, SOLDÁVEL, DN 54 MM, INSTALADO EM RESERVAÇÃO PREDIAL DE ÁGUA - FORNECIMENTO E INSTALAÇÃO. AF_04/2024</t>
  </si>
  <si>
    <t>TE, CPVC, SOLDÁVEL, DN 73 MM, INSTALADO EM RESERVAÇÃO PREDIAL DE ÁGUA - FORNECIMENTO E INSTALAÇÃO. AF_04/2024</t>
  </si>
  <si>
    <t>TE, CPVC, SOLDÁVEL, DN 89 MM, INSTALADO EM RESERVAÇÃO PREDIAL DE ÁGUA - FORNECIMENTO E INSTALAÇÃO. AF_04/2024</t>
  </si>
  <si>
    <t>TE, CPVC, SOLDÁVEL, DN 114 MM, INSTALADO EM RESERVAÇÃO PREDIAL DE ÁGUA - FORNECIMENTO E INSTALAÇÃO. AF_04/2024</t>
  </si>
  <si>
    <t>ADAPTADOR COM FLANGE E ANEL DE VEDAÇÃO, CPVC, ROSCÁVEL, DN 15 MM, INSTALADO EM RESERVAÇÃO PREDIAL DE ÁGUA - FORNECIMENTO E INSTALAÇÃO. AF_04/2024</t>
  </si>
  <si>
    <t>ADAPTADOR COM FLANGE E ANEL DE VEDAÇÃO, CPVC, ROSCÁVEL, DN 22 MM, INSTALADO EM RESERVAÇÃO PREDIAL DE ÁGUA - FORNECIMENTO E INSTALAÇÃO. AF_04/2024</t>
  </si>
  <si>
    <t>ADAPTADOR COM FLANGE E ANEL DE VEDAÇÃO, CPVC, ROSCÁVEL, DN 28 MM, INSTALADO EM RESERVAÇÃO PREDIAL DE ÁGUA - FORNECIMENTO E INSTALAÇÃO. AF_04/2024</t>
  </si>
  <si>
    <t>ADAPTADOR COM FLANGE E ANEL DE VEDAÇÃO, CPVC, ROSCÁVEL, DN 35 MM, INSTALADO EM RESERVAÇÃO PREDIAL DE ÁGUA - FORNECIMENTO E INSTALAÇÃO. AF_04/2024</t>
  </si>
  <si>
    <t>ADAPTADOR COM FLANGE E ANEL DE VEDAÇÃO, CPVC, ROSCÁVEL, DN 42 MM, INSTALADO EM RESERVAÇÃO PREDIAL DE ÁGUA - FORNECIMENTO E INSTALAÇÃO. AF_04/2024</t>
  </si>
  <si>
    <t>ADAPTADOR COM FLANGE E ANEL DE VEDAÇÃO, CPVC, ROSCÁVEL, DN 54 MM, INSTALADO EM RESERVAÇÃO PREDIAL DE ÁGUA - FORNECIMENTO E INSTALAÇÃO. AF_04/2024</t>
  </si>
  <si>
    <t>LUVA, CPVC, SOLDÁVEL, DN 73 MM, INSTALADO EM RESERVAÇÃO PREDIAL DE ÁGUA - FORNECIMENTO E INSTALAÇÃO. AF_04/2024</t>
  </si>
  <si>
    <t>LUVA, PPR, DN 20 MM, INSTALADO EM RESERVAÇÃO PREDIAL DE ÁGUA - FORNECIMENTO E INSTALAÇÃO. AF_04/2024</t>
  </si>
  <si>
    <t>LUVA, PPR, DN 25 MM, INSTALADO EM RESERVAÇÃO PREDIAL DE ÁGUA - FORNECIMENTO E INSTALAÇÃO. AF_04/2024</t>
  </si>
  <si>
    <t>CONECTOR MACHO, PPR, 25 MM X 1/2'', INSTALADO EM RESERVAÇÃO PREDIAL DE ÁGUA - FORNECIMENTO E INSTALAÇÃO. AF_04/2024</t>
  </si>
  <si>
    <t>LUVA, PPR, DN 32 MM, CLASSE PN 25, INSTALADO EM RESERVAÇÃO PREDIAL DE ÁGUA - FORNECIMENTO E INSTALAÇÃO. AF_04/2024</t>
  </si>
  <si>
    <t>CONECTOR MACHO, PPR, 32 MM X 3/4'', INSTALADO EM RESERVAÇÃO PREDIAL DE ÁGUA - FORNECIMENTO E INSTALAÇÃO. AF_04/2024</t>
  </si>
  <si>
    <t>LUVA, PPR, DN 40 MM, CLASSE PN 25, INSTALADO EM RESERVAÇÃO PREDIAL DE ÁGUA - FORNECIMENTO E INSTALAÇÃO. AF_04/2024</t>
  </si>
  <si>
    <t>LUVA, PPR, DN 50 MM, CLASSE PN 25, INSTALADO EM RESERVAÇÃO PREDIAL DE ÁGUA - FORNECIMENTO E INSTALAÇÃO. AF_04/2024</t>
  </si>
  <si>
    <t>LUVA, PPR, DN 63 MM, CLASSE PN 25, INSTALADO EM RESERVAÇÃO PREDIAL DE ÁGUA - FORNECIMENTO E INSTALAÇÃO. AF_04/2024</t>
  </si>
  <si>
    <t>LUVA, PPR, DN 75 MM, CLASSE PN 25, INSTALADO EM RESERVAÇÃO PREDIAL DE ÁGUA - FORNECIMENTO E INSTALAÇÃO. AF_04/2024</t>
  </si>
  <si>
    <t>LUVA, PPR, DN 90 MM, CLASSE PN 25, INSTALADO EM RESERVAÇÃO PREDIAL DE ÁGUA - FORNECIMENTO E INSTALAÇÃO. AF_04/2024</t>
  </si>
  <si>
    <t>LUVA, PPR, DN 110 MM, CLASSE PN 25, INSTALADO EM RESERVAÇÃO PREDIAL DE ÁGUA - FORNECIMENTO E INSTALAÇÃO. AF_04/2024</t>
  </si>
  <si>
    <t>JOELHO 90 GRAUS, PPR, DN 20 MM, INSTALADO EM RESERVAÇÃO PREDIAL DE ÁGUA - FORNECIMENTO E INSTALAÇÃO. AF_04/2024</t>
  </si>
  <si>
    <t>JOELHO 90 GRAUS, PPR, DN 25 MM, INSTALADO EM RESERVAÇÃO PREDIAL DE ÁGUA - FORNECIMENTO E INSTALAÇÃO. AF_04/2024</t>
  </si>
  <si>
    <t>JOELHO 90 GRAUS, PPR, DN 32 MM, INSTALADO EM RESERVAÇÃO PREDIAL DE ÁGUA - FORNECIMENTO E INSTALAÇÃO. AF_04/2024</t>
  </si>
  <si>
    <t>JOELHO 90 GRAUS, PPR, DN 40 MM, INSTALADO EM RESERVAÇÃO PREDIAL DE ÁGUA - FORNECIMENTO E INSTALAÇÃO. AF_04/2024</t>
  </si>
  <si>
    <t>JOELHO 90 GRAUS, PPR, DN 50 MM, INSTALADO EM RESERVAÇÃO PREDIAL DE ÁGUA - FORNECIMENTO E INSTALAÇÃO. AF_04/2024</t>
  </si>
  <si>
    <t>JOELHO 90 GRAUS, PPR, DN 63 MM, INSTALADO EM RESERVAÇÃO PREDIAL DE ÁGUA - FORNECIMENTO E INSTALAÇÃO. AF_04/2024</t>
  </si>
  <si>
    <t>JOELHO 90 GRAUS, PPR, DN 75 MM, INSTALADO EM RESERVAÇÃO PREDIAL DE ÁGUA - FORNECIMENTO E INSTALAÇÃO. AF_04/2024</t>
  </si>
  <si>
    <t>JOELHO 90 GRAUS, PPR, DN 90 MM, INSTALADO EM RESERVAÇÃO PREDIAL DE ÁGUA - FORNECIMENTO E INSTALAÇÃO. AF_04/2024</t>
  </si>
  <si>
    <t>JOELHO 90 GRAUS, PPR, DN 110 MM, INSTALADO EM RESERVAÇÃO PREDIAL DE ÁGUA - FORNECIMENTO E INSTALAÇÃO. AF_04/2024</t>
  </si>
  <si>
    <t>TÊ, PPR, DN 32 MM, INSTALADO EM RESERVAÇÃO PREDIAL DE ÁGUA - FORNECIMENTO E INSTALAÇÃO. AF_04/2024</t>
  </si>
  <si>
    <t>TÊ, PPR, DN 40 MM, INSTALADO EM RESERVAÇÃO PREDIAL DE ÁGUA - FORNECIMENTO E INSTALAÇÃO. AF_04/2024</t>
  </si>
  <si>
    <t>TÊ, PPR, DN 50 MM, INSTALADO EM RESERVAÇÃO PREDIAL DE ÁGUA - FORNECIMENTO E INSTALAÇÃO. AF_04/2024</t>
  </si>
  <si>
    <t>TÊ, PPR, DN 63 MM, INSTALADO EM RESERVAÇÃO PREDIAL DE ÁGUA - FORNECIMENTO E INSTALAÇÃO. AF_04/2024</t>
  </si>
  <si>
    <t>TÊ, PPR, DN 75 MM, INSTALADO EM RESERVAÇÃO PREDIAL DE ÁGUA - FORNECIMENTO E INSTALAÇÃO. AF_04/2024</t>
  </si>
  <si>
    <t>TÊ, PPR, DN 90 MM, INSTALADO EM RESERVAÇÃO PREDIAL DE ÁGUA - FORNECIMENTO E INSTALAÇÃO. AF_04/2024</t>
  </si>
  <si>
    <t>TÊ, PPR, DN 110 MM, INSTALADO EM RESERVAÇÃO PREDIAL DE ÁGUA - FORNECIMENTO E INSTALAÇÃO. AF_04/2024</t>
  </si>
  <si>
    <t>BUCHA DE REDUÇÃO, PPR, DN 50 X 32 MM, INSTALADO EM RESERVAÇÃO PREDIAL DE ÁGUA - FORNECIMENTO E INSTALAÇÃO. AF_04/2024</t>
  </si>
  <si>
    <t>CURVA PPR 90 GRAUS, DN 20 MM, INSTALADO EM RESERVAÇÃO PREDIAL DE ÁGUA - FORNECIMENTO E INSTALAÇÃO. AF_04/2024</t>
  </si>
  <si>
    <t>CURVA PPR 90 GRAUS, DN 25 MM, INSTALADO EM RESERVAÇÃO PREDIAL DE ÁGUA - FORNECIMENTO E INSTALAÇÃO. AF_04/2024</t>
  </si>
  <si>
    <t>JOELHO PPR 45 GRAUS, SOLDÁVEL, DN 20 MM, INSTALADO EM RESERVAÇÃO PREDIAL DE ÁGUA - FORNECIMENTO E INSTALAÇÃO. AF_04/2024</t>
  </si>
  <si>
    <t>JOELHO PPR 45 GRAUS, SOLDÁVEL, DN 25 MM, INSTALADO EM RESERVAÇÃO PREDIAL DE ÁGUA - FORNECIMENTO E INSTALAÇÃO. AF_04/2024</t>
  </si>
  <si>
    <t>JOELHO PPR 45 GRAUS, SOLDÁVEL, DN 40 MM, INSTALADO EM RESERVAÇÃO PREDIAL DE ÁGUA - FORNECIMENTO E INSTALAÇÃO. AF_04/2024</t>
  </si>
  <si>
    <t>JOELHO PPR 45 GRAUS, SOLDÁVEL, DN 50 MM, INSTALADO EM RESERVAÇÃO PREDIAL DE ÁGUA - FORNECIMENTO E INSTALAÇÃO. AF_04/2024</t>
  </si>
  <si>
    <t>CURVA PVC 45 GRAUS, SOLDÁVEL, DN 25 MM, INSTALADO EM RESERVAÇÃO PREDIAL DE ÁGUA - FORNECIMENTO E INSTALAÇÃO. AF_04/2024</t>
  </si>
  <si>
    <t>CURVA PVC 45 GRAUS, SOLDÁVEL, DN 32 MM, INSTALADO EM RESERVAÇÃO PREDIAL DE ÁGUA - FORNECIMENTO E INSTALAÇÃO. AF_04/2024</t>
  </si>
  <si>
    <t>CURVA PVC 45 GRAUS, SOLDÁVEL, DN 40 MM, INSTALADO EM RESERVAÇÃO PREDIAL DE ÁGUA - FORNECIMENTO E INSTALAÇÃO. AF_04/2024</t>
  </si>
  <si>
    <t>CURVA PVC 45 GRAUS, SOLDÁVEL, DN 50 MM, INSTALADO EM RESERVAÇÃO PREDIAL DE ÁGUA - FORNECIMENTO E INSTALAÇÃO. AF_04/2024</t>
  </si>
  <si>
    <t>CURVA PVC 45 GRAUS, SOLDÁVEL, DN 60 MM, INSTALADO EM RESERVAÇÃO PREDIAL DE ÁGUA - FORNECIMENTO E INSTALAÇÃO. AF_04/2024</t>
  </si>
  <si>
    <t>CURVA PVC 45 GRAUS, SOLDÁVEL, DN 75 MM, INSTALADO EM RESERVAÇÃO PREDIAL DE ÁGUA - FORNECIMENTO E INSTALAÇÃO. AF_04/2024</t>
  </si>
  <si>
    <t>CURVA PVC 45 GRAUS, SOLDÁVEL, DN 85 MM, INSTALADO EM RESERVAÇÃO PREDIAL DE ÁGUA - FORNECIMENTO E INSTALAÇÃO. AF_04/2024</t>
  </si>
  <si>
    <t>JOELHO PPR 45 GRAUS, SOLDÁVEL, DN 75 MM, INSTALADO EM RESERVAÇÃO PREDIAL DE ÁGUA - FORNECIMENTO E INSTALAÇÃO. AF_04/2024</t>
  </si>
  <si>
    <t>JOELHO PPR 45 GRAUS, SOLDÁVEL, DN 90 MM, INSTALADO EM RESERVAÇÃO PREDIAL DE ÁGUA - FORNECIMENTO E INSTALAÇÃO. AF_04/2024</t>
  </si>
  <si>
    <t>JOELHO PPR, 45 GRAUS, SOLDÁVEL, DN 32 MM, INSTALADO EM RESERVAÇÃO PREDIAL DE ÁGUA - FORNECIMENTO E INSTALAÇÃO. AF_04/2024</t>
  </si>
  <si>
    <t>TÊ, PPR, DN 20 MM, INSTALADO EM RESERVAÇÃO PREDIAL DE ÁGUA - FORNECIMENTO E INSTALAÇÃO. AF_04/2024</t>
  </si>
  <si>
    <t>TÊ, PPR, DN 25 MM, INSTALADO EM RESERVAÇÃO PREDIAL DE ÁGUA - FORNECIMENTO E INSTALAÇÃO. AF_04/2024</t>
  </si>
  <si>
    <t>JOELHO CPVC, SOLDÁVEL, 45 GRAUS, DN 42 MM, INSTALADO EM RESERVAÇÃO PREDIAL DE ÁGUA - FORNECIMENTO E INSTALAÇÃO. AF_04/2024</t>
  </si>
  <si>
    <t>UNIÃO FLANGE, PPR, COM PARAFUSOS, DN 40 MM, INSTALADO EM RESERVAÇÃO PREDIAL DE ÁGUA - FORNECIMENTO E INSTALAÇÃO. AF_04/2024</t>
  </si>
  <si>
    <t>BUCHA DE REDUÇÃO, EM FERRO GALVANIZADO, CONEXÃO ROSQUEADA, DN 80 MM X 65 MM (3" X 2 1/2"), INSTALADO EM RESERVAÇÃO PREDIAL DE ÁGUA - FORNECIMENTO E INSTALAÇÃO. AF_04/2024</t>
  </si>
  <si>
    <t>JOELHO PVC, SOLDÁVEL, 45 GRAUS, DN 25 MM, INSTALADO EM RESERVAÇÃO PREDIAL DE ÁGUA - FORNECIMENTO E INSTALAÇÃO. AF_04/2024</t>
  </si>
  <si>
    <t>BUCHA DE REDUÇÃO, EM FERRO GALVANIZADO, CONEXÃO ROSQUEADA, DN 80 MM X 50 MM (3" X 2"), INSTALADO EM RESERVAÇÃO PREDIAL DE ÁGUA - FORNECIMENTO E INSTALAÇÃO. AF_04/2024</t>
  </si>
  <si>
    <t>LUVA DE REDUÇÃO, EM FERRO GALVANIZADO, CONEXÃO ROSQUEADA, DN 65 MM X 50 MM (2 1/2" X 2"), INSTALADO EM RESERVAÇÃO PREDIAL DE ÁGUA - FORNECIMENTO E INSTALAÇÃO. AF_04/2024</t>
  </si>
  <si>
    <t>LUVA DE REDUÇÃO, EM FERRO GALVANIZADO, CONEXÃO ROSQUEADA, DN 80 MM X 65 MM (3" X 2 1/2"), INSTALADO EM RESERVAÇÃO PREDIAL DE ÁGUA - FORNECIMENTO E INSTALAÇÃO. AF_04/2024</t>
  </si>
  <si>
    <t>LUVA DE REDUÇÃO, EM FERRO GALVANIZADO, CONEXÃO ROSQUEADA, DN 80 MM X 50 MM (3" X 2"), INSTALADO EM RESERVAÇÃO PREDIAL DE ÁGUA - FORNECIMENTO E INSTALAÇÃO. AF_04/2024</t>
  </si>
  <si>
    <t>NIPLE DE REDUÇÃO, EM FERRO GALVANIZADO, CONEXÃO ROSQUEADA, DN 80 MM X 65 MM (3" X 2 1/2"), INSTALADO EM RESERVAÇÃO PREDIAL DE ÁGUA - FORNECIMENTO E INSTALAÇÃO. AF_04/2024</t>
  </si>
  <si>
    <t>NIPLE DE REDUÇÃO, EM FERRO GALVANIZADO, CONEXÃO ROSQUEADA, DN 80 MM X 50 MM (3" X 2"), INSTALADO EM RESERVAÇÃO PREDIAL DE ÁGUA - FORNECIMENTO E INSTALAÇÃO. AF_04/2024</t>
  </si>
  <si>
    <t>COTOVELO DE REDUÇÃO, 90 GRAUS, EM FERRO GALVANIZADO, CONEXÃO ROSQUEADA, DN 65 MM X 50 MM (2 1/2" X 2"), INSTALADO EM RESERVAÇÃO PREDIAL DE ÁGUA - FORNECIMENTO E INSTALAÇÃO. AF_04/2024</t>
  </si>
  <si>
    <t>JOELHO PVC, SOLDÁVEL, 45 GRAUS, DN 32 MM, INSTALADO EM RESERVAÇÃO PREDIAL DE ÁGUA - FORNECIMENTO E INSTALAÇÃO. AF_04/2024</t>
  </si>
  <si>
    <t>JOELHO PVC, SOLDÁVEL, 45 GRAUS, DN 40 MM, INSTALADO EM RESERVAÇÃO PREDIAL DE ÁGUA - FORNECIMENTO E INSTALAÇÃO. AF_04/2024</t>
  </si>
  <si>
    <t>JOELHO PVC, SOLDÁVEL, 45 GRAUS, DN 50 MM, INSTALADO EM RESERVAÇÃO PREDIAL DE ÁGUA - FORNECIMENTO E INSTALAÇÃO. AF_04/2024</t>
  </si>
  <si>
    <t>JOELHO PVC, SOLDÁVEL, 45 GRAUS, DN 60 MM, INSTALADO EM RESERVAÇÃO PREDIAL DE ÁGUA - FORNECIMENTO E INSTALAÇÃO. AF_04/2024</t>
  </si>
  <si>
    <t>JOELHO PVC, SOLDÁVEL, 45 GRAUS, DN 75 MM, INSTALADO EM RESERVAÇÃO PREDIAL DE ÁGUA - FORNECIMENTO E INSTALAÇÃO. AF_04/2024</t>
  </si>
  <si>
    <t>JOELHO PVC, SOLDÁVEL, 45 GRAUS, DN 85 MM, INSTALADO EM RESERVAÇÃO PREDIAL DE ÁGUA - FORNECIMENTO E INSTALAÇÃO. AF_04/2024</t>
  </si>
  <si>
    <t>TE DE REDUÇÃO, PVC, SOLDÁVEL, 90 GRAUS, DN 50 MM X 25 MM, INSTALADO EM RESERVAÇÃO PREDIAL DE ÁGUA - FORNECIMENTO E INSTALAÇÃO. AF_04/2024</t>
  </si>
  <si>
    <t>TE DE REDUÇÃO, PVC, SOLDÁVEL, 90 GRAUS, DN 50 MM X 32 MM, INSTALADO EM RESERVAÇÃO PREDIAL DE ÁGUA - FORNECIMENTO E INSTALAÇÃO. AF_04/2024</t>
  </si>
  <si>
    <t>COTOVELO, 90 GRAUS, EM FERRO GALVANIZADO, MACHO/FÊMEA, CONEXÃO ROSQUEADA, DN 65 MM (2 1/2"), INSTALADO EM RESERVAÇÃO PREDIAL DE ÁGUA - FORNECIMENTO E INSTALAÇÃO. AF_04/2024</t>
  </si>
  <si>
    <t>COTOVELO 90 GRAUS, EM FERRO GALVANIZADO, MACHO/FÊMEA, CONEXÃO ROSQUEADA, DN 50 MM (2"), INSTALADO EM RESERVAÇÃO PREDIAL DE ÁGUA - FORNECIMENTO E INSTALAÇÃO. AF_04/2024</t>
  </si>
  <si>
    <t>COTOVELO 90 GRAUS, EM FERRO GALVANIZADO, MACHO/FÊMEA, CONEXÃO ROSQUEADA, DN 80 MM (3"), INSTALADO EM RESERVAÇÃO PREDIAL DE ÁGUA - FORNECIMENTO E INSTALAÇÃO. AF_04/2024</t>
  </si>
  <si>
    <t>CURVA 45 GRAUS, EM FERRO GALVANIZADO, FÊMEA, CONEXÃO ROSQUEADA, DN 65 MM (2 1/2"), INSTALADO EM RESERVAÇÃO PREDIAL DE ÁGUA - FORNECIMENTO E INSTALAÇÃO. AF_04/2024</t>
  </si>
  <si>
    <t>CURVA 45 GRAUS, EM FERRO GALVANIZADO, FÊMEA, CONEXÃO ROSQUEADA, DN 50 MM (2"), INSTALADO EM RESERVAÇÃO PREDIAL DE ÁGUA - FORNECIMENTO E INSTALAÇÃO. AF_04/2024</t>
  </si>
  <si>
    <t>CURVA 45 GRAUS, EM FERRO GALVANIZADO, FÊMEA, CONEXÃO ROSQUEADA, DN 80 MM (3"), INSTALADO EM RESERVAÇÃO PREDIAL DE ÁGUA - FORNECIMENTO E INSTALAÇÃO. AF_04/2024</t>
  </si>
  <si>
    <t>CURVA 45 GRAUS, EM FERRO GALVANIZADO, MACHO/FÊMEA, CONEXÃO ROSQUEADA, DN 65 MM (2 1/2"), INSTALADO EM RESERVAÇÃO PREDIAL DE ÁGUA - FORNECIMENTO E INSTALAÇÃO. AF_04/2024</t>
  </si>
  <si>
    <t>CURVA 45 GRAUS, EM FERRO GALVANIZADO, MACHO/FÊMEA, CONEXÃO ROSQUEADA, DN 50 MM (2"), INSTALADO EM RESERVAÇÃO PREDIAL DE ÁGUA - FORNECIMENTO E INSTALAÇÃO. AF_04/2024</t>
  </si>
  <si>
    <t>CURVA 45 GRAUS, EM FERRO GALVANIZADO, MACHO/FÊMEA, CONEXÃO ROSQUEADA, DN 80 MM (3"), INSTALADO EM RESERVAÇÃO PREDIAL DE ÁGUA - FORNECIMENTO E INSTALAÇÃO. AF_04/2024</t>
  </si>
  <si>
    <t>CURVA 90 GRAUS, EM FERRO GALVANIZADO, FÊMEA, CONEXÃO ROSQUEADA, DN 65 MM (2 1/2"), INSTALADO EM RESERVAÇÃO PREDIAL DE ÁGUA - FORNECIMENTO E INSTALAÇÃO. AF_04/2024</t>
  </si>
  <si>
    <t>CURVA 90 GRAUS, EM FERRO GALVANIZADO, FÊMEA, CONEXÃO ROSQUEADA, DN 50 MM (2"), INSTALADO EM RESERVAÇÃO PREDIAL DE ÁGUA - FORNECIMENTO E INSTALAÇÃO. AF_04/2024</t>
  </si>
  <si>
    <t>CURVA 90 GRAUS, EM FERRO GALVANIZADO, FÊMEA, CONEXÃO ROSQUEADA, DN 80 (3"), INSTALADO EM RESERVAÇÃO PREDIAL DE ÁGUA - FORNECIMENTO E INSTALAÇÃO. AF_04/2024</t>
  </si>
  <si>
    <t>CURVA 90 GRAUS, EM FERRO GALVANIZADO, MACHO/FÊMEA, CONEXÃO ROSQUEADA, DN 65 MM (2 1/2"), INSTALADO EM RESERVAÇÃO PREDIAL DE ÁGUA - FORNECIMENTO E INSTALAÇÃO. AF_04/2024</t>
  </si>
  <si>
    <t>CURVA 90 GRAUS, EM FERRO GALVANIZADO, MACHO/FÊMEA, CONEXÃO ROSQUEADA, DN 50 MM (2"), INSTALADO EM RESERVAÇÃO PREDIAL DE ÁGUA - FORNECIMENTO E INSTALAÇÃO. AF_04/2024</t>
  </si>
  <si>
    <t>CURVA 90 GRAUS, EM FERRO GALVANIZADO, MACHO/FÊMEA, CONEXÃO ROSQUEADA, DN 80 MM (3"), INSTALADO EM RESERVAÇÃO PREDIAL DE ÁGUA - FORNECIMENTO E INSTALAÇÃO. AF_04/2024</t>
  </si>
  <si>
    <t>CURVA 90 GRAUS, EM FERRO GALVANIZADO, CONEXÃO ROSQUEADA, DN 65 MM (2 1/2"), INSTALADO EM RESERVAÇÃO PREDIAL DE ÁGUA - FORNECIMENTO E INSTALAÇÃO. AF_04/2024</t>
  </si>
  <si>
    <t>CURVA 90 GRAUS, EM FERRO GALVANIZADO, CONEXÃO ROSQUEADA, DN 50 MM (2"), INSTALADO EM RESERVAÇÃO PREDIAL DE ÁGUA - FORNECIMENTO E INSTALAÇÃO. AF_04/2024</t>
  </si>
  <si>
    <t>CURVA 90 GRAUS, EM FERRO GALVANIZADO, CONEXÃO ROSQUEADA, DN 80 MM (3"), INSTALADO EM RESERVAÇÃO PREDIAL DE ÁGUA - FORNECIMENTO E INSTALAÇÃO. AF_04/2024</t>
  </si>
  <si>
    <t>TE DE REDUÇÃO, EM FERRO GALVANIZADO, CONEXÃO ROSQUEADA, DN 80 MM X 65 MM (3" X 2 1/2"), INSTALADO EM RESERVAÇÃO PREDIAL DE ÁGUA - FORNECIMENTO E INSTALAÇÃO. AF_04/2024</t>
  </si>
  <si>
    <t>TE DE REDUÇÃO, EM FERRO GALVANIZADO, CONEXÃO ROSQUEADA, DN 80 MM X 50 MM (3" X 2"), INSTALADO EM RESERVAÇÃO PREDIAL DE ÁGUA - FORNECIMENTO E INSTALAÇÃO. AF_04/2024</t>
  </si>
  <si>
    <t>BUCHA DE REDUÇÃO EM COBRE, PONTA X BOLSA, 66 X 54 MM, INSTALADO EM RESERVAÇÃO PREDIAL DE ÁGUA - FORNECIMENTO E INSTALAÇÃO. AF_04/2024</t>
  </si>
  <si>
    <t>BUCHA DE REDUÇÃO CPVC, SOLDÁVEL, DN 54 X 28 MM, INSTALADO EM RESERVAÇÃO PREDIAL DE ÁGUA - FORNECIMENTO E INSTALAÇÃO. AF_04/2024</t>
  </si>
  <si>
    <t>BUCHA DE REDUÇÃO CPVC, SOLDÁVEL, DN 28 X 22 MM, INSTALADO EM RESERVAÇÃO PREDIAL DE ÁGUA - FORNECIMENTO E INSTALAÇÃO. AF_04/2024</t>
  </si>
  <si>
    <t>BUCHA DE REDUÇÃO CPVC, SOLDÁVEL, DN 35 X 28 MM, INSTALADO EM RESERVAÇÃO PREDIAL DE ÁGUA - FORNECIMENTO E INSTALAÇÃO. AF_04/2024</t>
  </si>
  <si>
    <t>BUCHA DE REDUÇÃO CPVC, SOLDÁVEL, DN 42 X 22 MM, INSTALADO EM RESERVAÇÃO PREDIAL DE ÁGUA - FORNECIMENTO E INSTALAÇÃO. AF_04/2024</t>
  </si>
  <si>
    <t>BUCHA DE REDUÇÃO CPVC, SOLDÁVEL, DN 54 X 35 MM, INSTALADO EM RESERVAÇÃO PREDIAL DE ÁGUA - FORNECIMENTO E INSTALAÇÃO. AF_04/2024</t>
  </si>
  <si>
    <t>JOELHO CPVC, SOLDÁVEL, 45 GRAUS, DN 22 MM, INSTALADO EM RESERVAÇÃO PREDIAL DE ÁGUA - FORNECIMENTO E INSTALAÇÃO. AF_04/2024</t>
  </si>
  <si>
    <t>JOELHO CPVC, SOLDÁVEL, 45 GRAUS, DN 28 MM, INSTALADO EM RESERVAÇÃO PREDIAL DE ÁGUA - FORNECIMENTO E INSTALAÇÃO. AF_04/2024</t>
  </si>
  <si>
    <t>JOELHO CPVC, SOLDÁVEL, 45 GRAUS, DN 35 MM, INSTALADO EM RESERVAÇÃO PREDIAL DE ÁGUA - FORNECIMENTO E INSTALAÇÃO. AF_04/2024</t>
  </si>
  <si>
    <t>JOELHO CPVC, SOLDÁVEL, 45 GRAUS, DN 54 MM, INSTALADO EM RESERVAÇÃO PREDIAL DE ÁGUA - FORNECIMENTO E INSTALAÇÃO. AF_04/2024</t>
  </si>
  <si>
    <t>JOELHO CPVC, SOLDÁVEL, 45 GRAUS, DN 73 MM, INSTALADO EM RESERVAÇÃO PREDIAL DE ÁGUA - FORNECIMENTO E INSTALAÇÃO. AF_04/2024</t>
  </si>
  <si>
    <t>JOELHO CPVC, SOLDÁVEL, 45 GRAUS, DN 89 MM, INSTALADO EM RESERVAÇÃO PREDIAL DE ÁGUA - FORNECIMENTO E INSTALAÇÃO. AF_04/2024</t>
  </si>
  <si>
    <t>TE DE REDUÇÃO, CPVC, DN 28 X 22 MM, INSTALADO EM RESERVAÇÃO PREDIAL DE ÁGUA - FORNECIMENTO E INSTALAÇÃO. AF_04/2024</t>
  </si>
  <si>
    <t>TE DE REDUÇÃO, CPVC, DN 35 X 28 MM, INSTALADO EM RESERVAÇÃO PREDIAL DE ÁGUA - FORNECIMENTO E INSTALAÇÃO. AF_04/2024</t>
  </si>
  <si>
    <t>TE DE REDUÇÃO, CPVC, DN 42 X 35 MM, INSTALADO EM RESERVAÇÃO PREDIAL DE ÁGUA - FORNECIMENTO E INSTALAÇÃO. AF_04/2024</t>
  </si>
  <si>
    <t>BUCHA DE REDUÇÃO PVC, SOLDÁVEL, LONGA, DN 50 X 32 MM, INSTALADO EM RESERVAÇÃO PREDIAL DE ÁGUA - FORNECIMENTO E INSTALAÇÃO. AF_04/2024</t>
  </si>
  <si>
    <t>BUCHA DE REDUÇÃO, PPR, DN 50 X 25 MM, INSTALADO EM RESERVAÇÃO PREDIAL DE ÁGUA - FORNECIMENTO E INSTALAÇÃO. AF_04/2024</t>
  </si>
  <si>
    <t>BUCHA DE REDUÇÃO, PPR, DN 25 X 20 MM, INSTALADO EM RESERVAÇÃO PREDIAL DE ÁGUA - FORNECIMENTO E INSTALAÇÃO. AF_04/2024</t>
  </si>
  <si>
    <t>BUCHA DE REDUÇÃO, PPR, DN 32 X 25 MM, INSTALADO EM RESERVAÇÃO PREDIAL DE ÁGUA - FORNECIMENTO E INSTALAÇÃO. AF_04/2024</t>
  </si>
  <si>
    <t>BUCHA DE REDUÇÃO, PPR, DN 40 X 25 MM, INSTALADO EM RESERVAÇÃO PREDIAL DE ÁGUA - FORNECIMENTO E INSTALAÇÃO. AF_04/2024</t>
  </si>
  <si>
    <t>BUCHA DE REDUÇÃO PVC, SOLDÁVEL, LONGA, DN 40 X 25 MM, INSTALADO EM RESERVAÇÃO PREDIAL DE ÁGUA - FORNECIMENTO E INSTALAÇÃO. AF_04/2024</t>
  </si>
  <si>
    <t>BUCHA DE REDUÇÃO PVC, SOLDÁVEL, LONGA, DN 50 X 25 MM, INSTALADO EM RESERVAÇÃO PREDIAL DE ÁGUA - FORNECIMENTO E INSTALAÇÃO. AF_04/2024</t>
  </si>
  <si>
    <t>VASO SANITARIO SIFONADO CONVENCIONAL COM LOUÇA BRANCA, INCLUSO CONJUNTO DE LIGAÇÃO PARA BACIA SANITÁRIA AJUSTÁVEL - FORNECIMENTO E INSTALAÇÃO. AF_01/2020</t>
  </si>
  <si>
    <t>HIDRÔMETRO DN 1", 7 M³/H - FORNECIMENTO E INSTALAÇÃO. AF_03/2024</t>
  </si>
  <si>
    <t>HIDRÔMETRO DN 1", 10 M³/H - FORNECIMENTO E INSTALAÇÃO. AF_03/2024</t>
  </si>
  <si>
    <t>HIDRÔMETRO DN 1 1/2", 20 M³/H - FORNECIMENTO E INSTALAÇÃO. AF_03/2024</t>
  </si>
  <si>
    <t>CONJUNTO HIDRÁULICO EM AÇO ROSCÁVEL PARA INSTALAÇÃO DE BOMBA, DN SUCÇÃO 65 MM (2½") E DN RECALQUE 50 MM (2"), PARA EDIFICAÇÃO COM 18 PAVIMENTOS - FORNECIMENTO E INSTALAÇÃO. AF_04/2024</t>
  </si>
  <si>
    <t>CONJUNTO HIDRÁULICO EM AÇO ROSCÁVEL PARA INSTALAÇÃO DE BOMBA, DN SUCÇÃO 50 MM (2") E DN RECALQUE 40 MM (1 1/2"), PARA EDIFICAÇÃO COM 12 PAVIMENTOS - FORNECIMENTO E INSTALAÇÃO. AF_04/2024</t>
  </si>
  <si>
    <t>CONJUNTO HIDRÁULICO EM AÇO ROSCÁVEL PARA INSTALAÇÃO DE BOMBA, DN SUCÇÃO 40 MM (1 1/2") E DN RECALQUE 32 MM (1 1/4"), PARA EDIFICAÇÃO COM 8 PAVIMENTOS - FORNECIMENTO E INSTALAÇÃO. AF_04/2024</t>
  </si>
  <si>
    <t>CONJUNTO HIDRÁULICO EM AÇO ROSCÁVEL PARA INSTALAÇÃO DE BOMBA, DN SUCÇÃO 32 MM (1 1/4") E DN RECALQUE 25 MM (1"), PARA EDIFICAÇÃO COM 4 PAVIMENTOS - FORNECIMENTO E INSTALAÇÃO. AF_04/2024</t>
  </si>
  <si>
    <t>EMBOÇO OU MASSA ÚNICA EM ARGAMASSA INDUSTRIALIZADA, PREPARO MECÂNICO E APLICAÇÃO COM EQUIPAMENTO DE MISTURA E PROJEÇÃO DE 1,5 M3/H, NAS SUPERFÍCIES EXTERNAS DA SACADA, ESPESSURA DE 25 MM, ACESSO POR ANDAIME, SEM USO DE TELA METÁLICA. AF_08/2022</t>
  </si>
  <si>
    <t>EMBOÇO OU MASSA ÚNICA EM ARGAMASSA INDUSTRIALIZADA, PREPARO MECÂNICO E APLICAÇÃO COM EQUIPAMENTO DE MISTURA E PROJEÇÃO DE 1,5 M3/H, NAS SUPERFÍCIES EXTERNAS DA SACADA, ESPESSURA DE 35 MM, ACESSO POR ANDAIME, SEM USO DE TELA METÁLICA. AF_08/2022</t>
  </si>
  <si>
    <t>EMBOÇO OU MASSA ÚNICA EM ARGAMASSA INDUSTRIALIZADA, PREPARO MECÂNICO E APLICAÇÃO COM EQUIPAMENTO DE MISTURA E PROJEÇÃO DE 1,5 M3/H, NAS SUPERFÍCIES EXTERNAS DA SACADA, ESPESSURA DE 45 MM, ACESSO POR ANDAIME, SEM USO DE TELA METÁLICA. AF_08/2022</t>
  </si>
  <si>
    <t>EMBOÇO OU MASSA ÚNICA EM ARGAMASSA INDUSTRIALIZADA, PREPARO MECÂNICO E APLICAÇÃO COM EQUIPAMENTO DE MISTURA E PROJEÇÃO DE 1,5 M3/H, NAS SUPERFÍCIES EXTERNAS DA SACADA, ESPESSURA DE 50 MM, ACESSO POR ANDAIME, SEM USO DE TELA METÁLICA. AF_08/2022</t>
  </si>
  <si>
    <t>REVESTIMENTO DECORATIVO MONOCAMADA EXECUTADO MANUALMENTE EM FACHADA DE UM EDIFÍCIO DE ESTRUTURA CONVENCIONAL E ACABAMENTO CHAPISCADO/FLOCADO. AF_03/2024</t>
  </si>
  <si>
    <t>REVESTIMENTO DECORATIVO MONOCAMADA EXECUTADO MANUALMENTE EM FACHADA DE UM EDIFÍCIO DE ALVENARIA ESTRUTURAL E ACABAMENTO CHAPISCADO/FLOCADO. AF_03/2024</t>
  </si>
  <si>
    <t>REVESTIMENTO DECORATIVO MONOCAMADA EXECUTADO COM EQUIPAMENTO DE PROJEÇÃO EM FACHADA DE UM EDIFÍCIO DE ESTRUTURA CONVENCIONAL E ACABAMENTO CHAPISCADO/FLOCADO. AF_03/2024</t>
  </si>
  <si>
    <t>REVESTIMENTO DECORATIVO MONOCAMADA EXECUTADO COM EQUIPAMENTO DE PROJEÇÃO EM FACHADA DE UM EDIFÍCIO DE ALVENARIA ESTRUTURAL E ACABAMENTO CHAPISCADO/FLOCADO. AF_03/2024</t>
  </si>
  <si>
    <t>ARGAMASSA PARA REVESTIMENTO DECORATIVO MONOCAMADA (MONOCAPA), MISTURA E PROJEÇÃO DE 2 M3/H DE ARGAMASSA. AF_08/2019</t>
  </si>
  <si>
    <t>ARGAMASSA INDUSTRIALIZADA PARA REVESTIMENTOS, MISTURA E PROJEÇÃO DE 2 M³/H DE ARGAMASSA. AF_08/2019</t>
  </si>
  <si>
    <t>ARGAMASSA TRAÇO 1:4 (CIMENTO E AREIA MÉDIA), PREPARO MECÂNICO COM BETONEIRA 400 L. AF_08/2019</t>
  </si>
  <si>
    <t>ARGAMASSA TRAÇO 1:1,93 (EM VOLUME DE CIMENTO E AREIA MÉDIA ÚMIDA), FCK 20MPA, PREPARO MECÂNICO COM MISTURADOR DUPLO HORIZONTAL DE ALTA TURBULÊNCIA. AF_03/2020</t>
  </si>
  <si>
    <t>FECHAMENTO REMOVÍVEL DE ABERTURA NO PISO EM MADEIRA - 1 MONTAGEM EM OBRA. AF_03/2024</t>
  </si>
  <si>
    <t>MONTAGEM E DESMONTAGEM DE ANDAIME TUBULAR TIPO "TORRE" (EXCLUSIVE ANDAIME E LIMPEZA). AF_03/2024</t>
  </si>
  <si>
    <t>RAMPA DE ACESSIBILIDADE EM CONCRETO MOLDADO IN LOCO, EM CALÇADA NOVA COM LARGURA MAIOR OU IGUAL À 3,00 M, FCK 25MPA, COM PISO PODOTÁTIL. AF_03/2024</t>
  </si>
  <si>
    <t>RAMPA DE ACESSIBILIDADE EM CONCRETO MOLDADO IN LOCO, EM CALÇADA PRÉ EXISTENTE COM LARGURA MAIOR OU IGUAL À 3,00 M, FCK 25MPA, COM PISO PODOTÁTIL. AF_03/2024</t>
  </si>
  <si>
    <t>RAMPA DE ACESSIBILIDADE EM CONCRETO MOLDADO IN LOCO, EM CALÇADA NOVA COM LARGURA MENOR À 3,00 M, FCK 25MPA, COM PISO PODOTÁTIL. AF_03/2024</t>
  </si>
  <si>
    <t>RAMPA DE ACESSIBILIDADE EM CONCRETO MOLDADO IN LOCO, EM CALÇADA PRÉ EXISTENTE COM LARGURA MENOR À 3,00 M, FCK 25MPA, COM PISO PODOTÁTIL. AF_03/2024</t>
  </si>
  <si>
    <t>MOVIMENTAÇÃO DE TERRA</t>
  </si>
  <si>
    <t>ESTRUTURA</t>
  </si>
  <si>
    <t>COBERTA</t>
  </si>
  <si>
    <t>ESQUADRIAS</t>
  </si>
  <si>
    <t>PAVIMENTAÇÃO</t>
  </si>
  <si>
    <t>INSTALAÇÕES ELÉTRICAS</t>
  </si>
  <si>
    <t>ESCAVAÇÕES E RASGOS</t>
  </si>
  <si>
    <t>INSTALAÇÕES DE CLIMATIZAÇÃO</t>
  </si>
  <si>
    <t>TUBOS E CONEXÕES</t>
  </si>
  <si>
    <t>APARELHOS</t>
  </si>
  <si>
    <t>DRENO</t>
  </si>
  <si>
    <t>REGISTROS</t>
  </si>
  <si>
    <t>INSTALAÇÕES SANITÁRIAS</t>
  </si>
  <si>
    <t>RALOS E CAIXAS</t>
  </si>
  <si>
    <t>ACESSÓRIOS</t>
  </si>
  <si>
    <t>EMISSÁRIO FINAL</t>
  </si>
  <si>
    <t>INSTALAÇÕES PLUVIAIS</t>
  </si>
  <si>
    <t>INSTALAÇÕES DE COMBATE A INCÊNDIO</t>
  </si>
  <si>
    <t>HIDRANTES E EXTINTORES</t>
  </si>
  <si>
    <t>LUMINÁRIAS DE EMERGÊNCIA</t>
  </si>
  <si>
    <t>ALARMES</t>
  </si>
  <si>
    <t>INSTALAÇÕES SPDA</t>
  </si>
  <si>
    <t>CAIXAS</t>
  </si>
  <si>
    <t>13.1</t>
  </si>
  <si>
    <t>13.1.1</t>
  </si>
  <si>
    <t>13.1.2</t>
  </si>
  <si>
    <t>13.1.3</t>
  </si>
  <si>
    <t>13.1.4</t>
  </si>
  <si>
    <t>13.2</t>
  </si>
  <si>
    <t>13.2.1</t>
  </si>
  <si>
    <t>13.2.2</t>
  </si>
  <si>
    <t>14.1</t>
  </si>
  <si>
    <t>14.2</t>
  </si>
  <si>
    <t>14.1.1</t>
  </si>
  <si>
    <t>14.2.1</t>
  </si>
  <si>
    <t>15.1</t>
  </si>
  <si>
    <t>15.2</t>
  </si>
  <si>
    <t>15.1.1</t>
  </si>
  <si>
    <t>15.1.2</t>
  </si>
  <si>
    <t>15.1.3</t>
  </si>
  <si>
    <t>15.1.4</t>
  </si>
  <si>
    <t>15.1.5</t>
  </si>
  <si>
    <t>15.1.6</t>
  </si>
  <si>
    <t>15.1.7</t>
  </si>
  <si>
    <t>15.1.8</t>
  </si>
  <si>
    <t>15.1.9</t>
  </si>
  <si>
    <t>15.1.10</t>
  </si>
  <si>
    <t>15.1.11</t>
  </si>
  <si>
    <t>15.3</t>
  </si>
  <si>
    <t>15.2.1</t>
  </si>
  <si>
    <t>15.2.2</t>
  </si>
  <si>
    <t>15.2.3</t>
  </si>
  <si>
    <t>15.2.4</t>
  </si>
  <si>
    <t>15.2.5</t>
  </si>
  <si>
    <t>15.3.1</t>
  </si>
  <si>
    <t>16.1</t>
  </si>
  <si>
    <t>16.2</t>
  </si>
  <si>
    <t>16.3</t>
  </si>
  <si>
    <t>16.4</t>
  </si>
  <si>
    <t>16.5</t>
  </si>
  <si>
    <t>17.1</t>
  </si>
  <si>
    <t>17.2</t>
  </si>
  <si>
    <t>17.1.1</t>
  </si>
  <si>
    <t>17.1.2</t>
  </si>
  <si>
    <t>17.1.3</t>
  </si>
  <si>
    <t>17.1.4</t>
  </si>
  <si>
    <t>17.1.5</t>
  </si>
  <si>
    <t>17.1.6</t>
  </si>
  <si>
    <t>17.1.7</t>
  </si>
  <si>
    <t>17.2.1</t>
  </si>
  <si>
    <t>17.2.2</t>
  </si>
  <si>
    <t>17.2.3</t>
  </si>
  <si>
    <t>17.2.4</t>
  </si>
  <si>
    <t>17.2.5</t>
  </si>
  <si>
    <t>17.2.6</t>
  </si>
  <si>
    <t>18.1</t>
  </si>
  <si>
    <t>18.1.1</t>
  </si>
  <si>
    <t>18.1.2</t>
  </si>
  <si>
    <t>18.2</t>
  </si>
  <si>
    <t>18.2.1</t>
  </si>
  <si>
    <t>18.3</t>
  </si>
  <si>
    <t>18.3.1</t>
  </si>
  <si>
    <t>18.3.2</t>
  </si>
  <si>
    <t>18.3.3</t>
  </si>
  <si>
    <t>19.1</t>
  </si>
  <si>
    <t>19.2</t>
  </si>
  <si>
    <t>COEF.</t>
  </si>
  <si>
    <t>PREÇO</t>
  </si>
  <si>
    <t>TOTAL</t>
  </si>
  <si>
    <t>MAO DE OBRA</t>
  </si>
  <si>
    <t>TOTAL MAO DE OBRA</t>
  </si>
  <si>
    <t>MATERIAIS</t>
  </si>
  <si>
    <t>TOTAL MATERIAIS</t>
  </si>
  <si>
    <t>Total Simples</t>
  </si>
  <si>
    <t>Encargos</t>
  </si>
  <si>
    <t>INCLUSOS</t>
  </si>
  <si>
    <t>BDI</t>
  </si>
  <si>
    <t>TOTAL GERAL</t>
  </si>
  <si>
    <t>FONTE</t>
  </si>
  <si>
    <t>TOTAL (R$)</t>
  </si>
  <si>
    <t>LEROY MERLIN - PROPOSTA 02 (R$)</t>
  </si>
  <si>
    <t>AMAZON - PROPOSTA 03 (R$)</t>
  </si>
  <si>
    <t>LUMINÁRIA TIPO PLAFON REDONDA, DE EMBUTIR, COM LED DE 18 W - FORNECIMENTO E INSTALAÇÃO</t>
  </si>
  <si>
    <t>LUMINÁRIA TIPO PLAFON REDONDA, DE EMBUTIR, COM LED DE 18 W</t>
  </si>
  <si>
    <t>MERCADO LIVRE - PROPOSTA 01 (R$)</t>
  </si>
  <si>
    <t>RALO SEMIESFÉRICO 100 MM FORNECIDO E INSTALADO EM RAMAIS DE ENCAMINHAMENTO DE ÁGUA PLUVIAL</t>
  </si>
  <si>
    <t>RALO SEMIESFÉRICO 100 MM</t>
  </si>
  <si>
    <t>VESUVIO - PROPOSTA 02 (R$)</t>
  </si>
  <si>
    <t>AMERICANAS - PROPOSTA 03 (R$)</t>
  </si>
  <si>
    <t>PLACA DE SINALIZACAO DE SEGURANCA CONTRA INCENDIO, FOTOLUMINESCENTE, QUADRADA, *20 X 20* CM, EM PVC *2* MM ANTI-CHAMAS (SIMBOLOS, CORES E PICTOGRAMAS CONFORME NBR 16820)</t>
  </si>
  <si>
    <t>PLACA DE SINALIZACAO DE SEGURANCA CONTRA INCENDIO, FOTOLUMINESCENTE, RETANGULAR, *13 X 26* CM, EM PVC MM ANTI-CHAMAS (SIMBOLOS, CORES E PICTOGRAMAS CONFORME NBR 16820)</t>
  </si>
  <si>
    <t>PAVIMENTAÇÃO EXTERNA</t>
  </si>
  <si>
    <t>PAVIMENTAÇÃO INTERNA</t>
  </si>
  <si>
    <t>REVESTIMENTO</t>
  </si>
  <si>
    <t>REVESTIMENTO EM PAREDE</t>
  </si>
  <si>
    <t>REVESTIMENTO EM TETO</t>
  </si>
  <si>
    <t>UNID:</t>
  </si>
  <si>
    <t>UNID.</t>
  </si>
  <si>
    <t>PREÇO UNIT. (R$)</t>
  </si>
  <si>
    <t>PREÇO TOTAL (R$)</t>
  </si>
  <si>
    <t>PORTA EM MADEIRA DE LEI COMPLETA DE ABRIR (1.00X1.60)m</t>
  </si>
  <si>
    <t>PORTA EM MADEIRA DE LEI COMPLETA DE ABRIR (1.20X2.00)m</t>
  </si>
  <si>
    <t>PORTA EM MADEIRA DE LEI COMPLETA DE CORRER (1.50X2.00)m</t>
  </si>
  <si>
    <t>PORTA EM MADEIRA DE LEI COMPLETA DE ABRIR (2.00X1.60)m</t>
  </si>
  <si>
    <t>PORTA EM MADEIRA DE LEI COMPLETA DE ABRIR (1.20X1.60)m</t>
  </si>
  <si>
    <t>COMP. 02</t>
  </si>
  <si>
    <t>COMP. 03</t>
  </si>
  <si>
    <t>COMP. 04</t>
  </si>
  <si>
    <t>COMP. 05</t>
  </si>
  <si>
    <t>COMP. 06</t>
  </si>
  <si>
    <t>COMP. 08</t>
  </si>
  <si>
    <t>COMP. 09</t>
  </si>
  <si>
    <t>COMP. 10</t>
  </si>
  <si>
    <t>COMP. 11</t>
  </si>
  <si>
    <t>JANELA TIPO GUILHOTINA EM ALUMÍNIO ANODIZADO, INCLUSIVE VIDRO</t>
  </si>
  <si>
    <t>SERVIÇOS</t>
  </si>
  <si>
    <t>TOTAL SERVIÇOS</t>
  </si>
  <si>
    <t>COMP. 12</t>
  </si>
  <si>
    <t>COBOGÓS</t>
  </si>
  <si>
    <t>LOUÇAS E METAIS</t>
  </si>
  <si>
    <t>PINTURA EM PAREDE</t>
  </si>
  <si>
    <t>PINTURA EM TETO</t>
  </si>
  <si>
    <t>PINTURA EM ESQUADRIA</t>
  </si>
  <si>
    <t>SERVIÇOS FINAIS / DIVERSOS</t>
  </si>
  <si>
    <t>BRISE METÁLICA, INCLUSIVE PINTURA</t>
  </si>
  <si>
    <t>MÃO DE OBRA</t>
  </si>
  <si>
    <t>TOTAL MÃO DE OBRA</t>
  </si>
  <si>
    <t>1.1</t>
  </si>
  <si>
    <t>1.2</t>
  </si>
  <si>
    <t>VEDAÇÕES E DIVISÓRIAS</t>
  </si>
  <si>
    <t>6.1</t>
  </si>
  <si>
    <t>6.1.1</t>
  </si>
  <si>
    <t>6.1.2</t>
  </si>
  <si>
    <t>6.1.3</t>
  </si>
  <si>
    <t>6.1.4</t>
  </si>
  <si>
    <t>6.2</t>
  </si>
  <si>
    <t>6.2.1</t>
  </si>
  <si>
    <t>6.2.2</t>
  </si>
  <si>
    <t>6.3</t>
  </si>
  <si>
    <t>6.3.1</t>
  </si>
  <si>
    <t>6.3.2</t>
  </si>
  <si>
    <t>6.3.3</t>
  </si>
  <si>
    <t>6.3.4</t>
  </si>
  <si>
    <t>7.1</t>
  </si>
  <si>
    <t>7.1.1</t>
  </si>
  <si>
    <t>7.2</t>
  </si>
  <si>
    <t>7.2.1</t>
  </si>
  <si>
    <t>7.3</t>
  </si>
  <si>
    <t>7.3.1</t>
  </si>
  <si>
    <t>7.3.2</t>
  </si>
  <si>
    <t>8.1</t>
  </si>
  <si>
    <t>8.1.1</t>
  </si>
  <si>
    <t>8.1.2</t>
  </si>
  <si>
    <t>8.1.3</t>
  </si>
  <si>
    <t>8.1.4</t>
  </si>
  <si>
    <t>8.1.5</t>
  </si>
  <si>
    <t>8.1.6</t>
  </si>
  <si>
    <t>8.1.7</t>
  </si>
  <si>
    <t>8.1.8</t>
  </si>
  <si>
    <t>8.1.9</t>
  </si>
  <si>
    <t>8.1.10</t>
  </si>
  <si>
    <t>8.1.11</t>
  </si>
  <si>
    <t>8.1.12</t>
  </si>
  <si>
    <t>8.1.13</t>
  </si>
  <si>
    <t>8.1.14</t>
  </si>
  <si>
    <t>8.1.15</t>
  </si>
  <si>
    <t>8.1.16</t>
  </si>
  <si>
    <t>8.2</t>
  </si>
  <si>
    <t>8.2.1</t>
  </si>
  <si>
    <t>8.2.2</t>
  </si>
  <si>
    <t>8.2.3</t>
  </si>
  <si>
    <t>8.2.4</t>
  </si>
  <si>
    <t>8.2.5</t>
  </si>
  <si>
    <t>8.2.6</t>
  </si>
  <si>
    <t>8.3</t>
  </si>
  <si>
    <t>8.3.1</t>
  </si>
  <si>
    <t>9.1</t>
  </si>
  <si>
    <t>9.1.1</t>
  </si>
  <si>
    <t>9.1.2</t>
  </si>
  <si>
    <t>9.1.3</t>
  </si>
  <si>
    <t>9.1.4</t>
  </si>
  <si>
    <t>9.1.5</t>
  </si>
  <si>
    <t>9.1.6</t>
  </si>
  <si>
    <t>9.1.7</t>
  </si>
  <si>
    <t>9.1.8</t>
  </si>
  <si>
    <t>9.1.9</t>
  </si>
  <si>
    <t>9.1.10</t>
  </si>
  <si>
    <t>9.1.11</t>
  </si>
  <si>
    <t>9.1.12</t>
  </si>
  <si>
    <t>9.1.13</t>
  </si>
  <si>
    <t>9.1.14</t>
  </si>
  <si>
    <t>9.1.15</t>
  </si>
  <si>
    <t>9.1.16</t>
  </si>
  <si>
    <t>9.1.17</t>
  </si>
  <si>
    <t>9.1.18</t>
  </si>
  <si>
    <t>9.1.19</t>
  </si>
  <si>
    <t>9.2</t>
  </si>
  <si>
    <t>9.2.1</t>
  </si>
  <si>
    <t>9.2.2</t>
  </si>
  <si>
    <t>9.2.3</t>
  </si>
  <si>
    <t>9.2.4</t>
  </si>
  <si>
    <t>9.2.5</t>
  </si>
  <si>
    <t>9.2.6</t>
  </si>
  <si>
    <t>9.2.7</t>
  </si>
  <si>
    <t>9.2.8</t>
  </si>
  <si>
    <t>9.2.9</t>
  </si>
  <si>
    <t>9.2.10</t>
  </si>
  <si>
    <t>9.3</t>
  </si>
  <si>
    <t>9.3.1</t>
  </si>
  <si>
    <t>9.3.2</t>
  </si>
  <si>
    <t>9.3.3</t>
  </si>
  <si>
    <t>9.4</t>
  </si>
  <si>
    <t>9.4.1</t>
  </si>
  <si>
    <t>9.4.2</t>
  </si>
  <si>
    <t>9.5</t>
  </si>
  <si>
    <t>9.5.1</t>
  </si>
  <si>
    <t>9.5.2</t>
  </si>
  <si>
    <t>9.5.3</t>
  </si>
  <si>
    <t>10.1</t>
  </si>
  <si>
    <t>10.1.1</t>
  </si>
  <si>
    <t>10.1.2</t>
  </si>
  <si>
    <t>10.1.3</t>
  </si>
  <si>
    <t>10.1.4</t>
  </si>
  <si>
    <t>10.1.5</t>
  </si>
  <si>
    <t>10.1.6</t>
  </si>
  <si>
    <t>10.1.7</t>
  </si>
  <si>
    <t>10.2</t>
  </si>
  <si>
    <t>10.2.1</t>
  </si>
  <si>
    <t>10.2.2</t>
  </si>
  <si>
    <t>10.2.3</t>
  </si>
  <si>
    <t>10.2.4</t>
  </si>
  <si>
    <t>10.2.5</t>
  </si>
  <si>
    <t>10.2.6</t>
  </si>
  <si>
    <t>10.3</t>
  </si>
  <si>
    <t>10.3.1</t>
  </si>
  <si>
    <t>10.3.2</t>
  </si>
  <si>
    <t>11.1</t>
  </si>
  <si>
    <t>11.1.1</t>
  </si>
  <si>
    <t>11.1.2</t>
  </si>
  <si>
    <t>11.2</t>
  </si>
  <si>
    <t>11.2.1</t>
  </si>
  <si>
    <t>11.3</t>
  </si>
  <si>
    <t>11.3.1</t>
  </si>
  <si>
    <t>11.3.2</t>
  </si>
  <si>
    <t>11.3.3</t>
  </si>
  <si>
    <t>11.4</t>
  </si>
  <si>
    <t>11.4.1</t>
  </si>
  <si>
    <t>11.4.2</t>
  </si>
  <si>
    <t>11.5</t>
  </si>
  <si>
    <t>11.5.1</t>
  </si>
  <si>
    <t>11.5.2</t>
  </si>
  <si>
    <t>11.6</t>
  </si>
  <si>
    <t>11.6.1</t>
  </si>
  <si>
    <t>11.6.2</t>
  </si>
  <si>
    <t>11.6.3</t>
  </si>
  <si>
    <t>11.7</t>
  </si>
  <si>
    <t>11.7.1</t>
  </si>
  <si>
    <t>11.8</t>
  </si>
  <si>
    <t>11.8.1</t>
  </si>
  <si>
    <t>11.8.2</t>
  </si>
  <si>
    <t>12.1</t>
  </si>
  <si>
    <t>12.1.1</t>
  </si>
  <si>
    <t>12.1.2</t>
  </si>
  <si>
    <t>12.1.3</t>
  </si>
  <si>
    <t>12.1.4</t>
  </si>
  <si>
    <t>12.2</t>
  </si>
  <si>
    <t>12.2.1</t>
  </si>
  <si>
    <t>12.2.2</t>
  </si>
  <si>
    <t>12.3</t>
  </si>
  <si>
    <t>12.3.1</t>
  </si>
  <si>
    <t>12.3.2</t>
  </si>
  <si>
    <t>12.3.3</t>
  </si>
  <si>
    <t>13.1.5</t>
  </si>
  <si>
    <t>13.2.3</t>
  </si>
  <si>
    <t>13.2.4</t>
  </si>
  <si>
    <t>13.2.5</t>
  </si>
  <si>
    <t>13.2.6</t>
  </si>
  <si>
    <t>13.2.7</t>
  </si>
  <si>
    <t>13.2.8</t>
  </si>
  <si>
    <t>13.2.9</t>
  </si>
  <si>
    <t>13.2.10</t>
  </si>
  <si>
    <t>14.1.2</t>
  </si>
  <si>
    <t>14.1.3</t>
  </si>
  <si>
    <t>14.1.4</t>
  </si>
  <si>
    <t>14.1.5</t>
  </si>
  <si>
    <t>14.1.6</t>
  </si>
  <si>
    <t>14.1.7</t>
  </si>
  <si>
    <t>14.1.8</t>
  </si>
  <si>
    <t>14.2.2</t>
  </si>
  <si>
    <t>14.2.3</t>
  </si>
  <si>
    <t>16.6</t>
  </si>
  <si>
    <t>16.7</t>
  </si>
  <si>
    <t>16.8</t>
  </si>
  <si>
    <t>17.1.8</t>
  </si>
  <si>
    <t>17.1.9</t>
  </si>
  <si>
    <t>17.1.10</t>
  </si>
  <si>
    <t>18.1.3</t>
  </si>
  <si>
    <t>18.2.2</t>
  </si>
  <si>
    <t>18.3.4</t>
  </si>
  <si>
    <t>2.1</t>
  </si>
  <si>
    <t>2.2</t>
  </si>
  <si>
    <t>2.3</t>
  </si>
  <si>
    <t>2.4</t>
  </si>
  <si>
    <t>3.1</t>
  </si>
  <si>
    <t>3.2</t>
  </si>
  <si>
    <t>3.3</t>
  </si>
  <si>
    <t>3.4</t>
  </si>
  <si>
    <t>3.5</t>
  </si>
  <si>
    <t>3.6</t>
  </si>
  <si>
    <t>2.5</t>
  </si>
  <si>
    <t>FÔRMAS</t>
  </si>
  <si>
    <t>ARMADURA</t>
  </si>
  <si>
    <t>CONCRETO</t>
  </si>
  <si>
    <t>4.1</t>
  </si>
  <si>
    <t>4.2</t>
  </si>
  <si>
    <t>4.3</t>
  </si>
  <si>
    <t>4.3.1</t>
  </si>
  <si>
    <t>4.3.2</t>
  </si>
  <si>
    <t>4.3.3</t>
  </si>
  <si>
    <t>4.1.1</t>
  </si>
  <si>
    <t>4.1.2</t>
  </si>
  <si>
    <t>4.1.3</t>
  </si>
  <si>
    <t>4.2.1</t>
  </si>
  <si>
    <t>4.2.2</t>
  </si>
  <si>
    <t>4.2.3</t>
  </si>
  <si>
    <t>5.1</t>
  </si>
  <si>
    <t>5.2</t>
  </si>
  <si>
    <t>5.3</t>
  </si>
  <si>
    <t>5.4</t>
  </si>
  <si>
    <t>CERCA EM MADEIRA</t>
  </si>
  <si>
    <t>5.5</t>
  </si>
  <si>
    <t>EXECUÇÃO DE REVESTIMENTO DE CONCRETO PROJETADO COM ESPESSURA DE 7 CM, ARMADO COM TELA, INCLINAÇÃO MENOR QUE 90°, APLICAÇÃO CONTÍNUA, UTILIZANDO EQUIPAMENTO DE PROJEÇÃO COM 6 M³/H DE CAPACIDADE. AF_07/2024</t>
  </si>
  <si>
    <t>EXECUÇÃO DE REVESTIMENTO DE CONCRETO PROJETADO COM ESPESSURA DE 10 CM, ARMADO COM TELA, INCLINAÇÃO MENOR QUE 90°, APLICAÇÃO CONTÍNUA, UTILIZANDO EQUIPAMENTO DE PROJEÇÃO COM 6 M³/H DE CAPACIDADE. AF_07/2024</t>
  </si>
  <si>
    <t>EXECUÇÃO DE REVESTIMENTO DE CONCRETO PROJETADO COM ESPESSURA DE 7 CM, ARMADO COM TELA, INCLINAÇÃO DE 90°, APLICAÇÃO CONTÍNUA, UTILIZANDO EQUIPAMENTO DE PROJEÇÃO COM 6 M³/H DE CAPACIDADE. AF_07/2024</t>
  </si>
  <si>
    <t>EXECUÇÃO DE REVESTIMENTO DE CONCRETO PROJETADO COM ESPESSURA DE 10 CM, ARMADO COM TELA, INCLINAÇÃO DE 90°, APLICAÇÃO CONTÍNUA, UTILIZANDO EQUIPAMENTO DE PROJEÇÃO COM 6 M³/H DE CAPACIDADE. AF_07/2024</t>
  </si>
  <si>
    <t>EXECUÇÃO DE REVESTIMENTO DE CONCRETO PROJETADO COM ESPESSURA DE 7 CM, ARMADO COM TELA, INCLINAÇÃO MENOR QUE 90°, APLICAÇÃO CONTÍNUA, UTILIZANDO EQUIPAMENTO DE PROJEÇÃO COM 3 M³/H DE CAPACIDADE. AF_07/2024</t>
  </si>
  <si>
    <t>EXECUÇÃO DE REVESTIMENTO DE CONCRETO PROJETADO COM ESPESSURA DE 10 CM, ARMADO COM TELA, INCLINAÇÃO MENOR QUE 90°, APLICAÇÃO CONTÍNUA, UTILIZANDO EQUIPAMENTO DE PROJEÇÃO COM 3 M³/H DE CAPACIDADE. AF_07/2024</t>
  </si>
  <si>
    <t>EXECUÇÃO DE REVESTIMENTO DE CONCRETO PROJETADO COM ESPESSURA DE 7 CM, ARMADO COM TELA, INCLINAÇÃO DE 90°, APLICAÇÃO CONTÍNUA, UTILIZANDO EQUIPAMENTO DE PROJEÇÃO COM 3 M³/H DE CAPACIDADE. AF_07/2024</t>
  </si>
  <si>
    <t>EXECUÇÃO DE REVESTIMENTO DE CONCRETO PROJETADO COM ESPESSURA DE 10 CM, ARMADO COM TELA, INCLINAÇÃO DE 90°, APLICAÇÃO CONTÍNUA, UTILIZANDO EQUIPAMENTO DE PROJEÇÃO COM 3 M³/H DE CAPACIDADE. AF_07/2024</t>
  </si>
  <si>
    <t>EXECUÇÃO DE REVESTIMENTO DE CONCRETO PROJETADO COM ESPESSURA DE 7 CM, ARMADO COM FIBRAS DE AÇO, INCLINAÇÃO MENOR QUE 90°, APLICAÇÃO CONTÍNUA, UTILIZANDO EQUIPAMENTO DE PROJEÇÃO COM 6 M³/H DE CAPACIDADE. AF_07/2024</t>
  </si>
  <si>
    <t>EXECUÇÃO DE REVESTIMENTO DE CONCRETO PROJETADO COM ESPESSURA DE 10 CM, ARMADO COM FIBRAS DE AÇO, INCLINAÇÃO MENOR QUE 90°, APLICAÇÃO CONTÍNUA, UTILIZANDO EQUIPAMENTO DE PROJEÇÃO COM 6 M³/H DE CAPACIDADE. AF_07/2024</t>
  </si>
  <si>
    <t>EXECUÇÃO DE REVESTIMENTO DE CONCRETO PROJETADO COM ESPESSURA DE 7 CM, ARMADO COM FIBRAS DE AÇO, INCLINAÇÃO DE 90°, APLICAÇÃO CONTÍNUA, UTILIZANDO EQUIPAMENTO DE PROJEÇÃO COM 6 M³/H DE CAPACIDADE. AF_07/2024</t>
  </si>
  <si>
    <t>EXECUÇÃO DE REVESTIMENTO DE CONCRETO PROJETADO COM ESPESSURA DE 10 CM, ARMADO COM FIBRAS DE AÇO, INCLINAÇÃO DE 90°, APLICAÇÃO CONTÍNUA, UTILIZANDO EQUIPAMENTO DE PROJEÇÃO COM 6 M³/H DE CAPACIDADE. AF_07/2024</t>
  </si>
  <si>
    <t>EXECUÇÃO DE REVESTIMENTO DE CONCRETO PROJETADO COM ESPESSURA DE 7 CM, ARMADO COM FIBRAS DE AÇO, INCLINAÇÃO MENOR QUE 90°, APLICAÇÃO CONTÍNUA, UTILIZANDO EQUIPAMENTO DE PROJEÇÃO COM 3 M³/H DE CAPACIDADE. AF_07/2024</t>
  </si>
  <si>
    <t>EXECUÇÃO DE REVESTIMENTO DE CONCRETO PROJETADO COM ESPESSURA DE 10 CM, ARMADO COM FIBRAS DE AÇO, INCLINAÇÃO MENOR QUE 90°, APLICAÇÃO CONTÍNUA, UTILIZANDO EQUIPAMENTO DE PROJEÇÃO COM 3 M³/H DE CAPACIDADE. AF_07/2024</t>
  </si>
  <si>
    <t>EXECUÇÃO DE REVESTIMENTO DE CONCRETO PROJETADO COM ESPESSURA DE 7 CM, ARMADO COM FIBRAS DE AÇO, INCLINAÇÃO DE 90°, APLICAÇÃO CONTÍNUA, UTILIZANDO EQUIPAMENTO DE PROJEÇÃO COM 3 M³/H DE CAPACIDADE. AF_07/2024</t>
  </si>
  <si>
    <t>EXECUÇÃO DE REVESTIMENTO DE CONCRETO PROJETADO COM ESPESSURA DE 10 CM, ARMADO COM FIBRAS DE AÇO, INCLINAÇÃO DE 90°, APLICAÇÃO CONTÍNUA, UTILIZANDO EQUIPAMENTO DE PROJEÇÃO COM 3 M³/H DE CAPACIDADE. AF_07/2024</t>
  </si>
  <si>
    <t>EXECUÇÃO DE REVESTIMENTO DE CONCRETO PROJETADO COM ESPESSURA DE 7 CM, ARMADO COM TELA, INCLINAÇÃO MENOR QUE 90°, APLICAÇÃO DESCONTÍNUA, UTILIZANDO EQUIPAMENTO DE PROJEÇÃO COM 6 M³/H DE CAPACIDADE. AF_07/2024</t>
  </si>
  <si>
    <t>EXECUÇÃO DE REVESTIMENTO DE CONCRETO PROJETADO COM ESPESSURA DE 10 CM, ARMADO COM TELA, INCLINAÇÃO MENOR QUE 90°, APLICAÇÃO DESCONTÍNUA, UTILIZANDO EQUIPAMENTO DE PROJEÇÃO COM 6 M³/H DE CAPACIDADE. AF_07/2024</t>
  </si>
  <si>
    <t>EXECUÇÃO DE REVESTIMENTO DE CONCRETO PROJETADO COM ESPESSURA DE 7 CM, ARMADO COM TELA, INCLINAÇÃO DE 90°, APLICAÇÃO DESCONTÍNUA, UTILIZANDO EQUIPAMENTO DE PROJEÇÃO COM 6 M³/H DE CAPACIDADE. AF_07/2024</t>
  </si>
  <si>
    <t>EXECUÇÃO DE REVESTIMENTO DE CONCRETO PROJETADO COM ESPESSURA DE 10 CM, ARMADO COM TELA, INCLINAÇÃO DE 90°, APLICAÇÃO DESCONTÍNUA, UTILIZANDO EQUIPAMENTO DE PROJEÇÃO COM 6 M³/H DE CAPACIDADE. AF_07/2024</t>
  </si>
  <si>
    <t>EXECUÇÃO DE REVESTIMENTO DE CONCRETO PROJETADO COM ESPESSURA DE 7 CM, ARMADO COM TELA, INCLINAÇÃO MENOR QUE 90°, APLICAÇÃO DESCONTÍNUA, UTILIZANDO EQUIPAMENTO DE PROJEÇÃO COM 3 M³/H DE CAPACIDADE. AF_07/2024</t>
  </si>
  <si>
    <t>EXECUÇÃO DE REVESTIMENTO DE CONCRETO PROJETADO COM ESPESSURA DE 10 CM, ARMADO COM TELA, INCLINAÇÃO MENOR QUE 90°, APLICAÇÃO DESCONTÍNUA, UTILIZANDO EQUIPAMENTO DE PROJEÇÃO COM 3 M³/H DE CAPACIDADE. AF_07/2024</t>
  </si>
  <si>
    <t>EXECUÇÃO DE REVESTIMENTO DE CONCRETO PROJETADO COM ESPESSURA DE 7 CM, ARMADO COM TELA, INCLINAÇÃO DE 90°, APLICAÇÃO DESCONTÍNUA, UTILIZANDO EQUIPAMENTO DE PROJEÇÃO COM 3 M³/H DE CAPACIDADE. AF_07/2024</t>
  </si>
  <si>
    <t>EXECUÇÃO DE REVESTIMENTO DE CONCRETO PROJETADO COM ESPESSURA DE 10 CM, ARMADO COM TELA, INCLINAÇÃO DE 90°, APLICAÇÃO DESCONTÍNUA, UTILIZANDO EQUIPAMENTO DE PROJEÇÃO COM 3 M³/H DE CAPACIDADE. AF_07/2024</t>
  </si>
  <si>
    <t>EXECUÇÃO DE REVESTIMENTO DE CONCRETO PROJETADO COM ESPESSURA DE 7 CM, ARMADO COM FIBRAS DE AÇO, INCLINAÇÃO MENOR QUE 90°, APLICAÇÃO DESCONTÍNUA, UTILIZANDO EQUIPAMENTO DE PROJEÇÃO COM 6 M³/H DE CAPACIDADE. AF_07/2024</t>
  </si>
  <si>
    <t>EXECUÇÃO DE REVESTIMENTO DE CONCRETO PROJETADO COM ESPESSURA DE 10 CM, ARMADO COM FIBRAS DE AÇO, INCLINAÇÃO MENOR QUE 90°, APLICAÇÃO DESCONTÍNUA, UTILIZANDO EQUIPAMENTO DE PROJEÇÃO COM 6 M³/H DE CAPACIDADE. AF_07/2024</t>
  </si>
  <si>
    <t>EXECUÇÃO DE REVESTIMENTO DE CONCRETO PROJETADO COM ESPESSURA DE 7 CM, ARMADO COM FIBRAS DE AÇO, INCLINAÇÃO DE 90°, APLICAÇÃO DESCONTÍNUA, UTILIZANDO EQUIPAMENTO DE PROJEÇÃO COM 6 M³/H DE CAPACIDADE. AF_07/2024</t>
  </si>
  <si>
    <t>EXECUÇÃO DE REVESTIMENTO DE CONCRETO PROJETADO COM ESPESSURA DE 10 CM, ARMADO COM FIBRAS DE AÇO, INCLINAÇÃO DE 90°, APLICAÇÃO DESCONTÍNUA, UTILIZANDO EQUIPAMENTO DE PROJEÇÃO COM 6 M³/H DE CAPACIDADE. AF_07/2024</t>
  </si>
  <si>
    <t>EXECUÇÃO DE REVESTIMENTO DE CONCRETO PROJETADO COM ESPESSURA DE 7 CM, ARMADO COM FIBRAS DE AÇO, INCLINAÇÃO MENOR QUE 90°, APLICAÇÃO DESCONTÍNUA, UTILIZANDO EQUIPAMENTO DE PROJEÇÃO COM 3 M³/H DE CAPACIDADE. AF_07/2024</t>
  </si>
  <si>
    <t>EXECUÇÃO DE REVESTIMENTO DE CONCRETO PROJETADO COM ESPESSURA DE 10 CM, ARMADO COM FIBRAS DE AÇO, INCLINAÇÃO MENOR QUE 90°, APLICAÇÃO DESCONTÍNUA, UTILIZANDO EQUIPAMENTO DE PROJEÇÃO COM 3 M³/H DE CAPACIDADE. AF_07/2024</t>
  </si>
  <si>
    <t>EXECUÇÃO DE REVESTIMENTO DE CONCRETO PROJETADO COM ESPESSURA DE 7 CM, ARMADO COM FIBRAS DE AÇO, INCLINAÇÃO DE 90°, APLICAÇÃO DESCONTÍNUA, UTILIZANDO EQUIPAMENTO DE PROJEÇÃO COM 3 M³/H DE CAPACIDADE. AF_07/2024</t>
  </si>
  <si>
    <t>EXECUÇÃO DE REVESTIMENTO DE CONCRETO PROJETADO COM ESPESSURA DE 10 CM, ARMADO COM FIBRAS DE AÇO, INCLINAÇÃO DE 90°, APLICAÇÃO DESCONTÍNUA, UTILIZANDO EQUIPAMENTO DE PROJEÇÃO COM 3 M³/H DE CAPACIDADE. AF_07/2024</t>
  </si>
  <si>
    <t>EXECUÇÃO DE GRAMPO PARA SOLO GRAMPEADO COM COMPRIMENTO MENOR OU IGUAL A 6 M, DIÂMETRO DE 10 CM, PERFURAÇÃO COM EQUIPAMENTO MANUAL E ARMADURA COM DIÂMETRO DE 20 MM. AF_07/2024</t>
  </si>
  <si>
    <t>EXECUÇÃO DE GRAMPO PARA SOLO GRAMPEADO COM COMPRIMENTO MAIOR QUE 6 M E MENOR OU IGUAL A 10 M, DIÂMETRO DE 10 CM, PERFURAÇÃO COM EQUIPAMENTO MANUAL E ARMADURA COM DIÂMETRO DE 20 MM. AF_07/2024</t>
  </si>
  <si>
    <t>EXECUÇÃO DE GRAMPO PARA SOLO GRAMPEADO COM COMPRIMENTO MAIOR QUE 10 M, DIÂMETRO DE 10 CM, PERFURAÇÃO COM EQUIPAMENTO MANUAL E ARMADURA COM DIÂMETRO DE 20 MM. AF_07/2024</t>
  </si>
  <si>
    <t>EXECUÇÃO DE GRAMPO PARA SOLO GRAMPEADO COM COMPRIMENTO MENOR OU IGUAL A 6 M, DIÂMETRO DE 7 CM, PERFURAÇÃO COM EQUIPAMENTO MANUAL E ARMADURA COM DIÂMETRO DE 20 MM. AF_07/2024</t>
  </si>
  <si>
    <t>EXECUÇÃO DE GRAMPO PARA SOLO GRAMPEADO COM COMPRIMENTO MAIOR QUE 6 M E MENOR OU IGUAL A 10 M, DIÂMETRO DE 7 CM, PERFURAÇÃO COM EQUIPAMENTO MANUAL E ARMADURA COM DIÂMETRO DE 20 MM. AF_07/2024</t>
  </si>
  <si>
    <t>CONCRETAGEM DE EDIFICAÇÕES (PAREDES E LAJES) FEITAS COM SISTEMA DE FÔRMAS MANUSEÁVEIS, COM CONCRETO USINADO AUTOADENSÁVEL FCK 25 MPA - LANÇAMENTO E ACABAMENTO. AF_09/2024</t>
  </si>
  <si>
    <t>CONCRETAGEM DE LAJES EM EDIFICAÇÕES UNIFAMILIARES FEITAS COM SISTEMA DE FÔRMAS MANUSEÁVEIS, COM CONCRETO USINADO BOMBEÁVEL FCK 25 MPA - LANÇAMENTO, ADENSAMENTO E ACABAMENTO. AF_09/2024</t>
  </si>
  <si>
    <t>CONCRETAGEM DE PAREDES EM EDIFICAÇÕES UNIFAMILIARES FEITAS COM SISTEMA DE FÔRMAS MANUSEÁVEIS, COM CONCRETO USINADO BOMBEÁVEL FCK 25 MPA - LANÇAMENTO, ADENSAMENTO E ACABAMENTO. AF_09/2024</t>
  </si>
  <si>
    <t>CONCRETAGEM DE PLATIBANDA EM EDIFICAÇÕES UNIFAMILIARES FEITAS COM SISTEMA DE FÔRMAS MANUSEÁVEIS, COM CONCRETO USINADO BOMBEÁVEL FCK 25 MPA - LANÇAMENTO, ADENSAMENTO E ACABAMENTO. AF_09/2024</t>
  </si>
  <si>
    <t>CONCRETAGEM DE LAJES EM EDIFICAÇÕES MULTIFAMILIARES FEITAS COM SISTEMA DE FÔRMAS MANUSEÁVEIS, COM CONCRETO USINADO BOMBEÁVEL FCK 25 MPA - LANÇAMENTO, ADENSAMENTO E ACABAMENTO. AF_09/2024</t>
  </si>
  <si>
    <t>CONCRETAGEM DE PAREDES EM EDIFICAÇÕES MULTIFAMILIARES FEITAS COM SISTEMA DE FÔRMAS MANUSEÁVEIS, COM CONCRETO USINADO BOMBEÁVEL FCK 25 MPA - LANÇAMENTO, ADENSAMENTO E ACABAMENTO. AF_09/2024</t>
  </si>
  <si>
    <t>CONCRETAGEM DE PLATIBANDA EM EDIFICAÇÕES MULTIFAMILIARES FEITAS COM SISTEMA DE FÔRMAS MANUSEÁVEIS, COM CONCRETO USINADO BOMBEÁVEL FCK 25 MPA - LANÇAMENTO, ADENSAMENTO E ACABAMENTO. AF_09/2024</t>
  </si>
  <si>
    <t>CONCRETAGEM DE PLATIBANDA EM EDIFICAÇÕES MULTIFAMILIARES FEITAS COM SISTEMA DE FÔRMAS MANUSEÁVEIS, COM CONCRETO USINADO AUTOADENSÁVEL FCK 25 MPA - LANÇAMENTO E ACABAMENTO. AF_09/2024</t>
  </si>
  <si>
    <t>CONCRETAGEM DE PLATIBANDA EM EDIFICAÇÕES UNIFAMILIARES FEITAS COM SISTEMA DE FÔRMAS MANUSEÁVEIS, COM CONCRETO USINADO AUTOADENSÁVEL FCK 25 MPA - LANÇAMENTO E ACABAMENTO. AF_09/2024</t>
  </si>
  <si>
    <t>CONCRETAGEM DE EDIFICAÇÕES (PAREDES E LAJES) FEITAS COM SISTEMA DE FÔRMAS MANUSEÁVEIS, COM CONCRETO USINADO BOMBEÁVEL FCK 25 MPA - LANÇAMENTO, ADENSAMENTO E ACABAMENTO. AF_09/2024</t>
  </si>
  <si>
    <t>CONCRETAGEM DE ESCADAS EM EDIFICAÇÕES MULTIFAMILIARES FEITAS COM SISTEMA DE FÔRMAS MANUSEÁVEIS COM CONCRETO USINADO BOMBEÁVEL, FCK 25 MPA - LANÇAMENTO, ADENSAMENTO E ACABAMENTO. AF_09/2024</t>
  </si>
  <si>
    <t>CONCRETAGEM DE ESCADAS EM EDIFICAÇÕES MULTIFAMILIARES FEITAS COM SISTEMA DE FÔRMAS MANUSEÁVEIS COM CONCRETO USINADO AUTOADENSÁVEL, FCK 25 MPA - LANÇAMENTO E ACABAMENTO. AF_09/2024</t>
  </si>
  <si>
    <t>PEÇA RETANGULAR PRÉ-MOLDADA, VOLUME DE CONCRETO DE 30 A 70 LITROS, TAXA DE AÇO APROXIMADA DE 70KG/M³. AF_03/2024</t>
  </si>
  <si>
    <t>SENSOR DE PRESENÇA COM FOTOCÉLULA, FIXAÇÃO EM PAREDE - FORNECIMENTO E INSTALAÇÃO. AF_09/2024</t>
  </si>
  <si>
    <t>SENSOR DE PRESENÇA SEM FOTOCÉLULA, FIXAÇÃO EM PAREDE - FORNECIMENTO E INSTALAÇÃO. AF_09/2024</t>
  </si>
  <si>
    <t>SENSOR DE PRESENÇA COM FOTOCÉLULA, FIXAÇÃO EM TETO - FORNECIMENTO E INSTALAÇÃO. AF_09/2024</t>
  </si>
  <si>
    <t>SENSOR DE PRESENÇA SEM FOTOCÉLULA, FIXAÇÃO EM TETO - FORNECIMENTO E INSTALAÇÃO. AF_09/2024</t>
  </si>
  <si>
    <t>LUMINÁRIA DE EMERGÊNCIA, COM 30 LÂMPADAS LED DE 2 W, SEM REATOR - FORNECIMENTO E INSTALAÇÃO. AF_09/2024</t>
  </si>
  <si>
    <t>LÂMPADA COMPACTA DE LED 6 W, BASE E27 - FORNECIMENTO E INSTALAÇÃO. AF_09/2024</t>
  </si>
  <si>
    <t>LÂMPADA COMPACTA DE LED 10 W, BASE E27 - FORNECIMENTO E INSTALAÇÃO. AF_09/2024</t>
  </si>
  <si>
    <t>LÂMPADA TUBULAR LED DE 9/10 W, COM SOQUETE, BASE G13 - FORNECIMENTO E INSTALAÇÃO. AF_09/2024_PS</t>
  </si>
  <si>
    <t>LÂMPADA TUBULAR LED DE 18/20 W, COM SOQUETE, BASE G13 - FORNECIMENTO E INSTALAÇÃO. AF_09/2024_PS</t>
  </si>
  <si>
    <t>LUMINÁRIA TIPO PLAFON CIRCULAR, DE SOBREPOR, COM LED DE 12/13 W - FORNECIMENTO E INSTALAÇÃO. AF_09/2024</t>
  </si>
  <si>
    <t>LÂMPADA TUBULAR LED 9/10W SEM SOQUETE - FORNECIMENTO E INSTALAÇÃO. AF_09/2024</t>
  </si>
  <si>
    <t>LUMINÁRIA ARANDELA TIPO MEIA LUA, DE SOBREPOR, COM 1 LÂMPADA LED DE 6 W, SEM REATOR - FORNECIMENTO E INSTALAÇÃO. AF_09/2024</t>
  </si>
  <si>
    <t>LUMINÁRIA ARANDELA TIPO TARTARUGA, DE SOBREPOR, COM 1 LÂMPADA LED DE 6 W, SEM REATOR - FORNECIMENTO E INSTALAÇÃO. AF_09/2024</t>
  </si>
  <si>
    <t>TUBO, PVC, SOLDÁVEL, DE 20MM, INSTALADO EM RAMAL OU SUB-RAMAL DE ÁGUA - FORNECIMENTO E INSTALAÇÃO. AF_06/2022</t>
  </si>
  <si>
    <t>TUBO, PVC, SOLDÁVEL, DE 25MM, INSTALADO EM RAMAL OU SUB-RAMAL DE ÁGUA - FORNECIMENTO E INSTALAÇÃO. AF_06/2022</t>
  </si>
  <si>
    <t>TUBO, PVC, SOLDÁVEL, DE 32MM, INSTALADO EM RAMAL OU SUB-RAMAL DE ÁGUA - FORNECIMENTO E INSTALAÇÃO. AF_06/2022</t>
  </si>
  <si>
    <t>TUBO, PVC, SOLDÁVEL, DE 20MM, INSTALADO EM RAMAL DE DISTRIBUIÇÃO DE ÁGUA - FORNECIMENTO E INSTALAÇÃO. AF_06/2022</t>
  </si>
  <si>
    <t>TUBO, PVC, SOLDÁVEL, DE 25MM, INSTALADO EM RAMAL DE DISTRIBUIÇÃO DE ÁGUA - FORNECIMENTO E INSTALAÇÃO. AF_06/2022</t>
  </si>
  <si>
    <t>TUBO, PVC, SOLDÁVEL, DE 32MM, INSTALADO EM RAMAL DE DISTRIBUIÇÃO DE ÁGUA - FORNECIMENTO E INSTALAÇÃO. AF_06/2022</t>
  </si>
  <si>
    <t>TUBO, PVC, SOLDÁVEL, DE 25MM, INSTALADO EM PRUMADA DE ÁGUA - FORNECIMENTO E INSTALAÇÃO. AF_06/2022</t>
  </si>
  <si>
    <t>TUBO, PVC, SOLDÁVEL, DE 32MM, INSTALADO EM PRUMADA DE ÁGUA - FORNECIMENTO E INSTALAÇÃO. AF_06/2022</t>
  </si>
  <si>
    <t>TUBO, PVC, SOLDÁVEL, DE 40MM, INSTALADO EM PRUMADA DE ÁGUA - FORNECIMENTO E INSTALAÇÃO. AF_06/2022</t>
  </si>
  <si>
    <t>TUBO, PVC, SOLDÁVEL, DE 50MM, INSTALADO EM PRUMADA DE ÁGUA - FORNECIMENTO E INSTALAÇÃO. AF_06/2022</t>
  </si>
  <si>
    <t>TUBO, PVC, SOLDÁVEL, DE 60MM, INSTALADO EM PRUMADA DE ÁGUA - FORNECIMENTO E INSTALAÇÃO. AF_06/2022</t>
  </si>
  <si>
    <t>TUBO, PVC, SOLDÁVEL, DE 75MM, INSTALADO EM PRUMADA DE ÁGUA - FORNECIMENTO E INSTALAÇÃO. AF_06/2022</t>
  </si>
  <si>
    <t>TUBO, PVC, SOLDÁVEL, DE 85MM, INSTALADO EM PRUMADA DE ÁGUA - FORNECIMENTO E INSTALAÇÃO. AF_06/2022</t>
  </si>
  <si>
    <t>TUBO, PVC, SOLDÁVEL, DE 25MM, INSTALADO EM DRENO DE AR-CONDICIONADO - FORNECIMENTO E INSTALAÇÃO. AF_08/2022</t>
  </si>
  <si>
    <t>TUBO, PVC, SOLDÁVEL, DE 32MM, INSTALADO EM RESERVAÇÃO PREDIAL DE ÁGUA - FORNECIMENTO E INSTALAÇÃO. AF_04/2024</t>
  </si>
  <si>
    <t>TUBO, PVC, SOLDÁVEL, DE 40MM, INSTALADO EM RESERVAÇÃO PREDIAL DE ÁGUA - FORNECIMENTO E INSTALAÇÃO. AF_04/2024</t>
  </si>
  <si>
    <t>TUBO, PVC, SOLDÁVEL, DE 50MM, INSTALADO EM RESERVAÇÃO PREDIAL DE ÁGUA - FORNECIMENTO E INSTALAÇÃO. AF_04/2024</t>
  </si>
  <si>
    <t>TUBO, PVC, SOLDÁVEL, DE 60MM, INSTALADO EM RESERVAÇÃO PREDIAL DE ÁGUA - FORNECIMENTO E INSTALAÇÃO. AF_04/2024</t>
  </si>
  <si>
    <t>TUBO, PVC, SOLDÁVEL, DE 75MM, INSTALADO EM RESERVAÇÃO PREDIAL DE ÁGUA - FORNECIMENTO E INSTALAÇÃO. AF_04/2024</t>
  </si>
  <si>
    <t>TUBO, PVC, SOLDÁVEL, DE 85MM, INSTALADO EM RESERVAÇÃO PREDIAL DE ÁGUA - FORNECIMENTO E INSTALAÇÃO. AF_04/2024</t>
  </si>
  <si>
    <t>TUBO, PVC, SOLDÁVEL, DE 110MM, INSTALADO EM RESERVAÇÃO PREDIAL DE ÁGUA - FORNECIMENTO E INSTALAÇÃO. AF_04/2024</t>
  </si>
  <si>
    <t>TUBO, PVC, SOLDÁVEL, DE 40MM, INSTALADO EM RAMAL DE DISTRIBUIÇÃO DE ÁGUA - FORNECIMENTO E INSTALAÇÃO. AF_06/2022</t>
  </si>
  <si>
    <t>TUBO, PVC, SOLDÁVEL, DE 50MM, INSTALADO EM RAMAL DE DISTRIBUIÇÃO DE ÁGUA - FORNECIMENTO E INSTALAÇÃO. AF_06/2022</t>
  </si>
  <si>
    <t>TUBO, PVC, SOLDÁVEL, DE 20MM, INSTALADO EM DRENO DE AR CONDICIONADO - FORNECIMENTO E INSTALAÇÃO. AF_08/2022</t>
  </si>
  <si>
    <t>TUBO, PVC, SOLDÁVEL, DE 32MM, INSTALADO EM DRENO DE AR CONDICIONADO - FORNECIMENTO E INSTALAÇÃO. AF_08/2022</t>
  </si>
  <si>
    <t>KIT CAVALETE PARA MEDIÇÃO DE ÁGUA - ENTRADA PRINCIPAL, EM PVC 20 MM (1/2") - FORNECIMENTO E INSTALAÇÃO (EXCLUSIVE HIDRÔMETRO). AF_03/2024</t>
  </si>
  <si>
    <t>KIT CAVALETE PARA MEDIÇÃO DE ÁGUA - ENTRADA PRINCIPAL, EM PVC 25 MM (3/4") - FORNECIMENTO E INSTALAÇÃO (EXCLUSIVE HIDRÔMETRO). AF_03/2024</t>
  </si>
  <si>
    <t>KIT CAVALETE PARA MEDIÇÃO DE ÁGUA - ENTRADA INDIVIDUALIZADA, EM PVC 25 MM (3/4"), PARA 2 MEDIDORES - FORNECIMENTO E INSTALAÇÃO (EXCLUSIVE HIDRÔMETRO). AF_03/2024</t>
  </si>
  <si>
    <t>KIT CAVALETE PARA MEDIÇÃO DE ÁGUA - ENTRADA INDIVIDUALIZADA, EM PVC 25 MM (3/4"), PARA 3 MEDIDORES - FORNECIMENTO E INSTALAÇÃO (EXCLUSIVE HIDRÔMETRO). AF_03/2024</t>
  </si>
  <si>
    <t>KIT CAVALETE PARA MEDIÇÃO DE ÁGUA - ENTRADA INDIVIDUALIZADA, EM PVC 25 MM (3/4"), PARA 4 MEDIDORES - FORNECIMENTO E INSTALAÇÃO (EXCLUSIVE HIDRÔMETRO). AF_03/2024</t>
  </si>
  <si>
    <t>KIT CAVALETE PARA MEDIÇÃO DE ÁGUA - ENTRADA INDIVIDUALIZADA, EM PVC 32 MM (1"), PARA 1 MEDIDOR - FORNECIMENTO E INSTALAÇÃO (EXCLUSIVE HIDRÔMETRO). AF_03/2024</t>
  </si>
  <si>
    <t>KIT CAVALETE PARA MEDIÇÃO DE ÁGUA - ENTRADA INDIVIDUALIZADA, EM PVC 32 MM (1"), PARA 2 MEDIDORES - FORNECIMENTO E INSTALAÇÃO (EXCLUSIVE HIDRÔMETRO). AF_03/2024</t>
  </si>
  <si>
    <t>KIT CAVALETE PARA MEDIÇÃO DE ÁGUA - ENTRADA INDIVIDUALIZADA, EM PVC 32 MM (1"), PARA 3 MEDIDORES - FORNECIMENTO E INSTALAÇÃO (EXCLUSIVE HIDRÔMETRO). AF_03/2024</t>
  </si>
  <si>
    <t>KIT CAVALETE PARA MEDIÇÃO DE ÁGUA - ENTRADA INDIVIDUALIZADA, EM PVC 32 MM (1"), PARA 4 MEDIDORES - FORNECIMENTO E INSTALAÇÃO (EXCLUSIVE HIDRÔMETRO). AF_03/2024</t>
  </si>
  <si>
    <t>KIT CAVALETE PARA MEDIÇÃO DE ÁGUA - ENTRADA INDIVIDUALIZADA, EM PVC 25 MM (3/4"), PARA 1 MEDIDOR - FORNECIMENTO E INSTALAÇÃO (EXCLUSIVE HIDRÔMETRO). AF_03/2024</t>
  </si>
  <si>
    <t>ESCAVAÇÃO MECANIZADA DE VALA COM PROF. ATÉ 1,5 M (MÉDIA MONTANTE E JUSANTE/UMA COMPOSIÇÃO POR TRECHO), ESCAVADEIRA (0,8 M3), LARG. DE 1,5 M A 2,5 M, EM SOLO DE 1A CATEGORIA, EM LOCAIS COM ALTO NÍVEL DE INTERFERÊNCIA. AF_09/2024</t>
  </si>
  <si>
    <t>ESCAVAÇÃO MECANIZADA DE VALA COM PROF. MAIOR QUE 1,5 M ATÉ 3,0 M (MÉDIA MONTANTE E JUSANTE/UMA COMPOSIÇÃO POR TRECHO), ESCAVADEIRA (0,8 M3), LARGURA ATÉ 1,5 M, EM SOLO DE 1A CATEGORIA, EM LOCAIS COM ALTO NÍVEL DE INTERFERÊNCIA. AF_09/2024</t>
  </si>
  <si>
    <t>ESCAVAÇÃO MECANIZADA DE VALA COM PROF. MAIOR QUE 3,0 M ATÉ 4,5 M(MÉDIA MONTANTE E JUSANTE/UMA COMPOSIÇÃO POR TRECHO), ESCAVADEIRA (0,8 M3), LARG. MENOR QUE 1,5 M, EM SOLO DE 1A CATEGORIA, EM LOCAIS COM ALTO NÍVEL DE INTERFERÊNCIA. AF_09/2024</t>
  </si>
  <si>
    <t>ESCAVAÇÃO MECANIZADA DE VALA COM PROF. DE 3,0 M ATÉ 4,5 M(MÉDIA MONTANTE E JUSANTE/UMA COMPOSIÇÃO POR TRECHO), ESCAVADEIRA (1,2 M3), LARG. DE 1,5 M A 2,5 M, EM SOLO DE 1A CATEGORIA, EM LOCAIS COM ALTO NÍVEL DE INTERFERÊNCIA. AF_09/2024</t>
  </si>
  <si>
    <t>ESCAVAÇÃO MECANIZADA DE VALA COM PROF. MAIOR QUE 4,5 M ATÉ 6,0 M(MÉDIA MONTANTE E JUSANTE/UMA COMPOSIÇÃO POR TRECHO), ESCAVADEIRA (1,2 M3), LARG. DE 1,5 M A 2,5 M, EM SOLO DE 1A CATEGORIA, EM LOCAIS COM ALTO NÍVEL DE INTERFERÊNCIA. AF_09/2024</t>
  </si>
  <si>
    <t>ESCAVAÇÃO MECANIZADA DE VALA COM PROF. ATÉ 1,5 M (MÉDIA MONTANTE E JUSANTE/UMA COMPOSIÇÃO POR TRECHO), ESCAVADEIRA (0,8 M3), LARG. DE 1,5 M A 2,5 M, EM SOLO DE 1A CATEGORIA, LOCAIS COM BAIXO NÍVEL DE INTERFERÊNCIA. AF_09/2024</t>
  </si>
  <si>
    <t>ESCAVAÇÃO MECANIZADA DE VALA COM PROF. MAIOR QUE 1,5 M E ATÉ 3,0 M(MÉDIA MONTANTE E JUSANTE/UMA COMPOSIÇÃO POR TRECHO), ESCAVADEIRA (0,8 M3), LARG. MENOR QUE 1,5 M, EM SOLO DE 1A CATEGORIA, LOCAIS COM BAIXO NÍVEL DE INTERFERÊNCIA. AF_09/2024</t>
  </si>
  <si>
    <t>ESCAVAÇÃO MECANIZADA DE VALA COM PROF. MAIOR QUE 3,0 M ATÉ 4,5 M (MÉDIA MONTANTE E JUSANTE/UMA COMPOSIÇÃO POR TRECHO), ESCAVADEIRA (0,8 M3), LARG. MENOR QUE 1,5 M, EM SOLO DE 1A CATEGORIA, LOCAIS COM BAIXO NÍVEL DE INTERFERÊNCIA. AF_09/2024</t>
  </si>
  <si>
    <t>ESCAVAÇÃO MECANIZADA DE VALA COM PROF. MAIOR QUE 3,0 M ATÉ 4,5 M (MÉDIA MONTANTE E JUSANTE/UMA COMPOSIÇÃO POR TRECHO), ESCAVADEIRA (1,2 M3), LARG. DE 1,5 M A 2,5 M, EM SOLO DE 1A CATEGORIA, LOCAIS COM BAIXO NÍVEL DE INTERFERÊNCIA. AF_09/2024</t>
  </si>
  <si>
    <t>ESCAVAÇÃO MECANIZADA DE VALA COM PROF. MAIOR QUE 4,5 M ATÉ 6,0 M (MÉDIA MONTANTE E JUSANTE/UMA COMPOSIÇÃO POR TRECHO), ESCAVADEIRA (1,2 M3), LARG. DE 1,5 M A 2,5 M, EM SOLO DE 1A CATEGORIA, LOCAIS COM BAIXO NÍVEL DE INTERFERÊNCIA. AF_09/2024</t>
  </si>
  <si>
    <t>ESCAVAÇÃO MECANIZADA DE VALA COM PROF. ATÉ 1,5 M (MÉDIA MONTANTE E JUSANTE/UMA COMPOSIÇÃO POR TRECHO), RETROESCAV. (0,26 M3), LARG. MENOR QUE 0,8 M, EM SOLO DE 1A CATEGORIA, EM LOCAIS COM ALTO NÍVEL DE INTERFERÊNCIA. AF_09/2024</t>
  </si>
  <si>
    <t>ESCAVAÇÃO MECANIZADA DE VALA COM PROF. ATÉ 1,5 M (MÉDIA MONTANTE E JUSANTE/UMA COMPOSIÇÃO POR TRECHO), RETROESCAV. (0,26 M3), LARG. DE 0,8 M A 1,5 M, EM SOLO DE 1A CATEGORIA, EM LOCAIS COM ALTO NÍVEL DE INTERFERÊNCIA. AF_09/2024</t>
  </si>
  <si>
    <t>ESCAVAÇÃO MECANIZADA DE VALA COM PROF. MAIOR QUE 1,5 M ATÉ 3,0 M (MÉDIA MONTANTE E JUSANTE/UMA COMPOSIÇÃO POR TRECHO), RETROESCAV. (0,26 M3), LARG. MENOR QUE 0,8 M, EM SOLO DE 1A CATEGORIA, EM LOCAIS COM ALTO NÍVEL DE INTERFERÊNCIA. AF_09/2024</t>
  </si>
  <si>
    <t>ESCAVAÇÃO MECANIZADA DE VALA COM PROF. MAIOR QUE 1,5 M ATÉ 3,0 M (MÉDIA MONTANTE E JUSANTE/UMA COMPOSIÇÃO POR TRECHO), RETROESCAV. (0,26 M3), LARGURA DE 0,8 M A 1,5 M, EM SOLO DE 1A CATEGORIA, EM LOCAIS COM ALTO NÍVEL DE INTERFERÊNCIA. AF_09/2024</t>
  </si>
  <si>
    <t>ESCAVAÇÃO MECANIZADA DE VALA COM PROFUNDIDADE ATÉ 1,5 M (MÉDIA MONTANTE E JUSANTE/UMA COMPOSIÇÃO POR TRECHO), RETROESCAV. (0,26 M3), LARGURA MENOR QUE 0,8 M, EM SOLO DE 1A CATEGORIA, LOCAIS COM BAIXO NÍVEL DE INTERFERÊNCIA. AF_09/2024</t>
  </si>
  <si>
    <t>ESCAVAÇÃO MECANIZADA DE VALA COM PROFUNDIDADE ATÉ 1,5 M (MÉDIA MONTANTE E JUSANTE/UMA COMPOSIÇÃO POR TRECHO), RETROESCAV. (0,26 M3), LARGURA DE 0,8 M A 1,5 M, EM SOLO DE 1A CATEGORIA, LOCAIS COM BAIXO NÍVEL DE INTERFERÊNCIA. AF_09/2024</t>
  </si>
  <si>
    <t>ESCAVAÇÃO MECANIZADA DE VALA COM PROFUNDIDADE MAIOR QUE 1,5 M ATÉ 3,0 M (MÉDIA MONTANTE E JUSANTE/UMA COMPOSIÇÃO POR TRECHO), RETROESCAV. (0,26 M3), LARGURA MENOR QUE 0,8 M, EM SOLO DE 1A CATEGORIA, LOCAIS COM BAIXO NÍVEL DE INTERFERÊNCIA. AF_09/2024</t>
  </si>
  <si>
    <t>ESCAVAÇÃO MECANIZADA DE VALA COM PROFUNDIDADE MAIOR QUE 1,5 M ATÉ 3,0 M (MÉDIA MONTANTE E JUSANTE/UMA COMPOSIÇÃO POR TRECHO), RETROESCAV (0,26 M3), LARGURA DE 0,8 M A 1,5 M, EM SOLO DE 1A CATEGORIA, LOCAIS COM BAIXO NÍVEL DE INTERFERÊNCIA. AF_09/2024</t>
  </si>
  <si>
    <t>ESCAVAÇÃO MANUAL DE VALA. AF_09/2024</t>
  </si>
  <si>
    <t>ESCAVAÇÃO MECANIZADA DE VALA COM PROF. ATÉ 1,5 M (MÉDIA MONTANTE E JUSANTE/UMA COMPOSIÇÃO POR TRECHO), ESCAVADEIRA (0,8 M3), LARG. MENOR QUE 1,5 M, EM SOLO DE 1A CATEGORIA, EM LOCAIS COM ALTO NÍVEL DE INTERFERÊNCIA. AF_09/2024</t>
  </si>
  <si>
    <t>ESCAVAÇÃO MECANIZADA DE VALA COM PROF. MAIOR QUE 4,5 M ATÉ 6,0 M (MÉDIA MONTANTE E JUSANTE/UMA COMPOSIÇÃO POR TRECHO), ESCAVADEIRA (0,8 M3), LARG. MENOR QUE 1,5 M, EM SOLO DE 1A CATEGORIA, EM LOCAIS COM ALTO NÍVEL DE INTERFERÊNCIA. AF_09/2024</t>
  </si>
  <si>
    <t>ESCAVAÇÃO MECANIZADA DE VALA COM PROF. MAIOR QUE 1,50 M ATÉ 3,0 M (MÉDIA MONTANTE E JUSANTE/UMA COMPOSIÇÃO POR TRECHO), ESCAVADEIRA (1,2 M3), LARG. DE 1,5 M A 2,5 M, EM SOLO DE 1A CATEGORIA, EM LOCAIS COM ALTO NÍVEL DE INTERFERÊNCIA. AF_09/2024</t>
  </si>
  <si>
    <t>ESCAVAÇÃO MECANIZADA DE VALA COM PROF. ATÉ 1,5 M (MÉDIA MONTANTE E JUSANTE/UMA COMPOSIÇÃO POR TRECHO), ESCAVADEIRA (0,8 M3),LARG. MENOR QUE 1,5 M, EM SOLO DE 1A CATEGORIA, LOCAIS COM BAIXO NÍVEL DE INTERFERÊNCIA. AF_09/2024</t>
  </si>
  <si>
    <t>ESCAVAÇÃO MECANIZADA DE VALA COM PROF. MAIOR QUE 4,5 M ATÉ 6,0 M (MÉDIA MONTANTE E JUSANTE/UMA COMPOSIÇÃO POR TRECHO),COM ESCAVADEIRA (0,8 M3), LARG. MENOR QUE 1,5 M, EM SOLO DE 1A CATEGORIA, LOCAIS COM BAIXO NÍVEL DE INTERFERÊNCIA. AF_09/2024</t>
  </si>
  <si>
    <t>ESCAVAÇÃO MECANIZADA DE VALA COM PROF. MAIOR QUE 1,5 M ATÉ 3,0 M (MÉDIA MONTANTE E JUSANTE/UMA COMPOSIÇÃO POR TRECHO),COM ESCAVADEIRA (1,2 M3),LARG. DE 1,5 M A 2,5 M, EM SOLO DE 1A CATEGORIA, LOCAIS COM BAIXO NÍVEL DE INTERFERÊNCIA. AF_09/2024</t>
  </si>
  <si>
    <t>ESCAVAÇÃO MECANIZADA DE VALA COM PROF. ATÉ 1,5 M (MÉDIA MONTANTE E JUSANTE/UMA COMPOSIÇÃO POR TRECHO), ESCAVADEIRA (0,8 M3),LARG. MENOR QUE 1,5 M, EM SOLO DE MOLE, EM LOCAIS COM ALTO NÍVEL DE INTERFERÊNCIA. AF_09/2024</t>
  </si>
  <si>
    <t>ESCAVAÇÃO MECANIZADA DE VALA COM PROF. ATÉ 1,5 M (MÉDIA MONTANTE E JUSANTE/UMA COMPOSIÇÃO POR TRECHO), ESCAVADEIRA (0,8 M3), LARG. DE 1,5 M A 2,5 M, EM SOLO MOLE, EM LOCAIS COM ALTO NÍVEL DE INTERFERÊNCIA. AF_09/2024</t>
  </si>
  <si>
    <t>ESCAVAÇÃO MECANIZADA DE VALA COM PROF. MAIOR QUE 1,5 M ATÉ 3,0 M (MÉDIA MONTANTE E JUSANTE/UMA COMPOSIÇÃO POR TRECHO), ESCAVADEIRA (0,8 M3), LARGURA ATÉ 1,5 M, EM SOLO MOLE, EM LOCAIS COM ALTO NÍVEL DE INTERFERÊNCIA. AF_09/2024</t>
  </si>
  <si>
    <t>ESCAVAÇÃO MECANIZADA DE VALA COM PROF. MAIOR QUE 3,0 M ATÉ 4,5 M (MÉDIA MONTANTE E JUSANTE/UMA COMPOSIÇÃO POR TRECHO), ESCAVADEIRA (0,8 M3), LARG. MENOR QUE 1,5 M, EM SOLO MOLE, EM LOCAIS COM ALTO NÍVEL DE INTERFERÊNCIA. AF_09/2024</t>
  </si>
  <si>
    <t>ESCAVAÇÃO MECANIZADA DE VALA COM PROF. MAIOR QUE 4,5 M ATÉ 6,0 M (MÉDIA MONTANTE E JUSANTE/UMA COMPOSIÇÃO POR TRECHO), ESCAVADEIRA (0,8 M3),LARG. MENOR QUE 1,5 M, EM SOLO DE MOLE, EM LOCAIS COM ALTO NÍVEL DE INTERFERÊNCIA. AF_09/2024</t>
  </si>
  <si>
    <t>ESCAVAÇÃO MECANIZADA DE VALA COM PROF. MAIOR QUE 1,5 M ATÉ 3,0 M (MÉDIA MONTANTE E JUSANTE/UMA COMPOSIÇÃO POR TRECHO),COM ESCAVADEIRA (1,2 M3),LARG. DE 1,5 M A 2,5 M, EM SOLO MOLE, EM LOCAIS COM ALTO NÍVEL DE INTERFERÊNCIA. AF_09/2024</t>
  </si>
  <si>
    <t>ESCAVAÇÃO MECANIZADA DE VALA COM PROF. DE 3,0 M ATÉ 4,5 M (MÉDIA MONTANTE E JUSANTE/UMA COMPOSIÇÃO POR TRECHO), ESCAVADEIRA (1,2 M3), LARG. DE 1,5 M A 2,5 M, EM SOLO MOLE, EM LOCAIS COM ALTO NÍVEL DE INTERFERÊNCIA. AF_09/2024</t>
  </si>
  <si>
    <t>ESCAVAÇÃO MECANIZADA DE VALA COM PROF. MAIOR QUE 4,5 M ATÉ 6,0 M (MÉDIA MONTANTE E JUSANTE/UMA COMPOSIÇÃO POR TRECHO), ESCAVADEIRA (1,2 M3), LARG. DE 1,5 M A 2,5 M, EM SOLO MOLE, EM LOCAIS COM ALTO NÍVEL DE INTERFERÊNCIA. AF_09/2024</t>
  </si>
  <si>
    <t>ESCAVAÇÃO MECANIZADA DE VALA COM PROF. ATÉ 1,5 M (MÉDIA MONTANTE E JUSANTE/UMA COMPOSIÇÃO POR TRECHO), ESCAVADEIRA (0,8 M3),LARG. MENOR QUE 1,5 M, EM SOLO MOLE, LOCAIS COM BAIXO NÍVEL DE INTERFERÊNCIA. AF_09/2024</t>
  </si>
  <si>
    <t>ESCAVAÇÃO MECANIZADA DE VALA COM PROF. ATÉ 1,5 M (MÉDIA MONTANTE E JUSANTE/UMA COMPOSIÇÃO POR TRECHO), ESCAVADEIRA (0,8 M3), LARG. DE 1,5 M A 2,5 M, EM SOLO MOLE, LOCAIS COM BAIXO NÍVEL DE INTERFERÊNCIA. AF_09/2024</t>
  </si>
  <si>
    <t>ESCAVAÇÃO MECANIZADA DE VALA COM PROF. MAIOR QUE 1,5 M E ATÉ 3,0 M (MÉDIA MONTANTE E JUSANTE/UMA COMPOSIÇÃO POR TRECHO), ESCAVADEIRA (0,8 M3), LARG. MENOR QUE 1,5 M, EM SOLO MOLE, LOCAIS COM BAIXO NÍVEL DE INTERFERÊNCIA. AF_09/2024</t>
  </si>
  <si>
    <t>ESCAVAÇÃO MECANIZADA DE VALA COM PROF.MAIOR QUE 3,0 M ATÉ 4,5 M (MÉDIA MONTANTE E JUSANTE/UMA COMPOSIÇÃO POR TRECHO), ESCAVADEIRA (0,8 M3), LARG. MENOR QUE 1,5 M, EM SOLO MOLE, LOCAIS COM BAIXO NÍVEL DE INTERFERÊNCIA. AF_09/2024</t>
  </si>
  <si>
    <t>ESCAVAÇÃO MECANIZADA DE VALA COM PROF. MAIOR QUE 4,5 M ATÉ 6,0 M (MÉDIA MONTANTE E JUSANTE/UMA COMPOSIÇÃO POR TRECHO),COM ESCAVADEIRA (0,8 M3), LARG. MENOR QUE 1,5 M, EM SOLO MOLE, LOCAIS COM BAIXO NÍVEL DE INTERFERÊNCIA. AF_09/2024</t>
  </si>
  <si>
    <t>ESCAVAÇÃO MECANIZADA DE VALA COM PROF. MAIOR QUE 1,5 M ATÉ 3,0 M (MÉDIA MONTANTE E JUSANTE/UMA COMPOSIÇÃO POR TRECHO),COM ESCAVADEIRA (1,2 M3), LARG. DE 1,5 M A 2,5 M, EM SOLO MOLE, LOCAIS COM BAIXO NÍVEL DE INTERFERÊNCIA. AF_09/2024</t>
  </si>
  <si>
    <t>ESCAVAÇÃO MECANIZADA DE VALA COM PROF. MAIOR QUE 3,0 M ATÉ 4,5 M (MÉDIA MONTANTE E JUSANTE/UMA COMPOSIÇÃO POR TRECHO), ESCAVADEIRA (1,2 M3), LARG. DE 1,5 M A 2,5 M, EM SOLO MOLE, LOCAIS COM BAIXO NÍVEL DE INTERFERÊNCIA. AF_09/2024</t>
  </si>
  <si>
    <t>ESCAVAÇÃO MECANIZADA DE VALA COM PROF. MAIOR QUE 4,5 M ATÉ 6,0 M (MÉDIA MONTANTE E JUSANTE/UMA COMPOSIÇÃO POR TRECHO), ESCAVADEIRA (1,2 M3), LARG. DE 1,5 M A 2,5 M, EM SOLO MOLE, LOCAIS COM BAIXO NÍVEL DE INTERFERÊNCIA. AF_09/2024</t>
  </si>
  <si>
    <t>ESCAVAÇÃO MECANIZADA DE VALA COM PROF. ATÉ 1,5 M (MÉDIA MONTANTE E JUSANTE/UMA COMPOSIÇÃO POR TRECHO), RETROESCAV. (0,26 M3), LARG. MENOR QUE 0,8 M, EM SOLO MOLE, EM LOCAIS COM ALTO NÍVEL DE INTERFERÊNCIA. AF_09/2024</t>
  </si>
  <si>
    <t>ESCAVAÇÃO MECANIZADA DE VALA COM PROF. ATÉ 1,5 M (MÉDIA MONTANTE E JUSANTE/UMA COMPOSIÇÃO POR TRECHO), RETROESCAV. (0,26 M3), LARG. DE 0,8 M A 1,5 M, EM SOLO MOLE, EM LOCAIS COM ALTO NÍVEL DE INTERFERÊNCIA. AF_09/2024</t>
  </si>
  <si>
    <t>ESCAVAÇÃO MECANIZADA DE VALA COM PROF. MAIOR QUE 1,5 M ATÉ 3,0 M (MÉDIA MONTANTE E JUSANTE/UMA COMPOSIÇÃO POR TRECHO), RETROESCAV. (0,26 M3), LARG. MENOR QUE 0,8 M, EM SOLO MOLE, EM LOCAIS COM ALTO NÍVEL DE INTERFERÊNCIA. AF_09/2024</t>
  </si>
  <si>
    <t>ESCAVAÇÃO MECANIZADA DE VALA COM PROF. MAIOR QUE 1,5 M ATÉ 3,0 M (MÉDIA MONTANTE E JUSANTE/UMA COMPOSIÇÃO POR TRECHO), RETROESCAV. (0,26 M3), LARG. DE 0,8 M A 1,5 M, EM SOLO MOLE, EM LOCAIS COM ALTO NÍVEL DE INTERFERÊNCIA. AF_09/2024</t>
  </si>
  <si>
    <t>ESCAVAÇÃO MECANIZADA DE VALA COM PROF. ATÉ 1,5 M (MÉDIA MONTANTE E JUSANTE/UMA COMPOSIÇÃO POR TRECHO), RETROESCAV. (0,26 M3), LARG. MENOR QUE 0,8 M, EM SOLO MOLE, LOCAIS COM BAIXO NÍVEL DE INTERFERÊNCIA. AF_09/2024</t>
  </si>
  <si>
    <t>ESCAVAÇÃO MECANIZADA DE VALA COM PROF. ATÉ 1,5 M (MÉDIA MONTANTE E JUSANTE/UMA COMPOSIÇÃO POR TRECHO), RETROESCAV. (0,26 M3), LARG. DE 0,8 M A 1,5 M, EM SOLO MOLE, LOCAIS COM BAIXO NÍVEL DE INTERFERÊNCIA. AF_09/2024</t>
  </si>
  <si>
    <t>ESCAVAÇÃO MECANIZADA DE VALA COM PROF. MAIOR QUE 1,5 M ATÉ 3,0 M (MÉDIA MONTANTE E JUSANTE/UMA COMPOSIÇÃO POR TRECHO), RETROESCAV. (0,26 M3),LARG. MENOR QUE 0,8 M, EM SOLO MOLE, LOCAIS COM BAIXO NÍVEL DE INTERFERÊNCIA. AF_09/2024</t>
  </si>
  <si>
    <t>ESCAVAÇÃO MECANIZADA DE VALA COM PROF. MAIOR QUE 1,5 M ATÉ 3,0 M (MÉDIA MONTANTE E JUSANTE/UMA COMPOSIÇÃO POR TRECHO), RETROESCAV. (0,26 M3), LARG. DE 0,8 M A 1,5 M, EM SOLO MOLE, LOCAIS COM BAIXO NÍVEL DE INTERFERÊNCIA. AF_09/2024</t>
  </si>
  <si>
    <t>ESCAVAÇÃO MECANIZADA DE VALA COM PROF. ATÉ 1,5 M (MÉDIA MONTANTE E JUSANTE/UMA COMPOSIÇÃO POR TRECHO), ESCAVADEIRA (0,8 M3),LARG. ATÉ 1,5 M, EM SOLO DE 2A CATEGORIA, EM LOCAIS COM ALTO NÍVEL DE INTERFERÊNCIA. AF_09/2024</t>
  </si>
  <si>
    <t>ESCAVAÇÃO MECANIZADA DE VALA COM PROF. ATÉ 1,5 M (MÉDIA MONTANTE E JUSANTE/UMA COMPOSIÇÃO POR TRECHO), ESCAVADEIRA (0,8 M3), LARG. DE 1,5 M A 2,5 M, EM SOLO DE 2A CATEGORIA, EM LOCAIS COM ALTO NÍVEL DE INTERFERÊNCIA. AF_09/2024</t>
  </si>
  <si>
    <t>ESCAVAÇÃO MECANIZADA DE VALA COM PROF. MAIOR QUE 1,5 M ATÉ 3,0 M (MÉDIA MONTANTE E JUSANTE/UMA COMPOSIÇÃO POR TRECHO), ESCAVADEIRA (0,8 M3), LARG. ATÉ 1,5 M, EM SOLO DE 2A CATEGORIA, EM LOCAIS COM ALTO NÍVEL DE INTERFERÊNCIA. AF_09/2024</t>
  </si>
  <si>
    <t>ESCAVAÇÃO MECANIZADA DE VALA COM PROF. MAIOR QUE 3,0 M ATÉ 4,5 M (MÉDIA MONTANTE E JUSANTE/UMA COMPOSIÇÃO POR TRECHO), ESCAVADEIRA (0,8 M3), LARG. MENOR QUE 1,5 M, EM SOLO DE 2A CATEGORIA, EM LOCAIS COM ALTO NÍVEL DE INTERFERÊNCIA. AF_09/2024</t>
  </si>
  <si>
    <t>ESCAVAÇÃO MECANIZADA DE VALA COM PROF.MAIOR QUE 4,5 M ATÉ 6,0 M (MÉDIA MONTANTE E JUSANTE/UMA COMPOSIÇÃO POR TRECHO),COM ESCAVADEIRA (0,8 M3), LARG. MENOR QUE 1,5 M, EM SOLO DE 2A CATEGORIA, EM LOCAIS COM ALTO NÍVEL DE INTERFERÊNCIA. AF_09/2024</t>
  </si>
  <si>
    <t>ESCAVAÇÃO MECANIZADA DE VALA COM PROF. MAIOR QUE 1,5 M ATÉ 3,0 M (MÉDIA MONTANTE E JUSANTE/UMA COMPOSIÇÃO POR TRECHO),COM ESCAVADEIRA (1,2 M3),LARG. DE 1,5 M A 2,5 M, EM SOLO DE 2A CATEGORIA, EM LOCAIS COM ALTO NÍVEL DE INTERFERÊNCIA. AF_09/2024</t>
  </si>
  <si>
    <t>ESCAVAÇÃO MECANIZADA DE VALA COM PROF. DE 3,0 M ATÉ 4,5 M (MÉDIA MONTANTE E JUSANTE/UMA COMPOSIÇÃO POR TRECHO), ESCAVADEIRA (1,2 M3), LARG. DE 1,5 M A 2,5 M, EM SOLO DE 2A CATEGORIA, EM LOCAIS COM ALTO NÍVEL DE INTERFERÊNCIA. AF_09/2024</t>
  </si>
  <si>
    <t>ESCAVAÇÃO MECANIZADA DE VALA COM PROF. MAIOR QUE 4,5 M ATÉ 6,0 M (MÉDIA MONTANTE E JUSANTE/UMA COMPOSIÇÃO POR TRECHO), ESCAVADEIRA (1,2 M3), LARG. DE 1,5 M A 2,5 M, EM SOLO DE 2A CATEGORIA, EM LOCAIS COM ALTO NÍVEL DE INTERFERÊNCIA. AF_09/2024</t>
  </si>
  <si>
    <t>ESCAVAÇÃO MECANIZADA DE VALA COM PROF. ATÉ 1,5 M (MÉDIA MONTANTE E JUSANTE/UMA COMPOSIÇÃO POR TRECHO),COM ESCAVADEIRA (0,8 M3), LARG. MENOR QUE 1,5 M, EM SOLO DE 2A CATEGORIA, LOCAIS COM BAIXO NÍVEL DE INTERFERÊNCIA. AF_09/2024</t>
  </si>
  <si>
    <t>ESCAVAÇÃO MECANIZADA DE VALA COM PROF. ATÉ 1,5 M (MÉDIA MONTANTE E JUSANTE/UMA COMPOSIÇÃO POR TRECHO), ESCAVADEIRA (0,8 M3), LARG. DE 1,5 M A 2,5 M, EM SOLO DE 2A CATEGORIA, LOCAIS COM BAIXO NÍVEL DE INTERFERÊNCIA. AF_09/2024</t>
  </si>
  <si>
    <t>ESCAVAÇÃO MECANIZADA DE VALA COM PROF. MAIOR QUE 1,5 M E ATÉ 3,0 M (MÉDIA MONTANTE E JUSANTE/UMA COMPOSIÇÃO POR TRECHO), ESCAVADEIRA (0,8 M3), LARG. MENOR QUE 1,5 M, EM SOLO DE 2A CATEGORIA, LOCAIS COM BAIXO NÍVEL DE INTERFERÊNCIA. AF_09/2024</t>
  </si>
  <si>
    <t>ESCAVAÇÃO MECANIZADA DE VALA COM PROF.MAIOR QUE 3,0 M ATÉ 4,5 M (MÉDIA MONTANTE E JUSANTE/UMA COMPOSIÇÃO POR TRECHO), ESCAVADEIRA (0,8 M3), LARG. MENOR QUE 1,5 M, EM SOLO DE 2A CATEGORIA, LOCAIS COM BAIXO NÍVEL DE INTERFERÊNCIA. AF_09/2024</t>
  </si>
  <si>
    <t>ESCAVAÇÃO MECANIZADA DE VALA COM PROF.MAIOR QUE 4,5 M ATÉ 6,0 M (MÉDIA MONTANTE E JUSANTE/UMA COMPOSIÇÃO POR TRECHO),COM ESCAVADEIRA (0,8 M3), LARG. MENOR QUE 1,5 M, EM SOLO DE 2A CATEGORIA, EM LOCAIS COM BAIXO NÍVEL DE INTERFERÊNCIA. AF_09/2024</t>
  </si>
  <si>
    <t>ESCAVAÇÃO MECANIZADA DE VALA COM PROF. MAIOR QUE 1,5 M ATÉ 3,0 M (MÉDIA MONTANTE E JUSANTE/UMA COMPOSIÇÃO POR TRECHO),COM ESCAVADEIRA (1,2 M3),LARG. DE 1,5 M A 2,5 M, EM SOLO DE 2A CATEGORIA, LOCAIS COM BAIXO NÍVEL DE INTERFERÊNCIA. AF_09/2024</t>
  </si>
  <si>
    <t>ESCAVAÇÃO MECANIZADA DE VALA COM PROF. MAIOR QUE 3,0 M ATÉ 4,5 M (MÉDIA MONTANTE E JUSANTE/UMA COMPOSIÇÃO POR TRECHO), ESCAVADEIRA (1,2 M3), LARG. DE 1,5 M A 2,5 M, EM SOLO DE 2A CATEGORIA, LOCAIS COM BAIXO NÍVEL DE INTERFERÊNCIA. AF_09/2024</t>
  </si>
  <si>
    <t>ESCAVAÇÃO MECANIZADA DE VALA COM PROF. MAIOR QUE 4,5 M ATÉ 6,0 M (MÉDIA MONTANTE E JUSANTE/UMA COMPOSIÇÃO POR TRECHO), ESCAVADEIRA (1,2 M3), LARG. DE 1,5 M A 2,5 M, EM SOLO DE 2A CATEGORIA, LOCAIS COM BAIXO NÍVEL DE INTERFERÊNCIA. AF_09/2024</t>
  </si>
  <si>
    <t>ESCAVAÇÃO MECANIZADA DE VALA COM PROF. ATÉ 1,5 M (MÉDIA MONTANTE E JUSANTE/UMA COMPOSIÇÃO POR TRECHO), RETROESCAV. (0,26 M3), LARG. MENOR QUE 0,8 M, EM SOLO DE 2A CATEGORIA, EM LOCAIS COM ALTO NÍVEL DE INTERFERÊNCIA. AF_09/2024</t>
  </si>
  <si>
    <t>ESCAVAÇÃO MECANIZADA DE VALA COM PROF. ATÉ 1,5 M (MÉDIA MONTANTE E JUSANTE/UMA COMPOSIÇÃO POR TRECHO), RETROESCAV. (0,26 M3), LARG. DE 0,8 M A 1,5 M, EM SOLO DE 2A CATEGORIA, EM LOCAIS COM ALTO NÍVEL DE INTERFERÊNCIA. AF_09/2024</t>
  </si>
  <si>
    <t>ESCAVAÇÃO MECANIZADA DE VALA COM PROF. MAIOR QUE 1,5 M ATÉ 3,0 M (MÉDIA MONTANTE E JUSANTE/UMA COMPOSIÇÃO POR TRECHO), RETROESCAV. (0,26 M3), LARG. MENOR QUE 0,8 M, EM SOLO DE 2A CATEGORIA, EM LOCAIS COM ALTO NÍVEL DE INTERFERÊNCIA. AF_09/2024</t>
  </si>
  <si>
    <t>ESCAVAÇÃO MECANIZADA DE VALA COM PROF. MAIOR QUE 1,5 M ATÉ 3,0 M (MÉDIA MONTANTE E JUSANTE/UMA COMPOSIÇÃO POR TRECHO), RETROESCAV. (0,26 M3), LARG. DE 0,8 M A 1,5 M, EM SOLO DE 2A CATEGORIA, EM LOCAIS COM ALTO NÍVEL DE INTERFERÊNCIA. AF_09/2024</t>
  </si>
  <si>
    <t>ESCAVAÇÃO MECANIZADA DE VALA COM PROF. ATÉ 1,5 M (MÉDIA MONTANTE E JUSANTE/UMA COMPOSIÇÃO POR TRECHO), RETROESCAV. (0,26 M3), LARGURA MENOR QUE 0,8 M, EM SOLO DE 2A CATEGORIA, EM LOCAIS COM BAIXO NÍVEL DE INTERFERÊNCIA. AF_09/2024</t>
  </si>
  <si>
    <t>ESCAVAÇÃO MECANIZADA DE VALA COM PROF. ATÉ 1,5 M (MÉDIA MONTANTE E JUSANTE/UMA COMPOSIÇÃO POR TRECHO), RETROESCAV. (0,26 M3), LARG. DE 0,8 M A 1,5 M, EM SOLO DE 2A CATEGORIA, EM LOCAIS COM BAIXO NÍVEL DE INTERFERÊNCIA. AF_09/2024</t>
  </si>
  <si>
    <t>ESCAVAÇÃO MECANIZADA DE VALA COM PROF. MAIOR QUE 1,5 M ATÉ 3,0 M (MÉDIA MONTANTE E JUSANTE/UMA COMPOSIÇÃO POR TRECHO), RETROESCAV. (0,26 M3),LARG. MENOR QUE 0,8 M, EM SOLO DE 2A CATEGORIA, EM LOCAIS COM BAIXO NÍVEL DE INTERFERÊNCIA. AF_09/2024</t>
  </si>
  <si>
    <t>ESCAVAÇÃO MECANIZADA DE VALA COM PROF. MAIOR QUE 1,5 M ATÉ 3,0 M (MÉDIA MONTANTE E JUSANTE/UMA COMPOSIÇÃO POR TRECHO), RETROESCAV. (0,26 M3), LARG. DE 0,8 M A 1,5 M, EM SOLO DE 2A CATEGORIA, EM LOCAIS COM BAIXO NÍVEL DE INTERFERÊNCIA. AF_09/2024</t>
  </si>
  <si>
    <t>EXECUÇÃO E COMPACTAÇÃO DE CORPO DE ATERRO DE ATERRO (95% DE ENERGIA DO PROCTOR NORMAL) COM SOLO PREDOMINANTEMENTE ARGILOSO ESPESSURA 15 CM - EXCLUSIVE MATERIAL, ESCAVAÇÃO, CARGA E TRANSPORTE. AF_09/2024</t>
  </si>
  <si>
    <t>EXECUÇÃO E COMPACTAÇÃO DE CORPO DE ATERRO (95% DE ENERGIA DO PROCTOR NORMAL) COM SOLO PREDOMINANTEMENTE ARENOSO ESPESSURA 15CM - EXCLUSIVE MATERIAL, ESCAVAÇÃO, CARGA E TRANSPORTE. AF_09/2024</t>
  </si>
  <si>
    <t>EXECUÇÃO E COMPACTAÇÃO DE CORPO DE ATERRO DE ATERRO (95% DE ENERGIA DO PROCTOR NORMAL) COM SOLO PREDOMINANTEMENTE ARGILOSO, EM CAMADAS COM ESPESSURA DE 10 CM - EXCLUSIVE ESCAVAÇÃO, CARGA E TRANSPORTE E SOLO. AF_09/2024</t>
  </si>
  <si>
    <t>EXECUÇÃO E COMPACTAÇÃO DE CAMADA FINAL DE ATERRO (100% DE ENERGIA DO PROCTOR NORMAL) COM SOLO PREDOMINANTEMENTE ARGILOSO, EM CAMADAS COM ESPESSURA DE 10 CM - EXCLUSIVE ESCAVAÇÃO, CARGA E TRANSPORTE E SOLO. AF_09/2024</t>
  </si>
  <si>
    <t>EXECUÇÃO E COMPACTAÇÃO DE CAMADA FINAL DE ATERRO (100% DE ENERGIA DO PROCTOR NORMAL) COM SOLO PREDOMINANTEMENTE ARGILOSO, EM CAMADAS COM ESPESSURA DE 15 CM - EXCLUSIVE ESCAVAÇÃO, CARGA E TRANSPORTE E SOLO. AF_09/2024</t>
  </si>
  <si>
    <t>EXECUÇÃO E COMPACTAÇÃO DE CORPO DE ATERRO DE ATERRO (95% DE ENERGIA DO PROCTOR NORMAL) COM SOLO PREDOMINANTEMENTE ARGILOSO, EM CAMADAS COM ESPESSURA DE 20 CM - EXCLUSIVE ESCAVAÇÃO, CARGA E TRANSPORTE E SOLO. AF_09/2024</t>
  </si>
  <si>
    <t>EXECUÇÃO E COMPACTAÇÃO DE CAMADA FINAL DE ATERRO (100% DE ENERGIA DO PROCTOR NORMAL) COM SOLO PREDOMINANTEMENTE ARGILOSO, EM CAMADAS COM ESPESSURA DE 20 CM - EXCLUSIVE ESCAVAÇÃO, CARGA E TRANSPORTE E SOLO. AF_09/2024</t>
  </si>
  <si>
    <t>EXECUÇÃO E COMPACTAÇÃO DE CORPO DE ATERRO DE ATERRO (95% DE ENERGIA DO PROCTOR NORMAL) COM SOLO PREDOMINANTEMENTE ARENOSO, EM CAMADAS COM ESPESSURA DE 10 CM - EXCLUSIVE ESCAVAÇÃO, CARGA E TRANSPORTE E SOLO. AF_09/2024</t>
  </si>
  <si>
    <t>EXECUÇÃO E COMPACTAÇÃO DE CAMADA FINAL DE ATERRO (100% DE ENERGIA DO PROCTOR NORMAL) COM SOLO PREDOMINANTEMENTE ARENOSO, EM CAMADAS COM ESPESSURA DE 10 CM - EXCLUSIVE ESCAVAÇÃO, CARGA E TRANSPORTE E SOLO. AF_09/2024</t>
  </si>
  <si>
    <t>EXECUÇÃO E COMPACTAÇÃO DE CAMADA FINAL DE ATERRO (100% DE ENERGIA DO PROCTOR NORMAL) COM SOLO PREDOMINANTEMENTE ARENOSO, EM CAMADAS COM ESPESSURA DE 15 CM - EXCLUSIVE ESCAVAÇÃO, CARGA E TRANSPORTE E SOLO. AF_09/2024</t>
  </si>
  <si>
    <t>EXECUÇÃO E COMPACTAÇÃO DE CORPO DE ATERRO (95% DE ENERGIA DO PROCTOR NORMAL) COM SOLO PREDOMINANTEMENTE ARENOSO, EM CAMADAS COM ESPESSURA DE 20 CM - EXCLUSIVE ESCAVAÇÃO, CARGA E TRANSPORTE E SOLO. AF_09/2024</t>
  </si>
  <si>
    <t>EXECUÇÃO E COMPACTAÇÃO DE CAMADA FINAL DE ATERRO (100% DE ENERGIA DO PROCTOR NORMAL) COM SOLO PREDOMINANTEMENTE ARENOSO, EM CAMADAS COM ESPESSURA DE 20 CM - EXCLUSIVE ESCAVAÇÃO, CARGA E TRANSPORTE E SOLO. AF_09/2024</t>
  </si>
  <si>
    <t>REGULARIZAÇÃO E COMPACTAÇÃO DE SUBLEITO DE SOLO PREDOMINANTEMENTE ARGILOSO, PARA OBRAS DE CONSTRUÇÃO DE PAVIMENTOS. AF_09/2024</t>
  </si>
  <si>
    <t>REGULARIZAÇÃO E COMPACTAÇÃO DE SUBLEITO DE SOLO PREDOMINANTEMENTE ARENOSO, PARA OBRAS DE CONSTRUÇÃO DE PAVIMENTOS. AF_09/2024</t>
  </si>
  <si>
    <t>REGULARIZAÇÃO E COMPACTAÇÃO DE SUBLEITO DE SOLO PREDOMINANTEMENTE ARGILOSO, PARA OBRAS DE RECONSTRUÇÃO DE PAVIMENTOS. AF_09/2024</t>
  </si>
  <si>
    <t>REGULARIZAÇÃO E COMPACTAÇÃO DE SUBLEITO DE SOLO PREDOMINANTEMENTE ARENOSO, PARA OBRAS DE RECONSTRUÇÃO DE PAVIMENTOS. AF_09/2024</t>
  </si>
  <si>
    <t>CONSTRUÇÃO DE BASE E SUB-BASE PARA PAVIMENTAÇÃO DE SOLO DE COMPORTAMENTO LATERÍTICO (ARENOSO), COM ESPESSURA DE 15 CM - EXCLUSIVE ESCAVAÇÃO, CARGA E TRANSPORTE E SOLO. AF_09/2024</t>
  </si>
  <si>
    <t>CONSTRUÇÃO DE BASE E SUB-BASE PARA PAVIMENTAÇÃO DE SOLO (PREDOMINANTEMENTE ARENOSO) MELHORADO COM CIMENTO - 2%, MISTURA EM PISTA, COM ESPESSURA DE 15 CM - EXCLUSIVE ESCAVAÇÃO, CARGA E TRANSPORTE E SOLO. AF_09/2024</t>
  </si>
  <si>
    <t>CONSTRUÇÃO DE BASE E SUB-BASE PARA PAVIMENTAÇÃO DE SOLO (PREDOMINANTEMENTE ARENOSO) MELHORADO COM CIMENTO - 4%, MISTURA EM PISTA, COM ESPESSURA DE 15 CM - EXCLUSIVE ESCAVAÇÃO, CARGA E TRANSPORTE E SOLO. AF_09/2024</t>
  </si>
  <si>
    <t>CONSTRUÇÃO DE BASE E SUB-BASE PARA PAVIMENTAÇÃO DE SOLO (PREDOMINANTEMENTE ARENOSO) COM CIMENTO - 6%, MISTURA EM PISTA, COM ESPESSURA DE 15 CM - EXCLUSIVE ESCAVAÇÃO, CARGA E TRANSPORTE E SOLO. AF_09/2024</t>
  </si>
  <si>
    <t>CONSTRUÇÃO DE BASE E SUB-BASE PARA PAVIMENTAÇÃO DE SOLO (PREDOMINANTEMENTE ARENOSO) COM CIMENTO - 8%, MISTURA EM PISTA, COM ESPESSURA DE 15 CM - EXCLUSIVE ESCAVAÇÃO, CARGA E TRANSPORTE E SOLO. AF_09/2024</t>
  </si>
  <si>
    <t>CONSTRUÇÃO DE BASE E SUB-BASE PARA PAVIMENTAÇÃO DE BRITA GRADUADA SIMPLES, COM ESPESSURA DE 15 CM - EXCLUSIVE CARGA E TRANSPORTE. AF_09/2024</t>
  </si>
  <si>
    <t>CONSTRUÇÃO DE BASE E SUB-BASE PARA PAVIMENTAÇÃO DE BRITA GRADUADA SIMPLES TRATADA COM CIMENTO, COM ESPESSURA DE 15 CM - EXCLUSIVE CARGA E TRANSPORTE. AF_09/2024</t>
  </si>
  <si>
    <t>CONSTRUÇÃO DE BASE E SUB-BASE PARA PAVIMENTAÇÃO DE CONCRETO COMPACTADO COM ROLO, COM ESPESSURA DE 15 CM - EXCLUSIVE CARGA E TRANSPORTE. AF_09/2024</t>
  </si>
  <si>
    <t>CONSTRUÇÃO DE BASE E SUB-BASE PARA PAVIMENTAÇÃO DE RACHÃO, COM ESPESSURA DE 40 CM - EXCLUSIVE CARGA E TRANSPORTE. AF_09/2024</t>
  </si>
  <si>
    <t>CONSTRUÇÃO DE BASE E SUB-BASE PARA PAVIMENTAÇÃO DE MACADAME SECO, COM ESPESSURA DE 15 CM - EXCLUSIVE CARGA E TRANSPORTE. AF_09/2024</t>
  </si>
  <si>
    <t>CONSTRUÇÃO DE BASE E SUB-BASE PARA PAVIMENTAÇÃO DE SOLO (PREDOMINANTEMENTE ARENOSO) BRITA - 40%-60%, MISTURA EM PISTA, COM ESPESSURA DE 15 CM - EXCLUSIVE ESCAVAÇÃO, CARGA E TRANSPORTE E SOLO. AF_09/2024</t>
  </si>
  <si>
    <t>CONSTRUÇÃO DE BASE E SUB-BASE PARA PAVIMENTAÇÃO DE SOLO (PREDOMINANTEMENTE ARENOSO) BRITA - 50%-50%, MISTURA EM PISTA, COM ESPESSURA DE 15 CM - EXCLUSIVE ESCAVAÇÃO, CARGA E TRANSPORTE E SOLO. AF_09/2024</t>
  </si>
  <si>
    <t>CONSTRUÇÃO DE BASE E SUB-BASE PARA PAVIMENTAÇÃO DE SOLO (PREDOMINANTEMENTE ARENOSO) BRITA - 40%-60% COM CIMENTO - 4%, MISTURA EM PISTA, COM ESPESSURA DE 15 CM - EXCLUSIVE ESCAVAÇÃO, CARGA E TRANSPORTE E SOLO. AF_09/2024</t>
  </si>
  <si>
    <t>CONSTRUÇÃO DE BASE E SUB-BASE PARA PAVIMENTAÇÃO DE SOLO (PREDOMINANTEMENTE ARENOSO) BRITA - 40%-60% COM CIMENTO - 6%, MISTURA EM PISTA, COM ESPESSURA DE 15 CM - EXCLUSIVE ESCAVAÇÃO, CARGA E TRANSPORTE E SOLO. AF_09/2024</t>
  </si>
  <si>
    <t>CONSTRUÇÃO DE BASE E SUB-BASE PARA PAVIMENTAÇÃO DE SOLO (PREDOMINANTEMENTE ARENOSO) BRITA - 40%-60% COM CIMENTO - 8%, MISTURA EM PISTA, COM ESPESSURA DE 15 CM - EXCLUSIVE ESCAVAÇÃO, CARGA E TRANSPORTE E SOLO. AF_09/2024</t>
  </si>
  <si>
    <t>CONSTRUÇÃO DE BASE E SUB-BASE PARA PAVIMENTAÇÃO DE SOLO (PREDOMINANTEMENTE ARENOSO) BRITA - 50%-50% COM CIMENTO - 4%, MISTURA EM PISTA, COM ESPESSURA DE 15 CM - EXCLUSIVE ESCAVAÇÃO, CARGA E TRANSPORTE E SOLO. AF_09/2024</t>
  </si>
  <si>
    <t>CONSTRUÇÃO DE BASE E SUB-BASE PARA PAVIMENTAÇÃO DE SOLO (PREDOMINANTEMENTE ARENOSO) BRITA - 50%-50% COM CIMENTO - 6%, MISTURA EM PISTA, COM ESPESSURA DE 15 CM - EXCLUSIVE ESCAVAÇÃO, CARGA E TRANSPORTE E SOLO. AF_09/2024</t>
  </si>
  <si>
    <t>CONSTRUÇÃO DE BASE E SUB-BASE PARA PAVIMENTAÇÃO DE SOLO (PREDOMINANTEMENTE ARENOSO) BRITA - 50%-50% COM CIMENTO - 8%, MISTURA EM PISTA, COM ESPESSURA DE 15 CM - EXCLUSIVE ESCAVAÇÃO, CARGA E TRANSPORTE E SOLO. AF_09/2024</t>
  </si>
  <si>
    <t>CONSTRUÇÃO DE BASE E SUB-BASE PARA PAVIMENTAÇÃO DE SOLO (PREDOMINANTEMENTE ARGILOSO) BRITA - 40%-60%, MISTURA EM PISTA, COM ESPESSURA DE 15 CM - EXCLUSIVE ESCAVAÇÃO, CARGA E TRANSPORTE E SOLO. AF_09/2024</t>
  </si>
  <si>
    <t>CONSTRUÇÃO DE BASE E SUB-BASE PARA PAVIMENTAÇÃO DE SOLO (PREDOMINANTEMENTE ARGILOSO) BRITA - 50%-50%, MISTURA EM PISTA, COM ESPESSURA DE 15 CM - EXCLUSIVE ESCAVAÇÃO, CARGA E TRANSPORTE E SOLO. AF_09/2024</t>
  </si>
  <si>
    <t>ESPALHAMENTO DE MATERIAL COM TRATOR DE ESTEIRAS. AF_09/2024</t>
  </si>
  <si>
    <t>REGULARIZAÇÃO DE SUPERFÍCIES COM MOTONIVELADORA. AF_09/2024</t>
  </si>
  <si>
    <t>CONSTRUÇÃO DE BASE E SUB-BASE PARA PAVIMENTAÇÃO DE SOLO ESTABILIZADO GRANULOMETRICAMENTE COM MISTURA DE SOLOS EM PISTA - EXCLUSIVE SOLO, ESCAVAÇÃO, CARGA E TRANSPORTE. AF_09/2024</t>
  </si>
  <si>
    <t>CONSTRUÇÃO DE BASE E SUB-BASE PARA PAVIMENTAÇÃO DE SOLO ESTABILIZADO GRANULOMETRICAMENTE SEM MISTURA DE SOLOS - EXCLUSIVE SOLO, ESCAVAÇÃO, CARGA E TRANSPORTE. AF_09/2024</t>
  </si>
  <si>
    <t>CONSTRUÇÃO DE BASE E SUB-BASE PARA PAVIMENTAÇÃO DE SOLO DE COMPORTAMENTO LATERÍTICO (ARENOSO), COM ESPESSURA DE 10 CM - EXCLUSIVE ESCAVAÇÃO, CARGA E TRANSPORTE E SOLO. AF_09/2024</t>
  </si>
  <si>
    <t>RECONSTRUÇÃO DE BASE E SUB-BASE PARA PAVIMENTAÇÃO DE SOLO DE COMPORTAMENTO LATERÍTICO (ARENOSO), COM ESPESSURA DE 10 CM - EXCLUSIVE ESCAVAÇÃO, CARGA E TRANSPORTE E SOLO. AF_09/2024</t>
  </si>
  <si>
    <t>RECONSTRUÇÃO DE BASE E SUB-BASE PARA PAVIMENTAÇÃO DE SOLO DE COMPORTAMENTO LATERÍTICO (ARENOSO), COM ESPESSURA DE 15 CM - EXCLUSIVE ESCAVAÇÃO, CARGA E TRANSPORTE E SOLO. AF_09/2024</t>
  </si>
  <si>
    <t>CONSTRUÇÃO DE BASE E SUB-BASE PARA PAVIMENTAÇÃO DE SOLO DE COMPORTAMENTO LATERÍTICO (ARENOSO), COM ESPESSURA DE 20 CM - EXCLUSIVE ESCAVAÇÃO, CARGA E TRANSPORTE E SOLO. AF_09/2024</t>
  </si>
  <si>
    <t>RECONSTRUÇÃO DE BASE E SUB-BASE PARA PAVIMENTAÇÃO DE SOLO DE COMPORTAMENTO LATERÍTICO (ARENOSO), COM ESPESSURA DE 20 CM - EXCLUSIVE ESCAVAÇÃO, CARGA E TRANSPORTE E SOLO. AF_09/2024</t>
  </si>
  <si>
    <t>CONSTRUÇÃO DE BASE E SUB-BASE PARA PAVIMENTAÇÃO DE SOLO (PREDOMINANTEMENTE ARENOSO) MELHORADO COM CIMENTO - 2%, MISTURA EM PISTA, COM ESPESSURA DE 10 CM - EXCLUSIVE ESCAVAÇÃO, CARGA E TRANSPORTE E SOLO. AF_09/2024</t>
  </si>
  <si>
    <t>RECONSTRUÇÃO DE BASE E SUB-BASE PARA PAVIMENTAÇÃO DE SOLO (PREDOMINANTEMENTE ARENOSO) MELHORADO COM CIMENTO - 2%, MISTURA EM PISTA, COM ESPESSURA DE 10 CM - EXCLUSIVE ESCAVAÇÃO, CARGA E TRANSPORTE E SOLO. AF_09/2024</t>
  </si>
  <si>
    <t>RECONSTRUÇÃO DE BASE E SUB-BASE PARA PAVIMENTAÇÃO DE SOLO (PREDOMINANTEMENTE ARENOSO) MELHORADO COM CIMENTO - 4%, MISTURA EM PISTA, COM ESPESSURA DE 10 CM - EXCLUSIVE ESCAVAÇÃO, CARGA E TRANSPORTE E SOLO. AF_09/2024</t>
  </si>
  <si>
    <t>RECONSTRUÇÃO DE BASE E SUB-BASE PARA PAVIMENTAÇÃO DE SOLO (PREDOMINANTEMENTE ARENOSO) MELHORADO COM CIMENTO - 2%, MISTURA EM PISTA, COM ESPESSURA DE 15 CM - EXCLUSIVE ESCAVAÇÃO, CARGA E TRANSPORTE E SOLO. AF_09/2024</t>
  </si>
  <si>
    <t>CONSTRUÇÃO DE BASE E SUB-BASE PARA PAVIMENTAÇÃO DE SOLO (PREDOMINANTEMENTE ARENOSO) MELHORADO COM CIMENTO - 2%, MISTURA EM PISTA, COM ESPESSURA DE 20 CM - EXCLUSIVE ESCAVAÇÃO, CARGA E TRANSPORTE E SOLO. AF_09/2024</t>
  </si>
  <si>
    <t>RECONSTRUÇÃO DE BASE E SUB-BASE PARA PAVIMENTAÇÃO DE SOLO (PREDOMINANTEMENTE ARENOSO) MELHORADO COM CIMENTO - 2%, MISTURA EM PISTA, COM ESPESSURA DE 20 CM - EXCLUSIVE ESCAVAÇÃO, CARGA E TRANSPORTE E SOLO. AF_09/2024</t>
  </si>
  <si>
    <t>RECONSTRUÇÃO DE BASE E SUB-BASE PARA PAVIMENTAÇÃO DE SOLO (PREDOMINANTEMENTE ARENOSO) BRITA - 40%-60%, MISTURA EM PISTA, COM ESPESSURA DE 10 CM - EXCLUSIVE ESCAVAÇÃO, CARGA E TRANSPORTE E SOLO. AF_09/2024</t>
  </si>
  <si>
    <t>RECONSTRUÇÃO DE BASE E SUB-BASE PARA PAVIMENTAÇÃO DE SOLO (PREDOMINANTEMENTE ARENOSO) BRITA - 40%-60%, MISTURA EM PISTA, COM ESPESSURA DE 15 CM - EXCLUSIVE ESCAVAÇÃO, CARGA E TRANSPORTE E SOLO. AF_09/2024</t>
  </si>
  <si>
    <t>RECONSTRUÇÃO DE BASE E SUB-BASE PARA PAVIMENTAÇÃO DE SOLO (PREDOMINANTEMENTE ARENOSO) BRITA - 50%-50%, MISTURA EM PISTA, COM ESPESSURA DE 10 CM - EXCLUSIVE ESCAVAÇÃO, CARGA E TRANSPORTE E SOLO. AF_09/2024</t>
  </si>
  <si>
    <t>RECONSTRUÇÃO DE BASE E SUB-BASE PARA PAVIMENTAÇÃO DE SOLO (PREDOMINANTEMENTE ARENOSO) BRITA - 50%-50%, MISTURA EM PISTA, COM ESPESSURA DE 15 CM - EXCLUSIVE ESCAVAÇÃO, CARGA E TRANSPORTE E SOLO. AF_09/2024</t>
  </si>
  <si>
    <t>CONSTRUÇÃO DE BASE E SUB-BASE PARA PAVIMENTAÇÃO DE SOLO (PREDOMINANTEMENTE ARENOSO) BRITA - 50%-50%, MISTURA EM PISTA, COM ESPESSURA DE 20 CM - EXCLUSIVE ESCAVAÇÃO, CARGA E TRANSPORTE E SOLO. AF_09/2024</t>
  </si>
  <si>
    <t>RECONSTRUÇÃO DE BASE E SUB-BASE PARA PAVIMENTAÇÃO DE SOLO (PREDOMINANTEMENTE ARENOSO) BRITA - 50%-50%, MISTURA EM PISTA, COM ESPESSURA DE 20 CM - EXCLUSIVE ESCAVAÇÃO, CARGA E TRANSPORTE E SOLO. AF_09/2024</t>
  </si>
  <si>
    <t>CONSTRUÇÃO DE BASE E SUB-BASE PARA PAVIMENTAÇÃO DE SOLO (PREDOMINANTEMENTE ARGILOSO) BRITA - 40%-60%, MISTURA EM PISTA, COM ESPESSURA DE 10 CM - EXCLUSIVE ESCAVAÇÃO, CARGA E TRANSPORTE E SOLO. AF_09/2024</t>
  </si>
  <si>
    <t>RECONSTRUÇÃO DE BASE E SUB-BASE PARA PAVIMENTAÇÃO DE SOLO (PREDOMINANTEMENTE ARGILOSO) BRITA - 40%-60%, MISTURA EM PISTA, COM ESPESSURA DE 10 CM - EXCLUSIVE ESCAVAÇÃO, CARGA E TRANSPORTE E SOLO. AF_09/2024</t>
  </si>
  <si>
    <t>RECONSTRUÇÃO DE BASE E SUB-BASE PARA PAVIMENTAÇÃO DE SOLO (PREDOMINANTEMENTE ARGILOSO) BRITA - 40%-60%, MISTURA EM PISTA, COM ESPESSURA DE 15 CM - EXCLUSIVE ESCAVAÇÃO, CARGA E TRANSPORTE E SOLO. AF_09/2024</t>
  </si>
  <si>
    <t>CONSTRUÇÃO DE BASE E SUB-BASE PARA PAVIMENTAÇÃO DE SOLO (PREDOMINANTEMENTE ARGILOSO) BRITA - 40%-60%, MISTURA EM PISTA, COM ESPESSURA DE 20 CM - EXCLUSIVE ESCAVAÇÃO, CARGA E TRANSPORTE E SOLO. AF_09/2024</t>
  </si>
  <si>
    <t>RECONSTRUÇÃO DE BASE E SUB-BASE PARA PAVIMENTAÇÃO DE SOLO (PREDOMINANTEMENTE ARGILOSO) BRITA - 40%-60%, MISTURA EM PISTA, COM ESPESSURA DE 20 CM - EXCLUSIVE ESCAVAÇÃO, CARGA E TRANSPORTE E SOLO. AF_09/2024</t>
  </si>
  <si>
    <t>CONSTRUÇÃO DE BASE E SUB-BASE PARA PAVIMENTAÇÃO DE SOLO (PREDOMINANTEMENTE ARGILOSO) BRITA - 50%-50%, MISTURA EM PISTA, COM ESPESSURA DE 10 CM - EXCLUSIVE ESCAVAÇÃO, CARGA E TRANSPORTE E SOLO. AF_09/2024</t>
  </si>
  <si>
    <t>RECONSTRUÇÃO DE BASE E SUB-BASE PARA PAVIMENTAÇÃO DE SOLO (PREDOMINANTEMENTE ARGILOSO) BRITA - 50%-50%, MISTURA EM PISTA, COM ESPESSURA DE 10 CM - EXCLUSIVE ESCAVAÇÃO, CARGA E TRANSPORTE E SOLO. AF_09/2024</t>
  </si>
  <si>
    <t>RECONSTRUÇÃO DE BASE E SUB-BASE PARA PAVIMENTAÇÃO DE SOLO (PREDOMINANTEMENTE ARGILOSO) BRITA - 50%-50%, MISTURA EM PISTA, COM ESPESSURA DE 15 CM - EXCLUSIVE ESCAVAÇÃO, CARGA E TRANSPORTE E SOLO. AF_09/2024</t>
  </si>
  <si>
    <t>CONSTRUÇÃO DE BASE E SUB-BASE PARA PAVIMENTAÇÃO DE SOLO (PREDOMINANTEMENTE ARGILOSO) BRITA - 50%-50%, MISTURA EM PISTA, COM ESPESSURA DE 20 CM - EXCLUSIVE ESCAVAÇÃO, CARGA E TRANSPORTE E SOLO. AF_09/2024</t>
  </si>
  <si>
    <t>RECONSTRUÇÃO DE BASE E SUB-BASE PARA PAVIMENTAÇÃO DE SOLO (PREDOMINANTEMENTE ARGILOSO) BRITA - 50%-50%, MISTURA EM PISTA, COM ESPESSURA DE 20 CM - EXCLUSIVE ESCAVAÇÃO, CARGA E TRANSPORTE E SOLO. AF_09/2024</t>
  </si>
  <si>
    <t>CONSTRUÇÃO DE BASE E SUB-BASE PARA PAVIMENTAÇÃO DE SOLO (PREDOMINANTEMENTE ARENOSO) MELHORADO COM CIMENTO - 4%, MISTURA EM PISTA, COM ESPESSURA DE 10 CM - EXCLUSIVE ESCAVAÇÃO, CARGA E TRANSPORTE E SOLO. AF_09/2024</t>
  </si>
  <si>
    <t>CONSTRUÇÃO DE BASE E SUB-BASE PARA PAVIMENTAÇÃO DE SOLO (PREDOMINANTEMENTE ARENOSO) COM CIMENTO - 6%, MISTURA EM PISTA, COM ESPESSURA DE 10 CM - EXCLUSIVE ESCAVAÇÃO, CARGA E TRANSPORTE E SOLO. AF_09/2024</t>
  </si>
  <si>
    <t>CONSTRUÇÃO DE BASE E SUB-BASE PARA PAVIMENTAÇÃO DE SOLO (PREDOMINANTEMENTE ARENOSO) COM CIMENTO - 8%, MISTURA EM PISTA, COM ESPESSURA DE 10 CM - EXCLUSIVE ESCAVAÇÃO, CARGA E TRANSPORTE E SOLO. AF_09/2024</t>
  </si>
  <si>
    <t>RECONSTRUÇÃO DE BASE E SUB-BASE PARA PAVIMENTAÇÃO DE SOLO (PREDOMINANTEMENTE ARENOSO) COM CIMENTO - 6%, MISTURA EM PISTA, COM ESPESSURA DE 10 CM - EXCLUSIVE ESCAVAÇÃO, CARGA E TRANSPORTE E SOLO. AF_09/2024</t>
  </si>
  <si>
    <t>RECONSTRUÇÃO DE BASE E SUB-BASE PARA PAVIMENTAÇÃO DE SOLO (PREDOMINANTEMENTE ARENOSO) COM CIMENTO - 8%, MISTURA EM PISTA, COM ESPESSURA DE 10 CM - EXCLUSIVE ESCAVAÇÃO, CARGA E TRANSPORTE E SOLO. AF_09/2024</t>
  </si>
  <si>
    <t>RECONSTRUÇÃO DE BASE E SUB-BASE PARA PAVIMENTAÇÃO DE SOLO (PREDOMINANTEMENTE ARENOSO) MELHORADO COM CIMENTO - 4%, MISTURA EM PISTA, COM ESPESSURA DE 15 CM - EXCLUSIVE ESCAVAÇÃO, CARGA E TRANSPORTE E SOLO. AF_09/2024</t>
  </si>
  <si>
    <t>RECONSTRUÇÃO DE BASE E SUB-BASE PARA PAVIMENTAÇÃO DE SOLO (PREDOMINANTEMENTE ARENOSO) COM CIMENTO - 6%, MISTURA EM PISTA, COM ESPESSURA DE 15 CM - EXCLUSIVE ESCAVAÇÃO, CARGA E TRANSPORTE E SOLO. AF_09/2024</t>
  </si>
  <si>
    <t>RECONSTRUÇÃO DE BASE E SUB-BASE PARA PAVIMENTAÇÃO DE SOLO (PREDOMINANTEMENTE ARENOSO) COM CIMENTO - 8%, MISTURA EM PISTA, COM ESPESSURA DE 15 CM - EXCLUSIVE ESCAVAÇÃO, CARGA E TRANSPORTE E SOLO. AF_09/2024</t>
  </si>
  <si>
    <t>CONSTRUÇÃO DE BASE E SUB-BASE PARA PAVIMENTAÇÃO DE SOLO (PREDOMINANTEMENTE ARENOSO) MELHORADO COM CIMENTO - 4%, MISTURA EM PISTA, COM ESPESSURA DE 20 CM - EXCLUSIVE ESCAVAÇÃO, CARGA E TRANSPORTE E SOLO. AF_09/2024</t>
  </si>
  <si>
    <t>CONSTRUÇÃO DE BASE E SUB-BASE PARA PAVIMENTAÇÃO DE SOLO (PREDOMINANTEMENTE ARENOSO) COM CIMENTO - 6%, MISTURA EM PISTA, COM ESPESSURA DE 20 CM - EXCLUSIVE ESCAVAÇÃO, CARGA E TRANSPORTE E SOLO. AF_09/2024</t>
  </si>
  <si>
    <t>CONSTRUÇÃO DE BASE E SUB-BASE PARA PAVIMENTAÇÃO DE SOLO (PREDOMINANTEMENTE ARENOSO) COM CIMENTO - 8%, MISTURA EM PISTA, COM ESPESSURA DE 20 CM - EXCLUSIVE ESCAVAÇÃO, CARGA E TRANSPORTE E SOLO. AF_09/2024</t>
  </si>
  <si>
    <t>RECONSTRUÇÃO DE BASE E SUB-BASE PARA PAVIMENTAÇÃO DE SOLO (PREDOMINANTEMENTE ARENOSO) MELHORADO COM CIMENTO - 4%, MISTURA EM PISTA, COM ESPESSURA DE 20 CM - EXCLUSIVE ESCAVAÇÃO, CARGA E TRANSPORTE E SOLO. AF_09/2024</t>
  </si>
  <si>
    <t>RECONSTRUÇÃO DE BASE E SUB-BASE PARA PAVIMENTAÇÃO DE SOLO (PREDOMINANTEMENTE ARENOSO) COM CIMENTO - 6%, MISTURA EM PISTA, COM ESPESSURA DE 20 CM - EXCLUSIVE ESCAVAÇÃO, CARGA E TRANSPORTE E SOLO. AF_09/2024</t>
  </si>
  <si>
    <t>RECONSTRUÇÃO DE BASE E SUB-BASE PARA PAVIMENTAÇÃO DE SOLO (PREDOMINANTEMENTE ARENOSO) COM CIMENTO - 8%, MISTURA EM PISTA, COM ESPESSURA DE 20 CM - EXCLUSIVE ESCAVAÇÃO, CARGA E TRANSPORTE E SOLO. AF_09/2024</t>
  </si>
  <si>
    <t>CONSTRUÇÃO DE BASE E SUB-BASE PARA PAVIMENTAÇÃO DE SOLO (PREDOMINANTEMENTE ARENOSO) BRITA - 40%-60% COM CIMENTO - 4%, MISTURA EM PISTA, COM ESPESSURA DE 10 CM - EXCLUSIVE ESCAVAÇÃO, CARGA E TRANSPORTE E SOLO. AF_09/2024</t>
  </si>
  <si>
    <t>CONSTRUÇÃO DE BASE E SUB-BASE PARA PAVIMENTAÇÃO DE SOLO (PREDOMINANTEMENTE ARENOSO) BRITA - 40%-60% COM CIMENTO - 6%, MISTURA EM PISTA, COM ESPESSURA DE 10 CM - EXCLUSIVE ESCAVAÇÃO, CARGA E TRANSPORTE E SOLO. AF_09/2024</t>
  </si>
  <si>
    <t>CONSTRUÇÃO DE BASE E SUB-BASE PARA PAVIMENTAÇÃO DE SOLO (PREDOMINANTEMENTE ARENOSO) BRITA - 40%-60% COM CIMENTO - 8%, MISTURA EM PISTA, COM ESPESSURA DE 10 CM - EXCLUSIVE ESCAVAÇÃO, CARGA E TRANSPORTE E SOLO. AF_09/2024</t>
  </si>
  <si>
    <t>RECONSTRUÇÃO DE BASE E SUB-BASE PARA PAVIMENTAÇÃO DE SOLO (PREDOMINANTEMENTE ARENOSO) BRITA - 40%-60% COM CIMENTO - 4%, MISTURA EM PISTA, COM ESPESSURA DE 10 CM - EXCLUSIVE ESCAVAÇÃO, CARGA E TRANSPORTE E SOLO. AF_09/2024</t>
  </si>
  <si>
    <t>RECONSTRUÇÃO DE BASE E SUB-BASE PARA PAVIMENTAÇÃO DE SOLO (PREDOMINANTEMENTE ARENOSO) BRITA - 40%-60% COM CIMENTO - 6%, MISTURA EM PISTA, COM ESPESSURA DE 10 CM - EXCLUSIVE ESCAVAÇÃO, CARGA E TRANSPORTE E SOLO. AF_09/2024</t>
  </si>
  <si>
    <t>RECONSTRUÇÃO DE BASE E SUB-BASE PARA PAVIMENTAÇÃO DE SOLO (PREDOMINANTEMENTE ARENOSO) BRITA - 40%-60% COM CIMENTO - 8%, MISTURA EM PISTA, COM ESPESSURA DE 10 CM - EXCLUSIVE ESCAVAÇÃO, CARGA E TRANSPORTE E SOLO. AF_09/2024</t>
  </si>
  <si>
    <t>RECONSTRUÇÃO DE BASE E SUB-BASE PARA PAVIMENTAÇÃO DE SOLO (PREDOMINANTEMENTE ARENOSO) BRITA - 40%-60% COM CIMENTO - 4%, MISTURA EM PISTA, COM ESPESSURA DE 15 CM - EXCLUSIVE ESCAVAÇÃO, CARGA E TRANSPORTE E SOLO. AF_09/2024</t>
  </si>
  <si>
    <t>RECONSTRUÇÃO DE BASE E SUB-BASE PARA PAVIMENTAÇÃO DE SOLO (PREDOMINANTEMENTE ARENOSO) BRITA - 40%-60% COM CIMENTO - 6%, MISTURA EM PISTA, COM ESPESSURA DE 15 CM - EXCLUSIVE ESCAVAÇÃO, CARGA E TRANSPORTE E SOLO. AF_09/2024</t>
  </si>
  <si>
    <t>RECONSTRUÇÃO DE BASE E SUB-BASE PARA PAVIMENTAÇÃO DE SOLO (PREDOMINANTEMENTE ARENOSO) BRITA - 40%-60% COM CIMENTO - 8%, MISTURA EM PISTA, COM ESPESSURA DE 15 CM - EXCLUSIVE ESCAVAÇÃO, CARGA E TRANSPORTE E SOLO. AF_09/2024</t>
  </si>
  <si>
    <t>CONSTRUÇÃO DE BASE E SUB-BASE PARA PAVIMENTAÇÃO DE SOLO (PREDOMINANTEMENTE ARENOSO) BRITA - 40%-60% COM CIMENTO - 4%, MISTURA EM PISTA, COM ESPESSURA DE 20 CM - EXCLUSIVE ESCAVAÇÃO, CARGA E TRANSPORTE E SOLO. AF_09/2024</t>
  </si>
  <si>
    <t>CONSTRUÇÃO DE BASE E SUB-BASE PARA PAVIMENTAÇÃO DE SOLO (PREDOMINANTEMENTE ARENOSO) BRITA - 40%-60% COM CIMENTO - 6%, MISTURA EM PISTA, COM ESPESSURA DE 20 CM - EXCLUSIVE ESCAVAÇÃO, CARGA E TRANSPORTE E SOLO. AF_09/2024</t>
  </si>
  <si>
    <t>CONSTRUÇÃO DE BASE E SUB-BASE PARA PAVIMENTAÇÃO DE SOLO (PREDOMINANTEMENTE ARENOSO) BRITA - 40%-60% COM CIMENTO - 8%, MISTURA EM PISTA, COM ESPESSURA DE 20 CM - EXCLUSIVE ESCAVAÇÃO, CARGA E TRANSPORTE E SOLO. AF_09/2024</t>
  </si>
  <si>
    <t>RECONSTRUÇÃO DE BASE E SUB-BASE PARA PAVIMENTAÇÃO DE SOLO (PREDOMINANTEMENTE ARENOSO) BRITA - 40%-60% COM CIMENTO - 4%, MISTURA EM PISTA, COM ESPESSURA DE 20 CM - EXCLUSIVE ESCAVAÇÃO, CARGA E TRANSPORTE E SOLO. AF_09/2024</t>
  </si>
  <si>
    <t>RECONSTRUÇÃO DE BASE E SUB-BASE PARA PAVIMENTAÇÃO DE SOLO (PREDOMINANTEMENTE ARENOSO) BRITA - 40%-60% COM CIMENTO - 6%, MISTURA EM PISTA, COM ESPESSURA DE 20 CM - EXCLUSIVE ESCAVAÇÃO, CARGA E TRANSPORTE E SOLO. AF_09/2024</t>
  </si>
  <si>
    <t>RECONSTRUÇÃO DE BASE E SUB-BASE PARA PAVIMENTAÇÃO DE SOLO (PREDOMINANTEMENTE ARENOSO) BRITA - 40%-60% COM CIMENTO - 8%, MISTURA EM PISTA, COM ESPESSURA DE 20 CM - EXCLUSIVE ESCAVAÇÃO, CARGA E TRANSPORTE E SOLO. AF_09/2024</t>
  </si>
  <si>
    <t>CONSTRUÇÃO DE BASE E SUB-BASE PARA PAVIMENTAÇÃO DE SOLO (PREDOMINANTEMENTE ARENOSO) BRITA - 50%-50% COM CIMENTO - 4%, MISTURA EM PISTA, COM ESPESSURA DE 10 CM - EXCLUSIVE ESCAVAÇÃO, CARGA E TRANSPORTE E SOLO. AF_09/2024</t>
  </si>
  <si>
    <t>CONSTRUÇÃO DE BASE E SUB-BASE PARA PAVIMENTAÇÃO DE SOLO (PREDOMINANTEMENTE ARENOSO) BRITA - 50%-50% COM CIMENTO - 6%, MISTURA EM PISTA, COM ESPESSURA DE 10 CM - EXCLUSIVE ESCAVAÇÃO, CARGA E TRANSPORTE E SOLO. AF_09/2024</t>
  </si>
  <si>
    <t>CONSTRUÇÃO DE BASE E SUB-BASE PARA PAVIMENTAÇÃO DE SOLO (PREDOMINANTEMENTE ARENOSO) BRITA - 50%-50% COM CIMENTO - 8%, MISTURA EM PISTA, COM ESPESSURA DE 10 CM - EXCLUSIVE ESCAVAÇÃO, CARGA E TRANSPORTE E SOLO. AF_09/2024</t>
  </si>
  <si>
    <t>RECONSTRUÇÃO DE BASE E SUB-BASE PARA PAVIMENTAÇÃO DE SOLO (PREDOMINANTEMENTE ARENOSO) BRITA - 50%-50% COM CIMENTO - 4%, MISTURA EM PISTA, COM ESPESSURA DE 10 CM - EXCLUSIVE ESCAVAÇÃO, CARGA E TRANSPORTE E SOLO. AF_09/2024</t>
  </si>
  <si>
    <t>RECONSTRUÇÃO DE BASE E SUB-BASE PARA PAVIMENTAÇÃO DE SOLO (PREDOMINANTEMENTE ARENOSO) BRITA - 50%-50% COM CIMENTO - 6%, MISTURA EM PISTA, COM ESPESSURA DE 10 CM - EXCLUSIVE ESCAVAÇÃO, CARGA E TRANSPORTE E SOLO. AF_09/2024</t>
  </si>
  <si>
    <t>RECONSTRUÇÃO DE BASE E SUB-BASE PARA PAVIMENTAÇÃO DE SOLO (PREDOMINANTEMENTE ARENOSO) BRITA - 50%-50% COM CIMENTO - 8%, MISTURA EM PISTA, COM ESPESSURA DE 10 CM - EXCLUSIVE ESCAVAÇÃO, CARGA E TRANSPORTE E SOLO. AF_09/2024</t>
  </si>
  <si>
    <t>RECONSTRUÇÃO DE BASE E SUB-BASE PARA PAVIMENTAÇÃO DE SOLO (PREDOMINANTEMENTE ARENOSO) BRITA - 50%-50% COM CIMENTO - 4%, MISTURA EM PISTA, COM ESPESSURA DE 15 CM - EXCLUSIVE ESCAVAÇÃO, CARGA E TRANSPORTE E SOLO. AF_09/2024</t>
  </si>
  <si>
    <t>RECONSTRUÇÃO DE BASE E SUB-BASE PARA PAVIMENTAÇÃO DE SOLO (PREDOMINANTEMENTE ARENOSO) BRITA - 50%-50% COM CIMENTO - 6%, MISTURA EM PISTA, COM ESPESSURA DE 15 CM - EXCLUSIVE ESCAVAÇÃO, CARGA E TRANSPORTE E SOLO. AF_09/2024</t>
  </si>
  <si>
    <t>RECONSTRUÇÃO DE BASE E SUB-BASE PARA PAVIMENTAÇÃO DE SOLO (PREDOMINANTEMENTE ARENOSO) BRITA - 50%-50% COM CIMENTO - 8%, MISTURA EM PISTA, COM ESPESSURA DE 15 CM - EXCLUSIVE ESCAVAÇÃO, CARGA E TRANSPORTE E SOLO. AF_09/2024</t>
  </si>
  <si>
    <t>CONSTRUÇÃO DE BASE E SUB-BASE PARA PAVIMENTAÇÃO DE SOLO (PREDOMINANTEMENTE ARENOSO) BRITA - 50%-50% COM CIMENTO - 4%, MISTURA EM PISTA, COM ESPESSURA DE 20 CM - EXCLUSIVE ESCAVAÇÃO, CARGA E TRANSPORTE E SOLO. AF_09/2024</t>
  </si>
  <si>
    <t>CONSTRUÇÃO DE BASE E SUB-BASE PARA PAVIMENTAÇÃO DE SOLO (PREDOMINANTEMENTE ARENOSO) BRITA - 50%-50% COM CIMENTO - 6%, MISTURA EM PISTA, COM ESPESSURA DE 20 CM - EXCLUSIVE ESCAVAÇÃO, CARGA E TRANSPORTE E SOLO. AF_09/2024</t>
  </si>
  <si>
    <t>CONSTRUÇÃO DE BASE E SUB-BASE PARA PAVIMENTAÇÃO DE SOLO (PREDOMINANTEMENTE ARENOSO) BRITA - 50%-50% COM CIMENTO - 8%, MISTURA EM PISTA, COM ESPESSURA DE 20 CM - EXCLUSIVE ESCAVAÇÃO, CARGA E TRANSPORTE E SOLO. AF_09/2024</t>
  </si>
  <si>
    <t>RECONSTRUÇÃO DE BASE E SUB-BASE PARA PAVIMENTAÇÃO DE SOLO (PREDOMINANTEMENTE ARENOSO) BRITA - 50%-50% COM CIMENTO - 4%, MISTURA EM PISTA, COM ESPESSURA DE 20 CM - EXCLUSIVE ESCAVAÇÃO, CARGA E TRANSPORTE E SOLO. AF_09/2024</t>
  </si>
  <si>
    <t>RECONSTRUÇÃO DE BASE E SUB-BASE PARA PAVIMENTAÇÃO DE SOLO (PREDOMINANTEMENTE ARENOSO) BRITA - 50%-50% COM CIMENTO - 6%, MISTURA EM PISTA, COM ESPESSURA DE 20 CM - EXCLUSIVE ESCAVAÇÃO, CARGA E TRANSPORTE E SOLO. AF_09/2024</t>
  </si>
  <si>
    <t>RECONSTRUÇÃO DE BASE E SUB-BASE PARA PAVIMENTAÇÃO DE SOLO (PREDOMINANTEMENTE ARENOSO) BRITA - 50%-50% COM CIMENTO - 8%, MISTURA EM PISTA, COM ESPESSURA DE 20 CM - EXCLUSIVE ESCAVAÇÃO, CARGA E TRANSPORTE E SOLO. AF_09/2024</t>
  </si>
  <si>
    <t>CONSTRUÇÃO DE BASE E SUB-BASE PARA PAVIMENTAÇÃO DE SOLO (PREDOMINANTEMENTE ARENOSO) BRITA - 40%-60%, MISTURA EM PISTA, COM ESPESSURA DE 10 CM - EXCLUSIVE ESCAVAÇÃO, CARGA E TRANSPORTE E SOLO. AF_09/2024</t>
  </si>
  <si>
    <t>CONSTRUÇÃO DE BASE E SUB-BASE PARA PAVIMENTAÇÃO DE SOLO (PREDOMINANTEMENTE ARENOSO) BRITA - 40%-60%, MISTURA EM PISTA, COM ESPESSURA DE 20 CM - EXCLUSIVE ESCAVAÇÃO, CARGA E TRANSPORTE E SOLO. AF_09/2024</t>
  </si>
  <si>
    <t>RECONSTRUÇÃO DE BASE E SUB-BASE PARA PAVIMENTAÇÃO DE SOLO (PREDOMINANTEMENTE ARENOSO) BRITA - 40%-60%, MISTURA EM PISTA, COM ESPESSURA DE 20 CM - EXCLUSIVE ESCAVAÇÃO, CARGA E TRANSPORTE E SOLO. AF_09/2024</t>
  </si>
  <si>
    <t>CONSTRUÇÃO DE BASE E SUB-BASE PARA PAVIMENTAÇÃO DE SOLO (PREDOMINANTEMENTE ARENOSO) BRITA - 50%-50%, MISTURA EM PISTA, COM ESPESSURA DE 10 CM - EXCLUSIVE ESCAVAÇÃO, CARGA E TRANSPORTE E SOLO. AF_09/2024</t>
  </si>
  <si>
    <t>CONSTRUÇÃO DE BASE E SUB-BASE PARA PAVIMENTAÇÃO DE BRITA GRADUADA SIMPLES, COM ESPESSURA DE 10 CM - EXCLUSIVE CARGA E TRANSPORTE. AF_09/2024</t>
  </si>
  <si>
    <t>RECONSTRUÇÃO DE BASE E SUB-BASE PARA PAVIMENTAÇÃO DE BRITA GRADUADA SIMPLES, COM ESPESSURA DE 10 CM - EXCLUSIVE CARGA E TRANSPORTE. AF_09/2024</t>
  </si>
  <si>
    <t>RECONSTRUÇÃO DE BASE E SUB-BASE PARA PAVIMENTAÇÃO DE BRITA GRADUADA SIMPLES, COM ESPESSURA DE 15 CM - EXCLUSIVE CARGA E TRANSPORTE. AF_09/2024</t>
  </si>
  <si>
    <t>CONSTRUÇÃO DE BASE E SUB-BASE PARA PAVIMENTAÇÃO DE BRITA GRADUADA SIMPLES, COM ESPESSURA DE 20 CM - EXCLUSIVE CARGA E TRANSPORTE. AF_09/2024</t>
  </si>
  <si>
    <t>RECONSTRUÇÃO DE BASE E SUB-BASE PARA PAVIMENTAÇÃO DE BRITA GRADUADA SIMPLES, COM ESPESSURA DE 20 CM - EXCLUSIVE CARGA E TRANSPORTE. AF_09/2024</t>
  </si>
  <si>
    <t>CONSTRUÇÃO DE BASE E SUB-BASE PARA PAVIMENTAÇÃO DE BRITA GRADUADA SIMPLES TRATADA COM CIMENTO, COM ESPESSURA DE 10 CM - EXCLUSIVE CARGA E TRANSPORTE. AF_09/2024</t>
  </si>
  <si>
    <t>RECONSTRUÇÃO DE BASE E SUB-BASE PARA PAVIMENTAÇÃO DE BRITA GRADUADA SIMPLES TRATADA COM CIMENTO, COM ESPESSURA DE 10 CM - EXCLUSIVE CARGA E TRANSPORTE. AF_09/2024</t>
  </si>
  <si>
    <t>RECONSTRUÇÃO DE BASE E SUB-BASE PARA PAVIMENTAÇÃO DE BRITA GRADUADA SIMPLES TRATADA COM CIMENTO, COM ESPESSURA DE 15 CM - EXCLUSIVE CARGA E TRANSPORTE. AF_09/2024</t>
  </si>
  <si>
    <t>CONSTRUÇÃO DE BASE E SUB-BASE PARA PAVIMENTAÇÃO DE BRITA GRADUADA SIMPLES TRATADA COM CIMENTO, COM ESPESSURA DE 20 CM - EXCLUSIVE CARGA E TRANSPORTE. AF_09/2024</t>
  </si>
  <si>
    <t>RECONSTRUÇÃO DE BASE E SUB-BASE PARA PAVIMENTAÇÃO DE BRITA GRADUADA SIMPLES TRATADA COM CIMENTO, COM ESPESSURA DE 20 CM - EXCLUSIVE CARGA E TRANSPORTE. AF_09/2024</t>
  </si>
  <si>
    <t>CONSTRUÇÃO DE BASE E SUB-BASE PARA PAVIMENTAÇÃO DE CONCRETO COMPACTADO COM ROLO, COM ESPESSURA DE 10 CM - EXCLUSIVE CARGA E TRANSPORTE. AF_09/2024</t>
  </si>
  <si>
    <t>RECONSTRUÇÃO DE BASE E SUB-BASE PARA PAVIMENTAÇÃO DE CONCRETO COMPACTADO COM ROLO, COM ESPESSURA DE 10 CM - EXCLUSIVE CARGA E TRANSPORTE. AF_09/2024</t>
  </si>
  <si>
    <t>RECONSTRUÇÃO DE BASE E SUB-BASE PARA PAVIMENTAÇÃO DE CONCRETO COMPACTADO COM ROLO, COM ESPESSURA DE 15 CM - EXCLUSIVE CARGA E TRANSPORTE. AF_09/2024</t>
  </si>
  <si>
    <t>CONSTRUÇÃO DE BASE E SUB-BASE PARA PAVIMENTAÇÃO DE CONCRETO COMPACTADO COM ROLO, COM ESPESSURA DE 20 CM - EXCLUSIVE CARGA E TRANSPORTE. AF_09/2024</t>
  </si>
  <si>
    <t>RECONSTRUÇÃO DE BASE E SUB-BASE PARA PAVIMENTAÇÃO DE CONCRETO COMPACTADO COM ROLO, COM ESPESSURA DE 20 CM - EXCLUSIVE CARGA E TRANSPORTE. AF_09/2024</t>
  </si>
  <si>
    <t>CONSTRUÇÃO DE BASE E SUB-BASE PARA PAVIMENTAÇÃO DE RACHÃO, COM ESPESSURA DE 30 CM - EXCLUSIVE CARGA E TRANSPORTE. AF_09/2024</t>
  </si>
  <si>
    <t>RECONSTRUÇÃO DE BASE E SUB-BASE PARA PAVIMENTAÇÃO DE RACHÃO, COM ESPESSURA DE 30 CM - EXCLUSIVE CARGA E TRANSPORTE. AF_09/2024</t>
  </si>
  <si>
    <t>RECONSTRUÇÃO DE BASE E SUB-BASE PARA PAVIMENTAÇÃO DE RACHÃO, COM ESPESSURA DE 40 CM - EXCLUSIVE CARGA E TRANSPORTE. AF_09/2024</t>
  </si>
  <si>
    <t>CONSTRUÇÃO DE BASE E SUB-BASE PARA PAVIMENTAÇÃO DE RACHÃO, COM ESPESSURA DE 50 CM - EXCLUSIVE CARGA E TRANSPORTE. AF_09/2024</t>
  </si>
  <si>
    <t>RECONSTRUÇÃO DE BASE E SUB-BASE PARA PAVIMENTAÇÃO DE RACHÃO, COM ESPESSURA DE 50 CM - EXCLUSIVE CARGA E TRANSPORTE. AF_09/2024</t>
  </si>
  <si>
    <t>CONSTRUÇÃO DE BASE E SUB-BASE PARA PAVIMENTAÇÃO DE RACHÃO, COM ESPESSURA DE 60 CM - EXCLUSIVE CARGA E TRANSPORTE. AF_09/2024</t>
  </si>
  <si>
    <t>RECONSTRUÇÃO DE BASE E SUB-BASE PARA PAVIMENTAÇÃO DE RACHÃO, COM ESPESSURA DE 60 CM - EXCLUSIVE CARGA E TRANSPORTE. AF_09/2024</t>
  </si>
  <si>
    <t>CONSTRUÇÃO DE BASE E SUB-BASE PARA PAVIMENTAÇÃO DE MACADAME SECO, COM ESPESSURA DE 10 CM - EXCLUSIVE CARGA E TRANSPORTE. AF_09/2024</t>
  </si>
  <si>
    <t>RECONSTRUÇÃO DE BASE E SUB-BASE PARA PAVIMENTAÇÃO DE MACADAME SECO, COM ESPESSURA DE 10 CM - EXCLUSIVE CARGA E TRANSPORTE. AF_09/2024</t>
  </si>
  <si>
    <t>RECONSTRUÇÃO DE BASE E SUB-BASE PARA PAVIMENTAÇÃO DE MACADAME SECO, COM ESPESSURA DE 15 CM - EXCLUSIVE CARGA E TRANSPORTE. AF_09/2024</t>
  </si>
  <si>
    <t>CONSTRUÇÃO DE BASE E SUB-BASE PARA PAVIMENTAÇÃO DE MACADAME SECO, COM ESPESSURA DE 20 CM - EXCLUSIVE CARGA E TRANSPORTE. AF_09/2024</t>
  </si>
  <si>
    <t>RECONSTRUÇÃO DE BASE E SUB-BASE PARA PAVIMENTAÇÃO DE MACADAME SECO, COM ESPESSURA DE 20 CM - EXCLUSIVE CARGA E TRANSPORTE. AF_09/2024</t>
  </si>
  <si>
    <t>CONSTRUÇÃO DE BASE E SUB-BASE PARA PAVIMENTAÇÃO DE MACADAME SECO, COM ESPESSURA DE 25 CM - EXCLUSIVE CARGA E TRANSPORTE. AF_09/2024</t>
  </si>
  <si>
    <t>RECONSTRUÇÃO DE BASE E SUB-BASE PARA PAVIMENTAÇÃO DE MACADAME SECO, COM ESPESSURA DE 25 CM - EXCLUSIVE CARGA E TRANSPORTE. AF_09/2024</t>
  </si>
  <si>
    <t>REVESTIMENTO CERÂMICO PARA PISO COM PLACAS TIPO ESMALTADA DE DIMENSÕES 35X35 CM APLICADA EM AMBIENTES DE ÁREA MENOR QUE 5 M2. AF_02/2023_PE</t>
  </si>
  <si>
    <t>REVESTIMENTO CERÂMICO PARA PISO COM PLACAS TIPO ESMALTADA DE DIMENSÕES 35X35 CM APLICADA EM AMBIENTES DE ÁREA ENTRE 5 M2 E 10 M2. AF_02/2023_PE</t>
  </si>
  <si>
    <t>REVESTIMENTO CERÂMICO PARA PISO COM PLACAS TIPO ESMALTADA DE DIMENSÕES 35X35 CM APLICADA EM AMBIENTES DE ÁREA MAIOR QUE 10 M2. AF_02/2023_PE</t>
  </si>
  <si>
    <t>REVESTIMENTO CERÂMICO PARA PISO COM PLACAS TIPO ESMALTADA DE DIMENSÕES 45X45 CM APLICADA EM AMBIENTES DE ÁREA MENOR QUE 5 M2. AF_02/2023_PE</t>
  </si>
  <si>
    <t>REVESTIMENTO CERÂMICO PARA PISO COM PLACAS TIPO ESMALTADA DE DIMENSÕES 45X45 CM APLICADA EM AMBIENTES DE ÁREA ENTRE 5 M2 E 10 M2. AF_02/2023_PE</t>
  </si>
  <si>
    <t>REVESTIMENTO CERÂMICO PARA PISO COM PLACAS TIPO ESMALTADA DE DIMENSÕES 45X45 CM APLICADA EM AMBIENTES DE ÁREA MAIOR QUE 10 M2. AF_02/2023_PE</t>
  </si>
  <si>
    <t>REVESTIMENTO CERÂMICO PARA PISO COM PLACAS TIPO ESMALTADA DE DIMENSÕES 60X60 CM APLICADA EM AMBIENTES DE ÁREA MENOR QUE 5 M2. AF_02/2023_PE</t>
  </si>
  <si>
    <t>REVESTIMENTO CERÂMICO PARA PISO COM PLACAS TIPO ESMALTADA DE DIMENSÕES 60X60 CM APLICADA EM AMBIENTES DE ÁREA ENTRE 5 M2 E 10 M2. AF_02/2023_PE</t>
  </si>
  <si>
    <t>REVESTIMENTO CERÂMICO PARA PISO COM PLACAS TIPO ESMALTADA DE DIMENSÕES 60X60 CM APLICADA EM AMBIENTES DE ÁREA MAIOR QUE 10 M2. AF_02/2023_PE</t>
  </si>
  <si>
    <t>REVESTIMENTO CERÂMICO PARA PISO COM PLACAS TIPO ESMALTADA DE DIMENSÕES 80X80 CM APLICADA EM AMBIENTES DE ÁREA MENOR QUE 5 M². AF_02/2023_PE</t>
  </si>
  <si>
    <t>REVESTIMENTO CERÂMICO PARA PISO COM PLACAS TIPO ESMALTADA DE DIMENSÕES 80X80 CM APLICADA EM AMBIENTES DE ÁREA ENTRE 5 M² E 10 M². AF_02/2023_PE</t>
  </si>
  <si>
    <t>REVESTIMENTO CERÂMICO PARA PISO COM PLACAS TIPO ESMALTADA DE DIMENSÕES 80X80 CM APLICADA EM AMBIENTES DE ÁREA MAIOR QUE 10 M². AF_02/2023_PE</t>
  </si>
  <si>
    <t>REVESTIMENTO CERÂMICO PARA PISO COM PLACAS TIPO ESMALTADA DE DIMENSÕES 35X35 CM APLICADA EM DIAGONAL EM AMBIENTES DE ÁREA MENOR QUE 5 M². AF_02/2023_PE</t>
  </si>
  <si>
    <t>REVESTIMENTO CERÂMICO PARA PISO COM PLACAS TIPO ESMALTADA DE DIMENSÕES 35X35 CM APLICADA EM DIAGONAL EM AMBIENTES DE ÁREA ENTRE 5 M² E 10 M². AF_02/2023_PE</t>
  </si>
  <si>
    <t>REVESTIMENTO CERÂMICO PARA PISO COM PLACAS TIPO ESMALTADA DE DIMENSÕES 35X35 CM APLICADA EM DIAGONAL EM AMBIENTES DE ÁREA MAIOR QUE 10 M². AF_02/2023_PE</t>
  </si>
  <si>
    <t>REVESTIMENTO CERÂMICO PARA PISO COM PLACAS TIPO ESMALTADA DE DIMENSÕES 45X45 CM APLICADA EM DIAGONAL EM AMBIENTES DE ÁREA MENOR QUE 5 M². AF_02/2023_PE</t>
  </si>
  <si>
    <t>REVESTIMENTO CERÂMICO PARA PISO COM PLACAS TIPO ESMALTADA DE DIMENSÕES 45X45 CM APLICADA EM DIAGONAL EM AMBIENTES DE ÁREA ENTRE 5 M² E 10 M². AF_02/2023_PE</t>
  </si>
  <si>
    <t>REVESTIMENTO CERÂMICO PARA PISO COM PLACAS TIPO ESMALTADA DE DIMENSÕES 45X45 CM APLICADA EM DIAGONAL EM AMBIENTES DE ÁREA MAIOR QUE 10 M². AF_02/2023_PE</t>
  </si>
  <si>
    <t>RODAPÉ CERÂMICO DE 7CM DE ALTURA COM PLACAS TIPO ESMALTADA DE DIMENSÕES 35X35CM. AF_02/2023</t>
  </si>
  <si>
    <t>RODAPÉ CERÂMICO DE 7CM DE ALTURA COM PLACAS TIPO ESMALTADA DE DIMENSÕES 45X45CM. AF_02/2023</t>
  </si>
  <si>
    <t>RODAPÉ CERÂMICO DE 7CM DE ALTURA COM PLACAS TIPO ESMALTADA DE DIMENSÕES 60X60CM. AF_02/2023</t>
  </si>
  <si>
    <t>REVESTIMENTO CERÂMICO PARA PAREDES INTERNAS COM PLACAS TIPO ESMALTADA DE DIMENSÕES 20X20 CM APLICADAS A MEIA ALTURA DAS PAREDES. AF_02/2023_PE</t>
  </si>
  <si>
    <t>REVESTIMENTO CERÂMICO PARA PAREDES INTERNAS COM PLACAS TIPO ESMALTADA DE DIMENSÕES 25X35 CM APLICADAS NA ALTURA INTEIRA DAS PAREDES. AF_02/2023_PE</t>
  </si>
  <si>
    <t>REVESTIMENTO CERÂMICO PARA PAREDES INTERNAS COM PLACAS TIPO ESMALTADA DE DIMENSÕES 25X35 CM APLICADAS A MEIA ALTURA DAS PAREDES. AF_02/2023_PE</t>
  </si>
  <si>
    <t>REVESTIMENTO CERÂMICO PARA PAREDES INTERNAS COM PLACAS TIPO ESMALTADA DE DIMENSÕES 33X45 CM APLICADAS NA ALTURA INTEIRA DAS PAREDES. AF_02/2023_PE</t>
  </si>
  <si>
    <t>REVESTIMENTO CERÂMICO PARA PAREDES INTERNAS COM PLACAS TIPO ESMALTADA DE DIMENSÕES 33X45 CM APLICADAS A MEIA ALTURA DAS PAREDES. AF_02/2023_PE</t>
  </si>
  <si>
    <t>REVESTIMENTO CERÂMICO PARA PAREDES INTERNAS COM PLACAS TIPO ESMALTADA DE DIMENSÕES 60X60 CM APLICADAS NA ALTURA INTEIRA DAS PAREDES. AF_02/2023_PE</t>
  </si>
  <si>
    <t>REVESTIMENTO CERÂMICO PARA PAREDES INTERNAS COM PLACAS TIPO ESMALTADA DE DIMENSÕES 60X60 CM APLICADAS A MEIA ALTURA DAS PAREDES. AF_02/2023_PE</t>
  </si>
  <si>
    <t>REVESTIMENTO CERÂMICO PARA PAREDES INTERNAS COM PLACAS TIPO ESMALTADA DE DIMENSÕES 20X20 CM APLICADAS EM DIAGONAL, NA ALTURA INTEIRA DAS PAREDES. AF_02/2023_PE</t>
  </si>
  <si>
    <t>REVESTIMENTO CERÂMICO PARA PAREDES INTERNAS COM PLACAS TIPO ESMALTADA DE DIMENSÕES 20X20 CM APLICADAS EM DIAGONAL, A MEIA ALTURA DAS PAREDES. AF_02/2023_PE</t>
  </si>
  <si>
    <t>RODAPÉ CERÂMICO DE 7CM DE ALTURA COM PLACAS TIPO ESMALTADA DE DIMENSÕES 80X80CM. AF_02/2023</t>
  </si>
  <si>
    <t>PROTEÇÃO DE ACESSO A CREMALHEIRA, COM CANCELA FIXADA EM LAJE - 1 MONTAGEM (EXCLUSO CANCELA). AF_03/2024</t>
  </si>
  <si>
    <t>GUARDA-CORPO PARA POÇO DE CREMALHEIRA, COM MONTANTE METÁLICO FIXADO EM LAJE COM CHUMBADOR PARABOLT E FECHAMENTO EM PAINEL DE TELA METÁLICA (EXCLUSO PROTEÇÃO). AF_03/2024</t>
  </si>
  <si>
    <t>PLANTIO DE ÁRVORE ORNAMENTAL COM ALTURA DE MUDA MENOR OU IGUAL A 2,00 M . AF_07/2024</t>
  </si>
  <si>
    <t>PLANTIO DE ÁRVORE ORNAMENTAL COM ALTURA DE MUDA MAIOR QUE 2,00 M E MENOR OU IGUAL A 4,00 M . AF_07/2024</t>
  </si>
  <si>
    <t>PLANTIO DE PALMEIRA COM ALTURA DE MUDA MENOR OU IGUAL A 2,00 M . AF_07/2024</t>
  </si>
  <si>
    <t>REVOLVIMENTO E LIMPEZA MANUAL DE SOLO. AF_07/2024</t>
  </si>
  <si>
    <t>APLICAÇÃO DE ADUBO EM SOLO. AF_07/2024</t>
  </si>
  <si>
    <t>APLICAÇÃO DE CALCÁRIO PARA CORREÇÃO DO PH DO SOLO. AF_07/2024</t>
  </si>
  <si>
    <t>ESPALHAMENTO DE TERRA VEGETAL PARA O PLANTIO. AF_07/2024</t>
  </si>
  <si>
    <t>PLANTIO DE GRAMA EM PAVIMENTO CONCREGRAMA. AF_07/2024</t>
  </si>
  <si>
    <t>PLANTIO DE GRAMA BATATAIS EM PLACAS. AF_07/2024</t>
  </si>
  <si>
    <t>PLANTIO DE FORRAÇÃO. AF_07/2024</t>
  </si>
  <si>
    <t>PLANTIO DE GRAMA ESMERALDA OU SÃO CARLOS OU CURITIBANA, EM PLACAS. AF_07/2024</t>
  </si>
  <si>
    <t>MEMORIAL DE CÁLCULO</t>
  </si>
  <si>
    <t>SUBITEM</t>
  </si>
  <si>
    <t>QUANT.</t>
  </si>
  <si>
    <t>QUANTITATIVO</t>
  </si>
  <si>
    <t>=</t>
  </si>
  <si>
    <t xml:space="preserve">TOTAL </t>
  </si>
  <si>
    <t>●</t>
  </si>
  <si>
    <t>MESES</t>
  </si>
  <si>
    <t>TEMPO INTEGRAL</t>
  </si>
  <si>
    <t>ÁREA</t>
  </si>
  <si>
    <t>HASTE DE ATERRAMENTO COPPERWELD 5/8"X 2.40M</t>
  </si>
  <si>
    <t>CONFORME PROJETO</t>
  </si>
  <si>
    <t>EXTENSÃO</t>
  </si>
  <si>
    <t>VOLUME</t>
  </si>
  <si>
    <t>LARGURA</t>
  </si>
  <si>
    <t>X</t>
  </si>
  <si>
    <t>WC - BANCADA - TAMPO</t>
  </si>
  <si>
    <t>WC - BANCADA - FRONTÃO</t>
  </si>
  <si>
    <t>WC - BANCADA - SAIA</t>
  </si>
  <si>
    <t>APOIO - BANCADA 01 - TAMPO</t>
  </si>
  <si>
    <t>APOIO - BANCADA 01 - FRONTÃO</t>
  </si>
  <si>
    <t>APOIO - BANCADA 01 - SAIA</t>
  </si>
  <si>
    <t>APOIO - BANCADA 02 - TAMPO</t>
  </si>
  <si>
    <t>APOIO - BANCADA 02 - FRONTÃO</t>
  </si>
  <si>
    <t>APOIO - BANCADA 02 - SAIA</t>
  </si>
  <si>
    <t>APOIO</t>
  </si>
  <si>
    <t>WC MASCULINO</t>
  </si>
  <si>
    <t>WC FEMININO</t>
  </si>
  <si>
    <t>WC PNE</t>
  </si>
  <si>
    <t>WC PNE - PEÇA DE APOIO 01</t>
  </si>
  <si>
    <t>WC PNE - PEÇA DE APOIO 02</t>
  </si>
  <si>
    <t>WC PNE - PEÇA DE APOIO 03</t>
  </si>
  <si>
    <t>WC PNE - PEÇA DE APOIO 04</t>
  </si>
  <si>
    <t>ALTURA</t>
  </si>
  <si>
    <t>PORTA 01</t>
  </si>
  <si>
    <t>PORTA 02</t>
  </si>
  <si>
    <t>PORTA 03</t>
  </si>
  <si>
    <t>PORTA 04</t>
  </si>
  <si>
    <t>PORTA 05</t>
  </si>
  <si>
    <t>PORTA 06</t>
  </si>
  <si>
    <t>PORTA 07</t>
  </si>
  <si>
    <t>PORTA 08</t>
  </si>
  <si>
    <t>PORTA 09</t>
  </si>
  <si>
    <t>FACES</t>
  </si>
  <si>
    <t>JANELA 01</t>
  </si>
  <si>
    <t>JANELA 02</t>
  </si>
  <si>
    <t>JANELA 03</t>
  </si>
  <si>
    <t>JANELA 04</t>
  </si>
  <si>
    <t>JANELA 05</t>
  </si>
  <si>
    <t>COBOGÓ</t>
  </si>
  <si>
    <t>PASSEIO 01 - EXTENSÃO 01</t>
  </si>
  <si>
    <t>PASSEIO 01 - EXTENSÃO 02</t>
  </si>
  <si>
    <t>PASSEIO 01 - EXTENSÃO 03</t>
  </si>
  <si>
    <t>PASSEIO 02 - EXTENSÃO 01</t>
  </si>
  <si>
    <t>PASSEIO 02 - EXTENSÃO 02</t>
  </si>
  <si>
    <t>PASSEIO 02 - EXTENSÃO 03</t>
  </si>
  <si>
    <t>PASSEIO 02</t>
  </si>
  <si>
    <t>PASSEIO 01</t>
  </si>
  <si>
    <t>PASSEIO 02 - EXTENSÃO 04</t>
  </si>
  <si>
    <t>PASSEIO 02 - EXTENSÃO 05</t>
  </si>
  <si>
    <t>ESPESSURA</t>
  </si>
  <si>
    <t>PASSEIO 02 - EXTENSÃO 06</t>
  </si>
  <si>
    <t>PASSEIO 02 - EXTENSÃO 07</t>
  </si>
  <si>
    <t>PASSEIO 02 - EXTENSÃO 08</t>
  </si>
  <si>
    <t>PASSEIO 02 - EXTENSÃO 09</t>
  </si>
  <si>
    <t>PODOTÁTIL DIRECIONAL - EXTENSÃO 01</t>
  </si>
  <si>
    <t>PODOTÁTIL DIRECIONAL - EXTENSÃO 02</t>
  </si>
  <si>
    <t>PODOTÁTIL DIRECIONAL - EXTENSÃO 03</t>
  </si>
  <si>
    <t>PODOTÁTIL ALERTA - EXTENSÃO 01</t>
  </si>
  <si>
    <t>PODOTÁTIL ALERTA - EXTENSÃO 02</t>
  </si>
  <si>
    <t>PODOTÁTIL ALERTA - EXTENSÃO 03</t>
  </si>
  <si>
    <t>PODOTÁTIL ALERTA - EXTENSÃO 04</t>
  </si>
  <si>
    <t>AUDITÓRIO 36 PESSOAS</t>
  </si>
  <si>
    <t>INCUBADORA DE EMPRESAS</t>
  </si>
  <si>
    <t>LAB. DE INFORMÁTICA 18 ALUNOS</t>
  </si>
  <si>
    <t>SALA DO PROFESSOR</t>
  </si>
  <si>
    <t>SALA DE PESQUISADORES</t>
  </si>
  <si>
    <t>LAB. DE TECN. DE PRODUTOS AGRÍCOLAS 18 A.</t>
  </si>
  <si>
    <t>P. CIMENTADO - APOIO</t>
  </si>
  <si>
    <t>P. CIMENTADO -  CURRAL DE EMBARQUE</t>
  </si>
  <si>
    <t>P. CIMENTADO - CIRCULAÇÃO</t>
  </si>
  <si>
    <t>P. CIMENTADO - CURRAL BOVINOS</t>
  </si>
  <si>
    <t>P. CIMENTADO - CIRCUL.</t>
  </si>
  <si>
    <t>P. CIMENTADO - BALANÇA</t>
  </si>
  <si>
    <t>P. CIMENTADO - TRONCO</t>
  </si>
  <si>
    <t>P. CIMENTADO - SERINGA</t>
  </si>
  <si>
    <t>P. CIMENTADO - CURRAL CAPRINOS</t>
  </si>
  <si>
    <t>P. INDUSTRIAL - S. DO PROFESSOR</t>
  </si>
  <si>
    <t>P. INDUSTRIAL - LAB. DE REPR. ANIMAL</t>
  </si>
  <si>
    <t>P. INDUSTRIAL - CIRCULAÇÃO</t>
  </si>
  <si>
    <t>P. INDUSTRIAL - LAB. DE TECN. DE PROD.</t>
  </si>
  <si>
    <t>P. INDUSTRIAL - S. DE PESQUISADORES</t>
  </si>
  <si>
    <t>P. INDUSTRIAL - LAB. DE INFORMÁTICA</t>
  </si>
  <si>
    <t>P. INDUSTRIAL - INCUB. DE EMPRESAS</t>
  </si>
  <si>
    <t>P. INDUSTRIAL - AUDITÓRIO</t>
  </si>
  <si>
    <t>PERÍMETRO</t>
  </si>
  <si>
    <t>CIRCULAÇÃO - EXTENSÃO 01</t>
  </si>
  <si>
    <t>CIRCULAÇÃO - EXTENSÃO 02</t>
  </si>
  <si>
    <t>CIRCULAÇÃO - EXTENSÃO 03</t>
  </si>
  <si>
    <t>CIRCULAÇÃO - EXTENSÃO 04</t>
  </si>
  <si>
    <t>CIRCULAÇÃO - EXTENSÃO 05</t>
  </si>
  <si>
    <t>CIRCULAÇÃO - EXTENSÃO 06</t>
  </si>
  <si>
    <t>CIRCULAÇÃO - EXTENSÃO 07</t>
  </si>
  <si>
    <t>CIRCULAÇÃO - EXTENSÃO 08</t>
  </si>
  <si>
    <t>CIRCULAÇÃO - EXTENSÃO 09</t>
  </si>
  <si>
    <t>CIRCULAÇÃO - EXTENSÃO 10</t>
  </si>
  <si>
    <t>CIRCULAÇÃO - EXTENSÃO 11</t>
  </si>
  <si>
    <t>LAB. DE REPRODUÇÃO ANIMAL 18 A.</t>
  </si>
  <si>
    <t>PODOTÁTIL DIRECIONAL - EXTENSÃO 04</t>
  </si>
  <si>
    <t>PODOTÁTIL DIRECIONAL - EXTENSÃO 05</t>
  </si>
  <si>
    <t>PODOTÁTIL DIRECIONAL - EXTENSÃO 06</t>
  </si>
  <si>
    <t>PODOTÁTIL DIRECIONAL - EXTENSÃO 07</t>
  </si>
  <si>
    <t>PODOTÁTIL DIRECIONAL - EXTENSÃO 08</t>
  </si>
  <si>
    <t>PODOTÁTIL DIRECIONAL - EXTENSÃO 09</t>
  </si>
  <si>
    <t>PODOTÁTIL DIRECIONAL - EXTENSÃO 10</t>
  </si>
  <si>
    <t>PODOTÁTIL DIRECIONAL - EXTENSÃO 11</t>
  </si>
  <si>
    <t>PODOTÁTIL DIRECIONAL - EXTENSÃO 12</t>
  </si>
  <si>
    <t>PODOTÁTIL DIRECIONAL - EXTENSÃO 13</t>
  </si>
  <si>
    <t>PODOTÁTIL DIRECIONAL - EXTENSÃO 14</t>
  </si>
  <si>
    <t>PODOTÁTIL DIRECIONAL - EXTENSÃO 15</t>
  </si>
  <si>
    <t>PODOTÁTIL DIRECIONAL - EXTENSÃO 16</t>
  </si>
  <si>
    <t>PODOTÁTIL DIRECIONAL - EXTENSÃO 17</t>
  </si>
  <si>
    <t>PODOTÁTIL DIRECIONAL - EXTENSÃO 18</t>
  </si>
  <si>
    <t>PODOTÁTIL DIRECIONAL - EXTENSÃO 19</t>
  </si>
  <si>
    <t>PODOTÁTIL DIRECIONAL - EXTENSÃO 20</t>
  </si>
  <si>
    <t>PODOTÁTIL ALERTA - EXTENSÃO 05</t>
  </si>
  <si>
    <t>PODOTÁTIL ALERTA - EXTENSÃO 06</t>
  </si>
  <si>
    <t>PODOTÁTIL ALERTA - EXTENSÃO 07</t>
  </si>
  <si>
    <t>PODOTÁTIL ALERTA - EXTENSÃO 08</t>
  </si>
  <si>
    <t>PODOTÁTIL ALERTA - EXTENSÃO 09</t>
  </si>
  <si>
    <t>PODOTÁTIL ALERTA - EXTENSÃO 10</t>
  </si>
  <si>
    <t>PODOTÁTIL ALERTA - EXTENSÃO 11</t>
  </si>
  <si>
    <t>PODOTÁTIL ALERTA - EXTENSÃO 12</t>
  </si>
  <si>
    <t>PODOTÁTIL ALERTA - EXTENSÃO 13</t>
  </si>
  <si>
    <t>PODOTÁTIL ALERTA - EXTENSÃO 14</t>
  </si>
  <si>
    <t>PODOTÁTIL ALERTA - EXTENSÃO 15</t>
  </si>
  <si>
    <t>PODOTÁTIL ALERTA - EXTENSÃO 16</t>
  </si>
  <si>
    <t>PODOTÁTIL ALERTA - EXTENSÃO 17</t>
  </si>
  <si>
    <t>PODOTÁTIL ALERTA - EXTENSÃO 18</t>
  </si>
  <si>
    <t>PODOTÁTIL ALERTA - EXTENSÃO 19</t>
  </si>
  <si>
    <t>PODOTÁTIL ALERTA - EXTENSÃO 20</t>
  </si>
  <si>
    <t>PODOTÁTIL ALERTA - EXTENSÃO 21</t>
  </si>
  <si>
    <t>CALHA - EXTENSÃO 01</t>
  </si>
  <si>
    <t>CALHA - EXTENSÃO 02</t>
  </si>
  <si>
    <t>CALHA - EXTENSÃO 03</t>
  </si>
  <si>
    <t>CALHA - EXTENSÃO 04</t>
  </si>
  <si>
    <t>CALHA - EXTENSÃO 05</t>
  </si>
  <si>
    <t>CALHA - EXTENSÃO 06</t>
  </si>
  <si>
    <t>CALHA - EXTENSÃO 07</t>
  </si>
  <si>
    <t>CALHA - EXTENSÃO 08</t>
  </si>
  <si>
    <t>CALHA - EXTENSÃO 09</t>
  </si>
  <si>
    <t>CALHA - EXTENSÃO 10</t>
  </si>
  <si>
    <t>CALHA - EXTENSÃO 11</t>
  </si>
  <si>
    <t>CALHA - EXTENSÃO 12</t>
  </si>
  <si>
    <t>CALHA - EXTENSÃO 13</t>
  </si>
  <si>
    <t>CALHA - EXTENSÃO 14</t>
  </si>
  <si>
    <t>CALHA - EXTENSÃO 15</t>
  </si>
  <si>
    <t>CALHA - EXTENSÃO 16</t>
  </si>
  <si>
    <t>CALHA - EXTENSÃO 17</t>
  </si>
  <si>
    <t>CALHA - EXTENSÃO 18</t>
  </si>
  <si>
    <t>CALHA - EXTENSÃO 19</t>
  </si>
  <si>
    <t>CALHA - EXTENSÃO 20</t>
  </si>
  <si>
    <t>CALHA - EXTENSÃO 21</t>
  </si>
  <si>
    <t>CALHA - EXTENSÃO 22</t>
  </si>
  <si>
    <t>CALHA - EXTENSÃO 23</t>
  </si>
  <si>
    <t>P. CIMENTADO - CALÇADA 01</t>
  </si>
  <si>
    <t>P. CIMENTADO - CALÇADA 02</t>
  </si>
  <si>
    <t>P. CIMENTADO - CALÇADA 03</t>
  </si>
  <si>
    <t>LABORATÓRIO DE INFORMÁTICA 18 A.</t>
  </si>
  <si>
    <t>WC MASC.</t>
  </si>
  <si>
    <t>CIRCULAÇÃO</t>
  </si>
  <si>
    <t>LAB. DE REPROD. ANIMAL 18 ALUNOS</t>
  </si>
  <si>
    <t>BRISE - EXTENSÃO 01</t>
  </si>
  <si>
    <t>BRISE - EXTENSÃO 02</t>
  </si>
  <si>
    <t>BRISE - EXTENSÃO 03</t>
  </si>
  <si>
    <t>BRISE - EXTENSÃO 04</t>
  </si>
  <si>
    <t>BRISE - EXTENSÃO 05</t>
  </si>
  <si>
    <t>BRISE - EXTENSÃO 06</t>
  </si>
  <si>
    <t>BRISE - EXTENSÃO 07</t>
  </si>
  <si>
    <t>BRISE - EXTENSÃO 08</t>
  </si>
  <si>
    <t>BRISE - EXTENSÃO 09</t>
  </si>
  <si>
    <t>BRISE - EXTENSÃO 10</t>
  </si>
  <si>
    <t>BRISE - EXTENSÃO 11</t>
  </si>
  <si>
    <t>BRISE - EXTENSÃO 12</t>
  </si>
  <si>
    <t>BRISE - EXTENSÃO 13</t>
  </si>
  <si>
    <t>BRISE - EXTENSÃO 14</t>
  </si>
  <si>
    <t>BRISE - EXTENSÃO 15</t>
  </si>
  <si>
    <t>BRISE - EXTENSÃO 16</t>
  </si>
  <si>
    <t>BRISE - EXTENSÃO 17</t>
  </si>
  <si>
    <t>BRISE - EXTENSÃO 18</t>
  </si>
  <si>
    <t>17.1.11</t>
  </si>
  <si>
    <t>PLACA DA OBRA</t>
  </si>
  <si>
    <t>EXTENSÃO 01</t>
  </si>
  <si>
    <t>EXTENSÃO 02</t>
  </si>
  <si>
    <t>EXTENSÃO 03</t>
  </si>
  <si>
    <t>EXTENSÃO 04</t>
  </si>
  <si>
    <t>LIMPEZA MECANIZADA</t>
  </si>
  <si>
    <t>COBERTA - ÁREA 01</t>
  </si>
  <si>
    <t>COBERTA - ÁREA 02</t>
  </si>
  <si>
    <t>COBERTA - ÁREA 03</t>
  </si>
  <si>
    <t>COBERTA - ÁREA 04</t>
  </si>
  <si>
    <t>CUMEEIRA - EXTENSÃO 01</t>
  </si>
  <si>
    <t>CUMEEIRA - EXTENSÃO 02</t>
  </si>
  <si>
    <t>RUFO</t>
  </si>
  <si>
    <t>CHAPIM - EXTENSÃO 01</t>
  </si>
  <si>
    <t>CHAPIM - EXTENSÃO 02</t>
  </si>
  <si>
    <t>CALHA 01 - FUNDO</t>
  </si>
  <si>
    <t>CALHA 02 - FUNDO</t>
  </si>
  <si>
    <t>CALHA 01 - LATERAL 01</t>
  </si>
  <si>
    <t>CALHA 01 - LATERAL 02</t>
  </si>
  <si>
    <t>CALHA 02 - LATERAL 01</t>
  </si>
  <si>
    <t>CALHA 02 - LATERAL 02</t>
  </si>
  <si>
    <t>16.9</t>
  </si>
  <si>
    <t>TESOURA - CURRAL</t>
  </si>
  <si>
    <t>CERCA - EXTENSÃO 01</t>
  </si>
  <si>
    <t>CERCA - EXTENSÃO 02</t>
  </si>
  <si>
    <t>CERCA - EXTENSÃO 03</t>
  </si>
  <si>
    <t>CERCA - EXTENSÃO 04</t>
  </si>
  <si>
    <t>CERCA - EXTENSÃO 05</t>
  </si>
  <si>
    <t>CERCA - EXTENSÃO 06</t>
  </si>
  <si>
    <t>CERCA - EXTENSÃO 07</t>
  </si>
  <si>
    <t>CERCA - EXTENSÃO 08</t>
  </si>
  <si>
    <t>CERCA - EXTENSÃO 09</t>
  </si>
  <si>
    <t>WC MASCULINO - EXTENSÃO 01</t>
  </si>
  <si>
    <t>WC MASCULINO - EXTENSÃO 02</t>
  </si>
  <si>
    <t>WC MASCULINO - EXTENSÃO 03</t>
  </si>
  <si>
    <t>WC MASCULINO - EXTENSÃO 04</t>
  </si>
  <si>
    <t>WC MASCULINO - EXTENSÃO 05</t>
  </si>
  <si>
    <t>WC MASCULINO - EXTENSÃO 06</t>
  </si>
  <si>
    <t>WC FEMININO - EXTENSÃO 01</t>
  </si>
  <si>
    <t>WC FEMININO - EXTENSÃO 02</t>
  </si>
  <si>
    <t>WC FEMININO - EXTENSÃO 03</t>
  </si>
  <si>
    <t>WC FEMININO - EXTENSÃO 04</t>
  </si>
  <si>
    <t>WC FEMININO - EXTENSÃO 05</t>
  </si>
  <si>
    <t>DESCONTO 01</t>
  </si>
  <si>
    <t>DESCONTO 02</t>
  </si>
  <si>
    <t>VÃO</t>
  </si>
  <si>
    <t>+</t>
  </si>
  <si>
    <t>TRANSP. 01</t>
  </si>
  <si>
    <t>TRANSP. 02</t>
  </si>
  <si>
    <t>OBS: O CÁLCULO DO TRANSPASSE LEVA EM CONSIDERAÇÃO O VÃO E A LOCALIZAÇÃO DA ESQUADRIA</t>
  </si>
  <si>
    <t>VERTICAL - ALVENARIA 01</t>
  </si>
  <si>
    <t>VERTICAL - ALVENARIA 02</t>
  </si>
  <si>
    <t>VERTICAL - ALVENARIA 03</t>
  </si>
  <si>
    <t>VERTICAL - ALVENARIA 04</t>
  </si>
  <si>
    <t>VERTICAL - ALVENARIA 05</t>
  </si>
  <si>
    <t>VERTICAL - ALVENARIA 06</t>
  </si>
  <si>
    <t>VERTICAL - ALVENARIA 07</t>
  </si>
  <si>
    <t>VERTICAL - ALVENARIA 08</t>
  </si>
  <si>
    <t>VERTICAL - ALVENARIA 09</t>
  </si>
  <si>
    <t>VERTICAL - ALVENARIA 10</t>
  </si>
  <si>
    <t>VERTICAL - ALVENARIA 11</t>
  </si>
  <si>
    <t>VERTICAL - ALVENARIA 12</t>
  </si>
  <si>
    <t>VERTICAL - ALVENARIA 13</t>
  </si>
  <si>
    <t>VERTICAL - ALVENARIA 14</t>
  </si>
  <si>
    <t>VERTICAL - ALVENARIA 15</t>
  </si>
  <si>
    <t>VERTICAL - ALVENARIA 16</t>
  </si>
  <si>
    <t>VERTICAL - ALVENARIA 17</t>
  </si>
  <si>
    <t>VERTICAL - ALVENARIA 18</t>
  </si>
  <si>
    <t>ALT. MÉDIA</t>
  </si>
  <si>
    <t>VERTICAL - ALVENARIA 19</t>
  </si>
  <si>
    <t>VERTICAL - ALVENARIA 20</t>
  </si>
  <si>
    <t>VERTICAL - ALVENARIA 21</t>
  </si>
  <si>
    <t>VERTICAL - ALVENARIA 22</t>
  </si>
  <si>
    <t>VERTICAL - ALVENARIA 23</t>
  </si>
  <si>
    <t>VERTICAL - ALVENARIA 24</t>
  </si>
  <si>
    <t>VERTICAL - ALVENARIA 25</t>
  </si>
  <si>
    <t>VERTICAL - ALVENARIA 26</t>
  </si>
  <si>
    <t>VERTICAL - ALVENARIA 27</t>
  </si>
  <si>
    <t>VERTICAL - ALVENARIA 28</t>
  </si>
  <si>
    <t>VERTICAL - ALVENARIA 29</t>
  </si>
  <si>
    <t>VERTICAL - ALVENARIA 30</t>
  </si>
  <si>
    <t>VERTICAL - ALVENARIA 31</t>
  </si>
  <si>
    <t>VERTICAL - ALVENARIA 32</t>
  </si>
  <si>
    <t>VERTICAL - ALVENARIA 33</t>
  </si>
  <si>
    <t>VERTICAL - ALVENARIA 34</t>
  </si>
  <si>
    <t>VERTICAL - ALVENARIA 35</t>
  </si>
  <si>
    <t>VERTICAL - ALVENARIA 36</t>
  </si>
  <si>
    <t>VERTICAL - ALVENARIA 37</t>
  </si>
  <si>
    <t>VERTICAL - ALVENARIA 38</t>
  </si>
  <si>
    <t>VERTICAL - ALVENARIA 39</t>
  </si>
  <si>
    <t>VERTICAL - ALVENARIA 40</t>
  </si>
  <si>
    <t>VERTICAL - ALVENARIA 41</t>
  </si>
  <si>
    <t>VERTICAL - ALVENARIA 42</t>
  </si>
  <si>
    <t>VERTICAL - ALVENARIA 43</t>
  </si>
  <si>
    <t>VERTICAL - ALVENARIA 44</t>
  </si>
  <si>
    <t>VERTICAL - ALVENARIA 45</t>
  </si>
  <si>
    <t>VERTICAL - ALVENARIA 46</t>
  </si>
  <si>
    <t>VERTICAL - ALVENARIA 47</t>
  </si>
  <si>
    <t>VERTICAL - ALVENARIA 48</t>
  </si>
  <si>
    <t>VERTICAL - ALVENARIA 49</t>
  </si>
  <si>
    <t>VERTICAL - ALVENARIA 50</t>
  </si>
  <si>
    <t>VERTICAL - ALVENARIA 51</t>
  </si>
  <si>
    <t>VERTICAL - ALVENARIA 52</t>
  </si>
  <si>
    <t>VERTICAL - ALVENARIA 53</t>
  </si>
  <si>
    <t>VERTICAL - ALVENARIA 54</t>
  </si>
  <si>
    <t>VERTICAL - ALVENARIA 55</t>
  </si>
  <si>
    <t>VERTICAL - ALVENARIA 56</t>
  </si>
  <si>
    <t>VERTICAL - ALVENARIA 57</t>
  </si>
  <si>
    <t>HORIZONTAL - ALVENARIA 01</t>
  </si>
  <si>
    <t>HORIZONTAL - ALVENARIA 02</t>
  </si>
  <si>
    <t>HORIZONTAL - ALVENARIA 03</t>
  </si>
  <si>
    <t>HORIZONTAL - ALVENARIA 04</t>
  </si>
  <si>
    <t>HORIZONTAL - ALVENARIA 05</t>
  </si>
  <si>
    <t>HORIZONTAL - ALVENARIA 06</t>
  </si>
  <si>
    <t>HORIZONTAL - ALVENARIA 07</t>
  </si>
  <si>
    <t>HORIZONTAL - ALVENARIA 08</t>
  </si>
  <si>
    <t>HORIZONTAL - ALVENARIA 09</t>
  </si>
  <si>
    <t>HORIZONTAL - ALVENARIA 10</t>
  </si>
  <si>
    <t>HORIZONTAL - ALVENARIA 11</t>
  </si>
  <si>
    <t>HORIZONTAL - ALVENARIA 12</t>
  </si>
  <si>
    <t>HORIZONTAL - ALVENARIA 13</t>
  </si>
  <si>
    <t>HORIZONTAL - ALVENARIA 14</t>
  </si>
  <si>
    <t>HORIZONTAL - ALVENARIA 15</t>
  </si>
  <si>
    <t>HORIZONTAL - ALVENARIA 16</t>
  </si>
  <si>
    <t>HORIZONTAL - ALVENARIA 17</t>
  </si>
  <si>
    <t>HORIZONTAL - ALVENARIA 18</t>
  </si>
  <si>
    <t>HORIZONTAL - ALVENARIA 19</t>
  </si>
  <si>
    <t>HORIZONTAL - ALVENARIA 20</t>
  </si>
  <si>
    <t>HORIZONTAL - ALVENARIA 21</t>
  </si>
  <si>
    <t>HORIZONTAL - ALVENARIA 22</t>
  </si>
  <si>
    <t>HORIZONTAL - ALVENARIA 23</t>
  </si>
  <si>
    <t>HORIZONTAL - ALVENARIA 24</t>
  </si>
  <si>
    <t>HORIZONTAL - ALVENARIA 25</t>
  </si>
  <si>
    <t>HORIZONTAL - ALVENARIA 26</t>
  </si>
  <si>
    <t>HORIZONTAL - ALVENARIA 27</t>
  </si>
  <si>
    <t>HORIZONTAL - ALVENARIA 28</t>
  </si>
  <si>
    <t>HORIZONTAL - ALVENARIA 29</t>
  </si>
  <si>
    <t>HORIZONTAL - ALVENARIA 30</t>
  </si>
  <si>
    <t>HORIZONTAL - ALVENARIA 31</t>
  </si>
  <si>
    <t>HORIZONTAL - ALVENARIA 32</t>
  </si>
  <si>
    <t>HORIZONTAL - ALVENARIA 33</t>
  </si>
  <si>
    <t>HORIZONTAL - ALVENARIA 34</t>
  </si>
  <si>
    <t>HORIZONTAL - ALVENARIA 35</t>
  </si>
  <si>
    <t>HORIZONTAL - ALVENARIA 36</t>
  </si>
  <si>
    <t>HORIZONTAL - ALVENARIA 37</t>
  </si>
  <si>
    <t>HORIZONTAL - ALVENARIA 38</t>
  </si>
  <si>
    <t>HORIZONTAL - ALVENARIA 39</t>
  </si>
  <si>
    <t>HORIZONTAL - ALVENARIA 40</t>
  </si>
  <si>
    <t>HORIZONTAL - ALVENARIA 41</t>
  </si>
  <si>
    <t>HORIZONTAL - ALVENARIA 42</t>
  </si>
  <si>
    <t>HORIZONTAL - ALVENARIA 43</t>
  </si>
  <si>
    <t>HORIZONTAL - ALVENARIA 44</t>
  </si>
  <si>
    <t>HORIZONTAL - ALVENARIA 45</t>
  </si>
  <si>
    <t>HORIZONTAL - ALVENARIA 46</t>
  </si>
  <si>
    <t>HORIZONTAL - ALVENARIA 47</t>
  </si>
  <si>
    <t>HORIZONTAL - ALVENARIA 48</t>
  </si>
  <si>
    <t>HORIZONTAL - ALVENARIA 49</t>
  </si>
  <si>
    <t>PLATIBANDA - EXTENSÃO 01</t>
  </si>
  <si>
    <t>PLATIBANDA - EXTENSÃO 02</t>
  </si>
  <si>
    <t>PLATIBANDA - EXTENSÃO 03</t>
  </si>
  <si>
    <t>PLATIBANDA - EXTENSÃO 04</t>
  </si>
  <si>
    <t>PLATIBANDA - EXTENSÃO 05</t>
  </si>
  <si>
    <t>PLATIBANDA - EXTENSÃO 06</t>
  </si>
  <si>
    <t>PÓRTICO 01</t>
  </si>
  <si>
    <t>PÓRTICO 02</t>
  </si>
  <si>
    <t>DESCONTO - CÓBOGO</t>
  </si>
  <si>
    <t>DESCONTO - ABERTURA DO PÓRTICO</t>
  </si>
  <si>
    <t>DESCONTO - PORTA 01</t>
  </si>
  <si>
    <t>DESCONTO - PORTA 02</t>
  </si>
  <si>
    <t>DESCONTO - PORTA 03</t>
  </si>
  <si>
    <t>DESCONTO - PORTA 04</t>
  </si>
  <si>
    <t>DESCONTO - PORTA 05</t>
  </si>
  <si>
    <t>DESCONTO - PORTA 07</t>
  </si>
  <si>
    <t>DESCONTO - JANELA 01</t>
  </si>
  <si>
    <t>DESCONTO - JANELA 02</t>
  </si>
  <si>
    <t>DESCONTO - JANELA 03</t>
  </si>
  <si>
    <t>DESCONTO - JANELA 04</t>
  </si>
  <si>
    <t>DESCONTO - JANELA 05</t>
  </si>
  <si>
    <t>DESCONTO - PORTA 08</t>
  </si>
  <si>
    <t>ÁREA DE ALVENARIA</t>
  </si>
  <si>
    <t>LAB. DE INFORM. 18 ALUNOS</t>
  </si>
  <si>
    <t>LAB. DE TECN. DE PRODUTOS AGRÍCOLAS</t>
  </si>
  <si>
    <t>CIRCULAÇÃO - EXTENSÃO 12</t>
  </si>
  <si>
    <t>CIRCULAÇÃO - EXTENSÃO 13</t>
  </si>
  <si>
    <t>CIRCULAÇÃO - EXTENSÃO 14</t>
  </si>
  <si>
    <t>CIRCULAÇÃO - EXTENSÃO 15</t>
  </si>
  <si>
    <t>CHAPISCO - EMBOÇO</t>
  </si>
  <si>
    <t>-</t>
  </si>
  <si>
    <t>Á. CHAPISCO</t>
  </si>
  <si>
    <t>Á. EMBOÇO</t>
  </si>
  <si>
    <t>CURRAL - EXTENSÃO HORIZONTAL 01</t>
  </si>
  <si>
    <t>CURRAL - EXTENSÃO HORIZONTAL 02</t>
  </si>
  <si>
    <t>CURRAL - EXTENSÃO HORIZONTAL 03</t>
  </si>
  <si>
    <t>CURRAL - EXTENSÃO HORIZONTAL 04</t>
  </si>
  <si>
    <t>CURRAL - EXTENSÃO HORIZONTAL 05</t>
  </si>
  <si>
    <t>CURRAL - EXTENSÃO HORIZONTAL 06</t>
  </si>
  <si>
    <t>CURRAL - EXTENSÃO HORIZONTAL 07</t>
  </si>
  <si>
    <t>CURRAL - EXTENSÃO HORIZONTAL 08</t>
  </si>
  <si>
    <t>CURRAL - EXTENSÃO HORIZONTAL 09</t>
  </si>
  <si>
    <t>CURRAL - EXTENSÃO HORIZONTAL 10</t>
  </si>
  <si>
    <t>CURRAL - EXTENSÃO HORIZONTAL 11</t>
  </si>
  <si>
    <t>CURRAL - EXTENSÃO HORIZONTAL 12</t>
  </si>
  <si>
    <t>CURRAL - EXTENSÃO HORIZONTAL 13</t>
  </si>
  <si>
    <t>CURRAL - EXTENSÃO VERTICAL 01</t>
  </si>
  <si>
    <t>CURRAL - EXTENSÃO VERTICAL 02</t>
  </si>
  <si>
    <t>CURRAL - EXTENSÃO HORIZONTAL 14</t>
  </si>
  <si>
    <t>CURRAL - EXTENSÃO HORIZONTAL 15</t>
  </si>
  <si>
    <t>CURRAL - EXTENSÃO HORIZONTAL 16</t>
  </si>
  <si>
    <t>CURRAL - EXTENSÃO HORIZONTAL 17</t>
  </si>
  <si>
    <t>CURRAL - EXTENSÃO HORIZONTAL 18</t>
  </si>
  <si>
    <t>CURRAL - EXTENSÃO HORIZONTAL 19</t>
  </si>
  <si>
    <t>CURRAL - EXTENSÃO HORIZONTAL 20</t>
  </si>
  <si>
    <t>CURRAL - EXTENSÃO HORIZONTAL 21</t>
  </si>
  <si>
    <t>CURRAL - EXTENSÃO VERTICAL 03</t>
  </si>
  <si>
    <t>CURRAL - EXTENSÃO VERTICAL 04</t>
  </si>
  <si>
    <t>FACHADA - EXTENSÃO 01</t>
  </si>
  <si>
    <t>FACHADA - EXTENSÃO 02</t>
  </si>
  <si>
    <t>FACHADA - EXTENSÃO 03</t>
  </si>
  <si>
    <t>FACHADA - EXTENSÃO 04</t>
  </si>
  <si>
    <t>FACHADA - EXTENSÃO 05</t>
  </si>
  <si>
    <t>FACHADA - EXTENSÃO 06</t>
  </si>
  <si>
    <t>FACHADA - EXTENSÃO 07</t>
  </si>
  <si>
    <t>FACHADA - EXTENSÃO 08</t>
  </si>
  <si>
    <t>FACHADA - EXTENSÃO 09</t>
  </si>
  <si>
    <t>FACHADA - EXTENSÃO 10</t>
  </si>
  <si>
    <t>FACHADA - EXTENSÃO 11</t>
  </si>
  <si>
    <t>FACHADA - EXTENSÃO 12</t>
  </si>
  <si>
    <t>FACHADA - EXTENSÃO 13</t>
  </si>
  <si>
    <t>FACHADA - EXTENSÃO 14</t>
  </si>
  <si>
    <t>FACHADA - EXTENSÃO 15</t>
  </si>
  <si>
    <t>FACHADA - EXTENSÃO 16</t>
  </si>
  <si>
    <t>FACHADA - EXTENSÃO 17</t>
  </si>
  <si>
    <t>FACHADA - EXTENSÃO 18</t>
  </si>
  <si>
    <t>FACHADA - EXTENSÃO 19</t>
  </si>
  <si>
    <t>FACHADA - EXTENSÃO 20</t>
  </si>
  <si>
    <t>FACHADA - EXTENSÃO 21</t>
  </si>
  <si>
    <t>FACHADA - EXTENSÃO 22</t>
  </si>
  <si>
    <t>FACHADA - EXTENSÃO 23</t>
  </si>
  <si>
    <t>FACHADA - EXTENSÃO 24</t>
  </si>
  <si>
    <t>FACHADA - EXTENSÃO 25</t>
  </si>
  <si>
    <t>FACHADA - EXTENSÃO 26</t>
  </si>
  <si>
    <t>FACHADA - EXTENSÃO 27</t>
  </si>
  <si>
    <t>FACHADA - EXTENSÃO 28</t>
  </si>
  <si>
    <t>FACHADA - EXTENSÃO 29</t>
  </si>
  <si>
    <t>FACHADA - EXTENSÃO 30</t>
  </si>
  <si>
    <t>FACHADA - EXTENSÃO 31</t>
  </si>
  <si>
    <t>FACHADA - EXTENSÃO 32</t>
  </si>
  <si>
    <t>FACHADA - EXTENSÃO 33</t>
  </si>
  <si>
    <t>FACHADA - EXTENSÃO 34</t>
  </si>
  <si>
    <t>FACHADA - EXTENSÃO 35</t>
  </si>
  <si>
    <t>FACHADA - EXTENSÃO 36</t>
  </si>
  <si>
    <t>FACHADA - EXTENSÃO 37</t>
  </si>
  <si>
    <t>FACHADA - EXTENSÃO 38</t>
  </si>
  <si>
    <t>FACHADA - EXTENSÃO 39</t>
  </si>
  <si>
    <t>FACHADA - EXTENSÃO 40</t>
  </si>
  <si>
    <t>FACHADA - EXTENSÃO 41</t>
  </si>
  <si>
    <t>FACHADA - EXTENSÃO 42</t>
  </si>
  <si>
    <t>FACHADA - EXTENSÃO 43</t>
  </si>
  <si>
    <t>FACHADA - EXTENSÃO 44</t>
  </si>
  <si>
    <t>FACHADA - EXTENSÃO 45</t>
  </si>
  <si>
    <t>FACHADA - EXTENSÃO 46</t>
  </si>
  <si>
    <t>FACHADA - EXTENSÃO 47</t>
  </si>
  <si>
    <t>FACHADA - EXTENSÃO 48</t>
  </si>
  <si>
    <t>FACHADA - EXTENSÃO 49</t>
  </si>
  <si>
    <t>FACHADA - EXTENSÃO 50</t>
  </si>
  <si>
    <t>FACHADA - EXTENSÃO 51</t>
  </si>
  <si>
    <t>FACHADA - EXTENSÃO 52</t>
  </si>
  <si>
    <t>FACHADA - EXTENSÃO 53</t>
  </si>
  <si>
    <t>FACHADA - EXTENSÃO 54</t>
  </si>
  <si>
    <t>FACHADA - EXTENSÃO 55</t>
  </si>
  <si>
    <t>FACHADA - EXTENSÃO 56</t>
  </si>
  <si>
    <t>FACHADA - EXTENSÃO 57</t>
  </si>
  <si>
    <t>FACHADA - EXTENSÃO 58</t>
  </si>
  <si>
    <t>FACHADA - EXTENSÃO 59</t>
  </si>
  <si>
    <t>FACHADA - EXTENSÃO 60</t>
  </si>
  <si>
    <t>FACHADA - EXTENSÃO 61</t>
  </si>
  <si>
    <t>FACHADA - EXTENSÃO 62</t>
  </si>
  <si>
    <t>FACHADA - EXTENSÃO 63</t>
  </si>
  <si>
    <t>FACHADA - EXTENSÃO 64</t>
  </si>
  <si>
    <t>FACHADA - EXTENSÃO 65</t>
  </si>
  <si>
    <t>FACHADA - EXTENSÃO 66</t>
  </si>
  <si>
    <t>FACHADA - EXTENSÃO 67</t>
  </si>
  <si>
    <t>FACHADA - EXTENSÃO 68</t>
  </si>
  <si>
    <t>FACHADA - EXTENSÃO 69</t>
  </si>
  <si>
    <t>FACHADA - EXTENSÃO 70</t>
  </si>
  <si>
    <t>FACHADA - EXTENSÃO 71</t>
  </si>
  <si>
    <t>FACHADA - EXTENSÃO 72</t>
  </si>
  <si>
    <t>FACHADA - EXTENSÃO 73</t>
  </si>
  <si>
    <t>FACHADA - EXTENSÃO 74</t>
  </si>
  <si>
    <t>FACHADA - EXTENSÃO 75</t>
  </si>
  <si>
    <t>FACHADA - EXTENSÃO 76</t>
  </si>
  <si>
    <t>FACHADA - EXTENSÃO 77</t>
  </si>
  <si>
    <t>FACHADA - EXTENSÃO 78</t>
  </si>
  <si>
    <t>PÓRTICO - EXTENSÃO 01</t>
  </si>
  <si>
    <t>PÓRTICO - EXTENSÃO 02</t>
  </si>
  <si>
    <t>PILARES DA FACHADA - TIPO 01</t>
  </si>
  <si>
    <t>PILARES DA FACHADA - TIPO 02</t>
  </si>
  <si>
    <t>EMASSAMENTO DE PAREDES INTERNAS</t>
  </si>
  <si>
    <t>EMASSAMENTO DE PAREDES EXTERNAS</t>
  </si>
  <si>
    <t>P. CIMENTADO - EMBARCADOURO</t>
  </si>
  <si>
    <t>PISO INTERTRAVADO</t>
  </si>
  <si>
    <t>PISO INDUSTRIAL NATURAL</t>
  </si>
  <si>
    <t>PISO CIMENTADO</t>
  </si>
  <si>
    <t>REVESTIMENTO CERÂMICO</t>
  </si>
  <si>
    <t>FUNDAÇÃO - SAPATAS 01</t>
  </si>
  <si>
    <t>FUNDAÇÃO - SAPATAS 02</t>
  </si>
  <si>
    <t>FUNDAÇÃO - SAPATAS 03</t>
  </si>
  <si>
    <t>FUNDAÇÃO - SAPATAS 04</t>
  </si>
  <si>
    <t>FUNDAÇÃO - SAPATAS 05</t>
  </si>
  <si>
    <t>FUNDAÇÃO - VIGAS 01</t>
  </si>
  <si>
    <t>FUNDAÇÃO - VIGAS 02</t>
  </si>
  <si>
    <t>FUNDAÇÃO - VIGAS 03</t>
  </si>
  <si>
    <t>FUNDAÇÃO - VIGAS 04</t>
  </si>
  <si>
    <t>FUNDAÇÃO - VIGAS 05</t>
  </si>
  <si>
    <t>TÉRREO - PILARES 01</t>
  </si>
  <si>
    <t>TÉRREO - PILARES 02</t>
  </si>
  <si>
    <t>TÉRREO - PILARES 03</t>
  </si>
  <si>
    <t>TÉRREO - PILARES 04</t>
  </si>
  <si>
    <t>TÉRREO - VIGAS 01</t>
  </si>
  <si>
    <t>TÉRREO - VIGAS 02</t>
  </si>
  <si>
    <t>TÉRREO - VIGAS 03</t>
  </si>
  <si>
    <t>TÉRREO - VIGAS 04</t>
  </si>
  <si>
    <t>TÉRREO - VIGAS 05</t>
  </si>
  <si>
    <t>TÉRREO - VIGAS 06</t>
  </si>
  <si>
    <t>TÉRREO - VIGAS 07</t>
  </si>
  <si>
    <t>TÉRREO - VIGAS 08</t>
  </si>
  <si>
    <t>MASSA</t>
  </si>
  <si>
    <t>FUNDAÇÃO - VIGAS 01 - 5.0 Φ</t>
  </si>
  <si>
    <t>FUNDAÇÃO - VIGAS 01 - 8.0 Φ</t>
  </si>
  <si>
    <t>FUNDAÇÃO - VIGAS 02 - 5.0 Φ</t>
  </si>
  <si>
    <t>FUNDAÇÃO - VIGAS 02 - 8.0 Φ</t>
  </si>
  <si>
    <t>FUNDAÇÃO - VIGAS 03 - 5.0 Φ</t>
  </si>
  <si>
    <t>FUNDAÇÃO - VIGAS 03 - 8.0 Φ</t>
  </si>
  <si>
    <t>FUNDAÇÃO - VIGAS 04 - 5.0 Φ</t>
  </si>
  <si>
    <t>FUNDAÇÃO - VIGAS 04 - 8.0 Φ</t>
  </si>
  <si>
    <t>FUNDAÇÃO - SAPATAS 01 - 5.0 Φ</t>
  </si>
  <si>
    <t>FUNDAÇÃO - SAPATAS 01 - 8.0 Φ</t>
  </si>
  <si>
    <t>FUNDAÇÃO - SAPATAS 01 - 10.0 Φ</t>
  </si>
  <si>
    <t>FUNDAÇÃO - SAPATAS 01 - 12.5 Φ</t>
  </si>
  <si>
    <t>FUNDAÇÃO - SAPATAS 02 - 5.0 Φ</t>
  </si>
  <si>
    <t>FUNDAÇÃO - SAPATAS 02 - 8.0 Φ</t>
  </si>
  <si>
    <t>FUNDAÇÃO - SAPATAS 02 - 10.0 Φ</t>
  </si>
  <si>
    <t>FUNDAÇÃO - SAPATAS 02 - 12.5 Φ</t>
  </si>
  <si>
    <t>FUNDAÇÃO - SAPATAS 03 - 5.0 Φ</t>
  </si>
  <si>
    <t>FUNDAÇÃO - SAPATAS 03 - 8.0 Φ</t>
  </si>
  <si>
    <t>FUNDAÇÃO - SAPATAS 03 - 10.0 Φ</t>
  </si>
  <si>
    <t>FUNDAÇÃO - SAPATAS 03 - 12.5 Φ</t>
  </si>
  <si>
    <t>FUNDAÇÃO - SAPATAS 04 - 5.0 Φ</t>
  </si>
  <si>
    <t>FUNDAÇÃO - SAPATAS 04 - 8.0 Φ</t>
  </si>
  <si>
    <t>FUNDAÇÃO - SAPATAS 04 - 10.0 Φ</t>
  </si>
  <si>
    <t>FUNDAÇÃO - SAPATAS 04 - 12.5 Φ</t>
  </si>
  <si>
    <t>FUNDAÇÃO - SAPATAS 05 - 5.0 Φ</t>
  </si>
  <si>
    <t>FUNDAÇÃO - SAPATAS 05 - 8.0 Φ</t>
  </si>
  <si>
    <t>FUNDAÇÃO - SAPATAS 05 - 10.0 Φ</t>
  </si>
  <si>
    <t>FUNDAÇÃO - SAPATAS 05 - 12.5 Φ</t>
  </si>
  <si>
    <t>TÉRREO - PILARES 01 - 5.0 Φ</t>
  </si>
  <si>
    <t>TÉRREO - PILARES 01 - 10.0 Φ</t>
  </si>
  <si>
    <t>TÉRREO - PILARES 01 - 12.5 Φ</t>
  </si>
  <si>
    <t>TÉRREO - PILARES 02 - 5.0 Φ</t>
  </si>
  <si>
    <t>TÉRREO - PILARES 02 - 10.0 Φ</t>
  </si>
  <si>
    <t>TÉRREO - PILARES 03 - 5.0 Φ</t>
  </si>
  <si>
    <t>TÉRREO - PILARES 03 - 10.0 Φ</t>
  </si>
  <si>
    <t>TÉRREO - PILARES 04 - 5.0 Φ</t>
  </si>
  <si>
    <t>TÉRREO - PILARES 04 - 10.0 Φ</t>
  </si>
  <si>
    <t>TÉRREO - VIGAS 01 - 5.0 Φ</t>
  </si>
  <si>
    <t>TÉRREO - VIGAS 01 - 6.3 Φ</t>
  </si>
  <si>
    <t>TÉRREO - VIGAS 01 - 8.0 Φ</t>
  </si>
  <si>
    <t>TÉRREO - VIGAS 01 - 10.0 Φ</t>
  </si>
  <si>
    <t>TÉRREO - VIGAS 02 - 5.0 Φ</t>
  </si>
  <si>
    <t>TÉRREO - VIGAS 02 - 6.3 Φ</t>
  </si>
  <si>
    <t>TÉRREO - VIGAS 02 - 8.0 Φ</t>
  </si>
  <si>
    <t>TÉRREO - VIGAS 02 - 10.0 Φ</t>
  </si>
  <si>
    <t>TÉRREO - VIGAS 03 - 5.0 Φ</t>
  </si>
  <si>
    <t>TÉRREO - VIGAS 03 - 6.3 Φ</t>
  </si>
  <si>
    <t>TÉRREO - VIGAS 03 - 8.0 Φ</t>
  </si>
  <si>
    <t>TÉRREO - VIGAS 04 - 5.0 Φ</t>
  </si>
  <si>
    <t>TÉRREO - VIGAS 04 - 6.3 Φ</t>
  </si>
  <si>
    <t>TÉRREO - VIGAS 04 - 8.0 Φ</t>
  </si>
  <si>
    <t>TÉRREO - VIGAS 04 - 10.0 Φ</t>
  </si>
  <si>
    <t>TÉRREO - VIGAS 05 - 5.0 Φ</t>
  </si>
  <si>
    <t>TÉRREO - VIGAS 05 - 6.3 Φ</t>
  </si>
  <si>
    <t>TÉRREO - VIGAS 05 - 8.0 Φ</t>
  </si>
  <si>
    <t>TÉRREO - VIGAS 06 - 5.0 Φ</t>
  </si>
  <si>
    <t>TÉRREO - VIGAS 06 - 6.3 Φ</t>
  </si>
  <si>
    <t>TÉRREO - VIGAS 06 - 8.0 Φ</t>
  </si>
  <si>
    <t>TÉRREO - VIGAS 07 - 5.0 Φ</t>
  </si>
  <si>
    <t>TÉRREO - VIGAS 07 - 6.3 Φ</t>
  </si>
  <si>
    <t>TÉRREO - VIGAS 07 - 8.0 Φ</t>
  </si>
  <si>
    <t>TÉRREO - VIGAS 07 - 10.0 Φ</t>
  </si>
  <si>
    <t>TÉRREO - VIGAS 07 - 12.5 Φ</t>
  </si>
  <si>
    <t>TÉRREO - VIGAS 08 - 5.0 Φ</t>
  </si>
  <si>
    <t>TÉRREO - VIGAS 08 - 6.3 Φ</t>
  </si>
  <si>
    <t>TÉRREO - VIGAS 08 - 10.0 Φ</t>
  </si>
  <si>
    <t>TÉRREO - VIGAS 08 - 12.5 Φ</t>
  </si>
  <si>
    <t>4.3.4</t>
  </si>
  <si>
    <t>CALHA 01</t>
  </si>
  <si>
    <t>CALHA 02</t>
  </si>
  <si>
    <t>CALHA 03</t>
  </si>
  <si>
    <t>CALHA 04</t>
  </si>
  <si>
    <t>S1, S6, S7, S8, S9, S10, S11, S18, S19, S20, S21, S22, S52, S53, S54, S55, S56, S64</t>
  </si>
  <si>
    <t>S2, S50, S69, S72</t>
  </si>
  <si>
    <t>S3, S70</t>
  </si>
  <si>
    <t>S4, S16, S57</t>
  </si>
  <si>
    <t>S5, S42</t>
  </si>
  <si>
    <t>S12, S61</t>
  </si>
  <si>
    <t>S13</t>
  </si>
  <si>
    <t>S14</t>
  </si>
  <si>
    <t>S15</t>
  </si>
  <si>
    <t>S17, S51, S63, S65, S66, S67</t>
  </si>
  <si>
    <t>S23, S49</t>
  </si>
  <si>
    <t>S24, S25, S26, S27, S29, S30, S36, S37, S73</t>
  </si>
  <si>
    <t>S28</t>
  </si>
  <si>
    <t>S38</t>
  </si>
  <si>
    <t>S39</t>
  </si>
  <si>
    <t>S43, S47, S48</t>
  </si>
  <si>
    <t>S58</t>
  </si>
  <si>
    <t>S59, S60</t>
  </si>
  <si>
    <t>S41</t>
  </si>
  <si>
    <t>S44, S45, S46</t>
  </si>
  <si>
    <t>S62, S68</t>
  </si>
  <si>
    <t>S71</t>
  </si>
  <si>
    <t>ESCAVAÇÃO</t>
  </si>
  <si>
    <t>DESCONTO - FUNDAÇÃO - SAPATAS 01</t>
  </si>
  <si>
    <t>DESCONTO - FUNDAÇÃO - SAPATAS 02</t>
  </si>
  <si>
    <t>DESCONTO - FUNDAÇÃO - SAPATAS 03</t>
  </si>
  <si>
    <t>DESCONTO - FUNDAÇÃO - SAPATAS 04</t>
  </si>
  <si>
    <t>DESCONTO - FUNDAÇÃO - SAPATAS 05</t>
  </si>
  <si>
    <t>DESCONTO - FUNDAÇÃO - VIGAS 01</t>
  </si>
  <si>
    <t>DESCONTO - FUNDAÇÃO - VIGAS 02</t>
  </si>
  <si>
    <t>DESCONTO - FUNDAÇÃO - VIGAS 03</t>
  </si>
  <si>
    <t>DESCONTO - FUNDAÇÃO - VIGAS 04</t>
  </si>
  <si>
    <t>MINIESCAVADEIRA SOBRE ESTEIRAS, POTÊNCIA LÍQUIDA DE *30* HP, PESO OPERACIONAL DE *3.500* KG - CHP DIURNO. AF_04/2017</t>
  </si>
  <si>
    <t>ROLO COMPACTADOR DE PNEUS, ESTÁTICO, PRESSÃO VARIÁVEL, POTÊNCIA 110 HP, PESO SEM/COM LASTRO 10,8/27 T, LARGURA DE ROLAGEM 2,30 M - CHP DIURNO. AF_06/2017</t>
  </si>
  <si>
    <t>PERFURATRIZ HIDRÁULICA SOBRE ESTEIRA, TORQUE MÁXIMO 161 KNM, PROFUNDIDADE MÁXIMA 54 M, DIÂMETRO MÁXIMO 1500 MM, POTÊNCIA MOTOR 268 HP - CHP DIURNO. AF_04/2019</t>
  </si>
  <si>
    <t>PERFURATRIZ PARA EXECUÇÃO DE ESTACAS SECANTES, TIPO HÉLICE CONTÍNUA COM CABEÇOTE DUPLO E TUBO METÁLICO - CHP DIURNO. AF_04/2019</t>
  </si>
  <si>
    <t>PERFURATRIZ HIDRÁULICA SOBRE ESTEIRA, TORQUE MÁXIMO 98 KNM, PROFUNDIDADE MÁXIMA 25 M, DIÂMETRO MÁXIMO 115 MM, POTÊNCIA MOTOR 190 HP - CHP DIURNO. AF_02/2021</t>
  </si>
  <si>
    <t>PERFURATRIZ ROTATIVA SOBRE ESTEIRA, TORQUE MAXIMO 2500 KGM, POTENCIA 110 HP, MOTOR DIESEL- CHP DIURNO. AF_05/2017</t>
  </si>
  <si>
    <t>PERFURATRIZ PARA FURO DIRECIONAL HORIZONTAL (HDD) COM CAPACIDADE ATÉ 89 KN, POTÊNCIA 24,8 HP A 80 HP (INCLUSO FERRAMENTAS E LOCALIZADOR) - CHP DIURNO. AF_05/2023</t>
  </si>
  <si>
    <t>PERFURATRIZ PARA FURO DIRECIONAL HORIZONTAL (HDD) COM CAPACIDADE DE 90 KN A 200 KN, POTÊNCIA 100 HP A 160 HP (INCLUSO FERRAMENTAS E LOCALIZADOR) - CHP DIURNO. AF_05/2023</t>
  </si>
  <si>
    <t>PERFURATRIZ PARA FURO DIRECIONAL HORIZONTAL (HDD) COM CAPACIDADE DE 201 KN A 560 KN, POTÊNCIA 200 HP A 260 HP (INCLUSO FERRAMENTAS E LOCALIZADOR) - CHP DIURNO. AF_05/2023</t>
  </si>
  <si>
    <t>PERFURATRIZ DE COROA DIAMANTADA PARA CONCRETO, DIÂMETRO ATÉ 250 MM, MOTOR ELÉTRICO 220 V, POTÊNCIA 2.500 W - CHP DIURNO. AF_05/2023</t>
  </si>
  <si>
    <t>MINIESCAVADEIRA SOBRE ESTEIRAS, POTÊNCIA LÍQUIDA DE *30* HP, PESO OPERACIONAL DE *3.500* KG - CHI DIURNO. AF_04/2017</t>
  </si>
  <si>
    <t>ROLO COMPACTADOR DE PNEUS, ESTÁTICO, PRESSÃO VARIÁVEL, POTÊNCIA 110 HP, PESO SEM/COM LASTRO 10,8/27 T, LARGURA DE ROLAGEM 2,30 M - CHI DIURNO. AF_06/2017</t>
  </si>
  <si>
    <t>PERFURATRIZ HIDRÁULICA SOBRE ESTEIRA, TORQUE MÁXIMO 161 KNM, PROFUNDIDADE MÁXIMA 54 M, DIÂMETRO MÁXIMO 1500 MM, POTÊNCIA MOTOR 268 HP - CHI DIURNO. AF_04/2019</t>
  </si>
  <si>
    <t>PERFURATRIZ PARA EXECUÇÃO DE ESTACAS SECANTES, TIPO HÉLICE CONTÍNUA COM CABEÇOTE DUPLO E TUBO METÁLICO - CHI DIURNO. AF_04/2019</t>
  </si>
  <si>
    <t>PERFURATRIZ HIDRÁULICA SOBRE ESTEIRA, TORQUE MÁXIMO 98 KNM, PROFUNDIDADE MÁXIMA 25 M, DIÂMETRO MÁXIMO 115 MM, POTÊNCIA MOTOR 190 HP - CHI DIURNO. AF_02/2021</t>
  </si>
  <si>
    <t>PERFURATRIZ ROTATIVA SOBRE ESTEIRA, TORQUE MAXIMO 2500 KGM, POTENCIA 110 HP, MOTOR DIESEL - CHI DIURNO. AF_05/2017</t>
  </si>
  <si>
    <t>PERFURATRIZ PARA FURO DIRECIONAL HORIZONTAL (HDD) COM CAPACIDADE ATÉ 89 KN, POTÊNCIA 24,8 HP A 80 HP (INCLUSO FERRAMENTAS E LOCALIZADOR) - CHI DIURNO. AF_05/2023</t>
  </si>
  <si>
    <t>PERFURATRIZ PARA FURO DIRECIONAL HORIZONTAL (HDD) COM CAPACIDADE DE 90 KN A 200 KN, POTÊNCIA 100 HP A 160 HP (INCLUSO FERRAMENTAS E LOCALIZADOR) - CHI DIURNO. AF_05/2023</t>
  </si>
  <si>
    <t>PERFURATRIZ PARA FURO DIRECIONAL HORIZONTAL (HDD) COM CAPACIDADE DE 201 KN A 560 KN, POTÊNCIA 200 HP A 260 HP (INCLUSO FERRAMENTAS E LOCALIZADOR) - CHI DIURNO. AF_05/2023</t>
  </si>
  <si>
    <t>PERFURATRIZ DE COROA DIAMANTADA PARA CONCRETO, DIÂMETRO ATÉ 250 MM, MOTOR ELÉTRICO 220 V, POTÊNCIA 2.500 W - CHI DIURNO. AF_05/2023</t>
  </si>
  <si>
    <t>ESCAVADEIRA HIDRÁULICA DE BRAÇO LONGO (LONGO ALCANCE) SOBRE ESTEIRAS, CAÇAMBA 0,52 M3, PESO OPERACIONAL 24 T, POTÊNCIA LÍQUIDA 155 HP - CHI DIURNO. AF_06/2023</t>
  </si>
  <si>
    <t>MINIESCAVADEIRA SOBRE ESTEIRAS, POTÊNCIA LÍQUIDA DE *30* HP, PESO OPERACIONAL DE *3.500* KG - DEPRECIAÇÃO. AF_04/2017</t>
  </si>
  <si>
    <t>MINIESCAVADEIRA SOBRE ESTEIRAS, POTÊNCIA LÍQUIDA DE *30* HP, PESO OPERACIONAL DE *3.500* KG - JUROS. AF_04/2017</t>
  </si>
  <si>
    <t>MINIESCAVADEIRA SOBRE ESTEIRAS, POTÊNCIA LÍQUIDA DE *30* HP, PESO OPERACIONAL DE *3.500* KG - MANUTENÇÃO. AF_04/2017</t>
  </si>
  <si>
    <t>MINIESCAVADEIRA SOBRE ESTEIRAS, POTÊNCIA LÍQUIDA DE *30* HP, PESO OPERACIONAL DE *3.500* KG - MATERIAIS NA OPERAÇÃO. AF_04/2017</t>
  </si>
  <si>
    <t>ROLO COMPACTADOR DE PNEUS, ESTÁTICO, PRESSÃO VARIÁVEL, POTÊNCIA 110 HP, PESO SEM/COM LASTRO 10,8/27 T, LARGURA DE ROLAGEM 2,30 M - MATERIAIS NA OPERAÇÃO. AF_06/2017</t>
  </si>
  <si>
    <t>ROLO COMPACTADOR DE PNEUS, ESTÁTICO, PRESSÃO VARIÁVEL, POTÊNCIA 110 HP, PESO SEM/COM LASTRO 10,8/27 T, LARGURA DE ROLAGEM 2,30 M - MANUTENÇÃO. AF_06/2017</t>
  </si>
  <si>
    <t>ROLO COMPACTADOR DE PNEUS, ESTÁTICO, PRESSÃO VARIÁVEL, POTÊNCIA 110 HP, PESO SEM/COM LASTRO 10,8/27 T, LARGURA DE ROLAGEM 2,30 M - JUROS. AF_06/2017</t>
  </si>
  <si>
    <t>ROLO COMPACTADOR DE PNEUS, ESTÁTICO, PRESSÃO VARIÁVEL, POTÊNCIA 110 HP, PESO SEM/COM LASTRO 10,8/27 T, LARGURA DE ROLAGEM 2,30 M - DEPRECIAÇÃO. AF_06/2017</t>
  </si>
  <si>
    <t>PERFURATRIZ HIDRÁULICA SOBRE ESTEIRA, TORQUE MÁXIMO 161 KNM, PROFUNDIDADE MÁXIMA 54 M, DIÂMETRO MÁXIMO 1500 MM, POTÊNCIA MOTOR 268 HP - DEPRECIAÇÃO. AF_04/2019</t>
  </si>
  <si>
    <t>PERFURATRIZ HIDRÁULICA SOBRE ESTEIRA, TORQUE MÁXIMO 161 KNM, PROFUNDIDADE MÁXIMA 54 M, DIÂMETRO MÁXIMO 1500 MM, POTÊNCIA MOTOR 268 HP - JUROS. AF_04/2019</t>
  </si>
  <si>
    <t>PERFURATRIZ HIDRÁULICA SOBRE ESTEIRA, TORQUE MÁXIMO 161 KNM, PROFUNDIDADE MÁXIMA 54 M, DIÂMETRO MÁXIMO 1500 MM, POTÊNCIA MOTOR 268 HP - MANUTENÇÃO. AF_04/2019</t>
  </si>
  <si>
    <t>PERFURATRIZ PARA EXECUÇÃO DE ESTACAS SECANTES, TIPO HÉLICE CONTÍNUA COM CABEÇOTE DUPLO E TUBO METÁLICO - DEPRECIAÇÃO. AF_04/2019</t>
  </si>
  <si>
    <t>PERFURATRIZ PARA EXECUÇÃO DE ESTACAS SECANTES, TIPO HÉLICE CONTÍNUA COM CABEÇOTE DUPLO E TUBO METÁLICO - JUROS. AF_04/2019</t>
  </si>
  <si>
    <t>PERFURATRIZ PARA EXECUÇÃO DE ESTACAS SECANTES, TIPO HÉLICE CONTÍNUA COM CABEÇOTE DUPLO E TUBO METÁLICO - MANUTENÇÃO. AF_04/2019</t>
  </si>
  <si>
    <t>PERFURATRIZ HIDRÁULICA SOBRE ESTEIRA, TORQUE MÁXIMO 98 KNM, PROFUNDIDADE MÁXIMA 25 M, DIÂMETRO MÁXIMO 115 MM, POTÊNCIA MOTOR 190 HP - DEPRECIAÇÃO. AF_02/2021</t>
  </si>
  <si>
    <t>PERFURATRIZ HIDRÁULICA SOBRE ESTEIRA, TORQUE MÁXIMO 98 KNM, PROFUNDIDADE MÁXIMA 25 M, DIÂMETRO MÁXIMO 115 MM, POTÊNCIA MOTOR 190 HP - JUROS. AF_02/2021</t>
  </si>
  <si>
    <t>PERFURATRIZ HIDRÁULICA SOBRE ESTEIRA, TORQUE MÁXIMO 98 KNM, PROFUNDIDADE MÁXIMA 25 M, DIÂMETRO MÁXIMO 115 MM, POTÊNCIA MOTOR 190 HP - MANUTENÇÃO. AF_02/2021</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</si>
  <si>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</si>
  <si>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</si>
  <si>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</si>
  <si>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PARA FURO DIRECIONAL HORIZONTAL (HDD) COM CAPACIDADE ATÉ 89 KN, POTÊNCIA 24,8 HP A 80 HP (INCLUSO FERRAMENTAS E LOCALIZADOR) - DEPRECIAÇÃO. AF_05/2023</t>
  </si>
  <si>
    <t>PERFURATRIZ PARA FURO DIRECIONAL HORIZONTAL (HDD) COM CAPACIDADE ATÉ 89 KN, POTÊNCIA 24,8 HP A 80 HP (INCLUSO FERRAMENTAS E LOCALIZADOR) - JUROS. AF_05/2023</t>
  </si>
  <si>
    <t>PERFURATRIZ PARA FURO DIRECIONAL HORIZONTAL (HDD) COM CAPACIDADE ATÉ 89 KN, POTÊNCIA 24,8 HP A 80 HP (INCLUSO FERRAMENTAS E LOCALIZADOR) - MANUTENÇÃO. AF_05/2023</t>
  </si>
  <si>
    <t>PERFURATRIZ PARA FURO DIRECIONAL HORIZONTAL (HDD) COM CAPACIDADE DE 90 KN A 200 KN, POTÊNCIA 100 HP A 160 HP (INCLUSO FERRAMENTAS E LOCALIZADOR) - DEPRECIAÇÃO. AF_05/2023</t>
  </si>
  <si>
    <t>PERFURATRIZ PARA FURO DIRECIONAL HORIZONTAL (HDD) COM CAPACIDADE DE 90 KN A 200 KN, POTÊNCIA 100 HP A 160 HP (INCLUSO FERRAMENTAS E LOCALIZADOR) - JUROS. AF_05/2023</t>
  </si>
  <si>
    <t>PERFURATRIZ PARA FURO DIRECIONAL HORIZONTAL (HDD) COM CAPACIDADE DE 90 KN A 200 KN, POTÊNCIA 100 HP A 160 HP (INCLUSO FERRAMENTAS E LOCALIZADOR - MANUTENÇÃO. AF_05/2023</t>
  </si>
  <si>
    <t>PERFURATRIZ PARA FURO DIRECIONAL HORIZONTAL (HDD) COM CAPACIDADE DE 201 KN A 560 KN, POTÊNCIA 200 HP A 260 HP (INCLUSO FERRAMENTAS E LOCALIZADOR) - DEPRECIAÇÃO. AF_05/2023</t>
  </si>
  <si>
    <t>PERFURATRIZ PARA FURO DIRECIONAL HORIZONTAL (HDD) COM CAPACIDADE DE 201 KN A 560 KN, POTÊNCIA 200 HP A 260 HP (INCLUSO FERRAMENTAS E LOCALIZADOR) - JUROS. AF_05/2023</t>
  </si>
  <si>
    <t>PERFURATRIZ PARA FURO DIRECIONAL HORIZONTAL (HDD) COM CAPACIDADE DE 201 KN A 560 KN, POTÊNCIA 200 HP A 260 HP (INCLUSO FERRAMENTAS E LOCALIZADOR) - MANUTENÇÃO. AF_05/2023</t>
  </si>
  <si>
    <t>PERFURATRIZ DE COROA DIAMANTADA PARA CONCRETO, DIÂMETRO ATÉ 250 MM, MOTOR ELÉTRICO 220 V, POTÊNCIA 2.500 W - DEPRECIAÇÃO. AF_05/2023</t>
  </si>
  <si>
    <t>PERFURATRIZ DE COROA DIAMANTADA PARA CONCRETO, DIÂMETRO ATÉ 250 MM, MOTOR ELÉTRICO 220 V, POTÊNCIA 2.500 W - JUROS. AF_05/2023</t>
  </si>
  <si>
    <t>PERFURATRIZ DE COROA DIAMANTADA PARA CONCRETO, DIÂMETRO ATÉ 250 MM, MOTOR ELÉTRICO 220 V, POTÊNCIA 2.500 W - MANUTENÇÃO. AF_05/2023</t>
  </si>
  <si>
    <t>ESCAVADEIRA HIDRÁULICA DE BRAÇO LONGO (LONGO ALCANCE) SOBRE ESTEIRAS, CAÇAMBA 0,52 M3, PESO OPERACIONAL 24 T, POTÊNCIA LÍQUIDA 155 HP - DEPRECIAÇÃO. AF_06/2023</t>
  </si>
  <si>
    <t>ESCAVADEIRA HIDRÁULICA DE BRAÇO LONGO (LONGO ALCANCE) SOBRE ESTEIRAS, CAÇAMBA 0,52 M3, PESO OPERACIONAL 24 T, POTÊNCIA LÍQUIDA 155 HP - JUROS. AF_06/2023</t>
  </si>
  <si>
    <t>ESCAVADEIRA HIDRÁULICA DE BRAÇO LONGO (LONGO ALCANCE) SOBRE ESTEIRAS, CAÇAMBA 0,52 M3, PESO OPERACIONAL 24 T, POTÊNCIA LÍQUIDA 155 HP - MANUTENÇÃO. AF_06/2023</t>
  </si>
  <si>
    <t>PERFURAÇÃO DE SOLO PARA SISTEMA DE REBAIXAMENTO DE LENÇOL FREÁTICO POR POÇOS PROFUNDOS, DIÂMETRO DO POÇO DE 400 MM. AF_12/2022</t>
  </si>
  <si>
    <t>INSTALAÇÃO E RETIRADA DE REVESTIMENTO METÁLICO PARA PERFURAÇÃO DE SOLO PARA SISTEMA DE REBAIXAMENTO DE LENÇOL FREÁTICO POR PORÇOS PROFUNDOS, DIÂMETRO DO POÇO DE 400 MM. AF_12/2022</t>
  </si>
  <si>
    <t>EXECUÇÃO DE GRAMPO PARA SOLO GRAMPEADO COM COMPRIMENTO MAIOR QUE 10 M, DIÂMETRO DE 7 CM, PERFURAÇÃO COM EQUIPAMENTO MANUAL E ARMADURA COM DIÂMETRO DE 20 MM. AF_07/2024</t>
  </si>
  <si>
    <t>FABRICAÇÃO, MONTAGEM E DESMONTAGEM DE FÔRMA PARA CORTINA DE CONTENÇÃO, EM CHAPA DE MADEIRA COMPENSADA PLASTIFICADA, E = 18 MM, 10 UTILIZAÇÕES. AF_11/2024</t>
  </si>
  <si>
    <t>ARMAÇÃO DE CORTINA DE CONTENÇÃO EM CONCRETO ARMADO, COM AÇO CA-50 DE 6,3 MM - MONTAGEM. AF_11/2024</t>
  </si>
  <si>
    <t>ARMAÇÃO DE CORTINA DE CONTENÇÃO EM CONCRETO ARMADO, COM AÇO CA-50 DE 8 MM - MONTAGEM. AF_11/2024</t>
  </si>
  <si>
    <t>ARMAÇÃO DE CORTINA DE CONTENÇÃO EM CONCRETO ARMADO, COM AÇO CA-50 DE 10 MM - MONTAGEM. AF_11/2024</t>
  </si>
  <si>
    <t>ARMAÇÃO DE CORTINA DE CONTENÇÃO EM CONCRETO ARMADO, COM AÇO CA-50 DE 12,5 MM - MONTAGEM. AF_11/2024</t>
  </si>
  <si>
    <t>ARMAÇÃO DE CORTINA DE CONTENÇÃO EM CONCRETO ARMADO, COM AÇO CA-50 DE 16 MM - MONTAGEM. AF_11/2024</t>
  </si>
  <si>
    <t>ARMAÇÃO DE CORTINA DE CONTENÇÃO EM CONCRETO ARMADO, COM AÇO CA-50 DE 20 MM - MONTAGEM. AF_11/2024</t>
  </si>
  <si>
    <t>ARMAÇÃO DE CORTINA DE CONTENÇÃO EM CONCRETO ARMADO, COM AÇO CA-50 DE 25 MM - MONTAGEM. AF_11/2024</t>
  </si>
  <si>
    <t>CONCRETAGEM DE CORTINA DE CONTENÇÃO, ATRAVÉS DE BOMBA - LANÇAMENTO, ADENSAMENTO E ACABAMENTO. AF_11/2024</t>
  </si>
  <si>
    <t>PERFURAÇÃO DE PAREDE DIAFRAGMA COM COROA DIAMANTADA DE DIÂMETRO DE 102 MM. AF_11/2023</t>
  </si>
  <si>
    <t>CONTRAMARCO DE AÇO, FIXAÇÃO COM ARGAMASSA - FORNECIMENTO E INSTALAÇÃO. AF_11/2024</t>
  </si>
  <si>
    <t>CONTRAMARCO DE AÇO, FIXAÇÃO COM PARAFUSO - FORNECIMENTO E INSTALAÇÃO. AF_11/2024</t>
  </si>
  <si>
    <t>CONTRAMARCO DE ALUMÍNIO, FIXAÇÃO COM ARGAMASSA - FORNECIMENTO E INSTALAÇÃO. AF_11/2024</t>
  </si>
  <si>
    <t>CONTRAMARCO DE ALUMÍNIO, FIXAÇÃO COM PARAFUSO - FORNECIMENTO E INSTALAÇÃO. AF_11/2024</t>
  </si>
  <si>
    <t>ARMAÇÃO DO SISTEMA DE PAREDES DE CONCRETO, EXECUTADA EM PAREDES DE EDIFICAÇÕES MULTIFAMILIARES, TELA Q-138. AF_12/2024_PS</t>
  </si>
  <si>
    <t>ARMAÇÃO DO SISTEMA DE PAREDES DE CONCRETO, EXECUTADA EM PAREDES DE EDIFICAÇÕES UNIFAMILIARES OU MULTIFAMILIARES, TELA Q-92. AF_12/2024_PS</t>
  </si>
  <si>
    <t>ARMAÇÃO DO SISTEMA DE PAREDES DE CONCRETO, EXECUTADA EM PAREDES DE EDIFICAÇÕES UNIFAMILIARES, TELA Q-61. AF_12/2024_PS</t>
  </si>
  <si>
    <t>ARMAÇÃO DO SISTEMA DE PAREDES DE CONCRETO, EXECUTADA COMO ARMADURA POSITIVA DE LAJES, TELA Q-138. AF_12/2024</t>
  </si>
  <si>
    <t>ARMAÇÃO DO SISTEMA DE PAREDES DE CONCRETO, EXECUTADA COMO ARMADURA NEGATIVA DE LAJES, TELA T-196. AF_12/2024</t>
  </si>
  <si>
    <t>ARMAÇÃO DO SISTEMA DE PAREDES DE CONCRETO, EXECUTADA COMO ARMADURA POSITIVA DE LAJES, TELA Q-113. AF_12/2024</t>
  </si>
  <si>
    <t>ARMAÇÃO DO SISTEMA DE PAREDES DE CONCRETO, EXECUTADA COMO ARMADURA NEGATIVA DE LAJES, TELA L-159. AF_12/2024</t>
  </si>
  <si>
    <t>ARMAÇÃO DO SISTEMA DE PAREDES DE CONCRETO, EXECUTADA EM PLATIBANDAS, TELA Q-92. AF_12/2024_PS</t>
  </si>
  <si>
    <t>ARMAÇÃO DO SISTEMA DE PAREDES DE CONCRETO, EXECUTADA COMO REFORÇO, VERGALHÃO DE 6,3 MM DE DIÂMETRO. AF_12/2024</t>
  </si>
  <si>
    <t>ARMAÇÃO DO SISTEMA DE PAREDES DE CONCRETO, EXECUTADA COMO REFORÇO, VERGALHÃO DE 8,0 MM DE DIÂMETRO. AF_12/2024</t>
  </si>
  <si>
    <t>ARMAÇÃO DO SISTEMA DE PAREDES DE CONCRETO, EXECUTADA COMO REFORÇO, VERGALHÃO DE 10,0 MM DE DIÂMETRO. AF_12/2024</t>
  </si>
  <si>
    <t>CORTE E DOBRA DE AÇO CA-50, DIÂMETRO DE 32 MM. AF_06/2022</t>
  </si>
  <si>
    <t>ARMAÇÃO DO SISTEMA DE PAREDES DE CONCRETO, EXECUTADA COMO ARMADURA POSITIVA DE LAJES, TELA Q-159. AF_12/2024</t>
  </si>
  <si>
    <t>ARMAÇÃO DO SISTEMA DE PAREDES DE CONCRETO, EXECUTADA COMO ARMADURA POSITIVA DE LAJES, TELA Q-196. AF_12/2024</t>
  </si>
  <si>
    <t>ARMAÇÃO DO SISTEMA DE PAREDES DE CONCRETO, EXECUTADA COMO REFORÇO, VERGALHÃO DE 5,0 MM DE DIÂMETRO. AF_12/2024</t>
  </si>
  <si>
    <t>ARMAÇÃO DO SISTEMA DE PAREDES DE CONCRETO, EXECUTADA COMO REFORÇO, VERGALHÃO DE 12,5 MM DE DIÂMETRO. AF_12/2024</t>
  </si>
  <si>
    <t>ARMAÇÃO DO SISTEMA DE PAREDES DE CONCRETO, EXECUTADA EM PAREDES DE EDIFICAÇÕES MULTIFAMILIARES, TELA Q-283. AF_12/2024_PS</t>
  </si>
  <si>
    <t>DRAGAGEM DE MATERIAIS DE 1A CATEGORIA E COMPOSTOS ORGÂNICOS E INORGÂNICOS COM ESCAVADEIRA HIDRÁULICA DE LONGO ALCANCE (CAÇAMBA: 0,52 M3/155 HP). AF_03/2024</t>
  </si>
  <si>
    <t>ALVENARIA DE VEDAÇÃO DE BLOCOS CERÂMICOS FURADOS NA VERTICAL DE 11,5X19X29 CM (ESPESSURA 11,5 CM) E ARGAMASSA DE ASSENTAMENTO COM PREPARO EM BETONEIRA. AF_12/2021</t>
  </si>
  <si>
    <t>ALVENARIA DE VEDAÇÃO DE BLOCOS CERÂMICOS FURADOS NA VERTICAL DE 11,5X19X29 CM (ESPESSURA 11,5 CM) E ARGAMASSA DE ASSENTAMENTO COM PREPARO MANUAL. AF_12/2021</t>
  </si>
  <si>
    <t>ALVENARIA DE VEDAÇÃO DE BLOCOS CERÂMICOS FURADOS NA VERTICAL DE 14X19X29 CM (ESPESSURA 14 CM) E ARGAMASSA DE ASSENTAMENTO COM PREPARO EM BETONEIRA. AF_12/2021</t>
  </si>
  <si>
    <t>ALVENARIA DE VEDAÇÃO DE BLOCOS CERÂMICOS FURADOS NA VERTICAL DE 14X19X29 CM (ESPESSURA 14 CM) E ARGAMASSA DE ASSENTAMENTO COM PREPARO MANUAL. AF_12/2021</t>
  </si>
  <si>
    <t>ALVENARIA DE VEDAÇÃO DE BLOCOS CERÂMICOS FURADOS NA VERTICAL DE 11,5X19X39 CM (ESPESSURA 11,5 CM) E ARGAMASSA DE ASSENTAMENTO COM PREPARO EM BETONEIRA. AF_12/2021</t>
  </si>
  <si>
    <t>ALVENARIA DE VEDAÇÃO DE BLOCOS CERÂMICOS FURADOS NA VERTICAL DE 11,5X19X39 CM (ESPESSURA 11,5 CM) E ARGAMASSA DE ASSENTAMENTO COM PREPARO MANUAL. AF_12/2021</t>
  </si>
  <si>
    <t>ALVENARIA DE VEDAÇÃO DE BLOCOS CERÂMICOS FURADOS NA HORIZONTAL DE 9X14X24 CM (ESPESSURA 9 CM) E ARGAMASSA DE ASSENTAMENTO COM PREPARO EM BETONEIRA. AF_12/2021</t>
  </si>
  <si>
    <t>ALVENARIA DE VEDAÇÃO DE BLOCOS CERÂMICOS FURADOS NA HORIZONTAL DE 9X14X24 CM (ESPESSURA 9 CM) E ARGAMASSA DE ASSENTAMENTO COM PREPARO MANUAL. AF_12/2021</t>
  </si>
  <si>
    <t>ALVENARIA DE VEDAÇÃO DE BLOCOS CERÂMICOS FURADOS NA HORIZONTAL DE 11,5X14X24 CM (ESPESSURA 11,5 CM) E ARGAMASSA DE ASSENTAMENTO COM PREPARO EM BETONEIRA. AF_12/2021</t>
  </si>
  <si>
    <t>ALVENARIA DE VEDAÇÃO DE BLOCOS CERÂMICOS FURADOS NA HORIZONTAL DE 11,5X14X24 CM (ESPESSURA 11,5 CM) E ARGAMASSA DE ASSENTAMENTO COM PREPARO MANUAL. AF_12/2021</t>
  </si>
  <si>
    <t>ALVENARIA DE VEDAÇÃO DE BLOCOS CERÂMICOS FURADOS NA HORIZONTAL DE 11,5X19X29 CM (ESPESSURA 11,5 CM) E ARGAMASSA DE ASSENTAMENTO COM PREPARO EM BETONEIRA. AF_12/2021</t>
  </si>
  <si>
    <t>ALVENARIA DE VEDAÇÃO DE BLOCOS CERÂMICOS FURADOS NA HORIZONTAL DE 11,5X19X29 CM (ESPESSURA 11,5 CM) E ARGAMASSA DE ASSENTAMENTO COM PREPARO MANUAL. AF_12/2021</t>
  </si>
  <si>
    <t>ALVENARIA DE VEDAÇÃO DE BLOCOS CERÂMICOS FURADOS NA HORIZONTAL DE 14X19X29 CM (ESPESSURA 14 CM) E ARGAMASSA DE ASSENTAMENTO COM PREPARO EM BETONEIRA. AF_12/2021</t>
  </si>
  <si>
    <t>ALVENARIA DE VEDAÇÃO DE BLOCOS CERÂMICOS FURADOS NA HORIZONTAL DE 14X19X29 CM (ESPESSURA 14 CM) E ARGAMASSA DE ASSENTAMENTO COM PREPARO MANUAL. AF_12/2021</t>
  </si>
  <si>
    <t>ALVENARIA DE VEDAÇÃO DE BLOCOS CERÂMICOS FURADOS NA HORIZONTAL DE 19X19X29 CM (ESPESSURA 19 CM) E ARGAMASSA DE ASSENTAMENTO COM PREPARO EM BETONEIRA. AF_12/2021</t>
  </si>
  <si>
    <t>ALVENARIA DE VEDAÇÃO DE BLOCOS CERÂMICOS FURADOS NA HORIZONTAL DE 19X19X29 CM (ESPESSURA 19 CM) E ARGAMASSA DE ASSENTAMENTO COM PREPARO MANUAL. AF_12/2021</t>
  </si>
  <si>
    <t>ALVENARIA DE VEDAÇÃO DE BLOCOS CERÂMICOS FURADOS NA HORIZONTAL DE 9X19X39 CM (ESPESSURA 9 CM) E ARGAMASSA DE ASSENTAMENTO COM PREPARO EM BETONEIRA. AF_12/2021</t>
  </si>
  <si>
    <t>ALVENARIA DE VEDAÇÃO DE BLOCOS CERÂMICOS FURADOS NA HORIZONTAL DE 9X19X39 CM (ESPESSURA 9 CM) E ARGAMASSA DE ASSENTAMENTO COM PREPARO MANUAL. AF_12/2021</t>
  </si>
  <si>
    <t>ALVENARIA DE VEDAÇÃO DE BLOCOS CERÂMICOS FURADOS NA HORIZONTAL DE 11,5X19X39 CM (ESPESSURA 11,5 CM) E ARGAMASSA DE ASSENTAMENTO COM PREPARO EM BETONEIRA. AF_12/2021</t>
  </si>
  <si>
    <t>ALVENARIA DE VEDAÇÃO DE BLOCOS CERÂMICOS FURADOS NA HORIZONTAL DE 11,5X19X39 CM (ESPESSURA 11,5 CM) E ARGAMASSA DE ASSENTAMENTO COM PREPARO MANUAL. AF_12/2021</t>
  </si>
  <si>
    <t>ALVENARIA DE VEDAÇÃO DE BLOCOS CERÂMICOS FURADOS NA HORIZONTAL DE 14X19X39 CM (ESPESSURA 14 CM) E ARGAMASSA DE ASSENTAMENTO COM PREPARO EM BETONEIRA. AF_12/2021</t>
  </si>
  <si>
    <t>ALVENARIA DE VEDAÇÃO DE BLOCOS CERÂMICOS FURADOS NA HORIZONTAL DE 14X19X39 CM (ESPESSURA 14 CM) E ARGAMASSA DE ASSENTAMENTO COM PREPARO MANUAL. AF_12/2021</t>
  </si>
  <si>
    <t>ALVENARIA DE VEDAÇÃO DE BLOCOS CERÂMICOS FURADOS NA HORIZONTAL DE 19X19X39 CM (ESPESSURA 19 CM) E ARGAMASSA DE ASSENTAMENTO COM PREPARO EM BETONEIRA. AF_12/2021</t>
  </si>
  <si>
    <t>ALVENARIA DE VEDAÇÃO DE BLOCOS CERÂMICOS FURADOS NA HORIZONTAL DE 19X19X39 CM (ESPESSURA 19 CM) E ARGAMASSA DE ASSENTAMENTO COM PREPARO MANUAL. AF_12/2021</t>
  </si>
  <si>
    <t>REVESTIMENTO CERÂMICO PARA PAREDES EXTERNAS, COM PLACAS TIPO GRÊS OU SEMIGRÊS, FORMATO MENOR OU IGUAL A 200 CM2, ALINHADAS A PRUMO. AF_02/2023</t>
  </si>
  <si>
    <t>REVESTIMENTO CERÂMICO PARA PAREDES EXTERNAS, COM PLACAS TIPO GRÊS OU SEMIGRÊS, FORMATO MENOR OU IGUAL A 200 CM2, DISPOSTAS EM AMARRAÇÃO. AF_02/2023</t>
  </si>
  <si>
    <t>ESTUCAMENTO DE DENSIDADE BAIXA DE PANOS DE FACHADA DO SISTEMA DE PAREDES DE CONCRETO EM EDIFICAÇÕES DE MÚLTIPLOS PAVIMENTOS, PAVIMENTOS SUPERIORES, UTILIZAÇÃO DE ARGAMASSA COLANTE. AF_12/2024</t>
  </si>
  <si>
    <t>ESTUCAMENTO DE DENSIDADE BAIXA DE PANOS DE FACHADA DO SISTEMA DE PAREDES DE CONCRETO EM UNIDADES HABITACIONAIS DE PAVIMENTO ÚNICO, UTILIZAÇÃO DE ARGAMASSA COLANTE. AF_12/2024</t>
  </si>
  <si>
    <t>ESTUCAMENTO DE DENSIDADE BAIXA NAS FACES INTERNAS DE PAREDES DO SISTEMA DE PAREDES DE CONCRETO, EM AMBIENTES COM ÁREA ENTRE 5 M² E 10 M², UTILIZAÇÃO DE ARGAMASSA COLANTE. AF_12/2024</t>
  </si>
  <si>
    <t>ESTUCAMENTO PARA QUALQUER REVESTIMENTO, EM TETO DO SISTEMA DE PAREDES DE CONCRETO, EM AMBIENTES COM ÁREA ENTRE 5 M² E 10 M², UTILIZAÇÃO DE ARGAMASSA COLANTE. AF_12/2024</t>
  </si>
  <si>
    <t>ESTUCAMENTO DE DENSIDADE ALTA NAS FACES INTERNAS DE PAREDES DO SISTEMA DE PAREDES DE CONCRETO, EM AMBIENTES COM ÁREA ENTRE 5 M² E 10 M², UTILIZAÇÃO DE ARGAMASSA COLANTE. AF_12/2024</t>
  </si>
  <si>
    <t>ESTUCAMENTO PARA QUALQUER REVESTIMENTO, EM TETO DO SISTEMA DE PAREDES DE CONCRETO, EM AMBIENTES COM ÁREA MAIOR OU IGUAL A 10 M², UTILIZAÇÃO DE ARGAMASSA COLANTE. AF_12/2024</t>
  </si>
  <si>
    <t>ESTUCAMENTO PARA QUALQUER REVESTIMENTO, EM TETO DO SISTEMA DE PAREDES DE CONCRETO, EM AMBIENTES COM ÁREA MENOR OU IGUAL A 5 M², UTILIZAÇÃO DE ARGAMASSA COLANTE. AF_12/2024</t>
  </si>
  <si>
    <t>ESTUCAMENTO DE DENSIDADE ALTA NAS FACES INTERNAS DE PAREDES DO SISTEMA DE PAREDES DE CONCRETO, EM AMBIENTES COM ÁREA MAIOR OU IGUAL A 10 M², UTILIZAÇÃO DE ARGAMASSA COLANTE. AF_12/2024</t>
  </si>
  <si>
    <t>ESTUCAMENTO DE DENSIDADE ALTA NAS FACES INTERNAS DE PAREDES DO SISTEMA DE PAREDES DE CONCRETO, EM AMBIENTES COM ÁREA MENOR OU IGUAL A 5 M², UTILIZAÇÃO DE ARGAMASSA COLANTE. AF_12/2024</t>
  </si>
  <si>
    <t>ESTUCAMENTO DE DENSIDADE BAIXA NAS FACES INTERNAS DE PAREDES DO SISTEMA DE PAREDES DE CONCRETO, EM AMBIENTES COM ÁREA MAIOR OU IGUAL A 10 M², UTILIZAÇÃO DE ARGAMASSA COLANTE. AF_12/2024</t>
  </si>
  <si>
    <t>ESTUCAMENTO DE DENSIDADE BAIXA NAS FACES INTERNAS DE PAREDES DO SISTEMA DE PAREDES DE CONCRETO, EM AMBIENTES COM ÁREA MENOR OU IGUAL A 5 M², UTILIZAÇÃO DE ARGAMASSA COLANTE. AF_12/2024</t>
  </si>
  <si>
    <t>ESTUCAMENTO DE DENSIDADE BAIXA DE PANOS DE FACHADA DO SISTEMA DE PAREDES DE CONCRETO EM EDIFICAÇÕES DE MÚLTIPLOS PAVIMENTOS, PAVIMENTO TÉRREO, UTILIZAÇÃO DE ARGAMASSA COLANTE. AF_12/2024</t>
  </si>
  <si>
    <t>ESTUCAMENTO DE DENSIDADE BAIXA DE PANOS DE FACHADA DO SISTEMA DE PAREDES DE CONCRETO EM UNIDADES HABITACIONAIS DE DOIS PAVIMENTOS (SOBRADO), ACESSO COM ANDAIME FACHADEIRO, UTILIZAÇÃO DE ARGAMASSA COLANTE. AF_12/2024</t>
  </si>
  <si>
    <t>ESTUCAMENTO DE DENSIDADE ALTA DE PANOS DE FACHADA DO SISTEMA DE PAREDES DE CONCRETO EM EDIFICAÇÕES DE MÚLTIPLOS PAVIMENTOS, PAVIMENTOS SUPERIORES, UTILIZAÇÃO DE ARGAMASSA COLANTE. AF_12/2024</t>
  </si>
  <si>
    <t>ESTUCAMENTO DE DENSIDADE ALTA DE PANOS DE FACHADA DO SISTEMA DE PAREDES DE CONCRETO EM EDIFICAÇÕES DE MÚLTIPLOS PAVIMENTOS, PAVIMENTO TÉRREO, UTILIZAÇÃO DE ARGAMASSA COLANTE. AF_12/2024</t>
  </si>
  <si>
    <t>ESTUCAMENTO DE DENSIDADE ALTA DE PANOS DE FACHADA DO SISTEMA DE PAREDES DE CONCRETO EM UNIDADES HABITACIONAIS DE DOIS PAVIMENTOS (SOBRADO), ACESSO COM ANDAIME FACHADEIRO, UTILIZAÇÃO DE ARGAMASSA COLANTE. AF_12/2024</t>
  </si>
  <si>
    <t>ESTUCAMENTO DE DENSIDADE ALTA DE PANOS DE FACHADA DO SISTEMA DE PAREDES DE CONCRETO EM UNIDADES HABITACIONAIS DE PAVIMENTO ÚNICO, UTILIZAÇÃO DE ARGAMASSA COLANTE. AF_12/2024</t>
  </si>
  <si>
    <t>ESTUCAMENTO DE DENSIDADE ALTA NAS FACES INTERNAS DE PAREDES DO SISTEMA DE PAREDES DE CONCRETO, EM AMBIENTES COM ÁREA MAIOR OU IGUAL A 10 M², UTILIZAÇÃO DE ARGAMASSA POLIMÉRICA. AF_12/2024</t>
  </si>
  <si>
    <t>ESTUCAMENTO DE DENSIDADE ALTA NAS FACES INTERNAS DE PAREDES DO SISTEMA DE PAREDES DE CONCRETO, EM AMBIENTES COM ÁREA MAIOR OU IGUAL A 10 M², UTILIZAÇÃO DE ARGAMASSA TRAÇO 1:1:6 (CIM:CAL:AREIA). AF_12/2024</t>
  </si>
  <si>
    <t>ESTUCAMENTO DE DENSIDADE ALTA NAS FACES INTERNAS DE PAREDES DO SISTEMA DE PAREDES DE CONCRETO, EM AMBIENTES COM ÁREA ENTRE 5 M² E 10 M², UTILIZAÇÃO DE ARGAMASSA POLIMÉRICA. AF_12/2024</t>
  </si>
  <si>
    <t>ESTUCAMENTO DE DENSIDADE ALTA NAS FACES INTERNAS DE PAREDES DO SISTEMA DE PAREDES DE CONCRETO, EM AMBIENTES COM ÁREA ENTRE 5 M² E 10 M², UTILIZAÇÃO DE ARGAMASSA TRAÇO 1:1:6 (CIM:CAL:AREIA). AF_12/2024</t>
  </si>
  <si>
    <t>ESTUCAMENTO DE DENSIDADE ALTA NAS FACES INTERNAS DE PAREDES DO SISTEMA DE PAREDES DE CONCRETO, EM AMBIENTES COM ÁREA MENOR OU IGUAL A 5 M², UTILIZAÇÃO DE ARGAMASSA POLIMÉRICA. AF_12/2024</t>
  </si>
  <si>
    <t>ESTUCAMENTO DE DENSIDADE ALTA NAS FACES INTERNAS DE PAREDES DO SISTEMA DE PAREDES DE CONCRETO, EM AMBIENTES COM ÁREA MENOR OU IGUAL A 5 M², UTILIZAÇÃO DE ARGAMASSA TRAÇO 1:1:6 (CIM:CAL:AREIA). AF_12/2024</t>
  </si>
  <si>
    <t>ESTUCAMENTO DE DENSIDADE ALTA DE PANOS DE FACHADA DO SISTEMA DE PAREDES DE CONCRETO EM EDIFICAÇÕES DE MÚLTIPLOS PAVIMENTOS, PAVIMENTOS SUPERIORES, UTILIZAÇÃO DE ARGAMASSA POLIMÉRICA. AF_12/2024</t>
  </si>
  <si>
    <t>ESTUCAMENTO DE DENSIDADE ALTA DE PANOS DE FACHADA DO SISTEMA DE PAREDES DE CONCRETO EM EDIFICAÇÕES DE MÚLTIPLOS PAVIMENTOS, PAVIMENTOS SUPERIORES, UTILIZAÇÃO DE ARGAMASSA TRAÇO 1:0,5:4,5 (CIM:CAL:AREIA). AF_12/2024</t>
  </si>
  <si>
    <t>ESTUCAMENTO DE DENSIDADE ALTA DE PANOS DE FACHADA DO SISTEMA DE PAREDES DE CONCRETO EM EDIFICAÇÕES DE MÚLTIPLOS PAVIMENTOS, PAVIMENTO TÉRREO, UTILIZAÇÃO DE ARGAMASSA POLIMÉRICA. AF_12/2024</t>
  </si>
  <si>
    <t>ESTUCAMENTO DE DENSIDADE ALTA DE PANOS DE FACHADA DO SISTEMA DE PAREDES DE CONCRETO EM EDIFICAÇÕES DE MÚLTIPLOS PAVIMENTOS, PAVIMENTO TÉRREO, UTILIZAÇÃO DE ARGAMASSA TRAÇO 1:0,5:4,5 (CIM:CAL:AREIA). AF_12/2024</t>
  </si>
  <si>
    <t>ESTUCAMENTO DE DENSIDADE ALTA DE PANOS DE FACHADA DO SISTEMA DE PAREDES DE CONCRETO EM UNIDADES HABITACIONAIS DE DOIS PAVIMENTOS (SOBRADO), ACESSO COM ANDAIME FACHADEIRO, UTILIZAÇÃO DE ARGAMASSA POLIMÉRICA. AF_12/2024</t>
  </si>
  <si>
    <t>ESTUCAMENTO DE DENSIDADE ALTA DE PANOS DE FACHADA DO SISTEMA DE PAREDES DE CONCRETO EM UNIDADES HABITACIONAIS DE DOIS PAVIMENTOS (SOBRADO), ACESSO COM ANDAIME FACHADEIRO, UTILIZAÇÃO DE ARGAMASSA TRAÇO 1:0,5:4,5 (CIM:CAL:AREIA). AF_12/2024</t>
  </si>
  <si>
    <t>ESTUCAMENTO DE DENSIDADE ALTA DE PANOS DE FACHADA DO SISTEMA DE PAREDES DE CONCRETO EM UNIDADES HABITACIONAIS DE PAVIMENTO ÚNICO, UTILIZAÇÃO DE ARGAMASSA POLIMÉRICA. AF_12/2024</t>
  </si>
  <si>
    <t>ESTUCAMENTO DE DENSIDADE ALTA DE PANOS DE FACHADA DO SISTEMA DE PAREDES DE CONCRETO EM UNIDADES HABITACIONAIS DE PAVIMENTO ÚNICO, UTILIZAÇÃO DE ARGAMASSA TRAÇO 1:0,5:4,5 (CIM:CAL:AREIA). AF_12/2024</t>
  </si>
  <si>
    <t>PONTEIRAS DE PROTEÇÃO DE PONTAS E VERGALHÕES EXPOSTOS EM FUNDAÇÕES. AF_03/2024</t>
  </si>
  <si>
    <t>H. SEMANAIS</t>
  </si>
  <si>
    <t>SEMANAS</t>
  </si>
  <si>
    <t>18.2.3</t>
  </si>
  <si>
    <t>18.1.4</t>
  </si>
  <si>
    <t>ABRIGO PARA HIDRANTE, 90X60X17CM, COM REGISTRO GLOBO ANGULAR 45 GRAUS 2 1/2", ADAPTADOR STORZ 2 1/2", DUAS MANGUEIRAS DE INCÊNDIO DE 15M, REDUÇÃO 2 1/2" X 1 1/2" E ESGUICHO EM LATÃO 1 1/2" - FORNECIMENTO E INSTALAÇÃO</t>
  </si>
  <si>
    <t>19.3</t>
  </si>
  <si>
    <t>19.4</t>
  </si>
  <si>
    <t>ÁREA (M2)</t>
  </si>
  <si>
    <t>FREITAS JÚNIOR (2013) / CARRILHO (2012)</t>
  </si>
  <si>
    <t>RESÍDUOS DA OBRA</t>
  </si>
  <si>
    <t>COEF (M3/KG)</t>
  </si>
  <si>
    <t>DISTÂNCIA</t>
  </si>
  <si>
    <t>COEF (KG/M2)</t>
  </si>
  <si>
    <t>RESÍDUOS DA OBRA - LIXÃO DE BOA VIAGEM</t>
  </si>
  <si>
    <t>BOTA FORA</t>
  </si>
  <si>
    <t>BOTA FORA - LIXÃO DE BOA VIAGEM</t>
  </si>
  <si>
    <t>2.6</t>
  </si>
  <si>
    <t>TRATOR DE ESTEIRAS</t>
  </si>
  <si>
    <t>PÁ CARREGADEIRA</t>
  </si>
  <si>
    <t>COMPACTADOR PÉ DE CARNEIRO</t>
  </si>
  <si>
    <t>TRATOR DE PNEUS + GRADE DE DISCO</t>
  </si>
  <si>
    <t>19.5</t>
  </si>
  <si>
    <t>ENCARGOS SOCIAIS: 92,17% (HORA) - 53,50% (MÊS)</t>
  </si>
  <si>
    <t>RAMPA DE ACESSIBILIDADE EM CONCRETO PRÉ MOLDADO, EM CALÇADA NOVA COM LARGURA MAIOR OU IGUAL À 3,00 M, FCK 25MPA, COM PISO PODOTÁTIL. AF_03/2024</t>
  </si>
  <si>
    <t>RAMPA DE ACESSIBILIDADE EM CONCRETO PRÉ MOLDADO, EM CALÇADA PRÉ EXISTENTE COM LARGURA MAIOR OU IGUAL À 3,00 M, FCK 25MPA, COM PISO PODOTÁTIL. AF_03/2024</t>
  </si>
  <si>
    <t>ALVENARIA DE BLOCOS DE CONCRETO ESTRUTURAL 14X19X29 CM (ESPESSURA 14 CM), FBK = 8 MPA, UTILIZANDO COLHER DE PEDREIRO. AF_10/2022</t>
  </si>
  <si>
    <t>ALVENARIA DE BLOCOS DE CONCRETO ESTRUTURAL 14X19X29 CM (ESPESSURA 14 CM), FBK = 8 MPA, UTILIZANDO PALHETA. AF_10/2022</t>
  </si>
  <si>
    <t>ALVENARIA DE BLOCOS DE CONCRETO ESTRUTURAL 14X19X39 CM (ESPESSURA 14 CM), FBK = 8 MPA, UTILIZANDO COLHER DE PEDREIRO. AF_10/2022</t>
  </si>
  <si>
    <t>ALVENARIA DE BLOCOS DE CONCRETO ESTRUTURAL 14X19X39 CM (ESPESSURA 14 CM), FBK = 8 MPA, UTILIZANDO PALHETA. AF_10/2022</t>
  </si>
  <si>
    <t>ARGAMASSA TRAÇO 1:1,5:7,5 (EM VOLUME DE CIMENTO, CAL E AREIA MÉDIA ÚMIDA) PARA EMBOÇO/MASSA ÚNICA/ASSENTAMENTO DE ALVENARIA DE VEDAÇÃO, PREPARO MECÂNICO COM BETONEIRA 250 L. AF_08/2019</t>
  </si>
  <si>
    <t>ARGAMASSA TRAÇO 1:1:6 (EM VOLUME DE CIMENTO, CAL E AREIA MÉDIA ÚMIDA) PARA EMBOÇO/MASSA ÚNICA/ASSENTAMENTO DE ALVENARIA DE VEDAÇÃO, PREPARO MECÂNICO COM BETONEIRA 250 L. AF_08/2019</t>
  </si>
  <si>
    <t>ARGAMASSA TRAÇO 1:2:8 (EM VOLUME DE CIMENTO, CAL E AREIA MÉDIA ÚMIDA) PARA EMBOÇO/MASSA ÚNICA/ASSENTAMENTO DE ALVENARIA DE VEDAÇÃO, PREPARO MECÂNICO COM BETONEIRA 250 L. AF_08/2019</t>
  </si>
  <si>
    <t>ARGAMASSA TRAÇO 1:2:9 (EM VOLUME DE CIMENTO, CAL E AREIA MÉDIA ÚMIDA) PARA EMBOÇO/MASSA ÚNICA/ASSENTAMENTO DE ALVENARIA DE VEDAÇÃO, PREPARO MECÂNICO COM BETONEIRA 250 L. AF_08/2019</t>
  </si>
  <si>
    <t>ARGAMASSA TRAÇO 1:3 (EM VOLUME DE CIMENTO E AREIA GROSSA ÚMIDA) COM ADIÇÃO DE EMULSÃO POLIMÉRICA PARA CHAPISCO ROLADO, PREPARO MECÂNICO COM BETONEIRA 250 L. AF_08/2019</t>
  </si>
  <si>
    <t>ARGAMASSA TRAÇO 1:3 (EM VOLUME DE CIMENTO E AREIA GROSSA ÚMIDA) PARA CHAPISCO CONVENCIONAL, PREPARO MECÂNICO COM BETONEIRA 250 L. AF_08/2019</t>
  </si>
  <si>
    <t>ARGAMASSA TRAÇO 1:3 (EM VOLUME DE CIMENTO E AREIA MÉDIA ÚMIDA) COM ADIÇÃO DE IMPERMEABILIZANTE, PREPARO MECÂNICO COM BETONEIRA 250 L. AF_08/2019</t>
  </si>
  <si>
    <t>ARGAMASSA TRAÇO 1:3 (EM VOLUME DE CIMENTO E AREIA MÉDIA ÚMIDA) PARA CONTRAPISO, PREPARO MECÂNICO COM BETONEIRA 250 L. AF_08/2019</t>
  </si>
  <si>
    <t>ARGAMASSA TRAÇO 1:4 (EM VOLUME DE CIMENTO E AREIA GROSSA ÚMIDA) COM ADIÇÃO DE EMULSÃO POLIMÉRICA PARA CHAPISCO ROLADO, PREPARO MECÂNICO COM BETONEIRA 250 L. AF_08/2019</t>
  </si>
  <si>
    <t>ARGAMASSA TRAÇO 1:4 (EM VOLUME DE CIMENTO E AREIA GROSSA ÚMIDA) PARA CHAPISCO CONVENCIONAL, PREPARO MECÂNICO COM BETONEIRA 250 L. AF_08/2019</t>
  </si>
  <si>
    <t>ARGAMASSA TRAÇO 1:4 (EM VOLUME DE CIMENTO E AREIA MÉDIA ÚMIDA) COM ADIÇÃO DE IMPERMEABILIZANTE, PREPARO MECÂNICO COM BETONEIRA 250 L. AF_08/2019</t>
  </si>
  <si>
    <t>ARGAMASSA TRAÇO 1:4 (EM VOLUME DE CIMENTO E AREIA MÉDIA ÚMIDA) PARA CONTRAPISO, PREPARO MECÂNICO COM BETONEIRA 250 L. AF_08/2019</t>
  </si>
  <si>
    <t>ARGAMASSA TRAÇO 1:4 (EM VOLUME DE CIMENTO E AREIA MÉDIA ÚMIDA), PREPARO MECÂNICO COM BETONEIRA 250 L. AF_08/2019</t>
  </si>
  <si>
    <t>ARGAMASSA TRAÇO 1:5 (EM VOLUME DE CIMENTO E AREIA GROSSA ÚMIDA) COM ADIÇÃO DE EMULSÃO POLIMÉRICA PARA CHAPISCO ROLADO, PREPARO MECÂNICO COM BETONEIRA 250 L. AF_08/2019</t>
  </si>
  <si>
    <t>ARGAMASSA TRAÇO 1:5 (EM VOLUME DE CIMENTO E AREIA GROSSA ÚMIDA) PARA CHAPISCO CONVENCIONAL, PREPARO MECÂNICO COM BETONEIRA 250 L. AF_08/2019</t>
  </si>
  <si>
    <t>ARGAMASSA TRAÇO 1:5 (EM VOLUME DE CIMENTO E AREIA MÉDIA ÚMIDA) PARA CONTRAPISO, PREPARO MECÂNICO COM BETONEIRA 250 L. AF_08/2019</t>
  </si>
  <si>
    <t>ARGAMASSA TRAÇO 1:6 (EM VOLUME DE CIMENTO E AREIA MÉDIA ÚMIDA) COM ADIÇÃO DE PLASTIFICANTE PARA EMBOÇO/MASSA ÚNICA/ASSENTAMENTO DE ALVENARIA DE VEDAÇÃO, PREPARO MECÂNICO COM BETONEIRA 250 L. AF_08/2019</t>
  </si>
  <si>
    <t>ARGAMASSA TRAÇO 1:6 (EM VOLUME DE CIMENTO E AREIA MÉDIA ÚMIDA) PARA CONTRAPISO, PREPARO MECÂNICO COM BETONEIRA 250 L. AF_08/2019</t>
  </si>
  <si>
    <t>ARGAMASSA TRAÇO 1:7 (EM VOLUME DE CIMENTO E AREIA MÉDIA ÚMIDA) COM ADIÇÃO DE PLASTIFICANTE PARA EMBOÇO/MASSA ÚNICA/ASSENTAMENTO DE ALVENARIA DE VEDAÇÃO, PREPARO MECÂNICO COM BETONEIRA 250 L. AF_08/2019</t>
  </si>
  <si>
    <t>EXECUÇÃO DE PAVIMENTO COM APLICAÇÃO DE PRÉ-MISTURADO A FRIO, CAMADA DE BINDER - EXCLUSIVE CARGA E TRANSPORTE. AF_11/2019</t>
  </si>
  <si>
    <t>EXECUÇÃO DE PAVIMENTO COM APLICAÇÃO DE PRÉ-MISTURADO A FRIO, CAMADA DE ROLAMENTO - EXCLUSIVE CARGA E TRANSPORTE. AF_11/2019</t>
  </si>
  <si>
    <t>ASSENTAMENTO DE TUBO DE CONCRETO PARA REDES COLETORAS DE ESGOTO SANITÁRIO, DIÂMETRO DE 1200 MM, JUNTA ELÁSTICA, INSTALADO EM LOCAL COM ALTO NÍVEL DE INTERFERÊNCIAS (NÃO INCLUI FORNECIMENTO). AF_03/2024</t>
  </si>
  <si>
    <t>ASSENTAMENTO DE TUBO DE CONCRETO PARA REDES COLETORAS DE ESGOTO SANITÁRIO, DIÂMETRO DE 1200 MM, JUNTA ELÁSTICA, INSTALADO EM LOCAL COM BAIXO NÍVEL DE INTERFERÊNCIAS (NÃO INCLUI FORNECIMENTO). AF_03/2024</t>
  </si>
  <si>
    <t>ASSENTAMENTO DE TUBO DE CONCRETO PARA REDES COLETORAS DE ESGOTO SANITÁRIO, DIÂMETRO DE 1500 MM, JUNTA ELÁSTICA, INSTALADO EM LOCAL COM ALTO NÍVEL DE INTERFERÊNCIAS (NÃO INCLUI FORNECIMENTO). AF_03/2024</t>
  </si>
  <si>
    <t>ASSENTAMENTO DE TUBO DE CONCRETO PARA REDES COLETORAS DE ESGOTO SANITÁRIO, DIÂMETRO DE 1500 MM, JUNTA ELÁSTICA, INSTALADO EM LOCAL COM BAIXO NÍVEL DE INTERFERÊNCIAS (NÃO INCLUI FORNECIMENTO). AF_03/2024</t>
  </si>
  <si>
    <t>TUBO DE CONCRETO PARA REDES COLETORAS DE ESGOTO SANITÁRIO, DIÂMETRO DE 1200 MM, JUNTA ELÁSTICA, INSTALADO EM LOCAL COM ALTO NÍVEL DE INTERFERÊNCIAS - FORNECIMENTO E ASSENTAMENTO. AF_03/2024</t>
  </si>
  <si>
    <t>TUBO DE CONCRETO PARA REDES COLETORAS DE ESGOTO SANITÁRIO, DIÂMETRO DE 1200 MM, JUNTA ELÁSTICA, INSTALADO EM LOCAL COM BAIXO NÍVEL DE INTERFERÊNCIAS - FORNECIMENTO E ASSENTAMENTO. AF_03/2024</t>
  </si>
  <si>
    <t>TUBO DE CONCRETO PARA REDES COLETORAS DE ESGOTO SANITÁRIO, DIÂMETRO DE 1500 MM, JUNTA ELÁSTICA, INSTALADO EM LOCAL COM ALTO NÍVEL DE INTERFERÊNCIAS - FORNECIMENTO E ASSENTAMENTO. AF_03/2024</t>
  </si>
  <si>
    <t>TUBO DE CONCRETO PARA REDES COLETORAS DE ESGOTO SANITÁRIO, DIÂMETRO DE 1500 MM, JUNTA ELÁSTICA, INSTALADO EM LOCAL COM BAIXO NÍVEL DE INTERFERÊNCIAS - FORNECIMENTO E ASSENTAMENTO. AF_03/2024</t>
  </si>
  <si>
    <t>CONSTRUÇÃO DE BASE E SUB-BASE PARA PAVIMENTAÇÃO DE SOLO (PREDOMINANTEMENTE ARENOSO) BRITA - 40%-60% COM CIMENTO - 4%, MISTURA EM USINA, COM ESPESSURA DE 10 CM - EXCLUSIVE CARGA E TRANSPORTE. AF_09/2024</t>
  </si>
  <si>
    <t>CONSTRUÇÃO DE BASE E SUB-BASE PARA PAVIMENTAÇÃO DE SOLO (PREDOMINANTEMENTE ARENOSO) BRITA - 40%-60% COM CIMENTO - 4%, MISTURA EM USINA, COM ESPESSURA DE 15 CM - EXCLUSIVE CARGA E TRANSPORTE. AF_09/2024</t>
  </si>
  <si>
    <t>CONSTRUÇÃO DE BASE E SUB-BASE PARA PAVIMENTAÇÃO DE SOLO (PREDOMINANTEMENTE ARENOSO) BRITA - 40%-60% COM CIMENTO - 4%, MISTURA EM USINA, COM ESPESSURA DE 20 CM - EXCLUSIVE CARGA E TRANSPORTE. AF_09/2024</t>
  </si>
  <si>
    <t>CONSTRUÇÃO DE BASE E SUB-BASE PARA PAVIMENTAÇÃO DE SOLO (PREDOMINANTEMENTE ARENOSO) BRITA - 40%-60% COM CIMENTO - 6%, MISTURA EM USINA, COM ESPESSURA DE 10 CM - EXCLUSIVE CARGA E TRANSPORTE. AF_09/2024</t>
  </si>
  <si>
    <t>CONSTRUÇÃO DE BASE E SUB-BASE PARA PAVIMENTAÇÃO DE SOLO (PREDOMINANTEMENTE ARENOSO) BRITA - 40%-60% COM CIMENTO - 6%, MISTURA EM USINA, COM ESPESSURA DE 15 CM - EXCLUSIVE CARGA E TRANSPORTE. AF_09/2024</t>
  </si>
  <si>
    <t>CONSTRUÇÃO DE BASE E SUB-BASE PARA PAVIMENTAÇÃO DE SOLO (PREDOMINANTEMENTE ARENOSO) BRITA - 40%-60% COM CIMENTO - 6%, MISTURA EM USINA, COM ESPESSURA DE 20 CM - EXCLUSIVE CARGA E TRANSPORTE. AF_09/2024</t>
  </si>
  <si>
    <t>CONSTRUÇÃO DE BASE E SUB-BASE PARA PAVIMENTAÇÃO DE SOLO (PREDOMINANTEMENTE ARENOSO) BRITA - 40%-60% COM CIMENTO - 8%, MISTURA EM USINA, COM ESPESSURA DE 10 CM - EXCLUSIVE CARGA E TRANSPORTE. AF_09/2024</t>
  </si>
  <si>
    <t>CONSTRUÇÃO DE BASE E SUB-BASE PARA PAVIMENTAÇÃO DE SOLO (PREDOMINANTEMENTE ARENOSO) BRITA - 40%-60% COM CIMENTO - 8%, MISTURA EM USINA, COM ESPESSURA DE 15 CM - EXCLUSIVE CARGA E TRANSPORTE. AF_09/2024</t>
  </si>
  <si>
    <t>CONSTRUÇÃO DE BASE E SUB-BASE PARA PAVIMENTAÇÃO DE SOLO (PREDOMINANTEMENTE ARENOSO) BRITA - 40%-60% COM CIMENTO - 8%, MISTURA EM USINA, COM ESPESSURA DE 20 CM - EXCLUSIVE CARGA E TRANSPORTE. AF_09/2024</t>
  </si>
  <si>
    <t>CONSTRUÇÃO DE BASE E SUB-BASE PARA PAVIMENTAÇÃO DE SOLO (PREDOMINANTEMENTE ARENOSO) BRITA - 40%-60%, MISTURA EM USINA, COM ESPESSURA DE 10 CM - EXCLUSIVE CARGA E TRANSPORTE. AF_09/2024</t>
  </si>
  <si>
    <t>CONSTRUÇÃO DE BASE E SUB-BASE PARA PAVIMENTAÇÃO DE SOLO (PREDOMINANTEMENTE ARENOSO) BRITA - 40%-60%, MISTURA EM USINA, COM ESPESSURA DE 15 CM - EXCLUSIVE CARGA E TRANSPORTE. AF_09/2024</t>
  </si>
  <si>
    <t>CONSTRUÇÃO DE BASE E SUB-BASE PARA PAVIMENTAÇÃO DE SOLO (PREDOMINANTEMENTE ARENOSO) BRITA - 40%-60%, MISTURA EM USINA, COM ESPESSURA DE 20 CM - EXCLUSIVE CARGA E TRANSPORTE. AF_09/2024</t>
  </si>
  <si>
    <t>CONSTRUÇÃO DE BASE E SUB-BASE PARA PAVIMENTAÇÃO DE SOLO (PREDOMINANTEMENTE ARENOSO) BRITA - 50%-50% COM CIMENTO - 4%, MISTURA EM USINA, COM ESPESSURA DE 10 CM - EXCLUSIVE CARGA E TRANSPORTE. AF_09/2024</t>
  </si>
  <si>
    <t>CONSTRUÇÃO DE BASE E SUB-BASE PARA PAVIMENTAÇÃO DE SOLO (PREDOMINANTEMENTE ARENOSO) BRITA - 50%-50% COM CIMENTO - 4%, MISTURA EM USINA, COM ESPESSURA DE 15 CM - EXCLUSIVE CARGA E TRANSPORTE. AF_09/2024</t>
  </si>
  <si>
    <t>CONSTRUÇÃO DE BASE E SUB-BASE PARA PAVIMENTAÇÃO DE SOLO (PREDOMINANTEMENTE ARENOSO) BRITA - 50%-50% COM CIMENTO - 4%, MISTURA EM USINA, COM ESPESSURA DE 20 CM - EXCLUSIVE CARGA E TRANSPORTE. AF_09/2024</t>
  </si>
  <si>
    <t>CONSTRUÇÃO DE BASE E SUB-BASE PARA PAVIMENTAÇÃO DE SOLO (PREDOMINANTEMENTE ARENOSO) BRITA - 50%-50% COM CIMENTO - 6%, MISTURA EM USINA, COM ESPESSURA DE 10 CM - EXCLUSIVE CARGA E TRANSPORTE. AF_09/2024</t>
  </si>
  <si>
    <t>CONSTRUÇÃO DE BASE E SUB-BASE PARA PAVIMENTAÇÃO DE SOLO (PREDOMINANTEMENTE ARENOSO) BRITA - 50%-50% COM CIMENTO - 6%, MISTURA EM USINA, COM ESPESSURA DE 15 CM - EXCLUSIVE CARGA E TRANSPORTE. AF_09/2024</t>
  </si>
  <si>
    <t>CONSTRUÇÃO DE BASE E SUB-BASE PARA PAVIMENTAÇÃO DE SOLO (PREDOMINANTEMENTE ARENOSO) BRITA - 50%-50% COM CIMENTO - 6%, MISTURA EM USINA, COM ESPESSURA DE 20 CM - EXCLUSIVE CARGA E TRANSPORTE. AF_09/2024</t>
  </si>
  <si>
    <t>CONSTRUÇÃO DE BASE E SUB-BASE PARA PAVIMENTAÇÃO DE SOLO (PREDOMINANTEMENTE ARENOSO) BRITA - 50%-50% COM CIMENTO - 8%, MISTURA EM USINA, COM ESPESSURA DE 10 CM - EXCLUSIVE CARGA E TRANSPORTE. AF_09/2024</t>
  </si>
  <si>
    <t>CONSTRUÇÃO DE BASE E SUB-BASE PARA PAVIMENTAÇÃO DE SOLO (PREDOMINANTEMENTE ARENOSO) BRITA - 50%-50% COM CIMENTO - 8%, MISTURA EM USINA, COM ESPESSURA DE 15 CM - EXCLUSIVE CARGA E TRANSPORTE. AF_09/2024</t>
  </si>
  <si>
    <t>CONSTRUÇÃO DE BASE E SUB-BASE PARA PAVIMENTAÇÃO DE SOLO (PREDOMINANTEMENTE ARENOSO) BRITA - 50%-50% COM CIMENTO - 8%, MISTURA EM USINA, COM ESPESSURA DE 20 CM - EXCLUSIVE CARGA E TRANSPORTE. AF_09/2024</t>
  </si>
  <si>
    <t>CONSTRUÇÃO DE BASE E SUB-BASE PARA PAVIMENTAÇÃO DE SOLO (PREDOMINANTEMENTE ARENOSO) BRITA - 50%-50%, MISTURA EM USINA, COM ESPESSURA DE 10 CM - EXCLUSIVE CARGA E TRANSPORTE. AF_09/2024</t>
  </si>
  <si>
    <t>CONSTRUÇÃO DE BASE E SUB-BASE PARA PAVIMENTAÇÃO DE SOLO (PREDOMINANTEMENTE ARENOSO) BRITA - 50%-50%, MISTURA EM USINA, COM ESPESSURA DE 15 CM - EXCLUSIVE CARGA E TRANSPORTE. AF_09/2024</t>
  </si>
  <si>
    <t>CONSTRUÇÃO DE BASE E SUB-BASE PARA PAVIMENTAÇÃO DE SOLO (PREDOMINANTEMENTE ARENOSO) BRITA - 50%-50%, MISTURA EM USINA, COM ESPESSURA DE 20 CM - EXCLUSIVE CARGA E TRANSPORTE. AF_09/2024</t>
  </si>
  <si>
    <t>CONSTRUÇÃO DE BASE E SUB-BASE PARA PAVIMENTAÇÃO DE SOLO (PREDOMINANTEMENTE ARENOSO) COM CIMENTO - 6%, MISTURA EM USINA, COM ESPESSURA DE 10 CM - EXCLUSIVE CARGA E TRANSPORTE. AF_09/2024</t>
  </si>
  <si>
    <t>CONSTRUÇÃO DE BASE E SUB-BASE PARA PAVIMENTAÇÃO DE SOLO (PREDOMINANTEMENTE ARENOSO) COM CIMENTO - 6%, MISTURA EM USINA, COM ESPESSURA DE 15 CM - EXCLUSIVE CARGA E TRANSPORTE. AF_09/2024</t>
  </si>
  <si>
    <t>CONSTRUÇÃO DE BASE E SUB-BASE PARA PAVIMENTAÇÃO DE SOLO (PREDOMINANTEMENTE ARENOSO) COM CIMENTO - 6%, MISTURA EM USINA, COM ESPESSURA DE 20 CM - EXCLUSIVE CARGA E TRANSPORTE. AF_09/2024</t>
  </si>
  <si>
    <t>CONSTRUÇÃO DE BASE E SUB-BASE PARA PAVIMENTAÇÃO DE SOLO (PREDOMINANTEMENTE ARENOSO) COM CIMENTO - 8%, MISTURA EM USINA, COM ESPESSURA DE 10 CM - EXCLUSIVE CARGA E TRANSPORTE. AF_09/2024</t>
  </si>
  <si>
    <t>CONSTRUÇÃO DE BASE E SUB-BASE PARA PAVIMENTAÇÃO DE SOLO (PREDOMINANTEMENTE ARENOSO) COM CIMENTO - 8%, MISTURA EM USINA, COM ESPESSURA DE 15 CM - EXCLUSIVE CARGA E TRANSPORTE. AF_09/2024</t>
  </si>
  <si>
    <t>CONSTRUÇÃO DE BASE E SUB-BASE PARA PAVIMENTAÇÃO DE SOLO (PREDOMINANTEMENTE ARENOSO) COM CIMENTO - 8%, MISTURA EM USINA, COM ESPESSURA DE 20 CM - EXCLUSIVE CARGA E TRANSPORTE. AF_09/2024</t>
  </si>
  <si>
    <t>CONSTRUÇÃO DE BASE E SUB-BASE PARA PAVIMENTAÇÃO DE SOLO (PREDOMINANTEMENTE ARENOSO) MELHORADO COM CIMENTO - 2%, MISTURA EM USINA, COM ESPESSURA DE 10 CM - EXCLUSIVE CARGA E TRANSPORTE. AF_09/2024</t>
  </si>
  <si>
    <t>CONSTRUÇÃO DE BASE E SUB-BASE PARA PAVIMENTAÇÃO DE SOLO (PREDOMINANTEMENTE ARENOSO) MELHORADO COM CIMENTO - 2%, MISTURA EM USINA, COM ESPESSURA DE 15 CM - EXCLUSIVE CARGA E TRANSPORTE. AF_09/2024</t>
  </si>
  <si>
    <t>CONSTRUÇÃO DE BASE E SUB-BASE PARA PAVIMENTAÇÃO DE SOLO (PREDOMINANTEMENTE ARENOSO) MELHORADO COM CIMENTO - 2%, MISTURA EM USINA, COM ESPESSURA DE 20 CM - EXCLUSIVE CARGA E TRANSPORTE. AF_09/2024</t>
  </si>
  <si>
    <t>CONSTRUÇÃO DE BASE E SUB-BASE PARA PAVIMENTAÇÃO DE SOLO (PREDOMINANTEMENTE ARENOSO) MELHORADO COM CIMENTO - 4%, MISTURA EM USINA, COM ESPESSURA DE 10 CM - EXCLUSIVE CARGA E TRANSPORTE. AF_09/2024</t>
  </si>
  <si>
    <t>CONSTRUÇÃO DE BASE E SUB-BASE PARA PAVIMENTAÇÃO DE SOLO (PREDOMINANTEMENTE ARENOSO) MELHORADO COM CIMENTO - 4%, MISTURA EM USINA, COM ESPESSURA DE 15 CM - EXCLUSIVE CARGA E TRANSPORTE. AF_09/2024</t>
  </si>
  <si>
    <t>CONSTRUÇÃO DE BASE E SUB-BASE PARA PAVIMENTAÇÃO DE SOLO (PREDOMINANTEMENTE ARENOSO) MELHORADO COM CIMENTO - 4%, MISTURA EM USINA, COM ESPESSURA DE 20 CM - EXCLUSIVE CARGA E TRANSPORTE. AF_09/2024</t>
  </si>
  <si>
    <t>CONSTRUÇÃO DE BASE E SUB-BASE PARA PAVIMENTAÇÃO DE SOLO (PREDOMINANTEMENTE ARGILOSO) BRITA - 40%-60%, MISTURA EM USINA, COM ESPESSURA DE 10 CM - EXCLUSIVE CARGA E TRANSPORTE. AF_09/2024</t>
  </si>
  <si>
    <t>CONSTRUÇÃO DE BASE E SUB-BASE PARA PAVIMENTAÇÃO DE SOLO (PREDOMINANTEMENTE ARGILOSO) BRITA - 40%-60%, MISTURA EM USINA, COM ESPESSURA DE 15 CM - EXCLUSIVE CARGA E TRANSPORTE. AF_09/2024</t>
  </si>
  <si>
    <t>CONSTRUÇÃO DE BASE E SUB-BASE PARA PAVIMENTAÇÃO DE SOLO (PREDOMINANTEMENTE ARGILOSO) BRITA - 40%-60%, MISTURA EM USINA, COM ESPESSURA DE 20 CM - EXCLUSIVE CARGA E TRANSPORTE. AF_09/2024</t>
  </si>
  <si>
    <t>CONSTRUÇÃO DE BASE E SUB-BASE PARA PAVIMENTAÇÃO DE SOLO (PREDOMINANTEMENTE ARGILOSO) BRITA - 50%-50%, MISTURA EM USINA, COM ESPESSURA DE 10 CM - EXCLUSIVE CARGA E TRANSPORTE. AF_09/2024</t>
  </si>
  <si>
    <t>CONSTRUÇÃO DE BASE E SUB-BASE PARA PAVIMENTAÇÃO DE SOLO (PREDOMINANTEMENTE ARGILOSO) BRITA - 50%-50%, MISTURA EM USINA, COM ESPESSURA DE 15 CM - EXCLUSIVE CARGA E TRANSPORTE. AF_09/2024</t>
  </si>
  <si>
    <t>CONSTRUÇÃO DE BASE E SUB-BASE PARA PAVIMENTAÇÃO DE SOLO (PREDOMINANTEMENTE ARGILOSO) BRITA - 50%-50%, MISTURA EM USINA, COM ESPESSURA DE 20 CM - EXCLUSIVE CARGA E TRANSPORTE. AF_09/2024</t>
  </si>
  <si>
    <t>EXECUÇÃO DE IMPRIMAÇÃO COM ASFALTO DILUÍDO CM-30, PARA OBRAS DE CONSTRUÇÃO DE PAVIMENTOS. AF_09/2024</t>
  </si>
  <si>
    <t>EXECUÇÃO DE IMPRIMAÇÃO COM ASFALTO DILUÍDO CM-30, PARA OBRAS DE RECONSTRUÇÃO DE PAVIMENTOS. AF_09/2024</t>
  </si>
  <si>
    <t>EXECUÇÃO DE PINTURA DE LIGAÇÃO COM EMULSÃO ASFÁLTICA RR-2C, PARA OBRAS DE CONSTRUÇÃO DE PAVIMENTOS. AF_09/2024</t>
  </si>
  <si>
    <t>EXECUÇÃO DE PINTURA DE LIGAÇÃO COM EMULSÃO ASFÁLTICA RR-2C, PARA OBRAS DE RECONSTRUÇÃO DE PAVIMENTOS. AF_09/2024</t>
  </si>
  <si>
    <t>RECONSTRUÇÃO DE BASE E SUB-BASE PARA PAVIMENTAÇÃO DE SOLO (PREDOMINANTEMENTE ARENOSO) BRITA - 40%-60% COM CIMENTO - 4%, MISTURA EM USINA, COM ESPESSURA DE 10 CM - EXCLUSIVE CARGA E TRANSPORTE. AF_09/2024</t>
  </si>
  <si>
    <t>RECONSTRUÇÃO DE BASE E SUB-BASE PARA PAVIMENTAÇÃO DE SOLO (PREDOMINANTEMENTE ARENOSO) BRITA - 40%-60% COM CIMENTO - 4%, MISTURA EM USINA, COM ESPESSURA DE 15 CM - EXCLUSIVE CARGA E TRANSPORTE. AF_09/2024</t>
  </si>
  <si>
    <t>RECONSTRUÇÃO DE BASE E SUB-BASE PARA PAVIMENTAÇÃO DE SOLO (PREDOMINANTEMENTE ARENOSO) BRITA - 40%-60% COM CIMENTO - 4%, MISTURA EM USINA, COM ESPESSURA DE 20 CM - EXCLUSIVE CARGA E TRANSPORTE. AF_09/2024</t>
  </si>
  <si>
    <t>RECONSTRUÇÃO DE BASE E SUB-BASE PARA PAVIMENTAÇÃO DE SOLO (PREDOMINANTEMENTE ARENOSO) BRITA - 40%-60% COM CIMENTO - 6%, MISTURA EM USINA, COM ESPESSURA DE 10 CM - EXCLUSIVE CARGA E TRANSPORTE. AF_09/2024</t>
  </si>
  <si>
    <t>RECONSTRUÇÃO DE BASE E SUB-BASE PARA PAVIMENTAÇÃO DE SOLO (PREDOMINANTEMENTE ARENOSO) BRITA - 40%-60% COM CIMENTO - 6%, MISTURA EM USINA, COM ESPESSURA DE 15 CM - EXCLUSIVE CARGA E TRANSPORTE. AF_09/2024</t>
  </si>
  <si>
    <t>RECONSTRUÇÃO DE BASE E SUB-BASE PARA PAVIMENTAÇÃO DE SOLO (PREDOMINANTEMENTE ARENOSO) BRITA - 40%-60% COM CIMENTO - 6%, MISTURA EM USINA, COM ESPESSURA DE 20 CM - EXCLUSIVE CARGA E TRANSPORTE. AF_09/2024</t>
  </si>
  <si>
    <t>RECONSTRUÇÃO DE BASE E SUB-BASE PARA PAVIMENTAÇÃO DE SOLO (PREDOMINANTEMENTE ARENOSO) BRITA - 40%-60% COM CIMENTO - 8%, MISTURA EM USINA, COM ESPESSURA DE 10 CM - EXCLUSIVE CARGA E TRANSPORTE. AF_09/2024</t>
  </si>
  <si>
    <t>RECONSTRUÇÃO DE BASE E SUB-BASE PARA PAVIMENTAÇÃO DE SOLO (PREDOMINANTEMENTE ARENOSO) BRITA - 40%-60% COM CIMENTO - 8%, MISTURA EM USINA, COM ESPESSURA DE 15 CM - EXCLUSIVE CARGA E TRANSPORTE. AF_09/2024</t>
  </si>
  <si>
    <t>RECONSTRUÇÃO DE BASE E SUB-BASE PARA PAVIMENTAÇÃO DE SOLO (PREDOMINANTEMENTE ARENOSO) BRITA - 40%-60% COM CIMENTO - 8%, MISTURA EM USINA, COM ESPESSURA DE 20 CM - EXCLUSIVE CARGA E TRANSPORTE. AF_09/2024</t>
  </si>
  <si>
    <t>RECONSTRUÇÃO DE BASE E SUB-BASE PARA PAVIMENTAÇÃO DE SOLO (PREDOMINANTEMENTE ARENOSO) BRITA - 40%-60%, MISTURA EM USINA, COM ESPESSURA DE 10 CM - EXCLUSIVE CARGA E TRANSPORTE. AF_09/2024</t>
  </si>
  <si>
    <t>RECONSTRUÇÃO DE BASE E SUB-BASE PARA PAVIMENTAÇÃO DE SOLO (PREDOMINANTEMENTE ARENOSO) BRITA - 40%-60%, MISTURA EM USINA, COM ESPESSURA DE 15 CM - EXCLUSIVE CARGA E TRANSPORTE. AF_09/2024</t>
  </si>
  <si>
    <t>RECONSTRUÇÃO DE BASE E SUB-BASE PARA PAVIMENTAÇÃO DE SOLO (PREDOMINANTEMENTE ARENOSO) BRITA - 40%-60%, MISTURA EM USINA, COM ESPESSURA DE 20 CM - EXCLUSIVE CARGA E TRANSPORTE. AF_09/2024</t>
  </si>
  <si>
    <t>RECONSTRUÇÃO DE BASE E SUB-BASE PARA PAVIMENTAÇÃO DE SOLO (PREDOMINANTEMENTE ARENOSO) BRITA - 50%-50% COM CIMENTO - 4%, MISTURA EM USINA, COM ESPESSURA DE 10 CM - EXCLUSIVE CARGA E TRANSPORTE. AF_09/2024</t>
  </si>
  <si>
    <t>RECONSTRUÇÃO DE BASE E SUB-BASE PARA PAVIMENTAÇÃO DE SOLO (PREDOMINANTEMENTE ARENOSO) BRITA - 50%-50% COM CIMENTO - 4%, MISTURA EM USINA, COM ESPESSURA DE 15 CM - EXCLUSIVE CARGA E TRANSPORTE. AF_09/2024</t>
  </si>
  <si>
    <t>RECONSTRUÇÃO DE BASE E SUB-BASE PARA PAVIMENTAÇÃO DE SOLO (PREDOMINANTEMENTE ARENOSO) BRITA - 50%-50% COM CIMENTO - 4%, MISTURA EM USINA, COM ESPESSURA DE 20 CM - EXCLUSIVE CARGA E TRANSPORTE. AF_09/2024</t>
  </si>
  <si>
    <t>RECONSTRUÇÃO DE BASE E SUB-BASE PARA PAVIMENTAÇÃO DE SOLO (PREDOMINANTEMENTE ARENOSO) BRITA - 50%-50% COM CIMENTO - 6%, MISTURA EM USINA, COM ESPESSURA DE 10 CM - EXCLUSIVE CARGA E TRANSPORTE. AF_09/2024</t>
  </si>
  <si>
    <t>RECONSTRUÇÃO DE BASE E SUB-BASE PARA PAVIMENTAÇÃO DE SOLO (PREDOMINANTEMENTE ARENOSO) BRITA - 50%-50% COM CIMENTO - 6%, MISTURA EM USINA, COM ESPESSURA DE 15 CM - EXCLUSIVE CARGA E TRANSPORTE. AF_09/2024</t>
  </si>
  <si>
    <t>RECONSTRUÇÃO DE BASE E SUB-BASE PARA PAVIMENTAÇÃO DE SOLO (PREDOMINANTEMENTE ARENOSO) BRITA - 50%-50% COM CIMENTO - 6%, MISTURA EM USINA, COM ESPESSURA DE 20 CM - EXCLUSIVE CARGA E TRANSPORTE. AF_09/2024</t>
  </si>
  <si>
    <t>RECONSTRUÇÃO DE BASE E SUB-BASE PARA PAVIMENTAÇÃO DE SOLO (PREDOMINANTEMENTE ARENOSO) BRITA - 50%-50% COM CIMENTO - 8%, MISTURA EM USINA, COM ESPESSURA DE 10 CM - EXCLUSIVE CARGA E TRANSPORTE. AF_09/2024</t>
  </si>
  <si>
    <t>RECONSTRUÇÃO DE BASE E SUB-BASE PARA PAVIMENTAÇÃO DE SOLO (PREDOMINANTEMENTE ARENOSO) BRITA - 50%-50% COM CIMENTO - 8%, MISTURA EM USINA, COM ESPESSURA DE 15 CM - EXCLUSIVE CARGA E TRANSPORTE. AF_09/2024</t>
  </si>
  <si>
    <t>RECONSTRUÇÃO DE BASE E SUB-BASE PARA PAVIMENTAÇÃO DE SOLO (PREDOMINANTEMENTE ARENOSO) BRITA - 50%-50% COM CIMENTO - 8%, MISTURA EM USINA, COM ESPESSURA DE 20 CM - EXCLUSIVE CARGA E TRANSPORTE. AF_09/2024</t>
  </si>
  <si>
    <t>RECONSTRUÇÃO DE BASE E SUB-BASE PARA PAVIMENTAÇÃO DE SOLO (PREDOMINANTEMENTE ARENOSO) BRITA - 50%-50%, MISTURA EM USINA, COM ESPESSURA DE 10 CM - EXCLUSIVE CARGA E TRANSPORTE. AF_09/2024</t>
  </si>
  <si>
    <t>RECONSTRUÇÃO DE BASE E SUB-BASE PARA PAVIMENTAÇÃO DE SOLO (PREDOMINANTEMENTE ARENOSO) BRITA - 50%-50%, MISTURA EM USINA, COM ESPESSURA DE 15 CM - EXCLUSIVE CARGA E TRANSPORTE. AF_09/2024</t>
  </si>
  <si>
    <t>RECONSTRUÇÃO DE BASE E SUB-BASE PARA PAVIMENTAÇÃO DE SOLO (PREDOMINANTEMENTE ARENOSO) BRITA - 50%-50%, MISTURA EM USINA, COM ESPESSURA DE 20 CM - EXCLUSIVE CARGA E TRANSPORTE. AF_09/2024</t>
  </si>
  <si>
    <t>RECONSTRUÇÃO DE BASE E SUB-BASE PARA PAVIMENTAÇÃO DE SOLO (PREDOMINANTEMENTE ARENOSO) COM CIMENTO - 6%, MISTURA EM USINA, COM ESPESSURA DE 10 CM - EXCLUSIVE CARGA E TRANSPORTE. AF_09/2024</t>
  </si>
  <si>
    <t>RECONSTRUÇÃO DE BASE E SUB-BASE PARA PAVIMENTAÇÃO DE SOLO (PREDOMINANTEMENTE ARENOSO) COM CIMENTO - 6%, MISTURA EM USINA, COM ESPESSURA DE 15 CM - EXCLUSIVE CARGA E TRANSPORTE. AF_09/2024</t>
  </si>
  <si>
    <t>RECONSTRUÇÃO DE BASE E SUB-BASE PARA PAVIMENTAÇÃO DE SOLO (PREDOMINANTEMENTE ARENOSO) COM CIMENTO - 6%, MISTURA EM USINA, COM ESPESSURA DE 20 CM - EXCLUSIVE CARGA E TRANSPORTE. AF_09/2024</t>
  </si>
  <si>
    <t>RECONSTRUÇÃO DE BASE E SUB-BASE PARA PAVIMENTAÇÃO DE SOLO (PREDOMINANTEMENTE ARENOSO) COM CIMENTO - 8%, MISTURA EM USINA, COM ESPESSURA DE 10 CM - EXCLUSIVE CARGA E TRANSPORTE. AF_09/2024</t>
  </si>
  <si>
    <t>RECONSTRUÇÃO DE BASE E SUB-BASE PARA PAVIMENTAÇÃO DE SOLO (PREDOMINANTEMENTE ARENOSO) COM CIMENTO - 8%, MISTURA EM USINA, COM ESPESSURA DE 15 CM - EXCLUSIVE CARGA E TRANSPORTE. AF_09/2024</t>
  </si>
  <si>
    <t>RECONSTRUÇÃO DE BASE E SUB-BASE PARA PAVIMENTAÇÃO DE SOLO (PREDOMINANTEMENTE ARENOSO) COM CIMENTO - 8%, MISTURA EM USINA, COM ESPESSURA DE 20 CM - EXCLUSIVE CARGA E TRANSPORTE. AF_09/2024</t>
  </si>
  <si>
    <t>RECONSTRUÇÃO DE BASE E SUB-BASE PARA PAVIMENTAÇÃO DE SOLO (PREDOMINANTEMENTE ARENOSO) MELHORADO COM CIMENTO - 2%, MISTURA EM USINA, COM ESPESSURA DE 10 CM - EXCLUSIVE CARGA E TRANSPORTE. AF_09/2024</t>
  </si>
  <si>
    <t>RECONSTRUÇÃO DE BASE E SUB-BASE PARA PAVIMENTAÇÃO DE SOLO (PREDOMINANTEMENTE ARENOSO) MELHORADO COM CIMENTO - 2%, MISTURA EM USINA, COM ESPESSURA DE 15 CM - EXCLUSIVE CARGA E TRANSPORTE. AF_09/2024</t>
  </si>
  <si>
    <t>RECONSTRUÇÃO DE BASE E SUB-BASE PARA PAVIMENTAÇÃO DE SOLO (PREDOMINANTEMENTE ARENOSO) MELHORADO COM CIMENTO - 2%, MISTURA EM USINA, COM ESPESSURA DE 20 CM - EXCLUSIVE CARGA E TRANSPORTE. AF_09/2024</t>
  </si>
  <si>
    <t>RECONSTRUÇÃO DE BASE E SUB-BASE PARA PAVIMENTAÇÃO DE SOLO (PREDOMINANTEMENTE ARENOSO) MELHORADO COM CIMENTO - 4%, MISTURA EM USINA, COM ESPESSURA DE 10 CM - EXCLUSIVE CARGA E TRANSPORTE. AF_09/2024</t>
  </si>
  <si>
    <t>RECONSTRUÇÃO DE BASE E SUB-BASE PARA PAVIMENTAÇÃO DE SOLO (PREDOMINANTEMENTE ARENOSO) MELHORADO COM CIMENTO - 4%, MISTURA EM USINA, COM ESPESSURA DE 15 CM - EXCLUSIVE CARGA E TRANSPORTE. AF_09/2024</t>
  </si>
  <si>
    <t>RECONSTRUÇÃO DE BASE E SUB-BASE PARA PAVIMENTAÇÃO DE SOLO (PREDOMINANTEMENTE ARENOSO) MELHORADO COM CIMENTO - 4%, MISTURA EM USINA, COM ESPESSURA DE 20 CM - EXCLUSIVE CARGA E TRANSPORTE. AF_09/2024</t>
  </si>
  <si>
    <t>RECONSTRUÇÃO DE BASE E SUB-BASE PARA PAVIMENTAÇÃO DE SOLO (PREDOMINANTEMENTE ARGILOSO) BRITA - 40%-60%, MISTURA EM USINA, COM ESPESSURA DE 10 CM - EXCLUSIVE CARGA E TRANSPORTE. AF_09/2024</t>
  </si>
  <si>
    <t>RECONSTRUÇÃO DE BASE E SUB-BASE PARA PAVIMENTAÇÃO DE SOLO (PREDOMINANTEMENTE ARGILOSO) BRITA - 40%-60%, MISTURA EM USINA, COM ESPESSURA DE 15 CM - EXCLUSIVE CARGA E TRANSPORTE. AF_09/2024</t>
  </si>
  <si>
    <t>RECONSTRUÇÃO DE BASE E SUB-BASE PARA PAVIMENTAÇÃO DE SOLO (PREDOMINANTEMENTE ARGILOSO) BRITA - 40%-60%, MISTURA EM USINA, COM ESPESSURA DE 20 CM - EXCLUSIVE CARGA E TRANSPORTE. AF_09/2024</t>
  </si>
  <si>
    <t>RECONSTRUÇÃO DE BASE E SUB-BASE PARA PAVIMENTAÇÃO DE SOLO (PREDOMINANTEMENTE ARGILOSO) BRITA - 50%-50%, MISTURA EM USINA, COM ESPESSURA DE 10 CM - EXCLUSIVE CARGA E TRANSPORTE. AF_09/2024</t>
  </si>
  <si>
    <t>RECONSTRUÇÃO DE BASE E SUB-BASE PARA PAVIMENTAÇÃO DE SOLO (PREDOMINANTEMENTE ARGILOSO) BRITA - 50%-50%, MISTURA EM USINA, COM ESPESSURA DE 15 CM - EXCLUSIVE CARGA E TRANSPORTE. AF_09/2024</t>
  </si>
  <si>
    <t>RECONSTRUÇÃO DE BASE E SUB-BASE PARA PAVIMENTAÇÃO DE SOLO (PREDOMINANTEMENTE ARGILOSO) BRITA - 50%-50%, MISTURA EM USINA, COM ESPESSURA DE 20 CM - EXCLUSIVE CARGA E TRANSPORTE. AF_09/2024</t>
  </si>
  <si>
    <t>BOMBA CENTRÍFUGA, TRIFÁSICA, 1,5 CV OU 1,48 HP, HM 10 A 24 M, Q 6,1 A 21,9 M3/H, 2 UNIDADES, INCLUSO QUADRO ELÉTRICO - FORNECIMENTO E INSTALAÇÃO. AF_12/2020</t>
  </si>
  <si>
    <t>BOMBA CENTRÍFUGA, TRIFÁSICA, 3 CV OU 2,96 HP, HM 34 A 40 M, Q 8,6 A 14,8 M3/H, 2 UNIDADES, INCLUSO QUADRO ELÉTRICO - FORNECIMENTO E INSTALAÇÃO. AF_12/2020</t>
  </si>
  <si>
    <t>BOMBA SUBMERSÍVEL, TRIFÁSICA, 3,80 CV OU 3,75 HP, HM 5 A 25,5 M, Q 3,6 A 61,2 M3/H (NÃO INCLUI O FORNECIMENTO DA BOMBA). AF_12/2020</t>
  </si>
  <si>
    <t>BOMBA SUBMERSÍVEL, TRIFÁSICA, 3,80 CV OU 3,75 HP, HM 5 A 25,5 M, Q 3,6 A 61,2 M3/H - FORNECIMENTO E INSTALAÇÃO. AF_12/2020</t>
  </si>
  <si>
    <t>MOTO BOMBA HORIZONTAL ATÉ 10 CV, HM 75 A 80 M, Q 25,4 A 48 - FORNECIMENTO E INSTALAÇÃO. AF_12/2020</t>
  </si>
  <si>
    <t>MOTO BOMBA HORIZONTAL DE 12,5 A 25CV, HM 140 M - FORNECIMENTO E INSTALAÇÃO. AF_12/2020</t>
  </si>
  <si>
    <t>MOTO BOMBA SUBMERSÍVEL ATÉ 10 CV, HM 21 M (NÃO INCLUI O FORNECIMENTO DA BOMBA). AF_12/2020</t>
  </si>
  <si>
    <t>MOTO BOMBA SUBMERSÍVEL ATÉ 10 CV, HM 21 M - FORNECIMENTO E INSTALAÇÃO. AF_12/2020</t>
  </si>
  <si>
    <t>MOTO BOMBA SUBMERSÍVEL DE 11 A 25 CV, HM 33 M (NÃO INCLUI O FORNECIMENTO DA BOMBA). AF_12/2020</t>
  </si>
  <si>
    <t>MOTO BOMBA SUBMERSÍVEL DE 11 A 25 CV, HM 33 M - FORNECIMENTO E INSTALAÇÃO. AF_12/2020</t>
  </si>
  <si>
    <t>QUADRO ELÉTRICO PARA 2 BOMBAS CENTRÍFUGAS TRIFÁSICAS 1,5 CV - FORNECIMENTO E INSTALAÇÃO. AF_12/2020</t>
  </si>
  <si>
    <t>QUADRO ELÉTRICO PARA 2 BOMBAS CENTRÍFUGAS TRIFÁSICAS 3 CV - FORNECIMENTO E INSTALAÇÃO. AF_12/2020</t>
  </si>
  <si>
    <t>FORNECIMENTO E INSTALAÇÃO DE BRISE DE ALUMÍNIO B57, COM PINTURA ELETROSTÁTICA BRANCA, ACABAMENTO LISO, FIXADO EM PORTA-PAINEL RANHURADO. AF_03/2024</t>
  </si>
  <si>
    <t>FORNECIMENTO E INSTALAÇÃO DE BRISE DE ALUZINC SL4, COM PINTURA ELETROSTÁTICA BRANCA, INCLINAÇÃO DE 45°, ACABAMENTO LISO, FIXADO EM PORTA-PAINEL RANHURADO. AF_03/2024</t>
  </si>
  <si>
    <t>FORNECIMENTO E INSTALAÇÃO DE CAIXA DE ALUMÍNIO PROTETORA PARA CONDENSADORA DE AR-CONDICIONADO, PINTURA ELETROSTÁTICA BRANCA, DIMENSÕES 100 CM X 78 CM X 50 CM. AF_03/2024</t>
  </si>
  <si>
    <t>FORNECIMENTO E INSTALAÇÃO DE CONJUNTO DE BRISE EM REQUADRO DE ALUMÍNIO DESLIZANTE, COM PERFIS INTERNOS TUBULARES FIXOS, COM PINTURA ELETROSTÁTICA BRANCA, ACABAMENTO, 150 CM X 265 CM. AF_03/2024</t>
  </si>
  <si>
    <t>CAIXA ENTERRADA HIDRÁULICA RETANGULAR, EM CONCRETO PRÉ-MOLDADO, DIMENSÕES INTERNAS: 1X1X0,5 M. AF_12/2020</t>
  </si>
  <si>
    <t>CAIXA ENTERRADA PARA INSTALAÇÕES TELEFÔNICAS TIPO R2, EM ALVENARIA COM BLOCOS DE CONCRETO, DIMENSÕES INTERNAS: 0,52X1,07X0,60 M, EXCLUINDO TAMPÃO. AF_12/2020</t>
  </si>
  <si>
    <t>CAIXA ENTERRADA PARA INSTALAÇÕES TELEFÔNICAS TIPO R3, EM ALVENARIA COM BLOCOS DE CONCRETO, DIMENSÕES INTERNAS: 1,2X1,5X1,40 M, EXCLUINDO TAMPÃO. AF_12/2020</t>
  </si>
  <si>
    <t>ALAMBRADO EM PERFIS METÁLICOS RETANGULARES COM GRADIL METÁLICO (EXCLUSIVE MURETA EM CONCRETO).AF_05/2018</t>
  </si>
  <si>
    <t>CERCA COM MOURÕES DE CONCRETO, RETO, 15X15 CM, ESPAÇAMENTO DE 2,5 M, CRAVADOS 0,5 M, ESCORAS DE 10X10 CM A CADA 50 M, COM 12 FIOS DE ARAME DE AÇO OVALADO 15X17 - FORNECIMENTO E INSTALAÇÃO. AF_05/2020</t>
  </si>
  <si>
    <t>CERCA COM MOURÕES DE CONCRETO, RETO, 15X15 CM, ESPAÇAMENTO DE 2,5 M, CRAVADOS 0,5 M, ESCORAS DE 10X10 CM A CADA 50 M, COM 9 FIOS DE ARAME DE AÇO OVALADO 15X17 - FORNECIMENTO E INSTALAÇÃO. AF_05/2020</t>
  </si>
  <si>
    <t>REVESTIMENTO VEGETAL PARA SOLO GRAMPEADO VERDE, ATRAVÉS DE HIDROSSEMEADURA. AF_07/2024</t>
  </si>
  <si>
    <t>ANCORAGEM ATIVA PARA CABO COM 1 CORDOALHA DE DIÂMETRO NOMINAL DE 12,7 MM. AF_08/2022</t>
  </si>
  <si>
    <t>ANCORAGEM ATIVA PARA CABO COM 1 CORDOALHA DE DIÂMETRO NOMINAL DE 15,2 MM. AF_08/2022</t>
  </si>
  <si>
    <t>ANCORAGEM ATIVA PARA CABO COM 12 CORDOALHAS DE DIÂMETRO NOMINAL DE 12,7 MM. AF_08/2022</t>
  </si>
  <si>
    <t>ANCORAGEM ATIVA PARA CABO COM 12 CORDOALHAS DE DIÂMETRO NOMINAL DE 15,2 MM. AF_08/2022</t>
  </si>
  <si>
    <t>ANCORAGEM ATIVA PARA CABO COM 2 CORDOALHAS DE DIÂMETRO NOMINAL DE 12,7 MM. AF_08/2022</t>
  </si>
  <si>
    <t>ANCORAGEM ATIVA PARA CABO COM 2 CORDOALHAS DE DIÂMETRO NOMINAL DE 15,2 MM. AF_08/2022</t>
  </si>
  <si>
    <t>ANCORAGEM ATIVA PARA CABO COM 4 CORDOALHAS DE DIÂMETRO NOMINAL DE 12,7 MM. AF_08/2022</t>
  </si>
  <si>
    <t>ANCORAGEM ATIVA PARA CABO COM 4 CORDOALHAS DE DIÂMETRO NOMINAL DE 15,2 MM. AF_08/2022</t>
  </si>
  <si>
    <t>ANCORAGEM ATIVA PARA CABO COM 6 CORDOALHAS DE DIÂMETRO NOMINAL DE 12,7 MM. AF_08/2022</t>
  </si>
  <si>
    <t>ANCORAGEM ATIVA PARA CABO COM 6 CORDOALHAS DE DIÂMETRO NOMINAL DE 15,2 MM. AF_08/2022</t>
  </si>
  <si>
    <t>ANCORAGEM ATIVA PARA CABO COM 7 CORDOALHAS DE DIÂMETRO NOMINAL DE 12,7 MM. AF_08/2022</t>
  </si>
  <si>
    <t>ANCORAGEM ATIVA PARA CABO COM 7 CORDOALHAS DE DIÂMETRO NOMINAL DE 15,2 MM. AF_08/2022</t>
  </si>
  <si>
    <t>ANCORAGEM ATIVA PARA CORDOALHA COM 7 FIOS E DIÂMETRO NOMINAL DE 12,7 MM. AF_08/2022</t>
  </si>
  <si>
    <t>ANCORAGEM ATIVA PARA CORDOALHA COM 7 FIOS E DIÂMETRO NOMINAL DE 15,2 MM. AF_08/2022</t>
  </si>
  <si>
    <t>ANCORAGEM PASSIVA PARA CABO COM 1 CORDOALHA DE DIÂMETRO NOMINAL DE 12,7 MM. AF_08/2022</t>
  </si>
  <si>
    <t>ANCORAGEM PASSIVA PARA CABO COM 1 CORDOALHA DE DIÂMETRO NOMINAL DE 15,2 MM. AF_08/2022</t>
  </si>
  <si>
    <t>ANCORAGEM PASSIVA PARA CABO COM 12 CORDOALHAS DE DIÂMETRO NOMINAL DE 12,7 MM. AF_08/2022</t>
  </si>
  <si>
    <t>ANCORAGEM PASSIVA PARA CABO COM 12 CORDOALHAS DE DIÂMETRO NOMINAL DE 15,2 MM. AF_08/2022</t>
  </si>
  <si>
    <t>ANCORAGEM PASSIVA PARA CABO COM 2 CORDOALHAS DE DIÂMETRO NOMINAL DE 12,7 MM. AF_08/2022</t>
  </si>
  <si>
    <t>ANCORAGEM PASSIVA PARA CABO COM 2 CORDOALHAS DE DIÂMETRO NOMINAL DE 15,2 MM. AF_08/2022</t>
  </si>
  <si>
    <t>ANCORAGEM PASSIVA PARA CABO COM 4 CORDOALHAS DE DIÂMETRO NOMINAL DE 12,7 MM. AF_08/2022</t>
  </si>
  <si>
    <t>ANCORAGEM PASSIVA PARA CABO COM 4 CORDOALHAS DE DIÂMETRO NOMINAL DE 15,2 MM. AF_08/2022</t>
  </si>
  <si>
    <t>ANCORAGEM PASSIVA PARA CABO COM 6 CORDOALHAS DE DIÂMETRO NOMINAL DE 12,7 MM. AF_08/2022</t>
  </si>
  <si>
    <t>ANCORAGEM PASSIVA PARA CABO COM 6 CORDOALHAS DE DIÂMETRO NOMINAL DE 15,2 MM. AF_08/2022</t>
  </si>
  <si>
    <t>ANCORAGEM PASSIVA PARA CABO COM 7 CORDOALHAS DE DIÂMETRO NOMINAL DE 12,7 MM. AF_08/2022</t>
  </si>
  <si>
    <t>ANCORAGEM PASSIVA PARA CABO COM 7 CORDOALHAS DE DIÂMETRO NOMINAL DE 15,2 MM. AF_08/2022</t>
  </si>
  <si>
    <t>ANCORAGEM PASSIVA PARA CORDOALHA COM 7 FIOS E DIÂMETRO NOMINAL DE 12,7 MM. AF_08/2022</t>
  </si>
  <si>
    <t>ANCORAGEM PASSIVA PARA CORDOALHA COM 7 FIOS E DIÂMETRO NOMINAL DE 15,2 MM. AF_08/2022</t>
  </si>
  <si>
    <t>FORNECIMENTO E INSTALAÇÃO DE BAINHA CIRCULAR COM DIÂMETRO NOMINAL DE 35 MM, INCLUSIVE INJEÇÃO DE NATA DE CIMENTO. AF_08/2022</t>
  </si>
  <si>
    <t>FORNECIMENTO E INSTALAÇÃO DE BAINHA CIRCULAR COM DIÂMETRO NOMINAL DE 40 MM, INCLUSIVE INJEÇÃO DE NATA DE CIMENTO. AF_08/2022</t>
  </si>
  <si>
    <t>FORNECIMENTO E INSTALAÇÃO DE BAINHA CIRCULAR COM DIÂMETRO NOMINAL DE 50 MM, INCLUSIVE INJEÇÃO DE NATA DE CIMENTO. AF_08/2022</t>
  </si>
  <si>
    <t>FORNECIMENTO E INSTALAÇÃO DE BAINHA CIRCULAR COM DIÂMETRO NOMINAL DE 55 MM, INCLUSIVE INJEÇÃO DE NATA DE CIMENTO. AF_08/2022</t>
  </si>
  <si>
    <t>FORNECIMENTO E INSTALAÇÃO DE BAINHA CIRCULAR COM DIÂMETRO NOMINAL DE 60 MM, INCLUSIVE INJEÇÃO DE NATA DE CIMENTO. AF_08/2022</t>
  </si>
  <si>
    <t>FORNECIMENTO E INSTALAÇÃO DE BAINHA CIRCULAR COM DIÂMETRO NOMINAL DE 65 MM, INCLUSIVE INJEÇÃO DE NATA DE CIMENTO. AF_08/2022</t>
  </si>
  <si>
    <t>FORNECIMENTO E INSTALAÇÃO DE BAINHA CIRCULAR COM DIÂMETRO NOMINAL DE 80 MM, INCLUSIVE INJEÇÃO DE NATA DE CIMENTO. AF_08/2022</t>
  </si>
  <si>
    <t>FORNECIMENTO E INSTALAÇÃO DE CABO COM CORDOALHA NUA, RESISTÊNCIA À TRAÇÃO DE 190 KGF/MM² E DIÂMETRO NOMINAL DE 12,7 MM, EM VIGA. AF_08/2022</t>
  </si>
  <si>
    <t>FORNECIMENTO E INSTALAÇÃO DE CABO COM CORDOALHA NUA, RESISTÊNCIA À TRAÇÃO DE 190 KGF/MM² E DIÂMETRO NOMINAL DE 15,2 MM, EM VIGA. AF_08/2022</t>
  </si>
  <si>
    <t>FORNECIMENTO E INSTALAÇÃO DE CABO COM CORDOALHA NUA, RESISTÊNCIA À TRAÇÃO DE 210 KGF/MM² E DIÂMETRO NOMINAL DE 12,7 MM, EM VIGA. AF_08/2022</t>
  </si>
  <si>
    <t>FORNECIMENTO E INSTALAÇÃO DE CABO COM CORDOALHA NUA, RESISTÊNCIA À TRAÇÃO DE 210 KGF/MM² E DIÂMETRO NOMINAL DE 15,2 MM, EM VIGA. AF_08/2022</t>
  </si>
  <si>
    <t>FORNECIMENTO E INSTALAÇÃO DE CORDOALHA COM 7 FIOS, RESISTÊNCIA À TRAÇÃO DE 190 KGF/MM² E DIÂMETRO NOMINAL DE 12,7 MM, EM LAJE. AF_08/2022</t>
  </si>
  <si>
    <t>FORNECIMENTO E INSTALAÇÃO DE CORDOALHA COM 7 FIOS, RESISTÊNCIA À TRAÇÃO DE 190 KGF/MM² E DIÂMETRO NOMINAL DE 12,7 MM, EM VIGA. AF_08/2022</t>
  </si>
  <si>
    <t>FORNECIMENTO E INSTALAÇÃO DE CORDOALHA COM 7 FIOS, RESISTÊNCIA À TRAÇÃO DE 190 KGF/MM² E DIÂMETRO NOMINAL DE 15,2 MM, EM LAJE. AF_08/2022</t>
  </si>
  <si>
    <t>FORNECIMENTO E INSTALAÇÃO DE CORDOALHA COM 7 FIOS, RESISTÊNCIA À TRAÇÃO DE 190 KGF/MM² E DIÂMETRO NOMINAL DE 15,2 MM, EM VIGA. AF_08/2022</t>
  </si>
  <si>
    <t>FORNECIMENTO E INSTALAÇÃO DE CORDOALHA COM 7 FIOS, RESISTÊNCIA À TRAÇÃO DE 210 KGF/MM² E DIÂMETRO NOMINAL DE 12,7 MM, EM LAJE. AF_08/2022</t>
  </si>
  <si>
    <t>FORNECIMENTO E INSTALAÇÃO DE CORDOALHA COM 7 FIOS, RESISTÊNCIA À TRAÇÃO DE 210 KGF/MM² E DIÂMETRO NOMINAL DE 12,7 MM, EM VIGA. AF_08/2022</t>
  </si>
  <si>
    <t>FORNECIMENTO E INSTALAÇÃO DE CORDOALHA COM 7 FIOS, RESISTÊNCIA À TRAÇÃO DE 210 KGF/MM² E DIÂMETRO NOMINAL DE 15,2 MM, EM LAJE. AF_08/2022</t>
  </si>
  <si>
    <t>FORNECIMENTO E INSTALAÇÃO DE CORDOALHA COM 7 FIOS, RESISTÊNCIA À TRAÇÃO DE 210 KGF/MM² E DIÂMETRO NOMINAL DE 15,2 MM, EM VIGA. AF_08/2022</t>
  </si>
  <si>
    <t>BATE ESTACA PARA INSTALAÇÃO DE DEFENSAS METÁLICAS (GUARD RAIL) FIXO, INCLUSIVE CAMINHÃO TOCO PBT 9.700 KG, POTÊNCIA DE 160 CV - CHI DIURNO. AF_05/2023</t>
  </si>
  <si>
    <t>BATE ESTACA PARA INSTALAÇÃO DE DEFENSAS METÁLICAS (GUARD RAIL) FIXO, INCLUSIVE CAMINHÃO TOCO PBT 9.700 KG, POTÊNCIA DE 160 CV - CHP DIURNO. AF_05/2023</t>
  </si>
  <si>
    <t>BETONEIRA CAPACIDADE NOMINAL DE 250 L, CAPACIDADE DE MISTURA DE 175 L, MOTOR ELÉTRICO MONOFÁSICO POTÊNCIA 1CV - CHI DIURNO. AF_05/2023</t>
  </si>
  <si>
    <t>BETONEIRA CAPACIDADE NOMINAL DE 250 L, CAPACIDADE DE MISTURA DE 175 L, MOTOR ELÉTRICO MONOFÁSICO POTÊNCIA 1CV - CHP DIURNO. AF_05/2023</t>
  </si>
  <si>
    <t>CALDEIRA A GÁS COM TERMOSTATO, CAPACIDADE 100 LITROS - CHI DIURNO. AF_05/2023</t>
  </si>
  <si>
    <t>CALDEIRA A GÁS COM TERMOSTATO, CAPACIDADE 100 LITROS - CHP DIURNO. AF_05/2023</t>
  </si>
  <si>
    <t>CAMINHÃO TANQUE PARA HIDROSSEMEADURA, COM CAPACIDADE DE 8.000 LITROS, INCLUINDO BOMBA PARA LANÇAMENTO COM MOTOR DIESEL COM POTÊNCIA DE 105 CV - CHI DIURNO. AF_06/2023</t>
  </si>
  <si>
    <t>CAMINHÃO TANQUE PARA HIDROSSEMEADURA, COM CAPACIDADE DE 8.000 LITROS, INCLUINDO BOMBA PARA LANÇAMENTO COM MOTOR DIESEL COM POTÊNCIA DE 105 CV - CHP DIURNO. AF_06/2023</t>
  </si>
  <si>
    <t>CENTRAL DE LAMA BENTONÍTICA (DEPÓSITO DE BENTONITA, MISTURADOR DE ALTA TURBULÊNCIA, SILOS DE ARMAZENAMENTO DE LAMA E ÁGUA, LABORATÓRIO DE CONTROLE DE QUALIDADE DA LAMA) - CHI DIURNO. AF_04/2019</t>
  </si>
  <si>
    <t>CENTRAL DE LAMA BENTONÍTICA (DEPÓSITO DE BENTONITA, MISTURADOR DE ALTA TURBULÊNCIA, SILOS DE ARMAZENAMENTO DE LAMA E ÁGUA, LABORATÓRIO DE CONTROLE DE QUALIDADE DA LAMA) - CHP DIURNO. AF_04/2019</t>
  </si>
  <si>
    <t>COMPRESSOR DE AR, VAZAO DE 10 PCM, RESERVATORIO 100 L, PRESSAO DE TRABALHO ENTRE 6,9 E 9,7 BAR, POTENCIA 2 HP, TENSAO 110/220 V - CHP DIURNO. AF_05/2023</t>
  </si>
  <si>
    <t>CONJUNTO MACACO E BOMBA HIDRÁULICA PARA PROTENSAO DE CORDOALHAS, ESFORÇO MAXIMO DE 115 TONELADAS - CHI DIURNO. AF_05/2023</t>
  </si>
  <si>
    <t>CONJUNTO MACACO E BOMBA HIDRÁULICA PARA PROTENSAO DE CORDOALHAS, ESFORÇO MAXIMO DE 115 TONELADAS - CHP DIURNO. AF_05/2023</t>
  </si>
  <si>
    <t>DOBRADEIRA TDC, ESPESSURA 1,5MM - CHI DIURNO. AF_05/2023</t>
  </si>
  <si>
    <t>DOBRADEIRA TDC, ESPESSURA 1,5MM - CHP DIURNO. AF_05/2023</t>
  </si>
  <si>
    <t>ENCERADEIRA INDUSTRIAL, 400 MM, 220V, 1 HP - CHI DIURNO. AF_05/2023</t>
  </si>
  <si>
    <t>ENCERADEIRA INDUSTRIAL, 400 MM, 220V, 1 HP - CHP DIURNO. AF_05/2023</t>
  </si>
  <si>
    <t>ESCAVADEIRA HIDRÁULICA SOBRE ESTEIRA, PESO OPERACIONAL ENTRE 22,00 E 23,50 T, POTÊNCIA NOMINAL 139 HP, COM MARTELO ROMPEDOR HIDRÁULICO 1700 KG - CHI DIURNO. AF_04/2019</t>
  </si>
  <si>
    <t>ESCAVADEIRA HIDRÁULICA SOBRE ESTEIRA, PESO OPERACIONAL ENTRE 22,00 E 23,50 T, POTÊNCIA NOMINAL 139 HP, COM MARTELO ROMPEDOR HIDRÁULICO 1700 KG - CHP DIURNO. AF_04/2019</t>
  </si>
  <si>
    <t>FURADEIRA ELETROMAGNÉTICA, VELOCIDADE (SEM CARGA/ COM CARGA) 450/ 270 RPM, ESPESSURA MÁXIMA DA CHAPA A SER FURADA 50 MM, PORÇA DE ADESÃO MAGNÉTICA 17000 N, POTÊNCIA 1100 W, ALIMENTÇÃO 220 - 60 HZ, MONOFÁSICA - CHI DIURNO. AF_08/2019</t>
  </si>
  <si>
    <t>FURADEIRA ELETROMAGNÉTICA, VELOCIDADE (SEM CARGA/ COM CARGA) 450/ 270 RPM, ESPESSURA MÁXIMA DA CHAPA A SER FURADA 50 MM, PORÇA DE ADESÃO MAGNÉTICA 17000 N, POTÊNCIA 1100 W, ALIMENTÇÃO 220 - 60 HZ, MONOFÁSICA - CHP DIURNO. AF_08/2019</t>
  </si>
  <si>
    <t>GRUPO GERADOR DIESEL, COM CARENAGEM, POTÊNCIA STANDART ENTRE 400 E 460 KVA, VELOCIDADE DE 1800 RPM, FREQUÊNCIA DE 60 HZ - CHI DIURNO. AF_05/2023</t>
  </si>
  <si>
    <t>GRUPO GERADOR DIESEL, COM CARENAGEM, POTÊNCIA STANDART ENTRE 400 E 460 KVA, VELOCIDADE DE 1800 RPM, FREQUÊNCIA DE 60 HZ - CHP DIURNO. AF_05/2023</t>
  </si>
  <si>
    <t>GUINDASTE DERRICK, LANÇA DE *20* M, CARGA MÁXIMA 10T, POTÊNCIA 45 KW - CHI DIURNO. AF_01/2024</t>
  </si>
  <si>
    <t>GUINDASTE DERRICK, LANÇA DE *20* M, CARGA MÁXIMA 10T, POTÊNCIA 45 KW - CHP DIURNO. AF_01/2024</t>
  </si>
  <si>
    <t>GUINDASTE HIDRAULICO AUTOPROPELIDO, COM LANÇA TRELIÇADA 40 M, CAPACIDADE MÁXIMA 75 T, EQUIPADO COM CLAMSHELL - CHI DIURNO. AF_04/2019</t>
  </si>
  <si>
    <t>GUINDASTE HIDRAULICO AUTOPROPELIDO, COM LANÇA TRELIÇADA 40 M, CAPACIDADE MÁXIMA 75 T, EQUIPADO COM CLAMSHELL - CHP DIURNO. AF_04/2019</t>
  </si>
  <si>
    <t>GUINDASTE HIDRÁULICO AUTOPROPELIDO, COM LANÇA TRELICADA 41 M, CAPACIDADE MÁXIMA DE ELEVAÇÃO 43 T, POTÊNCIA 230 KW, EQUIPADO COM CAÇAMBA DE ARRASTO (DRAGLINE) DE 0,76 M3 - CHI DIURNO. AF_06/2023</t>
  </si>
  <si>
    <t>GUINDASTE HIDRÁULICO AUTOPROPELIDO, COM LANÇA TRELICADA 41 M, CAPACIDADE MÁXIMA DE ELEVAÇÃO 43 T, POTÊNCIA 230 KW, EQUIPADO COM CAÇAMBA DE ARRASTO (DRAGLINE) DE 0,76 M3 - CHP DIURNO. AF_06/2023</t>
  </si>
  <si>
    <t>GUINDASTE HIDRÁULICO RODOVIÁRIO, LANCA TELESCÓPICA DE *50+20* M, CAPACIDADE MÁXIMA DE 90T, 4 EIXOS, POTÊNCIA 330 KW, MOTOR DIESEL - CHI DIURNO. AF_01/2024</t>
  </si>
  <si>
    <t>GUINDASTE HIDRÁULICO RODOVIÁRIO, LANCA TELESCÓPICA DE *50+20* M, CAPACIDADE MÁXIMA DE 90T, 4 EIXOS, POTÊNCIA 330 KW, MOTOR DIESEL - CHP DIURNO. AF_01/2024</t>
  </si>
  <si>
    <t>GUINDASTE SOBRE ESTEIRAS, COM LANÇA TRELIÇADA 40 M, CAPACIDADE MÁXIMA 75 T - CHI DIURNO. AF_04/2019</t>
  </si>
  <si>
    <t>GUINDASTE SOBRE ESTEIRAS, COM LANÇA TRELIÇADA 40 M, CAPACIDADE MÁXIMA 75 T - CHP DIURNO. AF_04/2019</t>
  </si>
  <si>
    <t>GUINDASTE SOBRE ESTEIRAS, COM LANÇA TRELIÇADA 40 M, CAPACIDADE MÁXIMA 75 T, EQUIPADO COM CLAMSHELL - CHI DIURNO. AF_04/2019</t>
  </si>
  <si>
    <t>GUINDASTE SOBRE ESTEIRAS, COM LANÇA TRELIÇADA 40 M, CAPACIDADE MÁXIMA 75 T, EQUIPADO COM CLAMSHELL - CHP DIURNO. AF_04/2019</t>
  </si>
  <si>
    <t>GUINDAUTO HIDRÁULICO, CAPACIDADE MÁXIMA DE CARGA 6200 KG, MOMENTO MÁXIMO DE CARGA 11,7 TM, ALCANCE MÁXIMO HORIZONTAL 9,70 M, INCLUSIVE CAMINHÃO TOCO PBT 16.000 KG, POTÊNCIA DE 189 CV E CESTA AÉREA COM ISOLAMENTO CLASSE C - CHI DIURNO. AF_01/2025</t>
  </si>
  <si>
    <t>GUINDAUTO HIDRÁULICO, CAPACIDADE MÁXIMA DE CARGA 6200 KG, MOMENTO MÁXIMO DE CARGA 11,7 TM, ALCANCE MÁXIMO HORIZONTAL 9,70 M, INCLUSIVE CAMINHÃO TOCO PBT 16.000 KG, POTÊNCIA DE 189 CV E CESTA AÉREA COM ISOLAMENTO CLASSE C - CHP DIURNO. AF_01/2025</t>
  </si>
  <si>
    <t>LIXADEIRA DE PAREDE, COM LED, POTÊNCIA 750 W, FREQUÊNCIA 60 HZ, VELOCIDADE 1000 A 2100 RPM, DIÂMETRO DA LIXA 225 MM - CHI DIURNO AF_12/2022</t>
  </si>
  <si>
    <t>LIXADEIRA DE PAREDE, COM LED, POTÊNCIA 750 W, FREQUÊNCIA 60 HZ, VELOCIDADE 1000 A 2100 RPM, DIÂMETRO DA LIXA 225 MM - CHP DIURNO. AF_12/2022</t>
  </si>
  <si>
    <t>MARTELETE PERFURADOR/ ROMPEDOR ELÉTRICO, POTÊNCIA 800 W, 220 V - CHI DIURNO. AF_05/2023</t>
  </si>
  <si>
    <t>MARTELETE PERFURADOR/ ROMPEDOR ELÉTRICO, POTÊNCIA 800 W, 220 V - CHP DIURNO. AF_05/2023</t>
  </si>
  <si>
    <t>MINI GUINDASTE ARANHA SOBRE ESTEIRAS E LANCA TELESCÓPICA, CAPACIDADE MÁXIMA DE CARGA 3,0 TON, RAIO MÁXIMO DE TRABALHO 8,25 M, ALTURA DE LANÇA DO SOLO 9,2 M, 55 M DE CABO DE AÇO 8 MM, MOTOR ELÉTRICO 220/380 VOLTS TRIFÁSICO - CHI DIURNO. AF_03/2022</t>
  </si>
  <si>
    <t>MINI GUINDASTE ARANHA SOBRE ESTEIRAS E LANCA TELESCÓPICA, CAPACIDADE MÁXIMA DE CARGA 3,0 TON, RAIO MÁXIMO DE TRABALHO 8,25 M, ALTURA DE LANÇA DO SOLO 9,2 M, 55 M DE CABO DE AÇO 8 MM, MOTOR ELÉTRICO 220/380 VOLTS TRIFÁSICO - CHP DIURNO. AF_03/2022</t>
  </si>
  <si>
    <t>MISTURADOR PARA PREPARO DE LAMA ESTABILIZANTE COM CAPACIDADE DE *4000* L, COM BOMBA CENTRÍFUGA 5,5 HP A 23,07 HP, PARA SISTEMA DE FURO DIRECIONAL - CHI DIURNO. AF_05/2023</t>
  </si>
  <si>
    <t>MISTURADOR PARA PREPARO DE LAMA ESTABILIZANTE COM CAPACIDADE DE *4000* L, COM BOMBA CENTRÍFUGA 5,5 HP A 23,07 HP, PARA SISTEMA DE FURO DIRECIONAL - CHP DIURNO. AF_05/2023</t>
  </si>
  <si>
    <t>MÁQUINA FORMER DOBRAS DIVERSAS: 220V/380V TRIFÁSICO OU MONOFÁSICO, CAPACIDADE 0,5-1,27MM, MOTOR 2CV - CHI DIURNO. AF_05/2023</t>
  </si>
  <si>
    <t>MÁQUINA FORMER DOBRAS DIVERSAS: 220V/380V TRIFÁSICO OU MONOFÁSICO, CAPACIDADE 0,5-1,27MM, MOTOR 2CV - CHP DIURNO. AF_05/2023</t>
  </si>
  <si>
    <t>MÁQUINA METALEIRA UNIVERSAL MODELO IW 110/180 BTD - CHI DIURNO. AF_05/2023</t>
  </si>
  <si>
    <t>MÁQUINA METALEIRA UNIVERSAL MODELO IW 110/180 BTD - CHP DIURNO. AF_05/2023</t>
  </si>
  <si>
    <t>MÁQUINA PARA SOLDA POR ELETROFUSÃO PARA TUBOS DE POLIETILENO DE ALTA DENSIDADE (PEAD) COM DIÂMETRO EXTERNO DE 20 A 1600 MM, POTÊNCIA DE 3500 W - CHI DIURNO. AF_05/2023</t>
  </si>
  <si>
    <t>MÁQUINA PARA SOLDA POR ELETROFUSÃO PARA TUBOS DE POLIETILENO DE ALTA DENSIDADE (PEAD) COM DIÂMETRO EXTERNO DE 20 A 1600 MM, POTÊNCIA DE 3500 W - CHP DIURNO. AF_05/2023</t>
  </si>
  <si>
    <t>MÁQUINA PARA SOLDA POR ELETROFUSÃO PARA TUBOS DE POLIETILENO DE ALTA DENSIDADE (PEAD) COM DIÂMETRO EXTERNO DE 20 A 800 MM, POTÊNCIA ENTRE 2750 E 3000 W - CHI DIURNO. AF_05/2023</t>
  </si>
  <si>
    <t>MÁQUINA PARA SOLDA POR ELETROFUSÃO PARA TUBOS DE POLIETILENO DE ALTA DENSIDADE (PEAD) COM DIÂMETRO EXTERNO DE 20 A 800 MM, POTÊNCIA ENTRE 2750 E 3000 W - CHP DIURNO. AF_05/2023</t>
  </si>
  <si>
    <t>MÁQUINA PARA SOLDA POR TERMOFUSÃO PARA TUBOS DE POLIETILENO DE ALTA DENSIDADE (PEAD) COM DIÂMETRO EXTERNO DE 315 A 630 MM, POTÊNCIA ENTRE 8000 E 12350 W - CHI DIURNO. AF_05/2023</t>
  </si>
  <si>
    <t>MÁQUINA PARA SOLDA POR TERMOFUSÃO PARA TUBOS DE POLIETILENO DE ALTA DENSIDADE (PEAD) COM DIÂMETRO EXTERNO DE 315 A 630 MM, POTÊNCIA ENTRE 8000 E 12350 W - CHP DIURNO. AF_05/2023</t>
  </si>
  <si>
    <t>MÁQUINA PARA SOLDA POR TERMOFUSÃO PARA TUBOS DE POLIETILENO DE ALTA DENSIDADE (PEAD) COM DIÂMETRO EXTERNO DE 710 A 1200 MM, POTÊNCIA ENTRE 16000 E 29500 W - CHI DIURNO. AF_05/2023</t>
  </si>
  <si>
    <t>MÁQUINA PARA SOLDA POR TERMOFUSÃO PARA TUBOS DE POLIETILENO DE ALTA DENSIDADE (PEAD) COM DIÂMETRO EXTERNO DE 710 A 1200 MM, POTÊNCIA ENTRE 16000 E 29500 W - CHP DIURNO. AF_05/2023</t>
  </si>
  <si>
    <t>MÁQUINA PARA SOLDA POR TERMOFUSÃO PARA TUBOS DE POLIETILENO DE ALTA DENSIDADE (PEAD) COM DIÂMETRO EXTERNO DE 90 A 315 MM, POTÊNCIA ENTRE 2500 E 5350 W - CHI DIURNO. AF_05/2023</t>
  </si>
  <si>
    <t>MÁQUINA PARA SOLDA POR TERMOFUSÃO PARA TUBOS DE POLIETILENO DE ALTA DENSIDADE (PEAD) COM DIÂMETRO EXTERNO DE 90 A 315 MM, POTÊNCIA ENTRE 2500 E 5350 W - CHP DIURNO. AF_05/2023</t>
  </si>
  <si>
    <t>MÁQUINA SOLDA ARCO COM PISTOLA DE SOLDAGEM PARA STUD BOLT DE 5 MM A 22 MM - CHI DIURNO. AF_05/2023</t>
  </si>
  <si>
    <t>MÁQUINA SOLDA ARCO COM PISTOLA DE SOLDAGEM PARA STUD BOLT DE 5 MM A 22 MM - CHP DIURNO. AF_05/2023</t>
  </si>
  <si>
    <t>PLATAFORMA ELEVATÓRIA - CHI DIURNO. AF_04/2019</t>
  </si>
  <si>
    <t>PLATAFORMA ELEVATÓRIA - CHP DIURNO. AF_04/2019</t>
  </si>
  <si>
    <t>PULVERIZADOR DE TINTA ELÉTRICO/MÁQUINA DE PINTURA AIRLESS, VAZÃO 2 L/MIN - CHI DIURNO. AF_05/2023</t>
  </si>
  <si>
    <t>PULVERIZADOR DE TINTA ELÉTRICO/MÁQUINA DE PINTURA AIRLESS, VAZÃO 2 L/MIN - CHP DIURNO. AF_05/2023</t>
  </si>
  <si>
    <t>SERRA FITA HORIZONTAL, ELÉTRICA, COM CONTROLE HIDRÁULICO, PAINEL DE COMANDO EM 24 V, MOTOR ELÉTRICO 1,5 CV, DIMENSÕES DA FITA 3880 X 27 X 0,9 MM, TRIFÁSICA - CHI DIURNO. AF_05/2023</t>
  </si>
  <si>
    <t>SERRA FITA HORIZONTAL, ELÉTRICA, COM CONTROLE HIDRÁULICO, PAINEL DE COMANDO EM 24 V, MOTOR ELÉTRICO 1,5 CV, DIMENSÕES DA FITA 3880 X 27 X 0,9 MM, TRIFÁSICA - CHP DIURNO. AF_05/2023</t>
  </si>
  <si>
    <t>TARTARUGA DE OXICORTE CG1, MONOFÁSICA, 220 V, FREQUÊNCIA 50 HZ, VELOCIDADE DE CORTE (MM/MIN) 50 A 750, DIÂMETRO MÍNIMO DO COMPASSO MM 200 - CHI DIURNO. AF_05/2023</t>
  </si>
  <si>
    <t>TARTARUGA DE OXICORTE CG1, MONOFÁSICA, 220 V, FREQUÊNCIA 50 HZ, VELOCIDADE DE CORTE (MM/MIN) 50 A 750, DIÂMETRO MÍNIMO DO COMPASSO MM 200 - CHP DIURNO. AF_05/2023</t>
  </si>
  <si>
    <t>UNIDADE DOSADORA AIRLESS TIPO HOT SPRAY - CHI DIURNO. AF_05/2023</t>
  </si>
  <si>
    <t>UNIDADE DOSADORA AIRLESS TIPO HOT SPRAY - CHP DIURNO. AF_05/2023</t>
  </si>
  <si>
    <t>VARREDEIRA DE GRAMA SINTÉTICA A GASOLINA, 2,4 CV, 4 TEMPOS - CHI DIURNO. AF_05/2023</t>
  </si>
  <si>
    <t>VARREDEIRA DE GRAMA SINTÉTICA A GASOLINA, 2,4 CV, 4 TEMPOS - CHP DIURNO. AF_05/2023</t>
  </si>
  <si>
    <t>DEMOLIÇÃO DE ESTRUTURAS DE CONCRETO ARMADO EM GERAL, DE FORMA MECANIZADA COM ROMPEDOR ACOPLADO EM ESCAVADEIRA HIDRÁULICA, SEM REAPROVEITAMENTO. AF_09/2023</t>
  </si>
  <si>
    <t>REMOÇÃO DE VIDRO, EM FACHADAS DE VIDRO, DE FORMA MECANIZADA, COM USO DE PLATAFORMA ELEVATÓRIA, SEM REAPROVEITAMENTO. AF_09/2023</t>
  </si>
  <si>
    <t>BATE ESTACA PARA INSTALAÇÃO DE DEFENSAS METÁLICAS (GUARD RAIL) FIXO, INCLUSIVE CAMINHÃO TOCO PBT 9.700 KG, POTÊNCIA DE 160 CV - DEPRECIAÇÃO. AF_05/2023</t>
  </si>
  <si>
    <t>BATE ESTACA PARA INSTALAÇÃO DE DEFENSAS METÁLICAS (GUARD RAIL) FIXO, INCLUSIVE CAMINHÃO TOCO PBT 9.700 KG, POTÊNCIA DE 160 CV - IMPOSTOS E SEGUROS. AF_05/2023</t>
  </si>
  <si>
    <t>BATE ESTACA PARA INSTALAÇÃO DE DEFENSAS METÁLICAS (GUARD RAIL) FIXO, INCLUSIVE CAMINHÃO TOCO PBT 9.700 KG, POTÊNCIA DE 160 CV - JUROS. AF_05/2023</t>
  </si>
  <si>
    <t>BATE ESTACA PARA INSTALAÇÃO DE DEFENSAS METÁLICAS (GUARD RAIL) FIXO, INCLUSIVE CAMINHÃO TOCO PBT 9.700 KG, POTÊNCIA DE 160 CV - MANUTENÇÃO. AF_05/2023</t>
  </si>
  <si>
    <t>BETONEIRA CAPACIDADE NOMINAL DE 250 L, CAPACIDADE DE MISTURA DE 175 L, MOTOR ELÉTRICO MONOFÁSICO POTÊNCIA 1CV - DEPRECIAÇÃO. AF_05/2023</t>
  </si>
  <si>
    <t>BETONEIRA CAPACIDADE NOMINAL DE 250 L, CAPACIDADE DE MISTURA DE 175 L, MOTOR ELÉTRICO MONOFÁSICO POTÊNCIA 1CV - JUROS. AF_05/2023</t>
  </si>
  <si>
    <t>BETONEIRA CAPACIDADE NOMINAL DE 250 L, CAPACIDADE DE MISTURA DE 175 L, MOTOR ELÉTRICO MONOFÁSICO POTÊNCIA 1CV - MANUTENÇÃO. AF_05/2023</t>
  </si>
  <si>
    <t>CALDEIRA A GÁS COM TERMOSTATO, CAPACIDADE 100 LITROS - DEPRECIAÇÃO. AF_05/2023</t>
  </si>
  <si>
    <t>CALDEIRA A GÁS COM TERMOSTATO, CAPACIDADE 100 LITROS - JUROS. AF_05/2023</t>
  </si>
  <si>
    <t>CALDEIRA A GÁS COM TERMOSTATO, CAPACIDADE 100 LITROS - MANUTENÇÃO. AF_05/2023</t>
  </si>
  <si>
    <t>CAMINHÃO TANQUE PARA HIDROSSEMEADURA, COM CAPACIDADE DE 8.000 LITROS, INCLUINDO BOMBA PARA LANÇAMENTO COM MOTOR DIESEL COM POTÊNCIA DE 105 CV - DEPRECIAÇÃO. AF_06/2023</t>
  </si>
  <si>
    <t>CAMINHÃO TANQUE PARA HIDROSSEMEADURA, COM CAPACIDADE DE 8.000 LITROS, INCLUINDO BOMBA PARA LANÇAMENTO COM MOTOR DIESEL COM POTÊNCIA DE 105 CV - IMPOSTOS E SEGUROS. AF_06/2023</t>
  </si>
  <si>
    <t>CAMINHÃO TANQUE PARA HIDROSSEMEADURA, COM CAPACIDADE DE 8.000 LITROS, INCLUINDO BOMBA PARA LANÇAMENTO COM MOTOR DIESEL COM POTÊNCIA DE 105 CV - JUROS. AF_06/2023</t>
  </si>
  <si>
    <t>CAMINHÃO TANQUE PARA HIDROSSEMEADURA, COM CAPACIDADE DE 8.000 LITROS, INCLUINDO BOMBA PARA LANÇAMENTO COM MOTOR DIESEL COM POTÊNCIA DE 105 CV - MANUTENÇÃO. AF_06/2023</t>
  </si>
  <si>
    <t>CENTRAL DE LAMA BENTONÍTICA (DEPÓSITO DE BENTONITA, MISTURADOR DE ALTA TURBULÊNCIA, SILOS DE ARMAZENAMENTO DE LAMA E ÁGUA, LABORATÓRIO DE CONTROLE DE QUALIDADE DA LAMA) - DEPRECIAÇÃO. AF_04/2019</t>
  </si>
  <si>
    <t>CENTRAL DE LAMA BENTONÍTICA (DEPÓSITO DE BENTONITA, MISTURADOR DE ALTA TURBULÊNCIA, SILOS DE ARMAZENAMENTO DE LAMA E ÁGUA, LABORATÓRIO DE CONTROLE DE QUALIDADE DA LAMA) - JUROS. AF_04/2019</t>
  </si>
  <si>
    <t>CENTRAL DE LAMA BENTONÍTICA (DEPÓSITO DE BENTONITA, MISTURADOR DE ALTA TURBULÊNCIA, SILOS DE ARMAZENAMENTO DE LAMA E ÁGUA, LABORATÓRIO DE CONTROLE DE QUALIDADE DA LAMA) - MANUTENÇÃO. AF_04/2019</t>
  </si>
  <si>
    <t>CONJUNTO MACACO E BOMBA HIDRÁULICA PARA PROTENSAO DE CORDOALHAS, ESFORÇO MAXIMO DE 115 TONELADAS - DEPRECIAÇÃO. AF_05/2023</t>
  </si>
  <si>
    <t>CONJUNTO MACACO E BOMBA HIDRÁULICA PARA PROTENSAO DE CORDOALHAS, ESFORÇO MAXIMO DE 115 TONELADAS - JUROS. AF_05/2023</t>
  </si>
  <si>
    <t>CONJUNTO MACACO E BOMBA HIDRÁULICA PARA PROTENSAO DE CORDOALHAS, ESFORÇO MAXIMO DE 115 TONELADAS - MANUTENÇÃO. AF_05/2023</t>
  </si>
  <si>
    <t>DOBRADEIRA TDC, ESPESSURA 1,5MM - DEPRECIAÇÃO. AF_05/2023</t>
  </si>
  <si>
    <t>DOBRADEIRA TDC, ESPESSURA 1,5MM - JUROS. AF_05/2023</t>
  </si>
  <si>
    <t>DOBRADEIRA TDC, ESPESSURA 1,5MM - MANUTENÇÃO. AF_05/2023</t>
  </si>
  <si>
    <t>ENCERADEIRA INDUSTRIAL, 400 MM, 220V, 1 HP - DEPRECIAÇÃO. AF_05/2023</t>
  </si>
  <si>
    <t>ENCERADEIRA INDUSTRIAL, 400 MM, 220V, 1 HP - JUROS. AF_05/2023</t>
  </si>
  <si>
    <t>ENCERADEIRA INDUSTRIAL, 400 MM, 220V, 1 HP - MANUTENÇÃO. AF_05/2023</t>
  </si>
  <si>
    <t>ESCAVADEIRA HIDRÁULICA SOBRE ESTEIRA, PESO OPERACIONAL ENTRE 22,00 E 23,50 T, POTÊNCIA NOMINAL 139 HP, COM MARTELO ROMPEDOR HIDRÁULICO 1700 KG - DEPRECIAÇÃO. AF_04/2019</t>
  </si>
  <si>
    <t>ESCAVADEIRA HIDRÁULICA SOBRE ESTEIRA, PESO OPERACIONAL ENTRE 22,00 E 23,50 T, POTÊNCIA NOMINAL 139 HP, COM MARTELO ROMPEDOR HIDRÁULICO 1700 KG - JUROS. AF_04/2019</t>
  </si>
  <si>
    <t>ESCAVADEIRA HIDRÁULICA SOBRE ESTEIRA, PESO OPERACIONAL ENTRE 22,00 E 23,50 T, POTÊNCIA NOMINAL 139 HP, COM MARTELO ROMPEDOR HIDRÁULICO 1700 KG - MANUTENÇÃO. AF_04/2019</t>
  </si>
  <si>
    <t>FURADEIRA ELETROMAGNÉTICA, VELOCIDADE (SEM CARGA/ COM CARGA) 450/ 270 RPM, ESPESSURA MÁXIMA DA CHAPA A SER FURADA 50 MM, PORÇA DE ADESÃO MAGNÉTICA 17000 N, POTÊNCIA 1100 W, ALIMENTÇÃO 220 - 60 HZ, MONOFÁSICA - DEPRECIAÇÃO. AF_08/2019</t>
  </si>
  <si>
    <t>FURADEIRA ELETROMAGNÉTICA, VELOCIDADE (SEM CARGA/ COM CARGA) 450/ 270 RPM, ESPESSURA MÁXIMA DA CHAPA A SER FURADA 50 MM, PORÇA DE ADESÃO MAGNÉTICA 17000 N, POTÊNCIA 1100 W, ALIMENTÇÃO 220 - 60 HZ, MONOFÁSICA - JUROS. AF_08/2019</t>
  </si>
  <si>
    <t>FURADEIRA ELETROMAGNÉTICA, VELOCIDADE (SEM CARGA/ COM CARGA) 450/ 270 RPM, ESPESSURA MÁXIMA DA CHAPA A SER FURADA 50 MM, PORÇA DE ADESÃO MAGNÉTICA 17000 N, POTÊNCIA 1100 W, ALIMENTÇÃO 220 - 60 HZ, MONOFÁSICA - MANUTENÇÃO. AF_08/2019</t>
  </si>
  <si>
    <t>GRUPO GERADOR DIESEL, COM CARENAGEM, POTÊNCIA STANDART ENTRE 400 E 460 KVA, VELOCIDADE DE 1800 RPM, FREQUÊNCIA DE 60 HZ - DEPRECIAÇÃO. AF_05/2023</t>
  </si>
  <si>
    <t>GRUPO GERADOR DIESEL, COM CARENAGEM, POTÊNCIA STANDART ENTRE 400 E 460 KVA, VELOCIDADE DE 1800 RPM, FREQUÊNCIA DE 60 HZ - JUROS. AF_05/2023</t>
  </si>
  <si>
    <t>GRUPO GERADOR DIESEL, COM CARENAGEM, POTÊNCIA STANDART ENTRE 400 E 460 KVA, VELOCIDADE DE 1800 RPM, FREQUÊNCIA DE 60 HZ - MANUTENÇÃO. AF_05/2023</t>
  </si>
  <si>
    <t>GUINDASTE DERRICK, LANÇA DE *20* M, CARGA MÁXIMA 10T, POTÊNCIA 45 KW - DEPRECIAÇÃO. AF_01/2024</t>
  </si>
  <si>
    <t>GUINDASTE DERRICK, LANÇA DE *20* M, CARGA MÁXIMA 10T, POTÊNCIA 45 KW - JUROS. AF_01/2024</t>
  </si>
  <si>
    <t>GUINDASTE DERRICK, LANÇA DE *20* M, CARGA MÁXIMA 10T, POTÊNCIA 45 KW - MANUTENÇÃO. AF_01/2024</t>
  </si>
  <si>
    <t>GUINDASTE HIDRAULICO AUTOPROPELIDO, COM LANÇA TRELIÇADA 40 M, CAPACIDADE MÁXIMA 75 T, EQUIPADO COM CLAMSHELL - DEPRECIAÇÃO. AF_04/2019</t>
  </si>
  <si>
    <t>GUINDASTE HIDRAULICO AUTOPROPELIDO, COM LANÇA TRELIÇADA 40 M, CAPACIDADE MÁXIMA 75 T, EQUIPADO COM CLAMSHELL - JUROS. AF_04/2019</t>
  </si>
  <si>
    <t>GUINDASTE HIDRAULICO AUTOPROPELIDO, COM LANÇA TRELIÇADA 40 M, CAPACIDADE MÁXIMA 75 T, EQUIPADO COM CLAMSHELL - MANUTENÇÃO. AF_04/2019</t>
  </si>
  <si>
    <t>GUINDASTE HIDRÁULICO AUTOPROPELIDO, COM LANÇA TRELICADA 41 M, CAPACIDADE MÁXIMA DE ELEVAÇÃO 43 T, POTÊNCIA 230 KW, EQUIPADO COM CAÇAMBA DE ARRASTO (DRAGLINE) DE 0,76 M3 - DEPRECIAÇÃO. AF_06/2023</t>
  </si>
  <si>
    <t>GUINDASTE HIDRÁULICO AUTOPROPELIDO, COM LANÇA TRELICADA 41 M, CAPACIDADE MÁXIMA DE ELEVAÇÃO 43 T, POTÊNCIA 230 KW, EQUIPADO COM CAÇAMBA DE ARRASTO (DRAGLINE) DE 0,76 M3 - JUROS. AF_06/2023</t>
  </si>
  <si>
    <t>GUINDASTE HIDRÁULICO AUTOPROPELIDO, COM LANÇA TRELICADA 41 M, CAPACIDADE MÁXIMA DE ELEVAÇÃO 43 T, POTÊNCIA 230 KW, EQUIPADO COM CAÇAMBA DE ARRASTO (DRAGLINE) DE 0,76 M3 - MANUTENÇÃO. AF_06/2023</t>
  </si>
  <si>
    <t>GUINDASTE HIDRÁULICO RODOVIÁRIO, LANCA TELESCÓPICA DE *50+20* M, CAPACIDADE MÁXIMA DE 90T, 4 EIXOS, POTÊNCIA 330 KW, MOTOR DIESEL - DEPRECIAÇÃO. AF_01/2024</t>
  </si>
  <si>
    <t>GUINDASTE HIDRÁULICO RODOVIÁRIO, LANCA TELESCÓPICA DE *50+20* M, CAPACIDADE MÁXIMA DE 90T, 4 EIXOS, POTÊNCIA 330 KW, MOTOR DIESEL - JUROS. AF_01/2024</t>
  </si>
  <si>
    <t>GUINDASTE HIDRÁULICO RODOVIÁRIO, LANCA TELESCÓPICA DE *50+20* M, CAPACIDADE MÁXIMA DE 90T, 4 EIXOS, POTÊNCIA 330 KW, MOTOR DIESEL - MANUTENÇÃO. AF_01/2024</t>
  </si>
  <si>
    <t>GUINDASTE SOBRE ESTEIRAS, COM LANÇA TRELIÇADA 40 M, CAPACIDADE MÁXIMA 75 T - DEPRECIAÇÃO. AF_04/2019</t>
  </si>
  <si>
    <t>GUINDASTE SOBRE ESTEIRAS, COM LANÇA TRELIÇADA 40 M, CAPACIDADE MÁXIMA 75 T - JUROS. AF_04/2019</t>
  </si>
  <si>
    <t>GUINDASTE SOBRE ESTEIRAS, COM LANÇA TRELIÇADA 40 M, CAPACIDADE MÁXIMA 75 T - MANUTENÇÃO. AF_04/2019</t>
  </si>
  <si>
    <t>GUINDASTE SOBRE ESTEIRAS, COM LANÇA TRELIÇADA 40 M, CAPACIDADE MÁXIMA 75 T, EQUIPADO COM CLAMSHELL - DEPRECIAÇÃO. AF_04/2019</t>
  </si>
  <si>
    <t>GUINDASTE SOBRE ESTEIRAS, COM LANÇA TRELIÇADA 40 M, CAPACIDADE MÁXIMA 75 T, EQUIPADO COM CLAMSHELL - JUROS. AF_04/2019</t>
  </si>
  <si>
    <t>GUINDASTE SOBRE ESTEIRAS, COM LANÇA TRELIÇADA 40 M, CAPACIDADE MÁXIMA 75 T, EQUIPADO COM CLAMSHELL - MANUTENÇÃO. AF_04/2019</t>
  </si>
  <si>
    <t>GUINDAUTO HIDRÁULICO, CAPACIDADE MÁXIMA DE CARGA 6200 KG, MOMENTO MÁXIMO DE CARGA 11,7 TM, ALCANCE MÁXIMO HORIZONTAL 9,70 M, INCLUSIVE CAMINHÃO TOCO PBT 16.000 KG, POTÊNCIA DE 189 CV E CESTA AÉREA COM ISOLAMENTO CLASSE C - DEPRECIAÇÃO. AF_01/2025</t>
  </si>
  <si>
    <t>GUINDAUTO HIDRÁULICO, CAPACIDADE MÁXIMA DE CARGA 6200 KG, MOMENTO MÁXIMO DE CARGA 11,7 TM, ALCANCE MÁXIMO HORIZONTAL 9,70 M, INCLUSIVE CAMINHÃO TOCO PBT 16.000 KG, POTÊNCIA DE 189 CV E CESTA AÉREA COM ISOLAMENTO CLASSE C - IMPOSTOS E SEGUROS. AF_01/2025</t>
  </si>
  <si>
    <t>GUINDAUTO HIDRÁULICO, CAPACIDADE MÁXIMA DE CARGA 6200 KG, MOMENTO MÁXIMO DE CARGA 11,7 TM, ALCANCE MÁXIMO HORIZONTAL 9,70 M, INCLUSIVE CAMINHÃO TOCO PBT 16.000 KG, POTÊNCIA DE 189 CV E CESTA AÉREA COM ISOLAMENTO CLASSE C - JUROS. AF_01/2025</t>
  </si>
  <si>
    <t>GUINDAUTO HIDRÁULICO, CAPACIDADE MÁXIMA DE CARGA 6200 KG, MOMENTO MÁXIMO DE CARGA 11,7 TM, ALCANCE MÁXIMO HORIZONTAL 9,70 M, INCLUSIVE CAMINHÃO TOCO PBT 16.000 KG, POTÊNCIA DE 189 CV E CESTA AÉREA COM ISOLAMENTO CLASSE C - MANUTENÇÃO. AF_01/2025</t>
  </si>
  <si>
    <t>LIXADEIRA DE PAREDE, COM LED, POTÊNCIA 750 W, FREQUÊNCIA 60 HZ, VELOCIDADE 1000 A 2100 RPM, DIÂMETRO DA LIXA 225 MM - DEPRECIAÇÃO. AF_12/2022</t>
  </si>
  <si>
    <t>LIXADEIRA DE PAREDE, COM LED, POTÊNCIA 750 W, FREQUÊNCIA 60 HZ, VELOCIDADE 1000 A 2100 RPM, DIÂMETRO DA LIXA 225 MM - JUROS. AF_12/2022</t>
  </si>
  <si>
    <t>LIXADEIRA DE PAREDE, COM LED, POTÊNCIA 750 W, FREQUÊNCIA 60 HZ, VELOCIDADE 1000 A 2100 RPM, DIÂMETRO DA LIXA 225 MM - MANUTENÇÃO. AF_12/2022</t>
  </si>
  <si>
    <t>MARTELETE PERFURADOR/ ROMPEDOR ELÉTRICO, POTÊNCIA 800 W, 220 V - DEPRECIAÇÃO. AF_05/2023</t>
  </si>
  <si>
    <t>MARTELETE PERFURADOR/ ROMPEDOR ELÉTRICO, POTÊNCIA 800 W, 220 V - JUROS. AF_05/2023</t>
  </si>
  <si>
    <t>MARTELETE PERFURADOR/ ROMPEDOR ELÉTRICO, POTÊNCIA 800 W, 220 V - MANUTENÇÃO. AF_05/2023</t>
  </si>
  <si>
    <t>MINI GUINDASTE ARANHA SOBRE ESTEIRAS E LANCA TELESCÓPICA, CAPACIDADE MÁXIMA DE CARGA 3,0 TON, RAIO MÁXIMO DE TRABALHO 8,25 M, ALTURA DE LANÇA DO SOLO 9,2 M, 55 M DE CABO DE AÇO 8 MM, MOTOR ELÉTRICO 220/380 VOLTS TRIFÁSICO - DEPRECIAÇÃO. AF_03/2022</t>
  </si>
  <si>
    <t>MINI GUINDASTE ARANHA SOBRE ESTEIRAS E LANCA TELESCÓPICA, CAPACIDADE MÁXIMA DE CARGA 3,0 TON, RAIO MÁXIMO DE TRABALHO 8,25 M, ALTURA DE LANÇA DO SOLO 9,2 M, 55 M DE CABO DE AÇO 8 MM, MOTOR ELÉTRICO 220/380 VOLTS TRIFÁSICO - JUROS. AF_03/2022</t>
  </si>
  <si>
    <t>MINI GUINDASTE ARANHA SOBRE ESTEIRAS E LANCA TELESCÓPICA, CAPACIDADE MÁXIMA DE CARGA 3,0 TON, RAIO MÁXIMO DE TRABALHO 8,25 M, ALTURA DE LANÇA DO SOLO 9,2 M, 55 M DE CABO DE AÇO 8 MM, MOTOR ELÉTRICO 220/380 VOLTS TRIFÁSICO - MANUTENÇÃO. AF_03/2022</t>
  </si>
  <si>
    <t>MISTURADOR PARA PREPARO DE LAMA ESTABILIZANTE COM CAPACIDADE DE *4000* L, COM BOMBA CENTRÍFUGA 5,5 HP A 23,07 HP, PARA SISTEMA DE FURO DIRECIONAL - DEPRECIAÇÃO. AF_05/2023</t>
  </si>
  <si>
    <t>MISTURADOR PARA PREPARO DE LAMA ESTABILIZANTE COM CAPACIDADE DE *4000* L, COM BOMBA CENTRÍFUGA 5,5 HP A 23,07 HP, PARA SISTEMA DE FURO DIRECIONAL - JUROS. AF_05/2023</t>
  </si>
  <si>
    <t>MISTURADOR PARA PREPARO DE LAMA ESTABILIZANTE COM CAPACIDADE DE *4000* L, COM BOMBA CENTRÍFUGA 5,5 HP A 23,07 HP, PARA SISTEMA DE FURO DIRECIONAL - MANUTENÇÃO. AF_05/2023</t>
  </si>
  <si>
    <t>MÁQUINA DEMARCADORA DE FAIXA DE TRÁFEGO À FRIO, TRAÇÃO MANUAL, 4 CV, PRESSÃO MAX 3300 PSI, TANQUE 20 L - DEPRECIAÇÃO. AF_06/2021</t>
  </si>
  <si>
    <t>MÁQUINA DEMARCADORA DE FAIXA DE TRÁFEGO À FRIO, TRAÇÃO MANUAL, 4 CV, PRESSÃO MAX 3300 PSI, TANQUE 20 L - JUROS. AF_06/2021</t>
  </si>
  <si>
    <t>MÁQUINA DEMARCADORA DE FAIXA DE TRÁFEGO À FRIO, TRAÇÃO MANUAL, 4 CV, PRESSÃO MAX 3300 PSI, TANQUE 20 L - MANUTENÇÃO. AF_06/2021</t>
  </si>
  <si>
    <t>MÁQUINA FORMER DOBRAS DIVERSAS: 220V/380V TRIFÁSICO OU MONOFÁSICO, CAPACIDADE 0,5-1,27MM, MOTOR 2CV - DEPRECIAÇÃO. AF_05/2023</t>
  </si>
  <si>
    <t>MÁQUINA FORMER DOBRAS DIVERSAS: 220V/380V TRIFÁSICO OU MONOFÁSICO, CAPACIDADE 0,5-1,27MM, MOTOR 2CV - JUROS. AF_05/2023</t>
  </si>
  <si>
    <t>MÁQUINA FORMER DOBRAS DIVERSAS: 220V/380V TRIFÁSICO OU MONOFÁSICO, CAPACIDADE 0,5-1,27MM, MOTOR 2CV - MANUTENÇÃO. AF_05/2023</t>
  </si>
  <si>
    <t>MÁQUINA METALEIRA UNIVERSAL MODELO IW 110/180 BTD - DEPRECIAÇÃO. AF_05/2023</t>
  </si>
  <si>
    <t>MÁQUINA METALEIRA UNIVERSAL MODELO IW 110/180 BTD - JUROS. AF_05/2023</t>
  </si>
  <si>
    <t>MÁQUINA METALEIRA UNIVERSAL MODELO IW 110/180 BTD - MANUTENÇÃO. AF_05/2023</t>
  </si>
  <si>
    <t>MÁQUINA PARA SOLDA POR ELETROFUSÃO PARA TUBOS DE POLIETILENO DE ALTA DENSIDADE (PEAD) COM DIÂMETRO EXTERNO DE 20 A 1600 MM, POTÊNCIA DE 3500 W - DEPRECIAÇÃO. AF_05/2023</t>
  </si>
  <si>
    <t>MÁQUINA PARA SOLDA POR ELETROFUSÃO PARA TUBOS DE POLIETILENO DE ALTA DENSIDADE (PEAD) COM DIÂMETRO EXTERNO DE 20 A 1600 MM, POTÊNCIA DE 3500 W - JUROS. AF_05/2023</t>
  </si>
  <si>
    <t>MÁQUINA PARA SOLDA POR ELETROFUSÃO PARA TUBOS DE POLIETILENO DE ALTA DENSIDADE (PEAD) COM DIÂMETRO EXTERNO DE 20 A 1600 MM, POTÊNCIA DE 3500 W - MANUTENÇÃO. AF_05/2023</t>
  </si>
  <si>
    <t>MÁQUINA PARA SOLDA POR ELETROFUSÃO PARA TUBOS DE POLIETILENO DE ALTA DENSIDADE (PEAD) COM DIÂMETRO EXTERNO DE 20 A 800 MM, POTÊNCIA ENTRE 2750 E 3000 W - DEPRECIAÇÃO. AF_05/2023</t>
  </si>
  <si>
    <t>MÁQUINA PARA SOLDA POR ELETROFUSÃO PARA TUBOS DE POLIETILENO DE ALTA DENSIDADE (PEAD) COM DIÂMETRO EXTERNO DE 20 A 800 MM, POTÊNCIA ENTRE 2750 E 3000 W - JUROS. AF_05/2023</t>
  </si>
  <si>
    <t>MÁQUINA PARA SOLDA POR ELETROFUSÃO PARA TUBOS DE POLIETILENO DE ALTA DENSIDADE (PEAD) COM DIÂMETRO EXTERNO DE 20 A 800 MM, POTÊNCIA ENTRE 2750 E 3000 W - MANUTENÇÃO. AF_05/2023</t>
  </si>
  <si>
    <t>MÁQUINA PARA SOLDA POR TERMOFUSÃO PARA TUBOS DE POLIETILENO DE ALTA DENSIDADE (PEAD) COM DIÂMETRO EXTERNO DE 315 A 630 MM, POTÊNCIA ENTRE 8000 E 12350 W - DEPRECIAÇÃO. AF_05/2023</t>
  </si>
  <si>
    <t>MÁQUINA PARA SOLDA POR TERMOFUSÃO PARA TUBOS DE POLIETILENO DE ALTA DENSIDADE (PEAD) COM DIÂMETRO EXTERNO DE 315 A 630 MM, POTÊNCIA ENTRE 8000 E 12350 W - JUROS. AF_05/2023</t>
  </si>
  <si>
    <t>MÁQUINA PARA SOLDA POR TERMOFUSÃO PARA TUBOS DE POLIETILENO DE ALTA DENSIDADE (PEAD) COM DIÂMETRO EXTERNO DE 315 A 630 MM, POTÊNCIA ENTRE 8000 E 12350 W - MANUTENÇÃO. AF_05/2023</t>
  </si>
  <si>
    <t>MÁQUINA PARA SOLDA POR TERMOFUSÃO PARA TUBOS DE POLIETILENO DE ALTA DENSIDADE (PEAD) COM DIÂMETRO EXTERNO DE 710 A 1200 MM, POTÊNCIA ENTRE 16000 E 29500 W - DEPRECIAÇÃO. AF_05/2023</t>
  </si>
  <si>
    <t>MÁQUINA PARA SOLDA POR TERMOFUSÃO PARA TUBOS DE POLIETILENO DE ALTA DENSIDADE (PEAD) COM DIÂMETRO EXTERNO DE 710 A 1200 MM, POTÊNCIA ENTRE 16000 E 29500 W - JUROS. AF_05/2023</t>
  </si>
  <si>
    <t>MÁQUINA PARA SOLDA POR TERMOFUSÃO PARA TUBOS DE POLIETILENO DE ALTA DENSIDADE (PEAD) COM DIÂMETRO EXTERNO DE 710 A 1200 MM, POTÊNCIA ENTRE 16000 E 29500 W - MANUTENÇÃO. AF_05/2023</t>
  </si>
  <si>
    <t>MÁQUINA PARA SOLDA POR TERMOFUSÃO PARA TUBOS DE POLIETILENO DE ALTA DENSIDADE (PEAD) COM DIÂMETRO EXTERNO DE 90 A 315 MM, POTÊNCIA ENTRE 2500 E 5350 W - DEPRECIAÇÃO. AF_05/2023</t>
  </si>
  <si>
    <t>MÁQUINA PARA SOLDA POR TERMOFUSÃO PARA TUBOS DE POLIETILENO DE ALTA DENSIDADE (PEAD) COM DIÂMETRO EXTERNO DE 90 A 315 MM, POTÊNCIA ENTRE 2500 E 5350 W - JUROS. AF_05/2023</t>
  </si>
  <si>
    <t>MÁQUINA PARA SOLDA POR TERMOFUSÃO PARA TUBOS DE POLIETILENO DE ALTA DENSIDADE (PEAD) COM DIÂMETRO EXTERNO DE 90 A 315 MM, POTÊNCIA ENTRE 2500 E 5350 W - MANUTENÇÃO. AF_05/2023</t>
  </si>
  <si>
    <t>MÁQUINA SOLDA ARCO COM PISTOLA DE SOLDAGEM PARA STUD BOLT DE 5 MM A 22 MM - DEPRECIAÇÃO. AF_05/2023</t>
  </si>
  <si>
    <t>MÁQUINA SOLDA ARCO COM PISTOLA DE SOLDAGEM PARA STUD BOLT DE 5 MM A 22 MM - JUROS. AF_05/2023</t>
  </si>
  <si>
    <t>MÁQUINA SOLDA ARCO COM PISTOLA DE SOLDAGEM PARA STUD BOLT DE 5 MM A 22 MM - MANUTENÇÃO. AF_05/2023</t>
  </si>
  <si>
    <t>PLATAFORMA ELEVATÓRIA - DEPRECIAÇÃO. AF_04/2019</t>
  </si>
  <si>
    <t>PLATAFORMA ELEVATÓRIA - JUROS. AF_04/2019</t>
  </si>
  <si>
    <t>PLATAFORMA ELEVATÓRIA - MANUTENÇÃO. AF_04/2019</t>
  </si>
  <si>
    <t>PULVERIZADOR DE TINTA ELÉTRICO/MÁQUINA DE PINTURA AIRLESS, VAZÃO 2 L/MIN - DEPRECIAÇÃO. AF_05/2023</t>
  </si>
  <si>
    <t>PULVERIZADOR DE TINTA ELÉTRICO/MÁQUINA DE PINTURA AIRLESS, VAZÃO 2 L/MIN - JUROS. AF_05/2023</t>
  </si>
  <si>
    <t>PULVERIZADOR DE TINTA ELÉTRICO/MÁQUINA DE PINTURA AIRLESS, VAZÃO 2 L/MIN - MANUTENÇÃO. AF_05/2023</t>
  </si>
  <si>
    <t>RETROESCAVADEIRA SOBRE RODAS COM CARREGADEIRA, PESO OPERACIONAL MÍN. 6,674, POTÊNCIA LÍQ 88 HP, COM MARTELO ROMPEDOR HIDRÁULICO ENTRE 275 A 362 KG - JUROS. AF_02/2021</t>
  </si>
  <si>
    <t>SERRA FITA HORIZONTAL, ELÉTRICA, COM CONTROLE HIDRÁULICO, PAINEL DE COMANDO EM 24 V, MOTOR ELÉTRICO 1,5 CV, DIMENSÕES DA FITA 3880 X 27 X 0,9 MM, TRIFÁSICA - DEPRECIAÇÃO. AF_05/2023</t>
  </si>
  <si>
    <t>SERRA FITA HORIZONTAL, ELÉTRICA, COM CONTROLE HIDRÁULICO, PAINEL DE COMANDO EM 24 V, MOTOR ELÉTRICO 1,5 CV, DIMENSÕES DA FITA 3880 X 27 X 0,9 MM, TRIFÁSICA - JUROS. AF_05/2023</t>
  </si>
  <si>
    <t>SERRA FITA HORIZONTAL, ELÉTRICA, COM CONTROLE HIDRÁULICO, PAINEL DE COMANDO EM 24 V, MOTOR ELÉTRICO 1,5 CV, DIMENSÕES DA FITA 3880 X 27 X 0,9 MM, TRIFÁSICA - MANUTENÇÃO. AF_05/2023</t>
  </si>
  <si>
    <t>TARTARUGA DE OXICORTE CG1, MONOFÁSICA, 220 V, FREQUÊNCIA 50 HZ, VELOCIDADE DE CORTE (MM/MIN) 50 A 750, DIÂMETRO MÍNIMO DO COMPASSO MM 200 - DEPRECIAÇÃO. AF_05/2023</t>
  </si>
  <si>
    <t>TARTARUGA DE OXICORTE CG1, MONOFÁSICA, 220 V, FREQUÊNCIA 50 HZ, VELOCIDADE DE CORTE (MM/MIN) 50 A 750, DIÂMETRO MÍNIMO DO COMPASSO MM 200 - JUROS. AF_05/2023</t>
  </si>
  <si>
    <t>TARTARUGA DE OXICORTE CG1, MONOFÁSICA, 220 V, FREQUÊNCIA 50 HZ, VELOCIDADE DE CORTE (MM/MIN) 50 A 750, DIÂMETRO MÍNIMO DO COMPASSO MM 200 - MANUTENÇÃO. AF_05/2023</t>
  </si>
  <si>
    <t>UNIDADE DOSADORA AIRLESS TIPO HOT SPRAY - DEPRECIAÇÃO. AF_05/2023</t>
  </si>
  <si>
    <t>UNIDADE DOSADORA AIRLESS TIPO HOT SPRAY - JUROS. AF_05/2023</t>
  </si>
  <si>
    <t>UNIDADE DOSADORA AIRLESS TIPO HOT SPRAY - MANUTENÇÃO. AF_05/2023</t>
  </si>
  <si>
    <t>VARREDEIRA DE GRAMA SINTÉTICA A GASOLINA, 2,4 CV, 4 TEMPOS - DEPRECIAÇÃO. AF_05/2023</t>
  </si>
  <si>
    <t>VARREDEIRA DE GRAMA SINTÉTICA A GASOLINA, 2,4 CV, 4 TEMPOS - JUROS. AF_05/2023</t>
  </si>
  <si>
    <t>VARREDEIRA DE GRAMA SINTÉTICA A GASOLINA, 2,4 CV, 4 TEMPOS - MANUTENÇÃO. AF_05/2023</t>
  </si>
  <si>
    <t>DRAGAGEM DE MATERIAIS DE 1A CATEGORIA E COMPOSTOS ORGÂNICOS E INORGÂNICOS COM DRAGLINE (CAÇAMBA: 0,76 M3/ 43 T). AF_03/2024</t>
  </si>
  <si>
    <t>CAIXA DE PASSAGEM PARA AR CONDICIONADO - FORNECIMENTO E INSTALAÇÃO. AF_08/2022</t>
  </si>
  <si>
    <t>DRENO EM MURO DE CONTENÇÃO, EXECUTADO NO PÉ DO MURO, COM TUBO DE PEAD CORRUGADO FLEXÍVEL PERFURADO, ENVOLVIDO COM GEOCOMPOSTO DRENANTE. AF_07/2021</t>
  </si>
  <si>
    <t>GEOCOMPOSTO DRENANTE, INSTALADO EM MURO DE CONTENÇÃO - EXCLUSIVE DRENO NO PÉ DO MURO. AF_07/2021</t>
  </si>
  <si>
    <t>FABRICAÇÃO DE CURVA, REDUÇÃO OU TÊ PARA DUTO PARA AR CONDICIONADO EM CHAPA GALVANIZADA BITOLA 22. AF_03/2024</t>
  </si>
  <si>
    <t>FABRICAÇÃO DE CURVA, REDUÇÃO OU TÊ PARA DUTO PARA AR CONDICIONADO EM CHAPA GALVANIZADA BITOLA 24. AF_03/2024</t>
  </si>
  <si>
    <t>FABRICAÇÃO DE CURVA, REDUÇÃO OU TÊ PARA DUTO PARA AR CONDICIONADO EM CHAPA GALVANIZADA BITOLA 26. AF_03/2024</t>
  </si>
  <si>
    <t>FABRICAÇÃO DE DUTO RETANGULAR PARA AR CONDICIONADO (TRECHO RETO) EM CHAPA GALVANIZADA BITOLA 22. AF_03/2024</t>
  </si>
  <si>
    <t>FABRICAÇÃO DE DUTO RETANGULAR PARA AR CONDICIONADO (TRECHO RETO) EM CHAPA GALVANIZADA BITOLA 24. AF_03/2024</t>
  </si>
  <si>
    <t>FABRICAÇÃO DE DUTO RETANGULAR PARA AR CONDICIONADO (TRECHO RETO) EM CHAPA GALVANIZADA BITOLA 26. AF_03/2024</t>
  </si>
  <si>
    <t>FABRICAÇÃO DE DUTO RETANGULAR PARA AR CONDICIONADO EM PAINEL PRÉ-ISOLADO. AF_03/2024</t>
  </si>
  <si>
    <t>INSTALAÇÃO DE COLARINHO DE AÇO GALVANIZADO DN 109 MM (4") PARA DUTO FLEXÍVEL CIRCULAR PARA AR CONDICIONADO. AF_03/2024</t>
  </si>
  <si>
    <t>INSTALAÇÃO DE COLARINHO DE AÇO GALVANIZADO DN 131 MM (5") PARA DUTO FLEXÍVEL CIRCULAR PARA AR CONDICIONADO. AF_03/2024</t>
  </si>
  <si>
    <t>INSTALAÇÃO DE COLARINHO DE AÇO GALVANIZADO DN 161 MM (6") PARA DUTO FLEXÍVEL CIRCULAR PARA AR CONDICIONADO. AF_03/2024</t>
  </si>
  <si>
    <t>INSTALAÇÃO DE COLARINHO DE AÇO GALVANIZADO DN 185 MM (7") PARA DUTO FLEXÍVEL CIRCULAR PARA AR CONDICIONADO. AF_03/2024</t>
  </si>
  <si>
    <t>INSTALAÇÃO DE COLARINHO DE AÇO GALVANIZADO DN 209 MM (8") PARA DUTO FLEXÍVEL CIRCULAR PARA AR CONDICIONADO. AF_03/2024</t>
  </si>
  <si>
    <t>INSTALAÇÃO DE COLARINHO DE AÇO GALVANIZADO DN 263 MM (10") PARA DUTO FLEXÍVEL CIRCULAR PARA AR CONDICIONADO. AF_03/2024</t>
  </si>
  <si>
    <t>INSTALAÇÃO DE COLARINHO DE AÇO GALVANIZADO DN 314 MM (12") PARA DUTO FLEXÍVEL CIRCULAR PARA AR CONDICIONADO. AF_03/2024</t>
  </si>
  <si>
    <t>INSTALAÇÃO DE COLARINHO DE AÇO GALVANIZADO DN 364 MM (14") PARA DUTO FLEXÍVEL CIRCULAR PARA AR CONDICIONADO. AF_03/2024</t>
  </si>
  <si>
    <t>INSTALAÇÃO DE CURVA, REDUÇÃO OU TÊ DE DUTO PARA AR CONDICIONADO EM CHAPA GALVANIZADA BITOLA 22 - COM ISOLAMENTO DE MANTA FIXADA NA CHAPA COM CLAVO, INCLUSO FABRICAÇÃO. AF_03/2024</t>
  </si>
  <si>
    <t>INSTALAÇÃO DE CURVA, REDUÇÃO OU TÊ DE DUTO PARA AR CONDICIONADO EM CHAPA GALVANIZADA BITOLA 22 - COM ISOLAMENTO DE MANTA FIXADA NA CHAPA COM FITA PLÁSTICA, INCLUSO FABRICAÇÃO. AF_03/2024</t>
  </si>
  <si>
    <t>INSTALAÇÃO DE CURVA, REDUÇÃO OU TÊ DE DUTO PARA AR CONDICIONADO EM CHAPA GALVANIZADA BITOLA 24 - COM ISOLAMENTO DE MANTA FIXADA NA CHAPA COM CLAVO, INCLUSO FABRICAÇÃO. AF_03/2024</t>
  </si>
  <si>
    <t>INSTALAÇÃO DE CURVA, REDUÇÃO OU TÊ DE DUTO PARA AR CONDICIONADO EM CHAPA GALVANIZADA BITOLA 24 - COM ISOLAMENTO DE MANTA FIXADA NA CHAPA COM FITA PLÁSTICA, INCLUSO FABRICAÇÃO. AF_03/2024</t>
  </si>
  <si>
    <t>INSTALAÇÃO DE CURVA, REDUÇÃO OU TÊ DE DUTO PARA AR CONDICIONADO EM CHAPA GALVANIZADA BITOLA 26 - COM ISOLAMENTO DE MANTA FIXADA NA CHAPA COM CLAVO, INCLUSO FABRICAÇÃO. AF_03/2024</t>
  </si>
  <si>
    <t>INSTALAÇÃO DE CURVA, REDUÇÃO OU TÊ DE DUTO PARA AR CONDICIONADO EM CHAPA GALVANIZADA BITOLA 26 - COM ISOLAMENTO DE MANTA FIXADA NA CHAPA COM FITA PLÁSTICA, INCLUSO FABRICAÇÃO. AF_03/2024</t>
  </si>
  <si>
    <t>INSTALAÇÃO DE CURVA, REDUÇÃO OU TÊ PARA DUTO PARA AR CONDICIONADO EM CHAPA GALVANIZADA BITOLA 22 - COM ISOLAMENTO DE MANTA COLADA NA CHAPA, INCLUSO FABRICAÇÃO. AF_03/2024</t>
  </si>
  <si>
    <t>INSTALAÇÃO DE CURVA, REDUÇÃO OU TÊ PARA DUTO PARA AR CONDICIONADO EM CHAPA GALVANIZADA BITOLA 22 - SEM ISOLAMENTO, INCLUSO FABRICAÇÃO. AF_03/2024</t>
  </si>
  <si>
    <t>INSTALAÇÃO DE CURVA, REDUÇÃO OU TÊ PARA DUTO PARA AR CONDICIONADO EM CHAPA GALVANIZADA BITOLA 24 - COM ISOLAMENTO DE MANTA COLADA NA CHAPA, INCLUSO FABRICAÇÃO. AF_03/2024</t>
  </si>
  <si>
    <t>INSTALAÇÃO DE CURVA, REDUÇÃO OU TÊ PARA DUTO PARA AR CONDICIONADO EM CHAPA GALVANIZADA BITOLA 24 - SEM ISOLAMENTO, INCLUSO FABRICAÇÃO. AF_03/2024</t>
  </si>
  <si>
    <t>INSTALAÇÃO DE CURVA, REDUÇÃO OU TÊ PARA DUTO PARA AR CONDICIONADO EM CHAPA GALVANIZADA BITOLA 26 - COM ISOLAMENTO DE MANTA COLADA NA CHAPA, INCLUSO FABRICAÇÃO. AF_03/2024</t>
  </si>
  <si>
    <t>INSTALAÇÃO DE CURVA, REDUÇÃO OU TÊ PARA DUTO PARA AR CONDICIONADO EM CHAPA GALVANIZADA BITOLA 26 - SEM ISOLAMENTO, INCLUSO FABRICAÇÃO. AF_03/2024</t>
  </si>
  <si>
    <t>INSTALAÇÃO DE DUTO FLEXÍVEL CIRCULAR PARA AR CONDICIONADO EM ALUMÍNIO ISOLADO - DN 109 MM (4"). AF_03/2024</t>
  </si>
  <si>
    <t>INSTALAÇÃO DE DUTO FLEXÍVEL CIRCULAR PARA AR CONDICIONADO EM ALUMÍNIO ISOLADO - DN 131 MM (5"). AF_03/2024</t>
  </si>
  <si>
    <t>INSTALAÇÃO DE DUTO FLEXÍVEL CIRCULAR PARA AR CONDICIONADO EM ALUMÍNIO ISOLADO - DN 161 MM (6"). AF_03/2024</t>
  </si>
  <si>
    <t>INSTALAÇÃO DE DUTO FLEXÍVEL CIRCULAR PARA AR CONDICIONADO EM ALUMÍNIO ISOLADO - DN 185 MM (7"). AF_03/2024</t>
  </si>
  <si>
    <t>INSTALAÇÃO DE DUTO FLEXÍVEL CIRCULAR PARA AR CONDICIONADO EM ALUMÍNIO ISOLADO - DN 209 MM (8"). AF_03/2024</t>
  </si>
  <si>
    <t>INSTALAÇÃO DE DUTO FLEXÍVEL CIRCULAR PARA AR CONDICIONADO EM ALUMÍNIO ISOLADO - DN 263 MM (10"). AF_03/2024</t>
  </si>
  <si>
    <t>INSTALAÇÃO DE DUTO FLEXÍVEL CIRCULAR PARA AR CONDICIONADO EM ALUMÍNIO ISOLADO - DN 314 MM (12"). AF_03/2024</t>
  </si>
  <si>
    <t>INSTALAÇÃO DE DUTO FLEXÍVEL CIRCULAR PARA AR CONDICIONADO EM ALUMÍNIO ISOLADO - DN 364 MM (14"). AF_03/2024</t>
  </si>
  <si>
    <t>INSTALAÇÃO DE DUTO RETANGULAR PARA AR CONDICIONADO (TRECHO RETO) EM CHAPA GALVANIZADA BITOLA 22 - COM ISOLAMENTO DE MANTA COLADA NA CHAPA, INCLUSO FABRICAÇÃO. AF_03/2024</t>
  </si>
  <si>
    <t>INSTALAÇÃO DE DUTO RETANGULAR PARA AR CONDICIONADO (TRECHO RETO) EM CHAPA GALVANIZADA BITOLA 22 - COM ISOLAMENTO DE MANTA FIXADA NA CHAPA COM CLAVO, INCLUSO FABRICAÇÃO. AF_03/2024</t>
  </si>
  <si>
    <t>INSTALAÇÃO DE DUTO RETANGULAR PARA AR CONDICIONADO (TRECHO RETO) EM CHAPA GALVANIZADA BITOLA 22 - COM ISOLAMENTO DE MANTA FIXADA NA CHAPA COM FITA PLÁSTICA, INCLUSO FABRICAÇÃO. AF_03/2024</t>
  </si>
  <si>
    <t>INSTALAÇÃO DE DUTO RETANGULAR PARA AR CONDICIONADO (TRECHO RETO) EM CHAPA GALVANIZADA BITOLA 22 - SEM ISOLAMENTO, INCLUSO FABRICAÇÃO. AF_03/2024</t>
  </si>
  <si>
    <t>INSTALAÇÃO DE DUTO RETANGULAR PARA AR CONDICIONADO (TRECHO RETO) EM CHAPA GALVANIZADA BITOLA 24 - COM ISOLAMENTO DE MANTA COLADA NA CHAPA, INCLUSO FABRICAÇÃO. AF_03/2024</t>
  </si>
  <si>
    <t>INSTALAÇÃO DE DUTO RETANGULAR PARA AR CONDICIONADO (TRECHO RETO) EM CHAPA GALVANIZADA BITOLA 24 - COM ISOLAMENTO DE MANTA FIXADA NA CHAPA COM CLAVO, INCLUSO FABRICAÇÃO. AF_03/2024</t>
  </si>
  <si>
    <t>INSTALAÇÃO DE DUTO RETANGULAR PARA AR CONDICIONADO (TRECHO RETO) EM CHAPA GALVANIZADA BITOLA 24 - COM ISOLAMENTO DE MANTA FIXADA NA CHAPA COM FITA PLÁSTICA, INCLUSO FABRICAÇÃO. AF_03/2024</t>
  </si>
  <si>
    <t>INSTALAÇÃO DE DUTO RETANGULAR PARA AR CONDICIONADO (TRECHO RETO) EM CHAPA GALVANIZADA BITOLA 24 - SEM ISOLAMENTO, INCLUSO FABRICAÇÃO. AF_03/2024</t>
  </si>
  <si>
    <t>INSTALAÇÃO DE DUTO RETANGULAR PARA AR CONDICIONADO (TRECHO RETO) EM CHAPA GALVANIZADA BITOLA 26 - COM ISOLAMENTO DE MANTA COLADA NA CHAPA, INCLUSO FABRICAÇÃO. AF_03/2024</t>
  </si>
  <si>
    <t>INSTALAÇÃO DE DUTO RETANGULAR PARA AR CONDICIONADO (TRECHO RETO) EM CHAPA GALVANIZADA BITOLA 26 - COM ISOLAMENTO DE MANTA FIXADA NA CHAPA COM CLAVO, INCLUSO FABRICAÇÃO. AF_03/2024</t>
  </si>
  <si>
    <t>INSTALAÇÃO DE DUTO RETANGULAR PARA AR CONDICIONADO (TRECHO RETO) EM CHAPA GALVANIZADA BITOLA 26 - COM ISOLAMENTO DE MANTA FIXADA NA CHAPA COM FITA PLÁSTICA, INCLUSO FABRICAÇÃO. AF_03/2024</t>
  </si>
  <si>
    <t>INSTALAÇÃO DE DUTO RETANGULAR PARA AR CONDICIONADO (TRECHO RETO) EM CHAPA GALVANIZADA BITOLA 26 - SEM ISOLAMENTO, INCLUSO FABRICAÇÃO. AF_03/2024</t>
  </si>
  <si>
    <t>INSTALAÇÃO DE DUTO RETANGULAR PARA AR CONDICIONADO EM PAINEL PRÉ-ISOLADO, INCLUSO FABRICAÇÃO. AF_03/2024</t>
  </si>
  <si>
    <t>COTOVELO HORIZONTAL 90º PARA ELETROCALHA, LISA OU PERFURADA EM AÇO GALVANIZADO, LARGURA DE 100MM E ALTURA DE 50MM - FORNECIMENTO E INSTALAÇÃO. AF_04/2023</t>
  </si>
  <si>
    <t>COTOVELO HORIZONTAL 90º PARA ELETROCALHA, LISA OU PERFURADA EM AÇO GALVANIZADO, LARGURA DE 50MM E ALTURA DE 50MM - FORNECIMENTO E INSTALAÇÃO. AF_04/2023</t>
  </si>
  <si>
    <t>COTOVELO HORIZONTAL 90º PARA ELETROCALHA, LISA OU PERFURADA EM AÇO GALVANIZADO, LARGURA DE 75MM E ALTURA DE 50MM - FORNECIMENTO E INSTALAÇÃO. AF_04/2023</t>
  </si>
  <si>
    <t>COTOVELO HORIZONTAL 90º, PARA ELETROCALHA, LISA OU PERFURADA EM AÇO GALVANIZADO, LARGURA DE 125MM E ALTURA DE 50MM - FORNECIMENTO E INSTALAÇÃO. AF_04/2023</t>
  </si>
  <si>
    <t>COTOVELO HORIZONTAL 90º, PARA ELETROCALHA, LISA OU PERFURADA EM AÇO GALVANIZADO, LARGURA DE 150MM E ALTURA DE 50MM - FORNECIMENTO E INSTALAÇÃO. AF_04/2023</t>
  </si>
  <si>
    <t>COTOVELO HORIZONTAL 90º, PARA ELETROCALHA, LISA OU PERFURADA EM AÇO GALVANIZADO, LARGURA DE 200MM E ALTURA DE 50MM - FORNECIMENTO E INSTALAÇÃO. AF_04/2023</t>
  </si>
  <si>
    <t>COTOVELO HORIZONTAL 90º, PARA ELETROCALHA, LISA OU PERFURADA EM AÇO GALVANIZADO, LARGURA DE 250MM E ALTURA DE 50MM - FORNECIMENTO E INSTALAÇÃO. AF_04/2023</t>
  </si>
  <si>
    <t>COTOVELO HORIZONTAL 90º, PARA ELETROCALHA, LISA OU PERFURADA EM AÇO GALVANIZADO, LARGURA DE 300MM E ALTURA DE 50MM - FORNECIMENTO E INSTALAÇÃO. AF_04/2023</t>
  </si>
  <si>
    <t>COTOVELO HORIZONTAL 90º, PARA ELETROCALHA, LISA OU PERFURADA EM AÇO GALVANIZADO, LARGURA DE 400MM E ALTURA DE 50MM - FORNECIMENTO E INSTALAÇÃO. AF_04/2023</t>
  </si>
  <si>
    <t>COTOVELO HORIZONTAL 90º, PARA ELETROCALHA, LISA OU PERFURADA EM AÇO GALVANIZADO, LARGURA DE 500MM E ALTURA DE 50MM - FORNECIMENTO E INSTALAÇÃO. AF_04/2023</t>
  </si>
  <si>
    <t>COTOVELO HORIZONTAL 90º, PARA ELETROCALHA, LISA OU PERFURADA EM AÇO GALVANIZADO, LARGURA DE 600MM E ALTURA DE 50MM - FORNECIMENTO E INSTALAÇÃO. AF_04/2023</t>
  </si>
  <si>
    <t>COTOVELO HORIZONTAL 90º, PARA ELETROCALHA, LISA OU PERFURADA EM AÇO GALVANIZADO, LARGURA DE 700MM E ALTURA DE 50MM - FORNECIMENTO E INSTALAÇÃO. AF_04/2023</t>
  </si>
  <si>
    <t>COTOVELO HORIZONTAL 90º, PARA ELETROCALHA, LISA OU PERFURADA EM AÇO GALVANIZADO, LARGURA DE 800MM E ALTURA DE 50MM - FORNECIMENTO E INSTALAÇÃO. AF_04/2023</t>
  </si>
  <si>
    <t>COTOVELO RETO 90º PARA ELETROCALHA, LISA OU PERFURADA EM AÇO GALVANIZADO, LARGURA DE 100MM E ALTURA DE 50MM - FORNECIMENTO E INSTALAÇÃO. AF_04/2023</t>
  </si>
  <si>
    <t>COTOVELO RETO 90º PARA ELETROCALHA, LISA OU PERFURADA EM AÇO GALVANIZADO, LARGURA DE 50MM E ALTURA DE 50MM - FORNECIMENTO E INSTALAÇÃO. AF_04/2023</t>
  </si>
  <si>
    <t>COTOVELO RETO 90º PARA ELETROCALHA, LISA OU PERFURADA EM AÇO GALVANIZADO, LARGURA DE 75MM E ALTURA DE 50MM - FORNECIMENTO E INSTALAÇÃO. AF_04/2023</t>
  </si>
  <si>
    <t>COTOVELO RETO 90º, PARA ELETROCALHA, LISA OU PERFURADA EM AÇO GALVANIZADO, LARGURA DE 125MM E ALTURA DE 50MM - FORNECIMENTO E INSTALAÇÃO. AF_04/2023</t>
  </si>
  <si>
    <t>COTOVELO RETO 90º, PARA ELETROCALHA, LISA OU PERFURADA EM AÇO GALVANIZADO, LARGURA DE 150MM E ALTURA DE 50MM - FORNECIMENTO E INSTALAÇÃO. AF_04/2023</t>
  </si>
  <si>
    <t>COTOVELO RETO 90º, PARA ELETROCALHA, LISA OU PERFURADA EM AÇO GALVANIZADO, LARGURA DE 200MM E ALTURA DE 50MM - FORNECIMENTO E INSTALAÇÃO. AF_04/2023</t>
  </si>
  <si>
    <t>COTOVELO RETO 90º, PARA ELETROCALHA, LISA OU PERFURADA EM AÇO GALVANIZADO, LARGURA DE 250MM E ALTURA DE 50MM - FORNECIMENTO E INSTALAÇÃO. AF_04/2023</t>
  </si>
  <si>
    <t>COTOVELO RETO 90º, PARA ELETROCALHA, LISA OU PERFURADA EM AÇO GALVANIZADO, LARGURA DE 300MM E ALTURA DE 50MM - FORNECIMENTO E INSTALAÇÃO. AF_04/2023</t>
  </si>
  <si>
    <t>COTOVELO RETO 90º, PARA ELETROCALHA, LISA OU PERFURADA EM AÇO GALVANIZADO, LARGURA DE 400MM E ALTURA DE 50MM - FORNECIMENTO E INSTALAÇÃO. AF_04/2023</t>
  </si>
  <si>
    <t>COTOVELO RETO 90º, PARA ELETROCALHA, LISA OU PERFURADA EM AÇO GALVANIZADO, LARGURA DE 500MM E ALTURA DE 50MM - FORNECIMENTO E INSTALAÇÃO. AF_04/2023</t>
  </si>
  <si>
    <t>COTOVELO RETO 90º, PARA ELETROCALHA, LISA OU PERFURADA EM AÇO GALVANIZADO, LARGURA DE 600MM E ALTURA DE 50MM - FORNECIMENTO E INSTALAÇÃO. AF_04/2023</t>
  </si>
  <si>
    <t>COTOVELO RETO 90º, PARA ELETROCALHA, LISA OU PERFURADA EM AÇO GALVANIZADO, LARGURA DE 700MM E ALTURA DE 50MM - FORNECIMENTO E INSTALAÇÃO. AF_04/2023</t>
  </si>
  <si>
    <t>COTOVELO RETO 90º, PARA ELETROCALHA, LISA OU PERFURADA EM AÇO GALVANIZADO, LARGURA DE 800MM E ALTURA DE 50MM - FORNECIMENTO E INSTALAÇÃO. AF_04/2023</t>
  </si>
  <si>
    <t>CURVA HORIZONTAL 90º PARA ELETROCALHA, LISA OU PERFURADA EM AÇO GALVANIZADO, LARGURA DE 100MM E ALTURA DE 50MM - FORNECIMENTO E INSTALAÇÃO. AF_04/2023</t>
  </si>
  <si>
    <t>CURVA HORIZONTAL 90º PARA ELETROCALHA, LISA OU PERFURADA EM AÇO GALVANIZADO, LARGURA DE 50MM E ALTURA DE 50MM - FORNECIMENTO E INSTALAÇÃO. AF_04/2023</t>
  </si>
  <si>
    <t>CURVA HORIZONTAL 90º, PARA ELETROCALHA, LISA OU PERFURADA EM AÇO GALVANIZADO, LARGURA DE 125MM E ALTURA DE 50MM - FORNECIMENTO E INSTALAÇÃO. AF_04/2023</t>
  </si>
  <si>
    <t>CURVA HORIZONTAL 90º, PARA ELETROCALHA, LISA OU PERFURADA EM AÇO GALVANIZADO, LARGURA DE 150MM E ALTURA DE 50MM - FORNECIMENTO E INSTALAÇÃO. AF_04/2023</t>
  </si>
  <si>
    <t>CURVA HORIZONTAL 90º, PARA ELETROCALHA, LISA OU PERFURADA EM AÇO GALVANIZADO, LARGURA DE 200MM E ALTURA DE 50MM - FORNECIMENTO E INSTALAÇÃO. AF_04/2023</t>
  </si>
  <si>
    <t>CURVA HORIZONTAL 90º, PARA ELETROCALHA, LISA OU PERFURADA EM AÇO GALVANIZADO, LARGURA DE 250MM E ALTURA DE 50MM - FORNECIMENTO E INSTALAÇÃO. AF_04/2023</t>
  </si>
  <si>
    <t>CURVA HORIZONTAL 90º, PARA ELETROCALHA, LISA OU PERFURADA EM AÇO GALVANIZADO, LARGURA DE 300MM E ALTURA DE 50MM - FORNECIMENTO E INSTALAÇÃO. AF_04/2023</t>
  </si>
  <si>
    <t>CURVA HORIZONTAL 90º, PARA ELETROCALHA, LISA OU PERFURADA EM AÇO GALVANIZADO, LARGURA DE 400MM E ALTURA DE 50MM - FORNECIMENTO E INSTALAÇÃO. AF_04/2023</t>
  </si>
  <si>
    <t>CURVA HORIZONTAL 90º, PARA ELETROCALHA, LISA OU PERFURADA EM AÇO GALVANIZADO, LARGURA DE 500MM E ALTURA DE 50MM - FORNECIMENTO E INSTALAÇÃO. AF_04/2023</t>
  </si>
  <si>
    <t>CURVA HORIZONTAL 90º, PARA ELETROCALHA, LISA OU PERFURADA EM AÇO GALVANIZADO, LARGURA DE 600MM E ALTURA DE 50MM - FORNECIMENTO E INSTALAÇÃO. AF_04/2023</t>
  </si>
  <si>
    <t>CURVA HORIZONTAL 90º, PARA ELETROCALHA, LISA OU PERFURADA EM AÇO GALVANIZADO, LARGURA DE 700MM E ALTURA DE 50MM - FORNECIMENTO E INSTALAÇÃO. AF_04/2023</t>
  </si>
  <si>
    <t>CURVA HORIZONTAL 90º, PARA ELETROCALHA, LISA OU PERFURADA EM AÇO GALVANIZADO, LARGURA DE 75MM E ALTURA DE 50MM - FORNECIMENTO E INSTALAÇÃO. AF_04/2023</t>
  </si>
  <si>
    <t>CURVA HORIZONTAL 90º, PARA ELETROCALHA, LISA OU PERFURADA EM AÇO GALVANIZADO, LARGURA DE 800MM E ALTURA DE 50MM - FORNECIMENTO E INSTALAÇÃO. AF_04/2023</t>
  </si>
  <si>
    <t>ELETROCALHA LISA OU PERFURADA EM AÇO GALVANIZADO, LARGURA 125MM E ALTURA 50MM, INCLUSIVE EMENDA E FIXAÇÃO - FORNECIMENTO E INSTALAÇÃO. AF_04/2023</t>
  </si>
  <si>
    <t>ELETROCALHA LISA OU PERFURADA EM AÇO GALVANIZADO, LARGURA 150MM E ALTURA 50MM, INCLUSIVE EMENDA E FIXAÇÃO - FORNECIMENTO E INSTALAÇÃO. AF_04/2023</t>
  </si>
  <si>
    <t>ELETROCALHA LISA OU PERFURADA EM AÇO GALVANIZADO, LARGURA 200MM E ALTURA 50MM, INCLUSIVE EMENDA E FIXAÇÃO - FORNECIMENTO E INSTALAÇÃO. AF_04/2023</t>
  </si>
  <si>
    <t>ELETROCALHA LISA OU PERFURADA EM AÇO GALVANIZADO, LARGURA 250MM E ALTURA 50MM, INCLUSIVE EMENDA E FIXAÇÃO - FORNECIMENTO E INSTALAÇÃO. AF_04/2023</t>
  </si>
  <si>
    <t>ELETROCALHA LISA OU PERFURADA EM AÇO GALVANIZADO, LARGURA 300MM E ALTURA 50MM, INCLUSIVE EMENDA E FIXAÇÃO - FORNECIMENTO E INSTALAÇÃO. AF_04/2023</t>
  </si>
  <si>
    <t>ELETROCALHA LISA OU PERFURADA EM AÇO GALVANIZADO, LARGURA 400MM E ALTURA 50MM, INCLUSIVE EMENDA E FIXAÇÃO - FORNECIMENTO E INSTALAÇÃO. AF_04/2023</t>
  </si>
  <si>
    <t>ELETROCALHA LISA OU PERFURADA EM AÇO GALVANIZADO, LARGURA 500MM E ALTURA 50MM, INCLUSIVE EMENDA E FIXAÇÃO - FORNECIMENTO E INSTALAÇÃO. AF_04/2023</t>
  </si>
  <si>
    <t>ELETROCALHA LISA OU PERFURADA EM AÇO GALVANIZADO, LARGURA 50MM E ALTURA 50MM, INCLUSIVE EMENDA E FIXAÇÃO - FORNECIMENTO E INSTALAÇÃO. AF_04/2023</t>
  </si>
  <si>
    <t>ELETROCALHA LISA OU PERFURADA EM AÇO GALVANIZADO, LARGURA 600MM E ALTURA 50MM, INCLUSIVE EMENDA E FIXAÇÃO - FORNECIMENTO E INSTALAÇÃO. AF_04/2023</t>
  </si>
  <si>
    <t>ELETROCALHA LISA OU PERFURADA EM AÇO GALVANIZADO, LARGURA 700MM E ALTURA 50MM, INCLUSIVE EMENDA E FIXAÇÃO - FORNECIMENTO E INSTALAÇÃO. AF_04/2023</t>
  </si>
  <si>
    <t>ELETROCALHA LISA OU PERFURADA EM AÇO GALVANIZADO, LARGURA 75MM E ALTURA 50MM, INCLUSIVE EMENDA E FIXAÇÃO - FORNECIMENTO E INSTALAÇÃO. AF_04/2023</t>
  </si>
  <si>
    <t>ELETROCALHA LISA OU PERFURADA EM AÇO GALVANIZADO, LARGURA 800MM E ALTURA 50MM, INCLUSIVE EMENDA E FIXAÇÃO - FORNECIMENTO E INSTALAÇÃO. AF_04/2023</t>
  </si>
  <si>
    <t>EMENDA PARA ELETROCALHA, LISA OU PERFURADA EM AÇO GALVANIZADO, LARGURA 100MM E ALTURA 50MM - FORNECIMENTO E INSTALAÇÃO. AF_04/2023</t>
  </si>
  <si>
    <t>EMENDA PARA ELETROCALHA, LISA OU PERFURADA EM AÇO GALVANIZADO, LARGURA 125MM E ALTURA 50MM - FORNECIMENTO E INSTALAÇÃO. AF_04/2023</t>
  </si>
  <si>
    <t>EMENDA PARA ELETROCALHA, LISA OU PERFURADA EM AÇO GALVANIZADO, LARGURA 150MM E ALTURA 50MM - FORNECIMENTO E INSTALAÇÃO. AF_04/2023</t>
  </si>
  <si>
    <t>EMENDA PARA ELETROCALHA, LISA OU PERFURADA EM AÇO GALVANIZADO, LARGURA 50MM E ALTURA 50MM - FORNECIMENTO E INSTALAÇÃO. AF_04/2023</t>
  </si>
  <si>
    <t>EMENDA PARA ELETROCALHA, LISA OU PERFURADA EM AÇO GALVANIZADO, LARGURA 75MM E ALTURA 50MM - FORNECIMENTO E INSTALAÇÃO. AF_04/2023</t>
  </si>
  <si>
    <t>EMENDA PARA ELETROCALHA, LISA OU PERFURADA EM AÇO GALVANIZADO, LARGURA DE 200MM E ALTURA DE 50MM - FORNECIMENTO E INSTALAÇÃO. AF_04/2023</t>
  </si>
  <si>
    <t>EMENDA PARA ELETROCALHA, LISA OU PERFURADA EM AÇO GALVANIZADO, LARGURA DE 250MM E ALTURA DE 50MM - FORNECIMENTO E INSTALAÇÃO. AF_04/2023</t>
  </si>
  <si>
    <t>EMENDA PARA ELETROCALHA, LISA OU PERFURADA EM AÇO GALVANIZADO, LARGURA DE 300MM E ALTURA DE 50MM - FORNECIMENTO E INSTALAÇÃO. AF_04/2023</t>
  </si>
  <si>
    <t>EMENDA PARA ELETROCALHA, LISA OU PERFURADA EM AÇO GALVANIZADO, LARGURA DE 400MM E ALTURA DE 50MM - FORNECIMENTO E INSTALAÇÃO. AF_04/2023</t>
  </si>
  <si>
    <t>EMENDA PARA ELETROCALHA, LISA OU PERFURADA EM AÇO GALVANIZADO, LARGURA DE 500MM E ALTURA DE 50MM - FORNECIMENTO E INSTALAÇÃO. AF_04/2023</t>
  </si>
  <si>
    <t>EMENDA PARA ELETROCALHA, LISA OU PERFURADA EM AÇO GALVANIZADO, LARGURA DE 600MM E ALTURA DE 50MM - FORNECIMENTO E INSTALAÇÃO. AF_04/2023</t>
  </si>
  <si>
    <t>EMENDA PARA ELETROCALHA, LISA OU PERFURADA EM AÇO GALVANIZADO, LARGURA DE 700MM E ALTURA DE 50MM - FORNECIMENTO E INSTALAÇÃO. AF_04/2023</t>
  </si>
  <si>
    <t>EMENDA PARA ELETROCALHA, LISA OU PERFURADA EM AÇO GALVANIZADO, LARGURA DE 800MM E ALTURA DE 50MM - FORNECIMENTO E INSTALAÇÃO. AF_04/2023</t>
  </si>
  <si>
    <t>REDUÇÃO PARA ELETROCALHA, LISA OU PERFURADA EM AÇO GALVANIZADO, 100X75MM E ALTURA 50MM - FORNECIMENTO E INSTALAÇÃO. AF_04/2023</t>
  </si>
  <si>
    <t>REDUÇÃO PARA ELETROCALHA, LISA OU PERFURADA EM AÇO GALVANIZADO, 125X100MM E ALTURA DE 50MM - FORNECIMENTO E INSTALAÇÃO. AF_04/2023</t>
  </si>
  <si>
    <t>REDUÇÃO PARA ELETROCALHA, LISA OU PERFURADA EM AÇO GALVANIZADO, 150X125MM E ALTURA DE 50MM - FORNECIMENTO E INSTALAÇÃO. AF_04/2023</t>
  </si>
  <si>
    <t>REDUÇÃO PARA ELETROCALHA, LISA OU PERFURADA EM AÇO GALVANIZADO, 75X50MM E ALTURA 50MM - FORNECIMENTO E INSTALAÇÃO. AF_04/2023</t>
  </si>
  <si>
    <t>REDUÇÃO PARA ELETROCALHA, LISA OU PERFURADA EM AÇO GALVANIZADO, LARGURA DE 200X150MM E ALTURA DE 50MM - FORNECIMENTO E INSTALAÇÃO. AF_04/2023</t>
  </si>
  <si>
    <t>REDUÇÃO PARA ELETROCALHA, LISA OU PERFURADA EM AÇO GALVANIZADO, LARGURA DE 250X200MM E ALTURA DE 50MM - FORNECIMENTO E INSTALAÇÃO. AF_04/2023</t>
  </si>
  <si>
    <t>REDUÇÃO PARA ELETROCALHA, LISA OU PERFURADA EM AÇO GALVANIZADO, LARGURA DE 300X250MM E ALTURA DE 50MM - FORNECIMENTO E INSTALAÇÃO. AF_04/2023</t>
  </si>
  <si>
    <t>REDUÇÃO PARA ELETROCALHA, LISA OU PERFURADA EM AÇO GALVANIZADO, LARGURA DE 400X300MM E ALTURA DE 50MM - FORNECIMENTO E INSTALAÇÃO. AF_04/2023</t>
  </si>
  <si>
    <t>REDUÇÃO PARA ELETROCALHA, LISA OU PERFURADA EM AÇO GALVANIZADO, LARGURA DE 500X400MM E ALTURA DE 50MM - FORNECIMENTO E INSTALAÇÃO. AF_04/2023</t>
  </si>
  <si>
    <t>REDUÇÃO PARA ELETROCALHA, LISA OU PERFURADA EM AÇO GALVANIZADO, LARGURA DE 600X500MM E ALTURA DE 50MM - FORNECIMENTO E INSTALAÇÃO. AF_04/2023</t>
  </si>
  <si>
    <t>REDUÇÃO PARA ELETROCALHA, LISA OU PERFURADA EM AÇO GALVANIZADO, LARGURA DE 700X600MM E ALTURA DE 50MM - FORNECIMENTO E INSTALAÇÃO. AF_04/2023</t>
  </si>
  <si>
    <t>REDUÇÃO PARA ELETROCALHA, LISA OU PERFURADA EM AÇO GALVANIZADO, LARGURA DE 800X700MM E ALTURA DE 50MM - FORNECIMENTO E INSTALAÇÃO. AF_04/2023</t>
  </si>
  <si>
    <t>TÊ HORIZONTAL 90º, PARA ELETROCALHA, LISA OU PERFURADA EM AÇO GALVANIZADO, LARGURA DE 100MM E ALTURA DE 50MM - FORNECIMENTO E INSTALAÇÃO. AF_04/2023</t>
  </si>
  <si>
    <t>TÊ HORIZONTAL 90º, PARA ELETROCALHA, LISA OU PERFURADA EM AÇO GALVANIZADO, LARGURA DE 125MM E ALTURA DE 50MM - FORNECIMENTO E INSTALAÇÃO. AF_04/2023</t>
  </si>
  <si>
    <t>TÊ HORIZONTAL 90º, PARA ELETROCALHA, LISA OU PERFURADA EM AÇO GALVANIZADO, LARGURA DE 150MM E ALTURA DE 50MM - FORNECIMENTO E INSTALAÇÃO. AF_04/2023</t>
  </si>
  <si>
    <t>TÊ HORIZONTAL 90º, PARA ELETROCALHA, LISA OU PERFURADA EM AÇO GALVANIZADO, LARGURA DE 200MM E ALTURA DE 50MM - FORNECIMENTO E INSTALAÇÃO. AF_04/2023</t>
  </si>
  <si>
    <t>TÊ HORIZONTAL 90º, PARA ELETROCALHA, LISA OU PERFURADA EM AÇO GALVANIZADO, LARGURA DE 250MM E ALTURA DE 50MM - FORNECIMENTO E INSTALAÇÃO. AF_04/2023</t>
  </si>
  <si>
    <t>TÊ HORIZONTAL 90º, PARA ELETROCALHA, LISA OU PERFURADA EM AÇO GALVANIZADO, LARGURA DE 300MM E ALTURA DE 50MM - FORNECIMENTO E INSTALAÇÃO. AF_04/2023</t>
  </si>
  <si>
    <t>TÊ HORIZONTAL 90º, PARA ELETROCALHA, LISA OU PERFURADA EM AÇO GALVANIZADO, LARGURA DE 400MM E ALTURA DE 50MM - FORNECIMENTO E INSTALAÇÃO. AF_04/2023</t>
  </si>
  <si>
    <t>TÊ HORIZONTAL 90º, PARA ELETROCALHA, LISA OU PERFURADA EM AÇO GALVANIZADO, LARGURA DE 500MM E ALTURA DE 50MM - FORNECIMENTO E INSTALAÇÃO. AF_04/2023</t>
  </si>
  <si>
    <t>TÊ HORIZONTAL 90º, PARA ELETROCALHA, LISA OU PERFURADA EM AÇO GALVANIZADO, LARGURA DE 50MM E ALTURA DE 50MM - FORNECIMENTO E INSTALAÇÃO. AF_04/2023</t>
  </si>
  <si>
    <t>TÊ HORIZONTAL 90º, PARA ELETROCALHA, LISA OU PERFURADA EM AÇO GALVANIZADO, LARGURA DE 600MM E ALTURA DE 50MM - FORNECIMENTO E INSTALAÇÃO. AF_04/2023</t>
  </si>
  <si>
    <t>TÊ HORIZONTAL 90º, PARA ELETROCALHA, LISA OU PERFURADA EM AÇO GALVANIZADO, LARGURA DE 700MM E ALTURA DE 50MM - FORNECIMENTO E INSTALAÇÃO. AF_04/2023</t>
  </si>
  <si>
    <t>TÊ HORIZONTAL 90º, PARA ELETROCALHA, LISA OU PERFURADA EM AÇO GALVANIZADO, LARGURA DE 75MM E ALTURA DE 50MM - FORNECIMENTO E INSTALAÇÃO. AF_04/2023</t>
  </si>
  <si>
    <t>TÊ HORIZONTAL 90º, PARA ELETROCALHA, LISA OU PERFURADA EM AÇO GALVANIZADO, LARGURA DE 800MM E ALTURA DE 50MM - FORNECIMENTO E INSTALAÇÃO. AF_04/2023</t>
  </si>
  <si>
    <t>AQUECEDOR SOLAR COMPACTO, KIT PARA 1 COLETOR SOLAR À VÁCUO COM SUPORTE, RESERVATÓRIO, FIXAÇÕES E TUBOS - FORNECIMENTO E INSTALAÇÃO. AF_12/2021</t>
  </si>
  <si>
    <t>BOMBA DE CIRCULACAO DE ÁGUA QUENTE, 93 ATÉ 150 W - FORNECIMENTO E INSTALAÇÃO. AF_12/2021</t>
  </si>
  <si>
    <t>CABO FOTOVOLTAICO 4 MM² INSTALADO EM ELETRODUTO - FORNECIMENTO E INSTALAÇÃO. AF_12/2021</t>
  </si>
  <si>
    <t>CABO FOTOVOLTAICO 4 MM² INSTALADO SOLTO NO TELHADO - FORNECIMENTO E INSTALAÇÃO. AF_12/2021</t>
  </si>
  <si>
    <t>CABO FOTOVOLTAICO 6 MM² INSTALADO EM ELETRODUTO - FORNECIMENTO E INSTALAÇÃO. AF_12/2021</t>
  </si>
  <si>
    <t>CABO FOTOVOLTAICO 6 MM² INSTALADO SOLTO NO TELHADO - FORNECIMENTO E INSTALAÇÃO. AF_12/2021</t>
  </si>
  <si>
    <t>COLETOR PARA AQUECIMENTO SOLAR A VÁCUO, COM SUPORTE PARA LAJE DE CONCRETO - FORNECIMENTO E INSTALAÇÃO. AF_12/2021</t>
  </si>
  <si>
    <t>COLETOR PARA AQUECIMENTO SOLAR A VÁCUO, COM SUPORTE PARA TELHA CERÂMICA - FORNECIMENTO E INSTALAÇÃO. AF_12/2021</t>
  </si>
  <si>
    <t>COLETOR PARA AQUECIMENTO SOLAR A VÁCUO, COM SUPORTE PARA TELHA METÁLICA - FORNECIMENTO E INSTALAÇÃO. AF_12/2021</t>
  </si>
  <si>
    <t>COLETOR PARA AQUECIMENTO SOLAR, EM VIDRO TEMPERADO E SERPENTINA EM TUBO DE COBRE, COM SUPORTE PARA LAJE DE CONCRETO - FORNECIMENTO E INSTALAÇÃO. AF_12/2021</t>
  </si>
  <si>
    <t>COLETOR PARA AQUECIMENTO SOLAR, EM VIDRO TEMPERADO E SERPENTINA EM TUBO DE COBRE, COM SUPORTE PARA TELHA CERÂMICA - FORNECIMENTO E INSTALAÇÃO. AF_12/2021</t>
  </si>
  <si>
    <t>COLETOR PARA AQUECIMENTO SOLAR, EM VIDRO TEMPERADO E SERPENTINA EM TUBO DE COBRE, COM SUPORTE PARA TELHA METÁLICA - FORNECIMENTO E INSTALAÇÃO. AF_12/2021</t>
  </si>
  <si>
    <t>CONTROLADOR POR DIFERENCIAL DE TEMPERATURA COM 2 SENSORES - FORNECIMENTO E INSTALAÇÃO. AF_12/2021</t>
  </si>
  <si>
    <t>INVERSOR SOLAR FOTOVOLTAICO - FORNECIMENTO E INSTALAÇÃO. AF_12/2021</t>
  </si>
  <si>
    <t>MICRO INVERSOR SOLAR FOTOVOLTAICO - FORNECIMENTO E INSTALAÇÃO. AF_12/2021</t>
  </si>
  <si>
    <t>PAINEL SOLAR FOTOVOLTAICO, 2 X 1 M, COM SUPORTE PARA LAJE DE CONCRETO - FORNECIMENTO E INSTALAÇÃO. AF_12/2021</t>
  </si>
  <si>
    <t>PAINEL SOLAR FOTOVOLTAICO, 2 X 1 M, COM SUPORTE PARA TELHA CERÂMICA - FORNECIMENTO E INSTALAÇÃO. AF_12/2021</t>
  </si>
  <si>
    <t>PAINEL SOLAR FOTOVOLTAICO, 2 X 1 M, COM SUPORTE PARA TELHA METÁLICA - FORNECIMENTO E INSTALAÇÃO. AF_12/2021</t>
  </si>
  <si>
    <t>RESERVATÓRIO TÉRMICO/BOILER SOLAR EM AÇO INOX 1000 L - FORNECIMENTO E INSTALAÇÃO. AF_12/2021</t>
  </si>
  <si>
    <t>RESERVATÓRIO TÉRMICO/BOILER SOLAR EM AÇO INOX 200 L - FORNECIMENTO E INSTALAÇÃO. AF_12/2021</t>
  </si>
  <si>
    <t>RESERVATÓRIO TÉRMICO/BOILER SOLAR EM AÇO INOX 3000 L - FORNECIMENTO E INSTALAÇÃO. AF_12/2021</t>
  </si>
  <si>
    <t>RESERVATÓRIO TÉRMICO/BOILER SOLAR EM AÇO INOX 400 L - FORNECIMENTO E INSTALAÇÃO. AF_12/2021</t>
  </si>
  <si>
    <t>RESERVATÓRIO TÉRMICO/BOILER SOLAR EM AÇO INOX 600 L - FORNECIMENTO E INSTALAÇÃO. AF_12/2021</t>
  </si>
  <si>
    <t>RESERVATÓRIO TÉRMICO/BOILER SOLAR EM AÇO INOX 800 L - FORNECIMENTO E INSTALAÇÃO. AF_12/2021</t>
  </si>
  <si>
    <t>STRING BOX PARA SISTEMA FOTOVOLTAICO - FORNECIMENTO E INSTALAÇÃO. AF_12/2021</t>
  </si>
  <si>
    <t>SUPORTE DE 1 COLETOR SOLAR PARA LAJE DE CONCRETO - FORNECIMENTO E INSTALAÇÃO. AF_12/2021</t>
  </si>
  <si>
    <t>SUPORTE DE 1 COLETOR SOLAR PARA TELHA CERÂMICA - FORNECIMENTO E INSTALAÇÃO. AF_12/2021</t>
  </si>
  <si>
    <t>SUPORTE DE 1 COLETOR SOLAR PARA TELHA METÁLICA - FORNECIMENTO E INSTALAÇÃO. AF_12/2021</t>
  </si>
  <si>
    <t>COLOCAÇÃO DE TELA FACHADEIRA PERIMETRAL. AF_03/2024</t>
  </si>
  <si>
    <t>FECHAMENTO METÁLICO REMOVÍVEL DE ABERTURA DE CAIXILHO (PROTEÇÃO DE GESSEIRO) - 4 MONTAGENS EM OBRA. AF_03/2024</t>
  </si>
  <si>
    <t>FECHAMENTO METÁLICO REMOVÍVEL DE VÃO DE PORTAS (VÃO DO ELEVADOR) - 1 MONTAGEM EM OBRA. AF_03/2024</t>
  </si>
  <si>
    <t>FITA DE SINALIZAÇÃO FIXADA NA ESTRUTURA. AF_03/2024</t>
  </si>
  <si>
    <t>GUARDA-CORPO DE CONCRETAGEM COM MONTANTES METÁLICOS FIXADOS EM BARROTES (VIGAMENTO) DE FORMA DE MADEIRA COM FECHAMENTO EM PAINEL DE TELA METÁLICA. AF_03/2024</t>
  </si>
  <si>
    <t>GUARDA-CORPO DE CONCRETAGEM COM MONTANTES METÁLICOS FIXADOS NOS GARFOS DE FORMA DE MADEIRA COM FECHAMENTO EM PAINEL DE TELA METÁLICA. AF_03/2024</t>
  </si>
  <si>
    <t>GUARDA-CORPO EM LAJE PÓS DESFÔRMA COM MONTANTE METÁLICO FIXADO EM LAJE COM PARABOLT E FECHAMENTO EM PAINEL DE TELA METÁLICA. AF_03/2024</t>
  </si>
  <si>
    <t>GUARDA-CORPO EM LAJE PÓS DESFÔRMA COM MONTANTE METÁLICO FIXADO EM LAJE COM SARGENTO E FECHAMENTO EM PAINEL DE TELA METÁLICA. AF_03/2024</t>
  </si>
  <si>
    <t>GUARDA-CORPO EM LAJE PÓS-DESFÔRMA COM CABOS DE AÇO E FECHAMENTO EM TELA DE POLIPROPILENO (SISTEMA DE BARREIRA COM REDE) PARA EDIFÍCIOS ACIMA DE 4 PAVIMENTOS (2 MONTAGENS). AF_03/2024</t>
  </si>
  <si>
    <t>GUARDA-CORPO EM LAJE PÓS-DESFÔRMA COM CABOS DE AÇO E FECHAMENTO EM TELA DE POLIPROPILENO (SISTEMA DE BARREIRA COM REDE) PARA EDIFÍCIOS COM ATÉ 4 PAVIMENTOS (1 MONTAGEM). AF_03/2024</t>
  </si>
  <si>
    <t>GUARDA-CORPO EM LAJE PÓS-DESFÔRMA COM ESCORAS METÁLICAS ESTRONCADAS NA ESTRUTURA E FECHAMENTO EM PAINEL DE TELA METÁLICA PARA EDIFÍCIOS ACIMA DE 4 PAVIMENTOS (2 MONTAGENS). AF_03/2024</t>
  </si>
  <si>
    <t>GUARDA-CORPO EM LAJE PÓS-DESFÔRMA COM ESCORAS METÁLICAS ESTRONCADAS NA ESTRUTURA E FECHAMENTO EM PAINEL DE TELA METÁLICA PARA EDIFÍCIOS COM ATÉ 4 PAVIMENTOS (1 MONTAGEM). AF_03/2024</t>
  </si>
  <si>
    <t>GUARDA-CORPO EM LAJE PÓS-DESFÔRMA COM MONTANTE METÁLICO FIXADO COM BARRAS DE AÇO ENGASTADAS NA LAJE, CABOS DE AÇO E FECHAMENTO EM TELA DE POLIPROPILENO PARA EDIFÍCIOS ACIMA DE 4 PAVIMENTOS (2 MONTAGENS). AF_03/2024</t>
  </si>
  <si>
    <t>GUARDA-CORPO EM LAJE PÓS-DESFÔRMA COM MONTANTE METÁLICO FIXADO COM BARRAS DE AÇO ENGASTADAS NA LAJE, CABOS DE AÇO E FECHAMENTO EM TELA DE POLIPROPILENO PARA EDIFÍCIOS COM ATÉ 4 PAVIMENTOS (1 MONTAGEM). AF_03/2024</t>
  </si>
  <si>
    <t>GUARDA-CORPO EM LAJE PÓS-DESFÔRMA COM MONTANTE METÁLICO FIXADO COM BARRAS DE AÇO ENGASTADAS NA LAJE, TRAVESSÃO EM MADEIRA E FECHAMENTO EM TELA DE POLIPROPILENO PARA EDIFÍCIOS ACIMA DE 4 PAVIMENTOS (2 MONTAGENS). AF_03/2024</t>
  </si>
  <si>
    <t>GUARDA-CORPO EM LAJE PÓS-DESFÔRMA COM MONTANTE METÁLICO FIXADO COM BARRAS DE AÇO ENGASTADAS NA LAJE, TRAVESSÃO EM MADEIRA E FECHAMENTO EM TELA DE POLIPROPILENO PARA EDIFÍCIOS COM ATÉ 4 PAVIMENTOS (1 MONTAGEM). AF_03/2024</t>
  </si>
  <si>
    <t>GUARDA-CORPO EM LAJE PÓS-DESFÔRMA COM MONTANTE METÁLICO FIXADO EM VIGA DE BORDA E FECHAMENTO EM PAINEL DE TELA METÁLICA PARA EDIFÍCIOS ACIMA DE 4 PAVIMENTOS (2 MONTAGENS). AF_03/2024</t>
  </si>
  <si>
    <t>GUARDA-CORPO EM LAJE PÓS-DESFÔRMA, PARA ESTRUTURAS EM CONCRETO, COM MONTANTE METÁLICO FIXADO EM VIGA DE BORDA E FECHAMENTO EM PAINEL DE TELA METÁLICA PARA EDIFÍCIOS COM ATÉ 4 PAVIMENTOS (1 MONTAGEM). AF_03/2024</t>
  </si>
  <si>
    <t>GUARDA-CORPO PARA ALVENARIA ESTRUTURAL, COM MONTANTE METÁLICO PARA DOIS NÍVEIS DE PROTEÇÃO E FECHAMENTO EM PAINEL DE TELA METÁLICA PARA EDIFÍCIOS ACIMA DE 8 PAVIMENTOS. AF_03/2024</t>
  </si>
  <si>
    <t>GUARDA-CORPO PARA ALVENARIA ESTRUTURAL, COM MONTANTE METÁLICO PARA DOIS NÍVEIS DE PROTEÇÃO E FECHAMENTO EM PAINEL DE TELA METÁLICA PARA EDIFÍCIOS COM ALTURA DE 5 A 8 PAVIMENTOS. AF_03/2024</t>
  </si>
  <si>
    <t>GUARDA-CORPO PARA ALVENARIA ESTRUTURAL, COM MONTANTE METÁLICO PARA DOIS NÍVEIS DE PROTEÇÃO E FECHAMENTO EM PAINEL DE TELA METÁLICA PARA EDIFÍCIOS COM ATÉ 4 PAVIMENTOS. AF_03/2024</t>
  </si>
  <si>
    <t>INSTALAÇÃO DE GAMBIARRA PARA SINALIZAÇÃO, INCLUINDO LÂMPADA, E SINALIZADOR. AF_03/2024</t>
  </si>
  <si>
    <t>LINHA DE VIDA INSTALADA JUNTO AO PISO PARA EDIFÍCIOS ACIMA DE 8 PAVIMENTOS. AF_03/2024</t>
  </si>
  <si>
    <t>LINHA DE VIDA INSTALADA JUNTO AO PISO PARA EDIFÍCIOS DE 5 A 8 PAVIMENTOS. AF_03/2024</t>
  </si>
  <si>
    <t>LINHA DE VIDA INSTALADA JUNTO AO PISO PARA EDIFÍCIOS DE ATÉ 4 PAVIMENTOS. AF_03/2024</t>
  </si>
  <si>
    <t>LINHA DE VIDA TIPO VARAL DE SEGURANÇA COM CABO DE AÇO PARA PROTEÇÃO DE PERIFERIA PARA EDIFÍCIOS ACIMA DE 8 PAVIMENTOS. AF_03/2024</t>
  </si>
  <si>
    <t>LINHA DE VIDA TIPO VARAL DE SEGURANÇA COM CABO DE AÇO PARA PROTEÇÃO DE PERIFERIA PARA EDIFÍCIOS DE 5 A 8 PAVIMENTOS. AF_03/2024</t>
  </si>
  <si>
    <t>LINHA DE VIDA TIPO VARAL DE SEGURANÇA COM CABO DE AÇO PARA PROTEÇÃO DE PERIFERIA PARA EDIFÍCIOS DE ATÉ 4 PAVIMENTOS. AF_03/2024</t>
  </si>
  <si>
    <t>PLACA INDICATIVA FIXADA DIRETAMENTE NA ESTRUTURA ATRAVÉS DE PREGOS. AF_03/2024</t>
  </si>
  <si>
    <t>PLATAFORMA DE PROTEÇÃO PRINCIPAL (PRIMÁRIA) PARA COLETA DE RESÍDUOS COM ESTRUTURA METÁLICA E FORRAÇÃO EM TÁBUA DE MADEIRA SERRADA - 1 MONTAGEM POR OBRA. AF_03/2024</t>
  </si>
  <si>
    <t>PLATAFORMA DE PROTEÇÃO PRINCIPAL (PRIMÁRIA) PARA COLETA DE RESÍDUOS COM ESTRUTURA METÁLICA E FORRAÇÃO EM TÁBUA DE MADEIRA SERRADA - 2 MONTAGENS POR OBRA. AF_03/2024</t>
  </si>
  <si>
    <t>PLATAFORMA DE PROTEÇÃO PRINCIPAL (PRIMÁRIA) PARA COLETA DE RESÍDUOS COM ESTRUTURA METÁLICA E TRAMA DE MADEIRA FORRADA EM PAINEL COMPENSADO - 1 MONTAGEM POR OBRA. AF_03/2024</t>
  </si>
  <si>
    <t>PLATAFORMA DE PROTEÇÃO PRINCIPAL (PRIMÁRIA) PARA COLETA DE RESÍDUOS COM ESTRUTURA METÁLICA E TRAMA DE MADEIRA FORRADA EM PAINEL COMPENSADO - 2 MONTAGENS POR OBRA. AF_03/2024</t>
  </si>
  <si>
    <t>PLATAFORMA DE PROTEÇÃO SECUNDÁRIA PARA COLETA DE RESÍDUOS COM ESTRUTURA METÁLICA E FORRAÇÃO EM TÁBUA DE MADEIRA SERRADA - 1 MONTAGEM POR OBRA. AF_03/2024</t>
  </si>
  <si>
    <t>PLATAFORMA DE PROTEÇÃO SECUNDÁRIA PARA COLETA DE RESÍDUOS COM ESTRUTURA METÁLICA E FORRAÇÃO EM TÁBUA DE MADEIRA SERRADA - 2 MONTAGENS POR OBRA. AF_03/2024</t>
  </si>
  <si>
    <t>PLATAFORMA DE PROTEÇÃO SECUNDÁRIA PARA COLETA DE RESÍDUOS COM ESTRUTURA METÁLICA E FORRAÇÃO EM TÁBUA DE MADEIRA SERRADA - 3 MONTAGENS POR OBRA. AF_03/2024</t>
  </si>
  <si>
    <t>PLATAFORMA DE PROTEÇÃO SECUNDÁRIA PARA COLETA DE RESÍDUOS COM ESTRUTURA METÁLICA E TRAMA DE MADEIRA FORRADA EM PAINEL COMPENSADO - 1 MONTAGEM POR OBRA. AF_03/2024</t>
  </si>
  <si>
    <t>PLATAFORMA DE PROTEÇÃO SECUNDÁRIA PARA COLETA DE RESÍDUOS COM ESTRUTURA METÁLICA E TRAMA DE MADEIRA FORRADA EM PAINEL COMPENSADO - 2 MONTAGENS POR OBRA. AF_03/2024</t>
  </si>
  <si>
    <t>PLATAFORMA DE PROTEÇÃO SECUNDÁRIA PARA COLETA DE RESÍDUOS COM ESTRUTURA METÁLICA E TRAMA DE MADEIRA FORRADA EM PAINEL COMPENSADO - 3 MONTAGENS POR OBRA. AF_03/2024</t>
  </si>
  <si>
    <t>PLATAFORMA DE PROTEÇÃO TERCIÁRIA PARA COLETA DE RESÍDUOS COM ESTRUTURA METÁLICA E FORRAÇÃO EM TÁBUA DE MADEIRA SERRADA - 1 MONTAGEM POR OBRA. AF_03/2024</t>
  </si>
  <si>
    <t>PLATAFORMA DE PROTEÇÃO TERCIÁRIA PARA COLETA DE RESÍDUOS COM ESTRUTURA METÁLICA E FORRAÇÃO EM TÁBUA DE MADEIRA SERRADA - 2 MONTAGENS POR OBRA. AF_03/2024</t>
  </si>
  <si>
    <t>PLATAFORMA DE PROTEÇÃO TERCIÁRIA PARA COLETA DE RESÍDUOS COM ESTRUTURA METÁLICA E TRAMA DE MADEIRA FORRADA EM PAINEL COMPENSADO - 1 MONTAGEM POR OBRA. AF_03/2024</t>
  </si>
  <si>
    <t>PLATAFORMA DE PROTEÇÃO TERCIÁRIA PARA COLETA DE RESÍDUOS COM ESTRUTURA METÁLICA E TRAMA DE MADEIRA FORRADA EM PAINEL COMPENSADO - 2 MONTAGENS POR OBRA. AF_03/2024</t>
  </si>
  <si>
    <t>REDE DE PROTEÇÃO PISO A PISO (SISTEMA U). AF_03/2024</t>
  </si>
  <si>
    <t>REDE DE PROTEÇÃO TIPO SLQA INTERMEDIÁRIO PARA EDIFÍCIOS ACIMA DE 8 PAVIMENTOS. AF_03/2024</t>
  </si>
  <si>
    <t>REDE DE PROTEÇÃO TIPO SLQA INTERMEDIÁRIO PARA EDIFÍCIOS DE 5 A 8 PAVIMENTOS. AF_03/2024</t>
  </si>
  <si>
    <t>REDE DE PROTEÇÃO TIPO SLQA INTERMEDIÁRIO PARA EDIFÍCIOS DE ATÉ 4 PAVIMENTOS. AF_03/2024</t>
  </si>
  <si>
    <t>REDE DE PROTEÇÃO TIPO SLQA PESADO COM SUPORTES METÁLICOS TIPO FORCA PARA EDIFÍCIOS DE 5 A 8 PAVIMENTOS. AF_03/2024</t>
  </si>
  <si>
    <t>REDE DE PROTEÇÃO TIPO SLQA PESADO COM SUPORTES METÁLICOS TIPO FORCA PARA EDIFÍCIOS DE ACIMA DE 8 PAVIMENTOS. AF_03/2024</t>
  </si>
  <si>
    <t>REDE DE PROTEÇÃO TIPO SLQA PESADO COM SUPORTES METÁLICOS TIPO FORCA PARA EDIFÍCIOS DE ATÉ 4 PAVIMENTOS. AF_03/2024</t>
  </si>
  <si>
    <t>SINALIZAÇÃO COM FITA FIXADA EM CONE PLÁSTICO, INCLUINDO CONE. AF_03/2024</t>
  </si>
  <si>
    <t>SISTEMA DE PROTEÇÃO PARA PILARES DE PERIFERIA. AF_03/2024</t>
  </si>
  <si>
    <t>TOTEN EM MADEIRA COM PLACA INDICATIVA POSICIONADA NO TERRENO. AF_03/2024</t>
  </si>
  <si>
    <t>ESCADA HELICOIDAL EM AÇO GALVANIZADO, DIAMETRO DE 1,2 M, DOTADA DE GUARDA-CORPO, FIXADA COM CHUMBADOR MECÂNICO. AF_11/2020</t>
  </si>
  <si>
    <t>ESCADA TIPO MARINHEIRO EM TUBO ACO GALVANIZADO 1 1/2", COM GUARDA-CORPO, PARA ALTURAS MAIORES QUE 3 M, FIXADA COM CHUMBADOR MECÂNICO. AF_11/2020</t>
  </si>
  <si>
    <t>ESCADA TIPO MARINHEIRO EM TUBO ACO GALVANIZADO 1 1/2", SEM GUARDA-CORPO, FIXADA COM CHUMBADOR MECÂNICO. AF_11/2020</t>
  </si>
  <si>
    <t>ESCADA TIPO MARINHEIRO EM TUBO AÇO GALVANIZADO 1 1/2", COM GUARDA-CORPO, PARA ALTURAS DE ATÉ 3 M, FIXADA COM CHUMBADOR MECÂNICO. AF_11/2020</t>
  </si>
  <si>
    <t>DESMONTE DE MATERIAL DE 3ª CATEGORIA, COM USO DE ARGAMASSA EXPANSIVA - EXCLUSIVE CARGA E TRANSPORTE. AF_03/2021</t>
  </si>
  <si>
    <t>DESMONTE DE MATERIAL DE 3ª CATEGORIA, COM USO DE ARGAMASSA EXPANSIVA, EM VALA - EXCLUSIVE RETIRADA, CARGA E TRANSPORTE. AF_03/2021</t>
  </si>
  <si>
    <t>DESMONTE DE MATERIAL DE 3ª CATEGORIA, COM USO DE EMULSÃO EXPLOSIVA ENCARTUCHADA - EXCLUSIVE CARGA E TRANSPORTE. AF_03/2021</t>
  </si>
  <si>
    <t>ESCAVAÇÃO DE VALA EM MATERIAL DE 3ª CATEGORIA, RESISTÊNCIA À COMPRESSÃO MAIOR OU IGUAL A 50 MPA, COM ROMPEDOR ACOPLADO EM ESCAVADEIRA HIDRÁULICA - EXCLUSIVE RETIRADA, CARGA E TRANSPORTE. AF_03/2021</t>
  </si>
  <si>
    <t>ESCAVAÇÃO DE VALA EM MATERIAL DE 3ª CATEGORIA, RESISTÊNCIA À COMPRESSÃO MENOR QUE 50 MPA, COM ROMPEDOR ACOPLADO EM ESCAVADEIRA HIDRÁULICA - EXCLUSIVE RETIRADA, CARGA E TRANSPORTE. AF_03/2021</t>
  </si>
  <si>
    <t>ESCAVAÇÃO DE VALA EM MATERIAL DE 3ª CATEGORIA, RESISTÊNCIA À COMPRESSÃO MENOR QUE 50 MPA, COM ROMPEDOR ACOPLADO EM RETROESCAVADEIRA - EXCLUSIVE RETIRADA CARGA E TRANSPORTE. AF_03/2021</t>
  </si>
  <si>
    <t>ESCAVAÇÃO EM MATERIAL DE 3ª CATEGORIA, RESISTÊNCIA À COMPRESSÃO MAIOR OU IGUAL A 50 MPA E MENOR QUE 70 MPA, COM ROMPEDOR ACOPLADO EM ESCAVADEIRA HIDRÁULICA - EXCLUSIVE CARGA E TRANSPORTE. AF_03/2021</t>
  </si>
  <si>
    <t>ESCAVAÇÃO EM MATERIAL DE 3ª CATEGORIA, RESISTÊNCIA À COMPRESSÃO MAIOR OU IGUAL A 70 MPA E MENOR QUE 90 MPA, COM ROMPEDOR ACOPLADO EM ESCAVADEIRA HIDRÁULICA - EXCLUSIVE CARGA E TRANSPORTE. AF_03/2021</t>
  </si>
  <si>
    <t>ESCAVAÇÃO EM MATERIAL DE 3ª CATEGORIA, RESISTÊNCIA À COMPRESSÃO MAIOR OU IGUAL A 90 MPA E MENOR QUE 110 MPA, COM ROMPEDOR ACOPLADO EM ESCAVADEIRA HIDRÁULICA - EXCLUSIVE CARGA E TRANSPORTE. AF_03/2021</t>
  </si>
  <si>
    <t>ESCAVAÇÃO EM MATERIAL DE 3ª CATEGORIA, RESISTÊNCIA À COMPRESSÃO MAIOR QUE 110 MPA, COM ROMPEDOR ACOPLADO EM ESCAVADEIRA HIDRÁULICA - EXCLUSIVE CARGA E TRANSPORTE. AF_03/2021</t>
  </si>
  <si>
    <t>ESCAVAÇÃO EM MATERIAL DE 3ª CATEGORIA, RESISTÊNCIA À COMPRESSÃO MENOR QUE 50 MPA, COM ROMPEDOR ACOPLADO EM ESCAVADEIRA HIDRÁULICA - EXCLUSIVE CARGA E TRANSPORTE. AF_03/2021</t>
  </si>
  <si>
    <t>ESCORAMENTO DE VALA, TIPO BLINDADEM, COM PROFUNDIDADE DE 0 A 1,5 M, LARGURA MAIOR OU IGUAL A 1,5 M E MENOR QUE 2,5 M - EXECUÇÃO E FORNECIMENTO, INCLUI MATERIAL. AF_08/2020</t>
  </si>
  <si>
    <t>ESCORAMENTO DE VALA, TIPO BLINDAGEM, COM PROFUNDIDADE DE 0 A 1,5 M, LARGURA MENOR QUE 1,5 M - EXECUÇÃO E FORNECIMENTO, INCLUI MATERIAL. AF_08/2020</t>
  </si>
  <si>
    <t>ESCORAMENTO DE VALA, TIPO BLINDAGEM, COM PROFUNDIDADE DE 1,5 A 3,0 M, LARGURA MAIOR OU IGUAL A 1,5 M E MENOR QUE 2,5 M - EXECUÇÃO E FORNECIMENTO, INCLUI MATERIAL. AF_08/2020</t>
  </si>
  <si>
    <t>ESCORAMENTO DE VALA, TIPO BLINDAGEM, COM PROFUNDIDADE DE 1,5 A 3,0 M, LARGURA MENOR QUE 1,5 M - EXECUÇÃO E FORNECIMENTO, INCLUI MATERIAL. AF_08/2020</t>
  </si>
  <si>
    <t>ESCORAMENTO DE VALA, TIPO BLINDAGEM, COM PROFUNDIDADE DE 3,0 A 4,5 M, LARGURA MAIOR OU IGUAL A 1,5 M E MENOR QUE 2,5 M - EXECUÇÃO E FORNECIMENTO, INCLUI MATERIAL. AF_08/2020</t>
  </si>
  <si>
    <t>ESCORAMENTO DE VALA, TIPO BLINDAGEM, COM PROFUNDIDADE DE 3,0 A 4,5 M, LARGURA MENOR QUE 1,5 M - EXECUÇÃO E FORNECIMENTO, INCLUI MATERIAL. AF_08/2020</t>
  </si>
  <si>
    <t>ESCORAMENTO DE VALA, TIPO ESTACA PRANCHA METÁLICA CRAVADA, COM PROFUNDIDADE DE 0 A 1,5 M. AF_08/2020</t>
  </si>
  <si>
    <t>ESCORAMENTO DE VALA, TIPO ESTACA PRANCHA METÁLICA CRAVADA, COM PROFUNDIDADE DE 1,5 A 3 M. AF_08/2020</t>
  </si>
  <si>
    <t>ESCORAMENTO DE VALA, TIPO ESTACA PRANCHA METÁLICA CRAVADA, COM PROFUNDIDADE DE 3 A 4,5 M. AF_08/2020</t>
  </si>
  <si>
    <t>FABRICAÇÃO DE CONJUNTO DE MÓDULO METÁLICO, COMPRIMENTO DE 3,0 M E ALTURA DE 1,8 M (ESTRONCAS DE 2,00 M). AF_08/2020</t>
  </si>
  <si>
    <t>FABRICAÇÃO DE CONJUNTO DE MÓDULO METÁLICO, COMPRIMENTO DE 3,0 M E ALTURA DE 2,4 M (ESTRONCAS DE 1,00 M). AF_08/2020</t>
  </si>
  <si>
    <t>FABRICAÇÃO DE CONJUNTO DE MÓDULO METÁLICO, COMPRIMENTO DE 3,0 M E ALTURA DE 2,4 M (ESTRONCAS DE 2,00 M). AF_08/2020</t>
  </si>
  <si>
    <t>FABRICAÇÃO DE CONJUNTO DE MÓDULO METÁLICO, COMPRIMENTO DE 3,6 M E ALTURA DE 3,0 M (ESTRONCAS DE 1,00 M). AF_08/2020</t>
  </si>
  <si>
    <t>INSTALAÇÃO DE SISTEMA DE REBAIXAMENTO DE LENÇOL FREÁTICO POR POÇOS PROFUNDOS, DIÂMETRO DO POÇO DE 400 MM (EXCLUI O FORNECIMENTO E FUNCIONAMENTO DE BOMBAS). AF_12/2022</t>
  </si>
  <si>
    <t>INSTALAÇÃO DE TUBULAÇÃO (GEOMECÂNICA E DE SUCÇÃO) PARA SISTEMA DE REBAIXAMENTO DE LENÇOL FREÁTICO POR POÇOS PROFUNDOS COM BOMBA SUBMERSA, DIÂMETRO DO POÇO DE 400 MM. AF_12/2022</t>
  </si>
  <si>
    <t>INSTALAÇÃO E DESINSTALAÇÃO DE MANGOTES PARA SISTEMA DE REBAIXAMENTO DE LENÇOL FREÁTICO POR PONTEIRAS FILTRANTES. AF_12/2022</t>
  </si>
  <si>
    <t>INSTALAÇÃO E DESINSTALAÇÃO DE SISTEMA DE REBAIXAMENTO DE LENÇOL FREÁTICO POR PONTEIRAS FILTRANTES PARA OBRAS ESTACIONÁRIAS (EXCLUI O FORNECIMENTO E FUNCIONAMENTO DE BOMBAS). AF_12/2022</t>
  </si>
  <si>
    <t>INSTALAÇÃO E DESINSTALAÇÃO DE SISTEMA DE REBAIXAMENTO DE LENÇOL FREÁTICO POR PONTEIRAS FILTRANTES PARA OBRAS ITINERANTES (EXCLUI O FORNECIMENTO E FUNCIONAMENTO DE BOMBAS). AF_12/2022</t>
  </si>
  <si>
    <t>INSTALAÇÃO E DESINSTALAÇÃO DE TUBO COLETOR DE PVC, DIÂMETRO DE 100 MM, PARA SISTEMA DE REBAIXAMENTO DE LENÇOL FREÁTICO POR PONTEIRAS FILTRANTES. AF_12/2022</t>
  </si>
  <si>
    <t>PERFURAÇÃO DE SOLO, INSTALAÇÃO E DESINSTALAÇÃO DE PONTEIRAS PARA SISTEMA DE REBAIXAMENTO DE LENÇOL FREÁTICO POR PONTEIRAS FILTRANTES EM OBRAS ESTACIONÁRIAS. AF_12/2022</t>
  </si>
  <si>
    <t>PERFURAÇÃO DE SOLO, INSTALAÇÃO E DESINSTALAÇÃO DE PONTEIRAS PARA SISTEMA DE REBAIXAMENTO DE LENÇOL FREÁTICO POR PONTEIRAS FILTRANTES EM OBRAS ITINERANTES. AF_12/2022</t>
  </si>
  <si>
    <t>BATENTE DE AÇO GALVANIZADO, COM PERFIL PRÉ-FABRICADO, FIXADO COM ARGAMASSA, COM SOLDA, GRAPAS E FUROS PARA FERRAGENS INCLUSOS. AF_12/2019</t>
  </si>
  <si>
    <t>ESTACA STRAUSS, DIÂMETRO DE 25CM, COM ARMADURA DE ARRANQUE (EXCLUSIVE MOBILIZAÇÃO E DESMOBILIZAÇÃO). AF_05/2020</t>
  </si>
  <si>
    <t>ESTACA STRAUSS, DIÂMETRO DE 32CM, COM ARMADURA DE ARRANQUE (EXCLUSIVE MOBILIZAÇÃO E DESMOBILIZAÇÃO). AF_05/2020</t>
  </si>
  <si>
    <t>ESTACA STRAUSS, DIÂMETRO DE 38CM, COM ARMADURA DE ARRANQUE (EXCLUSIVE MOBILIZAÇÃO E DESMOBILIZAÇÃO). AF_05/2020</t>
  </si>
  <si>
    <t>ESTACA METÁLICA PARA FUNDAÇÃO, UTILIZANDO PERFIL LAMINADO HP310X125 (EXCLUSIVE MOBILIZAÇÃO E DESMOBILIZAÇÃO). AF_01/2020</t>
  </si>
  <si>
    <t>FORNECIMENTO E MONTAGEM DE ESCADAS PRÉ-FABRICADAS, INCLUSO IÇAMENTO COM GUINDASTE. AF_03/2024</t>
  </si>
  <si>
    <t>FORNECIMENTO E MONTAGEM DE LAJES ALVEOLARES PRÉ-FABRICADAS, INCLUSO IÇAMENTO COM GUINDASTE. AF_03/2024</t>
  </si>
  <si>
    <t>FORNECIMENTO E MONTAGEM DE LAJES DUPLO T (PI) PRÉ-FABRICADAS, INCLUSO IÇAMENTO COM GUINDASTE. AF_03/2024</t>
  </si>
  <si>
    <t>FORNECIMENTO E MONTAGEM DE PAINÉIS ESTRUTURAIS PRÉ-FABRICADOS, INCLUSO IÇAMENTO COM GUINDASTE. AF_03/2024</t>
  </si>
  <si>
    <t>FORNECIMENTO E MONTAGEM DE PILARES PRÉ-FABRICADOS, INCLUSO IÇAMENTO COM GUINDASTE. AF_03/2024</t>
  </si>
  <si>
    <t>FORNECIMENTO E MONTAGEM DE PRÉ-LAJE TRELIÇADA PRÉ-FABRICADAS, INCLUSO IÇAMENTO COM GUINDASTE. AF_03/2024</t>
  </si>
  <si>
    <t>FORNECIMENTO E MONTAGEM DE TERÇAS PRÉ-FABRICADAS, INCLUSO IÇAMENTO COM GUINDASTE. AF_03/2024</t>
  </si>
  <si>
    <t>FORNECIMENTO E MONTAGEM DE TESOURAS PRÉ-FABRICADAS, INCLUSO IÇAMENTO COM GUINDASTE. AF_03/2024</t>
  </si>
  <si>
    <t>FORNECIMENTO E MONTAGEM DE VIGAS CALHA PRÉ-FABRICADAS, INCLUSO IÇAMENTO COM GUINDASTE. AF_03/2024</t>
  </si>
  <si>
    <t>FORNECIMENTO E MONTAGEM DE VIGAS PRÉ-FABRICADAS, INCLUSO IÇAMENTO COM GUINDASTE. AF_03/2024</t>
  </si>
  <si>
    <t>CONTENÇÃO EM PERFIL PRANCHADO COM PAINEL TRELIÇADO DUPLA FACE DE CONCRETO PRÉ-FABRICADO, PERFIS ESPAÇADOS A 1,5 M PARA 1 SUBSOLO. AF_11/2024</t>
  </si>
  <si>
    <t>CONTENÇÃO EM PERFIL PRANCHADO COM PAINEL TRELIÇADO DUPLA FACE DE CONCRETO PRÉ-FABRICADO, PERFIS ESPAÇADOS A 1,5 M PARA 2 OU MAIS SUBSOLOS. AF_11/2024</t>
  </si>
  <si>
    <t>CONTENÇÃO EM PERFIL PRANCHADO COM PAINEL TRELIÇADO DUPLA FACE DE CONCRETO PRÉ-FABRICADO, PERFIS ESPAÇADOS A 2 M PARA 1 SUBSOLO. AF_11/2024</t>
  </si>
  <si>
    <t>CONTENÇÃO EM PERFIL PRANCHADO COM PAINEL TRELIÇADO DUPLA FACE DE CONCRETO PRÉ-FABRICADO, PERFIS ESPAÇADOS A 2 M PARA 2 OU MAIS SUBSOLOS. AF_11/2024</t>
  </si>
  <si>
    <t>CONTENÇÃO EM PERFIL PRANCHADO COM PRANCHÃO DE MADEIRA, PERFIS ESPAÇADOS A 1,5 M PARA 1 SUBSOLO. AF_11/2024</t>
  </si>
  <si>
    <t>CONTENÇÃO EM PERFIL PRANCHADO COM PRANCHÃO DE MADEIRA, PERFIS ESPAÇADOS A 1,5 M PARA 2 OU MAIS SUBSOLOS. AF_11/2024</t>
  </si>
  <si>
    <t>CONTENÇÃO EM PERFIL PRANCHADO COM PRANCHÃO DE MADEIRA, PERFIS ESPAÇADOS A 2 M PARA 1 SUBSOLO. AF_11/2024</t>
  </si>
  <si>
    <t>CONTENÇÃO EM PERFIL PRANCHADO COM PRANCHÃO DE MADEIRA, PERFIS ESPAÇADOS A 2 M PARA 2 OU MAIS SUBSOLOS. AF_11/2024</t>
  </si>
  <si>
    <t>MURO DE ARRIMO COM BLOCOS DE CONCRETO ESTRUTURAL, ATÉ 1,6 M DE ALTURA (EXCETO FUNDAÇÃO). AF_11/2024</t>
  </si>
  <si>
    <t>PILAR DE MADEIRA ROLIÇA, EUCALIPTO OU EQUIVALENTE DA REGIÃO, FIXADO COM PORTA PILAR METÁLICO, DIÂMETRO DE 12 A 15 CM, APOIO ARTICULADO, COMPRIMENTO DE 3 M. AF_03/2024</t>
  </si>
  <si>
    <t>PILAR DE MADEIRA ROLIÇA, EUCALIPTO OU EQUIVALENTE DA REGIÃO, FIXADO COM PORTA PILAR METÁLICO, DIÂMETRO DE 12 A 15 CM, APOIO ARTICULADO, COMPRIMENTO DE 6 M. AF_03/2024</t>
  </si>
  <si>
    <t>PILAR DE MADEIRA ROLIÇA, EUCALIPTO OU EQUIVALENTE DA REGIÃO, FIXADO COM PORTA PILAR METÁLICO, DIÂMETRO DE 12 A 15 CM, APOIO ENGASTADO, COMPRIMENTO DE 3 M. AF_03/2024</t>
  </si>
  <si>
    <t>PILAR DE MADEIRA ROLIÇA, EUCALIPTO OU EQUIVALENTE DA REGIÃO, FIXADO COM PORTA PILAR METÁLICO, DIÂMETRO DE 12 A 15 CM, APOIO ENGASTADO, COMPRIMENTO DE 6 M. AF_03/2024</t>
  </si>
  <si>
    <t>PILAR DE MADEIRA ROLIÇA, EUCALIPTO OU EQUIVALENTE DA REGIÃO, FIXADO COM PORTA PILAR METÁLICO, DIÂMETRO DE 16 A 20 CM, APOIO ARTICULADO, COMPRIMENTO DE 3 M. AF_03/2024</t>
  </si>
  <si>
    <t>PILAR DE MADEIRA ROLIÇA, EUCALIPTO OU EQUIVALENTE DA REGIÃO, FIXADO COM PORTA PILAR METÁLICO, DIÂMETRO DE 16 A 20 CM, APOIO ARTICULADO, COMPRIMENTO DE 6 M. AF_03/2024</t>
  </si>
  <si>
    <t>PILAR DE MADEIRA ROLIÇA, EUCALIPTO OU EQUIVALENTE DA REGIÃO, FIXADO COM PORTA PILAR METÁLICO, DIÂMETRO DE 16 A 20 CM, APOIO ENGASTADO, COMPRIMENTO DE 3 M. AF_03/2024</t>
  </si>
  <si>
    <t>PILAR DE MADEIRA ROLIÇA, EUCALIPTO OU EQUIVALENTE DA REGIÃO, FIXADO COM PORTA PILAR METÁLICO, DIÂMETRO DE 16 A 20 CM, APOIO ENGASTADO, COMPRIMENTO DE 6 M. AF_03/2024</t>
  </si>
  <si>
    <t>PILAR DE MADEIRA ROLIÇA, EUCALIPTO OU EQUIVALENTE DA REGIÃO, FIXADO COM PORTA PILAR METÁLICO, DIÂMETRO DE 21 A 29 CM, APOIO ARTICULADO, COMPRIMENTO DE 3 M. AF_03/2024</t>
  </si>
  <si>
    <t>PILAR DE MADEIRA ROLIÇA, EUCALIPTO OU EQUIVALENTE DA REGIÃO, FIXADO COM PORTA PILAR METÁLICO, DIÂMETRO DE 21 A 29 CM, APOIO ARTICULADO, COMPRIMENTO DE 6 M. AF_03/2024</t>
  </si>
  <si>
    <t>PILAR DE MADEIRA ROLIÇA, EUCALIPTO OU EQUIVALENTE DA REGIÃO, FIXADO COM PORTA PILAR METÁLICO, DIÂMETRO DE 21 A 29 CM, APOIO ENGASTADO, COMPRIMENTO DE 3 M. AF_03/2024</t>
  </si>
  <si>
    <t>PILAR DE MADEIRA ROLIÇA, EUCALIPTO OU EQUIVALENTE DA REGIÃO, FIXADO COM PORTA PILAR METÁLICO, DIÂMETRO DE 21 A 29 CM, APOIO ENGASTADO, COMPRIMENTO DE 6 M. AF_03/2024</t>
  </si>
  <si>
    <t>PILAR DE MADEIRA ROLIÇA, EUCALIPTO OU EQUIVALENTE DA REGIÃO, FIXADO COM PORTA PILAR METÁLICO, DIÂMETRO DE 30 A 34 CM, APOIO ARTICULADO, COMPRIMENTO DE 3 M. AF_03/2024</t>
  </si>
  <si>
    <t>PILAR DE MADEIRA ROLIÇA, EUCALIPTO OU EQUIVALENTE DA REGIÃO, FIXADO COM PORTA PILAR METÁLICO, DIÂMETRO DE 30 A 34 CM, APOIO ARTICULADO, COMPRIMENTO DE 6 M. AF_03/2024</t>
  </si>
  <si>
    <t>PILAR DE MADEIRA ROLIÇA, EUCALIPTO OU EQUIVALENTE DA REGIÃO, FIXADO COM PORTA PILAR METÁLICO, DIÂMETRO DE 30 A 34 CM, APOIO ENGASTADO, COMPRIMENTO DE 3 M. AF_03/2024</t>
  </si>
  <si>
    <t>PILAR DE MADEIRA ROLIÇA, EUCALIPTO OU EQUIVALENTE DA REGIÃO, FIXADO COM PORTA PILAR METÁLICO, DIÂMETRO DE 30 A 34 CM, APOIO ENGASTADO, COMPRIMENTO DE 6 M. AF_03/2024</t>
  </si>
  <si>
    <t>PILAR DE MADEIRA SERRADA, MAÇARANDUBA OU EQUIVALENTE DA REGIÃO, NÃO APARELHADO, FIXADO COM PORTA PILAR METÁLICO, SEÇÃO QUADRADA 10 X 10 CM, APOIO ARTICULADO, COMPRIMENTO DE 3 M. AF_03/2024</t>
  </si>
  <si>
    <t>PILAR DE MADEIRA SERRADA, MAÇARANDUBA OU EQUIVALENTE DA REGIÃO, NÃO APARELHADO, FIXADO COM PORTA PILAR METÁLICO, SEÇÃO QUADRADA 10 X 10 CM, APOIO ARTICULADO, COMPRIMENTO DE 6 M. AF_03/2024</t>
  </si>
  <si>
    <t>PILAR DE MADEIRA SERRADA, MAÇARANDUBA OU EQUIVALENTE DA REGIÃO, NÃO APARELHADO, FIXADO COM PORTA PILAR METÁLICO, SEÇÃO QUADRADA 10 X 10 CM, APOIO ENGASTADO, COMPRIMENTO DE 3 M. AF_03/2024</t>
  </si>
  <si>
    <t>PILAR DE MADEIRA SERRADA, MAÇARANDUBA OU EQUIVALENTE DA REGIÃO, NÃO APARELHADO, FIXADO COM PORTA PILAR METÁLICO, SEÇÃO QUADRADA 10 X 10 CM, APOIO ENGASTADO, COMPRIMENTO DE 6 M. AF_03/2024</t>
  </si>
  <si>
    <t>PILAR DE MADEIRA SERRADA, MAÇARANDUBA OU EQUIVALENTE DA REGIÃO, NÃO APARELHADO, FIXADO COM PORTA PILAR METÁLICO, SEÇÃO QUADRADA 15 X 15 CM, APOIO ARTICULADO, COMPRIMENTO DE 3 M. AF_03/2024</t>
  </si>
  <si>
    <t>PILAR DE MADEIRA SERRADA, MAÇARANDUBA OU EQUIVALENTE DA REGIÃO, NÃO APARELHADO, FIXADO COM PORTA PILAR METÁLICO, SEÇÃO QUADRADA 15 X 15 CM, APOIO ARTICULADO, COMPRIMENTO DE 6 M. AF_03/2024</t>
  </si>
  <si>
    <t>PILAR DE MADEIRA SERRADA, MAÇARANDUBA OU EQUIVALENTE DA REGIÃO, NÃO APARELHADO, FIXADO COM PORTA PILAR METÁLICO, SEÇÃO QUADRADA 15 X 15 CM, APOIO ENGASTADO, COMPRIMENTO DE 3 M. AF_03/2024</t>
  </si>
  <si>
    <t>PILAR DE MADEIRA SERRADA, MAÇARANDUBA OU EQUIVALENTE DA REGIÃO, NÃO APARELHADO, FIXADO COM PORTA PILAR METÁLICO, SEÇÃO QUADRADA 15 X 15 CM, APOIO ENGASTADO, COMPRIMENTO DE 6 M. AF_03/2024</t>
  </si>
  <si>
    <t>PILAR DE MADEIRA SERRADA, MAÇARANDUBA OU EQUIVALENTE DA REGIÃO, NÃO APARELHADO, FIXADO COM PORTA PILAR METÁLICO, SEÇÃO QUADRADA 20 X 20 CM, APOIO ARTICULADO, COMPRIMENTO DE 3 M. AF_03/2024</t>
  </si>
  <si>
    <t>PILAR DE MADEIRA SERRADA, MAÇARANDUBA OU EQUIVALENTE DA REGIÃO, NÃO APARELHADO, FIXADO COM PORTA PILAR METÁLICO, SEÇÃO QUADRADA 20 X 20 CM, APOIO ARTICULADO, COMPRIMENTO DE 6 M. AF_03/2024</t>
  </si>
  <si>
    <t>PILAR DE MADEIRA SERRADA, MAÇARANDUBA OU EQUIVALENTE DA REGIÃO, NÃO APARELHADO, FIXADO COM PORTA PILAR METÁLICO, SEÇÃO QUADRADA 20 X 20 CM, APOIO ENGASTADO, COMPRIMENTO DE 3 M. AF_03/2024</t>
  </si>
  <si>
    <t>PILAR DE MADEIRA SERRADA, MAÇARANDUBA OU EQUIVALENTE DA REGIÃO, NÃO APARELHADO, FIXADO COM PORTA PILAR METÁLICO, SEÇÃO QUADRADA 20 X 20 CM, APOIO ENGASTADO, COMPRIMENTO DE 6 M. AF_03/2024</t>
  </si>
  <si>
    <t>INJEÇÃO DE CALDA DE CIMENTO PARA CHUMBAMENTO DE TIRANTE COM 8 CORDOALHAS DE 12,7 MM, COMPRIMENTO MAIOR OU IGUAL A 22 M E MENOR QUE 30 M, DIÂMETRO DE 100 MM, INCLUSIVE PRODUÇÃO. AF_11/2023</t>
  </si>
  <si>
    <t>INJEÇÃO DE CALDA DE CIMENTO PARA CHUMBAMENTO DE TIRANTE COM 8 CORDOALHAS DE 12,7 MM, COMPRIMENTO MAIOR OU IGUAL A 22 M E MENOR QUE 30 M, DIÂMETRO DE 150 MM, INCLUSIVE PRODUÇÃO. AF_11/2023</t>
  </si>
  <si>
    <t>INJEÇÃO DE CALDA DE CIMENTO PARA CHUMBAMENTO DE TIRANTE COM 8 CORDOALHAS DE 12,7 MM, COMPRIMENTO MAIOR OU IGUAL A 22 M E MENOR QUE 30 M, DIÂMETRO DE 200 MM, INCLUSIVE PRODUÇÃO. AF_11/2023</t>
  </si>
  <si>
    <t>INJEÇÃO DE CALDA DE CIMENTO PARA CHUMBAMENTO DE TIRANTE MONOBARRA COM ARMADURA DE 36 MM, COMPRIMENTO MAIOR OU IGUAL A 22 M E MENOR QUE 30 M, DIÂMETRO DE 100 MM, INCLUSIVE PRODUÇÃO. AF_11/2023</t>
  </si>
  <si>
    <t>INJEÇÃO DE CALDA DE CIMENTO PARA CHUMBAMENTO DE TIRANTE MONOBARRA COM ARMADURA DE 36 MM, COMPRIMENTO MAIOR OU IGUAL A 22 M E MENOR QUE 30 M, DIÂMETRO DE 150 MM, INCLUSIVE PRODUÇÃO. AF_11/2023</t>
  </si>
  <si>
    <t>INJEÇÃO DE CALDA DE CIMENTO PARA CHUMBAMENTO DE TIRANTE MONOBARRA COM ARMADURA DE 36 MM, COMPRIMENTO MAIOR OU IGUAL A 22 M E MENOR QUE 30 M, DIÂMETRO DE 200 MM, INCLUSIVE PRODUÇÃO. AF_11/2023</t>
  </si>
  <si>
    <t>INSTALAÇÃO DE TIRANTE COM 4 CORDOALHAS DE 12,7 MM, COMPRIMENTO MAIOR OU IGUAL A 14 M E MENOR QUE 22 M, INCLUSIVE MONTAGEM, INSTALAÇÃO E PROTENSÃO. AF_11/2023</t>
  </si>
  <si>
    <t>INSTALAÇÃO DE TIRANTE COM 4 CORDOALHAS DE 12,7 MM, COMPRIMENTO MAIOR OU IGUAL A 22 M E MENOR QUE 30 M, INCLUSIVE MONTAGEM, INSTALAÇÃO E PROTENSÃO. AF_11/2023</t>
  </si>
  <si>
    <t>INSTALAÇÃO DE TIRANTE COM 4 CORDOALHAS DE 12,7 MM, COMPRIMENTO MAIOR OU IGUAL A 6 M E MENOR QUE 14 M, INCLUSIVE MONTAGEM, INSTALAÇÃO E PROTENSÃO. AF_11/2023</t>
  </si>
  <si>
    <t>INSTALAÇÃO DE TIRANTE COM 6 CORDOALHAS DE 12,7 MM, COMPRIMENTO MAIOR OU IGUAL A 14 M E MENOR QUE 22 M, INCLUSIVE MONTAGEM, INSTALAÇÃO E PROTENSÃO. AF_11/2023</t>
  </si>
  <si>
    <t>INSTALAÇÃO DE TIRANTE COM 6 CORDOALHAS DE 12,7 MM, COMPRIMENTO MAIOR OU IGUAL A 22 M E MENOR QUE 30 M, INCLUSIVE MONTAGEM, INSTALAÇÃO E PROTENSÃO. AF_11/2023</t>
  </si>
  <si>
    <t>INSTALAÇÃO DE TIRANTE COM 6 CORDOALHAS DE 12,7 MM, COMPRIMENTO MAIOR OU IGUAL A 6 M E MENOR QUE 14 M, INCLUSIVE MONTAGEM, INSTALAÇÃO E PROTENSÃO. AF_11/2023</t>
  </si>
  <si>
    <t>INSTALAÇÃO DE TIRANTE COM 8 CORDOALHAS DE 12,7 MM, COMPRIMENTO MAIOR OU IGUAL A 14 M E MENOR QUE 22 M, INCLUSIVE MONTAGEM, INSTALAÇÃO E PROTENSÃO. AF_11/2023</t>
  </si>
  <si>
    <t>INSTALAÇÃO DE TIRANTE COM 8 CORDOALHAS DE 12,7 MM, COMPRIMENTO MAIOR OU IGUAL A 22 M E MENOR QUE 30 M, INCLUSIVE MONTAGEM, INSTALAÇÃO E PROTENSÃO. AF_11/2023</t>
  </si>
  <si>
    <t>INSTALAÇÃO DE TIRANTE COM 8 CORDOALHAS DE 12,7 MM, COMPRIMENTO MAIOR OU IGUAL A 6 M E MENOR QUE 14 M, INCLUSIVE MONTAGEM, INSTALAÇÃO E PROTENSÃO. AF_11/2023</t>
  </si>
  <si>
    <t>INSTALAÇÃO DE TIRANTE MONOBARRA COM ARMADURA DE 25 MM, COMPRIMENTO MAIOR OU IGUAL A 14 M E MENOR QUE 22 M, INCLUSIVE MONTAGEM, INSTALAÇÃO E PROTENSÃO. AF_11/2023</t>
  </si>
  <si>
    <t>INSTALAÇÃO DE TIRANTE MONOBARRA COM ARMADURA DE 25 MM, COMPRIMENTO MAIOR OU IGUAL A 22 M E MENOR QUE 30 M, INCLUSIVE MONTAGEM, INSTALAÇÃO E PROTENSÃO. AF_11/2023</t>
  </si>
  <si>
    <t>INSTALAÇÃO DE TIRANTE MONOBARRA COM ARMADURA DE 25 MM, COMPRIMENTO MAIOR OU IGUAL A 6 M E MENOR QUE 14 M, INCLUSIVE MONTAGEM, INSTALAÇÃO E PROTENSÃO. AF_11/2023</t>
  </si>
  <si>
    <t>INSTALAÇÃO DE TIRANTE MONOBARRA COM ARMADURA DE 32 MM, COMPRIMENTO MAIOR OU IGUAL A 14 M E MENOR QUE 22 M, INCLUSIVE MONTAGEM, INSTALAÇÃO E PROTENSÃO. AF_11/2023</t>
  </si>
  <si>
    <t>INSTALAÇÃO DE TIRANTE MONOBARRA COM ARMADURA DE 32 MM, COMPRIMENTO MAIOR OU IGUAL A 22 M E MENOR QUE 30 M, INCLUSIVE MONTAGEM, INSTALAÇÃO E PROTENSÃO. AF_11/2023</t>
  </si>
  <si>
    <t>INSTALAÇÃO DE TIRANTE MONOBARRA COM ARMADURA DE 32 MM, COMPRIMENTO MAIOR OU IGUAL A 6 M E MENOR QUE 14 M, INCLUSIVE MONTAGEM, INSTALAÇÃO E PROTENSÃO. AF_11/2023</t>
  </si>
  <si>
    <t>INSTALAÇÃO DE TIRANTE MONOBARRA COM ARMADURA DE 36 MM, COMPRIMENTO MAIOR OU IGUAL A 14 M E MENOR QUE 22 M, INCLUSIVE MONTAGEM, INSTALAÇÃO E PROTENSÃO. AF_11/2023</t>
  </si>
  <si>
    <t>INSTALAÇÃO DE TIRANTE MONOBARRA COM ARMADURA DE 36 MM, COMPRIMENTO MAIOR OU IGUAL A 22 M E MENOR QUE 30 M, INCLUSIVE MONTAGEM, INSTALAÇÃO E PROTENSÃO. AF_11/2023</t>
  </si>
  <si>
    <t>INSTALAÇÃO DE TIRANTE MONOBARRA COM ARMADURA DE 36 MM, COMPRIMENTO MAIOR OU IGUAL A 6 M E MENOR QUE 14 M, INCLUSIVE MONTAGEM, INSTALAÇÃO E PROTENSÃO. AF_11/2023</t>
  </si>
  <si>
    <t>FORRO EM FIBRA MINERAL, PARA AMBIENTES COMERCIAIS, INCLUSIVE ESTRUTURA DE FIXAÇÃO. AF_08/2023</t>
  </si>
  <si>
    <t>FORRO METÁLICO, PARA AMBIENTES COMERCIAIS, INCLUSIVE ESTRUTURA DE FIXAÇÃO. AF_08/2023</t>
  </si>
  <si>
    <t>MONTAGEM E DESMONTAGEM DE FÔRMA PARA ESTRUTURA CIRCULAR, COM INSTALAÇÃO EXCLUSIVAMENTE NA FACE INTERNA DA ESTRUTURA, COM AUXÍLIO DE GUINDASTE. AF_07/2024</t>
  </si>
  <si>
    <t>MONTAGEM E DESMONTAGEM DE FÔRMA PARA ESTRUTURA CIRCULAR, COM INSTALAÇÃO EXCLUSIVAMENTE NA FACE INTERNA DA ESTRUTURA, SEM AUXÍLIO DE GUINDASTE. AF_07/2024</t>
  </si>
  <si>
    <t>MONTAGEM E DESMONTAGEM DE FÔRMA PARA ESTRUTURA CIRCULAR, COM INSTALAÇÃO NA FACE INTERNA E EXTERNA DA EXTRUTURA, COM AUXÍLIO DE GUINDASTE. AF_07/2024</t>
  </si>
  <si>
    <t>MONTAGEM E DESMONTAGEM DE FÔRMA PARA ESTRUTURA CIRCULAR, COM INSTALAÇÃO NA FACE INTERNA E EXTERNA DA EXTRUTURA, SEM AUXÍLIO DE GUINDASTE. AF_07/2024</t>
  </si>
  <si>
    <t>MONTAGEM E DESMONTAGEM DE FÔRMA DE PILARES CIRCULARES, COM ÁREA MÉDIA DAS SEÇÕES MAIOR QUE 0,28 M², EM PAPELÃO. AF_05/2024</t>
  </si>
  <si>
    <t>MONTAGEM E DESMONTAGEM DE FÔRMA DE PILARES CIRCULARES, COM ÁREA MÉDIA DAS SEÇÕES MENOR OU IGUAL A 0,28 M², EM PAPELÃO. AF_05/2024</t>
  </si>
  <si>
    <t>MONTAGEM E DESMONTAGEM DE FÔRMA DE PILARES CIRCULARES, PÉ-DIREITO DUPLO, METÁLICA. AF_05/2024</t>
  </si>
  <si>
    <t>MONTAGEM E DESMONTAGEM DE FÔRMA DE PILARES CIRCULARES, PÉ-DIREITO DUPLO, PLÁSTICA. AF_05/2024</t>
  </si>
  <si>
    <t>MONTAGEM E DESMONTAGEM DE FÔRMA DE PILARES CIRCULARES, PÉ-DIREITO SIMPLES, METÁLICA. AF_05/2024</t>
  </si>
  <si>
    <t>MONTAGEM E DESMONTAGEM DE FÔRMA DE PILARES CIRCULARES, PÉ-DIREITO SIMPLES, PLÁSTICA. AF_05/2024</t>
  </si>
  <si>
    <t>CORRIMÃO DUPLO, DIÂMETRO EXTERNO = 1 1/2", EM ALUMÍNIO. AF_04/2019</t>
  </si>
  <si>
    <t>CORRIMÃO DUPLO, DIÂMETRO EXTERNO = 1 1/2", EM AÇO GALVANIZADO. AF_04/2019</t>
  </si>
  <si>
    <t>CORRIMÃO DUPLO, DIÂMETRO EXTERNO = 1 1/2", EM AÇO INOX. AF_04/2019</t>
  </si>
  <si>
    <t>CORRIMÃO SIMPLES, DIÂMETRO EXTERNO = 1 1/2", EM AÇO INOX. AF_04/2019</t>
  </si>
  <si>
    <t>GUARDA-CORPO DE AÇO GALVANIZADO DE 1,10M DE ALTURA,DUPLO CORRIMÃO, MONTANTES TUBULARES DE 1.1/2" ESPAÇADOS 1,20M, TRAVESSA SUPERIOR DE 2", GRADIL DE BARRAS CHATAS DE 32X4,8MM, FIXADO COM CHUMBADOR MECÂNICO. AF_04/2019</t>
  </si>
  <si>
    <t>GUARDA-CORPO DE AÇO GALVANIZADO DE 1,10M, DUPLO CORRIMÃO, MONTANTES TUBULARES DE 1.1/2" ESPAÇADOS DE 1,20M, TRAVESSA SUPERIOR DE 2", GRADIL DE BARRAS CHATAS DE 32X4,8MM, FIXADO COM ADESIVO ESTRUTURAL EPOXI. AF_04/2019</t>
  </si>
  <si>
    <t>GUARDA-CORPO DE AÇO GALVANIZADO DE 1,10M, DUPLO CORRIMÃO, MONTANTES TUBULARES DE 1.1/4" ESPAÇADOS 1,20M, TRAVESSA SUPERIOR DE 1.1/2", GRADIL DE TUBOS HORIZONTAIS DE 1" E VERTICAIS DE 3/4", FIXADO COM CHUMBADOR MECÂNICO. AF_04/2019</t>
  </si>
  <si>
    <t>GUARDA-CORPO DE AÇO GALVANIZADO DE 1,10M, DUPLO CORRIMÃO, MONTANTES TUBULARES DE 1.1/4" ESPAÇADOS DE 1,20M, TRAVESSA SUPERIOR DE 1.1/2", GRADIL EM TUBOS HORIZONTAIS DE 1" E VERTICAIS DE 3/4", FIXADO COM ADESIVO ESTRUTURAL EPOXI. AF_04/2019</t>
  </si>
  <si>
    <t>GUARDA-CORPO DE AÇO GALVANIZADO DE 1,10M, DUPLO CORRIMÃO, MONTANTES TUBULARES DE 100X50MM ESPAÇADOS 1,20M, TRAVESSA SUPERIOR DE 3", GRADIL EM CANTONEIRA 51X51X4,8 MM E BARRAS CHATAS NA VERTICAL DE 32X4,8 MM, FIXADO COM CHUMBADOR MECÂNICO. AF_04/2019</t>
  </si>
  <si>
    <t>GUARDA-CORPO DE AÇO GALVANIZADO DE 1,10M, DUPLO CORRIMÃO, MONTANTES TUBULARES DE 100X50MM ESPAÇADOS DE 1,20M, TRAVESSA SUPERIOR DE 3?, GRADIL EM CANTONEIRA 51X51X4,8 MM E BARRAS CHATAS NA VERTICAL DE 32X4,8 MM, FIXADO COM ADESIVO EPOXI. AF_04/2019</t>
  </si>
  <si>
    <t>GUARDA-CORPO DE AÇO GALVANIZADO DE 1,10M, DUPLO CORRIMÃO, MONTANTES TUBULARES DE 30X30 MM ESPAÇADOS DE 1,20M, TRAVESSA SUPERIOR DE 1.1/2", GRADIL DE TUBOS HORIZONTAIS DE 25X25MM E VERTICAIS DE 20X20MM, FIXADO COM CHUMBADOR MECÂNICO. AF_04/2019</t>
  </si>
  <si>
    <t>GUARDA-CORPO DE AÇO GALVANIZADO DE 1,10M, DUPLO CORRIMÃO, MONTANTES TUBULARES DE 30X30 MM ESPAÇADOS DE 1,20M, TRAVESSA SUPERIOR DE 1.1/2", GRADIL EM TUBOS HORIZONTAIS DE 25X25MM E VERTICAIS DE 20X20MM, FIXADO COM ADESIVO ESTRUTURAL EPOXI. AF_04/2019</t>
  </si>
  <si>
    <t>GUARDA-CORPO DE AÇO GALVANIZADO DE 1,10M, MONTANTES TUBULARES DE 1.1/2" ESPAÇADOS 1,20M, TRAVESSA SUPERIOR DE 2", GRADIL FORMADO POR BARRAS CHATAS DE 32X4,8MM, FIXADO COM ADESIVO ESTRUTURAL EPOXI. AF_04/2019</t>
  </si>
  <si>
    <t>GUARDA-CORPO DE AÇO GALVANIZADO DE 1,10M, MONTANTES TUBULARES DE 1.1/4" ESPAÇADOS 1,20M, TRAVESSA SUPERIOR DE 1.1/2", GRADIL FORMADO POR TUBOS HORIZONTAIS DE 1" E VERTICAIS DE 3/4", FIXADO COM ADESIVO ESTRUTURAL EPOXI. AF_04/2019</t>
  </si>
  <si>
    <t>GUARDA-CORPO DE AÇO GALVANIZADO DE 1,10M, MONTANTES TUBULARES DE 100X50MM ESPAÇADOS 1,20M, TRAVESSA SUPERIOR DE 3", GRADIL COM CANTONEIRA 51X51X4,8 MM E BARRAS CHATAS NA VERTICAL DE 32X4,8 MM, FIXADO COM CHUMBADOR MECÂNICO. AF_04/2019</t>
  </si>
  <si>
    <t>GUARDA-CORPO DE AÇO GALVANIZADO DE 1,10M, MONTANTES TUBULARES DE 30X30 MM ESPAÇADOS 1,20M, TRAVESSA SUPERIOR DE 1.1/2", GRADIL DE TUBOS HORIZONTAIS DE 25X25MM E VERTICAIS DE 20X20MM, FIXADO COM ADESIVO ESTRUTURAL EPOXI. AF_04/2019</t>
  </si>
  <si>
    <t>GUARDA-CORPO DE AÇO GALVANIZADO DE 1,10M, MONTANTES TUBULARES DE 30X30 MM ESPAÇADOS 1,20M, TRAVESSA SUPERIOR DE 1.1/2", GRADIL FORMADO POR TUBOS HORIZONTAIS DE 25X25MM E VERTICAIS DE 20X20MM, FIXADO COM CHUMBADOR MECÂNICO. AF_04/2019</t>
  </si>
  <si>
    <t>GUARDA-CORPO PANORÂMICO COM PERFIS DE ALUMÍNIO E VIDRO LAMINADO 8 MM, FIXADO COM ADESIVO ESTRUTURAL EPOXI. AF_04/2019</t>
  </si>
  <si>
    <t>ASSENTAMENTO DE GUIA (MEIO-FIO), TIPO PAVER (FINCADINHA) EM TRECHO RETO, EM CONCRETO PRÉ-FABRICADO, DIMENSÕES 45X08X608X19 CM (COMPRIMENTO X BASE INFERIOR X BASE SUPERIOR X ALTURA), PARA DELIMITAÇÃO DE JARDINS, PRAÇAS OU PASSEIOS. AF_01/2024</t>
  </si>
  <si>
    <t>ASSENTAMENTO DE GUIA (MEIO-FIO), TIPO PAVER, FINCADINHA, EM TRECHO CURVO, EM CONCRETO PRÉ-FABRICADO, DIMENSÕES 45X08X08X19 CM (COMPRIMENTO X BASE INFERIOR X BASE SUPERIOR X ALTURA), PARA DELIMITAÇÃO DE JARDINS, PRAÇAS OU PASSEIOS. AF_01/2024</t>
  </si>
  <si>
    <t>BLOCO AUTÔNOMO DE ILUMINAÇÃO DE EMERGÊNCIA COM DOIS REFLETORES - FORNECIMENTO E INSTALAÇÃO. AF_09/2024</t>
  </si>
  <si>
    <t>CÂMERA DE MONITORAMENTO COM ATÉ 25 METROS DE ALCANCE TIPO BULLET - FORNECIMENTO E INSTALAÇÃO. AF_09/2024</t>
  </si>
  <si>
    <t>CÂMERA DE MONITORAMENTO COM ATÉ 25 METROS DE ALCANCE TIPO DOME - FORNECIMENTO E INSTALAÇÃO. AF_09/2024</t>
  </si>
  <si>
    <t>CÂMERA DE MONITORAMENTO COM MAIS DE 25 METROS DE ALCANCE TIPO BULLET - FORNECIMENTO E INSTALAÇÃO. AF_09/2024</t>
  </si>
  <si>
    <t>CÂMERA IP BULLET - FORNECIMENTO E INSTALAÇÃO. AF_09/2024</t>
  </si>
  <si>
    <t>CÂMERA IP DOME RESOLUCAO 1MP - FORNECIMENTO E INSTALAÇÃO. AF_09/2024</t>
  </si>
  <si>
    <t>CÂMERA IP SPEED DOME - FORNECIMENTO E INSTALAÇÃO. AF_09/2024</t>
  </si>
  <si>
    <t>CÂMERA IP WIFI - FORNECIMENTO E INSTALAÇÃO. AF_09/2024</t>
  </si>
  <si>
    <t>DRIVER SLIM PARA FITA LED - FORNECIMENTO E INSTALAÇÃO. AF_09/2024</t>
  </si>
  <si>
    <t>FITA LED - FORNECIMENTO E INSTALAÇÃO. AF_09/2024</t>
  </si>
  <si>
    <t>LUMINÁRIA LED DE EMBUTIR - QUADRADA 60X60CM, INCLUSO DRIVER - FORNECIMENTO E INSTALAÇÃO. AF_09/2024</t>
  </si>
  <si>
    <t>LUMINÁRIA LED DE SOBREPOR - QUADRADA *60X60*CM, INCLUSO DRIVER - FORNECIMENTO E INSTALAÇÃO. AF_09/2024</t>
  </si>
  <si>
    <t>LUMINÁRIA LED DE SOBREPOR HERMÉTICA - *60X15CM*, INCLUSO DRIVER - FORNECIMENTO E INSTALAÇÃO. AF_09/2024</t>
  </si>
  <si>
    <t>LUMINÁRIA TIPO CALHA, DE EMBUTIR, COM 1 LÂMPADA TUBULAR LED DE 18 W, SEM REATOR - FORNECIMENTO E INSTALAÇÃO. AF_09/2024</t>
  </si>
  <si>
    <t>LUMINÁRIA TIPO CALHA, DE EMBUTIR, COM 2 LÂMPADAS TUBULARES LED DE 18 W, SEM REATOR - FORNECIMENTO E INSTALAÇÃO. AF_09/2024</t>
  </si>
  <si>
    <t>LUMINÁRIA TIPO CALHA, DE EMBUTIR, COM 2 LÂMPADAS TUBULARES LED DE 9 W, SEM REATOR - FORNECIMENTO E INSTALAÇÃO. AF_09/2024</t>
  </si>
  <si>
    <t>LUMINÁRIA TIPO CALHA, DE EMBUTIR, PARA 1 LÂMPADA TUBULAR LED DE 36 W, SEM LÂMPADA E SEM REATOR - FORNECIMENTO E INSTALAÇÃO. AF_09/2024</t>
  </si>
  <si>
    <t>LUMINÁRIA TIPO CALHA, DE EMBUTIR, PARA 2 LÂMPADAS TUBULARES LED DE 36 W, SEM LÂMPADA E SEM REATOR - FORNECIMENTO E INSTALAÇÃO. AF_09/2024</t>
  </si>
  <si>
    <t>LUMINÁRIA TIPO CALHA, DE SOBREPOR, COM 1 LÂMPADA TUBULAR LED DE 18 W, SEM REATOR - FORNECIMENTO E INSTALAÇÃO. AF_09/2024</t>
  </si>
  <si>
    <t>LUMINÁRIA TIPO CALHA, DE SOBREPOR, COM 1 LÂMPADA TUBULAR LED DE 9 W SEM REATOR - FORNECIMENTO E INSTALAÇÃO. AF_09/2024</t>
  </si>
  <si>
    <t>LUMINÁRIA TIPO CALHA, DE SOBREPOR, COM 2 LÂMPADAS TUBULARES LED DE 18 W, SEM REATOR - FORNECIMENTO E INSTALAÇÃO. AF_09/2024</t>
  </si>
  <si>
    <t>LUMINÁRIA TIPO CALHA, DE SOBREPOR, COM 2 LÂMPADAS TUBULARES LED DE 9 W SEM REATOR - FORNECIMENTO E INSTALAÇÃO. AF_09/2024</t>
  </si>
  <si>
    <t>LUMINÁRIA TIPO CALHA, DE SOBREPOR, PARA 1 LÂMPADA TUBULAR LED DE 36 W, SEM LÂMPADA E SEM REATOR - FORNECIMENTO E INSTALAÇÃO. AF_09/2024</t>
  </si>
  <si>
    <t>LUMINÁRIA TIPO CALHA, DE SOBREPOR, PARA 2 LÂMPADAS TUBULARES LED DE 36 W, SEM LÂMPADA E SEM REATOR - FORNECIMENTO E INSTALAÇÃO. AF_09/2024</t>
  </si>
  <si>
    <t>LUMINÁRIA TIPO PLAFON QUADRADA, DE EMBUTIR, COM LED DE 12 W - FORNECIMENTO E INSTALAÇÃO. AF_09/2024</t>
  </si>
  <si>
    <t>LUMINÁRIA TIPO PLAFON QUADRADA, DE EMBUTIR, COM LED DE 18 W - FORNECIMENTO E INSTALAÇÃO. AF_09/2024</t>
  </si>
  <si>
    <t>LUMINÁRIA TIPO PLAFON QUADRADA, DE EMBUTIR, COM LED DE 24 W - FORNECIMENTO E INSTALAÇÃO. AF_09/2024</t>
  </si>
  <si>
    <t>LUMINÁRIA TIPO PLAFON QUADRADA, DE SOBREPOR, COM LED DE 12 W - FORNECIMENTO E INSTALAÇÃO. AF_09/2024</t>
  </si>
  <si>
    <t>LUMINÁRIA TIPO PLAFON QUADRADA, DE SOBREPOR, COM LED DE 18 W - FORNECIMENTO E INSTALAÇÃO. AF_09/2024</t>
  </si>
  <si>
    <t>LUMINÁRIA TIPO PLAFON QUADRADA, DE SOBREPOR, COM LED DE 24 W - FORNECIMENTO E INSTALAÇÃO. AF_09/2024</t>
  </si>
  <si>
    <t>LUMINÁRIA TIPO SPOT, DE EMBUTIR, COM 1 LÂMPADA LED PAR20 - FORNECIMENTO E INSTALAÇÃO. AF_09/2024</t>
  </si>
  <si>
    <t>LUMINÁRIA TIPO SPOT, DE SOBREPOR, COM 1 LÂMPADA LED PAR20 - FORNECIMENTO E INSTALAÇÃO. AF_09/2024</t>
  </si>
  <si>
    <t>PERFIL COM FITA LED - FORNECIMENTO E INSTALAÇÃO. AF_09/2024</t>
  </si>
  <si>
    <t>IMPERMEABILIZAÇÃO COM MANTA ASFÁLTICA COLADA COM ASFALTO DERRETIDO, DUAS CAMADAS, E = 3MM E E=4MM. AF_09/2023</t>
  </si>
  <si>
    <t>IMPERMEABILIZAÇÃO DE SUPERFÍCIE COM MANTA ASFÁLTICA COLADA COM ASFALTO DERRETIDO, UMA CAMADA, E=4MM. AF_09/2023</t>
  </si>
  <si>
    <t>IMPERMEABILIZAÇÃO DE SUPERFÍCIE COM MEMBRANA A BASE DE POLIURÉIA, 2 DEMÃOS. AF_09/2023</t>
  </si>
  <si>
    <t>TRATAMENTO DE RALO OU PONTO EMERGENTE COM MANTA ASFÁLTICA COLADA COM ASFÁLTO DERRETIDO, E=4MM. AF_09/2023</t>
  </si>
  <si>
    <t>TRATAMENTO DE RODAPÉ COM MANTA ASFÁLTICA COLADA COM ASFALTO DERRETIDO, E=4MM. AF_09/2023</t>
  </si>
  <si>
    <t>CAIXA ELÉTRICA 4"X2" AUTOTRAVANTE PARA FURO CIRCULAR ALTA (2,00 M DO PISO), PVC, INSTALADA EM PAREDE - FORNECIMENTO E INSTALAÇÃO. AF_03/2023</t>
  </si>
  <si>
    <t>CAIXA ELÉTRICA 4"X2" AUTOTRAVANTE PARA FURO CIRCULAR BAIXA (0,30 M DO PISO), PVC, INSTALADA EM PAREDE - FORNECIMENTO E INSTALAÇÃO. AF_03/2023</t>
  </si>
  <si>
    <t>CAIXA ELÉTRICA 4"X2" AUTOTRAVANTE PARA FURO CIRCULAR MÉDIA (1,30 M DO PISO), PVC, INSTALADA EM PAREDE - FORNECIMENTO E INSTALAÇÃO. AF_03/2023</t>
  </si>
  <si>
    <t>CAIXA ELÉTRICA 4"X4" AUTOTRAVANTE PARA FURO CIRCULAR ALTA (2,00 M DO PISO), PVC, INSTALADA EM PAREDE - FORNECIMENTO E INSTALAÇÃO. AF_03/2023</t>
  </si>
  <si>
    <t>CAIXA ELÉTRICA 4"X4" AUTOTRAVANTE PARA FURO CIRCULAR BAIXA (0,30 M DO PISO), PVC, INSTALADA EM PAREDE - FORNECIMENTO E INSTALAÇÃO. AF_03/2023</t>
  </si>
  <si>
    <t>CAIXA ELÉTRICA 4"X4" AUTOTRAVANTE PARA FURO CIRCULAR MÉDIA (1,30 M DO PISO), PVC, INSTALADA EM PAREDE - FORNECIMENTO E INSTALAÇÃO. AF_03/2023</t>
  </si>
  <si>
    <t>ELETRODUTO FLEXÍVEL CORRUGADO, PEAD, DN 32 MM (1"), PARA CIRCUITOS TERMINAIS, INSTALADO EM LAJE - FORNECIMENTO E INSTALAÇÃO. AF_03/2023</t>
  </si>
  <si>
    <t>ELETRODUTO FLEXÍVEL CORRUGADO, PEAD, DN 32 MM (1"), PARA CIRCUITOS TERMINAIS, INSTALADO EM PAREDE - FORNECIMENTO E INSTALAÇÃO. AF_03/2023</t>
  </si>
  <si>
    <t>CONDULETE DE ALUMÍNIO, TIPO B, PARA ELETRODUTO DE AÇO GALVANIZADO DN 32 MM (1 1/4''), APARENTE - FORNECIMENTO E INSTALAÇÃO. AF_10/2022</t>
  </si>
  <si>
    <t>CONDULETE DE ALUMÍNIO, TIPO C, PARA ELETRODUTO DE AÇO GALVANIZADO DN 32 MM (1 1/4''), APARENTE - FORNECIMENTO E INSTALAÇÃO. AF_10/2022</t>
  </si>
  <si>
    <t>CONDULETE DE ALUMÍNIO, TIPO LB, PARA ELETRODUTO DE AÇO GALVANIZADO DN 20 MM (3/4''), APARENTE - FORNECIMENTO E INSTALAÇÃO. AF_10/2022</t>
  </si>
  <si>
    <t>CONDULETE DE ALUMÍNIO, TIPO LB, PARA ELETRODUTO DE AÇO GALVANIZADO DN 25 MM (1''), APARENTE - FORNECIMENTO E INSTALAÇÃO. AF_10/2022</t>
  </si>
  <si>
    <t>CONDULETE DE ALUMÍNIO, TIPO LB, PARA ELETRODUTO DE AÇO GALVANIZADO DN 32 MM (1 1/4''), APARENTE - FORNECIMENTO E INSTALAÇÃO. AF_10/2022</t>
  </si>
  <si>
    <t>CONDULETE DE ALUMÍNIO, TIPO LL, PARA ELETRODUTO DE AÇO GALVANIZADO DN 20 MM (3/4''), APARENTE - FORNECIMENTO E INSTALAÇÃO. AF_10/2022</t>
  </si>
  <si>
    <t>CONDULETE DE ALUMÍNIO, TIPO LL, PARA ELETRODUTO DE AÇO GALVANIZADO DN 25 MM (1''), APARENTE - FORNECIMENTO E INSTALAÇÃO. AF_10/2022</t>
  </si>
  <si>
    <t>CONDULETE DE ALUMÍNIO, TIPO LL, PARA ELETRODUTO DE AÇO GALVANIZADO DN 32 MM (1 1/4''), APARENTE - FORNECIMENTO E INSTALAÇÃO. AF_10/2022</t>
  </si>
  <si>
    <t>CONDULETE DE ALUMÍNIO, TIPO TB, PARA ELETRODUTO DE AÇO GALVANIZADO DN 20 MM (3/4''), APARENTE - FORNECIMENTO E INSTALAÇÃO. AF_10/2022</t>
  </si>
  <si>
    <t>CONDULETE DE ALUMÍNIO, TIPO TB, PARA ELETRODUTO DE AÇO GALVANIZADO DN 25 MM (1''), APARENTE - FORNECIMENTO E INSTALAÇÃO. AF_10/2022</t>
  </si>
  <si>
    <t>CONDULETE DE ALUMÍNIO, TIPO TB, PARA ELETRODUTO DE AÇO GALVANIZADO DN 32 MM (1 1/4''), APARENTE - FORNECIMENTO E INSTALAÇÃO. AF_10/2022</t>
  </si>
  <si>
    <t>CURVA 135 GRAUS PARA ELETRODUTO, AÇO GALVANIZADO, DN 20 MM (3/4''), APARENTE - FORNECIMENTO E INSTALAÇÃO. AF_10/2022</t>
  </si>
  <si>
    <t>CURVA 135 GRAUS PARA ELETRODUTO, AÇO GALVANIZADO, DN 25 MM (1''), APARENTE - FORNECIMENTO E INSTALAÇÃO. AF_10/2022</t>
  </si>
  <si>
    <t>CURVA 135 GRAUS PARA ELETRODUTO, AÇO GALVANIZADO, DN 32 MM (1 1/4''), APARENTE - FORNECIMENTO E INSTALAÇÃO. AF_10/2022</t>
  </si>
  <si>
    <t>CURVA 135 GRAUS PARA ELETRODUTO, AÇO GALVANIZADO, DN 40 MM (1 1/2''), APARENTE - FORNECIMENTO E INSTALAÇÃO. AF_10/2022</t>
  </si>
  <si>
    <t>CURVA 45 GRAUS PARA ELETRODUTO, AÇO GALVANIZADO, DN 20 MM (3/4''), APARENTE - FORNECIMENTO E INSTALAÇÃO. AF_10/2022</t>
  </si>
  <si>
    <t>CURVA 45 GRAUS PARA ELETRODUTO, AÇO GALVANIZADO, DN 25 MM (1''), APARENTE - FORNECIMENTO E INSTALAÇÃO. AF_10/2022</t>
  </si>
  <si>
    <t>CURVA 45 GRAUS PARA ELETRODUTO, AÇO GALVANIZADO, DN 32 MM (1 1/4''), APARENTE - FORNECIMENTO E INSTALAÇÃO. AF_10/2022</t>
  </si>
  <si>
    <t>CURVA 45 GRAUS PARA ELETRODUTO, AÇO GALVANIZADO, DN 40 MM (1 1/2''), APARENTE - FORNECIMENTO E INSTALAÇÃO. AF_10/2022</t>
  </si>
  <si>
    <t>CURVA 90 GRAUS PARA ELETRODUTO, AÇO GALVANIZADO, DN 20 MM (3/4''), APARENTE - FORNECIMENTO E INSTALAÇÃO. AF_10/2022</t>
  </si>
  <si>
    <t>CURVA 90 GRAUS PARA ELETRODUTO, AÇO GALVANIZADO, DN 25 MM (1"), APARENTE - FORNECIMENTO E INSTALAÇÃO. AF_10/2022</t>
  </si>
  <si>
    <t>CURVA 90 GRAUS PARA ELETRODUTO, AÇO GALVANIZADO, DN 32 MM (1 1/4''), APARENTE - FORNECIMENTO E INSTALAÇÃO. AF_10/2022</t>
  </si>
  <si>
    <t>CURVA 90 GRAUS PARA ELETRODUTO, AÇO GALVANIZADO, DN 40 MM (1 1/2''), APARENTE - FORNECIMENTO E INSTALAÇÃO. AF_10/2022</t>
  </si>
  <si>
    <t>CURVA 90 GRAUS PARA ELETRODUTO, PVC, SOLDÁVEL, DN 20 MM (1/2''), APARENTE - FORNECIMENTO E INSTALAÇÃO. AF_10/2022</t>
  </si>
  <si>
    <t>CURVA 90 GRAUS PARA ELETRODUTO, PVC, SOLDÁVEL, DN 25 MM (3/4''), APARENTE - FORNECIMENTO E INSTALAÇÃO. AF_10/2022</t>
  </si>
  <si>
    <t>CURVA 90 GRAUS PARA ELETRODUTO, PVC, SOLDÁVEL, DN 32 MM (1''), APARENTE - FORNECIMENTO E INSTALAÇÃO. AF_10/2022</t>
  </si>
  <si>
    <t>LUVA DE EMENDA PARA ELETRODUTO, AÇO GALVANIZADO, DN 20 MM (3/4''), APARENTE - FORNECIMENTO E INSTALAÇÃO. AF_10/2022</t>
  </si>
  <si>
    <t>LUVA DE EMENDA PARA ELETRODUTO, AÇO GALVANIZADO, DN 25 MM (1''), APARENTE - FORNECIMENTO E INSTALAÇÃO. AF_10/2022</t>
  </si>
  <si>
    <t>LUVA DE EMENDA PARA ELETRODUTO, AÇO GALVANIZADO, DN 32 MM (1 1/4''), APARENTE - FORNECIMENTO E INSTALAÇÃO. AF_10/2022</t>
  </si>
  <si>
    <t>LUVA DE EMENDA PARA ELETRODUTO, AÇO GALVANIZADO, DN 40 MM (1 1/2''), APARENTE - FORNECIMENTO E INSTALAÇÃO. AF_10/2022</t>
  </si>
  <si>
    <t>LUVA PARA ELETRODUTO, PVC, SOLDÁVEL, DN 20 MM (1/2''), APARENTE - FORNECIMENTO E INSTALAÇÃO. AF_10/2022</t>
  </si>
  <si>
    <t>LUVA PARA ELETRODUTO, PVC, SOLDÁVEL, DN 25 MM (3/4''), APARENTE - FORNECIMENTO E INSTALAÇÃO. AF_10/2022</t>
  </si>
  <si>
    <t>LUVA PARA ELETRODUTO, PVC, SOLDÁVEL, DN 32 MM (1''), APARENTE - FORNECIMENTO E INSTALAÇÃO. AF_10/2022</t>
  </si>
  <si>
    <t>COTOVELO HORIZONTAL PARA BARRAMENTO BLINDADO, 1000A - FORNECIMENTO E INSTALAÇÃO. AF_10/2020</t>
  </si>
  <si>
    <t>COTOVELO HORIZONTAL PARA BARRAMENTO BLINDADO, 1250A - FORNECIMENTO E INSTALAÇÃO. AF_10/2020</t>
  </si>
  <si>
    <t>COTOVELO HORIZONTAL PARA BARRAMENTO BLINDADO, 1600A - FORNECIMENTO E INSTALAÇÃO. AF_10/2020</t>
  </si>
  <si>
    <t>COTOVELO HORIZONTAL PARA BARRAMENTO BLINDADO, 2000A - FORNECIMENTO E INSTALAÇÃO. AF_10/2020</t>
  </si>
  <si>
    <t>COTOVELO HORIZONTAL PARA BARRAMENTO BLINDADO, 2500A - FORNECIMENTO E INSTALAÇÃO. AF_10/2020</t>
  </si>
  <si>
    <t>COTOVELO HORIZONTAL PARA BARRAMENTO BLINDADO, 250A - FORNECIMENTO E INSTALAÇÃO. AF_10/2020</t>
  </si>
  <si>
    <t>COTOVELO HORIZONTAL PARA BARRAMENTO BLINDADO, 3000A - FORNECIMENTO E INSTALAÇÃO. AF_10/2020</t>
  </si>
  <si>
    <t>COTOVELO HORIZONTAL PARA BARRAMENTO BLINDADO, 3500A. - FORNECIMENTO E INSTALAÇÃO. AF_10/2020</t>
  </si>
  <si>
    <t>COTOVELO HORIZONTAL PARA BARRAMENTO BLINDADO, 350A - FORNECIMENTO E INSTALAÇÃO. AF_10/2020</t>
  </si>
  <si>
    <t>COTOVELO HORIZONTAL PARA BARRAMENTO BLINDADO, 450A - FORNECIMENTO E INSTALAÇÃO. AF_10/2020</t>
  </si>
  <si>
    <t>COTOVELO HORIZONTAL PARA BARRAMENTO BLINDADO, 550A - FORNECIMENTO E INSTALAÇÃO. AF_10/2020</t>
  </si>
  <si>
    <t>COTOVELO HORIZONTAL PARA BARRAMENTO BLINDADO, 630A - FORNECIMENTO E INSTALAÇÃO. AF_10/2020</t>
  </si>
  <si>
    <t>COTOVELO VERTICAL PARA BARRAMENTO BLINDADO, 1000A - FORNECIMENTO E INSTALAÇÃO. AF_10/2020</t>
  </si>
  <si>
    <t>COTOVELO VERTICAL PARA BARRAMENTO BLINDADO, 1250A - FORNECIMENTO E INSTALAÇÃO. AF_10/2020</t>
  </si>
  <si>
    <t>COTOVELO VERTICAL PARA BARRAMENTO BLINDADO, 1600A - FORNECIMENTO E INSTALAÇÃO. AF_10/2020</t>
  </si>
  <si>
    <t>COTOVELO VERTICAL PARA BARRAMENTO BLINDADO, 2000A - FORNECIMENTO E INSTALAÇÃO. AF_10/2020</t>
  </si>
  <si>
    <t>COTOVELO VERTICAL PARA BARRAMENTO BLINDADO, 2500A - FORNECIMENTO E INSTALAÇÃO. AF_10/2020</t>
  </si>
  <si>
    <t>COTOVELO VERTICAL PARA BARRAMENTO BLINDADO, 250A - FORNECIMENTO E INSTALAÇÃO. AF_10/2020</t>
  </si>
  <si>
    <t>COTOVELO VERTICAL PARA BARRAMENTO BLINDADO, 3000A - FORNECIMENTO E INSTALAÇÃO. AF_10/2020</t>
  </si>
  <si>
    <t>COTOVELO VERTICAL PARA BARRAMENTO BLINDADO, 3500A - FORNECIMENTO E INSTALAÇÃO. AF_10/2020</t>
  </si>
  <si>
    <t>COTOVELO VERTICAL PARA BARRAMENTO BLINDADO, 350A - FORNECIMENTO E INSTALAÇÃO. AF_10/2020</t>
  </si>
  <si>
    <t>COTOVELO VERTICAL PARA BARRAMENTO BLINDADO, 450A - FORNECIMENTO E INSTALAÇÃO. AF_10/2020</t>
  </si>
  <si>
    <t>COTOVELO VERTICAL PARA BARRAMENTO BLINDADO, 550A - FORNECIMENTO E INSTALAÇÃO. AF_10/2020</t>
  </si>
  <si>
    <t>COTOVELO VERTICAL PARA BARRAMENTO BLINDADO, 630A - FORNECIMENTO E INSTALAÇÃO. AF_10/2020</t>
  </si>
  <si>
    <t>DISJUNTOR BIPOLAR TIPO DR, CORRENTE NOMINAL DE 25A - FORNECIMENTO E INSTALAÇÃO. AF_10/2020</t>
  </si>
  <si>
    <t>DISJUNTOR BIPOLAR TIPO DR, CORRENTE NOMINAL DE 40A - FORNECIMENTO E INSTALAÇÃO. AF_10/2020</t>
  </si>
  <si>
    <t>DISJUNTOR TETRAPOLAR TIPO DR, CORRENTE NOMINAL DE 25A - FORNECIMENTO E INSTALAÇÃO. AF_10/2020</t>
  </si>
  <si>
    <t>DISJUNTOR TETRAPOLAR TIPO DR, CORRENTE NOMINAL DE 40A - FORNECIMENTO E INSTALAÇÃO. AF_10/2020</t>
  </si>
  <si>
    <t>GABARITO PARA BARRAMENTO BLINDADO - FORNECIMENTO E INSTALAÇÃO. AF_10/2020</t>
  </si>
  <si>
    <t>PEÇA RETA DE BARRAMENTO BLINDADO, 1000A - FORNECIMENTO E INSTALAÇÃO. AF_10/2020</t>
  </si>
  <si>
    <t>PEÇA RETA DE BARRAMENTO BLINDADO, 1250A - FORNECIMENTO E INSTALAÇÃO. AF_10/2020</t>
  </si>
  <si>
    <t>PEÇA RETA DE BARRAMENTO BLINDADO, 1600A - FORNECIMENTO E INSTALAÇÃO. AF_10/2020</t>
  </si>
  <si>
    <t>PEÇA RETA DE BARRAMENTO BLINDADO, 2000A - FORNECIMENTO E INSTALAÇÃO. AF_10/2020</t>
  </si>
  <si>
    <t>PEÇA RETA DE BARRAMENTO BLINDADO, 2500A - FORNECIMENTO E INSTALAÇÃO. AF_10/2020</t>
  </si>
  <si>
    <t>PEÇA RETA DE BARRAMENTO BLINDADO, 250A - FORNECIMENTO E INSTALAÇÃO. AF_10/2020</t>
  </si>
  <si>
    <t>PEÇA RETA DE BARRAMENTO BLINDADO, 350A - FORNECIMENTO E INSTALAÇÃO. AF_10/2020</t>
  </si>
  <si>
    <t>PEÇA RETA DE BARRAMENTO BLINDADO, 450A - FORNECIMENTO E INSTALAÇÃO. AF_10/2020</t>
  </si>
  <si>
    <t>PEÇA RETA DE BARRAMENTO BLINDADO, 550A - FORNECIMENTO E INSTALAÇÃO. AF_10/2020</t>
  </si>
  <si>
    <t>PEÇA RETA DE BARRAMENTO BLINDADO, 630A - FORNECIMENTO E INSTALAÇÃO. AF_10/2020</t>
  </si>
  <si>
    <t>QUADRO DE DISTRIBUIÇÃO DE LUZ EM PVC PARA 12 DISJUNTORES - FORNECIMENTO E INSTALAÇÃO. AF_10/2020</t>
  </si>
  <si>
    <t>QUADRO DE DISTRIBUIÇÃO DE LUZ EM PVC PARA 24 DISJUNTORES - FORNECIMENTO E INSTALAÇÃO. AF_10/2020</t>
  </si>
  <si>
    <t>QUADRO DE DISTRIBUIÇÃO DE LUZ EM PVC PARA 4 DISJUNTORES - FORNECIMENTO E INSTALAÇÃO. AF_10/2020</t>
  </si>
  <si>
    <t>QUADRO DE DISTRIBUIÇÃO DE LUZ EM PVC PARA 8 DISJUNTORES - FORNECIMENTO E INSTALAÇÃO. AF_10/2020</t>
  </si>
  <si>
    <t>CONECTOR CUNHA, PARA REDES AÉREAS DE DISTRIBUIÇÃO DE ENERGIA ELÉTRICA DE BAIXA TENSÃO - FORNECIMENTO E INSTALAÇÃO. AF_07/2020</t>
  </si>
  <si>
    <t>CONECTOR H, PARA REDES AÉREAS DE DISTRIBUIÇÃO DE ENERGIA ELÉTRICA DE BAIXA TENSÃO - FORNECIMENTO E INSTALAÇÃO. AF_07/2020</t>
  </si>
  <si>
    <t>CONECTOR PERFURANTE, PARA REDES AÉREAS DE DISTRIBUIÇÃO DE ENERGIA ELÉTRICA DE BAIXA TENSÃO - FORNECIMENTO E INSTALAÇÃO. AF_07/2020</t>
  </si>
  <si>
    <t>CONECTOR EM BRONZE/LATÃO, DN 104 MM X 4", SEM ANEL DE SOLDA, BOLSA X ROSCA, INSTALADO EM RESERVAÇÃO PREDIAL DE ÁGUA - FORNECIMENTO E INSTALAÇÃO. AF_04/2024</t>
  </si>
  <si>
    <t>CONECTOR EM BRONZE/LATÃO, DN 54 MM X 2", SEM ANEL DE SOLDA, BOLSA X ROSCA, INSTALADO EM RESERVAÇÃO PREDIAL DE ÁGUA - FORNECIMENTO E INSTALAÇÃO. AF_04/2024</t>
  </si>
  <si>
    <t>CONECTOR EM BRONZE/LATÃO, DN 66 MM X 2 1/2", SEM ANEL DE SOLDA, BOLSA X ROSCA, INSTALADO EM RESERVAÇÃO PREDIAL DE ÁGUA - FORNECIMENTO E INSTALAÇÃO. AF_04/2024</t>
  </si>
  <si>
    <t>CONECTOR EM BRONZE/LATÃO, DN 79 MM X 3", SEM ANEL DE SOLDA, BOLSA X ROSCA, INSTALADO EM RESERVAÇÃO PREDIAL DE ÁGUA - FORNECIMENTO E INSTALAÇÃO. AF_04/2024</t>
  </si>
  <si>
    <t>CURVA 90 GRAUS, CPVC, SOLDÁVEL, DN 114 MM, INSTALADO EM RESERVAÇÃO PREDIAL DE ÁGUA - FORNECIMENTO E INSTALAÇÃO. AF_04/2024</t>
  </si>
  <si>
    <t>CURVA 90 GRAUS, CPVC, SOLDÁVEL, DN 35 MM, INSTALADO EM RESERVAÇÃO PREDIAL DE ÁGUA - FORNECIMENTO E INSTALAÇÃO. AF_04/2024</t>
  </si>
  <si>
    <t>CURVA 90 GRAUS, CPVC, SOLDÁVEL, DN 42 MM, INSTALADO EM RESERVAÇÃO PREDIAL DE ÁGUA - FORNECIMENTO E INSTALAÇÃO. AF_04/2024</t>
  </si>
  <si>
    <t>CURVA 90 GRAUS, CPVC, SOLDÁVEL, DN 54 MM, INSTALADO EM RESERVAÇÃO PREDIAL DE ÁGUA - FORNECIMENTO E INSTALAÇÃO. AF_04/2024</t>
  </si>
  <si>
    <t>CURVA 90 GRAUS, CPVC, SOLDÁVEL, DN 73 MM, INSTALADO EM RESERVAÇÃO PREDIAL DE ÁGUA - FORNECIMENTO E INSTALAÇÃO. AF_04/2024</t>
  </si>
  <si>
    <t>CURVA 90 GRAUS, CPVC, SOLDÁVEL, DN 89 MM, INSTALADO EM RESERVAÇÃO PREDIAL DE ÁGUA - FORNECIMENTO E INSTALAÇÃO. AF_04/2024</t>
  </si>
  <si>
    <t>CURVA EM COBRE, DN 104 MM, 45 GRAUS, SEM ANEL DE SOLDA, BOLSA X BOLSA, INSTALADO EM RESERVAÇÃO PREDIAL DE ÁGUA - FORNECIMENTO E INSTALAÇÃO. AF_04/2024</t>
  </si>
  <si>
    <t>CURVA EM COBRE, DN 79 MM, 45 GRAUS, SEM ANEL DE SOLDA, BOLSA X BOLSA, INSTALADO EM RESERVAÇÃO PREDIAL DE ÁGUA - FORNECIMENTO E INSTALAÇÃO. AF_04/2024</t>
  </si>
  <si>
    <t>FLANGE CURTA EM COBRE, DN 104 MM X 4", INSTALADO EM RESERVAÇÃO PREDIAL DE ÁGUA - FORNECIMENTO E INSTALAÇÃO. AF_04/2024</t>
  </si>
  <si>
    <t>FLANGE CURTA EM COBRE, DN 54 MM X 2", INSTALADO EM RESERVAÇÃO PREDIAL DE ÁGUA - FORNECIMENTO E INSTALAÇÃO. AF_04/2024</t>
  </si>
  <si>
    <t>FLANGE CURTA EM COBRE, DN 66 MM X 2 1/2", INSTALADO EM RESERVAÇÃO PREDIAL DE ÁGUA - FORNECIMENTO E INSTALAÇÃO. AF_04/2024</t>
  </si>
  <si>
    <t>FLANGE CURTA EM COBRE, DN 79 MM X 3", INSTALADO EM RESERVAÇÃO PREDIAL DE ÁGUA - FORNECIMENTO E INSTALAÇÃO. AF_04/2024</t>
  </si>
  <si>
    <t>UNIÃO FLANGE, PPR, COM PARAFUSOS, DN 50 MM, INSTALADO EM RESERVAÇÃO PREDIAL DE ÁGUA - FORNECIMENTO E INSTALAÇÃO. AF_04/2024</t>
  </si>
  <si>
    <t>UNIÃO FLANGE, PPR, COM PARAFUSOS, DN 63 MM, INSTALADO EM RESERVAÇÃO PREDIAL DE ÁGUA - FORNECIMENTO E INSTALAÇÃO. AF_04/2024</t>
  </si>
  <si>
    <t>UNIÃO FLANGE, PPR, COM PARAFUSOS, DN 75 MM, INSTALADO EM RESERVAÇÃO PREDIAL DE ÁGUA - FORNECIMENTO E INSTALAÇÃO. AF_04/2024</t>
  </si>
  <si>
    <t>UNIÃO FLANGE, PPR, COM PARAFUSOS, DN 90 MM, INSTALADO EM RESERVAÇÃO PREDIAL DE ÁGUA - FORNECIMENTO E INSTALAÇÃO. AF_04/2024</t>
  </si>
  <si>
    <t>CONEXÃO FIXA, ROSCA MACHO, PARA INSTALAÇÕES EM PEX ÁGUA, DN 16 MM X 1/2", COM ANEL DESLIZANTE - FORNECIMENTO E INSTALAÇÃO. AF_02/2023</t>
  </si>
  <si>
    <t>CONEXÃO FIXA, ROSCA MACHO, PARA INSTALAÇÕES EM PEX ÁGUA, DN 16 MM X 3/4", COM ANEL DESLIZANTE - FORNECIMENTO E INSTALAÇÃO. AF_02/2023</t>
  </si>
  <si>
    <t>CONEXÃO FIXA, ROSCA MACHO, PARA INSTALAÇÕES EM PEX ÁGUA, DN 20 MM X 1/2", COM ANEL DESLIZANTE - FORNECIMENTO E INSTALAÇÃO. AF_02/2023</t>
  </si>
  <si>
    <t>CONEXÃO FIXA, ROSCA MACHO, PARA INSTALAÇÕES EM PEX ÁGUA, DN 20 MM X 3/4", COM ANEL DESLIZANTE - FORNECIMENTO E INSTALAÇÃO. AF_02/2023</t>
  </si>
  <si>
    <t>CONEXÃO FIXA, ROSCA MACHO, PARA INSTALAÇÕES EM PEX ÁGUA, DN 25 MM X 1", COM ANEL DESLIZANTE - FORNECIMENTO E INSTALAÇÃO. AF_02/2023</t>
  </si>
  <si>
    <t>CONEXÃO FIXA, ROSCA MACHO, PARA INSTALAÇÕES EM PEX ÁGUA, DN 25 MM X 1/2", COM ANEL DESLIZANTE - FORNECIMENTO E INSTALAÇÃO. AF_02/2023</t>
  </si>
  <si>
    <t>CONEXÃO FIXA, ROSCA MACHO, PARA INSTALAÇÕES EM PEX ÁGUA, DN 25 MM X 3/4", COM ANEL DESLIZANTE - FORNECIMENTO E INSTALAÇÃO. AF_02/2023</t>
  </si>
  <si>
    <t>CONEXÃO FIXA, ROSCA MACHO, PARA INSTALAÇÕES EM PEX ÁGUA, DN 32 MM X 1", COM ANEL DESLIZANTE - FORNECIMENTO E INSTALAÇÃO. AF_02/2023</t>
  </si>
  <si>
    <t>CONEXÃO MÓVEL, ROSCA FÊMEA, PARA INSTALAÇÕES EM PEX ÁGUA, DN 16 MM X 1/2", COM ANEL DESLIZANTE - FORNECIMENTO E INSTALAÇÃO. AF_02/2023</t>
  </si>
  <si>
    <t>CONEXÃO MÓVEL, ROSCA FÊMEA, PARA INSTALAÇÕES EM PEX ÁGUA, DN 20 MM X 1/2", COM ANEL DESLIZANTE - FORNECIMENTO E INSTALAÇÃO. AF_02/2023</t>
  </si>
  <si>
    <t>CONEXÃO MÓVEL, ROSCA FÊMEA, PARA INSTALAÇÕES EM PEX ÁGUA, DN 20 MM X 3/4", COM ANEL DESLIZANTE - FORNECIMENTO E INSTALAÇÃO. AF_02/2023</t>
  </si>
  <si>
    <t>CONEXÃO MÓVEL, ROSCA FÊMEA, PARA INSTALAÇÕES EM PEX ÁGUA, DN 25 MM X 1", COM ANEL DESLIZANTE - FORNECIMENTO E INSTALAÇÃO. AF_02/2023</t>
  </si>
  <si>
    <t>CONEXÃO MÓVEL, ROSCA FÊMEA, PARA INSTALAÇÕES EM PEX ÁGUA, DN 25 MM X 3/4", COM ANEL DESLIZANTE - FORNECIMENTO E INSTALAÇÃO. AF_02/2023</t>
  </si>
  <si>
    <t>CONEXÃO MÓVEL, ROSCA FÊMEA, PARA INSTALAÇÕES EM PEX ÁGUA, DN 32 MM X 1", COM ANEL DESLIZANTE - FORNECIMENTO E INSTALAÇÃO. AF_02/2023</t>
  </si>
  <si>
    <t>JOELHO 90 GRAUS, ROSCA FÊMEA TERMINAL, PARA INSTALAÇÕES EM PEX ÁGUA, DN 25 MM X 3/4", FIXAÇÃO DAS CONEXÕES POR CRIMPAGEM - FORNECIMENTO E INSTALAÇÃO. AF_02/2023</t>
  </si>
  <si>
    <t>JOELHO 90 GRAUS, ROSCA MACHO TERMINAL, PARA INSTALAÇÕES EM PEX ÁGUA, DN 16 MM X 1/2", COM ANEL DESLIZANTE - FORNECIMENTO E INSTALAÇÃO. AF_02/2023</t>
  </si>
  <si>
    <t>JOELHO 90 GRAUS, ROSCA MACHO TERMINAL, PARA INSTALAÇÕES EM PEX ÁGUA, DN 20 MM X 1/2", FIXAÇÃO DAS CONEXÕES POR CRIMPAGEM - FORNECIMENTO E INSTALAÇÃO. AF_02/2023</t>
  </si>
  <si>
    <t>JOELHO 90 GRAUS, ROSCA MACHO TERMINAL, PARA INSTALAÇÕES EM PEX ÁGUA, DN 20 MM X 3/4", FIXAÇÃO DAS CONEXÕES POR CRIMPAGEM - FORNECIMENTO E INSTALAÇÃO. AF_02/2023</t>
  </si>
  <si>
    <t>JOELHO 90 GRAUS, ROSCA MACHO TERMINAL, PARA INSTALAÇÕES EM PEX ÁGUA, DN 25 MM X 1", COM ANEL DESLIZANTE - FORNECIMENTO E INSTALAÇÃO. AF_02/2023</t>
  </si>
  <si>
    <t>JOELHO 90 GRAUS, ROSCA MACHO TERMINAL, PARA INSTALAÇÕES EM PEX ÁGUA, DN 25 MM X 1/2", COM ANEL DESLIZANTE - FORNECIMENTO E INSTALAÇÃO. AF_02/2023</t>
  </si>
  <si>
    <t>JOELHO 90 GRAUS, ROSCA MACHO TERMINAL, PARA INSTALAÇÕES EM PEX ÁGUA, DN 25 MM X 3/4", FIXAÇÃO DAS CONEXÕES POR CRIMPAGEM - FORNECIMENTO E INSTALAÇÃO. AF_02/2023</t>
  </si>
  <si>
    <t>JOELHO 90 GRAUS, ROSCA MACHO TERMINAL, PARA INSTALAÇÕES EM PEX ÁGUA, DN 32 MM X 1", COM ANEL DESLIZANTE - FORNECIMENTO E INSTALAÇÃO. AF_02/2023</t>
  </si>
  <si>
    <t>JOELHO ROSCA FÊMEA MÓVEL, PARA INSTALAÇÕES EM PEX ÁGUA, DN 16 MM X 1/2", COM ANEL DESLIZANTE - FORNECIMENTO E INSTALAÇÃO. AF_02/2023</t>
  </si>
  <si>
    <t>JOELHO ROSCA FÊMEA MÓVEL, PARA INSTALAÇÕES EM PEX ÁGUA, DN 20 MM X 1/2", COM ANEL DESLIZANTE - FORNECIMENTO E INSTALAÇÃO. AF_02/2023</t>
  </si>
  <si>
    <t>JOELHO ROSCA FÊMEA MÓVEL, PARA INSTALAÇÕES EM PEX ÁGUA, DN 25 MM X 3/4", COM ANEL DESLIZANTE - FORNECIMENTO E INSTALAÇÃO. AF_02/2023</t>
  </si>
  <si>
    <t>JOELHO, ROSCA FÊMEA, COM BASE FIXA, PARA INSTALAÇÕES EM PEX ÁGUA, DN 16 MM X 3/4", FIXAÇÃO DAS CONEXÕES POR CRIMPAGEM - FORNECIMENTO E INSTALAÇÃO. AF_02/2023</t>
  </si>
  <si>
    <t>JOELHO, ROSCA FÊMEA, COM BASE FIXA, PARA INSTALAÇÕES EM PEX ÁGUA, DN 20 MM X 3/4", FIXAÇÃO DAS CONEXÕES POR CRIMPAGEM - FORNECIMENTO E INSTALAÇÃO. AF_02/2023</t>
  </si>
  <si>
    <t>JOELHO, ROSCA FÊMEA, COM BASE FIXA, PARA INSTALAÇÕES EM PEX ÁGUA, DN 25 MM X 1/2", FIXAÇÃO DAS CONEXÕES POR CRIMPAGEM - FORNECIMENTO E INSTALAÇÃO. AF_02/2023</t>
  </si>
  <si>
    <t>LUVA DE REDUÇÃO, PARA INSTALAÇÕES EM PEX ÁGUA, DN 32 X 20 MM, FIXAÇÃO DAS CONEXÕES POR CRIMPAGEM - FORNECIMENTO E INSTALAÇÃO. AF_02/2023</t>
  </si>
  <si>
    <t>TAMPÃO / CAP, ROSCA FÊMEA, PARA INSTALAÇÕES EM PEX ÁGUA, DN 1/2" - FORNECIMENTO E INSTALAÇÃO. AF_02/2023</t>
  </si>
  <si>
    <t>TAMPÃO / CAP, ROSCA FÊMEA, PARA INSTALAÇÕES EM PEX ÁGUA, DN 3/4" - FORNECIMENTO E INSTALAÇÃO. AF_02/2023</t>
  </si>
  <si>
    <t>TAMPÃO / CAP, ROSCA MACHO, PARA INSTALAÇÕES EM PEX ÁGUA, DN 1/2" - FORNECIMENTO E INSTALAÇÃO. AF_02/2023</t>
  </si>
  <si>
    <t>TÊ DE REDUÇÃO, PARA INSTALAÇÕES EM PEX ÁGUA, DN 16 X 20 X 16 MM, COM ANEL DESLIZANTE - FORNECIMENTO E INSTALAÇÃO. AF_02/2023</t>
  </si>
  <si>
    <t>TÊ DE REDUÇÃO, PARA INSTALAÇÕES EM PEX ÁGUA, DN 16 X 25 X 16 MM, COM ANEL DESLIZANTE - FORNECIMENTO E INSTALAÇÃO. AF_02/2023</t>
  </si>
  <si>
    <t>TÊ DE REDUÇÃO, PARA INSTALAÇÕES EM PEX ÁGUA, DN 20 X 16 X 16 MM, COM ANEL DESLIZANTE - FORNECIMENTO E INSTALAÇÃO. AF_02/2023</t>
  </si>
  <si>
    <t>TÊ DE REDUÇÃO, PARA INSTALAÇÕES EM PEX ÁGUA, DN 20 X 16 X 20 MM, COM ANEL DESLIZANTE - FORNECIMENTO E INSTALAÇÃO. AF_02/2023</t>
  </si>
  <si>
    <t>TÊ DE REDUÇÃO, PARA INSTALAÇÕES EM PEX ÁGUA, DN 20 X 20 X 16 MM, COM ANEL DESLIZANTE - FORNECIMENTO E INSTALAÇÃO. AF_02/2023</t>
  </si>
  <si>
    <t>TÊ DE REDUÇÃO, PARA INSTALAÇÕES EM PEX ÁGUA, DN 20 X 25 X 20 MM, COM ANEL DESLIZANTE - FORNECIMENTO E INSTALAÇÃO. AF_02/2023</t>
  </si>
  <si>
    <t>TÊ DE REDUÇÃO, PARA INSTALAÇÕES EM PEX ÁGUA, DN 25 X 16 X 16 MM, COM ANEL DESLIZANTE - FORNECIMENTO E INSTALAÇÃO. AF_02/2023</t>
  </si>
  <si>
    <t>TÊ DE REDUÇÃO, PARA INSTALAÇÕES EM PEX ÁGUA, DN 25 X 16 X 20 MM, COM ANEL DESLIZANTE - FORNECIMENTO E INSTALAÇÃO. AF_02/2023</t>
  </si>
  <si>
    <t>TÊ DE REDUÇÃO, PARA INSTALAÇÕES EM PEX ÁGUA, DN 25 X 16 X 25 MM, COM ANEL DESLIZANTE - FORNECIMENTO E INSTALAÇÃO. AF_02/2023</t>
  </si>
  <si>
    <t>TÊ DE REDUÇÃO, PARA INSTALAÇÕES EM PEX ÁGUA, DN 25 X 20 X 20 MM, COM ANEL DESLIZANTE - FORNECIMENTO E INSTALAÇÃO. AF_02/2023</t>
  </si>
  <si>
    <t>TÊ DE REDUÇÃO, PARA INSTALAÇÕES EM PEX ÁGUA, DN 25 X 20 X 25 MM, COM ANEL DESLIZANTE - FORNECIMENTO E INSTALAÇÃO. AF_02/2023</t>
  </si>
  <si>
    <t>TÊ DE REDUÇÃO, PARA INSTALAÇÕES EM PEX ÁGUA, DN 25 X 32 X 25 MM, COM ANEL DESLIZANTE - FORNECIMENTO E INSTALAÇÃO. AF_02/2023</t>
  </si>
  <si>
    <t>TÊ DE REDUÇÃO, PARA INSTALAÇÕES EM PEX ÁGUA, DN 32 X 20 X 32 MM, COM ANEL DESLIZANTE - FORNECIMENTO E INSTALAÇÃO. AF_02/2023</t>
  </si>
  <si>
    <t>TÊ DE REDUÇÃO, PARA INSTALAÇÕES EM PEX ÁGUA, DN 32 X 25 X 25 MM, COM ANEL DESLIZANTE - FORNECIMENTO E INSTALAÇÃO. AF_02/2023</t>
  </si>
  <si>
    <t>TÊ DE REDUÇÃO, PARA INSTALAÇÕES EM PEX ÁGUA, DN 32 X 25 X 32 MM, COM ANEL DESLIZANTE - FORNECIMENTO E INSTALAÇÃO. AF_02/2023</t>
  </si>
  <si>
    <t>TÊ MISTURADOR, PARA INSTALAÇÕES EM PEX ÁGUA, DN 16 MM X 1/2", COM ANEL DESLIZANTE - FORNECIMENTO E INSTALAÇÃO. AF_02/2023</t>
  </si>
  <si>
    <t>TÊ MISTURADOR, PARA INSTALAÇÕES EM PEX ÁGUA, DN 20 MM X 3/4", COM ANEL DESLIZANTE - FORNECIMENTO E INSTALAÇÃO. AF_02/2023</t>
  </si>
  <si>
    <t>TÊ ROSCA FÊMEA, PARA INSTALAÇÕES EM PEX ÁGUA, DN 20 MM X 3/4", COM ANEL DESLIZANTE - FORNECIMENTO E INSTALAÇÃO. AF_02/2023</t>
  </si>
  <si>
    <t>TÊ ROSCA FÊMEA, PARA INSTALAÇÕES EM PEX ÁGUA, DN 25 MM X 1/2", COM ANEL DESLIZANTE - FORNECIMENTO E INSTALAÇÃO. AF_02/2023</t>
  </si>
  <si>
    <t>TÊ ROSCA MACHO, PARA INSTALAÇÕES EM PEX ÁGUA, DN 16 MM X 1/2", COM ANEL DESLIZANTE - FORNECIMENTO E INSTALAÇÃO. AF_02/2023</t>
  </si>
  <si>
    <t>TÊ ROSCA MACHO, PARA INSTALAÇÕES EM PEX ÁGUA, DN 20 MM X 1/2", COM ANEL DESLIZANTE - FORNECIMENTO E INSTALAÇÃO. AF_02/2023</t>
  </si>
  <si>
    <t>TÊ ROSCA MACHO, PARA INSTALAÇÕES EM PEX ÁGUA, DN 20 MM X 3/4", COM ANEL DESLIZANTE - FORNECIMENTO E INSTALAÇÃO. AF_02/2023</t>
  </si>
  <si>
    <t>TÊ ROSCA MACHO, PARA INSTALAÇÕES EM PEX ÁGUA, DN 25 MM X 3/4", COM ANEL DESLIZANTE - FORNECIMENTO E INSTALAÇÃO. AF_02/2023</t>
  </si>
  <si>
    <t>TÊ ROSCA MACHO, PARA INSTALAÇÕES EM PEX ÁGUA, DN 32 MM X 3/4", COM ANEL DESLIZANTE - FORNECIMENTO E INSTALAÇÃO. AF_02/2023</t>
  </si>
  <si>
    <t>RALO LINEAR, EM PVC COM GRELHA INOX, JUNTA SOLDÁVEL, FORNECIDO E INSTALADO EM RAMAL DE DESCARGA OU EM RAMAL DE ESGOTO SANITÁRIO. AF_08/2022</t>
  </si>
  <si>
    <t>BOX FRONTAL DE CORRER, COM VIDRO TEMPERADO 8 MM, 190X100CM, 1 FOLHA FIXA, 1 FOLHA MÓVEL, PERFIS E FERRAGENS EM ALUMÍNIO. AF_01/2021</t>
  </si>
  <si>
    <t>DIVISORIA (N2) - PAINEL/VIDRO - PAINEL C/ MSO/COMEIA E=35MM - PERFIS SIMPLES ACO GALVANIZADO PINTADO. AF_04/2021</t>
  </si>
  <si>
    <t>DIVISORIA (N2) - PAINEL/VIDRO - PAINEL DE PVC E=35MM - PERFIS SIMPLES ACO GALVANIZADO PINTADO. AF_01/2021</t>
  </si>
  <si>
    <t>DIVISORIA (N2) - PAINEL/VIDRO - PAINEL MDF/VIDRO 6 MM, LINHA 90 MM - PERFIS DE ALUMÍNIO EXTRUDADO. AF_01/2021</t>
  </si>
  <si>
    <t>DIVISORIA (N3) - PAINEL/VIDRO/PAINEL MSO/COMEIA E=35MM - PERFIS SIMPLES ACO GALVANIZADO PINTADO. AF_04/2021</t>
  </si>
  <si>
    <t>DIVISORIA (N3) - PAINEL/VIDRO/PAINEL PVC E=35MM - PERFIS SIMPLES ACO GALVANIZADO PINTADO. AF_01/2021</t>
  </si>
  <si>
    <t>DIVISORIA CEGA (N1) - PAINEL MDF, LINHA 90 MM - PERFIS DE ALUMÍNIO EXTRUDADO. AF_01/2021</t>
  </si>
  <si>
    <t>DIVISORIA CEGA (N1) - PAINEL MSO/COMEIA E=35MM - PERFIS SIMPLES ACO GALVANIZADO PINTADO. AF_04/2021</t>
  </si>
  <si>
    <t>DIVISORIA CEGA (N1) - PAINEL PVC E=35MM - PERFIS SIMPLES ACO GALVANIZADO PINTADO. AF_01/2021</t>
  </si>
  <si>
    <t>DIVISÓRIA (N3) - PAINEL/VIDRO/PAINEL MDF, LINHA 90 MM - PERFIS DE ALUMINIO EXTRUDADO. AF_01/2021</t>
  </si>
  <si>
    <t>DIVISÓRIA EM VIDRO TEMPERADO 10 MM COM PORTA DE CORRER, INCLUSIVE FERRAGENS. AF_01/2021</t>
  </si>
  <si>
    <t>DIVISÓRIA SANITÁRIA, TIPO CABINE, EM PAINÉIS DE PVC, INCLUSIVE ESTRUTURA, PORTA E FERRAGENS. AF_01/2021</t>
  </si>
  <si>
    <t>DIVISÓRIA SANITÁRIA, TIPO CABINE, EM PAINÉIS ESTRUTURAIS TS, INCLUSIVE ESTRUTURA, PORTA E FERRAGENS. AF_01/2021</t>
  </si>
  <si>
    <t>PORTA DE CABINE SANITÁRIA EM VIDRO TEMPERADO 8MM, INCLUSIVE DOBRADIÇAS, BATENTE, TRINCO E CONTRA-TRINCO. AF_01/2021</t>
  </si>
  <si>
    <t>PORTA PARA DIVISÓRIA MDF/VIDRO 6 MM, LINHA 90 MM, 0,80 X 2,10 M - PERFIS DE ALUMINIO EXTRUDADO, INCLUSO PORTAL, BATENTES, DOBRADIÇAS E FECHADURA. AF_01/2021</t>
  </si>
  <si>
    <t>PORTA/PAINEL PARA DIVISÓRIA MDF, LINHA 90 MM, *0,80 X 2,10* M - PERFIS DE ALUMINIO EXTRUDADO, INCLUSO PORTAL, BATENTES, DOBRADIÇAS E FECHADURA. AF_01/2021</t>
  </si>
  <si>
    <t>PORTA/VIDRO PARA DIVISÓRIA (N2) - PAINEL DE PVC E=35MM, S/ BONECA, INCLUSO BATENTE, TESTEIRO, DOBRADIÇAS E FECHADURA. AF_01/2021</t>
  </si>
  <si>
    <t>CONEXÃO FIXA, ROSCA MACHO, METÁLICA, PARA INSTALAÇÕES EM PEX MULTICAMADA, DN 16MM X 1/2", CONEXÃO POR CRIMPAGEM - FORNECIMENTO E INSTALAÇÃO. AF_01/2020</t>
  </si>
  <si>
    <t>FIXAÇÃO DE TUBOS VERTICAIS DE MULTICAMADA, DIÂMETROS MENORES OU IGUAIS A 32 MM, COM ABRAÇADEIRA TIPO SUPORTE MÚLTIPLO, FIXADA EM PAREDE EXTERNA - FORNECIMENTO E INSTALAÇÃO. AF_01/2020</t>
  </si>
  <si>
    <t>JOELHO 90 GRAUS, PARA INSTALAÇÕES EM PEX MULTICAMADA, DN 16 MM, CONEXÃO POR CRIMPAGEM - FORNECIMENTO E INSTALAÇÃO. AF_01/2020</t>
  </si>
  <si>
    <t>JOELHO 90 GRAUS, PARA INSTALAÇÕES EM PEX MULTICAMADA, DN 20 MM, CONEXÃO POR CRIMPAGEM - FORNECIMENTO E INSTALAÇÃO. AF_01/2020</t>
  </si>
  <si>
    <t>JOELHO 90 GRAUS, PARA INSTALAÇÕES EM PEX MULTICAMADA, DN 26 MM, CONEXÃO POR CRIMPAGEM - FORNECIMENTO E INSTALAÇÃO. AF_01/2020</t>
  </si>
  <si>
    <t>JOELHO 90 GRAUS, PARA INSTALAÇÕES EM PEX MULTICAMADA, DN 32 MM, CONEXÃO POR CRIMPAGEM - FORNECIMENTO E INSTALAÇÃO. AF_01/2020</t>
  </si>
  <si>
    <t>JOELHO 90 GRAUS, ROSCA FÊMEA, PARA INSTALAÇÕES EM PEX MULTICAMADA, DN 16 MM X 1/2'', CONEXÃO POR CRIMPAGEM - FORNECIMENTO E INSTALAÇÃO. AF_01/2020</t>
  </si>
  <si>
    <t>JOELHO 90 GRAUS, ROSCA FÊMEA, PARA INSTALAÇÕES EM PEX MULTICAMADA, DN 20 MM X 3/4", CONEXÃO POR CRIMPAGEM - FORNECIMENTO E INSTALAÇÃO. AF_01/2020</t>
  </si>
  <si>
    <t>JOELHO 90 GRAUS, ROSCA FÊMEA, PARA INSTALAÇÕES EM PEX MULTICAMADA, DN 25 MM X 1'', CONEXÃO POR CRIMPAGEM - FORNECIMENTO E INSTALAÇÃO. AF_01/2020</t>
  </si>
  <si>
    <t>JOELHO 90 GRAUS, ROSCA FÊMEA, PARA INSTALAÇÕES EM PEX MULTICAMADA, DN 32 MM X 1 1/4'', CONEXÃO POR CRIMPAGEM - FORNECIMENTO E INSTALAÇÃO. AF_01/2020</t>
  </si>
  <si>
    <t>JOELHO 90 GRAUS, ROSCA MACHO, PARA INSTALAÇÕES EM PEX MULTICAMADA, DN 16 MM X 1/2'', CONEXÃO POR CRIMPAGEM - FORNECIMENTO E INSTALAÇÃO. AF_01/2020</t>
  </si>
  <si>
    <t>JOELHO 90 GRAUS, ROSCA MACHO, PARA INSTALAÇÕES EM PEX MULTICAMADA, DN 20 MM X 3/4", CONEXÃO POR CRIMPAGEM - FORNECIMENTO E INSTALAÇÃO. AF_01/2020</t>
  </si>
  <si>
    <t>JOELHO 90 GRAUS, ROSCA MACHO, PARA INSTALAÇÕES EM PEX MULTICAMADA, DN 25 MM X 1'', CONEXÃO POR CRIMPAGEM - FORNECIMENTO E INSTALAÇÃO. AF_01/2020</t>
  </si>
  <si>
    <t>JOELHO 90 GRAUS, ROSCA MACHO, PARA INSTALAÇÕES EM PEX MULTICAMADA, DN 32 MM X 1 1/4'', CONEXÃO POR CRIMPAGEM - FORNECIMENTO E INSTALAÇÃO. AF_01/2020</t>
  </si>
  <si>
    <t>KIT CAVALETE PARA GÁS - COM MEDIDOR E REGULADOR - ENTRADA INDIVIDUAL PRINCIPAL, EM AÇO GALVANIZADO DN 15 E 25 MM (1/2" E 1") - FORNECIMENTO E INSTALAÇÃO. AF_01/2020</t>
  </si>
  <si>
    <t>KIT CAVALETE PARA GÁS - SEM MEDIDOR COM REGULADOR - ENTRADA INDIVIDUAL PRINCIPAL, EM AÇO GALVANIZADO DN 15 E 25 MM (1/2" E 1") - FORNECIMENTO E INSTALAÇÃO. AF_01/2020</t>
  </si>
  <si>
    <t>LUVA DE REDUÇÃO PARA INSTALAÇÕES EM PEX MULTICAMADA, DN 20 X 16 MM, CONEXÃO POR CRIMPAGEM - FORNECIMENTO E INSTALAÇÃO. AF_01/2020</t>
  </si>
  <si>
    <t>LUVA DE REDUÇÃO PARA INSTALAÇÕES EM PEX MULTICAMADA, DN 26 X 20 MM, CONEXÃO POR CRIMPAGEM - FORNECIMENTO E INSTALAÇÃO. AF_01/2020</t>
  </si>
  <si>
    <t>LUVA DE REDUÇÃO PARA INSTALAÇÕES EM PEX MULTICAMADA, DN 32 X 26 MM, CONEXÃO POR CRIMPAGEM - FORNECIMENTO E INSTALAÇÃO. AF_01/2020</t>
  </si>
  <si>
    <t>LUVA PARA INSTALAÇÕES EM PEX MULTICAMADA, DN 16 MM, CONEXÃO POR CRIMPAGEM - FORNECIMENTO E INSTALAÇÃO. AF_01/2020</t>
  </si>
  <si>
    <t>LUVA PARA INSTALAÇÕES EM PEX MULTICAMADA, DN 20 MM, CONEXÃO POR CRIMPAGEM - FORNECIMENTO E INSTALAÇÃO. AF_01/2020</t>
  </si>
  <si>
    <t>LUVA PARA INSTALAÇÕES EM PEX MULTICAMADA, DN 26 MM, CONEXÃO POR CRIMPAGEM - FORNECIMENTO E INSTALAÇÃO. AF_01/2020</t>
  </si>
  <si>
    <t>LUVA PARA INSTALAÇÕES EM PEX MULTICAMADA, DN 32 MM, CONEXÃO POR CRIMPAGEM - FORNECIMENTO E INSTALAÇÃO. AF_01/2020</t>
  </si>
  <si>
    <t>TUBO, PEX, MULTICAMADA, COM PROTEÇÃO UV, DN 16, INSTALADO EM IMPLANTAÇÃO DE INSTALAÇÕES DE GÁS - FORNECIMENTO E INSTALAÇÃO. AF_01/2020</t>
  </si>
  <si>
    <t>TUBO, PEX, MULTICAMADA, COM PROTEÇÃO UV, DN 16, INSTALADO EM PRUMADA DE INSTALAÇÕES DE GÁS - FORNECIMENTO E INSTALAÇÃO. AF_01/2020</t>
  </si>
  <si>
    <t>TUBO, PEX, MULTICAMADA, COM PROTEÇÃO UV, DN 20, INSTALADO EM IMPLANTAÇÃO DE INSTALAÇÕES DE GÁS - FORNECIMENTO E INSTALAÇÃO. AF_01/2020</t>
  </si>
  <si>
    <t>TUBO, PEX, MULTICAMADA, COM PROTEÇÃO UV, DN 20, INSTALADO EM PRUMADA DE INSTALAÇÕES DE GÁS - FORNECIMENTO E INSTALAÇÃO. AF_01/2020</t>
  </si>
  <si>
    <t>TUBO, PEX, MULTICAMADA, COM PROTEÇÃO UV, DN 25, INSTALADO EM PRUMADA DE INSTALAÇÕES DE GÁS - FORNECIMENTO E INSTALAÇÃO. AF_01/2020</t>
  </si>
  <si>
    <t>TUBO, PEX, MULTICAMADA, COM PROTEÇÃO UV, DN 26, INSTALADO EM IMPLANTAÇÃO DE INSTALAÇÕES DE GÁS - FORNECIMENTO E INSTALAÇÃO. AF_01/2020</t>
  </si>
  <si>
    <t>TUBO, PEX, MULTICAMADA, COM PROTEÇÃO UV, DN 32, INSTALADO EM IMPLANTAÇÃO DE INSTALAÇÕES DE GÁS - FORNECIMENTO E INSTALAÇÃO. AF_01/2020</t>
  </si>
  <si>
    <t>TUBO, PEX, MULTICAMADA, COM PROTEÇÃO UV, DN 32, INSTALADO EM PRUMADA DE INSTALAÇÕES DE GÁS - FORNECIMENTO E INSTALAÇÃO. AF_01/2020</t>
  </si>
  <si>
    <t>TÊ, PARA INSTALAÇÕES EM PEX MULTICAMADA, DN 16 MM, CONEXÃO POR CRIMPAGEM - FORNECIMENTO E INSTALAÇÃO. AF_01/2020</t>
  </si>
  <si>
    <t>TÊ, PARA INSTALAÇÕES EM PEX MULTICAMADA, DN 20 MM, CONEXÃO POR CRIMPAGEM - FORNECIMENTO E INSTALAÇÃO. AF_01/2020</t>
  </si>
  <si>
    <t>TÊ, PARA INSTALAÇÕES EM PEX MULTICAMADA, DN 26 MM, CONEXÃO POR CRIMPAGEM - FORNECIMENTO E INSTALAÇÃO. AF_01/2020</t>
  </si>
  <si>
    <t>TÊ, PARA INSTALAÇÕES EM PEX MULTICAMADA, DN 32 MM, CONEXÃO POR CRIMPAGEM - FORNECIMENTO E INSTALAÇÃO. AF_01/2020</t>
  </si>
  <si>
    <t>AR CONDICIONADO JANELA, 10000 BTU/H, CICLO FRIO - FORNECIMENTO E INSTALAÇÃO. AF_11/2021</t>
  </si>
  <si>
    <t>AR CONDICIONADO JANELA, 12000 BTU/H, CICLO FRIO - FORNECIMENTO E INSTALAÇÃO. AF_11/2021</t>
  </si>
  <si>
    <t>AR CONDICIONADO JANELA, 7500 BTU/H, CICLO FRIO - FORNECIMENTO E INSTALAÇÃO. AF_11/2021</t>
  </si>
  <si>
    <t>AR CONDICIONADO SPLIT DUTO, 18000 BTU/H, CICLO QUENTE/FRIO - FORNECIMENTO E INSTALAÇÃO. AF_11/2021</t>
  </si>
  <si>
    <t>AR CONDICIONADO SPLIT DUTO, 24000 BTU/H, CICLO QUENTE/FRIO - FORNECIMENTO E INSTALAÇÃO. AF_11/2021</t>
  </si>
  <si>
    <t>AR CONDICIONADO SPLIT DUTO, 36000 BTU/H, CICLO QUENTE/FRIO - FORNECIMENTO E INSTALAÇÃO. AF_11/2021</t>
  </si>
  <si>
    <t>DAMPER DE REGULAGEM PARA SISTEMA DE AR CONDICIONADO, 1000X500 MM - FORNECIMENTO E INSTALAÇÃO. AF_11/2021</t>
  </si>
  <si>
    <t>DIFUSOR PARA SISTEMA DE AR CONDICIONADO, 400X400 MM - FORNECIMENTO E INSTALAÇÃO. AF_11/2021</t>
  </si>
  <si>
    <t>GRELHA PARA SISTEMA DE AR CONDICIONADO, 400X400 MM - FORNECIMENTO E INSTALAÇÃO. AF_11/2021</t>
  </si>
  <si>
    <t>INSTALAÇÃO DE CATRACA ELETRÔNICA. AF_03/2024</t>
  </si>
  <si>
    <t>PAREDE DE MADEIRA OSB PARA CONSTRUÇÃO TEMPORÁRIA EM CHAPA DUPLA, EXTERNA, COM ÁREA LÍQUIDA MAIOR OU IGUAL A QUE 6 M², COM VÃO. AF_03/2024</t>
  </si>
  <si>
    <t>PAREDE DE MADEIRA OSB PARA CONSTRUÇÃO TEMPORÁRIA EM CHAPA DUPLA, EXTERNA, COM ÁREA LÍQUIDA MENOR QUE 6 M², COM VÃO. AF_03/2024</t>
  </si>
  <si>
    <t>PAREDE DE MADEIRA OSB PARA CONSTRUÇÃO TEMPORÁRIA EM CHAPA DUPLA, EXTERNA, SEM VÃO. AF_03/2024</t>
  </si>
  <si>
    <t>PAREDE DE MADEIRA OSB PARA CONSTRUÇÃO TEMPORÁRIA EM CHAPA DUPLA, INTERNA, COM ÁREA LÍQUIDA MAIOR OU IGUAL A 6 M², COM VÃO. AF_03/2024</t>
  </si>
  <si>
    <t>PAREDE DE MADEIRA OSB PARA CONSTRUÇÃO TEMPORÁRIA EM CHAPA DUPLA, INTERNA, COM ÁREA LÍQUIDA MENOR QUE 6 M², COM VÃO. AF_03/2024</t>
  </si>
  <si>
    <t>PAREDE DE MADEIRA OSB PARA CONSTRUÇÃO TEMPORÁRIA EM CHAPA DUPLA, INTERNA, SEM VÃO. AF_03/2024</t>
  </si>
  <si>
    <t>PAREDE DE MADEIRA OSB PARA CONSTRUÇÃO TEMPORÁRIA EM CHAPA SIMPLES, EXTERNA, COM ÁREA LÍQUIDA MAIOR OU IGUAL A 6 M², COM VÃO. AF_03/2024</t>
  </si>
  <si>
    <t>PAREDE DE MADEIRA OSB PARA CONSTRUÇÃO TEMPORÁRIA EM CHAPA SIMPLES, EXTERNA, COM ÁREA LÍQUIDA MENOR QUE 6 M², COM VÃO. AF_03/2024</t>
  </si>
  <si>
    <t>PAREDE DE MADEIRA OSB PARA CONSTRUÇÃO TEMPORÁRIA EM CHAPA SIMPLES, EXTERNA, SEM VÃO. AF_03/2024</t>
  </si>
  <si>
    <t>PAREDE DE MADEIRA OSB PARA CONSTRUÇÃO TEMPORÁRIA EM CHAPA SIMPLES, INTERNA, COM ÁREA LÍQUIDA MAIOR OU IGUAL A 6 M², COM VÃO. AF_03/2024</t>
  </si>
  <si>
    <t>PAREDE DE MADEIRA OSB PARA CONSTRUÇÃO TEMPORÁRIA EM CHAPA SIMPLES, INTERNA, COM ÁREA LÍQUIDA MENOR QUE 6 M², COM VÃO. AF_03/2024</t>
  </si>
  <si>
    <t>PAREDE DE MADEIRA OSB PARA CONSTRUÇÃO TEMPORÁRIA EM CHAPA SIMPLES, INTERNA, SEM VÃO. AF_03/2024</t>
  </si>
  <si>
    <t>TAPUME COM CHAPA METÁLICA. AF_03/2024</t>
  </si>
  <si>
    <t>TAPUME EM CHAPA DE MADEIRA OSB. AF_03/2024</t>
  </si>
  <si>
    <t>COLAR DE TOMADA, FERRO FUNDIDO, COM PARAFUSOS, DN 50 MM X 3/4", PARA LIGAÇÃO PREDIAL DE ÁGUA. AF_06/2022</t>
  </si>
  <si>
    <t>COLAR TOMADA EM FERRO FUNDIDO, COM PARAFUSOS, SAIDA COM ROSCA, DN 75 MM X 3/4", PARA LIGACAO PREDIAL DE AGUA. AF_06/2022</t>
  </si>
  <si>
    <t>REGISTRO ESFERA, LATÃO NIQUELADO, COM ROSCA, 3/4", PARA LIGAÇÃO PREDIAL DE ÁGUA. AF_06/2022</t>
  </si>
  <si>
    <t>TÊ DE REDUÇÃO, PVC OCRE, JUNTA ELÁSTICA, DN 150 X 100 MM, PARA COLETOR PREDIAL DE ESGOTO. AF_06/2022</t>
  </si>
  <si>
    <t>TÊ DE REDUÇÃO, PVC OCRE, JUNTA ELÁSTICA, DN 300 X 100 MM, PARA COLETOR PREDIAL DE ESGOTO. AF_06/2022</t>
  </si>
  <si>
    <t>TÊ DE REDUÇÃO, PVC OCRE, JUNTA ELÁSTICA, DN 300 X 150 MM, PARA COLETOR PREDIAL DE ESGOTO. AF_06/2022</t>
  </si>
  <si>
    <t>TÊ DE SERVIÇO INTEGRADO, POLIPROPILENO, PARA TUBOS EM PEAD, 63 MM X 32 MM, PARA LIGAÇÃO PREDIAL DE ÁGUA. AF_06/2022</t>
  </si>
  <si>
    <t>TÊ DE SERVIÇO INTEGRADO, POLIPROPILENO, PARA TUBOS EM PEAD, 90 MM X 20 MM, PARA LIGAÇÃO PREDIAL DE ÁGUA. AF_06/2022</t>
  </si>
  <si>
    <t>TÊ DE SERVIÇO INTEGRADO, POLIPROPILENO, PARA TUBOS EM PEAD, 90 MM X 32 MM, PARA LIGAÇÃO PREDIAL DE ÁGUA. AF_06/2022</t>
  </si>
  <si>
    <t>LIMPEZA DE PISO UTILIZANDO DETERGENTE NEUTRO E ESCOVAÇÃO . AF_04/2019</t>
  </si>
  <si>
    <t>CURSO DE CAPACITAÇÃO PARA INSTALADOR DE PISO ELEVADO (ENCARGOS COMPLEMENTARES) - HORISTA</t>
  </si>
  <si>
    <t>CURSO DE CAPACITAÇÃO PARA MONTADOR DE FÔRMAS DO SISTEMA DE PAREDES DE CONCRETO (ENCARGOS COMPLEMENTARES) - HORISTA</t>
  </si>
  <si>
    <t>INSTALADOR DE PISO ELEVADO COM ENCARGOS COMPLEMENTARES</t>
  </si>
  <si>
    <t>MONTADOR DE FÔRMAS DO SISTEMA DE PAREDES DE CONCRETO COM ENCARGOS COMPLEMENTARES</t>
  </si>
  <si>
    <t>LOCAÇÃO COM USO EXCLUSIVO DE EQUIPAMENTO TOPOGRÁFICO. AF_03/2024</t>
  </si>
  <si>
    <t>LOCAÇÃO DE PAVIMENTAÇÃO. AF_03/2024</t>
  </si>
  <si>
    <t>LOCAÇÃO DE PONTO PARA REFERÊNCIA TOPOGRÁFICA. AF_03/2024</t>
  </si>
  <si>
    <t>MARCAÇÃO DE PONTOS EM GABARITO OU CAVALETE, COM USO DE ESTAÇÃO TOTAL. AF_03/2024</t>
  </si>
  <si>
    <t>ASSENTO SANITÁRIO PARA PCD - FORNECIMENTO E INSTALACAO. AF_01/2020</t>
  </si>
  <si>
    <t>INSTALAÇÃO DE BALIZADOR METÁLICO COM LED, EM ALUMÍNIO COM DIFUSOR EM POLICARBONATO E DIMENSÕES 6,2 CM X30 CM, COM PINTURA ELETROSTÁTICA, SOBRE PISO DE CONCRETO EXISTENTE. AF_11/2021</t>
  </si>
  <si>
    <t>INSTALAÇÃO DE BALIZADOR METÁLICO, MODELO OLEGÁRIO, EM TUBO DE AÇO GALVANIZADO ESPESSURA 3" E DIMENSÕES 9 CM X 78,5 CM, COM PINTURA ELETROSTÁTICA, SOBRE PISO DE CONCRETO EXISTENTE. AF_11/2021</t>
  </si>
  <si>
    <t>INSTALAÇÃO DE BALIZADOR METÁLICO, MODELO OLEGÁRIO, EM TUBO DE AÇO GALVANIZADO ESPESSURA 3" E DIMENSÕES 9 CM X 78,5 CM, COM PINTURA ELETROSTÁTICA, SOBRE SOLO. AF_11/2021</t>
  </si>
  <si>
    <t>INSTALAÇÃO DE BALIZADOR PRÉ-FABRICADO DE CONCRETO, DIMENSÕES 30 CM X 60 CM, SOBRE PISO DE CONCRETO EXISTENTE. AF_11/2021</t>
  </si>
  <si>
    <t>INSTALAÇÃO DE BALIZADOR PRÉ-FABRICADO DE CONCRETO, DIMENSÕES 30 CM X 60 CM, SOBRE SOLO. AF_11/2021</t>
  </si>
  <si>
    <t>INSTALAÇÃO DE BANCO CIRCULAR PRÉ-FABRICADO DE CONCRETO, DIMENSÕES 60 CM X 40 CM. AF_11/2021</t>
  </si>
  <si>
    <t>INSTALAÇÃO DE BANCO METÁLICO SEM ENCOSTO, EM TUBOS E CHAPAS DE AÇO CARBONO, PINTURA POR PROCESSO ELETROSTÁTICO, DIMENSÕES 49 CM X 157 CM X 34 CM, SOBRE PISO DE CONCRETO EXISTENTE. AF_11/2021</t>
  </si>
  <si>
    <t>INSTALAÇÃO DE BANCO PRÉ-FABRICADO DE CONCRETO COM ENCOSTO, DIMENSÕES 180 CM X 64 CM X 89 CM, SOBRE PISO DE CONCRETO EXISTENTE. AF_11/2021</t>
  </si>
  <si>
    <t>INSTALAÇÃO DE BANCO PRÉ-FABRICADO DE CONCRETO COM ENCOSTO, DIMENSÕES 180 CM X 64 CM X 89 CM, SOBRE SOLO. AF_11/2021</t>
  </si>
  <si>
    <t>INSTALAÇÃO DE BANCO PRÉ-FABRICADO DE CONCRETO SEM ENCOSTO, DIMENSÕES 115 CM X 50 CM X 45 CM, SOBRE PISO DE CONCRETO EXISTENTE. AF_11/2021</t>
  </si>
  <si>
    <t>INSTALAÇÃO DE BANCO PRÉ-FABRICADO DE CONCRETO SEM ENCOSTO, DIMENSÕES 115 CM X 50 CM X 45 CM, SOBRE SOLO. AF_11/2021</t>
  </si>
  <si>
    <t>INSTALAÇÃO DE BICICLETÁRIO MODELO U INVERTIDO, DIMENSÕES 110 CM X 78 CM EM TUBO CIRCULAR DE AÇO Ø 2'' COM PINTURA ELETROSTÁTICA, FIXADO COM CONCRETO, SOBRE SOLO. AF_11/2021</t>
  </si>
  <si>
    <t>INSTALAÇÃO DE BICICLETÁRIO MODELO U INVERTIDO, DIMENSÕES 82 CM X 78 CM EM TUBO CIRCULAR DE AÇO Ø 2'' COM PINTURA ELETROSTÁTICA, FIXADO COM CHUMBADOR MECÂNICO, SOBRE PISO DE CONCRETO EXISTENTE. AF_11/2021</t>
  </si>
  <si>
    <t>INSTALAÇÃO DE BICICLETÁRIO MODELO U INVERTIDO, DIMENSÕES 82 CM X 78 CM EM TUBO CIRCULAR DE AÇO Ø 2'' COM PINTURA ELETROSTÁTICA, FIXADO COM CONCRETO, SOBRE PISO DE CONCRETO EXISTENTE. AF_11/2021</t>
  </si>
  <si>
    <t>INSTALAÇÃO DE CONJUNTO COM MESA E QUATRO BANCOS PRÉ-FABRICADO DE CONCRETO, DIMENSÕES 90 CM X 95 CM (MESA) E 20 CM X 60 CM (BANCO), SOBRE PISO DE CONCRETO EXISTENTE. AF_11/2021</t>
  </si>
  <si>
    <t>INSTALAÇÃO DE CONJUNTO COM MESA E QUATRO BANCOS PRÉ-FABRICADO DE CONCRETO, DIMENSÕES 90 CM X 95 CM (MESA) E 20 CM X 60 CM (BANCO), SOBRE SOLO. AF_11/2021</t>
  </si>
  <si>
    <t>INSTALAÇÃO DE FLOREIRA CIRCULAR PRÉ-FABRICADO DE CONCRETO, DIMENSÕES 60 CM X 40 CM. AF_11/2021</t>
  </si>
  <si>
    <t>INSTALAÇÃO DE LIXEIRA PRÉ-FABRICADA DE CONCRETO, VOLUME MÍNIMO DE 120 L. AF_11/2021</t>
  </si>
  <si>
    <t>MONTAGEM E DESMONTAGEM DE GRUA ASCENSIONAL, UTILIZAÇÃO DE GUINDASTE AUTOPROPELIDO 90T. AF_03/2024</t>
  </si>
  <si>
    <t>MONTAGEM E DESMONTAGEM DE GRUA ASCENSIONAL, UTILIZAÇÃO DE GUINDASTE DERRICK. AF_03/2024</t>
  </si>
  <si>
    <t>PLANTIO DE ESPÉCIE VEGETAL, TIPO COMIGO-NINGUÉM-PODE OU EQUIVALENTE, COM ALTURA DE MUDA MAIOR QUE 0,50 M E MENOR OU IGUAL A 1,00 M. AF_07/2024</t>
  </si>
  <si>
    <t>PLANTIO DE ESPÉCIE VEGETAL, TIPO COMIGO-NINGUÉM-PODE OU EQUIVALENTE, COM ALTURA DE MUDA MAIOR QUE 1,00 M. AF_07/2024</t>
  </si>
  <si>
    <t>PLANTIO DE ESPÉCIE VEGETAL, TIPO COMIGO-NINGUÉM-PODE OU EQUIVALENTE, COM ALTURA DE MUDA MENOR OU IGUAL A 0,50 M. AF_07/2024</t>
  </si>
  <si>
    <t>PLANTIO DE PALMEIRA COM ALTURA DE MUDA MAIOR QUE 2,00 M E MENOR OU IGUAL A 4,00 M. AF_07/2024</t>
  </si>
  <si>
    <t>PLANTIO DE PALMEIRA COM ALTURA DE MUDA MAIOR QUE 4,00 M . AF_07/2024</t>
  </si>
  <si>
    <t>PLANTIO DE ÁRVORE FRUTÍFERA COM ALTURA DE MUDA MAIOR QUE 2,00 M E MENOR OU IGUAL A 4,00 M. AF_07/2024</t>
  </si>
  <si>
    <t>PLANTIO DE ÁRVORE FRUTÍFERA COM ALTURA DE MUDA MAIOR QUE 4,00 M. AF_07/2024</t>
  </si>
  <si>
    <t>PLANTIO DE ÁRVORE FRUTÍFERA COM ALTURA DE MUDA MENOR OU IGUAL A 2,00 M. AF_07/2024</t>
  </si>
  <si>
    <t>PLANTIO DE ÁRVORE ORNAMENTAL COM ALTURA DE MUDA MAIOR QUE 4,00 M. AF_07/2024</t>
  </si>
  <si>
    <t>ARMAÇÃO DO SISTEMA DE PAREDES DE CONCRETO, EXECUTADA COMO ARMADURA NEGATIVA DE LAJES, TELA L-196. AF_12/2024</t>
  </si>
  <si>
    <t>ARMAÇÃO DO SISTEMA DE PAREDES DE CONCRETO, EXECUTADA COMO ARMADURA NEGATIVA DE LAJES, TELA T-138. AF_12/2024</t>
  </si>
  <si>
    <t>ARMAÇÃO DO SISTEMA DE PAREDES DE CONCRETO, EXECUTADA COMO ARMADURA NEGATIVA DE LAJES, TELA T-159. AF_12/2024</t>
  </si>
  <si>
    <t>ARMAÇÃO DO SISTEMA DE PAREDES DE CONCRETO, EXECUTADA EM PAREDES DE EDIFICAÇÕES UNIFAMILIARES, TELA Q-75. AF_12/2024</t>
  </si>
  <si>
    <t>CONCRETAGEM DE EDIFICAÇÕES (PAREDES E LAJES) FEITAS COM SISTEMA DE FÔRMAS MANUSEÁVEIS, COM CONCRETO USINADO AUTOADENSÁVEL REFORÇADO COM FIBRAS DE POLIPROPILENO, FCK 25 MPA - LANÇAMENTO E ACABAMENTO. AF_09/2024</t>
  </si>
  <si>
    <t>CONCRETAGEM DE ESCADAS EM EDIFICAÇÕES MULTIFAMILIARES FEITAS COM SISTEMA DE FÔRMAS MANUSEÁVEIS COM CONCRETO USINADO AUTOADENSÁVEL REFORÇADO COM FIBRAS DE POLIPROPILENO, FCK 25 MPA - LANÇAMENTO E ACABAMENTO. AF_09/2024</t>
  </si>
  <si>
    <t>CONCRETAGEM DE PLATIBANDA EM EDIFICAÇÕES MULTIFAMILIARES FEITAS COM SISTEMA DE FÔRMAS MANUSEÁVEIS, COM CONCRETO USINADO AUTOADENSÁVEL REFORÇADO COM FIBRAS DE POLIPROPILENO, FCK 25 MPA - LANÇAMENTO E ACABAMENTO. AF_09/2024</t>
  </si>
  <si>
    <t>CONCRETAGEM DE PLATIBANDA EM EDIFICAÇÕES UNIFAMILIARES FEITAS COM SISTEMA DE FÔRMAS MANUSEÁVEIS, COM CONCRETO USINADO AUTOADENSÁVEL REFORÇADO COM FIBRAS DE POLIPROPILENO, FCK 25 MPA - LANÇAMENTO E ACABAMENTO. AF_09/2024</t>
  </si>
  <si>
    <t>FÔRMAS MANUSEÁVEIS DA ALUMÍNIO PARA PAREDES DE CONCRETO MOLDADAS IN LOCO, EM PLATIBANDA. AF_11/2024</t>
  </si>
  <si>
    <t>FÔRMAS MANUSEÁVEIS DE ALUMÍNIO PARA PAREDES DE CONCRETO MOLDADAS IN LOCO, DE EDIFICAÇÕES DE MÚLTIPLOS PAVIMENTOS, EM LAJES. AF_11/2024</t>
  </si>
  <si>
    <t>FÔRMAS MANUSEÁVEIS DE ALUMÍNIO PARA PAREDES DE CONCRETO MOLDADAS IN LOCO, DE EDIFICAÇÕES DE MÚLTIPLOS PAVIMENTOS, EM PAREDES. AF_11/2024</t>
  </si>
  <si>
    <t>FÔRMAS MANUSEÁVEIS DE ALUMÍNIO PARA PAREDES DE CONCRETO MOLDADAS IN LOCO, DE EDIFICAÇÕES UNIFAMILIARES, EM LAJES. AF_11/2024</t>
  </si>
  <si>
    <t>FÔRMAS MANUSEÁVEIS DE ALUMÍNIO PARA PAREDES DE CONCRETO MOLDADAS IN LOCO, DE EDIFICAÇÕES UNIFAMILIARES, EM PAREDES. AF_11/2024</t>
  </si>
  <si>
    <t>FÔRMAS MANUSEÁVEIS DE PLÁSTICO ESTRUTURADO EM AÇO PARA PAREDES DE CONCRETO MOLDADAS IN LOCO, DE EDIFICAÇÕES DE MÚLTIPLOS PAVIMENTOS, EM LAJES. AF_11/2024</t>
  </si>
  <si>
    <t>FÔRMAS MANUSEÁVEIS DE PLÁSTICO ESTRUTURADO EM AÇO PARA PAREDES DE CONCRETO MOLDADAS IN LOCO, DE EDIFICAÇÕES DE MÚLTIPLOS PAVIMENTOS, EM PLATIBANDA. AF_11/2024</t>
  </si>
  <si>
    <t>FÔRMAS MANUSEÁVEIS DE PLÁSTICO ESTRUTURADO EM AÇO PARA PAREDES DE CONCRETO MOLDADAS IN LOCO, DE EDIFICAÇÕES MÚLTIPLOS PAVIMENTOS, EM PAREDES. AF_11/2024</t>
  </si>
  <si>
    <t>FÔRMAS MANUSEÁVEIS DE PLÁSTICO ESTRUTURADO EM AÇO PARA PAREDES DE CONCRETO MOLDADAS IN LOCO, DE EDIFICAÇÕES UNIFAMILIARES, EM LAJES. AF_11/2024</t>
  </si>
  <si>
    <t>FÔRMAS MANUSEÁVEIS DE PLÁSTICO ESTRUTURADO EM AÇO PARA PAREDES DE CONCRETO MOLDADAS IN LOCO, DE EDIFICAÇÕES UNIFAMILIARES, EM PAREDES. AF_11/2024</t>
  </si>
  <si>
    <t>INSTALAÇÃO DE ISOLAMENTO COM LÃ DE PET EM PAREDE DRYWALL. AF_07/2023</t>
  </si>
  <si>
    <t>INSTALAÇÃO DE ISOLAMENTO COM LÃ DE VIDRO EM PAREDE DRYWALL. AF_07/2023</t>
  </si>
  <si>
    <t>INSTALAÇÃO DE BALANÇO DE 2 LUGARES COM ESTRUTURA DE MADEIRA TRATADA, INSTALADO SOBRE PISO DE CONCRETO EXISTENTE. AF_10/2021</t>
  </si>
  <si>
    <t>INSTALAÇÃO DE BALANÇO DE 2 LUGARES COM ESTRUTURA DE MADEIRA TRATADA, INSTALADO SOBRE SOLO. AF_10/2021</t>
  </si>
  <si>
    <t>INSTALAÇÃO DE BALANÇO DE 2 LUGARES COM ESTRUTURA METÁLICA EM TUBOS DE AÇO CARBONO, INSTALADO SOBRE PISO DE CONCRETO EXISTENTE. AF_10/2021</t>
  </si>
  <si>
    <t>INSTALAÇÃO DE BALANÇO DE 2 LUGARES COM ESTRUTURA METÁLICA EM TUBOS DE AÇO CARBONO, INSTALADO SOBRE SOLO. AF_10/2021</t>
  </si>
  <si>
    <t>INSTALAÇÃO DE CASINHA DE MADEIRA TRATADA COM RAMPA ESCALADA, ESCORREGADOR E ESCADA MARINHEIRO, INSTALADO SOBRE PISO DE CONCRETO EXISTENTE. AF_10/2021</t>
  </si>
  <si>
    <t>INSTALAÇÃO DE CASINHA DE MADEIRA TRATADA COM RAMPA ESCALADA, ESCORREGADOR E ESCADA MARINHEIRO, INSTALADO SOBRE SOLO. AF_10/2021</t>
  </si>
  <si>
    <t>INSTALAÇÃO DE ESCORREGADOR DE MADEIRA TRATADA, INSTALADO SOBRE PISO DE CONCRETO EXISTENTE. AF_10/2021</t>
  </si>
  <si>
    <t>INSTALAÇÃO DE ESCORREGADOR DE MADEIRA TRATADA, INSTALADO SOBRE SOLO. AF_10/2021</t>
  </si>
  <si>
    <t>INSTALAÇÃO DE ESCORREGADOR METÁLICO EM TUBOS E CHAPAS DE AÇO CARBONO, INSTALADO SOBRE PISO DE CONCRETO EXISTENTE. AF_10/2021</t>
  </si>
  <si>
    <t>INSTALAÇÃO DE ESCORREGADOR METÁLICO EM TUBOS E CHAPAS DE AÇO CARBONO, INSTALADO SOBRE SOLO. AF_10/2021</t>
  </si>
  <si>
    <t>INSTALAÇÃO DE GAIOLA LABIRINTO METÁLICA EM TUBOS DE AÇO CARBONO, INSTALADA SOBRE PISO DE CONCRETO EXISTENTE. AF_10/2021</t>
  </si>
  <si>
    <t>INSTALAÇÃO DE GAIOLA LABIRINTO METÁLICA EM TUBOS DE AÇO CARBONO, INSTALADO SOBRE SOLO. AF_10/2021</t>
  </si>
  <si>
    <t>INSTALAÇÃO DE GANGORRA SIMPLES DE MADEIRA TRATADA, INSTALADA SOBRE PISO DE CONCRETO EXISTENTE. AF_10/2021</t>
  </si>
  <si>
    <t>INSTALAÇÃO DE GANGORRA SIMPLES DE MADEIRA TRATADA, INSTALADA SOBRE SOLO. AF_10/2021</t>
  </si>
  <si>
    <t>INSTALAÇÃO DE GANGORRA SIMPLES METÁLICA EM TUBOS DE AÇO CARBONO, INSTALADA SOBRE PISO DE CONCRETO EXISTENTE. AF_10/2021</t>
  </si>
  <si>
    <t>INSTALAÇÃO DE GANGORRA SIMPLES METÁLICA EM TUBOS DE AÇO CARBONO, INSTALADA SOBRE SOLO. AF_10/2021</t>
  </si>
  <si>
    <t>INSTALAÇÃO DE GIRA-GIRA METÁLICO EM TUBOS DE AÇO CARBONO, INSTALADO SOBRE PISO DE CONCRETO EXISTENTE. AF_10/2021</t>
  </si>
  <si>
    <t>INSTALAÇÃO DE GIRA-GIRA METÁLICO EM TUBOS DE AÇO CARBONO, INSTALADO SOBRE SOLO. AF_10/2021</t>
  </si>
  <si>
    <t>EXECUÇÃO DE PASSEIO (CALÇADA) COM CONCRETO MOLDADO IN LOCO, FEITO EM OBRA, ACABAMENTO ESTAMPADO, ESPESSURA 6 CM, ARMADO. AF_08/2022</t>
  </si>
  <si>
    <t>EXECUÇÃO DE PASSEIO (CALÇADA) COM CONCRETO MOLDADO IN LOCO, FEITO EM OBRA, ACABAMENTO ESTAMPADO, ESPESSURA 6 CM, NÃO ARMADO. AF_08/2022</t>
  </si>
  <si>
    <t>EXECUÇÃO DE PASSEIO (CALÇADA) COM CONCRETO MOLDADO IN LOCO, FEITO EM OBRA, ACABAMENTO ESTAMPADO, ESPESSURA 8 CM, ARMADO. AF_08/2022</t>
  </si>
  <si>
    <t>EXECUÇÃO DE PASSEIO (CALÇADA) COM CONCRETO MOLDADO IN LOCO, FEITO EM OBRA, ACABAMENTO ESTAMPADO, ESPESSURA 8 CM, NÃO ARMADO. AF_08/2022</t>
  </si>
  <si>
    <t>EXECUÇÃO DE PASSEIO (CALÇADA) COM CONCRETO MOLDADO IN LOCO, USINADO, ACABAMENTO ESTAMPADO, ESPESSURA 6 CM, ARMADO. AF_08/2022</t>
  </si>
  <si>
    <t>EXECUÇÃO DE PASSEIO (CALÇADA) COM CONCRETO MOLDADO IN LOCO, USINADO, ACABAMENTO ESTAMPADO, ESPESSURA 6 CM, NÃO ARMADO. AF_08/2022</t>
  </si>
  <si>
    <t>EXECUÇÃO DE PASSEIO (CALÇADA) COM CONCRETO MOLDADO IN LOCO, USINADO, ACABAMENTO ESTAMPADO, ESPESSURA 8 CM, ARMADO. AF_08/2022</t>
  </si>
  <si>
    <t>EXECUÇÃO DE PASSEIO (CALÇADA) COM CONCRETO MOLDADO IN LOCO, USINADO, ACABAMENTO ESTAMPADO, ESPESSURA 8 CM, NÃO ARMADO. AF_08/2022</t>
  </si>
  <si>
    <t>EXECUÇÃO DE PASSEIO (CALÇADA) COM PLACAS DE CONCRETO PRÉ-FABRICADAS, ASSENTADAS COM ARGAMASSA, PLACAS DE 100 X 100 CM, NÃO ARMADO. AF_08/2022</t>
  </si>
  <si>
    <t>EXECUÇÃO DE PASSEIO (CALÇADA) COM PLACAS DE CONCRETO PRÉ-FABRICADAS, ASSENTADAS COM ARGAMASSA, PLACAS DE 40 X 40 CM, NÃO ARMADO. AF_08/2022</t>
  </si>
  <si>
    <t>EXECUÇÃO DE PAVIMENTO EM PARALELEPÍPEDOS, REJUNTAMENTO COM PEDRISCO E EMULSÃO ASFÁLTICA. AF_05/2020</t>
  </si>
  <si>
    <t>EXECUÇÃO DE PAVIMENTO EM PEDRAS POLIÉDRICAS, REJUNTAMENTO COM PEDRISCO E EMULSÃO ASFÁLTICA. AF_05/2020</t>
  </si>
  <si>
    <t>EXECUÇÃO DE PASSEIO COM PLACAS DE CONCRETO PERMEÁVEL (DRENANTE), PRÉ-FABRICADAS, DE 40 X 40 CM, ESPESSURA 6 CM. AF_10/2022</t>
  </si>
  <si>
    <t>EXECUÇÃO DE PASSEIO EM PISO INTERTRAVADO, COM BLOCO DE CONCRETO PERMEÁVEL (DRENANTE) 16 FACES DE 22 X 11 CM, ESPESSURA 6 CM. AF_10/2022</t>
  </si>
  <si>
    <t>EXECUÇÃO DE PASSEIO EM PISO INTERTRAVADO, COM BLOCO DE CONCRETO PERMEÁVEL RETANGULAR DE 20 X 10 CM, ESPESSURA 6 CM. AF_10/2022</t>
  </si>
  <si>
    <t>EXECUÇÃO DE PASSEIO EM PISO INTERTRAVADO, COM BLOCO PODOTÁTIL (ALERTA OU DIRECIONAL) QUADRADO DE 20 X 20 CM, ESPESSURA 6 CM. AF_10/2022</t>
  </si>
  <si>
    <t>EXECUÇÃO DE PASSEIO EM PISO INTERTRAVADO, COM BLOCO PODOTÁTIL (ALERTA OU DIRECIONAL) RETANGULAR DE 20 X 10 CM, ESPESSURA 6 CM. AF_10/2022</t>
  </si>
  <si>
    <t>EXECUÇÃO DE PAVIMENTO COM PLACAS DE CONCRETO PERMEÁVEL (DRENANTE), PRÉ-FABRICADAS, DE 40 X 40 CM, ESPESSURA 6 CM. AF_10/2022</t>
  </si>
  <si>
    <t>EXECUÇÃO DE PAVIMENTO COM PLACAS DE CONCRETO PERMEÁVEL (DRENANTE), PRÉ-FABRICADAS, DE 40 X 40 CM, ESPESSURA 8 CM. AF_10/2022</t>
  </si>
  <si>
    <t>EXECUÇÃO DE PAVIMENTO EM PISO INTERTRAVADO, COM BLOCO DE CONCRETO PERMEÁVEL (DRENANTE) 16 FACES DE 22 X 11 CM, ESPESSURA 6 CM. AF_10/2022</t>
  </si>
  <si>
    <t>EXECUÇÃO DE PAVIMENTO EM PISO INTERTRAVADO, COM BLOCO DE CONCRETO PERMEÁVEL (DRENANTE) 16 FACES DE 22 X 11 CM, ESPESSURA 8 CM. AF_10/2022</t>
  </si>
  <si>
    <t>EXECUÇÃO DE PAVIMENTO EM PISO INTERTRAVADO, COM BLOCO DE CONCRETO PERMEÁVEL (DRENANTE) RETANGULAR DE 20 X 10 CM, ESPESSURA 6 CM. AF_10/2022</t>
  </si>
  <si>
    <t>EXECUÇÃO DE PAVIMENTO EM PISO INTERTRAVADO, COM BLOCO DE CONCRETO PERMEÁVEL (DRENANTE) RETANGULAR DE 20 X 10 CM, ESPESSURA 8 CM. AF_10/2022</t>
  </si>
  <si>
    <t>EXECUÇÃO DE PAVIMENTO EM PISO INTERTRAVADO, COM BLOCO PODOTÁTIL (ALERTA OU DIRECIONAL) QUADRADO DE 20 X 20 CM, ESPESSURA 6 CM. AF_10/2022</t>
  </si>
  <si>
    <t>EXECUÇÃO DE PAVIMENTO EM PISO INTERTRAVADO, COM BLOCO PODOTÁTIL (ALERTA OU DIRECIONAL) RETANGULAR DE 20 X 10 CM, ESPESSURA 6 CM. AF_10/2022</t>
  </si>
  <si>
    <t>EXECUÇÃO DE PISO INDUSTRIAL REFORÇADO COM FIBRAS, FCK = 30 MPA, ESPESSURA DE 12,0 CM. AF_04/2022</t>
  </si>
  <si>
    <t>EXECUÇÃO DE PISO INDUSTRIAL REFORÇADO COM FIBRAS, FCK = 30 MPA, ESPESSURA DE 14,0 CM. AF_04/2022</t>
  </si>
  <si>
    <t>EXECUÇÃO DE PISO INDUSTRIAL REFORÇADO COM FIBRAS, FCK = 30 MPA, ESPESSURA DE 16,0 CM. AF_04/2022</t>
  </si>
  <si>
    <t>EXECUÇÃO DE PISO INDUSTRIAL REFORÇADO COM FIBRAS, FCK = 30 MPA, ESPESSURA DE 18,0 CM. AF_04/2022</t>
  </si>
  <si>
    <t>EXECUÇÃO DE PISO INDUSTRIAL REFORÇADO COM FIBRAS, FCK = 30 MPA, ESPESSURA DE 20,0 CM. AF_04/2022</t>
  </si>
  <si>
    <t>CHAPIM SOBRE MUROS LINEARES, EM CONCRETO PRÉ-MOLDADO, COMPRIMENTO DE ATÉ 6 M, ASSENTADO COM ARGAMASSA 1:6 COM ADITIVO. AF_11/2020</t>
  </si>
  <si>
    <t>CHAPIM SOBRE MUROS LINEARES, EM CONCRETO PRÉ-MOLDADO, COMPRIMENTO MAIOR QUE 6 M, ASSENTADO COM ARGAMASSA 1:6 COM ADITIVO. AF_11/2020</t>
  </si>
  <si>
    <t>CHAPIM SOBRE MUROS NÃO LINEARES, EM CONCRETO PRÉ-MOLDADO, COMPRIMENTO DE ATÉ 6 M, ASSENTADO COM ARGAMASSA 1:6 COM ADITIVO. AF_11/2020</t>
  </si>
  <si>
    <t>CHAPIM SOBRE MUROS NÃO LINEARES, EM CONCRETO PRÉ-MOLDADO, COMPRIMENTO MAIOR QUE 6 M, ASSENTADO COM ARGAMASSA 1:6 COM ADITIVO. AF_11/2020</t>
  </si>
  <si>
    <t>PEITORIL LINEAR EM CONCRETO PRÉ-MOLDADO, COMPRIMENTO DE ATÉ 2 M, ASSENTADO COM ARGAMASSA 1:6 COM ADITIVO. AF_11/2020</t>
  </si>
  <si>
    <t>PEITORIL LINEAR EM CONCRETO PRÉ-MOLDADO, COMPRIMENTO MAIOR QUE 2 M, ASSENTADO COM ARGAMASSA 1:6 COM ADITIVO. AF_11/2020</t>
  </si>
  <si>
    <t>FACHADA CORTINA EM VIDRO NO SISTEMA STICK, CONSIDERANDO MODULAÇÃO DE 1,25 X 3,20 M, COM ABERTURA, ACABAMENTO ANODIZADO OU PINTADO - FORNECIMENTO E INSTALAÇÃO. AF_06/2022</t>
  </si>
  <si>
    <t>FACHADA CORTINA EM VIDRO NO SISTEMA STICK, CONSIDERANDO MODULAÇÃO DE 1,25 X 3,20 M, SEM ABERTURA, ACABAMENTO ANODIZADO OU PINTADO - FORNECIMENTO E INSTALAÇÃO. AF_06/2022</t>
  </si>
  <si>
    <t>FACHADA CORTINA EM VIDRO NO SISTEMA UNITIZADO, CONSIDERANDO MODULAÇÃO DE 1,25 X 3,20 M, COM ABERTURA, ACABAMENTO ANODIZADO OU PINTADO - FORNECIMENTO E INSTALAÇÃO. AF_06/2022</t>
  </si>
  <si>
    <t>FACHADA CORTINA EM VIDRO NO SISTEMA UNITIZADO, CONSIDERANDO MODULAÇÃO DE 1,25 X 3,20 M, SEM ABERTURA, ACABAMENTO ANODIZADO OU PINTADO - FORNECIMENTO E INSTALAÇÃO. AF_06/2022</t>
  </si>
  <si>
    <t>PERFURAÇÃO HORIZONTAL DIRECIONAL E INSTALAÇÃO DE TUBULAÇÃO PEAD 110 MM, EM SOLO DE 1ª CATEGORIA. AF_01/2022</t>
  </si>
  <si>
    <t>PERFURAÇÃO HORIZONTAL DIRECIONAL E INSTALAÇÃO DE TUBULAÇÃO PEAD 110 MM, EM SOLO DE 2ª CATEGORIA. AF_01/2022</t>
  </si>
  <si>
    <t>PERFURAÇÃO HORIZONTAL DIRECIONAL E INSTALAÇÃO DE TUBULAÇÃO PEAD 110 MM, EM SOLO MOLE. AF_01/2022</t>
  </si>
  <si>
    <t>PERFURAÇÃO HORIZONTAL DIRECIONAL E INSTALAÇÃO DE TUBULAÇÃO PEAD 160 MM, EM SOLO DE 1ª CATEGORIA. AF_01/2022</t>
  </si>
  <si>
    <t>PERFURAÇÃO HORIZONTAL DIRECIONAL E INSTALAÇÃO DE TUBULAÇÃO PEAD 160 MM, EM SOLO DE 2ª CATEGORIA. AF_01/2022</t>
  </si>
  <si>
    <t>PERFURAÇÃO HORIZONTAL DIRECIONAL E INSTALAÇÃO DE TUBULAÇÃO PEAD 160 MM, EM SOLO MOLE. AF_01/2022</t>
  </si>
  <si>
    <t>PERFURAÇÃO HORIZONTAL DIRECIONAL E INSTALAÇÃO DE TUBULAÇÃO PEAD 180 MM, EM SOLO DE 1ª CATEGORIA. AF_01/2022</t>
  </si>
  <si>
    <t>PERFURAÇÃO HORIZONTAL DIRECIONAL E INSTALAÇÃO DE TUBULAÇÃO PEAD 180 MM, EM SOLO DE 2ª CATEGORIA. AF_01/2022</t>
  </si>
  <si>
    <t>PERFURAÇÃO HORIZONTAL DIRECIONAL E INSTALAÇÃO DE TUBULAÇÃO PEAD 180 MM, EM SOLO MOLE. AF_01/2022</t>
  </si>
  <si>
    <t>PERFURAÇÃO HORIZONTAL DIRECIONAL E INSTALAÇÃO DE TUBULAÇÃO PEAD 20 MM, EM SOLO DE 1ª CATEGORIA. AF_01/2022</t>
  </si>
  <si>
    <t>PERFURAÇÃO HORIZONTAL DIRECIONAL E INSTALAÇÃO DE TUBULAÇÃO PEAD 20 MM, EM SOLO DE 2ª CATEGORIA. AF_01/2022</t>
  </si>
  <si>
    <t>PERFURAÇÃO HORIZONTAL DIRECIONAL E INSTALAÇÃO DE TUBULAÇÃO PEAD 20 MM, EM SOLO MOLE. AF_01/2022</t>
  </si>
  <si>
    <t>PERFURAÇÃO HORIZONTAL DIRECIONAL E INSTALAÇÃO DE TUBULAÇÃO PEAD 200 MM, EM SOLO DE 1ª CATEGORIA. AF_01/2022</t>
  </si>
  <si>
    <t>PERFURAÇÃO HORIZONTAL DIRECIONAL E INSTALAÇÃO DE TUBULAÇÃO PEAD 200 MM, EM SOLO DE 2ª CATEGORIA. AF_01/2022</t>
  </si>
  <si>
    <t>PERFURAÇÃO HORIZONTAL DIRECIONAL E INSTALAÇÃO DE TUBULAÇÃO PEAD 200 MM, EM SOLO MOLE. AF_01/2022</t>
  </si>
  <si>
    <t>PERFURAÇÃO HORIZONTAL DIRECIONAL E INSTALAÇÃO DE TUBULAÇÃO PEAD 225 MM, EM SOLO DE 1ª CATEGORIA. AF_01/2022</t>
  </si>
  <si>
    <t>PERFURAÇÃO HORIZONTAL DIRECIONAL E INSTALAÇÃO DE TUBULAÇÃO PEAD 225 MM, EM SOLO DE 2ª CATEGORIA. AF_01/2022</t>
  </si>
  <si>
    <t>PERFURAÇÃO HORIZONTAL DIRECIONAL E INSTALAÇÃO DE TUBULAÇÃO PEAD 225 MM, EM SOLO MOLE. AF_01/2022</t>
  </si>
  <si>
    <t>PERFURAÇÃO HORIZONTAL DIRECIONAL E INSTALAÇÃO DE TUBULAÇÃO PEAD 250 MM, EM SOLO DE 1ª CATEGORIA. AF_01/2022</t>
  </si>
  <si>
    <t>PERFURAÇÃO HORIZONTAL DIRECIONAL E INSTALAÇÃO DE TUBULAÇÃO PEAD 250 MM, EM SOLO DE 2ª CATEGORIA. AF_01/2022</t>
  </si>
  <si>
    <t>PERFURAÇÃO HORIZONTAL DIRECIONAL E INSTALAÇÃO DE TUBULAÇÃO PEAD 250 MM, EM SOLO MOLE. AF_01/2022</t>
  </si>
  <si>
    <t>PERFURAÇÃO HORIZONTAL DIRECIONAL E INSTALAÇÃO DE TUBULAÇÃO PEAD 280 MM, EM SOLO DE 1ª CATEGORIA. AF_01/2022</t>
  </si>
  <si>
    <t>PERFURAÇÃO HORIZONTAL DIRECIONAL E INSTALAÇÃO DE TUBULAÇÃO PEAD 280 MM, EM SOLO DE 2ª CATEGORIA. AF_01/2022</t>
  </si>
  <si>
    <t>PERFURAÇÃO HORIZONTAL DIRECIONAL E INSTALAÇÃO DE TUBULAÇÃO PEAD 280 MM, EM SOLO MOLE. AF_01/2022</t>
  </si>
  <si>
    <t>PERFURAÇÃO HORIZONTAL DIRECIONAL E INSTALAÇÃO DE TUBULAÇÃO PEAD 315 MM, EM SOLO DE 1ª CATEGORIA. AF_01/2022</t>
  </si>
  <si>
    <t>PERFURAÇÃO HORIZONTAL DIRECIONAL E INSTALAÇÃO DE TUBULAÇÃO PEAD 315 MM, EM SOLO DE 2ª CATEGORIA. AF_01/2022</t>
  </si>
  <si>
    <t>PERFURAÇÃO HORIZONTAL DIRECIONAL E INSTALAÇÃO DE TUBULAÇÃO PEAD 315 MM, EM SOLO MOLE. AF_01/2022</t>
  </si>
  <si>
    <t>PERFURAÇÃO HORIZONTAL DIRECIONAL E INSTALAÇÃO DE TUBULAÇÃO PEAD 32 MM, EM SOLO DE 1ª CATEGORIA. AF_01/2022</t>
  </si>
  <si>
    <t>PERFURAÇÃO HORIZONTAL DIRECIONAL E INSTALAÇÃO DE TUBULAÇÃO PEAD 32 MM, EM SOLO DE 2ª CATEGORIA. AF_01/2022</t>
  </si>
  <si>
    <t>PERFURAÇÃO HORIZONTAL DIRECIONAL E INSTALAÇÃO DE TUBULAÇÃO PEAD 32 MM, EM SOLO MOLE. AF_01/2022</t>
  </si>
  <si>
    <t>PERFURAÇÃO HORIZONTAL DIRECIONAL E INSTALAÇÃO DE TUBULAÇÃO PEAD 355 MM, EM SOLO DE 1ª CATEGORIA. AF_01/2022</t>
  </si>
  <si>
    <t>PERFURAÇÃO HORIZONTAL DIRECIONAL E INSTALAÇÃO DE TUBULAÇÃO PEAD 355 MM, EM SOLO DE 2ª CATEGORIA. AF_01/2022</t>
  </si>
  <si>
    <t>PERFURAÇÃO HORIZONTAL DIRECIONAL E INSTALAÇÃO DE TUBULAÇÃO PEAD 355 MM, EM SOLO MOLE. AF_01/2022</t>
  </si>
  <si>
    <t>PERFURAÇÃO HORIZONTAL DIRECIONAL E INSTALAÇÃO DE TUBULAÇÃO PEAD 400 MM, EM SOLO DE 1ª CATEGORIA. AF_01/2022</t>
  </si>
  <si>
    <t>PERFURAÇÃO HORIZONTAL DIRECIONAL E INSTALAÇÃO DE TUBULAÇÃO PEAD 400 MM, EM SOLO DE 2ª CATEGORIA. AF_01/2022</t>
  </si>
  <si>
    <t>PERFURAÇÃO HORIZONTAL DIRECIONAL E INSTALAÇÃO DE TUBULAÇÃO PEAD 400 MM, EM SOLO MOLE. AF_01/2022</t>
  </si>
  <si>
    <t>PERFURAÇÃO HORIZONTAL DIRECIONAL E INSTALAÇÃO DE TUBULAÇÃO PEAD 450 MM, EM SOLO DE 1ª CATEGORIA. AF_01/2022</t>
  </si>
  <si>
    <t>PERFURAÇÃO HORIZONTAL DIRECIONAL E INSTALAÇÃO DE TUBULAÇÃO PEAD 450 MM, EM SOLO DE 2ª CATEGORIA. AF_01/2022</t>
  </si>
  <si>
    <t>PERFURAÇÃO HORIZONTAL DIRECIONAL E INSTALAÇÃO DE TUBULAÇÃO PEAD 450 MM, EM SOLO MOLE. AF_01/2022</t>
  </si>
  <si>
    <t>PERFURAÇÃO HORIZONTAL DIRECIONAL E INSTALAÇÃO DE TUBULAÇÃO PEAD 50 MM, EM SOLO DE 1ª CATEGORIA. AF_01/2022</t>
  </si>
  <si>
    <t>PERFURAÇÃO HORIZONTAL DIRECIONAL E INSTALAÇÃO DE TUBULAÇÃO PEAD 50 MM, EM SOLO DE 2ª CATEGORIA. AF_01/2022</t>
  </si>
  <si>
    <t>PERFURAÇÃO HORIZONTAL DIRECIONAL E INSTALAÇÃO DE TUBULAÇÃO PEAD 50 MM, EM SOLO MOLE. AF_01/2022</t>
  </si>
  <si>
    <t>PERFURAÇÃO HORIZONTAL DIRECIONAL E INSTALAÇÃO DE TUBULAÇÃO PEAD 500 MM, EM SOLO DE 1ª CATEGORIA. AF_01/2022</t>
  </si>
  <si>
    <t>PERFURAÇÃO HORIZONTAL DIRECIONAL E INSTALAÇÃO DE TUBULAÇÃO PEAD 500 MM, EM SOLO DE 2ª CATEGORIA. AF_01/2022</t>
  </si>
  <si>
    <t>PERFURAÇÃO HORIZONTAL DIRECIONAL E INSTALAÇÃO DE TUBULAÇÃO PEAD 500 MM, EM SOLO MOLE. AF_01/2022</t>
  </si>
  <si>
    <t>PERFURAÇÃO HORIZONTAL DIRECIONAL E INSTALAÇÃO DE TUBULAÇÃO PEAD 560 MM, EM SOLO DE 1ª CATEGORIA. AF_01/2022</t>
  </si>
  <si>
    <t>PERFURAÇÃO HORIZONTAL DIRECIONAL E INSTALAÇÃO DE TUBULAÇÃO PEAD 560 MM, EM SOLO DE 2ª CATEGORIA. AF_01/2022</t>
  </si>
  <si>
    <t>PERFURAÇÃO HORIZONTAL DIRECIONAL E INSTALAÇÃO DE TUBULAÇÃO PEAD 560 MM, EM SOLO MOLE. AF_01/2022</t>
  </si>
  <si>
    <t>PERFURAÇÃO HORIZONTAL DIRECIONAL E INSTALAÇÃO DE TUBULAÇÃO PEAD 63 MM, EM SOLO DE 1ª CATEGORIA. AF_01/2022</t>
  </si>
  <si>
    <t>PERFURAÇÃO HORIZONTAL DIRECIONAL E INSTALAÇÃO DE TUBULAÇÃO PEAD 63 MM, EM SOLO DE 2ª CATEGORIA. AF_01/2022</t>
  </si>
  <si>
    <t>PERFURAÇÃO HORIZONTAL DIRECIONAL E INSTALAÇÃO DE TUBULAÇÃO PEAD 63 MM, EM SOLO MOLE. AF_01/2022</t>
  </si>
  <si>
    <t>PERFURAÇÃO HORIZONTAL DIRECIONAL E INSTALAÇÃO DE TUBULAÇÃO PEAD 630 MM, EM SOLO DE 1ª CATEGORIA. AF_01/2022</t>
  </si>
  <si>
    <t>PERFURAÇÃO HORIZONTAL DIRECIONAL E INSTALAÇÃO DE TUBULAÇÃO PEAD 630 MM, EM SOLO DE 2ª CATEGORIA. AF_01/2022</t>
  </si>
  <si>
    <t>PERFURAÇÃO HORIZONTAL DIRECIONAL E INSTALAÇÃO DE TUBULAÇÃO PEAD 630 MM, EM SOLO MOLE. AF_01/2022</t>
  </si>
  <si>
    <t>PERFURAÇÃO HORIZONTAL DIRECIONAL E INSTALAÇÃO DE TUBULAÇÃO PEAD 710 MM, EM SOLO DE 1ª CATEGORIA. AF_01/2022</t>
  </si>
  <si>
    <t>PERFURAÇÃO HORIZONTAL DIRECIONAL E INSTALAÇÃO DE TUBULAÇÃO PEAD 710 MM, EM SOLO DE 2ª CATEGORIA. AF_01/2022</t>
  </si>
  <si>
    <t>PERFURAÇÃO HORIZONTAL DIRECIONAL E INSTALAÇÃO DE TUBULAÇÃO PEAD 710 MM, EM SOLO MOLE. AF_01/2022</t>
  </si>
  <si>
    <t>PERFURAÇÃO HORIZONTAL DIRECIONAL E INSTALAÇÃO DE TUBULAÇÃO PEAD 75 MM, EM SOLO DE 1ª CATEGORIA. AF_01/2022</t>
  </si>
  <si>
    <t>PERFURAÇÃO HORIZONTAL DIRECIONAL E INSTALAÇÃO DE TUBULAÇÃO PEAD 75 MM, EM SOLO DE 2ª CATEGORIA. AF_01/2022</t>
  </si>
  <si>
    <t>PERFURAÇÃO HORIZONTAL DIRECIONAL E INSTALAÇÃO DE TUBULAÇÃO PEAD 75 MM, EM SOLO MOLE. AF_01/2022</t>
  </si>
  <si>
    <t>PERFURAÇÃO HORIZONTAL DIRECIONAL E INSTALAÇÃO DE TUBULAÇÃO PEAD 800 MM, EM SOLO DE 1ª CATEGORIA. AF_01/2022</t>
  </si>
  <si>
    <t>PERFURAÇÃO HORIZONTAL DIRECIONAL E INSTALAÇÃO DE TUBULAÇÃO PEAD 800 MM, EM SOLO DE 2ª CATEGORIA. AF_01/2022</t>
  </si>
  <si>
    <t>PERFURAÇÃO HORIZONTAL DIRECIONAL E INSTALAÇÃO DE TUBULAÇÃO PEAD 800 MM, EM SOLO MOLE. AF_01/2022</t>
  </si>
  <si>
    <t>PERFURAÇÃO HORIZONTAL DIRECIONAL E INSTALAÇÃO DE TUBULAÇÃO PEAD 90 MM, EM SOLO DE 1ª CATEGORIA. AF_01/2022</t>
  </si>
  <si>
    <t>PERFURAÇÃO HORIZONTAL DIRECIONAL E INSTALAÇÃO DE TUBULAÇÃO PEAD 90 MM, EM SOLO DE 2ª CATEGORIA. AF_01/2022</t>
  </si>
  <si>
    <t>PERFURAÇÃO HORIZONTAL DIRECIONAL E INSTALAÇÃO DE TUBULAÇÃO PEAD 90 MM, EM SOLO MOLE. AF_01/2022</t>
  </si>
  <si>
    <t>EMASSAMENTO COM MASSA LÁTEX, APLICAÇÃO EM PAREDE, DUAS DEMÃOS, LIXAMENTO MECANIZADO. AF_04/2023</t>
  </si>
  <si>
    <t>EMASSAMENTO COM MASSA LÁTEX, APLICAÇÃO EM PAREDE, UMA DEMÃO, LIXAMENTO MECANIZADO. AF_04/2023</t>
  </si>
  <si>
    <t>EMASSAMENTO COM MASSA LÁTEX, APLICAÇÃO EM TETO, DUAS DEMÃOS, LIXAMENTO MECANIZADO. AF_04/2023</t>
  </si>
  <si>
    <t>EMASSAMENTO COM MASSA LÁTEX, APLICAÇÃO EM TETO, UMA DEMÃO, LIXAMENTO MECANIZADO. AF_04/2023</t>
  </si>
  <si>
    <t>FUNDO SELADOR ACRÍLICO, APLICAÇÃO MECÂNICA EM PAREDE, UMA DEMÃO. AF_04/2023</t>
  </si>
  <si>
    <t>FUNDO SELADOR ACRÍLICO, APLICAÇÃO MECÂNICA EM TETO, UMA DEMÃO. AF_04/2023</t>
  </si>
  <si>
    <t>PINTURA LÁTEX ACRÍLICA ECONÔMICA, APLICAÇÃO MECÂNICA EM PAREDES, DUAS DEMÃOS. AF_04/2023</t>
  </si>
  <si>
    <t>PINTURA LÁTEX ACRÍLICA ECONÔMICA, APLICAÇÃO MECÂNICA EM TETO, DUAS DEMÃOS. AF_04/2023</t>
  </si>
  <si>
    <t>PINTURA FUNDO NIVELADOR ACRÍLICO BRANCO EM MADEIRA. AF_01/2021</t>
  </si>
  <si>
    <t>PINTURA FUNDO NIVELADOR ALQUÍDICO INCOLOR EM MADEIRA. AF_01/2021</t>
  </si>
  <si>
    <t>PINTURA FUNDO NIVELADOR POLIURETÂNICO BRANCO EM MADEIRA. AF_01/2021</t>
  </si>
  <si>
    <t>PINTURA FUNDO NIVELADOR POLIURETÂNICO INCOLOR EM MADEIRA. AF_01/2021</t>
  </si>
  <si>
    <t>PINTURA TINTA DE ACABAMENTO (PIGMENTADA) ESMALTE BASE ÁGUA EM MADEIRA, 1 DEMÃO. AF_01/2021</t>
  </si>
  <si>
    <t>PINTURA TINTA DE ACABAMENTO (PIGMENTADA) ESMALTE BASE ÁGUA EM MADEIRA, 2 DEMÃOS. AF_01/2021</t>
  </si>
  <si>
    <t>PINTURA TINTA DE ACABAMENTO (PIGMENTADA) ESMALTE BASE ÁGUA EM MADEIRA, 3 DEMÃOS. AF_01/2021</t>
  </si>
  <si>
    <t>PINTURA TINTA DE ACABAMENTO (PIGMENTADA) POLIURETÂNICA EM MADEIRA, 1 DEMÃO. AF_01/2021</t>
  </si>
  <si>
    <t>PINTURA TINTA DE ACABAMENTO (PIGMENTADA) POLIURETÂNICA EM MADEIRA, 2 DEMÃOS. AF_01/2021</t>
  </si>
  <si>
    <t>PINTURA TINTA DE ACABAMENTO (PIGMENTADA) POLIURETÂNICA EM MADEIRA, 3 DEMÃOS. AF_01/2021</t>
  </si>
  <si>
    <t>PINTURA VERNIZ (INCOLOR) POLIURETÂNICO (RESINA POLIURETÂNICA) EM MADEIRA, 1 DEMÃO. AF_01/2021</t>
  </si>
  <si>
    <t>PINTURA VERNIZ (INCOLOR) POLIURETÂNICO (RESINA POLIURETÂNICA) EM MADEIRA, 2 DEMÃOS. AF_01/2021</t>
  </si>
  <si>
    <t>PINTURA VERNIZ (INCOLOR) POLIURETÂNICO (RESINA POLIURETÂNICA) EM MADEIRA, 3 DEMÃOS. AF_01/2021</t>
  </si>
  <si>
    <t>PINTURA COM TINTA EPOXÍDICA DE FUNDO E ACABAMENTO APLICADA A ROLO OU PINCEL SOBRE PERFIL METÁLICO EXECUTADO EM FÁBRICA (POR DEMÃO). AF_01/2020</t>
  </si>
  <si>
    <t>PINTURA COM TINTA EPOXÍDICA DE FUNDO E ACABAMENTO PULVERIZADA SOBRE PERFIL METÁLICO EXECUTADO EM FÁBRICA (POR DEMÃO). AF_01/2020</t>
  </si>
  <si>
    <t>PINTURA COM TINTA POLIURETÂNICA DE ACABAMENTO APLICADA A ROLO OU PINCEL SOBRE PERFIL METÁLICO EXECUTADO EM FÁBRICA (02 DEMÃOS). AF_01/2020</t>
  </si>
  <si>
    <t>PINTURA COM TINTA POLIURETÂNICA DE ACABAMENTO APLICADA A ROLO OU PINCEL SOBRE PERFIL METÁLICO EXECUTADO EM FÁBRICA (POR DEMÃO). AF_01/2020</t>
  </si>
  <si>
    <t>PINTURA COM TINTA POLIURETÂNICA DE ACABAMENTO PULVERIZADA SOBRE PERFIL METÁLICO EXECUTADO EM FÁBRICA (02 DEMÃOS). AF_01/2020</t>
  </si>
  <si>
    <t>PINTURA COM TINTA POLIURETÂNICA DE ACABAMENTO PULVERIZADA SOBRE PERFIL METÁLICO EXECUTADO EM FÁBRICA (POR DEMÃO). AF_01/2020</t>
  </si>
  <si>
    <t>PINTURA DE DEMARCAÇÃO DE VAGA COM TINTA ACRÍLICA, E = 10 CM, APLICAÇÃO MECÂNICA COM DEMARCADORA A TRAÇÃO MANUAL. AF_05/2021</t>
  </si>
  <si>
    <t>PINTURA DE FAIXA DE PEDESTRE OU ZEBRADA COM TINTA RETRORREFLETIVA A BASE DE RESINA ACRÍLICA COM MICROESFERAS DE VIDRO, E = 30 CM, APLICAÇÃO MECÂNICA COM DEMARCADORA A TRAÇÃO MANUAL. AF_05/2021</t>
  </si>
  <si>
    <t>PINTURA DE PISO COM TINTA ACRÍLICA, APLICAÇÃO MECÂNICA, 2 DEMÃOS, INCLUSO FUNDO PREPARADOR. AF_05/2021</t>
  </si>
  <si>
    <t>PINTURA DE PISO COM TINTA EPÓXI, APLICAÇÃO MECÂNICA, 2 DEMÃOS. AF_05/2021</t>
  </si>
  <si>
    <t>PINTURA DE PISO DE PEDRAS DECORATIVAS COM VERNIZ DE POLIURETANO FOSCO, APLICAÇÃO MANUAL, 3 DEMÃOS. AF_05/2021</t>
  </si>
  <si>
    <t>PINTURA DE SÍMBOLO "BICICLETA" COM TINTA ACRÍLICA, UTILIZAÇÃO DE MOLDE PLÁSTICO E APLICAÇÃO MECÂNICA, 150X60 CM. AF_05/2021</t>
  </si>
  <si>
    <t>PINTURA DE SÍMBOLO "DEFICIENTE FÍSICO" COM TINTA ACRÍLICA, UTILIZAÇÃO DE MOLDE PLÁSTICO E APLICAÇÃO MECÂNICA, 120X120 CM. AF_05/2021</t>
  </si>
  <si>
    <t>PINTURA DE SÍMBOLO "GESTANTE" COM TINTA ACRÍLICA, UTILIZAÇÃO DE MOLDE PLÁSTICO E APLICAÇÃO MECÂNICA, 120X120 CM. AF_05/2021</t>
  </si>
  <si>
    <t>PINTURA DE SÍMBOLO "IDOSO" COM TINTA ACRÍLICA, UTILIZAÇÃO DE MOLDE PLÁSTICO E APLICAÇÃO MECÂNICA, 120X120 CM. AF_05/2021</t>
  </si>
  <si>
    <t>PINTURA DE SÍMBOLO "PEDESTRE" COM TINTA ACRÍLICA, UTILIZAÇÃO DE MOLDE PLÁSTICO E APLICAÇÃO MECÂNICA, 130X90 CM. AF_05/2021</t>
  </si>
  <si>
    <t>ACABAMENTO PARA PISO EM TACO DE MADEIRA. AF_09/2020</t>
  </si>
  <si>
    <t>PISO ELEVADO COM ESTRUTURA EM AÇO, COMPOSTO SOMENTE POR PEDESTAIS. AF_09/2020</t>
  </si>
  <si>
    <t>PISO ELEVADO COM ESTRUTURA EM PLÁSTICO, COM REVESTIMENTO EM PORCELANATO. AF_09/2020</t>
  </si>
  <si>
    <t>PISO ELEVADO COM ESTRUTURA EM PLÁSTICO, PARA RECEBER REVESTIMENTO TEXTIL. AF_09/2020</t>
  </si>
  <si>
    <t>PISO LAMINADO EM AMBIENTES INTERNOS. AF_09/2020</t>
  </si>
  <si>
    <t>PISO PODOTÁTIL, DIRECIONAL OU ALERTA, SOLIDARIZADO AO PISO EXISTENTE (ELEMENTOS DISCRETOS). AF_05/2020</t>
  </si>
  <si>
    <t>PISO VINÍLICO FLEXÍVEL EM MANTA, PADRÃO LISO, ESPESSURA 2 MM, FIXADO COM COLA. AF_09/2020</t>
  </si>
  <si>
    <t>RODAPÉ VINÍLICO FLEXÍVEL EM MANTA, ALTURA 10 CM. AF_09/2020</t>
  </si>
  <si>
    <t>ARGAMASSA DE ASSENTAMENTO DE ALVENARIA DE VEDAÇÃO E REVESTIMENTO INTERNO, TRAÇO EM VOLUME SECO 1:1:3:3,8 (CIMENTO:CAL:AREIA NATURAL MÉDIA:AREIA RECICLADA), COM USO DE AGREGADO RECICLADO MISTO (ARM) - PREPARO MANUAL. AF_11/2023</t>
  </si>
  <si>
    <t>ARGAMASSA DE ASSENTAMENTO DE ALVENARIA DE VEDAÇÃO E REVESTIMENTO INTERNO, TRAÇO EM VOLUME SECO 1:1:3:3,8 (CIMENTO:CAL:AREIAS NATURAL MÉDIA: RECICLADA), COM USO DE AGREGADO RECICLADO CIMENTÍCIO OU DE CONCRETO (ARCI/ARCO) - PREPARO MANUAL. AF_11/2023</t>
  </si>
  <si>
    <t>ARGAMASSA PARA ALVENARIA DE VEDAÇÃO E REVESTIMENTO INTERNO, TRAÇO EM VOLUME SECO 1:1:3:3,8 (CIMENTO:CAL:AREIA MÉDIA:AREIA RECICLADA), COM AGREGADO RECICLADO CIMENTÍCIO OU DE CONCRETO - PREPARO MECÂNICO COM MISTURADOR HORIZONTAL DE 600 KG. AF_11/2023</t>
  </si>
  <si>
    <t>ARGAMASSA PARA ALVENARIA DE VEDAÇÃO E REVESTIMENTO INTERNO, TRAÇO EM VOLUME SECO 1:1:3:3,8 (CIMENTO:CAL:AREIA MÉDIA:AREIA RECICLADA), COM USO DE AGREGADO RECICLADO MISTO - PREPARO MECÂNICO COM MISTURADOR HORIZONTAL DE 600 KG. AF_11/2023</t>
  </si>
  <si>
    <t>ARGAMASSA PARA CONTRAPISO, TRAÇO EM VOLUME SECO 1:2:2,5 (CIMENTO:AREIA NATURAL MÉDIA:AREIA RECICLADA), COM USO DE AGREGADO RECICLADO CIMENTÍCIO OU DE CONCRETO (ARCI/ARCO) - PREPARO MANUAL. AF_11/2023</t>
  </si>
  <si>
    <t>ARGAMASSA PARA CONTRAPISO, TRAÇO EM VOLUME SECO 1:2:2,5 (CIMENTO:AREIA NATURAL MÉDIA:AREIA RECICLADA), COM USO DE AGREGADO RECICLADO CIMENTÍCIO OU DE CONCRETO (ARCI/ARCO) - PREPARO MECÂNICO COM MISTURADOR DE EIXO HORIZONTAL DE 600 KG. AF_11/2023</t>
  </si>
  <si>
    <t>ARGAMASSA PARA CONTRAPISO, TRAÇO EM VOLUME SECO 1:2:2,5 (CIMENTO:AREIA NATURAL MÉDIA:AREIA RECICLADA), COM USO DE AGREGADO RECICLADO MISTO (ARM) - PREPARO MANUAL. AF_11/2023</t>
  </si>
  <si>
    <t>ARGAMASSA PARA CONTRAPISO, TRAÇO EM VOLUME SECO 1:2:2,5 (CIMENTO:AREIA NATURAL MÉDIA:AREIA RECICLADA), COM USO DE AGREGADO RECICLADO MISTO (ARM) - PREPARO MECÂNICO COM MISTURADOR DE EIXO HORIZONTAL DE 600 KG. AF_11/2023</t>
  </si>
  <si>
    <t>CONCRETO MAGRO PARA LASTRO, TRAÇO EM MASSA SECA 1:3,4:3,5 (CIMENTO:AREIA RECICLADA:BRITA 1 RECICLADA), COM USO DE AGREGADO RECICLADO CIMENTÍCIO OU DE CONCRETO (ARCI/ARCO) - PREPARO MANUAL. AF_11/2023</t>
  </si>
  <si>
    <t>CONCRETO MAGRO PARA LASTRO, TRAÇO EM MASSA SECA 1:3,4:3,5 (CIMENTO:AREIA RECICLADA:BRITA 1 RECICLADA), COM USO DE AGREGADO RECICLADO CIMENTÍCIO OU DE CONCRETO (ARCI/ARCO) - PREPARO MECÂNICO COM BETONEIRA 600 L. AF_11/2023</t>
  </si>
  <si>
    <t>CONCRETO MAGRO PARA LASTRO, TRAÇO EM MASSA SECA 1:3,4:3,5 (CIMENTO:AREIA RECICLADA:BRITA 1 RECICLADA), COM USO DE AGREGADO RECICLADO MISTO (ARM) - PREPARO MANUAL. AF_11/2023</t>
  </si>
  <si>
    <t>CONCRETO MAGRO PARA LASTRO, TRAÇO EM MASSA SECA 1:3,4:3,5 (CIMENTO:AREIA RECICLADA:BRITA 1 RECICLADA), COM USO DE AGREGADO RECICLADO MISTO (ARM) - PREPARO MECÂNICO COM BETONEIRA 600 L. AF_11/2023</t>
  </si>
  <si>
    <t>ASSENTO COM ENCOSTO PARA ARQUIBANCADA - FORNECIMENTO E INSTALAÇÃO. AF_03/2022</t>
  </si>
  <si>
    <t>ASSENTO SEM ENCOSTO PARA ARQUIBANCADA - FORNECIMENTO E INSTALAÇÃO. AF_03/2022</t>
  </si>
  <si>
    <t>PAR DE ESTRUTURAS PARA TABELA DE BASQUETE EM TRELIÇA METÁLICA AÉREA, EXCETO TABELA, ARO E REDE - FORNECIMENTO E INSTALAÇÃO. AF_03/2022</t>
  </si>
  <si>
    <t>PAR DE ESTRUTURAS PARA TABELA DE BASQUETE EM TRELIÇA METÁLICA FIXADA NO PISO, EXCETO TABELA, ARO E REDE - FORNECIMENTO E INSTALAÇÃO. AF_03/2022</t>
  </si>
  <si>
    <t>PAR DE ESTRUTURAS PARA TABELA DE BASQUETE METÁLICA TUBULAR CHUMBADA COM CONCRETO NO PISO, EXCETO TABELA, ARO E REDE - FORNECIMENTO E INSTALAÇÃO. AF_03/2022</t>
  </si>
  <si>
    <t>PAR DE POSTES E REDE DE VÔLEI - FORNECIMENTO E INSTALAÇÃO. AF_03/2022</t>
  </si>
  <si>
    <t>PAR DE TABELAS DE BASQUETE DE ACRÍLICO, COM AROS E REDES - FORNECIMENTO E INSTALAÇÃO. AF_03/2022</t>
  </si>
  <si>
    <t>PAR DE TABELAS DE BASQUETE DE VIDRO TEMPERADO, COM AROS E REDES - FORNECIMENTO E INSTALAÇÃO. AF_03/2022</t>
  </si>
  <si>
    <t>PAR DE TRAVES E REDES DE FUTSAL - FORNECIMENTO E INSTALAÇÃO. AF_03/2022</t>
  </si>
  <si>
    <t>PISO ASFÁLTICO PARA QUADRA POLIESPORTIVA - FORNECIMENTO E INSTALAÇÃO. AF_03/2022</t>
  </si>
  <si>
    <t>PISO DE GRAMA SINTÉTICA PARA QUADRA POLIESPORTIVA - FORNECIMENTO E INSTALAÇÃO. AF_03/2022</t>
  </si>
  <si>
    <t>PISO DE MADEIRA COM AMORTECEDORES DE BORRACHA PARA QUADRA POLIESPORTIVA - FORNECIMENTO E INSTALAÇÃO. AF_03/2022</t>
  </si>
  <si>
    <t>PISO DE POLIURETANO PARA QUADRA POLIESPORTIVA - FORNECIMENTO E INSTALAÇÃO. AF_03/2022</t>
  </si>
  <si>
    <t>PISO MODULAR DE POLIPROPILENO PARA QUADRA POLIESPORTIVA - FORNECIMENTO E INSTALAÇÃO. AF_03/2022</t>
  </si>
  <si>
    <t>PISO MODULAR INTERNO DE POLIPROPILENO PARA QUADRA POLIESPORTIVA - FORNECIMENTO E INSTALAÇÃO. AF_03/2022</t>
  </si>
  <si>
    <t>REDE DE PROTEÇÃO HORIZONTAL PARA QUADRA POLIESPORTIVA - FORNECIMENTO E INSTALAÇÃO. AF_03/2022</t>
  </si>
  <si>
    <t>REDE DE PROTEÇÃO VERTICAL PARA QUADRA POLIESPORTIVA - FORNECIMENTO E INSTALAÇÃO. AF_03/2022</t>
  </si>
  <si>
    <t>ARMAÇÃO PARA EXECUÇÃO DE RADIER, PISO DE CONCRETO OU LAJE SOBRE SOLO, COM USO DE TELA Q-246. AF_09/2021</t>
  </si>
  <si>
    <t>ARMAÇÃO PARA EXECUÇÃO DE RADIER, PISO DE CONCRETO OU LAJE SOBRE SOLO, COM USO DE TELA Q-396. AF_09/2021</t>
  </si>
  <si>
    <t>EXECUÇÃO DE LAJE SOBRE SOLO, ESPESSURA DE 10 CM, FCK = 30 MPA, COM USO DE FORMAS METÁLICAS. AF_09/2021</t>
  </si>
  <si>
    <t>EXECUÇÃO DE LAJE SOBRE SOLO, ESPESSURA DE 15 CM, FCK = 30 MPA, COM USO DE FORMAS METÁLICAS. AF_09/2021</t>
  </si>
  <si>
    <t>EXECUÇÃO DE LAJE SOBRE SOLO, ESPESSURA DE 20 CM, FCK = 30 MPA, COM USO DE FORMAS METÁLICAS. AF_09/2021</t>
  </si>
  <si>
    <t>EXECUÇÃO DE LAJE SOBRE SOLO, ESPESSURA DE 25 CM, FCK = 30 MPA, COM USO DE FORMAS METÁLICAS. AF_09/2021</t>
  </si>
  <si>
    <t>EXECUÇÃO DE LAJE SOBRE SOLO, ESPESSURA DE 30 CM, FCK = 30 MPA, COM USO DE FORMAS METÁLICAS. AF_09/2021</t>
  </si>
  <si>
    <t>EXECUÇÃO DE PISO DE CONCRETO, COM ACABAMENTO SUPERFICIAL, ESPESSURA DE 15 CM, FCK = 30 MPA, COM USO DE FORMAS METÁLICAS. AF_09/2021</t>
  </si>
  <si>
    <t>EXECUÇÃO DE PISO DE CONCRETO, COM ACABAMENTO SUPERFICIAL, ESPESSURA DE 20 CM, FCK = 30 MPA, COM USO DE FORMAS EM MADEIRA SERRADA. AF_09/2021</t>
  </si>
  <si>
    <t>EXECUÇÃO DE PISO DE CONCRETO, COM ACABAMENTO SUPERFICIAL, ESPESSURA DE 20 CM, FCK = 30 MPA, COM USO DE FORMAS METÁLICAS. AF_09/2021</t>
  </si>
  <si>
    <t>EXECUÇÃO DE PISO DE CONCRETO, COM ACABAMENTO SUPERFICIAL, ESPESSURA DE 25 CM, FCK = 30 MPA, COM USO DE FORMAS EM MADEIRA SERRADA. AF_09/2021</t>
  </si>
  <si>
    <t>EXECUÇÃO DE PISO DE CONCRETO, COM ACABAMENTO SUPERFICIAL, ESPESSURA DE 25 CM, FCK = 30 MPA, COM USO DE FORMAS METÁLICAS. AF_09/2021</t>
  </si>
  <si>
    <t>EXECUÇÃO DE PISO DE CONCRETO, SEM ACABAMENTO SUPERFICIAL, ESPESSURA DE 15 CM, FCK = 30 MPA, COM USO DE FORMAS METÁLICAS. AF_09/2021</t>
  </si>
  <si>
    <t>EXECUÇÃO DE PISO DE CONCRETO, SEM ACABAMENTO SUPERFICIAL, ESPESSURA DE 20 CM, FCK = 30 MPA, COM USO DE FORMAS EM MADEIRA SERRADA. AF_09/2021</t>
  </si>
  <si>
    <t>EXECUÇÃO DE PISO DE CONCRETO, SEM ACABAMENTO SUPERFICIAL, ESPESSURA DE 20 CM, FCK = 30 MPA, COM USO DE FORMAS METÁLICAS. AF_09/2021</t>
  </si>
  <si>
    <t>EXECUÇÃO DE PISO DE CONCRETO, SEM ACABAMENTO SUPERFICIAL, ESPESSURA DE 25 CM, FCK = 30 MPA, COM USO DE FORMAS EM MADEIRA SERRADA. AF_09/2021</t>
  </si>
  <si>
    <t>EXECUÇÃO DE PISO DE CONCRETO, SEM ACABAMENTO SUPERFICIAL, ESPESSURA DE 25 CM, FCK = 30 MPA, COM USO DE FORMAS METÁLICAS. AF_09/2021</t>
  </si>
  <si>
    <t>EXECUÇÃO DE RADIER, ESPESSURA DE 10 CM, FCK = 30 MPA, COM USO DE FORMAS METÁLICAS. AF_09/2021</t>
  </si>
  <si>
    <t>EXECUÇÃO DE RADIER, ESPESSURA DE 15 CM, FCK = 30 MPA, COM USO DE FORMAS METÁLICAS. AF_09/2021</t>
  </si>
  <si>
    <t>EXECUÇÃO DE RADIER, ESPESSURA DE 20 CM, FCK = 30 MPA, COM USO DE FORMAS METÁLICAS. AF_09/2021</t>
  </si>
  <si>
    <t>EXECUÇÃO DE RADIER, ESPESSURA DE 25 CM, FCK = 30 MPA, COM USO DE FORMAS METÁLICAS. AF_09/2021</t>
  </si>
  <si>
    <t>EXECUÇÃO DE RADIER, ESPESSURA DE 30 CM, FCK = 30 MPA, COM USO DE FORMAS METÁLICAS. AF_09/2021</t>
  </si>
  <si>
    <t>MONTAGEM E DESMONTAGEM DE FORMA PARA RADIER, PISO DE CONCRETO OU LAJE SOBRE SOLO, COM SISTEMA DE FORMAS MANUSEÁVEIS METÁLICAS. AF_09/2021</t>
  </si>
  <si>
    <t>EXECUÇÃO DE IMPRIMAÇÃO IMPERMEABILIZANTE COM ASFALTO DILUÍDO CM-30, PARA O FECHAMENTO DE VALAS. AF_05/2021</t>
  </si>
  <si>
    <t>EXECUÇÃO DE PINTURA DE LIGAÇÃO COM EMULSÃO ASFÁLTICA RR-2C, PARA O FECHAMENTO DE VALAS. AF_12/2020</t>
  </si>
  <si>
    <t>EXECUÇÃO DE TAPA BURACO COM APLICAÇÃO DE CONCRETO ASFÁLTICO (AQUISIÇÃO EM USINA) E PINTURA DE LIGAÇÃO. AF_12/2020</t>
  </si>
  <si>
    <t>EXECUÇÃO DE TAPA BURACO COM APLICAÇÃO DE CONCRETO ASFÁLTICO (USINAGEM PRÓPRIA) E PINTURA DE LIGAÇÃO. AF_12/2020</t>
  </si>
  <si>
    <t>EXECUÇÃO DE TAPA BURACO COM APLICAÇÃO DE PRÉ MISTURADO A FRIO (AQUISIÇÃO EM USINA) E PINTURA DE LIGAÇÃO. AF_12/2020</t>
  </si>
  <si>
    <t>EXECUÇÃO DE TAPA BURACO COM APLICAÇÃO DE PRÉ MISTURADO A FRIO (USINAGEM PRÓPRIA) E PINTURA DE LIGAÇÃO. AF_12/2020</t>
  </si>
  <si>
    <t>REASSENTAMENTO DE PARALELEPÍPEDOS, REJUNTAMENTO COM PEDRISCO E EMULSÃO ASFÁLTICA, COM REAPROVEITAMENTO DOS PARALELEPÍPEDOS - INCLUSO RETIRADA E COLOCAÇÃO DO MATERIAL. AF_12/2020</t>
  </si>
  <si>
    <t>REASSENTAMENTO DE PEDRAS POLIÉDRICAS, REJUNTAMENTO COM PEDRISCO E EMULSÃO ASFÁLTICA, COM REAPROVEITAMENTO DAS PEDRAS POLIÉDRICAS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</si>
  <si>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</si>
  <si>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</si>
  <si>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REVESTIMENTO EM CONCRETO ASFÁLTICO (USINAGEM PRÓPRIA), PARA O FECHAMENTO DE VALAS - INCLUSO DEMOLIÇÃO DO PAVIMENTO. AF_12/2020</t>
  </si>
  <si>
    <t>RECOMPOSIÇÃO DE REVESTIMENTO EM PRÉ MISTURADO A FRIO (AQUISIÇÃO EM USINA), PARA FECHAMENTO DE VALAS - INCLUSO DEMOLIÇÃO DO PAVIMENTO. AF_12/2020</t>
  </si>
  <si>
    <t>RECOMPOSIÇÃO DE REVESTIMENTO EM PRÉ MISTURADO A FRIO (USINAGEM PRÓPRIA), PARA FECHAMENTO DE VALAS - INCLUSO DEMOLIÇÃO DO PAVIMENTO. AF_12/2020</t>
  </si>
  <si>
    <t>ELETRODUTO FLEXÍVEL CORRUGADO, PEAD, DN 125 (5"), PARA REDE ENTERRADA DE DISTRIBUIÇÃO DE ENERGIA ELÉTRICA - FORNECIMENTO E INSTALAÇÃO. AF_12/2021</t>
  </si>
  <si>
    <t>ELETRODUTO FLEXÍVEL CORRUGADO, PEAD, DN 150 (6"), PARA REDE ENTERRADA DE DISTRIBUIÇÃO DE ENERGIA ELÉTRICA - FORNECIMENTO E INSTALAÇÃO. AF_12/2021</t>
  </si>
  <si>
    <t>ELETRODUTO FLEXÍVEL CORRUGADO, PEAD, DN 175 (7"), PARA REDE ENTERRADA DE DISTRIBUIÇÃO DE ENERGIA ELÉTRICA - FORNECIMENTO E INSTALAÇÃO. AF_12/2021</t>
  </si>
  <si>
    <t>ELETRODUTO FLEXÍVEL CORRUGADO, PEAD, DN 200 (8"), PARA REDE ENTERRADA DE DISTRIBUIÇÃO DE ENERGIA ELÉTRICA - FORNECIMENTO E INSTALAÇÃO. AF_12/2021</t>
  </si>
  <si>
    <t>FITA DE SINALIZAÇÃO SUBTERRÂNEA PARA REDE ENTERRADA DE DISTRIBUIÇÃO DE ENERGIA ELÉTRICA - FORNECIMENTO E INSTALAÇÃO. AF_12/2021</t>
  </si>
  <si>
    <t>EXECUÇÃO DE JUNTA SOLDADA POR ELETROFUSÃO, DE TUBO OU CONEXÃO EM PEAD LISO PARA REDE DE ÁGUA OU ESGOTO, DIÂMETRO DE 1000 MM (NÃO INCLUI O FORNECIMENTO DE TUBO E CONEXÃO). AF_12/2021</t>
  </si>
  <si>
    <t>EXECUÇÃO DE JUNTA SOLDADA POR ELETROFUSÃO, DE TUBO OU CONEXÃO EM PEAD LISO PARA REDE DE ÁGUA OU ESGOTO, DIÂMETRO DE 110 MM (NÃO INCLUI O FORNECIMENTO DE TUBO E CONEXÃO). AF_12/2021</t>
  </si>
  <si>
    <t>EXECUÇÃO DE JUNTA SOLDADA POR ELETROFUSÃO, DE TUBO OU CONEXÃO EM PEAD LISO PARA REDE DE ÁGUA OU ESGOTO, DIÂMETRO DE 1200 MM (NÃO INCLUI O FORNECIMENTO DE TUBO E CONEXÃO). AF_12/2021</t>
  </si>
  <si>
    <t>EXECUÇÃO DE JUNTA SOLDADA POR ELETROFUSÃO, DE TUBO OU CONEXÃO EM PEAD LISO PARA REDE DE ÁGUA OU ESGOTO, DIÂMETRO DE 1400 MM (NÃO INCLUI O FORNECIMENTO DE TUBO E CONEXÃO). AF_12/2021</t>
  </si>
  <si>
    <t>EXECUÇÃO DE JUNTA SOLDADA POR ELETROFUSÃO, DE TUBO OU CONEXÃO EM PEAD LISO PARA REDE DE ÁGUA OU ESGOTO, DIÂMETRO DE 160 MM (NÃO INCLUI O FORNECIMENTO DE TUBO E CONEXÃO). AF_12/2021</t>
  </si>
  <si>
    <t>EXECUÇÃO DE JUNTA SOLDADA POR ELETROFUSÃO, DE TUBO OU CONEXÃO EM PEAD LISO PARA REDE DE ÁGUA OU ESGOTO, DIÂMETRO DE 1600 MM (NÃO INCLUI O FORNECIMENTO DE TUBO E CONEXÃO). AF_12/2021</t>
  </si>
  <si>
    <t>EXECUÇÃO DE JUNTA SOLDADA POR ELETROFUSÃO, DE TUBO OU CONEXÃO EM PEAD LISO PARA REDE DE ÁGUA OU ESGOTO, DIÂMETRO DE 180 MM (NÃO INCLUI O FORNECIMENTO DE TUBO E CONEXÃO). AF_12/2021</t>
  </si>
  <si>
    <t>EXECUÇÃO DE JUNTA SOLDADA POR ELETROFUSÃO, DE TUBO OU CONEXÃO EM PEAD LISO PARA REDE DE ÁGUA OU ESGOTO, DIÂMETRO DE 20 MM (NÃO INCLUI O FORNECIMENTO DE TUBO E CONEXÃO). AF_12/2021</t>
  </si>
  <si>
    <t>EXECUÇÃO DE JUNTA SOLDADA POR ELETROFUSÃO, DE TUBO OU CONEXÃO EM PEAD LISO PARA REDE DE ÁGUA OU ESGOTO, DIÂMETRO DE 200 MM (NÃO INCLUI O FORNECIMENTO DE TUBO E CONEXÃO). AF_12/2021</t>
  </si>
  <si>
    <t>EXECUÇÃO DE JUNTA SOLDADA POR ELETROFUSÃO, DE TUBO OU CONEXÃO EM PEAD LISO PARA REDE DE ÁGUA OU ESGOTO, DIÂMETRO DE 225 MM (NÃO INCLUI O FORNECIMENTO DE TUBO E CONEXÃO). AF_12/2021</t>
  </si>
  <si>
    <t>EXECUÇÃO DE JUNTA SOLDADA POR ELETROFUSÃO, DE TUBO OU CONEXÃO EM PEAD LISO PARA REDE DE ÁGUA OU ESGOTO, DIÂMETRO DE 250 MM (NÃO INCLUI O FORNECIMENTO DE TUBO E CONEXÃO). AF_12/2021</t>
  </si>
  <si>
    <t>EXECUÇÃO DE JUNTA SOLDADA POR ELETROFUSÃO, DE TUBO OU CONEXÃO EM PEAD LISO PARA REDE DE ÁGUA OU ESGOTO, DIÂMETRO DE 280 MM (NÃO INCLUI O FORNECIMENTO DE TUBO E CONEXÃO). AF_12/2021</t>
  </si>
  <si>
    <t>EXECUÇÃO DE JUNTA SOLDADA POR ELETROFUSÃO, DE TUBO OU CONEXÃO EM PEAD LISO PARA REDE DE ÁGUA OU ESGOTO, DIÂMETRO DE 315 MM (NÃO INCLUI O FORNECIMENTO DE TUBO E CONEXÃO). AF_12/2021</t>
  </si>
  <si>
    <t>EXECUÇÃO DE JUNTA SOLDADA POR ELETROFUSÃO, DE TUBO OU CONEXÃO EM PEAD LISO PARA REDE DE ÁGUA OU ESGOTO, DIÂMETRO DE 32 MM (NÃO INCLUI O FORNECIMENTO DE TUBO E CONEXÃO). AF_12/2021</t>
  </si>
  <si>
    <t>EXECUÇÃO DE JUNTA SOLDADA POR ELETROFUSÃO, DE TUBO OU CONEXÃO EM PEAD LISO PARA REDE DE ÁGUA OU ESGOTO, DIÂMETRO DE 355 MM (NÃO INCLUI O FORNECIMENTO DE TUBO E CONEXÃO). AF_12/2021</t>
  </si>
  <si>
    <t>EXECUÇÃO DE JUNTA SOLDADA POR ELETROFUSÃO, DE TUBO OU CONEXÃO EM PEAD LISO PARA REDE DE ÁGUA OU ESGOTO, DIÂMETRO DE 400 MM (NÃO INCLUI O FORNECIMENTO DE TUBO E CONEXÃO). AF_12/2021</t>
  </si>
  <si>
    <t>EXECUÇÃO DE JUNTA SOLDADA POR ELETROFUSÃO, DE TUBO OU CONEXÃO EM PEAD LISO PARA REDE DE ÁGUA OU ESGOTO, DIÂMETRO DE 450 MM (NÃO INCLUI O FORNECIMENTO DE TUBO E CONEXÃO). AF_12/2021</t>
  </si>
  <si>
    <t>EXECUÇÃO DE JUNTA SOLDADA POR ELETROFUSÃO, DE TUBO OU CONEXÃO EM PEAD LISO PARA REDE DE ÁGUA OU ESGOTO, DIÂMETRO DE 500 MM (NÃO INCLUI O FORNECIMENTO DE TUBO E CONEXÃO). AF_12/2021</t>
  </si>
  <si>
    <t>EXECUÇÃO DE JUNTA SOLDADA POR ELETROFUSÃO, DE TUBO OU CONEXÃO EM PEAD LISO PARA REDE DE ÁGUA OU ESGOTO, DIÂMETRO DE 560 MM (NÃO INCLUI O FORNECIMENTO DE TUBO E CONEXÃO). AF_12/2021</t>
  </si>
  <si>
    <t>EXECUÇÃO DE JUNTA SOLDADA POR ELETROFUSÃO, DE TUBO OU CONEXÃO EM PEAD LISO PARA REDE DE ÁGUA OU ESGOTO, DIÂMETRO DE 63 MM (NÃO INCLUI O FORNECIMENTO DE TUBO E CONEXÃO). AF_12/2021</t>
  </si>
  <si>
    <t>EXECUÇÃO DE JUNTA SOLDADA POR ELETROFUSÃO, DE TUBO OU CONEXÃO EM PEAD LISO PARA REDE DE ÁGUA OU ESGOTO, DIÂMETRO DE 630 MM (NÃO INCLUI O FORNECIMENTO DE TUBO E CONEXÃO). AF_12/2021</t>
  </si>
  <si>
    <t>EXECUÇÃO DE JUNTA SOLDADA POR ELETROFUSÃO, DE TUBO OU CONEXÃO EM PEAD LISO PARA REDE DE ÁGUA OU ESGOTO, DIÂMETRO DE 710 MM (NÃO INCLUI O FORNECIMENTO DE TUBO E CONEXÃO). AF_12/2021</t>
  </si>
  <si>
    <t>EXECUÇÃO DE JUNTA SOLDADA POR ELETROFUSÃO, DE TUBO OU CONEXÃO EM PEAD LISO PARA REDE DE ÁGUA OU ESGOTO, DIÂMETRO DE 800 MM (NÃO INCLUI O FORNECIMENTO DE TUBO E CONEXÃO). AF_12/2021</t>
  </si>
  <si>
    <t>EXECUÇÃO DE JUNTA SOLDADA POR ELETROFUSÃO, DE TUBO OU CONEXÃO EM PEAD LISO PARA REDE DE ÁGUA OU ESGOTO, DIÂMETRO DE 90 MM (NÃO INCLUI O FORNECIMENTO DE TUBO E CONEXÃO). AF_12/2021</t>
  </si>
  <si>
    <t>EXECUÇÃO DE JUNTA SOLDADA POR ELETROFUSÃO, DE TUBO OU CONEXÃO EM PEAD LISO PARA REDE DE ÁGUA OU ESGOTO, DIÂMETRO DE 900 MM (NÃO INCLUI O FORNECIMENTO DE TUBO E CONEXÃO). AF_12/2021</t>
  </si>
  <si>
    <t>EXECUÇÃO DE JUNTA SOLDADA POR TERMOFUSÃO, DE TUBO OU CONEXÃO EM PEAD LISO PARA REDE DE ÁGUA OU ESGOTO, DIÂMETRO DE 1000 MM (NÃO INCLUI O FORNECIMENTO DE TUBO E CONEXÃO). AF_12/2021</t>
  </si>
  <si>
    <t>EXECUÇÃO DE JUNTA SOLDADA POR TERMOFUSÃO, DE TUBO OU CONEXÃO EM PEAD LISO PARA REDE DE ÁGUA OU ESGOTO, DIÂMETRO DE 1200 MM (NÃO INCLUI O FORNECIMENTO DE TUBO E CONEXÃO). AF_12/2021</t>
  </si>
  <si>
    <t>EXECUÇÃO DE JUNTA SOLDADA POR TERMOFUSÃO, DE TUBO OU CONEXÃO EM PEAD LISO PARA REDE DE ÁGUA OU ESGOTO, DIÂMETRO DE 160 MM (NÃO INCLUI O FORNECIMENTO DE TUBO E CONEXÃO). AF_12/2021</t>
  </si>
  <si>
    <t>EXECUÇÃO DE JUNTA SOLDADA POR TERMOFUSÃO, DE TUBO OU CONEXÃO EM PEAD LISO PARA REDE DE ÁGUA OU ESGOTO, DIÂMETRO DE 180 MM (NÃO INCLUI O FORNECIMENTO DE TUBO E CONEXÃO). AF_12/2021</t>
  </si>
  <si>
    <t>EXECUÇÃO DE JUNTA SOLDADA POR TERMOFUSÃO, DE TUBO OU CONEXÃO EM PEAD LISO PARA REDE DE ÁGUA OU ESGOTO, DIÂMETRO DE 200 MM (NÃO INCLUI O FORNECIMENTO DE TUBO E CONEXÃO). AF_12/2021</t>
  </si>
  <si>
    <t>EXECUÇÃO DE JUNTA SOLDADA POR TERMOFUSÃO, DE TUBO OU CONEXÃO EM PEAD LISO PARA REDE DE ÁGUA OU ESGOTO, DIÂMETRO DE 225 MM (NÃO INCLUI O FORNECIMENTO DE TUBO E CONEXÃO). AF_12/2021</t>
  </si>
  <si>
    <t>EXECUÇÃO DE JUNTA SOLDADA POR TERMOFUSÃO, DE TUBO OU CONEXÃO EM PEAD LISO PARA REDE DE ÁGUA OU ESGOTO, DIÂMETRO DE 250 MM (NÃO INCLUI O FORNECIMENTO DE TUBO E CONEXÃO). AF_12/2021</t>
  </si>
  <si>
    <t>EXECUÇÃO DE JUNTA SOLDADA POR TERMOFUSÃO, DE TUBO OU CONEXÃO EM PEAD LISO PARA REDE DE ÁGUA OU ESGOTO, DIÂMETRO DE 280 MM (NÃO INCLUI O FORNECIMENTO DE TUBO E CONEXÃO). AF_12/2021</t>
  </si>
  <si>
    <t>EXECUÇÃO DE JUNTA SOLDADA POR TERMOFUSÃO, DE TUBO OU CONEXÃO EM PEAD LISO PARA REDE DE ÁGUA OU ESGOTO, DIÂMETRO DE 315 MM (NÃO INCLUI O FORNECIMENTO DE TUBO E CONEXÃO). AF_12/2021</t>
  </si>
  <si>
    <t>EXECUÇÃO DE JUNTA SOLDADA POR TERMOFUSÃO, DE TUBO OU CONEXÃO EM PEAD LISO PARA REDE DE ÁGUA OU ESGOTO, DIÂMETRO DE 355 MM (NÃO INCLUI O FORNECIMENTO DE TUBO E CONEXÃO). AF_12/2021</t>
  </si>
  <si>
    <t>EXECUÇÃO DE JUNTA SOLDADA POR TERMOFUSÃO, DE TUBO OU CONEXÃO EM PEAD LISO PARA REDE DE ÁGUA OU ESGOTO, DIÂMETRO DE 400 MM (NÃO INCLUI O FORNECIMENTO DE TUBO E CONEXÃO). AF_12/2021</t>
  </si>
  <si>
    <t>EXECUÇÃO DE JUNTA SOLDADA POR TERMOFUSÃO, DE TUBO OU CONEXÃO EM PEAD LISO PARA REDE DE ÁGUA OU ESGOTO, DIÂMETRO DE 450 MM (NÃO INCLUI O FORNECIMENTO DE TUBO E CONEXÃO). AF_12/2021</t>
  </si>
  <si>
    <t>EXECUÇÃO DE JUNTA SOLDADA POR TERMOFUSÃO, DE TUBO OU CONEXÃO EM PEAD LISO PARA REDE DE ÁGUA OU ESGOTO, DIÂMETRO DE 500 MM (NÃO INCLUI O FORNECIMENTO DE TUBO E CONEXÃO). AF_12/2021</t>
  </si>
  <si>
    <t>EXECUÇÃO DE JUNTA SOLDADA POR TERMOFUSÃO, DE TUBO OU CONEXÃO EM PEAD LISO PARA REDE DE ÁGUA OU ESGOTO, DIÂMETRO DE 560 MM (NÃO INCLUI O FORNECIMENTO DE TUBO E CONEXÃO). AF_12/2021</t>
  </si>
  <si>
    <t>EXECUÇÃO DE JUNTA SOLDADA POR TERMOFUSÃO, DE TUBO OU CONEXÃO EM PEAD LISO PARA REDE DE ÁGUA OU ESGOTO, DIÂMETRO DE 630 MM (NÃO INCLUI O FORNECIMENTO DE TUBO E CONEXÃO). AF_12/2021</t>
  </si>
  <si>
    <t>EXECUÇÃO DE JUNTA SOLDADA POR TERMOFUSÃO, DE TUBO OU CONEXÃO EM PEAD LISO PARA REDE DE ÁGUA OU ESGOTO, DIÂMETRO DE 710 MM (NÃO INCLUI O FORNECIMENTO DE TUBO E CONEXÃO). AF_12/2021</t>
  </si>
  <si>
    <t>EXECUÇÃO DE JUNTA SOLDADA POR TERMOFUSÃO, DE TUBO OU CONEXÃO EM PEAD LISO PARA REDE DE ÁGUA OU ESGOTO, DIÂMETRO DE 800 MM (NÃO INCLUI O FORNECIMENTO DE TUBO E CONEXÃO). AF_12/2021</t>
  </si>
  <si>
    <t>EXECUÇÃO DE JUNTA SOLDADA POR TERMOFUSÃO, DE TUBO OU CONEXÃO EM PEAD LISO PARA REDE DE ÁGUA OU ESGOTO, DIÂMETRO DE 900 MM (NÃO INCLUI O FORNECIMENTO DE TUBO E CONEXÃO).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</si>
  <si>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</si>
  <si>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</si>
  <si>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</si>
  <si>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TUBO PEAD LISO PARA REDE DE ÁGUA OU ESGOTO, DIÂMETRO DE 180 MM, JUNTA SOLDADA (NÃO INCLUI A EXECUÇÃO DE SOLDA) - FORNECIMENTO E ASSENTAMENTO. AF_12/2021</t>
  </si>
  <si>
    <t>TUBO PEAD LISO PARA REDE DE ÁGUA OU ESGOTO, DIÂMETRO DE 225 MM, JUNTA SOLDADA (NÃO INCLUI A EXECUÇÃO DE SOLDA) - FORNECIMENTO E ASSENTAMENTO. AF_12/2021</t>
  </si>
  <si>
    <t>TUBO PEAD LISO PARA REDE DE ÁGUA OU ESGOTO, DIÂMETRO DE 250 MM, JUNTA SOLDADA (NÃO INCLUI A EXECUÇÃO DE SOLDA) - FORNECIMENTO E ASSENTAMENTO. AF_12/2021</t>
  </si>
  <si>
    <t>TUBO PEAD LISO PARA REDE DE ÁGUA OU ESGOTO, DIÂMETRO DE 280 MM, JUNTA SOLDADA (NÃO INCLUI A EXECUÇÃO DE SOLDA) - FORNECIMENTO E ASSENTAMENTO. AF_12/2021</t>
  </si>
  <si>
    <t>TUBO PEAD LISO PARA REDE DE ÁGUA OU ESGOTO, DIÂMETRO DE 355 MM, JUNTA SOLDADA (NÃO INCLUI A EXECUÇÃO DE SOLDA) - FORNECIMENTO E ASSENTAMENTO. AF_12/2021</t>
  </si>
  <si>
    <t>TUBO PEAD LISO PARA REDE DE ÁGUA OU ESGOTO, DIÂMETRO DE 450 MM, JUNTA SOLDADA (NÃO INCLUI A EXECUÇÃO DE SOLDA) - FORNECIMENTO E ASSENTAMENTO. AF_12/2021</t>
  </si>
  <si>
    <t>TUBO PEAD LISO PARA REDE DE ÁGUA OU ESGOTO, DIÂMETRO DE 560 MM, JUNTA SOLDADA (NÃO INCLUI A EXECUÇÃO DE SOLDA) - FORNECIMENTO E ASSENTAMENTO. AF_12/2021</t>
  </si>
  <si>
    <t>TUBO PEAD LISO PARA REDE DE ÁGUA OU ESGOTO, DIÂMETRO DE 63 MM, JUNTA SOLDADA (NÃO INCLUI A EXECUÇÃO DE SOLDA) - FORNECIMENTO E ASSENTAMENTO. AF_12/2021</t>
  </si>
  <si>
    <t>TUBO PEAD LISO PARA REDE DE ÁGUA OU ESGOTO, DIÂMETRO DE 710 MM, JUNTA SOLDADA (NÃO INCLUI A EXECUÇÃO DE SOLDA) - FORNECIMENTO E ASSENTAMENTO. AF_12/2021</t>
  </si>
  <si>
    <t>TUBO PEAD LISO PARA REDE DE ÁGUA OU ESGOTO, DIÂMETRO DE 90 MM, JUNTA SOLDADA (NÃO INCLUI A EXECUÇÃO DE SOLDA) - FORNECIMENTO E ASSENTAMENTO. AF_12/2021</t>
  </si>
  <si>
    <t>FORNECIMENTO E INSTALAÇÃO DE BALIZADOR SOBRE ASFALTO. AF_03/2022</t>
  </si>
  <si>
    <t>FORNECIMENTO E INSTALAÇÃO DE BARREIRA DE CONCRETO PERFIL NEW JERSEY DUPLA - 1070 MM. AF_03/2022</t>
  </si>
  <si>
    <t>FORNECIMENTO E INSTALAÇÃO DE BARREIRA DE CONCRETO PERFIL NEW JERSEY DUPLA - 810 MM. AF_03/2022</t>
  </si>
  <si>
    <t>FORNECIMENTO E INSTALAÇÃO DE BARREIRA DE CONCRETO PERFIL NEW JERSEY SIMPLES - 1070 MM. AF_03/2022</t>
  </si>
  <si>
    <t>FORNECIMENTO E INSTALAÇÃO DE BARREIRA DE CONCRETO PERFIL NEW JERSEY SIMPLES - 810 MM. AF_03/2022</t>
  </si>
  <si>
    <t>FORNECIMENTO E INSTALAÇÃO DE BARREIRA DE CONCRETO PERFIL TIPO F DUPLA - 1070 MM. AF_03/2022</t>
  </si>
  <si>
    <t>FORNECIMENTO E INSTALAÇÃO DE BARREIRA DE CONCRETO PERFIL TIPO F DUPLA - 810 MM. AF_03/2022</t>
  </si>
  <si>
    <t>FORNECIMENTO E INSTALAÇÃO DE BARREIRA DE CONCRETO PERFIL TIPO F SIMPLES - 1070 MM. AF_03/2022</t>
  </si>
  <si>
    <t>FORNECIMENTO E INSTALAÇÃO DE BARREIRA DE CONCRETO PERFIL TIPO F SIMPLES - 810 MM. AF_03/2022</t>
  </si>
  <si>
    <t>FORNECIMENTO E INSTALAÇÃO DE BATE RODAS SOBRE ASFALTO. AF_03/2022</t>
  </si>
  <si>
    <t>FORNECIMENTO E INSTALAÇÃO DE CALOTA SOBRE ASFALTO. AF_03/2022</t>
  </si>
  <si>
    <t>FORNECIMENTO E INSTALAÇÃO DE DEFENSA METÁLICA MALEÁVEL DUPLA, SOBRE SOLO. AF_03/2022</t>
  </si>
  <si>
    <t>FORNECIMENTO E INSTALAÇÃO DE DEFENSA METÁLICA MALEÁVEL SIMPLES, SOBRE SOLO. AF_03/2022</t>
  </si>
  <si>
    <t>FORNECIMENTO E INSTALAÇÃO DE DEFENSA METÁLICA SEMI MALEÁVEL DUPLA, SOBRE SOLO. AF_03/2022</t>
  </si>
  <si>
    <t>FORNECIMENTO E INSTALAÇÃO DE DEFENSA METÁLICA SEMI MALEÁVEL SIMPLES (ANCORAGEM), SOBRE SOLO. AF_03/2022</t>
  </si>
  <si>
    <t>FORNECIMENTO E INSTALAÇÃO DE DEFENSA METÁLICA SEMI MALEÁVEL SIMPLES, SOBRE SOLO. AF_03/2022</t>
  </si>
  <si>
    <t>FORNECIMENTO E INSTALAÇÃO DE DEFENSA METÁLICA SEMI-MALEAVEL DUPLA (ANCORAGEM), SOBRE SOLO. AF_03/2022</t>
  </si>
  <si>
    <t>FORNECIMENTO E INSTALAÇÃO DE DEFENSA METÁLICA TRIPLA ONDA DUPLA, SOBRE SOLO. AF_03/2022</t>
  </si>
  <si>
    <t>FORNECIMENTO E INSTALAÇÃO DE DEFENSA METÁLICA TRIPLA ONDA SIMPLES, SOBRE SOLO. AF_03/2022</t>
  </si>
  <si>
    <t>FORNECIMENTO E INSTALAÇÃO DE LOMBADA SOBRE ASFALTO. AF_03/2022</t>
  </si>
  <si>
    <t>FORNECIMENTO E INSTALAÇÃO DE PRISMA SOBRE ASFALTO. AF_03/2022</t>
  </si>
  <si>
    <t>FORNECIMENTO E INSTALAÇÃO DE SEGREGADOR SOBRE ASFALTO. AF_03/2022</t>
  </si>
  <si>
    <t>FORNECIMENTO E INSTALAÇÃO DE TACHA SOBRE ASFALTO. AF_03/2022</t>
  </si>
  <si>
    <t>FORNECIMENTO E INSTALAÇÃO DE TACHÃO SOBRE ASFALTO. AF_03/2022</t>
  </si>
  <si>
    <t>FORNECIMENTO E INSTALAÇÃO DE TERMINAL DE ANCORAGEM DE DEFENSA METÁLICA, EM BARREIRA DE CONCRETO. AF_03/2022</t>
  </si>
  <si>
    <t>FORNECIMENTO E INSTALAÇÃO DE PLACA DE SINALIZAÇÃO EM CHAPA DE ALUMÍNIO EM SUPORTE DE CONCRETO. AF_03/2022</t>
  </si>
  <si>
    <t>FORNECIMENTO E INSTALAÇÃO DE PLACA DE SINALIZAÇÃO EM CHAPA DE ALUMÍNIO EM SUPORTE DE MADEIRA. AF_03/2022</t>
  </si>
  <si>
    <t>FORNECIMENTO E INSTALAÇÃO DE PLACA DE SINALIZAÇÃO EM CHAPA DE ALUMÍNIO EM SUPORTE METÁLICO. AF_03/2022</t>
  </si>
  <si>
    <t>FORNECIMENTO E INSTALAÇÃO DE PLACA DE SINALIZAÇÃO EM CHAPA DE AÇO EM SUPORTE DE CONCRETO. AF_03/2022</t>
  </si>
  <si>
    <t>FORNECIMENTO E INSTALAÇÃO DE PLACA DE SINALIZAÇÃO EM CHAPA DE AÇO EM SUPORTE DE MADEIRA. AF_03/2022</t>
  </si>
  <si>
    <t>FORNECIMENTO E INSTALAÇÃO DE PLACA DE SINALIZAÇÃO EM CHAPA DE AÇO EM SUPORTE METÁLICO. AF_03/2022</t>
  </si>
  <si>
    <t>FORNECIMENTO E INSTALAÇÃO DE PLACA DE SINALIZAÇÃO EM PÓRTICO E SEMI-PÓRTICO. AF_03/2022</t>
  </si>
  <si>
    <t>FORNECIMENTO E INSTALAÇÃO DE PÓRTICO METÁLICO COM VÃO DE 10,3 M. AF_03/2022</t>
  </si>
  <si>
    <t>FORNECIMENTO E INSTALAÇÃO DE PÓRTICO METÁLICO COM VÃO DE 11,4 M. AF_03/2022</t>
  </si>
  <si>
    <t>FORNECIMENTO E INSTALAÇÃO DE PÓRTICO METÁLICO COM VÃO DE 12,5 M. AF_03/2022</t>
  </si>
  <si>
    <t>FORNECIMENTO E INSTALAÇÃO DE PÓRTICO METÁLICO COM VÃO DE 13,6 M. AF_03/2022</t>
  </si>
  <si>
    <t>FORNECIMENTO E INSTALAÇÃO DE PÓRTICO METÁLICO COM VÃO DE 14,8 M. AF_03/2022</t>
  </si>
  <si>
    <t>FORNECIMENTO E INSTALAÇÃO DE PÓRTICO METÁLICO COM VÃO DE 15,9 M. AF_03/2022</t>
  </si>
  <si>
    <t>FORNECIMENTO E INSTALAÇÃO DE PÓRTICO METÁLICO COM VÃO DE 17 M. AF_03/2022</t>
  </si>
  <si>
    <t>FORNECIMENTO E INSTALAÇÃO DE PÓRTICO METÁLICO COM VÃO DE 18,1 M. AF_03/2022</t>
  </si>
  <si>
    <t>FORNECIMENTO E INSTALAÇÃO DE PÓRTICO METÁLICO COM VÃO DE 19,2 M. AF_03/2022</t>
  </si>
  <si>
    <t>FORNECIMENTO E INSTALAÇÃO DE PÓRTICO METÁLICO COM VÃO DE 20,3 M. AF_03/2022</t>
  </si>
  <si>
    <t>FORNECIMENTO E INSTALAÇÃO DE PÓRTICO METÁLICO COM VÃO DE 21,5 M. AF_03/2022</t>
  </si>
  <si>
    <t>FORNECIMENTO E INSTALAÇÃO DE PÓRTICO METÁLICO COM VÃO DE 22,6 M. AF_03/2022</t>
  </si>
  <si>
    <t>FORNECIMENTO E INSTALAÇÃO DE PÓRTICO METÁLICO COM VÃO DE 23,7 M. AF_03/2022</t>
  </si>
  <si>
    <t>FORNECIMENTO E INSTALAÇÃO DE PÓRTICO METÁLICO COM VÃO DE 24,8 M. AF_03/2022</t>
  </si>
  <si>
    <t>FORNECIMENTO E INSTALAÇÃO DE PÓRTICO METÁLICO COM VÃO DE 26 M. AF_03/2022</t>
  </si>
  <si>
    <t>FORNECIMENTO E INSTALAÇÃO DE PÓRTICO METÁLICO COM VÃO DE 27,1 M. AF_03/2022</t>
  </si>
  <si>
    <t>FORNECIMENTO E INSTALAÇÃO DE PÓRTICO METÁLICO COM VÃO DE 9,2 M. AF_03/2022</t>
  </si>
  <si>
    <t>FORNECIMENTO E INSTALAÇÃO DE SEMI PÓRTICO DUPLO METÁLICO COM VÃO DE 2,7 M. AF_03/2022</t>
  </si>
  <si>
    <t>FORNECIMENTO E INSTALAÇÃO DE SEMI PÓRTICO DUPLO METÁLICO COM VÃO DE 3,8 M. AF_03/2022</t>
  </si>
  <si>
    <t>FORNECIMENTO E INSTALAÇÃO DE SEMI PÓRTICO DUPLO METÁLICO COM VÃO DE 4,9 M. AF_03/2022</t>
  </si>
  <si>
    <t>FORNECIMENTO E INSTALAÇÃO DE SEMI PÓRTICO DUPLO METÁLICO COM VÃO DE 6 M. AF_03/2022</t>
  </si>
  <si>
    <t>FORNECIMENTO E INSTALAÇÃO DE SEMI PÓRTICO DUPLO METÁLICO COM VÃO DE 7,2 M. AF_03/2022</t>
  </si>
  <si>
    <t>FORNECIMENTO E INSTALAÇÃO DE SEMI PÓRTICO DUPLO METÁLICO COM VÃO DE 8,3 M. AF_03/2022</t>
  </si>
  <si>
    <t>FORNECIMENTO E INSTALAÇÃO DE SEMI PÓRTICO METÁLICO COM VÃO DE 2,7 M. AF_03/2022</t>
  </si>
  <si>
    <t>FORNECIMENTO E INSTALAÇÃO DE SEMI PÓRTICO METÁLICO COM VÃO DE 3,8 M. AF_03/2022</t>
  </si>
  <si>
    <t>FORNECIMENTO E INSTALAÇÃO DE SEMI PÓRTICO METÁLICO COM VÃO DE 4,9 M. AF_03/2022</t>
  </si>
  <si>
    <t>FORNECIMENTO E INSTALAÇÃO DE SEMI PÓRTICO METÁLICO COM VÃO DE 6 M. AF_03/2022</t>
  </si>
  <si>
    <t>FORNECIMENTO E INSTALAÇÃO DE SEMI PÓRTICO METÁLICO COM VÃO DE 7,2 M. AF_03/2022</t>
  </si>
  <si>
    <t>FORNECIMENTO E INSTALAÇÃO DE SEMI PÓRTICO METÁLICO COM VÃO DE 8,3 M. AF_03/2022</t>
  </si>
  <si>
    <t>FORNECIMENTO E INSTALAÇÃO DE SUPORTE METÁLICO GALVANIZADO PARA PLACAS DE SINALIZAÇÃO EM SOLO, COM H= DE 2,5 M E DIÂMETRO DE 2''. AF_03/2022</t>
  </si>
  <si>
    <t>FORNECIMENTO E INSTALAÇÃO DE SUPORTE METÁLICO GALVANIZADO PARA PLACAS DE SINALIZAÇÃO, EM BASE DE CONCRETO, COM H= DE 2,0 M E DIÂMETRO DE 2''. AF_03/2022</t>
  </si>
  <si>
    <t>FORNECIMENTO E INSTALAÇÃO DE SUPORTE METÁLICO GALVANIZADO PARA PLACAS DE SINALIZAÇÃO, EM BASE DE CONCRETO, COM H= DE 2,5 M E DIÂMETRO DE 2''. AF_03/2022</t>
  </si>
  <si>
    <t>FORNECIMENTO E INSTALAÇÃO DE SUPORTE METÁLICO GALVANIZADO PARA PLACAS DE SINALIZAÇÃO, EM SOLO, COM H= DE 2,0 M E DIÂMETRO DE 2''. AF_03/2022</t>
  </si>
  <si>
    <t>CONECTOR SPLIT-BOLT, PARA SPDA, PARA CABOS DE 16 A 70 MM2 - FORNECIMENTO E INSTALAÇÃO. AF_08/2023</t>
  </si>
  <si>
    <t>CONJUNTO DE ESTAIAMENTO PARA MASTRO DE SPDA (COMPRIMENTO DOS ESTAIS = 12 M) - FORNECIMENTO E INSTALAÇÃO. AF_08/2023</t>
  </si>
  <si>
    <t>CONJUNTO DE ESTAIAMENTO PARA MASTRO DE SPDA (COMPRIMENTO DOS ESTAIS = 2 M) - FORNECIMENTO E INSTALAÇÃO. AF_08/2023</t>
  </si>
  <si>
    <t>CONJUNTO DE ESTAIAMENTO PARA MASTRO DE SPDA (COMPRIMENTO DOS ESTAIS = 4 M) - FORNECIMENTO E INSTALAÇÃO. AF_08/2023</t>
  </si>
  <si>
    <t>CONJUNTO DE ESTAIAMENTO PARA MASTRO DE SPDA (COMPRIMENTO DOS ESTAIS = 8 M) - FORNECIMENTO E INSTALAÇÃO. AF_08/2023</t>
  </si>
  <si>
    <t>CONJUNTO PARA-RAIOS TIPO FRANKLIN PARA SPDA (INCLUSO BASE METÁLICA, MASTRO COM 6 M, CAPTOR FRANKLIN E CONJUNTO DE ESTAIAMENTO COM 3 ESTAIS FLEXÍVEIS DE 4 M) - FORNECIMENTO E INSTALAÇÃO. AF_08/2023</t>
  </si>
  <si>
    <t>CORDOALHA DE COBRE NU 35 MM², NÃO ENTERRADA, COM PRESILHA - FORNECIMENTO E INSTALAÇÃO. AF_08/2023</t>
  </si>
  <si>
    <t>CORDOALHA DE COBRE NU 50 MM², NÃO ENTERRADA, COM PRESILHA - FORNECIMENTO E INSTALAÇÃO. AF_08/2023</t>
  </si>
  <si>
    <t>CORDOALHA DE COBRE NU 70 MM², NÃO ENTERRADA, COM PRESILHA - FORNECIMENTO E INSTALAÇÃO. AF_08/2023</t>
  </si>
  <si>
    <t>FITA DE ALUMÍNIO 70 MM² PARA SPDA - FORNECIMENTO E INSTALAÇÃO. AF_08/2023</t>
  </si>
  <si>
    <t>PRESILHA PARA FIXAÇÃO DE CORDOALHA NÃO ENTERRADA PARA SPDA - FORNECIMENTO E INSTALAÇÃO. AF_08/2023</t>
  </si>
  <si>
    <t>SOLDA EXOTÉRMICA PARA SPDA - FORNECIMENTO E INSTALAÇÃO. AF_08/2023</t>
  </si>
  <si>
    <t>SUPORTE ISOLADOR 2 DESCIDAS PARA FIXAÇÃO DA CORDOALHA DE COBRE EM MASTRO 1 1/2" DE SPDA - FORNECIMENTO E INSTALAÇÃO. AF_08/2023</t>
  </si>
  <si>
    <t>INSTALAÇÃO E FORNECIMENTO DE PAINEL FIXO NA PAREDE COM TOMADAS E SAÍDAS PARA GASES MEDICINAIS. AF_11/2023</t>
  </si>
  <si>
    <t>INSTALAÇÃO E FORNECIMENTO DE PAINEL SUSPENSO COM TOMADAS E SAÍDAS PARA GASES MEDICINAIS. AF_11/2023</t>
  </si>
  <si>
    <t>INSTALAÇÃO E FORNECIMENTO DE POSTO PAREDE, INTERNO OU EXTERNO, PARA REDE DE GASES HOSPITALARES, COM VÁLVULA DE IMPACTO P/ESTANQUEIDADE, PRESSÃO MÁX. TRAB. 8,0 KGF/CM2, CONEXÕES, COM CANOPLA PLÁSTICA COM INDICAÇÃO DO TIPO DE GÁS, COMPLETO. AF_11/2023</t>
  </si>
  <si>
    <t>INSTALAÇÃO E FORNECIMENTO DE RÉGUA DE INALOTERAPIA DE PAREDE PARA REDE DE GÁS COMPRIMIDO, COM 3 PONTOS DE CONSUMO DE GASES IDENTIFICADOS, EM PERFIL DE ALUMÍNIO, APROX. 40 CM, INCLUI VÁLVULA DE IMPACTO E CONEXÕES EM LATÃO, COMPLETO. AF_11/2023</t>
  </si>
  <si>
    <t>INSTALAÇÃO E FORNECIMENTO DE RÉGUA DE INALOTERAPIA DE PAREDE PARA REDE DE GÁS OXIGÊNIO, COM 3 PONTOS DE CONSUMO DE GASES IDENTIFICADOS, EM PERFIL DE ALUMÍNIO ANODIZ., APROX. 40 CM, INCLUI VÁLVULA DE IMPACTO E CONEXÕES EM LATÃO, COMPLETO. AF_11/2023</t>
  </si>
  <si>
    <t>CAIXA DE EMBUTIR EM AÇO GALVANIZADO PARA ABRIGO DE HIDRÔMETRO - FORNECIMENTO E INSTALAÇÃO (EXCLUSIVE HIDRÔMETRO). AF_03/2024</t>
  </si>
  <si>
    <t>CAIXA DE EMBUTIR EM POLICARBONATO PARA ABRIGO DE HIDRÔMETRO - FORNECIMENTO E INSTALAÇÃO (EXCLUSIVE HIDRÔMETRO). AF_03/2024</t>
  </si>
  <si>
    <t>CAIXA DE EMBUTIR EM POLIPROPILENO PARA ABRIGO DE HIDRÔMETRO - FORNECIMENTO E INSTALAÇÃO (EXCLUSIVE HIDRÔMETRO). AF_03/2024</t>
  </si>
  <si>
    <t>CAIXA DE SOBREPOR EM AÇO GALVANIZADO PARA ABRIGO DE HIDRÔMETRO - FORNECIMENTO E INSTALAÇÃO (EXCLUSIVE HIDRÔMETRO). AF_03/2024</t>
  </si>
  <si>
    <t>CAIXA EM CONCRETO PRÉ-MOLDADO PARA ABRIGO DE HIDRÔMETRO COM DN 25 MM - FORNECIMENTO E INSTALAÇÃO (EXCLUSIVE HIDRÔMETRO). AF_03/2024</t>
  </si>
  <si>
    <t>CUMEEIRA NORMAL PARA TELHA TRAPEZOIDAL DE AÇO, E = 0,5 MM, INCLUSO ACESSÓRIOS DE FIXAÇÃO E IÇAMENTO. AF_07/2019</t>
  </si>
  <si>
    <t>ISOLAMENTO TERMOACÚSTICO COM LÃ MINERAL NA SUBCOBERTURA, INCLUSO TRANSPORTE VERTICAL. AF_07/2019</t>
  </si>
  <si>
    <t>CARGA E DESCARGA COM CARRINHO PLATAFORMA, DE BANCADA DE MÁRMORE OU GRANITO PARA COZINHA/LAVATÓRIO OU MÁRMORE SINTÉTICO COM CUBA INTEGRADA, EM BALSA DE 1000 TONELADAS. AF_05/2024</t>
  </si>
  <si>
    <t>CARGA E DESCARGA COM CARRINHO PLATAFORMA, DE BANCADA DE MÁRMORE OU GRANITO PARA COZINHA/LAVATÓRIO OU MÁRMORE SINTÉTICO COM CUBA INTEGRADA, EM BALSA DE 1500 TONELADAS. AF_05/2024</t>
  </si>
  <si>
    <t>CARGA E DESCARGA COM CARRINHO PLATAFORMA, DE BANCADA DE MÁRMORE OU GRANITO PARA COZINHA/LAVATÓRIO OU MÁRMORE SINTÉTICO COM CUBA INTEGRADA, EM BALSA DE 2000 TONELADAS. AF_05/2024</t>
  </si>
  <si>
    <t>CARGA E DESCARGA COM CARRINHO PLATAFORMA, DE BANCADA DE MÁRMORE OU GRANITO PARA COZINHA/LAVATÓRIO OU MÁRMORE SINTÉTICO COM CUBA INTEGRADA, EM BALSA DE 600 TONELADAS. AF_05/2024</t>
  </si>
  <si>
    <t>CARGA E DESCARGA COM MANIPULADOR TELESCÓPICO, DE PÁLETE DE BACIA SANITÁRIA, CAIXA ACOPLADA, TANQUE OU PIA, EM BALSA DE 1000 TONELADAS. AF_05/2024</t>
  </si>
  <si>
    <t>CARGA E DESCARGA COM MANIPULADOR TELESCÓPICO, DE PÁLETE DE BACIA SANITÁRIA, CAIXA ACOPLADA, TANQUE OU PIA, EM BALSA DE 1500 TONELADAS. AF_05/2024</t>
  </si>
  <si>
    <t>CARGA E DESCARGA COM MANIPULADOR TELESCÓPICO, DE PÁLETE DE BACIA SANITÁRIA, CAIXA ACOPLADA, TANQUE OU PIA, EM BALSA DE 2000 TONELADAS. AF_05/2024</t>
  </si>
  <si>
    <t>CARGA E DESCARGA COM MANIPULADOR TELESCÓPICO, DE PÁLETE DE BACIA SANITÁRIA, CAIXA ACOPLADA, TANQUE OU PIA, EM BALSA DE 600 TONELADAS. AF_05/2024</t>
  </si>
  <si>
    <t>CARGA E DESCARGA COM MANIPULADOR TELESCÓPICO, DE PÁLETE DE BLOCOS VAZADOS DE CONCRETO OU CERÂMICO, EM BALSA DE 1000 TONELADAS. AF_05/2024</t>
  </si>
  <si>
    <t>CARGA E DESCARGA COM MANIPULADOR TELESCÓPICO, DE PÁLETE DE BLOCOS VAZADOS DE CONCRETO OU CERÂMICO, EM BALSA DE 1500 TONELADAS. AF_05/2024</t>
  </si>
  <si>
    <t>CARGA E DESCARGA COM MANIPULADOR TELESCÓPICO, DE PÁLETE DE BLOCOS VAZADOS DE CONCRETO OU CERÂMICO, EM BALSA DE 2000 TONELADAS. AF_05/2024</t>
  </si>
  <si>
    <t>CARGA E DESCARGA COM MANIPULADOR TELESCÓPICO, DE PÁLETE DE BLOCOS VAZADOS DE CONCRETO OU CERÂMICO, EM BALSA DE 600 TONELADAS. AF_05/2024</t>
  </si>
  <si>
    <t>CARGA E DESCARGA COM MANIPULADOR TELESCÓPICO, DE PÁLETE DE CAIXAS COM REVESTIMENTO CERÂMICO, EM BALSA DE 1000 TONELADAS. AF_05/2024</t>
  </si>
  <si>
    <t>CARGA E DESCARGA COM MANIPULADOR TELESCÓPICO, DE PÁLETE DE CAIXAS COM REVESTIMENTO CERÂMICO, EM BALSA DE 1500 TONELADAS. AF_05/2024</t>
  </si>
  <si>
    <t>CARGA E DESCARGA COM MANIPULADOR TELESCÓPICO, DE PÁLETE DE CAIXAS COM REVESTIMENTO CERÂMICO, EM BALSA DE 2000 TONELADAS. AF_05/2024</t>
  </si>
  <si>
    <t>CARGA E DESCARGA COM MANIPULADOR TELESCÓPICO, DE PÁLETE DE CAIXAS COM REVESTIMENTO CERÂMICO, EM BALSA DE 600 TONELADAS. AF_05/2024</t>
  </si>
  <si>
    <t>CARGA E DESCARGA COM MANIPULADOR TELESCÓPICO, DE PÁLETE DE LATAS 18 LITROS, EM BALSA DE 1000 TONELADAS. AF_05/2024</t>
  </si>
  <si>
    <t>CARGA E DESCARGA COM MANIPULADOR TELESCÓPICO, DE PÁLETE DE LATAS 18 LITROS, EM BALSA DE 1500 TONELADAS. AF_05/2024</t>
  </si>
  <si>
    <t>CARGA E DESCARGA COM MANIPULADOR TELESCÓPICO, DE PÁLETE DE LATAS 18 LITROS, EM BALSA DE 2000 TONELADAS. AF_05/2024</t>
  </si>
  <si>
    <t>CARGA E DESCARGA COM MANIPULADOR TELESCÓPICO, DE PÁLETE DE LATAS 18 LITROS, EM BALSA DE 600 TONELADAS. AF_05/2024</t>
  </si>
  <si>
    <t>CARGA E DESCARGA COM MANIPULADOR TELESCÓPICO, DE PÁLETE DE SACOS, EM BALSA DE 1000 TONELADAS. AF_05/2024</t>
  </si>
  <si>
    <t>CARGA E DESCARGA COM MANIPULADOR TELESCÓPICO, DE PÁLETE DE SACOS, EM BALSA DE 1500 TONELADAS. AF_05/2024</t>
  </si>
  <si>
    <t>CARGA E DESCARGA COM MANIPULADOR TELESCÓPICO, DE PÁLETE DE SACOS, EM BALSA DE 2000 TONELADAS. AF_05/2024</t>
  </si>
  <si>
    <t>CARGA E DESCARGA COM MANIPULADOR TELESCÓPICO, DE PÁLETE DE SACOS, EM BALSA DE 600 TONELADAS. AF_05/2024</t>
  </si>
  <si>
    <t>CARGA E DESCARGA COM MANIPULADOR TELESCÓPICO, DE PÁLETE DE TELHA DE CONCRETO OU CERÂMICA, EM BALSA DE 1000 TONELADAS. AF_05/2024</t>
  </si>
  <si>
    <t>CARGA E DESCARGA COM MANIPULADOR TELESCÓPICO, DE PÁLETE DE TELHA DE CONCRETO OU CERÂMICA, EM BALSA DE 1500 TONELADAS. AF_05/2024</t>
  </si>
  <si>
    <t>CARGA E DESCARGA COM MANIPULADOR TELESCÓPICO, DE PÁLETE DE TELHA DE CONCRETO OU CERÂMICA, EM BALSA DE 2000 TONELADAS. AF_05/2024</t>
  </si>
  <si>
    <t>CARGA E DESCARGA COM MANIPULADOR TELESCÓPICO, DE PÁLETE DE TELHA DE CONCRETO OU CERÂMICA, EM BALSA DE 600 TONELADAS. AF_05/2024</t>
  </si>
  <si>
    <t>CARGA E DESCARGA COM MANIPULADOR TELESCÓPICO, DE TELHAS TERMOACÚSTICAS, FIBROCIMENTO, AÇO ZINCADO, FIBROCIMENTO ESTRUTURAL, CANALETE 90 OU KALHETÃO, EM BALSA DE 1000 TONELADAS. AF_05/2024</t>
  </si>
  <si>
    <t>CARGA E DESCARGA COM MANIPULADOR TELESCÓPICO, DE TELHAS TERMOACÚSTICAS, FIBROCIMENTO, AÇO ZINCADO, FIBROCIMENTO ESTRUTURAL, CANALETE 90 OU KALHETÃO, EM BALSA DE 1500 TONELADAS. AF_05/2024</t>
  </si>
  <si>
    <t>CARGA E DESCARGA COM MANIPULADOR TELESCÓPICO, DE TELHAS TERMOACÚSTICAS, FIBROCIMENTO, AÇO ZINCADO, FIBROCIMENTO ESTRUTURAL, CANALETE 90 OU KALHETÃO, EM BALSA DE 2000 TONELADAS. AF_05/2024</t>
  </si>
  <si>
    <t>CARGA E DESCARGA COM MANIPULADOR TELESCÓPICO, DE TELHAS TERMOACÚSTICAS, FIBROCIMENTO, AÇO ZINCADO, FIBROCIMENTO ESTRUTURAL, CANALETE 90 OU KALHETÃO, EM BALSA DE 600 TONELADAS. AF_05/2024</t>
  </si>
  <si>
    <t>CARGA E DESCARGA DE BETONEIRA, COM CAMINHÃO CARROCERIA COM GUINDAUTO (MUNCK) 11,7 TM, EM BALSA DE 1000 TONELADAS. AF_05/2024</t>
  </si>
  <si>
    <t>CARGA E DESCARGA DE BETONEIRA, COM CAMINHÃO CARROCERIA COM GUINDAUTO (MUNCK) 11,7 TM, EM BALSA DE 1500 TONELADAS. AF_05/2024</t>
  </si>
  <si>
    <t>CARGA E DESCARGA DE BETONEIRA, COM CAMINHÃO CARROCERIA COM GUINDAUTO (MUNCK) 11,7 TM, EM BALSA DE 2000 TONELADAS. AF_05/2024</t>
  </si>
  <si>
    <t>CARGA E DESCARGA DE BETONEIRA, COM CAMINHÃO CARROCERIA COM GUINDAUTO (MUNCK) 11,7 TM, EM BALSA DE 600 TONELADAS. AF_05/2024</t>
  </si>
  <si>
    <t>CARGA E DESCARGA DE CAMINHÃO DE 10 M³, EM BALSA DE 1000 TONELADAS. AF_05/2024</t>
  </si>
  <si>
    <t>CARGA E DESCARGA DE CAMINHÃO DE 10 M³, EM BALSA DE 1500 TONELADAS. AF_05/2024</t>
  </si>
  <si>
    <t>CARGA E DESCARGA DE CAMINHÃO DE 10 M³, EM BALSA DE 2000 TONELADAS. AF_05/2024</t>
  </si>
  <si>
    <t>CARGA E DESCARGA DE CAMINHÃO DE 10 M³, EM BALSA DE 600 TONELADAS. AF_05/2024</t>
  </si>
  <si>
    <t>CARGA E DESCARGA DE CAMINHÃO DE 14 M³, EM BALSA DE 1000 TONELADAS. AF_05/2024</t>
  </si>
  <si>
    <t>CARGA E DESCARGA DE CAMINHÃO DE 14 M³, EM BALSA DE 1500 TONELADAS. AF_05/2024</t>
  </si>
  <si>
    <t>CARGA E DESCARGA DE CAMINHÃO DE 14 M³, EM BALSA DE 2000 TONELADAS. AF_05/2024</t>
  </si>
  <si>
    <t>CARGA E DESCARGA DE CAMINHÃO DE 14 M³, EM BALSA DE 600 TONELADAS. AF_05/2024</t>
  </si>
  <si>
    <t>CARGA E DESCARGA DE CAMINHÃO DE 6 M³, EM BALSA DE 1000 TONELADAS. AF_05/2024</t>
  </si>
  <si>
    <t>CARGA E DESCARGA DE CAMINHÃO DE 6 M³, EM BALSA DE 1500 TONELADAS. AF_05/2024</t>
  </si>
  <si>
    <t>CARGA E DESCARGA DE CAMINHÃO DE 6 M³, EM BALSA DE 2000 TONELADAS. AF_05/2024</t>
  </si>
  <si>
    <t>CARGA E DESCARGA DE CAMINHÃO DE 6 M³, EM BALSA DE 600 TONELADAS. AF_05/2024</t>
  </si>
  <si>
    <t>CARGA E DESCARGA DE PERFIL METÁLICO E VERGALHÕES DE AÇO E VERGALHÕES DE AÇO, COM CAMINHÃO CARROCERIA COM GUINDAUTO (MUNCK) 11,7 TM, EM BALSA DE 1500 TONELADAS. AF_05/2024</t>
  </si>
  <si>
    <t>CARGA E DESCARGA DE PERFIL METÁLICO E VERGALHÕES DE AÇO, COM CAMINHÃO CARROCERIA COM GUINDAUTO (MUNCK) 11,7 TM, EM BALSA DE 1000 TONELADAS. AF_05/2024</t>
  </si>
  <si>
    <t>CARGA E DESCARGA DE PERFIL METÁLICO E VERGALHÕES DE AÇO, COM CAMINHÃO CARROCERIA COM GUINDAUTO (MUNCK) 11,7 TM, EM BALSA DE 2000 TONELADAS. AF_05/2024</t>
  </si>
  <si>
    <t>CARGA E DESCARGA DE PERFIL METÁLICO E VERGALHÕES DE AÇO, COM CAMINHÃO CARROCERIA COM GUINDAUTO (MUNCK) 11,7 TM, EM BALSA DE 600 TONELADAS. AF_05/2024</t>
  </si>
  <si>
    <t>CARGA E DESCARGA DE POSTES DE CONCRETO, COM CAMINHÃO CARROCERIA COM GUINDAUTO (MUNCK) 11,7 TM, EM BALSA DE 1000 TONELADAS. AF_05/2024</t>
  </si>
  <si>
    <t>CARGA E DESCARGA DE POSTES DE CONCRETO, COM CAMINHÃO CARROCERIA COM GUINDAUTO (MUNCK) 11,7 TM, EM BALSA DE 1500 TONELADAS. AF_05/2024</t>
  </si>
  <si>
    <t>CARGA E DESCARGA DE POSTES DE CONCRETO, COM CAMINHÃO CARROCERIA COM GUINDAUTO (MUNCK) 11,7 TM, EM BALSA DE 2000 TONELADAS. AF_05/2024</t>
  </si>
  <si>
    <t>CARGA E DESCARGA DE POSTES DE CONCRETO, COM CAMINHÃO CARROCERIA COM GUINDAUTO (MUNCK) 11,7 TM, EM BALSA DE 600 TONELADAS. AF_05/2024</t>
  </si>
  <si>
    <t>CARGA E DESCARGA DE RETROESCAVADEIRA, EM BALSA DE 1000 TONELADAS. AF_05/2024</t>
  </si>
  <si>
    <t>CARGA E DESCARGA DE RETROESCAVADEIRA, EM BALSA DE 1500 TONELADAS. AF_05/2024</t>
  </si>
  <si>
    <t>CARGA E DESCARGA DE RETROESCAVADEIRA, EM BALSA DE 2000 TONELADAS. AF_05/2024</t>
  </si>
  <si>
    <t>CARGA E DESCARGA DE RETROESCAVADEIRA, EM BALSA DE 600 TONELADAS. AF_05/2024</t>
  </si>
  <si>
    <t>CARGA E DESCARGA DE SOLOS E MATERIAIS GRANULARES, COM CAMINHÃO DE 10 M³ E ESCAVADEIRA HIDRÁULICA, EM BALSA DE 1000 TONELADAS. AF_05/2024</t>
  </si>
  <si>
    <t>CARGA E DESCARGA DE SOLOS E MATERIAIS GRANULARES, COM CAMINHÃO DE 10 M³ E ESCAVADEIRA HIDRÁULICA, EM BALSA DE 1500 TONELADAS. AF_05/2024</t>
  </si>
  <si>
    <t>CARGA E DESCARGA DE SOLOS E MATERIAIS GRANULARES, COM CAMINHÃO DE 10 M³ E ESCAVADEIRA HIDRÁULICA, EM BALSA DE 2000 TONELADAS. AF_05/2024</t>
  </si>
  <si>
    <t>CARGA E DESCARGA DE SOLOS E MATERIAIS GRANULARES, COM CAMINHÃO DE 10 M³ E ESCAVADEIRA HIDRÁULICA, EM BALSA DE 600 TONELADAS. AF_05/2024</t>
  </si>
  <si>
    <t>CARGA E DESCARGA DE SOLOS E MATERIAIS GRANULARES, COM CAMINHÃO DE 14 M³ E ESCAVADEIRA HIDRÁULICA, EM BALSA DE 1000 TONELADAS. AF_05/2024</t>
  </si>
  <si>
    <t>CARGA E DESCARGA DE SOLOS E MATERIAIS GRANULARES, COM CAMINHÃO DE 14 M³ E ESCAVADEIRA HIDRÁULICA, EM BALSA DE 1500 TONELADAS. AF_05/2024</t>
  </si>
  <si>
    <t>CARGA E DESCARGA DE SOLOS E MATERIAIS GRANULARES, COM CAMINHÃO DE 14 M³ E ESCAVADEIRA HIDRÁULICA, EM BALSA DE 2000 TONELADAS. AF_05/2024</t>
  </si>
  <si>
    <t>CARGA E DESCARGA DE SOLOS E MATERIAIS GRANULARES, COM CAMINHÃO DE 14 M³ E ESCAVADEIRA HIDRÁULICA, EM BALSA DE 600 TONELADAS. AF_05/2024</t>
  </si>
  <si>
    <t>CARGA E DESCARGA DE SOLOS E MATERIAIS GRANULARES, COM CAMINHÃO DE 6 M³ E ESCAVADEIRA HIDRÁULICA, EM BALSA DE 1000 TONELADAS. AF_05/2024</t>
  </si>
  <si>
    <t>CARGA E DESCARGA DE SOLOS E MATERIAIS GRANULARES, COM CAMINHÃO DE 6 M³ E ESCAVADEIRA HIDRÁULICA, EM BALSA DE 1500 TONELADAS. AF_05/2024</t>
  </si>
  <si>
    <t>CARGA E DESCARGA DE SOLOS E MATERIAIS GRANULARES, COM CAMINHÃO DE 6 M³ E ESCAVADEIRA HIDRÁULICA, EM BALSA DE 2000 TONELADAS. AF_05/2024</t>
  </si>
  <si>
    <t>CARGA E DESCARGA DE SOLOS E MATERIAIS GRANULARES, COM CAMINHÃO DE 6 M³ E ESCAVADEIRA HIDRÁULICA, EM BALSA DE 600 TONELADAS. AF_05/2024</t>
  </si>
  <si>
    <t>CARGA E DESCARGA DE TELA DE AÇO, COM CAMINHÃO CARROCERIA COM GUINDAUTO (MUNCK) 11,7 TM, EM BALSA DE 1000 TONELADAS. AF_05/2024</t>
  </si>
  <si>
    <t>CARGA E DESCARGA DE TELA DE AÇO, COM CAMINHÃO CARROCERIA COM GUINDAUTO (MUNCK) 11,7 TM, EM BALSA DE 1500 TONELADAS. AF_05/2024</t>
  </si>
  <si>
    <t>CARGA E DESCARGA DE TELA DE AÇO, COM CAMINHÃO CARROCERIA COM GUINDAUTO (MUNCK) 11,7 TM, EM BALSA DE 2000 TONELADAS. AF_05/2024</t>
  </si>
  <si>
    <t>CARGA E DESCARGA DE TELA DE AÇO, COM CAMINHÃO CARROCERIA COM GUINDAUTO (MUNCK) 11,7 TM, EM BALSA DE 600 TONELADAS. AF_05/2024</t>
  </si>
  <si>
    <t>CARGA E DESCARGA DE TUBOS DE CONCRETO, COM CAMINHÃO CARROCERIA COM GUINDAUTO (MUNCK) 11,7 TM, EM BALSA DE 1000 TONELADAS. AF_05/2024</t>
  </si>
  <si>
    <t>CARGA E DESCARGA DE TUBOS DE CONCRETO, COM CAMINHÃO CARROCERIA COM GUINDAUTO (MUNCK) 11,7 TM, EM BALSA DE 1500 TONELADAS. AF_05/2024</t>
  </si>
  <si>
    <t>CARGA E DESCARGA DE TUBOS DE CONCRETO, COM CAMINHÃO CARROCERIA COM GUINDAUTO (MUNCK) 11,7 TM, EM BALSA DE 2000 TONELADAS. AF_05/2024</t>
  </si>
  <si>
    <t>CARGA E DESCARGA DE TUBOS DE CONCRETO, COM CAMINHÃO CARROCERIA COM GUINDAUTO (MUNCK) 11,7 TM, EM BALSA DE 600 TONELADAS. AF_05/2024</t>
  </si>
  <si>
    <t>CARGA E DESCARGA DE TUBOS METÁLICOS, COM CAMINHÃO CARROCERIA COM GUINDAUTO (MUNCK) 11,7 TM, EM BALSA DE 1000 TONELADAS. AF_05/2024</t>
  </si>
  <si>
    <t>CARGA E DESCARGA DE TUBOS METÁLICOS, COM CAMINHÃO CARROCERIA COM GUINDAUTO (MUNCK) 11,7 TM, EM BALSA DE 1500 TONELADAS. AF_05/2024</t>
  </si>
  <si>
    <t>CARGA E DESCARGA DE TUBOS METÁLICOS, COM CAMINHÃO CARROCERIA COM GUINDAUTO (MUNCK) 11,7 TM, EM BALSA DE 2000 TONELADAS. AF_05/2024</t>
  </si>
  <si>
    <t>CARGA E DESCARGA DE TUBOS METÁLICOS, COM CAMINHÃO CARROCERIA COM GUINDAUTO (MUNCK) 11,7 TM, EM BALSA DE 600 TONELADAS. AF_05/2024</t>
  </si>
  <si>
    <t>CARGA E DESCARGA DE TUBOS PLÁSTICOS, COM CAMINHÃO CARROCERIA COM GUINDAUTO (MUNCK) 11,7 TM, EM BALSA DE 1000 TONELADAS. AF_05/2024</t>
  </si>
  <si>
    <t>CARGA E DESCARGA DE TUBOS PLÁSTICOS, COM CAMINHÃO CARROCERIA COM GUINDAUTO (MUNCK) 11,7 TM, EM BALSA DE 1500 TONELADAS. AF_05/2024</t>
  </si>
  <si>
    <t>CARGA E DESCARGA DE TUBOS PLÁSTICOS, COM CAMINHÃO CARROCERIA COM GUINDAUTO (MUNCK) 11,7 TM, EM BALSA DE 2000 TONELADAS. AF_05/2024</t>
  </si>
  <si>
    <t>CARGA E DESCARGA DE TUBOS PLÁSTICOS, COM CAMINHÃO CARROCERIA COM GUINDAUTO (MUNCK) 11,7 TM, EM BALSA DE 600 TONELADAS. AF_05/2024</t>
  </si>
  <si>
    <t>CARGA E DESCARGA MANUAL, DE JANELA, KIT PORTA-PRONTA OU PORTA DE MADEIRA, PORTA DE AÇO E PORTA DE ALUMÍNIO, EM BALSA DE 1000 TONELADAS. AF_05/2024</t>
  </si>
  <si>
    <t>CARGA E DESCARGA MANUAL, DE JANELA, KIT PORTA-PRONTA OU PORTA DE MADEIRA, PORTA DE AÇO E PORTA DE ALUMÍNIO, EM BALSA DE 1500 TONELADAS. AF_05/2024</t>
  </si>
  <si>
    <t>CARGA E DESCARGA MANUAL, DE JANELA, KIT PORTA-PRONTA OU PORTA DE MADEIRA, PORTA DE AÇO E PORTA DE ALUMÍNIO, EM BALSA DE 2000 TONELADAS. AF_05/2024</t>
  </si>
  <si>
    <t>CARGA E DESCARGA MANUAL, DE JANELA, KIT PORTA-PRONTA OU PORTA DE MADEIRA, PORTA DE AÇO E PORTA DE ALUMÍNIO, EM BALSA DE 600 TONELADAS. AF_05/2024</t>
  </si>
  <si>
    <t>CARGA E DESCARGA MANUAL, DE PEÇAS DE MADEIRA (CAIBROS, TÁBUAS, RIPAS, VIGAS E COMPENSADOS), EM BALSA DE 1000 TONELADAS. AF_05/2024</t>
  </si>
  <si>
    <t>CARGA E DESCARGA MANUAL, DE PEÇAS DE MADEIRA (CAIBROS, TÁBUAS, RIPAS, VIGAS E COMPENSADOS), EM BALSA DE 1500 TONELADAS. AF_05/2024</t>
  </si>
  <si>
    <t>CARGA E DESCARGA MANUAL, DE PEÇAS DE MADEIRA (CAIBROS, TÁBUAS, RIPAS, VIGAS E COMPENSADOS), EM BALSA DE 2000 TONELADAS. AF_05/2024</t>
  </si>
  <si>
    <t>CARGA E DESCARGA MANUAL, DE PEÇAS DE MADEIRA (CAIBROS, TÁBUAS, RIPAS, VIGAS E COMPENSADOS), EM BALSA DE 600 TONELADAS. AF_05/2024</t>
  </si>
  <si>
    <t>CARGA E DESCARGA MANUAL, DE VIDRO, EM BALSA DE 1000 TONELADAS. AF_05/2024</t>
  </si>
  <si>
    <t>CARGA E DESCARGA MANUAL, DE VIDRO, EM BALSA DE 1500 TONELADAS. AF_05/2024</t>
  </si>
  <si>
    <t>CARGA E DESCARGA MANUAL, DE VIDRO, EM BALSA DE 2000 TONELADAS. AF_05/2024</t>
  </si>
  <si>
    <t>CARGA E DESCARGA MANUAL, DE VIDRO, EM BALSA DE 600 TONELADAS. AF_05/2024</t>
  </si>
  <si>
    <t>TRANSPORTE FLUVIAL COM CONJUNTO EMPURRADOR DE 250 HP E BALSA DE 200 A 600 TONELADAS, EM VIA NAVEGÁVEL NO SENTIDO A JUSANTE (DESCENDO O RIO). AF_05/2024</t>
  </si>
  <si>
    <t>TRANSPORTE FLUVIAL COM CONJUNTO EMPURRADOR DE 250 HP E BALSA DE 200 A 600 TONELADAS, EM VIA NAVEGÁVEL NO SENTIDO A MONTANTE (SUBINDO O RIO). AF_05/2024</t>
  </si>
  <si>
    <t>TRANSPORTE FLUVIAL COM CONJUNTO EMPURRADOR DE 315 HP E BALSA 600 A 1000 TONELADAS, EM VIA NAVEGÁVEL NO SENTIDO A JUSANTE (DESCENDO O RIO). AF_05/2024</t>
  </si>
  <si>
    <t>TRANSPORTE FLUVIAL COM CONJUNTO EMPURRADOR DE 315 HP E BALSA 600 A 1000 TONELADAS, EM VIA NAVEGÁVEL NO SENTIDO A MONTANTE (SUBINDO O RIO). AF_05/2024</t>
  </si>
  <si>
    <t>TRANSPORTE FLUVIAL COM CONJUNTO EMPURRADOR DE 475 HP E BALSA DE 1.000 A 1.500 TONELADAS, EM VIA NAVEGÁVEL NO SENTIDO A JUSANTE (DESCENDO O RIO). AF_05/2024</t>
  </si>
  <si>
    <t>TRANSPORTE FLUVIAL COM CONJUNTO EMPURRADOR DE 475 HP E BALSA DE 1.000 A 1.500 TONELADAS, EM VIA NAVEGÁVEL NO SENTIDO A MONTANTE (SUBINDO O RIO). AF_05/2024</t>
  </si>
  <si>
    <t>TRANSPORTE FLUVIAL COM CONJUNTO EMPURRADOR DE 600 HP E BALSA DE 1.500 A 2.000 TONELADAS, EM VIA NAVEGÁVEL NO SENTIDO A JUSANTE (DESCENDO O RIO). AF_05/2024</t>
  </si>
  <si>
    <t>TRANSPORTE FLUVIAL COM CONJUNTO EMPURRADOR DE 600 HP E BALSA DE 1.500 A 2.000 TONELADAS, EM VIA NAVEGÁVEL NO SENTIDO A MONTANTE (SUBINDO O RIO). AF_05/2024</t>
  </si>
  <si>
    <t>PAVIMENTO COM TRATAMENTO SUPERFICIAL DUPLO, COM CAP 150/200. AF_01/2020</t>
  </si>
  <si>
    <t>PAVIMENTO COM TRATAMENTO SUPERFICIAL DUPLO, COM EMULSÃO ASFÁLTICA RR-2C, COM BANHO DILUÍDO. AF_01/2020</t>
  </si>
  <si>
    <t>PAVIMENTO COM TRATAMENTO SUPERFICIAL DUPLO, COM EMULSÃO ASFÁLTICA RR-2C, COM CAPA SELANTE. AF_01/2020</t>
  </si>
  <si>
    <t>PAVIMENTO COM TRATAMENTO SUPERFICIAL DUPLO, COM EMULSÃO ASFÁLTICA RR-2C. AF_01/2020</t>
  </si>
  <si>
    <t>PAVIMENTO COM TRATAMENTO SUPERFICIAL SIMPLES, COM CAP 150/200. AF_01/2020</t>
  </si>
  <si>
    <t>PAVIMENTO COM TRATAMENTO SUPERFICIAL SIMPLES, COM EMULSÃO ASFÁLTICA RR-2C, COM BANHO DILUÍDO. AF_01/2020</t>
  </si>
  <si>
    <t>PAVIMENTO COM TRATAMENTO SUPERFICIAL SIMPLES, COM EMULSÃO ASFÁLTICA RR-2C. AF_01/2020</t>
  </si>
  <si>
    <t>PAVIMENTO COM TRATAMENTO SUPERFICIAL TRIPLO, COM CAP 150/200. AF_01/2020</t>
  </si>
  <si>
    <t>PAVIMENTO COM TRATAMENTO SUPERFICIAL TRIPLO, COM EMULSÃO ASFÁLTICA RR-2C, COM BANHO DILUÍDO. AF_01/2020</t>
  </si>
  <si>
    <t>PAVIMENTO COM TRATAMENTO SUPERFICIAL TRIPLO, COM EMULSÃO ASFÁLTICA RR-2C, COM CAPA SELANTE. AF_01/2020</t>
  </si>
  <si>
    <t>PAVIMENTO COM TRATAMENTO SUPERFICIAL TRIPLO, COM EMULSÃO ASFÁLTICA RR-2C. AF_01/2020</t>
  </si>
  <si>
    <t>USINAGEM DE CONCRETO ASFÁLTICO COM CAP 50/70 PARA CAMADA DE ROLAMENTO, PADRÃO DNIT FAIXA C, EM USINA DE ASFALTO GRAVIMÉTRICA DE 150 TON/H. AF_03/2020</t>
  </si>
  <si>
    <t>USINAGEM DE CONCRETO ASFÁLTICO COM CAP 50/70, PARA CAMADA DE BINDER, PADRÃO DNIT FAIXA B, EM USINA DE ASFALTO CONTÍNUA DE 140 TON/H. AF_03/2020</t>
  </si>
  <si>
    <t>USINAGEM DE CONCRETO ASFÁLTICO COM CAP 50/70, PARA CAMADA DE BINDER, PADRÃO DNIT FAIXA B, EM USINA DE ASFALTO CONTÍNUA DE 80 TON/H. AF_03/2020</t>
  </si>
  <si>
    <t>USINAGEM DE CONCRETO ASFÁLTICO COM CAP 50/70, PARA CAMADA DE BINDER, PADRÃO DNIT FAIXA B, EM USINA DE ASFALTO GRAVIMÉTRICA DE 150 TON/H. AF_03/2020</t>
  </si>
  <si>
    <t>USINAGEM DE CONCRETO ASFÁLTICO COM CAP 50/70, PARA CAMADA DE ROLAMENTO, PADRÃO DNIT FAIXA C, EM USINA DE ASFALTO CONTÍNUA DE 140 TON/H. AF_03/2020</t>
  </si>
  <si>
    <t>USINAGEM DE CONCRETO ASFÁLTICO COM CAP 50/70, PARA CAMADA DE ROLAMENTO, PADRÃO DNIT FAIXA C, EM USINA DE ASFALTO CONTÍNUA DE 80 TON/H. AF_03/2020</t>
  </si>
  <si>
    <t>USINAGEM DE PRÉ MISTURADO A FRIO, PARA CAMADA DE BINDER, PADRÃO DNIT FAIXA B. AF_03/2020</t>
  </si>
  <si>
    <t>USINAGEM DE PRÉ MISTURADO A FRIO, PARA CAMADA DE ROLAMENTO, PADRÃO DNIT FAIXA C. AF_03/2020</t>
  </si>
  <si>
    <t>ESPELHO CRISTAL, ESPESSURA 4 MM, ADERIDO COM ADESIVO FIXA-ESPELHO E FITA DUPLA-FACE, COM MOLDURA DE MADEIRA APARAFUSADA NA PAREDE, COM ÁREA MAIOR QUE 1,0 M2. AF_01/2021</t>
  </si>
  <si>
    <t>ESPELHO CRISTAL, ESPESSURA 4 MM, ADERIDO COM ADESIVO FIXA-ESPELHO, COM MOLDURA DE MADEIRA APARAFUSADA NA PAREDE, COM ÁREA MAIOR QUE 1,0 M2. AF_01/2021</t>
  </si>
  <si>
    <t>ESPELHO CRISTAL, ESPESSURA 4 MM, ADERIDO COM ADESIVO FIXA-ESPELHO, COM MOLDURA DE MADEIRA APARAFUSADA NA PAREDE, COM ÁREA MENOR OU IGUAL A 1,0 M2. AF_01/2021</t>
  </si>
  <si>
    <t>ESPELHO CRISTAL, ESPESSURA 4 MM, SEM MOLDURA, ADERIDO COM ADESIVO FIXA-ESPELHO E FITA DUPLA-FACE. AF_01/2021</t>
  </si>
  <si>
    <t>ESPELHO CRISTAL, ESPESSURA 4 MM, SEM MOLDURA, ADERIDO COM ADESIVO FIXA-ESPELHO. AF_01/2021</t>
  </si>
  <si>
    <t>ESPELHO CRISTAL, ESPESSURA 4 MM, SEM MOLDURA, APARAFUSADO COM BOTÃO DE ROSCA INTERNA, COM ÁREA MAIOR QUE 1,0 M2. AF_01/2021</t>
  </si>
  <si>
    <t>ESPELHO CRISTAL, ESPESSURA 4 MM, SEM MOLDURA, APARAFUSADO COM BOTÃO DE ROSCA INTERNA, COM ÁREA MENOR OU IGUAL A 1,0 M2. AF_01/2021</t>
  </si>
  <si>
    <t>ESPELHO CRISTAL, ESPESSURA 4MM, ADERIDO COM ADESIVO FIXA ESPELHO FITA DUPLA-FACE, COM MOLDURA DE MADEIRA APARAFUSADA NA PAREDE, COM ÁREA MENOR OU IGUAL A 1,0 M2. AF_01/2021</t>
  </si>
  <si>
    <t>INSTALAÇÃO DE VIDRO LAMINADO, E = 12 MM (4+4+4), FIXADO COM SILICONE ESTRUTURAL. AF_01/2021</t>
  </si>
  <si>
    <t>INSTALAÇÃO DE VIDRO LAMINADO, E = 15 MM (5+5+5), FIXADO COM SILICONE ESTRUTURAL. AF_01/2021</t>
  </si>
  <si>
    <t>INSTALAÇÃO DE VIDRO LAMINADO, E = 8 MM (4+4), FIXADO COM SILICONE ESTRUTURAL. AF_01/2021</t>
  </si>
  <si>
    <t>PORTA DE CORRER EM VIDRO TEMPERADO, 2 FOLHAS DE 90X210 CM, ESPESSURA 10 MM, INCLUSIVE ACESSÓRIOS. AF_01/2021</t>
  </si>
  <si>
    <t>PORTA DE CORRER EM VIDRO TEMPERADO, 90X210 CM, ESPESSURA 10MM, INCLUSIVE ACESSÓRIOS. AF_01/2021</t>
  </si>
  <si>
    <t>VÁLVULA DE SEGURANÇA À TEMPERATURA, 1/2" - FORNECIMENTO E INSTALAÇÃO. AF_08/2021</t>
  </si>
  <si>
    <t>VÁLVULA ESFERA PARA GÁS, 1" - FORNECIMENTO E INSTALAÇÃO. AF_08/2021</t>
  </si>
  <si>
    <t>VÁLVULA ESFERA PARA GÁS, 1/2" - FORNECIMENTO E INSTALAÇÃO. AF_08/2021</t>
  </si>
  <si>
    <t>VÁLVULA ESFERA PARA GÁS, 3/4" - FORNECIMENTO E INSTALAÇÃO. AF_08/2021</t>
  </si>
  <si>
    <t>VÁLVULA ESTABILIZADORA DE VAZÃO/ AUTOFLOW, 1" - FORNECIMENTO E INSTALAÇÃO. AF_08/2021</t>
  </si>
  <si>
    <t>VÁLVULA ESTABILIZADORA DE VAZÃO/ AUTOFLOW, 3/4" - FORNECIMENTO E INSTALAÇÃO. AF_08/2021</t>
  </si>
  <si>
    <t>VÁLVULA REDUTORA DE PRESSÃO PARA SISTEMAS PREDIAIS, 1 1/2" - FORNECIMENTO E INSTALAÇÃO. AF_08/2021</t>
  </si>
  <si>
    <t>VÁLVULA REDUTORA DE PRESSÃO PARA SISTEMAS PREDIAIS, 1 1/4" - FORNECIMENTO E INSTALAÇÃO. AF_08/2021</t>
  </si>
  <si>
    <t>VÁLVULA REDUTORA DE PRESSÃO PARA SISTEMAS PREDIAIS, 1" - FORNECIMENTO E INSTALAÇÃO. AF_08/2021</t>
  </si>
  <si>
    <t>VÁLVULA REDUTORA DE PRESSÃO PARA SISTEMAS PREDIAIS, 1/2" - FORNECIMENTO E INSTALAÇÃO. AF_08/2021</t>
  </si>
  <si>
    <t>VÁLVULA REDUTORA DE PRESSÃO PARA SISTEMAS PREDIAIS, 2 1/2" - FORNECIMENTO E INSTALAÇÃO. AF_08/2021</t>
  </si>
  <si>
    <t>VÁLVULA REDUTORA DE PRESSÃO PARA SISTEMAS PREDIAIS, 2" - FORNECIMENTO E INSTALAÇÃO. AF_08/2021</t>
  </si>
  <si>
    <t>VÁLVULA REDUTORA DE PRESSÃO PARA SISTEMAS PREDIAIS, 3/4" - FORNECIMENTO E INSTALAÇÃO. AF_08/2021</t>
  </si>
  <si>
    <t>VÁLVULA VENTOSA ELIMINADORA DE AR, PARA SISTEMAS PREDIAIS, 1/2" - FORNECIMENTO E INSTALAÇÃO. AF_08/2021</t>
  </si>
  <si>
    <t>VÁLVULA VENTOSA ELIMINADORA DE AR, PARA SISTEMAS PREDIAIS, 3/4" - FORNECIMENTO E INSTALAÇÃO. AF_08/2021</t>
  </si>
  <si>
    <t>JUNTA DE DESMONTAGEM TRAVADA AXIALMENTE DE FERRO FUNDIDO PARA REDE DE ÁGUA OU ESGOTO, DN 100 MM. AF_12/2021</t>
  </si>
  <si>
    <t>JUNTA DE DESMONTAGEM TRAVADA AXIALMENTE DE FERRO FUNDIDO PARA REDE DE ÁGUA OU ESGOTO, DN 150 MM. AF_12/2021</t>
  </si>
  <si>
    <t>JUNTA DE DESMONTAGEM TRAVADA AXIALMENTE DE FERRO FUNDIDO PARA REDE DE ÁGUA OU ESGOTO, DN 200 MM. AF_12/2021</t>
  </si>
  <si>
    <t>JUNTA DE DESMONTAGEM TRAVADA AXIALMENTE DE FERRO FUNDIDO PARA REDE DE ÁGUA OU ESGOTO, DN 250 MM. AF_12/2021</t>
  </si>
  <si>
    <t>JUNTA DE DESMONTAGEM TRAVADA AXIALMENTE DE FERRO FUNDIDO PARA REDE DE ÁGUA OU ESGOTO, DN 300 MM. AF_12/2021</t>
  </si>
  <si>
    <t>JUNTA DE DESMONTAGEM TRAVADA AXIALMENTE DE FERRO FUNDIDO PARA REDE DE ÁGUA OU ESGOTO, DN 350 MM. AF_12/2021</t>
  </si>
  <si>
    <t>JUNTA DE DESMONTAGEM TRAVADA AXIALMENTE DE FERRO FUNDIDO PARA REDE DE ÁGUA OU ESGOTO, DN 400 MM. AF_12/2021</t>
  </si>
  <si>
    <t>JUNTA DE DESMONTAGEM TRAVADA AXIALMENTE DE FERRO FUNDIDO PARA REDE DE ÁGUA OU ESGOTO, DN 500 MM. AF_12/2021</t>
  </si>
  <si>
    <t>JUNTA DE DESMONTAGEM TRAVADA AXIALMENTE DE FERRO FUNDIDO PARA REDE DE ÁGUA OU ESGOTO, DN 600 MM. AF_12/2021</t>
  </si>
  <si>
    <t>JUNTA DE DESMONTAGEM TRAVADA AXIALMENTE DE FERRO FUNDIDO PARA REDE DE ÁGUA OU ESGOTO, DN 80 MM. AF_12/2021</t>
  </si>
  <si>
    <t>JUNTA MECÂNICA (LUVA DE CORRER COM BOLSA JUNTA MECÂNICA) DE FERRO FUNDIDO PARA REDE DE ÁGUA OU ESGOTO, DN 100 MM. AF_12/2021</t>
  </si>
  <si>
    <t>JUNTA MECÂNICA (LUVA DE CORRER COM BOLSA JUNTA MECÂNICA) DE FERRO FUNDIDO PARA REDE DE ÁGUA OU ESGOTO, DN 1000 MM. AF_12/2021</t>
  </si>
  <si>
    <t>JUNTA MECÂNICA (LUVA DE CORRER COM BOLSA JUNTA MECÂNICA) DE FERRO FUNDIDO PARA REDE DE ÁGUA OU ESGOTO, DN 1200 MM. AF_12/2021</t>
  </si>
  <si>
    <t>JUNTA MECÂNICA (LUVA DE CORRER COM BOLSA JUNTA MECÂNICA) DE FERRO FUNDIDO PARA REDE DE ÁGUA OU ESGOTO, DN 150 MM. AF_12/2021</t>
  </si>
  <si>
    <t>JUNTA MECÂNICA (LUVA DE CORRER COM BOLSA JUNTA MECÂNICA) DE FERRO FUNDIDO PARA REDE DE ÁGUA OU ESGOTO, DN 200 MM. AF_12/2021</t>
  </si>
  <si>
    <t>JUNTA MECÂNICA (LUVA DE CORRER COM BOLSA JUNTA MECÂNICA) DE FERRO FUNDIDO PARA REDE DE ÁGUA OU ESGOTO, DN 250 MM. AF_12/2021</t>
  </si>
  <si>
    <t>JUNTA MECÂNICA (LUVA DE CORRER COM BOLSA JUNTA MECÂNICA) DE FERRO FUNDIDO PARA REDE DE ÁGUA OU ESGOTO, DN 300 MM. AF_12/2021</t>
  </si>
  <si>
    <t>JUNTA MECÂNICA (LUVA DE CORRER COM BOLSA JUNTA MECÂNICA) DE FERRO FUNDIDO PARA REDE DE ÁGUA OU ESGOTO, DN 350 MM. AF_12/2021</t>
  </si>
  <si>
    <t>JUNTA MECÂNICA (LUVA DE CORRER COM BOLSA JUNTA MECÂNICA) DE FERRO FUNDIDO PARA REDE DE ÁGUA OU ESGOTO, DN 400 MM. AF_12/2021</t>
  </si>
  <si>
    <t>JUNTA MECÂNICA (LUVA DE CORRER COM BOLSA JUNTA MECÂNICA) DE FERRO FUNDIDO PARA REDE DE ÁGUA OU ESGOTO, DN 500 MM. AF_12/2021</t>
  </si>
  <si>
    <t>JUNTA MECÂNICA (LUVA DE CORRER COM BOLSA JUNTA MECÂNICA) DE FERRO FUNDIDO PARA REDE DE ÁGUA OU ESGOTO, DN 600 MM. AF_12/2021</t>
  </si>
  <si>
    <t>JUNTA MECÂNICA (LUVA DE CORRER COM BOLSA JUNTA MECÂNICA) DE FERRO FUNDIDO PARA REDE DE ÁGUA OU ESGOTO, DN 700 MM. AF_12/2021</t>
  </si>
  <si>
    <t>JUNTA MECÂNICA (LUVA DE CORRER COM BOLSA JUNTA MECÂNICA) DE FERRO FUNDIDO PARA REDE DE ÁGUA OU ESGOTO, DN 80 MM. AF_12/2021</t>
  </si>
  <si>
    <t>JUNTA MECÂNICA (LUVA DE CORRER COM BOLSA JUNTA MECÂNICA) DE FERRO FUNDIDO PARA REDE DE ÁGUA OU ESGOTO, DN 800 MM. AF_12/2021</t>
  </si>
  <si>
    <t>JUNTA MECÂNICA (LUVA DE CORRER COM BOLSA JUNTA MECÂNICA) DE FERRO FUNDIDO PARA REDE DE ÁGUA OU ESGOTO, DN 900 MM. AF_12/2021</t>
  </si>
  <si>
    <t>MEDIDOR DE VAZÃO ELETROMAGNÉTICO DE AÇO CARBONO PARA REDE DE ÁGUA OU ESGOTO, DN 100 MM, JUNTA FLANGEADA. AF_12/2021</t>
  </si>
  <si>
    <t>MEDIDOR DE VAZÃO ELETROMAGNÉTICO DE AÇO CARBONO PARA REDE DE ÁGUA OU ESGOTO, DN 200 MM, JUNTA FLANGEADA. AF_12/2021</t>
  </si>
  <si>
    <t>MEDIDOR DE VAZÃO ELETROMAGNÉTICO DE AÇO CARBONO PARA REDE DE ÁGUA OU ESGOTO, DN 300 MM, JUNTA FLANGEADA. AF_12/2021</t>
  </si>
  <si>
    <t>MEDIDOR DE VAZÃO ELETROMAGNÉTICO DE AÇO CARBONO PARA REDE DE ÁGUA OU ESGOTO, DN 400 MM, JUNTA FLANGEADA. AF_12/2021</t>
  </si>
  <si>
    <t>MEDIDOR DE VAZÃO ELETROMAGNÉTICO DE AÇO CARBONO PARA REDE DE ÁGUA OU ESGOTO, DN 500 MM, JUNTA FLANGEADA. AF_12/2021</t>
  </si>
  <si>
    <t>REGISTRO DE GAVETA DE FERRO FUNDIDO PARA REDE DE ÁGUA OU ESGOTO, DN 100 MM, JUNTA FLANGEADA. AF_12/2021</t>
  </si>
  <si>
    <t>REGISTRO DE GAVETA DE FERRO FUNDIDO PARA REDE DE ÁGUA OU ESGOTO, DN 150 MM, JUNTA FLANGEADA. AF_01/2021</t>
  </si>
  <si>
    <t>REGISTRO DE GAVETA DE FERRO FUNDIDO PARA REDE DE ÁGUA OU ESGOTO, DN 200 MM, JUNTA FLANGEADA. AF_12/2021</t>
  </si>
  <si>
    <t>REGISTRO DE GAVETA DE FERRO FUNDIDO PARA REDE DE ÁGUA OU ESGOTO, DN 250 MM, JUNTA FLANGEADA. AF_12/2021</t>
  </si>
  <si>
    <t>REGISTRO DE GAVETA DE FERRO FUNDIDO PARA REDE DE ÁGUA OU ESGOTO, DN 300 MM, JUNTA FLANGEADA. AF_12/2021</t>
  </si>
  <si>
    <t>REGISTRO DE GAVETA DE FERRO FUNDIDO PARA REDE DE ÁGUA OU ESGOTO, DN 350 MM, JUNTA FLANGEADA. AF_12/2021</t>
  </si>
  <si>
    <t>REGISTRO DE GAVETA DE FERRO FUNDIDO PARA REDE DE ÁGUA OU ESGOTO, DN 400 MM, JUNTA FLANGEADA. AF_12/2021</t>
  </si>
  <si>
    <t>REGISTRO DE GAVETA DE FERRO FUNDIDO PARA REDE DE ÁGUA OU ESGOTO, DN 50 MM, JUNTA FLANGEADA. AF_12/2021</t>
  </si>
  <si>
    <t>REGISTRO DE GAVETA DE FERRO FUNDIDO PARA REDE DE ÁGUA OU ESGOTO, DN 500 MM, JUNTA FLANGEADA. AF_12/2021</t>
  </si>
  <si>
    <t>REGISTRO DE GAVETA DE FERRO FUNDIDO PARA REDE DE ÁGUA OU ESGOTO, DN 80 MM, JUNTA FLANGEADA. AF_12/2021</t>
  </si>
  <si>
    <t>VÁLVULA DE RETENÇÃO DE FERRO FUNDIDO PARA REDE DE ÁGUA OU ESGOTO, COM FLANGES, DN 200 MM, JUNTA FLANGEADA. AF_12/2021</t>
  </si>
  <si>
    <t>VÁLVULA DE RETENÇÃO DE FERRO FUNDIDO PARA REDE DE ÁGUA OU ESGOTO, DN 100 MM, JUNTA FLANGEADA. AF_12/2021</t>
  </si>
  <si>
    <t>VÁLVULA DE RETENÇÃO DE FERRO FUNDIDO PARA REDE DE ÁGUA OU ESGOTO, DN 150 MM, JUNTA FLANGEADA. AF_12/2021</t>
  </si>
  <si>
    <t>VÁLVULA DE RETENÇÃO DE FERRO FUNDIDO PARA REDE DE ÁGUA OU ESGOTO, DN 250 MM, JUNTA FLANGEADA. AF_12/2021</t>
  </si>
  <si>
    <t>VÁLVULA DE RETENÇÃO DE FERRO FUNDIDO PARA REDE DE ÁGUA OU ESGOTO, DN 300 MM, JUNTA FLANGEADA. AF_12/2021</t>
  </si>
  <si>
    <t>VÁLVULA DE RETENÇÃO DE FERRO FUNDIDO PARA REDE DE ÁGUA OU ESGOTO, DN 350 MM, JUNTA FLANGEADA. AF_12/2021</t>
  </si>
  <si>
    <t>VÁLVULA DE RETENÇÃO DE FERRO FUNDIDO PARA REDE DE ÁGUA OU ESGOTO, DN 400 MM, JUNTA FLANGEADA. AF_12/2021</t>
  </si>
  <si>
    <t>VÁLVULA DE RETENÇÃO DE FERRO FUNDIDO PARA REDE DE ÁGUA OU ESGOTO, DN 50 MM, JUNTA FLANGEADA. AF_12/2021</t>
  </si>
  <si>
    <t>VÁLVULA DE RETENÇÃO DE FERRO FUNDIDO PARA REDE DE ÁGUA OU ESGOTO, DN 500 MM, JUNTA FLANGEADA. AF_12/2021</t>
  </si>
  <si>
    <t>VÁLVULA DE RETENÇÃO DE FERRO FUNDIDO PARA REDE DE ÁGUA OU ESGOTO, DN 80 MM, JUNTA FLANGEADA. AF_12/2021</t>
  </si>
  <si>
    <t>VÁLVULA REDUTORA DE PRESSÃO DE FERRO FUNDIDO PARA REDE DE ÁGUA, DN 100 MM, JUNTA FLANGEADA. AF_12/2021</t>
  </si>
  <si>
    <t>VÁLVULA REDUTORA DE PRESSÃO DE FERRO FUNDIDO PARA REDE DE ÁGUA, DN 150 MM, JUNTA FLANGEADA. AF_12/2021</t>
  </si>
  <si>
    <t>VÁLVULA REDUTORA DE PRESSÃO DE FERRO FUNDIDO PARA REDE DE ÁGUA, DN 200 MM, JUNTA FLANGEADA. AF_12/2021</t>
  </si>
  <si>
    <t>VÁLVULA REDUTORA DE PRESSÃO DE FERRO FUNDIDO PARA REDE DE ÁGUA, DN 250 MM, JUNTA FLANGEADA. AF_12/2021</t>
  </si>
  <si>
    <t>VÁLVULA REDUTORA DE PRESSÃO DE FERRO FUNDIDO PARA REDE DE ÁGUA, DN 300 MM, JUNTA FLANGEADA. AF_12/2021</t>
  </si>
  <si>
    <t>VÁLVULA REDUTORA DE PRESSÃO DE FERRO FUNDIDO PARA REDE DE ÁGUA, DN 350 MM, JUNTA FLANGEADA. AF_12/2021</t>
  </si>
  <si>
    <t>VÁLVULA REDUTORA DE PRESSÃO DE FERRO FUNDIDO PARA REDE DE ÁGUA, DN 400 MM, JUNTA FLANGEADA. AF_12/2021</t>
  </si>
  <si>
    <t>VÁLVULA REDUTORA DE PRESSÃO DE FERRO FUNDIDO PARA REDE DE ÁGUA, DN 50 MM, JUNTA FLANGEADA. AF_12/2021</t>
  </si>
  <si>
    <t>VÁLVULA REDUTORA DE PRESSÃO DE FERRO FUNDIDO PARA REDE DE ÁGUA, DN 500 MM, JUNTA FLANGEADA. AF_12/2021</t>
  </si>
  <si>
    <t>VÁLVULA REDUTORA DE PRESSÃO DE FERRO FUNDIDO PARA REDE DE ÁGUA, DN 80 MM, JUNTA FLANGEADA. AF_12/2021</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</si>
  <si>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</si>
  <si>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</si>
  <si>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</si>
  <si>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</si>
  <si>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</si>
  <si>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</si>
  <si>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</si>
  <si>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</si>
  <si>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</si>
  <si>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</si>
  <si>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 E CUNHA DE FIXACAO</t>
  </si>
  <si>
    <t>ABRACADEIRA EM ACO PARA AMARRACAO DE ELETRODUTOS, TIPO D, COM 1" E PARAFUSO DE FIXACAO</t>
  </si>
  <si>
    <t>ABRACADEIRA EM ACO PARA AMARRACAO DE ELETRODUTOS, TIPO D, COM 1/2" E CUNHA DE FIXACAO</t>
  </si>
  <si>
    <t>ABRACADEIRA EM ACO PARA AMARRACAO DE ELETRODUTOS, TIPO D, COM 1/2"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</si>
  <si>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</si>
  <si>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</si>
  <si>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</si>
  <si>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</si>
  <si>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</si>
  <si>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 E CUNHA DE FIXACAO</t>
  </si>
  <si>
    <t>ABRACADEIRA EM ACO PARA AMARRACAO DE ELETRODUTOS, TIPO D, COM 3" E PARAFUSO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</si>
  <si>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</si>
  <si>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</si>
  <si>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</si>
  <si>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</si>
  <si>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</si>
  <si>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</si>
  <si>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</si>
  <si>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</si>
  <si>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t>
  </si>
  <si>
    <t>ABRACADEIRA EM ACO PARA AMARRACAO DE ELETRODUTOS, TIPO U SIMPLES, COM 1/2"</t>
  </si>
  <si>
    <t>ABRACADEIRA EM ACO PARA AMARRACAO DE ELETRODUTOS, TIPO U SIMPLES, COM 2 1/2"</t>
  </si>
  <si>
    <t>ABRACADEIRA EM ACO PARA AMARRACAO DE ELETRODUTOS, TIPO U SIMPLES, COM 2"</t>
  </si>
  <si>
    <t>ABRACADEIRA EM ACO PARA AMARRACAO DE ELETRODUTOS, TIPO U SIMPLES, COM 3"</t>
  </si>
  <si>
    <t>ABRACADEIRA EM ACO PARA AMARRACAO DE ELETRODUTOS, TIPO U SIMPLES, COM 3/4"</t>
  </si>
  <si>
    <t>ABRACADEIRA EM ACO PARA AMARRACAO DE ELETRODUTOS, TIPO U SIMPLES, COM 3/8"</t>
  </si>
  <si>
    <t>ABRACADEIRA EM ACO PARA AMARRACAO DE ELETRODUTOS, TIPO U SIMPLES, COM 4"</t>
  </si>
  <si>
    <t>ABRACADEIRA PVC, PARA CALHA PLUVIAL, DIAMETRO ENTRE *80 E 100* MM, PARA DRENAGEM PLUVIAL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</si>
  <si>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</si>
  <si>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</si>
  <si>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</si>
  <si>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DE METAL CROMADO PARA REGISTRO PEQUENO, DE PAREDE, 1/2" OU 3/4"</t>
  </si>
  <si>
    <t>ACABAMENTO SIMPLES/CONVENCIONAL PARA FORRO PVC, TIPO "U" OU "C", COR BRANCA, COMPRIMENTO 6 M</t>
  </si>
  <si>
    <t>ACESSORIO DE LIGACAO NAO ELETRICO PARA CARGAS EXPLOSIVAS, TUBO DE 6 M</t>
  </si>
  <si>
    <t>ACESSORIO INICIADOR NAO ELETRICO, TUBO DE 6 M, TEMPO DE RETARDO DE *160* MS</t>
  </si>
  <si>
    <t>ACIDO CLORIDRICO / 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</si>
  <si>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</si>
  <si>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</si>
  <si>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</si>
  <si>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</si>
  <si>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</si>
  <si>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</si>
  <si>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</si>
  <si>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</si>
  <si>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</si>
  <si>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</si>
  <si>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</si>
  <si>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</si>
  <si>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</si>
  <si>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</si>
  <si>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</si>
  <si>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</si>
  <si>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</si>
  <si>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</si>
  <si>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</si>
  <si>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</si>
  <si>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</si>
  <si>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</si>
  <si>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CPVC, ROSCAVEL, COM FLANGES E ANEL DE VEDACAO, 15 MM, CAIXA D'AGUA PARA AGUA QUENTE</t>
  </si>
  <si>
    <t>ADAPTADOR CPVC, ROSCAVEL, COM FLANGES E ANEL DE VEDACAO, 22 MM, CAIXA D'AGUA PARA AGUA QUENTE</t>
  </si>
  <si>
    <t>ADAPTADOR CPVC, ROSCAVEL, COM FLANGES E ANEL DE VEDACAO, 28 MM, CAIXA D'AGUA PARA AGUA QUENTE</t>
  </si>
  <si>
    <t>ADAPTADOR CPVC, ROSCAVEL, COM FLANGES E ANEL DE VEDACAO, 35 MM, CAIXA D'AGUA PARA AGUA QUENTE</t>
  </si>
  <si>
    <t>ADAPTADOR CPVC, ROSCAVEL, COM FLANGES E ANEL DE VEDACAO, 42 MM, CAIXA D'AGUA PARA AGUA QUENTE</t>
  </si>
  <si>
    <t>ADAPTADOR CPVC, ROSCAVEL, COM FLANGES E ANEL DE VEDACAO, 54 MM, CAIXA D'AGUA PARA AGUA QUENTE</t>
  </si>
  <si>
    <t>ADAPTADOR CPVC, SOLDAVEL, 15 MM, PARA AGUA QUENTE</t>
  </si>
  <si>
    <t>ADAPTADOR CPVC, SOLDAVEL, 22 MM, PARA AGUA QUENTE</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</si>
  <si>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</si>
  <si>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</si>
  <si>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</si>
  <si>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</si>
  <si>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</si>
  <si>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100 / DE 110 MM</t>
  </si>
  <si>
    <t>ADAPTADOR PVC PBA, BOLSA/ROSCA, JE, DN 50 / DE 60 MM</t>
  </si>
  <si>
    <t>ADAPTADOR PVC PBA, BOLSA/ROSCA, JE, DN 75 / DE 85 MM</t>
  </si>
  <si>
    <t>ADAPTADOR PVC PBA, PONTA/ROSCA, JE, DN 50 / DE 60 MM</t>
  </si>
  <si>
    <t>ADAPTADOR PVC PBA, PONTA/ROSCA, JE, DN 75 / DE 85 MM</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</si>
  <si>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</si>
  <si>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</si>
  <si>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</si>
  <si>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</si>
  <si>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</si>
  <si>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</si>
  <si>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</si>
  <si>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</si>
  <si>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</si>
  <si>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</si>
  <si>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</si>
  <si>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</si>
  <si>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</si>
  <si>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</si>
  <si>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</si>
  <si>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</si>
  <si>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COM REGISTRO, PARA PEAD, 20 MM X 3/4", PARA LIGACAO PREDIAL DE AGUA</t>
  </si>
  <si>
    <t>ADAPTADOR PVC, ROSCAVEL, COM FLANGES E ANEL DE VEDACAO, 1 1/2", PARA CAIXA D'AGUA</t>
  </si>
  <si>
    <t>ADAPTADOR PVC, ROSCAVEL, COM FLANGES E ANEL DE VEDACAO, 1", PARA CAIXA D'AGUA</t>
  </si>
  <si>
    <t>ADAPTADOR PVC, ROSCAVEL, COM FLANGES E ANEL DE VEDACAO, 1/2", PARA CAIXA D'AGUA</t>
  </si>
  <si>
    <t>ADAPTADOR PVC, ROSCAVEL, COM FLANGES E ANEL DE VEDACAO, 3/4", PARA CAIXA D'AGUA</t>
  </si>
  <si>
    <t>ADAPTADOR PVC, SOLDAVEL, COM FLANGES E ANEL DE VEDACAO, 60 MM X 2", PARA CAIXA D'AGUA</t>
  </si>
  <si>
    <t>ADAPTADOR PVC, SOLDAVEL, COM FLANGES LIVRES, 110 MM X 4", PARA CAIXA D'AGUA</t>
  </si>
  <si>
    <t>ADAPTADOR PVC, SOLDAVEL, COM FLANGES LIVRES, 75 MM X 2 1/2", PARA CAIXA D'AGUA</t>
  </si>
  <si>
    <t>ADAPTADOR PVC, SOLDAVEL, COM FLANGES LIVRES, 85 MM X 3", PARA CAIXA D'AGUA</t>
  </si>
  <si>
    <t>ADAPTADOR PVC, SOLDAVEL, LONGO, COM FLANGE LIVRE, 110 MM X 4", PARA CAIXA D'AGUA</t>
  </si>
  <si>
    <t>ADAPTADOR PVC, SOLDAVEL, LONGO, COM FLANGE LIVRE, 32 MM X 1", PARA CAIXA D'AGUA</t>
  </si>
  <si>
    <t>ADAPTADOR PVC, SOLDAVEL, LONGO, COM FLANGE LIVRE, 75 MM X 2 1/2", PARA CAIXA D'AGUA</t>
  </si>
  <si>
    <t>ADAPTADOR PVC, SOLDAVEL, LONGO, COM FLANGE LIVRE, 85 MM X 3", PARA CAIXA D'AGUA</t>
  </si>
  <si>
    <t>ADESIVO / COLA DE CONTATO LIQUIDO, A BASE DE RESINAS, PARA COLAGEM DE ESPUMA PARA ISOLAMENTO TERMICO FLEXIVEL</t>
  </si>
  <si>
    <t>ADESIVO / COLA PARA EPS (ISOPOR) E OUTROS MATERIAIS</t>
  </si>
  <si>
    <t>ADESIVO ACRILICO DE BASE AQUOSA / 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</si>
  <si>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</si>
  <si>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</si>
  <si>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</si>
  <si>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</si>
  <si>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</si>
  <si>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*850* GR</t>
  </si>
  <si>
    <t>ADESIVO PLASTICO PARA PVC, FRASCO COM 175 GR</t>
  </si>
  <si>
    <t>ADITIVO ACELERADOR DE PEGA E ENDURECIMENTO PARA ARGAMASSAS E CONCRETOS, LIQUIDO E ISENTO DE CLORETOS</t>
  </si>
  <si>
    <t>ADITIVO ADESIVO LIQUIDO PARA ARGAMASSAS DE REVESTIMENTOS CIMENTICIOS</t>
  </si>
  <si>
    <t>ADITIVO IMPERMEABILIZANTE CRISTALIZANTE PARA CONCRETO</t>
  </si>
  <si>
    <t>ADITIVO IMPERMEABILIZANTE DE PEGA NORMAL PARA ARGAMASSAS E CONCRETOS SEM ARMACAO, LIQUIDO E ISENTO DE CLORETOS</t>
  </si>
  <si>
    <t>ADITIVO IMPERMEABILIZANTE DE PEGA ULTRARRAPIDA, LIQUIDO E ISENTO DE CLORETOS</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</si>
  <si>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</si>
  <si>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</si>
  <si>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</si>
  <si>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</si>
  <si>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</si>
  <si>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</si>
  <si>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</si>
  <si>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</si>
  <si>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AFASTADOR PARA TELHA DE FIBROCIMENTO CANALETE 90 OU KALHETAO</t>
  </si>
  <si>
    <t>AGENTE DE CURA, PROTETOR DA EVAPORACAO DA AGUA DE HIDRATACAO DO CONCRETO</t>
  </si>
  <si>
    <t>AGREGADO RECICLADO, TIPO RACHAO RECICLADO CINZA, CLASSE A</t>
  </si>
  <si>
    <t>AJUDANTE DE ARMADOR (HORISTA)</t>
  </si>
  <si>
    <t>AJUDANTE DE ARMADOR (MENSALISTA)</t>
  </si>
  <si>
    <t>AJUDANTE DE ELETRICISTA (HORISTA)</t>
  </si>
  <si>
    <t>AJUDANTE DE ELETRICISTA (MENSALISTA)</t>
  </si>
  <si>
    <t>AJUDANTE DE ESTRUTURAS METALICAS (HORISTA)</t>
  </si>
  <si>
    <t>AJUDANTE DE ESTRUTURAS METALICAS (MENSALISTA)</t>
  </si>
  <si>
    <t>AJUDANTE DE OPERACAO EM GERAL (HORISTA)</t>
  </si>
  <si>
    <t>AJUDANTE DE OPERACAO EM GERAL (MENSALISTA)</t>
  </si>
  <si>
    <t>AJUDANTE DE PINTOR (HORISTA)</t>
  </si>
  <si>
    <t>AJUDANTE DE PINTOR (MENSALISTA)</t>
  </si>
  <si>
    <t>AJUDANTE DE SERRALHEIRO (HORISTA)</t>
  </si>
  <si>
    <t>AJUDANTE DE SERRALHEIRO (MENSALISTA)</t>
  </si>
  <si>
    <t>AJUDANTE ESPECIALIZADO (HORISTA)</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</si>
  <si>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</si>
  <si>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</si>
  <si>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</si>
  <si>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</si>
  <si>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</si>
  <si>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</si>
  <si>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</si>
  <si>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COM ISOLAMENTO</t>
  </si>
  <si>
    <t>ALICATE DE CRIMPAR RJ11, RJ12 E RJ45, COM CATRACA</t>
  </si>
  <si>
    <t>ALICATE DE PRESSAO 11" PARA SOLDA, TIPO C</t>
  </si>
  <si>
    <t>ALICATE DE PRESSAO 11" PARA SOLDA, TIPO U</t>
  </si>
  <si>
    <t>ALICATE DE PRESSAO PARA SOLDA DE CHAPA 18"</t>
  </si>
  <si>
    <t>ALICATE PARA ANEIS DE PISTAO, CAPACIDADE *50* A 100 MM</t>
  </si>
  <si>
    <t>ALIMENTACAO - HORISTA (COLETADO CAIXA - ENCARGOS COMPLEMENTARES)</t>
  </si>
  <si>
    <t>ALIMENTACAO - MENSALISTA (COLETADO CAIXA - ENCARGOS COMPLEMENTARES)</t>
  </si>
  <si>
    <t>ALISADORA DE CONCRETO COM MOTOR A GASOLINA DE 5,5 HP, PESO COM MOTOR DE 78 KG, 4 PAS</t>
  </si>
  <si>
    <t>ALMOXARIFE (HORISTA)</t>
  </si>
  <si>
    <t>ALMOXARIFE (MENSALISTA)</t>
  </si>
  <si>
    <t>ALONGADOR COM TRES ALTURAS, EM TUBO DE ACO CARBONO, PINTURA NO PROCESSO ELETROSTATICO - EQUIPAMENTO DE GINASTICA PARA ACADEMIA AO AR LIVRE / ACADEMIA DA TERCEIRA IDADE - ATI</t>
  </si>
  <si>
    <t>ANEL BORRACHA PARA TUBO ESGOTO PREDIAL, DN 100 MM (NBR 5688)</t>
  </si>
  <si>
    <t>ANEL BORRACHA PARA TUBO ESGOTO PREDIAL, DN 50 MM (NBR 5688)</t>
  </si>
  <si>
    <t>ANEL BORRACHA PARA TUBO ESGOTO PREDIAL, DN 75 MM (NBR 5688)</t>
  </si>
  <si>
    <t>ANEL BORRACHA, DN 100 MM, PARA TUBO SERIE REFORCADA ESGOTO PREDIAL</t>
  </si>
  <si>
    <t>ANEL BORRACHA, DN 150 MM, PARA TUBO SERIE REFORCADA ESGOTO PREDIAL</t>
  </si>
  <si>
    <t>ANEL BORRACHA, DN 50 MM, PARA TUBO SERIE REFORCADA ESGOTO PREDIAL</t>
  </si>
  <si>
    <t>ANEL BORRACHA, DN 75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</si>
  <si>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</si>
  <si>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</si>
  <si>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</si>
  <si>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</si>
  <si>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</si>
  <si>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</si>
  <si>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</si>
  <si>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</si>
  <si>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</si>
  <si>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 PVC REDE COLETOR ESGOTO, DN 300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</si>
  <si>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</si>
  <si>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</si>
  <si>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</si>
  <si>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</si>
  <si>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</si>
  <si>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</si>
  <si>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</si>
  <si>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</si>
  <si>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</si>
  <si>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</si>
  <si>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</si>
  <si>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</si>
  <si>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</si>
  <si>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</si>
  <si>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</si>
  <si>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</si>
  <si>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</si>
  <si>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</si>
  <si>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 PVC FLEXIVEL, 100 MM, PARA SAIDA DE BACIA / VASO SANITARIO</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</si>
  <si>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</si>
  <si>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</si>
  <si>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</si>
  <si>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</si>
  <si>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</si>
  <si>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</si>
  <si>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</si>
  <si>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</si>
  <si>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</si>
  <si>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</si>
  <si>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</si>
  <si>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</si>
  <si>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</si>
  <si>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</si>
  <si>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</si>
  <si>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</si>
  <si>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</si>
  <si>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</si>
  <si>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</si>
  <si>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</si>
  <si>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</si>
  <si>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</si>
  <si>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</si>
  <si>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</si>
  <si>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</si>
  <si>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</si>
  <si>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</si>
  <si>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</si>
  <si>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</si>
  <si>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SINALIZADOR LUMINOSO COM LED, PARA SAIDA GARAGEM, COM 2 LENTES EM POLICARBONATO, BIVOLT (INCLUI SUPORTE DE FIXACAO)</t>
  </si>
  <si>
    <t>APONTADOR OU APROPRIADOR DE MAO DE OBRA (HORISTA)</t>
  </si>
  <si>
    <t>APONTADOR OU APROPRIADOR DE MAO DE OBRA (MENSALISTA)</t>
  </si>
  <si>
    <t>AQUECEDOR DE AGUA A GAS GLP/GN COM CAPACIDADE DE ARMAZENAMENTO DE 50 A 80 L</t>
  </si>
  <si>
    <t>AQUECEDOR DE AGUA ELETRICO HORIZONTAL, RESERVATORIO DE 200 L CILINDRICO EM COBRE, REFORCADO COM ACO CARBONO, MONOFASICO, TENSAO NOMINAL 220 V</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</si>
  <si>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</si>
  <si>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</si>
  <si>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</si>
  <si>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</si>
  <si>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</si>
  <si>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</si>
  <si>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</si>
  <si>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</si>
  <si>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</si>
  <si>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</si>
  <si>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</si>
  <si>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(SELO PROCEL), GAS HFC, CONTROLE S/FIO</t>
  </si>
  <si>
    <t>AR CONDICIONADO SPLIT INVERTER, HI-WALL (PAREDE), 9000 BTU/H, CICLO FRIO, 60HZ, CLASSIFICACAO A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</si>
  <si>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</si>
  <si>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</si>
  <si>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</si>
  <si>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</si>
  <si>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INVERTER, PISO TETO, APRESENTANDO ENTRE 54000 E 58000 BTU/H, CICLO FRIO, 60HZ, CLASSIFICACAO ENERGETICA A OU B (SELO PROCEL), GAS HFC, CONTROLE S/FIO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</si>
  <si>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</si>
  <si>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</si>
  <si>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</si>
  <si>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</si>
  <si>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</si>
  <si>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</si>
  <si>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</si>
  <si>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</si>
  <si>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</si>
  <si>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</si>
  <si>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</si>
  <si>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</si>
  <si>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</si>
  <si>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</si>
  <si>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</si>
  <si>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</si>
  <si>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</si>
  <si>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</si>
  <si>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</si>
  <si>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</si>
  <si>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</si>
  <si>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</si>
  <si>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</si>
  <si>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</si>
  <si>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</si>
  <si>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</si>
  <si>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</si>
  <si>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</si>
  <si>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</si>
  <si>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</si>
  <si>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</si>
  <si>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</si>
  <si>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</si>
  <si>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</si>
  <si>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</si>
  <si>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</si>
  <si>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</si>
  <si>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</si>
  <si>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</si>
  <si>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</si>
  <si>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</si>
  <si>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</si>
  <si>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</si>
  <si>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</si>
  <si>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</si>
  <si>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</si>
  <si>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</si>
  <si>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</si>
  <si>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</si>
  <si>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</si>
  <si>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</si>
  <si>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</si>
  <si>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</si>
  <si>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</si>
  <si>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A BASE DE CIMENTO E ADITIVOS</t>
  </si>
  <si>
    <t>ARGAMASSA PRONTA PARA CONTRAPISO</t>
  </si>
  <si>
    <t>ARGAMASSA USINADA AUTOADENSAVEL E AUTONIVELANTE PARA CONTRAPISO, COM BOMBEAMENTO (DISPONIBILIZACAO DE BOMBA), SEM O LANCAMENTO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</si>
  <si>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</si>
  <si>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</si>
  <si>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</si>
  <si>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</si>
  <si>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</si>
  <si>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</si>
  <si>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</si>
  <si>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</si>
  <si>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</si>
  <si>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</si>
  <si>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</si>
  <si>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</si>
  <si>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(HORISTA)</t>
  </si>
  <si>
    <t>ARMADOR (MENSALISTA)</t>
  </si>
  <si>
    <t>ARQUITETO JUNIOR (HORISTA)</t>
  </si>
  <si>
    <t>ARQUITETO JUNIOR (MENSALISTA)</t>
  </si>
  <si>
    <t>ARQUITETO PLENO (HORISTA)</t>
  </si>
  <si>
    <t>ARQUITETO PLENO (MENSALISTA)</t>
  </si>
  <si>
    <t>ARQUITETO SENIOR (HORISTA)</t>
  </si>
  <si>
    <t>ARQUITETO SENIOR (MENSALISTA)</t>
  </si>
  <si>
    <t>ARRUELA EM ACO GALVANIZADO, DIAMETRO EXTERNO = 35MM, ESPESSURA = 3MM, DIAMETRO DO FURO= 18MM</t>
  </si>
  <si>
    <t>ARRUELA EM ALUMINIO, COM ROSCA, DE 1 1/2", PARA ELETRODUTO</t>
  </si>
  <si>
    <t>ARRUELA EM ALUMINIO, COM ROSCA, DE 1 1/4", PARA ELETRODUTO</t>
  </si>
  <si>
    <t>ARRUELA EM ALUMINIO, COM ROSCA, DE 1", PARA ELETRODUTO</t>
  </si>
  <si>
    <t>ARRUELA EM ALUMINIO, COM ROSCA, DE 1/2", PARA ELETRODUTO</t>
  </si>
  <si>
    <t>ARRUELA EM ALUMINIO, COM ROSCA, DE 2 1/2", PARA ELETRODUTO</t>
  </si>
  <si>
    <t>ARRUELA EM ALUMINIO, COM ROSCA, DE 2", PARA ELETRODUTO</t>
  </si>
  <si>
    <t>ARRUELA EM ALUMINIO, COM ROSCA, DE 3", PARA ELETRODUTO</t>
  </si>
  <si>
    <t>ARRUELA EM ALUMINIO, COM ROSCA, DE 3/4", PARA ELETRODUTO</t>
  </si>
  <si>
    <t>ARRUELA EM ALUMINIO, COM ROSCA, DE 3/8",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</si>
  <si>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</si>
  <si>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</si>
  <si>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</si>
  <si>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</si>
  <si>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</si>
  <si>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</si>
  <si>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 (HORISTA)</t>
  </si>
  <si>
    <t>ASSENTADOR DE MANILHAS (MENSALISTA)</t>
  </si>
  <si>
    <t>ASSENTO SANITARIO DE PLASTICO, TIPO CONVENCIONAL</t>
  </si>
  <si>
    <t>ASSENTO VASO SANITARIO INFANTIL EM PLASTICO BRANCO</t>
  </si>
  <si>
    <t>AUTOMATICO DE BOIA SUPERIOR / INFERIOR, *15* A / 250 V</t>
  </si>
  <si>
    <t>AUXILIAR DE AZULEJISTA (HORISTA)</t>
  </si>
  <si>
    <t>AUXILIAR DE AZULEJISTA (MENSALISTA)</t>
  </si>
  <si>
    <t>AUXILIAR DE ENCANADOR OU BOMBEIRO HIDRAULICO (HORISTA)</t>
  </si>
  <si>
    <t>AUXILIAR DE ENCANADOR OU BOMBEIRO HIDRAULICO (MENSALISTA)</t>
  </si>
  <si>
    <t>AUXILIAR DE ESCRITORIO (HORISTA)</t>
  </si>
  <si>
    <t>AUXILIAR DE ESCRITORIO (MENSALISTA)</t>
  </si>
  <si>
    <t>AUXILIAR DE LABORATORISTA DE SOLOS E DE CONCRETO (HORISTA)</t>
  </si>
  <si>
    <t>AUXILIAR DE LABORATORISTA DE SOLOS E DE CONCRETO (MENSALISTA)</t>
  </si>
  <si>
    <t>AUXILIAR DE MECANICO (HORISTA)</t>
  </si>
  <si>
    <t>AUXILIAR DE MECANICO (MENSALISTA)</t>
  </si>
  <si>
    <t>AUXILIAR DE PEDREIRO (HORISTA)</t>
  </si>
  <si>
    <t>AUXILIAR DE PEDREIRO (MENSALISTA)</t>
  </si>
  <si>
    <t>AUXILIAR DE SERVICOS GERAIS (HORISTA)</t>
  </si>
  <si>
    <t>AUXILIAR DE SERVICOS GERAIS (MENSALISTA)</t>
  </si>
  <si>
    <t>AUXILIAR DE TOPOGRAFO (HORISTA)</t>
  </si>
  <si>
    <t>AUXILIAR DE TOPOGRAFO (MENSALISTA)</t>
  </si>
  <si>
    <t>AUXILIAR TECNICO / ASSISTENTE DE ENGENHARIA (HORISTA)</t>
  </si>
  <si>
    <t>AUXILIAR TECNICO / ASSISTENTE DE ENGENHARIA (MENSALISTA)</t>
  </si>
  <si>
    <t>AVENTAL DE SEGURANCA DE RASPA DE COURO 1,00 X 0,60 M</t>
  </si>
  <si>
    <t>AZULEJISTA OU LADRILHEIRO (HORISTA)</t>
  </si>
  <si>
    <t>AZULEJISTA OU LADRILHEIRO (MENSALISTA)</t>
  </si>
  <si>
    <t>BACIA SANITARIA (VASO) COM CAIXA ACOPLADA, SIFAO APARENTE, DE LOUCA BRANCA (SEM ASSENTO)</t>
  </si>
  <si>
    <t>BACIA SANITARIA (VASO) COM CAIXA ACOPLADA, SIFAO OCULTO / CARENADO, DE LOUCA BRANCA (SEM ASSENTO)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</si>
  <si>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</si>
  <si>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</si>
  <si>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</si>
  <si>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</si>
  <si>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</si>
  <si>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</si>
  <si>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</si>
  <si>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</si>
  <si>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</si>
  <si>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</si>
  <si>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BALCAO/ TAMPO EM MARMORE BRANCO COMUM, POLIDO, LISO, ACABAMENTO RETO, E= *3* CM (SEM FUROS)</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</si>
  <si>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</si>
  <si>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</si>
  <si>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</si>
  <si>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</si>
  <si>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</si>
  <si>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</si>
  <si>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</si>
  <si>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</si>
  <si>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</si>
  <si>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</si>
  <si>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</si>
  <si>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</si>
  <si>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</si>
  <si>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BARRA ANTIPANICO DUPLA, PARA PORTA DE VIDRO, COR CINZA</t>
  </si>
  <si>
    <t>BARRA ANTIPANICO SIMPLES, CEGA EM LADO OPOSTO, COR CINZA</t>
  </si>
  <si>
    <t>BARRA ANTIPANICO SIMPLES, COM FECHADURA LADO OPOSTO, COR CINZA</t>
  </si>
  <si>
    <t>BARRA ANTIPANICO SIMPLES, PARA PORTA DE VIDRO, COR CINZA</t>
  </si>
  <si>
    <t>BARRA DE ACO CHATA, RETANGULAR (QUALQUER BITOLA)</t>
  </si>
  <si>
    <t>BARRA DE ACO CHATO, RETANGULAR, 19,05 MM X 3,17 MM (L X E), 0,47 KG/M</t>
  </si>
  <si>
    <t>BARRA DE ACO CHATO, RETANGULAR, 25,4 MM X 4,76 MM (L X E), 0,94 KG/M</t>
  </si>
  <si>
    <t>BARRA DE ACO CHATO, RETANGULAR, 25,4 MM X 6,35 MM (L X E), 1,2265 KG/M</t>
  </si>
  <si>
    <t>BARRA DE ACO CHATO, RETANGULAR, 38,1 MM X 12,7 MM (L X E), 3,79 KG/M</t>
  </si>
  <si>
    <t>BARRA DE ACO CHATO, RETANGULAR, 38,1 MM X 6,35 MM (L X E), 1,89 KG/M</t>
  </si>
  <si>
    <t>BARRA DE ACO CHATO, RETANGULAR, 38,1 MM X 9,53 MM (L X E), 2,84 KG/M</t>
  </si>
  <si>
    <t>BARRA DE ACO CHATO, RETANGULAR, 50,8 MM X 12,7 MM (L X E), 5,06 KG/M</t>
  </si>
  <si>
    <t>BARRA DE ACO CHATO, RETANGULAR, 50,8 MM X 25,4 MM (L X E), 10,12 KG/M</t>
  </si>
  <si>
    <t>BARRA DE ACO CHATO, RETANGULAR, 50,8 MM X 6,35 MM (L X E), 2,53 KG/M</t>
  </si>
  <si>
    <t>BARRA DE ACO CHATO, RETANGULAR, 50,8 MM X 7,94 MM (L X E), 3,162 KG/M</t>
  </si>
  <si>
    <t>BARRA DE ACO CHATO, RETANGULAR, 50,8 MM X 9,53 MM (L X E), 3,79KG/M</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</si>
  <si>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</si>
  <si>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</si>
  <si>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</si>
  <si>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</si>
  <si>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</si>
  <si>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</si>
  <si>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</si>
  <si>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</si>
  <si>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</si>
  <si>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</si>
  <si>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</si>
  <si>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 DE PAREDE (NAO INCLUI ACABAMENTOS)</t>
  </si>
  <si>
    <t>BASE PARA MASTRO DE PARA-RAIOS DIAMETRO NOMINAL 1 1/2"</t>
  </si>
  <si>
    <t>BASE PARA MASTRO DE PARA-RAIOS DIAMETRO NOMINAL 2"</t>
  </si>
  <si>
    <t>BASE PARA RELE COM SUPORTE METALICO</t>
  </si>
  <si>
    <t>BASTIDOR PARA BLOCO M10</t>
  </si>
  <si>
    <t>BATE-ESTACAS POR GRAVIDADE, POTENCIA160 HP, PESO DO MARTELO ATE 3 TONELADAS</t>
  </si>
  <si>
    <t>BATENTE / PORTAL / ADUELA / MARCO EM MADEIRA MACICA COM REBAIXO, E = *3* CM, L = *14* CM, PARA PORTAS DE GIRO DE *60 CM A 120* CM X *210* CM, CEDRINHO / ANGELIM COMERCIAL / TAURI / CURUPIXA / PEROBA / CUMARU OU EQUIVALENTE DA REGIAO (NAO INCLUI ALIZARES)</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</si>
  <si>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</si>
  <si>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</si>
  <si>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</si>
  <si>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</si>
  <si>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</si>
  <si>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</si>
  <si>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</si>
  <si>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</si>
  <si>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</si>
  <si>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</si>
  <si>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 (HORISTA)</t>
  </si>
  <si>
    <t>BLASTER, DINAMITADOR OU CABO DE FOGO (MENSALISTA)</t>
  </si>
  <si>
    <t>BLOCO / TIJOLO DE VIDRO INCOLOR, CANELADO / ONDULADO, *19 X 19 X 8* CM (A X L X E)</t>
  </si>
  <si>
    <t>BLOCO / TIJOLO DE VIDRO INCOLOR, XADREZ, *20 X 20 X 10* CM (A X L X E)</t>
  </si>
  <si>
    <t>BLOCO CERAMICO / TIJOLO VAZADO PARA ALVENARIA DE VEDACAO, 4 FUROS NA HORIZONTAL DE 9 X 9 X 19 CM (L X A X C)</t>
  </si>
  <si>
    <t>BLOCO CERAMICO / TIJOLO VAZADO PARA ALVENARIA DE VEDACAO, 6 FUROS NA HORIZONTAL DE 11,5 X 19 X 29 CM (L X A X C)</t>
  </si>
  <si>
    <t>BLOCO CERAMICO / TIJOLO VAZADO PARA ALVENARIA DE VEDACAO, 6 FUROS NA HORIZONTAL DE 11,5 X 19 X 39 CM (L X A X C)</t>
  </si>
  <si>
    <t>BLOCO CERAMICO / TIJOLO VAZADO PARA ALVENARIA DE VEDACAO, 6 FUROS NA HORIZONTAL DE 9 X 14 X 19 CM (L X A X C)</t>
  </si>
  <si>
    <t>BLOCO CERAMICO / TIJOLO VAZADO PARA ALVENARIA DE VEDACAO, 6 FUROS NA HORIZONTAL DE 9 X 14 X 24 CM (L X A X C)</t>
  </si>
  <si>
    <t>BLOCO CERAMICO / TIJOLO VAZADO PARA ALVENARIA DE VEDACAO, 6 FUROS NA HORIZONTAL DE 9 X 19 X 39 CM (L X A X C)</t>
  </si>
  <si>
    <t>BLOCO CERAMICO / TIJOLO VAZADO PARA ALVENARIA DE VEDACAO, 8 FUROS NA HORIZONTAL DE 9 X 19 X 19 CM (L X A X C)</t>
  </si>
  <si>
    <t>BLOCO CERAMICO / TIJOLO VAZADO PARA ALVENARIA DE VEDACAO, 8 FUROS NA HORIZONTAL DE 9 X 19 X 29 CM (L X A X C)</t>
  </si>
  <si>
    <t>BLOCO CERAMICO / TIJOLO VAZADO PARA ALVENARIA DE VEDACAO, 9 FUROS NA HORIZONTAL DE 11,5 X 14 X 24 CM (L X A X C)</t>
  </si>
  <si>
    <t>BLOCO CERAMICO / TIJOLO VAZADO PARA ALVENARIA DE VEDACAO, 9 FUROS NA HORIZONTAL DE 14 X 19 X 29 CM (L X A X C)</t>
  </si>
  <si>
    <t>BLOCO CERAMICO / TIJOLO VAZADO PARA ALVENARIA DE VEDACAO, 9 FUROS NA HORIZONTAL DE 14 X 19 X 39 CM (L X A X C)</t>
  </si>
  <si>
    <t>BLOCO CERAMICO / TIJOLO VAZADO PARA ALVENARIA DE VEDACAO, 9 FUROS NA HORIZONTAL DE 19 X 19 X 29 CM (L X A X C)</t>
  </si>
  <si>
    <t>BLOCO CERAMICO / TIJOLO VAZADO PARA ALVENARIA DE VEDACAO, 9 FUROS NA HORIZONTAL DE 19 X 19 X 39 CM (L X A X C)</t>
  </si>
  <si>
    <t>BLOCO CERAMICO / TIJOLO VAZADO PARA ALVENARIA DE VEDACAO, FUROS NA HORIZONTAL DE 11,5 X 19 X 19 CM (L X A X C)</t>
  </si>
  <si>
    <t>BLOCO CERAMICO / TIJOLO VAZADO PARA ALVENARIA DE VEDACAO, FUROS NA VERTICAL DE 11,5 X 19 X 29 CM (L X A X C)</t>
  </si>
  <si>
    <t>BLOCO CERAMICO / TIJOLO VAZADO PARA ALVENARIA DE VEDACAO, FUROS NA VERTICAL DE 11,5 X 19 X 39 CM (L X A X C)</t>
  </si>
  <si>
    <t>BLOCO CERAMICO / TIJOLO VAZADO PARA ALVENARIA DE VEDACAO, FUROS NA VERTICAL DE 14 X 19 X 29 CM (L X A X C)</t>
  </si>
  <si>
    <t>BLOCO CERAMICO / TIJOLO VAZADO PARA ALVENARIA DE VEDACAO, FUROS NA VERTICAL DE 14 X 19 X 39 CM (L X A X C)</t>
  </si>
  <si>
    <t>BLOCO CERAMICO / TIJOLO VAZADO PARA ALVENARIA DE VEDACAO, FUROS NA VERTICAL DE 19 X 19 X 39 CM (L X A X C)</t>
  </si>
  <si>
    <t>BLOCO CERAMICO / TIJOLO VAZADO PARA ALVENARIA DE VEDACAO, FUROS NA VERTICAL DE 9 X 19 X 39 CM (L X A X C)</t>
  </si>
  <si>
    <t>BLOCO CONCRETO CELULAR AUTOCLAVADO 12,5 X 30 X 60 CM (E X A X C)</t>
  </si>
  <si>
    <t>BLOCO CONCRETO CELULAR AUTOCLAVADO 7,5 X 30 X 60 CM (E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</si>
  <si>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</si>
  <si>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</si>
  <si>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</si>
  <si>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</si>
  <si>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</si>
  <si>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</si>
  <si>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</si>
  <si>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</si>
  <si>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</si>
  <si>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</si>
  <si>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</si>
  <si>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</si>
  <si>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</si>
  <si>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</si>
  <si>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</si>
  <si>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</si>
  <si>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</si>
  <si>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</si>
  <si>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</si>
  <si>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</si>
  <si>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</si>
  <si>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</si>
  <si>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ENGATE RAPIDO PARA BASTIDOR TIPO M10</t>
  </si>
  <si>
    <t>BLOCO DE ESPUMA MULTIUSO *23X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</si>
  <si>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</si>
  <si>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</si>
  <si>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</si>
  <si>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14 X 19 X 29 CM (CLASSE C - NBR 6136)</t>
  </si>
  <si>
    <t>BLOCO DE VEDACAO CONCRETO APARENTE 9 X 19 X 39 CM (CLASSE C - NBR 6136)</t>
  </si>
  <si>
    <t>BLOCO DE VEDACAO DE CONCRETO 14 X 19 X 39 CM (CLASSE C - NBR 6136)</t>
  </si>
  <si>
    <t>BLOCO DE VEDACAO DE CONCRETO 19 X 19 X 39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</si>
  <si>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</si>
  <si>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</si>
  <si>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</si>
  <si>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</si>
  <si>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</si>
  <si>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9 X 19 X 39 CM (CLASSE C - NBR 6136)</t>
  </si>
  <si>
    <t>BLOCO DE VIDRO / ELEMENTO VAZADO, INCOLOR, VENEZIANA, *20 X 20 X 6* CM (A X L X E)</t>
  </si>
  <si>
    <t>BLOCO DE VIDRO / ELEMENTO VAZADO, INCOLOR, VENEZIANA, DE *20 X 10 X 8* CM (A X L X E)</t>
  </si>
  <si>
    <t>BLOCO ESTRUTURAL CERAMICO DE 14 X 19 X 29 CM (L X A X C) E 6,0 MPA</t>
  </si>
  <si>
    <t>BLOCO ESTRUTURAL CERAMICO DE 14 X 19 X 34 CM (L X A X C) E 6,0 MPA</t>
  </si>
  <si>
    <t>BLOCO ESTRUTURAL CERAMICO DE 14 X 19 X 39 CM (L X A X C) E 6,0 MPA</t>
  </si>
  <si>
    <t>BLOCO ESTRUTURAL CERAMICO DE 19 X 19 X 29 CM (L X A X C) E 6,0 MPA</t>
  </si>
  <si>
    <t>BLOCO ESTRUTURAL CERAMICO DE 19 X 19 X 39 CM (L X A X C) E 6,0 MPA</t>
  </si>
  <si>
    <t>BLOQUETE/PISO DE CONCRETO - MODELO PISOGRAMA/CONCREGRAMA 2 FUROS, DIMENSOES APROX. DE *35 X 15* CM E ESPESSURA DE 7 CM (+/- 1 CM), COR NATURAL</t>
  </si>
  <si>
    <t>BLOQUETE/PISO DE CONCRETO - MODELO PISOGRAMA/CONCREGRAMA/PAVI-GRADE/GRAMEIRO, DIMENSOES APROXIMADAS DE *60 X 45* CM E ESPESSURA DE 8 CM (+/- 1 CM), COR NATURAL</t>
  </si>
  <si>
    <t>BLOQUETE/PISO INTERTRAVADO DE CONCRETO - MODELO ONDA/16 FACES/RETANGULAR/TIJOLINHO/PAVER/HOLANDES/PARALELEPIPEDO, *20 X 10* CM, E = 10 CM, RESISTENCIA DE 35 MPA, COR NATURAL</t>
  </si>
  <si>
    <t>BLOQUETE/PISO INTERTRAVADO DE CONCRETO - MODELO ONDA/16 FACES/RETANGULAR/TIJOLINHO/PAVER/HOLANDES/PARALELEPIPEDO, *20 X 10* CM, E = 10 CM, RESISTENCIA DE 50 MPA, COR NATURAL</t>
  </si>
  <si>
    <t>BLOQUETE/PISO INTERTRAVADO DE CONCRETO - MODELO ONDA/16 FACES/RETANGULAR/TIJOLINHO/PAVER/HOLANDES/PARALELEPIPEDO, *20 X 10* CM, E = 6 CM, RESISTENCIA DE 35 MPA, COLORIDO</t>
  </si>
  <si>
    <t>BLOQUETE/PISO INTERTRAVADO DE CONCRETO - MODELO ONDA/16 FACES/RETANGULAR/TIJOLINHO/PAVER/HOLANDES/PARALELEPIPEDO, *20 X 10* CM, E = 6 CM, RESISTENCIA DE 35 MPA, COR NATURAL</t>
  </si>
  <si>
    <t>BLOQUETE/PISO INTERTRAVADO DE CONCRETO - MODELO ONDA/16 FACES/RETANGULAR/TIJOLINHO/PAVER/HOLANDES/PARALELEPIPEDO, *20 X 10* CM, E = 8 CM, RESISTENCIA DE 35 MPA, COLORIDO</t>
  </si>
  <si>
    <t>BLOQUETE/PISO INTERTRAVADO DE CONCRETO - MODELO ONDA/16 FACES/RETANGULAR/TIJOLINHO/PAVER/HOLANDES/PARALELEPIPEDO, *20 X 10* CM, E = 8 CM, RESISTENCIA DE 35 MPA, COR NATURAL</t>
  </si>
  <si>
    <t>BLOQUETE/PISO INTERTRAVADO DE CONCRETO - MODELO RAQUETE, *22 X 13,5* CM, E = 6 CM, RESISTENCIA DE 35 MPA, COR NATURAL</t>
  </si>
  <si>
    <t>BLOQUETE/PISO INTERTRAVADO DE CONCRETO - MODELO SEXTAVADO / HEXAGONAL, *25 X 25* CM, E = 10 CM, RESISTENCIA DE 35 MPA, COR NATURAL</t>
  </si>
  <si>
    <t>BLOQUETE/PISO INTERTRAVADO DE CONCRETO - MODELO SEXTAVADO / HEXAGONAL, *25 X 25* CM, E = 6 CM, RESISTENCIA DE 35 MPA, COR NATURAL</t>
  </si>
  <si>
    <t>BLOQUETE/PISO INTERTRAVADO DE CONCRETO - MODELO SEXTAVADO / HEXAGONAL, *25 X 25* CM, E = 8 CM, RESISTENCIA DE 35 MPA, COR NATURAL</t>
  </si>
  <si>
    <t>BOCAL PVC, PARA CALHA PLUVIAL, DIAMETRO DA SAIDA ENTRE *75 E 120* MM, PARA DRENAGEM PLUVIAL PREDIAL</t>
  </si>
  <si>
    <t>BOLSA DE LIGACAO EM PVC FLEXIVEL PARA VASO SANITARIO 40 MM (1 1/2")</t>
  </si>
  <si>
    <t>BOLSA DE LONA PARA FERRAMENTAS *50 X 35 X 25* CM</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</si>
  <si>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</si>
  <si>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</si>
  <si>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</si>
  <si>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</si>
  <si>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</si>
  <si>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</si>
  <si>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1,48HP DIAMETRO DE SUCCAO X ELEVACAO 1" X 1", 4 ESTAGIOS, DIAMETRO DOS ROTORES 3 X 107 MM + 1 X 100 MM, HM/Q: 10 M / 5,3 M3/H A 70 M / 1,8 M3/H</t>
  </si>
  <si>
    <t>BOMBA CENTRIFUGA MOTOR ELETRICO TRIFASICO 14,8 HP, DIAMETRO DE SUCCAO X ELEVACAO 2 1/2" X 2", DIAMETRO DO ROTOR 195 MM, HM/Q: 62 M / 55,5 M3/H A 80 M / 31,50 M3/H</t>
  </si>
  <si>
    <t>BOMBA CENTRIFUGA MOTOR ELETRICO TRIFASICO 2,96HP, DIAMETRO DE SUCCAO X ELEVACAO 1 1/2" X 1 1/4", DIAMETRO DO ROTOR 148 MM, HM/Q: 34 M / 14,80 M3/H A 40 M / 8,60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</si>
  <si>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</si>
  <si>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</si>
  <si>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</si>
  <si>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</si>
  <si>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</si>
  <si>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</si>
  <si>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</si>
  <si>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</si>
  <si>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</si>
  <si>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</si>
  <si>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</si>
  <si>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</si>
  <si>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</si>
  <si>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</si>
  <si>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</si>
  <si>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</si>
  <si>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</si>
  <si>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</si>
  <si>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SUBMERSIVEL, ELETRICA, TRIFASICA, POTENCIA 6 HP, DIAMETRO DO ROTOR 127 MM, BOCAL DE SAIDA DIAMETRO DE 3 POLEGADAS, HM/Q = 7 M / 66,90 M3/H A 26 M / 2,88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</si>
  <si>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</si>
  <si>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</si>
  <si>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</si>
  <si>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</si>
  <si>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</si>
  <si>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</si>
  <si>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</si>
  <si>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</si>
  <si>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</si>
  <si>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</si>
  <si>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</si>
  <si>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</si>
  <si>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</si>
  <si>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</si>
  <si>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</si>
  <si>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</si>
  <si>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</si>
  <si>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CPVC, SOLDAVEL, 54 X 28 MM, PARA AGUA QUENTE</t>
  </si>
  <si>
    <t>BUCHA DE REDUCAO DE COBRE SEM ANEL DE SOLDA, PONTA X BOLSA, 22 X 15 MM</t>
  </si>
  <si>
    <t>BUCHA DE REDUCAO DE COBRE SEM ANEL DE SOLDA, PONTA X BOLSA, 28 X 22 MM</t>
  </si>
  <si>
    <t>BUCHA DE REDUCAO DE COBRE SEM ANEL DE SOLDA, PONTA X BOLSA, 35 X 28 MM</t>
  </si>
  <si>
    <t>BUCHA DE REDUCAO DE COBRE SEM ANEL DE SOLDA, PONTA X BOLSA, 42 X 35 MM</t>
  </si>
  <si>
    <t>BUCHA DE REDUCAO DE COBRE SEM ANEL DE SOLDA, PONTA X BOLSA, 54 X 42 MM</t>
  </si>
  <si>
    <t>BUCHA DE REDUCAO DE COBRE SEM ANEL DE SOLDA, PONTA X BOLSA, 66 X 54 MM</t>
  </si>
  <si>
    <t>BUCHA DE REDUCAO DE FERRO GALVANIZADO, COM ROSCA BSP, DE 1 1/2" X 1 1/4"</t>
  </si>
  <si>
    <t>BUCHA DE REDUCAO DE FERRO GALVANIZADO, COM ROSCA BSP, DE 1 1/2" X 1"</t>
  </si>
  <si>
    <t>BUCHA DE REDUCAO DE FERRO GALVANIZADO, COM ROSCA BSP, DE 1 1/2" X 1/2"</t>
  </si>
  <si>
    <t>BUCHA DE REDUCAO DE FERRO GALVANIZADO, COM ROSCA BSP, DE 1 1/2" X 3/4"</t>
  </si>
  <si>
    <t>BUCHA DE REDUCAO DE FERRO GALVANIZADO, COM ROSCA BSP, DE 1 1/4" X 1"</t>
  </si>
  <si>
    <t>BUCHA DE REDUCAO DE FERRO GALVANIZADO, COM ROSCA BSP, DE 1 1/4" X 1/2"</t>
  </si>
  <si>
    <t>BUCHA DE REDUCAO DE FERRO GALVANIZADO, COM ROSCA BSP, DE 1 1/4" X 3/4"</t>
  </si>
  <si>
    <t>BUCHA DE REDUCAO DE FERRO GALVANIZADO, COM ROSCA BSP, DE 1" X 1/2"</t>
  </si>
  <si>
    <t>BUCHA DE REDUCAO DE FERRO GALVANIZADO, COM ROSCA BSP, DE 1" X 3/4"</t>
  </si>
  <si>
    <t>BUCHA DE REDUCAO DE FERRO GALVANIZADO, COM ROSCA BSP, DE 1/2" X 1/4"</t>
  </si>
  <si>
    <t>BUCHA DE REDUCAO DE FERRO GALVANIZADO, COM ROSCA BSP, DE 1/2" X 3/8"</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</si>
  <si>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</si>
  <si>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</si>
  <si>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</si>
  <si>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</si>
  <si>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</si>
  <si>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</si>
  <si>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</si>
  <si>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</si>
  <si>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</si>
  <si>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</si>
  <si>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</si>
  <si>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3/4" X 1/2"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</si>
  <si>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</si>
  <si>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</si>
  <si>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</si>
  <si>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</si>
  <si>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</si>
  <si>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</si>
  <si>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</si>
  <si>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</si>
  <si>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</si>
  <si>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</si>
  <si>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</si>
  <si>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LONGA, 50 X 40 MM, PARA ESGOTO PREDIAL</t>
  </si>
  <si>
    <t>BUCHA DE REDUCAO DE PVC, SOLDAVEL, LONGA, COM 32 X 20 MM, PARA AGUA FRIA PREDIAL</t>
  </si>
  <si>
    <t>BUCHA DE REDUCAO DE PVC, SOLDAVEL, LONGA, COM 40 X 25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</si>
  <si>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</si>
  <si>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</si>
  <si>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</si>
  <si>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</si>
  <si>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50 MM, PARA AGUA FRIA PREDIAL</t>
  </si>
  <si>
    <t>BUCHA DE REDUCAO DE PVC, SOLDAVEL, LONGA, COM 75 X 50 MM, PARA AGUA FRIA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</si>
  <si>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</si>
  <si>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</si>
  <si>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</si>
  <si>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 PARA ELETRODUTO</t>
  </si>
  <si>
    <t>BUCHA DE REDUCAO EM ALUMINIO, COM ROSCA, DE 1 1/4" X 1/2",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</si>
  <si>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</si>
  <si>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</si>
  <si>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</si>
  <si>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</si>
  <si>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</si>
  <si>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</si>
  <si>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</si>
  <si>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</si>
  <si>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</si>
  <si>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</si>
  <si>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</si>
  <si>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</si>
  <si>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</si>
  <si>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</si>
  <si>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</si>
  <si>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</si>
  <si>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</si>
  <si>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</si>
  <si>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3/4" X 1/2"</t>
  </si>
  <si>
    <t>BUCHA DE REDUCAO PVC, ROSCAVEL 1 1/2" X 1"</t>
  </si>
  <si>
    <t>BUCHA DE REDUCAO PVC, ROSCAVEL, 1 1/2" X 3/4"</t>
  </si>
  <si>
    <t>BUCHA DE REDUCAO PVC, ROSCAVEL, 1" X 1/2"</t>
  </si>
  <si>
    <t>BUCHA DE REDUCAO PVC, ROSCAVEL, 1" X 3/4"</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</si>
  <si>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</si>
  <si>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</si>
  <si>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</si>
  <si>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</si>
  <si>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CPVC, SOLDAVEL, 54 X 35 MM, PARA AGUA QUENTE</t>
  </si>
  <si>
    <t>BUCHA DE REDUCAO, PPR, DN 25 X 20 MM, PARA AGUA QUENTE PREDIAL</t>
  </si>
  <si>
    <t>BUCHA DE REDUCAO, PPR, DN 32 X 25 MM, PARA AGUA QUENTE E FRIA PREDIAL</t>
  </si>
  <si>
    <t>BUCHA DE REDUCAO, PPR, DN 40 X 25 MM, PARA AGUA QUENTE E FRIA PREDIAL</t>
  </si>
  <si>
    <t>BUCHA DE REDUCAO, PPR, DN 50 X 25 MM, PARA AGUA QUENTE E FRIA PREDIAL</t>
  </si>
  <si>
    <t>BUCHA DE REDUCAO, PPR, DN 50 X 32 MM, PARA AGUA QUENTE E FRIA PREDIAL</t>
  </si>
  <si>
    <t>BUCHA DE REDUCAO, PVC, LONGA, SERIE R, DN 50 X 40 MM, PARA ESGOTO PREDIAL</t>
  </si>
  <si>
    <t>BUCHA EM ALUMINIO, COM ROSCA, DE 1 1/2", PARA ELETRODUTO</t>
  </si>
  <si>
    <t>BUCHA EM ALUMINIO, COM ROSCA, DE 1 1/4", PARA ELETRODUTO</t>
  </si>
  <si>
    <t>BUCHA EM ALUMINIO, COM ROSCA, DE 1", PARA ELETRODUTO</t>
  </si>
  <si>
    <t>BUCHA EM ALUMINIO, COM ROSCA, DE 1/2", PARA ELETRODUTO</t>
  </si>
  <si>
    <t>BUCHA EM ALUMINIO, COM ROSCA, DE 2 1/2", PARA ELETRODUTO</t>
  </si>
  <si>
    <t>BUCHA EM ALUMINIO, COM ROSCA, DE 2", PARA ELETRODUTO</t>
  </si>
  <si>
    <t>BUCHA EM ALUMINIO, COM ROSCA, DE 3", PARA ELETRODUTO</t>
  </si>
  <si>
    <t>BUCHA EM ALUMINIO, COM ROSCA, DE 3/4", PARA ELETRODUTO</t>
  </si>
  <si>
    <t>BUCHA EM ALUMINIO, COM ROSCA, DE 3/8", PARA ELETRODUTO</t>
  </si>
  <si>
    <t>BUCHA EM ALUMINIO, COM ROSCA, DE 4", PARA ELETRODUTO</t>
  </si>
  <si>
    <t>CABECEIRA DIREITA OU ESQUERDA, PVC, PARA CALHA PLUVIAL, DIAMETRO ENTRE *119 E 170* MM, PARA DRENAGEM PLUVIAL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</si>
  <si>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</si>
  <si>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</si>
  <si>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</si>
  <si>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</si>
  <si>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</si>
  <si>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</si>
  <si>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</si>
  <si>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</si>
  <si>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</si>
  <si>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4"</t>
  </si>
  <si>
    <t>CABIDE/GANCHO DE BANHEIRO SIMPLES EM METAL CROMADO</t>
  </si>
  <si>
    <t>CABO COAXIAL RG11 95% DE MALHA</t>
  </si>
  <si>
    <t>CABO COAXIAL RG59 95% DE MALHA</t>
  </si>
  <si>
    <t>CABO COAXIAL RG6 95% DE MALHA</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</si>
  <si>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</si>
  <si>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</si>
  <si>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</si>
  <si>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</si>
  <si>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</si>
  <si>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</si>
  <si>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</si>
  <si>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</si>
  <si>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</si>
  <si>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</si>
  <si>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</si>
  <si>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FLEXIVEL NAO HALOGENADO, SEM EMISSAO DE FUMACA, 750V, SECAO NOMINAL 120 MM</t>
  </si>
  <si>
    <t>CABO DE COBRE FLEXIVEL NAO HALOGENADO, SEM EMISSAO DE FUMACA, 750V, SECAO NOMINAL 2,5 MM</t>
  </si>
  <si>
    <t>CABO DE COBRE FLEXIVEL NAO HALOGENADO, SEM EMISSAO DE FUMACA, 750V, SECAO NOMINAL 240 MM</t>
  </si>
  <si>
    <t>CABO DE COBRE FLEXIVEL NAO HALOGENADO, SEM EMISSAO DE FUMACA, 750V, SECAO NOMINAL 50 MM</t>
  </si>
  <si>
    <t>CABO DE COBRE FLEXIVEL NAO HALOGENADO, SEM EMISSAO DE FUMACA, 750V, SECAO NOMINAL 6,0 MM</t>
  </si>
  <si>
    <t>CABO DE COBRE NU 10 MM2 MEIO-DURO</t>
  </si>
  <si>
    <t>CABO DE COBRE NU 120 MM2 MEIO-DURO</t>
  </si>
  <si>
    <t>CABO DE COBRE NU 150 MM2 MEIO-DURO</t>
  </si>
  <si>
    <t>CABO DE COBRE NU 16 MM2 MEIO-DURO</t>
  </si>
  <si>
    <t>CABO DE COBRE NU 185 MM2 MEIO-DURO</t>
  </si>
  <si>
    <t>CABO DE COBRE NU 25 MM2 MEIO-DURO</t>
  </si>
  <si>
    <t>CABO DE COBRE NU 35 MM2 MEIO-DURO</t>
  </si>
  <si>
    <t>CABO DE COBRE NU 50 MM2 MEIO-DURO</t>
  </si>
  <si>
    <t>CABO DE COBRE NU 70 MM2 MEIO-DURO</t>
  </si>
  <si>
    <t>CABO DE COBRE NU 95 MM2 MEIO-DURO</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</si>
  <si>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</si>
  <si>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</si>
  <si>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</si>
  <si>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</si>
  <si>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</si>
  <si>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</si>
  <si>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</si>
  <si>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</si>
  <si>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</si>
  <si>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</si>
  <si>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</si>
  <si>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</si>
  <si>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</si>
  <si>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</si>
  <si>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</si>
  <si>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</si>
  <si>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</si>
  <si>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</si>
  <si>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</si>
  <si>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</si>
  <si>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</si>
  <si>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</si>
  <si>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</si>
  <si>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</si>
  <si>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</si>
  <si>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</si>
  <si>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</si>
  <si>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</si>
  <si>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</si>
  <si>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</si>
  <si>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</si>
  <si>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</si>
  <si>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</si>
  <si>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</si>
  <si>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</si>
  <si>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RIGIDO, CLASSE 2, ISOLACAO EM PVC, ANTI-CHAMA BWF-B, 1 CONDUTOR, 450/750 V, DIAMETRO 120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</si>
  <si>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</si>
  <si>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</si>
  <si>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</si>
  <si>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</si>
  <si>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</si>
  <si>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35 MM2</t>
  </si>
  <si>
    <t>CABO DE COBRE, RIGIDO, CLASSE 2, ISOLACAO EM PVC/A, ANTICHAMA BWF-B, 1 CONDUTOR, 450/750 V, SECAO NOMINAL 50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</si>
  <si>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</si>
  <si>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</si>
  <si>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</si>
  <si>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REDE, PAR TRANCADO U/UTP, 4 PARES, CATEGORIA 5E (CAT 5E), ISOLAMENTO PVC (CM)</t>
  </si>
  <si>
    <t>CABO DE REDE, PAR TRANCADO U/UTP, 4 PARES, CATEGORIA 5E (CAT 5E), ISOLAMENTO PVC (CMX)</t>
  </si>
  <si>
    <t>CABO DE REDE, PAR TRANCADO U/UTP, 4 PARES, CATEGORIA 5E (CAT 5E), ISOLAMENTO PVC (LSZH)</t>
  </si>
  <si>
    <t>CABO DE REDE, PAR TRANCADO U/UTP, 4 PARES, CATEGORIA 6 (CAT 6), ISOLAMENTO PVC (CM)</t>
  </si>
  <si>
    <t>CABO DE REDE, PAR TRANCADO UTP, 4 PARES, CATEGORIA 6 (CAT 6), ISOLAMENTO PVC (LSZH)</t>
  </si>
  <si>
    <t>CABO ELETRONICO CATEGORIA 6A U/UTP 23AWG X 4P</t>
  </si>
  <si>
    <t>CABO FLEXIVEL PVC 750 V, 2 CONDUTORES DE 1,5 MM2</t>
  </si>
  <si>
    <t>CABO FLEXIVEL PVC 750 V, 2 CONDUTORES DE 4,0 MM2</t>
  </si>
  <si>
    <t>CABO FLEXIVEL PVC 750 V, 2 CONDUTORES DE 6,0 MM2</t>
  </si>
  <si>
    <t>CABO FLEXIVEL PVC 750 V, 3 CONDUTORES DE 1,5 MM2</t>
  </si>
  <si>
    <t>CABO FLEXIVEL PVC 750 V, 3 CONDUTORES DE 4,0 MM2</t>
  </si>
  <si>
    <t>CABO FLEXIVEL PVC 750 V, 3 CONDUTORES DE 6,0 MM2</t>
  </si>
  <si>
    <t>CABO FLEXIVEL PVC 750 V, 4 CONDUTORES DE 1,5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</si>
  <si>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</si>
  <si>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</si>
  <si>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</si>
  <si>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</si>
  <si>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</si>
  <si>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</si>
  <si>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</si>
  <si>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</si>
  <si>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</si>
  <si>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</si>
  <si>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</si>
  <si>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</si>
  <si>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</si>
  <si>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</si>
  <si>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</si>
  <si>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</si>
  <si>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</si>
  <si>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</si>
  <si>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</si>
  <si>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</si>
  <si>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</si>
  <si>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</si>
  <si>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</si>
  <si>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</si>
  <si>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</si>
  <si>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</si>
  <si>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</si>
  <si>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</si>
  <si>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</si>
  <si>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</si>
  <si>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</si>
  <si>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</si>
  <si>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</si>
  <si>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</si>
  <si>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</si>
  <si>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</si>
  <si>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</si>
  <si>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</si>
  <si>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5 X 5 CM EM PINUS, MISTA OU EQUIVALENTE DA REGIAO - BRUTA</t>
  </si>
  <si>
    <t>CAIBRO APARELHADO *6 X 8* CM, EM MACARANDUBA/MASSARANDUBA, ANGELIM OU EQUIVALENTE DA REGIAO</t>
  </si>
  <si>
    <t>CAIBRO APARELHADO *7,5 X 7,5* CM, EM MACARANDUBA/MASSARANDUBA, ANGELIM OU EQUIVALENTE DA REGIAO</t>
  </si>
  <si>
    <t>CAIBRO NAO APARELHADO *5 X 6* CM, EM MACARANDUBA/MASSARANDUBA, ANGELIM OU EQUIVALENTE DA REGIAO - BRUTA</t>
  </si>
  <si>
    <t>CAIBRO NAO APARELHADO *6 X 6* CM, EM MACARANDUBA/MASSARANDUBA, ANGELIM OU EQUIVALENTE DA REGIAO - BRUTA</t>
  </si>
  <si>
    <t>CAIBRO NAO APARELHADO, *6 X 8* CM, EM MACARANDUBA/MASSARANDUBA, ANGELIM OU EQUIVALENTE DA REGIAO - BRUTA</t>
  </si>
  <si>
    <t>CAIBRO ROLICO DE MADEIRA TRATADA, D = 4 A 7 CM, H = 3,00 M, EM EUCALIPTO OU EQUIVALENTE DA REGIAO</t>
  </si>
  <si>
    <t>CAIXA D'AGUA / RESERVATORIO EM POLIESTER REFORCADO COM FIBRA DE VIDRO, 10000 LITROS, COM TAMPA</t>
  </si>
  <si>
    <t>CAIXA D'AGUA / RESERVATORIO EM POLIESTER REFORCADO COM FIBRA DE VIDRO, 1500 LITROS, COM TAMPA</t>
  </si>
  <si>
    <t>CAIXA D'AGUA / RESERVATORIO EM POLIESTER REFORCADO COM FIBRA DE VIDRO, 15000 LITROS, COM TAMPA</t>
  </si>
  <si>
    <t>CAIXA D'AGUA / RESERVATORIO EM POLIESTER REFORCADO COM FIBRA DE VIDRO, 2000 LITROS, COM TAMPA</t>
  </si>
  <si>
    <t>CAIXA D'AGUA / RESERVATORIO EM POLIESTER REFORCADO COM FIBRA DE VIDRO, 20000 LITROS, COM TAMPA</t>
  </si>
  <si>
    <t>CAIXA D'AGUA / RESERVATORIO EM POLIESTER REFORCADO COM FIBRA DE VIDRO, 3000 LITROS, COM TAMPA</t>
  </si>
  <si>
    <t>CAIXA D'AGUA / RESERVATORIO EM POLIESTER REFORCADO COM FIBRA DE VIDRO, 500 LITROS, COM TAMPA</t>
  </si>
  <si>
    <t>CAIXA D'AGUA / RESERVATORIO EM POLIESTER REFORCADO COM FIBRA DE VIDRO, 5000 LITROS, COM TAMPA</t>
  </si>
  <si>
    <t>CAIXA D'AGUA / RESERVATORIO EM POLIESTER REFORCADO COM FIBRA DE VIDRO, 7000 LITROS, COM TAMPA</t>
  </si>
  <si>
    <t>CAIXA D'AGUA / RESERVATORIO EM POLIESTER REFORCADO COM FIBRA DE VIDRO, 750 LITROS, COM TAMPA</t>
  </si>
  <si>
    <t>CAIXA D'AGUA / RESERVATORIO EM POLIESTER REFORCADO COM FIBRA DE VIDRO,1000 LITROS, COM TAMPA</t>
  </si>
  <si>
    <t>CAIXA D'AGUA / RESERVATORIO EM POLIETILENO, 1000 LITROS, COM TAMPA</t>
  </si>
  <si>
    <t>CAIXA D'AGUA / RESERVATORIO EM POLIETILENO, 1500 LITROS, COM TAMPA</t>
  </si>
  <si>
    <t>CAIXA D'AGUA / RESERVATORIO EM POLIETILENO, 2000 LITROS, COM TAMPA</t>
  </si>
  <si>
    <t>CAIXA D'AGUA / RESERVATORIO EM POLIETILENO, 3000 LITROS, COM TAMPA</t>
  </si>
  <si>
    <t>CAIXA D'AGUA / RESERVATORIO EM POLIETILENO, 500 LITROS, COM TAMPA</t>
  </si>
  <si>
    <t>CAIXA D'AGUA / RESERVATORIO EM POLIETILENO, 750 LITROS, COM TAMPA</t>
  </si>
  <si>
    <t>CAIXA DE ATERRAMENTO EM CONCRETO PRE-MOLDADO,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</si>
  <si>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</si>
  <si>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</si>
  <si>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</si>
  <si>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</si>
  <si>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</si>
  <si>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</si>
  <si>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</si>
  <si>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</si>
  <si>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</si>
  <si>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</si>
  <si>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</si>
  <si>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</si>
  <si>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</si>
  <si>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</si>
  <si>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</si>
  <si>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PLASTICA PARA BACIA / VASO SANITARIO DE EMBUTIR, COM ESPELHO ACIONADOR EM PLASTICO, CAPACIDADE 6 A 10 LITROS, (COMPLETA - ACESSORIOS INCLUSOS)</t>
  </si>
  <si>
    <t>CAIXA DE DESCARGA PLASTICA PARA BACIA / VASO SANITARIO, EXTERNA, CAPACIDADE 9 LITROS, PUXADOR FIO DE NYLON, NAO INCLUSO CANO, BOLSA, ENGATE</t>
  </si>
  <si>
    <t>CAIXA DE GORDURA CILINDRICA EM CONCRETO SIMPLES, PRE-MOLDADA, COM DIAMETRO DE 40 CM E ALTURA DE 45 CM, COM TAMPA</t>
  </si>
  <si>
    <t>CAIXA DE GORDURA EM PVC, DIAMETRO MINIMO 300 MM, DIAMETRO DE SAIDA 100 MM, CAPACIDADE APROXIMADA 18 LITROS, COM TAMPA E CESTO</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</si>
  <si>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</si>
  <si>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</si>
  <si>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</si>
  <si>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</si>
  <si>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</si>
  <si>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</si>
  <si>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</si>
  <si>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</si>
  <si>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</si>
  <si>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</si>
  <si>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</si>
  <si>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</si>
  <si>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</si>
  <si>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</si>
  <si>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APARAFUSADA,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</si>
  <si>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</si>
  <si>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</si>
  <si>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</si>
  <si>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</si>
  <si>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</si>
  <si>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</si>
  <si>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</si>
  <si>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</si>
  <si>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</si>
  <si>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</si>
  <si>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</si>
  <si>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EM PVC, DE 4" X 2", PARA ELETRODUTO FLEXIVEL CORRUGADO</t>
  </si>
  <si>
    <t>CAIXA DE PASSAGEM, EM PVC, DE 4" X 4", PARA ELETRODUTO FLEXIVEL CORRUGADO</t>
  </si>
  <si>
    <t>CAIXA DE PASSAGEM/ LUZ / TELEFONIA, DE EMBUTIR, EM CHAPA DE ACO GALVANIZADO, DIMENSOES 120 X 120 X *12* CM (PADRAO CONCESSIONARIA LOCAL)</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</si>
  <si>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</si>
  <si>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</si>
  <si>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</si>
  <si>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</si>
  <si>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</si>
  <si>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</si>
  <si>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SOBREPOR, EM CHAPA DE ACO GALVANIZADO, DIMENSOES 80 X 80 X *12* CM (PADRAO CONCESSIONARIA LOCAL)</t>
  </si>
  <si>
    <t>CAIXA DE PROTECAO EXTERNA PARA MEDIDOR HOROSAZONAL, DE BAIXA TENSAO, COM MODULO, EM CHAPA DE ACO (PADRAO DA CONCESSIONARIA LOCAL)</t>
  </si>
  <si>
    <t>CAIXA DE PROTECAO PARA TRANSFORMADOR CORRENTE, EM CHAPA DE ACO 18 USG (PADRAO DA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</si>
  <si>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</si>
  <si>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</si>
  <si>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</si>
  <si>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</si>
  <si>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</si>
  <si>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</si>
  <si>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</si>
  <si>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</si>
  <si>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</si>
  <si>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</si>
  <si>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</si>
  <si>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</si>
  <si>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</si>
  <si>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</si>
  <si>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</si>
  <si>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</si>
  <si>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</si>
  <si>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 HIDRATADA CH-I PARA ARGAMASSAS</t>
  </si>
  <si>
    <t>CAL HIDRATADA PARA PINTURA</t>
  </si>
  <si>
    <t>CAL VIRGEM COMUM PARA ARGAMASSAS (NBR 6453)</t>
  </si>
  <si>
    <t>CALCETEIRO / RASTELEIRO (HORISTA)</t>
  </si>
  <si>
    <t>CALCETEIRO / RASTELEIRO (MENSALISTA)</t>
  </si>
  <si>
    <t>CALHA / PERFIL PLUVIAL DE PVC, DIAMETRO ENTRE *119 E 170* MM, COMPRIMENTO DE 3 M, PARA DRENAGEM PLUVIAL PREDIAL</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</si>
  <si>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</si>
  <si>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</si>
  <si>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</si>
  <si>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</si>
  <si>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</si>
  <si>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</si>
  <si>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</si>
  <si>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</si>
  <si>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</si>
  <si>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</si>
  <si>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</si>
  <si>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</si>
  <si>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</si>
  <si>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</si>
  <si>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</si>
  <si>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</si>
  <si>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10700 KG, CARGA UTIL MAXIMA 7400 KG, DISTANCIA ENTRE EIXOS 4,00 M, POTENCIA 175 CV (INCLUI CABINE E CHASSI, NAO INCLUI CARROCERIA)</t>
  </si>
  <si>
    <t>CAMINHAO TOCO, PESO BRUTO TOTAL 13200 KG, CARGA UTIL MAXIMA 9200 KG, DISTANCIA ENTRE EIXOS 3,31 M, POTENCIA 175 CV (INCLUI CABINE E CHASSI, NAO INCLUI CARROCERIA)</t>
  </si>
  <si>
    <t>CAMINHAO TOCO, PESO BRUTO TOTAL 14300 KG, CARGA UTIL MAXIMA 9480 KG, DISTANCIA ENTRE EIXOS 4,80 M, POTENCIA 185 CV (INCLUI CABINE E CHASSI, NAO INCLUI CARROCERIA)</t>
  </si>
  <si>
    <t>CAMINHAO TOCO, PESO BRUTO TOTAL 16000 KG, CARGA UTIL MAXIMA 10600 KG, DISTANCIA ENTRE EIXOS 4,80 M, POTENCIA 277 CV (INCLUI CABINE E CHASSI, NAO INCLUI CARROCERIA)</t>
  </si>
  <si>
    <t>CAMINHAO TOCO, PESO BRUTO TOTAL 16000 KG, CARGA UTIL MAXIMA 10830 KG, DISTANCIA ENTRE EIXOS 3,56 M, POTENCIA 226 CV (INCLUI CABINE E CHASSI, NAO INCLUI CARROCERIA)</t>
  </si>
  <si>
    <t>CAMINHAO TOCO, PESO BRUTO TOTAL 16000 KG, CARGA UTIL MAXIMA 11030 KG, DISTANCIA ENTRE EIXOS 5,41 M, POTENCIA 185 CV (INCLUI CABINE E CHASSI, NAO INCLUI CARROCERIA)</t>
  </si>
  <si>
    <t>CAMINHAO TOCO, PESO BRUTO TOTAL 8500 KG, CARGA UTIL MAXIMA 5600 KG, DISTANCIA ENTRE EIXOS 3,40 M, POTENCIA 167 CV (INCLUI CABINE E CHASSI, NAO INCLUI CARROCERIA)</t>
  </si>
  <si>
    <t>CAMINHAO TOCO, PESO BRUTO TOTAL 9600 KG, CARGA UTIL MAXIMA 6190 KG, DISTANCIA ENTRE EIXOS 3,70 M, POTENCIA 156 CV (INCLUI CABINE E CHASSI, NAO INCLUI CARROCERIA)</t>
  </si>
  <si>
    <t>CAMINHAO TRUCADO, PESO BRUTO TOTAL 23000 KG, CARGA UTIL MAXIMA 15285 KG, DISTANCIA ENTRE EIXOS 4,80 M, POTENCIA 326 CV (INCLUI CABINE E CHASSI, NAO INCLUI CARROCERIA)</t>
  </si>
  <si>
    <t>CAMINHAO TRUCADO, PESO BRUTO TOTAL 23000 KG, CARGA UTIL MAXIMA 15460 KG, DISTANCIA ENTRE EIXOS 4,80 M, POTENCIA 286 CV (INCLUI CABINE E CHASSI, NAO INCLUI CARROCERIA)</t>
  </si>
  <si>
    <t>CAMINHAO TRUCADO, PESO BRUTO TOTAL 23000 KG, CARGA UTIL MAXIMA 16360 KG, CABINE ESTENDIDA, DISTANCIA ENTRE EIXOS 3,56 M, POTENCIA 277 CV (INCLUI CABINE E CHASSI, NAO INCLUI CARROCERIA)</t>
  </si>
  <si>
    <t>CAMINHAO TRUCADO, PESO BRUTO TOTAL 23000 KG, CARGA UTIL MAXIMA 16540 KG, DISTANCIA ENTRE EIXOS 4,80 M, POTENCIA 256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</si>
  <si>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</si>
  <si>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</si>
  <si>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</si>
  <si>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</si>
  <si>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14 X 19 X 19 CM (CLASSE C - NBR 6136)</t>
  </si>
  <si>
    <t>CANALETA DE CONCRETO 19 X 19 X 19 CM (CLASSE C - NBR 6136)</t>
  </si>
  <si>
    <t>CANALETA DE CONCRETO 9 X 19 X 19 CM (CLASSE C - NBR 6136)</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</si>
  <si>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</si>
  <si>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</si>
  <si>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</si>
  <si>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</si>
  <si>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ESTRUTURAL CERAMICA DE 14 X 19 X 19 CM (L X A X C) E 6,0 MPA</t>
  </si>
  <si>
    <t>CANALETA ESTRUTURAL CERAMICA DE 14 X 19 X 29 CM (L X A X C) E 6,0 MPA</t>
  </si>
  <si>
    <t>CANALETA ESTRUTURAL CERAMICA DE 14 X 19 X 39 CM (L X A X C) E 6,0 MPA</t>
  </si>
  <si>
    <t>CANOPLA ACABAMENTO CROMADO PARA INSTALACAO DE SPRINKLER, SOB FORRO, 15 MM</t>
  </si>
  <si>
    <t>CANTONEIRA (ABAS IGUAIS) EM ACO CARBONO, 25,4 MM X 3,17 MM (L X E), 1,27KG/M</t>
  </si>
  <si>
    <t>CANTONEIRA (ABAS IGUAIS) EM ACO CARBONO, 38,1 MM X 3,17 MM (L X E), 3,48 KG/M</t>
  </si>
  <si>
    <t>CANTONEIRA (ABAS IGUAIS) EM ACO CARBONO, 50,8 MM X 9,53 MM (L X E), 6,99 KG/M</t>
  </si>
  <si>
    <t>CANTONEIRA ACO ABAS IGUAIS (QUALQUER BITOLA), ESPESSURA ENTRE 1/8" E 1/4"</t>
  </si>
  <si>
    <t>CANTONEIRA EM ALUMINIO, ABAS IGUAIS, LARGURA DE 25,40 MM (1"), ESPESSURA DE 3,17 MM (1/8") E PESO LINEAR DE APROXIMADAMENTE 0,408 KG/M</t>
  </si>
  <si>
    <t>CANTONEIRA EM ALUMINIO, ABAS IGUAIS, LARGURA DE 25,40 MM (1"), ESPESSURA DE 4,76 MM (3/16") E PESO LINEAR DE APROXIMADAMENTE 0,593 KG/M</t>
  </si>
  <si>
    <t>CANTONEIRA EM ALUMINIO, ABAS IGUAIS, LARGURA DE 31,75 MM (1 1/4"), ESPESSURA DE 4,76 MM (3/16") E PESO LINEAR DE APROXIMADAMENTE 0,755 KG/M</t>
  </si>
  <si>
    <t>CANTONEIRA EM ALUMINIO, ABAS IGUAIS, LARGURA DE 38,10 MM (1 1/2"), ESPESSURA DE 4,76 MM (3/16") E PESO LINEAR DE APROXIMADAMENTE 0,915 KG/M</t>
  </si>
  <si>
    <t>CANTONEIRA EM ALUMINIO, ABAS IGUAIS, LARGURA DE 50,80 MM (2"), ESPESSURA DE 3,17 MM (1/8") E PESO LINEAR DE APROXIMADAMENTE 0,842 KG/M</t>
  </si>
  <si>
    <t>CANTONEIRA EM ALUMINIO, ABAS IGUAIS, LARGURA DE 50,80 MM (2"), ESPESSURA DE 6,35 MM (1/4") E PESO LINEAR DE APROXIMADAMENTE 1,630 KG/M</t>
  </si>
  <si>
    <t>CAP OU TAMPAO DE FERRO GALVANIZADO, COM ROSCA BSP, DE 1 1/2"</t>
  </si>
  <si>
    <t>CAP OU TAMPAO DE FERRO GALVANIZADO, COM ROSCA BSP, DE 1 1/4"</t>
  </si>
  <si>
    <t>CAP OU TAMPAO DE FERRO GALVANIZADO, COM ROSCA BSP, DE 1"</t>
  </si>
  <si>
    <t>CAP OU TAMPAO DE FERRO GALVANIZADO, COM ROSCA BSP, DE 1/2"</t>
  </si>
  <si>
    <t>CAP OU TAMPAO DE FERRO GALVANIZADO, COM ROSCA BSP, DE 1/4"</t>
  </si>
  <si>
    <t>CAP OU TAMPAO DE FERRO GALVANIZADO, COM ROSCA BSP, DE 2 1/2"</t>
  </si>
  <si>
    <t>CAP OU TAMPAO DE FERRO GALVANIZADO, COM ROSCA BSP, DE 2"</t>
  </si>
  <si>
    <t>CAP OU TAMPAO DE FERRO GALVANIZADO, COM ROSCA BSP, DE 3"</t>
  </si>
  <si>
    <t>CAP OU TAMPAO DE FERRO GALVANIZADO, COM ROSCA BSP, DE 3/4"</t>
  </si>
  <si>
    <t>CAP OU TAMPAO DE FERRO GALVANIZADO, COM ROSCA BSP, DE 3/8"</t>
  </si>
  <si>
    <t>CAP OU TAMPAO DE FERRO GALVANIZADO, COM ROSCA BSP, DE 4"</t>
  </si>
  <si>
    <t>CAP PPR DN 20 MM, PARA AGUA QUENTE PREDIAL</t>
  </si>
  <si>
    <t>CAP PPR DN 25 MM, PARA AGUA QUENTE PREDIAL</t>
  </si>
  <si>
    <t>CAP PVC, ROSCAVEL, 1", PARA AGUA FRIA PREDIAL</t>
  </si>
  <si>
    <t>CAP PVC, ROSCAVEL, 1/2", PARA AGUA FRIA PREDIAL</t>
  </si>
  <si>
    <t>CAP PVC, ROSCAVEL, 3/4", PARA AGUA FRIA PREDIAL</t>
  </si>
  <si>
    <t>CAP PVC, SERIE R, DN 100 MM, PARA ESGOTO PREDIAL</t>
  </si>
  <si>
    <t>CAP PVC, SERIE R, DN 150 MM, PARA ESGOTO PREDIAL</t>
  </si>
  <si>
    <t>CAP PVC, SERIE R, DN 75 MM, PARA ESGOTO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</si>
  <si>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</si>
  <si>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</si>
  <si>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</si>
  <si>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</si>
  <si>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</si>
  <si>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</si>
  <si>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</si>
  <si>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DN 100 MM, SERIE NORMAL, PARA ESGOTO PREDIAL</t>
  </si>
  <si>
    <t>CAP PVC, SOLDAVEL, DN 50 MM, SERIE NORMAL, PARA ESGOTO PREDIAL</t>
  </si>
  <si>
    <t>CAP PVC, SOLDAVEL, DN 75 MM, SERIE NORMAL, PARA ESGOTO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</si>
  <si>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</si>
  <si>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</si>
  <si>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</si>
  <si>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</si>
  <si>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</si>
  <si>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</si>
  <si>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</si>
  <si>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</si>
  <si>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</si>
  <si>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</si>
  <si>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</si>
  <si>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</si>
  <si>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</si>
  <si>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</si>
  <si>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CARENAGEM /TAMPA, EM PLASTICO, COR BRANCA, UTILIZADO EM KIT CHASSI METALICO PARA INSTAL. HIDRAULICA DE CUBA SIMPLES SEM MAQUINA DE LAVAR ROUPA, *355* X *670* MM (L X H) (COM FUROS E DEMAIS ENCAIXES)</t>
  </si>
  <si>
    <t>CARENAGEM /TAMPA, EM PLASTICO, COR BRANCA, UTILIZADO EM KIT CHASSI METALICO PARA INSTAL. HIDRAULICA DE TANQUE COM MAQUINA DE LAVAR ROUPA, *360* X *470* MM (L X H)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</si>
  <si>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</si>
  <si>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</si>
  <si>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</si>
  <si>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</si>
  <si>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</si>
  <si>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(HORISTA)</t>
  </si>
  <si>
    <t>CARPINTEIRO AUXILIAR (MENSALISTA)</t>
  </si>
  <si>
    <t>CARPINTEIRO DE ESQUADRIAS (HORISTA)</t>
  </si>
  <si>
    <t>CARPINTEIRO DE ESQUADRIAS (MENSALISTA)</t>
  </si>
  <si>
    <t>CARPINTEIRO DE FORMAS OU OFICIAL (MENSALISTA)</t>
  </si>
  <si>
    <t>CARPINTEIRO DE FORMAS PARA CONCRETO (HORISTA)</t>
  </si>
  <si>
    <t>CARRANCA PARA JANELA VENEZIANA DE ABRIR, EM LATAO CROMADO, SIMPLES, PARA APARAFUSAR NA PAREDE</t>
  </si>
  <si>
    <t>CARRINHO COM 2 PNEUS PARA TRANSPORTAR TUBO CONCRETO, ALTURA ATE 1,0 M E DIAMETRO ATE 1000MM, COM ESTRUTURA EM PERFIL OU TUBO METALICO</t>
  </si>
  <si>
    <t>CARRINHO DE MAO, EM ACO, COM CAPACIDADE DE *45 A 65* L / *100* KG,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</si>
  <si>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</si>
  <si>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</si>
  <si>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</si>
  <si>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</si>
  <si>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</si>
  <si>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</si>
  <si>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CAVALETE PARA TALHA COM ESTRUTURA EM TUBO METALICO ALTURA MINIMA 3,2 M EQUIPADO COM RODAS DE BORRACHA PARA MOVIMENTACAO DE TUBOS DE CONCRETO NA CENTRAL DE PREMOLDADOS COM CAPACIDADE DE CARGA DE 3 TONELADAS</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</si>
  <si>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</si>
  <si>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</si>
  <si>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</si>
  <si>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4X2, PESO BRUTO TOTAL COMBINADO 49000 KG, CAPACIDADE MAXIMA DE TRACAO *66000* KG, POTENCIA *360* CV (INCLUI CABINE E CHASSI, NAO INCLUI SEMIRREBOQUE)</t>
  </si>
  <si>
    <t>CAVALO MECANICO TRACAO 6X2, PESO BRUTO TOTAL COMBINADO 56000 KG, CAPACIDADE MAXIMA DE TRACAO *66000* KG, POTENCIA *360* CV (INCLUI CABINE E CHASSI, NAO INCLUI SEMIRREBOQUE)</t>
  </si>
  <si>
    <t>CAVOUQUEIRO OU OPERADOR DE PERFURATRIZ / ROMPEDOR (HORISTA)</t>
  </si>
  <si>
    <t>CAVOUQUEIRO OU OPERADOR DE PERFURATRIZ / ROMPEDOR (MENSALISTA)</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</si>
  <si>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</si>
  <si>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</si>
  <si>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</si>
  <si>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</si>
  <si>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 INCOLOR MULTIPISO</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</si>
  <si>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</si>
  <si>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</si>
  <si>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</si>
  <si>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</si>
  <si>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</si>
  <si>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</si>
  <si>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</si>
  <si>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</si>
  <si>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</si>
  <si>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</si>
  <si>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</si>
  <si>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</si>
  <si>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</si>
  <si>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</si>
  <si>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</si>
  <si>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</si>
  <si>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</si>
  <si>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</si>
  <si>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</si>
  <si>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</si>
  <si>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</si>
  <si>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(25,40 MM) 199,18 KG/M2</t>
  </si>
  <si>
    <t>CHAPA DE ACO GROSSA, ASTM A36, E = 1/2" (12,70 MM) 99,59 KG/M2</t>
  </si>
  <si>
    <t>CHAPA DE ACO GROSSA, ASTM A36, E = 1/4" (6,35 MM) 49,79 KG/M2</t>
  </si>
  <si>
    <t>CHAPA DE ACO GROSSA, ASTM A36, E = 3/4" (19,05 MM) 149,39 KG/M2</t>
  </si>
  <si>
    <t>CHAPA DE ACO GROSSA, ASTM A36, E = 3/8" (9,53 MM) 74,69 KG/M2</t>
  </si>
  <si>
    <t>CHAPA DE ACO GROSSA, ASTM A36, E = 5/8" (15,88 MM) 124,49 KG/M2</t>
  </si>
  <si>
    <t>CHAPA DE ACO GROSSA, ASTM A36, E = 7/8" (22,23 MM) 174,28 KG/M2</t>
  </si>
  <si>
    <t>CHAPA DE ACO GROSSA, SAE 1020, BITOLA 1/4", E = 6,35 MM (49,85 KG/M2)</t>
  </si>
  <si>
    <t>CHAPA DE ACO XADREZ PARA PISOS, E = 1/4" (6,30 MM) 54,53 KG/M2</t>
  </si>
  <si>
    <t>CHAPA DE LAMINADO MELAMINICO, LISO BRILHANTE, DE 1,25 X 3,08 METROS, ESPESSURA = 0,8 MILIMETROS</t>
  </si>
  <si>
    <t>CHAPA DE LAMINADO MELAMINICO, LISO FOSCO, DE 1,25 X 3,08 METROS, ESPESSURA = 0,8 MILIMETROS</t>
  </si>
  <si>
    <t>CHAPA DE LAMINADO MELAMINICO, TEXTURIZADO, DE 1,25 X 3,08 METROS, ESPESSURA = 0,8 MILIMETROS</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</si>
  <si>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</si>
  <si>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</si>
  <si>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</si>
  <si>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</si>
  <si>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</si>
  <si>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</si>
  <si>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</si>
  <si>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</si>
  <si>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</si>
  <si>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</si>
  <si>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</si>
  <si>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</si>
  <si>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</si>
  <si>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</si>
  <si>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</si>
  <si>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</si>
  <si>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</si>
  <si>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</si>
  <si>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</si>
  <si>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</si>
  <si>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</si>
  <si>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</si>
  <si>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CHAPA/BOBINA LISA EM ALUMINIO, LIGA 1.200 - H14, QUALQUER ESPESSURA, QUALQUER LARGURA</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</si>
  <si>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</si>
  <si>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</si>
  <si>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</si>
  <si>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</si>
  <si>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</si>
  <si>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</si>
  <si>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</si>
  <si>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</si>
  <si>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20 MM</t>
  </si>
  <si>
    <t>CHAPA/PAINEL DE MADEIRA COMPENSADA RESINADA (MADEIRITE RESINADO ROSA) PARA FORMA DE CONCRETO, DE 2200 X 1100 MM, E = 6 MM</t>
  </si>
  <si>
    <t>CHAPA/PAINEL DE MADEIRA COMPENSADA RESINADA (MADEIRITE RESINADO ROSA) PARA FORMA DE CONCRETO, DE 2200 X 1100 MM, E = 8 A 12 MM</t>
  </si>
  <si>
    <t>CHAVE DUPLA PARA CONEXOES TIPO STORZ, ENGATE RAPIDO 1 1/2" X 2 1/2", EM LATAO, PARA INSTALACAO PREDIAL COMBATE A INCENDIO</t>
  </si>
  <si>
    <t>CHUMBADOR DE ACO GALVANIZADO, 1" X 600 MM, PARA POSTES DE ACO COM BASE, INCLUSO PORCA E ARRUELA</t>
  </si>
  <si>
    <t>CHUMBADOR DE ACO TIPO PARABOLT, * 5/8" X 200* MM, COM PORCA E ARRUELA</t>
  </si>
  <si>
    <t>CHUMBADOR DE ACO ZINCADO, DIAMETRO 1/2", COMPRIMENTO 75 MM</t>
  </si>
  <si>
    <t>CHUMBADOR DE ACO ZINCADO, DIAMETRO 1/4" COM PARAFUSO 1/4" X 40 MM</t>
  </si>
  <si>
    <t>CHUMBADOR DE ACO ZINCADO, DIAMETRO 5/8", COMPRIMENTO 6", COM PORCA</t>
  </si>
  <si>
    <t>CHUVEIRO COMUM EM PLASTICO BRANCO, COM CANO, 3 TEMPERATURAS, 5500 W (110/220 V)</t>
  </si>
  <si>
    <t>CHUVEIRO COMUM EM PLASTICO CROMADO, COM CANO, 4 TEMPERATURAS (110/220 V)</t>
  </si>
  <si>
    <t>CIMENTO BRANCO NAO ESTRUTURAL (CPB - NAO ESTRUTURAL)</t>
  </si>
  <si>
    <t>CIMENTO IMPERMEABILIZANTE DE PEGA ULTRARRAPIDA PARA TAMPONAMENTOS</t>
  </si>
  <si>
    <t>CIMENTO PORTLAND COMPOSTO CP II-32</t>
  </si>
  <si>
    <t>CIMENTO PORTLAND DE ALTO FORNO (AF) CP III-40</t>
  </si>
  <si>
    <t>CIMENTO PORTLAND ESTRUTURAL BRANCO CPB - 32 OU CPB - 40</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</si>
  <si>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</si>
  <si>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</si>
  <si>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</si>
  <si>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SUSPENSORIO, CINTURA E PERNAS</t>
  </si>
  <si>
    <t>COBRE ELETROLITICO EM BARRA OU CHAPA</t>
  </si>
  <si>
    <t>COLA A BASE DE RESINA SINTETICA PARA CHAPA DE LAMINADO MELAMINICO E OUTROS</t>
  </si>
  <si>
    <t>COLA BRANCA BASE PVA</t>
  </si>
  <si>
    <t>COLA PARA TUBOS E MANTAS ELASTOMERICAS, A BASE DE SOLVENTE</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</si>
  <si>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</si>
  <si>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</si>
  <si>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</si>
  <si>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</si>
  <si>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</si>
  <si>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</si>
  <si>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</si>
  <si>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</si>
  <si>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</si>
  <si>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60 MM X 1/2" OU 60 MM X 3/4", PARA LIGACAO PREDIAL DE AGUA</t>
  </si>
  <si>
    <t>COMPACTADOR DE SOLO A PERCUSSAO (SOQUETE), A GASOLINA 4 TEMPOS, PESO 55 A 65 KG, FORCA DE IMPACTO 1.000 A 1.500 KGF, FREQ. 600 A 700 GOLPES P/ MINUTO, VELOCIDADE TRABALHO DE 10 A 15 M/MIN, POT. DE 2,00 A 3,00 HP</t>
  </si>
  <si>
    <t>COMPACTADOR DE SOLO TIPO PLACA VIBRATORIA REVERSIVEL, A GASOLINA 4 TEMPOS, PESO 125 A 150 KG, FORCA CENTRIF. 2500 A 2800 KGF, LARG. TRABALHO 400 A 450 MM, FREQ. VIBRACAO 4300 A 4500 RPM, VELOC. TRABALHO 15 A 20 M/MIN, POT. 5,5 A 6,0 HP</t>
  </si>
  <si>
    <t>COMPACTADOR DE SOLO TIPO PLACA VIBRATORIA REVERSIVEL, A GASOLINA 4 TEMPOS, PESO 150 A 175 KG, FORCA CENTRIF. 2800 A 3100 KGF, LARG. TRABALHO DE 450 A 520 MM, FREQ. VIBRACAO 4000 A 4300 RPM, VELOC. TRABALHO DE 15 A 20 M/MIN, POT. DE 6,0 A 7,0 HP</t>
  </si>
  <si>
    <t>COMPACTADOR DE SOLO, TIPO PLACA VIBRATORIA NAO REVERSIVEL, A GASOLINA 4 TEMPOS, PESO 80 A 120 KG, FORCA CENTRIF. DE 1300 A 2000 KGF, LARG. TRABALHO DE 400 A 500 MM, FREQ. VIBRACAO DE 4800 A 6000 RPM, VELOCIDADE TRABALHO DE 20 A 30 M/MIN, POT. DE 5,0 A 6,0 HP</t>
  </si>
  <si>
    <t>COMPACTADOR DE SOLO, TIPO PLACA VIBRATORIA REVERSIVEL, A DIESEL, PESO 700 A 820 KG, FORCA CENTRIF. DE 6.200 A 10.000 KGF, LARG. TRABALHO DE 650 A 720 MM, FREQ. VIBRACAO DE 3.000 A 3.500 RPM, VELOCIDADE TRABALHO DE 25 A 30 M/MIN, POT. DE 13,0 A 15,0 HP</t>
  </si>
  <si>
    <t>COMPACTADOR DE SOLO, TIPO PLACA VIBRATORIA REVERSIVEL, A GASOLINA 4 TEMPOS, PESO 160 A 265 KG, FORCA CENTRIF. DE 2750 A 4000 KGF, LARG. TRABALHO DE 430 A 550 MM, FREQ. VIBRACAO DE 4000 A 5500 RPM, VELOCIDADE TRABALHO DE 20 A 25 M/MIN, POT. DE 7,5 A 9,0 HP</t>
  </si>
  <si>
    <t>COMPACTADOR DE SOLOS DE PERCURSAO (SOQUETE) COM MOTOR A GASOLINA 4 TEMPOS DE 4 HP (4 CV)</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</si>
  <si>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</si>
  <si>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</si>
  <si>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</si>
  <si>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</si>
  <si>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</si>
  <si>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</si>
  <si>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</si>
  <si>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</si>
  <si>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</si>
  <si>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</si>
  <si>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</si>
  <si>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</si>
  <si>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</si>
  <si>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</si>
  <si>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</si>
  <si>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REBOCAVEL, VAZAO 89 PCM, PRESSAO EFETIVA DE TRABALHO *102* PSI, MOTOR DIESEL, POTENCIA *20*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</si>
  <si>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</si>
  <si>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</si>
  <si>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COM BOMBEAMENTO (DISPONIBILIZACAO DE BOMBA), SEM O LANCAMENTO (NBR 15823)</t>
  </si>
  <si>
    <t>CONCRETO AUTOADENSAVEL (CAA) CLASSE DE RESISTENCIA C20, ESPALHAMENTO SF2, COM BOMBEAMENTO (DISPONIBILIZACAO DE BOMBA), SEM O LANCAMENTO (NBR 15823)</t>
  </si>
  <si>
    <t>CONCRETO AUTOADENSAVEL (CAA) CLASSE DE RESISTENCIA C25, ESPALHAMENTO SF2, COM BOMBEAMENTO (DISPONIBILIZACAO DE BOMBA), SEM O LANCAMENTO (NBR 15823)</t>
  </si>
  <si>
    <t>CONCRETO AUTOADENSAVEL (CAA) CLASSE DE RESISTENCIA C30, ESPALHAMENTO SF2, COM BOMBEAMENTO (DISPONIBILIZACAO DE BOMBA), SEM O LANCAMENTO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</si>
  <si>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</si>
  <si>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</si>
  <si>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</si>
  <si>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BRITA 0 E 1, SLUMP = 100 +/- 20 MM, COM BOMBEAMENTO (DISPONIBILIZACAO DE BOMBA), SEM O LANCAMENTO (NBR 8953)</t>
  </si>
  <si>
    <t>CONCRETO USINADO BOMBEAVEL, CLASSE DE RESISTENCIA C20, COM BRITA 0 E 1, SLUMP = 100 +/- 20 MM, EXCLUI SERVICO DE BOMBEAMENTO (NBR 8953)</t>
  </si>
  <si>
    <t>CONCRETO USINADO BOMBEAVEL, CLASSE DE RESISTENCIA C20, COM BRITA 0 E 1, SLUMP = 130 +/- 20 MM, EXCLUI SERVICO DE BOMBEAMENTO (NBR 8953)</t>
  </si>
  <si>
    <t>CONCRETO USINADO BOMBEAVEL, CLASSE DE RESISTENCIA C20, COM BRITA 0 E 1, SLUMP = 190 +/- 20 MM, COM BOMBEAMENTO (DISPONIBILIZACAO DE BOMBA), SEM O LANCAMENTO (NBR 8953)</t>
  </si>
  <si>
    <t>CONCRETO USINADO BOMBEAVEL, CLASSE DE RESISTENCIA C20, COM BRITA 0, SLUMP = 220 +/- 20 MM, COM BOMBEAMENTO (DISPONIBILIZACAO DE BOMBA), SEM O LANCAMENTO (NBR 8953)</t>
  </si>
  <si>
    <t>CONCRETO USINADO BOMBEAVEL, CLASSE DE RESISTENCIA C25, BRITA 0 E 1, SLUMP = 100 +/- 20 MM, COM BOMBEAMENTO (DISPONIBILIZACAO DE BOMBA), SEM O LANCAMENTO (NBR 8953)</t>
  </si>
  <si>
    <t>CONCRETO USINADO BOMBEAVEL, CLASSE DE RESISTENCIA C25, COM BRITA 0 E 1, SLUMP = 100 +/- 20 MM, EXCLUI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</si>
  <si>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</si>
  <si>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</si>
  <si>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BRITA 0 E 1, SLUMP = 100 +/- 20 MM, COM BOMBEAMENTO (DISPONIBILIZACAO DE BOMBA), SEM O LANCAMENTO (NBR 8953)</t>
  </si>
  <si>
    <t>CONCRETO USINADO BOMBEAVEL, CLASSE DE RESISTENCIA C30, COM BRITA 0 E 1, SLUMP = 100 +/- 20 MM, EXCLUI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</si>
  <si>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</si>
  <si>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</si>
  <si>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</si>
  <si>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BRITA 0 E 1, SLUMP = 100 +/- 20 MM, COM BOMBEAMENTO (DISPONIBILIZACAO DE BOMBA), SEM O LANCAMENTO (NBR 8953)</t>
  </si>
  <si>
    <t>CONCRETO USINADO BOMBEAVEL, CLASSE DE RESISTENCIA C35, COM BRITA 0 E 1, SLUMP = 100 +/- 20 MM, EXCLUI SERVICO DE BOMBEAMENTO (NBR 8953)</t>
  </si>
  <si>
    <t>CONCRETO USINADO BOMBEAVEL, CLASSE DE RESISTENCIA C40, BRITA 0 E 1, SLUMP = 100 +/- 20 MM, COM BOMBEAMENTO (DISPONIBILIZACAO DE BOMBA), SEM O LANCAMENTO (NBR 8953)</t>
  </si>
  <si>
    <t>CONCRETO USINADO BOMBEAVEL, CLASSE DE RESISTENCIA C40, COM BRITA 0 E 1, SLUMP = 100 +/- 20 MM, EXCLUI SERVICO DE BOMBEAMENTO (NBR 8953)</t>
  </si>
  <si>
    <t>CONCRETO USINADO BOMBEAVEL, CLASSE DE RESISTENCIA C45, BRITA 0 E 1, SLUMP = 100 +/- 20 MM, COM BOMBEAMENTO (DISPONIBILIZACAO DE BOMBA), SEM O LANCAMENTO (NBR 8953)</t>
  </si>
  <si>
    <t>CONCRETO USINADO BOMBEAVEL, CLASSE DE RESISTENCIA C50, BRITA 0 E 1, SLUMP = 100 +/- 20 MM, COM BOMBEAMENTO (DISPONIBILIZACAO DE BOMBA), SEM O LANCAMENTO (NBR 8953)</t>
  </si>
  <si>
    <t>CONCRETO USINADO BOMBEAVEL, CLASSE DE RESISTENCIA C60, COM BRITA 0 E 1, SLUMP = 100 +/- 20 MM, COM BOMBEAMENTO (DISPONIBILIZACAO DE BOMBA), SEM O LANCAMENTO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</si>
  <si>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</si>
  <si>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</si>
  <si>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 COM TAMPA CEGA</t>
  </si>
  <si>
    <t>CONDULETE DE ALUMINIO TIPO B, PARA ELETRODUTO ROSCAVEL DE 1/2", COM TAMPA CEGA</t>
  </si>
  <si>
    <t>CONDULETE DE ALUMINIO TIPO B, PARA ELETRODUTO ROSCAVEL DE 3/4", COM TAMPA CEGA</t>
  </si>
  <si>
    <t>CONDULETE DE ALUMINIO TIPO C, PARA ELETRODUTO ROSCAVEL DE 1", COM TAMPA CEGA</t>
  </si>
  <si>
    <t>CONDULETE DE ALUMINIO TIPO C, PARA ELETRODUTO ROSCAVEL DE 1/2", COM TAMPA CEGA</t>
  </si>
  <si>
    <t>CONDULETE DE ALUMINIO TIPO C, PARA ELETRODUTO ROSCAVEL DE 3/4", COM TAMPA CEGA</t>
  </si>
  <si>
    <t>CONDULETE DE ALUMINIO TIPO C, PARA ELETRODUTO ROSCAVEL DE 4", COM TAMPA CEGA</t>
  </si>
  <si>
    <t>CONDULETE DE ALUMINIO TIPO E, PARA ELETRODUTO ROSCAVEL DE 1 1/2", COM TAMPA CEGA</t>
  </si>
  <si>
    <t>CONDULETE DE ALUMINIO TIPO E, PARA ELETRODUTO ROSCAVEL DE 1 1/4", COM TAMPA CEGA</t>
  </si>
  <si>
    <t>CONDULETE DE ALUMINIO TIPO E, PARA ELETRODUTO ROSCAVEL DE 1", COM TAMPA CEGA</t>
  </si>
  <si>
    <t>CONDULETE DE ALUMINIO TIPO E, PARA ELETRODUTO ROSCAVEL DE 1/2", COM TAMPA CEGA</t>
  </si>
  <si>
    <t>CONDULETE DE ALUMINIO TIPO E, PARA ELETRODUTO ROSCAVEL DE 2", COM TAMPA CEGA</t>
  </si>
  <si>
    <t>CONDULETE DE ALUMINIO TIPO E, PARA ELETRODUTO ROSCAVEL DE 3", COM TAMPA CEGA</t>
  </si>
  <si>
    <t>CONDULETE DE ALUMINIO TIPO E, PARA ELETRODUTO ROSCAVEL DE 3/4",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</si>
  <si>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</si>
  <si>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</si>
  <si>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</si>
  <si>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 COM TAMPA CEGA</t>
  </si>
  <si>
    <t>CONDULETE DE ALUMINIO TIPO LR, PARA ELETRODUTO ROSCAVEL DE 1/2", COM TAMPA CEGA</t>
  </si>
  <si>
    <t>CONDULETE DE ALUMINIO TIPO LR, PARA ELETRODUTO ROSCAVEL DE 2", COM TAMPA CEGA</t>
  </si>
  <si>
    <t>CONDULETE DE ALUMINIO TIPO LR, PARA ELETRODUTO ROSCAVEL DE 3", COM TAMPA CEGA</t>
  </si>
  <si>
    <t>CONDULETE DE ALUMINIO TIPO LR, PARA ELETRODUTO ROSCAVEL DE 3/4",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</si>
  <si>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</si>
  <si>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</si>
  <si>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</si>
  <si>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 COM TAMPA CEGA</t>
  </si>
  <si>
    <t>CONDULETE DE ALUMINIO TIPO T, PARA ELETRODUTO ROSCAVEL DE 1/2", COM TAMPA CEGA</t>
  </si>
  <si>
    <t>CONDULETE DE ALUMINIO TIPO T, PARA ELETRODUTO ROSCAVEL DE 2", COM TAMPA CEGA</t>
  </si>
  <si>
    <t>CONDULETE DE ALUMINIO TIPO T, PARA ELETRODUTO ROSCAVEL DE 3", COM TAMPA CEGA</t>
  </si>
  <si>
    <t>CONDULETE DE ALUMINIO TIPO T, PARA ELETRODUTO ROSCAVEL DE 3/4",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</si>
  <si>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</si>
  <si>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</si>
  <si>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</si>
  <si>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</si>
  <si>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 COM TAMPA CEGA</t>
  </si>
  <si>
    <t>CONDULETE DE ALUMINIO TIPO X, PARA ELETRODUTO ROSCAVEL DE 1/2", COM TAMPA CEGA</t>
  </si>
  <si>
    <t>CONDULETE DE ALUMINIO TIPO X, PARA ELETRODUTO ROSCAVEL DE 2", COM TAMPA CEGA</t>
  </si>
  <si>
    <t>CONDULETE DE ALUMINIO TIPO X, PARA ELETRODUTO ROSCAVEL DE 3", COM TAMPA CEGA</t>
  </si>
  <si>
    <t>CONDULETE DE ALUMINIO TIPO X, PARA ELETRODUTO ROSCAVEL DE 3/4", COM TAMPA CEGA</t>
  </si>
  <si>
    <t>CONDULETE DE ALUMINIO TIPO X, PARA ELETRODUTO ROSCAVEL DE 4", COM TAMPA CEGA</t>
  </si>
  <si>
    <t>CONDULETE EM PVC, TIPO "B", SEM TAMPA, DE 1"</t>
  </si>
  <si>
    <t>CONDULETE EM PVC, TIPO "B", SEM TAMPA, DE 1/2" OU 3/4"</t>
  </si>
  <si>
    <t>CONDULETE EM PVC, TIPO "C", SEM TAMPA, DE 1"</t>
  </si>
  <si>
    <t>CONDULETE EM PVC, TIPO "C", SEM TAMPA, DE 1/2"</t>
  </si>
  <si>
    <t>CONDULETE EM PVC, TIPO "C", SEM TAMPA, DE 3/4"</t>
  </si>
  <si>
    <t>CONDULETE EM PVC, TIPO "E", SEM TAMPA, DE 1"</t>
  </si>
  <si>
    <t>CONDULETE EM PVC, TIPO "E", SEM TAMPA, DE 1/2"</t>
  </si>
  <si>
    <t>CONDULETE EM PVC, TIPO "E", SEM TAMPA, DE 3/4"</t>
  </si>
  <si>
    <t>CONDULETE EM PVC, TIPO "LB", SEM TAMPA, DE 1"</t>
  </si>
  <si>
    <t>CONDULETE EM PVC, TIPO "LB", SEM TAMPA, DE 1/2" OU 3/4"</t>
  </si>
  <si>
    <t>CONDULETE EM PVC, TIPO "LL", SEM TAMPA, DE 1"</t>
  </si>
  <si>
    <t>CONDULETE EM PVC, TIPO "LL", SEM TAMPA, DE 1/2" OU 3/4"</t>
  </si>
  <si>
    <t>CONDULETE EM PVC, TIPO "LR", SEM TAMPA, DE 1"</t>
  </si>
  <si>
    <t>CONDULETE EM PVC, TIPO "LR", SEM TAMPA, DE 1/2"</t>
  </si>
  <si>
    <t>CONDULETE EM PVC, TIPO "LR", SEM TAMPA, DE 3/4"</t>
  </si>
  <si>
    <t>CONDULETE EM PVC, TIPO "T", SEM TAMPA, DE 1"</t>
  </si>
  <si>
    <t>CONDULETE EM PVC, TIPO "T", SEM TAMPA, DE 3/4"</t>
  </si>
  <si>
    <t>CONDULETE EM PVC, TIPO "TB", SEM TAMPA, DE 1"</t>
  </si>
  <si>
    <t>CONDULETE EM PVC, TIPO "TB", SEM TAMPA, DE 1/2" OU 3/4"</t>
  </si>
  <si>
    <t>CONDULETE EM PVC, TIPO "X", SEM TAMPA, DE 1"</t>
  </si>
  <si>
    <t>CONDULETE EM PVC, TIPO "X", SEM TAMPA, DE 1/2"</t>
  </si>
  <si>
    <t>CONDULETE EM PVC, TIPO "X", SEM TAMPA, DE 3/4"</t>
  </si>
  <si>
    <t>CONDUTOR PLUVIAL, PVC, CIRCULAR, DIAMETRO ENTRE 80 E 100 MM, PARA DRENAGEM PLUVIAL PREDIAL</t>
  </si>
  <si>
    <t>CONE DE SINALIZACAO EM PVC FLEXIVEL, H = 70 / 76 CM (NBR 15071)</t>
  </si>
  <si>
    <t>CONE DE SINALIZACAO EM PVC RIGIDO COM FAIXA REFLETIVA, H = 70 / 76 CM</t>
  </si>
  <si>
    <t>CONECTOR / ADAPTADOR F/F, COM INSERTO METALICO, PPR, DN 25 MM X 1/2", PARA AGUA QUENTE E FRIA PREDIAL</t>
  </si>
  <si>
    <t>CONECTOR / ADAPTADOR F/F, COM INSERTO METALICO, PPR, DN 32 MM X 3/4", PARA AGUA QUENTE E FRIA PREDIAL</t>
  </si>
  <si>
    <t>CONECTOR / ADAPTADOR F/M, COM INSERTO METALICO, PPR, DN 25 MM X 1/2", PARA AGUA QUENTE E FRIA PREDIAL</t>
  </si>
  <si>
    <t>CONECTOR / ADAPTADOR F/M, COM INSERTO METALICO, PPR, DN 25 MM X 3/4", PARA AGUA QUENTE E FRIA PREDIAL</t>
  </si>
  <si>
    <t>CONECTOR / ADAPTADOR F/M, COM INSERTO METALICO, PPR, DN 32 MM X 1", PARA AGUA QUENTE E FRIA PREDIAL</t>
  </si>
  <si>
    <t>CONECTOR / ADAPTADOR F/M, COM INSERTO METALICO, PPR, DN 32 MM X 3/4", PARA AGUA QUENTE E FRIA PREDIAL</t>
  </si>
  <si>
    <t>CONECTOR / TOMADA FEMEA RJ 45, CATEGORIA 5 E (CAT 5E) PARA CABOS</t>
  </si>
  <si>
    <t>CONECTOR / TOMADA FEMEA RJ 45, CATEGORIA 6 (CAT 6) PARA CABOS</t>
  </si>
  <si>
    <t>CONECTOR BRONZE/LATAO SEM ANEL DE SOLDA, BOLSA X ROSCA F, 15 MM X 1/2"</t>
  </si>
  <si>
    <t>CONECTOR BRONZE/LATAO SEM ANEL DE SOLDA, BOLSA X ROSCA F, 22 MM X 1/2"</t>
  </si>
  <si>
    <t>CONECTOR BRONZE/LATAO SEM ANEL DE SOLDA, BOLSA X ROSCA F, 22 MM X 3/4"</t>
  </si>
  <si>
    <t>CONECTOR BRONZE/LATAO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</si>
  <si>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</si>
  <si>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</si>
  <si>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 PARA ADAPTAR ENTRADA DE ELETRODUTO METALICO FLEXIVEL EM QUADROS</t>
  </si>
  <si>
    <t>CONECTOR CURVO 90 GRAUS DE ALUMINIO, BITOLA 1/2",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</si>
  <si>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</si>
  <si>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</si>
  <si>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 PARA ADAPTAR ENTRADA DE ELETRODUTO METALICO FLEXIVEL EM QUADROS</t>
  </si>
  <si>
    <t>CONECTOR CURVO 90 GRAUS DE ALUMINIO, BITOLA 3/4",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</si>
  <si>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</si>
  <si>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</si>
  <si>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</si>
  <si>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 PARA CABOS DE DIAMETRO DE 22,5 A 25 MM</t>
  </si>
  <si>
    <t>CONECTOR DE ALUMINIO TIPO PRENSA CABO, BITOLA 1/2", PARA CABOS DE DIAMETRO DE 12,5 A 15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</si>
  <si>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</si>
  <si>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</si>
  <si>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</si>
  <si>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MACHO RJ 45, CATEGORIA 5 E (CAT 5E) PARA CABOS</t>
  </si>
  <si>
    <t>CONECTOR MACHO RJ 45, CATEGORIA 6 (CAT 6) PARA CABOS</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</si>
  <si>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</si>
  <si>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</si>
  <si>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</si>
  <si>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</si>
  <si>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</si>
  <si>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</si>
  <si>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</si>
  <si>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</si>
  <si>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</si>
  <si>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</si>
  <si>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</si>
  <si>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</si>
  <si>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</si>
  <si>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</si>
  <si>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</si>
  <si>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</si>
  <si>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 PARA ADAPTAR ENTRADA DE ELETRODUTO METALICO FLEXIVEL EM QUADROS</t>
  </si>
  <si>
    <t>CONECTOR RETO DE ALUMINIO PARA ELETRODUTO DE 1/2",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</si>
  <si>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</si>
  <si>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</si>
  <si>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 PARA ADAPTAR ENTRADA DE ELETRODUTO METALICO FLEXIVEL EM QUADROS</t>
  </si>
  <si>
    <t>CONECTOR RETO DE ALUMINIO PARA ELETRODUTO DE 3/4", PARA ADAPTAR ENTRADA DE ELETRODUTO METALICO FLEXIVEL EM QUADROS</t>
  </si>
  <si>
    <t>CONECTOR RETO DE ALUMINIO PARA ELETRODUTO DE 4", PARA ADAPTAR ENTRADA DE ELETRODUTO METALICO FLEXIVEL EM QUADROS</t>
  </si>
  <si>
    <t>CONECTOR, CPVC, SOLDAVEL, 114 MM X 4", PARA AGUA QUENTE</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</si>
  <si>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</si>
  <si>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</si>
  <si>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</si>
  <si>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</si>
  <si>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</si>
  <si>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</si>
  <si>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CONECTOR, CPVC, SOLDAVEL, 54 MM X 2", PARA AGUA QUENTE</t>
  </si>
  <si>
    <t>CONECTOR, CPVC, SOLDAVEL, 73 MM X 2 1/2", PARA AGUA QUENTE</t>
  </si>
  <si>
    <t>CONECTOR, CPVC, SOLDAVEL, 89 MM X 3", PARA AGUA QUENTE</t>
  </si>
  <si>
    <t>CONECTOR/ADAPTADOR FIXO, ROSCA FEMEA, EM PLASTICO, DN 16 MM X 1/2", PARA CONEXAO COM CRIMPAGEM, EM TUBO PEX PARA INST. AGUA QUENTE/FRIA</t>
  </si>
  <si>
    <t>CONECTOR/ADAPTADOR FIXO, ROSCA FEMEA, EM PLASTICO, DN 20 MM X 1/2", PARA CONEXAO COM CRIMPAGEM, EM TUBO PEX PARA INST. AGUA QUENTE/FRIA</t>
  </si>
  <si>
    <t>CONECTOR/ADAPTADOR FIXO, ROSCA FEMEA, EM PLASTICO, DN 20 MM X 3/4", PARA CONEXAO COM CRIMPAGEM, EM TUBO PEX PARA INST. AGUA QUENTE/FRIA</t>
  </si>
  <si>
    <t>CONECTOR/ADAPTADOR FIXO, ROSCA FEMEA, EM PLASTICO, DN 25 MM X 3/4", PARA CONEXAO COM CRIMPAGEM, EM TUBO PEX PARA INST. AGUA QUENTE/FRIA</t>
  </si>
  <si>
    <t>CONECTOR/ADAPTADOR FIXO, ROSCA FEMEA, METALICA, COM ANEL DESLIZANTE, DN 16 MM X 1/2", PARA TUBO PEX PARA INST. AGUA QUENTE/FRIA</t>
  </si>
  <si>
    <t>CONECTOR/ADAPTADOR FIXO, ROSCA FEMEA, METALICA, COM ANEL DESLIZANTE, DN 20 MM X 1/2", PARA TUBO PEX PARA INST. AGUA QUENTE/FRIA</t>
  </si>
  <si>
    <t>CONECTOR/ADAPTADOR FIXO, ROSCA FEMEA, METALICA, COM ANEL DESLIZANTE, DN 20 MM X 3/4", PARA TUBO PEX PARA INST. AGUA QUENTE/FRIA</t>
  </si>
  <si>
    <t>CONECTOR/ADAPTADOR FIXO, ROSCA FEMEA, METALICA, COM ANEL DESLIZANTE, DN 25 MM X 1", PARA TUBO PEX PARA INST. AGUA QUENTE/FRIA</t>
  </si>
  <si>
    <t>CONECTOR/ADAPTADOR FIXO, ROSCA FEMEA, METALICA, COM ANEL DESLIZANTE, DN 25 MM X 3/4", PARA TUBO PEX PARA INST. AGUA QUENTE/FRIA</t>
  </si>
  <si>
    <t>CONECTOR/ADAPTADOR FIXO, ROSCA FEMEA, METALICA, COM ANEL DESLIZANTE, DN 32 MM X 1", PARA TUBO PEX PARA INST. AGUA QUENTE/FRIA</t>
  </si>
  <si>
    <t>CONECTOR/ADAPTADOR MOVEL, ROSCA FEMEA, METALICA, COM ANEL DESLIZANTE, DN 16 MM X 3/4", PARA TUBO PEX PARA INST. AGUA QUENTE/FRIA</t>
  </si>
  <si>
    <t>CONJ. DE FERRAGENS PARA PORTA DE VIDRO TEMPERADO, EM ZAMAC CROMADO, CONTEMPLANDO DOBRADICA INF., DOBRADICA SUP., PIVO PARA DOBRADICA INF., PIVO PARA DOBRADICA SUP., FECHADURA CENTRAL EM ZAMC. CROMADO, CONTRA FECHADURA DE PRESSAO</t>
  </si>
  <si>
    <t>CONJUNTO ARRUELAS DE VEDACAO 5/16" PARA TELHA FIBROCIMENTO (UMA ARRUELA METALICA E UMA ARRUELA PVC - CONICAS)</t>
  </si>
  <si>
    <t>CONJUNTO DE FERRAGENS PIVO, PARA PORTA PIVOTANTE DE ATE 100 KG, REGULAVEL COM ESFERA, CROMADO - SUPERIOR E INFERIOR - COMPLETO</t>
  </si>
  <si>
    <t>CONJUNTO DE LIGACAO AJUSTAVEL, PARA VASO / BACIA SANITARIA, EM PLASTICO BRANCO, COM TUBO, CANOPLA E ESPUDE</t>
  </si>
  <si>
    <t>CONJUNTO DE LIGACAO PARA VASO / BACIA SANITARIA, EM PLASTICO BRANCO, COM TUBO, CANOPLA E ANEL DE EXPANSAO (TUBO 1.1/2" X 20 CM)</t>
  </si>
  <si>
    <t>CONJUNTO MONTADO ESTOPIM COM ESPOLETA COMUM NUMERO 8, COM CABECA ACENDEDORA, 1,5 M</t>
  </si>
  <si>
    <t>CONJUNTO PARA FUTSAL COM PAR DE TRAVES OFICIAIS DE 3,00 X 2,00 M EM TUBO DE ACO GALVANIZADO 3" COM REQUADROS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</si>
  <si>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</si>
  <si>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</si>
  <si>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</si>
  <si>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</si>
  <si>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</si>
  <si>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</si>
  <si>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</si>
  <si>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</si>
  <si>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</si>
  <si>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</si>
  <si>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</si>
  <si>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</si>
  <si>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</si>
  <si>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</si>
  <si>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</si>
  <si>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</si>
  <si>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</si>
  <si>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</si>
  <si>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</si>
  <si>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</si>
  <si>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</si>
  <si>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</si>
  <si>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CONTRAMARCO DE ALUMINIO (PERFIL 25) PARA ESQUADRIAS, TIPO CONVENCIONAL / CADEIRINHA, 60 MM (CM-060), INCLUSO CONEXOES, GRAPAS E TRAVAMENTOS</t>
  </si>
  <si>
    <t>CORDA DE POLIAMIDA 12 MM TIPO BOMBEIRO, PARA TRABALHO EM ALTURA</t>
  </si>
  <si>
    <t>100M</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</si>
  <si>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</si>
  <si>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</si>
  <si>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</si>
  <si>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</si>
  <si>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</si>
  <si>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</si>
  <si>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</si>
  <si>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</si>
  <si>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COROA PARA PERFURATRIZ T38, D = 2 1/2", 6 X 4 BOTOES BALISTICOS, FACE PLANA</t>
  </si>
  <si>
    <t>CORRENTE DE ELO CURTO COMUM, SOLDADA, GALVANIZADA, ESPESSURA DO ELO = 1/2" (12,5 MM)</t>
  </si>
  <si>
    <t>CORTADEIRA DE PISO DE CONCRETO E ASFALTO, PARA DISCO PADRAO DE DIAMETRO 350 MM (14") OU 450 MM (18"), MOTOR A GASOLINA, POTENCIA 13 HP, SEM DISCO</t>
  </si>
  <si>
    <t>CORTADEIRA HIDRAULICA DE VERGALHAO, PARA ACO DE DIAMETRO ATE 50 MM, MOTOR ELETRICO TRIFASICO, POTENCIA DE 5,5 HP A 7,5 HP</t>
  </si>
  <si>
    <t>COTOVELO 45 GRAUS DE FERRO GALVANIZADO, COM ROSCA BSP, DE 1 1/2"</t>
  </si>
  <si>
    <t>COTOVELO 45 GRAUS DE FERRO GALVANIZADO, COM ROSCA BSP, DE 1 1/4"</t>
  </si>
  <si>
    <t>COTOVELO 45 GRAUS DE FERRO GALVANIZADO, COM ROSCA BSP, DE 1"</t>
  </si>
  <si>
    <t>COTOVELO 45 GRAUS DE FERRO GALVANIZADO, COM ROSCA BSP, DE 1/2"</t>
  </si>
  <si>
    <t>COTOVELO 45 GRAUS DE FERRO GALVANIZADO, COM ROSCA BSP, DE 2 1/2"</t>
  </si>
  <si>
    <t>COTOVELO 45 GRAUS DE FERRO GALVANIZADO, COM ROSCA BSP, DE 2"</t>
  </si>
  <si>
    <t>COTOVELO 45 GRAUS DE FERRO GALVANIZADO, COM ROSCA BSP, DE 3"</t>
  </si>
  <si>
    <t>COTOVELO 45 GRAUS DE FERRO GALVANIZADO, COM ROSCA BSP, DE 3/4"</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</si>
  <si>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</si>
  <si>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</si>
  <si>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</si>
  <si>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</si>
  <si>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</si>
  <si>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</si>
  <si>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</si>
  <si>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</si>
  <si>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t>
  </si>
  <si>
    <t>COTOVELO 90 GRAUS DE FERRO GALVANIZADO, COM ROSCA BSP MACHO/FEMEA, DE 1/2"</t>
  </si>
  <si>
    <t>COTOVELO 90 GRAUS DE FERRO GALVANIZADO, COM ROSCA BSP MACHO/FEMEA, DE 2 1/2"</t>
  </si>
  <si>
    <t>COTOVELO 90 GRAUS DE FERRO GALVANIZADO, COM ROSCA BSP MACHO/FEMEA, DE 2"</t>
  </si>
  <si>
    <t>COTOVELO 90 GRAUS DE FERRO GALVANIZADO, COM ROSCA BSP MACHO/FEMEA, DE 3"</t>
  </si>
  <si>
    <t>COTOVELO 90 GRAUS DE FERRO GALVANIZADO, COM ROSCA BSP MACHO/FEMEA, DE 3/4"</t>
  </si>
  <si>
    <t>COTOVELO 90 GRAUS DE FERRO GALVANIZADO, COM ROSCA BSP, DE 1 1/2"</t>
  </si>
  <si>
    <t>COTOVELO 90 GRAUS DE FERRO GALVANIZADO, COM ROSCA BSP, DE 1 1/4"</t>
  </si>
  <si>
    <t>COTOVELO 90 GRAUS DE FERRO GALVANIZADO, COM ROSCA BSP, DE 1"</t>
  </si>
  <si>
    <t>COTOVELO 90 GRAUS DE FERRO GALVANIZADO, COM ROSCA BSP, DE 1/2"</t>
  </si>
  <si>
    <t>COTOVELO 90 GRAUS DE FERRO GALVANIZADO, COM ROSCA BSP, DE 2 1/2"</t>
  </si>
  <si>
    <t>COTOVELO 90 GRAUS DE FERRO GALVANIZADO, COM ROSCA BSP, DE 2"</t>
  </si>
  <si>
    <t>COTOVELO 90 GRAUS DE FERRO GALVANIZADO, COM ROSCA BSP, DE 3"</t>
  </si>
  <si>
    <t>COTOVELO 90 GRAUS DE FERRO GALVANIZADO, COM ROSCA BSP, DE 3/4"</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</si>
  <si>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</si>
  <si>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</si>
  <si>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</si>
  <si>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</si>
  <si>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</si>
  <si>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</si>
  <si>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</si>
  <si>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</si>
  <si>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 BRONZE/LATAO SEM ANEL DE SOLDA, BOLSA X ROSCA F, 15MM X 1/2"</t>
  </si>
  <si>
    <t>COTOVELO BRONZE/LATAO SEM ANEL DE SOLDA, BOLSA X ROSCA F, 22MM X 1/2"</t>
  </si>
  <si>
    <t>COTOVELO BRONZE/LATAO SEM ANEL DE SOLDA, BOLSA X ROSCA F, 22MM X 3/4"</t>
  </si>
  <si>
    <t>COTOVELO DE COBRE 90 GRAUS SEM ANEL DE SOLDA, BOLSA X BOLSA, 104 MM</t>
  </si>
  <si>
    <t>COTOVELO DE COBRE 90 GRAUS SEM ANEL DE SOLDA, BOLSA X BOLSA, 15 MM</t>
  </si>
  <si>
    <t>COTOVELO DE COBRE 90 GRAUS SEM ANEL DE SOLDA, BOLSA X BOLSA, 22 MM</t>
  </si>
  <si>
    <t>COTOVELO DE COBRE 90 GRAUS SEM ANEL DE SOLDA, BOLSA X BOLSA, 28 MM</t>
  </si>
  <si>
    <t>COTOVELO DE COBRE 90 GRAUS SEM ANEL DE SOLDA, BOLSA X BOLSA, 35 MM</t>
  </si>
  <si>
    <t>COTOVELO DE COBRE 90 GRAUS SEM ANEL DE SOLDA, BOLSA X BOLSA, 42 MM</t>
  </si>
  <si>
    <t>COTOVELO DE COBRE 90 GRAUS SEM ANEL DE SOLDA, BOLSA X BOLSA, 54 MM</t>
  </si>
  <si>
    <t>COTOVELO DE COBRE 90 GRAUS SEM ANEL DE SOLDA, BOLSA X BOLSA, 66 MM</t>
  </si>
  <si>
    <t>COTOVELO DE COBRE 90 GRAUS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</si>
  <si>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</si>
  <si>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</si>
  <si>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</si>
  <si>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</si>
  <si>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</si>
  <si>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</si>
  <si>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</si>
  <si>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</si>
  <si>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COTOVELO/JOELHO 90 GRAUS, EM POLIPROPILENO, PN 16, PARA TUBOS PEAD, 20 X 20 MM - LIGACAO PREDIAL DE AGUA</t>
  </si>
  <si>
    <t>COTOVELO/JOELHO 90 GRAUS, EM POLIPROPILENO, PN 16, PARA TUBOS PEAD, 32 X 32 MM - LIGACAO PREDIAL DE AGUA</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</si>
  <si>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</si>
  <si>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</si>
  <si>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</si>
  <si>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</si>
  <si>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</si>
  <si>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</si>
  <si>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</si>
  <si>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</si>
  <si>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t>
  </si>
  <si>
    <t>CRUZETA DE FERRO GALVANIZADO, COM ROSCA BSP, DE 1/2"</t>
  </si>
  <si>
    <t>CRUZETA DE FERRO GALVANIZADO, COM ROSCA BSP, DE 2 1/2"</t>
  </si>
  <si>
    <t>CRUZETA DE FERRO GALVANIZADO, COM ROSCA BSP, DE 2"</t>
  </si>
  <si>
    <t>CRUZETA DE FERRO GALVANIZADO, COM ROSCA BSP, DE 3"</t>
  </si>
  <si>
    <t>CRUZETA DE FERRO GALVANIZADO, COM ROSCA BSP, DE 3/4"</t>
  </si>
  <si>
    <t>CRUZETA DE MADEIRA TRATADA, *90 X 115 X 2400* MM, EM EUCALIPTO OU EQUIVALENTE DA REGIAO</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</si>
  <si>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</si>
  <si>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</si>
  <si>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</si>
  <si>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</si>
  <si>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</si>
  <si>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</si>
  <si>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</si>
  <si>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135 GRAUS PARA ELETRODUTO, EM ACO GALVANIZADO ELETROLITICO, COM ROSCA, DIAMETRO DE 100 MM (4")</t>
  </si>
  <si>
    <t>CURVA 135 GRAUS PARA ELETRODUTO, EM ACO GALVANIZADO ELETROLITICO, COM ROSCA, DIAMETRO DE 15 MM (1/2"), ESPESSURA DE 1,50 MM</t>
  </si>
  <si>
    <t>CURVA 135 GRAUS PARA ELETRODUTO, EM ACO GALVANIZADO ELETROLITICO, COM ROSCA, DIAMETRO DE 20 MM (3/4"), ESPESSURA DE 1,50 MM</t>
  </si>
  <si>
    <t>CURVA 135 GRAUS PARA ELETRODUTO, EM ACO GALVANIZADO ELETROLITICO, COM ROSCA, DIAMETRO DE 25 MM (1"), ESPESSURA DE 1,50 MM</t>
  </si>
  <si>
    <t>CURVA 135 GRAUS PARA ELETRODUTO, EM ACO GALVANIZADO ELETROLITICO, COM ROSCA, DIAMETRO DE 32 MM (1 1/4"), ESPESSURA DE 1,50 MM</t>
  </si>
  <si>
    <t>CURVA 135 GRAUS PARA ELETRODUTO, EM ACO GALVANIZADO ELETROLITICO, COM ROSCA, DIAMETRO DE 40 MM (1 1/2"), ESPESSURA DE 1,50 MM</t>
  </si>
  <si>
    <t>CURVA 135 GRAUS PARA ELETRODUTO, EM ACO GALVANIZADO ELETROLITICO, COM ROSCA, DIAMETRO DE 50 MM (2")</t>
  </si>
  <si>
    <t>CURVA 135 GRAUS PARA ELETRODUTO, EM ACO GALVANIZADO ELETROLITICO, COM ROSCA, DIAMETRO DE 65 MM (2 1/2")</t>
  </si>
  <si>
    <t>CURVA 135 GRAUS PARA ELETRODUTO, EM ACO GALVANIZADO ELETROLITICO, COM ROSCA, DIAMETRO DE 80 MM (3")</t>
  </si>
  <si>
    <t>CURVA 135 GRAUS, DE PVC RIGIDO ROSCAVEL, DE 1", PARA ELETRODUTO</t>
  </si>
  <si>
    <t>CURVA 135 GRAUS, DE PVC RIGIDO ROSCAVEL, DE 3/4", PARA ELETRODUTO</t>
  </si>
  <si>
    <t>CURVA 180 GRAUS, DE PVC RIGIDO ROSCAVEL, DE 1 1/2", PARA ELETRODUTO</t>
  </si>
  <si>
    <t>CURVA 180 GRAUS, DE PVC RIGIDO ROSCAVEL, DE 1 1/4", PARA ELETRODUTO</t>
  </si>
  <si>
    <t>CURVA 180 GRAUS, DE PVC RIGIDO ROSCAVEL, DE 1", PARA ELETRODUTO</t>
  </si>
  <si>
    <t>CURVA 180 GRAUS, DE PVC RIGIDO ROSCAVEL, DE 1/2", PARA ELETRODUTO</t>
  </si>
  <si>
    <t>CURVA 180 GRAUS, DE PVC RIGIDO ROSCAVEL, DE 2", PARA ELETRODUTO</t>
  </si>
  <si>
    <t>CURVA 180 GRAUS, DE PVC RIGIDO ROSCAVEL, DE 3/4", PARA ELETRODUTO</t>
  </si>
  <si>
    <t>CURVA 45 GRAUS DE COBRE SEM ANEL DE SOLDA, BOLSA X BOLSA, 15 MM</t>
  </si>
  <si>
    <t>CURVA 45 GRAUS DE COBRE SEM ANEL DE SOLDA, BOLSA X BOLSA, 22 MM</t>
  </si>
  <si>
    <t>CURVA 45 GRAUS DE COBRE SEM ANEL DE SOLDA, BOLSA X BOLSA, 28 MM</t>
  </si>
  <si>
    <t>CURVA 45 GRAUS DE COBRE SEM ANEL DE SOLDA, BOLSA X BOLSA, 35 MM</t>
  </si>
  <si>
    <t>CURVA 45 GRAUS DE COBRE SEM ANEL DE SOLDA, BOLSA X BOLSA, 42 MM</t>
  </si>
  <si>
    <t>CURVA 45 GRAUS DE COBRE SEM ANEL DE SOLDA, BOLSA X BOLSA, 54 MM</t>
  </si>
  <si>
    <t>CURVA 45 GRAUS DE COBRE SEM ANEL DE SOLDA, BOLSA X BOLSA, 66 MM</t>
  </si>
  <si>
    <t>CURVA 45 GRAUS DE FERRO GALVANIZADO, COM ROSCA BSP FEMEA, DE 1 1/2"</t>
  </si>
  <si>
    <t>CURVA 45 GRAUS DE FERRO GALVANIZADO, COM ROSCA BSP FEMEA, DE 1 1/4"</t>
  </si>
  <si>
    <t>CURVA 45 GRAUS DE FERRO GALVANIZADO, COM ROSCA BSP FEMEA, DE 1"</t>
  </si>
  <si>
    <t>CURVA 45 GRAUS DE FERRO GALVANIZADO, COM ROSCA BSP FEMEA, DE 1/2"</t>
  </si>
  <si>
    <t>CURVA 45 GRAUS DE FERRO GALVANIZADO, COM ROSCA BSP FEMEA, DE 2 1/2"</t>
  </si>
  <si>
    <t>CURVA 45 GRAUS DE FERRO GALVANIZADO, COM ROSCA BSP FEMEA, DE 2"</t>
  </si>
  <si>
    <t>CURVA 45 GRAUS DE FERRO GALVANIZADO, COM ROSCA BSP FEMEA, DE 3"</t>
  </si>
  <si>
    <t>CURVA 45 GRAUS DE FERRO GALVANIZADO, COM ROSCA BSP FEMEA, DE 3/4"</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</si>
  <si>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</si>
  <si>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</si>
  <si>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</si>
  <si>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t>
  </si>
  <si>
    <t>CURVA 45 GRAUS DE FERRO GALVANIZADO, COM ROSCA BSP MACHO/FEMEA, DE 1/2"</t>
  </si>
  <si>
    <t>CURVA 45 GRAUS DE FERRO GALVANIZADO, COM ROSCA BSP MACHO/FEMEA, DE 2 1/2"</t>
  </si>
  <si>
    <t>CURVA 45 GRAUS DE FERRO GALVANIZADO, COM ROSCA BSP MACHO/FEMEA, DE 2"</t>
  </si>
  <si>
    <t>CURVA 45 GRAUS DE FERRO GALVANIZADO, COM ROSCA BSP MACHO/FEMEA, DE 3"</t>
  </si>
  <si>
    <t>CURVA 45 GRAUS DE FERRO GALVANIZADO, COM ROSCA BSP MACHO/FEMEA, DE 3/4"</t>
  </si>
  <si>
    <t>CURVA 45 GRAUS EM ACO CARBONO, SOLDAVEL, PRESSAO 3.000 LBS, DN 1 1/2"</t>
  </si>
  <si>
    <t>CURVA 45 GRAUS EM ACO CARBONO, SOLDAVEL, PRESSAO 3.000 LBS, DN 1 1/4"</t>
  </si>
  <si>
    <t>CURVA 45 GRAUS EM ACO CARBONO, SOLDAVEL, PRESSAO 3.000 LBS, DN 1"</t>
  </si>
  <si>
    <t>CURVA 45 GRAUS EM ACO CARBONO, SOLDAVEL, PRESSAO 3.000 LBS, DN 1/2"</t>
  </si>
  <si>
    <t>CURVA 45 GRAUS EM ACO CARBONO, SOLDAVEL, PRESSAO 3.000 LBS, DN 2 1/2"</t>
  </si>
  <si>
    <t>CURVA 45 GRAUS EM ACO CARBONO, SOLDAVEL, PRESSAO 3.000 LBS, DN 2"</t>
  </si>
  <si>
    <t>CURVA 45 GRAUS EM ACO CARBONO, SOLDAVEL, PRESSAO 3.000 LBS, DN 3"</t>
  </si>
  <si>
    <t>CURVA 45 GRAUS EM ACO CARBONO, SOLDAVEL, PRESSAO 3.000 LBS, DN 3/4"</t>
  </si>
  <si>
    <t>CURVA 45 GRAUS PARA ELETRODUTO, EM ACO GALVANIZADO ELETROLITICO, COM ROSCA, DIAMETRO DE 20 MM (3/4"), ESPESSURA DE 1,50 MM</t>
  </si>
  <si>
    <t>CURVA 45 GRAUS PARA ELETRODUTO, EM ACO GALVANIZADO ELETROLITICO, COM ROSCA, DIAMETRO DE 25 MM (1"), ESPESSURA DE 1,50 MM</t>
  </si>
  <si>
    <t>CURVA 45 GRAUS PARA ELETRODUTO, EM ACO GALVANIZADO ELETROLITICO, COM ROSCA, DIAMETRO DE 40 MM (1 1/2"), ESPESSURA DE 1,50 MM</t>
  </si>
  <si>
    <t>CURVA 45 GRAUS RANHURADA EM FERRO FUNDIDO, DN 50 MM (2")</t>
  </si>
  <si>
    <t>CURVA 45 GRAUS RANHURADA EM FERRO FUNDIDO, DN 65 MM (2 1/2")</t>
  </si>
  <si>
    <t>CURVA 45 GRAUS RANHURADA EM FERRO FUNDIDO, DN 80 MM (3")</t>
  </si>
  <si>
    <t>CURVA 90 GRAUS DE BARRA CHATA EM ALUMINIO 3/4" X 1/4" X 300 MM</t>
  </si>
  <si>
    <t>CURVA 90 GRAUS DE FERRO GALVANIZADO, COM ROSCA BSP FEMEA, DE 1 1/2"</t>
  </si>
  <si>
    <t>CURVA 90 GRAUS DE FERRO GALVANIZADO, COM ROSCA BSP FEMEA, DE 1 1/4"</t>
  </si>
  <si>
    <t>CURVA 90 GRAUS DE FERRO GALVANIZADO, COM ROSCA BSP FEMEA, DE 1"</t>
  </si>
  <si>
    <t>CURVA 90 GRAUS DE FERRO GALVANIZADO, COM ROSCA BSP FEMEA, DE 1/2"</t>
  </si>
  <si>
    <t>CURVA 90 GRAUS DE FERRO GALVANIZADO, COM ROSCA BSP FEMEA, DE 2 1/2"</t>
  </si>
  <si>
    <t>CURVA 90 GRAUS DE FERRO GALVANIZADO, COM ROSCA BSP FEMEA, DE 2"</t>
  </si>
  <si>
    <t>CURVA 90 GRAUS DE FERRO GALVANIZADO, COM ROSCA BSP FEMEA, DE 3"</t>
  </si>
  <si>
    <t>CURVA 90 GRAUS DE FERRO GALVANIZADO, COM ROSCA BSP FEMEA, DE 3/4"</t>
  </si>
  <si>
    <t>CURVA 90 GRAUS DE FERRO GALVANIZADO, COM ROSCA BSP FEMEA, DE 4"</t>
  </si>
  <si>
    <t>CURVA 90 GRAUS DE FERRO GALVANIZADO, COM ROSCA BSP MACHO, DE 1 1/2"</t>
  </si>
  <si>
    <t>CURVA 90 GRAUS DE FERRO GALVANIZADO, COM ROSCA BSP MACHO, DE 1 1/4"</t>
  </si>
  <si>
    <t>CURVA 90 GRAUS DE FERRO GALVANIZADO, COM ROSCA BSP MACHO, DE 1"</t>
  </si>
  <si>
    <t>CURVA 90 GRAUS DE FERRO GALVANIZADO, COM ROSCA BSP MACHO, DE 1/2"</t>
  </si>
  <si>
    <t>CURVA 90 GRAUS DE FERRO GALVANIZADO, COM ROSCA BSP MACHO, DE 2 1/2"</t>
  </si>
  <si>
    <t>CURVA 90 GRAUS DE FERRO GALVANIZADO, COM ROSCA BSP MACHO, DE 2"</t>
  </si>
  <si>
    <t>CURVA 90 GRAUS DE FERRO GALVANIZADO, COM ROSCA BSP MACHO, DE 3"</t>
  </si>
  <si>
    <t>CURVA 90 GRAUS DE FERRO GALVANIZADO, COM ROSCA BSP MACHO, DE 3/4"</t>
  </si>
  <si>
    <t>CURVA 90 GRAUS DE FERRO GALVANIZADO, COM ROSCA BSP MACHO, DE 4"</t>
  </si>
  <si>
    <t>CURVA 90 GRAUS DE FERRO GALVANIZADO, COM ROSCA BSP MACHO, DE 6"</t>
  </si>
  <si>
    <t>CURVA 90 GRAUS DE FERRO GALVANIZADO, COM ROSCA BSP MACHO/FEMEA, DE 1 1/2"</t>
  </si>
  <si>
    <t>CURVA 90 GRAUS DE FERRO GALVANIZADO, COM ROSCA BSP MACHO/FEMEA, DE 1 1/4"</t>
  </si>
  <si>
    <t>CURVA 90 GRAUS DE FERRO GALVANIZADO, COM ROSCA BSP MACHO/FEMEA, DE 1"</t>
  </si>
  <si>
    <t>CURVA 90 GRAUS DE FERRO GALVANIZADO, COM ROSCA BSP MACHO/FEMEA, DE 1/2"</t>
  </si>
  <si>
    <t>CURVA 90 GRAUS DE FERRO GALVANIZADO, COM ROSCA BSP MACHO/FEMEA, DE 2 1/2"</t>
  </si>
  <si>
    <t>CURVA 90 GRAUS DE FERRO GALVANIZADO, COM ROSCA BSP MACHO/FEMEA, DE 2"</t>
  </si>
  <si>
    <t>CURVA 90 GRAUS DE FERRO GALVANIZADO, COM ROSCA BSP MACHO/FEMEA, DE 3"</t>
  </si>
  <si>
    <t>CURVA 90 GRAUS DE FERRO GALVANIZADO, COM ROSCA BSP MACHO/FEMEA, DE 3/4"</t>
  </si>
  <si>
    <t>CURVA 90 GRAUS DE FERRO GALVANIZADO, COM ROSCA BSP MACHO/FEMEA, DE 4"</t>
  </si>
  <si>
    <t>CURVA 90 GRAUS EM ACO CARBONO, RAIO CURTO, SOLDAVEL, PRESSAO 3.000 LBS, DN 1 1/2"</t>
  </si>
  <si>
    <t>CURVA 90 GRAUS EM ACO CARBONO, RAIO CURTO, SOLDAVEL, PRESSAO 3.000 LBS, DN 1 1/4"</t>
  </si>
  <si>
    <t>CURVA 90 GRAUS EM ACO CARBONO, RAIO CURTO, SOLDAVEL, PRESSAO 3.000 LBS, DN 1"</t>
  </si>
  <si>
    <t>CURVA 90 GRAUS EM ACO CARBONO, RAIO CURTO, SOLDAVEL, PRESSAO 3.000 LBS, DN 1/2"</t>
  </si>
  <si>
    <t>CURVA 90 GRAUS EM ACO CARBONO, RAIO CURTO, SOLDAVEL, PRESSAO 3.000 LBS, DN 2 1/2"</t>
  </si>
  <si>
    <t>CURVA 90 GRAUS EM ACO CARBONO, RAIO CURTO, SOLDAVEL, PRESSAO 3.000 LBS, DN 2"</t>
  </si>
  <si>
    <t>CURVA 90 GRAUS EM ACO CARBONO, RAIO CURTO, SOLDAVEL, PRESSAO 3.000 LBS, DN 3"</t>
  </si>
  <si>
    <t>CURVA 90 GRAUS EM ACO CARBONO, RAIO CURTO, SOLDAVEL, PRESSAO 3.000 LBS, DN 3/4"</t>
  </si>
  <si>
    <t>CURVA 90 GRAUS PARA ELETRODUTO, EM ACO GALVANIZADO ELETROLITICO, COM ROSCA, DIAMETRO DE 100 MM (4")</t>
  </si>
  <si>
    <t>CURVA 90 GRAUS PARA ELETRODUTO, EM ACO GALVANIZADO ELETROLITICO, COM ROSCA, DIAMETRO DE 15 MM (1/2"), ESPESSURA DE 1,50 MM</t>
  </si>
  <si>
    <t>CURVA 90 GRAUS PARA ELETRODUTO, EM ACO GALVANIZADO ELETROLITICO, COM ROSCA, DIAMETRO DE 20 MM (3/4"), ESPESSURA DE 1,50 MM</t>
  </si>
  <si>
    <t>CURVA 90 GRAUS PARA ELETRODUTO, EM ACO GALVANIZADO ELETROLITICO, COM ROSCA, DIAMETRO DE 25 MM (1"), ESPESSURA DE 1,50 MM</t>
  </si>
  <si>
    <t>CURVA 90 GRAUS PARA ELETRODUTO, EM ACO GALVANIZADO ELETROLITICO, COM ROSCA, DIAMETRO DE 32 MM (1 1/4"), ESPESSURA DE 1,50 MM</t>
  </si>
  <si>
    <t>CURVA 90 GRAUS PARA ELETRODUTO, EM ACO GALVANIZADO ELETROLITICO, COM ROSCA, DIAMETRO DE 40 MM (1 1/2"), ESPESSURA DE 1,50 MM</t>
  </si>
  <si>
    <t>CURVA 90 GRAUS PARA ELETRODUTO, EM ACO GALVANIZADO ELETROLITICO, COM ROSCA, DIAMETRO DE 50 MM (2")</t>
  </si>
  <si>
    <t>CURVA 90 GRAUS PARA ELETRODUTO, EM ACO GALVANIZADO ELETROLITICO, COM ROSCA, DIAMETRO DE 65 MM (2 1/2")</t>
  </si>
  <si>
    <t>CURVA 90 GRAUS PARA ELETRODUTO, EM ACO GALVANIZADO ELETROLITICO, COM ROSCA, DIAMETRO DE 80 MM (3")</t>
  </si>
  <si>
    <t>CURVA 90 GRAUS RANHURADA EM FERRO FUNDIDO, DN 50 MM (2")</t>
  </si>
  <si>
    <t>CURVA 90 GRAUS RANHURADA EM FERRO FUNDIDO, DN 65 MM (2 1/2")</t>
  </si>
  <si>
    <t>CURVA 90 GRAUS RANHURADA EM FERRO FUNDIDO, DN 80 MM (3")</t>
  </si>
  <si>
    <t>CURVA 90 GRAUS, CURTA, DE PVC RIGIDO ROSCAVEL, DE 1", PARA ELETRODUTO</t>
  </si>
  <si>
    <t>CURVA 90 GRAUS, CURTA, DE PVC RIGIDO ROSCAVEL, DE 1/2",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</si>
  <si>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</si>
  <si>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</si>
  <si>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</si>
  <si>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 PARA ELETRODUTO</t>
  </si>
  <si>
    <t>CURVA 90 GRAUS, LONGA, DE PVC RIGIDO ROSCAVEL, DE 1/2", PARA ELETRODUTO</t>
  </si>
  <si>
    <t>CURVA 90 GRAUS, LONGA, DE PVC RIGIDO ROSCAVEL, DE 2 1/2", PARA ELETRODUTO</t>
  </si>
  <si>
    <t>CURVA 90 GRAUS, LONGA, DE PVC RIGIDO ROSCAVEL, DE 2", PARA ELETRODUTO</t>
  </si>
  <si>
    <t>CURVA 90 GRAUS, LONGA, DE PVC RIGIDO ROSCAVEL, DE 3", PARA ELETRODUTO</t>
  </si>
  <si>
    <t>CURVA 90 GRAUS, LONGA, DE PVC RIGIDO ROSCAVEL, DE 3/4", PARA ELETRODUTO</t>
  </si>
  <si>
    <t>CURVA 90 GRAUS, LONGA, DE PVC RIGIDO ROSCAVEL, DE 4", PARA ELETRODUTO</t>
  </si>
  <si>
    <t>CURVA CPVC, 90 GRAUS, SOLDAVEL, 15 MM, PARA AGUA QUENTE</t>
  </si>
  <si>
    <t>CURVA CPVC, 90 GRAUS, SOLDAVEL, 22 MM, PARA AGUA QUENTE</t>
  </si>
  <si>
    <t>CURVA CPVC, 90 GRAUS, SOLDAVEL, 28 MM, PARA AGUA QUENTE</t>
  </si>
  <si>
    <t>CURVA DE PVC 45 GRAUS, SOLDAVEL, 20 MM, COR MARROM, PARA AGUA FRIA PREDIAL</t>
  </si>
  <si>
    <t>CURVA DE PVC 45 GRAUS, SOLDAVEL, 25 MM, COR MARROM, PARA AGUA FRIA PREDIAL</t>
  </si>
  <si>
    <t>CURVA DE PVC 45 GRAUS, SOLDAVEL, 32 MM, COR MARROM, PARA AGUA FRIA PREDIAL</t>
  </si>
  <si>
    <t>CURVA DE PVC 45 GRAUS, SOLDAVEL, 40 MM, COR MARROM, PARA AGUA FRIA PREDIAL</t>
  </si>
  <si>
    <t>CURVA DE PVC 45 GRAUS, SOLDAVEL, 50 MM, COR MARROM, PARA AGUA FRIA PREDIAL</t>
  </si>
  <si>
    <t>CURVA DE PVC 45 GRAUS, SOLDAVEL, 60 MM, COR MARROM, PARA AGUA FRIA PREDIAL</t>
  </si>
  <si>
    <t>CURVA DE PVC 45 GRAUS, SOLDAVEL, 75 MM, COR MARROM, PARA AGUA FRIA PREDIAL</t>
  </si>
  <si>
    <t>CURVA DE PVC 45 GRAUS, SOLDAVEL, 85 MM, COR MARROM, PARA AGUA FRIA PREDIAL</t>
  </si>
  <si>
    <t>CURVA DE PVC 90 GRAUS, SOLDAVEL, 110 MM, COR MARROM, PARA AGUA FRIA PREDIAL</t>
  </si>
  <si>
    <t>CURVA DE PVC 90 GRAUS, SOLDAVEL, 20 MM, COR MARROM, PARA AGUA FRIA PREDIAL</t>
  </si>
  <si>
    <t>CURVA DE PVC 90 GRAUS, SOLDAVEL, 25 MM, COR MARROM, PARA AGUA FRIA PREDIAL</t>
  </si>
  <si>
    <t>CURVA DE PVC 90 GRAUS, SOLDAVEL, 32 MM, COR MARROM, PARA AGUA FRIA PREDIAL</t>
  </si>
  <si>
    <t>CURVA DE PVC 90 GRAUS, SOLDAVEL, 40 MM, COR MARROM, PARA AGUA FRIA PREDIAL</t>
  </si>
  <si>
    <t>CURVA DE PVC 90 GRAUS, SOLDAVEL, 50 MM, COR MARROM, PARA AGUA FRIA PREDIAL</t>
  </si>
  <si>
    <t>CURVA DE PVC 90 GRAUS, SOLDAVEL, 60 MM, COR MARROM, PARA AGUA FRIA PREDIAL</t>
  </si>
  <si>
    <t>CURVA DE PVC 90 GRAUS, SOLDAVEL, 75 MM, COR MARROM, PARA AGUA FRIA PREDIAL</t>
  </si>
  <si>
    <t>CURVA DE PVC 90 GRAUS, SOLDAVEL, 85 MM, COR MARROM, PARA AGUA FRIA PREDIAL</t>
  </si>
  <si>
    <t>CURVA DE PVC, 90 GRAUS, SERIE R, DN 100 MM, PARA ESGOTO PREDIAL</t>
  </si>
  <si>
    <t>CURVA DE TRANSPOSICAO BRONZE/LATAO SEM ANEL DE SOLDA, BOLSA X BOLSA, 15 MM</t>
  </si>
  <si>
    <t>CURVA DE TRANSPOSICAO BRONZE/LATAO SEM ANEL DE SOLDA, BOLSA X BOLSA, 22 MM</t>
  </si>
  <si>
    <t>CURVA DE TRANSPOSICAO BRONZE/LATAO SEM ANEL DE SOLDA, BOLSA X BOLSA, 28 MM</t>
  </si>
  <si>
    <t>CURVA DE TRANSPOSICAO, CPVC, SOLDAVEL, 15 MM</t>
  </si>
  <si>
    <t>CURVA DE TRANSPOSICAO, CPVC, SOLDAVEL, 22 MM</t>
  </si>
  <si>
    <t>CURVA DE TRANSPOSICAO, PVC SOLDAVEL, 20 MM, COR MARROM, PARA AGUA FRIA PREDIAL</t>
  </si>
  <si>
    <t>CURVA DE TRANSPOSICAO, PVC, SOLDAVEL, 25 MM, COR MARROM, PARA AGUA FRIA PREDIAL</t>
  </si>
  <si>
    <t>CURVA DE TRANSPOSICAO, PVC, SOLDAVEL, 32 MM, COR MARROM, PARA AGUA FRIA PREDIAL</t>
  </si>
  <si>
    <t>CURVA LONGA PVC, PB, JE, 45 GRAUS, DN 100 MM, PARA REDE COLETORA ESGOTO</t>
  </si>
  <si>
    <t>CURVA LONGA PVC, PB, JE, 45 GRAUS, DN 150 MM, PARA REDE COLETORA ESGOTO</t>
  </si>
  <si>
    <t>CURVA LONGA PVC, PB, JE, 90 GRAUS, DN 100 MM, PARA REDE COLETORA ESGOTO</t>
  </si>
  <si>
    <t>CURVA LONGA PVC, PB, JE, 90 GRAUS, DN 150 MM, PARA REDE COLETORA ESGOTO</t>
  </si>
  <si>
    <t>CURVA PPR 90 GRAUS, F/F, DN 20 MM, PARA AGUA QUENTE PREDIAL</t>
  </si>
  <si>
    <t>CURVA PPR 90 GRAUS, F/F, DN 25 MM, PARA AGUA QUENTE PREDIAL</t>
  </si>
  <si>
    <t>CURVA PVC 90 GRAUS, ROSCAVEL, 1 1/4", COR BRANCA, AGUA FRIA PREDIAL</t>
  </si>
  <si>
    <t>CURVA PVC 90 GRAUS, ROSCAVEL, 1", COR BRANCA, AGUA FRIA PREDIAL</t>
  </si>
  <si>
    <t>CURVA PVC 90 GRAUS, ROSCAVEL, 1/2", COR BRANCA, AGUA FRIA PREDIAL</t>
  </si>
  <si>
    <t>CURVA PVC 90 GRAUS, ROSCAVEL, 3/4", COR BRANCA, AGUA FRIA PREDIAL</t>
  </si>
  <si>
    <t>CURVA PVC CURTA 90 GRAUS, DN 100 MM, PARA ESGOTO PREDIAL</t>
  </si>
  <si>
    <t>CURVA PVC CURTA 90 GRAUS, DN 40 MM, PARA ESGOTO PREDIAL</t>
  </si>
  <si>
    <t>CURVA PVC CURTA 90 GRAUS, DN 50 MM, PARA ESGOTO PREDIAL</t>
  </si>
  <si>
    <t>CURVA PVC CURTA 90 GRAUS, DN 75 MM, PARA ESGOTO PREDIAL</t>
  </si>
  <si>
    <t>CURVA PVC LONGA 90 GRAUS, DN 100 MM, PARA ESGOTO PREDIAL</t>
  </si>
  <si>
    <t>CURVA PVC LONGA 90 GRAUS, DN 40 MM, PARA ESGOTO PREDIAL</t>
  </si>
  <si>
    <t>CURVA PVC LONGA 90 GRAUS, DN 50 MM, PARA ESGOTO PREDIAL</t>
  </si>
  <si>
    <t>CURVA PVC LONGA 90 GRAUS, DN 75 MM, PARA ESGOTO PREDIAL</t>
  </si>
  <si>
    <t>CURVA PVC PBA, JE, PB, 45 GRAUS, DN 100 / DE 110 MM, PARA REDE DE AGUA</t>
  </si>
  <si>
    <t>CURVA PVC PBA, JE, PB, 45 GRAUS, DN 50 / DE 60 MM, PARA REDE DE AGUA</t>
  </si>
  <si>
    <t>CURVA PVC PBA, JE, PB, 45 GRAUS, DN 75 / DE 85 MM, PARA REDE DE AGUA</t>
  </si>
  <si>
    <t>CURVA PVC PBA, JE, PB, 90 GRAUS, DN 100 / DE 110 MM, PARA REDE DE AGUA</t>
  </si>
  <si>
    <t>CURVA PVC PBA, JE, PB, 90 GRAUS, DN 50 / DE 60 MM, PARA REDE DE AGUA</t>
  </si>
  <si>
    <t>CURVA PVC PBA, JE, PB, 90 GRAUS, DN 75 / DE 85 MM, PARA REDE DE AGUA</t>
  </si>
  <si>
    <t>CURVA PVC, BB, JE, 45 GRAUS, DN 250 MM, PARA TUBO CORRUGADO E/OU LISO, REDE COLETORA ESGOTO</t>
  </si>
  <si>
    <t>CURVA PVC, BB, JE, 90 GRAUS, DN 200 MM, PARA TUBO CORRUGADO E/OU LISO, REDE COLETORA ESGOTO</t>
  </si>
  <si>
    <t>CURVA PVC, BB, JE, 90 GRAUS, DN 250 MM, PARA TUBO CORRUGADO E/OU LISO, REDE COLETORA ESGOTO</t>
  </si>
  <si>
    <t>CURVA PVC, SERIE R, 87.30 GRAUS, CURTA, PARA PE-DE-COLUNA, DN 100 MM, PARA ESGOTO PREDIAL</t>
  </si>
  <si>
    <t>CURVA PVC, SERIE R, 87.30 GRAUS, CURTA, PARA PE-DE-COLUNA, DN 150 MM, PARA ESGOTO PREDIAL</t>
  </si>
  <si>
    <t>CURVA PVC, SERIE R, 87.30 GRAUS, CURTA, PARA PE-DE-COLUNA, DN 75 MM, PARA ESGOTO PREDIAL</t>
  </si>
  <si>
    <t>DESEMPENADEIRA DE ACO DENTADA 12 X *25* CM, DENTES 8 X 8 MM, CABO FECHADO DE MADEIRA</t>
  </si>
  <si>
    <t>DESEMPENADEIRA DE ACO LISA 12 X *25* CM COM CABO FECHADO DE MADEIRA</t>
  </si>
  <si>
    <t>DESEMPENADEIRA PLASTICA LISA *14 X 27* CM</t>
  </si>
  <si>
    <t>DESENHISTA PROJETISTA (HORISTA)</t>
  </si>
  <si>
    <t>DESENHISTA PROJETISTA (MENSALISTA)</t>
  </si>
  <si>
    <t>DESINFETANTE PRONTO USO</t>
  </si>
  <si>
    <t>DESMOLDANTE PARA CONCRETO ESTAMPADO</t>
  </si>
  <si>
    <t>DESMOLDANTE PARA FORMAS METALICAS A BASE DE OLEO VEGETAL</t>
  </si>
  <si>
    <t>DESMOLDANTE PROTETOR PARA FORMAS DE MADEIRA, DE BASE OLEOSA EMULSIONADA EM AGUA</t>
  </si>
  <si>
    <t>DETERGENTE NEUTRO USO GERAL, CONCENTRADO</t>
  </si>
  <si>
    <t>DILUENTE AGUARRAS</t>
  </si>
  <si>
    <t>DILUENTE EPOXI</t>
  </si>
  <si>
    <t>DISCO DE BORRACHA PARA LIXADEIRA RIGIDO 7" COM ARRUELA CENTRAL</t>
  </si>
  <si>
    <t>DISCO DE CORTE DIAMANTADO SEGMENTADO DIAMETRO DE 180 MM PARA ESMERILHADEIRA 7"</t>
  </si>
  <si>
    <t>DISCO DE CORTE DIAMANTADO SEGMENTADO PARA CONCRETO/ASFALTO, DIAMETRO DE *350* MM, FURO DE 25,40 MM</t>
  </si>
  <si>
    <t>DISCO DE CORTE DIAMANTADO SEGMENTADO, DIAMETRO DE *110* MM, FURO DE 20 MM</t>
  </si>
  <si>
    <t>DISCO DE CORTE PARA METAL COM DUAS TELAS 12 X 1/8 X 3/4" (300 X 3,2 X 19,05 MM)</t>
  </si>
  <si>
    <t>DISCO DE DESBASTE PARA METAL FERROSO EM GERAL, COM TRES TELAS, 9 X 1/4 X 7/8" (228,6 X 6,4 X 22,2 MM)</t>
  </si>
  <si>
    <t>DISJUNTOR TERMOMAGNETICO AJUSTAVEL, TRIPOLAR DE 100 ATE 250A, CAPACIDADE DE INTERRUPCAO DE 35KA</t>
  </si>
  <si>
    <t>DISJUNTOR TERMOMAGNETICO AJUSTAVEL, TRIPOLAR DE 300 ATE 400A, CAPACIDADE DE INTERRUPCAO DE 35KA</t>
  </si>
  <si>
    <t>DISJUNTOR TERMOMAGNETICO AJUSTAVEL, TRIPOLAR DE 450 ATE 600A, CAPACIDADE DE INTERRUPCAO DE 35KA</t>
  </si>
  <si>
    <t>DISJUNTOR TERMOMAGNETICO PARA TRILHO DIN (IEC), BIPOLAR, 40 - 50 A</t>
  </si>
  <si>
    <t>DISJUNTOR TERMOMAGNETICO PARA TRILHO DIN (IEC), BIPOLAR, 6 - 32 A</t>
  </si>
  <si>
    <t>DISJUNTOR TERMOMAGNETICO PARA TRILHO DIN (IEC), BIPOLAR, 63 A</t>
  </si>
  <si>
    <t>DISJUNTOR TERMOMAGNETICO PARA TRILHO DIN (IEC), MONOPOLAR, 40 - 50 A</t>
  </si>
  <si>
    <t>DISJUNTOR TERMOMAGNETICO PARA TRILHO DIN (IEC), MONOPOLAR, 6 - 32 A</t>
  </si>
  <si>
    <t>DISJUNTOR TERMOMAGNETICO PARA TRILHO DIN (IEC), MONOPOLAR, 63 A</t>
  </si>
  <si>
    <t>DISJUNTOR TERMOMAGNETICO PARA TRILHO DIN (IEC), TRIPOLAR, 10 - 50 A</t>
  </si>
  <si>
    <t>DISJUNTOR TERMOMAGNETICO PARA TRILHO DIN (IEC), TRIPOLAR, 63 A</t>
  </si>
  <si>
    <t>DISJUNTOR TERMOMAGNETICO TRIPOLAR 125 A / 425 V / ICC - 25 KA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</si>
  <si>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</si>
  <si>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</si>
  <si>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</si>
  <si>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</si>
  <si>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</si>
  <si>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 X 400 A / 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</si>
  <si>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</si>
  <si>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</si>
  <si>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</si>
  <si>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</si>
  <si>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NEMA, BIPOLAR 10 ATE 50 A, TENSAO MAXIMA 415 V</t>
  </si>
  <si>
    <t>DISJUNTOR TIPO NEMA, BIPOLAR 60 ATE 100A, TENSAO MAXIMA 415 V</t>
  </si>
  <si>
    <t>DISJUNTOR TIPO NEMA, MONOPOLAR 10 ATE 30A, TENSAO MAXIMA DE 240 V</t>
  </si>
  <si>
    <t>DISJUNTOR TIPO NEMA, MONOPOLAR 35 ATE 50 A, TENSAO MAXIMA DE 240 V</t>
  </si>
  <si>
    <t>DISJUNTOR TIPO NEMA, MONOPOLAR DE 60 ATE 70A,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</si>
  <si>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</si>
  <si>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</si>
  <si>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</si>
  <si>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</si>
  <si>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</si>
  <si>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</si>
  <si>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</si>
  <si>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</si>
  <si>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</si>
  <si>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</si>
  <si>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</si>
  <si>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</si>
  <si>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</si>
  <si>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</si>
  <si>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</si>
  <si>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</si>
  <si>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</si>
  <si>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</si>
  <si>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</si>
  <si>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</si>
  <si>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</si>
  <si>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</si>
  <si>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</si>
  <si>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</si>
  <si>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</si>
  <si>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</si>
  <si>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</si>
  <si>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</si>
  <si>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</si>
  <si>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</si>
  <si>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</si>
  <si>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</si>
  <si>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</si>
  <si>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</si>
  <si>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</si>
  <si>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</si>
  <si>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</si>
  <si>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</si>
  <si>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 PARA INST. AGUA QUENTE/FRIA</t>
  </si>
  <si>
    <t>DISTRIBUIDOR METALICO, COM ROSCA, 2 SAIDAS, DN 3/4" X 1/2", PARA CONEXAO COM ANEL DESLIZANTE EM TUBO PEX PARA INST. AGUA QUENTE/FRIA</t>
  </si>
  <si>
    <t>DISTRIBUIDOR METALICO, COM ROSCA, 3 SAIDAS, DN 1" X 1/2", PARA CONEXAO COM ANEL DESLIZANTE EM TUBO PEX PARA INST. AGUA QUENTE/FRIA</t>
  </si>
  <si>
    <t>DISTRIBUIDOR METALICO, COM ROSCA, 3 SAIDAS, DN 3/4" X 1/2", PARA CONEXAO COM ANEL DESLIZANTE EM TUBO PEX PARA INST. AGUA QUENTE/FRIA</t>
  </si>
  <si>
    <t>DISTRIBUIDOR, PLASTICO, 2 SAIDAS, DN 32 X 16 MM, PARA CONEXAO COM CRIMPAGEM, EM TUBO PEX PARA INST. AGUA QUENTE/FRIA</t>
  </si>
  <si>
    <t>DISTRIBUIDOR, PLASTICO, 2 SAIDAS, DN 32 X 25 MM, PARA CONEXAO COM CRIMPAGEM, EM TUBO PEX PARA INST. AGUA QUENTE/FRIA</t>
  </si>
  <si>
    <t>DISTRIBUIDOR, PLASTICO, 3 SAIDAS, DN 32 X 16 MM, PARA CONEXAO COM CRIMPAGEM, EM TUBO PEX PARA INST. AGUA QUENTE/FRIA</t>
  </si>
  <si>
    <t>DISTRIBUIDOR, PLASTICO, 3 SAIDAS, DN 32 X 25 MM, PARA CONEXAO COM CRIMPAGEM, EM TUBO PEX PARA INST. AGUA QUENTE/FRIA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</si>
  <si>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</si>
  <si>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</si>
  <si>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</si>
  <si>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</si>
  <si>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</si>
  <si>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</si>
  <si>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</si>
  <si>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</si>
  <si>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TIPO VAI-E-VEM EM ACO/FERRO, TAMANHO 3", GALVANIZADO, COM PARAFUSOS</t>
  </si>
  <si>
    <t>DOMOS / CLARABOIA INDIVIDUAL, EM ACRILICO BRANCO/LEITOSO, *95 X 95* CM, INCLUI ACESSORIOS DE FIXACAO, SEM INSTALACAO</t>
  </si>
  <si>
    <t>DOSADOR DE AREIA, CAPACIDADE DE *26* LITROS</t>
  </si>
  <si>
    <t>DUCHA / CHUVEIRO METALICO, DE PAREDE, ARTICULAVEL, COM BRACO/CANO, SEM DESVIADOR</t>
  </si>
  <si>
    <t>DUCHA / CHUVEIRO METALICO, DE PAREDE, ARTICULAVEL, COM DESVIADOR E DUCHA MANUAL</t>
  </si>
  <si>
    <t>DUCHA / CHUVEIRO PLASTICO SIMPLES, 5", BRANCO, PARA ACOPLAR EM HASTE 1/2", AGUA FRIA</t>
  </si>
  <si>
    <t>DUCHA HIGIENICA PLASTICA COM REGISTRO METALICO 1/2"</t>
  </si>
  <si>
    <t>DUMPER COM CAPACIDADE DE CARGA DE 1700 KG, PARTIDA ELETRICA, MOTOR DIESEL COM POTENCIA DE 16 CV</t>
  </si>
  <si>
    <t>ELEMENTO VAZADO CERAMICO DIAGONAL (TIPO FLOR/QUADRADO/XIS) DE *7 X 18 X 25* CM (L X A X C)</t>
  </si>
  <si>
    <t>ELEMENTO VAZADO CERAMICO QUADRADO (TIPO RETO OU REDONDO) DE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</si>
  <si>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</si>
  <si>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</si>
  <si>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</si>
  <si>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</si>
  <si>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</si>
  <si>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</si>
  <si>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</si>
  <si>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</si>
  <si>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</si>
  <si>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</si>
  <si>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</si>
  <si>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(HORISTA)</t>
  </si>
  <si>
    <t>ELETRICISTA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</si>
  <si>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</si>
  <si>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</si>
  <si>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</si>
  <si>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</si>
  <si>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</si>
  <si>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</si>
  <si>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</si>
  <si>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</si>
  <si>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</si>
  <si>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</si>
  <si>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EM ACO GALVANIZADO ELETROLITICO, LEVE, DIAMETRO 3/4", PAREDE DE 0,90 MM</t>
  </si>
  <si>
    <t>ELETRODUTO FLEXIVEL PLANO EM PEAD, COR PRETA E LARANJA, DIAMETRO 25 MM</t>
  </si>
  <si>
    <t>ELETRODUTO FLEXIVEL PLANO EM PEAD, COR PRETA E LARANJA, DIAMETRO 32 MM</t>
  </si>
  <si>
    <t>ELETRODUTO FLEXIVEL PLANO EM PEAD, COR PRETA E LARANJA, DIAMETRO 40 MM</t>
  </si>
  <si>
    <t>ELETRODUTO FLEXIVEL, EM FITA DE ACO GALVANIZADO, REVESTIDO COM PVC PRETO, DIAMETRO EXTERNO DE 15 MM, DN = 3/8", TIPO SEALTUBO</t>
  </si>
  <si>
    <t>ELETRODUTO FLEXIVEL, EM FITA DE ACO GALVANIZADO, REVESTIDO COM PVC PRETO, DIAMETRO EXTERNO DE 25 MM, DN = 3/4", TIPO SEALTUBO</t>
  </si>
  <si>
    <t>ELETRODUTO FLEXIVEL, EM FITA DE ACO GALVANIZADO, REVESTIDO COM PVC PRETO, DIAMETRO EXTERNO DE 32 MM, DN = 1", TIPO SEALTUBO</t>
  </si>
  <si>
    <t>ELETRODUTO FLEXIVEL, EM FITA DE ACO GALVANIZADO, REVESTIDO COM PVC PRETO, DIAMETRO EXTERNO DE 40 MM, DN = 1 1/4", TIPO SEALTUBO</t>
  </si>
  <si>
    <t>ELETRODUTO FLEXIVEL, EM FITA DE ACO GALVANIZADO, REVESTIDO COM PVC PRETO, DIAMETRO EXTERNO DE 50 MM, DN = 1 1/2", TIPO SEALTUBO</t>
  </si>
  <si>
    <t>ELETRODUTO FLEXIVEL, EM FITA DE ACO GALVANIZADO, REVESTIDO COM PVC PRETO, DIAMETRO EXTERNO DE 60 MM, DN = 2", TIPO SEALTUBO</t>
  </si>
  <si>
    <t>ELETRODUTO FLEXIVEL, EM FITA DE ACO GALVANIZADO, REVESTIDO COM PVC PRETO, DIAMETRO EXTERNO DE 75 MM, DN = 2 1/2", TIPO SEALTUBO</t>
  </si>
  <si>
    <t>ELETRODUTO FLEXIVEL, EM FITA DE ACO GALVANIZADO, SEM REVESTIMENTO, DIAMETRO NOMINAL 1 1/2"</t>
  </si>
  <si>
    <t>ELETRODUTO FLEXIVEL, EM FITA DE ACO GALVANIZADO, SEM REVESTIMENTO, DIAMETRO NOMINAL 1 1/4"</t>
  </si>
  <si>
    <t>ELETRODUTO FLEXIVEL, EM FITA DE ACO GALVANIZADO, SEM REVESTIMENTO, DIAMETRO NOMINAL 1"</t>
  </si>
  <si>
    <t>ELETRODUTO FLEXIVEL, EM FITA DE ACO GALVANIZADO, SEM REVESTIMENTO, DIAMETRO NOMINAL 1/2"</t>
  </si>
  <si>
    <t>ELETRODUTO FLEXIVEL, EM FITA DE ACO GALVANIZADO, SEM REVESTIMENTO, DIAMETRO NOMINAL 2 1/2"</t>
  </si>
  <si>
    <t>ELETRODUTO FLEXIVEL, EM FITA DE ACO GALVANIZADO, SEM REVESTIMENTO, DIAMETRO NOMINAL 2"</t>
  </si>
  <si>
    <t>ELETRODUTO FLEXIVEL, EM FITA DE ACO GALVANIZADO, SEM REVESTIMENTO, DIAMETRO NOMINAL 3"</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</si>
  <si>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</si>
  <si>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</si>
  <si>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</si>
  <si>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</si>
  <si>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</si>
  <si>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</si>
  <si>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</si>
  <si>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 PARA INSTALACOES APARENTES (NBR 5410)</t>
  </si>
  <si>
    <t>ELETRODUTO/CONDULETE DE PVC RIGIDO, LISO, COR CINZA, DE 1/2", PARA INSTALACOES APARENTES (NBR 5410)</t>
  </si>
  <si>
    <t>ELETRODUTO/CONDULETE DE PVC RIGIDO, LISO, COR CINZA, DE 3/4", PARA INSTALACOES APARENTES (NBR 5410)</t>
  </si>
  <si>
    <t>ELETRODUTO/DUTO PEAD FLEXIVEL PAREDE SIMPLES, CORRUGACAO HELICOIDAL, COR PRETA, SEM ROSCA, DE 1 1/2", CRC 680 N, PARA CABEAMENTO SUBTERRANEO (NBR 15715)</t>
  </si>
  <si>
    <t>ELETRODUTO/DUTO PEAD FLEXIVEL PAREDE SIMPLES, CORRUGACAO HELICOIDAL, COR PRETA, SEM ROSCA, DE 1 1/4", CRC 680 N, PARA CABEAMENTO SUBTERRANEO (NBR 15715)</t>
  </si>
  <si>
    <t>ELETRODUTO/DUTO PEAD FLEXIVEL PAREDE SIMPLES, CORRUGACAO HELICOIDAL, COR PRETA, SEM ROSCA, DE 2", CRC 680 N, PARA CABEAMENTO SUBTERRANEO (NBR 15715)</t>
  </si>
  <si>
    <t>ELETRODUTO/DUTO PEAD FLEXIVEL PAREDE SIMPLES, CORRUGACAO HELICOIDAL, COR PRETA, SEM ROSCA, DE 3", CRC 680 N, PARA CABEAMENTO SUBTERRANEO (NBR 15715)</t>
  </si>
  <si>
    <t>ELETRODUTO/DUTO PEAD FLEXIVEL PAREDE SIMPLES, CORRUGACAO HELICOIDAL, COR PRETA, SEM ROSCA, DE 4", CRC 680 N, PARA CABEAMENTO SUBTERRANEO (NBR 15715)</t>
  </si>
  <si>
    <t>ELETROTECNICO (HORISTA)</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</si>
  <si>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</si>
  <si>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</si>
  <si>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</si>
  <si>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PLUVIAL PREDIAL</t>
  </si>
  <si>
    <t>EMULSAO ASFALTICA ANIONICA</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</si>
  <si>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</si>
  <si>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</si>
  <si>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</si>
  <si>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</si>
  <si>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</si>
  <si>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</si>
  <si>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 (HORISTA)</t>
  </si>
  <si>
    <t>ENCANADOR OU BOMBEIRO HIDRAULICO (MENSALISTA)</t>
  </si>
  <si>
    <t>ENCARREGADO GERAL DE OBRAS (HORISTA)</t>
  </si>
  <si>
    <t>ENCARREGADO GERAL DE OBRAS (MENSALISTA)</t>
  </si>
  <si>
    <t>ENDURECEDOR MINERAL DE BASE CIMENTICIA PARA PISO DE CONCRETO</t>
  </si>
  <si>
    <t>ENERGIA ELETRICA ATE 2000 KWH INDUSTRIAL, SEM DEMANDA</t>
  </si>
  <si>
    <t>ENERGIA ELETRICA COMERCIAL, BAIXA TENSAO, RELATIVA AO CONSUMO DE ATE 100 KWH, INCLUINDO ICMS, PIS/PASEP E COFINS</t>
  </si>
  <si>
    <t>ENGATE / RABICHO FLEXIVEL INOX 1/2" X 30 CM</t>
  </si>
  <si>
    <t>ENGATE / RABICHO FLEXIVEL INOX 1/2" X 40 CM</t>
  </si>
  <si>
    <t>ENGATE/RABICHO FLEXIVEL PLASTICO (PVC OU ABS) BRANCO 1/2" X 30 CM</t>
  </si>
  <si>
    <t>ENGATE/RABICHO FLEXIVEL PLASTICO (PVC OU ABS) BRANCO 1/2" X 40 CM</t>
  </si>
  <si>
    <t>ENGENHEIRO CIVIL DE OBRA JUNIOR (HORISTA)</t>
  </si>
  <si>
    <t>ENGENHEIRO CIVIL DE OBRA JUNIOR (MENSALISTA)</t>
  </si>
  <si>
    <t>ENGENHEIRO CIVIL DE OBRA PLENO (HORISTA)</t>
  </si>
  <si>
    <t>ENGENHEIRO CIVIL DE OBRA PLENO (MENSALISTA)</t>
  </si>
  <si>
    <t>ENGENHEIRO CIVIL DE OBRA SENIOR (HORISTA)</t>
  </si>
  <si>
    <t>ENGENHEIRO CIVIL DE OBRA SENIOR (MENSALISTA)</t>
  </si>
  <si>
    <t>ENXADA ESTREITA, EM ACO, *25 X 23* CM, COM CABO DE MADEIRA DE *150* CM</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</si>
  <si>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</si>
  <si>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</si>
  <si>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</si>
  <si>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</si>
  <si>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</si>
  <si>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</si>
  <si>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</si>
  <si>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</si>
  <si>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</si>
  <si>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</si>
  <si>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</si>
  <si>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</si>
  <si>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</si>
  <si>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</si>
  <si>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</si>
  <si>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</si>
  <si>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</si>
  <si>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</si>
  <si>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</si>
  <si>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</si>
  <si>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</si>
  <si>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</si>
  <si>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</si>
  <si>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</si>
  <si>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</si>
  <si>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 DEMARCACAO DE FAIXAS DE TRAFEGO A QUENTE, A SER MONTADO SOBRE CAMINHAO DE PBT MIN. DE 17 T, DIST. MIN. ENTRE EIXOS 5,2 M, CAPACIDADE PARA 1.000 KG DE MATERIAL TERMOPLASTICO (INCLUI MONTAGEM, NAO INCLUI CAMINHAO, NEM COMPRESSOR DE AR)</t>
  </si>
  <si>
    <t>EQUIPAMENTO PARA DEMARCACAO DE FAIXAS DE TRAFEGO A FRIO, A SER MONTADO SOBRE CAMINHAO DE PBT MINIMO DE 9 T E DISTANCIA MINIMA ENTRE EIXOS DE 4,3 M, CAPACIDADE PARA 800 L DE TINTA (INCLUI MONTAGEM, NAO INCLUI CAMINHAO)</t>
  </si>
  <si>
    <t>ESCADA DUPLA DE ABRIR EM ALUMINIO, COM SAPATAS DE BORRACHA, *2,30* X *0,57* M (ALTURA UTIL X LARGURA MINIMA), MODELO PINTOR, 8 DEGRAUS, CAPACIDADE *100* KG</t>
  </si>
  <si>
    <t>ESCADA EXTENSIVEL EM ALUMINIO, COM SAPATAS DE BORRACHA, ALTURA FECHADA 3,60 M, ALTURA ESTENDIDA DE 6,0 A 6,30 M, LARGURA MINIMA DE 35 CM, CACIDADE *120* KG</t>
  </si>
  <si>
    <t>ESCAVADEIRA HIDRAULICA DE BRACO LONGO (LONGO ALCANCE) SOBRE ESTEIRAS, CACAMBA 0,52 M3, PESO OPERACIONAL 24 T, POTENCIA LIQUIDA 155 HP</t>
  </si>
  <si>
    <t>ESCAVADEIRA HIDRAULICA SOBRE ESTEIRAS COM CACAMBA DE 1,20 M3, PESO OPERACIONAL 21 T, POTENCIA BRUTA 155 HP</t>
  </si>
  <si>
    <t>ESCAVADEIRA HIDRAULICA SOBRE ESTEIRAS, CACAMBA 0,4 A 1,70 M3, PESO OPERACIONAL 23,2 T, POTENCIA BRUTA 183 HP</t>
  </si>
  <si>
    <t>ESCAVADEIRA HIDRAULICA SOBRE ESTEIRAS, CACAMBA 0,62M3, PESO OPERACIONAL 12,61T, POTENCIA LIQUIDA 95HP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</si>
  <si>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</si>
  <si>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</si>
  <si>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</si>
  <si>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</si>
  <si>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</si>
  <si>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</si>
  <si>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</si>
  <si>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</si>
  <si>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</si>
  <si>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</si>
  <si>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</si>
  <si>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</si>
  <si>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</si>
  <si>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</si>
  <si>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</si>
  <si>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</si>
  <si>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OU DISTANCIADOR, EM PLASTICO, TIPO APOIO DE CORDOALHA (CARANGUEJO), PARA ARMADURA NEGATIVA E PROTENSAO, COBRIMENTO 50 MM</t>
  </si>
  <si>
    <t>ESPACADOR/SEPARADOR /CENTRALIZADOR DE BARRA DE ACO, PLASTICO, (CHUMBADOR TIPO CARAMBOLA - CB), DIAMETRO INTERNO ATE 20 MM</t>
  </si>
  <si>
    <t>ESPACADOR/SEPARADOR /CENTRALIZADOR DE BARRA DE ACO, PLASTICO, (CHUMBADOR TIPO CARAMBOLA - CB), DIAMETRO INTERNO ENTRE 25 A 32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</si>
  <si>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</si>
  <si>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</si>
  <si>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</si>
  <si>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PLASTICO LISA, LARGURA *10* CM</t>
  </si>
  <si>
    <t>ESPATULA EM ACO INOX COM CABO DE MADEIRA E LARGURA DE *8*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</si>
  <si>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</si>
  <si>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</si>
  <si>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</si>
  <si>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</si>
  <si>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</si>
  <si>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</si>
  <si>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</si>
  <si>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</si>
  <si>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</si>
  <si>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</si>
  <si>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</si>
  <si>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</si>
  <si>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(300 MM), CABO DE ALUMINIO</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</si>
  <si>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</si>
  <si>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</si>
  <si>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</si>
  <si>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</si>
  <si>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</si>
  <si>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</si>
  <si>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</si>
  <si>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</si>
  <si>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</si>
  <si>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</si>
  <si>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</si>
  <si>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</si>
  <si>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</si>
  <si>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</si>
  <si>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EXAMES - HORISTA (COLETADO CAIXA - ENCARGOS COMPLEMENTARES)</t>
  </si>
  <si>
    <t>EXAMES - MENSALISTA (COLETADO CAIXA - ENCARGOS COMPLEMENTARES)</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</si>
  <si>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</si>
  <si>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</si>
  <si>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</si>
  <si>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</si>
  <si>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</si>
  <si>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</si>
  <si>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</si>
  <si>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t>
  </si>
  <si>
    <t>EXTREMIDADE PVC PBA, BF, JE, DN 75/ DE 85 MM</t>
  </si>
  <si>
    <t>EXTREMIDADE PVC PBA, PF, JE, DN 100 / DE 110 MM</t>
  </si>
  <si>
    <t>EXTREMIDADE PVC PBA, PF, JE, DN 75 / DE 85 MM</t>
  </si>
  <si>
    <t>EXTREMIDADE/TUBETE PARA HIDROMETRO PVC, COM ROSCA, CURTA, COM BUCHA LATAO, 3/4" OU 1/2"</t>
  </si>
  <si>
    <t>FECHADURA AUXILIAR DE SEGURANCA PARA PORTA EXTERNA, EM ACO INOX, BROCA DE 45 A 55 MM, LINGUETA COM 3 AVANCOS, INCLUINDO 2 CHAVES TIPO CILINDRO</t>
  </si>
  <si>
    <t>FECHADURA BICO DE PAPAGAIO PARA PORTA DE CORRER EXTERNA, EM ACO INOX COM ACABAMENTO CROMADO, MAQUINA COM 45 MM, INCLUINDO CHAVE TIPO CILINDRO</t>
  </si>
  <si>
    <t>FECHADURA BICO DE PAPAGAIO PARA PORTA DE CORRER INTERNA, EM ACO INOX COM ACABAMENTO CROMADO, MAQUINA COM 45 MM, INCLUINDO CHAVE TIPO BIPARTIDA</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</si>
  <si>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</si>
  <si>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</si>
  <si>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</si>
  <si>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</si>
  <si>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</si>
  <si>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</si>
  <si>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</si>
  <si>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</si>
  <si>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</si>
  <si>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</si>
  <si>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</si>
  <si>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</si>
  <si>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</si>
  <si>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</si>
  <si>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</si>
  <si>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</si>
  <si>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</si>
  <si>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</si>
  <si>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</si>
  <si>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</si>
  <si>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</si>
  <si>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</si>
  <si>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</si>
  <si>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</si>
  <si>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</si>
  <si>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</si>
  <si>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</si>
  <si>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</si>
  <si>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</si>
  <si>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</si>
  <si>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</si>
  <si>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</si>
  <si>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</si>
  <si>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</si>
  <si>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</si>
  <si>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</si>
  <si>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</si>
  <si>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</si>
  <si>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</si>
  <si>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</si>
  <si>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</si>
  <si>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</si>
  <si>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</si>
  <si>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</si>
  <si>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</si>
  <si>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</si>
  <si>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</si>
  <si>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</si>
  <si>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</si>
  <si>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</si>
  <si>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</si>
  <si>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</si>
  <si>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</si>
  <si>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</si>
  <si>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</si>
  <si>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</si>
  <si>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EM ACO GALVANIZADO / ZINCADO, DE SOBREPOR, COM COMPRIMENTO DE 3" A 4", CHAPA COM ESPESSURA MINIMA DE 0,90 MM E LARGURA MINIMA DE 3,20 CM (FECHO SIMPLES / LEVE) (INCLUI PARAFUSOS)</t>
  </si>
  <si>
    <t>FERROLHO COM FECHO CHATO E PORTA CADEADO, EM ACO GALVANIZADO / ZINCADO, DE SOBREPOR, COM COMPRIMENTO DE 3" A 4", CHAPA COM ESPESSURA MINIMA DE 1,70 MM E LARGURA MINIMA DE 5,00 CM (FECHO REFORCADO)</t>
  </si>
  <si>
    <t>FERROLHO COM FECHO CHATO E PORTA CADEADO, EM ACO GALVANIZADO / ZINCADO, DE SOBREPOR, COM COMPRIMENTO DE 5", CHAPA COM ESPESSURA MINIMA DE 0,90 MM E LARGURA MINIMA DE 3,20 CM (FECHO SIMPLES)</t>
  </si>
  <si>
    <t>FERROLHO COM FECHO CHATO E PORTA CADEADO, EM ACO GALVANIZADO / ZINCADO, DE SOBREPOR, COM COMPRIMENTO DE 5", CHAPA COM ESPESSURA MINIMA DE 1,70 MM E LARGURA MINIMA DE 5,00 CM (FECHO REFORCADO)</t>
  </si>
  <si>
    <t>FERROLHO COM FECHO CHATO E PORTA CADEADO, EM ACO GALVANIZADO / ZINCADO, DE SOBREPOR, COM COMPRIMENTO DE 6", CHAPA COM ESPESSURA MINIMA DE 0,90 MM E LARGURA MINIMA DE 3,80 CM (FECHO SIMPLES)</t>
  </si>
  <si>
    <t>FERROLHO COM FECHO CHATO E PORTA CADEADO, EM ACO GALVANIZADO / ZINCADO, DE SOBREPOR, COM COMPRIMENTO DE 6", CHAPA COM ESPESSURA MINIMA DE 1,70 MM E LARGURA /MINIMA DE 5,00 CM (FECHO REFORCADO) (INCLUI PARAFUSOS)</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</si>
  <si>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</si>
  <si>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</si>
  <si>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</si>
  <si>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</si>
  <si>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</si>
  <si>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</si>
  <si>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CARGA MEDIA POTENCIA 5 (PARA FERRAMENTA DE ACAO DIRETA) COR VERMELHA</t>
  </si>
  <si>
    <t>CENTO</t>
  </si>
  <si>
    <t>FINCAPINO LONGO CALIBRE 22, CARGA FORTE POTENCIA 7 (PARA FERRAMENTA DE ACAO DIRETA), COR AMARELA</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</si>
  <si>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</si>
  <si>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</si>
  <si>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</si>
  <si>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</si>
  <si>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</si>
  <si>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FITA / CINTA AUTOADESIVA ELASTOMERICA PARA VEDACAO, L= 50 MM, E = 3 MM</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</si>
  <si>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</si>
  <si>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</si>
  <si>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</si>
  <si>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</si>
  <si>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</si>
  <si>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</si>
  <si>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</si>
  <si>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</si>
  <si>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</si>
  <si>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 LARGURA DE 19 MM</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</si>
  <si>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</si>
  <si>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</si>
  <si>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</si>
  <si>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</si>
  <si>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PTFE, ROLO DE 18 MM X 10 M (L X C)</t>
  </si>
  <si>
    <t>FITA VEDA ROSCA, EM PTFE, ROLO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</si>
  <si>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</si>
  <si>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</si>
  <si>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</si>
  <si>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</si>
  <si>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SEXTAVADO DE FERRO GALVANIZADO, COM ROSCA BSP, DE 1 1/2"</t>
  </si>
  <si>
    <t>FLANGE SEXTAVADO DE FERRO GALVANIZADO, COM ROSCA BSP, DE 1 1/4"</t>
  </si>
  <si>
    <t>FLANGE SEXTAVADO DE FERRO GALVANIZADO, COM ROSCA BSP, DE 1"</t>
  </si>
  <si>
    <t>FLANGE SEXTAVADO DE FERRO GALVANIZADO, COM ROSCA BSP, DE 1/2"</t>
  </si>
  <si>
    <t>FLANGE SEXTAVADO DE FERRO GALVANIZADO, COM ROSCA BSP, DE 2 1/2"</t>
  </si>
  <si>
    <t>FLANGE SEXTAVADO DE FERRO GALVANIZADO, COM ROSCA BSP, DE 2"</t>
  </si>
  <si>
    <t>FLANGE SEXTAVADO DE FERRO GALVANIZADO, COM ROSCA BSP, DE 3"</t>
  </si>
  <si>
    <t>FLANGE SEXTAVADO DE FERRO GALVANIZADO, COM ROSCA BSP, DE 3/4"</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</si>
  <si>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</si>
  <si>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</si>
  <si>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</si>
  <si>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</si>
  <si>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</si>
  <si>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</si>
  <si>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</si>
  <si>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</si>
  <si>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</si>
  <si>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APROXIMADA DE 8 MM (COM COLOCACAO / SEM ESTRUTURA METALICA)</t>
  </si>
  <si>
    <t>FORRO DE PVC LISO, BRANCO, REGUA DE 20 CM, ESPESSURA APROXIMADA DE 8 MM, COMPRIMENTO 6 M (SEM COLOCACAO)</t>
  </si>
  <si>
    <t>FORRO DE PVC, FRISADO, BRANCO, REGUA DE 10 CM, ESPESSURA APROXIMADA DE 8 MM E COMPRIMENTO 6 M (SEM COLOCACAO)</t>
  </si>
  <si>
    <t>FORRO DE PVC, FRISADO, BRANCO, REGUA DE 20 CM, ESPESSURA APROXIMADA DE 8 MM E COMPRIMENTO 6 M (SEM COLOCACAO)</t>
  </si>
  <si>
    <t>FOSSA SEPTICA, SEM FILTRO, EM POLIETILENO DE ALTA DENSIDADE (PEAD), PARA 15 A 30 CONTRIBUINTES, CILINDRICA, COM TAMPA, CAPACIDADE APROXIMADA DE *5500* LITROS (NBR 7229)</t>
  </si>
  <si>
    <t>FOSSA SEPTICA, SEM FILTRO, EM POLIETILENO DE ALTA DENSIDADE (PEAD), PARA 4 A 7 CONTRIBUINTES, CILINDRICA, COM TAMPA, CAPACIDADE APROXIMADA DE *1100* LITROS (NBR 7229)</t>
  </si>
  <si>
    <t>FOSSA SEPTICA, SEM FILTRO, EM POLIETILENO DE ALTA DENSIDADE (PEAD), PARA 8 A 14 CONTRIBUINTES, CILINDRICA, COM TAMPA, CAPACIDADE APROXIMADA DE *3000* LITROS (NBR 7229)</t>
  </si>
  <si>
    <t>FOSSA SEPTICA,SEM FILTRO, EM POLIETILENO DE ALTA DENSIDADE (PEAD), PARA 40 A 52 CONTRIBUINTES, CILINDRICA, COM TAMPA,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</si>
  <si>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</si>
  <si>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</si>
  <si>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</si>
  <si>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</si>
  <si>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</si>
  <si>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FUSIVEL DIAZED 20 A TAMANHO DII, CAPACIDADE DE INTERRUPCAO DE 50 KA EM VCA E 8 KA EM VCC, TENSAO NOMINAL DE 500 V</t>
  </si>
  <si>
    <t>FUSIVEL DIAZED 35 A TAMANHO DIII, CAPACIDADE DE INTERRUPCAO DE 50 KA EM VCA E 8 KA EM VCC, TENSAO NOMINAL DE 500 V</t>
  </si>
  <si>
    <t>FUSIVEL NH *36* A 80 AMPERES, TAMANHO 00, CAPACIDADE DE INTERRUPCAO DE 120 KA, TENSAO NOMINAL DE 500 V</t>
  </si>
  <si>
    <t>FUSIVEL NH 100 A TAMANHO 00, CAPACIDADE DE INTERRUPCAO DE 120 KA, TENSAO NOMINAL DE 500 V</t>
  </si>
  <si>
    <t>FUSIVEL NH 125 A TAMANHO 00, CAPACIDADE DE INTERRUPCAO DE 120 KA, TENSAO NOMINAL DE 500 V</t>
  </si>
  <si>
    <t>FUSIVEL NH 160 A TAMANHO 00, CAPACIDADE DE INTERRUPCAO DE 120 KA, TENSAO NOMINAL DE 500 V</t>
  </si>
  <si>
    <t>FUSIVEL NH 20 A TAMANHO 000, CAPACIDADE DE INTERRUPCAO DE 120 KA, TENSAO NOMINAL DE 500 V</t>
  </si>
  <si>
    <t>FUSIVEL NH 200 A 250 AMPERES, TAMANHO 1, CAPACIDADE DE INTERRUPCAO DE 120 KA, TENSAO NOMINAL DE 500 V</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</si>
  <si>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</si>
  <si>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</si>
  <si>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</si>
  <si>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</si>
  <si>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</si>
  <si>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</si>
  <si>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</si>
  <si>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</si>
  <si>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</si>
  <si>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</si>
  <si>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</si>
  <si>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</si>
  <si>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</si>
  <si>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</si>
  <si>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</si>
  <si>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</si>
  <si>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</si>
  <si>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</si>
  <si>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</si>
  <si>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2,4 MM, DIMENSOES 2,0 X 1,0 X 0,5 M (C X L X A)</t>
  </si>
  <si>
    <t>GABIAO TIPO CAIXA, MALHA HEXAGONAL 8 X 10 CM (ZN/AL REVESTIDO COM POLIMERO), FIO DE 2,4 MM, DIMENSOES 2,0 X 1,0 X 1,0 M (C X L X A)</t>
  </si>
  <si>
    <t>GABIAO TIPO CAIXA, MALHA HEXAGONAL 8 X 10 CM (ZN/AL), FIO 2,7 MM, DIMENSOES 2,0 X 1,0 X 0,5 M (C X L X A)</t>
  </si>
  <si>
    <t>GABIAO TIPO CAIXA, MALHA HEXAGONAL 8 X 10 CM (ZN/AL), FIO DE 2,7 MM, DIMENSOES 2,0 X 1,0 X 1,0 M (C X L X A)</t>
  </si>
  <si>
    <t>GABIAO TIPO CAIXA, MALHA HEXAGONAL 8 X 10 CM (ZN/AL), FIO DE 2,7 MM, DIMENSOES 5,0 X 1,0 X 1,0 M (C X L X A)</t>
  </si>
  <si>
    <t>GANCHO CHATO EM ACO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</si>
  <si>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</si>
  <si>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</si>
  <si>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</si>
  <si>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</si>
  <si>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</si>
  <si>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</si>
  <si>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</si>
  <si>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</si>
  <si>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</si>
  <si>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</si>
  <si>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</si>
  <si>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</si>
  <si>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(HORISTA)</t>
  </si>
  <si>
    <t>GESSEIRO (MENSALISTA)</t>
  </si>
  <si>
    <t>GESSO COLA, EM PO, PARA FIXACAO DE MOLDURAS, SANCAS E BLOCOS DE GESSO</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</si>
  <si>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</si>
  <si>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</si>
  <si>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</si>
  <si>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</si>
  <si>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</si>
  <si>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</si>
  <si>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</si>
  <si>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</si>
  <si>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X 9</t>
  </si>
  <si>
    <t>GRAMPO DE ACO POLIDO 7/8" X 9</t>
  </si>
  <si>
    <t>GRAMPO LINHA VIVA DE LATAO ESTANHADO, DIAMETRO DO CONDUTOR PRINCIPAL DE 10 A 120 MM2, DIAMETRO DA DERIVACAO DE 10 A 70 MM2</t>
  </si>
  <si>
    <t>GRAMPO METALICO TIPO OLHAL PARA HASTE DE ATERRAMENTO DE 1", CONDUTOR DE *10* A 50 MM2</t>
  </si>
  <si>
    <t>GRAMPO METALICO TIPO OLHAL PARA HASTE DE ATERRAMENTO DE 1/2",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</si>
  <si>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</si>
  <si>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</si>
  <si>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</si>
  <si>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</si>
  <si>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</si>
  <si>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N8 EM ACO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</si>
  <si>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</si>
  <si>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</si>
  <si>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</si>
  <si>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</si>
  <si>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</si>
  <si>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</si>
  <si>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 A BASE DE LITIO, DE MULTIPLAS APLICACOES E CONTENDO ADITIVOS DE EXTREMA PRESSAO (GRAU DE VISCOSIDADE NLGI 2)</t>
  </si>
  <si>
    <t>GRELHA FIXA, EM PVC BRANCA, QUADRADA, 150 X 150 MM, PARA RALOS E CAIXAS</t>
  </si>
  <si>
    <t>GRELHA FIXA, PVC CROMADA, REDONDA, 150 MM, PARA RALOS E CAIXAS</t>
  </si>
  <si>
    <t>GRELHA FOFO ARTICULADA, CARGA MAXIMA 1,5 T, *300 X 1000* MM, E= *15* MM</t>
  </si>
  <si>
    <t>GRELHA FOFO SIMPLES COM REQUADRO, CARGA MAXIMA 1,5 T, 150 X 1000 MM, E= *15* MM</t>
  </si>
  <si>
    <t>GRELHA FOFO SIMPLES COM REQUADRO, CARGA MAXIMA 1,5 T, 200 X 1000 MM, E= *15* MM</t>
  </si>
  <si>
    <t>GRELHA FOFO SIMPLES COM REQUADRO, CARGA MAXIMA 12,5 T, *300 X 1000* MM, E= *15* MM, AREA ESTACIONAMENTO CARRO PASSEIO</t>
  </si>
  <si>
    <t>GRUA ASCENCIONAL, LANCA DE 30 M, CAPACIDADE DE 1,0 T A 30 M, ALTURA ATE 39 M</t>
  </si>
  <si>
    <t>GRUA ASCENCIONAL, LANCA DE 42 M, CAPACIDADE DE 1,5 T A 30 M, ALTURA ATE 39 M</t>
  </si>
  <si>
    <t>GRUA ASCENCIONAL, LANCA DE 50 M, CAPACIDADE DE 2,33 T A 30 M, ALTURA ATE 48 M</t>
  </si>
  <si>
    <t>GRUPO GERADOR A GASOLINA, POTENCIA NOMINAL 2,2 KW, TENSAO DE SAIDA 110/220 V, MOTOR POTENCIA 6,5 HP</t>
  </si>
  <si>
    <t>GRUPO GERADOR DE SOLDA ELETRICA, COM MAQUINA DE SOLDA, ATE 400 AMPERES E GERADOR A DIESEL 30 CV, MOTOR 4 CILINDROS, TANQUE COMBUST., CARENAGEM DE PROTECAO SOBRE RODAS</t>
  </si>
  <si>
    <t>GRUPO GERADOR DE SOLDA ELETRICA, COM MAQUINA DE SOLDA, ATE 400 AMPERES E GERADOR A DIESEL 60 CV, MOTOR 4 CILINDROS, TANQUE COMBUST., CARENAGEM DE PROTECAO SOBRE RODAS</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</si>
  <si>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</si>
  <si>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</si>
  <si>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</si>
  <si>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</si>
  <si>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</si>
  <si>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</si>
  <si>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</si>
  <si>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</si>
  <si>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</si>
  <si>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MOTOR DIESEL POTENCIA 170 KVA</t>
  </si>
  <si>
    <t>GRUPO GERADOR ESTACIONARIO, POTENCIA 150 KVA, MOTOR DIESEL</t>
  </si>
  <si>
    <t>GRUPO GERADOR REBOCAVEL, POTENCIA *66* KVA, MOTOR A DIESEL</t>
  </si>
  <si>
    <t>GUARNICAO / ALIZAR / VISTA LISA EM MADEIRA MACICA, PARA PORTA, E = *1* CM, L = *5* CM, CEDRINHO / ANGELIM COMERCIAL / TAURI/ CURUPIXA / PEROBA / CUMARU OU EQUIVALENTE DA REGIAO</t>
  </si>
  <si>
    <t>GUARNICAO / ALIZAR / VISTA LISA EM MADEIRA MACICA, PARA PORTA,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</si>
  <si>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</si>
  <si>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</si>
  <si>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</si>
  <si>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</si>
  <si>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GUINCHO DE ALAVANCA MANUAL, CAPACIDADE 3,2 T COM 20 M DE CABO DE ACO DIAMETRO 16,3 MM</t>
  </si>
  <si>
    <t>GUINCHO DE ALAVANCA MANUAL, CAPACIDADE DE 1,6 T, COM 20 M DE CABO DE ACO (AQUISICAO)</t>
  </si>
  <si>
    <t>GUINCHO ELETRICO DE COLUNA, CAPACIDADE 400 KG, COM MOTO FREIO, MOTOR TRIFASICO DE 1,25 CV</t>
  </si>
  <si>
    <t>GUINDAUTO HIDRAULICO, CAPACIDADE MAXIMA DE CARGA 10000 KG, MOMENTO MAXIMO DE CARGA 23 TM,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</si>
  <si>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</si>
  <si>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ALCANCE MAXIMO HORIZONTAL 22,00 M, PARA MONTAGEM SOBRE CHASSI DE CAMINHAO PBT MINIMO 30000 KG (INCLUI MONTAGEM, NAO INCLUI CAMINHAO)</t>
  </si>
  <si>
    <t>GUINDAUTO HIDRAULICO, CAPACIDADE MAXIMA DE CARGA 3300 KG, MOMENTO MAXIMO DE CARGA 5,8 TM, ALCANCE MAXIMO HORIZONTAL 7,60 M, PARA MONTAGEM SOBRE CHASSI DE CAMINHAO PBT MINIMO 8000 KG (INCLUI MONTAGEM, NAO INCLUI CAMINHAO)</t>
  </si>
  <si>
    <t>GUINDAUTO HIDRAULICO, CAPACIDADE MAXIMA DE CARGA 6200 KG, MOMENTO MAXIMO DE CARGA 11,7 TM, ALCANCE MAXIMO HORIZONTAL 9,70 M, PARA MONTAGEM SOBRE CHASSI DE CAMINHAO PBT MINIMO 13000 KG (INCLUI MONTAGEM, NAO INCLUI CAMINHAO)</t>
  </si>
  <si>
    <t>GUINDAUTO HIDRAULICO, CAPACIDADE MAXIMA DE CARGA 8500 KG, MOMENTO MAXIMO DE CARGA 30,4 TM, ALCANCE MAXIMO HORIZONTAL 14,30 M, PARA MONTAGEM SOBRE CHASSI DE CAMINHAO PBT MINIMO 23000 KG (INCLUI MONTAGEM, NAO INCLUI CAMINHAO)</t>
  </si>
  <si>
    <t>HASTE ANCORA EM ACO GALVANIZADO, DIMENSOES 16 MM X 2000 MM</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</si>
  <si>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</si>
  <si>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</si>
  <si>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</si>
  <si>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HASTE DE ATERRAMENTO EM ACO GALVANIZADO TIPO CANTONEIRA COM 2,00 M DE COMPRIMENTO, 25 X 25 MM E CHAPA DE 3/16"</t>
  </si>
  <si>
    <t>HASTE PARA PERFURATRIZ DE ESTEIRA T38, D= 1 1/2" X *3 M*, PARA PROLONGAR BROCA</t>
  </si>
  <si>
    <t>HASTE RETA DE ACO GALVANIZADO, H = *30* CM, BASE RETANGULAR, PARA FIXACAO DE CONCERTINA SIMPLES DE 30 CM (NAO INCLUI OS FIXADORES)</t>
  </si>
  <si>
    <t>HASTE RETA PARA GANCHO DE FERRO GALVANIZADO, COM ROSCA 1/4" X 30 CM PARA FIXACAO DE TELHA METALICA, INCLUI PORCA E ARRUELAS DE VEDACAO</t>
  </si>
  <si>
    <t>HASTE RETA PARA GANCHO DE FERRO GALVANIZADO, COM ROSCA 1/4"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</si>
  <si>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</si>
  <si>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</si>
  <si>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</si>
  <si>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</si>
  <si>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</si>
  <si>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</si>
  <si>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</si>
  <si>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</si>
  <si>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</si>
  <si>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</si>
  <si>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</si>
  <si>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</si>
  <si>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</si>
  <si>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</si>
  <si>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</si>
  <si>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</si>
  <si>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TELEMETRIA (SEM CONEXOES)</t>
  </si>
  <si>
    <t>HIDROMETRO WOLTMANN, DN 3", VAZAO MAXIMA DE 80 M3/H, PARA AGUA POTAVEL FRIA, RELOJOARIA PLANA, TURBINA HORIZONTAL, EQUIPADO COM TELEMETRIA (SEM CONEXOES)</t>
  </si>
  <si>
    <t>IMPERMEABILIZADOR (HORISTA)</t>
  </si>
  <si>
    <t>IMPERMEABILIZADOR (MENSALISTA)</t>
  </si>
  <si>
    <t>IMPERMEABILIZANTE FLEXIVEL BRANCO DE BASE ACRILICA PARA COBERTURAS</t>
  </si>
  <si>
    <t>IMPERMEABILIZANTE INCOLOR, BASE SILICONE, PARA TRATAMENTO DE FACHADAS, TELHAS, PEDRAS E OUTRAS SUPERFICIES</t>
  </si>
  <si>
    <t>IMUNIZANTE PARA MADEIRA, INCOLOR</t>
  </si>
  <si>
    <t>INSTALADOR DE TUBULACOES (TUBOS/EQUIPAMENTOS) (MENSALISTA)</t>
  </si>
  <si>
    <t>INSTALADOR DE TUBULACOES - TUBOS/EQUIPAMENTOS (HORISTA)</t>
  </si>
  <si>
    <t>INTERRUPTOR BIPOLAR 10A, 250V, CONJUNTO MONTADO PARA EMBUTIR 4" X 2" (PLACA + SUPORTE + MODULO)</t>
  </si>
  <si>
    <t>INTERRUPTOR BIPOLAR SIMPLES 10 A, 250 V (APENAS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</si>
  <si>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</si>
  <si>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</si>
  <si>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</si>
  <si>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</si>
  <si>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</si>
  <si>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+ 2 INTERRUPTORES PARALELOS 10A, 250V, CONJUNTO MONTADO PARA EMBUTIR 4" X 2" (PLACA + SUPORTE + MODULOS)</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</si>
  <si>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</si>
  <si>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</si>
  <si>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</si>
  <si>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</si>
  <si>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</si>
  <si>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+ 2 MODULOS)</t>
  </si>
  <si>
    <t>INTERRUPTOR SIMPLES 10A, 250V, CONJUNTO MONTADO PARA SOBREPOR 4" X 2" (CAIXA + MODULO)</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</si>
  <si>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</si>
  <si>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</si>
  <si>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</si>
  <si>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+ 1 INTERRUPTOR PARALELO 10A, 250V, CONJUNTO MONTADO PARA EMBUTIR 4" X 2" (PLACA + SUPORTE + MODULOS)</t>
  </si>
  <si>
    <t>INTERRUPTORES SIMPLES (2 MODULOS) + TOMADA 2P+T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</si>
  <si>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</si>
  <si>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</si>
  <si>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</si>
  <si>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</si>
  <si>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</si>
  <si>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</si>
  <si>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</si>
  <si>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</si>
  <si>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</si>
  <si>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</si>
  <si>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</si>
  <si>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</si>
  <si>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BASCULANTE, EM ALUMINIO PERFIL 20, 80 X 60 CM (A X L), 4 FLS (1 FIXA E 3 MOVEIS), ACABAMENTO BRANCO OU BRILHANTE, BATENTE DE 3 A 4 CM, COM VIDRO 4 MM, SEM GUARNICAO</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</si>
  <si>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</si>
  <si>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</si>
  <si>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</si>
  <si>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</si>
  <si>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PINUS/EUCALIPTO/TAUARI/VIROLA OU EQUIVALENTE DA REGIAO, CAIXA DO BATENTE/MARCO *10* CM, 2 FOLHAS DE ABRIR TIPO VENEZIANA E 2 FOLHAS GUILHOTINA PARA VIDRO, COM FERRAGENS (SEM VIDRO, SEM GUARNICAO/ALIZAR E SEM ACABAMENTO)</t>
  </si>
  <si>
    <t>JANELA DE CORRER, ACO, BATENTE/REQUADRO DE 6 A 14 CM, COM DIVISAO HORIZ, PINT ANTICORROSIVA, SEM VIDRO, BANDEIRA COM BASCULA, 4 FLS, 120 X 150 CM (A X L)</t>
  </si>
  <si>
    <t>JANELA DE CORRER, EM ALUMINIO PERFIL 25, 100 X 120 CM (A X L), 2 FLS MOVEIS, SEM BANDEIRA, ACABAMENTO BRANCO OU BRILHANTE, BATENTE DE 6 A 7 CM, COM VIDRO 4 MM, SEM GUARNICAO</t>
  </si>
  <si>
    <t>JANELA DE CORRER, EM ALUMINIO PERFIL 25, 100 X 150 CM (A X L), 2 FLS MOVEIS, SEM BANDEIRA, ACABAMENTO BRANCO OU BRILHANTE, BATENTE DE 6 A 7 CM, COM VIDRO 4 MM, SEM GUARNICAO</t>
  </si>
  <si>
    <t>JANELA DE CORRER, EM ALUMINIO PERFIL 25, 100 X 150 CM (A X L), 4 FLS MOVEIS, SEM BANDEIRA, ACABAMENTO BRANCO OU BRILHANTE, BATENTE DE 6 A 7 CM, COM VIDRO 4 MM, SEM GUARNICAO/ALIZAR</t>
  </si>
  <si>
    <t>JANELA DE CORRER, EM ALUMINIO PERFIL 25, 100 X 200 CM (A X L), 4 FLS, SEM BANDEIRA, ACABAMENTO BRANCO OU BRILHANTE, BATENTE DE 6 A 7 CM, COM VIDRO 4 MM, SEM GUARNICAO/ALIZAR</t>
  </si>
  <si>
    <t>JANELA DE CORRER, EM ALUMINIO PERFIL 25, 120 X 150 CM (A X L), 4 FLS, BANDEIRA COM BASCULA, ACABAMENTO BRANCO OU BRILHANTE, BATENTE/REQUADRO DE 6 A 14 CM, COM VIDRO 4 MM,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</si>
  <si>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</si>
  <si>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PERFIL 20, 60 X 80 CM (A X L), BATENTE/REQUADRO DE 3 A 14 CM, COM VIDRO 4 MM, SEM GUARNICAO/ALIZAR, ACABAMENTO ALUM BRANCO OU BRILHANTE</t>
  </si>
  <si>
    <t>JANELA INTEGRADA VENEZIANA EM ALUMINIO PERFIL 25, 120 X 120 CM (A X L), 2 FLS (2 VIDROS) E VENEZIANA COM ACIONAMENTO MANUAL, SEM BANDEIRA, ACABAMENTO BRILHANTE, BATENTE DE 11,50 A 12,50 CM, COM VIDRO 4 MM, INCLUSO GUARNICAO</t>
  </si>
  <si>
    <t>JANELA MAXIM-AR EM MADEIRA CEDRINHO/ ANGELIM COMERCIAL/ CURUPIXA/ CUMARU OU EQUIVALENTE DA REGIAO, CAIXA DO BATENTE/MARCO *10* CM, 1 FOLHA PARA VIDRO, COM GUARNICAO/ALIZAR, COM FERRAGENS, (SEM VIDRO E SEM ACABAMENTO)</t>
  </si>
  <si>
    <t>JANELA MAXIM-AR, ACO GALVANIZADO PINT. ANTICORROSIVA, COM BATENTE/REQUADRO DE 6 A 14 CM, SEM VIDRO, COM GRADE, 1 FL, 60 X 80 CM (A X L)</t>
  </si>
  <si>
    <t>JANELA MAXIM-AR, EM ALUMINIO PERFIL 25, 60 X 80 CM (A X L), ACABAMENTO BRANCO OU BRILHANTE, BATENTE DE 4 A 5 CM, COM VIDRO 4 MM, SEM GUARNICAO/ALIZAR</t>
  </si>
  <si>
    <t>JANELA VENEZIANA DE CORRER, EM ALUMINIO PERFIL 25, 100 X 120 CM (A X L), 3 FLS (2 VENEZIANAS E 1 VIDRO), SEM BANDEIRA, ACABAMENTO BRANCO OU BRILHANTE, BATENTE DE 8 A 9 CM, COM VIDRO 4 MM, SEM GUARNICAO/ALIZAR</t>
  </si>
  <si>
    <t>JANELA VENEZIANA DE CORRER, EM ALUMINIO PERFIL 25, 100 X 150 CM (A X L), 6 FLS (4 VENEZIANAS E 2 VIDROS), SEM BANDEIRA, ACABAMENTO BRANCO OU BRILHANTE, BATENTE DE 8 A 9 CM, COM VIDRO 4 MM, SEM GUARNICAO / ALIZAR</t>
  </si>
  <si>
    <t>JARDINEIRO (HORISTA)</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</si>
  <si>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</si>
  <si>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</si>
  <si>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</si>
  <si>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</si>
  <si>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</si>
  <si>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</si>
  <si>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</si>
  <si>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</si>
  <si>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</si>
  <si>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114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</si>
  <si>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</si>
  <si>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</si>
  <si>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</si>
  <si>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</si>
  <si>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</si>
  <si>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</si>
  <si>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</si>
  <si>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</si>
  <si>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COR MARROM, PARA AGUA FRIA PREDIAL</t>
  </si>
  <si>
    <t>JOELHO DE REDUCAO, PVC SOLDAVEL, 90 GRAUS, 32 MM X 25 MM, COR MARROM, PARA AGUA FRIA PREDIAL</t>
  </si>
  <si>
    <t>JOELHO DE REDUCAO, PVC, ROSCAVEL, 90 GRAUS, 1" X 3/4", COR BRANCA, PARA AGUA FRIA PREDIAL</t>
  </si>
  <si>
    <t>JOELHO DE REDUCAO, PVC, ROSCAVEL, 90 GRAUS, 3/4" X 1/2", COR BRANCA,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</si>
  <si>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</si>
  <si>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</si>
  <si>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</si>
  <si>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F/F, DN 20 MM, PARA AGUA QUENTE PREDIAL</t>
  </si>
  <si>
    <t>JOELHO PPR 45 GRAUS, SOLDAVEL, F/F, DN 25 MM, PARA AGUA QUENTE PREDIAL</t>
  </si>
  <si>
    <t>JOELHO PPR 45 GRAUS, SOLDAVEL, F/F, DN 40 MM, PARA AQUA QUENTE E FRIA PREDIAL</t>
  </si>
  <si>
    <t>JOELHO PPR 45 GRAUS, SOLDAVEL, F/F, DN 50 MM, PARA AQUA QUENTE E FRIA PREDIAL</t>
  </si>
  <si>
    <t>JOELHO PPR 45 GRAUS, SOLDAVEL, F/F, DN 63 MM, PARA AQUA QUENTE E FRIA PREDIAL</t>
  </si>
  <si>
    <t>JOELHO PPR 45 GRAUS, SOLDAVEL, F/F, DN 75 MM, PARA AQUA QUENTE E FRIA PREDIAL</t>
  </si>
  <si>
    <t>JOELHO PPR 45 GRAUS, SOLDAVEL, F/F, DN 90 MM, PARA AQUA QUENTE E FRIA PREDIAL</t>
  </si>
  <si>
    <t>JOELHO PPR, 45 GRAUS, SOLDAVEL, F/F, DN 32 MM, PARA AGUA QUENTE PREDIAL</t>
  </si>
  <si>
    <t>JOELHO PPR, 90 GRAUS, SOLDAVEL, F/F, DN 110 MM, PARA AGUA QUENTE PREDIAL</t>
  </si>
  <si>
    <t>JOELHO PPR, 90 GRAUS, SOLDAVEL, F/F, DN 20 MM, PARA AGUA QUENTE PREDIAL</t>
  </si>
  <si>
    <t>JOELHO PPR, 90 GRAUS, SOLDAVEL, F/F, DN 25 MM, PARA AGUA QUENTE PREDIAL</t>
  </si>
  <si>
    <t>JOELHO PPR, 90 GRAUS, SOLDAVEL, F/F, DN 32 MM, PARA AGUA QUENTE PREDIAL</t>
  </si>
  <si>
    <t>JOELHO PPR, 90 GRAUS, SOLDAVEL, F/F, DN 40 MM, PARA AGUA QUENTE PREDIAL</t>
  </si>
  <si>
    <t>JOELHO PPR, 90 GRAUS, SOLDAVEL, F/F, DN 50 MM, PARA AGUA QUENTE PREDIAL</t>
  </si>
  <si>
    <t>JOELHO PPR, 90 GRAUS, SOLDAVEL, F/F, DN 63 MM, PARA AGUA QUENTE PREDIAL</t>
  </si>
  <si>
    <t>JOELHO PPR, 90 GRAUS, SOLDAVEL, F/F, DN 75 MM, PARA AGUA QUENTE PREDIAL</t>
  </si>
  <si>
    <t>JOELHO PPR, 90 GRAUS, SOLDAVEL, F/F, DN 90 MM, PARA AGUA QUENTE PREDIAL</t>
  </si>
  <si>
    <t>JOELHO PVC COM VISITA, 90 GRAUS, DN 100 X 50 MM, SERIE NORMAL, PARA ESGOTO PREDIAL</t>
  </si>
  <si>
    <t>JOELHO PVC, 90 GRAUS, ROSCAVEL, 1 1/4", COR BRANCA, AGUA FRIA PREDIAL</t>
  </si>
  <si>
    <t>JOELHO PVC, COM BOLSA E ANEL, 90 GRAUS, DN 40 X *38* MM, SERIE NORMAL, PARA ESGOTO PREDIAL</t>
  </si>
  <si>
    <t>JOELHO PVC, ROSCAVEL, 45 GRAUS, 1", COR BRANCA, PARA AGUA FRIA PREDIAL</t>
  </si>
  <si>
    <t>JOELHO PVC, ROSCAVEL, 45 GRAUS, 1/2", COR BRANCA, PARA AGUA FRIA PREDIAL</t>
  </si>
  <si>
    <t>JOELHO PVC, ROSCAVEL, 45 GRAUS, 3/4", COR BRANCA, PARA AGUA FRIA PREDIAL</t>
  </si>
  <si>
    <t>JOELHO PVC, ROSCAVEL, 90 GRAUS, 1", COR BRANCA, PARA AGUA FRIA PREDIAL</t>
  </si>
  <si>
    <t>JOELHO PVC, ROSCAVEL, 90 GRAUS, 1/2", COR BRANCA, PARA AGUA FRIA PREDIAL</t>
  </si>
  <si>
    <t>JOELHO PVC, ROSCAVEL, 90 GRAUS, 3/4", COR BRANCA, PARA AGUA FRIA PREDIAL</t>
  </si>
  <si>
    <t>JOELHO PVC, SOLDAVEL COM ROSCA, 90 GRAUS, 20 MM X 1/2", COR MARROM, PARA AGUA FRIA PREDIAL</t>
  </si>
  <si>
    <t>JOELHO PVC, SOLDAVEL COM ROSCA, 90 GRAUS, 25 MM X 1/2", COR MARROM, PARA AGUA FRIA PREDIAL</t>
  </si>
  <si>
    <t>JOELHO PVC, SOLDAVEL COM ROSCA, 90 GRAUS, 25 MM X 3/4", COR MARROM, PARA AGUA FRIA PREDIAL</t>
  </si>
  <si>
    <t>JOELHO PVC, SOLDAVEL COM ROSCA, 90 GRAUS, 32 MM X 3/4", COR MARROM, PARA AGUA FRIA PREDIAL</t>
  </si>
  <si>
    <t>JOELHO PVC, SOLDAVEL, 90 GRAUS, 110 MM, COR MARROM, PARA AGUA FRIA PREDIAL</t>
  </si>
  <si>
    <t>JOELHO PVC, SOLDAVEL, 90 GRAUS, 20 MM, COR MARROM, PARA AGUA FRIA PREDIAL</t>
  </si>
  <si>
    <t>JOELHO PVC, SOLDAVEL, 90 GRAUS, 25 MM, COR MARROM, PARA AGUA FRIA PREDIAL</t>
  </si>
  <si>
    <t>JOELHO PVC, SOLDAVEL, 90 GRAUS, 32 MM, COR MARROM, PARA AGUA FRIA PREDIAL</t>
  </si>
  <si>
    <t>JOELHO PVC, SOLDAVEL, 90 GRAUS, 40 MM, COR MARROM, PARA AGUA FRIA PREDIAL</t>
  </si>
  <si>
    <t>JOELHO PVC, SOLDAVEL, 90 GRAUS, 50 MM, COR MARROM, PARA AGUA FRIA PREDIAL</t>
  </si>
  <si>
    <t>JOELHO PVC, SOLDAVEL, 90 GRAUS, 60 MM, COR MARROM, PARA AGUA FRIA PREDIAL</t>
  </si>
  <si>
    <t>JOELHO PVC, SOLDAVEL, 90 GRAUS, 85 MM, COR MARROM, PARA AGUA FRIA PREDIAL</t>
  </si>
  <si>
    <t>JOELHO PVC, SOLDAVEL, BB, 45 GRAUS, DN 40 MM, PARA ESGOTO PREDIAL</t>
  </si>
  <si>
    <t>JOELHO PVC, SOLDAVEL, BB, 90 GRAUS, SEM ANEL, DN 40 MM, PARA ESGOTO PREDIAL SECUNDARIO</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</si>
  <si>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</si>
  <si>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</si>
  <si>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</si>
  <si>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</si>
  <si>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</si>
  <si>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</si>
  <si>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</si>
  <si>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</si>
  <si>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</si>
  <si>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</si>
  <si>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</si>
  <si>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</si>
  <si>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</si>
  <si>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</si>
  <si>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</si>
  <si>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</si>
  <si>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</si>
  <si>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</si>
  <si>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</si>
  <si>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</si>
  <si>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</si>
  <si>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</si>
  <si>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</si>
  <si>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</si>
  <si>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20 MM, COR MARROM, PARA AGUA FRIA PREDIAL</t>
  </si>
  <si>
    <t>JOELHO, PVC SOLDAVEL, 45 GRAUS, 25 MM, COR MARROM, PARA AGUA FRIA PREDIAL</t>
  </si>
  <si>
    <t>JOELHO, PVC SOLDAVEL, 45 GRAUS, 32 MM, COR MARROM, PARA AGUA FRIA PREDIAL</t>
  </si>
  <si>
    <t>JOELHO, PVC SOLDAVEL, 45 GRAUS, 40 MM, COR MARROM, PARA AGUA FRIA PREDIAL</t>
  </si>
  <si>
    <t>JOELHO, PVC SOLDAVEL, 45 GRAUS, 50 MM, COR MARROM, PARA AGUA FRIA PREDIAL</t>
  </si>
  <si>
    <t>JOELHO, PVC SOLDAVEL, 45 GRAUS, 60 MM, COR MARROM, PARA AGUA FRIA PREDIAL</t>
  </si>
  <si>
    <t>JOELHO, PVC SOLDAVEL, 45 GRAUS, 75 MM, COR MARROM, PARA AGUA FRIA PREDIAL</t>
  </si>
  <si>
    <t>JOELHO, PVC SOLDAVEL, 45 GRAUS, 85 MM, COR MARROM, PARA AGUA FRIA PREDIAL</t>
  </si>
  <si>
    <t>JOELHO, PVC SOLDAVEL, 90 GRAUS, 75 MM, COR MARROM, PARA AGUA FRIA PREDIAL</t>
  </si>
  <si>
    <t>JOELHO/COTOVELO 90 GRAUS, METALICO, PARA CONEXAO COM ANEL DESLIZANTE, DN 16 MM, EM TUBO PEX PARA INST. AGUA QUENTE/FRIA</t>
  </si>
  <si>
    <t>JOELHO/COTOVELO 90 GRAUS, METALICO, PARA CONEXAO COM ANEL DESLIZANTE, DN 20 MM, EM TUBO PEX PARA INST. AGUA QUENTE/FRIA</t>
  </si>
  <si>
    <t>JOELHO/COTOVELO 90 GRAUS, METALICO, PARA CONEXAO COM ANEL DESLIZANTE, DN 25 MM, EM TUBO PEX PARA INST. AGUA QUENTE/FRIA</t>
  </si>
  <si>
    <t>JOELHO/COTOVELO 90 GRAUS, METALICO, PARA CONEXAO COM ANEL DESLIZANTE, DN 32 MM, EM TUBO PEX PARA INST. AGUA QUENTE/FRIA</t>
  </si>
  <si>
    <t>JOELHO/COTOVELO 90 GRAUS, PLASTICO, PARA CONEXAO COM CRIMPAGEM, DN 16 MM, EM TUBO PEX PARA INST. AGUA QUENTE/FRIA</t>
  </si>
  <si>
    <t>JOELHO/COTOVELO 90 GRAUS, PLASTICO, PARA CONEXAO COM CRIMPAGEM, DN 20 MM, EM TUBO PEX PARA INST. AGUA QUENTE/FRIA</t>
  </si>
  <si>
    <t>JOELHO/COTOVELO 90 GRAUS, PLASTICO, PARA CONEXAO COM CRIMPAGEM, DN 25 MM, EM TUBO PEX PARA INST. AGUA QUENTE/FRIA</t>
  </si>
  <si>
    <t>JOELHO/COTOVELO 90 GRAUS, ROSCA FEMEA MOVEL, METALICO, PARA CONEXAO COM ANEL DESLIZANTE, DN 20 MM X 3/4", EM TUBO PEX PARA INST. AGUA QUENTE/FRIA</t>
  </si>
  <si>
    <t>JOELHO/COTOVELO 90 GRAUS, ROSCA FEMEA TERMINAL, METALICO, PARA CONEXAO COM ANEL DESLIZANTE, DN 16 MM X 1/2", EM TUBO PEX PARA INST. AGUA QUENTE/FRIA</t>
  </si>
  <si>
    <t>JOELHO/COTOVELO 90 GRAUS, ROSCA FEMEA TERMINAL, METALICO, PARA CONEXAO COM ANEL DESLIZANTE, DN 20 MM X 1/2", EM TUBO PEX PARA INST. AGUA QUENTE/FRIA</t>
  </si>
  <si>
    <t>JOELHO/COTOVELO 90 GRAUS, ROSCA FEMEA TERMINAL, METALICO, PARA CONEXAO COM ANEL DESLIZANTE, DN 20 MM X 3/4", EM TUBO PEX PARA INST. AGUA QUENTE/FRIA</t>
  </si>
  <si>
    <t>JOELHO/COTOVELO 90 GRAUS, ROSCA FEMEA TERMINAL, METALICO, PARA CONEXAO COM ANEL DESLIZANTE, DN 25 MM X 3/4", EM TUBO PEX PARA INST. AGUA QUENTE/FRIA</t>
  </si>
  <si>
    <t>JOELHO/COTOVELO 90 GRAUS, ROSCA FEMEA TERMINAL, PLASTICO, PARA CONEXAO COM CRIMPAGEM, DN 16 MM X 1/2", EM TUBO PEX PARA INST. AGUA QUENTE/FRIA</t>
  </si>
  <si>
    <t>JOELHO/COTOVELO 90 GRAUS, ROSCA FEMEA TERMINAL, PLASTICO, PARA CONEXAO COM CRIMPAGEM, DN 20 MM X 1/2", EM TUBO PEX PARA INST. AGUA QUENTE/FRIA</t>
  </si>
  <si>
    <t>JOELHO/COTOVELO 90 GRAUS, ROSCA FEMEA TERMINAL, PLASTICO, PARA CONEXAO COM CRIMPAGEM, DN 20 MM X 3/4", EM TUBO PEX PARA INST. AGUA QUENTE/FRIA</t>
  </si>
  <si>
    <t>JOELHO/COTOVELO 90 GRAUS, ROSCA FEMEA TERMINAL, PLASTICO, PARA CONEXAO COM CRIMPAGEM, DN 25 MM X 1/2", EM TUBO PEX PARA INST. AGUA QUENTE/FRIA</t>
  </si>
  <si>
    <t>JOELHO/COTOVELO 90 GRAUS, ROSCA FEMEA, COM BASE FIXA, METALICO, PARA CONEXAO COM ANEL DESLIZANTE, DN 16 MM X 1/2", EM TUBO PEX PARA INST. AGUA QUENTE/FRIA</t>
  </si>
  <si>
    <t>JOELHO/COTOVELO 90 GRAUS, ROSCA FEMEA, COM BASE FIXA, METALICO, PARA CONEXAO COM ANEL DESLIZANTE, DN 20 MM X 1/2", EM TUBO PEX PARA INST. AGUA QUENTE/FRIA</t>
  </si>
  <si>
    <t>JOELHO/COTOVELO 90 GRAUS, ROSCA FEMEA, COM BASE FIXA, METALICO, PARA CONEXAO COM ANEL DESLIZANTE, DN 25 MM X 3/4", EM TUBO PEX PARA INST. AGUA QUENTE/FRIA</t>
  </si>
  <si>
    <t>JOGO DE TRANQUETA E ROSETA QUADRADA DE SOBREPOR SEM FUROS, EM LATAO CROMADO, *50 X 50* MM, PARA FECHADURA DE PORTA DE BANHEIRO</t>
  </si>
  <si>
    <t>JOGO DE TRANQUETA E ROSETA REDONDA DE SOBREPOR SEM FUROS, EM LATAO CROMADO, DIAMETRO *50* MM, PARA FECHADURA DE PORTA DE BANHEIRO</t>
  </si>
  <si>
    <t>JUNCAO 2 GARRAS PARA FITA PERFURADA</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</si>
  <si>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</si>
  <si>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</si>
  <si>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</si>
  <si>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DUPLA, PVC SERIE R, DN 100 X 100 X 100 MM, PARA ESGOTO PREDIAL</t>
  </si>
  <si>
    <t>JUNCAO DUPLA, PVC SOLDAVEL, DN 100 X 100 X 100 MM, SERIE NORMAL PARA ESGOTO PREDIAL</t>
  </si>
  <si>
    <t>JUNCAO INVERTIDA, PVC SOLDAVEL, 75 X 75 MM, SERIE NORMAL PARA ESGOTO PREDIAL</t>
  </si>
  <si>
    <t>JUNCAO SIMPLES DE REDUCAO, PVC, DN 100 X 50 MM, SERIE NORMAL PARA ESGOTO PREDIAL</t>
  </si>
  <si>
    <t>JUNCAO SIMPLES DE REDUCAO, PVC, DN 100 X 75 MM, SERIE NORMAL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</si>
  <si>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</si>
  <si>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</si>
  <si>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</si>
  <si>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</si>
  <si>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</si>
  <si>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</si>
  <si>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</si>
  <si>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45 GRAUS, DN 100 X 100 MM, SERIE NORMAL PARA ESGOTO PREDIAL</t>
  </si>
  <si>
    <t>JUNCAO SIMPLES, PVC, 45 GRAUS, DN 40 X 40 MM, SERIE NORMAL PARA ESGOTO PREDIAL</t>
  </si>
  <si>
    <t>JUNCAO SIMPLES, PVC, 45 GRAUS, DN 50 X 50 MM, SERIE NORMAL PARA ESGOTO PREDIAL</t>
  </si>
  <si>
    <t>JUNCAO SIMPLES, PVC, 45 GRAUS, DN 75 X 75 MM, SERIE NORMAL PARA ESGOTO PREDIAL</t>
  </si>
  <si>
    <t>JUNCAO, PVC, 45 GRAUS, JE, BBB, DN 150 MM, PARA TUBO CORRUGADO E/OU LISO, REDE COLETORA DE ESGOTO</t>
  </si>
  <si>
    <t>JUNTA DE EXPANSAO BRONZE/LATAO, PONTA X PONTA, 35 MM</t>
  </si>
  <si>
    <t>JUNTA DE EXPANSAO BRONZE/LATAO, PONTA X PONTA, 42 MM</t>
  </si>
  <si>
    <t>JUNTA DE EXPANSAO BRONZE/LATAO, PONTA X PONTA, 54 MM</t>
  </si>
  <si>
    <t>JUNTA DE EXPANSAO BRONZE/LATAO, PONTA X PONTA, 66 MM</t>
  </si>
  <si>
    <t>JUNTA DE EXPANSAO DE COBRE, PONTA X PONTA, 15 MM</t>
  </si>
  <si>
    <t>JUNTA DE EXPANSAO DE COBRE, PONTA X PONTA, 22 MM</t>
  </si>
  <si>
    <t>JUNTA DE EXPANSAO DE COBRE,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</si>
  <si>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</si>
  <si>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</si>
  <si>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</si>
  <si>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</si>
  <si>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</si>
  <si>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</si>
  <si>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</si>
  <si>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</si>
  <si>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</si>
  <si>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INSTAL. PEX, QUADRO METALICO C/ TRAVESSA C/ FURO P/ESGOTO DN 50 MM E FUROS SUPERIORES P/AGUA, *340* X *650* MM (L X H), P/ CONEXAO COM ANEL DESLIZANTE (CONJUNTO COMPLETO)</t>
  </si>
  <si>
    <t>KIT CHASSI COZINHA, CUBA SIMPLES SEM MAQUINA LAVAR LOUCA, INSTAL. PEX, QUADRO METALICO C/ TRAVESSA COM FURO P/ESGOTO DN 50 MM E FUROS SUPERIORES P/AGUA, *340* X *650* MM (L X H), P/ CONEXAO COM CRIMPAGEM (CONJUNTO COMPLETO)</t>
  </si>
  <si>
    <t>KIT CHASSI TANQUE E MAQUINA LAVAR ROUPA, INSTAL. PEX, QUADRO METALICO C/ TRAVESSA C/ FURO P/ ESGOTO DN 50 MM, FURO LATERAL P/ MAQUINA E FUROS SUPERIORES P/ AGUA, *344* X *442* MM (L X H), P/ CONEXAO COM ANEL DESLIZANTE (CONJUNTO COMPLETO)</t>
  </si>
  <si>
    <t>KIT CHASSI TANQUE E MAQUINA LAVAR ROUPA, INSTAL. PEX, QUADRO METALICO C/ TRAVESSA C/ FURO P/ ESGOTO DN 50 MM, FURO LATERAL P/MAQUINA E FUROS SUPERIORES P/AGUA, *344* X *442* MM (L X H), P/ CONEXAO COM CRIMPAGEM (CONJUNTO COMPLETO)</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</si>
  <si>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</si>
  <si>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</si>
  <si>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</si>
  <si>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</si>
  <si>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</si>
  <si>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</si>
  <si>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</si>
  <si>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</si>
  <si>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</si>
  <si>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</si>
  <si>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</si>
  <si>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</si>
  <si>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</si>
  <si>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</si>
  <si>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</si>
  <si>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</si>
  <si>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</si>
  <si>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</si>
  <si>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</si>
  <si>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</si>
  <si>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</si>
  <si>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NUCLEO SOLIDO, ESTRUTURA USINADA PARA FECHADURA, CAPA LISA EM HDF, ACABAMENTO EM LAMINADO NATURAL COM VERNIZ (INCLUI MARCO, ALIZARES E DOBRADICAS)</t>
  </si>
  <si>
    <t>LADRILHO HIDRAULICO, *20 X 20* CM, E= 2 CM, PADRAO COPACABANA, 2 CORES (PRETO E BRANCO)</t>
  </si>
  <si>
    <t>LADRILHO HIDRAULICO, *20 X 20* CM, E= 2 CM, PADRAO DADOS, COR NATURAL</t>
  </si>
  <si>
    <t>LADRILHO HIDRAULICO, *25 X 25* CM, E= 2 CM, PADRAO RAMPA, COR NATURAL</t>
  </si>
  <si>
    <t>LADRILHO HIDRAULICO, *30 X 30* CM, E= 2 CM, PADRAO MILANO, COR NATURAL</t>
  </si>
  <si>
    <t>LAJE PRE-MOLDADA CONVENCIONAL (LAJOTAS + VIGOTAS) PARA FORRO, UNIDIRECIONAL, SOBRECARGA 100 KG/M2, VAO ATE 5,00 M (SEM COLOCACAO)</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</si>
  <si>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</si>
  <si>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</si>
  <si>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PISO, UNIDIRECIONAL, SOBRECARGA 350 KG/M2 VAO ATE 3,50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</si>
  <si>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</si>
  <si>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</si>
  <si>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</si>
  <si>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</si>
  <si>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</si>
  <si>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</si>
  <si>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</si>
  <si>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</si>
  <si>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</si>
  <si>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</si>
  <si>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LED 10 W BIVOLT BRANCA, FORMATO TRADICIONAL (BASE E27)</t>
  </si>
  <si>
    <t>LAMPADA LED 6 W BIVOLT BRANCA, FORMATO TRADICIONAL (BASE E27)</t>
  </si>
  <si>
    <t>LAMPADA LED TIPO DICROICA BIVOLT, LUZ BRANCA, 5 W (BASE GU10)</t>
  </si>
  <si>
    <t>LAMPADA LED TUBULAR BIVOLT 18/20 W, BASE G13</t>
  </si>
  <si>
    <t>LAMPADA LED TUBULAR BIVOLT 9/10 W, BASE G13</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</si>
  <si>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</si>
  <si>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</si>
  <si>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</si>
  <si>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</si>
  <si>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</si>
  <si>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</si>
  <si>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</si>
  <si>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</si>
  <si>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</si>
  <si>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</si>
  <si>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</si>
  <si>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</si>
  <si>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LETRA ACO INOX (AISI 304), CHAPA NUM. 22, RECORTADO, H= 20 CM (SEM RELEVO)</t>
  </si>
  <si>
    <t>LEVANTADOR DE JANELA GUILHOTINA, EM LATAO CROMADO</t>
  </si>
  <si>
    <t>LIMPA VIDROS COM PULVERIZADOR</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</si>
  <si>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</si>
  <si>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</si>
  <si>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</si>
  <si>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</si>
  <si>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PARA PEDREIRO LISA, 0,8 MM X 100 M</t>
  </si>
  <si>
    <t>LIXA D'AGUA EM FOLHA, COR PRETA, GRAO 100</t>
  </si>
  <si>
    <t>LIXA EM FOLHA PARA FERRO, NUMERO 150</t>
  </si>
  <si>
    <t>LIXA EM FOLHA PARA PAREDE OU MADEIRA, NUMERO 120, COR VERMELHA</t>
  </si>
  <si>
    <t>LIXADEIRA ELETRICA ANGULAR PARA CONCRETO, POTENCIA 1.400 W, PRATO DIAMANTADO DE 5"</t>
  </si>
  <si>
    <t>LIXADEIRA ELETRICA ANGULAR, PARA DISCO DE 7"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</si>
  <si>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</si>
  <si>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PECAS COM APROXIMADAMENTE 1,20 M DE LARGURA E 2,0 M DE ALTURA, INCLUINDO DIAGONAIS EM X, BARRAS DE LIGACAO, SAPATAS E DEMAIS ITENS NECESSARIOS A MONTAGEM (NAO INCLUI INSTALACAO)</t>
  </si>
  <si>
    <t>LOCACAO DE ANDAIME METALICO TUBULAR DE ENCAIXE, TIPO DE TORRE, CADA PAINEL COM LARGURA DE 1 ATE 1,5 M E ALTURA DE *1,00* M, INCLUINDO DIAGONAL, BARRAS DE LIGACAO, SAPATAS OU RODIZIOS E DEMAIS ITENS NECESSARIOS A MONTAGEM (NAO INCLUI INSTALACAO)</t>
  </si>
  <si>
    <t>MXMES</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</si>
  <si>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</si>
  <si>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</si>
  <si>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</si>
  <si>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</si>
  <si>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</si>
  <si>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</si>
  <si>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</si>
  <si>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</si>
  <si>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4,30 M, ALT. 2,50 M, P/ SANITARIO, C/ 5 BACIAS, 1 LAVATORIO E 4 MICTORIOS (NAO INCLUI MOBILIZACAO/DESMOBILIZACAO)</t>
  </si>
  <si>
    <t>LOCACAO DE CONTAINER 2,30 X 4,30 M, ALT. 2,50 M, PARA SANITARIO, COM 3 BACIAS, 4 CHUVEIROS, 1 LAVATORIO E 1 MICTORIO (NAO INCLUI MOBILIZACAO/DESMOBILIZACAO)</t>
  </si>
  <si>
    <t>LOCACAO DE CONTAINER 2,30 X 6,00 M, ALT. 2,50 M, COM 1 SANITARIO, PARA ESCRITORIO, COMPLETO, SEM DIVISORIAS INTERNAS (NAO INCLUI MOBILIZACAO/DESMOBILIZACAO)</t>
  </si>
  <si>
    <t>LOCACAO DE CONTAINER 2,30 X 6,00 M, ALT. 2,50 M, PARA ESCRITORIO, SEM DIVISORIAS INTERNAS E SEM SANITARIO (NAO INCLUI MOBILIZACAO/DESMOBILIZACAO)</t>
  </si>
  <si>
    <t>LOCACAO DE CONTAINER 2,30 X 6,00 M, ALT. 2,50 M, PARA SANITARIO, COM 4 BACIAS, 8 CHUVEIROS,1 LAVATORIO E 1 MICTORIO (NAO INCLUI MOBILIZACAO/DESMOBILIZACAO)</t>
  </si>
  <si>
    <t>LOCACAO DE CRUZETA, SIMPLES, PARA ESCORA METALICA, COMPRIMENTO ENTRE 50 A 60 CM, PARA ESCORA DE 1,80 A 3,20 METROS E TUBO EXTERNO ATE 48 MM DE DIAMETRO</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</si>
  <si>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</si>
  <si>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</si>
  <si>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</si>
  <si>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</si>
  <si>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</si>
  <si>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</si>
  <si>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TEODOLITO ELETRONICO, PRECISAO ANGULAR DE 5 A 7 SEGUNDOS, INCLUINDO TRIPE</t>
  </si>
  <si>
    <t>LOCACAO DE TORRE METALICA COMPLETA PARA UMA CARGA DE 8 TF (80 KN) E PE DIREITO DE 6 M, INCLUINDO MODULOS, DIAGONAIS, SAPATAS E FORCADOS</t>
  </si>
  <si>
    <t>LOCACAO DE VIGA SANDUICHE METALICA VAZADA PARA TRAVAMENTO DE PILARES, ALTURA DE *8* CM, LARGURA DE *6* CM E EXTENSAO DE 2 M</t>
  </si>
  <si>
    <t>LONA PLASTICA EXTRA FORTE PRETA, E = 200 MICRA</t>
  </si>
  <si>
    <t>LONA PLASTICA PESADA PRETA, E = 150 MICRA</t>
  </si>
  <si>
    <t>LUBRIFICANTE REDUTOR DE TORQUE E ARRASTO DE ALTO DESEMPENHO, PARA PERFURACAO HORIZONTAL DIRECIONAL, HDD</t>
  </si>
  <si>
    <t>LUMINARIA ABERTA P/ ILUMINACAO PUBLICA, TIPO X-57 PETERCO OU EQUIV</t>
  </si>
  <si>
    <t>LUMINARIA ARANDELA TIPO MEIA-LUA COM VIDRO FOSCO *30 X 15* CM, PARA 1 LAMPADA, BASE E27, POTENCIA MAXIMA 40/60 W (NAO INCLUI LAMPADA)</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</si>
  <si>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</si>
  <si>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</si>
  <si>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</si>
  <si>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</si>
  <si>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</si>
  <si>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</si>
  <si>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</si>
  <si>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</si>
  <si>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</si>
  <si>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</si>
  <si>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*36* W, ALETADA, COMPLETA (LAMPADA E REATOR INCLUSOS)</t>
  </si>
  <si>
    <t>LUMINARIA DE TETO PLAFON/PLAFONIER EM PLASTICO COM BASE E27, POTENCIA MAXIMA 60 W (NAO INCLUI LAMPADA)</t>
  </si>
  <si>
    <t>LUMINARIA DUPLA P/SINALIZACAO, TIPO WETZEL AS-2/110 OU EQUIV</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</si>
  <si>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</si>
  <si>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</si>
  <si>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</si>
  <si>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</si>
  <si>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</si>
  <si>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</si>
  <si>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</si>
  <si>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</si>
  <si>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</si>
  <si>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</si>
  <si>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(NAO INCLUI LAMPADA)</t>
  </si>
  <si>
    <t>LUMINARIA TIPO TARTARUGA PARA AREA EXTERNA EM ALUMINIO, COM GRADE, PARA 1 LAMPADA, BASE E27, POTENCIA MAXIMA 40/60 W (NAO INCLUI LAMPADA)</t>
  </si>
  <si>
    <t>LUVA CPVC, SOLDAVEL, 114 MM, PARA AGUA QUENTE PREDIAL</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</si>
  <si>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</si>
  <si>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</si>
  <si>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</si>
  <si>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</si>
  <si>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</si>
  <si>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</si>
  <si>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</si>
  <si>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</si>
  <si>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</si>
  <si>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SEM ANEL DE SOLDA, BOLSA X BOLSA, 104 MM</t>
  </si>
  <si>
    <t>LUVA DE COBRE SEM ANEL DE SOLDA, BOLSA X BOLSA, 15 MM</t>
  </si>
  <si>
    <t>LUVA DE COBRE SEM ANEL DE SOLDA, BOLSA X BOLSA, 22 MM</t>
  </si>
  <si>
    <t>LUVA DE COBRE SEM ANEL DE SOLDA, BOLSA X BOLSA, 28 MM</t>
  </si>
  <si>
    <t>LUVA DE COBRE SEM ANEL DE SOLDA, BOLSA X BOLSA, 35 MM</t>
  </si>
  <si>
    <t>LUVA DE COBRE SEM ANEL DE SOLDA, BOLSA X BOLSA, 42 MM</t>
  </si>
  <si>
    <t>LUVA DE COBRE SEM ANEL DE SOLDA, BOLSA X BOLSA, 54 MM</t>
  </si>
  <si>
    <t>LUVA DE COBRE SEM ANEL DE SOLDA, BOLSA X BOLSA, 66 MM</t>
  </si>
  <si>
    <t>LUVA DE COBRE SEM ANEL DE SOLDA, BOLSA X BOLSA, 79 MM</t>
  </si>
  <si>
    <t>LUVA DE CORRER COM TRAVAS DEFOFO, PVC, JE, DN 100 MM</t>
  </si>
  <si>
    <t>LUVA DE CORRER COM TRAVAS DEFOFO, PVC, JE, DN 150 MM</t>
  </si>
  <si>
    <t>LUVA DE CORRER COM TRAVAS DEFOFO, PVC, JE, DN 200 MM</t>
  </si>
  <si>
    <t>LUVA DE CORRER COM TRAVAS DEFOFO, PVC, JE, DN 250 MM</t>
  </si>
  <si>
    <t>LUVA DE CORRER COM TRAVAS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</si>
  <si>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</si>
  <si>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</si>
  <si>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</si>
  <si>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</si>
  <si>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</si>
  <si>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</si>
  <si>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40 MM, PARA AGUA FRIA PREDIAL</t>
  </si>
  <si>
    <t>LUVA DE CORRER PARA TUBO SOLDAVEL, PVC, 50 MM, PARA AGUA FRIA PREDIAL</t>
  </si>
  <si>
    <t>LUVA DE CORRER PARA TUBO SOLDAVEL, PVC, 60 MM, PARA AGUA FRIA PREDIAL</t>
  </si>
  <si>
    <t>LUVA DE CORRER PVC PBA, JE, DN 100 / DE 110 MM, PARA REDE DE AGUA</t>
  </si>
  <si>
    <t>LUVA DE CORRER PVC PBA, JE, DN 50 / DE 60 MM, PARA REDE DE AGUA</t>
  </si>
  <si>
    <t>LUVA DE CORRER PVC PBA, JE, DN 75 / DE 85 MM, PARA REDE DE AGUA</t>
  </si>
  <si>
    <t>LUVA DE CORRER PVC, JE, DN 250 MM, PARA REDE COLETORA DE ESGOTO</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</si>
  <si>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</si>
  <si>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</si>
  <si>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</si>
  <si>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</si>
  <si>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</si>
  <si>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SERIE R, 100 MM, PARA ESGOTO PREDIAL</t>
  </si>
  <si>
    <t>LUVA DE CORRER, PVC SERIE R, 150 MM, PARA ESGOTO PREDIAL</t>
  </si>
  <si>
    <t>LUVA DE CORRER, PVC SERIE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</si>
  <si>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</si>
  <si>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</si>
  <si>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</si>
  <si>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</si>
  <si>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</si>
  <si>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</si>
  <si>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t>
  </si>
  <si>
    <t>LUVA DE FERRO GALVANIZADO, COM ROSCA BSP, DE 1/2"</t>
  </si>
  <si>
    <t>LUVA DE FERRO GALVANIZADO, COM ROSCA BSP, DE 2 1/2"</t>
  </si>
  <si>
    <t>LUVA DE FERRO GALVANIZADO, COM ROSCA BSP, DE 2"</t>
  </si>
  <si>
    <t>LUVA DE FERRO GALVANIZADO, COM ROSCA BSP, DE 3"</t>
  </si>
  <si>
    <t>LUVA DE FERRO GALVANIZADO, COM ROSCA BSP, DE 3/4"</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</si>
  <si>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</si>
  <si>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</si>
  <si>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</si>
  <si>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</si>
  <si>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</si>
  <si>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</si>
  <si>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</si>
  <si>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</si>
  <si>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</si>
  <si>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</si>
  <si>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</si>
  <si>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t>
  </si>
  <si>
    <t>LUVA DE REDUCAO DE FERRO GALVANIZADO, COM ROSCA BSP, DE 1 1/2" X 1/2"</t>
  </si>
  <si>
    <t>LUVA DE REDUCAO DE FERRO GALVANIZADO, COM ROSCA BSP, DE 1 1/2" X 3/4"</t>
  </si>
  <si>
    <t>LUVA DE REDUCAO DE FERRO GALVANIZADO, COM ROSCA BSP, DE 1 1/4" X 1"</t>
  </si>
  <si>
    <t>LUVA DE REDUCAO DE FERRO GALVANIZADO, COM ROSCA BSP, DE 1 1/4" X 1/2"</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</si>
  <si>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</si>
  <si>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</si>
  <si>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</si>
  <si>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</si>
  <si>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</si>
  <si>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</si>
  <si>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</si>
  <si>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</si>
  <si>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 X 1 1/2"</t>
  </si>
  <si>
    <t>LUVA DE REDUCAO DE FERRO GALVANIZADO, COM ROSCA BSP, DE 3" X 2 1/2"</t>
  </si>
  <si>
    <t>LUVA DE REDUCAO DE FERRO GALVANIZADO, COM ROSCA BSP, DE 3" X 2"</t>
  </si>
  <si>
    <t>LUVA DE REDUCAO DE FERRO GALVANIZADO, COM ROSCA BSP, DE 3/4" X 1/2"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</si>
  <si>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</si>
  <si>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</si>
  <si>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</si>
  <si>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</si>
  <si>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</si>
  <si>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</si>
  <si>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</si>
  <si>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</si>
  <si>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</si>
  <si>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</si>
  <si>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</si>
  <si>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</si>
  <si>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</si>
  <si>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</si>
  <si>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</si>
  <si>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</si>
  <si>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SOLDAVEL, PVC, 50 X 25 MM, PARA AGUA FRIA PREDIAL</t>
  </si>
  <si>
    <t>LUVA DE TRANSICAO DE CPVC X PVC, SOLDAVEL, 22 X 25 MM, PARA AGUA QUENTE</t>
  </si>
  <si>
    <t>LUVA DE TRANSICAO, CPVC, 15 MM X 1/2", PARA AGUA QUENTE PREDIAL</t>
  </si>
  <si>
    <t>LUVA DE TRANSICAO, CPVC, 22 MM X 1/2", PARA AGUA QUENTE</t>
  </si>
  <si>
    <t>LUVA DE TRANSICAO, CPVC, SOLDAVEL, 42 MM X 1 1/2", PARA AGUA QUENTE</t>
  </si>
  <si>
    <t>LUVA DE TRANSICAO, CPVC, SOLDAVEL, 54 MM X 2", PARA AGUA QUENTE PREDIAL</t>
  </si>
  <si>
    <t>LUVA EM ACO CARBONO, SOLDAVEL, PRESSAO 3.000 LBS, DN 1 1/2"</t>
  </si>
  <si>
    <t>LUVA EM ACO CARBONO, SOLDAVEL, PRESSAO 3.000 LBS, DN 1 1/4"</t>
  </si>
  <si>
    <t>LUVA EM ACO CARBONO, SOLDAVEL, PRESSAO 3.000 LBS, DN 1"</t>
  </si>
  <si>
    <t>LUVA EM ACO CARBONO, SOLDAVEL, PRESSAO 3.000 LBS, DN 1/2"</t>
  </si>
  <si>
    <t>LUVA EM ACO CARBONO, SOLDAVEL, PRESSAO 3.000 LBS, DN 2 1/2"</t>
  </si>
  <si>
    <t>LUVA EM ACO CARBONO, SOLDAVEL, PRESSAO 3.000 LBS, DN 2"</t>
  </si>
  <si>
    <t>LUVA EM ACO CARBONO, SOLDAVEL, PRESSAO 3.000 LBS, DN 3"</t>
  </si>
  <si>
    <t>LUVA EM ACO CARBONO, SOLDAVEL, PRESSAO 3.000 LBS, DN 3/4"</t>
  </si>
  <si>
    <t>LUVA EM PVC RIGIDO ROSCAVEL, DE 1 1/2", PARA ELETRODUTO</t>
  </si>
  <si>
    <t>LUVA EM PVC RIGIDO ROSCAVEL, DE 1 1/4", PARA ELETRODUTO</t>
  </si>
  <si>
    <t>LUVA EM PVC RIGIDO ROSCAVEL, DE 1", PARA ELETRODUTO</t>
  </si>
  <si>
    <t>LUVA EM PVC RIGIDO ROSCAVEL, DE 1/2", PARA ELETRODUTO</t>
  </si>
  <si>
    <t>LUVA EM PVC RIGIDO ROSCAVEL, DE 2 1/2", PARA ELETRODUTO</t>
  </si>
  <si>
    <t>LUVA EM PVC RIGIDO ROSCAVEL, DE 2", PARA ELETRODUTO</t>
  </si>
  <si>
    <t>LUVA EM PVC RIGIDO ROSCAVEL, DE 3", PARA ELETRODUTO</t>
  </si>
  <si>
    <t>LUVA EM PVC RIGIDO ROSCAVEL, DE 3/4", PARA ELETRODUTO</t>
  </si>
  <si>
    <t>LUVA EM PVC RIGIDO ROSCAVEL, DE 4", PARA ELETRODUTO</t>
  </si>
  <si>
    <t>LUVA PARA ELETRODUTO, EM ACO GALVANIZADO ELETROLITICO, COM ROSCA, DIAMETRO DE 100 MM (4")</t>
  </si>
  <si>
    <t>LUVA PARA ELETRODUTO, EM ACO GALVANIZADO ELETROLITICO, COM ROSCA, DIAMETRO DE 15 MM (1/2")</t>
  </si>
  <si>
    <t>LUVA PARA ELETRODUTO, EM ACO GALVANIZADO ELETROLITICO, COM ROSCA, DIAMETRO DE 20 MM (3/4")</t>
  </si>
  <si>
    <t>LUVA PARA ELETRODUTO, EM ACO GALVANIZADO ELETROLITICO, COM ROSCA, DIAMETRO DE 25 MM (1")</t>
  </si>
  <si>
    <t>LUVA PARA ELETRODUTO, EM ACO GALVANIZADO ELETROLITICO, COM ROSCA, DIAMETRO DE 32 MM (1 1/4")</t>
  </si>
  <si>
    <t>LUVA PARA ELETRODUTO, EM ACO GALVANIZADO ELETROLITICO, COM ROSCA, DIAMETRO DE 40 MM (1 1/2")</t>
  </si>
  <si>
    <t>LUVA PARA ELETRODUTO, EM ACO GALVANIZADO ELETROLITICO, COM ROSCA, DIAMETRO DE 65 MM (2 1/2")</t>
  </si>
  <si>
    <t>LUVA PARA ELETRODUTO, EM ACO GALVANIZADO ELETROLITICO, COM ROSCA, DIAMETRO DE 80 MM (3")</t>
  </si>
  <si>
    <t>LUVA PARA ELETRODUTO, EM ACO GALVANIZADO ELETROLITICO, COM ROSCA,DIAMETRO DE 50 MM (2")</t>
  </si>
  <si>
    <t>LUVA PARA PERFURATRIZ DE ESTEIRA T38, D = 1 1/2"</t>
  </si>
  <si>
    <t>LUVA PASSANTE DE COBRE SEM ANEL DE SOLDA, BOLSA 15 MM</t>
  </si>
  <si>
    <t>LUVA PASSANTE DE COBRE SEM ANEL DE SOLDA, BOLSA 22 MM</t>
  </si>
  <si>
    <t>LUVA PASSANTE DE COBRE SEM ANEL DE SOLDA, BOLSA 28 MM</t>
  </si>
  <si>
    <t>LUVA PASSANTE DE COBRE SEM ANEL DE SOLDA, BOLSA 35 MM</t>
  </si>
  <si>
    <t>LUVA PASSANTE DE COBRE SEM ANEL DE SOLDA, BOLSA 42 MM</t>
  </si>
  <si>
    <t>LUVA PASSANTE DE COBRE SEM ANEL DE SOLDA, BOLSA 54 MM</t>
  </si>
  <si>
    <t>LUVA PASSANTE DE COBRE SEM ANEL DE SOLDA, BOLSA 66 MM</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</si>
  <si>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</si>
  <si>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</si>
  <si>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</si>
  <si>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</si>
  <si>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</si>
  <si>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</si>
  <si>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</si>
  <si>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</si>
  <si>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</si>
  <si>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1 1/2", AGUA FRIA PREDIAL</t>
  </si>
  <si>
    <t>LUVA PVC, ROSCAVEL, 1", AGUA FRIA PREDIAL</t>
  </si>
  <si>
    <t>LUVA PVC, ROSCAVEL, 1/2", AGUA FRIA PREDIAL</t>
  </si>
  <si>
    <t>LUVA PVC, ROSCAVEL, 3/4", AGUA FRIA PREDIAL</t>
  </si>
  <si>
    <t>LUVA RASPA DE COURO, CANO CURTO (PUNHO *7* CM)</t>
  </si>
  <si>
    <t>LUVA SIMPLES PPR, F/F, SOLDAVEL, DN 110 MM, PARA AGUA QUENTE PREDIAL</t>
  </si>
  <si>
    <t>LUVA SIMPLES PPR, F/F, SOLDAVEL, DN 20 MM, PARA AGUA QUENTE PREDIAL</t>
  </si>
  <si>
    <t>LUVA SIMPLES PPR, F/F, SOLDAVEL, DN 25 MM, PARA AGUA QUENTE PREDIAL</t>
  </si>
  <si>
    <t>LUVA SIMPLES PPR, F/F, SOLDAVEL, DN 32 MM, PARA AGUA QUENTE PREDIAL</t>
  </si>
  <si>
    <t>LUVA SIMPLES PPR, F/F, SOLDAVEL, DN 40 MM, PARA AGUA QUENTE PREDIAL</t>
  </si>
  <si>
    <t>LUVA SIMPLES PPR, F/F, SOLDAVEL, DN 50 MM, PARA AGUA QUENTE PREDIAL</t>
  </si>
  <si>
    <t>LUVA SIMPLES PPR, F/F, SOLDAVEL, DN 63 MM, PARA AGUA QUENTE PREDIAL</t>
  </si>
  <si>
    <t>LUVA SIMPLES PPR, F/F, SOLDAVEL, DN 75 MM, PARA AGUA QUENTE PREDIAL</t>
  </si>
  <si>
    <t>LUVA SIMPLES PPR, F/F, SOLDAVEL, DN 90 MM, PARA AGUA QUENTE PREDIAL</t>
  </si>
  <si>
    <t>LUVA SIMPLES PVC PBA, JE, DN 100 / DE 110 MM, PARA REDE DE AGUA</t>
  </si>
  <si>
    <t>LUVA SIMPLES PVC PBA, JE, DN 50 / DE 60 MM, PARA REDE DE AGUA</t>
  </si>
  <si>
    <t>LUVA SIMPLES PVC PBA, JE, DN 75 / DE 85 MM, PARA REDE DE AGUA</t>
  </si>
  <si>
    <t>LUVA SIMPLES, PVC SERIE R, 100 MM, PARA ESGOTO PREDIAL</t>
  </si>
  <si>
    <t>LUVA SIMPLES, PVC SERIE R, 150 MM, PARA ESGOTO PREDIAL</t>
  </si>
  <si>
    <t>LUVA SIMPLES, PVC SERIE R, 40 MM, PARA ESGOTO PREDIAL</t>
  </si>
  <si>
    <t>LUVA SIMPLES, PVC SERIE R, 50 MM, PARA ESGOTO PREDIAL</t>
  </si>
  <si>
    <t>LUVA SIMPLES, PVC SERIE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</si>
  <si>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</si>
  <si>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</si>
  <si>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</si>
  <si>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</si>
  <si>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</si>
  <si>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</si>
  <si>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</si>
  <si>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</si>
  <si>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</si>
  <si>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</si>
  <si>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</si>
  <si>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</si>
  <si>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</si>
  <si>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</si>
  <si>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</si>
  <si>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125 MM, PARA ELETROFUSAO</t>
  </si>
  <si>
    <t>LUVA, PEAD PE 100, DE 20 MM, PARA ELETROFUSAO</t>
  </si>
  <si>
    <t>LUVA, PEAD PE 100, DE 200 MM, PARA ELETROFUSAO</t>
  </si>
  <si>
    <t>LUVA, PEAD PE 100, DE 32 MM, PARA ELETROFUSAO</t>
  </si>
  <si>
    <t>LUVA, PEAD PE 100, DE 400 MM, PARA ELETROFUSAO</t>
  </si>
  <si>
    <t>LUVA, PEAD PE 100, DE 63 MM, PARA ELETROFUSAO</t>
  </si>
  <si>
    <t>LUVA/UNIAO DE REDUCAO METALICA, PARA CONEXAO COM ANEL DESLIZANTE, DN 20 X 16 MM, EM TUBO PEX PARA INST. AGUA QUENTE/FRIA</t>
  </si>
  <si>
    <t>LUVA/UNIAO DE REDUCAO METALICA, PARA CONEXAO COM ANEL DESLIZANTE, DN 25 X 16 MM, EM TUBO PEX PARA INST. AGUA QUENTE/FRIA</t>
  </si>
  <si>
    <t>LUVA/UNIAO DE REDUCAO METALICA, PARA CONEXAO COM ANEL DESLIZANTE, DN 25 X 20 MM, EM TUBO PEX PARA INST. AGUA QUENTE/FRIA</t>
  </si>
  <si>
    <t>LUVA/UNIAO DE REDUCAO METALICA, PARA CONEXAO COM ANEL DESLIZANTE, DN 32 X 25 MM, EM TUBO PEX PARA INST. AGUA QUENTE/FRIA</t>
  </si>
  <si>
    <t>LUVA/UNIAO DE REDUCAO, PLASTICA, PARA CONEXAO COM CRIMPAGEM, DN 20 X 16 MM, EM TUBO PEX PARA INST. AGUA QUENTE/FRIA</t>
  </si>
  <si>
    <t>LUVA/UNIAO DE REDUCAO, PLASTICA, PARA CONEXAO COM CRIMPAGEM, DN 25 X 16 MM, EM TUBO PEX PARA INST. AGUA QUENTE/FRIA</t>
  </si>
  <si>
    <t>LUVA/UNIAO DE REDUCAO, PLASTICA, PARA CONEXAO COM CRIMPAGEM, DN 32 X 25 MM, EM TUBO PEX PARA INST. AGUA QUENTE/FRIA</t>
  </si>
  <si>
    <t>LUVA/UNIAO METALICA, PARA CONEXAO COM ANEL DESLIZANTE, DN 16 MM, EM TUBO PEX PARA INST. AGUA QUENTE/FRIA</t>
  </si>
  <si>
    <t>LUVA/UNIAO METALICA, PARA CONEXAO COM ANEL DESLIZANTE, DN 20 MM, EM TUBO PEX PARA INST. AGUA QUENTE/FRIA</t>
  </si>
  <si>
    <t>LUVA/UNIAO METALICA, PARA CONEXAO COM ANEL DESLIZANTE, DN 25 MM, EM TUBO PEX PARA INST. AGUA QUENTE/FRIA</t>
  </si>
  <si>
    <t>LUVA/UNIAO METALICA, PARA CONEXAO COM ANEL DESLIZANTE, DN 32 MM, EM TUBO PEX PARA INST. AGUA QUENTE/FRIA</t>
  </si>
  <si>
    <t>LUVA/UNIAO, PLASTICA, PARA CONEXAO COM CRIMPAGEM, DN 16 MM, EM TUBO PEX PARA INST. AGUA QUENTE/FRIA</t>
  </si>
  <si>
    <t>LUVA/UNIAO, PLASTICA, PARA CONEXAO COM CRIMPAGEM, DN 20 MM, EM TUBO PEX PARA INST. AGUA QUENTE/FRIA</t>
  </si>
  <si>
    <t>LUVA/UNIAO, PLASTICA, PARA CONEXAO COM CRIMPAGEM, DN 25 MM, EM TUBO PEX PARA INST. AGUA QUENTE/FRIA</t>
  </si>
  <si>
    <t>LUVA/UNIAO, PLASTICA, PARA CONEXAO COM CRIMPAGEM, DN 32 MM, EM TUBO PEX PARA INST. AGUA QUENTE/FRIA</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</si>
  <si>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</si>
  <si>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</si>
  <si>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</si>
  <si>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</si>
  <si>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 (HORISTA)</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</si>
  <si>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</si>
  <si>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</si>
  <si>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</si>
  <si>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</si>
  <si>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</si>
  <si>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</si>
  <si>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</si>
  <si>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TRANCADA, PVC COM REFORCO, COM PRESSAO DE TRABALHO (PT) 250 LBS/POL2, DE 3/4" X *2,8* MM</t>
  </si>
  <si>
    <t>MANGUEIRA CRISTAL TRANCADA, PVC COM REFORCO, PRESSAO DE TRABALHO (PT) 250 LBS/POL2, DE 1" X *3,1* MM</t>
  </si>
  <si>
    <t>MANGUEIRA CRISTAL, LISA, PVC TRANSPARENTE, 1/2" X 2 MM</t>
  </si>
  <si>
    <t>MANGUEIRA CRISTAL, LISA, PVC TRANSPARENTE, 1/4" X1 MM</t>
  </si>
  <si>
    <t>MANGUEIRA CRISTAL, LISA, PVC TRANSPARENTE, 1/4" X1,5 MM</t>
  </si>
  <si>
    <t>MANGUEIRA CRISTAL, LISA, PVC TRANSPARENTE, 3/4" X 2 MM</t>
  </si>
  <si>
    <t>MANGUEIRA CRISTAL, LISA, PVC TRANSPARENTE, 3/8" X 1,5 MM</t>
  </si>
  <si>
    <t>MANGUEIRA CRISTAL, LISA, PVC TRANSPARENTE, 5/16" X 1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</si>
  <si>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</si>
  <si>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</si>
  <si>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</si>
  <si>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</si>
  <si>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</si>
  <si>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</si>
  <si>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</si>
  <si>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</si>
  <si>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</si>
  <si>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</si>
  <si>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</si>
  <si>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</si>
  <si>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 TIPO FLAT/ACHATADA,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</si>
  <si>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</si>
  <si>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</si>
  <si>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</si>
  <si>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</si>
  <si>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</si>
  <si>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 LENCOL DE BORRACHA, SBR, ANTIRRUIDO, E = 5 MM</t>
  </si>
  <si>
    <t>MANTA ALUMINIZADA 1 FACE PARA SUBCOBERTURA, E = *1* MM</t>
  </si>
  <si>
    <t>MANTA ANTIRRUIDO DE POLIESTER (PET) PARA CONTRAPISO E = *8* MM</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</si>
  <si>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</si>
  <si>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</si>
  <si>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</si>
  <si>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EM POLIESTER ALUMINIZADA 3 MM, TIPO III, CLASSE B (NBR 9952)</t>
  </si>
  <si>
    <t>MANTA ASFALTICA ELASTOMERICA TIPO GLASS 3 MM, TIPO II, CLASSE C, ACABAMENTO PP (NBR 9952)</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</si>
  <si>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</si>
  <si>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</si>
  <si>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</si>
  <si>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</si>
  <si>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DE EMULSAO ASFALTICA PARA IMPERMEABILIZACAO FLEXIVEL)</t>
  </si>
  <si>
    <t>MANTA TERMOPLASTICA, PEAD, GEOMEMBRANA LISA, E = 0,50 MM (NBR 15352)</t>
  </si>
  <si>
    <t>MANTA TERMOPLASTICA, PEAD, GEOMEMBRANA LISA, E = 0,75 MM (NBR 15352)</t>
  </si>
  <si>
    <t>MANTA TERMOPLASTICA, PEAD, GEOMEMBRANA LISA, E = 0,80 MM (NBR 15352)</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</si>
  <si>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</si>
  <si>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</si>
  <si>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</si>
  <si>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</si>
  <si>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</si>
  <si>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</si>
  <si>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</si>
  <si>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</si>
  <si>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</si>
  <si>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</si>
  <si>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</si>
  <si>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E POTENCIA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</si>
  <si>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</si>
  <si>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</si>
  <si>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COM POTENCIA DE 20 CV</t>
  </si>
  <si>
    <t>MAQUINA TIPO VASO/TANQUE/JATO DE PRESSAO PORTATIL P/ JATEAMENTO, CONTROLE AUTOMATICO E REMOTO, CAMARA DE 1 SAIDA, 280 L, DIAM. *670* MM, BICO JATO CURTO VENTURI 5/16", MANGUEIRA 1" DE 10 M, COMPLETA (VALVULAS POP UP E DOSADORA, FUNDO CONICO ETC)</t>
  </si>
  <si>
    <t>MARCENEIRO (HORISTA)</t>
  </si>
  <si>
    <t>MARCENEIRO (MENSALISTA)</t>
  </si>
  <si>
    <t>MARMORISTA / GRANITEIRO (HORISTA)</t>
  </si>
  <si>
    <t>MARMORISTA / GRANITEIRO (MENSALISTA)</t>
  </si>
  <si>
    <t>MARTELO DE SOLDADOR/PICADOR DE SOLDA</t>
  </si>
  <si>
    <t>MARTELO DEMOLIDOR ELETRICO, COM POTENCIA DE 2.000 W, FREQUENCIA DE 1.000 IMPACTOS POR MINUTO, FORCA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</si>
  <si>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</si>
  <si>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</si>
  <si>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</si>
  <si>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</si>
  <si>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</si>
  <si>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</si>
  <si>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</si>
  <si>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</si>
  <si>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ACRILICA PARA SUPERFICIES INTERNAS E EXTERNAS</t>
  </si>
  <si>
    <t>MASSA CORRIDA PARA SUPERFICIES DE AMBIENTES INTERNOS</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</si>
  <si>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</si>
  <si>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</si>
  <si>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CATALISADOR)</t>
  </si>
  <si>
    <t>MASSA EPOXI BICOMPONENTE PARA REPAROS</t>
  </si>
  <si>
    <t>MASSA PARA MADEIRA - INTERIOR E EXTERIOR</t>
  </si>
  <si>
    <t>MASSA PLASTICA PARA MARMORE/GRANITO</t>
  </si>
  <si>
    <t>MASSA PREMIUM PARA TEXTURA LISA DE BASE ACRILICA, USO INTERNO E EXTERNO</t>
  </si>
  <si>
    <t>MASSA PREMIUM PARA TEXTURA RUSTICA DE BASE ACRILICA, COR BRANCA, USO INTERNO E EXTERNO</t>
  </si>
  <si>
    <t>MASTRO SIMPLES GALVANIZADO DIAMETRO NOMINAL 1 1/2"</t>
  </si>
  <si>
    <t>MASTRO SIMPLES GALVANIZADO DIAMETRO NOMINAL 2"</t>
  </si>
  <si>
    <t>MASTRO TELESCOPICO DE 4 METROS (3 M X DN= 2" + 1 M X DN= 1 1/2")</t>
  </si>
  <si>
    <t>MASTRO TELESCOPICO GALVANIZADO 5 METROS (3 M X DN= 2" + 2 M X DN= 1 1/2")</t>
  </si>
  <si>
    <t>MASTRO TELESCOPICO GALVANIZADO 6 METROS (3 M X DN= 2" + 3 M X DN= 1 1/2")</t>
  </si>
  <si>
    <t>MASTRO TELESCOPICO GALVANIZADO 7 METROS (6 M X DN= 2" + 1 M X DN= 1 1/2")</t>
  </si>
  <si>
    <t>MASTRO TELESCOPICO GALVANIZADO 9 METROS (6 M X DN= 2" + 3 M X DN= 1 1/2")</t>
  </si>
  <si>
    <t>MECANICO DE EQUIPAMENTOS PESADOS (HORISTA)</t>
  </si>
  <si>
    <t>MECANICO DE EQUIPAMENTOS PESADOS (MENSALISTA)</t>
  </si>
  <si>
    <t>MECANICO DE REFRIGERACAO (HORISTA)</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</si>
  <si>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</si>
  <si>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</si>
  <si>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</si>
  <si>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</si>
  <si>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</si>
  <si>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</si>
  <si>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</si>
  <si>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</si>
  <si>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</si>
  <si>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</si>
  <si>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</si>
  <si>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14 X 19 X 19 CM (CLASSE C - NBR 6136)</t>
  </si>
  <si>
    <t>MEIO BLOCO DE VEDACAO DE CONCRETO 19 X 19 X 19 CM (CLASSE C - NBR 6136)</t>
  </si>
  <si>
    <t>MEIO BLOCO DE VEDACAO DE CONCRETO 9 X 19 X 19 CM (CLASSE C -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</si>
  <si>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</si>
  <si>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</si>
  <si>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</si>
  <si>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ESTRUTURAL CERAMICO DE 14 X 19 X 14 CM (L X A X C) E 6,0 MPA</t>
  </si>
  <si>
    <t>MEIO BLOCO ESTRUTURAL CERAMICO DE 14 X 19 X 19 CM (L X A X C) E 6,0 MPA</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</si>
  <si>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</si>
  <si>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</si>
  <si>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</si>
  <si>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</si>
  <si>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</si>
  <si>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</si>
  <si>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</si>
  <si>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</si>
  <si>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</si>
  <si>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</si>
  <si>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</si>
  <si>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</si>
  <si>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 (HORISTA)</t>
  </si>
  <si>
    <t>MESTRE DE OBRAS (MENSALISTA)</t>
  </si>
  <si>
    <t>METACAULIM DE ALTA REATIVIDADE/CAULIM CALCINADO</t>
  </si>
  <si>
    <t>MICRO-TRATOR CORTADOR DE GRAMA COM LARGURA DO CORTE DE 107 CM, COM 2 LAMINAS E DESCARTE LATERAL</t>
  </si>
  <si>
    <t>MICTORIO COLETIVO ACO INOX (AISI 304), E = 0,8 MM, DE *100 X 40 X 30* CM (C X A X P)</t>
  </si>
  <si>
    <t>MICTORIO COLETIVO ACO INOX (AISI 304), E = 0,8 MM, DE *100 X 50 X 35* CM (C X A X P)</t>
  </si>
  <si>
    <t>MICTORIO INDIVIDUAL ACO INOX (AISI 304), E = 0,8 MM, DE *50 X 45 X 35* (C X A X P)</t>
  </si>
  <si>
    <t>MICTORIO INDIVIDUAL, SIFONADO, DE LOUCA BRANCA, SEM COMPLEMENTOS</t>
  </si>
  <si>
    <t>MICTORIO INDIVIDUAL, SIFONADO, VALVULA EMBUTIDA, DE LOUCA BRANCA, SEM COMPLEMENTOS - PADRAO ALTO</t>
  </si>
  <si>
    <t>MINICAPTOR, EM ACO GALVANIZADO A FOGO, FIXACAO COM ROSCA SOBERBA OU MECANICA, H=300 MM X DN=10 MM</t>
  </si>
  <si>
    <t>MINICAPTOR, EM ACO GALVANIZADO A FOGO, FIXACAO COM ROSCA SOBERBA OU MECANICA, H=600 MM X DN=10 MM</t>
  </si>
  <si>
    <t>MINICAPTOR, EM ACO GALVANIZADO A FOGO, FIXACAO HORIZONTAL COM BANDEIRA A 20 CM, H=300 MM E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</si>
  <si>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</si>
  <si>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</si>
  <si>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</si>
  <si>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MINICAPTORES DE INSERCAO, EM ACO GALVANIZADO A FOGO, H=300 MM X DN=10 MM</t>
  </si>
  <si>
    <t>MINICAPTORES DE INSERCAO, EM ACO GALVANIZADO A FOGO, H=600,MM X DN=10,MM</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</si>
  <si>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</si>
  <si>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</si>
  <si>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</si>
  <si>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</si>
  <si>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</si>
  <si>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</si>
  <si>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</si>
  <si>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</si>
  <si>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METAL CROMADO DE PAREDE PARA LAVATORIO</t>
  </si>
  <si>
    <t>MISTURADOR DE METAL CROMADO, DE MESA/BANCADA, COM BICA BAIXA, PARA LAVATORIO</t>
  </si>
  <si>
    <t>MISTURADOR DE PAREDE, DE METAL CROMADO, PARA COZINHA, BICA ALTA MOVEL, COM AREJADOR ARTICULADO</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</si>
  <si>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</si>
  <si>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</si>
  <si>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METALICO COM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</si>
  <si>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</si>
  <si>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</si>
  <si>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</si>
  <si>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</si>
  <si>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 (HORISTA)</t>
  </si>
  <si>
    <t>MONTADOR DE ELETROELETRONICOS (MENSALISTA)</t>
  </si>
  <si>
    <t>MONTADOR DE ESTRUTURAS METALICAS (MENSALISTA)</t>
  </si>
  <si>
    <t>MONTADOR DE ESTRUTURAS METALICAS HORISTA</t>
  </si>
  <si>
    <t>MONTADOR DE MAQUINAS (HORISTA)</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</si>
  <si>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</si>
  <si>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</si>
  <si>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</si>
  <si>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</si>
  <si>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</si>
  <si>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</si>
  <si>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</si>
  <si>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</si>
  <si>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</si>
  <si>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</si>
  <si>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</si>
  <si>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</si>
  <si>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</si>
  <si>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 (HORISTA)</t>
  </si>
  <si>
    <t>MOTORISTA DE CAMINHAO (MENSALISTA)</t>
  </si>
  <si>
    <t>MOTORISTA DE CAMINHAO BETONEIRA (HORISTA)</t>
  </si>
  <si>
    <t>MOTORISTA DE CAMINHAO-BASCULANTE (HORISTA)</t>
  </si>
  <si>
    <t>MOTORISTA DE CAMINHAO-BASCULANTE (MENSALISTA)</t>
  </si>
  <si>
    <t>MOTORISTA DE CAMINHAO-CARRETA (HORISTA)</t>
  </si>
  <si>
    <t>MOTORISTA DE CAMINHAO-CARRETA (MENSALISTA)</t>
  </si>
  <si>
    <t>MOTORISTA DE CARRO DE PASSEIO (HORISTA)</t>
  </si>
  <si>
    <t>MOTORISTA DE CARRO DE PASSEIO (MENSALISTA)</t>
  </si>
  <si>
    <t>MOTORISTA OPERADOR DE CAMINHAO COM MUNCK (HORISTA)</t>
  </si>
  <si>
    <t>MOTORISTA OPERADOR DE CAMINHAO COM MUNCK (MENSALISTA)</t>
  </si>
  <si>
    <t>MOURAO CONCRETO CURVO, SECAO "T", H = 2,80 M + CURVA COM 0,45 M, COM FUROS PARA FIOS</t>
  </si>
  <si>
    <t>MOURAO DE CONCRETO CURVO, *10 X 10* CM, H= *2,60* M + CURVA DE 0,40 M</t>
  </si>
  <si>
    <t>MOURAO DE CONCRETO RETO, SECAO QUADRADA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</si>
  <si>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</si>
  <si>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</si>
  <si>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</si>
  <si>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</si>
  <si>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</si>
  <si>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</si>
  <si>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CM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</si>
  <si>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</si>
  <si>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</si>
  <si>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</si>
  <si>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</si>
  <si>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</si>
  <si>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</si>
  <si>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NIPLE DE FERRO GALVANIZADO, COM ROSCA BSP, DE 1 1/2"</t>
  </si>
  <si>
    <t>NIPLE DE FERRO GALVANIZADO, COM ROSCA BSP, DE 1 1/4"</t>
  </si>
  <si>
    <t>NIPLE DE FERRO GALVANIZADO, COM ROSCA BSP, DE 1"</t>
  </si>
  <si>
    <t>NIPLE DE FERRO GALVANIZADO, COM ROSCA BSP, DE 1/2"</t>
  </si>
  <si>
    <t>NIPLE DE FERRO GALVANIZADO, COM ROSCA BSP, DE 2 1/2"</t>
  </si>
  <si>
    <t>NIPLE DE FERRO GALVANIZADO, COM ROSCA BSP, DE 2"</t>
  </si>
  <si>
    <t>NIPLE DE FERRO GALVANIZADO, COM ROSCA BSP, DE 3"</t>
  </si>
  <si>
    <t>NIPLE DE FERRO GALVANIZADO, COM ROSCA BSP, DE 3/4"</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</si>
  <si>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</si>
  <si>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</si>
  <si>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</si>
  <si>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</si>
  <si>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</si>
  <si>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</si>
  <si>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t>
  </si>
  <si>
    <t>NIPLE DE REDUCAO DE FERRO GALVANIZADO, COM ROSCA BSP, DE 1 1/4" X 1/2"</t>
  </si>
  <si>
    <t>NIPLE DE REDUCAO DE FERRO GALVANIZADO, COM ROSCA BSP, DE 1 1/4" X 3/4"</t>
  </si>
  <si>
    <t>NIPLE DE REDUCAO DE FERRO GALVANIZADO, COM ROSCA BSP, DE 1" X 1/2"</t>
  </si>
  <si>
    <t>NIPLE DE REDUCAO DE FERRO GALVANIZADO, COM ROSCA BSP, DE 1" X 3/4"</t>
  </si>
  <si>
    <t>NIPLE DE REDUCAO DE FERRO GALVANIZADO, COM ROSCA BSP, DE 1/2" X 1/4"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</si>
  <si>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</si>
  <si>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</si>
  <si>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</si>
  <si>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</si>
  <si>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 X 2 1/2"</t>
  </si>
  <si>
    <t>NIPLE DE REDUCAO DE FERRO GALVANIZADO, COM ROSCA BSP, DE 3" X 2"</t>
  </si>
  <si>
    <t>NIPLE DE REDUCAO DE FERRO GALVANIZADO, COM ROSCA BSP, DE 3/4" X 1/2"</t>
  </si>
  <si>
    <t>NIPLE SEXTAVADO EM ACO CARBONO, COM ROSCA BSP, PRESSAO 3.000 LBS, DN 1 1/2"</t>
  </si>
  <si>
    <t>NIPLE SEXTAVADO EM ACO CARBONO, COM ROSCA BSP, PRESSAO 3.000 LBS, DN 1 1/4"</t>
  </si>
  <si>
    <t>NIPLE SEXTAVADO EM ACO CARBONO, COM ROSCA BSP, PRESSAO 3.000 LBS, DN 1"</t>
  </si>
  <si>
    <t>NIPLE SEXTAVADO EM ACO CARBONO, COM ROSCA BSP, PRESSAO 3.000 LBS, DN 1/2"</t>
  </si>
  <si>
    <t>NIPLE SEXTAVADO EM ACO CARBONO, COM ROSCA BSP, PRESSAO 3.000 LBS, DN 2 1/2"</t>
  </si>
  <si>
    <t>NIPLE SEXTAVADO EM ACO CARBONO, COM ROSCA BSP, PRESSAO 3.000 LBS, DN 2"</t>
  </si>
  <si>
    <t>NIPLE SEXTAVADO EM ACO CARBONO, COM ROSCA BSP, PRESSAO 3.000 LBS, DN 3/4"</t>
  </si>
  <si>
    <t>NIVELADOR (HORISTA)</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</si>
  <si>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</si>
  <si>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</si>
  <si>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</si>
  <si>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</si>
  <si>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</si>
  <si>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</si>
  <si>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</si>
  <si>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</si>
  <si>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</si>
  <si>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DIESEL COMBUSTIVEL COMUM METROPOLITANO S-10 OU S-500</t>
  </si>
  <si>
    <t>OLEO LUBRIFICANTE MINERAL MONOVISCOSO, SAE 40, PARA MOTORES DE EQUIPAMENTOS PESADOS (CAMINHOES, TRATORES, RETROS E ETC)</t>
  </si>
  <si>
    <t>OLHO MAGICO PARA PORTAS, EM LATAO, COM LENTE DE POLICARBONATO, ANGULO DE *200* GRAUS, ESPESSURA ENTRE *25 E 46* MM, INCLUINDO FECHO JANELA</t>
  </si>
  <si>
    <t>OPERADOR DE BATE-ESTACAS (HORISTA)</t>
  </si>
  <si>
    <t>OPERADOR DE BATE-ESTACAS (MENSALISTA)</t>
  </si>
  <si>
    <t>OPERADOR DE BETONEIRA (CAMINHAO) (MENSALISTA)</t>
  </si>
  <si>
    <t>OPERADOR DE BETONEIRA ESTACIONARIA / MISTURADOR (HORISTA)</t>
  </si>
  <si>
    <t>OPERADOR DE BETONEIRA ESTACIONARIA / MISTURADOR (MENSALISTA)</t>
  </si>
  <si>
    <t>OPERADOR DE COMPRESSOR DE AR OU COMPRESSORISTA (HORISTA)</t>
  </si>
  <si>
    <t>OPERADOR DE COMPRESSOR DE AR OU COMPRESSORISTA (MENSALISTA)</t>
  </si>
  <si>
    <t>OPERADOR DE DEMARCADORA DE FAIXAS DE TRAFEGO (HORISTA)</t>
  </si>
  <si>
    <t>OPERADOR DE DEMARCADORA DE FAIXAS DE TRAFEGO (MENSALISTA)</t>
  </si>
  <si>
    <t>OPERADOR DE ESCAVADEIRA (HORISTA)</t>
  </si>
  <si>
    <t>OPERADOR DE ESCAVADEIRA (MENSALISTA)</t>
  </si>
  <si>
    <t>OPERADOR DE GUINCHO OU GUINCHEIRO (HORISTA)</t>
  </si>
  <si>
    <t>OPERADOR DE GUINCHO OU GUINCHEIRO (MENSALISTA)</t>
  </si>
  <si>
    <t>OPERADOR DE GUINDASTE (HORISTA)</t>
  </si>
  <si>
    <t>OPERADOR DE GUINDASTE (MENSALISTA)</t>
  </si>
  <si>
    <t>OPERADOR DE JATO ABRASIVO OU JATISTA (HORISTA)</t>
  </si>
  <si>
    <t>OPERADOR DE JATO ABRASIVO OU JATISTA (MENSALISTA)</t>
  </si>
  <si>
    <t>OPERADOR DE MAQUINAS E TRATORES DIVERSOS - TERRAPLANAGEM (HORISTA)</t>
  </si>
  <si>
    <t>OPERADOR DE MAQUINAS E TRATORES DIVERSOS - TERRAPLANAGEM (MENSALISTA)</t>
  </si>
  <si>
    <t>OPERADOR DE MARTELETE OU MARTELETEIRO (HORISTA)</t>
  </si>
  <si>
    <t>OPERADOR DE MARTELETE OU MARTELETEIRO (MENSALISTA)</t>
  </si>
  <si>
    <t>OPERADOR DE MOTO SCRAPER (HORISTA)</t>
  </si>
  <si>
    <t>OPERADOR DE MOTO SCRAPER (MENSALISTA)</t>
  </si>
  <si>
    <t>OPERADOR DE MOTONIVELADORA (HORISTA)</t>
  </si>
  <si>
    <t>OPERADOR DE MOTONIVELADORA (MENSALISTA)</t>
  </si>
  <si>
    <t>OPERADOR DE PA CARREGADEIRA (HORISTA)</t>
  </si>
  <si>
    <t>OPERADOR DE PA CARREGADEIRA (MENSALISTA)</t>
  </si>
  <si>
    <t>OPERADOR DE PAVIMENTADORA / MESA VIBROACABADORA (HORISTA)</t>
  </si>
  <si>
    <t>OPERADOR DE PAVIMENTADORA / MESA VIBROACABADORA (MENSALISTA)</t>
  </si>
  <si>
    <t>OPERADOR DE ROLO COMPACTADOR (HORISTA)</t>
  </si>
  <si>
    <t>OPERADOR DE ROLO COMPACTADOR (MENSALISTA)</t>
  </si>
  <si>
    <t>OPERADOR DE USINA DE ASFALTO, DE SOLOS OU DE CONCRETO (HORISTA)</t>
  </si>
  <si>
    <t>OPERADOR DE USINA DE ASFALTO, DE SOLOS OU DE CONCRETO (MENSALISTA)</t>
  </si>
  <si>
    <t>PA CARREGADEIRA SOBRE RODAS, POTENCIA 152 HP, CAPACIDADE DA CACAMBA DE 1,53 A 2,30 M3, PESO OPERACIONAL MAXIMO DE 10216 KG</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</si>
  <si>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</si>
  <si>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</si>
  <si>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</si>
  <si>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</si>
  <si>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</si>
  <si>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</si>
  <si>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</si>
  <si>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</si>
  <si>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</si>
  <si>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</si>
  <si>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</si>
  <si>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</si>
  <si>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</si>
  <si>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</si>
  <si>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</si>
  <si>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</si>
  <si>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</si>
  <si>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OFICIAL, 1800 X 1200 MM, INCLUINDO ARO DE METAL E REDE EM POLIPROPILENO 100%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</si>
  <si>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</si>
  <si>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</si>
  <si>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</si>
  <si>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</si>
  <si>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</si>
  <si>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</si>
  <si>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</si>
  <si>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ACO ZINCADO, SEXTAVADO, COM ROSCA INTEIRA, DIAMETRO 5/16", COMPRIMENTO 3/4", COM PORCA E ARRUELA LISA LEVE</t>
  </si>
  <si>
    <t>PARAFUSO DE ACO ZINCADO, SEXTAVADO, COM ROSCA SOBERBA, DIAMETRO 3/8", COMPRIMENTO 80 MM</t>
  </si>
  <si>
    <t>PARAFUSO DE ACO ZINCADO, TIPO CHUMBADOR PARABOLT, DIAMETRO 1/2", COMPRIMENTO 75 MM</t>
  </si>
  <si>
    <t>PARAFUSO DE ACO ZINCADO, TIPO CHUMBADOR PARABOLT, DIAMETRO 3/8", COMPRIMENTO 75 MM</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</si>
  <si>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</si>
  <si>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</si>
  <si>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</si>
  <si>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</si>
  <si>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</si>
  <si>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</si>
  <si>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</si>
  <si>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</si>
  <si>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</si>
  <si>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</si>
  <si>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</si>
  <si>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</si>
  <si>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</si>
  <si>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</si>
  <si>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M16 EM ACO GALVANIZADO, COMPRIMENTO = 150 MM, DIAMETRO = 16 MM, CABECA ABAULADA</t>
  </si>
  <si>
    <t>PARAFUSO FRANCES M16 EM ACO GALVANIZADO, COMPRIMENTO = 45 MM, DIAMETRO = 16 MM, CABECA ABAULADA</t>
  </si>
  <si>
    <t>PARAFUSO FRANCES METRICO ZINCADO, DIAMETRO 12 MM, COMPRIMENTO 140MM, COM PORCA SEXTAVADA E ARRUELA DE PRESSAO MEDIA</t>
  </si>
  <si>
    <t>PARAFUSO FRANCES METRICO ZINCADO, DIAMETRO 12 MM, COMPRIMENTO 150 MM, COM PORCA SEXTAVADA E ARRUELA DE PRESSAO MEDIA</t>
  </si>
  <si>
    <t>PARAFUSO FRANCES ZINCADO, DIAMETRO 1/2", COMPRIMENTO 12", COM PORCA E ARRUELA LISA MEDIA</t>
  </si>
  <si>
    <t>PARAFUSO FRANCES ZINCADO, DIAMETRO 1/2", COMPRIMENTO 15", COM PORCA E ARRUELA LISA MEDIA</t>
  </si>
  <si>
    <t>PARAFUSO FRANCES ZINCADO, DIAMETRO 1/2", COMPRIMENTO 2", COM PORCA E ARRUELA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</si>
  <si>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</si>
  <si>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</si>
  <si>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</si>
  <si>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</si>
  <si>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</si>
  <si>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</si>
  <si>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</si>
  <si>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</si>
  <si>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</si>
  <si>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</si>
  <si>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</si>
  <si>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3 1/2" COM ACABAMENTO CROMADO PARA FIXAR PECA SANITARIA, INCLUI PORCA CEGA, ARRUELA E BUCHA DE NYLON TAMANHO S-8</t>
  </si>
  <si>
    <t>PARAFUSO NIQUELADO COM ACABAMENTO CROMADO PARA FIXAR PECA SANITARIA, INCLUI PORCA CEGA, ARRUELA E BUCHA DE NYLON TAMANHO S-10</t>
  </si>
  <si>
    <t>PARAFUSO ZINCADO 5/16" X 250 MM PARA FIXACAO DE TELHA DE FIBROCIMENTO CANALETE 49, INCLUI BUCHA NYLON S-10</t>
  </si>
  <si>
    <t>PARAFUSO ZINCADO 5/16" X 85 MM PARA FIXACAO DE TELHA DE FIBROCIMENTO CANALETE 90, INCLUI BUCHA NYLON S-10</t>
  </si>
  <si>
    <t>PARAFUSO ZINCADO ROSCA SOBERBA 5/16" X 120 MM PARA TELHA FIBROCIMENTO</t>
  </si>
  <si>
    <t>PARAFUSO ZINCADO ROSCA SOBERBA, CABECA SEXTAVADA, 5/16" X 110 MM, PARA FIXACAO DE TELHA EM MADEIRA</t>
  </si>
  <si>
    <t>PARAFUSO ZINCADO ROSCA SOBERBA, CABECA SEXTAVADA, 5/16" X 150 MM, PARA FIXACAO DE TELHA EM MADEIRA</t>
  </si>
  <si>
    <t>PARAFUSO ZINCADO ROSCA SOBERBA, CABECA SEXTAVADA, 5/16" X 180 MM, PARA FIXACAO DE TELHA EM MADEIRA</t>
  </si>
  <si>
    <t>PARAFUSO ZINCADO ROSCA SOBERBA, CABECA SEXTAVADA, 5/16" X 200 MM, PARA FIXACAO DE TELHA EM MADEIRA</t>
  </si>
  <si>
    <t>PARAFUSO ZINCADO ROSCA SOBERBA, CABECA SEXTAVADA, 5/16" X 230 MM, PARA FIXACAO DE TELHA EM MADEIRA</t>
  </si>
  <si>
    <t>PARAFUSO ZINCADO ROSCA SOBERBA, CABECA SEXTAVADA, 5/16" X 250 MM, PARA FIXACAO DE TELHA EM MADEIRA</t>
  </si>
  <si>
    <t>PARAFUSO ZINCADO ROSCA SOBERBA, CABECA SEXTAVADA, 5/16" X 50 MM, PARA FIXACAO DE TELHA EM MADEIRA</t>
  </si>
  <si>
    <t>PARAFUSO ZINCADO ROSCA SOBERBA, CABECA SEXTAVADA, 5/16" X 85 MM, PARA FIXACAO DE TELHA EM MADEIRA</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</si>
  <si>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</si>
  <si>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</si>
  <si>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</si>
  <si>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</si>
  <si>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</si>
  <si>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</si>
  <si>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</si>
  <si>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</si>
  <si>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(25,4 MM)</t>
  </si>
  <si>
    <t>PARAFUSO, AUTOATARRAXANTE, CABECA CHATA, FENDA SIMPLES, EM ACO ZINCADO, 1/4" (6,35 MM) X 25 MM</t>
  </si>
  <si>
    <t>PARAFUSO, COMUM, ASTM A307, SEXTAVADO, DIAMETRO 1/2" (12,7 MM), COMPRIMENTO 1" (25,4 MM)</t>
  </si>
  <si>
    <t>PARALELEPIPEDO GRANITICO OU BASALTICO, PARA PAVIMENTACAO, SEM FRETE (VARIACAO REGIONAL DE PECAS POR M2)</t>
  </si>
  <si>
    <t>PASTA LUBRIFICANTE PARA TUBOS E CONEXOES COM JUNTA ELASTICA, EMBALAGEM DE *400* GR (USO EM PVC, ACO, POLIETILENO E OUTROS)</t>
  </si>
  <si>
    <t>PASTA PARA SOLDA DE TUBOS E CONEXOES DE COBRE (EMBALAGEM COM 250 G)</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</si>
  <si>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</si>
  <si>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</si>
  <si>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</si>
  <si>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</si>
  <si>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</si>
  <si>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(HORISTA)</t>
  </si>
  <si>
    <t>PASTILHEIRO (MENSALISTA)</t>
  </si>
  <si>
    <t>PATCH CORD (CABO DE REDE), CATEGORIA 5 E (CAT 5E) UTP, 24 AWG, 4 PARES, EXTENSAO DE 1,50 M</t>
  </si>
  <si>
    <t>PATCH CORD (CABO DE REDE), CATEGORIA 5 E (CAT 5E) UTP, 24 AWG, 4 PARES, EXTENSAO DE 2,50 M</t>
  </si>
  <si>
    <t>PATCH CORD (CABO DE REDE), CATEGORIA 6 (CAT 6) UTP, 23 AWG, 4 PARES, EXTENSAO DE 1,50 M</t>
  </si>
  <si>
    <t>PATCH CORD (CABO DE REDE), CATEGORIA 6 (CAT 6) UTP, 23 AWG, 4 PARES, EXTENSAO DE 2,50 M</t>
  </si>
  <si>
    <t>PATCH PANEL, 24 PORTAS, CATEGORIA 5E, COM RACKS DE 19" DE LARGURA E 1 U DE ALTURA</t>
  </si>
  <si>
    <t>PATCH PANEL, 24 PORTAS, CATEGORIA 6, COM RACKS DE 19" DE LARGURA E 1 U DE ALTURA</t>
  </si>
  <si>
    <t>PATCH PANEL, 48 PORTAS, CATEGORIA 5E, COM RACKS DE 19" DE LARGURA E 2 U DE ALTURA</t>
  </si>
  <si>
    <t>PATCH PANEL, 48 PORTAS, CATEGORIA 6, COM RACKS DE 19" DE LARGURA E 2 U DE ALTURA</t>
  </si>
  <si>
    <t>PEDRA ARDOSIA, CINZA, *40 X 40* CM, E= *1 CM</t>
  </si>
  <si>
    <t>PEDRA ARDOSIA, CINZA, 20 X 40 CM, E= *1 CM</t>
  </si>
  <si>
    <t>PEDRA ARDOSIA, CINZA, 30 X 30, E= *1 CM</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</si>
  <si>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</si>
  <si>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</si>
  <si>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</si>
  <si>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</si>
  <si>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</si>
  <si>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</si>
  <si>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</si>
  <si>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</si>
  <si>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</si>
  <si>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</si>
  <si>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</si>
  <si>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PEDREIRO (HORISTA)</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</si>
  <si>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</si>
  <si>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</si>
  <si>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</si>
  <si>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</si>
  <si>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</si>
  <si>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</si>
  <si>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</si>
  <si>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</si>
  <si>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</si>
  <si>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"I" OU "W" EM ACO LAMINADO, QUAISQUER DIMENSOES</t>
  </si>
  <si>
    <t>PERFIL "U" ENRIJECIDO, EM CHAPA DOBRADA DE ACO LAMINADO, E = 3,75 MM, H = 200 MM, L = 75 MM (9,94 KG/M)</t>
  </si>
  <si>
    <t>PERFIL "U" SIMPLES, EM CHAPA DOBRADA DE ACO LAMINADO, E = 2,65 MM, H = 75 MM, L = 40 MM (3,04 KG/M)</t>
  </si>
  <si>
    <t>PERFIL "U" SIMPLES, EM CHAPA DOBRADA DE ACO LAMINADO, E = 3 MM, H = 125 MM, L = 50 MM (5,07 KG/M)</t>
  </si>
  <si>
    <t>PERFIL "U" SIMPLES, EM CHAPA DOBRADA DE ACO LAMINADO, E = 3 MM, H = 200 MM, L = 50 MM (6,83 KG/M)</t>
  </si>
  <si>
    <t>PERFIL "U" SIMPLES, EM CHAPA DOBRADA DE ACO LAMINADO, E = 4,75 MM, H = 100 MM, L = 75 MM (8,74 KG/M)</t>
  </si>
  <si>
    <t>PERFIL "U" SIMPLES, EM CHAPA DOBRADA DE ACO LAMINADO, E = 8 MM, H = 150 MM, L = 75 MM (16,97 KG/M)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</si>
  <si>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</si>
  <si>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</si>
  <si>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</si>
  <si>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</si>
  <si>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</si>
  <si>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</si>
  <si>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</si>
  <si>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</si>
  <si>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EM ALUMINIO, FORMATO U, ABAS IGUAIS, LARGURA DE 12,70 MM (1/2 POL), ESPESSURA 1,58 MM (1/16 POL) E PESO LINEAR DE APROXIMADAMENTE 0,149 KG/M</t>
  </si>
  <si>
    <t>PERFIL EM ALUMINIO, FORMATO U, ABAS IGUAIS, LARGURA DE 25,4 MM (1"), ESPESSURA DE 2,38 MM (3/32") E PESO LINEAR DE APROXIMADAMENTE 0,460 KG/M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</si>
  <si>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</si>
  <si>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</si>
  <si>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</si>
  <si>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NAS FACES APARENTES, PARA FORRO REMOVIVEL, 24 X 32 X 3750 MM (L X H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</si>
  <si>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</si>
  <si>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</si>
  <si>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</si>
  <si>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</si>
  <si>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</si>
  <si>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</si>
  <si>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</si>
  <si>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BRANCO, PARA FORRO REMOVIVEL, 24 X 1250 MM (L X C)</t>
  </si>
  <si>
    <t>PERFIL TRAVESSA (SECUNDARIO), T CLICADO, EM ACO GALVANIZADO, BRANCO, PARA FORRO REMOVIVEL, 24 X 625 MM (L X C)</t>
  </si>
  <si>
    <t>PERFILADO PERFURADO 19 X 38 MM, CHAPA 22</t>
  </si>
  <si>
    <t>PERFILADO PERFURADO DUPLO 38 X 76 MM, CHAPA 22</t>
  </si>
  <si>
    <t>PERFILADO PERFURADO SIMPLES 38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</si>
  <si>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</si>
  <si>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</si>
  <si>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DE COROA DIAMANTADA PARA CONCRETO, DIAMETRO ATE 250 MM, MOTOR ELETRICO 220 V, POTENCIA 2.500W</t>
  </si>
  <si>
    <t>PERFURATRIZ HIDRAULICA COM TRADO CURTO ACOPLADO, PROFUNDIDADE MAXIMA DE 20 M, DIAMETRO MAXIMO DE 1500 MM, POTENCIA INSTALADA DE 137 HP, MESA ROTATIVA COM TORQUE MAXIMO DE 30 KNM (INCLUI MONTAGEM, NAO INCLUI CAMINHAO)</t>
  </si>
  <si>
    <t>PERFURATRIZ HIDRAULICA SOBRE ESTEIRA, TORQUE MAXIMO 161 KNM, PROFUNDIDADE MAXIMA 54 M, DIAMETRO MAXIMO 1500 MM, POTENCIA MOTOR 268 HP</t>
  </si>
  <si>
    <t>PERFURATRIZ HIDRAULICA SOBRE ESTEIRA, TORQUE MAXIMO 98 KNM, PROFUNDIDADE MAXIMA 25 M, DIAMETRO MAXIMO 115 MM, POTENCIA MOTOR 190 HP</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</si>
  <si>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</si>
  <si>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</si>
  <si>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</si>
  <si>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PARA EXECUCAO DE ESTACAS SECANTES, TIPO HELICE CONTINUA COM CABECOTE DUPLO E TUBO METALICO 300 KW</t>
  </si>
  <si>
    <t>PERFURATRIZ PARA FURO DIRECIONAL HORIZONTAL (HDD) COM CAPACIDADE ATE 89 KN, POTENCIA 24,8 HP A 80 HP (INCLUSO FERRAMENTAS E LOCALIZADOR), PARA REDE SUBTERRANEA</t>
  </si>
  <si>
    <t>PERFURATRIZ PARA FURO DIRECIONAL HORIZONTAL (HDD) COM CAPACIDADE DE 201 KN A 560 KN, POTENCIA 200 HP A 260 HP (INCLUSO FERRAMENTAS E LOCALIZADOR), PARA REDE SUBTERRANEA</t>
  </si>
  <si>
    <t>PERFURATRIZ PARA FURO DIRECIONAL HORIZONTAL (HDD) COM CAPACIDADE DE 90 KN A 200 KN, POTENCIA 100 HP A 160 HP (INCLUSO FERRAMENTAS E LOCALIZADOR), PARA REDE SUBTERRANEA</t>
  </si>
  <si>
    <t>PERFURATRIZ PNEUMATICA MANUAL DE PESO MEDIO, 18KG, COMPRIMENTO DE CURSO DE 6 M, DIAMETRO DO PISTAO DE 5,5 CM</t>
  </si>
  <si>
    <t>PERFURATRIZ ROTATIVA SOBRE ESTEIRA, TORQUE MAXIMO 2500 KGM, POTENCIA 110 HP, MOTOR DIESEL</t>
  </si>
  <si>
    <t>PERFURATRIZ SOBRE ESTEIRA, TORQUE MAXIMO 600 KGF, PESO MEDIO 1000 KG, POTENCIA 20 HP, DIAMETRO MAXIMO 10"</t>
  </si>
  <si>
    <t>PERFURATRIZ SOBRE ESTEIRA, TORQUE MAXIMO DE 600 KGF, POTENCIA ENTRE 50 E 60 HP, DIAMETRO MAXIMO DE 10"</t>
  </si>
  <si>
    <t>PICAPE CABINE SIMPLES COM MOTOR 1.6 FLEX, CAMBIO MANUAL, POTENCIA 101/104 CV, 2 PORTAS</t>
  </si>
  <si>
    <t>PILAR QUADRADO NAO APARELHADO *10 X 10* CM, EM MACARANDUBA/MASSARANDUBA, ANGELIM OU EQUIVALENTE DA REGIAO - BRUTA</t>
  </si>
  <si>
    <t>PILAR QUADRADO NAO APARELHADO *15 X 15* CM, EM MACARANDUBA/MASSARANDUBA, ANGELIM OU EQUIVALENTE DA REGIAO - BRUTA</t>
  </si>
  <si>
    <t>PILAR QUADRADO NAO APARELHADO *20 X 20* CM, EM MACARANDUBA/MASSARANDUBA, ANGELIM OU EQUIVALENTE DA REGIAO - BRUTA</t>
  </si>
  <si>
    <t>PINGADEIRA PLASTICA PARA TELHA DE FIBROCIMENTO CANALETE 49/KALHETA OU CANALETE 90/KALHETAO</t>
  </si>
  <si>
    <t>PINO DE ACO COM ARRUELA CONICA, DIAMETRO ARRUELA = *23* MM E COMP HASTE = *27* MM (ACAO INDIRETA)</t>
  </si>
  <si>
    <t>PINO DE ACO COM FURO, HASTE = 27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</si>
  <si>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</si>
  <si>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</si>
  <si>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</si>
  <si>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 (HORISTA)</t>
  </si>
  <si>
    <t>PINTOR (MENSALISTA)</t>
  </si>
  <si>
    <t>PINTOR DE LETREIROS (HORISTA)</t>
  </si>
  <si>
    <t>PINTOR DE LETREIROS (MENSALISTA)</t>
  </si>
  <si>
    <t>PINTOR PARA TINTA EPOXI (HORISTA)</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</si>
  <si>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</si>
  <si>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</si>
  <si>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</si>
  <si>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</si>
  <si>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</si>
  <si>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</si>
  <si>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</si>
  <si>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COR LISA, PEI MAIOR OU IGUAL A 4, FORMATO MAIOR QUE 2025 CM2</t>
  </si>
  <si>
    <t>PISO EM CERAMICA ESMALTADA, COR LISA, PEI MAIOR OU IGUAL A 4,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</si>
  <si>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</si>
  <si>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</si>
  <si>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</si>
  <si>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*2*CM</t>
  </si>
  <si>
    <t>PISO EM GRANITO, POLIDO, TIPO PRETO SAO GABRIEL/ TIJUCA OU OUTROS EQUIVALENTES DA REGIAO, FORMATO MENOR OU IGUAL A 3025 CM2, E= *2* CM</t>
  </si>
  <si>
    <t>PISO EM PORCELANATO, RETIFICADO, LISO, MONOCOLOR, ACETINADO OU POLIDO, FORMATO MAIOR QUE 2500 ATE 6400 CM2</t>
  </si>
  <si>
    <t>PISO EM PORCELANATO,RETIFICADO, LISO, MONOCOLOR, ACETINADO OU POLIDO, FORMATO MAIOR QUE 6400 CM2</t>
  </si>
  <si>
    <t>PISO EM REGUA VINILICA SEMIFLEXIVEL, ENCAIXE CLICADO, E = 4 MM (SEM COLOCACAO)</t>
  </si>
  <si>
    <t>PISO EPOXI AUTONIVELANTE, ESPESSURA *4* MM (INCLUSO EXECUCAO)</t>
  </si>
  <si>
    <t>PISO EPOXI MULTILAYER, ESPESSURA *2* MM (INCLUSO EXECUCAO)</t>
  </si>
  <si>
    <t>PISO FULGET (GRANITO LAVADO) EM PLACAS DE *40 X 40* CM, E = 2,0 CM (SEM COLOCACAO)</t>
  </si>
  <si>
    <t>PISO FULGET (GRANITO LAVADO) EM PLACAS DE *75 X 75* CM, E = 2,0 CM (SEM COLOCACAO)</t>
  </si>
  <si>
    <t>PISO FULGET (GRANITO LAVADO) MOLDADO IN LOCO (INCLUSO EXECUCAO)</t>
  </si>
  <si>
    <t>PISO INDUSTRIAL EM CONCRETO ARMADO DE ACABAMENTO POLIDO, ESPESSURA 12 CM (CIMENTO QUEIMADO) (INCLUSO EXECUCAO)</t>
  </si>
  <si>
    <t>PISO KORODUR (INCLUSO EXECUCAO)</t>
  </si>
  <si>
    <t>PISO TATIL / PODOTATIL, LADRILHO HIDRAULICO / CONCRETO, *25 X 25* CM, E= *2,5* CM, PADRAO TATIL ALERTA OU DIRECIONAL, COR AMARELA</t>
  </si>
  <si>
    <t>PISO TATIL / PODOTATIL, LADRILHO HIDRAULICO/CONCRETO, *40 X 40* CM, E= 2,5* CM, PADRAO TATIL ALERTA OU DIRECIONAL, COR NATURAL</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</si>
  <si>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</si>
  <si>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</si>
  <si>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</si>
  <si>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</si>
  <si>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VARIAVEL DE 3 A 4 MM (INCLUSO EXECUCAO)</t>
  </si>
  <si>
    <t>PISO/ REVESTIMENTO EM GRANITO, POLIDO, TIPO ANDORINHA/ QUARTZ/ CASTELO/ CORUMBA OU OUTROS EQUIVALENTES DA REGIAO, FORMATO MAIOR OU IGUAL A 3025 CM2, E = *2*CM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</si>
  <si>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</si>
  <si>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</si>
  <si>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</si>
  <si>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</si>
  <si>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</si>
  <si>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</si>
  <si>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 UMIDADE (RU), COR VERDE, E = 15 MM, 1200 X 2400 MM (L X C)</t>
  </si>
  <si>
    <t>PLACA / CHAPA DE GESSO ACARTONADO, RESISTENTE AO FOGO (RF), COR ROSA, E = 12,5 MM, 1200 X 1800 MM (L X C)</t>
  </si>
  <si>
    <t>PLACA / CHAPA DE GESSO ACARTONADO, RESISTENTE AO FOGO (RF), COR ROSA, E = 12,5 MM, 1200 X 2400 MM (L X C)</t>
  </si>
  <si>
    <t>PLACA / CHAPA DE GESSO ACARTONADO, RESISTENTE AO FOGO (RF), COR ROSA, E = 15 MM, 1200 X 2400 MM (L X C)</t>
  </si>
  <si>
    <t>PLACA / CHAPA DE GESSO ACARTONADO, STANDARD (ST), COR BRANCA, E = 12,5 MM, 1200 X 1800 MM (L X C)</t>
  </si>
  <si>
    <t>PLACA / CHAPA DE GESSO ACARTONADO, STANDARD (ST), COR BRANCA, E = 12,5 MM, 1200 X 2400 MM (L X C)</t>
  </si>
  <si>
    <t>PLACA / CHAPA DE GESSO ACARTONADO, STANDARD (ST), COR BRANCA, E = 15 MM, 1200 X 2400 MM (L X C)</t>
  </si>
  <si>
    <t>PLACA CIMENTICIA LISA E = 10 MM, DE 1,20 X *2,50* M (SEM AMIANTO)</t>
  </si>
  <si>
    <t>PLACA CIMENTICIA LISA E = 6 MM, DE 1,20 X *2,50* M (SEM AMIANTO)</t>
  </si>
  <si>
    <t>PLACA DE ACO ESMALTADA PARA IDENTIFICACAO DE RUA, *45 CM X 20* CM</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</si>
  <si>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</si>
  <si>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</si>
  <si>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</si>
  <si>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</si>
  <si>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</si>
  <si>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</si>
  <si>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OBRA (PARA CONSTRUCAO CIVIL) EM CHAPA GALVANIZADA *N. 22*, ADESIVADA, DE *2,4 X 1,2* M (SEM POSTES PARA FIXACAO)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</si>
  <si>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</si>
  <si>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</si>
  <si>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</si>
  <si>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</si>
  <si>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</si>
  <si>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</si>
  <si>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</si>
  <si>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</si>
  <si>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</si>
  <si>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</si>
  <si>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EXERCICIOS, 2,00 M X 1,00 M (CHAPA GALVANIZADA #20), ESTRUTURA EM TUBOS REDONDOS DE ACO CARBONO, PINTURA NO PROCESSO ELETROSTATICO, ADESIVO FRENTE E VERSO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</si>
  <si>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</si>
  <si>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</si>
  <si>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X 40* CM, E = 6 CM, COR NATURAL</t>
  </si>
  <si>
    <t>PLACA/TAMPA CEGA EM LATAO ESCOVADO PARA CONDULETE EM LIGA DE ALUMINIO 4 X 4"</t>
  </si>
  <si>
    <t>PLUG OU BUJAO DE FERRO GALVANIZADO, DE 1 1/2"</t>
  </si>
  <si>
    <t>PLUG OU BUJAO DE FERRO GALVANIZADO, DE 1 1/4"</t>
  </si>
  <si>
    <t>PLUG OU BUJAO DE FERRO GALVANIZADO, DE 1"</t>
  </si>
  <si>
    <t>PLUG OU BUJAO DE FERRO GALVANIZADO, DE 1/2"</t>
  </si>
  <si>
    <t>PLUG OU BUJAO DE FERRO GALVANIZADO, DE 2 1/2"</t>
  </si>
  <si>
    <t>PLUG OU BUJAO DE FERRO GALVANIZADO, DE 2"</t>
  </si>
  <si>
    <t>PLUG OU BUJAO DE FERRO GALVANIZADO, DE 3"</t>
  </si>
  <si>
    <t>PLUG OU BUJAO DE FERRO GALVANIZADO, DE 3/4"</t>
  </si>
  <si>
    <t>PLUG OU BUJAO DE FERRO GALVANIZADO, DE 4"</t>
  </si>
  <si>
    <t>PLUG PVC, JE, DN 100 MM, PARA REDE COLETORA ESGOTO</t>
  </si>
  <si>
    <t>PLUG PVC, JE, DN 150 MM, PARA REDE COLETORA ESGOTO</t>
  </si>
  <si>
    <t>PO DE PEDRA (POSTO PEDREIRA/FORNECEDOR, SEM FRETE)</t>
  </si>
  <si>
    <t>POCEIRO / ESCAVADOR DE VALAS E TUBULOES (HORISTA)</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</si>
  <si>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</si>
  <si>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</si>
  <si>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</si>
  <si>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</si>
  <si>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</si>
  <si>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</si>
  <si>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</si>
  <si>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</si>
  <si>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</si>
  <si>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ROLICO SEM TRATAMENTO, D = 8 A 11 CM, H = 3 M, EM EUCALIPTO OU EQUIVALENTE DA REGIAO - BRUTA (PARA ESCORAMENTO)</t>
  </si>
  <si>
    <t>PONTALETE ROLICO SEM TRATAMENTO, D = 8 A 11 CM, H = 6 M, EM EUCALIPTO OU EQUIVALENTE DA REGIAO - BRUTA (PARA ESCORAMENTO)</t>
  </si>
  <si>
    <t>PORCA OLHAL EM ACO GALVANIZADO, ESPESSURA 16MM, ABERTURA 21MM</t>
  </si>
  <si>
    <t>PORCA OLHAL M 16, EM ACO GALVANIZADO, DIAMETRO = 16 MM</t>
  </si>
  <si>
    <t>PORCA ZINCADA, QUADRADA, DIAMETRO 3/8"</t>
  </si>
  <si>
    <t>PORCA ZINCADA, QUADRADA, DIAMETRO 5/8"</t>
  </si>
  <si>
    <t>PORCA ZINCADA, SEXTAVADA, DIAMETRO 1"</t>
  </si>
  <si>
    <t>PORCA ZINCADA, SEXTAVADA, DIAMETRO 1/2"</t>
  </si>
  <si>
    <t>PORCA ZINCADA, SEXTAVADA, DIAMETRO 1/4"</t>
  </si>
  <si>
    <t>PORCA ZINCADA, SEXTAVADA, DIAMETRO 3/8"</t>
  </si>
  <si>
    <t>PORCA ZINCADA, SEXTAVADA, DIAMETRO 5/16"</t>
  </si>
  <si>
    <t>PORCA ZINCADA, SEXTAVADA, DIAMETRO 5/8"</t>
  </si>
  <si>
    <t>PORTA CADEADO EM ACO GALVANIZADO, COMPRIMENTO DE 3 1/2"</t>
  </si>
  <si>
    <t>PORTA CORTA-FOGO SIMPLES PARA SAIDA DE EMERGENCIA, 1 FOLHA DE ABRIR, 5 CM, ACABAMENTO NATURAL / SEM PINTURA, COM FECHADURA TIPO TRINCO, DOBRADICAS E BATENTE,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</si>
  <si>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</si>
  <si>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</si>
  <si>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</si>
  <si>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</si>
  <si>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</si>
  <si>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</si>
  <si>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</si>
  <si>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EM GRADIL FERRO, COM BARRA CHATA 3 CM X 1/4", COM REQUADRO E GUARNICAO - COMPLETO - ACABAMENTO NATURAL</t>
  </si>
  <si>
    <t>PORTA DE ABRIR / GIRO, EM MADEIRA MACICA (ANGELIM OU EQUIVALENTE REGIONAL), QUALQUER DESENHO (VERTICAL/DIAGONAL/HORIZ.), E = *3,5* CM, DIMENSOES 2,10 X 0,70 (SOMENTE FOLHA DE PORTA, ACABAMENTO NATURAL)</t>
  </si>
  <si>
    <t>PORTA DE ABRIR EM ACO, COM DIVISAO HORIZONTAL PARA VIDROS, 90 X 210 CM, COM FUNDO ANTICORROSIVO/PRIMER DE PROTECAO, INCLUI FECHADURA, MACANETA E PARAFUSO, SEM GUARNICAO/ALIZAR/VISTA, VIDROS NAO INCLUSOS</t>
  </si>
  <si>
    <t>PORTA DE ABRIR EM ACO, TIPO VENEZIANA, 90 X 210 CM, COM FUNDO ANTICORROSIVO / PRIMER DE PROTECAO, INCLUI FECHADURA, MACANETA E PARAFUSOS, SEM GUARNICAO/ALIZAR/VISTA</t>
  </si>
  <si>
    <t>PORTA DE ABRIR EM ALUMINIO COM DIVISAO HORIZONTAL PARA VIDROS, ACABAMENTO ANODIZADO NATURAL, VIDROS INCLUSOS, SEM GUARNICAO/ALIZAR/VISTA, 87 CM X 210 CM</t>
  </si>
  <si>
    <t>PORTA DE ABRIR EM ALUMINIO COM LAMBRI HORIZONTAL/LAMINADA, ACABAMENTO ANODIZADO NATURAL, SEM GUARNICAO/ALIZAR/VISTA</t>
  </si>
  <si>
    <t>PORTA DE ABRIR EM ALUMINIO TIPO VENEZIANA, ACABAMENTO ANODIZADO NATURAL, SEM GUARNICAO/ALIZAR/VISTA</t>
  </si>
  <si>
    <t>PORTA DE ABRIR, TIPO VENEZIANA, EM ALUMINIO, ACABAMENTO ANODIZADO NATURAL, 90 CM X 210 CM (LARGURA X ALTURA), SEM GUARNICAO/ALIZAR/VISTA</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</si>
  <si>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</si>
  <si>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</si>
  <si>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</si>
  <si>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</si>
  <si>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</si>
  <si>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</si>
  <si>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</si>
  <si>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</si>
  <si>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</si>
  <si>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</si>
  <si>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</si>
  <si>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</si>
  <si>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</si>
  <si>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</si>
  <si>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</si>
  <si>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</si>
  <si>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</si>
  <si>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</si>
  <si>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</si>
  <si>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</si>
  <si>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</si>
  <si>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 MADEIRA-DE-LEI QUADRICULADA PARA VIDRO, DE CORRER (ANGELIM OU EQUIVALENTE REGIONAL), E = *3,5* CM</t>
  </si>
  <si>
    <t>PORTA DE MADEIRA-DE-LEI TIPO VENEZIANA (ANGELIM OU EQUIVALENTE REGIONAL), E = *3,5* CM</t>
  </si>
  <si>
    <t>PORTA TOALHA BANHO EM METAL CROMADO, TIPO BARRA</t>
  </si>
  <si>
    <t>PORTA TOALHA ROSTO EM METAL CROMADO, TIPO ARGOLA</t>
  </si>
  <si>
    <t>PORTA VIDRO TEMPERADO INCOLOR, 2 FOLHAS DE CORRER, E = 10 MM (SEM FERRAGENS E SEM COLOCACAO)</t>
  </si>
  <si>
    <t>PORTAO BASCULANTE, MANUAL, EM ACO GALVANIZADO, CHAPA 26, TIPO LAMBRIL, COM REQUADRO, ACABAMENTO NATURAL</t>
  </si>
  <si>
    <t>PORTAO DE ABRIR / GIRO,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</si>
  <si>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</si>
  <si>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</si>
  <si>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INFERIOR/BASE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</si>
  <si>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</si>
  <si>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</si>
  <si>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7 M, DIAMETRO INFERIOR = *125* MM</t>
  </si>
  <si>
    <t>POSTE CONICO CONTINUO EM ACO GALVANIZADO, CURVO, BRACO SIMPLES, FLANGEADO, H = 9 M, DIAMETRO INFERIOR = *135*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</si>
  <si>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</si>
  <si>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</si>
  <si>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</si>
  <si>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ARMADO DE SECAO CIRCULAR, EXTENSAO DE 10,00 M, RESISTENCIA DE 150 A 200 DAN, TIPO C-14</t>
  </si>
  <si>
    <t>POSTE DE CONCRETO ARMADO DE SECAO CIRCULAR, EXTENSAO DE 11,00 M, RESISTENCIA DE 200 A 300 DAN, TIPO C-14</t>
  </si>
  <si>
    <t>POSTE DE CONCRETO ARMADO DE SECAO CIRCULAR, EXTENSAO DE 11,00 M, RESISTENCIA DE 300 A 400 DAN, TIPO C-17</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</si>
  <si>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</si>
  <si>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</si>
  <si>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</si>
  <si>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</si>
  <si>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</si>
  <si>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</si>
  <si>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</si>
  <si>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</si>
  <si>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</si>
  <si>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 A 400 DAN, TIPO C-17</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</si>
  <si>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</si>
  <si>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</si>
  <si>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</si>
  <si>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</si>
  <si>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</si>
  <si>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</si>
  <si>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CIRCULAR, EXTENSAO DE 9,00 M, RESISTENCIA DE 200 A 300 DAN, TIPO C-14</t>
  </si>
  <si>
    <t>POSTE DE CONCRETO ARMADO DE SECAO CIRCULAR, EXTENSAO DE 9,00 M, RESISTENCIA DE 300 A 400 DAN, TIPO C-17</t>
  </si>
  <si>
    <t>POSTE DE CONCRETO ARMADO DE SECAO DUPLO T, EXTENSAO DE 10,00 M, RESISTENCIA DE 1000 DAN, TIPO B-1,5</t>
  </si>
  <si>
    <t>POSTE DE CONCRETO ARMADO DE SECAO DUPLO T, EXTENSAO DE 10,00 M, RESISTENCIA DE 150 DAN, TIPO D</t>
  </si>
  <si>
    <t>POSTE DE CONCRETO ARMADO DE SECAO DUPLO T, EXTENSAO DE 10,00 M, RESISTENCIA DE 300 A 400 DAN, TIPO B OU D</t>
  </si>
  <si>
    <t>POSTE DE CONCRETO ARMADO DE SECAO DUPLO T, EXTENSAO DE 10,00 M, RESISTENCIA DE 600 DAN, TIPO B</t>
  </si>
  <si>
    <t>POSTE DE CONCRETO ARMADO DE SECAO DUPLO T, EXTENSAO DE 11,00 M, RESISTENCIA DE 1000 DAN, TIPO B-1,5</t>
  </si>
  <si>
    <t>POSTE DE CONCRETO ARMADO DE SECAO DUPLO T, EXTENSAO DE 11,00 M, RESISTENCIA DE 150 DAN, TIPO D</t>
  </si>
  <si>
    <t>POSTE DE CONCRETO ARMADO DE SECAO DUPLO T, EXTENSAO DE 11,00 M, RESISTENCIA DE 1500 DAN, TIPO B-3,0</t>
  </si>
  <si>
    <t>POSTE DE CONCRETO ARMADO DE SECAO DUPLO T, EXTENSAO DE 11,00 M, RESISTENCIA DE 200 DAN, TIPO D</t>
  </si>
  <si>
    <t>POSTE DE CONCRETO ARMADO DE SECAO DUPLO T, EXTENSAO DE 11,00 M, RESISTENCIA DE 2000 DAN, TIPO B-4,5</t>
  </si>
  <si>
    <t>POSTE DE CONCRETO ARMADO DE SECAO DUPLO T, EXTENSAO DE 11,00 M, RESISTENCIA DE 300 DAN, TIPO B</t>
  </si>
  <si>
    <t>POSTE DE CONCRETO ARMADO DE SECAO DUPLO T, EXTENSAO DE 11,00 M, RESISTENCIA DE 600 DAN, TIPO B</t>
  </si>
  <si>
    <t>POSTE DE CONCRETO ARMADO DE SECAO DUPLO T, EXTENSAO DE 12,00 M, RESISTENCIA DE 1000 DAN, TIPO B-1,5</t>
  </si>
  <si>
    <t>POSTE DE CONCRETO ARMADO DE SECAO DUPLO T, EXTENSAO DE 12,00 M, RESISTENCIA DE 150 DAN, TIPO D</t>
  </si>
  <si>
    <t>POSTE DE CONCRETO ARMADO DE SECAO DUPLO T, EXTENSAO DE 12,00 M, RESISTENCIA DE 1500 DAN, TIPO B-3,0</t>
  </si>
  <si>
    <t>POSTE DE CONCRETO ARMADO DE SECAO DUPLO T, EXTENSAO DE 12,00 M, RESISTENCIA DE 300 A 400 DAN, TIPO B OU D</t>
  </si>
  <si>
    <t>POSTE DE CONCRETO ARMADO DE SECAO DUPLO T, EXTENSAO DE 12,00 M, RESISTENCIA DE 3000 DAN, TIPO B-6,0</t>
  </si>
  <si>
    <t>POSTE DE CONCRETO ARMADO DE SECAO DUPLO T, EXTENSAO DE 12,00 M, RESISTENCIA DE 600 DAN, TIPO B</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</si>
  <si>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</si>
  <si>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</si>
  <si>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</si>
  <si>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13,00 M, RESISTENCIA DE 300 DAN, TIPO B</t>
  </si>
  <si>
    <t>POSTE DE CONCRETO ARMADO DE SECAO DUPLO T, EXTENSAO DE 13,00 M, RESISTENCIA DE 600 DAN, TIPO B</t>
  </si>
  <si>
    <t>POSTE DE CONCRETO ARMADO DE SECAO DUPLO T, EXTENSAO DE 15,00 M, RESISTENCIA DE 1500 DAN, TIPO B-3,0</t>
  </si>
  <si>
    <t>POSTE DE CONCRETO ARMADO DE SECAO DUPLO T, EXTENSAO DE 15,00 M, RESISTENCIA DE 2000 DAN, TIPO B-4,5</t>
  </si>
  <si>
    <t>POSTE DE CONCRETO ARMADO DE SECAO DUPLO T, EXTENSAO DE 8,00 M, RESISTENCIA DE 150 DAN, TIPO D</t>
  </si>
  <si>
    <t>POSTE DE CONCRETO ARMADO DE SECAO DUPLO T, EXTENSAO DE 9,00 M, RESISTENCIA DE 1000 DAN, TIPO B-1,5</t>
  </si>
  <si>
    <t>POSTE DE CONCRETO ARMADO DE SECAO DUPLO T, EXTENSAO DE 9,00 M, RESISTENCIA DE 150 DAN, TIPO D</t>
  </si>
  <si>
    <t>POSTE DE CONCRETO ARMADO DE SECAO DUPLO T, EXTENSAO DE 9,00 M, RESISTENCIA DE 300 A 400 DAN, TIPO B OU D</t>
  </si>
  <si>
    <t>POSTE DE CONCRETO ARMADO DE SECAO DUPLO T, EXTENSAO DE 9,00 M, RESISTENCIA DE 600 DAN, TIPO B</t>
  </si>
  <si>
    <t>POSTE DECORATIVO PARA JARDIM EM ACO TUBULAR, SEM LUMINARIA, H = *2,5* M</t>
  </si>
  <si>
    <t>POSTE ROLICO DE MADEIRA TRATADA, D = 20 A 25 CM, H = 12,00 M, EM EUCALIPTO OU EQUIVALENTE DA REGIAO</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</si>
  <si>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</si>
  <si>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</si>
  <si>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</si>
  <si>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</si>
  <si>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PRANCHA APARELHADA *4 X 30* CM, EM MACARANDUBA/MASSARANDUBA, ANGELIM OU EQUIVALENTE DA REGIAO</t>
  </si>
  <si>
    <t>PRANCHA NAO APARELHADA *6 X 25* CM, EM MACARANDUBA/MASSARANDUBA, ANGELIM OU EQUIVALENTE DA REGIAO - BRUTA</t>
  </si>
  <si>
    <t>PRANCHA NAO APARELHADA *6 X 30* CM, EM MACARANDUBA/MASSARANDUBA, ANGELIM OU EQUIVALENTE DA REGIAO - BRUTA</t>
  </si>
  <si>
    <t>PRANCHA NAO APARELHADA *6 X 40* CM, EM MACARANDUBA/MASSARANDUBA, ANGELIM OU EQUIVALENTE DA REGIAO - BRUTA</t>
  </si>
  <si>
    <t>PRANCHAO APARELHADO *7,5 X 23* CM, EM MACARANDUBA/MASSARANDUBA, ANGELIM OU EQUIVALENTE DA REGIAO</t>
  </si>
  <si>
    <t>PRANCHAO APARELHADO *8 X 30* CM, EM MACARANDUBA/MASSARANDUBA, ANGELIM OU EQUIVALENTE DA REGIAO</t>
  </si>
  <si>
    <t>PRANCHAO NAO APARELHADO *7,5 X 23* CM, EM MACARANDUBA/MASSARANDUBA, ANGELIM OU EQUIVALENTE DA REGIAO - BRUTA</t>
  </si>
  <si>
    <t>PRANCHAO NAO APARELHADO *8 X 30* CM, EM MACARANDUBA/MASSARANDUBA, ANGELIM OU EQUIVALENTE DA REGIAO - BRUTA</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</si>
  <si>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</si>
  <si>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</si>
  <si>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</si>
  <si>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</si>
  <si>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</si>
  <si>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</si>
  <si>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</si>
  <si>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</si>
  <si>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</si>
  <si>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</si>
  <si>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</si>
  <si>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</si>
  <si>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</si>
  <si>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</si>
  <si>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</si>
  <si>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33 (3 X 9)</t>
  </si>
  <si>
    <t>PREGO DE ACO POLIDO COM CABECA 22 X 48 (4 1/4 X 5)</t>
  </si>
  <si>
    <t>PREGO DE ACO POLIDO COM CABECA DUPLA 17 X 27 (2 1/2 X 11)</t>
  </si>
  <si>
    <t>PREGO DE ACO POLIDO SEM CABECA 15 X 15 (1 1/4 X 13)</t>
  </si>
  <si>
    <t>PRESSAO DE PERNAS TRIPLO, EM TUBO DE ACO CARBONO, PINTURA NO PROCESSO ELETROSTATICO - EQUIPAMENTO DE GINASTICA PARA ACADEMIA AO AR LIVRE / ACADEMIA DA TERCEIRA IDADE - ATI</t>
  </si>
  <si>
    <t>PRIMER DE POLIURETANO</t>
  </si>
  <si>
    <t>PRIMER EPOXI / EPOXIDICO</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</si>
  <si>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</si>
  <si>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</si>
  <si>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</si>
  <si>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CANEQUINHA, COM VOLUME DE 1,50 L, SEM COMPRESSOR</t>
  </si>
  <si>
    <t>PROLONGADOR/ EXTENSOR TELESCOPICO, EM CHAPA METALICA, COM 3 METROS, PARA ROLO DE PINTURA</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</si>
  <si>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</si>
  <si>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</si>
  <si>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</si>
  <si>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</si>
  <si>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</si>
  <si>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</si>
  <si>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</si>
  <si>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 COM CORDAO EM NYLON E CALCO GUIA EM ACO OU MADEIRA</t>
  </si>
  <si>
    <t>PRUMO DE PAREDE EM ACO 700 A 750 G, COM CORDAO EM NYLON E TACO</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</si>
  <si>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</si>
  <si>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</si>
  <si>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</si>
  <si>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</si>
  <si>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PUNHO PARA PERFURATRIZ DE ESTEIRA T38, D = 1 1/2" (38 MM), C = 380 MM</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</si>
  <si>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</si>
  <si>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</si>
  <si>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</si>
  <si>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</si>
  <si>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</si>
  <si>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</si>
  <si>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</si>
  <si>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</si>
  <si>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</si>
  <si>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</si>
  <si>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</si>
  <si>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</si>
  <si>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</si>
  <si>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</si>
  <si>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</si>
  <si>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</si>
  <si>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</si>
  <si>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</si>
  <si>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</si>
  <si>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</si>
  <si>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</si>
  <si>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</si>
  <si>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</si>
  <si>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</si>
  <si>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</si>
  <si>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</si>
  <si>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</si>
  <si>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</si>
  <si>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</si>
  <si>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</si>
  <si>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</si>
  <si>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</si>
  <si>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</si>
  <si>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</si>
  <si>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3 DISJUNTORES NEMA OU 4 DISJUNTORES DIN</t>
  </si>
  <si>
    <t>QUADRO DE DISTRIBUICAO, SEM BARRAMENTO, EM PVC, DE SOBREPOR, PARA 6 DISJUNTORES NEMA OU 8 DISJUNTORES DIN</t>
  </si>
  <si>
    <t>RACK DE PISO PARA SERVIDOR, ABERTO, EM COLUNA, 44U X *570* MM</t>
  </si>
  <si>
    <t>RACK DE PISO PARA SERVIDOR, FECHADO, 44U, COM PORTA, 44U X *570* MM</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</si>
  <si>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</si>
  <si>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</si>
  <si>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</si>
  <si>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</si>
  <si>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</si>
  <si>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</si>
  <si>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</si>
  <si>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</si>
  <si>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</si>
  <si>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 RALO DE PASSAGEM EM PVC, QUADRADO, 100 X 100 X 53 MM, SAIDA 40 MM, COM GRELHA BRANCA</t>
  </si>
  <si>
    <t>RALO SECO CONICO, PVC, 100 X 40 MM, COM GRELHA QUADRADA BRANCA</t>
  </si>
  <si>
    <t>RALO SECO CONICO, PVC, 100 X 40 MM, COM GRELHA REDONDA BRANCA</t>
  </si>
  <si>
    <t>RALO SIFONADO CILINDRICO, PVC, 100 X 40 MM, COM GRELHA REDONDA BRANCA</t>
  </si>
  <si>
    <t>RALO SIFONADO QUADRADO, PVC, 100 X 53 MM, SAIDA 40 MM, COM GRELHA QUADRADA BRANCA</t>
  </si>
  <si>
    <t>RALO SIFONADO REDONDO CONICO, PVC, 100 X 40 MM, COM GRELHA REDONDA BRANCA</t>
  </si>
  <si>
    <t>REBITE DE REPUXO EM ALUMINIO VAZADO, DIAMETRO 3,2 X 8 MM DE COMPRIMENTO (1KG = 1025 UNIDADES)</t>
  </si>
  <si>
    <t>REBOLO ABRASIVO RETO DE USO GERAL GRAO 36, DE 6 X 1" (DIAMETRO X ESPESSURA)</t>
  </si>
  <si>
    <t>REBOLO ABRASIVO RETO DE USO GERAL GRAO 36, DE 6 X 3/4" (DIAMETRO X ESPESSURA)</t>
  </si>
  <si>
    <t>RECICLADORA DE ASFALTO A FRIO SOBRE RODAS, LARG. FRESAGEM 2,00 M, POT. 315 KW/422 HP</t>
  </si>
  <si>
    <t>REDUCAO EXCENTRICA PVC, DN 100 X 50 MM, PARA ESGOTO PREDIAL</t>
  </si>
  <si>
    <t>REDUCAO EXCENTRICA PVC, DN 100 X 75 MM, PARA ESGOTO PREDIAL</t>
  </si>
  <si>
    <t>REDUCAO EXCENTRICA PVC, DN 75 X 50 MM, PARA ESGOTO PREDIAL</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</si>
  <si>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</si>
  <si>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</si>
  <si>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</si>
  <si>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</si>
  <si>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PB, DN 100 X 50 / DE 110 X 60 MM, PARA REDE DE AGUA</t>
  </si>
  <si>
    <t>REDUCAO PVC PBA, JE, PB, DN 100 X 75 / DE 110 X 85 MM, PARA REDE DE AGUA</t>
  </si>
  <si>
    <t>REDUCAO PVC PBA, JE, PB, DN 75 X 50 / DE 85 X 60 MM, PARA REDE DE AGUA</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</si>
  <si>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</si>
  <si>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</si>
  <si>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</si>
  <si>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</si>
  <si>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</si>
  <si>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</si>
  <si>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</si>
  <si>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 COM CORPO DIVIDIDO</t>
  </si>
  <si>
    <t>REGISTRO DE ESFERA, PVC, COM VOLANTE, VS, ROSCAVEL, DN 1/2",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</si>
  <si>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</si>
  <si>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</si>
  <si>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</si>
  <si>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</si>
  <si>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</si>
  <si>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</si>
  <si>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</si>
  <si>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</si>
  <si>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</si>
  <si>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</si>
  <si>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</si>
  <si>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</si>
  <si>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1/2"</t>
  </si>
  <si>
    <t>REGISTRO GAVETA BRUTO EM LATAO FORJADO, BITOLA 1 1/4"</t>
  </si>
  <si>
    <t>REGISTRO GAVETA BRUTO EM LATAO FORJADO, BITOLA 1"</t>
  </si>
  <si>
    <t>REGISTRO GAVETA BRUTO EM LATAO FORJADO, BITOLA 1/2"</t>
  </si>
  <si>
    <t>REGISTRO GAVETA BRUTO EM LATAO FORJADO, BITOLA 2 1/2"</t>
  </si>
  <si>
    <t>REGISTRO GAVETA BRUTO EM LATAO FORJADO, BITOLA 2"</t>
  </si>
  <si>
    <t>REGISTRO GAVETA BRUTO EM LATAO FORJADO, BITOLA 3"</t>
  </si>
  <si>
    <t>REGISTRO GAVETA BRUTO EM LATAO FORJADO, BITOLA 3/4"</t>
  </si>
  <si>
    <t>REGISTRO GAVETA BRUTO EM LATAO FORJADO, BITOLA 4"</t>
  </si>
  <si>
    <t>REGISTRO GAVETA COM ACABAMENTO E CANOPLA CROMADOS, SIMPLES, BITOLA 1 1/2"</t>
  </si>
  <si>
    <t>REGISTRO GAVETA COM ACABAMENTO E CANOPLA CROMADOS, SIMPLES, BITOLA 1 1/4"</t>
  </si>
  <si>
    <t>REGISTRO GAVETA COM ACABAMENTO E CANOPLA CROMADOS, SIMPLES, BITOLA 1"</t>
  </si>
  <si>
    <t>REGISTRO GAVETA COM ACABAMENTO E CANOPLA CROMADOS, SIMPLES, BITOLA 1/2"</t>
  </si>
  <si>
    <t>REGISTRO GAVETA COM ACABAMENTO E CANOPLA CROMADOS, SIMPLES, BITOLA 3/4"</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</si>
  <si>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</si>
  <si>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</si>
  <si>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t>
  </si>
  <si>
    <t>REGISTRO PRESSAO BRUTO EM LATAO FORJADO, BITOLA 3/4"</t>
  </si>
  <si>
    <t>REGISTRO PRESSAO COM ACABAMENTO E CANOPLA CROMADA, SIMPLES, BITOLA 1/2"</t>
  </si>
  <si>
    <t>REGISTRO PRESSAO COM ACABAMENTO E CANOPLA CROMADA, SIMPLES, BITOLA 3/4"</t>
  </si>
  <si>
    <t>REGUA DE ALUMINIO PARA PEDREIRO 2 M X *25,5* MM</t>
  </si>
  <si>
    <t>REGUA VIBRADORA DUPLA PARA CONCRETO A GASOLINA 5,5 HP, PESO DE 60 KG, COMPRIMENTO 4 M</t>
  </si>
  <si>
    <t>REGUA VIBRATORIA DE CONCRETO TRELICADA, EQUIPADA COM MOTOR A GASOLINA DE 9 HP</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</si>
  <si>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</si>
  <si>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</si>
  <si>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</si>
  <si>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</si>
  <si>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RESINA ACRILICA PREMIUM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</si>
  <si>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</si>
  <si>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</si>
  <si>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</si>
  <si>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</si>
  <si>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</si>
  <si>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</si>
  <si>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</si>
  <si>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PARA FACHADAS, PECAS NO FORMATO APROX. *5 X 15* CM, FORNECIDAS EM PLACAS COM PECAS UNIDAS EM PONTOS</t>
  </si>
  <si>
    <t>REVESTIMENTO EM CERAMICA ESMALTADA PARA FACHADAS, PECAS NO FORMATO APROX. *7 X 26* CM, FORNECIDAS EM PLACAS COM PECAS UNIDAS EM PONTOS</t>
  </si>
  <si>
    <t>REVESTIMENTO EM CERAMICA ESMALTADA, FORMATO MAIOR A 2025 CM2</t>
  </si>
  <si>
    <t>REVESTIMENTO EPOXI DE ALTA RESISTENCIA QUIMICA, ISENTO DE SOLVENTES, BICOMPONENTE</t>
  </si>
  <si>
    <t>REVESTIMENTO PARA ESCADA EM GRANILITE, MARMORITE OU GRANITINA ESP = 8 MM (INCLUSO EXECUCAO)</t>
  </si>
  <si>
    <t>REVESTIMENTO PARA PAREDE, EM CERAMICA ESMALTADA, FORMATO MENOR OU IGUAL A 2025 CM2</t>
  </si>
  <si>
    <t>RIPA APARELHADA *1,5 X 5* CM, EM MACARANDUBA/MASSARANDUBA, ANGELIM OU EQUIVALENTE DA REGIAO</t>
  </si>
  <si>
    <t>RIPA NAO APARELHADA *1 X 3* CM, EM MACARANDUBA/MASSARANDUBA, ANGELIM OU EQUIVALENTE DA REGIAO - BRUTA</t>
  </si>
  <si>
    <t>RIPA NAO APARELHADA, *1,5 X 5* CM, EM MACARANDUBA/MASSARANDUBA, ANGELIM OU EQUIVALENTE DA REGIAO - BRUTA</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</si>
  <si>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</si>
  <si>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</si>
  <si>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</si>
  <si>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</si>
  <si>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</si>
  <si>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</si>
  <si>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</si>
  <si>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</si>
  <si>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</si>
  <si>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</si>
  <si>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BORRACHA DUPLA E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</si>
  <si>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</si>
  <si>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</si>
  <si>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</si>
  <si>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</si>
  <si>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</si>
  <si>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</si>
  <si>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</si>
  <si>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</si>
  <si>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</si>
  <si>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</si>
  <si>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</si>
  <si>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</si>
  <si>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</si>
  <si>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X 68 MM (COMPRIMENTO X DIAMETRO), SEM CABO</t>
  </si>
  <si>
    <t>ROLO DE LA DE CARNEIRO 25 MM X 23 CM (ALTURA DA LA X COMPRIMENTO), SEM CABO</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</si>
  <si>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</si>
  <si>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</si>
  <si>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</si>
  <si>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</si>
  <si>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</si>
  <si>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</si>
  <si>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</si>
  <si>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</si>
  <si>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</si>
  <si>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</si>
  <si>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</si>
  <si>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</si>
  <si>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</si>
  <si>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</si>
  <si>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</si>
  <si>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 POLEGADAS</t>
  </si>
  <si>
    <t>SAPATA DE PVC ADITIVADO NERVURADO D = 8 POLEGADAS</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</si>
  <si>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</si>
  <si>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</si>
  <si>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</si>
  <si>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</si>
  <si>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MACARANDUBA/MASSARANDUBA, ANGELIM OU EQUIVALENTE DA REGIAO</t>
  </si>
  <si>
    <t>SARRAFO NAO APARELHADO *2,5 X 10* CM, EM MACARANDUBA/MASSARANDUBA, ANGELIM OU EQUIVALENTE DA REGIAO - BRUTA</t>
  </si>
  <si>
    <t>SARRAFO NAO APARELHADO *2,5 X 5* CM, EM MACARANDUBA/MASSARANDUBA, ANGELIM, PEROBA-ROSA OU EQUIVALENTE DA REGIAO - BRUTA</t>
  </si>
  <si>
    <t>SARRAFO NAO APARELHADO *2,5 X 7* CM, EM MACARANDUBA/MASSARANDUBA, ANGELIM, PEROBA-ROSA OU EQUIVALENTE DA REGIAO - BRUTA</t>
  </si>
  <si>
    <t>SEGURO - HORISTA (COLETADO CAIXA - ENCARGOS COMPLEMENTARES)</t>
  </si>
  <si>
    <t>SEGURO - MENSALISTA (COLETADO CAIXA - ENCARGOS COMPLEMENTARES)</t>
  </si>
  <si>
    <t>SEIXO ROLADO PARA APLICACAO EM CONCRETO (POSTO PEDREIRA/FORNECEDOR, SEM FRETE)</t>
  </si>
  <si>
    <t>SELADOR ACRILICO OPACO PREMIUM INTERIOR/EXTERIOR</t>
  </si>
  <si>
    <t>SELADOR HORIZONTAL PARA FITA DE ACO 1" (25 MM)</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</si>
  <si>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</si>
  <si>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</si>
  <si>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</si>
  <si>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</si>
  <si>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310ML</t>
  </si>
  <si>
    <t>SELANTE MONOCOMPONENTE A BASE DE SILICONE DE BAIXO MODULO, PARA JUNTAS DE PAVIMENTACAO</t>
  </si>
  <si>
    <t>SELANTE TIPO VEDA CALHA PARA METAL E FIBROCIMENTO</t>
  </si>
  <si>
    <t>SELIM PVC, COM TRAVA, JE, 90 GRAUS, DN 125 X 100 MM OU 150 X 100 MM, PARA REDE COLETORA ESGOTO</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</si>
  <si>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</si>
  <si>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</si>
  <si>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</si>
  <si>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</si>
  <si>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</si>
  <si>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</si>
  <si>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</si>
  <si>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</si>
  <si>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</si>
  <si>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</si>
  <si>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 (HORISTA)</t>
  </si>
  <si>
    <t>SERRALHEIRO (MENSALISTA)</t>
  </si>
  <si>
    <t>SERVENTE DE OBRAS (HORISTA)</t>
  </si>
  <si>
    <t>SERVENTE DE OBRAS (MENSALISTA)</t>
  </si>
  <si>
    <t>SERVICO DE BOMBEAMENTO DE CONCRETO COM CONSUMO MINIMO DE 40 M3, (DISPONIBILIZACAO DE BOMBA), SEM O LANCAMENTO</t>
  </si>
  <si>
    <t>SIFAO / TUBO SINFONADO EXTENSIVEL/SANFONADO, UNIVERSAL/ SIMPLES, ENTRE *50 A 70* CM, DE PLASTICO BRANCO</t>
  </si>
  <si>
    <t>SIFAO EM METAL CROMADO PARA PIA AMERICANA, 1.1/2 X 1.1/2"</t>
  </si>
  <si>
    <t>SIFAO EM METAL CROMADO PARA PIA AMERICANA, 1.1/2 X 2"</t>
  </si>
  <si>
    <t>SIFAO EM METAL CROMADO PARA PIA OU LAVATORIO, 1 X 1.1/2"</t>
  </si>
  <si>
    <t>SIFAO EM METAL CROMADO PARA TANQUE, 1.1/4 X 1.1/2"</t>
  </si>
  <si>
    <t>SIFAO PLASTICO EXTENSIVEL UNIVERSAL, TIPO COPO</t>
  </si>
  <si>
    <t>SIFAO PLASTICO TIPO COPO PARA PIA AMERICANA 1.1/2 X 1.1/2"</t>
  </si>
  <si>
    <t>SIFAO PLASTICO TIPO COPO PARA PIA OU LAVATORIO, 1 X 1.1/2"</t>
  </si>
  <si>
    <t>SIFAO PLASTICO TIPO COPO PARA TANQUE, 1.1/4 X 1.1/2"</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</si>
  <si>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</si>
  <si>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</si>
  <si>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</si>
  <si>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</si>
  <si>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</si>
  <si>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 / ESTOPA SISAL PARA GESSO</t>
  </si>
  <si>
    <t>SOLDA EM BARRA DE ESTANHO-CHUMBO 50/50</t>
  </si>
  <si>
    <t>SOLDA EM VARETA FOSCOPER, D = *2,5* MM X COMPRIMENTO 500 MM</t>
  </si>
  <si>
    <t>SOLDA ESTANHO/COBRE PARA CONEXOES DE COBRE, FIO 2,5 MM, CARRETEL 500 GR (SEM CHUMBO)</t>
  </si>
  <si>
    <t>SOLDADOR (HORISTA)</t>
  </si>
  <si>
    <t>SOLDADOR (MENSALISTA)</t>
  </si>
  <si>
    <t>SOLDADOR ELETRICO (PARA SOLDA A SER TESTADA COM RAIOS "X") (HORISTA)</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</si>
  <si>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</si>
  <si>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</si>
  <si>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</si>
  <si>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</si>
  <si>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</si>
  <si>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</si>
  <si>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PREPARADORA / LIMPADORA PARA PVC, FRASCO COM 1000 CM3</t>
  </si>
  <si>
    <t>SOLVENTE PARA COLA A BASE DE RESINA SINTETICA (PARA COLA DE LAMINADO MELAMINICO E OUTRAS SUPERFICIES)</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</si>
  <si>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</si>
  <si>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</si>
  <si>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</si>
  <si>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</si>
  <si>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</si>
  <si>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BULBO AMARELO DE RESPOSTA RAPIDA, 79 GRAUS CELSIUS, ACABAMENTO CROMADO, D = 20 MM (3/4")</t>
  </si>
  <si>
    <t>SPRINKLER TIPO PENDENTE, BULBO AMARELO DE RESPOSTA RAPIDA, 79 GRAUS CELSIUS, ACABAMENTO NATURAL OU CROMADO, D = 15 MM (1/2")</t>
  </si>
  <si>
    <t>SPRINKLER TIPO PENDENTE, BULBO AMARELO DE RESPOSTA RAPIDA, 79 GRAUS CELSIUS, ACABAMENTO NATURAL, D = 20 MM (3/4")</t>
  </si>
  <si>
    <t>SPRINKLER TIPO PENDENTE, BULBO VERMELHO DE RESPOSTA RAPIDA, 68 GRAUS CELSIUS, ACABAMENTO CROMADO, D = 15 MM (1/2")</t>
  </si>
  <si>
    <t>SPRINKLER TIPO PENDENTE, BULBO VERMELHO DE RESPOSTA RAPIDA, 68 GRAUS CELSIUS, ACABAMENTO CROMADO, D = 20 MM (3/4")</t>
  </si>
  <si>
    <t>SPRINKLER TIPO PENDENTE, BULBO VERMELHO DE RESPOSTA RAPIDA, 68 GRAUS CELSIUS, ACABAMENTO NATURAL, D = 20 MM (3/4")</t>
  </si>
  <si>
    <t>SPRINKLER TIPO PENDENTE, BULBO VERMELHO RESPOSTA RAPIDA, 68 GRAUS CELSIUS, ACABAMENTO NATURAL, D = 15 MM (1/2")</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</si>
  <si>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</si>
  <si>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</si>
  <si>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</si>
  <si>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</si>
  <si>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</si>
  <si>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</si>
  <si>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</si>
  <si>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</si>
  <si>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</si>
  <si>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PLUVIAL PREDIAL</t>
  </si>
  <si>
    <t>SUPORTE PARA CALHA DE 150 MM EM ACO GALVANIZADO</t>
  </si>
  <si>
    <t>SUPORTE PARA TUBO DIAMETRO NOMINAL 2", COM ROSCA MECANICA</t>
  </si>
  <si>
    <t>SURF DUPLO, EM TUBO DE ACO CARBONO, PINTURA NO PROCESSO ELETROSTATICO - EQUIPAMENTO DE GINASTICA PARA ACADEMIA AO AR LIVRE / ACADEMIA DA TERCEIRA IDADE - ATI</t>
  </si>
  <si>
    <t>TABUA *2,5 X 15 CM EM PINUS, MISTA OU EQUIVALENTE DA REGIAO - BRUTA</t>
  </si>
  <si>
    <t>TABUA *2,5 X 23* CM EM PINUS, MISTA OU EQUIVALENTE DA REGIAO - BRUTA</t>
  </si>
  <si>
    <t>TABUA *2,5 X 30 CM EM PINUS, MISTA OU EQUIVALENTE DA REGIAO - BRUTA</t>
  </si>
  <si>
    <t>TABUA APARELHADA *2,5 X 15* CM, EM MACARANDUBA/MASSARANDUBA, ANGELIM OU EQUIVALENTE DA REGIAO</t>
  </si>
  <si>
    <t>TABUA APARELHADA *2,5 X 25* CM, EM MACARANDUBA/MASSARANDUBA, ANGELIM OU EQUIVALENTE DA REGIAO</t>
  </si>
  <si>
    <t>TABUA APARELHADA *2,5 X 30* CM, EM MACARANDUBA/MASSARANDUBA,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</si>
  <si>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</si>
  <si>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</si>
  <si>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</si>
  <si>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MACARANDUBA/MASSARANDUBA, ANGELIM OU EQUIVALENTE DA REGIAO - BRUTA</t>
  </si>
  <si>
    <t>TABUA NAO APARELHADA *2,5 X 20* CM, EM MACARANDUBA/MASSARANDUBA, ANGELIM OU EQUIVALENTE DA REGIAO - BRUTA</t>
  </si>
  <si>
    <t>TABUA NAO APARELHADA *2,5 X 30* CM, EM MACARANDUBA/MASSARANDUBA,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</si>
  <si>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</si>
  <si>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</si>
  <si>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</si>
  <si>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</si>
  <si>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</si>
  <si>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</si>
  <si>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</si>
  <si>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</si>
  <si>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</si>
  <si>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</si>
  <si>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</si>
  <si>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</si>
  <si>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</si>
  <si>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</si>
  <si>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</si>
  <si>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</si>
  <si>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</si>
  <si>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</si>
  <si>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</si>
  <si>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</si>
  <si>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</si>
  <si>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1 INTERRUPTOR</t>
  </si>
  <si>
    <t>TAMPA PARA CONDULETE, EM PVC, PARA 1 MODULO RJ</t>
  </si>
  <si>
    <t>TAMPA PARA CONDULETE, EM PVC, PARA 2 MODULOS RJ</t>
  </si>
  <si>
    <t>TAMPA PARA CONDULETE, EM PVC, PARA TOMADA HEXAGONAL</t>
  </si>
  <si>
    <t>TAMPAO / CAP, ROSCA MACHO, DN 1", PARA TUBO PEX PARA INST. AGUA QUENTE/FRIA</t>
  </si>
  <si>
    <t>TAMPAO / CAP, ROSCA MACHO, DN 3/4", PARA TUBO PEX PARA INST. AGUA QUENTE/FRIA</t>
  </si>
  <si>
    <t>TAMPAO / TERMINAL / PLUG, D = 1 1/4", PARA DUTO CORRUGADO PEAD (CABEAMENTO SUBTERRANEO)</t>
  </si>
  <si>
    <t>TAMPAO / TERMINAL / PLUG, D = 2", PARA DUTO CORRUGADO PEAD (CABEAMENTO SUBTERRANEO)</t>
  </si>
  <si>
    <t>TAMPAO / TERMINAL / PLUG, D = 3", PARA DUTO CORRUGADO PEAD (CABEAMENTO SUBTERRANEO)</t>
  </si>
  <si>
    <t>TAMPAO / TERMINAL / PLUG, D = 4", PARA DUTO CORRUGADO PEAD (CABEAMENTO SUBTERRANEO)</t>
  </si>
  <si>
    <t>TAMPAO COM CORRENTE, EM LATAO, ENGATE RAPIDO 1 1/2", PARA INSTALACAO PREDIAL DE COMBATE A INCENDIO</t>
  </si>
  <si>
    <t>TAMPAO COM CORRENTE, EM LATAO, ENGATE RAPIDO 2 1/2", PARA INSTALACAO PREDIAL DE COMBATE A INCENDIO</t>
  </si>
  <si>
    <t>TAMPAO FOFO ARTICULADO P/ REGISTRO, COM BASE / REQUADRO, CLASSE A15 CARGA MAX 1,5 T, *200 X 200* MM (COM INSCRICAO EM RELEVO DO TIPO DE REDE)</t>
  </si>
  <si>
    <t>TAMPAO FOFO ARTICULADO P/ REGISTRO, COM BASE / REQUADRO, CLASSE A15 CARGA MAXIMA 1,5 T, *400 X 400* MM (COM INSCRICAO EM RELEVO DO TIPO DE REDE)</t>
  </si>
  <si>
    <t>TAMPAO FOFO ARTICULADO, COM BASE / REQUADRO, CLASSE B125 CARGA MAX 12,5 T, REDONDO, TAMPA 600 MM (COM INSCRICAO EM RELEVO DO TIPO DE REDE)</t>
  </si>
  <si>
    <t>TAMPAO FOFO ARTICULADO, COM BASE / REQUADRO, CLASSE D400 CARGA MAX 40 T, REDONDO, TAMPA 600 MM (COM INSCRICAO EM RELEVO DO TIPO DE REDE)</t>
  </si>
  <si>
    <t>TAMPAO FOFO SIMPLES COM BASE / REQUADRO, CLASSE A15 CARGA MAX. 1,5 T, 300 X 300 MM (COM INSCRICAO EM RELEVO DO TIPO DE REDE)</t>
  </si>
  <si>
    <t>TAMPAO FOFO SIMPLES COM BASE / REQUADRO, CLASSE A15 CARGA MAX. 1,5 T, 400 X 400 MM (COM INSCRICAO EM RELEVO DO TIPO DE REDE)</t>
  </si>
  <si>
    <t>TAMPAO FOFO SIMPLES COM BASE / REQUADRO, CLASSE A15 CARGA MAX. 1,5 T, 400 X 600 MM (COM INSCRICAO EM RELEVO DO TIPO DE REDE)</t>
  </si>
  <si>
    <t>TAMPAO FOFO SIMPLES COM BASE / REQUADRO, CLASSE B125 CARGA MAX. 12,5 T, REDONDO, TAMPA 500 MM (COM INSCRICAO EM RELEVO DO TIPO DE REDE)</t>
  </si>
  <si>
    <t>TAMPAO FOFO SIMPLES COM BASE / REQUADRO, CLASSE B125 CARGA MAX. 12,5 T, REDONDO, TAMPA 600 MM (COM INSCRICAO EM RELEVO DO TIPO DE REDE)</t>
  </si>
  <si>
    <t>TAMPAO FOFO SIMPLES COM BASE / REQUADRO, CLASSE D400 CARGA MAX. 40 T, REDONDO, TAMPA 600 MM (COM INSCRICAO EM RELEVO DO TIPO DE REDE)</t>
  </si>
  <si>
    <t>TAMPAO FOFO SIMPLES COM BASE / REQUADRO, CLASSE D400 CARGA MAX. 40 T, REDONDO, TAMPA 900 MM (COM INSCRICAO EM RELEVO DO TIPO DE REDE)</t>
  </si>
  <si>
    <t>TAMPAO FOFO SIMPLES COM BASE / REQUADRO, R-2, CLASSE A15 CARGA MAX. 1,5 T, 550 X 1100 MM (COM INSCRICAO EM RELEVO DO TIPO DE REDE)</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</si>
  <si>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</si>
  <si>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</si>
  <si>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</si>
  <si>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</si>
  <si>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</si>
  <si>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</si>
  <si>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</si>
  <si>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</si>
  <si>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</si>
  <si>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LOUCA BRANCA, COM COLUNA, *30* L</t>
  </si>
  <si>
    <t>TANQUE DE LOUCA BRANCA, SUSPENSO, *20*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</si>
  <si>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</si>
  <si>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</si>
  <si>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</si>
  <si>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</si>
  <si>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TARIFA "A" ENTRE 0 E 20M3 FORNECIMENTO D'AGUA</t>
  </si>
  <si>
    <t>TARJETA LIVRE / OCUPADO PARA PORTA DE BANHEIRO, CORPO EM ZAMAC E ESPELHO EM LATAO</t>
  </si>
  <si>
    <t>TARUGO DELIMITADOR DE PROFUNDIDADE EM ESPUMA DE POLIETILENO DE BAIXA DENSIDADE 10 MM, CINZA</t>
  </si>
  <si>
    <t>TE 45 GRAUS DE FERRO GALVANIZADO, COM ROSCA BSP, DE 1 1/2"</t>
  </si>
  <si>
    <t>TE 45 GRAUS DE FERRO GALVANIZADO, COM ROSCA BSP, DE 1 1/4"</t>
  </si>
  <si>
    <t>TE 45 GRAUS DE FERRO GALVANIZADO, COM ROSCA BSP, DE 1"</t>
  </si>
  <si>
    <t>TE 45 GRAUS DE FERRO GALVANIZADO, COM ROSCA BSP, DE 1/2"</t>
  </si>
  <si>
    <t>TE 45 GRAUS DE FERRO GALVANIZADO, COM ROSCA BSP, DE 2 1/2"</t>
  </si>
  <si>
    <t>TE 45 GRAUS DE FERRO GALVANIZADO, COM ROSCA BSP, DE 2"</t>
  </si>
  <si>
    <t>TE 45 GRAUS DE FERRO GALVANIZADO, COM ROSCA BSP, DE 3"</t>
  </si>
  <si>
    <t>TE 45 GRAUS DE FERRO GALVANIZADO, COM ROSCA BSP, DE 3/4"</t>
  </si>
  <si>
    <t>TE 45 GRAUS DE FERRO GALVANIZADO, COM ROSCA BSP, DE 4"</t>
  </si>
  <si>
    <t>TE 90 GRAUS EM ACO CARBONO, SOLDAVEL, PRESSAO 3.000 LBS, DN 1 1/2"</t>
  </si>
  <si>
    <t>TE 90 GRAUS EM ACO CARBONO, SOLDAVEL, PRESSAO 3.000 LBS, DN 1 1/4"</t>
  </si>
  <si>
    <t>TE 90 GRAUS EM ACO CARBONO, SOLDAVEL, PRESSAO 3.000 LBS, DN 1"</t>
  </si>
  <si>
    <t>TE 90 GRAUS EM ACO CARBONO, SOLDAVEL, PRESSAO 3.000 LBS, DN 1/2"</t>
  </si>
  <si>
    <t>TE 90 GRAUS EM ACO CARBONO, SOLDAVEL, PRESSAO 3.000 LBS, DN 2 1/2"</t>
  </si>
  <si>
    <t>TE 90 GRAUS EM ACO CARBONO, SOLDAVEL, PRESSAO 3.000 LBS, DN 2"</t>
  </si>
  <si>
    <t>TE 90 GRAUS EM ACO CARBONO, SOLDAVEL, PRESSAO 3.000 LBS, DN 3"</t>
  </si>
  <si>
    <t>TE 90 GRAUS EM ACO CARBONO, SOLDAVEL, PRESSAO 3.000 LBS, DN 3/4"</t>
  </si>
  <si>
    <t>TE CPVC, SOLDAVEL, 90 GRAUS, 114 MM, PARA AGUA QUENTE PREDIAL</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</si>
  <si>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</si>
  <si>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</si>
  <si>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</si>
  <si>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</si>
  <si>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</si>
  <si>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</si>
  <si>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</si>
  <si>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</si>
  <si>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SEM ANEL DE SOLDA, BOLSA X BOLSA X BOLSA, 104 MM</t>
  </si>
  <si>
    <t>TE DE COBRE SEM ANEL DE SOLDA, BOLSA X BOLSA X BOLSA, 15 MM</t>
  </si>
  <si>
    <t>TE DE COBRE SEM ANEL DE SOLDA, BOLSA X BOLSA X BOLSA, 22 MM</t>
  </si>
  <si>
    <t>TE DE COBRE SEM ANEL DE SOLDA, BOLSA X BOLSA X BOLSA, 28 MM</t>
  </si>
  <si>
    <t>TE DE COBRE SEM ANEL DE SOLDA, BOLSA X BOLSA X BOLSA, 35 MM</t>
  </si>
  <si>
    <t>TE DE COBRE SEM ANEL DE SOLDA, BOLSA X BOLSA X BOLSA, 42 MM</t>
  </si>
  <si>
    <t>TE DE COBRE SEM ANEL DE SOLDA, BOLSA X BOLSA X BOLSA, 54 MM</t>
  </si>
  <si>
    <t>TE DE COBRE SEM ANEL DE SOLDA, BOLSA X BOLSA X BOLSA, 66 MM</t>
  </si>
  <si>
    <t>TE DE COBRE SEM ANEL DE SOLDA, BOLSA X BOLSA X BOLSA, 79 MM</t>
  </si>
  <si>
    <t>TE DE FERRO GALVANIZADO, DE 1 1/2"</t>
  </si>
  <si>
    <t>TE DE FERRO GALVANIZADO, DE 1 1/4"</t>
  </si>
  <si>
    <t>TE DE FERRO GALVANIZADO, DE 1"</t>
  </si>
  <si>
    <t>TE DE FERRO GALVANIZADO, DE 1/2"</t>
  </si>
  <si>
    <t>TE DE FERRO GALVANIZADO, DE 2 1/2"</t>
  </si>
  <si>
    <t>TE DE FERRO GALVANIZADO, DE 2"</t>
  </si>
  <si>
    <t>TE DE FERRO GALVANIZADO, DE 3"</t>
  </si>
  <si>
    <t>TE DE FERRO GALVANIZADO, DE 3/4"</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</si>
  <si>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</si>
  <si>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</si>
  <si>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</si>
  <si>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</si>
  <si>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</si>
  <si>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</si>
  <si>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</si>
  <si>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</si>
  <si>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1.1/2" X 3/4",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</si>
  <si>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</si>
  <si>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</si>
  <si>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</si>
  <si>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</si>
  <si>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</si>
  <si>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</si>
  <si>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</si>
  <si>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</si>
  <si>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</si>
  <si>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</si>
  <si>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</si>
  <si>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</si>
  <si>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</si>
  <si>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</si>
  <si>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</si>
  <si>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</si>
  <si>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</si>
  <si>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</si>
  <si>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3/4" X 1/2"</t>
  </si>
  <si>
    <t>TE DE REDUCAO DE FERRO GALVANIZADO, COM ROSCA BSP, DE 4" X 2"</t>
  </si>
  <si>
    <t>TE DE REDUCAO DE FERRO GALVANIZADO, COM ROSCA BSP, DE 4" X 3"</t>
  </si>
  <si>
    <t>TE DE REDUCAO, CPVC, 22 X 15 MM, PARA AGUA QUENTE PREDIAL</t>
  </si>
  <si>
    <t>TE DE REDUCAO, CPVC, 28 X 22 MM, PARA AGUA QUENTE PREDIAL</t>
  </si>
  <si>
    <t>TE DE REDUCAO, CPVC, 35 X 28 MM, PARA AGUA QUENTE PREDIAL</t>
  </si>
  <si>
    <t>TE DE REDUCAO, CPVC, 42 X 35 MM, PARA AGUA QUENTE PREDIAL</t>
  </si>
  <si>
    <t>TE DE REDUCAO, PVC PBA, BBB, JE, DN 100 X 50 / DE 110 X 60 MM, PARA REDE DE AGUA</t>
  </si>
  <si>
    <t>TE DE REDUCAO, PVC PBA, BBB, JE, DN 100 X 75 / DE 110 X 85 MM, PARA REDE DE AGUA</t>
  </si>
  <si>
    <t>TE DE REDUCAO, PVC PBA, BBB, JE, DN 75 X 50 / DE 85 X 60 MM, PARA REDE DE AGUA</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</si>
  <si>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</si>
  <si>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</si>
  <si>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</si>
  <si>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</si>
  <si>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</si>
  <si>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</si>
  <si>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</si>
  <si>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</si>
  <si>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</si>
  <si>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</si>
  <si>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 63 X 20 MM - LIGACAO PREDIAL DE AGUA</t>
  </si>
  <si>
    <t>TE DE SERVICO INTEGRADO, EM POLIPROPILENO (PP), PARA TUBOS EM PEAD/PVC, 60 X 20 MM - LIGACAO PREDIAL DE AGUA</t>
  </si>
  <si>
    <t>TE DE SERVICO INTEGRADO, EM POLIPROPILENO (PP), PARA TUBOS EM PEAD/PVC, 60 X 32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</si>
  <si>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</si>
  <si>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</si>
  <si>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</si>
  <si>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</si>
  <si>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</si>
  <si>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</si>
  <si>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</si>
  <si>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</si>
  <si>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</si>
  <si>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</si>
  <si>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</si>
  <si>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SEM ANEL DE SOLDA, ROSCA F X BOLSA X ROSCA F, 1/2" X 15 X 1/2"</t>
  </si>
  <si>
    <t>TE DUPLA CURVA BRONZE/LATAO SEM ANEL DE SOLDA, ROSCA F X BOLSA X ROSCA F, 3/4" X 22 X 3/4"</t>
  </si>
  <si>
    <t>TE METALICO, PARA CONEXAO COM ANEL DESLIZANTE, DN 16 MM, EM TUBO PEX PARA INST. AGUA QUENTE/FRIA</t>
  </si>
  <si>
    <t>TE METALICO, PARA CONEXAO COM ANEL DESLIZANTE, DN 20 MM, EM TUBO PEX PARA INST. AGUA QUENTE/FRIA</t>
  </si>
  <si>
    <t>TE METALICO, PARA CONEXAO COM ANEL DESLIZANTE, DN 25 MM, EM TUBO PEX PARA INST. AGUA QUENTE/FRIA</t>
  </si>
  <si>
    <t>TE METALICO, PARA CONEXAO COM ANEL DESLIZANTE, DN 32 MM, EM TUBO PEX PARA INST. AGUA QUENTE/FRIA</t>
  </si>
  <si>
    <t>TE MISTURADOR COM INSERTO METALICO, FEMEA, PPR, DN 25 MM X 3/4", PARA AGUA QUENTE E FRIA PREDIAL</t>
  </si>
  <si>
    <t>TE MISTURADOR DE TRANSICAO, CPVC, COM ROSCA, 22 MM X 3/4", PARA AGUA QUENTE</t>
  </si>
  <si>
    <t>TE MISTURADOR, CPVC, SOLDAVEL, 15 MM, PARA AGUA QUENTE</t>
  </si>
  <si>
    <t>TE MISTURADOR, CPVC, SOLDAVEL, 22 MM, PARA AGUA QUENTE</t>
  </si>
  <si>
    <t>TE MISTURADOR, PPR, F/M/M, DN 20 X 20 MM, PARA AGUA QUENTE PREDIAL</t>
  </si>
  <si>
    <t>TE MISTURADOR, PPR, F/M/M, DN 25 X 25 MM, PARA AGUA QUENTE PREDIAL</t>
  </si>
  <si>
    <t>TE NORMAL, PPR, F/F/F, SOLDAVEL, 90 GRAUS, DN 110 X 110 X 110 MM, PARA AGUA QUENTE PREDIAL</t>
  </si>
  <si>
    <t>TE NORMAL, PPR, F/F/F, SOLDAVEL, 90 GRAUS, DN 20 X 20 X 20 MM, PARA AGUA QUENTE PREDIAL</t>
  </si>
  <si>
    <t>TE NORMAL, PPR, F/F/F, SOLDAVEL, 90 GRAUS, DN 25 X 25 X 25 MM, PARA AGUA QUENTE PREDIAL</t>
  </si>
  <si>
    <t>TE NORMAL, PPR, F/F/F, SOLDAVEL, 90 GRAUS, DN 32 X 32 X 32 MM, PARA AGUA QUENTE PREDIAL</t>
  </si>
  <si>
    <t>TE NORMAL, PPR, F/F/F, SOLDAVEL, 90 GRAUS, DN 40 X 40 X 40 MM, PARA AGUA QUENTE PREDIAL</t>
  </si>
  <si>
    <t>TE NORMAL, PPR, F/F/F, SOLDAVEL, 90 GRAUS, DN 50 X 50 X 50 MM, PARA AGUA QUENTE PREDIAL</t>
  </si>
  <si>
    <t>TE NORMAL, PPR, F/F/F, SOLDAVEL, 90 GRAUS, DN 63 X 63 X 63 MM, PARA AGUA QUENTE PREDIAL</t>
  </si>
  <si>
    <t>TE NORMAL, PPR, F/F/F, SOLDAVEL, 90 GRAUS, DN 75 X 75 X 75 MM, PARA AGUA QUENTE PREDIAL</t>
  </si>
  <si>
    <t>TE NORMAL, PPR, F/F/F,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</si>
  <si>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</si>
  <si>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</si>
  <si>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</si>
  <si>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</si>
  <si>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</si>
  <si>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</si>
  <si>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</si>
  <si>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</si>
  <si>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</si>
  <si>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</si>
  <si>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</si>
  <si>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</si>
  <si>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</si>
  <si>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</si>
  <si>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</si>
  <si>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</si>
  <si>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</si>
  <si>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ROSCA FEMEA, METALICO, PARA CONEXAO COM ANEL DESLIZANTE, DN 16 MM X 1/2", EM TUBO PEX PARA INST. AGUA QUENTE/FRIA</t>
  </si>
  <si>
    <t>TE ROSCA FEMEA, METALICO, PARA CONEXAO COM ANEL DESLIZANTE, DN 20 MM X 1/2", EM TUBO PEX PARA INST. AGUA QUENTE/FRIA</t>
  </si>
  <si>
    <t>TE ROSCA FEMEA, METALICO, PARA CONEXAO COM ANEL DESLIZANTE, DN 25 MM X 3/4", EM TUBO PEX PARA INST. AGUA QUENTE/FRIA</t>
  </si>
  <si>
    <t>TE SANITARIO DE REDUCAO, PVC, DN 100 X 50 MM, SERIE NORMAL, PARA ESGOTO PREDIAL</t>
  </si>
  <si>
    <t>TE SANITARIO DE REDUCAO, PVC, DN 100 X 75 MM, SERIE NORMAL PARA ESGOTO PREDIAL</t>
  </si>
  <si>
    <t>TE SANITARIO, PVC, DN 100 X 100 MM, SERIE NORMAL, PARA ESGOTO PREDIAL</t>
  </si>
  <si>
    <t>TE SANITARIO, PVC, DN 40 X 40 MM, SERIE NORMAL, PARA ESGOTO PREDIAL</t>
  </si>
  <si>
    <t>TE SANITARIO, PVC, DN 50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</si>
  <si>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</si>
  <si>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</si>
  <si>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</si>
  <si>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</si>
  <si>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</si>
  <si>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</si>
  <si>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</si>
  <si>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</si>
  <si>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</si>
  <si>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</si>
  <si>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PLASTICO, DN 16 MM, PARA CONEXAO COM CRIMPAGEM, EM TUBO PEX PARA INST. AGUA QUENTE/FRIA</t>
  </si>
  <si>
    <t>TE, PLASTICO, DN 20 MM, PARA CONEXAO COM CRIMPAGEM, EM TUBO PEX PARA INST. AGUA QUENTE/FRIA</t>
  </si>
  <si>
    <t>TE, PLASTICO, DN 25 MM, PARA CONEXAO COM CRIMPAGEM, EM TUBO PEX PARA INST. AGUA QUENTE/FRIA</t>
  </si>
  <si>
    <t>TE, PLASTICO, DN 32 MM, PARA CONEXAO COM CRIMPAGEM, EM TUBO PEX PARA INST. AGUA QUENTE/FRIA</t>
  </si>
  <si>
    <t>TE, PVC PBA, BBB, 90 GRAUS, DN 100 / DE 110 MM, PARA REDE DE AGUA</t>
  </si>
  <si>
    <t>TE, PVC PBA, BBB, 90 GRAUS, DN 50 / DE 60 MM, PARA REDE DE AGUA</t>
  </si>
  <si>
    <t>TE, PVC PBA, BBB, 90 GRAUS, DN 75 / DE 85 MM, PARA REDE DE AGUA</t>
  </si>
  <si>
    <t>TE, PVC, 90 GRAUS, BBB, JE, DN 200 MM, PARA REDE COLETORA ESGOTO</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</si>
  <si>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</si>
  <si>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</si>
  <si>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</si>
  <si>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</si>
  <si>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</si>
  <si>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TECNICO DE EDIFICACOES (HORISTA)</t>
  </si>
  <si>
    <t>TECNICO DE EDIFICACOES (MENSALISTA)</t>
  </si>
  <si>
    <t>TECNICO EM LABORATORIO E CAMPO DE CONSTRUCAO CIVIL (HORISTA)</t>
  </si>
  <si>
    <t>TECNICO EM LABORATORIO E CAMPO DE CONSTRUCAO CIVIL (MENSALISTA)</t>
  </si>
  <si>
    <t>TECNICO EM SEGURANCA DO TRABALHO (HORISTA)</t>
  </si>
  <si>
    <t>TECNICO EM SEGURANCA DO TRABALHO (MENSALISTA)</t>
  </si>
  <si>
    <t>TECNICO EM SONDAGEM (HORISTA)</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</si>
  <si>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</si>
  <si>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</si>
  <si>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10,5* CM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</si>
  <si>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</si>
  <si>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</si>
  <si>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</si>
  <si>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</si>
  <si>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</si>
  <si>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</si>
  <si>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</si>
  <si>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</si>
  <si>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</si>
  <si>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</si>
  <si>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</si>
  <si>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</si>
  <si>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</si>
  <si>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</si>
  <si>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</si>
  <si>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</si>
  <si>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</si>
  <si>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</si>
  <si>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</si>
  <si>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</si>
  <si>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</si>
  <si>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</si>
  <si>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</si>
  <si>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</si>
  <si>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</si>
  <si>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</si>
  <si>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</si>
  <si>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</si>
  <si>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</si>
  <si>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</si>
  <si>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</si>
  <si>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</si>
  <si>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</si>
  <si>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</si>
  <si>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</si>
  <si>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TRANSLUCIDA / INCOLOR, E = *0,6* MM, DE *0,50 X 2,44* M (L X C)</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</si>
  <si>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</si>
  <si>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</si>
  <si>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</si>
  <si>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</si>
  <si>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</si>
  <si>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</si>
  <si>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</si>
  <si>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</si>
  <si>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</si>
  <si>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</si>
  <si>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</si>
  <si>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</si>
  <si>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</si>
  <si>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</si>
  <si>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</si>
  <si>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</si>
  <si>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</si>
  <si>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</si>
  <si>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</si>
  <si>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</si>
  <si>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</si>
  <si>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</si>
  <si>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</si>
  <si>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</si>
  <si>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</si>
  <si>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</si>
  <si>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</si>
  <si>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</si>
  <si>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</si>
  <si>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</si>
  <si>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</si>
  <si>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</si>
  <si>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REVESTIMENTO EM TELHA TRAPEZOIDAL NAS DUAS FACES COM ESPESSURA DE 0,50 MM CADA,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</si>
  <si>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</si>
  <si>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POLIISOCIANURATO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</si>
  <si>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</si>
  <si>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</si>
  <si>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</si>
  <si>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</si>
  <si>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</si>
  <si>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</si>
  <si>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</si>
  <si>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 / TELHADISTA (HORISTA)</t>
  </si>
  <si>
    <t>TELHADOR / TELHADISTA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</si>
  <si>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</si>
  <si>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</si>
  <si>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</si>
  <si>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</si>
  <si>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</si>
  <si>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</si>
  <si>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</si>
  <si>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</si>
  <si>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</si>
  <si>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</si>
  <si>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</si>
  <si>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METALICO A PRESSAO 1 CABO, PARA CABOS DE 4 A 10 MM2, COM 2 FUROS PARA FIXACAO</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</si>
  <si>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</si>
  <si>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</si>
  <si>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</si>
  <si>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</si>
  <si>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</si>
  <si>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</si>
  <si>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</si>
  <si>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</si>
  <si>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</si>
  <si>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</si>
  <si>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</si>
  <si>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</si>
  <si>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</si>
  <si>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</si>
  <si>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</si>
  <si>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</si>
  <si>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</si>
  <si>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</si>
  <si>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</si>
  <si>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</si>
  <si>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</si>
  <si>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</si>
  <si>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DE *5,5 X 11 X 23* CM (L X A X C), COM 21 FUROS</t>
  </si>
  <si>
    <t>TIJOLO CERAMICO MACICO APARENTE 2 FUROS DE *6,5 X 10 X 20* CM (L X A X C)</t>
  </si>
  <si>
    <t>TIJOLO CERAMICO MACICO APARENTE DE *6 X 12 X 24* CM (L X A X C)</t>
  </si>
  <si>
    <t>TIJOLO CERAMICO MACICO COMUM DE *5 X 10 X 20* CM (L X A X C)</t>
  </si>
  <si>
    <t>TIJOLO CERAMICO REFRATARIO DE *2,5 X 11,4 X 22,9* CM (L X A X C)</t>
  </si>
  <si>
    <t>TIJOLO CERAMICO REFRATARIO DE *6,3 X 11,4 X 22,9* CM (L X A X C)</t>
  </si>
  <si>
    <t>TIL CONDOMINIAL, PVC, DN 100 X 100 MM, PARA REDE COLETORA DE ESGOTO</t>
  </si>
  <si>
    <t>TIL PARA LIGACAO PREDIAL, EM PVC, JE, BBB, DN 100 X 100 MM, PARA REDE COLETORA ESGOTO</t>
  </si>
  <si>
    <t>TIL RADIAL, PVC, JE, BBB, DN 300 X 200 MM, PARA REDE COLETORA DE ESGOTO (NBR 10.569)</t>
  </si>
  <si>
    <t>TINTA / REVESTIMENTO A BASE DE RESINA EPOXI COM ALCATRAO, BICOMPONENTE</t>
  </si>
  <si>
    <t>TINTA A BASE DE RESINA ACRILICA EMULSIONADA EM AGUA, PARA SINALIZACAO HORIZONTAL VIARIA (NBR 13699:2012)</t>
  </si>
  <si>
    <t>TINTA A OLEO BRILHANTE, PARA MADEIRAS E METAIS</t>
  </si>
  <si>
    <t>TINTA ACRILICA A BASE DE SOLVENTE, PARA SINALIZACAO HORIZONTAL VIARIA (NBR 11862)</t>
  </si>
  <si>
    <t>TINTA ACRILICA PREMIUM PARA PISO</t>
  </si>
  <si>
    <t>TINTA ASFALTICA IMPERMEABILIZANTE DILUIDA EM SOLVENTE, PARA MATERIAIS CIMENTICIOS, METAL E MADEIRA</t>
  </si>
  <si>
    <t>TINTA ASFALTICA IMPERMEABILIZANTE DISPERSA EM AGUA, PARA MATERIAIS CIMENTICIOS</t>
  </si>
  <si>
    <t>TINTA BORRACHA CLORADA, ACABAMENTO SEMIBRILHO, QUALQUER COR</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</si>
  <si>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</si>
  <si>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</si>
  <si>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</si>
  <si>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</si>
  <si>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</si>
  <si>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</si>
  <si>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</si>
  <si>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</si>
  <si>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</si>
  <si>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</si>
  <si>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</si>
  <si>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</si>
  <si>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PREMIUM, COR BRANCO FOSCO</t>
  </si>
  <si>
    <t>TINTA LATEX ACRILICA STANDARD, COR BRANCA</t>
  </si>
  <si>
    <t>TINTA LATEX ACRILICA SUPER PREMIUM, COR BRANCO FOSCO</t>
  </si>
  <si>
    <t>TINTA MINERAL IMPERMEAVEL EM PO, BRANCA</t>
  </si>
  <si>
    <t>TINTA/RESINA ACRILICA PREMIUM PARA CERAMICA, PEDRAS E OUTROS</t>
  </si>
  <si>
    <t>TIRANTE COM ELO, EM ARAME GALVANIZADO RIGIDO, NUMERO 10, COMPRIMENTO 2000 MM, PARA PENDURAL DE FORRO REMOVIVEL</t>
  </si>
  <si>
    <t>TIRANTE EM FERRO GALVANIZADO PARA CONTRAVENTAMENTO DE TELHA CANALETE 90, 1/4" X 400 MM</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</si>
  <si>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</si>
  <si>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</si>
  <si>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</si>
  <si>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</si>
  <si>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</si>
  <si>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</si>
  <si>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</si>
  <si>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</si>
  <si>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</si>
  <si>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</si>
  <si>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</si>
  <si>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</si>
  <si>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</si>
  <si>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TOMADAS (2 MODULOS) 2P+T 10A, 250V, CONJUNTO MONTADO PARA EMBUTIR 4" X 2" (PLACA + SUPORTE + MODULOS)</t>
  </si>
  <si>
    <t>TOPOGRAFO (HORISTA)</t>
  </si>
  <si>
    <t>TOPOGRAFO (MENSALISTA)</t>
  </si>
  <si>
    <t>TORNEIRA DE BOIA CONVENCIONAL PARA CAIXA D'AGUA, 1", AGUA FRIA, COM HASTE E TORNEIRA METALICOS E BALAO PLASTICO</t>
  </si>
  <si>
    <t>TORNEIRA DE BOIA CONVENCIONAL PARA CAIXA D'AGUA, 2", AGUA FRIA, COM HASTE E TORNEIRA METALICOS E BALAO PLASTICO</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</si>
  <si>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</si>
  <si>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</si>
  <si>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</si>
  <si>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</si>
  <si>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VAZAO TOTAL PARA CAIXA D'AGUA, AGUA FRIA, BITOLA 1", COM HASTE E TORNEIRA METALICOS E BALAO PLASTICO</t>
  </si>
  <si>
    <t>TORNEIRA DE BOIA VAZAO TOTAL PARA CAIXA D'AGUA, AGUA FRIA, BITOLA 1/2", COM HASTE E TORNEIRA METALICOS E BALAO PLASTICO</t>
  </si>
  <si>
    <t>TORNEIRA DE BOIA VAZAO TOTAL PARA CAIXA D'AGUA, AGUA FRIA, BITOLA 3/4", COM HASTE E TORNEIRA METALICOS E BALAO PLASTICO</t>
  </si>
  <si>
    <t>TORNEIRA DE MESA PARA LAVATORIO, METALICA CROMADA, COM MISTURADOR MONOCOMANDO, BICA BAIXA</t>
  </si>
  <si>
    <t>TORNEIRA DE MESA PARA LAVATORIO, METALICA CROMADA, COM SENSOR DE APROXIMACAO ELETRICO, BIVOLT</t>
  </si>
  <si>
    <t>TORNEIRA DE MESA/BANCADA, PARA LAVATORIO, FIXA, METALICA CROMADA, PADRAO POPULAR, 1/2" OU 3/4"</t>
  </si>
  <si>
    <t>TORNEIRA DE METAL AMARELO, PARA TANQUE / JARDIM, DE PAREDE, COM BICO PLASTICO, CANO CURTO, AREA EXTERNA, PADRAO POPULAR / USO GERAL, 1/2" OU 3/4"</t>
  </si>
  <si>
    <t>TORNEIRA DE METAL AMARELO, PARA TANQUE / JARDIM, DE PAREDE, SEM BICO, CANO CURTO, PADRAO POPULAR / USO GERAL, 1/2" OU 3/4"</t>
  </si>
  <si>
    <t>TORNEIRA ELETRICA DE PAREDE, PLASTICA, BICA ALTA, PARA COZINHA, 5500 W (110/220 V)</t>
  </si>
  <si>
    <t>TORNEIRA METALICA CROMADA CANO CURTO, SEM BICO, SEM AREJADOR, DE PAREDE, PARA TANQUE E USO GERAL, 1/2" OU 3/4"</t>
  </si>
  <si>
    <t>TORNEIRA METALICA CROMADA DE MESA PARA LAVATORIO, BICA ALTA, COM AREJADOR</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</si>
  <si>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</si>
  <si>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</si>
  <si>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t>
  </si>
  <si>
    <t>TORNEIRA METALICA CROMADA DE PAREDE, PARA COZINHA, BICA MOVEL, COM AREJADOR, 1/2" OU 3/4"</t>
  </si>
  <si>
    <t>TORNEIRA METALICA CROMADA PARA JARDIM / TANQUE, COM BICO PLASTICO, CANO LONGO, DE PAREDE, PADRAO POPULAR / USO GERAL, 1/2" OU 3/4"</t>
  </si>
  <si>
    <t>TORNEIRA METALICA CROMADA PARA TANQUE / JARDIM, SEM BICO, CANO LONGO, DE PAREDE, PADRAO POPULAR / USO GERAL, 1/2" OU 3/4"</t>
  </si>
  <si>
    <t>TORNEIRA METALICA CROMADA, CANO CURTO, COM AREJADOR, SEM BICO PLASTICO, DE PAREDE, PARA USO GERAL, 1/2" OU 3/4"</t>
  </si>
  <si>
    <t>TORNEIRA METALICA CROMADA, DE MESA/BANCADA, PARA COZINHA, BICA MOVEL, COM AREJADOR, 1/2" OU 3/4"</t>
  </si>
  <si>
    <t>TORNEIRA METALICA CROMADA, RETA, DE PAREDE, PARA COZINHA, COM AREJADOR, PADRAO POPULAR, 1/2" OU 3/4"</t>
  </si>
  <si>
    <t>TORNEIRA METALICA CROMADA, RETA, DE PAREDE, PARA COZINHA, SEM BICO, SEM AREJADOR, PADRAO POPULAR, 1/2" OU 3/4"</t>
  </si>
  <si>
    <t>TORNEIRA PLASTICA DE BOIA PARA CAIXA DE DESCARGA, 1/2", BALAO E TORNEIRA PLASTICOS, COM HASTE METALICA</t>
  </si>
  <si>
    <t>TORNEIRA PLASTICA DE MESA, BICA MOVEL, PARA COZINHA 1/2"</t>
  </si>
  <si>
    <t>TORNEIRA PLASTICA PARA TANQUE 1/2" OU 3/4"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</si>
  <si>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</si>
  <si>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</si>
  <si>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</si>
  <si>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</si>
  <si>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</si>
  <si>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</si>
  <si>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</si>
  <si>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</si>
  <si>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</si>
  <si>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</si>
  <si>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</si>
  <si>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</si>
  <si>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 - ENCARGOS COMPLEMENTARES)</t>
  </si>
  <si>
    <t>TRANSPORTE - MENSALISTA (COLETADO CAIXA - ENCARGOS COMPLEMENTARES)</t>
  </si>
  <si>
    <t>TRATOR DE ESTEIRAS, POTENCIA 125 HP, PESO OPERACIONAL DE 12,9 T, COM LAMINA COM CAPACIDADE DE 2,7 M3</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</si>
  <si>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</si>
  <si>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</si>
  <si>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</si>
  <si>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</si>
  <si>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</si>
  <si>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</si>
  <si>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</si>
  <si>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</si>
  <si>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</si>
  <si>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</si>
  <si>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</si>
  <si>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</si>
  <si>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</si>
  <si>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</si>
  <si>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</si>
  <si>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</si>
  <si>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</si>
  <si>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</si>
  <si>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</si>
  <si>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FRISADO PARA RODIZIO (VERGALHAO MACICO), EM ALUMINIO, COM DIMENSOES DE *6 X 6* MM</t>
  </si>
  <si>
    <t>TRINCHA CERDAS GRIS 1.1/2" (38 MM)</t>
  </si>
  <si>
    <t>TROLEY MANUAL CAPACIDADE 1 T</t>
  </si>
  <si>
    <t>TUBO / MANGUEIRA PRETA EM POLIETILENO, LINHA PESADA OU REFORCADA, TIPO ESPAGUETE, PARA INJECAO DE CALDA DE CIMENTO, D = 1/2", ESPESSURA 1,5 MM</t>
  </si>
  <si>
    <t>TUBO 26" EM CHAPA PRETA, E= 3/16", 147 KG/6 M</t>
  </si>
  <si>
    <t>TUBO 30" EM CHAPA PRETA, E= 1/4", 175 KG/6 M</t>
  </si>
  <si>
    <t>TUBO 30" EM CHAPA PRETA, E= 3/8", 177 KG/6 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</si>
  <si>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</si>
  <si>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</si>
  <si>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</si>
  <si>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</si>
  <si>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</si>
  <si>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</si>
  <si>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</si>
  <si>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</si>
  <si>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</si>
  <si>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 E= *3,38 MM, SCHEDULE 40, *2,50*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</si>
  <si>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</si>
  <si>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</si>
  <si>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</si>
  <si>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</si>
  <si>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</si>
  <si>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</si>
  <si>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</si>
  <si>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 E= *5,49 MM, SCHEDULE 40, *11,28*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</si>
  <si>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</si>
  <si>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</si>
  <si>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</si>
  <si>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</si>
  <si>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</si>
  <si>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</si>
  <si>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</si>
  <si>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</si>
  <si>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</si>
  <si>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</si>
  <si>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</si>
  <si>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(4"), E = 3,75 MM, *10,55* KG/M (NBR 5580)</t>
  </si>
  <si>
    <t>TUBO ACO GALVANIZADO COM COSTURA, CLASSE LEVE, DN 15 MM (1/2"), E = 2,25 MM, *1,2* KG/M (NBR 5580)</t>
  </si>
  <si>
    <t>TUBO ACO GALVANIZADO COM COSTURA, CLASSE LEVE, DN 20 MM (3/4"), E = 2,25 MM, *1,3* KG/M (NBR 5580)</t>
  </si>
  <si>
    <t>TUBO ACO GALVANIZADO COM COSTURA, CLASSE LEVE, DN 25 MM (1"), E = 2,65 MM, *2,11* KG/M (NBR 5580)</t>
  </si>
  <si>
    <t>TUBO ACO GALVANIZADO COM COSTURA, CLASSE LEVE, DN 32 MM (1 1/4"), E = 2,65 MM, *2,71* KG/M (NBR 5580)</t>
  </si>
  <si>
    <t>TUBO ACO GALVANIZADO COM COSTURA, CLASSE LEVE, DN 40 MM (1 1/2"), E = 3,00 MM, *3,48* KG/M (NBR 5580)</t>
  </si>
  <si>
    <t>TUBO ACO GALVANIZADO COM COSTURA, CLASSE LEVE, DN 50 MM (2"), E = 3,00 MM, *4,40* KG/M (NBR 5580)</t>
  </si>
  <si>
    <t>TUBO ACO GALVANIZADO COM COSTURA, CLASSE LEVE, DN 65 MM (2 1/2"), E = 3,35 MM, * 6,23* KG/M (NBR 5580)</t>
  </si>
  <si>
    <t>TUBO ACO GALVANIZADO COM COSTURA, CLASSE LEVE, DN 80 MM (3"), E = 3,35 MM, *7,32* KG/M (NBR 5580)</t>
  </si>
  <si>
    <t>TUBO ACO GALVANIZADO COM COSTURA, CLASSE MEDIA, DN 1", E = 3,38 MM, PESO 2,50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</si>
  <si>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</si>
  <si>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</si>
  <si>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</si>
  <si>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2", E = *3,65* MM, PESO *5,10* KG/M (NBR 5580)</t>
  </si>
  <si>
    <t>TUBO ACO GALVANIZADO COM COSTURA, CLASSE MEDIA, DN 2.1/2", E = *3,65* MM, PESO *6,51* KG/M (NBR 5580)</t>
  </si>
  <si>
    <t>TUBO ACO GALVANIZADO COM COSTURA, CLASSE MEDIA, DN 3", E = *4,05* MM, PESO *8,47* KG/M (NBR 5580)</t>
  </si>
  <si>
    <t>TUBO ACO GALVANIZADO COM COSTURA, CLASSE MEDIA, DN 3/4", E = *2,65* MM, PESO *1,58*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</si>
  <si>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</si>
  <si>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</si>
  <si>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</si>
  <si>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</si>
  <si>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</si>
  <si>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</si>
  <si>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</si>
  <si>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</si>
  <si>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</si>
  <si>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</si>
  <si>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500 MM (DRENAGEM/ESGOTO)</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</si>
  <si>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</si>
  <si>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</si>
  <si>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</si>
  <si>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</si>
  <si>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</si>
  <si>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</si>
  <si>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</si>
  <si>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CPVC SOLDAVEL, 35 MM, AGUA QUENTE PREDIAL (NBR 15884)</t>
  </si>
  <si>
    <t>TUBO CPVC, SOLDAVEL, 114 MM, AGUA QUENTE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</si>
  <si>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</si>
  <si>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</si>
  <si>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</si>
  <si>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</si>
  <si>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</si>
  <si>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</si>
  <si>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</si>
  <si>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</si>
  <si>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</si>
  <si>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</si>
  <si>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</si>
  <si>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</si>
  <si>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</si>
  <si>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</si>
  <si>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</si>
  <si>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</si>
  <si>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</si>
  <si>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</si>
  <si>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</si>
  <si>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1/2" (42 MM), PARA INSTALACOES DE MEDIA PRESSAO PARA GASES COMBUSTIVEIS E MEDICINAIS</t>
  </si>
  <si>
    <t>TUBO DE COBRE CLASSE "A", DN = 1 1/4" (35 MM), PARA INSTALACOES DE MEDIA PRESSAO PARA GASES COMBUSTIVEIS E MEDICINAIS</t>
  </si>
  <si>
    <t>TUBO DE COBRE CLASSE "A", DN = 1" (28 MM), PARA INSTALACOES DE MEDIA PRESSAO PARA GASES COMBUSTIVEIS E MEDICINAIS</t>
  </si>
  <si>
    <t>TUBO DE COBRE CLASSE "A", DN = 1/2" (15 MM), PARA INSTALACOES DE MEDIA PRESSAO PARA GASES COMBUSTIVEIS E MEDICINAIS</t>
  </si>
  <si>
    <t>TUBO DE COBRE CLASSE "A", DN = 2 1/2" (66 MM), PARA INSTALACOES DE MEDIA PRESSAO PARA GASES COMBUSTIVEIS E MEDICINAIS</t>
  </si>
  <si>
    <t>TUBO DE COBRE CLASSE "A", DN = 2" (54 MM), PARA INSTALACOES DE MEDIA PRESSAO PARA GASES COMBUSTIVEIS E MEDICINAIS</t>
  </si>
  <si>
    <t>TUBO DE COBRE CLASSE "A", DN = 3" (79 MM), PARA INSTALACOES DE MEDIA PRESSAO PARA GASES COMBUSTIVEIS E MEDICINAIS</t>
  </si>
  <si>
    <t>TUBO DE COBRE CLASSE "A", DN = 3/4" (22 MM), PARA INSTALACOES DE MEDIA PRESSAO PARA GASES COMBUSTIVEIS E MEDICINAIS</t>
  </si>
  <si>
    <t>TUBO DE COBRE CLASSE "A", DN = 4"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</si>
  <si>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</si>
  <si>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</si>
  <si>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</si>
  <si>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</si>
  <si>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</si>
  <si>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</si>
  <si>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</si>
  <si>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</si>
  <si>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</si>
  <si>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</si>
  <si>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</si>
  <si>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</si>
  <si>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</si>
  <si>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</si>
  <si>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</si>
  <si>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</si>
  <si>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</si>
  <si>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</si>
  <si>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</si>
  <si>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PA-1, COM ENCAIXE PONTA E BOLSA, DIAMETRO NOMINAL DE = 600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</si>
  <si>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</si>
  <si>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</si>
  <si>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</si>
  <si>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</si>
  <si>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</si>
  <si>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</si>
  <si>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</si>
  <si>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</si>
  <si>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</si>
  <si>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</si>
  <si>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</si>
  <si>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</si>
  <si>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</si>
  <si>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</si>
  <si>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</si>
  <si>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</si>
  <si>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</si>
  <si>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</si>
  <si>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</si>
  <si>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</si>
  <si>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</si>
  <si>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</si>
  <si>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</si>
  <si>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</si>
  <si>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</si>
  <si>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</si>
  <si>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</si>
  <si>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</si>
  <si>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</si>
  <si>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</si>
  <si>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</si>
  <si>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</si>
  <si>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</si>
  <si>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</si>
  <si>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</si>
  <si>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</si>
  <si>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</si>
  <si>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ARMADO, PRE MOLDADO PARA AGUAS PLUVIAIS, CLASSE PA-1, COM ENCAIXE PONTA E BOLSA, DIAMETRO NOMINAL DE 500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</si>
  <si>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</si>
  <si>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</si>
  <si>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</si>
  <si>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</si>
  <si>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</si>
  <si>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</si>
  <si>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</si>
  <si>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</si>
  <si>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</si>
  <si>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</si>
  <si>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</si>
  <si>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</si>
  <si>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</si>
  <si>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</si>
  <si>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</si>
  <si>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</si>
  <si>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</si>
  <si>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</si>
  <si>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</si>
  <si>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</si>
  <si>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</si>
  <si>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TUBO DE DESCIDA EXTERNO, DE PVC, PARA CAIXA DE DESCARGA EXTERNA ALTA - DIAMETRO DE 40 MM E ALTURA DE APROXIMADAMENTE 1,55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</si>
  <si>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</si>
  <si>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</si>
  <si>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</si>
  <si>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</si>
  <si>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</si>
  <si>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</si>
  <si>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</si>
  <si>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</si>
  <si>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</si>
  <si>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</si>
  <si>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</si>
  <si>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</si>
  <si>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</si>
  <si>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(SDR 26 - PN 05) PARA REDE DE AGUA OU ESGOTO (NBR 15561)</t>
  </si>
  <si>
    <t>TUBO DE POLIETILENO DE ALTA DENSIDADE, PEAD, PE-80, DE = 110 MM X 10,0 MM PAREDE, (SDR 11 - PN 12,5) PARA REDE DE AGUA OU ESGOTO (NBR 15561)</t>
  </si>
  <si>
    <t>TUBO DE POLIETILENO DE ALTA DENSIDADE, PEAD, PE-80, DE = 160 MM X 14,6 MM PAREDE, (SDR 11 - PN 12,5) PARA REDE DE AGUA OU ESGOTO (NBR 15561)</t>
  </si>
  <si>
    <t>TUBO DE POLIETILENO DE ALTA DENSIDADE, PEAD, PE-80, DE = 900 MM X 34,7 MM PAREDE, (SDR 26 - PN 05) PARA REDE DE AGUA OU ESGOTO (NBR 15561)</t>
  </si>
  <si>
    <t>TUBO DE POLIETILENO DE ALTA DENSIDADE, PEAD, PE-80, DE= 200 MM X 18,2 MM PAREDE, (SDR 11 - PN 12,5) PARA REDE DE AGUA OU ESGOTO (NBR 15561)</t>
  </si>
  <si>
    <t>TUBO DE POLIETILENO DE ALTA DENSIDADE, PEAD, PE-80, DE= 315 MM X 28,7 MM PAREDE, (SDR 11 - PN 12,5) PARA REDE DE AGUA OU ESGOTO (NBR 15561)</t>
  </si>
  <si>
    <t>TUBO DE POLIETILENO DE ALTA DENSIDADE, PEAD, PE-80, DE= 400 MM X 36,4 MM PAREDE, (SDR 11 - PN 12,5) PARA REDE DE AGUA OU ESGOTO (NBR 15561)</t>
  </si>
  <si>
    <t>TUBO DE POLIETILENO DE ALTA DENSIDADE, PEAD, PE-80, DE= 500 MM X 45,5 MM PAREDE, (SDR 11 - PN 12,5) PARA REDE DE AGUA OU ESGOTO (NBR 15561)</t>
  </si>
  <si>
    <t>TUBO DE POLIETILENO DE ALTA DENSIDADE, PEAD, PE-80, DE= 630 MM X 57,3 MM PAREDE (SDR 11 - PN 12,5) PARA REDE DE AGUA OU ESGOTO (NBR 15561)</t>
  </si>
  <si>
    <t>TUBO DE POLIETILENO DE ALTA DENSIDADE, PEAD, PE-80, DE= 730 MM X 34,1 MM PAREDE, (SDR 21 - PN 06) PARA REDE DE AGUA OU ESGOTO (NBR 15561)</t>
  </si>
  <si>
    <t>TUBO DE POLIETILENO DE ALTA DENSIDADE, PEAD, PE-80, DE= 75 MM X 6,9 MM PAREDE, (SRD 11 - PN 12,5) PARA REDE DE AGUA OU ESGOTO (NBR 15561)</t>
  </si>
  <si>
    <t>TUBO DE POLIETILENO DE ALTA DENSIDADE, PEAD, PE-80, DE= 800 MM X 30,8 MM PAREDE, (SDR 26 - PN 05) PARA REDE DE AGUA OU ESGOTO (NBR 15561)</t>
  </si>
  <si>
    <t>TUBO DE PVC, PBL, TIPO LEVE, DN = 250 MM, PARA VENTILACAO</t>
  </si>
  <si>
    <t>TUBO DE PVC, PBL, TIPO LEVE, DN = 300 MM, PARA VENTILACAO</t>
  </si>
  <si>
    <t>TUBO DE REVESTIMENTO, EM ACO, CORPO SCHEDULE 40, PONTEIRA SCHEDULE 80, ROSQUEAVEL E SEGMENTADO PARA PERFURACAO, DIAMETRO 10" (273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</si>
  <si>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</si>
  <si>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</si>
  <si>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</si>
  <si>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</si>
  <si>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</si>
  <si>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(200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</si>
  <si>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</si>
  <si>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</si>
  <si>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</si>
  <si>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</si>
  <si>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 PARA AGUA QUENTE E FRIA</t>
  </si>
  <si>
    <t>TUBO MONOCAMADA PEX, DN 20 MM, PARA AGUA QUENTE E FRIA</t>
  </si>
  <si>
    <t>TUBO MONOCAMADA PEX, DN 25 MM, PARA AGUA QUENTE E FRIA</t>
  </si>
  <si>
    <t>TUBO MONOCAMADA PEX, DN 32 MM, PARA AGUA QUENTE E FRIA</t>
  </si>
  <si>
    <t>TUBO MULTICAMADA PEX GAS, DN *16* MM</t>
  </si>
  <si>
    <t>TUBO MULTICAMADA PEX GAS, DN *20* MM</t>
  </si>
  <si>
    <t>TUBO MULTICAMADA PEX GAS, DN *26* MM</t>
  </si>
  <si>
    <t>TUBO MULTICAMADA PEX GAS, DN *32* MM</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</si>
  <si>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</si>
  <si>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</si>
  <si>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</si>
  <si>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</si>
  <si>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</si>
  <si>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</si>
  <si>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</si>
  <si>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</si>
  <si>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</si>
  <si>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20, SOLDAVEL, DN 32 MM PARA AGUA FRIA OU QUENTE PREDIAL</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</si>
  <si>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</si>
  <si>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</si>
  <si>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</si>
  <si>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</si>
  <si>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</si>
  <si>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</si>
  <si>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</si>
  <si>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</si>
  <si>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</si>
  <si>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CORRUGADO, PAREDE DUPLA, JE, DN 150 MM/ DE 160 MM, REDE COLETORA ESGOTO</t>
  </si>
  <si>
    <t>TUBO PVC CORRUGADO, PAREDE DUPLA, JE, DN 200 MM/ DE 200 MM, REDE COLETORA ESGOTO</t>
  </si>
  <si>
    <t>TUBO PVC CORRUGADO, PAREDE DUPLA, JE, DN 250 MM/ DE 250 MM, REDE COLETORA ESGOTO</t>
  </si>
  <si>
    <t>TUBO PVC CORRUGADO, PAREDE DUPLA, JE, DN 300 MM/ DE 315 MM, REDE COLETORA ESGOTO</t>
  </si>
  <si>
    <t>TUBO PVC CORRUGADO, PAREDE DUPLA, JE, DN 350 MM/ DE 355 MM, REDE COLETORA ESGOTO</t>
  </si>
  <si>
    <t>TUBO PVC CORRUGADO, PAREDE DUPLA, JE, DN 400 MM/ DE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</si>
  <si>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</si>
  <si>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</si>
  <si>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</si>
  <si>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</si>
  <si>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</si>
  <si>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</si>
  <si>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</si>
  <si>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</si>
  <si>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</si>
  <si>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</si>
  <si>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</si>
  <si>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</si>
  <si>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</si>
  <si>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</si>
  <si>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</si>
  <si>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</si>
  <si>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</si>
  <si>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</si>
  <si>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</si>
  <si>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100 MM, PARA ESGOTO PREDIAL (NBR 5688)</t>
  </si>
  <si>
    <t>TUBO PVC SERIE NORMAL, DN 150 MM, PARA ESGOTO PREDIAL (NBR 5688)</t>
  </si>
  <si>
    <t>TUBO PVC SERIE NORMAL, DN 40 MM, PARA ESGOTO PREDIAL (NBR 5688)</t>
  </si>
  <si>
    <t>TUBO PVC SERIE NORMAL, DN 50 MM, PARA ESGOTO PREDIAL (NBR 5688)</t>
  </si>
  <si>
    <t>TUBO PVC SERIE NORMAL, DN 75 MM, PARA ESGOTO PREDIAL (NBR 5688)</t>
  </si>
  <si>
    <t>TUBO PVC, RIGIDO, CORRUGADO, PERFURADO DN 100 MM, PARA DRENAGEM, SISTEMA IRRIGACAO</t>
  </si>
  <si>
    <t>TUBO PVC, ROSCAVEL, 1 1/2", AGUA FRIA PREDIAL</t>
  </si>
  <si>
    <t>TUBO PVC, ROSCAVEL, 1 1/4", AGUA FRIA PREDIAL</t>
  </si>
  <si>
    <t>TUBO PVC, ROSCAVEL, 1", AGUA FRIA PREDIAL</t>
  </si>
  <si>
    <t>TUBO PVC, ROSCAVEL, 1/2", AGUA FRIA PREDIAL</t>
  </si>
  <si>
    <t>TUBO PVC, ROSCAVEL, 2 1/2", AGUA FRIA PREDIAL</t>
  </si>
  <si>
    <t>TUBO PVC, ROSCAVEL, 2", PARA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</si>
  <si>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</si>
  <si>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</si>
  <si>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</si>
  <si>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</si>
  <si>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</si>
  <si>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DE 110 MM, AGUA FRIA (NBR-5648)</t>
  </si>
  <si>
    <t>TUBO PVC, SOLDAVEL, DE 20 MM, AGUA FRIA (NBR-5648)</t>
  </si>
  <si>
    <t>TUBO PVC, SOLDAVEL, DE 25 MM, AGUA FRIA (NBR-5648)</t>
  </si>
  <si>
    <t>TUBO PVC, SOLDAVEL, DE 32 MM, AGUA FRIA (NBR-5648)</t>
  </si>
  <si>
    <t>TUBO PVC, SOLDAVEL, DE 40 MM, AGUA FRIA (NBR-5648)</t>
  </si>
  <si>
    <t>TUBO PVC, SOLDAVEL, DE 50 MM, AGUA FRIA (NBR-5648)</t>
  </si>
  <si>
    <t>TUBO PVC, SOLDAVEL, DE 60 MM, AGUA FRIA (NBR-5648)</t>
  </si>
  <si>
    <t>TUBO PVC, SOLDAVEL, DE 75 MM, AGUA FRIA (NBR-5648)</t>
  </si>
  <si>
    <t>TUBO PVC, SOLDAVEL, DE 85 MM, AGUA FRIA (NBR-5648)</t>
  </si>
  <si>
    <t>UNIAO COM ASSENTO CONICO DE BRONZE, DIAMETRO 1"</t>
  </si>
  <si>
    <t>UNIAO COM ASSENTO CONICO DE BRONZE, DIAMETRO 1/2"</t>
  </si>
  <si>
    <t>UNIAO COM ASSENTO CONICO DE BRONZE, DIAMETRO 2 1/2"</t>
  </si>
  <si>
    <t>UNIAO COM ASSENTO CONICO DE BRONZE, DIAMETRO 3"</t>
  </si>
  <si>
    <t>UNIAO COM ASSENTO CONICO DE BRONZE, DIAMETRO 3/4"</t>
  </si>
  <si>
    <t>UNIAO COM ASSENTO CONICO DE BRONZE, DIAMETRO 4"</t>
  </si>
  <si>
    <t>UNIAO COM ASSENTO CONICO DE FERRO LONGO (MACHO-FEMEA), DIAMETRO 1 1/2"</t>
  </si>
  <si>
    <t>UNIAO COM ASSENTO CONICO DE FERRO LONGO (MACHO-FEMEA), DIAMETRO 1"</t>
  </si>
  <si>
    <t>UNIAO COM ASSENTO CONICO DE FERRO LONGO (MACHO-FEMEA), DIAMETRO 1/2"</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</si>
  <si>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</si>
  <si>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</si>
  <si>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</si>
  <si>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4"</t>
  </si>
  <si>
    <t>UNIAO COM FLANGE PPR, COM PARAFUSOS,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</si>
  <si>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</si>
  <si>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</si>
  <si>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</si>
  <si>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</si>
  <si>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t>
  </si>
  <si>
    <t>UNIAO DE FERRO GALVANIZADO, COM ROSCA BSP, COM ASSENTO PLANO, DE 1/2"</t>
  </si>
  <si>
    <t>UNIAO DE FERRO GALVANIZADO, COM ROSCA BSP, COM ASSENTO PLANO, DE 2 1/2"</t>
  </si>
  <si>
    <t>UNIAO DE FERRO GALVANIZADO, COM ROSCA BSP, COM ASSENTO PLANO, DE 2"</t>
  </si>
  <si>
    <t>UNIAO DE FERRO GALVANIZADO, COM ROSCA BSP, COM ASSENTO PLANO, DE 3"</t>
  </si>
  <si>
    <t>UNIAO DE FERRO GALVANIZADO, COM ROSCA BSP, COM ASSENTO PLANO, DE 3/4"</t>
  </si>
  <si>
    <t>UNIAO DE FERRO GALVANIZADO, COM ROSCA BSP, COM ASSENTO PLANO, DE 4"</t>
  </si>
  <si>
    <t>UNIAO DUPLA PPR DN 25 MM, PARA AGUA QUENTE PREDIAL</t>
  </si>
  <si>
    <t>UNIAO DUPLA PPR, DN 20 MM, PARA AGUA QUENTE PREDIAL</t>
  </si>
  <si>
    <t>UNIAO EM POLIPROPILENO (PP), PARA TUBO EM PEAD, 20 MM - LIGACAO PREDIAL DE AGUA</t>
  </si>
  <si>
    <t>UNIAO EM POLIPROPILENO (PP), PARA TUBO EM PEAD, 32 MM - LIGACAO PREDIAL DE AGUA</t>
  </si>
  <si>
    <t>UNIAO PVC, ROSCAVEL 1/2", AGUA FRIA PREDIAL</t>
  </si>
  <si>
    <t>UNIAO PVC, ROSCAVEL, 1 1/2", AGUA FRIA PREDIAL</t>
  </si>
  <si>
    <t>UNIAO PVC, ROSCAVEL, 1", AGUA FRIA PREDIAL</t>
  </si>
  <si>
    <t>UNIAO PVC, ROSCAVEL, 3/4",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</si>
  <si>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</si>
  <si>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</si>
  <si>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</si>
  <si>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</si>
  <si>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</si>
  <si>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</si>
  <si>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</si>
  <si>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</si>
  <si>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</si>
  <si>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</si>
  <si>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</si>
  <si>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</si>
  <si>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</si>
  <si>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</si>
  <si>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</si>
  <si>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</si>
  <si>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</si>
  <si>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</si>
  <si>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</si>
  <si>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</si>
  <si>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</si>
  <si>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</si>
  <si>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</si>
  <si>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</si>
  <si>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</si>
  <si>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</si>
  <si>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</si>
  <si>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</si>
  <si>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</si>
  <si>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</si>
  <si>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E ACABAMENTO METALICO CROMADO</t>
  </si>
  <si>
    <t>VALVULA DE DESCARGA METALICA, BASE 1 1/4" E ACABAMENTO METALICO CROMADO</t>
  </si>
  <si>
    <t>VALVULA DE ESFERA BRUTA EM BRONZE, BITOLA 1 1/2"</t>
  </si>
  <si>
    <t>VALVULA DE ESFERA BRUTA EM BRONZE, BITOLA 1 1/4"</t>
  </si>
  <si>
    <t>VALVULA DE ESFERA BRUTA EM BRONZE, BITOLA 1"</t>
  </si>
  <si>
    <t>VALVULA DE ESFERA BRUTA EM BRONZE, BITOLA 1/2"</t>
  </si>
  <si>
    <t>VALVULA DE ESFERA BRUTA EM BRONZE, BITOLA 2"</t>
  </si>
  <si>
    <t>VALVULA DE ESFERA BRUTA EM BRONZE, BITOLA 3/4"</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</si>
  <si>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</si>
  <si>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</si>
  <si>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</si>
  <si>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</si>
  <si>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</si>
  <si>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 PARA FUNDO DE POCO</t>
  </si>
  <si>
    <t>VALVULA DE RETENCAO DE BRONZE, PE COM CRIVOS, EXTREMIDADE COM ROSCA, DE 3/4",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</si>
  <si>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</si>
  <si>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</si>
  <si>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</si>
  <si>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 400 PSI, TAMPA DE PORCA DE UNIAO, EXTREMIDADES COM ROSCA</t>
  </si>
  <si>
    <t>VALVULA DE RETENCAO HORIZONTAL, DE BRONZE (PN-25), 1/2",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</si>
  <si>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</si>
  <si>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</si>
  <si>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 400 PSI, TAMPA DE PORCA DE UNIAO, EXTREMIDADES COM ROSCA</t>
  </si>
  <si>
    <t>VALVULA DE RETENCAO HORIZONTAL, DE BRONZE (PN-25), 3/4",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</si>
  <si>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</si>
  <si>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</si>
  <si>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</si>
  <si>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 200 PSI, EXTREMIDADES COM ROSCA</t>
  </si>
  <si>
    <t>VALVULA DE RETENCAO VERTICAL, DE BRONZE (PN-16), 1/2", 200 PSI, EXTREMIDADES COM ROSCA</t>
  </si>
  <si>
    <t>VALVULA DE RETENCAO VERTICAL, DE BRONZE (PN-16), 2 1/2", 200 PSI, EXTREMIDADES COM ROSCA</t>
  </si>
  <si>
    <t>VALVULA DE RETENCAO VERTICAL, DE BRONZE (PN-16), 2", 200 PSI, EXTREMIDADES COM ROSCA</t>
  </si>
  <si>
    <t>VALVULA DE RETENCAO VERTICAL, DE BRONZE (PN-16), 3", 200 PSI, EXTREMIDADES COM ROSCA</t>
  </si>
  <si>
    <t>VALVULA DE RETENCAO VERTICAL, DE BRONZE (PN-16), 3/4", 200 PSI, EXTREMIDADES COM ROSCA</t>
  </si>
  <si>
    <t>VALVULA DE RETENCAO VERTICAL, DE BRONZE (PN-16), 4", 200 PSI, EXTREMIDADES COM ROSCA</t>
  </si>
  <si>
    <t>VALVULA EM METAL CROMADO PARA LAVATORIO, 1" SEM LADRAO</t>
  </si>
  <si>
    <t>VALVULA EM METAL CROMADO PARA PIA AMERICANA 3.1/2 X 1.1/2"</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</si>
  <si>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</si>
  <si>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</si>
  <si>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</si>
  <si>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</si>
  <si>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</si>
  <si>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</si>
  <si>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</si>
  <si>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</si>
  <si>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</si>
  <si>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</si>
  <si>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40 CM COM CABO</t>
  </si>
  <si>
    <t>VASSOURA MECANICA REBOCAVEL COM ESCOVA CILINDRICA LARGURA UTIL DE VARRIMENTO = 2,44M</t>
  </si>
  <si>
    <t>VEDACAO DE CALHA, EM BORRACHA COR PRETA, MEDIDA ENTRE 119 E 170 MM, PARA DRENAGEM PLUVIAL PREDIAL</t>
  </si>
  <si>
    <t>VERGALHAO ZINCADO ROSCA TOTAL, 1/4" (6,3 MM)</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</si>
  <si>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</si>
  <si>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</si>
  <si>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</si>
  <si>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VEU DE POLIESTER PARA IMPERMEABILIZACAO</t>
  </si>
  <si>
    <t>VEU DE VIDRO/VEU DE SUPERFICIE 30 A 35 G/M2</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</si>
  <si>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</si>
  <si>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</si>
  <si>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</si>
  <si>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</si>
  <si>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4 TEMPOS A GASOLINA DE 5,5 HP (5,5 CV)</t>
  </si>
  <si>
    <t>VIBRADOR DE IMERSAO, DIAMETRO DA PONTEIRA DE *45* MM, COM MOTOR ELETRICO TRIFASICO DE 2 HP (2 CV)</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</si>
  <si>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</si>
  <si>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</si>
  <si>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</si>
  <si>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 (HORISTA)</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</si>
  <si>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</si>
  <si>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</si>
  <si>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</si>
  <si>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</si>
  <si>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</si>
  <si>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</si>
  <si>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</si>
  <si>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</si>
  <si>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</si>
  <si>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</si>
  <si>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</si>
  <si>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</si>
  <si>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</si>
  <si>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</si>
  <si>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</si>
  <si>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</si>
  <si>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</si>
  <si>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MARTELADO OU CANELADO, 4 MM - SEM COLOCACAO</t>
  </si>
  <si>
    <t>VIDRO PLANO ARAMADO E = 6 MM - SEM COLOCACAO</t>
  </si>
  <si>
    <t>VIDRO PLANO ARAMADO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</si>
  <si>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</si>
  <si>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</si>
  <si>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</si>
  <si>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</si>
  <si>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</si>
  <si>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</si>
  <si>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</si>
  <si>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</si>
  <si>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</si>
  <si>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MACARANDUBA/MASSARANDUBA, ANGELIM OU EQUIVALENTE DA REGIAO</t>
  </si>
  <si>
    <t>VIGA APARELHADA *6 X 16* CM, EM MACARANDUBA/MASSARANDUBA, ANGELIM OU EQUIVALENTE DA REGIAO</t>
  </si>
  <si>
    <t>VIGA DE ESCORAMENTO H20, DE MADEIRA, PESO DE 5,00 A 5,20 KG/M, COM EXTREMIDADES PLASTICAS</t>
  </si>
  <si>
    <t>VIGA NAO APARELHADA *6 X 12* CM, EM MACARANDUBA/MASSARANDUBA, ANGELIM OU EQUIVALENTE DA REGIAO - BRUTA</t>
  </si>
  <si>
    <t>VIGA NAO APARELHADA *6 X 16* CM, EM MACARANDUBA/MASSARANDUBA, ANGELIM OU EQUIVALENTE DA REGIAO - BRUTA</t>
  </si>
  <si>
    <t>VIGA NAO APARELHADA *6 X 20* CM, EM MACARANDUBA/MASSARANDUBA, ANGELIM OU EQUIVALENTE DA REGIAO - BRUTA</t>
  </si>
  <si>
    <t>VIGA NAO APARELHADA *8 X 16* CM EM MACARANDUBA/MASSARANDUBA, ANGELIM OU EQUIVALENTE DA REGIAO - BRUTA</t>
  </si>
  <si>
    <t>VIGIA DIURNO (HORISTA)</t>
  </si>
  <si>
    <t>VIGIA DIURNO (MENSALISTA)</t>
  </si>
  <si>
    <t>ENCARGOS SOCIAIS SOBRE A MÃO DE OBRA - SEINFRA 028.1</t>
  </si>
  <si>
    <t>COM DESONERAÇÃO</t>
  </si>
  <si>
    <t>HORISTA (%)</t>
  </si>
  <si>
    <t>MENSALISTA (%)</t>
  </si>
  <si>
    <t>GRUPO A - ENCARGOS SOCIAIS BÁSICOS</t>
  </si>
  <si>
    <t>A1</t>
  </si>
  <si>
    <t xml:space="preserve">INSS </t>
  </si>
  <si>
    <t>A2</t>
  </si>
  <si>
    <t xml:space="preserve">SESI </t>
  </si>
  <si>
    <t>A3</t>
  </si>
  <si>
    <t>SENAI</t>
  </si>
  <si>
    <t>A4</t>
  </si>
  <si>
    <t>INCRA</t>
  </si>
  <si>
    <t>A5</t>
  </si>
  <si>
    <t>SEBRAE</t>
  </si>
  <si>
    <t>A6</t>
  </si>
  <si>
    <t>SALÁRIO EDUCAÇÃO</t>
  </si>
  <si>
    <t>A7</t>
  </si>
  <si>
    <t>SEGURO DE ACIDENTES</t>
  </si>
  <si>
    <t>A8</t>
  </si>
  <si>
    <t>FGTS</t>
  </si>
  <si>
    <t>A9</t>
  </si>
  <si>
    <t>SECONCI</t>
  </si>
  <si>
    <t>A</t>
  </si>
  <si>
    <t>GRUPO B - ENCARGOS SOCIAIS C/ INCIDÊNCIA DE A</t>
  </si>
  <si>
    <t>B1</t>
  </si>
  <si>
    <t>DESCANSO SEMANAL REMUNERADO</t>
  </si>
  <si>
    <t>B2</t>
  </si>
  <si>
    <t>FERIADOS</t>
  </si>
  <si>
    <t>B3</t>
  </si>
  <si>
    <t>AUXÍLIO ENFERMIDADE</t>
  </si>
  <si>
    <t>B4</t>
  </si>
  <si>
    <t>13º SALÁRIO</t>
  </si>
  <si>
    <t>B5</t>
  </si>
  <si>
    <t>LICENÇA PATERNIDADE</t>
  </si>
  <si>
    <t>B6</t>
  </si>
  <si>
    <t>FALTAS JUSTIFICADAS</t>
  </si>
  <si>
    <t>B7</t>
  </si>
  <si>
    <t>DIAS DE CHUVAS</t>
  </si>
  <si>
    <t>B8</t>
  </si>
  <si>
    <t>AUXÍLIO ACIDENTE DE TRABALHO</t>
  </si>
  <si>
    <t>B9</t>
  </si>
  <si>
    <t>FÉRIAS GOZADAS</t>
  </si>
  <si>
    <t>B10</t>
  </si>
  <si>
    <t>SALÁRIO MATERNIDADE</t>
  </si>
  <si>
    <t>B</t>
  </si>
  <si>
    <t>GRUPO C - ENCARGOS SOCIAIS S/ INCIDÊNCIA DE A</t>
  </si>
  <si>
    <t>C1</t>
  </si>
  <si>
    <t>AVISO PRÉVIO INDENIZADO</t>
  </si>
  <si>
    <t>C2</t>
  </si>
  <si>
    <t>AVISO PRÉVIO TRABALHADO</t>
  </si>
  <si>
    <t>C3</t>
  </si>
  <si>
    <t>FÉRIAS INDENIZADAS</t>
  </si>
  <si>
    <t>C4</t>
  </si>
  <si>
    <t>DEPÓSITO RESCISÃO S/ JUSTA CAUSA</t>
  </si>
  <si>
    <t>C5</t>
  </si>
  <si>
    <t>INDENIZAÇÃO ADICIONAL</t>
  </si>
  <si>
    <t>C</t>
  </si>
  <si>
    <t>GRUPO D</t>
  </si>
  <si>
    <t>D1</t>
  </si>
  <si>
    <t>REINCIDÊNCIA DE GRUPO A SOBRE GRUPO B</t>
  </si>
  <si>
    <t>D2</t>
  </si>
  <si>
    <t>REINCIDÊNCIA DE GRUPO A SOBRE AVISO PRÉVIO TRABALHADO E REINCIDÊNCIA DO FGTS SOBRE AVISO PRÉVIO INDENIZADO</t>
  </si>
  <si>
    <t>D</t>
  </si>
  <si>
    <t>TOTAL (A+B+C+D)</t>
  </si>
  <si>
    <t>REPOUSO SEMANAL REMUNERADO</t>
  </si>
  <si>
    <t>ELETRODUTOS E CABOS</t>
  </si>
  <si>
    <t>CAIXAS, INTERRUPTORES E TOMADAS</t>
  </si>
  <si>
    <t>LUMINÁRIAS E REFLETORES</t>
  </si>
  <si>
    <t>QUADROS E DISJUNTORES</t>
  </si>
  <si>
    <t>COMP. 16</t>
  </si>
  <si>
    <t>LUMINARIA LED REFLETOR RETANGULAR BIVOLT, LUZ BRANCA, 50 W - FORNECIMENTO E INSTALAÇÃO</t>
  </si>
  <si>
    <t>COMP. 17</t>
  </si>
  <si>
    <t>CAIXA DE EMBUTIR PVC - 4X4 OCTOGONAL - FORNECIMENTO E INSTALAÇÃO</t>
  </si>
  <si>
    <t>CAIXA PASSAG. CHAPA C/TAMPA PARAF. 100X100X80MM - FORNECIMENTO E INSTALAÇÃO</t>
  </si>
  <si>
    <t>CAIXA PASSAG. CHAPA C/TAMPA PARAF. 200X200X100MM - FORNECIMENTO E INSTALAÇÃO</t>
  </si>
  <si>
    <t>6.1.5</t>
  </si>
  <si>
    <t>6.1.6</t>
  </si>
  <si>
    <t>6.1.7</t>
  </si>
  <si>
    <t>6.1.8</t>
  </si>
  <si>
    <t>6.1.9</t>
  </si>
  <si>
    <t>6.1.10</t>
  </si>
  <si>
    <t>6.1.11</t>
  </si>
  <si>
    <t>6.2.3</t>
  </si>
  <si>
    <t>6.2.4</t>
  </si>
  <si>
    <t>6.2.5</t>
  </si>
  <si>
    <t>6.2.6</t>
  </si>
  <si>
    <t>6.2.7</t>
  </si>
  <si>
    <t>6.2.8</t>
  </si>
  <si>
    <t>6.2.9</t>
  </si>
  <si>
    <t>6.4</t>
  </si>
  <si>
    <t>6.4.1</t>
  </si>
  <si>
    <t>6.4.2</t>
  </si>
  <si>
    <t>6.4.3</t>
  </si>
  <si>
    <t>6.4.4</t>
  </si>
  <si>
    <t>6.4.5</t>
  </si>
  <si>
    <t>6.4.6</t>
  </si>
  <si>
    <t>6.4.7</t>
  </si>
  <si>
    <t>6.4.8</t>
  </si>
  <si>
    <t>COMP.01</t>
  </si>
  <si>
    <t>COMP. 07</t>
  </si>
  <si>
    <t>COMP. 13</t>
  </si>
  <si>
    <t>COMP. 14</t>
  </si>
  <si>
    <t>COMP. 15</t>
  </si>
  <si>
    <t>6.2.10</t>
  </si>
  <si>
    <t>AMARELO - 1,5 MM2</t>
  </si>
  <si>
    <t>AZUL CLARO - 1,5 MM2</t>
  </si>
  <si>
    <t>BRANCO - 1,5 MM2</t>
  </si>
  <si>
    <t>PRETO - 1,5 MM2</t>
  </si>
  <si>
    <t>VERDE-AMARELO - 1,5 MM2</t>
  </si>
  <si>
    <t>VERMELHO - 1,5 MM2</t>
  </si>
  <si>
    <t>AZUL CLARO - 2,5 MM2</t>
  </si>
  <si>
    <t>BRANCO - 2,5 MM2</t>
  </si>
  <si>
    <t>PRETO - 2,5 MM2</t>
  </si>
  <si>
    <t>VERDE-AMARELO - 2,5 MM2</t>
  </si>
  <si>
    <t>VERMELHO - 2,5 MM2</t>
  </si>
  <si>
    <t>AZUL CLARO - 4 MM2</t>
  </si>
  <si>
    <t>BRANCO - 4 MM2</t>
  </si>
  <si>
    <t>PRETO - 4 MM2</t>
  </si>
  <si>
    <t>VERDE-AMARELO - 4 MM2</t>
  </si>
  <si>
    <t>VERMELHO - 4 MM2</t>
  </si>
  <si>
    <t>AZUL CLARO - 10 MM2</t>
  </si>
  <si>
    <t>BRANCO - 10 MM2</t>
  </si>
  <si>
    <t>PRETO - 10 MM2</t>
  </si>
  <si>
    <t>VERDE-AMARELO - 10 MM2</t>
  </si>
  <si>
    <t>VERMELHO - 10 MM2</t>
  </si>
  <si>
    <t>VERDE-AMARELO - 16 MM2</t>
  </si>
  <si>
    <t>BRANCO - 35 MM2</t>
  </si>
  <si>
    <t>AZUL CLARO - 35 MM2</t>
  </si>
  <si>
    <t>PRETO - 35 MM2</t>
  </si>
  <si>
    <t>VERMELHO - 35 MM2</t>
  </si>
  <si>
    <t>VISITAS</t>
  </si>
  <si>
    <t>COMP. 18</t>
  </si>
  <si>
    <t>CABO BLINDADO PARA ALARME E DETECÇÃO DE INCÊNDIO 3 X 1,5 MM2 - FORNECIMENTO E INSTALAÇÃO</t>
  </si>
  <si>
    <t>COMP. 19</t>
  </si>
  <si>
    <t>TERMINAL AÉREO EM AÇO GALVANIZADO, COM FIXAÇÃO HORIZONTAL - FORNECIMENTO E INSTALAÇÃO</t>
  </si>
  <si>
    <t>COMP. 20</t>
  </si>
  <si>
    <t>CAIXA COM BARRAMENTO DE EQUALIZAÇÃO DE POTÊNCIAS - FORNECIMENTO E INSTALAÇÃO</t>
  </si>
  <si>
    <t>12.3.4</t>
  </si>
  <si>
    <t>COMP. 21</t>
  </si>
  <si>
    <t>BARRA CHATA DE ALUMÍNIO DE 7/8" X 1/8" - FORNECIMENTO E INSTALAÇÃO</t>
  </si>
  <si>
    <t>COTAÇÕES</t>
  </si>
  <si>
    <t>PROPOSTAS DE PREÇO (R$)</t>
  </si>
  <si>
    <t>COT 01</t>
  </si>
  <si>
    <t>COT 02</t>
  </si>
  <si>
    <t>COT 03</t>
  </si>
  <si>
    <t>ACAL - PROPOSTA 01 (R$)</t>
  </si>
  <si>
    <t>VALOR      MÉDIO (UN)</t>
  </si>
  <si>
    <t>BARRA CHATA ALUMÍNIO  7/8" X 1/8" X 6 METROS</t>
  </si>
  <si>
    <t>BARRA CHATA ALUMÍNIO  7/8" X 1/8"</t>
  </si>
  <si>
    <t>VALOR MÉDIO     (1 UND)</t>
  </si>
  <si>
    <t>VALOR MÉDIO   (1 UND)</t>
  </si>
  <si>
    <t>VALOR      MÉDIO (1M)</t>
  </si>
  <si>
    <t>VALOR MÉDIO    (6 M)</t>
  </si>
  <si>
    <t>ELETRO FM - PROPOSTA 01 (R$)</t>
  </si>
  <si>
    <t>HIDROMAR - PROPOSTA 02 (R$)</t>
  </si>
  <si>
    <t>MERCADO LIVRE - PROPOSTA 03 (R$)</t>
  </si>
  <si>
    <t>RAMPA DE ACESSIBILIDADE PARA ACESSO A EDIFICAÇÕES COM INCLINAÇÃO DE 8,33% EM CONCRETO MOLDADO IN LOCO, COM LARGURA DE 1,20M, FCK 25MPA, NÃO ARMADA, COM JUNTA A CADA 2M COM CORTE À SECO. AF_03/2024</t>
  </si>
  <si>
    <t>RAMPA DE ACESSIBILIDADE PARA ACESSO A EDIFICAÇÕES COM INCLINAÇÃO DE 8,33% EM CONCRETO MOLDADO IN LOCO, COM LARGURA DE 1,50M, FCK 25MPA, NÃO ARMADA, COM JUNTA A CADA 2M COM CORTE À SECO. AF_03/2024</t>
  </si>
  <si>
    <t>MARTELO PERFURADOR PNEUMÁTICO MANUAL, HASTE 19 X 108 MM, *11* KG - CHI DIURNO. AF_02/2025</t>
  </si>
  <si>
    <t>MARTELO PERFURADOR PNEUMÁTICO MANUAL, HASTE 19 X 108 MM, *11* KG - CHP DIURNO. AF_02/2025</t>
  </si>
  <si>
    <t>GUINDAUTO HIDRÁULICO, CAPACIDADE MÁXIMA DE CARGA 6200 KG, MOMENTO MÁXIMO DE CARGA 11,7 TM, ALCANCE MÁXIMO HORIZONTAL 9,70 M, INCLUSIVE CAMINHÃO TOCO PBT 16.000 KG, POTÊNCIA DE 189 CV E CESTA AÉREA COM ISOLAMENTO CLASSE C - MATERIAIS NA OPERAÇÃO. AF_01/2025</t>
  </si>
  <si>
    <t>MARTELO PERFURADOR PNEUMÁTICO MANUAL, HASTE 19 X 108 MM, *11* KG - DEPRECIAÇÃO. AF_02/2025</t>
  </si>
  <si>
    <t>MARTELO PERFURADOR PNEUMÁTICO MANUAL, HASTE 19 X 108 MM, *11* KG - JUROS. AF_02/2025</t>
  </si>
  <si>
    <t>MARTELO PERFURADOR PNEUMÁTICO MANUAL, HASTE 19 X 108 MM, *11* KG - MANUTENÇÃO. AF_02/2025</t>
  </si>
  <si>
    <t>ESCADA EM CONCRETO ARMADO MOLDADO IN LOCO, FCK 25 MPA, COM 1 LANCE E LAJE CASCATA, FÔRMA EM CHAPA DE MADEIRA COMPENSADA RESINADA. AF_11/2020</t>
  </si>
  <si>
    <t>ESCADA EM CONCRETO ARMADO MOLDADO IN LOCO, FCK 25 MPA, COM 1 LANCE E LAJE PLANA, FÔRMA EM CHAPA DE MADEIRA COMPENSADA RESINADA. AF_11/2020</t>
  </si>
  <si>
    <t>CAIXILHO FIXO DE ALUMÍNIO PARA VIDRO (VIDRO INCLUSO), BATENTE/ REQUADRO DE 4 A 14 CM, SEM GUARNIÇÃO/ ALIZAR, FIXAÇÃO COM PARAFUSOS, VEDAÇÃO COM SILICONE, EXCLUSIVE CONTRAMARCO - FORNECIMENTO E INSTALAÇÃO. AF_11/2024</t>
  </si>
  <si>
    <t>CAIXILHO FIXO DE PVC BRANCO PARA VIDRO (VIDRO INCLUSO), BATENTE/ REQUADRO DE 4 A 14 CM, SEM GUARNIÇÃO/ ALIZAR, COM FERRAGENS, FIXAÇÃO COM PARAFUSOS, VEDAÇÃO COM SILICONE, EXCLUSIVE CONTRAMARCO - FORNECIMENTO E INSTALAÇÃO. AF_11/2024</t>
  </si>
  <si>
    <t>GUARNIÇÃO DE ALUMÍNIO. AF_11/2024</t>
  </si>
  <si>
    <t>JANELA DE ALUMÍNIO DE CORRER COM 2 FOLHAS PARA VIDROS (VIDROS INCLUSOS) E PERSIANA INTEGRADA, BATENTE/ REQUADRO 6 A 14 CM, ACABAMENTO COM ACETATO OU BRILHANTE, FIXAÇÃO COM PARAFUSO, SEM GUARNIÇÃO/ ALIZAR, DIMENSÕES 120X120 CM, VEDAÇÃO COM SILICONE, EXCLUSIVE CONTRAMARCO - FORNECIMENTO E INSTALAÇÃO. AF_11/2024</t>
  </si>
  <si>
    <t>JANELA DE ALUMÍNIO DE CORRER COM 2 FOLHAS PARA VIDROS (VIDROS INCLUSOS), BATENTE/ REQUADRO 6 A 14 CM, ACABAMENTO COM ACETATO OU BRILHANTE, FIXAÇÃO COM PARAFUSO, SEM GUARNIÇÃO/ ALIZAR, DIMENSÕES 100X120 CM, VEDAÇÃO COM SILICONE, EXCLUSIVE CONTRAMARCO - FORNECIMENTO E INSTALAÇÃO. AF_11/2024</t>
  </si>
  <si>
    <t>JANELA DE ALUMÍNIO DE CORRER COM 2 FOLHAS PARA VIDROS (VIDROS INCLUSOS), COM BANDEIRA, BATENTE/ REQUADRO 6 A 14 CM, ACABAMENTO COM ACETATO OU BRILHANTE, FIXAÇÃO COM PARAFUSO, SEM GUARNIÇÃO/ ALIZAR, DIMENSÕES 100X120 CM, VEDAÇÃO COM SILICONE, EXCLUSIVE CONTRAMARCO - FORNECIMENTO E INSTALAÇÃO. AF_11/2024</t>
  </si>
  <si>
    <t>JANELA DE ALUMÍNIO DE CORRER COM 3 FOLHAS (2 VENEZIANAS E 1 FOLHA PARA VIDRO,VIDRO INCLUSO), BATENTE/ REQUADRO 6 A 14 CM, SEM ACABAMENTO, FIXAÇÃO COM PARAFUSO, SEM GUARNIÇÃO/ ALIZAR, DIMENSÕES 100X120 CM, VEDAÇÃO COM SILICONE, EXCLUSIVE CONTRAMARCO - FORNECIMENTO E INSTALAÇÃO. AF_11/2024</t>
  </si>
  <si>
    <t>JANELA DE ALUMÍNIO DE CORRER COM 4 FOLHAS PARA VIDROS (VIDROS INCLUSOS), COM BANDEIRA, BATENTE/ REQUADRO 6 A 14 CM, ACABAMENTO COM ACETATO OU BRILHANTE, FIXAÇÃO COM PARAFUSO, SEM GUARNIÇÃO/ ALIZAR, DIMENSÕES 150X120 CM, VEDAÇÃO COM SILICONE, EXCLUSIVE CONTRAMARCO - FORNECIMENTO E INSTALAÇÃO. AF_11/2024</t>
  </si>
  <si>
    <t>JANELA DE ALUMÍNIO DE CORRER COM 4 FOLHAS PARA VIDROS (VIDROS INCLUSOS), SEM BANDEIRA, BATENTE/ REQUADRO 6 A 14 CM, ACABAMENTO COM ACETATO OU BRILHANTE, FIXAÇÃO COM PARAFUSO, SEM GUARNIÇÃO/ ALIZAR, DIMENSÕES 150X120 CM, VEDAÇÃO COM SILICONE, EXCLUSIVE CONTRAMARCO - FORNECIMENTO E INSTALAÇÃO. AF_11/2024</t>
  </si>
  <si>
    <t>JANELA DE ALUMÍNIO TIPO MAXIM-AR, BATENTE/ REQUADRO 3 A 14 CM, VIDRO INCLUSO, FIXAÇÃO COM PARAFUSO, SEM GUARNIÇÃO/ ALIZAR, DIMENSÕES 60X80 (A X L) CM, SEM ACABAMENTO, VEDAÇÃO COM SILICONE, EXCLUSIVE CONTRAMARCO - FORNECIMENTO E INSTALAÇÃO. AF_11/2024</t>
  </si>
  <si>
    <t>JANELA DE ALUMÍNIO TIPO MAXIM-AR, VIDRO INCLUSO, COM BANDEIRA, FIXAÇÃO COM PARAFUSO, SEM GUARNIÇÃO/ ALIZAR, DIMENSÕES 100X80 (A X L) CM, SEM ACABAMENTO, VEDAÇÃO COM SILICONE, EXCLUSIVE CONTRAMARCO - FORNECIMENTO E INSTALAÇÃO. AF_11/2024</t>
  </si>
  <si>
    <t>JANELA DE AÇO DE CORRER COM 3 FOLHAS (2 VENEZIANAS E 1 PARA VIDRO - VIDRO INCLUSO), BATENTE/ REQUADRO INCLUSO (6 A 14 CM), FIXAÇÃO COM ARGAMASSA, COM PINTURA ANTICORROSIVA E PINTURA DE ACABAMENTO, COM FERRAGENS, FIXAÇÃO COM ARGAMASSA, EXCLUSIVE CONTRAMARCO - FORNECIMENTO E INSTALAÇÃO. AF_11/2024</t>
  </si>
  <si>
    <t>JANELA DE AÇO DE CORRER COM 4 FOLHAS PARA VIDRO (VIDROS NÃO INCLUSOS), BATENTE/ REQUADRO INCLUSO (6 A 14 CM), FIXAÇÃO COM ARGAMASSA, COM PINTURA ANTICORROSIVA, COM FERRAGENS, FIXAÇÃO COM ARGAMASSA, EXCLUSIVE CONTRAMARCO - FORNECIMENTO E INSTALAÇÃO. AF_11/2024</t>
  </si>
  <si>
    <t>JANELA DE AÇO GALVANIZADO TIPO MAXIMO-AR, PINT. ANTICORROSIVA, COM BATENTE/REQUADRO DE 6 A 14 CM, SEM VIDRO, COM GRADE, 1 FL, 60 X 80 CM (A X L), FIXAÇÃO COM ARGAMASSA, EXCLUSIVE CONTRAMARCO - FORNECIMENTO E INSTALAÇÃO. AF_11/2024</t>
  </si>
  <si>
    <t>JANELA DE AÇO TIPO BASCULANTE, PARA VIDROS (VIDROS NÃO INCLUSOS), BATENTE/ REQUADRO INCLUSO (6,5 A 14 CM), DIMENSÕES 60X60 CM, COM COM PINTURA ANTICORROSIVA, SEM ACABAMENTO, COM FERRAGENS, FIXAÇÃO COM ARGAMASSA, EXCLUSIVE CONTRAMARCO - FORNECIMENTO E INSTALAÇÃO. AF_11/2024</t>
  </si>
  <si>
    <t>JANELA DE MADEIRA CEDRINHO/ ANGELIM COMERCIAL/ CURUPIXA/ CUMARU OU EQUIVALENTE DA REGIÃO, TIPO MAXIMA AR, PARA VIDRO (VIDRO NÃO INCLUSO), CAIXA DO BATENTE/ MARCO DE 10 CM, COM GUARNIÇÕES/ ALIZAR E FERRAGENS, SEM ACABAMENTO, FIXAÇÃO COM PARAFUSOS E ESPUMA EXPANSIVA, EXCLUSIVE CONTRAMARCO - FORNECIMENTO E INSTALAÇÃO. AF_11/2024</t>
  </si>
  <si>
    <t>JANELA DE MADEIRA CEDRINHO/ ANGELIM COMERCIAL/ CURUPIXA/ CUMARU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</si>
  <si>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JANELA DE MADEIRA CEDRINHO/ ANGELIM COMERCIAL/ CURUPIXA/ CUMARU 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</si>
  <si>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JANELA DE MADEIRA CEDRINHO/ ANGELIM COMERCIAL/ CURUPIXA/ CUMARU OU EQUIVALENTE, VENEZIANAS PANTOGRÁFICAS DE CORRER E 2 FOLHAS PARA VIDROS DE CORRER (VIDROS NÃO INCLUSOS), GUARNIÇÕES/ MARCO INCLUSOS, FERRAGENS INCLUSAS, FIXAÇÃO COM PARAFUSOS E ESPUMA EXPANSIVA, EXCLUSIVE CONTRAMARCO - FORNECIMENTO E INSTALAÇÃO. AF_11/2024</t>
  </si>
  <si>
    <t>JANELA DE MADEIRA IMBUIA/CEDRO ARANA/CEDRO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</si>
  <si>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JANELA DE MADEIRA IMBUIA/CEDRO ARANA/CEDRO ROSAOU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</si>
  <si>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JANELA DE MADEIRA PINUS/ EUCALIPTO/ TAUARI/ VIROLA OU EQUIVALENTE DA REGIÃO, TIPO BASCULANTE, 2 FOLHAS PARA (VIDROS NÃO INCLUSOS), CAIXA DO BATENTE/ MARCO DE 10 CM, SEM GUARNIÇÕES/ ALIZAR, COM FERRAGENS, FIXAÇÃO COM PARAFUSOS E ESPUMA EXPANSIVA, EXCLUSIVE CONTRAMARCO - FORNECIMENTO E INSTALAÇÃO. AF_11/2024</t>
  </si>
  <si>
    <t>JANELA DE MADEIRA PINUS/ EUCALIPTO/ TAUARI/ VIROLA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</si>
  <si>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JANELA DE MADEIRA PINUS/EUCALIPTO/ TAUARI/ VIROLA 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</si>
  <si>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JANELA DE PVC BRANCO DE CORRER COM 2 FOLHAS PARA VIDRO (VIDROS INCLUSOS) E PERSIANA INTEGRADA, BATENTE/ REQUADRO DE 4 A 14 CM, DIMENSÕES 120X120 CM, COM GUARNIÇÃO/ ALIZAR, COM FERRAGENS, FIXAÇÃO COM PARAFUSOS, VEDAÇÃO COM SILICONE, EXCLUSIVE CONTRAMARCO - FORNECIMENTO E INSTALAÇÃO. AF_11/2024</t>
  </si>
  <si>
    <t>JANELA DE PVC BRANCO DE CORRER COM 3 FOLHAS (2 VENEZIANAS E 1 PARA VIDRO, VIDRO INCLUSO), BATENTE/ REQUADRO DE 4 A 14 CM, DIMENSÕES 100X200 CM, COM GUARNIÇÃO/ ALIZAR, COM FERRAGENS, FIXAÇÃO COM PARAFUSOS, VEDAÇÃO COM SILICONE, EXCLUSIVE CONTRAMARCO - FORNECIMENTO E INSTALAÇÃO. AF_11/2024</t>
  </si>
  <si>
    <t>JANELA DE PVC BRANCO TIPO MAXIM-AR (VIDRO INCLUSO), BATENTE/ REQUADRO DE 4 A 14 CM, DIMENSÕES 60X60 CM, COM GUARNIÇÃO/ ALIZAR, COM FERRAGENS, FIXAÇÃO COM PARAFUSOS, VEDAÇÃO COM SILICONE, EXCLUSIVE CONTRAMARCO - FORNECIMENTO E INSTALAÇÃO. AF_11/2024</t>
  </si>
  <si>
    <t>ESTACA BROCA DE CONCRETO, DIÂMETRO DE 30CM, ESCAVAÇÃO MANUAL COM TRADO CONCHA, INTEIRAMENTE ARMADA. AF_05/2020</t>
  </si>
  <si>
    <t>ESTACA CIRCULAR ESCAVADA COM FLUIDO ESTABILIZANTE (ESTACÃO), DIÂMETRO DE 110CM (EXCLUSIVE MOBILIZAÇÃO E DESMOBILIZAÇÃO). AF_05/2020</t>
  </si>
  <si>
    <t>ESTACA CIRCULAR ESCAVADA COM FLUIDO ESTABILIZANTE (ESTACÃO), DIÂMETRO DE 140CM (EXCLUSIVE MOBILIZAÇÃO E DESMOBILIZAÇÃO). AF_05/2020</t>
  </si>
  <si>
    <t>ESTACA CIRCULAR ESCAVADA COM FLUIDO ESTABILIZANTE (ESTACÃO), DIÂMETRO DE 80CM (EXCLUSIVE MOBILIZAÇÃO E DESMOBILIZAÇÃO). AF_05/2020</t>
  </si>
  <si>
    <t>ESTACA RETANGULAR ESCAVADA COM FLUIDO ESTABILIZANTE (BARRETE), 40 X 250CM (EXCLUSIVE MOBILIZAÇÃO E DESMOBILIZAÇÃO). AF_05/2020</t>
  </si>
  <si>
    <t>ESTACA RETANGULAR ESCAVADA COM FLUIDO ESTABILIZANTE (BARRETE), 60 X 250CM (EXCLUSIVE MOBILIZAÇÃO E DESMOBILIZAÇÃO). AF_05/2020</t>
  </si>
  <si>
    <t>ESTACA RETANGULAR ESCAVADA COM FLUIDO ESTABILIZANTE (BARRETE), 80 X 250CM (EXCLUSIVE MOBILIZAÇÃO E DESMOBILIZAÇÃO). AF_05/2020</t>
  </si>
  <si>
    <t>ESTACA STRAUSS, DIÂMETRO DE 32CM, INTEIRAMENTE ARMADA (EXCLUSIVE MOBILIZAÇÃO E DESMOBILIZAÇÃO). AF_05/2020</t>
  </si>
  <si>
    <t>ESTACA STRAUSS, DIÂMETRO DE 38CM, INTEIRAMENTE ARMADA (EXCLUSIVE MOBILIZAÇÃO E DESMOBILIZAÇÃO). AF_05/2020</t>
  </si>
  <si>
    <t>ESTACA ESCAVADA MECANICAMENTE, SEM FLUIDO ESTABILIZANTE, COM 25CM DE DIÂMETRO, CONCRETO LANÇADO MANUALMENTE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</si>
  <si>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</si>
  <si>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</si>
  <si>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BOMBA LANÇA (EXCLUSIVE BOMBEAMENTO, MOBILIZAÇÃO E DESMOBILIZAÇÃO). AF_01/2020</t>
  </si>
  <si>
    <t>ESTACA ESCAVADA MECANICAMENTE, SEM FLUIDO ESTABILIZANTE, COM 60CM DE DIÂMETRO, CONCRETO LANÇADO POR CAMINHÃO BETONEIRA (EXCLUSIVE MOBILIZAÇÃO E DESMOBILIZAÇÃO). AF_01/2020</t>
  </si>
  <si>
    <t>ESTACA RAIZ, DIÂMETRO DE 20 CM, PERFURADA EM ROCHA (EXCLUSIVE MOBILIZAÇÃO E DESMOBILIZAÇÃO). AF_03/2020</t>
  </si>
  <si>
    <t>ESTACA RAIZ, DIÂMETRO DE 20 CM, SEM PRESENÇA DE ROCHA (EXCLUSIVE MOBILIZAÇÃO E DESMOBILIZAÇÃO). AF_03/2020</t>
  </si>
  <si>
    <t>ESTACA RAIZ, DIÂMETRO DE 31 CM, PERFURADA EM ROCHA (EXCLUSIVE MOBILIZAÇÃO E DESMOBILIZAÇÃO). AF_03/2020</t>
  </si>
  <si>
    <t>ESTACA RAIZ, DIÂMETRO DE 31 CM, SEM PRESENÇA DE ROCHA (EXCLUSIVE MOBILIZAÇÃO E DESMOBILIZAÇÃO). AF_03/2020</t>
  </si>
  <si>
    <t>ESTACA RAIZ, DIÂMETRO DE 40 CM, PERFURADA EM ROCHA (EXCLUSIVE MOBILIZAÇÃO E DESMOBILIZAÇÃO). AF_03/2020</t>
  </si>
  <si>
    <t>ESTACA RAIZ, DIÂMETRO DE 40 CM, SEM PRESENÇA DE ROCHA (EXCLUSIVE MOBILIZAÇÃO E DESMOBILIZAÇÃO). AF_03/2020</t>
  </si>
  <si>
    <t>ESTACA RAIZ, DIÂMETRO DE 45 CM, PERFURADA EM ROCHA (EXCLUSIVE MOBILIZAÇÃO E DESMOBILIZAÇÃO). AF_03/2020</t>
  </si>
  <si>
    <t>ESTACA RAIZ, DIÂMETRO DE 45 CM, SEM PRESENÇA DE ROCHA (EXCLUSIVE MOBILIZAÇÃO E DESMOBILIZAÇÃO). AF_03/2020</t>
  </si>
  <si>
    <t>ESTACA HÉLICE CONTÍNUA, DIÂMETRO DE 30 CM, INCLUSO CONCRETO FCK=30MPA E ARMADURA MÍNIMA (EXCLUSIVE BOMBEAMENTO, MOBILIZAÇÃO E DESMOBILIZAÇÃO). AF_12/2019</t>
  </si>
  <si>
    <t>ESTACA HÉLICE CONTÍNUA, DIÂMETRO DE 70 CM, INCLUSO CONCRETO FCK=30MPA E ARMADURA MÍNIMA (EXCLUSIVE BOMBEAMENTO, MOBILIZAÇÃO E DESMOBILIZAÇÃO). AF_12/2019</t>
  </si>
  <si>
    <t>ESTACA HÉLICE CONTÍNUA, DIÂMETRO DE 80 CM, INCLUSO CONCRETO FCK=30MPA E ARMADURA MÍNIMA (EXCLUSIVE BOMBEAMENTO, MOBILIZAÇÃO E DESMOBILIZAÇÃO). AF_12/2019</t>
  </si>
  <si>
    <t>ESTACA HÉLICE CONTÍNUA, DIÂMETRO DE 90 CM, INCLUSO CONCRETO FCK=30MPA E ARMADURA MÍNIMA (EXCLUSIVE BOMBEAMENTO, MOBILIZAÇÃO E DESMOBILIZAÇÃO). AF_12/2019</t>
  </si>
  <si>
    <t>CONTENÇÃO EM CORTINA COM ESTACAS ESPAÇADAS COM 30 CM DE DIÂMETRO E PROFUNDIDADE ATÉ 20 METROS. AF_02/2025</t>
  </si>
  <si>
    <t>CONTENÇÃO EM CORTINA COM ESTACAS ESPAÇADAS COM 40 CM DE DIÂMETRO E PROFUNDIDADE ATÉ 20 METROS. AF_02/2025</t>
  </si>
  <si>
    <t>CONTENÇÃO EM CORTINA COM ESTACAS ESPAÇADAS COM 50 CM DE DIÂMETRO E PROFUNDIDADE ATÉ 20 METROS. AF_02/2025</t>
  </si>
  <si>
    <t>CONTENÇÃO EM CORTINA COM ESTACAS ESPAÇADAS COM 60 CM DE DIÂMETRO E PROFUNDIDADE ATÉ 20 METROS. AF_02/2025</t>
  </si>
  <si>
    <t>CONTENÇÃO EM CORTINA COM ESTACAS SECANTES COM 40 CM DE DIÂMETRO E PROFUNDIDADE ATÉ 20 METROS. AF_02/2025</t>
  </si>
  <si>
    <t>CONTENÇÃO EM CORTINA COM ESTACAS SECANTES COM 50 CM DE DIÂMETRO E PROFUNDIDADE ATÉ 20 METROS. AF_02/2025</t>
  </si>
  <si>
    <t>CONTENÇÃO EM PAREDE DIAFRAGMA COM 30 CM DE ESPESSURA E PROFUNDIDADE ATÉ 25 METROS. AF_02/2025</t>
  </si>
  <si>
    <t>CONTENÇÃO EM PAREDE DIAFRAGMA COM 40 CM DE ESPESSURA E PROFUNDIDADE ATÉ 25 METROS. AF_02/2025</t>
  </si>
  <si>
    <t>CONTENÇÃO EM PAREDE DIAFRAGMA COM 50 CM DE ESPESSURA E PROFUNDIDADE ATÉ 25 METROS. AF_02/2025</t>
  </si>
  <si>
    <t>CONTENÇÃO EM PAREDE DIAFRAGMA COM 60 CM DE ESPESSURA E PROFUNDIDADE ATÉ 25 METROS. AF_02/2025</t>
  </si>
  <si>
    <t>CONTENÇÃO EM PAREDE DIAFRAGMA COM 80 CM DE ESPESSURA E PROFUNDIDADE ATÉ 25 METROS. AF_02/2025</t>
  </si>
  <si>
    <t>EXECUÇÃO DE MURETA GUIA PARA CONTENÇÃO/FUNDAÇÃO, PARA LAMELAS ATÉ 0,80 M DE LARGURA. AF_02/2025</t>
  </si>
  <si>
    <t>MURO DE ARRIMO COM BLOCOS DE CONCRETO ESTRUTURAL E PILARES INTERMEDIÁRIOS, COM ALTURA MAIOR QUE 1,6 M E MENOR OU IGUAL A 2,8 M (EXCETO FUNDAÇÃO). AF_11/2024</t>
  </si>
  <si>
    <t>MURO DE ARRIMO COM BLOCOS DE CONCRETO ESTRUTURAL E PILARES INTERMEDIÁRIOS, COM ALTURA MAIOR QUE 2,8 M E MENOR OU IGUAL A 4,0 M (EXCETO FUNDAÇÃO). AF_11/2024</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</si>
  <si>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</si>
  <si>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</si>
  <si>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</si>
  <si>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</si>
  <si>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</si>
  <si>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</si>
  <si>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</si>
  <si>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</si>
  <si>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</si>
  <si>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</si>
  <si>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</si>
  <si>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</si>
  <si>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</si>
  <si>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</si>
  <si>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ELETRODUTO FLEXÍVEL CORRUGADO REFORÇADO, PVC, DN 20 MM (1/2"), PARA CIRCUITOS TERMINAIS, INSTALADO EM FORRO - FORNECIMENTO E INSTALAÇÃO. AF_03/2023</t>
  </si>
  <si>
    <t>ELETRODUTO FLEXÍVEL CORRUGADO REFORÇADO, PVC, DN 25 MM (3/4"), PARA CIRCUITOS TERMINAIS, INSTALADO EM FORRO - FORNECIMENTO E INSTALAÇÃO. AF_03/2023</t>
  </si>
  <si>
    <t>ELETRODUTO FLEXÍVEL CORRUGADO REFORÇADO, PVC, DN 32 MM (1"), PARA CIRCUITOS TERMINAIS, INSTALADO EM FORRO - FORNECIMENTO E INSTALAÇÃO. AF_03/2023</t>
  </si>
  <si>
    <t>ELETRODUTO FLEXÍVEL CORRUGADO, PEAD, DN 32 MM (1"), PARA CIRCUITOS TERMINAIS, INSTALADO EM FORRO - FORNECIMENTO E INSTALAÇÃO. AF_03/2023</t>
  </si>
  <si>
    <t>ELETRODUTO FLEXÍVEL CORRUGADO, PEAD, DN 40 MM (1 1/4"), PARA CIRCUITOS TERMINAIS, INSTALADO EM FORRO - FORNECIMENTO E INSTALAÇÃO. AF_03/2023</t>
  </si>
  <si>
    <t>ELETRODUTO FLEXÍVEL CORRUGADO, PVC, DN 20 MM (1/2"), PARA CIRCUITOS TERMINAIS, INSTALADO EM FORRO - FORNECIMENTO E INSTALAÇÃO. AF_03/2023</t>
  </si>
  <si>
    <t>ELETRODUTO FLEXÍVEL CORRUGADO, PVC, DN 25 MM (3/4"), PARA CIRCUITOS TERMINAIS, INSTALADO EM FORRO - FORNECIMENTO E INSTALAÇÃO. AF_03/2023</t>
  </si>
  <si>
    <t>ELETRODUTO FLEXÍVEL CORRUGADO, PVC, DN 32 MM (1"), PARA CIRCUITOS TERMINAIS, INSTALADO EM FORRO - FORNECIMENTO E INSTALAÇÃO. AF_03/2023</t>
  </si>
  <si>
    <t>ELETRODUTO FLEXÍVEL LISO, PEAD, DN 32 MM (1"), PARA CIRCUITOS TERMINAIS, INSTALADO EM FORRO - FORNECIMENTO E INSTALAÇÃO. AF_03/2023</t>
  </si>
  <si>
    <t>ELETRODUTO FLEXÍVEL LISO, PEAD, DN 40 MM (1 1/4"), PARA CIRCUITOS TERMINAIS, INSTALADO EM FORRO - FORNECIMENTO E INSTALAÇÃO. AF_03/2023</t>
  </si>
  <si>
    <t>ELETRODUTO RIGIDO, EM ACO ZINCADO OU GALVANIZADO, TIPO PESADO, DN=1 1/2", APARENTE - FORNECIMENTO E INSTALAÇÃO. AF_10/2022</t>
  </si>
  <si>
    <t>ELETRODUTO RIGIDO, EM ACO ZINCADO OU GALVANIZADO, TIPO PESADO, DN=1 1/4", APARENTE- FORNECIMENTO E INSTALAÇÃO. AF_10/2022</t>
  </si>
  <si>
    <t>ELETRODUTO RIGIDO, EM ACO ZINCADO OU GALVANIZADO, TIPO PESADO, DN=1", APARENTE - FORNECIMENTO E INSTALAÇÃO. AF_10/2022</t>
  </si>
  <si>
    <t>ELETRODUTO RIGIDO, EM ACO ZINCADO OU GALVANIZADO, TIPO PESADO, DN=3/4", APARENTE - FORNECIMENTO E INSTALAÇÃO. AF_10/2022</t>
  </si>
  <si>
    <t>ELETRODUTO RÍGIDO SOLDÁVEL, PVC, DN 20 MM (1/2"), APARENTE - FORNECIMENTO E INSTALAÇÃO. AF_10/2022</t>
  </si>
  <si>
    <t>ELETRODUTO RÍGIDO SOLDÁVEL, PVC, DN 25 MM (3/4"), APARENTE - FORNECIMENTO E INSTALAÇÃO. AF_10/2022</t>
  </si>
  <si>
    <t>ELETRODUTO RÍGIDO SOLDÁVEL, PVC, DN 32 MM (1"), APARENTE - FORNECIMENTO E INSTALAÇÃO. AF_10/2022</t>
  </si>
  <si>
    <t>TUBO EM COBRE FLEXÍVEL, DN 1/2", COM ISOLAMENTO, INSTALADO EM FORRO, PARA RAMAL DE ALIMENTAÇÃO DE AR CONDICIONADO, INCLUSO FIXADOR.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</si>
  <si>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</si>
  <si>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</si>
  <si>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5/8", COM ISOLAMENTO, INSTALADO EM FORRO, PARA RAMAL DE ALIMENTAÇÃO DE AR CONDICIONADO, INCLUSO FIXADOR. AF_11/2021</t>
  </si>
  <si>
    <t>LAJE PRÉ-MOLDADA UNIDIRECIONAL, BIAPOIADA, ENCHIMENTO EM CERÂMICA, VIGOTA PROTENDIDA, ALTURA TOTAL DA LAJE (ENCHIMENTO+CAPA) = (12+4). AF_11/2020</t>
  </si>
  <si>
    <t>LAJE PRÉ-MOLDADA UNIDIRECIONAL, BIAPOIADA, ENCHIMENTO EM CERÂMICA, VIGOTA PROTENDIDA, ALTURA TOTAL DA LAJE (ENCHIMENTO+CAPA) = (16+4). AF_11/2020</t>
  </si>
  <si>
    <t>LAJE PRÉ-MOLDADA UNIDIRECIONAL, BIAPOIADA, ENCHIMENTO EM CERÂMICA, VIGOTA PROTENDIDA, ALTURA TOTAL DA LAJE (ENCHIMENTO+CAPA) = (20+5). AF_11/2020</t>
  </si>
  <si>
    <t>LAJE PRÉ-MOLDADA UNIDIRECIONAL, BIAPOIADA, ENCHIMENTO EM CERÂMICA, VIGOTA PROTENDIDA, ALTURA TOTAL DA LAJE (ENCHIMENTO+CAPA) = (8+4). AF_11/2020</t>
  </si>
  <si>
    <t>LAJE PRÉ-MOLDADA UNIDIRECIONAL, BIAPOIADA, ENCHIMENTO EM CERÂMICA, VIGOTA TRELIÇADA, ALTURA TOTAL DA LAJE (ENCHIMENTO+CAPA) = (12+4). AF_11/2020</t>
  </si>
  <si>
    <t>LAJE PRÉ-MOLDADA UNIDIRECIONAL, BIAPOIADA, ENCHIMENTO EM CERÂMICA, VIGOTA TRELIÇADA, ALTURA TOTAL DA LAJE (ENCHIMENTO+CAPA) = (16+4). AF_11/2020</t>
  </si>
  <si>
    <t>LAJE PRÉ-MOLDADA UNIDIRECIONAL, BIAPOIADA, ENCHIMENTO EM CERÂMICA, VIGOTA TRELIÇADA, ALTURA TOTAL DA LAJE (ENCHIMENTO+CAPA) = (20+5). AF_11/2020</t>
  </si>
  <si>
    <t>LAJE PRÉ-MOLDADA UNIDIRECIONAL, BIAPOIADA, ENCHIMENTO EM CERÂMICA, VIGOTA TRELIÇADA, ALTURA TOTAL DA LAJE (ENCHIMENTO+CAPA) = (8+4). AF_11/2020</t>
  </si>
  <si>
    <t>LAJE PRÉ-MOLDADA UNIDIRECIONAL, BIAPOIADA, ENCHIMENTO EM EPS, VIGOTA PROTENDIDA, ALTURA TOTAL DA LAJE (ENCHIMENTO+CAPA) = (12+4). AF_11/2020</t>
  </si>
  <si>
    <t>LAJE PRÉ-MOLDADA UNIDIRECIONAL, BIAPOIADA, ENCHIMENTO EM EPS, VIGOTA PROTENDIDA, ALTURA TOTAL DA LAJE (ENCHIMENTO+CAPA) = (16+4). AF_11/2020</t>
  </si>
  <si>
    <t>LAJE PRÉ-MOLDADA UNIDIRECIONAL, BIAPOIADA, ENCHIMENTO EM EPS, VIGOTA PROTENDIDA, ALTURA TOTAL DA LAJE (ENCHIMENTO+CAPA) = (20+5). AF_11/2020</t>
  </si>
  <si>
    <t>LAJE PRÉ-MOLDADA UNIDIRECIONAL, BIAPOIADA, ENCHIMENTO EM EPS, VIGOTA PROTENDIDA, ALTURA TOTAL DA LAJE (ENCHIMENTO+CAPA) = (8+4). AF_11/2020</t>
  </si>
  <si>
    <t>LAJE PRÉ-MOLDADA UNIDIRECIONAL, BIAPOIADA, ENCHIMENTO EM EPS, VIGOTA TRELIÇADA, ALTURA TOTAL DA LAJE (ENCHIMENTO+CAPA) = (12+4). AF_11/2020</t>
  </si>
  <si>
    <t>LAJE PRÉ-MOLDADA UNIDIRECIONAL, BIAPOIADA, ENCHIMENTO EM EPS, VIGOTA TRELIÇADA, ALTURA TOTAL DA LAJE (ENCHIMENTO+CAPA) = (16+4). AF_11/2020</t>
  </si>
  <si>
    <t>LAJE PRÉ-MOLDADA UNIDIRECIONAL, BIAPOIADA, ENCHIMENTO EM EPS, VIGOTA TRELIÇADA, ALTURA TOTAL DA LAJE (ENCHIMENTO+CAPA) = (20+5). AF_11/2020</t>
  </si>
  <si>
    <t>LAJE PRÉ-MOLDADA UNIDIRECIONAL, BIAPOIADA, ENCHIMENTO EM EPS, VIGOTA TRELIÇADA, ALTURA TOTAL DA LAJE (ENCHIMENTO+CAPA) = (8+4). AF_11/2020</t>
  </si>
  <si>
    <t>LAJE PRÉ-MOLDADA UNIDIRECIONAL, BIAPOIADA, PARA FORRO, ENCHIMENTO EM CERÂMICA, VIGOTA CONVENCIONAL, ALTURA TOTAL DA LAJE (ENCHIMENTO+CAPA) = (8+3). AF_11/2020</t>
  </si>
  <si>
    <t>LAJE PRÉ-MOLDADA UNIDIRECIONAL, BIAPOIADA, PARA PISO, ENCHIMENTO EM CERÂMICA, VIGOTA CONVENCIONAL, ALTURA TOTAL DA LAJE (ENCHIMENTO+CAPA) = (8+4). AF_11/2020</t>
  </si>
  <si>
    <t>ABRAÇADEIRA DE FIXAÇÃO DE BRAÇOS DE LUMINÁRIAS DE 2" - FORNECIMENTO E INSTALAÇÃO. AF_02/2025</t>
  </si>
  <si>
    <t>ABRAÇADEIRA DE FIXAÇÃO DE BRAÇOS DE LUMINÁRIAS DE 3" - FORNECIMENTO E INSTALAÇÃO. AF_02/2025</t>
  </si>
  <si>
    <t>ABRAÇADEIRA DE FIXAÇÃO DE BRAÇOS DE LUMINÁRIAS DE 4" - FORNECIMENTO E INSTALAÇÃO. AF_02/2025</t>
  </si>
  <si>
    <t>BRAÇO PARA ILUMINAÇÃO PÚBLICA, EM TUBO DE AÇO GALVANIZADO, COMPRIMENTO DE 1,20 M, PARA FIXAÇÃO EM POSTE DE CONCRETO - FORNECIMENTO E INSTALAÇÃO. AF_02/2025</t>
  </si>
  <si>
    <t>BRAÇO PARA ILUMINAÇÃO PÚBLICA, EM TUBO DE AÇO GALVANIZADO, COMPRIMENTO DE 1,20 M, PARA FIXAÇÃO EM POSTE METÁLICO - FORNECIMENTO E INSTALAÇÃO. AF_02/2025</t>
  </si>
  <si>
    <t>BRAÇO PARA ILUMINAÇÃO PÚBLICA, EM TUBO DE AÇO GALVANIZADO, COMPRIMENTO DE 1,50 M, PARA FIXAÇÃO EM POSTE DE CONCRETO - FORNECIMENTO E INSTALAÇÃO. AF_02/2025_PS</t>
  </si>
  <si>
    <t>BRAÇO PARA ILUMINAÇÃO PÚBLICA, EM TUBO DE AÇO GALVANIZADO, COMPRIMENTO DE 1,50 M, PARA FIXAÇÃO EM POSTE METÁLICO - FORNECIMENTO E INSTALAÇÃO. AF_02/2025_PS</t>
  </si>
  <si>
    <t>BRAÇO PARA ILUMINAÇÃO PÚBLICA, EM TUBO DE AÇO GALVANIZADO, COMPRIMENTO DE 3,50 M, PARA FIXAÇÃO EM POSTE DE CONCRETO - FORNECIMENTO E INSTALAÇÃO. AF_02/2025</t>
  </si>
  <si>
    <t>BRAÇO PARA ILUMINAÇÃO PÚBLICA, EM TUBO DE AÇO GALVANIZADO, COMPRIMENTO DE 3,50 M, PARA FIXAÇÃO EM POSTE METÁLICO - FORNECIMENTO E INSTALAÇÃO. AF_02/2025</t>
  </si>
  <si>
    <t>LUMINÁRIA DE LED PARA ILUMINAÇÃO PÚBLICA, 1000 W - FORNECIMENTO E INSTALAÇÃO. AF_02/2025</t>
  </si>
  <si>
    <t>LUMINÁRIA DE LED PARA ILUMINAÇÃO PÚBLICA, DE 138 W ATÉ 180 W - FORNECIMENTO E INSTALAÇÃO. AF_02/2025_PS</t>
  </si>
  <si>
    <t>LUMINÁRIA DE LED PARA ILUMINAÇÃO PÚBLICA, DE 181 W ATÉ 239 W - FORNECIMENTO E INSTALAÇÃO. AF_02/2025_PS</t>
  </si>
  <si>
    <t>LUMINÁRIA DE LED PARA ILUMINAÇÃO PÚBLICA, DE 240 W ATÉ 350 W - FORNECIMENTO E INSTALAÇÃO. AF_02/2025_PS</t>
  </si>
  <si>
    <t>LUMINÁRIA DE LED PARA ILUMINAÇÃO PÚBLICA, DE 33 W ATÉ 50 W - FORNECIMENTO E INSTALAÇÃO. AF_02/2025_PS</t>
  </si>
  <si>
    <t>LUMINÁRIA DE LED PARA ILUMINAÇÃO PÚBLICA, DE 51 W ATÉ 67 W - FORNECIMENTO E INSTALAÇÃO. AF_02/2025_PS</t>
  </si>
  <si>
    <t>LUMINÁRIA DE LED PARA ILUMINAÇÃO PÚBLICA, DE 68 W ATÉ 97 W - FORNECIMENTO E INSTALAÇÃO. AF_02/2025_PS</t>
  </si>
  <si>
    <t>LUMINÁRIA DE LED PARA ILUMINAÇÃO PÚBLICA, DE 98 W ATÉ 137 W - FORNECIMENTO E INSTALAÇÃO. AF_02/2025_PS</t>
  </si>
  <si>
    <t>LUMINÁRIA REFLETOR LED PARA ILUMINAÇÃO PÚBLICA, 1000 W - FORNECIMENTO E INSTALAÇÃO. AF_02/2025</t>
  </si>
  <si>
    <t>LUMINÁRIA REFLETOR LED PARA ILUMINAÇÃO PÚBLICA, 200 W - FORNECIMENTO E INSTALAÇÃO. AF_02/2025</t>
  </si>
  <si>
    <t>LUMINÁRIA REFLETOR LED PARA ILUMINAÇÃO PÚBLICA, 50 W - FORNECIMENTO E INSTALAÇÃO. AF_02/2025</t>
  </si>
  <si>
    <t>LUMINÁRIA REFLETOR LED PARA ILUMINAÇÃO PÚBLICA, 600 W - FORNECIMENTO E INSTALAÇÃO. AF_02/2025</t>
  </si>
  <si>
    <t>RELÉ FOTOELÉTRICO PARA COMANDO DE ILUMINAÇÃO EXTERNA 1000 W - FORNECIMENTO E INSTALAÇÃO. AF_02/2025</t>
  </si>
  <si>
    <t>SUBSTITUIÇÃO DE LUMINÁRIA DE VAPOR DE MERCÚRIO/VAPOR DE SÓDIO POR LUMINÁRIA DE LED PARA ILUMINAÇÃO PÚBLICA (NÃO INCLUI FORNECIMENTO). AF_02/2025_PS</t>
  </si>
  <si>
    <t>SUBSTITUIÇÃO DE LUMINÁRIA REFLETOR LED PARA ILUMINAÇÃO PÚBLICA (NÃO INCLUI FORNECIMENTO). AF_02/2025</t>
  </si>
  <si>
    <t>SUBSTITUIÇÃO DE LÂMPADA PARA ILUMINAÇÃO PÚBLICA (NÃO INCLUI FORNECIMENTO). AF_02/2025_PS</t>
  </si>
  <si>
    <t>SUBSTITUIÇÃO DE REATOR PARA ILUMINAÇÃO PÚBLICA (NÃO INCLUI FORNECIMENTO). AF_02/2025_PS</t>
  </si>
  <si>
    <t>SUBSTITUIÇÃO DE RELÉ FOTOELÉTRICO PARA COMANDO DE ILUMINAÇÃO EXTERNA 1000 W - FORNECIMENTO E INSTALAÇÃO. AF_02/2025_PS</t>
  </si>
  <si>
    <t>PEITORIL LINEAR EM GRANITO OU MÁRMORE, L = 15CM, ASSENTADO COM ARGAMASSA 1:6 COM ADITIVO. AF_11/2020</t>
  </si>
  <si>
    <t>BASE PARA POCO DE VISITA RETANGULAR PARA ESGOTO E DRENAGEM, EM CONCRETO ESTRUTURAL, DIMENSÕES INTERNAS DE 90X150 M, PROFUNDIDADE DE 1,25 M, EXCLUINDO TAMPÃO. AF_12/2020</t>
  </si>
  <si>
    <t>BASE PARA POÇO DE VISITA CIRCULAR PARA DRENAGEM, EM ALVENARIA COM TIJOLOS CERÂMICOS MACIÇOS, DIÂMETRO INTERNO = 0,80 M, PROFUNDIDADE = 1,40 M, EXCLUINDO TAMPÃO. AF_12/2020</t>
  </si>
  <si>
    <t>BASE PARA POÇO DE VISITA CIRCULAR PARA DRENAGEM, EM ALVENARIA COM TIJOLOS CERÂMICOS MACIÇOS, DIÂMETRO INTERNO = 1,0 M, PROFUNDIDADE = 1,40 M, EXCLUINDO TAMPÃO. AF_12/2020</t>
  </si>
  <si>
    <t>BASE PARA POÇO DE VISITA CIRCULAR PARA DRENAGEM, EM ALVENARIA COM TIJOLOS CERÂMICOS MACIÇOS, DIÂMETRO INTERNO = 1,2 M, PROFUNDIDADE = 1,40 M, EXCLUINDO TAMPÃO. AF_12/2020</t>
  </si>
  <si>
    <t>BASE PARA POÇO DE VISITA CIRCULAR PARA DRENAGEM, EM ALVENARIA COM TIJOLOS CERÂMICOS MACIÇOS, DIÂMETRO INTERNO = 1,50 M, PROFUNDIDADE = 1,40 M, EXCLUINDO TAMPÃO. AF_12/2020</t>
  </si>
  <si>
    <t>BASE PARA POÇO DE VISITA CIRCULAR PARA DRENAGEM, EM CONCRETO PRÉ-MOLDADO, DIÂMETRO INTERNO = 0,80 M, PROFUNDIDADE = 1,35 M, EXCLUINDO TAMPÃO. AF_12/2020</t>
  </si>
  <si>
    <t>BASE PARA POÇO DE VISITA CIRCULAR PARA DRENAGEM, EM CONCRETO PRÉ-MOLDADO, DIÂMETRO INTERNO = 1,0 M, PROFUNDIDADE = 1,35 M, EXCLUINDO TAMPÃO. AF_05/2018</t>
  </si>
  <si>
    <t>BASE PARA POÇO DE VISITA CIRCULAR PARA DRENAGEM, EM CONCRETO PRÉ-MOLDADO, DIÂMETRO INTERNO = 1,20 M, PROFUNDIDADE = 1,60 M, EXCLUINDO TAMPÃO. AF_05/2021</t>
  </si>
  <si>
    <t>BASE PARA POÇO DE VISITA CIRCULAR PARA DRENAGEM, EM CONCRETO PRÉ-MOLDADO, DIÂMETRO INTERNO = 1,50 M, PROFUNDIDADE = 1,35 M, EXCLUINDO TAMPÃO. AF_12/2020</t>
  </si>
  <si>
    <t>BASE PARA POÇO DE VISITA CIRCULAR PARA ESGOTO, EM ALVENARIA COM TIJOLOS CERÂMICOS MACIÇOS, DIÂMETRO INTERNO = 1,50 M, PROFUNDIDADE = 1,40 M, EXCLUINDO TAMPÃO. AF_12/2020</t>
  </si>
  <si>
    <t>BASE PARA POÇO DE VISITA CIRCULAR PARA ESGOTO, EM CONCRETO PRÉ-MOLDADO, DIÂMETRO INTERNO = 0,80 M, PROFUNDIDADE = 1,35 M, EXCLUINDO TAMPÃO. AF_12/2020</t>
  </si>
  <si>
    <t>BASE PARA POÇO DE VISITA CIRCULAR PARA ESGOTO, EM CONCRETO PRÉ-MOLDADO, DIÂMETRO INTERNO = 1,0 M, PROFUNDIDADE = 1,35 M, EXCLUINDO TAMPÃO. AF_12/2020</t>
  </si>
  <si>
    <t>BASE PARA POÇO DE VISITA RETANGULAR PARA DRENAGEM, EM ALVENARIA COM BLOCOS DE CONCRETO, DIMENSÕES INTERNAS = 1,5X1,5 M, PROFUNDIDADE = 1,40 M, EXCLUINDO TAMPÃO. AF_12/2020</t>
  </si>
  <si>
    <t>BASE PARA POÇO DE VISITA RETANGULAR PARA DRENAGEM, EM ALVENARIA COM BLOCOS DE CONCRETO, DIMENSÕES INTERNAS = 1,5X2 M, PROFUNDIDADE = 1,40 M, EXCLUINDO TAMPÃO. AF_12/2020</t>
  </si>
  <si>
    <t>BASE PARA POÇO DE VISITA RETANGULAR PARA DRENAGEM, EM ALVENARIA COM BLOCOS DE CONCRETO, DIMENSÕES INTERNAS = 1,5X2,5 M, PROFUNDIDADE = 1,40 M, EXCLUINDO TAMPÃO. AF_12/2020</t>
  </si>
  <si>
    <t>BASE PARA POÇO DE VISITA RETANGULAR PARA DRENAGEM, EM ALVENARIA COM BLOCOS DE CONCRETO, DIMENSÕES INTERNAS = 1,5X3 M, PROFUNDIDADE = 1,40 M, EXCLUINDO TAMPÃO. AF_12/2020</t>
  </si>
  <si>
    <t>BASE PARA POÇO DE VISITA RETANGULAR PARA DRENAGEM, EM ALVENARIA COM BLOCOS DE CONCRETO, DIMENSÕES INTERNAS = 1,5X3,5 M, PROFUNDIDADE = 1,40 M, EXCLUINDO TAMPÃO. AF_12/2020</t>
  </si>
  <si>
    <t>BASE PARA POÇO DE VISITA RETANGULAR PARA DRENAGEM, EM ALVENARIA COM BLOCOS DE CONCRETO, DIMENSÕES INTERNAS = 1,5X4 M, PROFUNDIDADE = 1,40 M, EXCLUINDO TAMPÃO. AF_12/2020</t>
  </si>
  <si>
    <t>BASE PARA POÇO DE VISITA RETANGULAR PARA DRENAGEM, EM ALVENARIA COM BLOCOS DE CONCRETO, DIMENSÕES INTERNAS = 1X1 M, PROFUNDIDADE = 1,40 M, EXCLUINDO TAMPÃO. AF_12/2020</t>
  </si>
  <si>
    <t>BASE PARA POÇO DE VISITA RETANGULAR PARA DRENAGEM, EM ALVENARIA COM BLOCOS DE CONCRETO, DIMENSÕES INTERNAS = 1X1,5 M, PROFUNDIDADE = 1,40 M, EXCLUINDO TAMPÃO. AF_12/2020</t>
  </si>
  <si>
    <t>BASE PARA POÇO DE VISITA RETANGULAR PARA DRENAGEM, EM ALVENARIA COM BLOCOS DE CONCRETO, DIMENSÕES INTERNAS = 1X2 M, PROFUNDIDADE = 1,40 M, EXCLUINDO TAMPÃO. AF_12/2020</t>
  </si>
  <si>
    <t>BASE PARA POÇO DE VISITA RETANGULAR PARA DRENAGEM, EM ALVENARIA COM BLOCOS DE CONCRETO, DIMENSÕES INTERNAS = 1X2,5 M, PROFUNDIDADE = 1,40 M, EXCLUINDO TAMPÃO. AF_12/2020</t>
  </si>
  <si>
    <t>BASE PARA POÇO DE VISITA RETANGULAR PARA DRENAGEM, EM ALVENARIA COM BLOCOS DE CONCRETO, DIMENSÕES INTERNAS = 1X3 M, PROFUNDIDADE = 1,40 M, EXCLUINDO TAMPÃO. AF_12/2020</t>
  </si>
  <si>
    <t>BASE PARA POÇO DE VISITA RETANGULAR PARA DRENAGEM, EM ALVENARIA COM BLOCOS DE CONCRETO, DIMENSÕES INTERNAS = 1X3,5 M, PROFUNDIDADE = 1,40 M, EXCLUINDO TAMPÃO. AF_12/2020</t>
  </si>
  <si>
    <t>BASE PARA POÇO DE VISITA RETANGULAR PARA DRENAGEM, EM ALVENARIA COM BLOCOS DE CONCRETO, DIMENSÕES INTERNAS = 1X4 M, PROFUNDIDADE = 1,40 M, EXCLUINDO TAMPÃO. AF_12/2020</t>
  </si>
  <si>
    <t>BASE PARA POÇO DE VISITA RETANGULAR PARA DRENAGEM, EM ALVENARIA COM BLOCOS DE CONCRETO, DIMENSÕES INTERNAS = 2,5X2,5 M, PROFUNDIDADE = 1,40 M, EXCLUINDO TAMPÃO. AF_12/2020</t>
  </si>
  <si>
    <t>BASE PARA POÇO DE VISITA RETANGULAR PARA DRENAGEM, EM ALVENARIA COM BLOCOS DE CONCRETO, DIMENSÕES INTERNAS = 2,5X3 M, PROFUNDIDADE = 1,40 M, EXCLUINDO TAMPÃO. AF_12/2020</t>
  </si>
  <si>
    <t>BASE PARA POÇO DE VISITA RETANGULAR PARA DRENAGEM, EM ALVENARIA COM BLOCOS DE CONCRETO, DIMENSÕES INTERNAS = 2,5X3,5 M, PROFUNDIDADE = 1,40 M, EXCLUINDO TAMPÃO. AF_12/2020</t>
  </si>
  <si>
    <t>BASE PARA POÇO DE VISITA RETANGULAR PARA DRENAGEM, EM ALVENARIA COM BLOCOS DE CONCRETO, DIMENSÕES INTERNAS = 2,5X4 M, PROFUNDIDADE = 1,40 M, EXCLUINDO TAMPÃO. AF_12/2020</t>
  </si>
  <si>
    <t>BASE PARA POÇO DE VISITA RETANGULAR PARA DRENAGEM, EM ALVENARIA COM BLOCOS DE CONCRETO, DIMENSÕES INTERNAS = 2X2 M, PROFUNDIDADE = 1,40 M, EXCLUINDO TAMPÃO. AF_12/2020</t>
  </si>
  <si>
    <t>BASE PARA POÇO DE VISITA RETANGULAR PARA DRENAGEM, EM ALVENARIA COM BLOCOS DE CONCRETO, DIMENSÕES INTERNAS = 2X2,5 M, PROFUNDIDADE = 1,40 M, EXCLUINDO TAMPÃO. AF_12/2020</t>
  </si>
  <si>
    <t>BASE PARA POÇO DE VISITA RETANGULAR PARA DRENAGEM, EM ALVENARIA COM BLOCOS DE CONCRETO, DIMENSÕES INTERNAS = 2X3 M, PROFUNDIDADE = 1,40 M, EXCLUINDO TAMPÃO. AF_12/2020</t>
  </si>
  <si>
    <t>BASE PARA POÇO DE VISITA RETANGULAR PARA DRENAGEM, EM ALVENARIA COM BLOCOS DE CONCRETO, DIMENSÕES INTERNAS = 2X3,5 M, PROFUNDIDADE = 1,40 M, EXCLUINDO TAMPÃO. AF_12/2020</t>
  </si>
  <si>
    <t>BASE PARA POÇO DE VISITA RETANGULAR PARA DRENAGEM, EM ALVENARIA COM BLOCOS DE CONCRETO, DIMENSÕES INTERNAS = 2X4 M, PROFUNDIDADE = 1,40 M, EXCLUINDO TAMPÃO. AF_12/2020</t>
  </si>
  <si>
    <t>BASE PARA POÇO DE VISITA RETANGULAR PARA DRENAGEM, EM ALVENARIA COM BLOCOS DE CONCRETO, DIMENSÕES INTERNAS = 3,5X3,5 M, PROFUNDIDADE = 1,40 M, EXCLUINDO TAMPÃO. AF_12/2020</t>
  </si>
  <si>
    <t>BASE PARA POÇO DE VISITA RETANGULAR PARA DRENAGEM, EM ALVENARIA COM BLOCOS DE CONCRETO, DIMENSÕES INTERNAS = 3,5X4 M, PROFUNDIDADE = 1,40 M, EXCLUINDO TAMPÃO. AF_12/2020</t>
  </si>
  <si>
    <t>BASE PARA POÇO DE VISITA RETANGULAR PARA DRENAGEM, EM ALVENARIA COM BLOCOS DE CONCRETO, DIMENSÕES INTERNAS = 3X3 M, PROFUNDIDADE = 1,40 M, EXCLUINDO TAMPÃO. AF_12/2020</t>
  </si>
  <si>
    <t>BASE PARA POÇO DE VISITA RETANGULAR PARA DRENAGEM, EM ALVENARIA COM BLOCOS DE CONCRETO, DIMENSÕES INTERNAS = 3X3,5 M, PROFUNDIDADE = 1,40 M, EXCLUINDO TAMPÃO. AF_12/2020</t>
  </si>
  <si>
    <t>BASE PARA POÇO DE VISITA RETANGULAR PARA DRENAGEM, EM ALVENARIA COM BLOCOS DE CONCRETO, DIMENSÕES INTERNAS = 3X4 M, PROFUNDIDADE = 1,40 M, EXCLUINDO TAMPÃO. AF_12/2020</t>
  </si>
  <si>
    <t>BASE PARA POÇO DE VISITA RETANGULAR PARA DRENAGEM, EM ALVENARIA COM BLOCOS DE CONCRETO, DIMENSÕES INTERNAS = 4X4 M, PROFUNDIDADE = 1,40 M, EXCLUINDO TAMPÃO. AF_12/2020</t>
  </si>
  <si>
    <t>BASE PARA POÇO DE VISITA RETANGULAR PARA ESGOTO, EM ALVENARIA COM BLOCOS DE CONCRETO, DIMENSÕES INTERNAS = 1,5X1,5 M, PROFUNDIDADE = 1,45 M, EXCLUINDO TAMPÃO . AF_12/2020</t>
  </si>
  <si>
    <t>BASE PARA POÇO DE VISITA RETANGULAR PARA ESGOTO, EM ALVENARIA COM BLOCOS DE CONCRETO, DIMENSÕES INTERNAS = 1,5X2 M, PROFUNDIDADE = 1,40 M, EXCLUINDO TAMPÃO. AF_12/2020</t>
  </si>
  <si>
    <t>BASE PARA POÇO DE VISITA RETANGULAR PARA ESGOTO, EM ALVENARIA COM BLOCOS DE CONCRETO, DIMENSÕES INTERNAS = 1,5X2,5 M, PROFUNDIDADE = 1,40 M, EXCLUINDO TAMPÃO. AF_12/2020</t>
  </si>
  <si>
    <t>BASE PARA POÇO DE VISITA RETANGULAR PARA ESGOTO, EM ALVENARIA COM BLOCOS DE CONCRETO, DIMENSÕES INTERNAS = 1,5X3 M, PROFUNDIDADE = 1,40 M, EXCLUINDO TAMPÃO. AF_12/2020</t>
  </si>
  <si>
    <t>BASE PARA POÇO DE VISITA RETANGULAR PARA ESGOTO, EM ALVENARIA COM BLOCOS DE CONCRETO, DIMENSÕES INTERNAS = 1,5X3,5 M, PROFUNDIDADE = 1,40 M, EXCLUINDO TAMPÃO. AF_12/2020</t>
  </si>
  <si>
    <t>BASE PARA POÇO DE VISITA RETANGULAR PARA ESGOTO, EM ALVENARIA COM BLOCOS DE CONCRETO, DIMENSÕES INTERNAS = 1,5X4 M, PROFUNDIDADE = 1,40 M, EXCLUINDO TAMPÃO. AF_12/2020</t>
  </si>
  <si>
    <t>BASE PARA POÇO DE VISITA RETANGULAR PARA ESGOTO, EM ALVENARIA COM BLOCOS DE CONCRETO, DIMENSÕES INTERNAS = 1X1,5 M, PROFUNDIDADE = 1,40 M, EXCLUINDO TAMPÃO. AF_12/2020</t>
  </si>
  <si>
    <t>BASE PARA POÇO DE VISITA RETANGULAR PARA ESGOTO, EM ALVENARIA COM BLOCOS DE CONCRETO, DIMENSÕES INTERNAS = 1X2 M, PROFUNDIDADE = 1,40 M, EXCLUINDO TAMPÃO. AF_12/2020</t>
  </si>
  <si>
    <t>BASE PARA POÇO DE VISITA RETANGULAR PARA ESGOTO, EM ALVENARIA COM BLOCOS DE CONCRETO, DIMENSÕES INTERNAS = 1X2,5 M, PROFUNDIDADE = 1,40 M, EXCLUINDO TAMPÃO. AF_12/2020</t>
  </si>
  <si>
    <t>BASE PARA POÇO DE VISITA RETANGULAR PARA ESGOTO, EM ALVENARIA COM BLOCOS DE CONCRETO, DIMENSÕES INTERNAS = 1X3 M, PROFUNDIDADE = 1,40 M, EXCLUINDO TAMPÃO. AF_12/2020</t>
  </si>
  <si>
    <t>BASE PARA POÇO DE VISITA RETANGULAR PARA ESGOTO, EM ALVENARIA COM BLOCOS DE CONCRETO, DIMENSÕES INTERNAS = 1X3,5 M, PROFUNDIDADE = 1,40 M, EXCLUINDO TAMPÃO. AF_12/2020</t>
  </si>
  <si>
    <t>BASE PARA POÇO DE VISITA RETANGULAR PARA ESGOTO, EM ALVENARIA COM BLOCOS DE CONCRETO, DIMENSÕES INTERNAS = 1X4 M, PROFUNDIDADE = 1,40 M, EXCLUINDO TAMPÃO. AF_12/2020</t>
  </si>
  <si>
    <t>BASE PARA POÇO DE VISITA RETANGULAR PARA ESGOTO, EM ALVENARIA COM BLOCOS DE CONCRETO, DIMENSÕES INTERNAS = 2,5X2,5 M, PROFUNDIDADE = 1,40 M, EXCLUINDO TAMPÃO. AF_12/2020</t>
  </si>
  <si>
    <t>BASE PARA POÇO DE VISITA RETANGULAR PARA ESGOTO, EM ALVENARIA COM BLOCOS DE CONCRETO, DIMENSÕES INTERNAS = 2,5X3 M, PROFUNDIDADE = 1,40 M, EXCLUINDO TAMPÃO. AF_12/2020</t>
  </si>
  <si>
    <t>BASE PARA POÇO DE VISITA RETANGULAR PARA ESGOTO, EM ALVENARIA COM BLOCOS DE CONCRETO, DIMENSÕES INTERNAS = 2,5X3,5 M, PROFUNDIDADE = 1,40 M, EXCLUINDO TAMPÃO. AF_12/2020</t>
  </si>
  <si>
    <t>BASE PARA POÇO DE VISITA RETANGULAR PARA ESGOTO, EM ALVENARIA COM BLOCOS DE CONCRETO, DIMENSÕES INTERNAS = 2,5X4 M, PROFUNDIDADE = 1,40 M, EXCLUINDO TAMPÃO. AF_12/2020</t>
  </si>
  <si>
    <t>BASE PARA POÇO DE VISITA RETANGULAR PARA ESGOTO, EM ALVENARIA COM BLOCOS DE CONCRETO, DIMENSÕES INTERNAS = 2X2 M, PROFUNDIDADE = 1,40 M, EXCLUINDO TAMPÃO. AF_12/2020</t>
  </si>
  <si>
    <t>BASE PARA POÇO DE VISITA RETANGULAR PARA ESGOTO, EM ALVENARIA COM BLOCOS DE CONCRETO, DIMENSÕES INTERNAS = 2X2,5 M, PROFUNDIDADE = 1,40 M, EXCLUINDO TAMPÃO. AF_12/2020</t>
  </si>
  <si>
    <t>BASE PARA POÇO DE VISITA RETANGULAR PARA ESGOTO, EM ALVENARIA COM BLOCOS DE CONCRETO, DIMENSÕES INTERNAS = 2X3 M, PROFUNDIDADE = 1,40 M, EXCLUINDO TAMPÃO. AF_12/2020</t>
  </si>
  <si>
    <t>BASE PARA POÇO DE VISITA RETANGULAR PARA ESGOTO, EM ALVENARIA COM BLOCOS DE CONCRETO, DIMENSÕES INTERNAS = 2X3,5 M, PROFUNDIDADE = 1,40 M, EXCLUINDO TAMPÃO. AF_12/2020</t>
  </si>
  <si>
    <t>BASE PARA POÇO DE VISITA RETANGULAR PARA ESGOTO, EM ALVENARIA COM BLOCOS DE CONCRETO, DIMENSÕES INTERNAS = 2X4 M, PROFUNDIDADE = 1,40 M, EXCLUINDO TAMPÃO. AF_12/2020</t>
  </si>
  <si>
    <t>BASE PARA POÇO DE VISITA RETANGULAR PARA ESGOTO, EM ALVENARIA COM BLOCOS DE CONCRETO, DIMENSÕES INTERNAS = 3,5X3,5 M, PROFUNDIDADE = 1,40 M, EXCLUINDO TAMPÃO. AF_12/2020</t>
  </si>
  <si>
    <t>BASE PARA POÇO DE VISITA RETANGULAR PARA ESGOTO, EM ALVENARIA COM BLOCOS DE CONCRETO, DIMENSÕES INTERNAS = 3,5X4 M, PROFUNDIDADE = 1,40 M, EXCLUINDO TAMPÃO. AF_12/2020</t>
  </si>
  <si>
    <t>BASE PARA POÇO DE VISITA RETANGULAR PARA ESGOTO, EM ALVENARIA COM BLOCOS DE CONCRETO, DIMENSÕES INTERNAS = 3X3 M, PROFUNDIDADE = 1,40 M, EXCLUINDO TAMPÃO. AF_12/2020</t>
  </si>
  <si>
    <t>BASE PARA POÇO DE VISITA RETANGULAR PARA ESGOTO, EM ALVENARIA COM BLOCOS DE CONCRETO, DIMENSÕES INTERNAS = 3X3,5 M, PROFUNDIDADE = 1,40 M, EXCLUINDO TAMPÃO. AF_12/2020</t>
  </si>
  <si>
    <t>BASE PARA POÇO DE VISITA RETANGULAR PARA ESGOTO, EM ALVENARIA COM BLOCOS DE CONCRETO, DIMENSÕES INTERNAS = 3X4 M, PROFUNDIDADE = 1,40 M, EXCLUINDO TAMPÃO. AF_12/2020</t>
  </si>
  <si>
    <t>BASE PARA POÇO DE VISITA RETANGULAR PARA ESGOTO, EM ALVENARIA COM BLOCOS DE CONCRETO, DIMENSÕES INTERNAS = 4X4 M, PROFUNDIDADE = 1,45 M, EXCLUINDO TAMPÃO. AF_12/2020</t>
  </si>
  <si>
    <t>POÇO DE INSPEÇÃO CIRCULAR PARA DRENAGEM, EM ALVENARIA COM TIJOLOS CERÂMICOS MACIÇOS, DIÂMETRO INTERNO = 0,60 M, PROFUNDIDADE = 0,95 M, EXCLUINDO TAMPÃO. AF_12/2020</t>
  </si>
  <si>
    <t>POÇO DE INSPEÇÃO CIRCULAR PARA DRENAGEM, EM ALVENARIA COM TIJOLOS CERÂMICOS MACIÇOS, DIÂMETRO INTERNO = 0,60 M, PROFUNDIDADE = 1,45 M, EXCLUINDO TAMPÃO. AF_12/2020</t>
  </si>
  <si>
    <t>POÇO DE INSPEÇÃO CIRCULAR PARA DRENAGEM, EM CONCRETO PRÉ-MOLDADO, DIÂMETRO INTERNO = 0,60 M, PROFUNDIDADE = 0,90 M, EXCLUINDO TAMPÃO. AF_12/2020</t>
  </si>
  <si>
    <t>POÇO DE INSPEÇÃO CIRCULAR PARA DRENAGEM, EM CONCRETO PRÉ-MOLDADO, DIÂMETRO INTERNO = 0,60 M, PROFUNDIDADE = 1,40 M, EXCLUINDO TAMPÃO. AF_12/2020</t>
  </si>
  <si>
    <t>POÇO DE INSPEÇÃO CIRCULAR PARA ESGOTO, EM ALVENARIA COM TIJOLOS CERÂMICOS MACIÇOS, DIÂMETRO INTERNO = 0,60 M, PROFUNDIDADE = 0,95 M, EXCLUINDO TAMPÃO. AF_12/2020</t>
  </si>
  <si>
    <t>POÇO DE INSPEÇÃO CIRCULAR PARA ESGOTO, EM ALVENARIA COM TIJOLOS CERÂMICOS MACIÇOS, DIÂMETRO INTERNO = 0,60 M, PROFUNDIDADE = 1,45 M, EXCLUINDO TAMPÃO. AF_12/2020</t>
  </si>
  <si>
    <t>POÇO DE INSPEÇÃO CIRCULAR PARA ESGOTO, EM CONCRETO PRÉ-MOLDADO, DIÂMETRO INTERNO = 0,60 M, PROFUNDIDADE = 0,90 M, EXCLUINDO TAMPÃO. AF_12/2020</t>
  </si>
  <si>
    <t>POÇO DE INSPEÇÃO CIRCULAR PARA ESGOTO, EM CONCRETO PRÉ-MOLDADO, DIÂMETRO INTERNO = 0,60 M, PROFUNDIDADE = 1,40 M, EXCLUINDO TAMPÃO. AF_12/2020</t>
  </si>
  <si>
    <t>TUBULÃO A CÉU ABERTO, DIÂMETRO DO FUSTE DE 100CM, ESCAVAÇÃO MANUAL, SEM ALARGAMENTO DE BASE, CONCRETO FEITO EM OBRA E LANÇADO COM JERICA. AF_05/2020</t>
  </si>
  <si>
    <t>TUBULÃO A CÉU ABERTO, DIÂMETRO DO FUSTE DE 100CM, ESCAVAÇÃO MANUAL, SEM ALARGAMENTO DE BASE, CONCRETO USINADO E LANÇADO COM BOMBA OU DIRETAMENTE DO CAMINHÃO (EXCLUSIVE BOMBEAMENTO). AF_05/2020</t>
  </si>
  <si>
    <t>TUBULÃO A CÉU ABERTO, DIÂMETRO DO FUSTE DE 100CM, ESCAVAÇÃO MECÂNICA, SEM ALARGAMENTO DE BASE, CONCRETO FEITO EM OBRA E LANÇADO COM JERICA (EXCLUSIVE MOBILIZAÇÃO E DESMOBILIZAÇÃO). AF_05/2020</t>
  </si>
  <si>
    <t>TUBULÃO A CÉU ABERTO, DIÂMETRO DO FUSTE DE 100CM, ESCAVAÇÃO MECÂNICA, SEM ALARGAMENTO DE BASE, CONCRETO USINADO E LANÇADO COM BOMBA OU DIRETAMENTE DO CAMINHÃO (EXCLUSIVE BOMBEAMENTO, MOBILIZAÇÃO E DESMOBILIZAÇÃO). AF_05/2020</t>
  </si>
  <si>
    <t>TUBULÃO A CÉU ABERTO, DIÂMETRO DO FUSTE DE 120CM, ESCAVAÇÃO MANUAL, SEM ALARGAMENTO DE BASE, CONCRETO FEITO EM OBRA E LANÇADO COM JERICA. AF_05/2020</t>
  </si>
  <si>
    <t>TUBULÃO A CÉU ABERTO, DIÂMETRO DO FUSTE DE 120CM, ESCAVAÇÃO MANUAL, SEM ALARGAMENTO DE BASE, CONCRETO USINADO E LANÇADO COM BOMBA OU DIRETAMENTE DO CAMINHÃO (EXCLUSIVE BOMBEAMENTO). AF_05/2020</t>
  </si>
  <si>
    <t>TUBULÃO A CÉU ABERTO, DIÂMETRO DO FUSTE DE 120CM, ESCAVAÇÃO MECÂNICA, SEM ALARGAMENTO DE BASE, CONCRETO FEITO EM OBRA E LANÇADO COM JERICA (EXCLUSIVE MOBILIZAÇÃO E DESMOBILIZAÇÃO). AF_05/2020</t>
  </si>
  <si>
    <t>TUBULÃO A CÉU ABERTO, DIÂMETRO DO FUSTE DE 120CM, ESCAVAÇÃO MECÂNICA, SEM ALARGAMENTO DE BASE, CONCRETO USINADO E LANÇADO COM BOMBA OU DIRETAMENTE DO CAMINHÃO (EXCLUSIVE BOMBEAMENTO, MOBILIZAÇÃO E DESMOBILIZAÇÃO). AF_05/2020</t>
  </si>
  <si>
    <t>TUBULÃO A CÉU ABERTO, DIÂMETRO DO FUSTE DE 70CM, ESCAVAÇÃO MANUAL, SEM ALARGAMENTO DE BASE, CONCRETO FEITO EM OBRA E LANÇADO COM JERICA. AF_05/2020</t>
  </si>
  <si>
    <t>TUBULÃO A CÉU ABERTO, DIÂMETRO DO FUSTE DE 70CM, ESCAVAÇÃO MANUAL, SEM ALARGAMENTO DE BASE, CONCRETO USINADO E LANÇADO COM BOMBA OU DIRETAMENTE DO CAMINHÃO (EXCLUSIVE BOMBEAMENTO). AF_05/2020</t>
  </si>
  <si>
    <t>TUBULÃO A CÉU ABERTO, DIÂMETRO DO FUSTE DE 70CM, ESCAVAÇÃO MECÂNICA, SEM ALARGAMENTO DE BASE, CONCRETO FEITO EM OBRA E LANÇADO COM JERICA. AF_05/2020</t>
  </si>
  <si>
    <t>TUBULÃO A CÉU ABERTO, DIÂMETRO DO FUSTE DE 70CM, ESCAVAÇÃO MECÂNICA, SEM ALARGAMENTO DE BASE, CONCRETO USINADO E LANÇADO COM BOMBA OU DIRETAMENTE DO CAMINHÃO (EXCLUSIVE BOMBEAMENTO, MOBILIZAÇÃO E DESMOBILIZAÇÃO). AF_05/2020</t>
  </si>
  <si>
    <t>TUBULÃO A CÉU ABERTO, DIÂMETRO DO FUSTE DE 80CM, ESCAVAÇÃO MANUAL, SEM ALARGAMENTO DE BASE, CONCRETO FEITO EM OBRA E LANÇADO COM JERICA. AF_05/2020</t>
  </si>
  <si>
    <t>TUBULÃO A CÉU ABERTO, DIÂMETRO DO FUSTE DE 80CM, ESCAVAÇÃO MANUAL, SEM ALARGAMENTO DE BASE, CONCRETO USINADO E LANÇADO COM BOMBA OU DIRETAMENTE DO CAMINHÃO (EXCLUSIVE BOMBEAMENTO). AF_05/2020</t>
  </si>
  <si>
    <t>TUBULÃO A CÉU ABERTO, DIÂMETRO DO FUSTE DE 80CM, ESCAVAÇÃO MECÂNICA, SEM ALARGAMENTO DE BASE, CONCRETO FEITO EM OBRA E LANÇADO COM JERICA (EXCLUSIVE MOBILIZAÇÃO E DESMOBILIZAÇÃO). AF_05/2020</t>
  </si>
  <si>
    <t>TUBULÃO A CÉU ABERTO, DIÂMETRO DO FUSTE DE 80CM, ESCAVAÇÃO MECÂNICA, SEM ALARGAMENTO DE BASE, CONCRETO USINADO E LANÇADO COM BOMBA OU DIRETAMENTE DO CAMINHÃO (EXCLUSIVE BOMBEAMENTO, MOBILIZAÇÃO E DESMOBILIZAÇÃO). AF_05/2020</t>
  </si>
  <si>
    <t>UNIAO COM ASSENTO CONICO DE BRONZE, DIAMETRO 2"</t>
  </si>
  <si>
    <t>UNIAO COM ASSENTO CONICO DE FERRO LONGO (MACHO-FEMEA), DIAMETRO 3"</t>
  </si>
  <si>
    <t>16.10</t>
  </si>
  <si>
    <t>COMP. 22</t>
  </si>
  <si>
    <t>CAIXA DE EMBUTIR PVC - 4X2 RETANGULAR - FORNECIMENTO E INSTALAÇÃO</t>
  </si>
  <si>
    <t>6.2.11</t>
  </si>
  <si>
    <t>6.1.12</t>
  </si>
  <si>
    <t>6.1.13</t>
  </si>
  <si>
    <t>TABELA SINAPI 06/2025 DESONERADA</t>
  </si>
  <si>
    <t>DATA REFERÊNCIA TÉCNICA: 06/2025</t>
  </si>
  <si>
    <t>ENCARGOS SOCIAIS SOBRE A MÃO DE OBRA - SINAPI 06/2025</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</si>
  <si>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</si>
  <si>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</si>
  <si>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</si>
  <si>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</si>
  <si>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</si>
  <si>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</si>
  <si>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</si>
  <si>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</si>
  <si>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VEDAÇÃO DE BLOCOS VAZADOS DE CONCRETO DE 14X19X39 CM (ESPESSURA 14 CM) E ARGAMASSA DE ASSENTAMENTO COM PREPARO EM BETONEIRA. AF_12/2021</t>
  </si>
  <si>
    <t>ALVENARIA DE VEDAÇÃO DE BLOCO DE SOLO-CIMENTO (TIJOLO ECOLÓGICO) DE 7X15X30CM (ESPESSURA 15CM). AF_05/2020</t>
  </si>
  <si>
    <t>ARGAMASSA TRAÇO 1:0,5:4,5 (EM VOLUME DE CIMENTO, CAL E AREIA MÉDIA ÚMIDA), PREPARO MECÂNICO COM BETONEIRA 250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</si>
  <si>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</si>
  <si>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</si>
  <si>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</si>
  <si>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BETONEIRA 250 L. AF_08/2019</t>
  </si>
  <si>
    <t>ARRASAMENTO MECÂNICO DE ESTACA METÁLICA, PERFIL LAMINADO TIPO H - FAMÍLIA 250. AF_05/2021</t>
  </si>
  <si>
    <t>ARRASAMENTO MECÂNICO DE ESTACA METÁLICA, PERFIL LAMINADO TIPO H - FAMÍLIA 310. AF_05/2021</t>
  </si>
  <si>
    <t>ARRASAMENTO MECÂNICO DE ESTACA METÁLICA, PERFIL LAMINADO TIPO I FAMÍLIA 250. AF_05/2021</t>
  </si>
  <si>
    <t>ASSENTAMENTO DE TUBO DE PEAD CORRUGADO DE DUPLA PAREDE PARA REDE COLETORA DE ESGOTO, DN 300 MM, JUNTA ELÁSTICA INTEGRADA (NÃO INCLUI FORNECIMENTO). AF_01/2021</t>
  </si>
  <si>
    <t>ASSENTAMENTO DE TUBO DE PEAD CORRUGADO DE DUPLA PAREDE PARA REDE COLETORA DE ESGOTO, DN 800 MM, JUNTA ELÁSTICA INTEGRADA (NÃO INCLUI FORNECIMENTO). AF_01/2021</t>
  </si>
  <si>
    <t>ASSENTAMENTO DE TUBO DE PVC CORRUGADO DE DUPLA PAREDE PARA REDE COLETORA DE ESGOTO, DN 400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</si>
  <si>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</si>
  <si>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300 MM, JUNTA ELÁSTICA (NÃO INCLUI FORNECIMENTO). AF_01/2021</t>
  </si>
  <si>
    <t>TUBO DE PVC PARA REDE COLETORA DE ESGOTO DE PAREDE MACIÇA, DN 150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</si>
  <si>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</si>
  <si>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</si>
  <si>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</si>
  <si>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</si>
  <si>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REATERRO MECANIZADO DE VALA COM RETROESCAVADEIRA (CAPACIDADE DA CAÇAMBA DA RETRO: 0,26 M³/POTÊNCIA: 88 HP), LARGURA 0,8 A 1,5 M, PROFUNDIDADE 1,5 A 3,0 M, COM SOLO (SEM SUBSTITUIÇÃO) DE 1ª CATEGORIA E COMPACTADOR DE SOLOS DE PERCUSSÃO. AF_08/2023</t>
  </si>
  <si>
    <t>REATERRO MECANIZADO DE VALA COM RETROESCAVADEIRA (CAPACIDADE DA CAÇAMBA DA RETRO: 0,26 M³/POTÊNCIA: 88 HP), LARGURA 0,8 A 1,5 M, PROFUNDIDADE ATÉ 1,5 M, COM SOLO (SEM SUBSTITUIÇÃO) DE 1ª CATEGORIA, COM COMPACTADOR DE SOLOS DE PERCUSSÃO AF_08/2023</t>
  </si>
  <si>
    <t>REATERRO MECANIZADO DE VALA COM RETROESCAVADEIRA (CAPACIDADE DA CAÇAMBA DA RETRO: 0,26 M³/POTÊNCIA: 88 HP), LARGURA ATÉ 0,8 M, PROFUNDIDADE 1,5 A 3,0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</si>
  <si>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</si>
  <si>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PLACA VIBRATÓRIA. AF_08/2023</t>
  </si>
  <si>
    <t>REATERRO MECANIZADO DE VALA COM RETROESCAVADEIRA (CAPACIDADE DA CAÇAMBA DA RETRO: 0,26 M³/POTÊNCIA: 88 HP), LARGURA ATÉ 0,8 M, PROFUNDIDADE DE 1,5 A 3,0 M, COM SOLO (SEM SUBSTITUIÇÃO) DE 1ª CATEGORIA, COM PLACA VIBRATÓRIA. AF_08/2023</t>
  </si>
  <si>
    <t>REATERRO MECANIZADO DE VALA COM RETROESCAVADEIRA (CAPACIDADE DA CAÇAMBA DA RETRO: 0,26 M³/POTÊNCIA: 88 HP), LARGURA DE 0,8 A 1,5 M, PROFUNDIDADE ATÉ 1,5 M, COM SOLO (SEM SUBSTITUIÇÃO) DE 1ª CATEGORIA, COM PLACA VIBRATÓRIA. AF_08/2023</t>
  </si>
  <si>
    <t>REATERRO MECANIZADO DE VALA COM RETROESCAVADEIRA (CAPACIDADE DA CAÇAMBA DA RETRO: 0,26 M³/POTÊNCIA: 88 HP), LARGURA DE 0,8 A 1,5 M, PROFUNDIDADE DE 1,5 A 3,0 M, COM SOLO (SEM SUBSTITUIÇÃO) DE 1ª CATEGORIA, COM PLACA VIBRATÓRIA. AF_08/2023</t>
  </si>
  <si>
    <t>CAIXA COM GRELHA RETANGULAR DE FERRO FUNDIDO, EM ALVENARIA COM TIJOLOS CERÂMICOS MACIÇOS, DIMENSÕES INTERNAS: 0,15 X 1,00 X 0,3 M. AF_05/2025</t>
  </si>
  <si>
    <t>CAIXA COM GRELHA RETANGULAR DE FERRO FUNDIDO, EM ALVENARIA COM TIJOLOS CERÂMICOS MACIÇOS, DIMENSÕES INTERNAS: 0,20 X 1,00 X 0,4 M. AF_05/2025</t>
  </si>
  <si>
    <t>CAIXA COM GRELHA RETANGULAR DE FERRO FUNDIDO, EM ALVENARIA COM TIJOLOS CERÂMICOS MACIÇOS, DIMENSÕES INTERNAS: 0,30 X 1,00 X 0,5 M. AF_05/2025</t>
  </si>
  <si>
    <t>CANALETA DE CONCRETO POLIMÉRICO COM GRELHA, LARGURA DE 13 CM - FORNECIMENTO E INSTALAÇÃO. AF_05/2025</t>
  </si>
  <si>
    <t>CANALETA MEIA CANA PRÉ-MOLDADA DE CONCRETO (D = 20 CM) - FORNECIMENTO E INSTALAÇÃO. AF_05/2025</t>
  </si>
  <si>
    <t>CANALETA MEIA CANA PRÉ-MOLDADA DE CONCRETO (D = 30 CM) - FORNECIMENTO E INSTALAÇÃO. AF_05/2025</t>
  </si>
  <si>
    <t>CANALETA MEIA CANA PRÉ-MOLDADA DE CONCRETO (D = 40 CM) - FORNECIMENTO E INSTALAÇÃO. AF_05/2025</t>
  </si>
  <si>
    <t>CANALETA MEIA CANA PRÉ-MOLDADA DE CONCRETO (D = 50 CM) - FORNECIMENTO E INSTALAÇÃO. AF_05/2025</t>
  </si>
  <si>
    <t>CANALETA MEIA CANA PRÉ-MOLDADA DE CONCRETO (D = 60 CM) - FORNECIMENTO E INSTALAÇÃO. AF_05/2025</t>
  </si>
  <si>
    <t>CANALETA MEIA CANA PRÉ-MOLDADA DE CONCRETO (D = 80 CM) - FORNECIMENTO E INSTALAÇÃO. AF_05/2025</t>
  </si>
  <si>
    <t>CANALETA PRÉ-MOLDADA DE CONCRETO, COM GRELHA PERFURADA DE CONCRETO, GEOMETRIA RETANGULAR, COM DIMENSÕES INTERNAS: L=0,20 M; H=0,20 M; C=*0,60* M - FORNECIMENTO E INSTALAÇÃO. AF_05/2025</t>
  </si>
  <si>
    <t>CONCRETAGEM DE VALETA/ CANALETA MOLDADA IN LOCO. AF_05/2025</t>
  </si>
  <si>
    <t>EXECUÇÃO DE CANALETA DE CONCRETO ARMADO MOLDADA IN LOCO, ESPESSURA DE 0,1 M, GEOMETRIA QUADRADA, COM DIMENSÕES INTERNAS: L=0,20 M; H=0,20 M. AF_05/2025</t>
  </si>
  <si>
    <t>EXECUÇÃO DE CANALETA DE CONCRETO ARMADO MOLDADA IN LOCO, ESPESSURA DE 0,1 M, GEOMETRIA QUADRADA, COM DIMENSÕES INTERNAS: L=0,25 M; H=0,25 M. AF_05/2025</t>
  </si>
  <si>
    <t>EXECUÇÃO DE CANALETA DE CONCRETO ARMADO MOLDADA IN LOCO, ESPESSURA DE 0,1 M, GEOMETRIA QUADRADA, COM DIMENSÕES INTERNAS: L=0,30 M; H=0,30 M. AF_05/2025</t>
  </si>
  <si>
    <t>EXECUÇÃO DE CANALETA DE CONCRETO ARMADO MOLDADA IN LOCO, ESPESSURA DE 0,1 M, GEOMETRIA QUADRADA, COM DIMENSÕES INTERNAS: L=0,35 M; H=0,35 M. AF_05/2025</t>
  </si>
  <si>
    <t>EXECUÇÃO DE CANALETA DE CONCRETO ARMADO MOLDADA IN LOCO, ESPESSURA DE 0,1 M, GEOMETRIA QUADRADA, COM DIMENSÕES INTERNAS: L=0,40 M; H=0,40 M. AF_05/2025</t>
  </si>
  <si>
    <t>EXECUÇÃO DE CANALETA DE CONCRETO ARMADO MOLDADA IN LOCO, ESPESSURA DE 0,1 M, GEOMETRIA QUADRADA, COM DIMENSÕES INTERNAS: L=0,50 M; H=0,50 M. AF_05/2025</t>
  </si>
  <si>
    <t>EXECUÇÃO DE CANALETA DE CONCRETO ARMADO MOLDADA IN LOCO, ESPESSURA DE 0,1 M, GEOMETRIA QUADRADA, COM DIMENSÕES INTERNAS: L=0,60 M; H=0,60 M. AF_05/2025</t>
  </si>
  <si>
    <t>EXECUÇÃO DE CANALETA DE CONCRETO MOLDADO IN LOCO, COM GRELHA DE CONCRETO; ESPESSURA DE 0,15 M, GEOMETRIA RETANGULAR, COM DIMENSÕES INTERNAS: L=0,4 M; H=*0,3*M. AF_05/2025</t>
  </si>
  <si>
    <t>EXECUÇÃO DE CANALETA DE CONCRETO MOLDADO IN LOCO, COM GRELHA DE CONCRETO; ESPESSURA DE 0,15 M, GEOMETRIA RETANGULAR, COM DIMENSÕES INTERNAS: L=0,60 M; H=0,50 M. AF_05/2025</t>
  </si>
  <si>
    <t>EXECUÇÃO DE CANALETA DE CONCRETO MOLDADO IN LOCO, COM GRELHA DE CONCRETO; ESPESSURA DE 0,15 M, GEOMETRIA RETANGULAR, COM DIMENSÕES INTERNAS:L=*0,6* M; H=* 0,3* M. AF_05/2025</t>
  </si>
  <si>
    <t>EXECUÇÃO DE CANALETA DE CONCRETO MOLDADO IN LOCO, COM GRELHA DE CONCRETO; ESPESSURA DE 0,20 M, GEOMETRIA RETANGULAR, COM DIMENSÕES INTERNAS: L=0,80 M; H=0,30 M. AF_05/2025</t>
  </si>
  <si>
    <t>EXECUÇÃO DE CANALETA DE CONCRETO MOLDADO IN LOCO, COM GRELHA DE CONCRETO; ESPESSURA DE 0,20 M, GEOMETRIA RETANGULAR, COM DIMENSÕES INTERNAS: L=0,80 M; H=0,60 M. AF_05/2025</t>
  </si>
  <si>
    <t>EXECUÇÃO DE CANALETA DE CONCRETO MOLDADO IN LOCO, COM GRELHA DE CONCRETO; ESPESSURA DE 0,20 M, GEOMETRIA RETANGULAR, COM DIMENSÕES INTERNAS: L=0,80 M; H=0,90 M. AF_05/2025</t>
  </si>
  <si>
    <t>EXECUÇÃO DE VALETA DE CONCRETO ARMADO MOLDADO IN LOCO, ESPESSURA DE 0,08 M, GEOMETRIA TRAPEIZOIDAL, COM DIMENSÕES INTERNAS: B=*1,20* M; B=*0,4* M; H=0,4 M. AF_05/2025</t>
  </si>
  <si>
    <t>EXECUÇÃO DE VALETA DE CONCRETO ARMADO MOLDADO IN LOCO, ESPESSURA DE 0,08 M, GEOMETRIA TRAPEIZOIDAL, COM DIMENSÕES INTERNAS: B=0,6 M; B=0,20 M; H=0,20 M. AF_05/2025</t>
  </si>
  <si>
    <t>EXECUÇÃO DE VALETA DE CONCRETO ARMADO MOLDADO IN LOCO, ESPESSURA DE 0,08 M, GEOMETRIA TRAPEIZOIDAL, COM DIMENSÕES INTERNAS: B=0,7 M; B=0,30 M; H=0,20 M. AF_05/2025</t>
  </si>
  <si>
    <t>EXECUÇÃO DE VALETA DE CONCRETO ARMADO MOLDADO IN LOCO, ESPESSURA DE 0,08 M, GEOMETRIA TRAPEIZOIDAL, COM DIMENSÕES INTERNAS: B=0,8 M; B=0,30 M; H=0,25 M. AF_05/2025</t>
  </si>
  <si>
    <t>EXECUÇÃO DE VALETA DE CONCRETO ARMADO MOLDADO IN LOCO, ESPESSURA DE 0,08 M, GEOMETRIA TRAPEIZOIDAL, COM DIMENSÕES INTERNAS: B=0,9 M; B=0,30 M; H=0,30 M. AF_05/2025</t>
  </si>
  <si>
    <t>EXECUÇÃO DE VALETA DE CONCRETO ARMADO MOLDADO IN LOCO, ESPESSURA DE 0,08 M, GEOMETRIA TRAPEIZOIDAL, COM DIMENSÕES INTERNAS: B=1,0 M; B=0,40 M; H=0,30 M. AF_05/2025</t>
  </si>
  <si>
    <t>EXECUÇÃO DE VALETA DE CONCRETO ARMADO MOLDADO IN LOCO, ESPESSURA DE 0,08 M, GEOMETRIA TRAPEIZOIDAL, COM DIMENSÕES INTERNAS: B=1,1 M; B=0,40 M; H=0,35 M. AF_05/2025</t>
  </si>
  <si>
    <t>EXECUÇÃO DE VALETA DE CONCRETO MOLDADO IN LOCO, ESPESSURA DE 0,08 M, GEOMETRIA TRAPEIZOIDAL, COM DIMENSÕES INTERNAS: B=*1,0* M; B=0,40 M; H=*0,30* M. AF_05/2025</t>
  </si>
  <si>
    <t>EXECUÇÃO DE VALETA DE CONCRETO MOLDADO IN LOCO, ESPESSURA DE 0,08 M, GEOMETRIA TRAPEIZOIDAL, COM DIMENSÕES INTERNAS: B=*1,2* M; B=*0,4* M; H= 0,4 M. AF_05/2025</t>
  </si>
  <si>
    <t>EXECUÇÃO DE VALETA DE CONCRETO MOLDADO IN LOCO, ESPESSURA DE 0,08 M, GEOMETRIA TRAPEIZOIDAL, COM DIMENSÕES INTERNAS: B=*1,5* M; B=*0,50* M; H=*0,50* M. AF_05/2025</t>
  </si>
  <si>
    <t>EXECUÇÃO DE VALETA DE CONCRETO MOLDADO IN LOCO, ESPESSURA DE 0,08 M, GEOMETRIA TRAPEIZOIDAL, COM DIMENSÕES INTERNAS: B=*1,8* M; B=*0,60* M; H=*0,6* M. AF_05/2025</t>
  </si>
  <si>
    <t>EXECUÇÃO DE VALETA DE CONCRETO MOLDADO IN LOCO, ESPESSURA DE 0,08 M, GEOMETRIA TRAPEIZOIDAL, COM DIMENSÕES INTERNAS: B=*2,0* M; B=*0,8* M; H=0,6 M. AF_05/2025</t>
  </si>
  <si>
    <t>EXECUÇÃO DE VALETA DE CONCRETO MOLDADO IN LOCO, ESPESSURA DE 0,08 M, GEOMETRIA TRAPEIZOIDAL, COM DIMENSÕES INTERNAS: B=0,6M; B=0,20 M; H=0,20 M. AF_05/2025</t>
  </si>
  <si>
    <t>EXECUÇÃO DE VALETA DE CONCRETO MOLDADO IN LOCO, ESPESSURA DE 0,08 M, GEOMETRIA TRAPEIZOIDAL, COM DIMENSÕES INTERNAS: B=0,7 M; B=0,30 M; H=0,20 M. AF_05/2025</t>
  </si>
  <si>
    <t>EXECUÇÃO DE VALETA DE CONCRETO MOLDADO IN LOCO, ESPESSURA DE 0,08 M, GEOMETRIA TRAPEIZOIDAL, COM DIMENSÕES INTERNAS: B=0,8 M; B=0,30 M; H=0,25 M. AF_05/2025</t>
  </si>
  <si>
    <t>EXECUÇÃO DE VALETA DE CONCRETO MOLDADO IN LOCO, ESPESSURA DE 0,08 M, GEOMETRIA TRAPEIZOIDAL, COM DIMENSÕES INTERNAS: B=0,9 M; B=0,30 M; H=0,30 M. AF_05/2025</t>
  </si>
  <si>
    <t>EXECUÇÃO DE VALETA DE CONCRETO MOLDADO IN LOCO, ESPESSURA DE 0,08 M, GEOMETRIA TRAPEIZOIDAL, COM DIMENSÕES INTERNAS: B=1,2 M; B=0,6 M; H=0,3 M. AF_05/2025</t>
  </si>
  <si>
    <t>EXECUÇÃO DE VALETA DE CONCRETO MOLDADO IN LOCO, ESPESSURA DE 0,08 M, GEOMETRIA TRAPEIZOIDAL, COM DIMENSÕES INTERNAS: B=1,6 M; B=1,0 M; H=0,3 M. AF_05/2025</t>
  </si>
  <si>
    <t>GRELHA ARTICULADA PARA CALHA DE PISO 20X50 CM - FORNECIMENTO E INSTALAÇÃO. AF_05/2025</t>
  </si>
  <si>
    <t>GRELHA DE FERRO FUNDIDO SIMPLES COM REQUADRO, 150 X 1000 MM, ASSENTADA COM ARGAMASSA 1 : 3 CIMENTO: AREIA - FORNECIMENTO E INSTALAÇÃO. AF_05/2025</t>
  </si>
  <si>
    <t>GRELHA DE FERRO FUNDIDO SIMPLES COM REQUADRO, 200 X 1000 MM, ASSENTADA COM ARGAMASSA 1 : 3 CIMENTO: AREIA - FORNECIMENTO E INSTALAÇÃO. AF_05/2025</t>
  </si>
  <si>
    <t>GRELHA DE FERRO FUNDIDO SIMPLES COM REQUADRO, 300 X 1000 MM, ASSENTADA COM ARGAMASSA 1 : 3 CIMENTO: AREIA - FORNECIMENTO E INSTALAÇÃO. AF_05/2025</t>
  </si>
  <si>
    <t>GRELHA PARA CALHA DE PISO 20X50 CM - FORNECIMENTO E INSTALAÇÃO. AF_05/2025</t>
  </si>
  <si>
    <t>PREPARO DE SOLO E GABARITO DE MADEIRA PARA VALETA MOLDADA IN LOCO COM GEOMETRIA TRAPEZOIDAL. AF_05/2025</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</si>
  <si>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</si>
  <si>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</si>
  <si>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EQUIPAMENTO DE PROJEÇÃO. ARGAMASSA TRAÇO 1:3 COM PREPARO EM BETONEIRA 400 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</si>
  <si>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</si>
  <si>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</si>
  <si>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</si>
  <si>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</si>
  <si>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TRAÇO 1:4 E EMULSÃO POLIMÉRICA (ADESIVO)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</si>
  <si>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</si>
  <si>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</si>
  <si>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EQUIPAMENTO DE PROJEÇÃO. ARGAMASSA TRAÇO 1:3 COM PREPARO EM BETONEIRA 400 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</si>
  <si>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</si>
  <si>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</si>
  <si>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TRAÇO 1:4 E EMULSÃO POLIMÉRICA (ADESIVO) COM PREPARO MANUAL. AF_10/2022</t>
  </si>
  <si>
    <t>CHAPISCO APLICADO EM ALVENARIA E ESTRUTURAS DE CONCRETO INTERNAS, COM EQUIPAMENTO DE PROJEÇÃO. ARGAMASSA TRAÇO 1:3 COM PREPARO EM BETONEIRA 400 L. AF_10/2022</t>
  </si>
  <si>
    <t>CHAPISCO APLICADO EM ALVENARIA E ESTRUTURAS DE CONCRETO INTERNAS, COM EQUIPAMENTO DE PROJEÇÃO. ARGAMASSA TRAÇO 1:3 COM PREPARO MANUAL. AF_10/2022</t>
  </si>
  <si>
    <t>CHAPISCO APLICADO EM ALVENARIAS E ESTRUTURAS DE CONCRETO INTERNAS, COM COLHER DE PEDREIRO. ARGAMASSA TRAÇO 1:3 COM PREPARO EM BETONEIRA 400L. AF_10/2022</t>
  </si>
  <si>
    <t>CHAPISCO APLICADO EM ALVENARIAS E ESTRUTURAS DE CONCRETO INTERNAS, COM COLHER DE PEDREIRO. ARGAMASSA TRAÇO 1:3 COM PREPARO MANUAL. AF_10/2022</t>
  </si>
  <si>
    <t>CONCRETAGEM DE PILARES, FCK = 25 MPA, COM USO DE BALDES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</si>
  <si>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</si>
  <si>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</si>
  <si>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COMPRESSOR DE AR, VAZAO DE 10 PCM, RESERVATORIO 100 L, PRESSAO DE TRABALHO ENTRE 6,9 E 9,7 BAR POTENCIA 2 HP, TENSAO 110/220 V - CHI DIURNO. AF_05/2023</t>
  </si>
  <si>
    <t>CONJUNTO CILINDRO E BOMBA HIDRÁULICA PARA PROTENSÃO DE MONOBARRAS PARA TIRANTES, ESFORÇO MÁXIMO DE 30 TONELADAS - CHI DIURNO. AF_05/2023</t>
  </si>
  <si>
    <t>CONJUNTO CILINDRO E BOMBA HIDRÁULICA PARA PROTENSÃO DE MONOBARRAS PARA TIRANTES, ESFORÇO MÁXIMO DE 30 TONELADAS - CHP DIURNO. AF_05/2023</t>
  </si>
  <si>
    <t>CONJUNTO MACACO HIDRÁULICO E CENTRAL DE BOMBEAMENTO MOTORIZADO 1,8 KW PARA PROTENSÃO DE MONOCABOS PARA CONCRETO PROTENDIDO, ESFORÇO MÁXIMO DE 20 TONELADAS - CHI DIURNO. AF_05/2022</t>
  </si>
  <si>
    <t>CONJUNTO MACACO HIDRÁULICO E CENTRAL DE BOMBEAMENTO MOTORIZADO 1,8 KW PARA PROTENSÃO DE MONOCABOS PARA CONCRETO PROTENDIDO, ESFORÇO MÁXIMO DE 20 TONELADAS - CHP DIURNO. AF_05/2022</t>
  </si>
  <si>
    <t>CONJUNTO MACACO HIDRÁULICO E CENTRAL DE BOMBEAMENTO MOTORIZADO 1,8 KW PARA PROTENSÃO DE MONOCABOS PARA CONCRETO PROTENDIDO, ESFORÇO MÁXIMO DE 30 TONELADAS - CHI DIURNO. AF_05/2022</t>
  </si>
  <si>
    <t>CONJUNTO MACACO HIDRÁULICO E CENTRAL DE BOMBEAMENTO MOTORIZADO 1,8 KW PARA PROTENSÃO DE MONOCABOS PARA CONCRETO PROTENDIDO, ESFORÇO MÁXIMO DE 30 TONELADAS - CHP DIURNO. AF_05/2022</t>
  </si>
  <si>
    <t>ESCAVADEIRA HIDRÁULICA DE BRAÇO LONGO (LONGO ALCANCE) SOBRE ESTEIRAS, CAÇAMBA 0,52 M3, PESO OPERACIONAL 24 T, POTÊNCIA LÍQUIDA 155 HP - CHP DIURNO. AF_06/2023</t>
  </si>
  <si>
    <t>ESPARGIDOR DE ASFALTO PRESSURIZADO, TANQUE 6 M3 COM ISOLAÇÃO TÉRMICA, AQUECIDO COM 2 MAÇARICOS, COM BARRA ESPARGIDORA 3,60 M, MONTADO SOBRE CAMINHÃO TOCO, PBT 14.300 KG, POTÊNCIA 185 CV - CHI DIURNO. AF_05/2023</t>
  </si>
  <si>
    <t>ESPARGIDOR DE ASFALTO PRESSURIZADO, TANQUE 6 M3 COM ISOLAÇÃO TÉRMICA, AQUECIDO COM 2 MAÇARICOS, COM BARRA ESPARGIDORA 3,60 M, MONTADO SOBRE CAMINHÃO TOCO, PBT 14.300 KG, POTÊNCIA 185 CV - CHP DIURNO. AF_05/2023</t>
  </si>
  <si>
    <t>ESTABILIZADOR DE LINHA E PRESSÃO, CAPACIDADE DE 120 BAR, COM MANÔMETRO DE LEITURA, REGISTRO DE 1 COM RETORNO E LINHA - CHI DIURNO. AF_05/2023</t>
  </si>
  <si>
    <t>ESTABILIZADOR DE LINHA E PRESSÃO, CAPACIDADE DE 120 BAR, COM MANÔMETRO DE LEITURA, REGISTRO DE 1 COM RETORNO E LINHA - CHP DIURNO. AF_05/2023</t>
  </si>
  <si>
    <t>GUINDAUTO HIDRÁULICO, CAPACIDADE MÁXIMA DE CARGA 8500 KG, MOMENTO MÁXIMO DE CARGA 30,4 TM, ALCANCE MÁXIMO HORIZONTAL 14,30 M, INCLUSIVE CAMINHÃO TRUCADO PBT 23.000 KG, POTÊNCIA DE 256 CV E CARROCERIA FIXA ABERTA DE MADEIRA - CHI DIURNO. AF_05/2025</t>
  </si>
  <si>
    <t>GUINDAUTO HIDRÁULICO, CAPACIDADE MÁXIMA DE CARGA 8500 KG, MOMENTO MÁXIMO DE CARGA 30,4 TM, ALCANCE MÁXIMO HORIZONTAL 14,30 M, INCLUSIVE CAMINHÃO TRUCADO PBT 23.000 KG, POTÊNCIA DE 256 CV E CARROCERIA FIXA ABERTA DE MADEIRA - CHP DIURNO. AF_05/2025</t>
  </si>
  <si>
    <t>MARTELO DEMOLIDOR ELÉTRICO, COM POTÊNCIA DE 2.000 W, 1.000 IMPACTOS POR MINUTO, PESO DE 30 KG - CHI DIURNO. AF_01/2021</t>
  </si>
  <si>
    <t>MÁQUINA DEMARCADORA DE FAIXA DE TRÁFEGO À FRIO, TRAÇÃO MANUAL, 4 CV, PRESSÃO MAX 3300 PSI, TANQUE 20 L - CHI DIURNO. AF_06/2021</t>
  </si>
  <si>
    <t>MÁQUINA DEMARCADORA DE FAIXA DE TRÁFEGO À FRIO, TRAÇÃO MANUAL, 4 CV, PRESSÃO MAX 3300 PSI, TANQUE 20 L - CHP DIURNO. AF_06/2021</t>
  </si>
  <si>
    <t>MÁQUINA JATO DE PRESSAO PORTÁTIL, CAMARA DE 1 SAIDA, CAPACIDADE 280 L, DIAMETRO 670 MM, BICO DE JATO CURTO VENTURI DE 5/16", MANGUEIRA DE 1" COM COMPRESSOR DE AR REBOCÁVEL 189 PCM E MOTOR DIESEL 63 CV - CHI DIURNO. AF_05/2023</t>
  </si>
  <si>
    <t>MÁQUINA JATO DE PRESSAO PORTÁTIL, CAMARA DE 1 SAIDA, CAPACIDADE 280 L, DIAMETRO 670 MM, BICO DE JATO CURTO VENTURI DE 5/16", MANGUEIRA DE 1" COM COMPRESSOR DE AR REBOCÁVEL 189 PCM E MOTOR DIESEL 63 CV - CHP DIURNO. AF_05/2023</t>
  </si>
  <si>
    <t>PÓRTICO ROLANTE MONOVIGA, PERFIL I, 4 PERNAS, CAPACIDADE 5 T - CHI DIURNO. AF_04/2019</t>
  </si>
  <si>
    <t>PÓRTICO ROLANTE MONOVIGA, PERFIL I, 4 PERNAS, CAPACIDADE 5 T - CHP DIURNO. AF_04/2019</t>
  </si>
  <si>
    <t>RETROESCAVADEIRA SOBRE RODAS COM CARREGADEIRA, PESO OPERACIONAL MÍN. 6,674, POTÊNCIA LÍQ 88 HP, COM MARTELO ROMPEDOR HIDRÁULICO ENTRE 275 A 362 KG - CHI DIURNO. AF_02/2021</t>
  </si>
  <si>
    <t>RETROESCAVADEIRA SOBRE RODAS COM CARREGADEIRA, PESO OPERACIONAL MÍN. 6,674, POTÊNCIA LÍQ 88 HP, COM MARTELO ROMPEDOR HIDRÁULICO ENTRE 275 A 362 KG - CHP DIURNO. AF_02/2021</t>
  </si>
  <si>
    <t>TORRE, COMPOSTA POR GUINCHO MECÂNICO, GUINCHO MANUAL, CABOS DE AÇO, PITEIRA E SOQUETE - CHI DIURNO. AF_05/2023</t>
  </si>
  <si>
    <t>TORRE, COMPOSTA POR GUINCHO MECÂNICO, GUINCHO MANUAL, CABOS DE AÇO, PITEIRA E SOQUETE - CHP DIURNO. AF_05/2023</t>
  </si>
  <si>
    <t>COMPRESSOR DE AR, VAZAO DE 10 PCM, RESERVATORIO 100 L, PRESSAO DE TRABALHO ENTRE 6,9 E 9,7 BAR, POTENCIA 2 HP, TENSAO 110/220 V - DEPRECIAÇÃO. AF_05/2023</t>
  </si>
  <si>
    <t>COMPRESSOR DE AR, VAZAO DE 10 PCM, RESERVATORIO 100 L, PRESSAO DE TRABALHO ENTRE 6,9 E 9,7 BAR, POTENCIA 2 HP, TENSAO 110/220 V - JUROS. AF_05/2023</t>
  </si>
  <si>
    <t>COMPRESSOR DE AR, VAZAO DE 10 PCM, RESERVATORIO 100 L, PRESSAO DE TRABALHO ENTRE 6,9 E 9,7 BAR, POTENCIA 2 HP, TENSAO 110/220 V - MANUTENÇÃO. AF_05/2023</t>
  </si>
  <si>
    <t>CONJUNTO CILINDRO E BOMBA HIDRÁULICA PARA PROTENSÃO DE MONOBARRAS PARA TIRANTES, ESFORÇO MÁXIMO DE 30 TONELADAS - DEPRECIAÇÃO. AF_05/2023</t>
  </si>
  <si>
    <t>CONJUNTO CILINDRO E BOMBA HIDRÁULICA PARA PROTENSÃO DE MONOBARRAS PARA TIRANTES, ESFORÇO MÁXIMO DE 30 TONELADAS - JUROS. AF_05/2023</t>
  </si>
  <si>
    <t>CONJUNTO CILINDRO E BOMBA HIDRÁULICA PARA PROTENSÃO DE MONOBARRAS PARA TIRANTES, ESFORÇO MÁXIMO DE 30 TONELADAS - MANUTENÇÃO. AF_05/2023</t>
  </si>
  <si>
    <t>CONJUNTO CILINDRO E BOMBA HIDRÁULICA PARA PROTENSÃO DE MONOBARRAS PARA TIRANTES, ESFORÇO MÁXIMO DE 30 TONELADAS - MATERIAIS NA OPERAÇÃO. AF_05/2023</t>
  </si>
  <si>
    <t>CONJUNTO MACACO HIDRÁULICO E CENTRAL DE BOMBEAMENTO MOTORIZADO 1,8 KW PARA PROTENSÃO DE MONOCABOS PARA CONCRETO PROTENDIDO, ESFORÇO MÁXIMO DE 20 TONELADAS - DEPRECIAÇÃO. AF_05/2022</t>
  </si>
  <si>
    <t>CONJUNTO MACACO HIDRÁULICO E CENTRAL DE BOMBEAMENTO MOTORIZADO 1,8 KW PARA PROTENSÃO DE MONOCABOS PARA CONCRETO PROTENDIDO, ESFORÇO MÁXIMO DE 20 TONELADAS - JUROS. AF_05/2022</t>
  </si>
  <si>
    <t>CONJUNTO MACACO HIDRÁULICO E CENTRAL DE BOMBEAMENTO MOTORIZADO 1,8 KW PARA PROTENSÃO DE MONOCABOS PARA CONCRETO PROTENDIDO, ESFORÇO MÁXIMO DE 20 TONELADAS - MANUTENÇÃO. AF_05/2022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</si>
  <si>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</si>
  <si>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DEPRECIAÇÃO. AF_05/2022</t>
  </si>
  <si>
    <t>CONJUNTO MACACO HIDRÁULICO E CENTRAL DE BOMBEAMENTO MOTORIZADO 1,8 KW PARA PROTENSÃO DE MONOCABOS PARA CONCRETO PROTENDIDO, ESFORÇO MÁXIMO DE 30 TONELADAS - JUROS. AF_05/2022</t>
  </si>
  <si>
    <t>CONJUNTO MACACO HIDRÁULICO E CENTRAL DE BOMBEAMENTO MOTORIZADO 1,8 KW PARA PROTENSÃO DE MONOCABOS PARA CONCRETO PROTENDIDO, ESFORÇO MÁXIMO DE 30 TONELADAS - MANUTENÇÃO. AF_05/2022</t>
  </si>
  <si>
    <t>CONJUNTO MACACO HIDRÁULICO E CENTRAL DE BOMBEAMENTO MOTORIZADO 1,8 KW PARA PROTENSÃO DE MONOCABOS PARA CONCRETO PROTENDIDO, ESFORÇO MÁXIMO DE 30 TONELADAS - MATERIAIS NA OPERAÇÃO. AF_05/2022</t>
  </si>
  <si>
    <t>DESEMPENADEIRA DE CONCRETO, PESO DE 78 KG, 4 PÁS, MOTOR A GASOLINA, POTÊNCIA 5,5 HP MATERIAIS NA OPERAÇÃO. AF_05/2023</t>
  </si>
  <si>
    <t>ESCAVADEIRA HIDRÁULICA DE BRAÇO LONGO (LONGO ALCANCE) SOBRE ESTEIRAS, CAÇAMBA 0,52 M3, PESO OPERACIONAL 24 T, POTÊNCIA LÍQUIDA 155 HP - MATERIAIS NA OPERAÇÃO. AF_06/2023</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</si>
  <si>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</si>
  <si>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</si>
  <si>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</si>
  <si>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</si>
  <si>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MATERIAIS NA OPERAÇÃO. AF_05/2023</t>
  </si>
  <si>
    <t>ESTABILIZADOR DE LINHA E PRESSÃO, CAPACIDADE DE 120 BAR, COM MANÔMETRO DE LEITURA, REGISTRO DE 1 COM RETORNO E LINHA - DEPRECIAÇÃO. AF_05/2023</t>
  </si>
  <si>
    <t>ESTABILIZADOR DE LINHA E PRESSÃO, CAPACIDADE DE 120 BAR, COM MANÔMETRO DE LEITURA, REGISTRO DE 1 COM RETORNO E LINHA - JUROS. AF_05/2023</t>
  </si>
  <si>
    <t>ESTABILIZADOR DE LINHA E PRESSÃO, CAPACIDADE DE 120 BAR, COM MANÔMETRO DE LEITURA, REGISTRO DE 1 COM RETORNO E LINHA - MANUTENÇÃO. AF_05/2023</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</si>
  <si>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</si>
  <si>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</si>
  <si>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</si>
  <si>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</si>
  <si>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</si>
  <si>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</si>
  <si>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</si>
  <si>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GRUA ASCENCIONAL, LANÇA DE 42 M, CAPACIDADE DE 1,5 T A 30 M, ALTURA ATÉ 39 M DEPRECIAÇÃO. AF_05/2023</t>
  </si>
  <si>
    <t>GUINDAUTO HIDRÁULICO, CAPACIDADE MÁXIMA DE CARGA 8500 KG, MOMENTO MÁXIMO DE CARGA 30,4 TM, ALCANCE MÁXIMO HORIZONTAL 14,30 M, INCLUSIVE CAMINHÃO TRUCADO PBT 23.000 KG, POTÊNCIA DE 256 CV E CARROCERIA FIXA ABERTA DE MADEIRA - DEPRECIAÇÃO. AF_05/2025</t>
  </si>
  <si>
    <t>GUINDAUTO HIDRÁULICO, CAPACIDADE MÁXIMA DE CARGA 8500 KG, MOMENTO MÁXIMO DE CARGA 30,4 TM, ALCANCE MÁXIMO HORIZONTAL 14,30 M, INCLUSIVE CAMINHÃO TRUCADO PBT 23.000 KG, POTÊNCIA DE 256 CV E CARROCERIA FIXA ABERTA DE MADEIRA - IMPOSTOS E SEGUROS. AF_05/2025</t>
  </si>
  <si>
    <t>GUINDAUTO HIDRÁULICO, CAPACIDADE MÁXIMA DE CARGA 8500 KG, MOMENTO MÁXIMO DE CARGA 30,4 TM, ALCANCE MÁXIMO HORIZONTAL 14,30 M, INCLUSIVE CAMINHÃO TRUCADO PBT 23.000 KG, POTÊNCIA DE 256 CV E CARROCERIA FIXA ABERTA DE MADEIRA - JUROS. AF_05/2025</t>
  </si>
  <si>
    <t>GUINDAUTO HIDRÁULICO, CAPACIDADE MÁXIMA DE CARGA 8500 KG, MOMENTO MÁXIMO DE CARGA 30,4 TM, ALCANCE MÁXIMO HORIZONTAL 14,30 M, INCLUSIVE CAMINHÃO TRUCADO PBT 23.000 KG, POTÊNCIA DE 256 CV E CARROCERIA FIXA ABERTA DE MADEIRA - MANUTENÇÃO. AF_05/2025</t>
  </si>
  <si>
    <t>GUINDAUTO HIDRÁULICO, CAPACIDADE MÁXIMA DE CARGA 8500 KG, MOMENTO MÁXIMO DE CARGA 30,4 TM, ALCANCE MÁXIMO HORIZONTAL 14,30 M, INCLUSIVE CAMINHÃO TRUCADO PBT 23.000 KG, POTÊNCIA DE 256 CV E CARROCERIA FIXA ABERTA DE MADEIRA - MATERIAIS NA OPERAÇÃO. AF_05/2025</t>
  </si>
  <si>
    <t>MÁQUINA JATO DE PRESSAO PORTÁTIL, CAMARA DE 1 SAIDA, CAPACIDADE 280 L, DIAMETRO 670 MM, BICO DE JATO CURTO VENTURI DE 5/16", MANGUEIRA DE 1" COM COMPRESSOR DE AR REBOCÁVEL 189 PCM E MOTOR DIESEL 63 CV - DEPRECIAÇÃO. AF_05/2023</t>
  </si>
  <si>
    <t>MÁQUINA JATO DE PRESSAO PORTÁTIL, CAMARA DE 1 SAIDA, CAPACIDADE 280 L, DIAMETRO 670 MM, BICO DE JATO CURTO VENTURI DE 5/16", MANGUEIRA DE 1" COM COMPRESSOR DE AR REBOCÁVEL 189 PCM E MOTOR DIESEL 63 CV - JUROS. AF_05/2023</t>
  </si>
  <si>
    <t>MÁQUINA JATO DE PRESSAO PORTÁTIL, CAMARA DE 1 SAIDA, CAPACIDADE 280 L, DIAMETRO 670 MM, BICO DE JATO CURTO VENTURI DE 5/16", MANGUEIRA DE 1" COM COMPRESSOR DE AR REBOCÁVEL 189 PCM E MOTOR DIESEL 63 CV - MANUTENÇÃO. AF_05/2023</t>
  </si>
  <si>
    <t>MÁQUINA JATO DE PRESSAO PORTÁTIL, CAMARA DE 1 SAIDA, CAPACIDADE 280 L, DIAMETRO 670 MM, BICO DE JATO CURTO VENTURI DE 5/16", MANGUEIRA DE 1" COM COMPRESSOR DE AR REBOCÁVEL 189 PCM E MOTOR DIESEL 63 CV - MATERIAIS NA OPERAÇÃO. AF_05/2023</t>
  </si>
  <si>
    <t>PÓRTICO ROLANTE MONOVIGA, PERFIL I, 4 PERNAS, CAPACIDADE 5 T - DEPRECIAÇÃO. AF_04/2019</t>
  </si>
  <si>
    <t>PÓRTICO ROLANTE MONOVIGA, PERFIL I, 4 PERNAS, CAPACIDADE 5 T - JUROS. AF_04/2019</t>
  </si>
  <si>
    <t>PÓRTICO ROLANTE MONOVIGA, PERFIL I, 4 PERNAS, CAPACIDADE 5 T - MANUTENÇÃO. AF_04/2019</t>
  </si>
  <si>
    <t>PÓRTICO ROLANTE MONOVIGA, PERFIL I, 4 PERNAS, CAPACIDADE 5 T - MATERIAIS NA OPERAÇÃO. AF_04/2019</t>
  </si>
  <si>
    <t>RETROESCAVADEIRA SOBRE RODAS COM CARREGADEIRA, PESO OPERACIONAL MÍN. 6,674, POTÊNCIA LÍQ 88 HP, COM MARTELO ROMPEDOR HIDRÁULICO ENTRE 275 A 362 KG - DEPRECIAÇÃO. AF_02/2021</t>
  </si>
  <si>
    <t>RETROESCAVADEIRA SOBRE RODAS COM CARREGADEIRA, PESO OPERACIONAL MÍN. 6,674, POTÊNCIA LÍQ 88 HP, COM MARTELO ROMPEDOR HIDRÁULICO ENTRE 275 A 362 KG - MANUTENÇÃO. AF_02/2021</t>
  </si>
  <si>
    <t>RETROESCAVADEIRA SOBRE RODAS COM CARREGADEIRA, PESO OPERACIONAL MÍN. 6,674, POTÊNCIA LÍQ 88 HP, COM MARTELO ROMPEDOR HIDRÁULICO ENTRE 275 A 362 KG - MATERIAIS NA OPERAÇÃO. AF_02/2021</t>
  </si>
  <si>
    <t>TORRE, COMPOSTA POR GUINCHO MECÂNICO, GUINCHO MANUAL, CABOS DE AÇO, PITEIRA E SOQUETE - DEPRECIAÇÃO. AF_05/2023</t>
  </si>
  <si>
    <t>TORRE, COMPOSTA POR GUINCHO MECÂNICO, GUINCHO MANUAL, CABOS DE AÇO, PITEIRA E SOQUETE - JUROS. AF_05/2023</t>
  </si>
  <si>
    <t>TORRE, COMPOSTA POR GUINCHO MECÂNICO, GUINCHO MANUAL, CABOS DE AÇO, PITEIRA E SOQUETE - MANUTENÇÃO. AF_05/2023</t>
  </si>
  <si>
    <t>TORRE, COMPOSTA POR GUINCHO MECÂNICO, GUINCHO MANUAL, CABOS DE AÇO, PITEIRA E SOQUETE - MATERIAIS NA OPERAÇÃO. AF_05/2023</t>
  </si>
  <si>
    <t>JUNÇÃO DUPLA DE PVC, SÉRIE NORMAL, PARA ESGOTO PREDIAL, DN 100 X 100 X 100 MM, INSTALADA EM DRENO - FORNECIMENTO E INSTALAÇÃO. AF_07/2021</t>
  </si>
  <si>
    <t>LUVA DE PEAD, DN 100 MM, INSTALADA EM DRENO - FORNECIMENTO E INSTALAÇÃO. AF_07/2021</t>
  </si>
  <si>
    <t>LUVA DE PVC, SÉRIE NORMAL, PARA ESGOTO PREDIAL, DN 100 MM, INSTALADA EM DRENO - FORNECIMENTO E INSTALAÇÃO. AF_07/2021</t>
  </si>
  <si>
    <t>ELETROCALHA LISA OU PERFURADA EM AÇO GALVANIZADO, LARGURA 100MM E ALTURA 50MM, INCLUSIVE EMENDA E FIXAÇÃO - FORNECIMENTO E INSTALAÇÃO. AF_04/2023</t>
  </si>
  <si>
    <t>ESCADA EM CONCRETO ARMADO MOLDADO IN LOCO, FCK 25 MPA, COM 2 LANCES EM L E LAJE CASCATA, FÔRMA EM CHAPA DE MADEIRA COMPENSADA RESINADA. AF_11/2020</t>
  </si>
  <si>
    <t>ESCADA EM CONCRETO ARMADO MOLDADO IN LOCO, FCK 25 MPA, COM 2 LANCES EM L E LAJE PLANA, FÔRMA EM CHAPA DE MADEIRA COMPENSADA RESINADA. AF_11/2020</t>
  </si>
  <si>
    <t>ESCADA EM CONCRETO ARMADO MOLDADO IN LOCO, FCK 25 MPA, COM 2 LANCES EM U E LAJE CASCATA, FÔRMA EM CHAPA DE MADEIRA COMPENSADA RESINADA. AF_11/2020</t>
  </si>
  <si>
    <t>ESCADA EM CONCRETO ARMADO MOLDADO IN LOCO, FCK 25 MPA, COM 2 LANCES EM U E LAJE PLANA, FÔRMA EM CHAPA DE MADEIRA COMPENSADA RESINADA. AF_11/2020</t>
  </si>
  <si>
    <t>ESCADA EM CONCRETO ARMADO MOLDADO IN LOCO, FCK 25 MPA, COM 2 LANCES EM X E LAJE CASCATA, FÔRMA EM CHAPA DE MADEIRA COMPENSADA RESINADA. AF_11/2020</t>
  </si>
  <si>
    <t>ESCADA EM CONCRETO ARMADO MOLDADO IN LOCO, FCK 25 MPA, COM 2 LANCES EM X E LAJE PLANA, FÔRMA EM CHAPA DE MADEIRA COMPENSADA RESINADA. AF_11/2020</t>
  </si>
  <si>
    <t>MONTAGEM E DESMONTAGEM DE FÔRMA PARA ESCADAS, COM 2 LANCES EM "U" E LAJE PLANA, EM MADEIRA SERRADA, 2 UTILIZAÇÕES. AF_11/2020</t>
  </si>
  <si>
    <t>ESCAVAÇÃO HORIZONTAL, INCLUINDO ESCARIFICAÇÃO, CARGA, DESCARGA E TRANSPORTE EM SOLO DE 2A CATEGORIA COM TRATOR DE ESTEIRAS (100HP/LÂMINA: 2,19M3) E CAMINHÃO BASCULANTE DE 10M3, DMT ATÉ 200M. AF_07/2020</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</si>
  <si>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</si>
  <si>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</si>
  <si>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</si>
  <si>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</si>
  <si>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</si>
  <si>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</si>
  <si>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</si>
  <si>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</si>
  <si>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</si>
  <si>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</si>
  <si>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</si>
  <si>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</si>
  <si>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</si>
  <si>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</si>
  <si>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</si>
  <si>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</si>
  <si>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</si>
  <si>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</si>
  <si>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</si>
  <si>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</si>
  <si>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</si>
  <si>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</si>
  <si>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</si>
  <si>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</si>
  <si>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</si>
  <si>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</si>
  <si>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</si>
  <si>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</si>
  <si>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</si>
  <si>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</si>
  <si>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</si>
  <si>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</si>
  <si>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</si>
  <si>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</si>
  <si>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</si>
  <si>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DESMONTE DE MATERIAL DE 3ª CATEGORIA (BLOCOS DE ROCHAS OU MATACOS), EM VALA, COM MARTELETE PNEUMÁTICO MANUAL - EXCLUSIVE RETIRADA, CARGA E TRANSPORTE. AF_03/2021</t>
  </si>
  <si>
    <t>DESMONTE DE MATERIAL DE 3ª CATEGORIA, EM VALA, COM USO DE EMULSÃO EXPLOSIVA ENCARTUCHADA - EXCLUSIVE RETIRADA, CARGA E TRANSPORTE. AF_03/2021</t>
  </si>
  <si>
    <t>FABRICAÇÃO DE CONJUNTO DE MÓDULO METÁLICO, COMPRIMENTO DE 3,0 M E ALTURA DE 1,8 M (ESTRONCAS DE 1,00 M). AF_08/2020</t>
  </si>
  <si>
    <t>FABRICAÇÃO DE CONJUNTO DE MÓDULO METÁLICO, COMPRIMENTO DE 3,6 M E ALTURA DE 3,0 M (ESTRONCAS DE 2,00 M). AF_08/2020</t>
  </si>
  <si>
    <t>ESTACA HÉLICE CONTÍNUA, DIÂMETRO DE 50 CM, INCLUSO CONCRETO FCK=30MPA E ARMADURA MÍNIMA (EXCLUSIVE BOMBEAMENTO, MOBILIZAÇÃO E DESMOBILIZAÇÃO). AF_12/2019</t>
  </si>
  <si>
    <t>REQUADRO DE VÃOS COM PLACAS DE PORCELANATO ASSENTADAS COM ARGAMASSA COLANTE. AF_03/2025</t>
  </si>
  <si>
    <t>REQUADRO DE VÃOS PLACAS DE GRANITO FIXADAS COM INSERTE METÁLICO. AF_03/2025</t>
  </si>
  <si>
    <t>REVESTIMENTO NÃO ADERIDO DE PAREDES EXTERNAS COM PLACAS DE GRANITO DE ÁREA MAIOR QUE 10000 CM2, FIXADAS COM INSERTE METÁLICO. AF_03/2025</t>
  </si>
  <si>
    <t>REVESTIMENTO NÃO ADERIDO DE PAREDES EXTERNAS COM PLACAS DE GRANITO DE ÁREA MAIOR QUE 3025 CM2 E MENOR OU IGUAL A 10000 CM2, FIXADAS COM INSERTE METÁLICO. AF_03/2025</t>
  </si>
  <si>
    <t>REVESTIMENTO NÃO ADERIDO DE PAREDES EXTERNAS COM PLACAS DE PORCELANATO DE ÁREA MAIOR DO QUE 2500 CM2 E MENOR OU IGUAL A 6400 CM2, FIXADAS COM INSERTE METÁLICO. AF_03/2025</t>
  </si>
  <si>
    <t>REVESTIMENTO NÃO ADERIDO DE PAREDES EXTERNAS COM PLACAS DE PORCELANATO DE ÁREA MAIOR QUE 6400 CM2 E MENOR QUE 10000 CM2, FIXADAS COM INSERTE METÁLICO. AF_03/2025</t>
  </si>
  <si>
    <t>ADUELA/ GALERIA ABERTA PRE-MOLDADA DE CONCRETO ARMADO, SECAO QUADRANGULAR INTERNA DE 1,50 X 1,50 M (L X A), MISULA DE 20 X 20 CM, C = 1,00 M, ESPESSURA MIN = 15 CM, TB-45 E FCK DO CONCRETO = 30 MPA FORNECIMENTO E ASSENTAMENTO. AF_01/2023</t>
  </si>
  <si>
    <t>ADUELA/ GALERIA ABERTA PRE-MOLDADA DE CONCRETO ARMADO, SECAO QUADRANGULAR INTERNA DE 2,00 X 2,00 M (L X A), MISULA DE 20 X 20 CM, C = 1,00 M, ESPESSURA MIN = 15 CM, TB-45 E FCK DO CONCRETO = 30 MPA FORNECIMENTO E ASSENTAMENTO. AF_01/2023</t>
  </si>
  <si>
    <t>ADUELA/ GALERIA ABERTA PRE-MOLDADA DE CONCRETO ARMADO, SECAO QUADRANGULAR INTERNA DE 2,00 X 2,00 M (L X A), MISULA DE 20 X 20 CM, C = 1,00 M, ESPESSURA MIN = 20 CM, TB-45 E FCK DO CONCRETO = 30 MPA FORNECIMENTO E ASSENTAMENTO. AF_01/2023</t>
  </si>
  <si>
    <t>ADUELA/ GALERIA ABERTA PRE-MOLDADA DE CONCRETO ARMADO, SECAO QUADRANGULAR INTERNA DE 2,50 X 2,50 M (L X A), MISULA DE 20 X 20 CM, C = 1,00 M, ESPESSURA MIN = 15 CM, TB-45 E FCK DO CONCRETO = 30 MPA FORNECIMENTO E ASSENTAMENTO. AF_01/2023</t>
  </si>
  <si>
    <t>ADUELA/ GALERIA ABERTA PRE-MOLDADA DE CONCRETO ARMADO, SECAO QUADRANGULAR INTERNA DE 2,50 X 2,50 M (L X A), MISULA DE 20 X 20 CM, C = 1,00 M, ESPESSURA MIN = 20 CM, TB-45 E FCK DO CONCRETO = 30 MPA FORNECIMENTO E ASSENTAMENTO. AF_01/2023</t>
  </si>
  <si>
    <t>ADUELA/ GALERIA ABERTA PRE-MOLDADA DE CONCRETO ARMADO, SECAO QUADRANGULAR INTERNA DE 2,50 X 2,50 M (L X A), MISULA DE 20 X 20 CM, C = 1,00 M, ESPESSURA MIN = 25 CM, TB-45 E FCK DO CONCRETO = 30 MPA FORNECIMENTO E ASSENTAMENTO. AF_01/2023</t>
  </si>
  <si>
    <t>ADUELA/ GALERIA ABERTA PRE-MOLDADA DE CONCRETO ARMADO, SECAO QUADRANGULAR INTERNA DE 3,00 X 3,00 M (L X A), MISULA DE 20 X 20 CM, C = 1,00 M, ESPESSURA MIN = 20 CM, TB-45 E FCK DO CONCRETO = 30 MPA FORNECIMENTO E ASSENTAMENTO. AF_01/2023</t>
  </si>
  <si>
    <t>ADUELA/ GALERIA ABERTA PRE-MOLDADA DE CONCRETO ARMADO, SECAO QUADRANGULAR INTERNA DE 3,00 X 3,00 M (L X A), MISULA DE 20 X 20 CM, C = 1,00 M, ESPESSURA MIN = 25 CM, TB-45 E FCK DO CONCRETO = 30 MPA FORNECIMENTO E ASSENTAMENTO. AF_01/2023</t>
  </si>
  <si>
    <t>ADUELA/ GALERIA ABERTA PRE-MOLDADA DE CONCRETO ARMADO, SECAO QUADRANGULAR INTERNA DE 3,00 X 3,00 M (L X A), MISULA DE 20 X 20 CM, C = 1,00 M, ESPESSURA MIN = 35 CM, TB-45 E FCK DO CONCRETO = 30 MPA FORNECIMENTO E ASSENTAMENTO. AF_01/2023</t>
  </si>
  <si>
    <t>ADUELA/ GALERIA ABERTA PRE-MOLDADA DE CONCRETO ARMADO, SECAO RETANGULAR INTERNA DE 2,00 X 1,50 M (L X A), MISULA DE 20 X 20 CM, C = 1,00 M, ESPESSURA MIN = 20 CM, TB-45 E FCK DO CONCRETO = 30 MPA FORNECIMENTO E ASSENTAMENTO. AF_01/2023</t>
  </si>
  <si>
    <t>ADUELA/ GALERIA ABERTA PRE-MOLDADA DE CONCRETO ARMADO, SECAO RETANGULAR INTERNA DE 2,50 X 1,50 M (L X A), MISULA DE 20 X 20 CM, C = 1,00 M, ESPESSURA MIN = 15 CM, TB-45 E FCK DO CONCRETO = 30 MPA FORNECIMENTO E ASSENTAMENTO. AF_01/2023</t>
  </si>
  <si>
    <t>ADUELA/ GALERIA ABERTA PRE-MOLDADA DE CONCRETO ARMADO, SECAO RETANGULAR INTERNA DE 2,50 X 2,00 M (L X A), MISULA DE 20 X 20 CM, C = 1,00 M, ESPESSURA MIN = 15 CM, TB-45 E FCK DO CONCRETO = 30 MPA FORNECIMENTO E ASSENTAMENTO. AF_01/2023</t>
  </si>
  <si>
    <t>ADUELA/ GALERIA ABERTA PRE-MOLDADA DE CONCRETO ARMADO, SECAO RETANGULAR INTERNA DE 2,50 X 2,00 M (L X A), MISULA DE 20 X 20 CM, C = 1,00 M, ESPESSURA MIN = 20 CM, TB-45 E FCK DO CONCRETO = 30 MPA FORNECIMENTO E ASSENTAMENTO. AF_01/2023</t>
  </si>
  <si>
    <t>ADUELA/ GALERIA ABERTA PRE-MOLDADA DE CONCRETO ARMADO, SECAO RETANGULAR INTERNA DE 3,00 X 2,00 M (L X A), MISULA DE 20 X 20 CM, C = 1,00 M, ESPESSURA MIN = 15 CM, TB-45 E FCK DO CONCRETO = 30 MPA FORNECIMENTO E ASSENTAMENTO. AF_01/2023</t>
  </si>
  <si>
    <t>ADUELA/ GALERIA ABERTA PRE-MOLDADA DE CONCRETO ARMADO, SECAO RETANGULAR INTERNA DE 3,00 X 2,00 M (L X A), MISULA DE 20 X 20 CM, C = 1,00 M, ESPESSURA MIN = 20 CM, TB-45 E FCK DO CONCRETO = 30 MPA FORNECIMENTO E ASSENTAMENTO. AF_01/2023</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</si>
  <si>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</si>
  <si>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</si>
  <si>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20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</si>
  <si>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</si>
  <si>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20 CM, TB-45 E FCK DO CONCRETO = 30 MPA FORNECIMENTO E ASSENTAMENTO. AF_01/2023</t>
  </si>
  <si>
    <t>ADUELA/ GALERIA FECHADA PRE-MOLDADA DE CONCRETO ARMADO, SECAO QUADRANGULAR INTERNA DE 2,50 X 2,50 M (L X A), MISULA DE 20 X 20 CM, C = 1,00 M, ESPESSURA MIN = 25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</si>
  <si>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</si>
  <si>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ADUELA/ GALERIA FECHADA PRE-MOLDADA DE CONCRETO ARMADO, SECAO QUADRANGULAR INTERNA DE 3,00 X 3,00 M (L X A), MISULA DE 20 X 20 CM, C = 1,00 M, ESPESSURA MIN = 25 CM, TB-45 E FCK DO CONCRETO = 30 MPA FORNECIMENTO E ASSENTAMENTO. AF_01/2023</t>
  </si>
  <si>
    <t>ADUELA/ GALERIA FECHADA PRE-MOLDADA DE CONCRETO ARMADO, SECAO QUADRANGULAR INTERNA DE 3,00 X 3,00 M (L X A), MISULA DE 20 X 20 CM, C = 1,00 M, ESPESSURA MIN = 35 CM, TB-45 E FCK DO CONCRETO = 30 MPA FORNECIMENTO E ASSENTAMENTO. AF_01/2023</t>
  </si>
  <si>
    <t>GUARDA-CORPO DE AÇO GALVANIZADO DE 1,10M DE ALTURA, MONTANTES TUBULARES DE 1.1/2 ESPAÇADOS DE 1,20M, TRAVESSA SUPERIOR DE 2, GRADIL FORMADO POR BARRAS CHATAS EM FERRO DE 32X4,8MM, FIXADO COM CHUMBADOR MECÂNICO. AF_04/2019_PS</t>
  </si>
  <si>
    <t>GUARDA-CORPO DE AÇO GALVANIZADO DE 1,10M, MONTANTES TUBULARES DE 100X50MM ESPAÇADOS DE 1,20M, TRAVESSA SUPERIOR DE 3", GRADIL EM CANTONEIRA 51X51X4,8 MM E BARRAS CHATAS NA VERTICAL DE 32X4,8 MM, FIXADO COM ADESIVO ESTRUTURAL EPOXI. AF_04/2019</t>
  </si>
  <si>
    <t>EXECUÇÃO DE SARJETA DE CONCRETO USINADO, MOLDADA IN LOCO EM TRECHO CURVO, 30 CM BASE X 10 CM ALTURA. AF_01/2024</t>
  </si>
  <si>
    <t>EXECUÇÃO DE SARJETA DE CONCRETO USINADO, MOLDADA IN LOCO EM TRECHO CURVO, 30 CM BASE X 15 CM ALTURA. AF_01/2024</t>
  </si>
  <si>
    <t>EXECUÇÃO DE SARJETA DE CONCRETO USINADO, MOLDADA IN LOCO EM TRECHO CURVO, 45 CM BASE X 10 CM ALTURA. AF_01/2024</t>
  </si>
  <si>
    <t>EXECUÇÃO DE SARJETA DE CONCRETO USINADO, MOLDADA IN LOCO EM TRECHO CURVO, 45 CM BASE X 15 CM ALTURA. AF_01/2024</t>
  </si>
  <si>
    <t>EXECUÇÃO DE SARJETA DE CONCRETO USINADO, MOLDADA IN LOCO EM TRECHO CURVO, 60 CM BASE X 10 CM ALTURA. AF_01/2024</t>
  </si>
  <si>
    <t>EXECUÇÃO DE SARJETA DE CONCRETO USINADO, MOLDADA IN LOCO EM TRECHO CURVO, 60 CM BASE X 15 CM ALTURA. AF_01/2024</t>
  </si>
  <si>
    <t>EXECUÇÃO DE SARJETA DE CONCRETO USINADO, MOLDADA IN LOCO EM TRECHO RETO, 30 CM BASE X 10 CM ALTURA. AF_01/2024</t>
  </si>
  <si>
    <t>EXECUÇÃO DE SARJETA DE CONCRETO USINADO, MOLDADA IN LOCO EM TRECHO RETO, 30 CM BASE X 15 CM ALTURA. AF_01/2024</t>
  </si>
  <si>
    <t>EXECUÇÃO DE SARJETA DE CONCRETO USINADO, MOLDADA IN LOCO EM TRECHO RETO, 45 CM BASE X 10 CM ALTURA. AF_01/2024</t>
  </si>
  <si>
    <t>EXECUÇÃO DE SARJETA DE CONCRETO USINADO, MOLDADA IN LOCO EM TRECHO RETO, 45 CM BASE X 15 CM ALTURA. AF_01/2024</t>
  </si>
  <si>
    <t>EXECUÇÃO DE SARJETA DE CONCRETO USINADO, MOLDADA IN LOCO EM TRECHO RETO, 60 CM BASE X 10 CM ALTURA. AF_01/2024</t>
  </si>
  <si>
    <t>EXECUÇÃO DE SARJETA DE CONCRETO USINADO, MOLDADA IN LOCO EM TRECHO RETO, 60 CM BASE X 15 CM ALTURA. AF_01/2024</t>
  </si>
  <si>
    <t>EXECUÇÃO DE SARJETÃO DE CONCRETO USINADO, MOLDADA IN LOCO EM TRECHO RETO, 100 CM BASE X 20 CM ALTURA. AF_01/2024</t>
  </si>
  <si>
    <t>GUIA (MEIO-FIO) CONCRETO, MOLDADA IN LOCO EM TRECHO CURVO COM EXTRUSORA, 13 CM BASE X 22 CM ALTURA. AF_01/2024</t>
  </si>
  <si>
    <t>GUIA (MEIO-FIO) CONCRETO, MOLDADA IN LOCO EM TRECHO CURVO COM EXTRUSORA, 15 CM BASE X 30 CM ALTURA. AF_01/2024</t>
  </si>
  <si>
    <t>GUIA (MEIO-FIO) CONCRETO, MOLDADA IN LOCO EM TRECHO RETO COM EXTRUSORA, 13 CM BASE X 22 CM ALTURA. AF_01/2024</t>
  </si>
  <si>
    <t>GUIA (MEIO-FIO) CONCRETO, MOLDADA IN LOCO EM TRECHO RETO COM EXTRUSORA, 15 CM BASE X 30 CM ALTURA. AF_01/2024</t>
  </si>
  <si>
    <t>GUIA (MEIO-FIO) E SARJETA CONJUGADOS DE CONCRETO, MOLDADA IN LOCO EM TRECHO CURVO COM EXTRUSORA, 45 CM BASE (15 CM BASE DA GUIA + 30 CM BASE DA SARJETA) X 22 CM ALTURA. AF_01/2024</t>
  </si>
  <si>
    <t>GUIA (MEIO-FIO) E SARJETA CONJUGADOS DE CONCRETO, MOLDADA IN LOCO EM TRECHO CURVO COM EXTRUSORA, 60 CM BASE (15 CM BASE DA GUIA + 45 CM BASE DA SARJETA) X 26 CM ALTURA. AF_01/2024</t>
  </si>
  <si>
    <t>GUIA (MEIO-FIO) E SARJETA CONJUGADOS DE CONCRETO, MOLDADA IN LOCO EM TRECHO CURVO COM EXTRUSORA, 65 CM BASE (15 CM BASE DA GUIA + 50 CM BASE DA SARJETA) X 26 CM ALTURA. AF_01/2024</t>
  </si>
  <si>
    <t>GUIA (MEIO-FIO) E SARJETA CONJUGADOS DE CONCRETO, MOLDADA IN LOCO EM TRECHO RETO COM EXTRUSORA, 45 CM BASE (15 CM BASE DA GUIA + 30 CM BASE DA SARJETA) X 22 CM ALTURA. AF_01/2024</t>
  </si>
  <si>
    <t>GUIA (MEIO-FIO) E SARJETA CONJUGADOS DE CONCRETO, MOLDADA IN LOCO EM TRECHO RETO COM EXTRUSORA, 60 CM BASE (15 CM BASE DA GUIA + 45 CM BASE DA SARJETA) X 26 CM ALTURA. AF_01/2024</t>
  </si>
  <si>
    <t>GUIA (MEIO-FIO) E SARJETA CONJUGADOS DE CONCRETO, MOLDADA IN LOCO EM TRECHO RETO COM EXTRUSORA, 65 CM BASE (15 CM BASE DA GUIA + 50 CM BASE DA SARJETA) X 26 CM ALTURA. AF_01/2024</t>
  </si>
  <si>
    <t>DISJUNTOR BAIXA TENSÃO TRIPOLAR A SECO 800A/600V - FORNECIMENTO E INSTALAÇÃO. AF_10/2020</t>
  </si>
  <si>
    <t>DISJUNTOR TERMOMAGNÉTICO TRIPOLAR, CORRENTE NOMINAL DE 125A - FORNECIMENTO E INSTALAÇÃO. AF_10/2020</t>
  </si>
  <si>
    <t>DISJUNTOR TERMOMAGNÉTICO TRIPOLAR, CORRENTE NOMINAL DE 200A - FORNECIMENTO E INSTALAÇÃO. AF_10/2020</t>
  </si>
  <si>
    <t>DISJUNTOR TERMOMAGNÉTICO TRIPOLAR, CORRENTE NOMINAL DE 250A - FORNECIMENTO E INSTALAÇÃO. AF_10/2020</t>
  </si>
  <si>
    <t>DISJUNTOR TERMOMAGNÉTICO TRIPOLAR, CORRENTE NOMINAL DE 400A - FORNECIMENTO E INSTALAÇÃO. AF_10/2020</t>
  </si>
  <si>
    <t>DISJUNTOR TERMOMAGNÉTICO TRIPOLAR, CORRENTE NOMINAL DE 600A - FORNECIMENTO E INSTALAÇÃO. AF_10/2020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</si>
  <si>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</si>
  <si>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</si>
  <si>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</si>
  <si>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</si>
  <si>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ADAPTADOR COM FLANGE E ANEL DE VEDAÇÃO, PVC, SOLDÁVEL, DN 20 MM X 1/2", INSTALADO EM RESERVAÇÃO PREDIAL DE ÁGUA - FORNECIMENTO E INSTALAÇÃO. AF_04/2024</t>
  </si>
  <si>
    <t>ADAPTADOR COM FLANGE E ANEL DE VEDAÇÃO, PVC, SOLDÁVEL, DN 25 MM X 3/4", INSTALADO EM RESERVAÇÃO PREDIAL DE ÁGUA - FORNECIMENTO E INSTALAÇÃO. AF_04/2024</t>
  </si>
  <si>
    <t>ADAPTADOR CURTO COM BOLSA E ROSCA PARA REGISTRO, PVC, SOLDÁVEL, DN 25 MM X 3/4", INSTALADO EM RESERVAÇÃO PREDIAL DE ÁGUA - FORNECIMENTO E INSTALAÇÃO. AF_04/2024</t>
  </si>
  <si>
    <t>CURVA 90 GRAUS, PVC, SOLDÁVEL, DN 25 MM, INSTALADO EM RESERVAÇÃO PREDIAL DE ÁGUA - FORNECIMENTO E INSTALAÇÃO. AF_04/2024</t>
  </si>
  <si>
    <t>JOELHO 90 GRAUS COM BUCHA DE LATÃO, PVC, SOLDÁVEL, DN 25 MM X 3/4", INSTALADO EM RESERVAÇÃO PREDIAL DE ÁGUA - FORNECIMENTO E INSTALAÇÃO. AF_04/2024</t>
  </si>
  <si>
    <t>LUVA PVC, SOLDÁVEL, DN 25 MM, INSTALADO EM RESERVAÇÃO PREDIAL DE ÁGUA - FORNECIMENTO E INSTALAÇÃO. AF_04/2024</t>
  </si>
  <si>
    <t>TUBO, PPR, DN 110 MM, CLASSE PN 12, INSTALADO EM RESERVAÇÃO PREDIAL DE ÁGUA - FORNECIMENTO E INSTALAÇÃO. AF_04/2024</t>
  </si>
  <si>
    <t>TUBO, PPR, DN 110 MM, CLASSE PN 25, INSTALADO EM RESERVAÇÃO PREDIAL DE ÁGUA - FORNECIMENTO E INSTALAÇÃO. AF_04/2024</t>
  </si>
  <si>
    <t>TUBO, PPR, DN 20 MM, CLASSE PN 20, INSTALADO EM RESERVAÇÃO PREDIAL DE ÁGUA - FORNECIMENTO E INSTALAÇÃO. AF_04/2024</t>
  </si>
  <si>
    <t>TUBO, PPR, DN 20 MM, CLASSE PN 25, INSTALADO EM RESERVAÇÃO PREDIAL DE ÁGUA - FORNECIMENTO E INSTALAÇÃO. AF_04/2024</t>
  </si>
  <si>
    <t>TUBO, PPR, DN 25 MM, CLASSE PN 20, INSTALADO EM RESERVAÇÃO PREDIAL DE ÁGUA - FORNECIMENTO E INSTALAÇÃO. AF_04/2024</t>
  </si>
  <si>
    <t>TUBO, PPR, DN 25 MM, CLASSE PN 25, INSTALADO EM RESERVAÇÃO PREDIAL DE ÁGUA - FORNECIMENTO E INSTALAÇÃO. AF_04/2024</t>
  </si>
  <si>
    <t>TUBO, PPR, DN 32 MM, CLASSE PN 12, INSTALADO EM RESERVAÇÃO PREDIAL DE ÁGUA - FORNECIMENTO E INSTALAÇÃO. AF_04/2024</t>
  </si>
  <si>
    <t>TUBO, PPR, DN 32 MM, CLASSE PN 25, INSTALADO EM RESERVAÇÃO PREDIAL DE ÁGUA - FORNECIMENTO E INSTALAÇÃO. AF_04/2024</t>
  </si>
  <si>
    <t>TUBO, PPR, DN 40 MM, CLASSE PN 12, INSTALADO EM RESERVAÇÃO PREDIAL DE ÁGUA - FORNECIMENTO E INSTALAÇÃO. AF_04/2024</t>
  </si>
  <si>
    <t>TUBO, PPR, DN 40 MM, CLASSE PN 25, INSTALADO EM RESERVAÇÃO PREDIAL DE ÁGUA - FORNECIMENTO E INSTALAÇÃO. AF_04/2024</t>
  </si>
  <si>
    <t>TUBO, PPR, DN 50 MM, CLASSE PN 12, INSTALADO EM RESERVAÇÃO PREDIAL DE ÁGUA - FORNECIMENTO E INSTALAÇÃO. AF_04/2024</t>
  </si>
  <si>
    <t>TUBO, PPR, DN 50 MM, CLASSE PN 25, INSTALADO EM RESERVAÇÃO PREDIAL DE ÁGUA - FORNECIMENTO E INSTALAÇÃO. AF_04/2024</t>
  </si>
  <si>
    <t>TUBO, PPR, DN 63 MM, CLASSE PN 12, INSTALADO EM RESERVAÇÃO PREDIAL DE ÁGUA - FORNECIMENTO E INSTALAÇÃO. AF_04/2024</t>
  </si>
  <si>
    <t>TUBO, PPR, DN 63 MM, CLASSE PN 25, INSTALADO EM RESERVAÇÃO PREDIAL DE ÁGUA - FORNECIMENTO E INSTALAÇÃO. AF_04/2024</t>
  </si>
  <si>
    <t>TUBO, PPR, DN 75 MM, CLASSE PN 12, INSTALADO EM RESERVAÇÃO PREDIAL DE ÁGUA - FORNECIMENTO E INSTALAÇÃO. AF_04/2024</t>
  </si>
  <si>
    <t>TUBO, PPR, DN 75 MM, CLASSE PN 25, INSTALADO EM RESERVAÇÃO PREDIAL DE ÁGUA - FORNECIMENTO E INSTALAÇÃO. AF_04/2024</t>
  </si>
  <si>
    <t>TUBO, PPR, DN 90 MM, CLASSE PN 12, INSTALADO EM RESERVAÇÃO PREDIAL DE ÁGUA - FORNECIMENTO E INSTALAÇÃO. AF_04/2024</t>
  </si>
  <si>
    <t>TUBO, PPR, DN 90 MM, CLASSE PN 25, INSTALADO EM RESERVAÇÃO PREDIAL DE ÁGUA - FORNECIMENTO E INSTALAÇÃO. AF_04/2024</t>
  </si>
  <si>
    <t>TUBO, PVC, SOLDÁVEL, DE 25MM, INSTALADO EM RESERVAÇÃO PREDIAL DE ÁGUA - FORNECIMENTO E INSTALAÇÃO. AF_04/2024</t>
  </si>
  <si>
    <t>TÊ COM BUCHA DE LATÃO NA BOLSA CENTRAL, PVC, SOLDÁVEL, DN 25 MM X 3/4", INSTALADO EM RESERVAÇÃO PREDIAL DE ÁGUA - FORNECIMENTO E INSTALAÇÃO. AF_04/2024</t>
  </si>
  <si>
    <t>TÊ DE REDUÇÃO, PVC, SOLDÁVEL, DN 32 MM X 25 MM, INSTALADO EM RESERVAÇÃO PREDIAL DE ÁGUA - FORNECIMENTO E INSTALAÇÃO. AF_04/2024</t>
  </si>
  <si>
    <t>TÊ, PVC, SOLDÁVEL, DN 25 MM INSTALADO EM RESERVAÇÃO PREDIAL DE ÁGUA - FORNECIMENTO E INSTALAÇÃO. AF_04/2024</t>
  </si>
  <si>
    <t>LUVA, PARA INSTALAÇÕES EM PEX ÁGUA, DN 16 MM, COM ANEL DESLIZANTE - FORNECIMENTO E INSTALAÇÃO. AF_02/2023</t>
  </si>
  <si>
    <t>LUVA, PARA INSTALAÇÕES EM PEX ÁGUA, DN 20 MM, COM ANEL DESLIZANTE - FORNECIMENTO E INSTALAÇÃO. AF_02/2023</t>
  </si>
  <si>
    <t>LUVA, PARA INSTALAÇÕES EM PEX ÁGUA, DN 25 MM, COM ANEL DESLIZANTE - FORNECIMENTO E INSTALAÇÃO. AF_02/2023</t>
  </si>
  <si>
    <t>LUVA, PARA INSTALAÇÕES EM PEX ÁGUA, DN 32 MM, COM ANEL DESLIZANTE - FORNECIMENTO E INSTALAÇÃO. AF_02/2023</t>
  </si>
  <si>
    <t>BUCHA DE REDUÇÃO, PPR, 32 X 25, CLASSE PN 25, INSTALADO EM PRUMADA DE ÁGUA FORNECIMENTO E INSTALAÇÃO . AF_08/2022</t>
  </si>
  <si>
    <t>BUCHA DE REDUÇÃO, PPR, 32 X 25, CLASSE PN 25, INSTALADO EM RAMAL DE DISTRIBUIÇÃO DE ÁGUA FORNECIMENTO E INSTALAÇÃO. AF_08/2022</t>
  </si>
  <si>
    <t>BUCHA DE REDUÇÃO, PPR, 40 X 25, CLASSE PN 25, INSTALADO EM PRUMADA DE ÁGUA FORNECIMENTO E INSTALAÇÃO . AF_08/2022</t>
  </si>
  <si>
    <t>BUCHA DE REDUÇÃO, PPR, 40 X 25, CLASSE PN 25, INSTALADO EM RAMAL DE DISTRIBUIÇÃO DE ÁGUA FORNECIMENTO E INSTALAÇÃO. AF_08/2022</t>
  </si>
  <si>
    <t>CONECTOR FÊMEA, PPR, 25 X 1/2", CLASSE PN 25, INSTALADO EM PRUMADA DE ÁGUA FORNECIMENTO E INSTALAÇÃO . AF_08/2022</t>
  </si>
  <si>
    <t>CONECTOR FÊMEA, PPR, 25 X 1/2, CLASSE PN 25, INSTALADO EM RAMAL DE DISTRIBUIÇÃO DE ÁGUA FORNECIMENTO E INSTALAÇÃO. AF_08/2022</t>
  </si>
  <si>
    <t>CONECTOR FÊMEA, PPR, 25 X 1/2, CLASSE PN 25, INSTALADO EM RAMAL OU SUB-RAMAL DE ÁGUA FORNECIMENTO E INSTALAÇÃO. AF_08/2022</t>
  </si>
  <si>
    <t>CONECTOR FÊMEA, PPR, 32 X 3/4", CLASSE PN 25, INSTALADO EM RAMAL DE DISTRIBUIÇÃO DE ÁGUA FORNECIMENTO E INSTALAÇÃO. AF_08/2022</t>
  </si>
  <si>
    <t>CONECTOR MACHO, PPR, 25 X 1/2", CLASSE PN 25, INSTALADO EM PRUMADA DE ÁGUA FORNECIMENTO E INSTALAÇÃO . AF_08/2022</t>
  </si>
  <si>
    <t>CONECTOR MACHO, PPR, 25 X 1/2, CLASSE PN 25, INSTALADO EM RAMAL DE DISTRIBUIÇÃO DE ÁGUA FORNECIMENTO E INSTALAÇÃO. AF_08/2022</t>
  </si>
  <si>
    <t>CONECTOR MACHO, PPR, 25 X 1/2, CLASSE PN 25, INSTALADO EM RAMAL OU SUB-RAMAL DE ÁGUA FORNECIMENTO E INSTALAÇÃO. AF_08/2022</t>
  </si>
  <si>
    <t>CONECTOR MACHO, PPR, 32 X 3/4", CLASSE PN 25, INSTALADO EM RAMAL DE DISTRIBUIÇÃO DE ÁGUA FORNECIMENTO E INSTALAÇÃO. AF_08/2022</t>
  </si>
  <si>
    <t>JOELHO 45 GRAUS, PPR, DN 25 MM, CLASSE PN 25, INSTALADO EM PRUMADA DE ÁGUA FORNECIMENTO E INSTALAÇÃO . AF_08/2022</t>
  </si>
  <si>
    <t>JOELHO 45 GRAUS, PPR, DN 25 MM, CLASSE PN 25, INSTALADO EM RAMAL DE DISTRIBUIÇÃO DE ÁGUA FORNECIMENTO E INSTALAÇÃO. AF_08/2022</t>
  </si>
  <si>
    <t>JOELHO 45 GRAUS, PPR, DN 25 MM, CLASSE PN 25, INSTALADO EM RAMAL OU SUB-RAMAL DE ÁGUA FORNECIMENTO E INSTALAÇÃO. AF_08/2022</t>
  </si>
  <si>
    <t>JOELHO 45 GRAUS, PPR, DN 32 MM, CLASSE PN 25, INSTALADO EM PRUMADA DE ÁGUA FORNECIMENTO E INSTALAÇÃO . AF_08/2022</t>
  </si>
  <si>
    <t>JOELHO 45 GRAUS, PPR, DN 40 MM, CLASSE PN 25, INSTALADO EM PRUMADA DE ÁGUA FORNECIMENTO E INSTALAÇÃO . AF_08/2022</t>
  </si>
  <si>
    <t>JOELHO 45 GRAUS, PPR, DN 50 MM, CLASSE PN 25, INSTALADO EM PRUMADA DE ÁGUA FORNECIMENTO E INSTALAÇÃO . AF_08/2022</t>
  </si>
  <si>
    <t>JOELHO 45 GRAUS, PPR, DN 63 MM, CLASSE PN 25, INSTALADO EM PRUMADA DE ÁGUA FORNECIMENTO E INSTALAÇÃO . AF_08/2022</t>
  </si>
  <si>
    <t>JOELHO 45 GRAUS, PPR, DN 75 MM, CLASSE PN 25, INSTALADO EM PRUMADA DE ÁGUA FORNECIMENTO E INSTALAÇÃO . AF_08/2022</t>
  </si>
  <si>
    <t>JOELHO 90 GRAUS, PPR, DN 110 MM, CLASSE PN 25, INSTALADO EM PRUMADA DE ÁGUA FORNECIMENTO E INSTALAÇÃO . AF_08/2022</t>
  </si>
  <si>
    <t>JOELHO 90 GRAUS, PPR, DN 25 MM, CLASSE PN 25, INSTALADO EM PRUMADA DE ÁGUA FORNECIMENTO E INSTALAÇÃO . AF_08/2022</t>
  </si>
  <si>
    <t>JOELHO 90 GRAUS, PPR, DN 25 MM, CLASSE PN 25, INSTALADO EM RAMAL DE DISTRIBUIÇÃO FORNECIMENTO E INSTALAÇÃO. AF_08/2022</t>
  </si>
  <si>
    <t>JOELHO 90 GRAUS, PPR, DN 25 MM, CLASSE PN 25, INSTALADO EM RAMAL OU SUB-RAMAL DE ÁGUA FORNECIMENTO E INSTALAÇÃO. AF_08/2022</t>
  </si>
  <si>
    <t>JOELHO 90 GRAUS, PPR, DN 32 MM, CLASSE PN 25, INSTALADO EM PRUMADA DE ÁGUA FORNECIMENTO E INSTALAÇÃO . AF_08/2022</t>
  </si>
  <si>
    <t>JOELHO 90 GRAUS, PPR, DN 40 MM, CLASSE PN 25, INSTALADO EM PRUMADA DE ÁGUA FORNECIMENTO E INSTALAÇÃO . AF_08/2022</t>
  </si>
  <si>
    <t>JOELHO 90 GRAUS, PPR, DN 50 MM, CLASSE PN 25, INSTALADO EM PRUMADA DE ÁGUA FORNECIMENTO E INSTALAÇÃO . AF_08/2022</t>
  </si>
  <si>
    <t>JOELHO 90 GRAUS, PPR, DN 63 MM, CLASSE PN 25, INSTALADO EM PRUMADA DE ÁGUA FORNECIMENTO E INSTALAÇÃO . AF_08/2022</t>
  </si>
  <si>
    <t>JOELHO 90 GRAUS, PPR, DN 75 MM, CLASSE PN 25, INSTALADO EM PRUMADA DE ÁGUA FORNECIMENTO E INSTALAÇÃO . AF_08/2022</t>
  </si>
  <si>
    <t>JOELHO 90 GRAUS, PPR, DN 90 MM, CLASSE PN 25, INSTALADO EM PRUMADA DE ÁGUA FORNECIMENTO E INSTALAÇÃO . AF_08/2022</t>
  </si>
  <si>
    <t>LUVA, PPR, DN 110 MM, CLASSE PN 25, INSTALADO EM PRUMADA DE ÁGUA FORNECIMENTO E INSTALAÇÃO. AF_08/2022</t>
  </si>
  <si>
    <t>LUVA, PPR, DN 25 MM, CLASSE PN 25, INSTALADO EM PRUMADA DE ÁGUA FORNECIMENTO E INSTALAÇÃO . AF_08/2022</t>
  </si>
  <si>
    <t>LUVA, PPR, DN 25 MM, CLASSE PN 25, INSTALADO EM RAMAL DE DISTRIBUIÇÃO DE ÁGUA FORNECIMENTO E INSTALAÇÃO. AF_08/2022</t>
  </si>
  <si>
    <t>LUVA, PPR, DN 25 MM, CLASSE PN 25, INSTALADO EM RAMAL OU SUB-RAMAL DE ÁGUA FORNECIMENTO E INSTALAÇÃO. AF_08/2022</t>
  </si>
  <si>
    <t>LUVA, PPR, DN 32 MM, CLASSE PN 25, INSTALADO EM PRUMADA DE ÁGUA FORNECIMENTO E INSTALAÇÃO. AF_08/2022</t>
  </si>
  <si>
    <t>LUVA, PPR, DN 32 MM, CLASSE PN 25, INSTALADO EM RAMAL DE DISTRIBUIÇÃO DE ÁGUA FORNECIMENTO E INSTALAÇÃO. AF_08/2022</t>
  </si>
  <si>
    <t>LUVA, PPR, DN 40 MM, CLASSE PN 25, INSTALADO EM PRUMADA DE ÁGUA FORNECIMENTO E INSTALAÇÃO. AF_08/2022</t>
  </si>
  <si>
    <t>LUVA, PPR, DN 40 MM, CLASSE PN 25, INSTALADO EM RAMAL DE DISTRIBUIÇÃO DE ÁGUA FORNECIMENTO E INSTALAÇÃO.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</si>
  <si>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</si>
  <si>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</si>
  <si>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</si>
  <si>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</si>
  <si>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TUBO, PPR, DN 110, CLASSE PN 12, INSTALADO EM PRUMADA DE ÁGUA FORNECIMENTO E INSTALAÇÃO. AF_08/2022</t>
  </si>
  <si>
    <t>TUBO, PPR, DN 110, CLASSE PN 25, INSTALADO EM PRUMADA DE ÁGUA FORNECIMENTO E INSTALAÇÃO. AF_08/2022</t>
  </si>
  <si>
    <t>TUBO, PPR, DN 25, CLASSE PN 20, INSTALADO EM PRUMADA DE ÁGUA FORNECIMENTO E INSTALAÇÃO. AF_08/2022</t>
  </si>
  <si>
    <t>TUBO, PPR, DN 25, CLASSE PN 20, INSTALADO EM RAMAL DE DISTRIBUIÇÃO DE ÁGUA FORNECIMENTO E INSTALAÇÃO. AF_08/2022</t>
  </si>
  <si>
    <t>TUBO, PPR, DN 25, CLASSE PN 20, INSTALADO EM RAMAL OU SUB-RAMAL DE ÁGUA FORNECIMENTO E INSTALAÇÃO. AF_08/2022</t>
  </si>
  <si>
    <t>TUBO, PPR, DN 25, CLASSE PN 25 INSTALADO EM RAMAL OU SUB-RAMAL DE ÁGUA FORNECIMENTO E INSTALAÇÃO. AF_08/2022</t>
  </si>
  <si>
    <t>TUBO, PPR, DN 25, CLASSE PN 25, INSTALADO EM PRUMADA DE ÁGUA FORNECIMENTO E INSTALAÇÃO. AF_08/2022</t>
  </si>
  <si>
    <t>TUBO, PPR, DN 25, CLASSE PN 25, INSTALADO EM RAMAL DE DISTRIBUIÇÃO DE ÁGUA FORNECIMENTO E INSTALAÇÃO. AF_08/2022</t>
  </si>
  <si>
    <t>TUBO, PPR, DN 32, CLASSE PN 12, INSTALADO EM PRUMADA DE ÁGUA FORNECIMENTO E INSTALAÇÃO. AF_08/2022</t>
  </si>
  <si>
    <t>TUBO, PPR, DN 32, CLASSE PN 12, INSTALADO EM RAMAL DE DISTRIBUIÇÃO DE ÁGUA FORNECIMENTO E INSTALAÇÃO. AF_08/2022</t>
  </si>
  <si>
    <t>TUBO, PPR, DN 32, CLASSE PN 25, INSTALADO EM PRUMADA DE ÁGUA FORNECIMENTO E INSTALAÇÃO. AF_08/2022</t>
  </si>
  <si>
    <t>TUBO, PPR, DN 32, CLASSE PN 25, INSTALADO EM RAMAL DE DISTRIBUIÇÃO DE ÁGUA FORNECIMENTO E INSTALAÇÃO. AF_08/2022</t>
  </si>
  <si>
    <t>TUBO, PPR, DN 40, CLASSE PN 12, INSTALADO EM PRUMADA DE ÁGUA FORNECIMENTO E INSTALAÇÃO. AF_08/2022</t>
  </si>
  <si>
    <t>TUBO, PPR, DN 40, CLASSE PN 12, INSTALADO EM RAMAL DE DISTRIBUIÇÃO DE ÁGUA FORNECIMENTO E INSTALAÇÃO. AF_08/2022</t>
  </si>
  <si>
    <t>TUBO, PPR, DN 40, CLASSE PN 25, INSTALADO EM PRUMADA DE ÁGUA FORNECIMENTO E INSTALAÇÃO. AF_08/2022</t>
  </si>
  <si>
    <t>TUBO, PPR, DN 40, CLASSE PN 25, INSTALADO EM RAMAL DE DISTRIBUIÇÃO DE ÁGUA FORNECIMENTO E INSTALAÇÃO. AF_08/2022</t>
  </si>
  <si>
    <t>TUBO, PPR, DN 50, CLASSE PN 12, INSTALADO EM PRUMADA DE ÁGUA FORNECIMENTO E INSTALAÇÃO. AF_08/2022</t>
  </si>
  <si>
    <t>TUBO, PPR, DN 50, CLASSE PN 25, INSTALADO EM PRUMADA DE ÁGUA FORNECIMENTO E INSTALAÇÃO. AF_08/2022</t>
  </si>
  <si>
    <t>TUBO, PPR, DN 63, CLASSE PN 12, INSTALADO EM PRUMADA DE ÁGUA FORNECIMENTO E INSTALAÇÃO. AF_08/2022</t>
  </si>
  <si>
    <t>TUBO, PPR, DN 63, CLASSE PN 25, INSTALADO EM PRUMADA DE ÁGUA FORNECIMENTO E INSTALAÇÃO. AF_08/2022</t>
  </si>
  <si>
    <t>TUBO, PPR, DN 75, CLASSE PN 12, INSTALADO EM PRUMADA DE ÁGUA FORNECIMENTO E INSTALAÇÃO. AF_08/2022</t>
  </si>
  <si>
    <t>TUBO, PPR, DN 75, CLASSE PN 25, INSTALADO EM PRUMADA DE ÁGUA FORNECIMENTO E INSTALAÇÃO. AF_08/2022</t>
  </si>
  <si>
    <t>TUBO, PPR, DN 90, CLASSE PN 12, INSTALADO EM PRUMADA DE ÁGUA FORNECIMENTO E INSTALAÇÃO. AF_08/2022</t>
  </si>
  <si>
    <t>TUBO, PPR, DN 90, CLASSE PN 25, INSTALADO EM PRUMADA DE ÁGUA FORNECIMENTO E INSTALAÇÃO. AF_08/2022</t>
  </si>
  <si>
    <t>TÊ MISTURADOR, PPR, 25 X 3/4, CLASSE PN 25, INSTALADO EM RAMAL OU SUB-RAMAL DE ÁGUA FORNECIMENTO E INSTALAÇÃO. AF_08/2022</t>
  </si>
  <si>
    <t>TÊ NORMAL, PPR, DN 110 MM, CLASSE PN 25, INSTALADO EM PRUMADA DE ÁGUA FORNECIMENTO E INSTALAÇÃO . AF_08/2022</t>
  </si>
  <si>
    <t>TÊ NORMAL, PPR, DN 25 MM, CLASSE PN 25, INSTALADO EM PRUMADA DE ÁGUA FORNECIMENTO E INSTALAÇÃO . AF_08/2022</t>
  </si>
  <si>
    <t>TÊ NORMAL, PPR, DN 25 MM, CLASSE PN 25, INSTALADO EM RAMAL DE DISTRIBUIÇÃO DE ÁGUA FORNECIMENTO E INSTALAÇÃO. AF_08/2022</t>
  </si>
  <si>
    <t>TÊ NORMAL, PPR, DN 25 MM, CLASSE PN 25, INSTALADO EM RAMAL OU SUB-RAMAL DE ÁGUA FORNECIMENTO E INSTALAÇÃO. AF_08/2022</t>
  </si>
  <si>
    <t>TÊ NORMAL, PPR, DN 32 MM, CLASSE PN 25, INSTALADO EM PRUMADA DE ÁGUA FORNECIMENTO E INSTALAÇÃO . AF_08/2022</t>
  </si>
  <si>
    <t>TÊ NORMAL, PPR, DN 32 MM, CLASSE PN 25, INSTALADO EM RAMAL DE DISTRIBUIÇÃO DE ÁGUA FORNECIMENTO E INSTALAÇÃO. AF_08/2022</t>
  </si>
  <si>
    <t>TÊ NORMAL, PPR, DN 40 MM, CLASSE PN 25, INSTALADO EM PRUMADA DE ÁGUA FORNECIMENTO E INSTALAÇÃO . AF_08/2022</t>
  </si>
  <si>
    <t>TÊ NORMAL, PPR, DN 40 MM, CLASSE PN 25, INSTALADO EM RAMAL DE DISTRIBUIÇÃO DE ÁGUA FORNECIMENTO E INSTALAÇÃO.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</si>
  <si>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</si>
  <si>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</si>
  <si>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</si>
  <si>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</si>
  <si>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ADAPTADOR CURTO COM BOLSA E ROSCA PARA REGISTRO, PVC, SOLDÁVEL, DN 20MM X 1/2, INSTALADO EM RAMAL OU SUB-RAMAL DE ÁGUA - FORNECIMENTO E INSTALAÇÃO. AF_06/2022</t>
  </si>
  <si>
    <t>ADAPTADOR CURTO COM BOLSA E ROSCA PARA REGISTRO, PVC, SOLDÁVEL, DN 25MM X 3/4, INSTALADO EM RAMAL DE DISTRIBUIÇÃO DE ÁGUA - FORNECIMENTO E INSTALAÇÃO. AF_06/2022</t>
  </si>
  <si>
    <t>ADAPTADOR CURTO COM BOLSA E ROSCA PARA REGISTRO, PVC, SOLDÁVEL, DN 25MM X 3/4, INSTALADO EM RAMAL OU SUB-RAMAL DE ÁGUA - FORNECIMENTO E INSTALAÇÃO. AF_06/2022</t>
  </si>
  <si>
    <t>ADAPTADOR CURTO COM BOLSA E ROSCA PARA REGISTRO, PVC, SOLDÁVEL, DN 32MM X 1, INSTALADO EM PRUMADA DE ÁGUA - FORNECIMENTO E INSTALAÇÃO. AF_06/2022</t>
  </si>
  <si>
    <t>ADAPTADOR CURTO COM BOLSA E ROSCA PARA REGISTRO, PVC, SOLDÁVEL, DN 32MM X 1, INSTALADO EM RAMAL DE DISTRIBUIÇÃO DE ÁGUA - FORNECIMENTO E INSTALAÇÃO. AF_06/2022</t>
  </si>
  <si>
    <t>ADAPTADOR CURTO COM BOLSA E ROSCA PARA REGISTRO, PVC, SOLDÁVEL, DN 32MM X 1, INSTALADO EM RAMAL OU SUB-RAMAL DE ÁGUA - FORNECIMENTO E INSTALAÇÃO. AF_06/2022</t>
  </si>
  <si>
    <t>ADAPTADOR CURTO COM BOLSA E ROSCA PARA REGISTRO, PVC, SOLDÁVEL, DN 40MM X 1.1/2, INSTALADO EM PRUMADA DE ÁGUA - FORNECIMENTO E INSTALAÇÃO. AF_06/2022</t>
  </si>
  <si>
    <t>ADAPTADOR CURTO COM BOLSA E ROSCA PARA REGISTRO, PVC, SOLDÁVEL, DN 40MM X 1.1/4, INSTALADO EM PRUMADA DE ÁGUA - FORNECIMENTO E INSTALAÇÃO. AF_06/2022</t>
  </si>
  <si>
    <t>ADAPTADOR CURTO COM BOLSA E ROSCA PARA REGISTRO, PVC, SOLDÁVEL, DN 50MM X 1.1/2, INSTALADO EM PRUMADA DE ÁGUA - FORNECIMENTO E INSTALAÇÃO. AF_06/2022</t>
  </si>
  <si>
    <t>ADAPTADOR CURTO COM BOLSA E ROSCA PARA REGISTRO, PVC, SOLDÁVEL, DN 50MM X 1.1/4, INSTALADO EM PRUMADA DE ÁGUA - FORNECIMENTO E INSTALAÇÃO. AF_06/2022</t>
  </si>
  <si>
    <t>ADAPTADOR CURTO COM BOLSA E ROSCA PARA REGISTRO, PVC, SOLDÁVEL, DN 60MM X 2, INSTALADO EM PRUMADA DE ÁGUA - FORNECIMENTO E INSTALAÇÃO. AF_06/2022</t>
  </si>
  <si>
    <t>ADAPTADOR CURTO COM BOLSA E ROSCA PARA REGISTRO, PVC, SOLDÁVEL, DN 85MM X 3, INSTALADO EM PRUMADA DE ÁGUA - FORNECIMENTO E INSTALAÇÃO. AF_06/2022</t>
  </si>
  <si>
    <t>BUCHA DE REDUÇÃO, LONGA, PVC, SOLDÁVEL, DN 50 X 32 MM, INSTALADO EM PRUMADA DE ÁGUA - FORNECIMENTO E INSTALAÇÃO. AF_06/2022</t>
  </si>
  <si>
    <t>BUCHA DE REDUÇÃO, LONGA, PVC, SOLDÁVEL, DN 50 X 32 MM, INSTALADO EM RAMAL DE DISTRIBUIÇÃO DE ÁGUA - FORNECIMENTO E INSTALAÇÃO. AF_06/2022</t>
  </si>
  <si>
    <t>CURVA DE TRANSPOSIÇÃO, PVC, SOLDÁVEL, DN 20MM, INSTALADO EM RAMAL DE DISTRIBUIÇÃO DE ÁGUA FORNECIMENTO E INSTALAÇÃO. AF_06/2022</t>
  </si>
  <si>
    <t>CURVA DE TRANSPOSIÇÃO, PVC, SOLDÁVEL, DN 25MM, INSTALADO EM PRUMADA DE ÁGUA - FORNECIMENTO E INSTALAÇÃO. AF_06/2022</t>
  </si>
  <si>
    <t>CURVA DE TRANSPOSIÇÃO, PVC, SOLDÁVEL, DN 25MM, INSTALADO EM RAMAL DE DISTRIBUIÇÃO DE ÁGUA FORNECIMENTO E INSTALAÇÃO. AF_06/2022</t>
  </si>
  <si>
    <t>CURVA DE TRANSPOSIÇÃO, PVC, SOLDÁVEL, DN 25MM, INSTALADO EM RAMAL OU SUB-RAMAL DE ÁGUA FORNECIMENTO E INSTALAÇÃO. AF_06/2022</t>
  </si>
  <si>
    <t>CURVA DE TRANSPOSIÇÃO, PVC, SOLDÁVEL, DN 32MM, INSTALADO EM PRUMADA DE ÁGUA FORNECIMENTO E INSTALAÇÃO. AF_06/2022</t>
  </si>
  <si>
    <t>CURVA DE TRANSPOSIÇÃO, PVC, SOLDÁVEL, DN 32MM, INSTALADO EM RAMAL DE DISTRIBUIÇÃO DE ÁGUA FORNECIMENTO E INSTALAÇÃO. AF_06/2022</t>
  </si>
  <si>
    <t>CURVA DE TRANSPOSIÇÃO, PVC, SOLDÁVEL, DN 32MM, INSTALADO EM RAMAL OU SUB-RAMAL DE ÁGUA FORNECIMENTO E INSTALAÇÃO. AF_06/2022</t>
  </si>
  <si>
    <t>JOELHO 90 GRAUS COM BUCHA DE LATÃO, PVC, SOLDÁVEL, DN 25MM, X 1/2 INSTALADO EM RAMAL OU SUB-RAMAL DE ÁGUA - FORNECIMENTO E INSTALAÇÃO. AF_06/2022</t>
  </si>
  <si>
    <t>JOELHO 90 GRAUS COM BUCHA DE LATÃO, PVC, SOLDÁVEL, DN 25MM, X 3/4 INSTALADO EM RAMAL OU SUB-RAMAL DE ÁGUA - FORNECIMENTO E INSTALAÇÃO. AF_06/2022</t>
  </si>
  <si>
    <t>JOELHO 90 GRAUS, PVC, SOLDÁVEL, DN 25MM, X 3/4 INSTALADO EM RAMAL DE DISTRIBUIÇÃO DE ÁGUA - FORNECIMENTO E INSTALAÇÃO. AF_06/2022</t>
  </si>
  <si>
    <t>LUVA COM BUCHA DE LATÃO, PVC, SOLDÁVEL, DN 25MM X 3/4, INSTALADO EM RAMAL DE DISTRIBUIÇÃO DE ÁGUA - FORNECIMENTO E INSTALAÇÃO. AF_06/2022</t>
  </si>
  <si>
    <t>LUVA COM BUCHA DE LATÃO, PVC, SOLDÁVEL, DN 25MM X 3/4, INSTALADO EM RAMAL OU SUB-RAMAL DE ÁGUA - FORNECIMENTO E INSTALAÇÃO. AF_06/2022</t>
  </si>
  <si>
    <t>LUVA COM BUCHA DE LATÃO, PVC, SOLDÁVEL, DN 32MM X 1, INSTALADO EM RAMAL DE DISTRIBUIÇÃO DE ÁGUA FORNECIMENTO E INSTALAÇÃO. AF_06/2022</t>
  </si>
  <si>
    <t>LUVA COM BUCHA DE LATÃO, PVC, SOLDÁVEL, DN 32MM X 1, INSTALADO EM RAMAL OU SUB-RAMAL DE ÁGUA FORNECIMENTO E INSTALAÇÃO. AF_06/2022</t>
  </si>
  <si>
    <t>LUVA COM ROSCA, PVC, SOLDÁVEL, DN 40MM X 1.1/4, INSTALADO EM PRUMADA DE ÁGUA - FORNECIMENTO E INSTALAÇÃO. AF_06/2022</t>
  </si>
  <si>
    <t>LUVA COM ROSCA, PVC, SOLDÁVEL, DN 50MM X 1.1/2, INSTALADO EM PRUMADA DE ÁGUA - FORNECIMENTO E INSTALAÇÃO. AF_06/2022</t>
  </si>
  <si>
    <t>LUVA DE CORRER, PVC, SOLDÁVEL, DN 32MM, INSTALADO EM RAMAL DE DISTRIBUIÇÃO DE ÁGUA FORNECIMENTO E INSTALAÇÃO. AF_06/2022</t>
  </si>
  <si>
    <t>LUVA DE CORRER, PVC, SOLDÁVEL, DN 32MM, INSTALADO EM RAMAL OU SUB-RAMAL DE ÁGUA FORNECIMENTO E INSTALAÇÃO. AF_06/2022</t>
  </si>
  <si>
    <t>LUVA DE CORRER, PVC, SOLDÁVEL, DN 40MM, INSTALADO EM PRUMADA DE ÁGUA FORNECIMENTO E INSTALAÇÃO. AF_06/2022</t>
  </si>
  <si>
    <t>LUVA DE CORRER, PVC, SOLDÁVEL, DN 60MM, INSTALADO EM PRUMADA DE ÁGUA FORNECIMENTO E INSTALAÇÃO. AF_06/2022</t>
  </si>
  <si>
    <t>LUVA DE REDUÇÃO, PVC, SOLDÁVEL, DN 50MM X 25MM, INSTALADO EM PRUMADA DE ÁGUA FORNECIMENTO E INSTALAÇÃO. AF_06/2022</t>
  </si>
  <si>
    <t>LUVA DE REDUÇÃO, PVC, SOLDÁVEL, DN 50MM X 25MM, INSTALADO EM RAMAL DE DISTRIBUIÇÃO DE ÁGUA FORNECIMENTO E INSTALAÇÃO. AF_06/2022</t>
  </si>
  <si>
    <t>LUVA SOLDÁVEL E COM BUCHA DE LATÃO, PVC, SOLDÁVEL, DN 32MM X 1, INSTALADO EM PRUMADA DE ÁGUA FORNECIMENTO E INSTALAÇÃO. AF_06/2022</t>
  </si>
  <si>
    <t>LUVA SOLDÁVEL E COM ROSCA, PVC, SOLDÁVEL, DN 25MM X 3/4, INSTALADO EM RAMAL OU SUB-RAMAL DE ÁGUA - FORNECIMENTO E INSTALAÇÃO. AF_06/2022</t>
  </si>
  <si>
    <t>LUVA SOLDÁVEL E COM ROSCA, PVC, SOLDÁVEL, DN 32MM X 1, INSTALADO EM PRUMADA DE ÁGUA - FORNECIMENTO E INSTALAÇÃO. AF_06/2022</t>
  </si>
  <si>
    <t>LUVA SOLDÁVEL E COM ROSCA, PVC, SOLDÁVEL, DN 32MM X 1, INSTALADO EM RAMAL DE DISTRIBUIÇÃO DE ÁGUA - FORNECIMENTO E INSTALAÇÃO. AF_06/2022</t>
  </si>
  <si>
    <t>LUVA SOLDÁVEL E COM ROSCA, PVC, SOLDÁVEL, DN 32MM X 1, INSTALADO EM RAMAL OU SUB-RAMAL DE ÁGUA - FORNECIMENTO E INSTALAÇÃO. AF_06/2022</t>
  </si>
  <si>
    <t>TÊ COM BUCHA DE LATÃO NA BOLSA CENTRAL, PVC, SOLDÁVEL, DN 20MM X 1/2, INSTALADO EM RAMAL OU SUB-RAMAL DE ÁGUA - FORNECIMENTO E INSTALAÇÃO. AF_06/2022</t>
  </si>
  <si>
    <t>TÊ COM BUCHA DE LATÃO NA BOLSA CENTRAL, PVC, SOLDÁVEL, DN 25MM X 1/2, INSTALADO EM RAMAL OU SUB-RAMAL DE ÁGUA - FORNECIMENTO E INSTALAÇÃO. AF_06/2022</t>
  </si>
  <si>
    <t>TÊ COM BUCHA DE LATÃO NA BOLSA CENTRAL, PVC, SOLDÁVEL, DN 25MM X 3/4, INSTALADO EM RAMAL OU SUB-RAMAL DE ÁGUA - FORNECIMENTO E INSTALAÇÃO. AF_06/2022</t>
  </si>
  <si>
    <t>TÊ COM BUCHA DE LATÃO NA BOLSA CENTRAL, PVC, SOLDÁVEL, DN 32MM X 3/4, INSTALADO EM RAMAL DE DISTRIBUIÇÃO DE ÁGUA - FORNECIMENTO E INSTALAÇÃO. AF_06/2022</t>
  </si>
  <si>
    <t>TÊ COM BUCHA DE LATÃO NA BOLSA CENTRAL, PVC, SOLDÁVEL, DN 32MM X 3/4, INSTALADO EM RAMAL OU SUB-RAMAL DE ÁGUA - FORNECIMENTO E INSTALAÇÃO. AF_06/2022</t>
  </si>
  <si>
    <t>TÊ SOLDÁVEL E COM ROSCA NA BOLSA CENTRAL, PVC, SOLDÁVEL, DN 20MM X 1/2, INSTALADO EM RAMAL DE DISTRIBUIÇÃO DE ÁGUA - FORNECIMENTO E INSTALAÇÃO. AF_06/2022</t>
  </si>
  <si>
    <t>ADAPTADOR, CPVC, SOLDÁVEL, DN 22MM, INSTALADO EM RAMAL DE DISTRIBUIÇÃO DE ÁGUA FORNECIMENTO E INSTALAÇÃO. AF_06/2022</t>
  </si>
  <si>
    <t>ADAPTADOR, CPVC, SOLDÁVEL, DN15MM, INSTALADO EM RAMAL OU SUB-RAMAL DE ÁGUA FORNECIMENTO E INSTALAÇÃO. AF_06/2022</t>
  </si>
  <si>
    <t>ADAPTADOR, CPVC, SOLDÁVEL, DN22MM, INSTALADO EM RAMAL OU SUB-RAMAL DE ÁGUA FORNECIMENTO E INSTALAÇÃO. AF_06/2022</t>
  </si>
  <si>
    <t>BUCHA DE REDUÇÃO, CPVC, SOLDÁVEL, DN22MM X 15MM, INSTALADO EM RAMAL OU SUB-RAMAL DE ÁGUA FORNECIMENTO E INSTALAÇÃO. AF_06/2022</t>
  </si>
  <si>
    <t>BUCHA DE REDUÇÃO, CPVC, SOLDÁVEL, DN28MM X 22MM, INSTALADO EM RAMAL OU SUB-RAMAL DE ÁGUA FORNECIMENTO E INSTALAÇÃO. AF_06/2022</t>
  </si>
  <si>
    <t>BUCHA DE REDUÇÃO, CPVC, SOLDÁVEL, DN35MM X 28MM, INSTALADO EM RAMAL OU SUB-RAMAL DE ÁGUA FORNECIMENTO E INSTALAÇÃO. AF_06/2022</t>
  </si>
  <si>
    <t>CONECTOR, CPVC, SOLDÁVEL, DN 15MM X 1/2, INSTALADO EM RAMAL OU SUB-RAMAL DE ÁGUA FORNECIMENTO E INSTALAÇÃO. AF_06/2022</t>
  </si>
  <si>
    <t>CONECTOR, CPVC, SOLDÁVEL, DN 22MM X 1/2, INSTALADO EM RAMAL OU SUB-RAMAL DE ÁGUA FORNECIMENTO E INSTALAÇÃO. AF_06/2022</t>
  </si>
  <si>
    <t>CONECTOR, CPVC, SOLDÁVEL, DN 28MM X 1, INSTALADO EM RAMAL DE DISTRIBUIÇÃO DE ÁGUA FORNECIMENTO E INSTALAÇÃO. AF_06/2022</t>
  </si>
  <si>
    <t>CONECTOR, CPVC, SOLDÁVEL, DN 28MM X 1, INSTALADO EM RAMAL OU SUB-RAMAL DE ÁGUA FORNECIMENTO E INSTALAÇÃO. AF_06/2022</t>
  </si>
  <si>
    <t>CONECTOR, CPVC, SOLDÁVEL, DN 35MM X 1 1/4, INSTALADO EM PRUMADA DE ÁGUA FORNECIMENTO E INSTALAÇÃO. AF_06/2022</t>
  </si>
  <si>
    <t>CONECTOR, CPVC, SOLDÁVEL, DN 35MM X 1 1/4, INSTALADO EM RAMAL DE DISTRIBUIÇÃO DE ÁGUA - FORNECIMENTO E INSTALAÇÃO. AF_06/2022</t>
  </si>
  <si>
    <t>CONECTOR, CPVC, SOLDÁVEL, DN 35MM X 1 1/4, INSTALADO EM RAMAL OU SUB-RAMAL DE ÁGUA FORNECIMENTO E INSTALAÇÃO. AF_06/2022</t>
  </si>
  <si>
    <t>CONECTOR, CPVC, SOLDÁVEL, DN 42MM X 1.1/2, INSTALADO EM PRUMADA DE ÁGUA FORNECIMENTO E INSTALAÇÃO. AF_06/2022</t>
  </si>
  <si>
    <t>CURVA 90 GRAUS, CPVC, SOLDÁVEL, DN 28MM, INSTALADO EM RAMAL DE DISTRIBUIÇÃO DE ÁGUA FORNECIMENTO E INSTALAÇÃO. AF_06/2022</t>
  </si>
  <si>
    <t>CURVA 90 GRAUS, CPVC, SOLDÁVEL, DN 28MM, INSTALADO EM RAMAL OU SUB-RAMAL DE ÁGUA FORNECIMENTO E INSTALAÇÃO. AF_06/2022</t>
  </si>
  <si>
    <t>CURVA DE TRANSPOSIÇÃO, CPVC, SOLDÁVEL, DN 22MM, INSTALADO EM RAMAL DE DISTRIBUIÇÃO DE ÁGUA FORNECIMENTO E INSTALAÇÃO. AF_06/2022</t>
  </si>
  <si>
    <t>CURVA DE TRANSPOSIÇÃO, CPVC, SOLDÁVEL, DN15MM, INSTALADO EM RAMAL OU SUB-RAMAL DE ÁGUA FORNECIMENTO E INSTALAÇÃO. AF_06/2022</t>
  </si>
  <si>
    <t>CURVA DE TRANSPOSIÇÃO, CPVC, SOLDÁVEL, DN22MM, INSTALADO EM RAMAL OU SUB-RAMAL DE ÁGUA FORNECIMENTO E INSTALAÇÃO. AF_06/2022</t>
  </si>
  <si>
    <t>JOELHO 45 GRAUS, CPVC, SOLDÁVEL, DN 22MM, INSTALADO EM RAMAL DE DISTRIBUIÇÃO DE ÁGUA FORNECIMENTO E INSTALAÇÃO. AF_06/2022</t>
  </si>
  <si>
    <t>JOELHO 45 GRAUS, CPVC, SOLDÁVEL, DN 28MM, INSTALADO EM RAMAL DE DISTRIBUIÇÃO DE ÁGUA FORNECIMENTO E INSTALAÇÃO. AF_06/2022</t>
  </si>
  <si>
    <t>JOELHO 45 GRAUS, CPVC, SOLDÁVEL, DN 28MM, INSTALADO EM RAMAL OU SUB-RAMAL DE ÁGUA FORNECIMENTO E INSTALAÇÃO. AF_06/2022</t>
  </si>
  <si>
    <t>JOELHO 45 GRAUS, CPVC, SOLDÁVEL, DN 35MM, INSTALADO EM RAMAL DE DISTRIBUIÇÃO DE ÁGUA FORNECIMENTO E INSTALAÇÃO. AF_06/2022</t>
  </si>
  <si>
    <t>JOELHO 45 GRAUS, CPVC, SOLDÁVEL, DN 35MM, INSTALADO EM RAMAL OU SUB-RAMAL DE ÁGUA FORNECIMENTO E INSTALAÇÃO. AF_06/2022</t>
  </si>
  <si>
    <t>JOELHO 45 GRAUS, CPVC, SOLDÁVEL, DN 42MM, INSTALADO EM PRUMADA DE ÁGUA FORNECIMENTO E INSTALAÇÃO. AF_06/2022</t>
  </si>
  <si>
    <t>JOELHO 45 GRAUS, CPVC, SOLDÁVEL, DN 54MM, INSTALADO EM PRUMADA DE ÁGUA FORNECIMENTO E INSTALAÇÃO. AF_06/2022</t>
  </si>
  <si>
    <t>JOELHO 45 GRAUS, CPVC, SOLDÁVEL, DN 73MM, INSTALADO EM PRUMADA DE ÁGUA FORNECIMENTO E INSTALAÇÃO. AF_06/2022</t>
  </si>
  <si>
    <t>JOELHO 45 GRAUS, CPVC, SOLDÁVEL, DN 89MM, INSTALADO EM PRUMADA DE ÁGUA FORNECIMENTO E INSTALAÇÃO. AF_06/2022</t>
  </si>
  <si>
    <t>JOELHO 90 GRAUS, CPVC, SOLDÁVEL, DN 22MM, INSTALADO EM RAMAL DE DISTRIBUIÇÃO DE ÁGUA FORNECIMENTO E INSTALAÇÃO. AF_06/2022</t>
  </si>
  <si>
    <t>JOELHO 90 GRAUS, CPVC, SOLDÁVEL, DN 28MM, INSTALADO EM RAMAL DE DISTRIBUIÇÃO DE ÁGUA FORNECIMENTO E INSTALAÇÃO. AF_06/2022</t>
  </si>
  <si>
    <t>JOELHO 90 GRAUS, CPVC, SOLDÁVEL, DN 35MM, INSTALADO EM PRUMADA DE ÁGUA FORNECIMENTO E INSTALAÇÃO. AF_06/2022</t>
  </si>
  <si>
    <t>JOELHO 90 GRAUS, CPVC, SOLDÁVEL, DN 35MM, INSTALADO EM RAMAL DE DISTRIBUIÇÃO DE ÁGUA FORNECIMENTO E INSTALAÇÃO. AF_06/2022</t>
  </si>
  <si>
    <t>JOELHO 90 GRAUS, CPVC, SOLDÁVEL, DN 35MM, INSTALADO EM RAMAL OU SUB-RAMAL DE ÁGUA FORNECIMENTO E INSTALAÇÃO. AF_06/2022</t>
  </si>
  <si>
    <t>JOELHO 90 GRAUS, CPVC, SOLDÁVEL, DN 42MM, INSTALADO EM PRUMADA DE ÁGUA FORNECIMENTO E INSTALAÇÃO. AF_06/2022</t>
  </si>
  <si>
    <t>JOELHO 90 GRAUS, CPVC, SOLDÁVEL, DN 54MM, INSTALADO EM PRUMADA DE ÁGUA FORNECIMENTO E INSTALAÇÃO. AF_06/2022</t>
  </si>
  <si>
    <t>JOELHO 90 GRAUS, CPVC, SOLDÁVEL, DN 73MM, INSTALADO EM PRUMADA DE ÁGUA FORNECIMENTO E INSTALAÇÃO. AF_06/2022</t>
  </si>
  <si>
    <t>JOELHO 90 GRAUS, CPVC, SOLDÁVEL, DN 89MM, INSTALADO EM PRUMADA DE ÁGUA FORNECIMENTO E INSTALAÇÃO. AF_06/2022</t>
  </si>
  <si>
    <t>LUVA DE CORRER, CPVC, SOLDÁVEL, DN 15MM, INSTALADO EM RAMAL OU SUB-RAMAL DE ÁGUA FORNECIMENTO E INSTALAÇÃO. AF_06/2022</t>
  </si>
  <si>
    <t>LUVA DE CORRER, CPVC, SOLDÁVEL, DN 22MM, INSTALADO EM RAMAL DE DISTRIBUIÇÃO DE ÁGUA FORNECIMENTO E INSTALAÇÃO. AF_12/2014</t>
  </si>
  <si>
    <t>LUVA DE CORRER, CPVC, SOLDÁVEL, DN 22MM, INSTALADO EM RAMAL OU SUB-RAMAL DE ÁGUA FORNECIMENTO E INSTALAÇÃO. AF_06/2022</t>
  </si>
  <si>
    <t>LUVA DE CORRER, CPVC, SOLDÁVEL, DN 28MM, INSTALADO EM RAMAL DE DISTRIBUIÇÃO DE ÁGUA FORNECIMENTO E INSTALAÇÃO. AF_06/2022</t>
  </si>
  <si>
    <t>LUVA DE CORRER, CPVC, SOLDÁVEL, DN 28MM, INSTALADO EM RAMAL OU SUB-RAMAL DE ÁGUA FORNECIMENTO E INSTALAÇÃO. AF_06/2022</t>
  </si>
  <si>
    <t>LUVA DE CORRER, CPVC, SOLDÁVEL, DN 35MM, INSTALADO EM PRUMADA DE ÁGUA FORNECIMENTO E INSTALAÇÃO. AF_06/2022</t>
  </si>
  <si>
    <t>LUVA DE CORRER, CPVC, SOLDÁVEL, DN 35MM, INSTALADO EM RAMAL OU SUB-RAMAL DE ÁGUA FORNECIMENTO E INSTALAÇÃO. AF_06/2022</t>
  </si>
  <si>
    <t>LUVA DE CORRER, CPVC, SOLDÁVEL, DN 42MM, INSTALADO EM PRUMADA DE ÁGUA FORNECIMENTO E INSTALAÇÃO. AF_06/2022</t>
  </si>
  <si>
    <t>LUVA DE TRANSIÇÃO, CPVC, SOLDÁVEL, DN 22MM X 25MM, INSTALADO EM RAMAL DE DISTRIBUIÇÃO DE ÁGUA FORNECIMENTO E INSTALAÇÃO. AF_06/2022</t>
  </si>
  <si>
    <t>LUVA DE TRANSIÇÃO, CPVC, SOLDÁVEL, DN 54MM X 2, INSTALADO EM PRUMADA DE ÁGUA FORNECIMENTO E INSTALAÇÃO. AF_06/2022</t>
  </si>
  <si>
    <t>LUVA DE TRANSIÇÃO, CPVC, SOLDÁVEL, DN42MM X 1.1/2, INSTALADO EM PRUMADA DE ÁGUA FORNECIMENTO E INSTALAÇÃO. AF_06/2022</t>
  </si>
  <si>
    <t>LUVA, CPVC, SOLDÁVEL, DN 22MM, INSTALADO EM RAMAL DE DISTRIBUIÇÃO DE ÁGUA FORNECIMENTO E INSTALAÇÃO. AF_06/2022</t>
  </si>
  <si>
    <t>LUVA, CPVC, SOLDÁVEL, DN 22MM, INSTALADO EM RAMAL OU SUB-RAMAL DE ÁGUA FORNECIMENTO E INSTALAÇÃO. AF_06/2022</t>
  </si>
  <si>
    <t>LUVA, CPVC, SOLDÁVEL, DN 28MM, INSTALADO EM RAMAL DE DISTRIBUIÇÃO DE ÁGUA FORNECIMENTO E INSTALAÇÃO. AF_06/2022</t>
  </si>
  <si>
    <t>LUVA, CPVC, SOLDÁVEL, DN 28MM, INSTALADO EM RAMAL OU SUB-RAMAL DE ÁGUA FORNECIMENTO E INSTALAÇÃO. AF_06/2022</t>
  </si>
  <si>
    <t>LUVA, CPVC, SOLDÁVEL, DN 35MM, INSTALADO EM PRUMADA DE ÁGUA FORNECIMENTO E INSTALAÇÃO. AF_06/2022</t>
  </si>
  <si>
    <t>LUVA, CPVC, SOLDÁVEL, DN 35MM, INSTALADO EM RAMAL OU SUB-RAMAL DE ÁGUA FORNECIMENTO E INSTALAÇÃO. AF_06/2022</t>
  </si>
  <si>
    <t>LUVA, CPVC, SOLDÁVEL, DN 42MM, INSTALADO EM PRUMADA DE ÁGUA FORNECIMENTO E INSTALAÇÃO. AF_06/2022</t>
  </si>
  <si>
    <t>LUVA, CPVC, SOLDÁVEL, DN 54MM, INSTALADO EM PRUMADA DE ÁGUA FORNECIMENTO E INSTALAÇÃO. AF_06/2022</t>
  </si>
  <si>
    <t>LUVA, CPVC, SOLDÁVEL, DN 73MM, INSTALADO EM PRUMADA DE ÁGUA FORNECIMENTO E INSTALAÇÃO. AF_06/2022</t>
  </si>
  <si>
    <t>LUVA, CPVC, SOLDÁVEL, DN 89MM, INSTALADO EM PRUMADA DE ÁGUA FORNECIMENTO E INSTALAÇÃO. AF_06/2022</t>
  </si>
  <si>
    <t>TE DE TRANSIÇÃO, CPVC, SOLDÁVEL, DN 15MM X 1/2, INSTALADO EM RAMAL OU SUB-RAMAL DE ÁGUA FORNECIMENTO E INSTALAÇÃO. AF_06/2022</t>
  </si>
  <si>
    <t>TE DE TRANSIÇÃO, CPVC, SOLDÁVEL, DN 22MM X 1/2, INSTALADO EM RAMAL OU SUB-RAMAL DE ÁGUA FORNECIMENTO E INSTALAÇÃO. AF_06/2022</t>
  </si>
  <si>
    <t>TE, CPVC, SOLDÁVEL, DN 42MM, INSTALADO EM PRUMADA DE ÁGUA FORNECIMENTO E INSTALAÇÃO. AF_06/2022</t>
  </si>
  <si>
    <t>TE, CPVC, SOLDÁVEL, DN 42MM, INSTALADO EM RAMAL DE DISTRIBUIÇÃO DE ÁGUA - FORNECIMENTO E INSTALAÇÃO. AF_06/2022</t>
  </si>
  <si>
    <t>TUBO, CPVC, SOLDÁVEL, DN 35MM, INSTALADO EM PRUMADA DE ÁGUA FORNECIMENTO E INSTALAÇÃO. AF_06/2022</t>
  </si>
  <si>
    <t>TUBO, CPVC, SOLDÁVEL, DN 35MM, INSTALADO EM RAMAL DE DISTRIBUIÇÃO DE ÁGUA FORNECIMENTO E INSTALAÇÃO. AF_06/2022</t>
  </si>
  <si>
    <t>TUBO, CPVC, SOLDÁVEL, DN 35MM, INSTALADO EM RAMAL OU SUB-RAMAL DE ÁGUA FORNECIMENTO E INSTALAÇÃO. AF_06/2022</t>
  </si>
  <si>
    <t>TUBO, CPVC, SOLDÁVEL, DN 42MM, INSTALADO EM PRUMADA DE ÁGUA FORNECIMENTO E INSTALAÇÃO. AF_06/2022</t>
  </si>
  <si>
    <t>TUBO, CPVC, SOLDÁVEL, DN 54MM,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</si>
  <si>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</si>
  <si>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</si>
  <si>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TÊ MISTURADOR, CPVC, SOLDÁVEL, DN15MM, INSTALADO EM RAMAL OU SUB-RAMAL DE ÁGUA FORNECIMENTO E INSTALAÇÃO. AF_06/2022</t>
  </si>
  <si>
    <t>TÊ MISTURADOR, CPVC, SOLDÁVEL, DN22MM, INSTALADO EM RAMAL OU SUB-RAMAL DE ÁGUA FORNECIMENTO E INSTALAÇÃO. AF_06/2022</t>
  </si>
  <si>
    <t>TÊ, CPVC, SOLDÁVEL, DN 35MM,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</si>
  <si>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</si>
  <si>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</si>
  <si>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</si>
  <si>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TÊ, CPVC, SOLDÁVEL, DN28MM, INSTALADO EM RAMAL OU SUB-RAMAL DE ÁGUA FORNECIMENTO E INSTALAÇÃO. AF_06/2022</t>
  </si>
  <si>
    <t>TÊ, CPVC, SOLDÁVEL, DN35MM, INSTALADO EM RAMAL OU SUB-RAMAL DE ÁGUA FORNECIMENTO E INSTALAÇÃO. AF_06/2022</t>
  </si>
  <si>
    <t>UNIÃO, CPVC, SOLDÁVEL, DN 22MM, INSTALADO EM RAMAL DE DISTRIBUIÇÃO DE ÁGUA FORNECIMENTO E INSTALAÇÃO. AF_06/2022</t>
  </si>
  <si>
    <t>UNIÃO, CPVC, SOLDÁVEL, DN 28MM, INSTALADO EM RAMAL DE DISTRIBUIÇÃO DE ÁGUA FORNECIMENTO E INSTALAÇÃO. AF_06/2022</t>
  </si>
  <si>
    <t>UNIÃO, CPVC, SOLDÁVEL, DN 42MM, INSTALADO EM RAMAL DE DISTRIBUIÇÃO DE ÁGUA FORNECIMENTO E INSTALAÇÃO. AF_06/2022</t>
  </si>
  <si>
    <t>UNIÃO, CPVC, SOLDÁVEL, DN 54MM, INSTALADO EM PRUMADA DE ÁGUA FORNECIMENTO E INSTALAÇÃO. AF_06/2022</t>
  </si>
  <si>
    <t>UNIÃO, CPVC, SOLDÁVEL, DN 73MM, INSTALADO EM PRUMADA DE ÁGUA FORNECIMENTO E INSTALAÇÃO. AF_06/2022</t>
  </si>
  <si>
    <t>UNIÃO, CPVC, SOLDÁVEL, DN 89MM, INSTALADO EM PRUMADA DE ÁGUA FORNECIMENTO E INSTALAÇÃO. AF_06/2022</t>
  </si>
  <si>
    <t>UNIÃO, CPVC, SOLDÁVEL, DN15MM, INSTALADO EM RAMAL OU SUB-RAMAL DE ÁGUA FORNECIMENTO E INSTALAÇÃO. AF_06/2022</t>
  </si>
  <si>
    <t>UNIÃO, CPVC, SOLDÁVEL, DN22MM, INSTALADO EM RAMAL OU SUB-RAMAL DE ÁGUA FORNECIMENTO E INSTALAÇÃO. AF_06/2022</t>
  </si>
  <si>
    <t>UNIÃO, CPVC, SOLDÁVEL, DN28MM, INSTALADO EM RAMAL OU SUB-RAMAL DE ÁGUA FORNECIMENTO E INSTALAÇÃO. AF_06/2022</t>
  </si>
  <si>
    <t>UNIÃO, CPVC, SOLDÁVEL, DN35MM, INSTALADO EM PRUMADA DE ÁGUA FORNECIMENTO E INSTALAÇÃO. AF_06/2022</t>
  </si>
  <si>
    <t>UNIÃO, CPVC, SOLDÁVEL, DN35MM, INSTALADO EM RAMAL OU SUB-RAMAL DE ÁGUA FORNECIMENTO E INSTALAÇÃO. AF_06/2022</t>
  </si>
  <si>
    <t>UNIÃO, CPVC, SOLDÁVEL, DN42MM, INSTALADO EM PRUMADA DE ÁGUA FORNECIMENTO E INSTALAÇÃO. AF_06/2022</t>
  </si>
  <si>
    <t>PORTA/PAINEL CEGO PARA DIVISÓRIA (N1) - PAINEL CEGO MSO/COMEIA E=35MM, S/ BONECA, INCLUSO BATENTE, TESTEIRO, DOBRADIÇAS E FECHADURA. AF_01/2021</t>
  </si>
  <si>
    <t>PORTA/PAINEL CEGO PARA DIVISÓRIA (N1) PVC E=35MM, S/ BONECA, INCLUSO BATENTE, TESTEIRO, DOBRADIÇAS E FECHADURA. AF_01/2021</t>
  </si>
  <si>
    <t>PORTA/VIDRO PARA DIVISÓRIA (N2) - PAINEL C/ MSO/COMEIA E=35MM, S/ BONECA, INCLUSO BATENTE, TESTEIRO, DOBRADIÇAS E FECHADURA. AF_01/2021</t>
  </si>
  <si>
    <t>LUVA COM REDUÇÃO, EM AÇO, CONEXÃO SOLDADA, DN 25 X 20 MM (1 X 3/4"), INSTALADO EM REDE DE ALIMENTAÇÃO PARA HIDRANTE - FORNECIMENTO E INSTALAÇÃO. AF_10/2020</t>
  </si>
  <si>
    <t>LUVA COM REDUÇÃO, EM AÇO, CONEXÃO SOLDADA, DN 32 X 25 MM (1 1/4" X 1"), INSTALADO EM REDE DE ALIMENTAÇÃO PARA HIDRANTE - FORNECIMENTO E INSTALAÇÃO. AF_10/2020</t>
  </si>
  <si>
    <t>LUVA COM REDUÇÃO, EM AÇO, CONEXÃO SOLDADA, DN 32 X 25 MM (1 1/4" X 1"), INSTALADO EM REDE DE ALIMENTAÇÃO PARA SPRINKLER - FORNECIMENTO E INSTALAÇÃO. AF_10/2020</t>
  </si>
  <si>
    <t>LUVA COM REDUÇÃO, EM AÇO, CONEXÃO SOLDADA, DN 40 X 32 MM (1 1/2" X 1 1/4"), INSTALADO EM REDE DE ALIMENTAÇÃO PARA HIDRANTE - FORNECIMENTO E INSTALAÇÃO. AF_10/2020</t>
  </si>
  <si>
    <t>LUVA COM REDUÇÃO, EM AÇO, CONEXÃO SOLDADA, DN 40 X 32 MM (1 1/2" X 1 1/4"), INSTALADO EM REDE DE ALIMENTAÇÃO PARA SPRINKLER - FORNECIMENTO E INSTALAÇÃO. AF_10/2020</t>
  </si>
  <si>
    <t>LUVA COM REDUÇÃO, EM AÇO, CONEXÃO SOLDADA, DN 50 X 40 MM (2 X 1 1/2"), INSTALADO EM PRUMADAS - FORNECIMENTO E INSTALAÇÃO. AF_10/2020</t>
  </si>
  <si>
    <t>TUBO DE AÇO GALVANIZADO COM COSTURA, CLASSE MÉDIA, CONEXÃO ROSQUEADA, DN 25 (1"), INSTALADO EM RAMAIS E SUB-RAMAIS DE GÁS - FORNECIMENTO E INSTALAÇÃO. AF_10/2020</t>
  </si>
  <si>
    <t>TUBO DE AÇO PRETO SEM COSTURA, CLASSE MÉDIA, CONEXÃO SOLDADA, DN 25 (1"), INSTALADO EM RAMAIS E SUB-RAMAIS DE GÁS - FORNECIMENTO E INSTALAÇÃO. AF_10/2020</t>
  </si>
  <si>
    <t>CONEXÃO FIXA, ROSCA FÊMEA, METÁLICA, PARA INSTALAÇÕES EM PEX MULTICAMADA, DN 16MM X 1/2", CONEXÃO POR CRIMPAGEM - FORNECIMENTO E INSTALAÇÃO. AF_01/2020</t>
  </si>
  <si>
    <t>CONEXÃO FIXA, ROSCA FÊMEA, METÁLICA, PARA INSTALAÇÕES EM PEX MULTICAMADA, DN 20MM X 3/4", CONEXÃO POR CRIMPAGEM - FORNECIMENTO E INSTALAÇÃO. AF_01/2020</t>
  </si>
  <si>
    <t>CONEXÃO FIXA, ROSCA FÊMEA, METÁLICA, PARA INSTALAÇÕES EM PEX MULTICAMADA, DN 26MM X 1", CONEXÃO POR CRIMPAGEM - FORNECIMENTO E INSTALAÇÃO. AF_01/2020</t>
  </si>
  <si>
    <t>CONEXÃO FIXA, ROSCA FÊMEA, METÁLICA, PARA INSTALAÇÕES EM PEX MULTICAMADA, DN 32MM X 1 1/4", CONEXÃO POR CRIMPAGEM - FORNECIMENTO E INSTALAÇÃO. AF_01/2020</t>
  </si>
  <si>
    <t>CONEXÃO FIXA, ROSCA MACHO, METÁLICA, PARA INSTALAÇÕES EM PEX MULTICAMADA, DN 20MM X 3/4", CONEXÃO POR CRIMPAGEM - FORNECIMENTO E INSTALAÇÃO. AF_01/2020</t>
  </si>
  <si>
    <t>CONEXÃO FIXA, ROSCA MACHO, METÁLICA, PARA INSTALAÇÕES EM PEX MULTICAMADA, DN 26MM X 1", CONEXÃO POR CRIMPAGEM - FORNECIMENTO E INSTALAÇÃO. AF_01/2020</t>
  </si>
  <si>
    <t>CONEXÃO FIXA, ROSCA MACHO, METÁLICA, PARA INSTALAÇÕES EM PEX MULTICAMADA, DN 32MM X 1 1/4", CONEXÃO POR CRIMPAGEM - FORNECIMENTO E INSTALAÇÃO. AF_01/2020</t>
  </si>
  <si>
    <t>TUBO EM COBRE FLEXÍVEL, DN 1/4", COM ISOLAMENTO, INSTALADO EM RAMAL DE ALIMENTAÇÃO DE AR CONDICIONADO COM CONDENSADORA INDIVIDUAL FORNECIMENTO E INSTALAÇÃO. AF_12/2015</t>
  </si>
  <si>
    <t>TUBO EM COBRE FLEXÍVEL, DN 5/8", COM ISOLAMENTO, INSTALADO EM RAMAL DE ALIMENTAÇÃO DE AR CONDICIONADO COM CONDENSADORA CENTRAL FORNECIMENTO E INSTALAÇÃO. AF_12/2015</t>
  </si>
  <si>
    <t>COTOVELO EM COBRE, DN 15 MM, 90 GRAUS, SEM ANEL DE SOLDA, INSTALADO EM RAMAL DE DISTRIBUIÇÃO FORNECIMENTO E INSTALAÇÃO. AF_04/2022</t>
  </si>
  <si>
    <t>CURVA EM COBRE, DN 35 MM, 45 GRAUS, SEM ANEL DE SOLDA, BOLSA X BOLSA, INSTALADO EM PRUMADA DE HIDRÁULICA PREDIAL - FORNECIMENTO E INSTALAÇÃO. AF_04/2022</t>
  </si>
  <si>
    <t>LUVA PASSANTE EM COBRE, DN 28 MM, SEM ANEL DE SOLDA, INSTALADO EM RAMAL E SUB-RAMAL DE HIDRÁULICA PREDIAL - FORNECIMENTO E INSTALAÇÃO. AF_04/2022</t>
  </si>
  <si>
    <t>CURSO DE CAPACITAÇÃO PARA MONTADOR DE TUBO AÇO/EQUIPAMENTOS (ENCARGOS COMPLEMENTARES) - HORISTA</t>
  </si>
  <si>
    <t>CURSO DE CAPACITAÇÃO PARA MOTORISTA DE CAMINHÃO (ENCARGOS COMPLEMENTARES) - MENSALISTA</t>
  </si>
  <si>
    <t>CURSO DE CAPACITAÇÃO PARA SOLDADOR A (PARA SOLDA A SER TESTADA COM RAIOS X) (ENCARGOS COMPLEMENTARES) - HORISTA</t>
  </si>
  <si>
    <t>LOCAÇÃO CONVENCIONAL DE OBRA, UTILIZANDO GABARITO DE TÁBUAS CORRIDAS PONTALETADAS A CADA 1,50M - 2 UTILIZAÇÕES. AF_03/2024</t>
  </si>
  <si>
    <t>LOCAÇÃO CONVENCIONAL DE OBRA, UTILIZANDO GABARITO DE TÁBUAS CORRIDAS PONTALETADAS A CADA 2,00M - 2 UTILIZAÇÕES. AF_03/2024</t>
  </si>
  <si>
    <t>BANCADA GRANITO CINZA 150 X 60 CM, COM CUBA DE EMBUTIR DE AÇO, VÁLVULA AMERICANA EM METAL, SIFÃO FLEXÍVEL EM PVC, ENGATE FLEXÍVEL 30 CM, TORNEIRA CROMADA LONGA, DE PAREDE, 1/2" OU 3/4", P/ COZINHA, PADRÃO POPULAR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</si>
  <si>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</si>
  <si>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MÁRMORE BRANCO 150 X 60 CM, COM CUBA DE EMBUTIR DE AÇO, VÁLVULA AMERICANA E SIFÃO TIPO GARRAFA EM METAL, ENGATE FLEXÍVEL 30 CM, TORNEIRA CROMADA, DE MESA, 1/2" OU 3/4", PARA PIA COZINHA, PADRÃO ALTO - FORNEC.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</si>
  <si>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</si>
  <si>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</si>
  <si>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</si>
  <si>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</si>
  <si>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</si>
  <si>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</si>
  <si>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</si>
  <si>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ENGATE FLEXÍVEL EM INOX, 1/2 X 30CM - FORNECIMENTO E INSTALAÇÃO. AF_01/2020</t>
  </si>
  <si>
    <t>ENGATE FLEXÍVEL EM INOX, 1/2 X 40CM - FORNECIMENTO E INSTALAÇÃO. AF_01/2020</t>
  </si>
  <si>
    <t>SIFÃO DO TIPO FLEXÍVEL EM PVC 1 X 1.1/2 - FORNECIMENTO E INSTALAÇÃO. AF_01/2020</t>
  </si>
  <si>
    <t>SIFÃO DO TIPO GARRAFA/COPO EM PVC 1.1/4 X 1.1/2" - FORNECIMENTO E INSTALAÇÃO. AF_01/2020</t>
  </si>
  <si>
    <t>TANQUE DE MÁRMORE SINTÉTICO COM COLUNA, 22L OU EQUIVALENTE FORNECIMENTO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</si>
  <si>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</si>
  <si>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</si>
  <si>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SANITÁRIO SIFONADO COM CAIXA ACOPLADA LOUÇA BRANCA - PADRÃO MÉDIO, INCLUSO ENGATE FLEXÍVEL EM METAL CROMADO, 1/2 X 40CM - FORNECIMENTO E INSTALAÇÃO. AF_01/2020</t>
  </si>
  <si>
    <t>VASO SANITÁRIO SIFONADO COM CAIXA ACOPLADA LOUÇA BRANCA, INCLUSO ENGATE FLEXÍVEL EM PLÁSTICO BRANCO, 1/2 X 40CM - FORNECIMENTO E INSTALAÇÃO. AF_01/2020</t>
  </si>
  <si>
    <t>EMBOÇO OU MASSA ÚNICA EM ARGAMASSA TRAÇO 1:2:8, PREPARO MECÂNICA COM BETONEIRA 400 L, APLICADA COM PROJETOR TIPO CANEQUINHA EM SUPERFÍCIES INTERNAS DA SACADA, ESPESSURA DE 25 MM, SEM USO DE TELA METÁLICA. AF_08/2022</t>
  </si>
  <si>
    <t>PLANTIO DE ARBUSTO OU CERCA VIVA. AF_07/2024</t>
  </si>
  <si>
    <t>PAREDE COM SISTEMA EM CHAPAS DE GESSO PARA DRYWALL, USO INTERNO, COM UMA FACE SIMPLES E OUTRA FACE DUPLA E ESTRUTURA METÁLICA COM GUIAS DUPLAS PARA PAREDES COM ÁREA LÍQUIDA MAIOR OU IGUAL A 6 M2, COM VÃOS. AF_07/2023_PS</t>
  </si>
  <si>
    <t>EXECUÇÃO DE PASSEIO EM PISO INTERTRAVADO, COM BLOCO RAQUETE 22 X 13,5 CM, ESPESSURA 6 CM. AF_10/2022</t>
  </si>
  <si>
    <t>EXECUÇÃO DE PAVIMENTO EM PISO INTERTRAVADO, COM BLOCO RAQUETE 22 X 13,5 CM, ESPESSURA 6 CM. AF_10/2022</t>
  </si>
  <si>
    <t>FACHADA EM VIDRO NO SISTEMA SPIDER GLASS, CONSIDERANDO MÓDULOS DE 2,00 X 2,50 M, FIXADO EM ESTRUTURA METÁLICA FORNECIMENTO E INSTALAÇÃO. AF_06/2022</t>
  </si>
  <si>
    <t>PINTURA COM TINTA ALQUÍDICA DE ACABAMENTO (ESMALTE SINTÉTICO BRILHANTE) PULVERIZADA SOBRE PERFIL METÁLICO EXECUTADO EM FÁBRICA (POR DEMÃO). AF_01/2020_PE</t>
  </si>
  <si>
    <t>PINTURA COM TINTA ALQUÍDICA DE ACABAMENTO (ESMALTE SINTÉTICO BRILHANTE) PULVERIZADA SOBRE SUPERFÍCIES METÁLICAS (EXCETO PERFIL) EXECUTADO EM OBRA (POR DEMÃO). AF_01/2020_PE</t>
  </si>
  <si>
    <t>PINTURA DE EIXO VIÁRIO COM TINTA RETRORREFLETIVA A BASE DE RESINA ACRÍLICA COM MICROESFERAS DE VIDRO, E = 10 CM, APLICAÇÃO MECÂNICA COM DEMARCADORA A TRAÇÃO MANUAL. AF_05/2021</t>
  </si>
  <si>
    <t>PINTURA DE EIXO VIÁRIO SOBRE ASFALTO COM TINTA RETRORREFLETIVA A BASE DE RESINA ACRÍLICA COM MICROESFERAS DE VIDRO, E = 10 CM, APLICAÇÃO MECÂNICA COM DEMARCADORA AUTOPROPELIDA. AF_05/2021</t>
  </si>
  <si>
    <t>PINTURA DE FAIXA DE PEDESTRE OU ZEBRADA COM TINTA ACRÍLICA, E = 30 CM, APLICAÇÃO MANUAL. AF_05/2021</t>
  </si>
  <si>
    <t>PINTURA DE FAIXA DE PEDESTRE OU ZEBRADA COM TINTA ACRÍLICA, E = 30 CM, APLICAÇÃO MECÂNICA COM DEMARCADORA A TRAÇÃO MANUAL. AF_05/2021</t>
  </si>
  <si>
    <t>PINTURA DE FAIXA DE PEDESTRE OU ZEBRADA COM TINTA EPÓXI, E = 30 CM, APLICAÇÃO MANUAL. AF_05/2021</t>
  </si>
  <si>
    <t>PINTURA DE NÚMEROS E LETRAS PARA SINALIZAÇÃO HORIZONTAL, ALTURA 100 MM, APLICADOR SPRAY E MOLDE PLÁSTICO. AF_05/2021</t>
  </si>
  <si>
    <t>PISO EM PEDRA ASSENTADO SOBRE ARGAMASSA 1:3 (CIMENTO E AREIA). AF_09/2020</t>
  </si>
  <si>
    <t>ASSENTAMENTO DE POSTE DE CONCRETO COM COMPRIMENTO NOMINAL DE 10 M, CARGA NOMINAL DE 1000 DAN, ENGASTAMENTO BASE CONCRETADA COM 1 M DE CONCRETO E 0,6 M DE SOLO (NÃO INCLUI FORNECIMENTO). AF_04/2025</t>
  </si>
  <si>
    <t>ASSENTAMENTO DE POSTE DE CONCRETO COM COMPRIMENTO NOMINAL DE 10 M, CARGA NOMINAL DE 300 DAN, ENGASTAMENTO BASE CONCRETADA COM 1 M DE CONCRETO E 0,6 M DE SOLO (NÃO INCLUI FORNECIMENTO). AF_04/2025</t>
  </si>
  <si>
    <t>ASSENTAMENTO DE POSTE DE CONCRETO COM COMPRIMENTO NOMINAL DE 10 M, CARGA NOMINAL DE 600 DAN, ENGASTAMENTO BASE CONCRETADA COM 1 M DE CONCRETO E 0,6 M DE SOLO (NÃO INCLUI FORNECIMENTO). AF_04/2025</t>
  </si>
  <si>
    <t>ASSENTAMENTO DE POSTE DE CONCRETO COM COMPRIMENTO NOMINAL DE 10 M, CARGA NOMINAL MAIOR QUE 1000 DAN, ENGASTAMENTO SIMPLES COM 1,6 M DE SOLO (NÃO INCLUI FORNECIMENTO). AF_04/2025</t>
  </si>
  <si>
    <t>ASSENTAMENTO DE POSTE DE CONCRETO COM COMPRIMENTO NOMINAL DE 10 M, CARGA NOMINAL MENOR OU IGUAL A 1000 DAN, ENGASTAMENTO SIMPLES COM 1,6 M DE SOLO (NÃO INCLUI FORNECIMENTO). AF_04/2025</t>
  </si>
  <si>
    <t>ASSENTAMENTO DE POSTE DE CONCRETO COM COMPRIMENTO NOMINAL DE 10,5 M, CARGA NOMINAL DE 1000 DAN, ENGASTAMENTO BASE CONCRETADA COM 1 M DE CONCRETO E 0,65 M DE SOLO (NÃO INCLUI FORNECIMENTO). AF_04/2025</t>
  </si>
  <si>
    <t>ASSENTAMENTO DE POSTE DE CONCRETO COM COMPRIMENTO NOMINAL DE 10,5 M, CARGA NOMINAL DE 300 DAN, ENGASTAMENTO BASE CONCRETADA COM 1 M DE CONCRETO E 0,65 M DE SOLO (NÃO INCLUI FORNECIMENTO). AF_04/2025</t>
  </si>
  <si>
    <t>ASSENTAMENTO DE POSTE DE CONCRETO COM COMPRIMENTO NOMINAL DE 10,5 M, CARGA NOMINAL DE 600 DAN, ENGASTAMENTO BASE CONCRETADA COM 1 M DE CONCRETO E 0,65 M DE SOLO (NÃO INCLUI FORNECIMENTO). AF_04/2025</t>
  </si>
  <si>
    <t>ASSENTAMENTO DE POSTE DE CONCRETO COM COMPRIMENTO NOMINAL DE 10,5 M, CARGA NOMINAL MAIOR QUE 1000 DAN, ENGASTAMENTO SIMPLES COM 1,65 M DE SOLO (NÃO INCLUI FORNECIMENTO). AF_04/2025</t>
  </si>
  <si>
    <t>ASSENTAMENTO DE POSTE DE CONCRETO COM COMPRIMENTO NOMINAL DE 10,5 M, CARGA NOMINAL MENOR OU IGUAL A 1000 DAN, ENGASTAMENTO SIMPLES COM 1,65 M DE SOLO (NÃO INCLUI FORNECIMENTO). AF_04/2025</t>
  </si>
  <si>
    <t>ASSENTAMENTO DE POSTE DE CONCRETO COM COMPRIMENTO NOMINAL DE 11 M, CARGA NOMINAL DE 1000 DAN, ENGASTAMENTO BASE CONCRETADA COM 1 M DE CONCRETO E 0,7 M DE SOLO (NÃO INCLUI FORNECIMENTO). AF_04/2025</t>
  </si>
  <si>
    <t>ASSENTAMENTO DE POSTE DE CONCRETO COM COMPRIMENTO NOMINAL DE 11 M, CARGA NOMINAL DE 300 DAN, ENGASTAMENTO BASE CONCRETADA COM 1 M DE CONCRETO E 0,7 M DE SOLO (NÃO INCLUI FORNECIMENTO). AF_04/2025</t>
  </si>
  <si>
    <t>ASSENTAMENTO DE POSTE DE CONCRETO COM COMPRIMENTO NOMINAL DE 11 M, CARGA NOMINAL DE 400 DAN, ENGASTAMENTO BASE CONCRETADA COM 1 M DE CONCRETO E 0,7 M DE SOLO (NÃO INCLUI FORNECIMENTO). AF_04/2025</t>
  </si>
  <si>
    <t>ASSENTAMENTO DE POSTE DE CONCRETO COM COMPRIMENTO NOMINAL DE 11 M, CARGA NOMINAL DE 600 DAN, ENGASTAMENTO BASE CONCRETADA COM 1 M DE CONCRETO E 0,7 M DE SOLO (NÃO INCLUI FORNECIMENTO). AF_04/2025</t>
  </si>
  <si>
    <t>ASSENTAMENTO DE POSTE DE CONCRETO COM COMPRIMENTO NOMINAL DE 11 M, CARGA NOMINAL MAIOR QUE 1000 DAN, ENGASTAMENTO SIMPLES COM 1,7 M DE SOLO (NÃO INCLUI FORNECIMENTO). AF_04/2025</t>
  </si>
  <si>
    <t>ASSENTAMENTO DE POSTE DE CONCRETO COM COMPRIMENTO NOMINAL DE 11 M, CARGA NOMINAL MENOR OU IGUAL A 1000 DAN, ENGASTAMENTO SIMPLES COM 1,7 M DE SOLO (NÃO INCLUI FORNECIMENTO). AF_04/2025</t>
  </si>
  <si>
    <t>ASSENTAMENTO DE POSTE DE CONCRETO COM COMPRIMENTO NOMINAL DE 12 M, CARGA NOMINAL DE 1000 DAN, ENGASTAMENTO BASE CONCRETADA COM 1 M DE CONCRETO E 0,8 M DE SOLO (NÃO INCLUI FORNECIMENTO). AF_04/2025</t>
  </si>
  <si>
    <t>ASSENTAMENTO DE POSTE DE CONCRETO COM COMPRIMENTO NOMINAL DE 12 M, CARGA NOMINAL DE 400 DAN, ENGASTAMENTO BASE CONCRETADA COM 1 M DE CONCRETO E 0,8 M DE SOLO (NÃO INCLUI FORNECIMENTO). AF_04/2025</t>
  </si>
  <si>
    <t>ASSENTAMENTO DE POSTE DE CONCRETO COM COMPRIMENTO NOMINAL DE 12 M, CARGA NOMINAL DE 600 DAN, ENGASTAMENTO BASE CONCRETADA COM 1 M DE CONCRETO E 0,8 M DE SOLO (NÃO INCLUI FORNECIMENTO). AF_04/2025</t>
  </si>
  <si>
    <t>ASSENTAMENTO DE POSTE DE CONCRETO COM COMPRIMENTO NOMINAL DE 12 M, CARGA NOMINAL MAIOR QUE 1000 DAN, ENGASTAMENTO SIMPLES COM 1,8 M DE SOLO (NÃO INCLUI FORNECIMENTO). AF_04/2025</t>
  </si>
  <si>
    <t>ASSENTAMENTO DE POSTE DE CONCRETO COM COMPRIMENTO NOMINAL DE 12 M, CARGA NOMINAL MENOR OU IGUAL A 1000 DAN, ENGASTAMENTO SIMPLES COM 1,8 M DE SOLO (NÃO INCLUI FORNECIMENTO). AF_04/2025</t>
  </si>
  <si>
    <t>ASSENTAMENTO DE POSTE DE CONCRETO COM COMPRIMENTO NOMINAL DE 13 M, CARGA NOMINAL DE 1000 DAN, ENGASTAMENTO BASE CONCRETADA COM 1 M DE CONCRETO E 0,9 M DE SOLO - SOMENTE INSTALAÇÃO, SEM FORNECIMENTO. AF_04/2025</t>
  </si>
  <si>
    <t>ASSENTAMENTO DE POSTE DE CONCRETO COM COMPRIMENTO NOMINAL DE 13 M, CARGA NOMINAL DE 600 DAN, ENGASTAMENTO BASE CONCRETADA COM 1 M DE CONCRETO E 0,9 M DE SOLO (NÃO INCLUI FORNECIMENTO). AF_04/2025</t>
  </si>
  <si>
    <t>ASSENTAMENTO DE POSTE DE CONCRETO COM COMPRIMENTO NOMINAL DE 13 M, CARGA NOMINAL MAIOR QUE 1000 DAN, ENGASTAMENTO SIMPLES COM 1,9 M DE SOLO (NÃO INCLUI FORNECIMENTO). AF_04/2025</t>
  </si>
  <si>
    <t>ASSENTAMENTO DE POSTE DE CONCRETO COM COMPRIMENTO NOMINAL DE 13 M, CARGA NOMINAL MENOR OU IGUAL A 1000 DAN, ENGASTAMENTO SIMPLES COM 1,9 M DE SOLO (NÃO INCLUI FORNECIMENTO). AF_04/2025</t>
  </si>
  <si>
    <t>ASSENTAMENTO DE POSTE DE CONCRETO COM COMPRIMENTO NOMINAL DE 13,5 M, CARGA NOMINAL MAIOR QUE 1000 DAN, ENGASTAMENTO SIMPLES COM 1,95 M DE SOLO (NÃO INCLUI FORNECIMENTO). AF_04/2025</t>
  </si>
  <si>
    <t>ASSENTAMENTO DE POSTE DE CONCRETO COM COMPRIMENTO NOMINAL DE 13,5 M, CARGA NOMINAL MENOR OU IGUAL A 1000 DAN, ENGASTAMENTO SIMPLES COM 1,95 M DE SOLO (NÃO INCLUI FORNECIMENTO). AF_04/2025</t>
  </si>
  <si>
    <t>ASSENTAMENTO DE POSTE DE CONCRETO COM COMPRIMENTO NOMINAL DE 14 M, CARGA NOMINAL MAIOR QUE 1000 DAN, ENGASTAMENTO SIMPLES COM 2 M DE SOLO (NÃO INCLUI FORNECIMENTO). AF_04/2025</t>
  </si>
  <si>
    <t>ASSENTAMENTO DE POSTE DE CONCRETO COM COMPRIMENTO NOMINAL DE 14 M, CARGA NOMINAL MENOR OU IGUAL A 1000 DAN, ENGASTAMENTO SIMPLES COM 2 M DE SOLO (NÃO INCLUI FORNECIMENTO). AF_04/2025</t>
  </si>
  <si>
    <t>ASSENTAMENTO DE POSTE DE CONCRETO COM COMPRIMENTO NOMINAL DE 15 M, CARGA NOMINAL MAIOR QUE 1000 DAN, ENGASTAMENTO SIMPLES COM 2,1 M DE SOLO (NÃO INCLUI FORNECIMENTO). AF_04/2025</t>
  </si>
  <si>
    <t>ASSENTAMENTO DE POSTE DE CONCRETO COM COMPRIMENTO NOMINAL DE 15 M, CARGA NOMINAL MENOR OU IGUAL A 1000 DAN, ENGASTAMENTO SIMPLES COM 2,1 M DE SOLO (NÃO INCLUI FORNECIMENTO). AF_04/2025</t>
  </si>
  <si>
    <t>ASSENTAMENTO DE POSTE DE CONCRETO COM COMPRIMENTO NOMINAL DE 18 M, CARGA NOMINAL MAIOR QUE 1000 DAN, ENGASTAMENTO SIMPLES COM 2,4 M DE SOLO (NÃO INCLUI FORNECIMENTO). AF_04/2025</t>
  </si>
  <si>
    <t>ASSENTAMENTO DE POSTE DE CONCRETO COM COMPRIMENTO NOMINAL DE 18 M, CARGA NOMINAL MENOR OU IGUAL A 1000 DAN, ENGASTAMENTO SIMPLES COM 2,4 M DE SOLO (NÃO INCLUI FORNECIMENTO). AF_04/2025</t>
  </si>
  <si>
    <t>ASSENTAMENTO DE POSTE DE CONCRETO COM COMPRIMENTO NOMINAL DE 20 M, CARGA NOMINAL MAIOR QUE 1000, ENGASTAMENTO SIMPLES COM 2,6 M DE SOLO (NÃO INCLUI FORNECIMENTO). AF_04/2025</t>
  </si>
  <si>
    <t>ASSENTAMENTO DE POSTE DE CONCRETO COM COMPRIMENTO NOMINAL DE 20 M, CARGA NOMINAL MENOR OU IGUAL A 1000 DAN, ENGASTAMENTO SIMPLES COM 2,6 M DE SOLO (NÃO INCLUI FORNECIMENTO). AF_04/2025</t>
  </si>
  <si>
    <t>ASSENTAMENTO DE POSTE DE CONCRETO COM COMPRIMENTO NOMINAL DE 9 M, CARGA NOMINAL DE 1000 DAN, ENGASTAMENTO BASE CONCRETADA COM 1 M DE CONCRETO E 0,5 M DE SOLO (NÃO INCLUI FORNECIMENTO). AF_04/2025</t>
  </si>
  <si>
    <t>ASSENTAMENTO DE POSTE DE CONCRETO COM COMPRIMENTO NOMINAL DE 9 M, CARGA NOMINAL DE 150 DAN, ENGASTAMENTO BASE CONCRETADA COM 1 M DE CONCRETO E 0,5 M DE SOLO (NÃO INCLUI FORNECIMENTO). AF_04/2025</t>
  </si>
  <si>
    <t>ASSENTAMENTO DE POSTE DE CONCRETO COM COMPRIMENTO NOMINAL DE 9 M, CARGA NOMINAL DE 300 DAN, ENGASTAMENTO BASE CONCRETADA COM 1 M DE CONCRETO E 0,5 M DE SOLO (NÃO INCLUI FORNECIMENTO). AF_04/2025</t>
  </si>
  <si>
    <t>ASSENTAMENTO DE POSTE DE CONCRETO COM COMPRIMENTO NOMINAL DE 9 M, CARGA NOMINAL DE 400 DAN, ENGASTAMENTO BASE CONCRETADA COM 1 M DE CONCRETO E 0,5 M DE SOLO (NÃO INCLUI FORNECIMENTO). AF_04/2025</t>
  </si>
  <si>
    <t>ASSENTAMENTO DE POSTE DE CONCRETO COM COMPRIMENTO NOMINAL DE 9 M, CARGA NOMINAL DE 600 DAN, ENGASTAMENTO BASE CONCRETADA COM 1 M DE CONCRETO E 0,5 M DE SOLO (NÃO INCLUI FORNECIMENTO). AF_04/2025</t>
  </si>
  <si>
    <t>ASSENTAMENTO DE POSTE DE CONCRETO COM COMPRIMENTO NOMINAL DE 9 M, CARGA NOMINAL MENOR OU IGUAL A 1000 DAN, ENGASTAMENTO SIMPLES COM 1,5 M DE SOLO (NÃO INCLUI FORNECIMENTO). AF_04/2025</t>
  </si>
  <si>
    <t>CORDOALHA DE ACO 7,9 (5/16) 7*2,64MM ZINCAGEM TIPO A E 13% DE IACS - FORNECIMENTO E INSTALAÇÃO. AF_04/2025</t>
  </si>
  <si>
    <t>CORDOALHA DE ACO 7,9 (5/16) 7*2,64MM ZINCAGEM TIPO B E 13% DE IACS - FORNECIMENTO E INSTALAÇÃO. AF_04/2025</t>
  </si>
  <si>
    <t>CORDOALHA DE ACO 9,5 (3/8) 7*3,05MM ZINCAGEM TIPO A E 13% DE IACS - FORNECIMENTO E INSTALAÇÃO. AF_04/2025</t>
  </si>
  <si>
    <t>CORDOALHA DE ACO 9,5(3/8) 7*3,05MM ZINCAGEM TIPO B E 13% DE IACS - FORNECIMENTO E INSTALAÇÃO. AF_04/2025</t>
  </si>
  <si>
    <t>ESTRUTURA DE ESTAIAMENTO PARA POSTES DE CONCRETO ANCORA CONCRETO - FORNECIMENTO E INSTALAÇÃO. AF_04/2025</t>
  </si>
  <si>
    <t>ESTRUTURA DE ESTAIAMENTO PARA POSTES DE CONCRETO CRUZETA A POSTE M3 E B3 - FORNECIMENTO E INSTALAÇÃO. AF_04/2025</t>
  </si>
  <si>
    <t>ESTRUTURA DE ESTAIAMENTO PARA POSTES DE CONCRETO CRUZETA A POSTE N3 - FORNECIMENTO E INSTALAÇÃO. AF_04/2025</t>
  </si>
  <si>
    <t>ESTRUTURA DE ESTAIAMENTO PARA POSTES DE CONCRETO HTE - FORNECIMENTO E INSTALAÇÃO. AF_04/2025</t>
  </si>
  <si>
    <t>ESTRUTURA DE ESTAIAMENTO PARA POSTES DE CONCRETO POSTE A POSTE - FORNECIMENTO E INSTALAÇÃO. AF_04/2025</t>
  </si>
  <si>
    <t>POSTE DE AÇO CÔNICO CONTÍNUO CURVO DUPLO, ENGASTAMENTO SIMPLES COM 1 M DE SOLO, H=6M - FORNECIMENTO E INSTALAÇÃO. AF_04/2025</t>
  </si>
  <si>
    <t>POSTE DE AÇO CÔNICO CONTÍNUO CURVO DUPLO, ENGASTAMENTO SIMPLES COM 1 M DE SOLO, H=7M - FORNECIMENTO E INSTALAÇÃO. AF_04/2025</t>
  </si>
  <si>
    <t>POSTE DE AÇO CÔNICO CONTÍNUO CURVO DUPLO, ENGASTAMENTO SIMPLES COM 1 M DE SOLO, H=8M - FORNECIMENTO E INSTALAÇÃO. AF_04/2025</t>
  </si>
  <si>
    <t>POSTE DE AÇO CÔNICO CONTÍNUO CURVO DUPLO, ENGASTAMENTO SIMPLES COM 1 M DE SOLO, H=9M - FORNECIMENTO E INSTALAÇÃO. AF_04/2025</t>
  </si>
  <si>
    <t>POSTE DE AÇO CÔNICO CONTÍNUO CURVO DUPLO, FLANGEADO, H=6M - FORNECIMENTO E INSTALAÇÃO. AF_04/2025</t>
  </si>
  <si>
    <t>POSTE DE AÇO CÔNICO CONTÍNUO CURVO DUPLO, FLANGEADO, H=7M - FORNECIMENTO E INSTALAÇÃO. AF_04/2025</t>
  </si>
  <si>
    <t>POSTE DE AÇO CÔNICO CONTÍNUO CURVO DUPLO, FLANGEADO, H=8M - FORNECIMENTO E INSTALAÇÃO. AF_04/2025</t>
  </si>
  <si>
    <t>POSTE DE AÇO CÔNICO CONTÍNUO CURVO DUPLO, FLANGEADO, H=9M - FORNECIMENTO E INSTALAÇÃO. AF_04/2025</t>
  </si>
  <si>
    <t>POSTE DE AÇO CÔNICO CONTÍNUO CURVO SIMPLES, ENGASTAMENTO SIMPLES COM 0,5 M DE SOLO, H=5M - FORNECIMENTO E INSTALAÇÃO. AF_04/2025</t>
  </si>
  <si>
    <t>POSTE DE AÇO CÔNICO CONTÍNUO CURVO SIMPLES, ENGASTAMENTO SIMPLES COM 1 M DE SOLO, H=6M - FORNECIMENTO E INSTALAÇÃO. AF_04/2025</t>
  </si>
  <si>
    <t>POSTE DE AÇO CÔNICO CONTÍNUO CURVO SIMPLES, ENGASTAMENTO SIMPLES COM 1 M DE SOLO, H=7M - FORNECIMENTO E INSTALAÇÃO. AF_04/2025</t>
  </si>
  <si>
    <t>POSTE DE AÇO CÔNICO CONTÍNUO CURVO SIMPLES, ENGASTAMENTO SIMPLES COM 1 M DE SOLO, H=8M - FORNECIMENTO E INSTALAÇÃO. AF_04/2025</t>
  </si>
  <si>
    <t>POSTE DE AÇO CÔNICO CONTÍNUO CURVO SIMPLES, ENGASTAMENTO SIMPLES COM 1 M DE SOLO, H=9M - FORNECIMENTO E INSTALAÇÃO. AF_04/2025</t>
  </si>
  <si>
    <t>POSTE DE AÇO CÔNICO CONTÍNUO CURVO SIMPLES, FLANGEADO, H=5M - FORNECIMENTO E INSTALAÇÃO. AF_04/2025</t>
  </si>
  <si>
    <t>POSTE DE AÇO CÔNICO CONTÍNUO CURVO SIMPLES, FLANGEADO, H=6M - FORNECIMENTO E INSTALAÇÃO. AF_04/2025</t>
  </si>
  <si>
    <t>POSTE DE AÇO CÔNICO CONTÍNUO CURVO SIMPLES, FLANGEADO, H=7M - FORNECIMENTO E INSTALAÇÃO. AF_04/2025</t>
  </si>
  <si>
    <t>POSTE DE AÇO CÔNICO CONTÍNUO CURVO SIMPLES, FLANGEADO, H=8M - FORNECIMENTO E INSTALAÇÃO. AF_04/2025</t>
  </si>
  <si>
    <t>POSTE DE AÇO CÔNICO CONTÍNUO CURVO SIMPLES, FLANGEADO, H=9M - FORNECIMENTO E INSTALAÇÃO. AF_04/2025</t>
  </si>
  <si>
    <t>POSTE DE AÇO CÔNICO CONTÍNUO RETO, ENGASTAMENTO SIMPLES COM 0,5 M DE SOLO, H=5M - FORNECIMENTO E INSTALAÇÃO. AF_04/2025</t>
  </si>
  <si>
    <t>POSTE DE AÇO CÔNICO CONTÍNUO RETO, ENGASTAMENTO SIMPLES COM 1 M DE SOLO, H=6M - FORNECIMENTO E INSTALAÇÃO. AF_04/2025</t>
  </si>
  <si>
    <t>POSTE DE AÇO CÔNICO CONTÍNUO RETO, ENGASTAMENTO SIMPLES COM 1 M DE SOLO, H=7M - FORNECIMENTO E INSTALAÇÃO. AF_04/2025</t>
  </si>
  <si>
    <t>POSTE DE AÇO CÔNICO CONTÍNUO RETO, ENGASTAMENTO SIMPLES COM 1 M DE SOLO, H=8M - FORNECIMENTO E INSTALAÇÃO. AF_04/2025</t>
  </si>
  <si>
    <t>POSTE DE AÇO CÔNICO CONTÍNUO RETO, ENGASTAMENTO SIMPLES COM 1 M DE SOLO, H=9M - FORNECIMENTO E INSTALAÇÃO. AF_04/2025</t>
  </si>
  <si>
    <t>POSTE DE AÇO CÔNICO CONTÍNUO RETO, FLANGEADO, H=5M - FORNECIMENTO E INSTALAÇÃO. AF_04/2025</t>
  </si>
  <si>
    <t>POSTE DE AÇO CÔNICO CONTÍNUO RETO, FLANGEADO, H=6M - FORNECIMENTO E INSTALAÇÃO. AF_04/2025</t>
  </si>
  <si>
    <t>POSTE DE AÇO CÔNICO CONTÍNUO RETO, FLANGEADO, H=7M - FORNECIMENTO E INSTALAÇÃO. AF_04/2025</t>
  </si>
  <si>
    <t>POSTE DE AÇO CÔNICO CONTÍNUO RETO, FLANGEADO, H=8M - FORNECIMENTO E INSTALAÇÃO. AF_04/2025</t>
  </si>
  <si>
    <t>POSTE DE AÇO CÔNICO CONTÍNUO RETO, FLANGEADO, H=9M - FORNECIMENTO E INSTALAÇÃO. AF_04/2025</t>
  </si>
  <si>
    <t>POSTE DECORATIVO PARA JARDIM EM AÇO TUBULAR, H = *2,5* M, SEM LUMINÁRIA - FORNECIMENTO E INSTALAÇÃO. AF_04/2025</t>
  </si>
  <si>
    <t>ACRÉSCIMO PARA POÇO DE VISITA CIRCULAR PARA ESGOTO, EM ALVENARIA COM TIJOLOS CERÂMICOS MACIÇOS, DIÂMETRO INTERNO = 1 M. AF_12/2020</t>
  </si>
  <si>
    <t>ACRÉSCIMO PARA POÇO DE VISITA CIRCULAR PARA ESGOTO, EM ALVENARIA COM TIJOLOS CERÂMICOS MACIÇOS, DIÂMETRO INTERNO = 1,5 M. AF_12/2020</t>
  </si>
  <si>
    <t>ACRÉSCIMO PARA POÇO DE VISITA CIRCULAR PARA ESGOTO, EM CONCRETO PRÉ-MOLDADO, DIÂMETRO INTERNO = 1,5 M. AF_12/2020</t>
  </si>
  <si>
    <t>BASE PARA POÇO DE VISITA CIRCULAR PARA ESGOTO, EM ALVENARIA COM TIJOLOS CERÂMICOS MACIÇOS, DIÂMETRO INTERNO = 0,80 M, PROFUNDIDADE = 1,40 M, EXCLUINDO TAMPÃO. AF_12/2020</t>
  </si>
  <si>
    <t>BASE PARA POÇO DE VISITA CIRCULAR PARA ESGOTO, EM ALVENARIA COM TIJOLOS CERÂMICOS MACIÇOS, DIÂMETRO INTERNO = 1,0 M, PROFUNDIDADE = 1,40 M, EXCLUINDO TAMPÃO. AF_12/2020</t>
  </si>
  <si>
    <t>BASE PARA POÇO DE VISITA CIRCULAR PARA ESGOTO, EM ALVENARIA COM TIJOLOS CERÂMICOS MACIÇOS, DIÂMETRO INTERNO = 1,20 M, PROFUNDIDADE = 1,40 M, EXCLUINDO TAMPÃO. AF_12/2020</t>
  </si>
  <si>
    <t>BASE PARA POÇO DE VISITA CIRCULAR PARA ESGOTO, EM CONCRETO PRÉ-MOLDADO, DIÂMETRO INTERNO = 1,20 M, PROFUNDIDADE = 1,60 M, EXCLUINDO TAMPÃO. AF_12/2020</t>
  </si>
  <si>
    <t>BASE PARA POÇO DE VISITA CIRCULAR PARA ESGOTO, EM CONCRETO PRÉ-MOLDADO, DIÂMETRO INTERNO = 1,50 M, PROFUNDIDADE = 1,35 M, EXCLUINDO TAMPÃO. AF_12/2020</t>
  </si>
  <si>
    <t>BASE PARA POÇO DE VISITA RETANGULAR PARA ESGOTO, EM ALVENARIA COM BLOCOS DE CONCRETO, DIMENSÕES INTERNAS = 1X1 M, PROFUNDIDADE = 1,40 M, EXCLUINDO TAMPÃO. AF_12/2020</t>
  </si>
  <si>
    <t>CHUMBAMENTO PONTUAL DE ABERTURA EM LAJE COM PASSAGEM DE 1 TUBO COM DIÂMETRO DE 50 MM. AF_09/2023</t>
  </si>
  <si>
    <t>CHUMBAMENTO PONTUAL DE ABERTURA EM LAJE COM PASSAGEM DE 5 TUBOS COM DIÂMETROS DE 50 MM. AF_09/2023</t>
  </si>
  <si>
    <t>FIXAÇÃO DE DUTOS FLEXÍVEIS CIRCULARES, DIÂMETRO 109 MM OU 4", COM ABRAÇADEIRA METÁLICA FLEXÍVEL FIXADA DIRETAMENTE NA LAJE, SOMENTE MÃO DE OBRA. AF_09/2023</t>
  </si>
  <si>
    <t>FIXAÇÃO DE DUTOS FLEXÍVEIS CIRCULARES, DIÂMETRO 109 MM OU 4", COM ABRAÇADEIRA METÁLICA FLEXÍVEL FIXADA DIRETAMENTE NA LAJE. AF_09/2023</t>
  </si>
  <si>
    <t>FIXAÇÃO DE TUBOS HORIZONTAIS DE PPR DIÂMETROS MENORES OU IGUAIS A 40 MM, COM ABRAÇADEIRA METÁLICA RÍGIDA TIPO D COM PARAFUSO DE FIXAÇÃO 1 1/4", FIXADA DIRETAMENTE NA LAJE OU PAREDE. AF_09/2023</t>
  </si>
  <si>
    <t>FIXAÇÃO DE TUBOS HORIZONTAIS DE PVC ÁGUA/PVC ESGOTO/PVC PLUVIAL/CPVC/PPR/COBRE OU AÇO, DIÂMETROS MAIORES QUE 40 MM E MENORES OU IGUAIS A 75 MM, COM ABRAÇADEIRA TIPO D COM PARAFUSO DE FIXAÇÃO 2 1/2", FIXADA DIRETAMENTE NA LAJE OU PAREDE. AF_09/2023</t>
  </si>
  <si>
    <t>FIXAÇÃO DE TUBOS HORIZONTAIS DE PVC ÁGUA/PVC ESGOTO/PVC PLUVIAL/CPVC/PPR/COBRE OU AÇO, DIÂMETROS MAIORES QUE 75 MM E MENORES OU IGUAIS A 100 MM, COM ABRAÇADEIRA TIPO D COM PARAFUSO DE FIXAÇÃO 4", FIXADA DIRETAMENTE NA LAJE OU PAREDE. AF_09/2023</t>
  </si>
  <si>
    <t>FIXAÇÃO DE TUBOS HORIZONTAIS DE PVC ÁGUA/PVC ESGOTO/PVC PLUVIAL/CPVC/PPR/COBRE OU AÇO, DIÂMETROS MENORES OU IGUAIS A 40 MM, COM ABRAÇADEIRA METÁLICA RÍGIDA TIPO D COM PARAFUSO DE FIXAÇÃO 1 1/4", FIXADA DIRETAMENTE NA LAJE OU PAREDE. AF_09/2023</t>
  </si>
  <si>
    <t>REASSENTAMENTO DE BLOCOS 16 FACES PARA PISO INTERTRAVADO, ESPESSURA DE 4 CM, EM CALÇADA, COM REAPROVEITAMENTO DOS BLOCOS 16 FACES - INCLUSO RETIRADA E COLOCAÇÃO DO MATERIAL. AF_12/2020</t>
  </si>
  <si>
    <t>REASSENTAMENTO DE BLOCOS RETANGULAR PARA PISO INTERTRAVADO, ESPESSURA DE 4 CM, EM CALÇADA, COM REAPROVEITAMENTO DOS BLOCOS RETANGULAR - INCLUSO RETIRADA E COLOCAÇÃO DO MATERIAL. AF_12/2020</t>
  </si>
  <si>
    <t>REASSENTAMENTO DE PEDRAS POLIÉDRICAS, REJUNTAMENTO COM PÓ DE PEDRA, COM REAPROVEITAMENTO DAS PEDRAS POLIÉDRICAS - INCLUSO RETIRADA E COLOCAÇÃO DO MATERIAL. AF_12/2020</t>
  </si>
  <si>
    <t>REVESTIMENTO CERÂMICO PARA PAREDES EXTERNAS, COM PLACAS TIPO GRÊS OU SEMIGRÊS, FORMATO MENOR OU IGUAL A 200 CM2, ALINHADAS A PRUMO, APLICADO EM SUPERFÍCIES INTERNAS DE SACADA. AF_02/2023</t>
  </si>
  <si>
    <t>REVESTIMENTO CERÂMICO PARA PAREDES EXTERNAS, COM PLACAS TIPO GRÊS OU SEMIGRÊS, FORMATO MENOR OU IGUAL A 200 CM2, DISPOSTAS EM AMARRAÇÃO, APLICADO EM SUPERFÍCIES INTERNAS DE SACADA. AF_02/2023</t>
  </si>
  <si>
    <t>REVESTIMENTO CERÂMICO PARA PAREDES INTERNAS COM PLACAS TIPO ESMALTADA DE DIMENSÕES 20X20 CM APLICADAS NA ALTURA INTEIRA DAS PAREDES. AF_02/2023_PE</t>
  </si>
  <si>
    <t>FORNECIMENTO E INSTALAÇÃO DE SUPORTE DE MADEIRA PARA PLACAS DE SINALIZAÇÃO, EM SOLO, COM H= DE 2,5 M E SEÇÃO DE 7,5 X 7,5 CM. AF_03/2022</t>
  </si>
  <si>
    <t>BASE METÁLICA PARA MASTRO 1 ½" PARA SPDA - FORNECIMENTO E INSTALAÇÃO. AF_08/2023</t>
  </si>
  <si>
    <t>HIDRÔMETRO DN 2", 30 M³/H - FORNECIMENTO E INSTALAÇÃO. AF_03/2024</t>
  </si>
  <si>
    <t>RETIRADA E RECOLOCAÇÃO DE TELHA CERÂMICA CAPA-CANAL, COM ATÉ DUAS ÁGUAS, INCLUSO IÇAMENTO. AF_07/2019</t>
  </si>
  <si>
    <t>RETIRADA E RECOLOCAÇÃO DE TELHA CERÂMICA CAPA-CANAL, COM MAIS DE DUAS ÁGUAS, INCLUSO IÇAMENTO. AF_07/2019</t>
  </si>
  <si>
    <t>RETIRADA E RECOLOCAÇÃO DE TELHA CERÂMICA DE ENCAIXE, COM ATÉ DUAS ÁGUAS, INCLUSO IÇAMENTO. AF_07/2019</t>
  </si>
  <si>
    <t>RETIRADA E RECOLOCAÇÃO DE TELHA CERÂMICA DE ENCAIXE, COM MAIS DE DUAS ÁGUAS, INCLUSO IÇAMENTO. AF_07/2019</t>
  </si>
  <si>
    <t>CARGA, MANOBRA E DESCARGA DE ENTULHO EM CAMINHÃO BASCULANTE 10 M³ - CARGA COM ESCAVADEIRA HIDRÁULICA (CAÇAMBA DE 0,80 M³ / 111 HP) E DESCARGA LIVRE (UNIDADE: M3).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</si>
  <si>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</si>
  <si>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M3).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</si>
  <si>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</si>
  <si>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M3). AF_07/2020</t>
  </si>
  <si>
    <t>CARGA, MANOBRA E DESCARGA DE ENTULHO EM CAMINHÃO BASCULANTE 18 M³ - CARGA COM ESCAVADEIRA HIDRÁULICA (CAÇAMBA DE 0,80 M³ / 111 HP) E DESCARGA LIVRE (UNIDADE: T). AF_07/2020</t>
  </si>
  <si>
    <t>CARGA, MANOBRA E DESCARGA DE ENTULHO EM CAMINHÃO BASCULANTE 6 M³ - CARGA COM ESCAVADEIRA HIDRÁULICA (CAÇAMBA DE 0,80 M³ / 111 HP) E DESCARGA LIVRE (UNIDADE: M3). AF_07/2020</t>
  </si>
  <si>
    <t>CARGA, MANOBRA E DESCARGA DE ENTULHO EM CAMINHÃO BASCULANTE 6 M³ - CARGA COM ESCAVADEIRA HIDRÁULICA (CAÇAMBA DE 0,80 M³ / 111 HP) E DESCARGA LIVRE (UNIDADE: T). AF_07/2020</t>
  </si>
  <si>
    <t>TRANSPORTE COM CAMINHÃO CARROCERIA COM GUINDAUTO (MUNCK), MOMENTO MÁXIMO DE CARGA 11,7 TM,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</si>
  <si>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</si>
  <si>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</si>
  <si>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</si>
  <si>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URBANA PAVIMENTADA, DMT ATÉ 30KM (UNIDADE: TXKM). AF_07/2020</t>
  </si>
  <si>
    <t>TRANSPORTE COM CAMINHÃO TANQUE DE TRANSPORTE DE MATERIAL ASFÁLTICO DE 20000 L, EM VIA URBANA EM REVESTIMENTO PRIMÁRIO (UNIDADE: TXKM).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</si>
  <si>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</si>
  <si>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</si>
  <si>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ASSENTAMENTO DE CONEXÃO COM 1 ACESSO, FERRO FUNDIDO PARA REDE DE ÁGUA, DN 100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</si>
  <si>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</si>
  <si>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</si>
  <si>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</si>
  <si>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</si>
  <si>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</si>
  <si>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</si>
  <si>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</si>
  <si>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</si>
  <si>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</si>
  <si>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</si>
  <si>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</si>
  <si>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</si>
  <si>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</si>
  <si>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</si>
  <si>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</si>
  <si>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</si>
  <si>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</si>
  <si>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</si>
  <si>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</si>
  <si>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</si>
  <si>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</si>
  <si>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</si>
  <si>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</si>
  <si>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</si>
  <si>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</si>
  <si>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</si>
  <si>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</si>
  <si>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</si>
  <si>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</si>
  <si>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</si>
  <si>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</si>
  <si>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</si>
  <si>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</si>
  <si>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</si>
  <si>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</si>
  <si>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</si>
  <si>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</si>
  <si>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</si>
  <si>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</si>
  <si>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</si>
  <si>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</si>
  <si>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</si>
  <si>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</si>
  <si>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</si>
  <si>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</si>
  <si>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</si>
  <si>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</si>
  <si>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REGISTRO DE ESFERA, PVC, SOLDÁVEL, COM VOLANTE, DN 20 MM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</si>
  <si>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</si>
  <si>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</si>
  <si>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</si>
  <si>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</si>
  <si>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</si>
  <si>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PRESSÃO BRUTO, LATÃO, ROSCÁVEL, 3/4''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</si>
  <si>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</si>
  <si>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</si>
  <si>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</si>
  <si>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</si>
  <si>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</si>
  <si>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VÁLVULA DE RETENÇÃO HORIZONTAL, DE BRONZE, ROSCÁVEL, 1 1/2" - FORNECIMENTO E INSTALAÇÃO. AF_08/2021</t>
  </si>
  <si>
    <t>VÁLVULA DE RETENÇÃO HORIZONTAL, DE BRONZE, ROSCÁVEL, 2" - FORNECIMENTO E INSTALAÇÃO. AF_08/2021</t>
  </si>
  <si>
    <t>ABERTURA PARA ENCAIXE DE CUBA OU LAVATORIO EM BANCADA DE MARMORE/ GRANITO OU OUTRO TIPO DE PEDRA NATURAL</t>
  </si>
  <si>
    <t>ACETILENO - RECARGA DE GAS PARA CILINDRO (NAO INCLUI TROCA/MANUTENCAO DO CILINDRO)</t>
  </si>
  <si>
    <t>ALICATE BICO LONGO (MEIA CANA) 6", COM ISOLAMENTO ATE 1000 V</t>
  </si>
  <si>
    <t>ALICATE DESENCAPADOR AUTOMATICO 8"</t>
  </si>
  <si>
    <t>ALICATE PROFISSIONAL 8", UNIVERSAL, COM ISOLAMENTO ATE 1000 V</t>
  </si>
  <si>
    <t>APOIO DO PORTA DENTE PARA FRESADORA DE ASFALTO</t>
  </si>
  <si>
    <t>AQUECEDOR DE OLEO BPF (FLUIDO) TERMICO, CAPACIDADE DE 300.000 KCAL/H</t>
  </si>
  <si>
    <t>ARCO DE SERRA REGULAVEL PARA LAMINAS DE 8" A 12"</t>
  </si>
  <si>
    <t>AVENTAL EM PVC, FORRADO, *0,3* MM DE ESPESSURA, *1,15 X 0,70* M (COMPRIMENTO X LARGURA), 100% IMPERMEAVEL</t>
  </si>
  <si>
    <t>BALANCIM INDIVIDUAL, TIPO CADEIRA SUSPENSA SOBE E DESCE</t>
  </si>
  <si>
    <t>BALDE DE PLASTICO CAPACIDADE 12 L</t>
  </si>
  <si>
    <t>BENTONITA, ARGILA CONSTITUIDA POR MONTMORILONITA</t>
  </si>
  <si>
    <t>BETONEIRA CAPACIDADE NOMINAL 600 L, CAPACIDADE DE MISTURA 440 L, MOTOR A GASOLINA POTENCIA 10 HP, COM CARREGADOR</t>
  </si>
  <si>
    <t>BRACO OU HASTE COM CANOPLA PLASTICA, 1/2", PARA CHUVEIRO SIMPLES</t>
  </si>
  <si>
    <t>BRACO OU HASTE RETA COM CANOPLA PLASTICA, 1/2", PARA CHUVEIRO ELETRICO</t>
  </si>
  <si>
    <t>BROCHA RETANGULAR, *15 X 5* CM</t>
  </si>
  <si>
    <t>BUCHA DE REDUCAO EM ALUMINIO, COM ROSCA, DE 3/4" X 1/2", PARA ELETRODUTO</t>
  </si>
  <si>
    <t>CAIXA DE INSPECAO PARA ATERRAMENTO E PARA RAIOS, EM POLIPROPILENO, DIAMETRO = 300 MM X ALTURA = 400 MM (INCLUIDA TAMPA SEM ESCOTILHA)</t>
  </si>
  <si>
    <t>CAIXA DE INSPECAO PARA ATERRAMENTO OU OUTRO USO, EM PVC, DN = 250 X 250 MM (INCLUIDA TAMPA EM FERRO FUNDIDO SEM ESCOTILHA)</t>
  </si>
  <si>
    <t>CAIXA DE INSPECAO PARA ATERRAMENTO OU OUTRO USO, EM PVC, DN = 300 X *300* MM (INCLUIDA TAMPA EM FERRO FUNDIDO SEM ESCOTILHA)</t>
  </si>
  <si>
    <t>CAIXA DE INSPECAO PARA ATERRAMENTO OU OUTRO USO, EM PVC, DN = 300 X 250 MM (INCLUIDA TAMPA EM FERRO FUNDIDO SEM ESCOTILHA)</t>
  </si>
  <si>
    <t>CAIXA DE INSPECAO PARA ATERRAMENTO OU OUTRO USO, EM PVC, DN = 300 X 600 MM (INCLUIDA TAMPA EM FERRO FUNDIDO SEM ESCOTILHA)</t>
  </si>
  <si>
    <t>CALCARIO DOLOMITICO A (POSTO PEDREIRA/FORNECEDOR, SEM FRETE)</t>
  </si>
  <si>
    <t>CARRINHO PLATAFORMA EM MADEIRA COM ESTRUTURA EM ACO, 1500 X 800 MM, COM CAPACIDADE DE 600 KG, 4 RODAS/PNEUS/CAMARAS</t>
  </si>
  <si>
    <t>CAVALETE DE FERRO DOBRAVEL, ALTURA 80 CM</t>
  </si>
  <si>
    <t>CHAPA PARA EMENDA DE VIGA, EM ACO GROSSO, QUALIDADE ESTRUTURAL, BITOLA 3/16", E= 4,75 MM, 4 FUROS, LARGURA 45 MM, COMPRIMENTO 500 MM</t>
  </si>
  <si>
    <t>CHAVE AJUSTAVEL (INGLESA) 10"</t>
  </si>
  <si>
    <t>CHAVE AJUSTAVEL (INGLESA) 15"</t>
  </si>
  <si>
    <t>CHAVE AJUSTAVEL (INGLESA) 6"</t>
  </si>
  <si>
    <t>CHAVE DE GRIFO DE 24"</t>
  </si>
  <si>
    <t>CHAVE FIXA 19 X 22 MM</t>
  </si>
  <si>
    <t>COLHER DE PEDREIRO 9", EM ACO, COM CANTOS REDONDOS E CABO DE MADEIRA OU PLASTICO</t>
  </si>
  <si>
    <t>CORTA-TUBOS COM CAPACIDADE DE 6 A 42 MM</t>
  </si>
  <si>
    <t>CUBA ACO INOX (AISI 304) DE EMBUTIR COM VALVULA 3 1/2", DE *40 X 34 X 12* CM</t>
  </si>
  <si>
    <t>CUBA ACO INOX (AISI 304) DE EMBUTIR COM VALVULA 3 1/2", DE *46 X 30 X 12* CM</t>
  </si>
  <si>
    <t>CUBA ACO INOX (AISI 304) DE EMBUTIR COM VALVULA DE 3 1/2", DE *56 X 33 X 12* CM</t>
  </si>
  <si>
    <t>DENTE PARA FRESADORA</t>
  </si>
  <si>
    <t>DESEMPENADEIRA DE MADEIRA *16 X 27* CM</t>
  </si>
  <si>
    <t>DISCO DE LIXA PARA METAL, DIAMETRO = 180 MM, GRAO 120</t>
  </si>
  <si>
    <t>DISPOSITIVO DR, 2 POLOS, SENSIBILIDADE DE 300 MA, CORRENTE DE 80 A, TIPO AC</t>
  </si>
  <si>
    <t>DOBRADICA EM LATAO, 3" X 2 1/2", E= 1,9 A 2 MM, COM ANEL, CROMADO, TAMPA BOLA, COM PARAFUSOS</t>
  </si>
  <si>
    <t>ELETRODUTO DE PVC RIGIDO ROSCAVEL DE 1 1/2", SEM LUVA</t>
  </si>
  <si>
    <t>ELETRODUTO DE PVC RIGIDO ROSCAVEL DE 1 1/4", SEM LUVA</t>
  </si>
  <si>
    <t>ELETRODUTO DE PVC RIGIDO ROSCAVEL DE 1", SEM LUVA</t>
  </si>
  <si>
    <t>ELETRODUTO DE PVC RIGIDO ROSCAVEL DE 1/2", SEM LUVA</t>
  </si>
  <si>
    <t>ELETRODUTO DE PVC RIGIDO ROSCAVEL DE 2 1/2", SEM LUVA</t>
  </si>
  <si>
    <t>ELETRODUTO DE PVC RIGIDO ROSCAVEL DE 2", SEM LUVA</t>
  </si>
  <si>
    <t>ELETRODUTO DE PVC RIGIDO ROSCAVEL DE 3", SEM LUVA</t>
  </si>
  <si>
    <t>ELETRODUTO DE PVC RIGIDO ROSCAVEL DE 3/4", SEM LUVA</t>
  </si>
  <si>
    <t>ELETRODUTO DE PVC RIGIDO ROSCAVEL DE 4", SEM LUVA</t>
  </si>
  <si>
    <t>ESCOVA CIRCULAR EM ACO LATONADO, 6 X 1" (DIAMETRO X ESPESSURA), FURO DE 1 1/4", FIO ONDULADO *0,30* MM</t>
  </si>
  <si>
    <t>ESQUADRO PARA SOLDA, EM ALUMINIO, 65 MM, COM DUAS MORSAS (GRAMPO SARGENTO)</t>
  </si>
  <si>
    <t>EXTENSAO DE SOLDA 201 ACETILENO, E = *1,5 A 2,5* MM (N2)</t>
  </si>
  <si>
    <t>EXTENSAO DE SOLDA 201 GLP, E = *2,5 A 4,0* MM (N4)</t>
  </si>
  <si>
    <t>FERRO DE SOLDA, POTENCIA 40 W</t>
  </si>
  <si>
    <t>FERTILIZANTE NPK - 10:10:10</t>
  </si>
  <si>
    <t>FILTRO QUIMICO PARA RESPIRADOR SEMI FACIAL, PROTECAO CONTRA VAPORES ORGANICOS E GASES ACIDOS</t>
  </si>
  <si>
    <t>FITA VEDA ROSCA, EM PTFE, ROLO DE 18 MM X 25 M (L X C)</t>
  </si>
  <si>
    <t>FORMAO CHANFRADO 1", CABO DE MADEIRA</t>
  </si>
  <si>
    <t>FURO PARA TORNEIRA OU OUTROS ACESSORIOS EM BANCADA DE MARMORE/ GRANITO OU OUTRO TIPO DE PEDRA NATURAL</t>
  </si>
  <si>
    <t>GRAMPO DE APERTO RAPIDO 18"</t>
  </si>
  <si>
    <t>GRANALHA DE ACO, ESFERICA (SHOT), PARA JATEAMENTO, PENEIRA 1,19 A 1,00 MM (SAE S390)</t>
  </si>
  <si>
    <t>GRUPO GERADOR ESTACIONARIO SILENCIADO, POTENCIA 50 KVA, MOTOR DIESEL</t>
  </si>
  <si>
    <t>GRUPO GERADOR ESTACIONARIO, SILENCIADO, POTENCIA 180 KVA, MOTOR DIESEL</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</si>
  <si>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</si>
  <si>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</si>
  <si>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</si>
  <si>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INVERSOR DE SOLDA MONOFASICO DE 160 A, POTENCIA DE *7000* W, TENSAO DE 220 V, TURBO VENTILADO, PROTECAO POR TERMOSTATO, PARA ELETRODOS DE *2,0 A 4,0* MM</t>
  </si>
  <si>
    <t>INVERSOR DE SOLDA MONOFASICO DE 200 A, POTENCIA DE *9600* W, TENSAO DE 220 V, TURBO VENTILADO, PROTECAO POR DISSIPADORES DE CALOR, PARA ELETRODOS DE *2,5 A 4,0* MM</t>
  </si>
  <si>
    <t>JOGO DE CHAVES ALLEN LONGAS HEXAGONAIS DE 1,5 MM A 10 MM - 9 PECAS</t>
  </si>
  <si>
    <t>JOGO DE CHAVES DE FENDA E PHILLIPS ISOLADAS, 1000 V - *6* PECAS</t>
  </si>
  <si>
    <t>JOGO SERRA COPO COM 6 SERRAS, DIAMETRO VARIANDO DE 15 MM A 60 MM</t>
  </si>
  <si>
    <t>KIT CHUVEIRO, INSTAL. PEX, QUADRO METALICO C/ 2 TRAVESSAS, SUPERIOR C/ ESPERA P/ CHUVEIRO, INFERIOR C/ 2 REGISTROS DE PRESSAO 1/2", *390* X *900* MM (L X H), CONEXAO COM ANEL DESLIZANTE (CONJUNTO COMPLETO)</t>
  </si>
  <si>
    <t>KIT CHUVEIRO, INSTAL. PEX, QUADRO METALICO C/2 TRAVESSAS, SUPERIOR C/ ESPERA P/ CHUVEIRO E INFERIOR C/2 REGISTROS DE PRESSAO 1/2", *390* X *900* MM (L X H), CONEXAO COM CRIMPAGEM (CONJUNTO COMPLETO)</t>
  </si>
  <si>
    <t>LAPIS PARA CARPINTEIRO</t>
  </si>
  <si>
    <t>LIMA QUADRADA BASTARDA 8", COM CABO</t>
  </si>
  <si>
    <t>LIMA REDONDA BASTARDA 8", COM CABO</t>
  </si>
  <si>
    <t>LUVA DE LATEX MULTIUSO AMARELA FORRADA</t>
  </si>
  <si>
    <t>LUVAS DE PVC, COM COMPRIMENTO DE *35* CM, FORRADAS, ACABAMENTO ASPERO ANTIDERRAPANTE NA FACE PALMAR</t>
  </si>
  <si>
    <t>MANGUEIRA FLEXIVEL TRANSPARENTE COM ESPIRAL AZUL, EM PVC, DIAM. 1" (25 MM), PARA SERVICOS LEVES DE SUCCAO E DESCARGA</t>
  </si>
  <si>
    <t>MANGUEIRA FLEXIVEL TRANSPARENTE COM ESPIRAL AZUL, EM PVC, DIAM. 2" (50 MM), PARA SERVICOS LEVES DE SUCCAO E DESCARGA</t>
  </si>
  <si>
    <t>MANGUEIRA FLEXIVEL TRANSPARENTE COM ESPIRAL AZUL, EM PVC, DIAM. 4" (100 MM), PARA SERVICOS LEVES DE SUCCAO E DESCARGA</t>
  </si>
  <si>
    <t>MANGUEIRA PARA AR E AGUA DE PVC/BORRACHA, PRESSAO 300 PSI, DIAMETRO DE 1 POLEGADA</t>
  </si>
  <si>
    <t>MANTA ALUMINIZADA NAS DUAS FACES, PARA SUBCOBERTURA, E = *2* MM</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</si>
  <si>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</si>
  <si>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</si>
  <si>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</si>
  <si>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</si>
  <si>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</si>
  <si>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</si>
  <si>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</si>
  <si>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MARRETA DE ACO, OITAVADA, 500 G, COM CABO DE MADEIRA</t>
  </si>
  <si>
    <t>MARTELO DE BORRACHA PRETO 450 G, CABO DE MADEIRA *60* MM DE DIAMETRO</t>
  </si>
  <si>
    <t>MARTELO DE PEDREIRO, 1 CORTE, EM ACO, *500* G, COMPRIMENTO TOTAL DE *28* CM, COM CABO DE MADEIRA</t>
  </si>
  <si>
    <t>MASCARA DE SOLDA AUTOMATICA, COM GRAU DE ESCURECIMENTO DIN 9 A 13</t>
  </si>
  <si>
    <t>MEIO-FIO OU GUIA DE CONCRETO PRE-MOLDADO, TIPO CHAPEU PARA BOCA DE LOBO, DIMENSOES *1,20* X 0,15 X 0,30 M</t>
  </si>
  <si>
    <t>MICROESFERAS DE VIDRO PARA SINALIZACAO HORIZONTAL VIARIA, TIPO I-B (PREMIX) - NBR 16184</t>
  </si>
  <si>
    <t>MICROESFERAS DE VIDRO PARA SINALIZACAO HORIZONTAL VIARIA, TIPO II-A (DROP-ON) - NBR 16184</t>
  </si>
  <si>
    <t>MISTURADOR METALICO, BASE PARA CHUVEIRO/BANHEIRA, 1/2" OU 3/4", SOLDAVEL OU ROSCAVEL (NAO INCLUI ACABAMENTOS)</t>
  </si>
  <si>
    <t>NIVEL DE ALUMINIO 350 MM (14"), COM 3 BOLHAS</t>
  </si>
  <si>
    <t>OCULOS DE SOLDA COM ESCURECIMENTO AUTOMATICO</t>
  </si>
  <si>
    <t>OXIGENIO - RECARGA DE GAS PARA CILINDRO (NAO INCLUI TROCA/MANUTENCAO DO CILINDRO)</t>
  </si>
  <si>
    <t>PA QUADRADA COM CABO DE MADEIRA EM Y DE 71 CM</t>
  </si>
  <si>
    <t>PARAFUSO ROSCA SOBERBA ZINCADO CABECA CHATA FENDA SIMPLES 3,2 X 20 MM (3/4")</t>
  </si>
  <si>
    <t>PARAFUSO ROSCA SOBERBA ZINCADO CABECA CHATA FENDA SIMPLES 3,5 X 25 MM (1")</t>
  </si>
  <si>
    <t>PARAFUSO ROSCA SOBERBA ZINCADO CABECA CHATA FENDA SIMPLES 3,8 X 30 MM (1.1/4")</t>
  </si>
  <si>
    <t>PARAFUSO ROSCA SOBERBA ZINCADO CABECA CHATA FENDA SIMPLES 4,8 X 40 MM (1.1/2")</t>
  </si>
  <si>
    <t>PARAFUSO ROSCA SOBERBA ZINCADO CABECA CHATA FENDA SIMPLES 5,5 X 50 MM (2")</t>
  </si>
  <si>
    <t>PARAFUSO ROSCA SOBERBA ZINCADO CABECA CHATA FENDA SIMPLES 5,5 X 65 MM (2.1/2")</t>
  </si>
  <si>
    <t>PASTA ABRASIVA PARA LIMPEZA DE MAOS</t>
  </si>
  <si>
    <t>PERNEIRA DE RASPA COM VELCRO</t>
  </si>
  <si>
    <t>PINO DE ACO COM ROSCA 1/4", COMPRIMENTO DA HASTE = 30 MM E ROSCA = 20 MM (ACAO DIRETA)</t>
  </si>
  <si>
    <t>PINO DE ACO LISO 1/4", HASTE = *36,5* MM (ACAO DIRETA)</t>
  </si>
  <si>
    <t>PINO DE ACO LISO 1/4", HASTE = *53* MM (ACAO DIRETA)</t>
  </si>
  <si>
    <t>PONTEIRO DE ACO, LISO, REDONDO, 3/4" X 10"</t>
  </si>
  <si>
    <t>PONTEIRO PARA MARTELO ROMPEDOR, DIAMETRO = *28* MM, COMPRIMENTO = *520* MM, ENCAIXE SEXTAVADO</t>
  </si>
  <si>
    <t>PORCA UNIAO/JUNCAO ZINCADA SEXTAVADA 1/4", CHAVE 7/16", COMPRIMENTO = 25 MM</t>
  </si>
  <si>
    <t>PORTA DENTE PARA FRESADORA</t>
  </si>
  <si>
    <t>PORTA GRADE DE ENROLAR MANUAL COMPLETA, PERFIL TUBULAR TIJOLINHO 3/4", EM ACO GALVANIZADO NATURAL (SEM INSTALACAO)</t>
  </si>
  <si>
    <t>POZOLANA DE CLASSE C</t>
  </si>
  <si>
    <t>PREGO DE ACO POLIDO COM CABECA 19 X 36 (3 1/4 X 9)</t>
  </si>
  <si>
    <t>PROTETOR FACIAL ARCO ELETRICO, COM QUEIXEIRA E LENTE EM POLICARBONATO, CAPACETE INCLUIDO</t>
  </si>
  <si>
    <t>PROTETOR FACIAL DE POLICARBONATO, 200 MM X *390* MM, COM COROA E CARNEIRA</t>
  </si>
  <si>
    <t>RESPIRADOR / MASCARA SEMI FACIAL COM UMA VALVULA DE INALACAO E DUAS DE EXALACAO, PROTECAO CONTRA VAPORES ORGANICOS E GASES ACIDOS (1 FILTRO INCLUIDO)</t>
  </si>
  <si>
    <t>RISCADOR DE FORMICA COM COMPRIMENTO *16* CM E ALTURA *5* CM</t>
  </si>
  <si>
    <t>ROLO DE ESPUMA POLIESTER, 9 CM X 10 MM, COM CABO</t>
  </si>
  <si>
    <t>SERROTE PROFISSIONAL EM ACO TEMPERADO 20", CABO DE MADEIRA</t>
  </si>
  <si>
    <t>SILICA ATIVA PARA ADICAO EM CONCRETO E ARGAMASSA</t>
  </si>
  <si>
    <t>SUPORTE MANUAL PARA LIXA, PLASTICO, COM 230 X 80 MM (COMPRIMENTO X LARGURA)</t>
  </si>
  <si>
    <t>TALHADEIRA CHATA, DE ACO, 10"</t>
  </si>
  <si>
    <t>TELA DE ANIAGEM (JUTA)</t>
  </si>
  <si>
    <t>TORNEIRA DE BOIA BALAO METALICO, VAZAO TOTAL, PARA CAIXA D'AGUA, AGUA QUENTE, ROSCA 1/2", COM HASTE, TORNEIRA E BALAO METALICOS</t>
  </si>
  <si>
    <t>TORNEIRA DE BOIA BALAO METALICO, VAZAO TOTAL, PARA CAIXA D'AGUA, AGUA QUENTE, ROSCA 3/4", COM HASTE, TORNEIRA E BALAO METALICOS</t>
  </si>
  <si>
    <t>TORNEIRA PLASTICA DE BOIA CONVENCIONAL PARA CAIXA DE AGUA, AGUA FRIA, 3/4", COM HASTE METALICA E COM TORNEIRA E BALAO PLASTICOS (PADRAO POPULAR)</t>
  </si>
  <si>
    <t>TORNO/MORSA DE BANCADA NUMERO 4</t>
  </si>
  <si>
    <t>TRENA COM FITA DE ACO DE 10 M X 25 MM (COMPRIMENTO X LARGURA)</t>
  </si>
  <si>
    <t>TRINCHA DE 1" COM CERDAS SINTETICAS</t>
  </si>
  <si>
    <t>TRINCHA DE 2" COM CERDAS SINTETICAS</t>
  </si>
  <si>
    <t>TUBO COLETOR DE ESGOTO PVC, JEI, DN 100 MM (NBR 7362)</t>
  </si>
  <si>
    <t>TUBO DE COBRE FLEXIVEL, D = 1/2", E = 0,79 MM, PARA AR-CONDICIONADO/ INSTALACOES GAS RESIDENCIAIS E COMERCIAIS</t>
  </si>
  <si>
    <t>TUBO DE COBRE FLEXIVEL, D = 1/4", E = 0,79 MM, PARA AR-CONDICIONADO/ INSTALACOES GAS RESIDENCIAIS E COMERCIAIS</t>
  </si>
  <si>
    <t>TUBO DE COBRE FLEXIVEL, D = 3/16", E = 0,79 MM, PARA AR-CONDICIONADO/ INSTALACOES GAS RESIDENCIAIS E COMERCIAIS</t>
  </si>
  <si>
    <t>TUBO DE COBRE FLEXIVEL, D = 3/4", E = 0,79 MM, PARA AR-CONDICIONADO/ INSTALACOES GAS RESIDENCIAIS E COMERCIAIS</t>
  </si>
  <si>
    <t>TUBO DE COBRE FLEXIVEL, D = 3/8", E = 0,79 MM, PARA AR-CONDICIONADO/ INSTALACOES GAS RESIDENCIAIS E COMERCIAIS</t>
  </si>
  <si>
    <t>TUBO DE COBRE FLEXIVEL, D = 5/16", E = 0,79 MM, PARA AR-CONDICIONADO/ INSTALACOES GAS RESIDENCIAIS E COMERCIAIS</t>
  </si>
  <si>
    <t>TUBO DE COBRE FLEXIVEL, D = 5/8", E = 0,79 MM, PARA AR-CONDICIONADO/ INSTALACOES GAS RESIDENCIAIS E COMERCIAIS</t>
  </si>
  <si>
    <t>TUBO DE POLIETILENO DE ALTA DENSIDADE, PEAD, PE-80, DE= 50 MM X 4,6 MM PAREDE, (SDR 11 - PN 12,5) PARA REDE DE AGUA OU ESGOTO (NBR 15561)</t>
  </si>
  <si>
    <t>UNIFORME PROFISSIONAL DE BRIM, CALCA E CAMISA MANGA LONGA COM FAIXA REFLETIVA</t>
  </si>
  <si>
    <t>USINA DE ASFALTO, GRAVIMETRICA, CAPACIDADE DE 150 T/H, POTENCIA DE 400 KW</t>
  </si>
  <si>
    <t>VALVULA DE ESCOAMENTO PARA TANQUE, EM METAL CROMADO, 1.1/2", SEM LADRAO, COM TAMPAO PLASTICO</t>
  </si>
  <si>
    <t>VALVULA EM PLASTICO BRANCO PARA LAVATORIO 1", SEM UNHO, COM LADRAO</t>
  </si>
  <si>
    <t>VALVULA EM PLASTICO BRANCO PARA TANQUE 1.1/4" X 1.1/2", SEM UNHO E SEM LADRAO</t>
  </si>
  <si>
    <t>VALVULA EM PLASTICO BRANCO PARA TANQUE OU LAVATORIO 1", SEM UNHO E SEM LADRAO</t>
  </si>
  <si>
    <t>VALVULA EM PLASTICO CROMADO PARA LAVATORIO 1", SEM UNHO, COM LADRAO</t>
  </si>
  <si>
    <t>VALVULA EM PLASTICO CROMADO TIPO AMERICANA PARA PIA DE COZINHA 3.1/2" X 1.1/2", SEM ADAPTADOR</t>
  </si>
  <si>
    <t>VIBROACABADORA DE ASFALTO SOBRE ESTEIRAS, LARG. PAVIM. 2,13 M A 4,55 M, POT. 74 KW/ 100 HP, CAP. 400 T/ H</t>
  </si>
  <si>
    <t>VIBROACABADORA DE ASFALTO SOBRE ESTEIRAS, LARG. PAVIM. MAX. 8,00 M, POT. 100 KW/ 134 HP, CAP. 600 T/ H</t>
  </si>
  <si>
    <t>VIDRO LISO INCOLOR 8MM - SEM COLOCACAO</t>
  </si>
  <si>
    <t>BOA VIAGEM - CE, JULHO DE 2025</t>
  </si>
  <si>
    <t>COMP. 23</t>
  </si>
  <si>
    <t xml:space="preserve">TRELIÇA METÁLICA, INCLUSIVE PINTURA </t>
  </si>
  <si>
    <t xml:space="preserve"> UN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</si>
</sst>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dd\.mm\.yy;@"/>
    <numFmt numFmtId="165" formatCode="&quot;R$&quot;\ #,##0.00"/>
    <numFmt numFmtId="166" formatCode="0.0"/>
    <numFmt numFmtId="167" formatCode="_(* #,##0.00_);_(* \(#,##0.00\);_(* &quot;-&quot;??_);_(@_)"/>
    <numFmt numFmtId="168" formatCode="_-* #,##0.0000_-;\-* #,##0.0000_-;_-* &quot;-&quot;????_-;_-@_-"/>
    <numFmt numFmtId="169" formatCode="_(* #,##0.0000_);_(* \(#,##0.0000\);_(* &quot;-&quot;??_);_(@_)"/>
    <numFmt numFmtId="170" formatCode="#,##0.000"/>
    <numFmt numFmtId="171" formatCode="#,##0.0000"/>
    <numFmt numFmtId="172" formatCode="0.00000"/>
    <numFmt numFmtId="173" formatCode="0.0000"/>
  </numFmts>
  <fonts count="43" x14ac:knownFonts="1">
    <font>
      <sz val="10"/>
      <color rgb="FF000000"/>
      <name val="Times New Roman"/>
      <charset val="204"/>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Times New Roman"/>
      <family val="1"/>
    </font>
    <font>
      <sz val="10"/>
      <name val="Arial"/>
      <family val="2"/>
    </font>
    <font>
      <b/>
      <sz val="10"/>
      <color indexed="8"/>
      <name val="Arial"/>
      <family val="2"/>
    </font>
    <font>
      <sz val="10"/>
      <name val="Arial"/>
      <family val="2"/>
    </font>
    <font>
      <sz val="10"/>
      <color rgb="FFFF0000"/>
      <name val="Arial"/>
      <family val="2"/>
    </font>
    <font>
      <b/>
      <sz val="8"/>
      <color indexed="8"/>
      <name val="Arial"/>
      <family val="2"/>
    </font>
    <font>
      <sz val="8"/>
      <color indexed="8"/>
      <name val="Arial"/>
      <family val="2"/>
    </font>
    <font>
      <sz val="8"/>
      <color rgb="FFFF0000"/>
      <name val="Arial"/>
      <family val="2"/>
    </font>
    <font>
      <b/>
      <sz val="10"/>
      <color indexed="8"/>
      <name val="SansSerif"/>
      <charset val="2"/>
    </font>
    <font>
      <sz val="12"/>
      <color indexed="8"/>
      <name val="SansSerif"/>
      <charset val="2"/>
    </font>
    <font>
      <sz val="8"/>
      <name val="Arial"/>
      <family val="2"/>
    </font>
    <font>
      <sz val="10"/>
      <color theme="4"/>
      <name val="Arial"/>
      <family val="2"/>
    </font>
    <font>
      <sz val="10"/>
      <color rgb="FFFFC000"/>
      <name val="Arial"/>
      <family val="2"/>
    </font>
    <font>
      <b/>
      <sz val="10"/>
      <color theme="1"/>
      <name val="Arial"/>
      <family val="2"/>
    </font>
    <font>
      <sz val="10"/>
      <color theme="1"/>
      <name val="Arial"/>
      <family val="2"/>
    </font>
    <font>
      <b/>
      <sz val="10"/>
      <name val="Arial"/>
      <family val="2"/>
    </font>
    <font>
      <u/>
      <sz val="10"/>
      <name val="Arial"/>
      <family val="2"/>
    </font>
    <font>
      <u/>
      <sz val="10"/>
      <color theme="1"/>
      <name val="Arial"/>
      <family val="2"/>
    </font>
    <font>
      <sz val="10"/>
      <color rgb="FF000000"/>
      <name val="Arial"/>
      <family val="2"/>
    </font>
    <font>
      <b/>
      <sz val="10"/>
      <color rgb="FF212121"/>
      <name val="Arial"/>
      <family val="2"/>
    </font>
    <font>
      <b/>
      <sz val="10"/>
      <color rgb="FF000000"/>
      <name val="Arial"/>
      <family val="2"/>
    </font>
    <font>
      <sz val="10"/>
      <color rgb="FF212121"/>
      <name val="Arial"/>
      <family val="2"/>
    </font>
    <font>
      <b/>
      <sz val="10"/>
      <name val="Verdana"/>
      <family val="2"/>
    </font>
    <font>
      <sz val="10"/>
      <color indexed="8"/>
      <name val="Arial"/>
      <family val="2"/>
    </font>
    <font>
      <sz val="10"/>
      <color theme="0"/>
      <name val="Arial"/>
      <family val="2"/>
    </font>
    <font>
      <sz val="12"/>
      <color theme="1"/>
      <name val="Calibri"/>
      <family val="2"/>
      <scheme val="minor"/>
    </font>
    <font>
      <i/>
      <sz val="7.5"/>
      <name val="Arial"/>
      <family val="2"/>
    </font>
    <font>
      <sz val="10"/>
      <color rgb="FF0070C0"/>
      <name val="Arial"/>
      <family val="2"/>
    </font>
    <font>
      <sz val="10"/>
      <color theme="3" tint="0.39997558519241921"/>
      <name val="Arial"/>
      <family val="2"/>
    </font>
    <font>
      <sz val="9"/>
      <name val="Arial"/>
      <family val="2"/>
    </font>
    <font>
      <sz val="10"/>
      <color rgb="FFED0000"/>
      <name val="Arial"/>
      <family val="2"/>
    </font>
    <font>
      <sz val="10"/>
      <name val="Courier New"/>
      <family val="3"/>
    </font>
    <font>
      <sz val="10"/>
      <color rgb="FF007BB8"/>
      <name val="Arial"/>
      <family val="2"/>
    </font>
    <font>
      <sz val="8"/>
      <color rgb="FF007BB8"/>
      <name val="Arial"/>
      <family val="2"/>
    </font>
    <font>
      <sz val="10"/>
      <color rgb="FF000000"/>
      <name val="Times New Roman"/>
      <family val="1"/>
    </font>
    <font>
      <sz val="10"/>
      <name val="Arial"/>
      <family val="2"/>
    </font>
    <font>
      <sz val="8"/>
      <color rgb="FFED0000"/>
      <name val="Arial"/>
      <family val="2"/>
    </font>
  </fonts>
  <fills count="19">
    <fill>
      <patternFill patternType="none"/>
    </fill>
    <fill>
      <patternFill patternType="gray125"/>
    </fill>
    <fill>
      <patternFill patternType="solid">
        <fgColor theme="0"/>
        <bgColor indexed="64"/>
      </patternFill>
    </fill>
    <fill>
      <patternFill patternType="solid">
        <fgColor indexed="22"/>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9" tint="0.39997558519241921"/>
        <bgColor indexed="64"/>
      </patternFill>
    </fill>
    <fill>
      <patternFill patternType="solid">
        <fgColor theme="6" tint="0.39997558519241921"/>
        <bgColor indexed="64"/>
      </patternFill>
    </fill>
    <fill>
      <patternFill patternType="solid">
        <fgColor rgb="FFFFFF99"/>
        <bgColor indexed="64"/>
      </patternFill>
    </fill>
    <fill>
      <patternFill patternType="solid">
        <fgColor indexed="51"/>
        <bgColor indexed="64"/>
      </patternFill>
    </fill>
    <fill>
      <patternFill patternType="solid">
        <fgColor indexed="55"/>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rgb="FFD9D9D9"/>
        <bgColor indexed="64"/>
      </patternFill>
    </fill>
    <fill>
      <patternFill patternType="solid">
        <fgColor rgb="FFA2A2A2"/>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rgb="FFC4D79B"/>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top style="thin">
        <color indexed="8"/>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thin">
        <color indexed="64"/>
      </left>
      <right style="thin">
        <color indexed="64"/>
      </right>
      <top style="thin">
        <color indexed="64"/>
      </top>
      <bottom/>
      <diagonal/>
    </border>
    <border>
      <left/>
      <right style="thin">
        <color indexed="64"/>
      </right>
      <top/>
      <bottom style="thin">
        <color indexed="64"/>
      </bottom>
      <diagonal/>
    </border>
  </borders>
  <cellStyleXfs count="19">
    <xf numFmtId="0" fontId="0" fillId="0" borderId="0"/>
    <xf numFmtId="0" fontId="7" fillId="0" borderId="0"/>
    <xf numFmtId="0" fontId="7" fillId="0" borderId="0"/>
    <xf numFmtId="0" fontId="9" fillId="0" borderId="0"/>
    <xf numFmtId="0" fontId="7" fillId="0" borderId="0"/>
    <xf numFmtId="0" fontId="5" fillId="0" borderId="0"/>
    <xf numFmtId="167" fontId="7" fillId="0" borderId="0" applyFont="0" applyFill="0" applyBorder="0" applyAlignment="0" applyProtection="0"/>
    <xf numFmtId="9" fontId="7" fillId="0" borderId="0" applyFont="0" applyFill="0" applyBorder="0" applyAlignment="0" applyProtection="0"/>
    <xf numFmtId="0" fontId="31" fillId="0" borderId="0"/>
    <xf numFmtId="0" fontId="4" fillId="0" borderId="0"/>
    <xf numFmtId="167" fontId="7" fillId="0" borderId="0" applyFont="0" applyFill="0" applyBorder="0" applyAlignment="0" applyProtection="0"/>
    <xf numFmtId="0" fontId="3" fillId="0" borderId="0"/>
    <xf numFmtId="0" fontId="2" fillId="0" borderId="0"/>
    <xf numFmtId="167" fontId="7" fillId="0" borderId="0" applyFont="0" applyFill="0" applyBorder="0" applyAlignment="0" applyProtection="0"/>
    <xf numFmtId="0" fontId="37" fillId="0" borderId="0"/>
    <xf numFmtId="0" fontId="37" fillId="0" borderId="0"/>
    <xf numFmtId="167" fontId="7" fillId="0" borderId="0" applyFont="0" applyFill="0" applyBorder="0" applyAlignment="0" applyProtection="0"/>
    <xf numFmtId="0" fontId="41" fillId="0" borderId="0"/>
    <xf numFmtId="0" fontId="1" fillId="0" borderId="0"/>
  </cellStyleXfs>
  <cellXfs count="665">
    <xf numFmtId="0" fontId="0" fillId="0" borderId="0" xfId="0" applyAlignment="1">
      <alignment horizontal="left" vertical="top"/>
    </xf>
    <xf numFmtId="0" fontId="8" fillId="3" borderId="1" xfId="1" applyFont="1" applyFill="1" applyBorder="1" applyAlignment="1">
      <alignment horizontal="center" vertical="center"/>
    </xf>
    <xf numFmtId="4" fontId="8" fillId="3" borderId="1" xfId="1" applyNumberFormat="1" applyFont="1" applyFill="1" applyBorder="1" applyAlignment="1">
      <alignment horizontal="center" vertical="center" wrapText="1"/>
    </xf>
    <xf numFmtId="2" fontId="7" fillId="0" borderId="0" xfId="2" applyNumberFormat="1" applyAlignment="1">
      <alignment horizontal="center" vertical="center"/>
    </xf>
    <xf numFmtId="2" fontId="7" fillId="0" borderId="0" xfId="4" applyNumberFormat="1" applyAlignment="1">
      <alignment horizontal="center" vertical="center"/>
    </xf>
    <xf numFmtId="166" fontId="7" fillId="0" borderId="0" xfId="4" applyNumberFormat="1" applyAlignment="1">
      <alignment horizontal="center" vertical="center"/>
    </xf>
    <xf numFmtId="0" fontId="7" fillId="0" borderId="0" xfId="3" applyFont="1" applyAlignment="1">
      <alignment horizontal="center" vertical="center"/>
    </xf>
    <xf numFmtId="4" fontId="7" fillId="0" borderId="0" xfId="4" applyNumberFormat="1" applyAlignment="1">
      <alignment horizontal="center" vertical="center"/>
    </xf>
    <xf numFmtId="0" fontId="7" fillId="0" borderId="0" xfId="4" applyAlignment="1">
      <alignment horizontal="left" vertical="center" wrapText="1"/>
    </xf>
    <xf numFmtId="0" fontId="7" fillId="0" borderId="0" xfId="4" applyAlignment="1">
      <alignment horizontal="center" vertical="center"/>
    </xf>
    <xf numFmtId="4" fontId="7" fillId="0" borderId="0" xfId="4" applyNumberFormat="1" applyAlignment="1">
      <alignment horizontal="right" vertical="center"/>
    </xf>
    <xf numFmtId="49" fontId="11" fillId="3" borderId="2" xfId="3" applyNumberFormat="1" applyFont="1" applyFill="1" applyBorder="1" applyAlignment="1">
      <alignment horizontal="center" vertical="center" wrapText="1"/>
    </xf>
    <xf numFmtId="49" fontId="11" fillId="3" borderId="2" xfId="3" applyNumberFormat="1" applyFont="1" applyFill="1" applyBorder="1" applyAlignment="1">
      <alignment horizontal="left" vertical="center" wrapText="1"/>
    </xf>
    <xf numFmtId="2" fontId="11" fillId="3" borderId="2" xfId="3" applyNumberFormat="1" applyFont="1" applyFill="1" applyBorder="1" applyAlignment="1">
      <alignment horizontal="center" vertical="center" wrapText="1"/>
    </xf>
    <xf numFmtId="49" fontId="11" fillId="0" borderId="2" xfId="3" applyNumberFormat="1" applyFont="1" applyBorder="1" applyAlignment="1">
      <alignment horizontal="center" vertical="center"/>
    </xf>
    <xf numFmtId="49" fontId="11" fillId="0" borderId="2" xfId="3" applyNumberFormat="1" applyFont="1" applyBorder="1" applyAlignment="1">
      <alignment horizontal="left" vertical="center" wrapText="1"/>
    </xf>
    <xf numFmtId="2" fontId="11" fillId="0" borderId="2" xfId="3" applyNumberFormat="1" applyFont="1" applyBorder="1" applyAlignment="1">
      <alignment horizontal="center" vertical="center"/>
    </xf>
    <xf numFmtId="49" fontId="12" fillId="0" borderId="2" xfId="3" applyNumberFormat="1" applyFont="1" applyBorder="1" applyAlignment="1">
      <alignment horizontal="center" vertical="center"/>
    </xf>
    <xf numFmtId="49" fontId="12" fillId="0" borderId="2" xfId="3" applyNumberFormat="1" applyFont="1" applyBorder="1" applyAlignment="1">
      <alignment horizontal="left" vertical="center" wrapText="1"/>
    </xf>
    <xf numFmtId="2" fontId="12" fillId="0" borderId="2" xfId="3" applyNumberFormat="1" applyFont="1" applyBorder="1" applyAlignment="1">
      <alignment horizontal="center" vertical="center"/>
    </xf>
    <xf numFmtId="49" fontId="13" fillId="0" borderId="2" xfId="3" applyNumberFormat="1" applyFont="1" applyBorder="1" applyAlignment="1">
      <alignment horizontal="center" vertical="center"/>
    </xf>
    <xf numFmtId="49" fontId="13" fillId="0" borderId="2" xfId="3" applyNumberFormat="1" applyFont="1" applyBorder="1" applyAlignment="1">
      <alignment horizontal="left" vertical="center" wrapText="1"/>
    </xf>
    <xf numFmtId="2" fontId="13" fillId="0" borderId="2" xfId="3" applyNumberFormat="1" applyFont="1" applyBorder="1" applyAlignment="1">
      <alignment horizontal="center" vertical="center"/>
    </xf>
    <xf numFmtId="49" fontId="9" fillId="0" borderId="0" xfId="3" applyNumberFormat="1" applyAlignment="1">
      <alignment horizontal="center" vertical="center"/>
    </xf>
    <xf numFmtId="49" fontId="9" fillId="0" borderId="0" xfId="3" applyNumberFormat="1" applyAlignment="1">
      <alignment horizontal="left" vertical="center" wrapText="1"/>
    </xf>
    <xf numFmtId="2" fontId="9" fillId="0" borderId="0" xfId="3" applyNumberFormat="1" applyAlignment="1">
      <alignment horizontal="center" vertical="center"/>
    </xf>
    <xf numFmtId="49" fontId="14" fillId="0" borderId="3" xfId="3" applyNumberFormat="1" applyFont="1" applyBorder="1" applyAlignment="1">
      <alignment horizontal="center" vertical="center" wrapText="1"/>
    </xf>
    <xf numFmtId="49" fontId="14" fillId="0" borderId="3" xfId="3" applyNumberFormat="1" applyFont="1" applyBorder="1" applyAlignment="1">
      <alignment horizontal="left" vertical="center" wrapText="1"/>
    </xf>
    <xf numFmtId="2" fontId="14" fillId="0" borderId="3" xfId="3" applyNumberFormat="1" applyFont="1" applyBorder="1" applyAlignment="1">
      <alignment horizontal="center" vertical="center" wrapText="1"/>
    </xf>
    <xf numFmtId="49" fontId="12" fillId="0" borderId="0" xfId="3" applyNumberFormat="1" applyFont="1" applyAlignment="1">
      <alignment horizontal="center" vertical="center" wrapText="1"/>
    </xf>
    <xf numFmtId="49" fontId="12" fillId="0" borderId="0" xfId="3" applyNumberFormat="1" applyFont="1" applyAlignment="1">
      <alignment horizontal="left" vertical="center" wrapText="1"/>
    </xf>
    <xf numFmtId="2" fontId="12" fillId="0" borderId="0" xfId="3" applyNumberFormat="1" applyFont="1" applyAlignment="1">
      <alignment horizontal="center" vertical="center" wrapText="1"/>
    </xf>
    <xf numFmtId="49" fontId="15" fillId="0" borderId="0" xfId="3" applyNumberFormat="1" applyFont="1" applyAlignment="1">
      <alignment horizontal="center" vertical="center" wrapText="1"/>
    </xf>
    <xf numFmtId="49" fontId="15" fillId="0" borderId="0" xfId="3" applyNumberFormat="1" applyFont="1" applyAlignment="1">
      <alignment horizontal="left" vertical="center" wrapText="1"/>
    </xf>
    <xf numFmtId="2" fontId="15" fillId="0" borderId="0" xfId="3" applyNumberFormat="1" applyFont="1" applyAlignment="1">
      <alignment horizontal="center" vertical="center" wrapText="1"/>
    </xf>
    <xf numFmtId="49" fontId="12" fillId="0" borderId="0" xfId="5" applyNumberFormat="1" applyFont="1" applyAlignment="1">
      <alignment horizontal="center" vertical="center"/>
    </xf>
    <xf numFmtId="49" fontId="12" fillId="0" borderId="0" xfId="5" applyNumberFormat="1" applyFont="1" applyAlignment="1">
      <alignment horizontal="left" vertical="center" wrapText="1"/>
    </xf>
    <xf numFmtId="49" fontId="7" fillId="0" borderId="0" xfId="2" applyNumberFormat="1" applyAlignment="1">
      <alignment horizontal="center" vertical="center"/>
    </xf>
    <xf numFmtId="49" fontId="15" fillId="0" borderId="0" xfId="5" applyNumberFormat="1" applyFont="1" applyAlignment="1">
      <alignment horizontal="center" vertical="center"/>
    </xf>
    <xf numFmtId="49" fontId="15" fillId="0" borderId="0" xfId="5" applyNumberFormat="1" applyFont="1" applyAlignment="1">
      <alignment horizontal="left" vertical="center" wrapText="1"/>
    </xf>
    <xf numFmtId="49" fontId="14" fillId="0" borderId="0" xfId="5" applyNumberFormat="1" applyFont="1" applyAlignment="1">
      <alignment horizontal="center" vertical="center"/>
    </xf>
    <xf numFmtId="49" fontId="14" fillId="0" borderId="0" xfId="5" applyNumberFormat="1" applyFont="1" applyAlignment="1">
      <alignment horizontal="left" vertical="center" wrapText="1"/>
    </xf>
    <xf numFmtId="49" fontId="16" fillId="0" borderId="0" xfId="2" applyNumberFormat="1" applyFont="1" applyAlignment="1">
      <alignment horizontal="center" vertical="center"/>
    </xf>
    <xf numFmtId="49" fontId="16" fillId="0" borderId="0" xfId="2" applyNumberFormat="1" applyFont="1" applyAlignment="1">
      <alignment horizontal="left" vertical="center" wrapText="1"/>
    </xf>
    <xf numFmtId="0" fontId="19" fillId="0" borderId="0" xfId="0" applyFont="1" applyAlignment="1">
      <alignment horizontal="center" vertical="center"/>
    </xf>
    <xf numFmtId="0" fontId="20" fillId="0" borderId="0" xfId="0" applyFont="1" applyAlignment="1">
      <alignment horizontal="center" vertical="center"/>
    </xf>
    <xf numFmtId="0" fontId="20" fillId="0" borderId="0" xfId="0" applyFont="1" applyAlignment="1">
      <alignment horizontal="left" vertical="center"/>
    </xf>
    <xf numFmtId="49" fontId="20" fillId="0" borderId="0" xfId="0" applyNumberFormat="1" applyFont="1" applyAlignment="1">
      <alignment horizontal="center" vertical="center"/>
    </xf>
    <xf numFmtId="4" fontId="20" fillId="0" borderId="0" xfId="0" applyNumberFormat="1" applyFont="1" applyAlignment="1">
      <alignment horizontal="right" vertical="center"/>
    </xf>
    <xf numFmtId="2" fontId="20" fillId="0" borderId="0" xfId="0" applyNumberFormat="1" applyFont="1" applyAlignment="1">
      <alignment horizontal="right" vertical="center"/>
    </xf>
    <xf numFmtId="0" fontId="19" fillId="0" borderId="0" xfId="0" applyFont="1" applyAlignment="1">
      <alignment horizontal="left" vertical="center"/>
    </xf>
    <xf numFmtId="49" fontId="19" fillId="0" borderId="0" xfId="0" applyNumberFormat="1" applyFont="1" applyAlignment="1">
      <alignment horizontal="center" vertical="center"/>
    </xf>
    <xf numFmtId="4" fontId="19" fillId="0" borderId="0" xfId="0" applyNumberFormat="1" applyFont="1" applyAlignment="1">
      <alignment horizontal="right" vertical="center"/>
    </xf>
    <xf numFmtId="2" fontId="19" fillId="0" borderId="0" xfId="0" applyNumberFormat="1" applyFont="1" applyAlignment="1">
      <alignment horizontal="right" vertical="center"/>
    </xf>
    <xf numFmtId="0" fontId="21" fillId="0" borderId="0" xfId="0" applyFont="1" applyAlignment="1">
      <alignment horizontal="left" vertical="center"/>
    </xf>
    <xf numFmtId="0" fontId="7" fillId="0" borderId="0" xfId="0" applyFont="1" applyAlignment="1">
      <alignment horizontal="center" vertical="center"/>
    </xf>
    <xf numFmtId="0" fontId="7" fillId="0" borderId="0" xfId="0" applyFont="1" applyAlignment="1">
      <alignment horizontal="left" vertical="center"/>
    </xf>
    <xf numFmtId="49" fontId="7" fillId="0" borderId="0" xfId="0" applyNumberFormat="1" applyFont="1" applyAlignment="1">
      <alignment horizontal="center" vertical="center"/>
    </xf>
    <xf numFmtId="4" fontId="7" fillId="0" borderId="0" xfId="0" applyNumberFormat="1" applyFont="1" applyAlignment="1">
      <alignment horizontal="right" vertical="center"/>
    </xf>
    <xf numFmtId="2" fontId="7" fillId="0" borderId="0" xfId="0" applyNumberFormat="1" applyFont="1" applyAlignment="1">
      <alignment horizontal="right" vertical="center"/>
    </xf>
    <xf numFmtId="0" fontId="7" fillId="0" borderId="0" xfId="0" applyFont="1" applyAlignment="1">
      <alignment vertical="center"/>
    </xf>
    <xf numFmtId="2" fontId="22" fillId="0" borderId="0" xfId="0" applyNumberFormat="1" applyFont="1" applyAlignment="1">
      <alignment horizontal="right" vertical="center" wrapText="1"/>
    </xf>
    <xf numFmtId="0" fontId="20" fillId="0" borderId="0" xfId="0" applyFont="1" applyAlignment="1">
      <alignment vertical="center"/>
    </xf>
    <xf numFmtId="2" fontId="23" fillId="0" borderId="0" xfId="0" applyNumberFormat="1" applyFont="1" applyAlignment="1">
      <alignment horizontal="right" vertical="center" wrapText="1"/>
    </xf>
    <xf numFmtId="0" fontId="19" fillId="0" borderId="0" xfId="0" applyFont="1" applyAlignment="1">
      <alignment vertical="center"/>
    </xf>
    <xf numFmtId="0" fontId="24" fillId="0" borderId="0" xfId="0" applyFont="1" applyAlignment="1">
      <alignment vertical="center" wrapText="1"/>
    </xf>
    <xf numFmtId="0" fontId="21" fillId="0" borderId="0" xfId="0" applyFont="1" applyAlignment="1">
      <alignment horizontal="center" vertical="center" wrapText="1"/>
    </xf>
    <xf numFmtId="0" fontId="21" fillId="0" borderId="0" xfId="0" applyFont="1" applyAlignment="1">
      <alignment vertical="center" wrapText="1"/>
    </xf>
    <xf numFmtId="0" fontId="24" fillId="0" borderId="0" xfId="0" applyFont="1" applyAlignment="1">
      <alignment horizontal="left" vertical="center"/>
    </xf>
    <xf numFmtId="0" fontId="24" fillId="0" borderId="1" xfId="0" applyFont="1" applyBorder="1" applyAlignment="1">
      <alignment horizontal="center" vertical="center" wrapText="1"/>
    </xf>
    <xf numFmtId="164" fontId="27" fillId="0" borderId="1" xfId="0" applyNumberFormat="1" applyFont="1" applyBorder="1" applyAlignment="1">
      <alignment horizontal="right" vertical="center" shrinkToFit="1"/>
    </xf>
    <xf numFmtId="0" fontId="17" fillId="0" borderId="1" xfId="0" applyFont="1" applyBorder="1" applyAlignment="1">
      <alignment horizontal="center" vertical="center" wrapText="1"/>
    </xf>
    <xf numFmtId="1" fontId="27" fillId="0" borderId="1" xfId="0" applyNumberFormat="1" applyFont="1" applyBorder="1" applyAlignment="1">
      <alignment horizontal="center" vertical="center" shrinkToFit="1"/>
    </xf>
    <xf numFmtId="0" fontId="20" fillId="0" borderId="1" xfId="0" applyFont="1" applyBorder="1" applyAlignment="1">
      <alignment horizontal="left" vertical="center" wrapText="1"/>
    </xf>
    <xf numFmtId="0" fontId="20" fillId="0" borderId="1" xfId="0" applyFont="1" applyBorder="1" applyAlignment="1">
      <alignment horizontal="center" vertical="center" wrapText="1"/>
    </xf>
    <xf numFmtId="4" fontId="20" fillId="0" borderId="1" xfId="0" applyNumberFormat="1" applyFont="1" applyBorder="1" applyAlignment="1">
      <alignment horizontal="right" vertical="center" shrinkToFit="1"/>
    </xf>
    <xf numFmtId="4" fontId="24" fillId="0" borderId="0" xfId="0" applyNumberFormat="1" applyFont="1" applyAlignment="1">
      <alignment horizontal="left" vertical="center"/>
    </xf>
    <xf numFmtId="0" fontId="24" fillId="0" borderId="1" xfId="0" applyFont="1" applyBorder="1" applyAlignment="1">
      <alignment horizontal="left" vertical="center" wrapText="1"/>
    </xf>
    <xf numFmtId="0" fontId="20" fillId="2" borderId="1" xfId="0" applyFont="1" applyFill="1" applyBorder="1" applyAlignment="1">
      <alignment horizontal="center" vertical="center" wrapText="1"/>
    </xf>
    <xf numFmtId="0" fontId="7" fillId="0" borderId="1" xfId="0" applyFont="1" applyBorder="1" applyAlignment="1">
      <alignment horizontal="center" vertical="center" wrapText="1"/>
    </xf>
    <xf numFmtId="0" fontId="10" fillId="0" borderId="1" xfId="0" applyFont="1" applyBorder="1" applyAlignment="1">
      <alignment horizontal="center" vertical="center" wrapText="1"/>
    </xf>
    <xf numFmtId="0" fontId="7" fillId="2" borderId="1" xfId="0" applyFont="1" applyFill="1" applyBorder="1" applyAlignment="1">
      <alignment horizontal="center" vertical="center" wrapText="1"/>
    </xf>
    <xf numFmtId="0" fontId="24" fillId="0" borderId="1" xfId="0" applyFont="1" applyBorder="1" applyAlignment="1">
      <alignment horizontal="right" vertical="center" wrapText="1"/>
    </xf>
    <xf numFmtId="1" fontId="7" fillId="0" borderId="1" xfId="0" applyNumberFormat="1" applyFont="1" applyBorder="1" applyAlignment="1">
      <alignment horizontal="center" vertical="center" shrinkToFit="1"/>
    </xf>
    <xf numFmtId="164" fontId="7" fillId="0" borderId="1" xfId="0" applyNumberFormat="1" applyFont="1" applyBorder="1" applyAlignment="1">
      <alignment horizontal="right" vertical="center" shrinkToFit="1"/>
    </xf>
    <xf numFmtId="0" fontId="7" fillId="0" borderId="1" xfId="0" applyFont="1" applyBorder="1" applyAlignment="1">
      <alignment horizontal="left" vertical="center" wrapText="1"/>
    </xf>
    <xf numFmtId="4" fontId="7" fillId="0" borderId="1" xfId="0" applyNumberFormat="1" applyFont="1" applyBorder="1" applyAlignment="1">
      <alignment horizontal="right" vertical="center" shrinkToFit="1"/>
    </xf>
    <xf numFmtId="165" fontId="24" fillId="0" borderId="0" xfId="0" applyNumberFormat="1" applyFont="1" applyAlignment="1">
      <alignment horizontal="left" vertical="center"/>
    </xf>
    <xf numFmtId="0" fontId="24" fillId="0" borderId="0" xfId="0" applyFont="1" applyAlignment="1">
      <alignment horizontal="left" vertical="center" wrapText="1"/>
    </xf>
    <xf numFmtId="0" fontId="24" fillId="0" borderId="0" xfId="0" applyFont="1" applyAlignment="1">
      <alignment horizontal="center" vertical="center" wrapText="1"/>
    </xf>
    <xf numFmtId="0" fontId="21" fillId="0" borderId="0" xfId="0" applyFont="1" applyAlignment="1">
      <alignment horizontal="left" vertical="center" wrapText="1"/>
    </xf>
    <xf numFmtId="4" fontId="26" fillId="0" borderId="0" xfId="0" applyNumberFormat="1" applyFont="1" applyAlignment="1">
      <alignment horizontal="right" vertical="center" shrinkToFit="1"/>
    </xf>
    <xf numFmtId="0" fontId="24" fillId="0" borderId="0" xfId="0" applyFont="1" applyAlignment="1">
      <alignment horizontal="center" vertical="center"/>
    </xf>
    <xf numFmtId="0" fontId="7" fillId="0" borderId="0" xfId="1" applyAlignment="1">
      <alignment horizontal="left" vertical="center"/>
    </xf>
    <xf numFmtId="0" fontId="7" fillId="0" borderId="0" xfId="1"/>
    <xf numFmtId="0" fontId="28" fillId="0" borderId="0" xfId="2" applyFont="1" applyAlignment="1">
      <alignment vertical="center"/>
    </xf>
    <xf numFmtId="0" fontId="21" fillId="0" borderId="0" xfId="2" applyFont="1"/>
    <xf numFmtId="0" fontId="7" fillId="0" borderId="0" xfId="2"/>
    <xf numFmtId="0" fontId="21" fillId="0" borderId="0" xfId="2" applyFont="1" applyAlignment="1">
      <alignment horizontal="center" vertical="center"/>
    </xf>
    <xf numFmtId="0" fontId="28" fillId="0" borderId="0" xfId="2" applyFont="1" applyAlignment="1">
      <alignment horizontal="center" vertical="center" wrapText="1"/>
    </xf>
    <xf numFmtId="0" fontId="21" fillId="0" borderId="0" xfId="2" applyFont="1" applyAlignment="1">
      <alignment horizontal="left" vertical="center"/>
    </xf>
    <xf numFmtId="0" fontId="7" fillId="0" borderId="0" xfId="2" applyAlignment="1">
      <alignment horizontal="left" vertical="center"/>
    </xf>
    <xf numFmtId="0" fontId="7" fillId="0" borderId="0" xfId="2" applyAlignment="1">
      <alignment horizontal="center" vertical="center"/>
    </xf>
    <xf numFmtId="4" fontId="7" fillId="0" borderId="0" xfId="2" applyNumberFormat="1" applyAlignment="1">
      <alignment vertical="center"/>
    </xf>
    <xf numFmtId="10" fontId="7" fillId="0" borderId="0" xfId="2" applyNumberFormat="1" applyAlignment="1">
      <alignment horizontal="left" vertical="center"/>
    </xf>
    <xf numFmtId="4" fontId="7" fillId="0" borderId="0" xfId="2" applyNumberFormat="1" applyAlignment="1">
      <alignment horizontal="right" vertical="center"/>
    </xf>
    <xf numFmtId="4" fontId="7" fillId="0" borderId="0" xfId="2" applyNumberFormat="1" applyAlignment="1">
      <alignment horizontal="left" vertical="center"/>
    </xf>
    <xf numFmtId="0" fontId="7" fillId="6" borderId="0" xfId="2" applyFill="1" applyAlignment="1">
      <alignment vertical="center"/>
    </xf>
    <xf numFmtId="0" fontId="7" fillId="6" borderId="0" xfId="1" applyFill="1" applyAlignment="1">
      <alignment vertical="center"/>
    </xf>
    <xf numFmtId="49" fontId="21" fillId="5" borderId="7" xfId="2" applyNumberFormat="1" applyFont="1" applyFill="1" applyBorder="1" applyAlignment="1">
      <alignment horizontal="center" vertical="center"/>
    </xf>
    <xf numFmtId="0" fontId="21" fillId="5" borderId="7" xfId="2" applyFont="1" applyFill="1" applyBorder="1" applyAlignment="1">
      <alignment horizontal="center" vertical="center"/>
    </xf>
    <xf numFmtId="0" fontId="7" fillId="0" borderId="0" xfId="1" applyAlignment="1">
      <alignment vertical="center"/>
    </xf>
    <xf numFmtId="0" fontId="7" fillId="0" borderId="0" xfId="2" applyAlignment="1">
      <alignment vertical="center"/>
    </xf>
    <xf numFmtId="0" fontId="7" fillId="7" borderId="1" xfId="2" applyFill="1" applyBorder="1" applyAlignment="1">
      <alignment horizontal="center" vertical="center"/>
    </xf>
    <xf numFmtId="0" fontId="21" fillId="7" borderId="1" xfId="2" applyFont="1" applyFill="1" applyBorder="1" applyAlignment="1">
      <alignment vertical="center"/>
    </xf>
    <xf numFmtId="0" fontId="7" fillId="5" borderId="0" xfId="2" applyFill="1" applyAlignment="1">
      <alignment vertical="center"/>
    </xf>
    <xf numFmtId="0" fontId="7" fillId="5" borderId="0" xfId="1" applyFill="1" applyAlignment="1">
      <alignment vertical="center"/>
    </xf>
    <xf numFmtId="0" fontId="7" fillId="0" borderId="1" xfId="2" applyBorder="1" applyAlignment="1">
      <alignment horizontal="center" vertical="center"/>
    </xf>
    <xf numFmtId="0" fontId="7" fillId="0" borderId="1" xfId="2" applyBorder="1" applyAlignment="1">
      <alignment vertical="center"/>
    </xf>
    <xf numFmtId="43" fontId="7" fillId="8" borderId="1" xfId="6" applyNumberFormat="1" applyFont="1" applyFill="1" applyBorder="1" applyAlignment="1">
      <alignment horizontal="center" vertical="center"/>
    </xf>
    <xf numFmtId="0" fontId="7" fillId="7" borderId="0" xfId="2" applyFill="1" applyAlignment="1">
      <alignment vertical="center"/>
    </xf>
    <xf numFmtId="0" fontId="7" fillId="7" borderId="0" xfId="1" applyFill="1" applyAlignment="1">
      <alignment vertical="center"/>
    </xf>
    <xf numFmtId="0" fontId="29" fillId="0" borderId="0" xfId="2" applyFont="1" applyAlignment="1">
      <alignment horizontal="justify" vertical="center"/>
    </xf>
    <xf numFmtId="0" fontId="7" fillId="0" borderId="0" xfId="2" applyAlignment="1">
      <alignment horizontal="right" vertical="center"/>
    </xf>
    <xf numFmtId="43" fontId="7" fillId="0" borderId="0" xfId="6" applyNumberFormat="1" applyFont="1" applyFill="1" applyBorder="1" applyAlignment="1">
      <alignment horizontal="center" vertical="center"/>
    </xf>
    <xf numFmtId="0" fontId="8" fillId="0" borderId="9" xfId="2" applyFont="1" applyBorder="1" applyAlignment="1">
      <alignment horizontal="center" vertical="center" wrapText="1"/>
    </xf>
    <xf numFmtId="0" fontId="29" fillId="0" borderId="10" xfId="2" applyFont="1" applyBorder="1" applyAlignment="1">
      <alignment horizontal="center" vertical="center" wrapText="1"/>
    </xf>
    <xf numFmtId="0" fontId="29" fillId="0" borderId="11" xfId="2" applyFont="1" applyBorder="1" applyAlignment="1">
      <alignment vertical="center" wrapText="1"/>
    </xf>
    <xf numFmtId="10" fontId="7" fillId="0" borderId="12" xfId="2" applyNumberFormat="1" applyBorder="1" applyAlignment="1">
      <alignment horizontal="center" vertical="center" wrapText="1"/>
    </xf>
    <xf numFmtId="10" fontId="30" fillId="0" borderId="12" xfId="2" applyNumberFormat="1" applyFont="1" applyBorder="1" applyAlignment="1">
      <alignment horizontal="center" vertical="center" wrapText="1"/>
    </xf>
    <xf numFmtId="10" fontId="29" fillId="0" borderId="12" xfId="2" applyNumberFormat="1" applyFont="1" applyBorder="1" applyAlignment="1">
      <alignment horizontal="center" vertical="center" wrapText="1"/>
    </xf>
    <xf numFmtId="0" fontId="29" fillId="7" borderId="11" xfId="2" applyFont="1" applyFill="1" applyBorder="1" applyAlignment="1">
      <alignment vertical="center" wrapText="1"/>
    </xf>
    <xf numFmtId="10" fontId="7" fillId="7" borderId="12" xfId="2" applyNumberFormat="1" applyFill="1" applyBorder="1" applyAlignment="1">
      <alignment horizontal="center" vertical="center" wrapText="1"/>
    </xf>
    <xf numFmtId="10" fontId="30" fillId="7" borderId="12" xfId="2" applyNumberFormat="1" applyFont="1" applyFill="1" applyBorder="1" applyAlignment="1">
      <alignment horizontal="center" vertical="center" wrapText="1"/>
    </xf>
    <xf numFmtId="10" fontId="29" fillId="7" borderId="12" xfId="2" applyNumberFormat="1" applyFont="1" applyFill="1" applyBorder="1" applyAlignment="1">
      <alignment horizontal="center" vertical="center" wrapText="1"/>
    </xf>
    <xf numFmtId="0" fontId="7" fillId="7" borderId="1" xfId="2" applyFill="1" applyBorder="1" applyAlignment="1" applyProtection="1">
      <alignment horizontal="center" vertical="center"/>
      <protection locked="0"/>
    </xf>
    <xf numFmtId="0" fontId="21" fillId="7" borderId="1" xfId="2" applyFont="1" applyFill="1" applyBorder="1" applyAlignment="1" applyProtection="1">
      <alignment vertical="center"/>
      <protection locked="0"/>
    </xf>
    <xf numFmtId="43" fontId="7" fillId="7" borderId="1" xfId="2" applyNumberFormat="1" applyFill="1" applyBorder="1" applyAlignment="1" applyProtection="1">
      <alignment horizontal="center" vertical="center"/>
      <protection locked="0"/>
    </xf>
    <xf numFmtId="0" fontId="7" fillId="0" borderId="1" xfId="2" applyBorder="1" applyAlignment="1" applyProtection="1">
      <alignment horizontal="center" vertical="center"/>
      <protection locked="0"/>
    </xf>
    <xf numFmtId="0" fontId="7" fillId="0" borderId="1" xfId="2" applyBorder="1" applyAlignment="1" applyProtection="1">
      <alignment vertical="center"/>
      <protection locked="0"/>
    </xf>
    <xf numFmtId="43" fontId="7" fillId="8" borderId="1" xfId="6" applyNumberFormat="1" applyFont="1" applyFill="1" applyBorder="1" applyAlignment="1" applyProtection="1">
      <alignment horizontal="right" vertical="center"/>
      <protection locked="0"/>
    </xf>
    <xf numFmtId="0" fontId="7" fillId="0" borderId="16" xfId="2" applyBorder="1" applyAlignment="1" applyProtection="1">
      <alignment horizontal="center" vertical="center"/>
      <protection locked="0"/>
    </xf>
    <xf numFmtId="0" fontId="7" fillId="0" borderId="16" xfId="2" applyBorder="1" applyAlignment="1" applyProtection="1">
      <alignment vertical="center"/>
      <protection locked="0"/>
    </xf>
    <xf numFmtId="43" fontId="7" fillId="8" borderId="16" xfId="6" applyNumberFormat="1" applyFont="1" applyFill="1" applyBorder="1" applyAlignment="1" applyProtection="1">
      <alignment horizontal="right" vertical="center"/>
      <protection locked="0"/>
    </xf>
    <xf numFmtId="0" fontId="7" fillId="0" borderId="4" xfId="1" applyBorder="1" applyAlignment="1">
      <alignment vertical="center"/>
    </xf>
    <xf numFmtId="0" fontId="21" fillId="0" borderId="5" xfId="2" applyFont="1" applyBorder="1" applyAlignment="1" applyProtection="1">
      <alignment horizontal="right" vertical="center"/>
      <protection locked="0"/>
    </xf>
    <xf numFmtId="43" fontId="21" fillId="0" borderId="1" xfId="2" applyNumberFormat="1" applyFont="1" applyBorder="1" applyAlignment="1" applyProtection="1">
      <alignment horizontal="center" vertical="center"/>
      <protection locked="0"/>
    </xf>
    <xf numFmtId="43" fontId="7" fillId="0" borderId="0" xfId="2" applyNumberFormat="1" applyAlignment="1">
      <alignment vertical="center"/>
    </xf>
    <xf numFmtId="0" fontId="7" fillId="0" borderId="5" xfId="1" applyBorder="1" applyAlignment="1">
      <alignment vertical="center"/>
    </xf>
    <xf numFmtId="0" fontId="7" fillId="0" borderId="1" xfId="1" applyBorder="1" applyAlignment="1">
      <alignment vertical="center"/>
    </xf>
    <xf numFmtId="0" fontId="21" fillId="0" borderId="6" xfId="2" applyFont="1" applyBorder="1" applyAlignment="1">
      <alignment horizontal="right" vertical="center"/>
    </xf>
    <xf numFmtId="10" fontId="21" fillId="0" borderId="17" xfId="7" applyNumberFormat="1" applyFont="1" applyFill="1" applyBorder="1" applyAlignment="1">
      <alignment vertical="center"/>
    </xf>
    <xf numFmtId="0" fontId="7" fillId="0" borderId="0" xfId="1" applyAlignment="1">
      <alignment horizontal="center" vertical="center"/>
    </xf>
    <xf numFmtId="168" fontId="21" fillId="0" borderId="0" xfId="2" applyNumberFormat="1" applyFont="1" applyAlignment="1">
      <alignment horizontal="right" vertical="center"/>
    </xf>
    <xf numFmtId="169" fontId="21" fillId="0" borderId="0" xfId="6" applyNumberFormat="1" applyFont="1" applyFill="1" applyAlignment="1">
      <alignment horizontal="center" vertical="center"/>
    </xf>
    <xf numFmtId="168" fontId="7" fillId="0" borderId="0" xfId="2" applyNumberFormat="1" applyAlignment="1">
      <alignment horizontal="center" vertical="center"/>
    </xf>
    <xf numFmtId="0" fontId="8" fillId="0" borderId="11" xfId="2" applyFont="1" applyBorder="1" applyAlignment="1">
      <alignment horizontal="center" vertical="center" wrapText="1"/>
    </xf>
    <xf numFmtId="0" fontId="29" fillId="0" borderId="12" xfId="2" applyFont="1" applyBorder="1" applyAlignment="1">
      <alignment horizontal="center" vertical="center" wrapText="1"/>
    </xf>
    <xf numFmtId="0" fontId="30" fillId="0" borderId="11" xfId="2" applyFont="1" applyBorder="1" applyAlignment="1">
      <alignment vertical="center" wrapText="1"/>
    </xf>
    <xf numFmtId="168" fontId="7" fillId="0" borderId="0" xfId="2" applyNumberFormat="1" applyAlignment="1">
      <alignment vertical="center"/>
    </xf>
    <xf numFmtId="10" fontId="7" fillId="0" borderId="0" xfId="7" applyNumberFormat="1" applyFont="1" applyFill="1" applyAlignment="1">
      <alignment horizontal="center" vertical="center"/>
    </xf>
    <xf numFmtId="0" fontId="7" fillId="0" borderId="11" xfId="2" applyBorder="1" applyAlignment="1">
      <alignment vertical="center" wrapText="1"/>
    </xf>
    <xf numFmtId="10" fontId="7" fillId="0" borderId="0" xfId="2" applyNumberFormat="1" applyAlignment="1">
      <alignment horizontal="center" vertical="center"/>
    </xf>
    <xf numFmtId="0" fontId="21" fillId="0" borderId="0" xfId="2" applyFont="1" applyAlignment="1">
      <alignment vertical="center"/>
    </xf>
    <xf numFmtId="0" fontId="21" fillId="4" borderId="1" xfId="0" applyFont="1" applyFill="1" applyBorder="1" applyAlignment="1">
      <alignment horizontal="center" vertical="center" wrapText="1"/>
    </xf>
    <xf numFmtId="0" fontId="25" fillId="4" borderId="1" xfId="0" applyFont="1" applyFill="1" applyBorder="1" applyAlignment="1">
      <alignment horizontal="center" vertical="center" wrapText="1"/>
    </xf>
    <xf numFmtId="0" fontId="20" fillId="0" borderId="0" xfId="8" applyFont="1" applyAlignment="1">
      <alignment vertical="center"/>
    </xf>
    <xf numFmtId="0" fontId="19" fillId="0" borderId="0" xfId="2" applyFont="1"/>
    <xf numFmtId="0" fontId="20" fillId="0" borderId="0" xfId="2" applyFont="1"/>
    <xf numFmtId="0" fontId="20" fillId="0" borderId="0" xfId="2" applyFont="1" applyAlignment="1">
      <alignment horizontal="center" vertical="center"/>
    </xf>
    <xf numFmtId="4" fontId="20" fillId="0" borderId="0" xfId="2" applyNumberFormat="1" applyFont="1" applyAlignment="1">
      <alignment vertical="center"/>
    </xf>
    <xf numFmtId="0" fontId="19" fillId="9" borderId="0" xfId="2" applyFont="1" applyFill="1"/>
    <xf numFmtId="10" fontId="19" fillId="10" borderId="1" xfId="2" applyNumberFormat="1" applyFont="1" applyFill="1" applyBorder="1" applyAlignment="1" applyProtection="1">
      <alignment horizontal="center" vertical="center"/>
      <protection locked="0"/>
    </xf>
    <xf numFmtId="4" fontId="19" fillId="10" borderId="1" xfId="2" applyNumberFormat="1" applyFont="1" applyFill="1" applyBorder="1" applyAlignment="1" applyProtection="1">
      <alignment horizontal="center" vertical="center"/>
      <protection locked="0"/>
    </xf>
    <xf numFmtId="0" fontId="19" fillId="5" borderId="0" xfId="2" applyFont="1" applyFill="1"/>
    <xf numFmtId="1" fontId="20" fillId="0" borderId="1" xfId="2" applyNumberFormat="1" applyFont="1" applyBorder="1" applyAlignment="1">
      <alignment horizontal="center" vertical="center" wrapText="1"/>
    </xf>
    <xf numFmtId="4" fontId="20" fillId="0" borderId="0" xfId="2" applyNumberFormat="1" applyFont="1"/>
    <xf numFmtId="1" fontId="7" fillId="0" borderId="1" xfId="2" applyNumberFormat="1" applyBorder="1" applyAlignment="1">
      <alignment horizontal="center" vertical="center" wrapText="1"/>
    </xf>
    <xf numFmtId="4" fontId="21" fillId="0" borderId="1" xfId="2" applyNumberFormat="1" applyFont="1" applyBorder="1" applyAlignment="1">
      <alignment vertical="center" wrapText="1"/>
    </xf>
    <xf numFmtId="0" fontId="20" fillId="0" borderId="0" xfId="2" applyFont="1" applyAlignment="1">
      <alignment vertical="center"/>
    </xf>
    <xf numFmtId="10" fontId="20" fillId="0" borderId="0" xfId="2" applyNumberFormat="1" applyFont="1" applyAlignment="1">
      <alignment horizontal="center" vertical="center"/>
    </xf>
    <xf numFmtId="4" fontId="19" fillId="0" borderId="0" xfId="2" applyNumberFormat="1" applyFont="1" applyAlignment="1">
      <alignment vertical="center"/>
    </xf>
    <xf numFmtId="10" fontId="19" fillId="10" borderId="1" xfId="2" applyNumberFormat="1" applyFont="1" applyFill="1" applyBorder="1" applyAlignment="1">
      <alignment horizontal="center" vertical="center"/>
    </xf>
    <xf numFmtId="4" fontId="19" fillId="10" borderId="1" xfId="2" applyNumberFormat="1" applyFont="1" applyFill="1" applyBorder="1" applyAlignment="1">
      <alignment vertical="center"/>
    </xf>
    <xf numFmtId="0" fontId="20" fillId="0" borderId="0" xfId="2" applyFont="1" applyAlignment="1">
      <alignment horizontal="right" vertical="center"/>
    </xf>
    <xf numFmtId="10" fontId="20" fillId="0" borderId="0" xfId="2" applyNumberFormat="1" applyFont="1" applyAlignment="1">
      <alignment horizontal="right" vertical="center"/>
    </xf>
    <xf numFmtId="0" fontId="19" fillId="0" borderId="0" xfId="2" applyFont="1" applyAlignment="1">
      <alignment horizontal="right" vertical="center"/>
    </xf>
    <xf numFmtId="10" fontId="19" fillId="0" borderId="0" xfId="2" applyNumberFormat="1" applyFont="1" applyAlignment="1">
      <alignment horizontal="center" vertical="center"/>
    </xf>
    <xf numFmtId="0" fontId="19" fillId="0" borderId="0" xfId="2" applyFont="1" applyAlignment="1">
      <alignment vertical="center"/>
    </xf>
    <xf numFmtId="4" fontId="19" fillId="0" borderId="0" xfId="2" applyNumberFormat="1" applyFont="1" applyAlignment="1">
      <alignment horizontal="center" vertical="center"/>
    </xf>
    <xf numFmtId="10" fontId="20" fillId="0" borderId="0" xfId="2" applyNumberFormat="1" applyFont="1" applyAlignment="1">
      <alignment vertical="center"/>
    </xf>
    <xf numFmtId="4" fontId="20" fillId="0" borderId="0" xfId="2" applyNumberFormat="1" applyFont="1" applyAlignment="1">
      <alignment horizontal="right" vertical="center"/>
    </xf>
    <xf numFmtId="4" fontId="19" fillId="10" borderId="0" xfId="2" applyNumberFormat="1" applyFont="1" applyFill="1" applyAlignment="1">
      <alignment horizontal="right" vertical="center"/>
    </xf>
    <xf numFmtId="10" fontId="19" fillId="0" borderId="0" xfId="2" applyNumberFormat="1" applyFont="1" applyAlignment="1">
      <alignment horizontal="right" vertical="center"/>
    </xf>
    <xf numFmtId="0" fontId="7" fillId="0" borderId="1" xfId="2" applyBorder="1" applyAlignment="1">
      <alignment vertical="center" wrapText="1"/>
    </xf>
    <xf numFmtId="10" fontId="7" fillId="0" borderId="1" xfId="2" applyNumberFormat="1" applyBorder="1" applyAlignment="1">
      <alignment horizontal="center" vertical="center" wrapText="1"/>
    </xf>
    <xf numFmtId="10" fontId="7" fillId="2" borderId="1" xfId="2" applyNumberFormat="1" applyFill="1" applyBorder="1" applyAlignment="1">
      <alignment horizontal="center" vertical="center" wrapText="1"/>
    </xf>
    <xf numFmtId="4" fontId="7" fillId="0" borderId="1" xfId="2" applyNumberFormat="1" applyBorder="1" applyAlignment="1">
      <alignment vertical="center" wrapText="1"/>
    </xf>
    <xf numFmtId="2" fontId="7" fillId="0" borderId="0" xfId="4" applyNumberFormat="1" applyAlignment="1">
      <alignment horizontal="left" vertical="center"/>
    </xf>
    <xf numFmtId="0" fontId="8" fillId="3" borderId="1" xfId="1" applyFont="1" applyFill="1" applyBorder="1" applyAlignment="1">
      <alignment horizontal="left" vertical="center" wrapText="1"/>
    </xf>
    <xf numFmtId="2" fontId="8" fillId="3" borderId="1" xfId="1" applyNumberFormat="1" applyFont="1" applyFill="1" applyBorder="1" applyAlignment="1">
      <alignment horizontal="center" vertical="center"/>
    </xf>
    <xf numFmtId="0" fontId="7" fillId="2" borderId="1" xfId="0" applyFont="1" applyFill="1" applyBorder="1" applyAlignment="1">
      <alignment horizontal="left" vertical="center" wrapText="1"/>
    </xf>
    <xf numFmtId="164" fontId="27" fillId="2" borderId="1" xfId="0" applyNumberFormat="1" applyFont="1" applyFill="1" applyBorder="1" applyAlignment="1">
      <alignment horizontal="right" vertical="center" shrinkToFit="1"/>
    </xf>
    <xf numFmtId="0" fontId="10" fillId="2" borderId="1" xfId="0" applyFont="1" applyFill="1" applyBorder="1" applyAlignment="1">
      <alignment horizontal="center" vertical="center" wrapText="1"/>
    </xf>
    <xf numFmtId="4" fontId="7" fillId="2" borderId="1" xfId="0" applyNumberFormat="1" applyFont="1" applyFill="1" applyBorder="1" applyAlignment="1">
      <alignment horizontal="right" vertical="center" shrinkToFit="1"/>
    </xf>
    <xf numFmtId="4" fontId="20" fillId="2" borderId="1" xfId="0" applyNumberFormat="1" applyFont="1" applyFill="1" applyBorder="1" applyAlignment="1">
      <alignment horizontal="right" vertical="center" shrinkToFit="1"/>
    </xf>
    <xf numFmtId="1" fontId="7" fillId="2" borderId="1" xfId="0" applyNumberFormat="1" applyFont="1" applyFill="1" applyBorder="1" applyAlignment="1">
      <alignment horizontal="center" vertical="center" shrinkToFit="1"/>
    </xf>
    <xf numFmtId="0" fontId="7" fillId="2" borderId="1" xfId="0" applyFont="1" applyFill="1" applyBorder="1" applyAlignment="1">
      <alignment horizontal="center" vertical="center"/>
    </xf>
    <xf numFmtId="1" fontId="20" fillId="12" borderId="1" xfId="0" applyNumberFormat="1" applyFont="1" applyFill="1" applyBorder="1" applyAlignment="1">
      <alignment horizontal="center" vertical="center" wrapText="1"/>
    </xf>
    <xf numFmtId="1" fontId="19" fillId="7" borderId="1" xfId="0" applyNumberFormat="1" applyFont="1" applyFill="1" applyBorder="1" applyAlignment="1" applyProtection="1">
      <alignment horizontal="center" vertical="center"/>
      <protection locked="0"/>
    </xf>
    <xf numFmtId="0" fontId="21" fillId="7" borderId="1" xfId="0" applyFont="1" applyFill="1" applyBorder="1" applyAlignment="1">
      <alignment horizontal="right" vertical="center" wrapText="1"/>
    </xf>
    <xf numFmtId="0" fontId="21" fillId="7" borderId="1" xfId="0" applyFont="1" applyFill="1" applyBorder="1" applyAlignment="1">
      <alignment horizontal="center" vertical="center" wrapText="1"/>
    </xf>
    <xf numFmtId="0" fontId="21" fillId="7" borderId="1" xfId="0" applyFont="1" applyFill="1" applyBorder="1" applyAlignment="1">
      <alignment horizontal="left" vertical="center" wrapText="1"/>
    </xf>
    <xf numFmtId="0" fontId="26" fillId="12" borderId="1" xfId="0" applyFont="1" applyFill="1" applyBorder="1" applyAlignment="1">
      <alignment horizontal="right" vertical="center" wrapText="1"/>
    </xf>
    <xf numFmtId="0" fontId="26" fillId="12" borderId="1" xfId="0" applyFont="1" applyFill="1" applyBorder="1" applyAlignment="1">
      <alignment horizontal="center" vertical="center" wrapText="1"/>
    </xf>
    <xf numFmtId="0" fontId="26" fillId="12" borderId="1" xfId="0" applyFont="1" applyFill="1" applyBorder="1" applyAlignment="1">
      <alignment horizontal="left" vertical="center" wrapText="1"/>
    </xf>
    <xf numFmtId="1" fontId="7" fillId="12" borderId="1" xfId="0" applyNumberFormat="1" applyFont="1" applyFill="1" applyBorder="1" applyAlignment="1">
      <alignment horizontal="center" vertical="center" wrapText="1"/>
    </xf>
    <xf numFmtId="0" fontId="7" fillId="2" borderId="1" xfId="0" applyFont="1" applyFill="1" applyBorder="1" applyAlignment="1">
      <alignment horizontal="center" vertical="center" shrinkToFit="1"/>
    </xf>
    <xf numFmtId="0" fontId="24" fillId="0" borderId="0" xfId="0" applyFont="1" applyAlignment="1">
      <alignment horizontal="left" vertical="top"/>
    </xf>
    <xf numFmtId="0" fontId="26" fillId="0" borderId="0" xfId="0" applyFont="1" applyAlignment="1">
      <alignment horizontal="left" vertical="top"/>
    </xf>
    <xf numFmtId="0" fontId="21" fillId="5" borderId="1" xfId="0" applyFont="1" applyFill="1" applyBorder="1" applyAlignment="1">
      <alignment horizontal="center" vertical="center" wrapText="1"/>
    </xf>
    <xf numFmtId="4" fontId="21" fillId="5" borderId="1" xfId="0" applyNumberFormat="1" applyFont="1" applyFill="1" applyBorder="1" applyAlignment="1">
      <alignment horizontal="center" vertical="center" wrapText="1"/>
    </xf>
    <xf numFmtId="4" fontId="21" fillId="0" borderId="1" xfId="0" applyNumberFormat="1" applyFont="1" applyBorder="1" applyAlignment="1">
      <alignment horizontal="right" vertical="center" wrapText="1"/>
    </xf>
    <xf numFmtId="0" fontId="29" fillId="0" borderId="1" xfId="0" applyFont="1" applyBorder="1" applyAlignment="1">
      <alignment horizontal="center" vertical="top" wrapText="1"/>
    </xf>
    <xf numFmtId="0" fontId="29" fillId="0" borderId="1" xfId="0" applyFont="1" applyBorder="1" applyAlignment="1">
      <alignment horizontal="left" vertical="top" wrapText="1"/>
    </xf>
    <xf numFmtId="171" fontId="29" fillId="0" borderId="1" xfId="0" applyNumberFormat="1" applyFont="1" applyBorder="1" applyAlignment="1">
      <alignment horizontal="right" vertical="top" wrapText="1"/>
    </xf>
    <xf numFmtId="0" fontId="29" fillId="0" borderId="1" xfId="0" applyFont="1" applyBorder="1" applyAlignment="1">
      <alignment horizontal="center" vertical="center" wrapText="1"/>
    </xf>
    <xf numFmtId="4" fontId="32" fillId="0" borderId="1" xfId="0" applyNumberFormat="1" applyFont="1" applyBorder="1" applyAlignment="1">
      <alignment vertical="center" wrapText="1"/>
    </xf>
    <xf numFmtId="4" fontId="21" fillId="0" borderId="1" xfId="0" applyNumberFormat="1" applyFont="1" applyBorder="1" applyAlignment="1">
      <alignment vertical="center" wrapText="1"/>
    </xf>
    <xf numFmtId="0" fontId="0" fillId="0" borderId="0" xfId="0"/>
    <xf numFmtId="4" fontId="0" fillId="0" borderId="0" xfId="0" applyNumberFormat="1"/>
    <xf numFmtId="0" fontId="0" fillId="0" borderId="0" xfId="0" applyAlignment="1">
      <alignment vertical="top"/>
    </xf>
    <xf numFmtId="0" fontId="26" fillId="0" borderId="0" xfId="0" applyFont="1" applyAlignment="1">
      <alignment vertical="top"/>
    </xf>
    <xf numFmtId="2" fontId="20" fillId="0" borderId="1" xfId="0" applyNumberFormat="1" applyFont="1" applyBorder="1" applyAlignment="1">
      <alignment horizontal="right" vertical="center" wrapText="1"/>
    </xf>
    <xf numFmtId="170" fontId="24" fillId="0" borderId="1" xfId="0" applyNumberFormat="1" applyFont="1" applyBorder="1" applyAlignment="1">
      <alignment horizontal="right" vertical="center" wrapText="1"/>
    </xf>
    <xf numFmtId="4" fontId="24" fillId="0" borderId="1" xfId="0" applyNumberFormat="1" applyFont="1" applyBorder="1" applyAlignment="1">
      <alignment vertical="center" wrapText="1"/>
    </xf>
    <xf numFmtId="0" fontId="33" fillId="0" borderId="1" xfId="0" applyFont="1" applyBorder="1" applyAlignment="1">
      <alignment horizontal="center" vertical="center" wrapText="1"/>
    </xf>
    <xf numFmtId="0" fontId="7" fillId="0" borderId="1" xfId="0" applyFont="1" applyBorder="1" applyAlignment="1">
      <alignment horizontal="center" vertical="center"/>
    </xf>
    <xf numFmtId="171" fontId="29" fillId="0" borderId="1" xfId="0" applyNumberFormat="1" applyFont="1" applyBorder="1" applyAlignment="1">
      <alignment horizontal="right" vertical="center" wrapText="1"/>
    </xf>
    <xf numFmtId="172" fontId="20" fillId="0" borderId="1" xfId="0" applyNumberFormat="1" applyFont="1" applyBorder="1" applyAlignment="1">
      <alignment horizontal="right" vertical="center" wrapText="1"/>
    </xf>
    <xf numFmtId="172" fontId="29" fillId="0" borderId="1" xfId="0" applyNumberFormat="1" applyFont="1" applyBorder="1" applyAlignment="1">
      <alignment horizontal="right" vertical="center" wrapText="1"/>
    </xf>
    <xf numFmtId="0" fontId="34" fillId="0" borderId="1" xfId="0" applyFont="1" applyBorder="1" applyAlignment="1">
      <alignment horizontal="center" vertical="center" wrapText="1"/>
    </xf>
    <xf numFmtId="0" fontId="9" fillId="0" borderId="0" xfId="3"/>
    <xf numFmtId="0" fontId="21" fillId="0" borderId="0" xfId="3" applyFont="1"/>
    <xf numFmtId="0" fontId="21" fillId="6" borderId="1" xfId="8" applyFont="1" applyFill="1" applyBorder="1" applyAlignment="1">
      <alignment horizontal="center" vertical="center"/>
    </xf>
    <xf numFmtId="0" fontId="21" fillId="6" borderId="1" xfId="8" applyFont="1" applyFill="1" applyBorder="1" applyAlignment="1">
      <alignment horizontal="center" vertical="center" wrapText="1"/>
    </xf>
    <xf numFmtId="0" fontId="21" fillId="6" borderId="1" xfId="8" quotePrefix="1" applyFont="1" applyFill="1" applyBorder="1" applyAlignment="1">
      <alignment horizontal="center" vertical="center" wrapText="1"/>
    </xf>
    <xf numFmtId="0" fontId="21" fillId="5" borderId="1" xfId="3" applyFont="1" applyFill="1" applyBorder="1" applyAlignment="1">
      <alignment horizontal="center" vertical="center" wrapText="1"/>
    </xf>
    <xf numFmtId="2" fontId="21" fillId="5" borderId="1" xfId="3" applyNumberFormat="1" applyFont="1" applyFill="1" applyBorder="1" applyAlignment="1">
      <alignment horizontal="center" vertical="center" wrapText="1"/>
    </xf>
    <xf numFmtId="49" fontId="10" fillId="0" borderId="1" xfId="9" applyNumberFormat="1" applyFont="1" applyBorder="1" applyAlignment="1">
      <alignment horizontal="center" vertical="center" wrapText="1"/>
    </xf>
    <xf numFmtId="0" fontId="7" fillId="0" borderId="1" xfId="9" applyFont="1" applyBorder="1" applyAlignment="1">
      <alignment horizontal="center" vertical="center" wrapText="1"/>
    </xf>
    <xf numFmtId="0" fontId="29" fillId="0" borderId="1" xfId="3" applyFont="1" applyBorder="1" applyAlignment="1">
      <alignment horizontal="left" vertical="center" wrapText="1"/>
    </xf>
    <xf numFmtId="0" fontId="29" fillId="0" borderId="1" xfId="3" applyFont="1" applyBorder="1" applyAlignment="1">
      <alignment horizontal="center" vertical="center" wrapText="1"/>
    </xf>
    <xf numFmtId="173" fontId="20" fillId="0" borderId="1" xfId="9" applyNumberFormat="1" applyFont="1" applyBorder="1" applyAlignment="1">
      <alignment horizontal="right" vertical="center" wrapText="1"/>
    </xf>
    <xf numFmtId="171" fontId="29" fillId="0" borderId="1" xfId="3" applyNumberFormat="1" applyFont="1" applyBorder="1" applyAlignment="1">
      <alignment horizontal="right" vertical="center" wrapText="1"/>
    </xf>
    <xf numFmtId="171" fontId="7" fillId="0" borderId="1" xfId="3" applyNumberFormat="1" applyFont="1" applyBorder="1" applyAlignment="1">
      <alignment horizontal="right" vertical="center" wrapText="1"/>
    </xf>
    <xf numFmtId="171" fontId="21" fillId="0" borderId="1" xfId="3" applyNumberFormat="1" applyFont="1" applyBorder="1" applyAlignment="1">
      <alignment horizontal="right" vertical="center" wrapText="1"/>
    </xf>
    <xf numFmtId="49" fontId="17" fillId="0" borderId="1" xfId="9" applyNumberFormat="1" applyFont="1" applyBorder="1" applyAlignment="1">
      <alignment horizontal="center" vertical="center" wrapText="1"/>
    </xf>
    <xf numFmtId="2" fontId="7" fillId="13" borderId="1" xfId="3" applyNumberFormat="1" applyFont="1" applyFill="1" applyBorder="1" applyAlignment="1">
      <alignment horizontal="right" vertical="center" wrapText="1"/>
    </xf>
    <xf numFmtId="0" fontId="35" fillId="13" borderId="1" xfId="3" applyFont="1" applyFill="1" applyBorder="1" applyAlignment="1">
      <alignment horizontal="right" vertical="center" wrapText="1"/>
    </xf>
    <xf numFmtId="0" fontId="7" fillId="13" borderId="1" xfId="3" applyFont="1" applyFill="1" applyBorder="1" applyAlignment="1">
      <alignment horizontal="right" vertical="center" wrapText="1"/>
    </xf>
    <xf numFmtId="2" fontId="21" fillId="13" borderId="1" xfId="3" applyNumberFormat="1" applyFont="1" applyFill="1" applyBorder="1" applyAlignment="1">
      <alignment horizontal="right" vertical="center" wrapText="1"/>
    </xf>
    <xf numFmtId="0" fontId="21" fillId="0" borderId="0" xfId="3" applyFont="1" applyAlignment="1">
      <alignment horizontal="right" vertical="center" wrapText="1"/>
    </xf>
    <xf numFmtId="0" fontId="21" fillId="0" borderId="0" xfId="3" applyFont="1" applyAlignment="1">
      <alignment horizontal="left" vertical="center" wrapText="1"/>
    </xf>
    <xf numFmtId="2" fontId="21" fillId="0" borderId="0" xfId="3" applyNumberFormat="1" applyFont="1" applyAlignment="1">
      <alignment horizontal="right" vertical="center" wrapText="1"/>
    </xf>
    <xf numFmtId="49" fontId="13" fillId="0" borderId="0" xfId="3" applyNumberFormat="1" applyFont="1" applyAlignment="1">
      <alignment horizontal="left" vertical="center" wrapText="1"/>
    </xf>
    <xf numFmtId="173" fontId="20" fillId="0" borderId="5" xfId="9" applyNumberFormat="1" applyFont="1" applyBorder="1" applyAlignment="1">
      <alignment horizontal="right" vertical="center" wrapText="1"/>
    </xf>
    <xf numFmtId="0" fontId="21" fillId="2" borderId="0" xfId="3" applyFont="1" applyFill="1"/>
    <xf numFmtId="0" fontId="7" fillId="0" borderId="0" xfId="3" applyFont="1"/>
    <xf numFmtId="0" fontId="9" fillId="0" borderId="0" xfId="3" applyAlignment="1">
      <alignment horizontal="center" vertical="center"/>
    </xf>
    <xf numFmtId="4" fontId="7" fillId="13" borderId="1" xfId="3" applyNumberFormat="1" applyFont="1" applyFill="1" applyBorder="1" applyAlignment="1">
      <alignment horizontal="right" vertical="center" wrapText="1"/>
    </xf>
    <xf numFmtId="4" fontId="21" fillId="13" borderId="1" xfId="3" applyNumberFormat="1" applyFont="1" applyFill="1" applyBorder="1" applyAlignment="1">
      <alignment horizontal="right" vertical="center" wrapText="1"/>
    </xf>
    <xf numFmtId="49" fontId="13" fillId="0" borderId="0" xfId="3" applyNumberFormat="1" applyFont="1" applyAlignment="1">
      <alignment horizontal="center" vertical="center" wrapText="1"/>
    </xf>
    <xf numFmtId="2" fontId="13" fillId="0" borderId="0" xfId="3" applyNumberFormat="1" applyFont="1" applyAlignment="1">
      <alignment horizontal="center" vertical="center" wrapText="1"/>
    </xf>
    <xf numFmtId="0" fontId="29" fillId="0" borderId="1" xfId="0" applyFont="1" applyBorder="1" applyAlignment="1">
      <alignment horizontal="left" vertical="center" wrapText="1"/>
    </xf>
    <xf numFmtId="0" fontId="21" fillId="6" borderId="1" xfId="0" applyFont="1" applyFill="1" applyBorder="1" applyAlignment="1">
      <alignment horizontal="center" vertical="center" wrapText="1"/>
    </xf>
    <xf numFmtId="0" fontId="28" fillId="0" borderId="0" xfId="2" applyFont="1" applyAlignment="1">
      <alignment horizontal="left" vertical="center"/>
    </xf>
    <xf numFmtId="0" fontId="28" fillId="0" borderId="0" xfId="2" applyFont="1" applyAlignment="1">
      <alignment horizontal="right" vertical="center"/>
    </xf>
    <xf numFmtId="0" fontId="21" fillId="0" borderId="0" xfId="2" applyFont="1" applyAlignment="1">
      <alignment horizontal="right" vertical="center"/>
    </xf>
    <xf numFmtId="0" fontId="28" fillId="0" borderId="0" xfId="2" applyFont="1" applyAlignment="1">
      <alignment horizontal="left" vertical="center" wrapText="1"/>
    </xf>
    <xf numFmtId="0" fontId="28" fillId="0" borderId="0" xfId="2" applyFont="1" applyAlignment="1">
      <alignment horizontal="right" vertical="center" wrapText="1"/>
    </xf>
    <xf numFmtId="49" fontId="21" fillId="0" borderId="0" xfId="2" applyNumberFormat="1" applyFont="1" applyAlignment="1">
      <alignment horizontal="right" vertical="center"/>
    </xf>
    <xf numFmtId="49" fontId="7" fillId="0" borderId="0" xfId="2" applyNumberFormat="1" applyAlignment="1">
      <alignment horizontal="right" vertical="center"/>
    </xf>
    <xf numFmtId="0" fontId="7" fillId="0" borderId="0" xfId="8" applyFont="1" applyAlignment="1">
      <alignment horizontal="left" vertical="center"/>
    </xf>
    <xf numFmtId="167" fontId="7" fillId="0" borderId="0" xfId="10" applyFont="1" applyFill="1" applyBorder="1" applyAlignment="1">
      <alignment horizontal="left" vertical="center"/>
    </xf>
    <xf numFmtId="4" fontId="7" fillId="0" borderId="0" xfId="10" applyNumberFormat="1" applyFont="1" applyFill="1" applyBorder="1" applyAlignment="1">
      <alignment horizontal="left" vertical="center"/>
    </xf>
    <xf numFmtId="4" fontId="7" fillId="0" borderId="0" xfId="10" applyNumberFormat="1" applyFont="1" applyFill="1" applyBorder="1" applyAlignment="1">
      <alignment horizontal="right" vertical="center"/>
    </xf>
    <xf numFmtId="2" fontId="7" fillId="0" borderId="0" xfId="10" applyNumberFormat="1" applyFont="1" applyFill="1" applyBorder="1" applyAlignment="1">
      <alignment horizontal="right" vertical="center"/>
    </xf>
    <xf numFmtId="0" fontId="20" fillId="0" borderId="0" xfId="8" applyFont="1" applyAlignment="1">
      <alignment horizontal="left" vertical="center"/>
    </xf>
    <xf numFmtId="0" fontId="19" fillId="6" borderId="0" xfId="8" applyFont="1" applyFill="1" applyAlignment="1">
      <alignment vertical="center"/>
    </xf>
    <xf numFmtId="0" fontId="21" fillId="5" borderId="1" xfId="2" applyFont="1" applyFill="1" applyBorder="1" applyAlignment="1">
      <alignment horizontal="center" vertical="center" wrapText="1"/>
    </xf>
    <xf numFmtId="2" fontId="21" fillId="5" borderId="1" xfId="2" applyNumberFormat="1" applyFont="1" applyFill="1" applyBorder="1" applyAlignment="1">
      <alignment horizontal="center" vertical="center" wrapText="1"/>
    </xf>
    <xf numFmtId="49" fontId="10" fillId="0" borderId="1" xfId="11" applyNumberFormat="1" applyFont="1" applyBorder="1" applyAlignment="1">
      <alignment horizontal="center" vertical="center" wrapText="1"/>
    </xf>
    <xf numFmtId="0" fontId="7" fillId="0" borderId="1" xfId="11" applyFont="1" applyBorder="1" applyAlignment="1">
      <alignment horizontal="center" vertical="center" wrapText="1"/>
    </xf>
    <xf numFmtId="0" fontId="29" fillId="0" borderId="1" xfId="2" applyFont="1" applyBorder="1" applyAlignment="1">
      <alignment horizontal="left" vertical="center" wrapText="1"/>
    </xf>
    <xf numFmtId="0" fontId="29" fillId="0" borderId="1" xfId="2" applyFont="1" applyBorder="1" applyAlignment="1">
      <alignment horizontal="center" vertical="center" wrapText="1"/>
    </xf>
    <xf numFmtId="173" fontId="20" fillId="0" borderId="1" xfId="11" applyNumberFormat="1" applyFont="1" applyBorder="1" applyAlignment="1">
      <alignment horizontal="right" vertical="center" wrapText="1"/>
    </xf>
    <xf numFmtId="171" fontId="29" fillId="0" borderId="1" xfId="2" applyNumberFormat="1" applyFont="1" applyBorder="1" applyAlignment="1">
      <alignment horizontal="right" vertical="center" wrapText="1"/>
    </xf>
    <xf numFmtId="171" fontId="7" fillId="0" borderId="1" xfId="2" applyNumberFormat="1" applyBorder="1" applyAlignment="1">
      <alignment horizontal="right" vertical="center" wrapText="1"/>
    </xf>
    <xf numFmtId="171" fontId="21" fillId="0" borderId="1" xfId="2" applyNumberFormat="1" applyFont="1" applyBorder="1" applyAlignment="1">
      <alignment horizontal="right" vertical="center" wrapText="1"/>
    </xf>
    <xf numFmtId="2" fontId="7" fillId="13" borderId="1" xfId="2" applyNumberFormat="1" applyFill="1" applyBorder="1" applyAlignment="1">
      <alignment horizontal="right" vertical="center" wrapText="1"/>
    </xf>
    <xf numFmtId="0" fontId="35" fillId="13" borderId="1" xfId="2" applyFont="1" applyFill="1" applyBorder="1" applyAlignment="1">
      <alignment horizontal="right" vertical="center" wrapText="1"/>
    </xf>
    <xf numFmtId="0" fontId="7" fillId="13" borderId="1" xfId="2" applyFill="1" applyBorder="1" applyAlignment="1">
      <alignment horizontal="right" vertical="center" wrapText="1"/>
    </xf>
    <xf numFmtId="2" fontId="21" fillId="13" borderId="1" xfId="2" applyNumberFormat="1" applyFont="1" applyFill="1" applyBorder="1" applyAlignment="1">
      <alignment horizontal="right" vertical="center" wrapText="1"/>
    </xf>
    <xf numFmtId="0" fontId="21" fillId="0" borderId="0" xfId="2" applyFont="1" applyAlignment="1">
      <alignment horizontal="right" vertical="center" wrapText="1"/>
    </xf>
    <xf numFmtId="0" fontId="21" fillId="0" borderId="0" xfId="2" applyFont="1" applyAlignment="1">
      <alignment horizontal="left" vertical="center" wrapText="1"/>
    </xf>
    <xf numFmtId="2" fontId="21" fillId="0" borderId="0" xfId="2" applyNumberFormat="1" applyFont="1" applyAlignment="1">
      <alignment horizontal="right" vertical="center" wrapText="1"/>
    </xf>
    <xf numFmtId="2" fontId="7" fillId="0" borderId="0" xfId="2" applyNumberFormat="1" applyAlignment="1">
      <alignment horizontal="right" vertical="center"/>
    </xf>
    <xf numFmtId="0" fontId="21" fillId="0" borderId="0" xfId="2" applyFont="1" applyAlignment="1">
      <alignment vertical="center" wrapText="1"/>
    </xf>
    <xf numFmtId="49" fontId="10" fillId="0" borderId="1" xfId="12" applyNumberFormat="1" applyFont="1" applyBorder="1" applyAlignment="1">
      <alignment horizontal="center" vertical="center" wrapText="1"/>
    </xf>
    <xf numFmtId="0" fontId="7" fillId="0" borderId="1" xfId="12" applyFont="1" applyBorder="1" applyAlignment="1">
      <alignment horizontal="center" vertical="center" wrapText="1"/>
    </xf>
    <xf numFmtId="173" fontId="20" fillId="0" borderId="1" xfId="12" applyNumberFormat="1" applyFont="1" applyBorder="1" applyAlignment="1">
      <alignment horizontal="right" vertical="center" wrapText="1"/>
    </xf>
    <xf numFmtId="49" fontId="17" fillId="0" borderId="1" xfId="12" applyNumberFormat="1" applyFont="1" applyBorder="1" applyAlignment="1">
      <alignment horizontal="center" vertical="center" wrapText="1"/>
    </xf>
    <xf numFmtId="4" fontId="21" fillId="7" borderId="1" xfId="0" applyNumberFormat="1" applyFont="1" applyFill="1" applyBorder="1" applyAlignment="1">
      <alignment horizontal="right" vertical="center" wrapText="1"/>
    </xf>
    <xf numFmtId="4" fontId="26" fillId="12" borderId="1" xfId="0" applyNumberFormat="1" applyFont="1" applyFill="1" applyBorder="1" applyAlignment="1">
      <alignment horizontal="right" vertical="center" wrapText="1"/>
    </xf>
    <xf numFmtId="0" fontId="17" fillId="0" borderId="1" xfId="0" applyFont="1" applyBorder="1" applyAlignment="1">
      <alignment horizontal="center" vertical="center"/>
    </xf>
    <xf numFmtId="0" fontId="7" fillId="2" borderId="1" xfId="0" applyFont="1" applyFill="1" applyBorder="1" applyAlignment="1" applyProtection="1">
      <alignment horizontal="center" vertical="center"/>
      <protection locked="0"/>
    </xf>
    <xf numFmtId="0" fontId="10" fillId="0" borderId="1" xfId="0" applyFont="1" applyBorder="1" applyAlignment="1">
      <alignment horizontal="center" vertical="center"/>
    </xf>
    <xf numFmtId="0" fontId="34" fillId="0" borderId="1" xfId="0" applyFont="1" applyBorder="1" applyAlignment="1">
      <alignment horizontal="center" vertical="center"/>
    </xf>
    <xf numFmtId="2" fontId="7" fillId="0" borderId="1" xfId="4" applyNumberFormat="1" applyBorder="1" applyAlignment="1">
      <alignment horizontal="center" vertical="center"/>
    </xf>
    <xf numFmtId="0" fontId="28" fillId="0" borderId="0" xfId="3" applyFont="1" applyAlignment="1">
      <alignment vertical="center"/>
    </xf>
    <xf numFmtId="0" fontId="28" fillId="0" borderId="0" xfId="3" applyFont="1" applyAlignment="1">
      <alignment horizontal="center" vertical="center"/>
    </xf>
    <xf numFmtId="0" fontId="21" fillId="0" borderId="0" xfId="3" applyFont="1" applyAlignment="1">
      <alignment horizontal="center" vertical="center"/>
    </xf>
    <xf numFmtId="0" fontId="28" fillId="0" borderId="0" xfId="3" applyFont="1" applyAlignment="1">
      <alignment horizontal="center" vertical="center" wrapText="1"/>
    </xf>
    <xf numFmtId="0" fontId="21" fillId="0" borderId="0" xfId="3" applyFont="1" applyAlignment="1">
      <alignment horizontal="left" vertical="center"/>
    </xf>
    <xf numFmtId="49" fontId="21" fillId="0" borderId="0" xfId="3" applyNumberFormat="1" applyFont="1" applyAlignment="1">
      <alignment horizontal="center" vertical="center"/>
    </xf>
    <xf numFmtId="0" fontId="7" fillId="0" borderId="0" xfId="3" applyFont="1" applyAlignment="1">
      <alignment horizontal="left" vertical="center"/>
    </xf>
    <xf numFmtId="49" fontId="7" fillId="0" borderId="0" xfId="3" applyNumberFormat="1" applyFont="1" applyAlignment="1">
      <alignment horizontal="center" vertical="center"/>
    </xf>
    <xf numFmtId="0" fontId="21" fillId="6" borderId="0" xfId="8" applyFont="1" applyFill="1" applyAlignment="1">
      <alignment vertical="center"/>
    </xf>
    <xf numFmtId="0" fontId="21" fillId="11" borderId="1" xfId="8" applyFont="1" applyFill="1" applyBorder="1" applyAlignment="1">
      <alignment horizontal="center" vertical="center"/>
    </xf>
    <xf numFmtId="4" fontId="21" fillId="11" borderId="1" xfId="8" applyNumberFormat="1" applyFont="1" applyFill="1" applyBorder="1" applyAlignment="1">
      <alignment horizontal="center" vertical="center" wrapText="1"/>
    </xf>
    <xf numFmtId="0" fontId="7" fillId="0" borderId="1" xfId="8" applyFont="1" applyBorder="1" applyAlignment="1">
      <alignment horizontal="center" vertical="center"/>
    </xf>
    <xf numFmtId="4" fontId="7" fillId="0" borderId="1" xfId="8" applyNumberFormat="1" applyFont="1" applyBorder="1" applyAlignment="1">
      <alignment horizontal="center" vertical="center"/>
    </xf>
    <xf numFmtId="0" fontId="21" fillId="0" borderId="1" xfId="8" applyFont="1" applyBorder="1" applyAlignment="1">
      <alignment horizontal="center" vertical="center"/>
    </xf>
    <xf numFmtId="4" fontId="21" fillId="0" borderId="1" xfId="8" applyNumberFormat="1" applyFont="1" applyBorder="1" applyAlignment="1">
      <alignment horizontal="center" vertical="center"/>
    </xf>
    <xf numFmtId="4" fontId="7" fillId="2" borderId="1" xfId="8" applyNumberFormat="1" applyFont="1" applyFill="1" applyBorder="1" applyAlignment="1">
      <alignment horizontal="center" vertical="center"/>
    </xf>
    <xf numFmtId="0" fontId="21" fillId="7" borderId="1" xfId="8" applyFont="1" applyFill="1" applyBorder="1" applyAlignment="1">
      <alignment horizontal="center" vertical="center"/>
    </xf>
    <xf numFmtId="0" fontId="21" fillId="2" borderId="1" xfId="8" applyFont="1" applyFill="1" applyBorder="1" applyAlignment="1">
      <alignment horizontal="center" vertical="center"/>
    </xf>
    <xf numFmtId="0" fontId="21" fillId="15" borderId="1" xfId="8" applyFont="1" applyFill="1" applyBorder="1" applyAlignment="1">
      <alignment horizontal="center" vertical="center"/>
    </xf>
    <xf numFmtId="2" fontId="7" fillId="0" borderId="1" xfId="8" applyNumberFormat="1" applyFont="1" applyBorder="1" applyAlignment="1">
      <alignment horizontal="center" vertical="center"/>
    </xf>
    <xf numFmtId="2" fontId="7" fillId="2" borderId="1" xfId="8" applyNumberFormat="1" applyFont="1" applyFill="1" applyBorder="1" applyAlignment="1">
      <alignment horizontal="center" vertical="center"/>
    </xf>
    <xf numFmtId="0" fontId="7" fillId="0" borderId="0" xfId="8" applyFont="1" applyAlignment="1">
      <alignment vertical="center"/>
    </xf>
    <xf numFmtId="0" fontId="7" fillId="2" borderId="0" xfId="8" applyFont="1" applyFill="1" applyAlignment="1">
      <alignment vertical="center"/>
    </xf>
    <xf numFmtId="0" fontId="7" fillId="2" borderId="0" xfId="8" applyFont="1" applyFill="1" applyAlignment="1">
      <alignment horizontal="center" vertical="center"/>
    </xf>
    <xf numFmtId="4" fontId="7" fillId="2" borderId="0" xfId="8" applyNumberFormat="1" applyFont="1" applyFill="1" applyAlignment="1">
      <alignment horizontal="center" vertical="center"/>
    </xf>
    <xf numFmtId="0" fontId="21" fillId="0" borderId="0" xfId="3" applyFont="1" applyAlignment="1">
      <alignment vertical="center"/>
    </xf>
    <xf numFmtId="0" fontId="7" fillId="0" borderId="0" xfId="3" applyFont="1" applyAlignment="1">
      <alignment vertical="center"/>
    </xf>
    <xf numFmtId="0" fontId="21" fillId="12" borderId="1" xfId="8" applyFont="1" applyFill="1" applyBorder="1" applyAlignment="1">
      <alignment horizontal="center" vertical="center"/>
    </xf>
    <xf numFmtId="0" fontId="7" fillId="0" borderId="0" xfId="8" applyFont="1" applyAlignment="1">
      <alignment horizontal="right" vertical="center"/>
    </xf>
    <xf numFmtId="4" fontId="21" fillId="0" borderId="0" xfId="8" applyNumberFormat="1" applyFont="1" applyAlignment="1">
      <alignment horizontal="center" vertical="center"/>
    </xf>
    <xf numFmtId="0" fontId="21" fillId="0" borderId="0" xfId="8" applyFont="1" applyAlignment="1">
      <alignment horizontal="center" vertical="center"/>
    </xf>
    <xf numFmtId="4" fontId="24" fillId="0" borderId="0" xfId="0" applyNumberFormat="1" applyFont="1" applyAlignment="1">
      <alignment horizontal="center" vertical="center"/>
    </xf>
    <xf numFmtId="4" fontId="21" fillId="7" borderId="1" xfId="0" applyNumberFormat="1" applyFont="1" applyFill="1" applyBorder="1" applyAlignment="1">
      <alignment horizontal="center" vertical="center" wrapText="1"/>
    </xf>
    <xf numFmtId="4" fontId="26" fillId="12" borderId="1" xfId="0" applyNumberFormat="1" applyFont="1" applyFill="1" applyBorder="1" applyAlignment="1">
      <alignment horizontal="center" vertical="center" wrapText="1"/>
    </xf>
    <xf numFmtId="2" fontId="21" fillId="0" borderId="1" xfId="8" applyNumberFormat="1" applyFont="1" applyBorder="1" applyAlignment="1">
      <alignment horizontal="center" vertical="center"/>
    </xf>
    <xf numFmtId="0" fontId="7" fillId="2" borderId="1" xfId="8" applyFont="1" applyFill="1" applyBorder="1" applyAlignment="1">
      <alignment horizontal="center" vertical="center"/>
    </xf>
    <xf numFmtId="4" fontId="20" fillId="0" borderId="1" xfId="0" applyNumberFormat="1" applyFont="1" applyBorder="1" applyAlignment="1">
      <alignment horizontal="right" vertical="center" wrapText="1"/>
    </xf>
    <xf numFmtId="4" fontId="21" fillId="0" borderId="0" xfId="0" applyNumberFormat="1" applyFont="1" applyAlignment="1">
      <alignment vertical="center" wrapText="1"/>
    </xf>
    <xf numFmtId="4" fontId="21" fillId="4" borderId="1" xfId="0" applyNumberFormat="1" applyFont="1" applyFill="1" applyBorder="1" applyAlignment="1">
      <alignment horizontal="center" vertical="center" wrapText="1"/>
    </xf>
    <xf numFmtId="4" fontId="24" fillId="0" borderId="0" xfId="0" applyNumberFormat="1" applyFont="1" applyAlignment="1">
      <alignment horizontal="right" vertical="center" wrapText="1"/>
    </xf>
    <xf numFmtId="4" fontId="21" fillId="0" borderId="0" xfId="0" applyNumberFormat="1" applyFont="1" applyAlignment="1">
      <alignment horizontal="left" vertical="center" wrapText="1"/>
    </xf>
    <xf numFmtId="4" fontId="24" fillId="0" borderId="0" xfId="0" applyNumberFormat="1" applyFont="1" applyAlignment="1">
      <alignment horizontal="right" vertical="center"/>
    </xf>
    <xf numFmtId="0" fontId="21" fillId="0" borderId="1" xfId="8" quotePrefix="1" applyFont="1" applyBorder="1" applyAlignment="1">
      <alignment horizontal="center" vertical="center"/>
    </xf>
    <xf numFmtId="4" fontId="7" fillId="0" borderId="1" xfId="8" quotePrefix="1" applyNumberFormat="1" applyFont="1" applyBorder="1" applyAlignment="1">
      <alignment horizontal="center" vertical="center"/>
    </xf>
    <xf numFmtId="10" fontId="24" fillId="0" borderId="0" xfId="0" applyNumberFormat="1" applyFont="1" applyAlignment="1">
      <alignment horizontal="center" vertical="center"/>
    </xf>
    <xf numFmtId="0" fontId="7" fillId="0" borderId="1" xfId="3" applyFont="1" applyBorder="1" applyAlignment="1">
      <alignment horizontal="center" vertical="center"/>
    </xf>
    <xf numFmtId="0" fontId="7" fillId="0" borderId="1" xfId="3" applyFont="1" applyBorder="1" applyAlignment="1">
      <alignment horizontal="left" vertical="center" wrapText="1"/>
    </xf>
    <xf numFmtId="4" fontId="8" fillId="3" borderId="0" xfId="1" applyNumberFormat="1" applyFont="1" applyFill="1" applyAlignment="1">
      <alignment horizontal="center" vertical="center" wrapText="1"/>
    </xf>
    <xf numFmtId="0" fontId="7" fillId="0" borderId="0" xfId="3" applyFont="1" applyAlignment="1">
      <alignment horizontal="right" vertical="center"/>
    </xf>
    <xf numFmtId="0" fontId="10" fillId="0" borderId="0" xfId="3" applyFont="1" applyAlignment="1">
      <alignment horizontal="right" vertical="center"/>
    </xf>
    <xf numFmtId="0" fontId="18" fillId="0" borderId="0" xfId="3" applyFont="1" applyAlignment="1">
      <alignment horizontal="right" vertical="center"/>
    </xf>
    <xf numFmtId="0" fontId="7" fillId="0" borderId="0" xfId="3" applyFont="1" applyAlignment="1">
      <alignment horizontal="right" vertical="center" wrapText="1"/>
    </xf>
    <xf numFmtId="0" fontId="21" fillId="14" borderId="0" xfId="3" applyFont="1" applyFill="1" applyAlignment="1">
      <alignment horizontal="center" vertical="center" wrapText="1"/>
    </xf>
    <xf numFmtId="0" fontId="7" fillId="0" borderId="0" xfId="4" applyAlignment="1">
      <alignment horizontal="right" vertical="center"/>
    </xf>
    <xf numFmtId="0" fontId="27" fillId="0" borderId="1" xfId="0" applyFont="1" applyBorder="1" applyAlignment="1">
      <alignment horizontal="center" vertical="center" wrapText="1"/>
    </xf>
    <xf numFmtId="4" fontId="21" fillId="13" borderId="1" xfId="2" applyNumberFormat="1" applyFont="1" applyFill="1" applyBorder="1" applyAlignment="1">
      <alignment horizontal="right" vertical="center" wrapText="1"/>
    </xf>
    <xf numFmtId="4" fontId="7" fillId="13" borderId="1" xfId="2" applyNumberFormat="1" applyFill="1" applyBorder="1" applyAlignment="1">
      <alignment horizontal="right" vertical="center" wrapText="1"/>
    </xf>
    <xf numFmtId="4" fontId="35" fillId="13" borderId="1" xfId="2" applyNumberFormat="1" applyFont="1" applyFill="1" applyBorder="1" applyAlignment="1">
      <alignment horizontal="right" vertical="center" wrapText="1"/>
    </xf>
    <xf numFmtId="4" fontId="7" fillId="0" borderId="0" xfId="0" applyNumberFormat="1" applyFont="1" applyAlignment="1">
      <alignment vertical="center"/>
    </xf>
    <xf numFmtId="4" fontId="20" fillId="0" borderId="0" xfId="0" applyNumberFormat="1" applyFont="1" applyAlignment="1">
      <alignment vertical="center"/>
    </xf>
    <xf numFmtId="4" fontId="25" fillId="4" borderId="1" xfId="0" applyNumberFormat="1" applyFont="1" applyFill="1" applyBorder="1" applyAlignment="1">
      <alignment horizontal="center" vertical="center" wrapText="1"/>
    </xf>
    <xf numFmtId="4" fontId="24" fillId="0" borderId="1" xfId="0" applyNumberFormat="1" applyFont="1" applyBorder="1" applyAlignment="1">
      <alignment horizontal="right" vertical="center" wrapText="1"/>
    </xf>
    <xf numFmtId="4" fontId="21" fillId="0" borderId="0" xfId="0" applyNumberFormat="1" applyFont="1" applyAlignment="1">
      <alignment horizontal="center" vertical="center" wrapText="1"/>
    </xf>
    <xf numFmtId="4" fontId="26" fillId="0" borderId="0" xfId="0" applyNumberFormat="1" applyFont="1" applyAlignment="1">
      <alignment horizontal="center" vertical="center" shrinkToFit="1"/>
    </xf>
    <xf numFmtId="4" fontId="21" fillId="4" borderId="1" xfId="0" applyNumberFormat="1" applyFont="1" applyFill="1" applyBorder="1" applyAlignment="1">
      <alignment horizontal="right" vertical="center" shrinkToFit="1"/>
    </xf>
    <xf numFmtId="170" fontId="7" fillId="0" borderId="1" xfId="8" applyNumberFormat="1" applyFont="1" applyBorder="1" applyAlignment="1">
      <alignment horizontal="center" vertical="center"/>
    </xf>
    <xf numFmtId="10" fontId="7" fillId="0" borderId="0" xfId="0" applyNumberFormat="1" applyFont="1" applyAlignment="1">
      <alignment horizontal="right" vertical="center"/>
    </xf>
    <xf numFmtId="10" fontId="7" fillId="0" borderId="0" xfId="0" applyNumberFormat="1" applyFont="1" applyAlignment="1">
      <alignment vertical="center"/>
    </xf>
    <xf numFmtId="2" fontId="7" fillId="0" borderId="0" xfId="2" applyNumberFormat="1" applyAlignment="1">
      <alignment horizontal="left" vertical="center"/>
    </xf>
    <xf numFmtId="4" fontId="7" fillId="0" borderId="1" xfId="3" applyNumberFormat="1" applyFont="1" applyBorder="1" applyAlignment="1">
      <alignment horizontal="right" vertical="center"/>
    </xf>
    <xf numFmtId="0" fontId="7" fillId="0" borderId="0" xfId="3" applyFont="1" applyAlignment="1">
      <alignment horizontal="center" vertical="center" wrapText="1"/>
    </xf>
    <xf numFmtId="2" fontId="7" fillId="0" borderId="1" xfId="3" applyNumberFormat="1" applyFont="1" applyBorder="1" applyAlignment="1">
      <alignment horizontal="center" vertical="center"/>
    </xf>
    <xf numFmtId="2" fontId="10" fillId="0" borderId="1" xfId="3" applyNumberFormat="1" applyFont="1" applyBorder="1" applyAlignment="1">
      <alignment horizontal="center" vertical="center"/>
    </xf>
    <xf numFmtId="2" fontId="33" fillId="0" borderId="1" xfId="3" applyNumberFormat="1" applyFont="1" applyBorder="1" applyAlignment="1">
      <alignment horizontal="center" vertical="center"/>
    </xf>
    <xf numFmtId="2" fontId="18" fillId="0" borderId="1" xfId="3" applyNumberFormat="1" applyFont="1" applyBorder="1" applyAlignment="1">
      <alignment horizontal="center" vertical="center"/>
    </xf>
    <xf numFmtId="2" fontId="7" fillId="0" borderId="1" xfId="3" applyNumberFormat="1" applyFont="1" applyBorder="1" applyAlignment="1">
      <alignment horizontal="center" vertical="center" wrapText="1"/>
    </xf>
    <xf numFmtId="2" fontId="21" fillId="14" borderId="1" xfId="3" applyNumberFormat="1" applyFont="1" applyFill="1" applyBorder="1" applyAlignment="1">
      <alignment horizontal="center" vertical="center" wrapText="1"/>
    </xf>
    <xf numFmtId="0" fontId="7" fillId="5" borderId="0" xfId="2" applyFill="1" applyAlignment="1">
      <alignment horizontal="center" vertical="center"/>
    </xf>
    <xf numFmtId="10" fontId="21" fillId="5" borderId="1" xfId="16" applyNumberFormat="1" applyFont="1" applyFill="1" applyBorder="1" applyAlignment="1">
      <alignment horizontal="center" vertical="center"/>
    </xf>
    <xf numFmtId="0" fontId="7" fillId="0" borderId="1" xfId="15" applyFont="1" applyBorder="1" applyAlignment="1">
      <alignment horizontal="center" vertical="center"/>
    </xf>
    <xf numFmtId="0" fontId="7" fillId="0" borderId="1" xfId="15" applyFont="1" applyBorder="1" applyAlignment="1">
      <alignment horizontal="justify" vertical="center" wrapText="1"/>
    </xf>
    <xf numFmtId="10" fontId="7" fillId="0" borderId="1" xfId="16" applyNumberFormat="1" applyFont="1" applyBorder="1" applyAlignment="1">
      <alignment horizontal="right" vertical="center"/>
    </xf>
    <xf numFmtId="0" fontId="21" fillId="0" borderId="1" xfId="15" applyFont="1" applyBorder="1" applyAlignment="1">
      <alignment horizontal="center" vertical="center"/>
    </xf>
    <xf numFmtId="0" fontId="21" fillId="0" borderId="1" xfId="15" applyFont="1" applyBorder="1" applyAlignment="1">
      <alignment horizontal="right" vertical="center" wrapText="1"/>
    </xf>
    <xf numFmtId="10" fontId="21" fillId="16" borderId="1" xfId="16" applyNumberFormat="1" applyFont="1" applyFill="1" applyBorder="1" applyAlignment="1">
      <alignment horizontal="right" vertical="center"/>
    </xf>
    <xf numFmtId="0" fontId="21" fillId="0" borderId="0" xfId="15" applyFont="1" applyAlignment="1">
      <alignment horizontal="center" vertical="center"/>
    </xf>
    <xf numFmtId="0" fontId="21" fillId="0" borderId="0" xfId="15" applyFont="1" applyAlignment="1">
      <alignment vertical="center"/>
    </xf>
    <xf numFmtId="10" fontId="21" fillId="0" borderId="0" xfId="16" applyNumberFormat="1" applyFont="1" applyAlignment="1">
      <alignment horizontal="right" vertical="center"/>
    </xf>
    <xf numFmtId="0" fontId="21" fillId="5" borderId="4" xfId="15" applyFont="1" applyFill="1" applyBorder="1" applyAlignment="1">
      <alignment horizontal="center" vertical="center"/>
    </xf>
    <xf numFmtId="10" fontId="21" fillId="5" borderId="1" xfId="16" applyNumberFormat="1" applyFont="1" applyFill="1" applyBorder="1" applyAlignment="1">
      <alignment horizontal="right" vertical="center"/>
    </xf>
    <xf numFmtId="10" fontId="7" fillId="0" borderId="0" xfId="2" applyNumberFormat="1" applyAlignment="1">
      <alignment horizontal="right" vertical="center"/>
    </xf>
    <xf numFmtId="0" fontId="7" fillId="17" borderId="0" xfId="2" applyFill="1" applyAlignment="1">
      <alignment vertical="center"/>
    </xf>
    <xf numFmtId="10" fontId="21" fillId="5" borderId="1" xfId="13" applyNumberFormat="1" applyFont="1" applyFill="1" applyBorder="1" applyAlignment="1">
      <alignment horizontal="center" vertical="center"/>
    </xf>
    <xf numFmtId="10" fontId="7" fillId="0" borderId="1" xfId="13" applyNumberFormat="1" applyFont="1" applyBorder="1" applyAlignment="1">
      <alignment horizontal="right" vertical="center"/>
    </xf>
    <xf numFmtId="10" fontId="21" fillId="16" borderId="1" xfId="13" applyNumberFormat="1" applyFont="1" applyFill="1" applyBorder="1" applyAlignment="1">
      <alignment horizontal="right" vertical="center"/>
    </xf>
    <xf numFmtId="10" fontId="21" fillId="0" borderId="0" xfId="13" applyNumberFormat="1" applyFont="1" applyAlignment="1">
      <alignment horizontal="right" vertical="center"/>
    </xf>
    <xf numFmtId="10" fontId="21" fillId="5" borderId="1" xfId="13" applyNumberFormat="1" applyFont="1" applyFill="1" applyBorder="1" applyAlignment="1">
      <alignment horizontal="right" vertical="center"/>
    </xf>
    <xf numFmtId="4" fontId="32" fillId="0" borderId="1" xfId="0" applyNumberFormat="1" applyFont="1" applyBorder="1" applyAlignment="1">
      <alignment horizontal="right" vertical="center" wrapText="1"/>
    </xf>
    <xf numFmtId="0" fontId="21" fillId="12" borderId="1" xfId="0" applyFont="1" applyFill="1" applyBorder="1" applyAlignment="1">
      <alignment horizontal="right" vertical="center" wrapText="1"/>
    </xf>
    <xf numFmtId="1" fontId="19" fillId="12" borderId="1" xfId="0" applyNumberFormat="1" applyFont="1" applyFill="1" applyBorder="1" applyAlignment="1" applyProtection="1">
      <alignment horizontal="center" vertical="center"/>
      <protection locked="0"/>
    </xf>
    <xf numFmtId="0" fontId="21" fillId="12" borderId="1" xfId="0" applyFont="1" applyFill="1" applyBorder="1" applyAlignment="1">
      <alignment horizontal="center" vertical="center" wrapText="1"/>
    </xf>
    <xf numFmtId="0" fontId="21" fillId="12" borderId="1" xfId="0" applyFont="1" applyFill="1" applyBorder="1" applyAlignment="1">
      <alignment horizontal="left" vertical="center" wrapText="1"/>
    </xf>
    <xf numFmtId="4" fontId="21" fillId="12" borderId="1" xfId="0" applyNumberFormat="1" applyFont="1" applyFill="1" applyBorder="1" applyAlignment="1">
      <alignment horizontal="center" vertical="center" wrapText="1"/>
    </xf>
    <xf numFmtId="4" fontId="21" fillId="12" borderId="1" xfId="0" applyNumberFormat="1" applyFont="1" applyFill="1" applyBorder="1" applyAlignment="1">
      <alignment horizontal="right" vertical="center" wrapText="1"/>
    </xf>
    <xf numFmtId="1" fontId="19" fillId="2" borderId="1" xfId="0" applyNumberFormat="1" applyFont="1" applyFill="1" applyBorder="1" applyAlignment="1" applyProtection="1">
      <alignment horizontal="center" vertical="center"/>
      <protection locked="0"/>
    </xf>
    <xf numFmtId="0" fontId="21" fillId="2" borderId="1" xfId="0" applyFont="1" applyFill="1" applyBorder="1" applyAlignment="1">
      <alignment horizontal="center" vertical="center" wrapText="1"/>
    </xf>
    <xf numFmtId="0" fontId="21" fillId="2" borderId="1" xfId="0" applyFont="1" applyFill="1" applyBorder="1" applyAlignment="1">
      <alignment horizontal="left" vertical="center" wrapText="1"/>
    </xf>
    <xf numFmtId="4" fontId="21" fillId="2" borderId="1" xfId="0" applyNumberFormat="1" applyFont="1" applyFill="1" applyBorder="1" applyAlignment="1">
      <alignment horizontal="center" vertical="center" wrapText="1"/>
    </xf>
    <xf numFmtId="4" fontId="21" fillId="2" borderId="1" xfId="0" applyNumberFormat="1" applyFont="1" applyFill="1" applyBorder="1" applyAlignment="1">
      <alignment horizontal="right" vertical="center" wrapText="1"/>
    </xf>
    <xf numFmtId="2" fontId="36" fillId="0" borderId="1" xfId="3" applyNumberFormat="1" applyFont="1" applyBorder="1" applyAlignment="1">
      <alignment horizontal="center" vertical="center"/>
    </xf>
    <xf numFmtId="2" fontId="38" fillId="0" borderId="1" xfId="3" applyNumberFormat="1" applyFont="1" applyBorder="1" applyAlignment="1">
      <alignment horizontal="center" vertical="center"/>
    </xf>
    <xf numFmtId="2" fontId="38" fillId="0" borderId="1" xfId="4" applyNumberFormat="1" applyFont="1" applyBorder="1" applyAlignment="1">
      <alignment horizontal="center" vertical="center"/>
    </xf>
    <xf numFmtId="49" fontId="39" fillId="0" borderId="2" xfId="3" applyNumberFormat="1" applyFont="1" applyBorder="1" applyAlignment="1">
      <alignment horizontal="left" vertical="center" wrapText="1"/>
    </xf>
    <xf numFmtId="49" fontId="39" fillId="0" borderId="2" xfId="3" applyNumberFormat="1" applyFont="1" applyBorder="1" applyAlignment="1">
      <alignment horizontal="center" vertical="center"/>
    </xf>
    <xf numFmtId="2" fontId="39" fillId="0" borderId="2" xfId="3" applyNumberFormat="1" applyFont="1" applyBorder="1" applyAlignment="1">
      <alignment horizontal="center" vertical="center"/>
    </xf>
    <xf numFmtId="0" fontId="7" fillId="2" borderId="1" xfId="0" applyFont="1" applyFill="1" applyBorder="1" applyAlignment="1">
      <alignment horizontal="right" vertical="center" wrapText="1"/>
    </xf>
    <xf numFmtId="1" fontId="20" fillId="2" borderId="1" xfId="0" applyNumberFormat="1" applyFont="1" applyFill="1" applyBorder="1" applyAlignment="1" applyProtection="1">
      <alignment horizontal="center" vertical="center"/>
      <protection locked="0"/>
    </xf>
    <xf numFmtId="4" fontId="7" fillId="2" borderId="1" xfId="0" applyNumberFormat="1" applyFont="1" applyFill="1" applyBorder="1" applyAlignment="1">
      <alignment horizontal="center" vertical="center" wrapText="1"/>
    </xf>
    <xf numFmtId="4" fontId="7" fillId="2" borderId="1" xfId="0" applyNumberFormat="1" applyFont="1" applyFill="1" applyBorder="1" applyAlignment="1">
      <alignment horizontal="right" vertical="center" wrapText="1"/>
    </xf>
    <xf numFmtId="0" fontId="36" fillId="0" borderId="1" xfId="0" applyFont="1" applyBorder="1" applyAlignment="1">
      <alignment horizontal="center" vertical="center" wrapText="1"/>
    </xf>
    <xf numFmtId="0" fontId="40" fillId="0" borderId="0" xfId="0" applyFont="1" applyAlignment="1">
      <alignment vertical="top"/>
    </xf>
    <xf numFmtId="0" fontId="40" fillId="0" borderId="0" xfId="0" applyFont="1" applyAlignment="1">
      <alignment horizontal="left" vertical="top"/>
    </xf>
    <xf numFmtId="173" fontId="20" fillId="0" borderId="1" xfId="0" applyNumberFormat="1" applyFont="1" applyBorder="1" applyAlignment="1">
      <alignment horizontal="right" vertical="center" wrapText="1"/>
    </xf>
    <xf numFmtId="2" fontId="24" fillId="0" borderId="1" xfId="0" applyNumberFormat="1" applyFont="1" applyBorder="1" applyAlignment="1">
      <alignment horizontal="right" vertical="center" wrapText="1"/>
    </xf>
    <xf numFmtId="0" fontId="7" fillId="0" borderId="0" xfId="8" applyFont="1" applyAlignment="1">
      <alignment horizontal="center" vertical="center"/>
    </xf>
    <xf numFmtId="0" fontId="21" fillId="6" borderId="1" xfId="0" quotePrefix="1" applyFont="1" applyFill="1" applyBorder="1" applyAlignment="1">
      <alignment horizontal="center" vertical="center" wrapText="1"/>
    </xf>
    <xf numFmtId="49" fontId="7" fillId="0" borderId="0" xfId="17" applyNumberFormat="1" applyFont="1" applyAlignment="1">
      <alignment horizontal="center" vertical="center"/>
    </xf>
    <xf numFmtId="4" fontId="7" fillId="0" borderId="0" xfId="17" applyNumberFormat="1" applyFont="1" applyAlignment="1">
      <alignment horizontal="center" vertical="center"/>
    </xf>
    <xf numFmtId="0" fontId="41" fillId="0" borderId="0" xfId="17" applyAlignment="1">
      <alignment horizontal="center" vertical="center"/>
    </xf>
    <xf numFmtId="0" fontId="21" fillId="0" borderId="0" xfId="17" applyFont="1" applyAlignment="1">
      <alignment horizontal="center" vertical="center"/>
    </xf>
    <xf numFmtId="0" fontId="7" fillId="0" borderId="0" xfId="17" applyFont="1" applyAlignment="1">
      <alignment horizontal="center" vertical="center"/>
    </xf>
    <xf numFmtId="0" fontId="7" fillId="0" borderId="0" xfId="17" applyFont="1" applyAlignment="1">
      <alignment horizontal="left" vertical="center"/>
    </xf>
    <xf numFmtId="0" fontId="21" fillId="0" borderId="0" xfId="17" applyFont="1" applyAlignment="1">
      <alignment horizontal="left" vertical="center"/>
    </xf>
    <xf numFmtId="49" fontId="21" fillId="0" borderId="0" xfId="17" applyNumberFormat="1" applyFont="1" applyAlignment="1">
      <alignment horizontal="center" vertical="center"/>
    </xf>
    <xf numFmtId="4" fontId="21" fillId="0" borderId="0" xfId="17" applyNumberFormat="1" applyFont="1" applyAlignment="1">
      <alignment horizontal="center" vertical="center"/>
    </xf>
    <xf numFmtId="0" fontId="21" fillId="5" borderId="1" xfId="18" applyFont="1" applyFill="1" applyBorder="1" applyAlignment="1">
      <alignment horizontal="center" vertical="center" wrapText="1"/>
    </xf>
    <xf numFmtId="4" fontId="21" fillId="5" borderId="1" xfId="18" applyNumberFormat="1" applyFont="1" applyFill="1" applyBorder="1" applyAlignment="1">
      <alignment horizontal="center" vertical="center" wrapText="1"/>
    </xf>
    <xf numFmtId="0" fontId="7" fillId="0" borderId="1" xfId="18" applyFont="1" applyBorder="1" applyAlignment="1">
      <alignment horizontal="center" vertical="center" wrapText="1"/>
    </xf>
    <xf numFmtId="0" fontId="7" fillId="0" borderId="1" xfId="18" applyFont="1" applyBorder="1" applyAlignment="1">
      <alignment horizontal="left" vertical="center" wrapText="1"/>
    </xf>
    <xf numFmtId="4" fontId="7" fillId="0" borderId="1" xfId="18" applyNumberFormat="1" applyFont="1" applyBorder="1" applyAlignment="1">
      <alignment horizontal="center" vertical="center" wrapText="1"/>
    </xf>
    <xf numFmtId="4" fontId="7" fillId="0" borderId="1" xfId="18" applyNumberFormat="1" applyFont="1" applyBorder="1" applyAlignment="1">
      <alignment horizontal="center" vertical="center"/>
    </xf>
    <xf numFmtId="4" fontId="41" fillId="0" borderId="1" xfId="17" applyNumberFormat="1" applyBorder="1" applyAlignment="1">
      <alignment horizontal="center" vertical="center"/>
    </xf>
    <xf numFmtId="2" fontId="41" fillId="0" borderId="1" xfId="17" applyNumberFormat="1" applyBorder="1" applyAlignment="1">
      <alignment horizontal="center" vertical="center"/>
    </xf>
    <xf numFmtId="0" fontId="7" fillId="0" borderId="0" xfId="17" quotePrefix="1" applyFont="1" applyAlignment="1">
      <alignment horizontal="center" vertical="center"/>
    </xf>
    <xf numFmtId="2" fontId="21" fillId="5" borderId="1" xfId="18" applyNumberFormat="1" applyFont="1" applyFill="1" applyBorder="1" applyAlignment="1">
      <alignment horizontal="center" vertical="center" wrapText="1"/>
    </xf>
    <xf numFmtId="2" fontId="7" fillId="0" borderId="1" xfId="18" applyNumberFormat="1" applyFont="1" applyBorder="1" applyAlignment="1">
      <alignment horizontal="center" vertical="center"/>
    </xf>
    <xf numFmtId="0" fontId="41" fillId="0" borderId="0" xfId="17" applyAlignment="1">
      <alignment horizontal="left" vertical="center"/>
    </xf>
    <xf numFmtId="4" fontId="7" fillId="0" borderId="1" xfId="17" applyNumberFormat="1" applyFont="1" applyBorder="1" applyAlignment="1">
      <alignment horizontal="center" vertical="center"/>
    </xf>
    <xf numFmtId="10" fontId="7" fillId="0" borderId="0" xfId="8" applyNumberFormat="1" applyFont="1" applyAlignment="1">
      <alignment horizontal="center" vertical="center"/>
    </xf>
    <xf numFmtId="0" fontId="21" fillId="0" borderId="0" xfId="8" applyFont="1" applyAlignment="1">
      <alignment vertical="center"/>
    </xf>
    <xf numFmtId="49" fontId="21" fillId="0" borderId="0" xfId="2" applyNumberFormat="1" applyFont="1" applyAlignment="1">
      <alignment horizontal="center" vertical="center"/>
    </xf>
    <xf numFmtId="2" fontId="8" fillId="2" borderId="1" xfId="1" applyNumberFormat="1" applyFont="1" applyFill="1" applyBorder="1" applyAlignment="1">
      <alignment horizontal="center" vertical="center"/>
    </xf>
    <xf numFmtId="2" fontId="7" fillId="0" borderId="16" xfId="4" applyNumberFormat="1" applyBorder="1" applyAlignment="1">
      <alignment horizontal="center" vertical="center"/>
    </xf>
    <xf numFmtId="2" fontId="36" fillId="0" borderId="1" xfId="4" applyNumberFormat="1" applyFont="1" applyBorder="1" applyAlignment="1">
      <alignment horizontal="center" vertical="center"/>
    </xf>
    <xf numFmtId="49" fontId="38" fillId="0" borderId="1" xfId="11" applyNumberFormat="1" applyFont="1" applyBorder="1" applyAlignment="1">
      <alignment horizontal="center" vertical="center" wrapText="1"/>
    </xf>
    <xf numFmtId="49" fontId="42" fillId="0" borderId="2" xfId="3" applyNumberFormat="1" applyFont="1" applyBorder="1" applyAlignment="1">
      <alignment horizontal="left" vertical="center" wrapText="1"/>
    </xf>
    <xf numFmtId="49" fontId="42" fillId="0" borderId="2" xfId="3" applyNumberFormat="1" applyFont="1" applyBorder="1" applyAlignment="1">
      <alignment horizontal="center" vertical="center"/>
    </xf>
    <xf numFmtId="2" fontId="42" fillId="0" borderId="2" xfId="3" applyNumberFormat="1" applyFont="1" applyBorder="1" applyAlignment="1">
      <alignment horizontal="center" vertical="center"/>
    </xf>
    <xf numFmtId="2" fontId="7" fillId="0" borderId="1" xfId="3" applyNumberFormat="1" applyFont="1" applyBorder="1" applyAlignment="1">
      <alignment horizontal="left" vertical="center" wrapText="1"/>
    </xf>
    <xf numFmtId="2" fontId="7" fillId="0" borderId="1" xfId="3" applyNumberFormat="1" applyFont="1" applyBorder="1" applyAlignment="1">
      <alignment horizontal="right" vertical="center"/>
    </xf>
    <xf numFmtId="2" fontId="10" fillId="0" borderId="1" xfId="3" applyNumberFormat="1" applyFont="1" applyBorder="1" applyAlignment="1">
      <alignment horizontal="left" vertical="center" wrapText="1"/>
    </xf>
    <xf numFmtId="2" fontId="10" fillId="0" borderId="1" xfId="3" applyNumberFormat="1" applyFont="1" applyBorder="1" applyAlignment="1">
      <alignment horizontal="right" vertical="center"/>
    </xf>
    <xf numFmtId="2" fontId="38" fillId="0" borderId="1" xfId="3" applyNumberFormat="1" applyFont="1" applyBorder="1" applyAlignment="1">
      <alignment horizontal="left" vertical="center" wrapText="1"/>
    </xf>
    <xf numFmtId="2" fontId="38" fillId="0" borderId="1" xfId="3" applyNumberFormat="1" applyFont="1" applyBorder="1" applyAlignment="1">
      <alignment horizontal="right" vertical="center"/>
    </xf>
    <xf numFmtId="2" fontId="36" fillId="0" borderId="1" xfId="3" applyNumberFormat="1" applyFont="1" applyBorder="1" applyAlignment="1">
      <alignment horizontal="left" vertical="center" wrapText="1"/>
    </xf>
    <xf numFmtId="2" fontId="33" fillId="0" borderId="1" xfId="3" applyNumberFormat="1" applyFont="1" applyBorder="1" applyAlignment="1">
      <alignment horizontal="left" vertical="center" wrapText="1"/>
    </xf>
    <xf numFmtId="2" fontId="33" fillId="0" borderId="1" xfId="3" applyNumberFormat="1" applyFont="1" applyBorder="1" applyAlignment="1">
      <alignment horizontal="right" vertical="center"/>
    </xf>
    <xf numFmtId="2" fontId="36" fillId="0" borderId="1" xfId="3" applyNumberFormat="1" applyFont="1" applyBorder="1" applyAlignment="1">
      <alignment horizontal="right" vertical="center"/>
    </xf>
    <xf numFmtId="2" fontId="18" fillId="0" borderId="1" xfId="3" applyNumberFormat="1" applyFont="1" applyBorder="1" applyAlignment="1">
      <alignment horizontal="left" vertical="center" wrapText="1"/>
    </xf>
    <xf numFmtId="2" fontId="18" fillId="0" borderId="1" xfId="3" applyNumberFormat="1" applyFont="1" applyBorder="1" applyAlignment="1">
      <alignment horizontal="right" vertical="center"/>
    </xf>
    <xf numFmtId="2" fontId="17" fillId="0" borderId="1" xfId="3" applyNumberFormat="1" applyFont="1" applyBorder="1" applyAlignment="1">
      <alignment horizontal="left" vertical="center" wrapText="1"/>
    </xf>
    <xf numFmtId="2" fontId="7" fillId="0" borderId="1" xfId="3" applyNumberFormat="1" applyFont="1" applyBorder="1" applyAlignment="1">
      <alignment horizontal="right" vertical="center" wrapText="1"/>
    </xf>
    <xf numFmtId="2" fontId="21" fillId="14" borderId="1" xfId="3" applyNumberFormat="1" applyFont="1" applyFill="1" applyBorder="1" applyAlignment="1">
      <alignment horizontal="left" vertical="center" wrapText="1"/>
    </xf>
    <xf numFmtId="2" fontId="8" fillId="3" borderId="1" xfId="1" applyNumberFormat="1" applyFont="1" applyFill="1" applyBorder="1" applyAlignment="1">
      <alignment horizontal="left" vertical="center" wrapText="1"/>
    </xf>
    <xf numFmtId="2" fontId="8" fillId="3" borderId="1" xfId="1" applyNumberFormat="1" applyFont="1" applyFill="1" applyBorder="1" applyAlignment="1">
      <alignment horizontal="center" vertical="center" wrapText="1"/>
    </xf>
    <xf numFmtId="2" fontId="8" fillId="2" borderId="1" xfId="1" applyNumberFormat="1" applyFont="1" applyFill="1" applyBorder="1" applyAlignment="1">
      <alignment horizontal="left" vertical="center" wrapText="1"/>
    </xf>
    <xf numFmtId="2" fontId="8" fillId="2" borderId="1" xfId="1" applyNumberFormat="1" applyFont="1" applyFill="1" applyBorder="1" applyAlignment="1">
      <alignment horizontal="center" vertical="center" wrapText="1"/>
    </xf>
    <xf numFmtId="2" fontId="7" fillId="0" borderId="1" xfId="3" quotePrefix="1" applyNumberFormat="1" applyFont="1" applyBorder="1" applyAlignment="1">
      <alignment horizontal="center" vertical="center"/>
    </xf>
    <xf numFmtId="2" fontId="7" fillId="0" borderId="1" xfId="4" applyNumberFormat="1" applyBorder="1" applyAlignment="1">
      <alignment horizontal="left" vertical="center" wrapText="1"/>
    </xf>
    <xf numFmtId="2" fontId="7" fillId="0" borderId="1" xfId="4" applyNumberFormat="1" applyBorder="1" applyAlignment="1">
      <alignment horizontal="right" vertical="center"/>
    </xf>
    <xf numFmtId="2" fontId="36" fillId="0" borderId="1" xfId="4" applyNumberFormat="1" applyFont="1" applyBorder="1" applyAlignment="1">
      <alignment horizontal="left" vertical="center" wrapText="1"/>
    </xf>
    <xf numFmtId="2" fontId="36" fillId="0" borderId="1" xfId="4" applyNumberFormat="1" applyFont="1" applyBorder="1" applyAlignment="1">
      <alignment horizontal="right" vertical="center"/>
    </xf>
    <xf numFmtId="2" fontId="38" fillId="0" borderId="1" xfId="4" applyNumberFormat="1" applyFont="1" applyBorder="1" applyAlignment="1">
      <alignment horizontal="left" vertical="center" wrapText="1"/>
    </xf>
    <xf numFmtId="2" fontId="38" fillId="0" borderId="1" xfId="4" applyNumberFormat="1" applyFont="1" applyBorder="1" applyAlignment="1">
      <alignment horizontal="right" vertical="center"/>
    </xf>
    <xf numFmtId="2" fontId="7" fillId="0" borderId="16" xfId="4" applyNumberFormat="1" applyBorder="1" applyAlignment="1">
      <alignment horizontal="left" vertical="center" wrapText="1"/>
    </xf>
    <xf numFmtId="2" fontId="7" fillId="0" borderId="16" xfId="4" applyNumberFormat="1" applyBorder="1" applyAlignment="1">
      <alignment horizontal="right" vertical="center"/>
    </xf>
    <xf numFmtId="2" fontId="7" fillId="0" borderId="0" xfId="4" applyNumberFormat="1" applyAlignment="1">
      <alignment horizontal="left" vertical="center" wrapText="1"/>
    </xf>
    <xf numFmtId="2" fontId="7" fillId="0" borderId="0" xfId="4" applyNumberFormat="1" applyAlignment="1">
      <alignment horizontal="right" vertical="center"/>
    </xf>
    <xf numFmtId="0" fontId="17" fillId="2" borderId="1" xfId="0" applyFont="1" applyFill="1" applyBorder="1" applyAlignment="1">
      <alignment horizontal="center" vertical="center" wrapText="1"/>
    </xf>
    <xf numFmtId="0" fontId="20" fillId="2" borderId="1" xfId="0" applyFont="1" applyFill="1" applyBorder="1" applyAlignment="1">
      <alignment horizontal="left" vertical="center" wrapText="1"/>
    </xf>
    <xf numFmtId="2" fontId="20" fillId="2" borderId="1" xfId="0" applyNumberFormat="1" applyFont="1" applyFill="1" applyBorder="1" applyAlignment="1">
      <alignment horizontal="right" vertical="center" shrinkToFit="1"/>
    </xf>
    <xf numFmtId="0" fontId="10" fillId="2" borderId="1" xfId="0" applyFont="1" applyFill="1" applyBorder="1" applyAlignment="1">
      <alignment horizontal="center" vertical="center"/>
    </xf>
    <xf numFmtId="0" fontId="34" fillId="2" borderId="1" xfId="0" applyFont="1" applyFill="1" applyBorder="1" applyAlignment="1">
      <alignment horizontal="center" vertical="center"/>
    </xf>
    <xf numFmtId="2" fontId="10" fillId="0" borderId="1" xfId="4" applyNumberFormat="1" applyFont="1" applyBorder="1" applyAlignment="1">
      <alignment horizontal="center" vertical="center"/>
    </xf>
    <xf numFmtId="2" fontId="10" fillId="0" borderId="1" xfId="4" applyNumberFormat="1" applyFont="1" applyBorder="1" applyAlignment="1">
      <alignment horizontal="left" vertical="center" wrapText="1"/>
    </xf>
    <xf numFmtId="2" fontId="10" fillId="0" borderId="1" xfId="4" applyNumberFormat="1" applyFont="1" applyBorder="1" applyAlignment="1">
      <alignment horizontal="right" vertical="center"/>
    </xf>
    <xf numFmtId="172" fontId="20" fillId="0" borderId="1" xfId="12" applyNumberFormat="1" applyFont="1" applyBorder="1" applyAlignment="1">
      <alignment horizontal="right" vertical="center" wrapText="1"/>
    </xf>
    <xf numFmtId="170" fontId="21" fillId="0" borderId="1" xfId="2" applyNumberFormat="1" applyFont="1" applyBorder="1" applyAlignment="1">
      <alignment horizontal="right" vertical="center" wrapText="1"/>
    </xf>
    <xf numFmtId="171" fontId="21" fillId="0" borderId="0" xfId="2" applyNumberFormat="1" applyFont="1" applyAlignment="1">
      <alignment horizontal="right" vertical="center"/>
    </xf>
    <xf numFmtId="171" fontId="21" fillId="0" borderId="0" xfId="2" applyNumberFormat="1" applyFont="1" applyAlignment="1">
      <alignment vertical="center"/>
    </xf>
    <xf numFmtId="171" fontId="7" fillId="0" borderId="0" xfId="2" applyNumberFormat="1" applyAlignment="1">
      <alignment horizontal="right" vertical="center"/>
    </xf>
    <xf numFmtId="171" fontId="7" fillId="0" borderId="0" xfId="10" applyNumberFormat="1" applyFont="1" applyFill="1" applyBorder="1" applyAlignment="1">
      <alignment horizontal="right" vertical="center"/>
    </xf>
    <xf numFmtId="171" fontId="21" fillId="6" borderId="1" xfId="8" quotePrefix="1" applyNumberFormat="1" applyFont="1" applyFill="1" applyBorder="1" applyAlignment="1">
      <alignment horizontal="center" vertical="center" wrapText="1"/>
    </xf>
    <xf numFmtId="171" fontId="21" fillId="5" borderId="1" xfId="2" applyNumberFormat="1" applyFont="1" applyFill="1" applyBorder="1" applyAlignment="1">
      <alignment horizontal="center" vertical="center" wrapText="1"/>
    </xf>
    <xf numFmtId="171" fontId="7" fillId="13" borderId="1" xfId="2" applyNumberFormat="1" applyFill="1" applyBorder="1" applyAlignment="1">
      <alignment horizontal="right" vertical="center" wrapText="1"/>
    </xf>
    <xf numFmtId="171" fontId="35" fillId="13" borderId="1" xfId="2" applyNumberFormat="1" applyFont="1" applyFill="1" applyBorder="1" applyAlignment="1">
      <alignment horizontal="right" vertical="center" wrapText="1"/>
    </xf>
    <xf numFmtId="171" fontId="21" fillId="0" borderId="0" xfId="2" applyNumberFormat="1" applyFont="1" applyAlignment="1">
      <alignment horizontal="right" vertical="center" wrapText="1"/>
    </xf>
    <xf numFmtId="171" fontId="7" fillId="0" borderId="0" xfId="2" applyNumberFormat="1"/>
    <xf numFmtId="0" fontId="26" fillId="6" borderId="1" xfId="0" applyFont="1" applyFill="1" applyBorder="1" applyAlignment="1">
      <alignment horizontal="center" vertical="center" wrapText="1"/>
    </xf>
    <xf numFmtId="0" fontId="19" fillId="0" borderId="0" xfId="0" applyFont="1" applyAlignment="1">
      <alignment horizontal="center" vertical="center"/>
    </xf>
    <xf numFmtId="0" fontId="24" fillId="0" borderId="0" xfId="0" applyFont="1" applyAlignment="1">
      <alignment horizontal="center" vertical="center" wrapText="1"/>
    </xf>
    <xf numFmtId="0" fontId="26" fillId="4" borderId="4" xfId="0" applyFont="1" applyFill="1" applyBorder="1" applyAlignment="1">
      <alignment horizontal="right" vertical="center"/>
    </xf>
    <xf numFmtId="0" fontId="26" fillId="4" borderId="5" xfId="0" applyFont="1" applyFill="1" applyBorder="1" applyAlignment="1">
      <alignment horizontal="right" vertical="center"/>
    </xf>
    <xf numFmtId="0" fontId="26" fillId="4" borderId="6" xfId="0" applyFont="1" applyFill="1" applyBorder="1" applyAlignment="1">
      <alignment horizontal="right" vertical="center"/>
    </xf>
    <xf numFmtId="0" fontId="7" fillId="0" borderId="1" xfId="8" applyFont="1" applyBorder="1" applyAlignment="1">
      <alignment horizontal="center" vertical="center" wrapText="1"/>
    </xf>
    <xf numFmtId="0" fontId="7" fillId="0" borderId="1" xfId="8" applyFont="1" applyBorder="1" applyAlignment="1">
      <alignment horizontal="center" vertical="center"/>
    </xf>
    <xf numFmtId="0" fontId="7" fillId="0" borderId="4" xfId="8" applyFont="1" applyBorder="1" applyAlignment="1">
      <alignment horizontal="center" vertical="center" wrapText="1"/>
    </xf>
    <xf numFmtId="0" fontId="7" fillId="0" borderId="5" xfId="8" applyFont="1" applyBorder="1" applyAlignment="1">
      <alignment horizontal="center" vertical="center" wrapText="1"/>
    </xf>
    <xf numFmtId="0" fontId="7" fillId="0" borderId="6" xfId="8" applyFont="1" applyBorder="1" applyAlignment="1">
      <alignment horizontal="center" vertical="center" wrapText="1"/>
    </xf>
    <xf numFmtId="0" fontId="21" fillId="0" borderId="1" xfId="8" applyFont="1" applyBorder="1" applyAlignment="1">
      <alignment horizontal="center" vertical="center"/>
    </xf>
    <xf numFmtId="0" fontId="7" fillId="0" borderId="1" xfId="8" applyFont="1" applyBorder="1" applyAlignment="1">
      <alignment horizontal="right" vertical="center"/>
    </xf>
    <xf numFmtId="0" fontId="7" fillId="2" borderId="1" xfId="8" applyFont="1" applyFill="1" applyBorder="1" applyAlignment="1">
      <alignment horizontal="center" vertical="center"/>
    </xf>
    <xf numFmtId="0" fontId="21" fillId="11" borderId="1" xfId="8" applyFont="1" applyFill="1" applyBorder="1" applyAlignment="1">
      <alignment horizontal="center" vertical="center"/>
    </xf>
    <xf numFmtId="0" fontId="7" fillId="0" borderId="1" xfId="8" applyFont="1" applyBorder="1" applyAlignment="1">
      <alignment horizontal="left" vertical="center" wrapText="1"/>
    </xf>
    <xf numFmtId="0" fontId="21" fillId="12" borderId="1" xfId="8" applyFont="1" applyFill="1" applyBorder="1" applyAlignment="1">
      <alignment horizontal="left" vertical="center"/>
    </xf>
    <xf numFmtId="0" fontId="21" fillId="7" borderId="1" xfId="8" applyFont="1" applyFill="1" applyBorder="1" applyAlignment="1">
      <alignment horizontal="left" vertical="center"/>
    </xf>
    <xf numFmtId="0" fontId="7" fillId="0" borderId="4" xfId="8" applyFont="1" applyBorder="1" applyAlignment="1">
      <alignment horizontal="center" vertical="center"/>
    </xf>
    <xf numFmtId="0" fontId="7" fillId="0" borderId="5" xfId="8" applyFont="1" applyBorder="1" applyAlignment="1">
      <alignment horizontal="center" vertical="center"/>
    </xf>
    <xf numFmtId="0" fontId="7" fillId="0" borderId="6" xfId="8" applyFont="1" applyBorder="1" applyAlignment="1">
      <alignment horizontal="center" vertical="center"/>
    </xf>
    <xf numFmtId="0" fontId="21" fillId="0" borderId="0" xfId="3" applyFont="1" applyAlignment="1">
      <alignment horizontal="center" vertical="center"/>
    </xf>
    <xf numFmtId="0" fontId="21" fillId="6" borderId="1" xfId="8" applyFont="1" applyFill="1" applyBorder="1" applyAlignment="1">
      <alignment horizontal="center" vertical="center"/>
    </xf>
    <xf numFmtId="0" fontId="21" fillId="7" borderId="4" xfId="8" applyFont="1" applyFill="1" applyBorder="1" applyAlignment="1">
      <alignment vertical="center"/>
    </xf>
    <xf numFmtId="0" fontId="21" fillId="7" borderId="5" xfId="8" applyFont="1" applyFill="1" applyBorder="1" applyAlignment="1">
      <alignment vertical="center"/>
    </xf>
    <xf numFmtId="0" fontId="21" fillId="7" borderId="6" xfId="8" applyFont="1" applyFill="1" applyBorder="1" applyAlignment="1">
      <alignment vertical="center"/>
    </xf>
    <xf numFmtId="0" fontId="7" fillId="2" borderId="1" xfId="8" applyFont="1" applyFill="1" applyBorder="1" applyAlignment="1">
      <alignment horizontal="center" vertical="center" wrapText="1"/>
    </xf>
    <xf numFmtId="0" fontId="21" fillId="15" borderId="1" xfId="8" applyFont="1" applyFill="1" applyBorder="1" applyAlignment="1">
      <alignment horizontal="left" vertical="center"/>
    </xf>
    <xf numFmtId="0" fontId="21" fillId="15" borderId="4" xfId="8" applyFont="1" applyFill="1" applyBorder="1" applyAlignment="1">
      <alignment horizontal="left" vertical="center"/>
    </xf>
    <xf numFmtId="0" fontId="21" fillId="15" borderId="5" xfId="8" applyFont="1" applyFill="1" applyBorder="1" applyAlignment="1">
      <alignment horizontal="left" vertical="center"/>
    </xf>
    <xf numFmtId="0" fontId="21" fillId="15" borderId="6" xfId="8" applyFont="1" applyFill="1" applyBorder="1" applyAlignment="1">
      <alignment horizontal="left" vertical="center"/>
    </xf>
    <xf numFmtId="0" fontId="21" fillId="0" borderId="4" xfId="8" applyFont="1" applyBorder="1" applyAlignment="1">
      <alignment horizontal="center" vertical="center"/>
    </xf>
    <xf numFmtId="0" fontId="21" fillId="0" borderId="5" xfId="8" applyFont="1" applyBorder="1" applyAlignment="1">
      <alignment horizontal="center" vertical="center"/>
    </xf>
    <xf numFmtId="0" fontId="21" fillId="0" borderId="6" xfId="8" applyFont="1" applyBorder="1" applyAlignment="1">
      <alignment horizontal="center" vertical="center"/>
    </xf>
    <xf numFmtId="0" fontId="7" fillId="0" borderId="4" xfId="8" applyFont="1" applyBorder="1" applyAlignment="1">
      <alignment horizontal="right" vertical="center"/>
    </xf>
    <xf numFmtId="0" fontId="7" fillId="0" borderId="5" xfId="8" applyFont="1" applyBorder="1" applyAlignment="1">
      <alignment horizontal="right" vertical="center"/>
    </xf>
    <xf numFmtId="0" fontId="7" fillId="0" borderId="6" xfId="8" applyFont="1" applyBorder="1" applyAlignment="1">
      <alignment horizontal="right" vertical="center"/>
    </xf>
    <xf numFmtId="0" fontId="21" fillId="11" borderId="4" xfId="8" applyFont="1" applyFill="1" applyBorder="1" applyAlignment="1">
      <alignment horizontal="center" vertical="center"/>
    </xf>
    <xf numFmtId="0" fontId="21" fillId="11" borderId="5" xfId="8" applyFont="1" applyFill="1" applyBorder="1" applyAlignment="1">
      <alignment horizontal="center" vertical="center"/>
    </xf>
    <xf numFmtId="0" fontId="21" fillId="11" borderId="6" xfId="8" applyFont="1" applyFill="1" applyBorder="1" applyAlignment="1">
      <alignment horizontal="center" vertical="center"/>
    </xf>
    <xf numFmtId="0" fontId="21" fillId="12" borderId="1" xfId="8" applyFont="1" applyFill="1" applyBorder="1" applyAlignment="1">
      <alignment horizontal="left" vertical="top"/>
    </xf>
    <xf numFmtId="0" fontId="21" fillId="7" borderId="4" xfId="8" applyFont="1" applyFill="1" applyBorder="1" applyAlignment="1">
      <alignment horizontal="left" vertical="top"/>
    </xf>
    <xf numFmtId="0" fontId="21" fillId="7" borderId="5" xfId="8" applyFont="1" applyFill="1" applyBorder="1" applyAlignment="1">
      <alignment horizontal="left" vertical="top"/>
    </xf>
    <xf numFmtId="0" fontId="21" fillId="7" borderId="6" xfId="8" applyFont="1" applyFill="1" applyBorder="1" applyAlignment="1">
      <alignment horizontal="left" vertical="top"/>
    </xf>
    <xf numFmtId="0" fontId="7" fillId="0" borderId="0" xfId="8" applyFont="1" applyAlignment="1">
      <alignment horizontal="center" vertical="center"/>
    </xf>
    <xf numFmtId="0" fontId="21" fillId="12" borderId="4" xfId="8" applyFont="1" applyFill="1" applyBorder="1" applyAlignment="1">
      <alignment horizontal="left" vertical="center"/>
    </xf>
    <xf numFmtId="0" fontId="21" fillId="12" borderId="5" xfId="8" applyFont="1" applyFill="1" applyBorder="1" applyAlignment="1">
      <alignment horizontal="left" vertical="center"/>
    </xf>
    <xf numFmtId="0" fontId="21" fillId="12" borderId="6" xfId="8" applyFont="1" applyFill="1" applyBorder="1" applyAlignment="1">
      <alignment horizontal="left" vertical="center"/>
    </xf>
    <xf numFmtId="0" fontId="7" fillId="2" borderId="4" xfId="8" applyFont="1" applyFill="1" applyBorder="1" applyAlignment="1">
      <alignment horizontal="center" vertical="center"/>
    </xf>
    <xf numFmtId="0" fontId="7" fillId="2" borderId="5" xfId="8" applyFont="1" applyFill="1" applyBorder="1" applyAlignment="1">
      <alignment horizontal="center" vertical="center"/>
    </xf>
    <xf numFmtId="0" fontId="7" fillId="2" borderId="6" xfId="8" applyFont="1" applyFill="1" applyBorder="1" applyAlignment="1">
      <alignment horizontal="center" vertical="center"/>
    </xf>
    <xf numFmtId="0" fontId="21" fillId="0" borderId="0" xfId="8" applyFont="1" applyAlignment="1">
      <alignment horizontal="center" vertical="center"/>
    </xf>
    <xf numFmtId="0" fontId="20" fillId="0" borderId="0" xfId="2" applyFont="1" applyAlignment="1">
      <alignment horizontal="center" vertical="center"/>
    </xf>
    <xf numFmtId="0" fontId="19" fillId="6" borderId="1" xfId="2" applyFont="1" applyFill="1" applyBorder="1" applyAlignment="1">
      <alignment horizontal="center" vertical="center"/>
    </xf>
    <xf numFmtId="0" fontId="19" fillId="10" borderId="4" xfId="2" applyFont="1" applyFill="1" applyBorder="1" applyAlignment="1">
      <alignment horizontal="right" vertical="center"/>
    </xf>
    <xf numFmtId="0" fontId="19" fillId="10" borderId="5" xfId="2" applyFont="1" applyFill="1" applyBorder="1" applyAlignment="1">
      <alignment horizontal="right" vertical="center"/>
    </xf>
    <xf numFmtId="0" fontId="19" fillId="10" borderId="6" xfId="2" applyFont="1" applyFill="1" applyBorder="1" applyAlignment="1">
      <alignment horizontal="right" vertical="center"/>
    </xf>
    <xf numFmtId="0" fontId="19" fillId="10" borderId="4" xfId="2" applyFont="1" applyFill="1" applyBorder="1" applyAlignment="1">
      <alignment horizontal="center" vertical="center"/>
    </xf>
    <xf numFmtId="0" fontId="19" fillId="10" borderId="5" xfId="2" applyFont="1" applyFill="1" applyBorder="1" applyAlignment="1">
      <alignment horizontal="center" vertical="center"/>
    </xf>
    <xf numFmtId="0" fontId="19" fillId="10" borderId="6" xfId="2" applyFont="1" applyFill="1" applyBorder="1" applyAlignment="1">
      <alignment horizontal="center" vertical="center"/>
    </xf>
    <xf numFmtId="4" fontId="19" fillId="10" borderId="1" xfId="2" applyNumberFormat="1" applyFont="1" applyFill="1" applyBorder="1" applyAlignment="1" applyProtection="1">
      <alignment horizontal="center" vertical="center"/>
      <protection locked="0"/>
    </xf>
    <xf numFmtId="0" fontId="19" fillId="10" borderId="1" xfId="2" applyFont="1" applyFill="1" applyBorder="1" applyAlignment="1" applyProtection="1">
      <alignment horizontal="center" vertical="center"/>
      <protection locked="0"/>
    </xf>
    <xf numFmtId="10" fontId="19" fillId="10" borderId="1" xfId="2" applyNumberFormat="1" applyFont="1" applyFill="1" applyBorder="1" applyAlignment="1" applyProtection="1">
      <alignment horizontal="center" vertical="center"/>
      <protection locked="0"/>
    </xf>
    <xf numFmtId="0" fontId="7" fillId="0" borderId="1" xfId="2" applyBorder="1" applyAlignment="1">
      <alignment horizontal="right" vertical="center" wrapText="1"/>
    </xf>
    <xf numFmtId="0" fontId="21" fillId="11" borderId="1" xfId="2" applyFont="1" applyFill="1" applyBorder="1" applyAlignment="1">
      <alignment horizontal="right" vertical="center" wrapText="1"/>
    </xf>
    <xf numFmtId="0" fontId="7" fillId="0" borderId="0" xfId="2" applyAlignment="1">
      <alignment horizontal="center" vertical="center"/>
    </xf>
    <xf numFmtId="0" fontId="21" fillId="7" borderId="1" xfId="2" applyFont="1" applyFill="1" applyBorder="1" applyAlignment="1">
      <alignment horizontal="center" vertical="center" wrapText="1"/>
    </xf>
    <xf numFmtId="0" fontId="21" fillId="0" borderId="1" xfId="2" applyFont="1" applyBorder="1" applyAlignment="1">
      <alignment horizontal="right" vertical="center" wrapText="1"/>
    </xf>
    <xf numFmtId="0" fontId="7" fillId="0" borderId="0" xfId="2" applyAlignment="1">
      <alignment vertical="center" wrapText="1"/>
    </xf>
    <xf numFmtId="0" fontId="21" fillId="0" borderId="0" xfId="2" applyFont="1" applyAlignment="1">
      <alignment horizontal="center" vertical="center"/>
    </xf>
    <xf numFmtId="0" fontId="21" fillId="6" borderId="4" xfId="8" applyFont="1" applyFill="1" applyBorder="1" applyAlignment="1">
      <alignment horizontal="center" vertical="center" wrapText="1"/>
    </xf>
    <xf numFmtId="0" fontId="21" fillId="6" borderId="5" xfId="8" applyFont="1" applyFill="1" applyBorder="1" applyAlignment="1">
      <alignment horizontal="center" vertical="center" wrapText="1"/>
    </xf>
    <xf numFmtId="0" fontId="21" fillId="6" borderId="6" xfId="8" applyFont="1" applyFill="1" applyBorder="1" applyAlignment="1">
      <alignment horizontal="center" vertical="center" wrapText="1"/>
    </xf>
    <xf numFmtId="4" fontId="24" fillId="0" borderId="0" xfId="0" applyNumberFormat="1" applyFont="1" applyAlignment="1">
      <alignment horizontal="center" wrapText="1"/>
    </xf>
    <xf numFmtId="0" fontId="24" fillId="0" borderId="0" xfId="0" applyFont="1" applyAlignment="1">
      <alignment horizontal="center" wrapText="1"/>
    </xf>
    <xf numFmtId="0" fontId="26" fillId="0" borderId="0" xfId="0" applyFont="1" applyAlignment="1">
      <alignment horizontal="center" vertical="top"/>
    </xf>
    <xf numFmtId="0" fontId="21" fillId="6" borderId="1" xfId="0" applyFont="1" applyFill="1" applyBorder="1" applyAlignment="1">
      <alignment horizontal="center" vertical="center" wrapText="1"/>
    </xf>
    <xf numFmtId="0" fontId="21" fillId="7" borderId="1" xfId="0" applyFont="1" applyFill="1" applyBorder="1" applyAlignment="1">
      <alignment horizontal="center" vertical="center" wrapText="1"/>
    </xf>
    <xf numFmtId="0" fontId="21" fillId="0" borderId="1" xfId="0" applyFont="1" applyBorder="1" applyAlignment="1">
      <alignment horizontal="right" vertical="center" wrapText="1"/>
    </xf>
    <xf numFmtId="0" fontId="24" fillId="0" borderId="1" xfId="0" applyFont="1" applyBorder="1" applyAlignment="1">
      <alignment vertical="center" wrapText="1"/>
    </xf>
    <xf numFmtId="0" fontId="24" fillId="0" borderId="1" xfId="0" applyFont="1" applyBorder="1" applyAlignment="1">
      <alignment horizontal="right" vertical="center" wrapText="1"/>
    </xf>
    <xf numFmtId="0" fontId="21" fillId="6" borderId="4" xfId="0" applyFont="1" applyFill="1" applyBorder="1" applyAlignment="1">
      <alignment horizontal="center" vertical="center" wrapText="1"/>
    </xf>
    <xf numFmtId="0" fontId="21" fillId="6" borderId="5" xfId="0" applyFont="1" applyFill="1" applyBorder="1" applyAlignment="1">
      <alignment horizontal="center" vertical="center" wrapText="1"/>
    </xf>
    <xf numFmtId="0" fontId="21" fillId="6" borderId="6" xfId="0" applyFont="1" applyFill="1" applyBorder="1" applyAlignment="1">
      <alignment horizontal="center" vertical="center" wrapText="1"/>
    </xf>
    <xf numFmtId="0" fontId="21" fillId="7" borderId="4" xfId="3" applyFont="1" applyFill="1" applyBorder="1" applyAlignment="1">
      <alignment horizontal="center" vertical="center" wrapText="1"/>
    </xf>
    <xf numFmtId="0" fontId="21" fillId="7" borderId="5" xfId="3" applyFont="1" applyFill="1" applyBorder="1" applyAlignment="1">
      <alignment horizontal="center" vertical="center" wrapText="1"/>
    </xf>
    <xf numFmtId="0" fontId="21" fillId="7" borderId="6" xfId="3" applyFont="1" applyFill="1" applyBorder="1" applyAlignment="1">
      <alignment horizontal="center" vertical="center" wrapText="1"/>
    </xf>
    <xf numFmtId="0" fontId="21" fillId="0" borderId="4" xfId="3" applyFont="1" applyBorder="1" applyAlignment="1">
      <alignment horizontal="right" vertical="center" wrapText="1"/>
    </xf>
    <xf numFmtId="0" fontId="21" fillId="0" borderId="5" xfId="3" applyFont="1" applyBorder="1" applyAlignment="1">
      <alignment horizontal="right" vertical="center" wrapText="1"/>
    </xf>
    <xf numFmtId="0" fontId="21" fillId="0" borderId="6" xfId="3" applyFont="1" applyBorder="1" applyAlignment="1">
      <alignment horizontal="right" vertical="center" wrapText="1"/>
    </xf>
    <xf numFmtId="0" fontId="21" fillId="0" borderId="0" xfId="3" applyFont="1" applyAlignment="1">
      <alignment horizontal="center"/>
    </xf>
    <xf numFmtId="0" fontId="7" fillId="0" borderId="0" xfId="3" applyFont="1" applyAlignment="1">
      <alignment horizontal="center" vertical="center"/>
    </xf>
    <xf numFmtId="0" fontId="21" fillId="11" borderId="4" xfId="3" applyFont="1" applyFill="1" applyBorder="1" applyAlignment="1">
      <alignment horizontal="right" vertical="center" wrapText="1"/>
    </xf>
    <xf numFmtId="0" fontId="21" fillId="11" borderId="5" xfId="3" applyFont="1" applyFill="1" applyBorder="1" applyAlignment="1">
      <alignment horizontal="right" vertical="center" wrapText="1"/>
    </xf>
    <xf numFmtId="0" fontId="21" fillId="11" borderId="6" xfId="3" applyFont="1" applyFill="1" applyBorder="1" applyAlignment="1">
      <alignment horizontal="right" vertical="center" wrapText="1"/>
    </xf>
    <xf numFmtId="0" fontId="7" fillId="0" borderId="5" xfId="3" applyFont="1" applyBorder="1" applyAlignment="1">
      <alignment vertical="center" wrapText="1"/>
    </xf>
    <xf numFmtId="0" fontId="7" fillId="0" borderId="4" xfId="3" applyFont="1" applyBorder="1" applyAlignment="1">
      <alignment horizontal="right" vertical="center" wrapText="1"/>
    </xf>
    <xf numFmtId="0" fontId="7" fillId="0" borderId="5" xfId="3" applyFont="1" applyBorder="1" applyAlignment="1">
      <alignment horizontal="right" vertical="center" wrapText="1"/>
    </xf>
    <xf numFmtId="0" fontId="7" fillId="0" borderId="6" xfId="3" applyFont="1" applyBorder="1" applyAlignment="1">
      <alignment horizontal="right" vertical="center" wrapText="1"/>
    </xf>
    <xf numFmtId="4" fontId="7" fillId="0" borderId="0" xfId="2" applyNumberFormat="1" applyAlignment="1">
      <alignment horizontal="center" vertical="center"/>
    </xf>
    <xf numFmtId="0" fontId="8" fillId="0" borderId="13" xfId="2" applyFont="1" applyBorder="1" applyAlignment="1">
      <alignment horizontal="center" vertical="center" wrapText="1"/>
    </xf>
    <xf numFmtId="0" fontId="8" fillId="0" borderId="14" xfId="2" applyFont="1" applyBorder="1" applyAlignment="1">
      <alignment horizontal="center" vertical="center" wrapText="1"/>
    </xf>
    <xf numFmtId="0" fontId="8" fillId="0" borderId="10" xfId="2" applyFont="1" applyBorder="1" applyAlignment="1">
      <alignment horizontal="center" vertical="center" wrapText="1"/>
    </xf>
    <xf numFmtId="0" fontId="21" fillId="6" borderId="4" xfId="2" applyFont="1" applyFill="1" applyBorder="1" applyAlignment="1">
      <alignment horizontal="center" vertical="center"/>
    </xf>
    <xf numFmtId="0" fontId="21" fillId="6" borderId="5" xfId="2" applyFont="1" applyFill="1" applyBorder="1" applyAlignment="1">
      <alignment horizontal="center" vertical="center"/>
    </xf>
    <xf numFmtId="0" fontId="21" fillId="6" borderId="6" xfId="2" applyFont="1" applyFill="1" applyBorder="1" applyAlignment="1">
      <alignment horizontal="center" vertical="center"/>
    </xf>
    <xf numFmtId="0" fontId="29" fillId="0" borderId="8" xfId="2" applyFont="1" applyBorder="1" applyAlignment="1">
      <alignment horizontal="justify" vertical="center"/>
    </xf>
    <xf numFmtId="0" fontId="7" fillId="0" borderId="8" xfId="2" applyBorder="1" applyAlignment="1">
      <alignment vertical="center"/>
    </xf>
    <xf numFmtId="0" fontId="29" fillId="0" borderId="13" xfId="2" applyFont="1" applyBorder="1" applyAlignment="1">
      <alignment horizontal="center" vertical="center" wrapText="1"/>
    </xf>
    <xf numFmtId="0" fontId="29" fillId="0" borderId="14" xfId="2" applyFont="1" applyBorder="1" applyAlignment="1">
      <alignment horizontal="center" vertical="center" wrapText="1"/>
    </xf>
    <xf numFmtId="0" fontId="29" fillId="0" borderId="10" xfId="2" applyFont="1" applyBorder="1" applyAlignment="1">
      <alignment horizontal="center" vertical="center" wrapText="1"/>
    </xf>
    <xf numFmtId="0" fontId="29" fillId="0" borderId="15" xfId="2" applyFont="1" applyBorder="1" applyAlignment="1">
      <alignment horizontal="justify" vertical="center"/>
    </xf>
    <xf numFmtId="0" fontId="21" fillId="0" borderId="0" xfId="17" applyFont="1" applyAlignment="1">
      <alignment horizontal="center" vertical="center"/>
    </xf>
    <xf numFmtId="0" fontId="21" fillId="6" borderId="1" xfId="17" applyFont="1" applyFill="1" applyBorder="1" applyAlignment="1">
      <alignment horizontal="center" vertical="center"/>
    </xf>
    <xf numFmtId="0" fontId="21" fillId="18" borderId="1" xfId="18" applyFont="1" applyFill="1" applyBorder="1" applyAlignment="1">
      <alignment horizontal="center" vertical="center"/>
    </xf>
    <xf numFmtId="0" fontId="21" fillId="5" borderId="16" xfId="18" applyFont="1" applyFill="1" applyBorder="1" applyAlignment="1">
      <alignment horizontal="center" vertical="center" wrapText="1"/>
    </xf>
    <xf numFmtId="0" fontId="21" fillId="5" borderId="7" xfId="18" applyFont="1" applyFill="1" applyBorder="1" applyAlignment="1">
      <alignment horizontal="center" vertical="center" wrapText="1"/>
    </xf>
    <xf numFmtId="0" fontId="21" fillId="5" borderId="4" xfId="18" applyFont="1" applyFill="1" applyBorder="1" applyAlignment="1">
      <alignment horizontal="center" vertical="center"/>
    </xf>
    <xf numFmtId="0" fontId="21" fillId="5" borderId="5" xfId="18" applyFont="1" applyFill="1" applyBorder="1" applyAlignment="1">
      <alignment horizontal="center" vertical="center"/>
    </xf>
    <xf numFmtId="0" fontId="21" fillId="5" borderId="6" xfId="18" applyFont="1" applyFill="1" applyBorder="1" applyAlignment="1">
      <alignment horizontal="center" vertical="center"/>
    </xf>
    <xf numFmtId="4" fontId="21" fillId="5" borderId="1" xfId="18" applyNumberFormat="1" applyFont="1" applyFill="1" applyBorder="1" applyAlignment="1">
      <alignment horizontal="right" vertical="center" wrapText="1"/>
    </xf>
    <xf numFmtId="0" fontId="21" fillId="18" borderId="4" xfId="18" applyFont="1" applyFill="1" applyBorder="1" applyAlignment="1">
      <alignment horizontal="center" vertical="center"/>
    </xf>
    <xf numFmtId="0" fontId="21" fillId="18" borderId="5" xfId="18" applyFont="1" applyFill="1" applyBorder="1" applyAlignment="1">
      <alignment horizontal="center" vertical="center"/>
    </xf>
    <xf numFmtId="0" fontId="21" fillId="18" borderId="6" xfId="18" applyFont="1" applyFill="1" applyBorder="1" applyAlignment="1">
      <alignment horizontal="center" vertical="center"/>
    </xf>
    <xf numFmtId="0" fontId="21" fillId="5" borderId="1" xfId="18" applyFont="1" applyFill="1" applyBorder="1" applyAlignment="1">
      <alignment horizontal="center" vertical="center" wrapText="1"/>
    </xf>
    <xf numFmtId="0" fontId="21" fillId="5" borderId="1" xfId="18" applyFont="1" applyFill="1" applyBorder="1" applyAlignment="1">
      <alignment horizontal="center" vertical="center"/>
    </xf>
    <xf numFmtId="0" fontId="41" fillId="0" borderId="0" xfId="17" applyAlignment="1">
      <alignment horizontal="center" vertical="center"/>
    </xf>
    <xf numFmtId="0" fontId="21" fillId="6" borderId="4" xfId="14" applyFont="1" applyFill="1" applyBorder="1" applyAlignment="1">
      <alignment horizontal="center" vertical="center"/>
    </xf>
    <xf numFmtId="0" fontId="21" fillId="6" borderId="5" xfId="14" applyFont="1" applyFill="1" applyBorder="1" applyAlignment="1">
      <alignment horizontal="center" vertical="center"/>
    </xf>
    <xf numFmtId="0" fontId="21" fillId="6" borderId="6" xfId="14" applyFont="1" applyFill="1" applyBorder="1" applyAlignment="1">
      <alignment horizontal="center" vertical="center"/>
    </xf>
    <xf numFmtId="0" fontId="21" fillId="5" borderId="7" xfId="15" applyFont="1" applyFill="1" applyBorder="1" applyAlignment="1">
      <alignment horizontal="center" vertical="center"/>
    </xf>
    <xf numFmtId="0" fontId="21" fillId="5" borderId="1" xfId="15" applyFont="1" applyFill="1" applyBorder="1" applyAlignment="1">
      <alignment horizontal="center" vertical="center"/>
    </xf>
    <xf numFmtId="10" fontId="21" fillId="5" borderId="7" xfId="16" applyNumberFormat="1" applyFont="1" applyFill="1" applyBorder="1" applyAlignment="1">
      <alignment horizontal="center" vertical="center"/>
    </xf>
    <xf numFmtId="0" fontId="21" fillId="7" borderId="4" xfId="15" applyFont="1" applyFill="1" applyBorder="1" applyAlignment="1">
      <alignment horizontal="center" vertical="center"/>
    </xf>
    <xf numFmtId="0" fontId="21" fillId="7" borderId="5" xfId="15" applyFont="1" applyFill="1" applyBorder="1" applyAlignment="1">
      <alignment horizontal="center" vertical="center"/>
    </xf>
    <xf numFmtId="0" fontId="21" fillId="7" borderId="6" xfId="15" applyFont="1" applyFill="1" applyBorder="1" applyAlignment="1">
      <alignment horizontal="center" vertical="center"/>
    </xf>
    <xf numFmtId="10" fontId="21" fillId="5" borderId="7" xfId="13" applyNumberFormat="1" applyFont="1" applyFill="1" applyBorder="1" applyAlignment="1">
      <alignment horizontal="center" vertical="center"/>
    </xf>
  </cellXfs>
  <cellStyles count="19">
    <cellStyle name="Normal" xfId="0" builtinId="0"/>
    <cellStyle name="Normal 10" xfId="2" xr:uid="{AFA73B84-2CF9-4A43-BCD2-9AA6274FFE88}"/>
    <cellStyle name="Normal 11 2" xfId="18" xr:uid="{77B4503F-0577-4A53-A6F9-AD20BA77844F}"/>
    <cellStyle name="Normal 13" xfId="9" xr:uid="{93FDABBF-6334-4102-9506-BDC97236A8D7}"/>
    <cellStyle name="Normal 13 2" xfId="11" xr:uid="{5DDDF728-D3A0-4310-BDED-E0F6BC9A975B}"/>
    <cellStyle name="Normal 13 3" xfId="12" xr:uid="{8BB74E3D-D823-4412-A34D-FCD34490230E}"/>
    <cellStyle name="Normal 2" xfId="3" xr:uid="{736BE02F-F6CA-40F0-B9DD-CF1907996D38}"/>
    <cellStyle name="Normal 2 2 2" xfId="1" xr:uid="{5C44AA6F-594C-481E-B3DB-131EE717A515}"/>
    <cellStyle name="Normal 2 4 2" xfId="15" xr:uid="{A9B9A2C4-F7BD-4AF8-8994-22799B158238}"/>
    <cellStyle name="Normal 225" xfId="8" xr:uid="{7A47F48F-C38E-4FB4-B06E-2B580A601B06}"/>
    <cellStyle name="Normal 3" xfId="17" xr:uid="{C5D53F76-491D-4E41-BDB6-250BB0C9C5CE}"/>
    <cellStyle name="Normal 6" xfId="5" xr:uid="{1517A18B-84B2-428C-97A3-81623758A732}"/>
    <cellStyle name="Normal 6 4" xfId="4" xr:uid="{869B506D-8319-469F-86FA-A102AE3E8750}"/>
    <cellStyle name="Normal 8" xfId="14" xr:uid="{3D7A3F67-D57C-4F13-9765-BCF66BDC6390}"/>
    <cellStyle name="Porcentagem 2 2 2" xfId="7" xr:uid="{F85F339B-CB55-42F0-BF18-D5C90A2EED7D}"/>
    <cellStyle name="Separador de milhares 3 4 2 10" xfId="10" xr:uid="{0E784336-DA38-4724-99C6-9A7163F94E85}"/>
    <cellStyle name="Vírgula 2 3" xfId="13" xr:uid="{B92D3763-5EE9-4D59-891B-29F9F6E90882}"/>
    <cellStyle name="Vírgula 2 7" xfId="16" xr:uid="{4555F049-D631-4B6B-B29D-16DD6D2A6D14}"/>
    <cellStyle name="Vírgula 5" xfId="6" xr:uid="{628A0910-09FB-4818-83A6-A43DF6BEDAE6}"/>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5B64B3-C499-423C-BCDC-BE4DE74EA063}">
  <dimension ref="A1:I14621"/>
  <sheetViews>
    <sheetView view="pageBreakPreview" topLeftCell="A7837" zoomScale="130" zoomScaleNormal="100" zoomScaleSheetLayoutView="130" workbookViewId="0">
      <selection activeCell="E7842" sqref="E7842"/>
    </sheetView>
  </sheetViews>
  <sheetFormatPr defaultRowHeight="12.75" x14ac:dyDescent="0.2"/>
  <cols>
    <col min="1" max="1" width="18.33203125" style="4" customWidth="1"/>
    <col min="2" max="2" width="88.33203125" style="8" customWidth="1"/>
    <col min="3" max="3" width="18.33203125" style="9" customWidth="1"/>
    <col min="4" max="6" width="18.33203125" style="10" customWidth="1"/>
    <col min="7" max="10" width="17.6640625" style="4" customWidth="1"/>
    <col min="11" max="241" width="9.33203125" style="4"/>
    <col min="242" max="242" width="28.83203125" style="4" bestFit="1" customWidth="1"/>
    <col min="243" max="243" width="82" style="4" customWidth="1"/>
    <col min="244" max="244" width="20.5" style="4" customWidth="1"/>
    <col min="245" max="245" width="28.6640625" style="4" customWidth="1"/>
    <col min="246" max="246" width="9.6640625" style="4" customWidth="1"/>
    <col min="247" max="247" width="24.6640625" style="4" customWidth="1"/>
    <col min="248" max="248" width="95.6640625" style="4" customWidth="1"/>
    <col min="249" max="497" width="9.33203125" style="4"/>
    <col min="498" max="498" width="28.83203125" style="4" bestFit="1" customWidth="1"/>
    <col min="499" max="499" width="82" style="4" customWidth="1"/>
    <col min="500" max="500" width="20.5" style="4" customWidth="1"/>
    <col min="501" max="501" width="28.6640625" style="4" customWidth="1"/>
    <col min="502" max="502" width="9.6640625" style="4" customWidth="1"/>
    <col min="503" max="503" width="24.6640625" style="4" customWidth="1"/>
    <col min="504" max="504" width="95.6640625" style="4" customWidth="1"/>
    <col min="505" max="753" width="9.33203125" style="4"/>
    <col min="754" max="754" width="28.83203125" style="4" bestFit="1" customWidth="1"/>
    <col min="755" max="755" width="82" style="4" customWidth="1"/>
    <col min="756" max="756" width="20.5" style="4" customWidth="1"/>
    <col min="757" max="757" width="28.6640625" style="4" customWidth="1"/>
    <col min="758" max="758" width="9.6640625" style="4" customWidth="1"/>
    <col min="759" max="759" width="24.6640625" style="4" customWidth="1"/>
    <col min="760" max="760" width="95.6640625" style="4" customWidth="1"/>
    <col min="761" max="1009" width="9.33203125" style="4"/>
    <col min="1010" max="1010" width="28.83203125" style="4" bestFit="1" customWidth="1"/>
    <col min="1011" max="1011" width="82" style="4" customWidth="1"/>
    <col min="1012" max="1012" width="20.5" style="4" customWidth="1"/>
    <col min="1013" max="1013" width="28.6640625" style="4" customWidth="1"/>
    <col min="1014" max="1014" width="9.6640625" style="4" customWidth="1"/>
    <col min="1015" max="1015" width="24.6640625" style="4" customWidth="1"/>
    <col min="1016" max="1016" width="95.6640625" style="4" customWidth="1"/>
    <col min="1017" max="1265" width="9.33203125" style="4"/>
    <col min="1266" max="1266" width="28.83203125" style="4" bestFit="1" customWidth="1"/>
    <col min="1267" max="1267" width="82" style="4" customWidth="1"/>
    <col min="1268" max="1268" width="20.5" style="4" customWidth="1"/>
    <col min="1269" max="1269" width="28.6640625" style="4" customWidth="1"/>
    <col min="1270" max="1270" width="9.6640625" style="4" customWidth="1"/>
    <col min="1271" max="1271" width="24.6640625" style="4" customWidth="1"/>
    <col min="1272" max="1272" width="95.6640625" style="4" customWidth="1"/>
    <col min="1273" max="1521" width="9.33203125" style="4"/>
    <col min="1522" max="1522" width="28.83203125" style="4" bestFit="1" customWidth="1"/>
    <col min="1523" max="1523" width="82" style="4" customWidth="1"/>
    <col min="1524" max="1524" width="20.5" style="4" customWidth="1"/>
    <col min="1525" max="1525" width="28.6640625" style="4" customWidth="1"/>
    <col min="1526" max="1526" width="9.6640625" style="4" customWidth="1"/>
    <col min="1527" max="1527" width="24.6640625" style="4" customWidth="1"/>
    <col min="1528" max="1528" width="95.6640625" style="4" customWidth="1"/>
    <col min="1529" max="1777" width="9.33203125" style="4"/>
    <col min="1778" max="1778" width="28.83203125" style="4" bestFit="1" customWidth="1"/>
    <col min="1779" max="1779" width="82" style="4" customWidth="1"/>
    <col min="1780" max="1780" width="20.5" style="4" customWidth="1"/>
    <col min="1781" max="1781" width="28.6640625" style="4" customWidth="1"/>
    <col min="1782" max="1782" width="9.6640625" style="4" customWidth="1"/>
    <col min="1783" max="1783" width="24.6640625" style="4" customWidth="1"/>
    <col min="1784" max="1784" width="95.6640625" style="4" customWidth="1"/>
    <col min="1785" max="2033" width="9.33203125" style="4"/>
    <col min="2034" max="2034" width="28.83203125" style="4" bestFit="1" customWidth="1"/>
    <col min="2035" max="2035" width="82" style="4" customWidth="1"/>
    <col min="2036" max="2036" width="20.5" style="4" customWidth="1"/>
    <col min="2037" max="2037" width="28.6640625" style="4" customWidth="1"/>
    <col min="2038" max="2038" width="9.6640625" style="4" customWidth="1"/>
    <col min="2039" max="2039" width="24.6640625" style="4" customWidth="1"/>
    <col min="2040" max="2040" width="95.6640625" style="4" customWidth="1"/>
    <col min="2041" max="2289" width="9.33203125" style="4"/>
    <col min="2290" max="2290" width="28.83203125" style="4" bestFit="1" customWidth="1"/>
    <col min="2291" max="2291" width="82" style="4" customWidth="1"/>
    <col min="2292" max="2292" width="20.5" style="4" customWidth="1"/>
    <col min="2293" max="2293" width="28.6640625" style="4" customWidth="1"/>
    <col min="2294" max="2294" width="9.6640625" style="4" customWidth="1"/>
    <col min="2295" max="2295" width="24.6640625" style="4" customWidth="1"/>
    <col min="2296" max="2296" width="95.6640625" style="4" customWidth="1"/>
    <col min="2297" max="2545" width="9.33203125" style="4"/>
    <col min="2546" max="2546" width="28.83203125" style="4" bestFit="1" customWidth="1"/>
    <col min="2547" max="2547" width="82" style="4" customWidth="1"/>
    <col min="2548" max="2548" width="20.5" style="4" customWidth="1"/>
    <col min="2549" max="2549" width="28.6640625" style="4" customWidth="1"/>
    <col min="2550" max="2550" width="9.6640625" style="4" customWidth="1"/>
    <col min="2551" max="2551" width="24.6640625" style="4" customWidth="1"/>
    <col min="2552" max="2552" width="95.6640625" style="4" customWidth="1"/>
    <col min="2553" max="2801" width="9.33203125" style="4"/>
    <col min="2802" max="2802" width="28.83203125" style="4" bestFit="1" customWidth="1"/>
    <col min="2803" max="2803" width="82" style="4" customWidth="1"/>
    <col min="2804" max="2804" width="20.5" style="4" customWidth="1"/>
    <col min="2805" max="2805" width="28.6640625" style="4" customWidth="1"/>
    <col min="2806" max="2806" width="9.6640625" style="4" customWidth="1"/>
    <col min="2807" max="2807" width="24.6640625" style="4" customWidth="1"/>
    <col min="2808" max="2808" width="95.6640625" style="4" customWidth="1"/>
    <col min="2809" max="3057" width="9.33203125" style="4"/>
    <col min="3058" max="3058" width="28.83203125" style="4" bestFit="1" customWidth="1"/>
    <col min="3059" max="3059" width="82" style="4" customWidth="1"/>
    <col min="3060" max="3060" width="20.5" style="4" customWidth="1"/>
    <col min="3061" max="3061" width="28.6640625" style="4" customWidth="1"/>
    <col min="3062" max="3062" width="9.6640625" style="4" customWidth="1"/>
    <col min="3063" max="3063" width="24.6640625" style="4" customWidth="1"/>
    <col min="3064" max="3064" width="95.6640625" style="4" customWidth="1"/>
    <col min="3065" max="3313" width="9.33203125" style="4"/>
    <col min="3314" max="3314" width="28.83203125" style="4" bestFit="1" customWidth="1"/>
    <col min="3315" max="3315" width="82" style="4" customWidth="1"/>
    <col min="3316" max="3316" width="20.5" style="4" customWidth="1"/>
    <col min="3317" max="3317" width="28.6640625" style="4" customWidth="1"/>
    <col min="3318" max="3318" width="9.6640625" style="4" customWidth="1"/>
    <col min="3319" max="3319" width="24.6640625" style="4" customWidth="1"/>
    <col min="3320" max="3320" width="95.6640625" style="4" customWidth="1"/>
    <col min="3321" max="3569" width="9.33203125" style="4"/>
    <col min="3570" max="3570" width="28.83203125" style="4" bestFit="1" customWidth="1"/>
    <col min="3571" max="3571" width="82" style="4" customWidth="1"/>
    <col min="3572" max="3572" width="20.5" style="4" customWidth="1"/>
    <col min="3573" max="3573" width="28.6640625" style="4" customWidth="1"/>
    <col min="3574" max="3574" width="9.6640625" style="4" customWidth="1"/>
    <col min="3575" max="3575" width="24.6640625" style="4" customWidth="1"/>
    <col min="3576" max="3576" width="95.6640625" style="4" customWidth="1"/>
    <col min="3577" max="3825" width="9.33203125" style="4"/>
    <col min="3826" max="3826" width="28.83203125" style="4" bestFit="1" customWidth="1"/>
    <col min="3827" max="3827" width="82" style="4" customWidth="1"/>
    <col min="3828" max="3828" width="20.5" style="4" customWidth="1"/>
    <col min="3829" max="3829" width="28.6640625" style="4" customWidth="1"/>
    <col min="3830" max="3830" width="9.6640625" style="4" customWidth="1"/>
    <col min="3831" max="3831" width="24.6640625" style="4" customWidth="1"/>
    <col min="3832" max="3832" width="95.6640625" style="4" customWidth="1"/>
    <col min="3833" max="4081" width="9.33203125" style="4"/>
    <col min="4082" max="4082" width="28.83203125" style="4" bestFit="1" customWidth="1"/>
    <col min="4083" max="4083" width="82" style="4" customWidth="1"/>
    <col min="4084" max="4084" width="20.5" style="4" customWidth="1"/>
    <col min="4085" max="4085" width="28.6640625" style="4" customWidth="1"/>
    <col min="4086" max="4086" width="9.6640625" style="4" customWidth="1"/>
    <col min="4087" max="4087" width="24.6640625" style="4" customWidth="1"/>
    <col min="4088" max="4088" width="95.6640625" style="4" customWidth="1"/>
    <col min="4089" max="4337" width="9.33203125" style="4"/>
    <col min="4338" max="4338" width="28.83203125" style="4" bestFit="1" customWidth="1"/>
    <col min="4339" max="4339" width="82" style="4" customWidth="1"/>
    <col min="4340" max="4340" width="20.5" style="4" customWidth="1"/>
    <col min="4341" max="4341" width="28.6640625" style="4" customWidth="1"/>
    <col min="4342" max="4342" width="9.6640625" style="4" customWidth="1"/>
    <col min="4343" max="4343" width="24.6640625" style="4" customWidth="1"/>
    <col min="4344" max="4344" width="95.6640625" style="4" customWidth="1"/>
    <col min="4345" max="4593" width="9.33203125" style="4"/>
    <col min="4594" max="4594" width="28.83203125" style="4" bestFit="1" customWidth="1"/>
    <col min="4595" max="4595" width="82" style="4" customWidth="1"/>
    <col min="4596" max="4596" width="20.5" style="4" customWidth="1"/>
    <col min="4597" max="4597" width="28.6640625" style="4" customWidth="1"/>
    <col min="4598" max="4598" width="9.6640625" style="4" customWidth="1"/>
    <col min="4599" max="4599" width="24.6640625" style="4" customWidth="1"/>
    <col min="4600" max="4600" width="95.6640625" style="4" customWidth="1"/>
    <col min="4601" max="4849" width="9.33203125" style="4"/>
    <col min="4850" max="4850" width="28.83203125" style="4" bestFit="1" customWidth="1"/>
    <col min="4851" max="4851" width="82" style="4" customWidth="1"/>
    <col min="4852" max="4852" width="20.5" style="4" customWidth="1"/>
    <col min="4853" max="4853" width="28.6640625" style="4" customWidth="1"/>
    <col min="4854" max="4854" width="9.6640625" style="4" customWidth="1"/>
    <col min="4855" max="4855" width="24.6640625" style="4" customWidth="1"/>
    <col min="4856" max="4856" width="95.6640625" style="4" customWidth="1"/>
    <col min="4857" max="5105" width="9.33203125" style="4"/>
    <col min="5106" max="5106" width="28.83203125" style="4" bestFit="1" customWidth="1"/>
    <col min="5107" max="5107" width="82" style="4" customWidth="1"/>
    <col min="5108" max="5108" width="20.5" style="4" customWidth="1"/>
    <col min="5109" max="5109" width="28.6640625" style="4" customWidth="1"/>
    <col min="5110" max="5110" width="9.6640625" style="4" customWidth="1"/>
    <col min="5111" max="5111" width="24.6640625" style="4" customWidth="1"/>
    <col min="5112" max="5112" width="95.6640625" style="4" customWidth="1"/>
    <col min="5113" max="5361" width="9.33203125" style="4"/>
    <col min="5362" max="5362" width="28.83203125" style="4" bestFit="1" customWidth="1"/>
    <col min="5363" max="5363" width="82" style="4" customWidth="1"/>
    <col min="5364" max="5364" width="20.5" style="4" customWidth="1"/>
    <col min="5365" max="5365" width="28.6640625" style="4" customWidth="1"/>
    <col min="5366" max="5366" width="9.6640625" style="4" customWidth="1"/>
    <col min="5367" max="5367" width="24.6640625" style="4" customWidth="1"/>
    <col min="5368" max="5368" width="95.6640625" style="4" customWidth="1"/>
    <col min="5369" max="5617" width="9.33203125" style="4"/>
    <col min="5618" max="5618" width="28.83203125" style="4" bestFit="1" customWidth="1"/>
    <col min="5619" max="5619" width="82" style="4" customWidth="1"/>
    <col min="5620" max="5620" width="20.5" style="4" customWidth="1"/>
    <col min="5621" max="5621" width="28.6640625" style="4" customWidth="1"/>
    <col min="5622" max="5622" width="9.6640625" style="4" customWidth="1"/>
    <col min="5623" max="5623" width="24.6640625" style="4" customWidth="1"/>
    <col min="5624" max="5624" width="95.6640625" style="4" customWidth="1"/>
    <col min="5625" max="5873" width="9.33203125" style="4"/>
    <col min="5874" max="5874" width="28.83203125" style="4" bestFit="1" customWidth="1"/>
    <col min="5875" max="5875" width="82" style="4" customWidth="1"/>
    <col min="5876" max="5876" width="20.5" style="4" customWidth="1"/>
    <col min="5877" max="5877" width="28.6640625" style="4" customWidth="1"/>
    <col min="5878" max="5878" width="9.6640625" style="4" customWidth="1"/>
    <col min="5879" max="5879" width="24.6640625" style="4" customWidth="1"/>
    <col min="5880" max="5880" width="95.6640625" style="4" customWidth="1"/>
    <col min="5881" max="6129" width="9.33203125" style="4"/>
    <col min="6130" max="6130" width="28.83203125" style="4" bestFit="1" customWidth="1"/>
    <col min="6131" max="6131" width="82" style="4" customWidth="1"/>
    <col min="6132" max="6132" width="20.5" style="4" customWidth="1"/>
    <col min="6133" max="6133" width="28.6640625" style="4" customWidth="1"/>
    <col min="6134" max="6134" width="9.6640625" style="4" customWidth="1"/>
    <col min="6135" max="6135" width="24.6640625" style="4" customWidth="1"/>
    <col min="6136" max="6136" width="95.6640625" style="4" customWidth="1"/>
    <col min="6137" max="6385" width="9.33203125" style="4"/>
    <col min="6386" max="6386" width="28.83203125" style="4" bestFit="1" customWidth="1"/>
    <col min="6387" max="6387" width="82" style="4" customWidth="1"/>
    <col min="6388" max="6388" width="20.5" style="4" customWidth="1"/>
    <col min="6389" max="6389" width="28.6640625" style="4" customWidth="1"/>
    <col min="6390" max="6390" width="9.6640625" style="4" customWidth="1"/>
    <col min="6391" max="6391" width="24.6640625" style="4" customWidth="1"/>
    <col min="6392" max="6392" width="95.6640625" style="4" customWidth="1"/>
    <col min="6393" max="6641" width="9.33203125" style="4"/>
    <col min="6642" max="6642" width="28.83203125" style="4" bestFit="1" customWidth="1"/>
    <col min="6643" max="6643" width="82" style="4" customWidth="1"/>
    <col min="6644" max="6644" width="20.5" style="4" customWidth="1"/>
    <col min="6645" max="6645" width="28.6640625" style="4" customWidth="1"/>
    <col min="6646" max="6646" width="9.6640625" style="4" customWidth="1"/>
    <col min="6647" max="6647" width="24.6640625" style="4" customWidth="1"/>
    <col min="6648" max="6648" width="95.6640625" style="4" customWidth="1"/>
    <col min="6649" max="6897" width="9.33203125" style="4"/>
    <col min="6898" max="6898" width="28.83203125" style="4" bestFit="1" customWidth="1"/>
    <col min="6899" max="6899" width="82" style="4" customWidth="1"/>
    <col min="6900" max="6900" width="20.5" style="4" customWidth="1"/>
    <col min="6901" max="6901" width="28.6640625" style="4" customWidth="1"/>
    <col min="6902" max="6902" width="9.6640625" style="4" customWidth="1"/>
    <col min="6903" max="6903" width="24.6640625" style="4" customWidth="1"/>
    <col min="6904" max="6904" width="95.6640625" style="4" customWidth="1"/>
    <col min="6905" max="7153" width="9.33203125" style="4"/>
    <col min="7154" max="7154" width="28.83203125" style="4" bestFit="1" customWidth="1"/>
    <col min="7155" max="7155" width="82" style="4" customWidth="1"/>
    <col min="7156" max="7156" width="20.5" style="4" customWidth="1"/>
    <col min="7157" max="7157" width="28.6640625" style="4" customWidth="1"/>
    <col min="7158" max="7158" width="9.6640625" style="4" customWidth="1"/>
    <col min="7159" max="7159" width="24.6640625" style="4" customWidth="1"/>
    <col min="7160" max="7160" width="95.6640625" style="4" customWidth="1"/>
    <col min="7161" max="7409" width="9.33203125" style="4"/>
    <col min="7410" max="7410" width="28.83203125" style="4" bestFit="1" customWidth="1"/>
    <col min="7411" max="7411" width="82" style="4" customWidth="1"/>
    <col min="7412" max="7412" width="20.5" style="4" customWidth="1"/>
    <col min="7413" max="7413" width="28.6640625" style="4" customWidth="1"/>
    <col min="7414" max="7414" width="9.6640625" style="4" customWidth="1"/>
    <col min="7415" max="7415" width="24.6640625" style="4" customWidth="1"/>
    <col min="7416" max="7416" width="95.6640625" style="4" customWidth="1"/>
    <col min="7417" max="7665" width="9.33203125" style="4"/>
    <col min="7666" max="7666" width="28.83203125" style="4" bestFit="1" customWidth="1"/>
    <col min="7667" max="7667" width="82" style="4" customWidth="1"/>
    <col min="7668" max="7668" width="20.5" style="4" customWidth="1"/>
    <col min="7669" max="7669" width="28.6640625" style="4" customWidth="1"/>
    <col min="7670" max="7670" width="9.6640625" style="4" customWidth="1"/>
    <col min="7671" max="7671" width="24.6640625" style="4" customWidth="1"/>
    <col min="7672" max="7672" width="95.6640625" style="4" customWidth="1"/>
    <col min="7673" max="7921" width="9.33203125" style="4"/>
    <col min="7922" max="7922" width="28.83203125" style="4" bestFit="1" customWidth="1"/>
    <col min="7923" max="7923" width="82" style="4" customWidth="1"/>
    <col min="7924" max="7924" width="20.5" style="4" customWidth="1"/>
    <col min="7925" max="7925" width="28.6640625" style="4" customWidth="1"/>
    <col min="7926" max="7926" width="9.6640625" style="4" customWidth="1"/>
    <col min="7927" max="7927" width="24.6640625" style="4" customWidth="1"/>
    <col min="7928" max="7928" width="95.6640625" style="4" customWidth="1"/>
    <col min="7929" max="8177" width="9.33203125" style="4"/>
    <col min="8178" max="8178" width="28.83203125" style="4" bestFit="1" customWidth="1"/>
    <col min="8179" max="8179" width="82" style="4" customWidth="1"/>
    <col min="8180" max="8180" width="20.5" style="4" customWidth="1"/>
    <col min="8181" max="8181" width="28.6640625" style="4" customWidth="1"/>
    <col min="8182" max="8182" width="9.6640625" style="4" customWidth="1"/>
    <col min="8183" max="8183" width="24.6640625" style="4" customWidth="1"/>
    <col min="8184" max="8184" width="95.6640625" style="4" customWidth="1"/>
    <col min="8185" max="8433" width="9.33203125" style="4"/>
    <col min="8434" max="8434" width="28.83203125" style="4" bestFit="1" customWidth="1"/>
    <col min="8435" max="8435" width="82" style="4" customWidth="1"/>
    <col min="8436" max="8436" width="20.5" style="4" customWidth="1"/>
    <col min="8437" max="8437" width="28.6640625" style="4" customWidth="1"/>
    <col min="8438" max="8438" width="9.6640625" style="4" customWidth="1"/>
    <col min="8439" max="8439" width="24.6640625" style="4" customWidth="1"/>
    <col min="8440" max="8440" width="95.6640625" style="4" customWidth="1"/>
    <col min="8441" max="8689" width="9.33203125" style="4"/>
    <col min="8690" max="8690" width="28.83203125" style="4" bestFit="1" customWidth="1"/>
    <col min="8691" max="8691" width="82" style="4" customWidth="1"/>
    <col min="8692" max="8692" width="20.5" style="4" customWidth="1"/>
    <col min="8693" max="8693" width="28.6640625" style="4" customWidth="1"/>
    <col min="8694" max="8694" width="9.6640625" style="4" customWidth="1"/>
    <col min="8695" max="8695" width="24.6640625" style="4" customWidth="1"/>
    <col min="8696" max="8696" width="95.6640625" style="4" customWidth="1"/>
    <col min="8697" max="8945" width="9.33203125" style="4"/>
    <col min="8946" max="8946" width="28.83203125" style="4" bestFit="1" customWidth="1"/>
    <col min="8947" max="8947" width="82" style="4" customWidth="1"/>
    <col min="8948" max="8948" width="20.5" style="4" customWidth="1"/>
    <col min="8949" max="8949" width="28.6640625" style="4" customWidth="1"/>
    <col min="8950" max="8950" width="9.6640625" style="4" customWidth="1"/>
    <col min="8951" max="8951" width="24.6640625" style="4" customWidth="1"/>
    <col min="8952" max="8952" width="95.6640625" style="4" customWidth="1"/>
    <col min="8953" max="9201" width="9.33203125" style="4"/>
    <col min="9202" max="9202" width="28.83203125" style="4" bestFit="1" customWidth="1"/>
    <col min="9203" max="9203" width="82" style="4" customWidth="1"/>
    <col min="9204" max="9204" width="20.5" style="4" customWidth="1"/>
    <col min="9205" max="9205" width="28.6640625" style="4" customWidth="1"/>
    <col min="9206" max="9206" width="9.6640625" style="4" customWidth="1"/>
    <col min="9207" max="9207" width="24.6640625" style="4" customWidth="1"/>
    <col min="9208" max="9208" width="95.6640625" style="4" customWidth="1"/>
    <col min="9209" max="9457" width="9.33203125" style="4"/>
    <col min="9458" max="9458" width="28.83203125" style="4" bestFit="1" customWidth="1"/>
    <col min="9459" max="9459" width="82" style="4" customWidth="1"/>
    <col min="9460" max="9460" width="20.5" style="4" customWidth="1"/>
    <col min="9461" max="9461" width="28.6640625" style="4" customWidth="1"/>
    <col min="9462" max="9462" width="9.6640625" style="4" customWidth="1"/>
    <col min="9463" max="9463" width="24.6640625" style="4" customWidth="1"/>
    <col min="9464" max="9464" width="95.6640625" style="4" customWidth="1"/>
    <col min="9465" max="9713" width="9.33203125" style="4"/>
    <col min="9714" max="9714" width="28.83203125" style="4" bestFit="1" customWidth="1"/>
    <col min="9715" max="9715" width="82" style="4" customWidth="1"/>
    <col min="9716" max="9716" width="20.5" style="4" customWidth="1"/>
    <col min="9717" max="9717" width="28.6640625" style="4" customWidth="1"/>
    <col min="9718" max="9718" width="9.6640625" style="4" customWidth="1"/>
    <col min="9719" max="9719" width="24.6640625" style="4" customWidth="1"/>
    <col min="9720" max="9720" width="95.6640625" style="4" customWidth="1"/>
    <col min="9721" max="9969" width="9.33203125" style="4"/>
    <col min="9970" max="9970" width="28.83203125" style="4" bestFit="1" customWidth="1"/>
    <col min="9971" max="9971" width="82" style="4" customWidth="1"/>
    <col min="9972" max="9972" width="20.5" style="4" customWidth="1"/>
    <col min="9973" max="9973" width="28.6640625" style="4" customWidth="1"/>
    <col min="9974" max="9974" width="9.6640625" style="4" customWidth="1"/>
    <col min="9975" max="9975" width="24.6640625" style="4" customWidth="1"/>
    <col min="9976" max="9976" width="95.6640625" style="4" customWidth="1"/>
    <col min="9977" max="10225" width="9.33203125" style="4"/>
    <col min="10226" max="10226" width="28.83203125" style="4" bestFit="1" customWidth="1"/>
    <col min="10227" max="10227" width="82" style="4" customWidth="1"/>
    <col min="10228" max="10228" width="20.5" style="4" customWidth="1"/>
    <col min="10229" max="10229" width="28.6640625" style="4" customWidth="1"/>
    <col min="10230" max="10230" width="9.6640625" style="4" customWidth="1"/>
    <col min="10231" max="10231" width="24.6640625" style="4" customWidth="1"/>
    <col min="10232" max="10232" width="95.6640625" style="4" customWidth="1"/>
    <col min="10233" max="10481" width="9.33203125" style="4"/>
    <col min="10482" max="10482" width="28.83203125" style="4" bestFit="1" customWidth="1"/>
    <col min="10483" max="10483" width="82" style="4" customWidth="1"/>
    <col min="10484" max="10484" width="20.5" style="4" customWidth="1"/>
    <col min="10485" max="10485" width="28.6640625" style="4" customWidth="1"/>
    <col min="10486" max="10486" width="9.6640625" style="4" customWidth="1"/>
    <col min="10487" max="10487" width="24.6640625" style="4" customWidth="1"/>
    <col min="10488" max="10488" width="95.6640625" style="4" customWidth="1"/>
    <col min="10489" max="10737" width="9.33203125" style="4"/>
    <col min="10738" max="10738" width="28.83203125" style="4" bestFit="1" customWidth="1"/>
    <col min="10739" max="10739" width="82" style="4" customWidth="1"/>
    <col min="10740" max="10740" width="20.5" style="4" customWidth="1"/>
    <col min="10741" max="10741" width="28.6640625" style="4" customWidth="1"/>
    <col min="10742" max="10742" width="9.6640625" style="4" customWidth="1"/>
    <col min="10743" max="10743" width="24.6640625" style="4" customWidth="1"/>
    <col min="10744" max="10744" width="95.6640625" style="4" customWidth="1"/>
    <col min="10745" max="10993" width="9.33203125" style="4"/>
    <col min="10994" max="10994" width="28.83203125" style="4" bestFit="1" customWidth="1"/>
    <col min="10995" max="10995" width="82" style="4" customWidth="1"/>
    <col min="10996" max="10996" width="20.5" style="4" customWidth="1"/>
    <col min="10997" max="10997" width="28.6640625" style="4" customWidth="1"/>
    <col min="10998" max="10998" width="9.6640625" style="4" customWidth="1"/>
    <col min="10999" max="10999" width="24.6640625" style="4" customWidth="1"/>
    <col min="11000" max="11000" width="95.6640625" style="4" customWidth="1"/>
    <col min="11001" max="11249" width="9.33203125" style="4"/>
    <col min="11250" max="11250" width="28.83203125" style="4" bestFit="1" customWidth="1"/>
    <col min="11251" max="11251" width="82" style="4" customWidth="1"/>
    <col min="11252" max="11252" width="20.5" style="4" customWidth="1"/>
    <col min="11253" max="11253" width="28.6640625" style="4" customWidth="1"/>
    <col min="11254" max="11254" width="9.6640625" style="4" customWidth="1"/>
    <col min="11255" max="11255" width="24.6640625" style="4" customWidth="1"/>
    <col min="11256" max="11256" width="95.6640625" style="4" customWidth="1"/>
    <col min="11257" max="11505" width="9.33203125" style="4"/>
    <col min="11506" max="11506" width="28.83203125" style="4" bestFit="1" customWidth="1"/>
    <col min="11507" max="11507" width="82" style="4" customWidth="1"/>
    <col min="11508" max="11508" width="20.5" style="4" customWidth="1"/>
    <col min="11509" max="11509" width="28.6640625" style="4" customWidth="1"/>
    <col min="11510" max="11510" width="9.6640625" style="4" customWidth="1"/>
    <col min="11511" max="11511" width="24.6640625" style="4" customWidth="1"/>
    <col min="11512" max="11512" width="95.6640625" style="4" customWidth="1"/>
    <col min="11513" max="11761" width="9.33203125" style="4"/>
    <col min="11762" max="11762" width="28.83203125" style="4" bestFit="1" customWidth="1"/>
    <col min="11763" max="11763" width="82" style="4" customWidth="1"/>
    <col min="11764" max="11764" width="20.5" style="4" customWidth="1"/>
    <col min="11765" max="11765" width="28.6640625" style="4" customWidth="1"/>
    <col min="11766" max="11766" width="9.6640625" style="4" customWidth="1"/>
    <col min="11767" max="11767" width="24.6640625" style="4" customWidth="1"/>
    <col min="11768" max="11768" width="95.6640625" style="4" customWidth="1"/>
    <col min="11769" max="12017" width="9.33203125" style="4"/>
    <col min="12018" max="12018" width="28.83203125" style="4" bestFit="1" customWidth="1"/>
    <col min="12019" max="12019" width="82" style="4" customWidth="1"/>
    <col min="12020" max="12020" width="20.5" style="4" customWidth="1"/>
    <col min="12021" max="12021" width="28.6640625" style="4" customWidth="1"/>
    <col min="12022" max="12022" width="9.6640625" style="4" customWidth="1"/>
    <col min="12023" max="12023" width="24.6640625" style="4" customWidth="1"/>
    <col min="12024" max="12024" width="95.6640625" style="4" customWidth="1"/>
    <col min="12025" max="12273" width="9.33203125" style="4"/>
    <col min="12274" max="12274" width="28.83203125" style="4" bestFit="1" customWidth="1"/>
    <col min="12275" max="12275" width="82" style="4" customWidth="1"/>
    <col min="12276" max="12276" width="20.5" style="4" customWidth="1"/>
    <col min="12277" max="12277" width="28.6640625" style="4" customWidth="1"/>
    <col min="12278" max="12278" width="9.6640625" style="4" customWidth="1"/>
    <col min="12279" max="12279" width="24.6640625" style="4" customWidth="1"/>
    <col min="12280" max="12280" width="95.6640625" style="4" customWidth="1"/>
    <col min="12281" max="12529" width="9.33203125" style="4"/>
    <col min="12530" max="12530" width="28.83203125" style="4" bestFit="1" customWidth="1"/>
    <col min="12531" max="12531" width="82" style="4" customWidth="1"/>
    <col min="12532" max="12532" width="20.5" style="4" customWidth="1"/>
    <col min="12533" max="12533" width="28.6640625" style="4" customWidth="1"/>
    <col min="12534" max="12534" width="9.6640625" style="4" customWidth="1"/>
    <col min="12535" max="12535" width="24.6640625" style="4" customWidth="1"/>
    <col min="12536" max="12536" width="95.6640625" style="4" customWidth="1"/>
    <col min="12537" max="12785" width="9.33203125" style="4"/>
    <col min="12786" max="12786" width="28.83203125" style="4" bestFit="1" customWidth="1"/>
    <col min="12787" max="12787" width="82" style="4" customWidth="1"/>
    <col min="12788" max="12788" width="20.5" style="4" customWidth="1"/>
    <col min="12789" max="12789" width="28.6640625" style="4" customWidth="1"/>
    <col min="12790" max="12790" width="9.6640625" style="4" customWidth="1"/>
    <col min="12791" max="12791" width="24.6640625" style="4" customWidth="1"/>
    <col min="12792" max="12792" width="95.6640625" style="4" customWidth="1"/>
    <col min="12793" max="13041" width="9.33203125" style="4"/>
    <col min="13042" max="13042" width="28.83203125" style="4" bestFit="1" customWidth="1"/>
    <col min="13043" max="13043" width="82" style="4" customWidth="1"/>
    <col min="13044" max="13044" width="20.5" style="4" customWidth="1"/>
    <col min="13045" max="13045" width="28.6640625" style="4" customWidth="1"/>
    <col min="13046" max="13046" width="9.6640625" style="4" customWidth="1"/>
    <col min="13047" max="13047" width="24.6640625" style="4" customWidth="1"/>
    <col min="13048" max="13048" width="95.6640625" style="4" customWidth="1"/>
    <col min="13049" max="13297" width="9.33203125" style="4"/>
    <col min="13298" max="13298" width="28.83203125" style="4" bestFit="1" customWidth="1"/>
    <col min="13299" max="13299" width="82" style="4" customWidth="1"/>
    <col min="13300" max="13300" width="20.5" style="4" customWidth="1"/>
    <col min="13301" max="13301" width="28.6640625" style="4" customWidth="1"/>
    <col min="13302" max="13302" width="9.6640625" style="4" customWidth="1"/>
    <col min="13303" max="13303" width="24.6640625" style="4" customWidth="1"/>
    <col min="13304" max="13304" width="95.6640625" style="4" customWidth="1"/>
    <col min="13305" max="13553" width="9.33203125" style="4"/>
    <col min="13554" max="13554" width="28.83203125" style="4" bestFit="1" customWidth="1"/>
    <col min="13555" max="13555" width="82" style="4" customWidth="1"/>
    <col min="13556" max="13556" width="20.5" style="4" customWidth="1"/>
    <col min="13557" max="13557" width="28.6640625" style="4" customWidth="1"/>
    <col min="13558" max="13558" width="9.6640625" style="4" customWidth="1"/>
    <col min="13559" max="13559" width="24.6640625" style="4" customWidth="1"/>
    <col min="13560" max="13560" width="95.6640625" style="4" customWidth="1"/>
    <col min="13561" max="13809" width="9.33203125" style="4"/>
    <col min="13810" max="13810" width="28.83203125" style="4" bestFit="1" customWidth="1"/>
    <col min="13811" max="13811" width="82" style="4" customWidth="1"/>
    <col min="13812" max="13812" width="20.5" style="4" customWidth="1"/>
    <col min="13813" max="13813" width="28.6640625" style="4" customWidth="1"/>
    <col min="13814" max="13814" width="9.6640625" style="4" customWidth="1"/>
    <col min="13815" max="13815" width="24.6640625" style="4" customWidth="1"/>
    <col min="13816" max="13816" width="95.6640625" style="4" customWidth="1"/>
    <col min="13817" max="14065" width="9.33203125" style="4"/>
    <col min="14066" max="14066" width="28.83203125" style="4" bestFit="1" customWidth="1"/>
    <col min="14067" max="14067" width="82" style="4" customWidth="1"/>
    <col min="14068" max="14068" width="20.5" style="4" customWidth="1"/>
    <col min="14069" max="14069" width="28.6640625" style="4" customWidth="1"/>
    <col min="14070" max="14070" width="9.6640625" style="4" customWidth="1"/>
    <col min="14071" max="14071" width="24.6640625" style="4" customWidth="1"/>
    <col min="14072" max="14072" width="95.6640625" style="4" customWidth="1"/>
    <col min="14073" max="14321" width="9.33203125" style="4"/>
    <col min="14322" max="14322" width="28.83203125" style="4" bestFit="1" customWidth="1"/>
    <col min="14323" max="14323" width="82" style="4" customWidth="1"/>
    <col min="14324" max="14324" width="20.5" style="4" customWidth="1"/>
    <col min="14325" max="14325" width="28.6640625" style="4" customWidth="1"/>
    <col min="14326" max="14326" width="9.6640625" style="4" customWidth="1"/>
    <col min="14327" max="14327" width="24.6640625" style="4" customWidth="1"/>
    <col min="14328" max="14328" width="95.6640625" style="4" customWidth="1"/>
    <col min="14329" max="14577" width="9.33203125" style="4"/>
    <col min="14578" max="14578" width="28.83203125" style="4" bestFit="1" customWidth="1"/>
    <col min="14579" max="14579" width="82" style="4" customWidth="1"/>
    <col min="14580" max="14580" width="20.5" style="4" customWidth="1"/>
    <col min="14581" max="14581" width="28.6640625" style="4" customWidth="1"/>
    <col min="14582" max="14582" width="9.6640625" style="4" customWidth="1"/>
    <col min="14583" max="14583" width="24.6640625" style="4" customWidth="1"/>
    <col min="14584" max="14584" width="95.6640625" style="4" customWidth="1"/>
    <col min="14585" max="14833" width="9.33203125" style="4"/>
    <col min="14834" max="14834" width="28.83203125" style="4" bestFit="1" customWidth="1"/>
    <col min="14835" max="14835" width="82" style="4" customWidth="1"/>
    <col min="14836" max="14836" width="20.5" style="4" customWidth="1"/>
    <col min="14837" max="14837" width="28.6640625" style="4" customWidth="1"/>
    <col min="14838" max="14838" width="9.6640625" style="4" customWidth="1"/>
    <col min="14839" max="14839" width="24.6640625" style="4" customWidth="1"/>
    <col min="14840" max="14840" width="95.6640625" style="4" customWidth="1"/>
    <col min="14841" max="15089" width="9.33203125" style="4"/>
    <col min="15090" max="15090" width="28.83203125" style="4" bestFit="1" customWidth="1"/>
    <col min="15091" max="15091" width="82" style="4" customWidth="1"/>
    <col min="15092" max="15092" width="20.5" style="4" customWidth="1"/>
    <col min="15093" max="15093" width="28.6640625" style="4" customWidth="1"/>
    <col min="15094" max="15094" width="9.6640625" style="4" customWidth="1"/>
    <col min="15095" max="15095" width="24.6640625" style="4" customWidth="1"/>
    <col min="15096" max="15096" width="95.6640625" style="4" customWidth="1"/>
    <col min="15097" max="15345" width="9.33203125" style="4"/>
    <col min="15346" max="15346" width="28.83203125" style="4" bestFit="1" customWidth="1"/>
    <col min="15347" max="15347" width="82" style="4" customWidth="1"/>
    <col min="15348" max="15348" width="20.5" style="4" customWidth="1"/>
    <col min="15349" max="15349" width="28.6640625" style="4" customWidth="1"/>
    <col min="15350" max="15350" width="9.6640625" style="4" customWidth="1"/>
    <col min="15351" max="15351" width="24.6640625" style="4" customWidth="1"/>
    <col min="15352" max="15352" width="95.6640625" style="4" customWidth="1"/>
    <col min="15353" max="15601" width="9.33203125" style="4"/>
    <col min="15602" max="15602" width="28.83203125" style="4" bestFit="1" customWidth="1"/>
    <col min="15603" max="15603" width="82" style="4" customWidth="1"/>
    <col min="15604" max="15604" width="20.5" style="4" customWidth="1"/>
    <col min="15605" max="15605" width="28.6640625" style="4" customWidth="1"/>
    <col min="15606" max="15606" width="9.6640625" style="4" customWidth="1"/>
    <col min="15607" max="15607" width="24.6640625" style="4" customWidth="1"/>
    <col min="15608" max="15608" width="95.6640625" style="4" customWidth="1"/>
    <col min="15609" max="15857" width="9.33203125" style="4"/>
    <col min="15858" max="15858" width="28.83203125" style="4" bestFit="1" customWidth="1"/>
    <col min="15859" max="15859" width="82" style="4" customWidth="1"/>
    <col min="15860" max="15860" width="20.5" style="4" customWidth="1"/>
    <col min="15861" max="15861" width="28.6640625" style="4" customWidth="1"/>
    <col min="15862" max="15862" width="9.6640625" style="4" customWidth="1"/>
    <col min="15863" max="15863" width="24.6640625" style="4" customWidth="1"/>
    <col min="15864" max="15864" width="95.6640625" style="4" customWidth="1"/>
    <col min="15865" max="16113" width="9.33203125" style="4"/>
    <col min="16114" max="16114" width="28.83203125" style="4" bestFit="1" customWidth="1"/>
    <col min="16115" max="16115" width="82" style="4" customWidth="1"/>
    <col min="16116" max="16116" width="20.5" style="4" customWidth="1"/>
    <col min="16117" max="16117" width="28.6640625" style="4" customWidth="1"/>
    <col min="16118" max="16118" width="9.6640625" style="4" customWidth="1"/>
    <col min="16119" max="16119" width="24.6640625" style="4" customWidth="1"/>
    <col min="16120" max="16120" width="95.6640625" style="4" customWidth="1"/>
    <col min="16121" max="16381" width="9.33203125" style="4"/>
    <col min="16382" max="16384" width="9.33203125" style="4" customWidth="1"/>
  </cols>
  <sheetData>
    <row r="1" spans="1:9" s="3" customFormat="1" ht="25.5" x14ac:dyDescent="0.2">
      <c r="A1" s="200" t="s">
        <v>52</v>
      </c>
      <c r="B1" s="199" t="s">
        <v>53</v>
      </c>
      <c r="C1" s="1" t="s">
        <v>54</v>
      </c>
      <c r="D1" s="2" t="s">
        <v>55</v>
      </c>
      <c r="E1" s="367"/>
      <c r="F1" s="367"/>
      <c r="H1" s="388"/>
      <c r="I1" s="388"/>
    </row>
    <row r="2" spans="1:9" ht="25.5" x14ac:dyDescent="0.2">
      <c r="A2" s="391">
        <v>104658</v>
      </c>
      <c r="B2" s="366" t="s">
        <v>4783</v>
      </c>
      <c r="C2" s="365" t="s">
        <v>255</v>
      </c>
      <c r="D2" s="389">
        <v>149.91</v>
      </c>
      <c r="E2" s="368"/>
      <c r="F2" s="368"/>
      <c r="G2" s="198"/>
      <c r="H2" s="198" t="s">
        <v>47425</v>
      </c>
      <c r="I2" s="198"/>
    </row>
    <row r="3" spans="1:9" ht="38.25" x14ac:dyDescent="0.2">
      <c r="A3" s="391">
        <v>105002</v>
      </c>
      <c r="B3" s="366" t="s">
        <v>39076</v>
      </c>
      <c r="C3" s="365" t="s">
        <v>26</v>
      </c>
      <c r="D3" s="389">
        <v>710.33</v>
      </c>
      <c r="E3" s="368"/>
      <c r="F3" s="368"/>
      <c r="G3" s="198"/>
      <c r="H3" s="198"/>
      <c r="I3" s="198" t="s">
        <v>47426</v>
      </c>
    </row>
    <row r="4" spans="1:9" ht="38.25" x14ac:dyDescent="0.2">
      <c r="A4" s="391">
        <v>105004</v>
      </c>
      <c r="B4" s="478" t="s">
        <v>39078</v>
      </c>
      <c r="C4" s="391" t="s">
        <v>255</v>
      </c>
      <c r="D4" s="479">
        <v>120.44</v>
      </c>
      <c r="E4" s="368"/>
      <c r="F4" s="368"/>
      <c r="H4" s="198"/>
      <c r="I4" s="198" t="s">
        <v>40583</v>
      </c>
    </row>
    <row r="5" spans="1:9" ht="38.25" x14ac:dyDescent="0.2">
      <c r="A5" s="391">
        <v>105003</v>
      </c>
      <c r="B5" s="478" t="s">
        <v>39077</v>
      </c>
      <c r="C5" s="391" t="s">
        <v>26</v>
      </c>
      <c r="D5" s="479">
        <v>1153.1500000000001</v>
      </c>
      <c r="E5" s="368"/>
      <c r="F5" s="368"/>
    </row>
    <row r="6" spans="1:9" ht="38.25" x14ac:dyDescent="0.2">
      <c r="A6" s="391">
        <v>105005</v>
      </c>
      <c r="B6" s="478" t="s">
        <v>39079</v>
      </c>
      <c r="C6" s="391" t="s">
        <v>255</v>
      </c>
      <c r="D6" s="479">
        <v>202.42</v>
      </c>
      <c r="E6" s="368"/>
      <c r="F6" s="368"/>
    </row>
    <row r="7" spans="1:9" ht="38.25" x14ac:dyDescent="0.2">
      <c r="A7" s="391">
        <v>105006</v>
      </c>
      <c r="B7" s="478" t="s">
        <v>40584</v>
      </c>
      <c r="C7" s="391" t="s">
        <v>26</v>
      </c>
      <c r="D7" s="479">
        <v>0</v>
      </c>
      <c r="E7" s="368"/>
      <c r="F7" s="368"/>
    </row>
    <row r="8" spans="1:9" ht="38.25" x14ac:dyDescent="0.2">
      <c r="A8" s="391">
        <v>104999</v>
      </c>
      <c r="B8" s="478" t="s">
        <v>40585</v>
      </c>
      <c r="C8" s="391" t="s">
        <v>26</v>
      </c>
      <c r="D8" s="479">
        <v>0</v>
      </c>
      <c r="E8" s="368"/>
      <c r="F8" s="368"/>
    </row>
    <row r="9" spans="1:9" ht="38.25" x14ac:dyDescent="0.2">
      <c r="A9" s="391">
        <v>105000</v>
      </c>
      <c r="B9" s="478" t="s">
        <v>47168</v>
      </c>
      <c r="C9" s="391" t="s">
        <v>0</v>
      </c>
      <c r="D9" s="479">
        <v>1350.01</v>
      </c>
      <c r="E9" s="368"/>
      <c r="F9" s="368"/>
    </row>
    <row r="10" spans="1:9" ht="38.25" x14ac:dyDescent="0.2">
      <c r="A10" s="391">
        <v>105001</v>
      </c>
      <c r="B10" s="478" t="s">
        <v>47169</v>
      </c>
      <c r="C10" s="391" t="s">
        <v>0</v>
      </c>
      <c r="D10" s="479">
        <v>1381.33</v>
      </c>
      <c r="E10" s="368"/>
      <c r="F10" s="368"/>
    </row>
    <row r="11" spans="1:9" ht="38.25" x14ac:dyDescent="0.2">
      <c r="A11" s="391">
        <v>89306</v>
      </c>
      <c r="B11" s="478" t="s">
        <v>4437</v>
      </c>
      <c r="C11" s="391" t="s">
        <v>255</v>
      </c>
      <c r="D11" s="479">
        <v>94.81</v>
      </c>
      <c r="E11" s="368"/>
      <c r="F11" s="368"/>
    </row>
    <row r="12" spans="1:9" ht="38.25" x14ac:dyDescent="0.2">
      <c r="A12" s="391">
        <v>89307</v>
      </c>
      <c r="B12" s="478" t="s">
        <v>4438</v>
      </c>
      <c r="C12" s="391" t="s">
        <v>255</v>
      </c>
      <c r="D12" s="479">
        <v>96.89</v>
      </c>
      <c r="E12" s="368"/>
      <c r="F12" s="368"/>
    </row>
    <row r="13" spans="1:9" ht="38.25" x14ac:dyDescent="0.2">
      <c r="A13" s="391">
        <v>89290</v>
      </c>
      <c r="B13" s="478" t="s">
        <v>4433</v>
      </c>
      <c r="C13" s="391" t="s">
        <v>255</v>
      </c>
      <c r="D13" s="479">
        <v>78.930000000000007</v>
      </c>
      <c r="E13" s="368"/>
      <c r="F13" s="368"/>
    </row>
    <row r="14" spans="1:9" ht="38.25" x14ac:dyDescent="0.2">
      <c r="A14" s="391">
        <v>89291</v>
      </c>
      <c r="B14" s="478" t="s">
        <v>4434</v>
      </c>
      <c r="C14" s="391" t="s">
        <v>255</v>
      </c>
      <c r="D14" s="479">
        <v>80.48</v>
      </c>
      <c r="E14" s="368"/>
      <c r="F14" s="368"/>
    </row>
    <row r="15" spans="1:9" ht="38.25" x14ac:dyDescent="0.2">
      <c r="A15" s="391">
        <v>89298</v>
      </c>
      <c r="B15" s="478" t="s">
        <v>4435</v>
      </c>
      <c r="C15" s="391" t="s">
        <v>255</v>
      </c>
      <c r="D15" s="479">
        <v>82.38</v>
      </c>
      <c r="E15" s="368"/>
      <c r="F15" s="368"/>
    </row>
    <row r="16" spans="1:9" ht="38.25" x14ac:dyDescent="0.2">
      <c r="A16" s="391">
        <v>89299</v>
      </c>
      <c r="B16" s="478" t="s">
        <v>4436</v>
      </c>
      <c r="C16" s="391" t="s">
        <v>255</v>
      </c>
      <c r="D16" s="479">
        <v>84.25</v>
      </c>
      <c r="E16" s="368"/>
      <c r="F16" s="368"/>
    </row>
    <row r="17" spans="1:6" ht="38.25" x14ac:dyDescent="0.2">
      <c r="A17" s="391">
        <v>89282</v>
      </c>
      <c r="B17" s="478" t="s">
        <v>4431</v>
      </c>
      <c r="C17" s="391" t="s">
        <v>255</v>
      </c>
      <c r="D17" s="479">
        <v>71.13</v>
      </c>
      <c r="E17" s="368"/>
      <c r="F17" s="368"/>
    </row>
    <row r="18" spans="1:6" ht="38.25" x14ac:dyDescent="0.2">
      <c r="A18" s="391">
        <v>89283</v>
      </c>
      <c r="B18" s="478" t="s">
        <v>4432</v>
      </c>
      <c r="C18" s="391" t="s">
        <v>255</v>
      </c>
      <c r="D18" s="479">
        <v>72.53</v>
      </c>
      <c r="E18" s="368"/>
      <c r="F18" s="368"/>
    </row>
    <row r="19" spans="1:6" ht="25.5" x14ac:dyDescent="0.2">
      <c r="A19" s="391">
        <v>89480</v>
      </c>
      <c r="B19" s="478" t="s">
        <v>4454</v>
      </c>
      <c r="C19" s="391" t="s">
        <v>255</v>
      </c>
      <c r="D19" s="479">
        <v>161.58000000000001</v>
      </c>
      <c r="E19" s="368"/>
      <c r="F19" s="368"/>
    </row>
    <row r="20" spans="1:6" ht="25.5" x14ac:dyDescent="0.2">
      <c r="A20" s="391">
        <v>89464</v>
      </c>
      <c r="B20" s="478" t="s">
        <v>4450</v>
      </c>
      <c r="C20" s="391" t="s">
        <v>255</v>
      </c>
      <c r="D20" s="479">
        <v>141.91999999999999</v>
      </c>
      <c r="E20" s="368"/>
      <c r="F20" s="368"/>
    </row>
    <row r="21" spans="1:6" ht="25.5" x14ac:dyDescent="0.2">
      <c r="A21" s="391">
        <v>89478</v>
      </c>
      <c r="B21" s="478" t="s">
        <v>4453</v>
      </c>
      <c r="C21" s="391" t="s">
        <v>255</v>
      </c>
      <c r="D21" s="479">
        <v>138.9</v>
      </c>
      <c r="E21" s="368"/>
      <c r="F21" s="368"/>
    </row>
    <row r="22" spans="1:6" ht="25.5" x14ac:dyDescent="0.2">
      <c r="A22" s="391">
        <v>89462</v>
      </c>
      <c r="B22" s="478" t="s">
        <v>4449</v>
      </c>
      <c r="C22" s="391" t="s">
        <v>255</v>
      </c>
      <c r="D22" s="479">
        <v>120.18</v>
      </c>
      <c r="E22" s="368"/>
      <c r="F22" s="368"/>
    </row>
    <row r="23" spans="1:6" ht="25.5" x14ac:dyDescent="0.2">
      <c r="A23" s="391">
        <v>104444</v>
      </c>
      <c r="B23" s="478" t="s">
        <v>40586</v>
      </c>
      <c r="C23" s="391" t="s">
        <v>255</v>
      </c>
      <c r="D23" s="479">
        <v>0</v>
      </c>
      <c r="E23" s="368"/>
      <c r="F23" s="368"/>
    </row>
    <row r="24" spans="1:6" ht="25.5" x14ac:dyDescent="0.2">
      <c r="A24" s="391">
        <v>104442</v>
      </c>
      <c r="B24" s="478" t="s">
        <v>40587</v>
      </c>
      <c r="C24" s="391" t="s">
        <v>255</v>
      </c>
      <c r="D24" s="479">
        <v>0</v>
      </c>
      <c r="E24" s="368"/>
      <c r="F24" s="368"/>
    </row>
    <row r="25" spans="1:6" ht="25.5" x14ac:dyDescent="0.2">
      <c r="A25" s="391">
        <v>89472</v>
      </c>
      <c r="B25" s="478" t="s">
        <v>4452</v>
      </c>
      <c r="C25" s="391" t="s">
        <v>255</v>
      </c>
      <c r="D25" s="479">
        <v>124.31</v>
      </c>
      <c r="E25" s="368"/>
      <c r="F25" s="368"/>
    </row>
    <row r="26" spans="1:6" ht="25.5" x14ac:dyDescent="0.2">
      <c r="A26" s="391">
        <v>89455</v>
      </c>
      <c r="B26" s="478" t="s">
        <v>4448</v>
      </c>
      <c r="C26" s="391" t="s">
        <v>255</v>
      </c>
      <c r="D26" s="479">
        <v>111.88</v>
      </c>
      <c r="E26" s="368"/>
      <c r="F26" s="368"/>
    </row>
    <row r="27" spans="1:6" ht="25.5" x14ac:dyDescent="0.2">
      <c r="A27" s="391">
        <v>89470</v>
      </c>
      <c r="B27" s="478" t="s">
        <v>4451</v>
      </c>
      <c r="C27" s="391" t="s">
        <v>255</v>
      </c>
      <c r="D27" s="479">
        <v>103.41</v>
      </c>
      <c r="E27" s="368"/>
      <c r="F27" s="368"/>
    </row>
    <row r="28" spans="1:6" ht="25.5" x14ac:dyDescent="0.2">
      <c r="A28" s="391">
        <v>89453</v>
      </c>
      <c r="B28" s="478" t="s">
        <v>4447</v>
      </c>
      <c r="C28" s="391" t="s">
        <v>255</v>
      </c>
      <c r="D28" s="479">
        <v>91.92</v>
      </c>
      <c r="E28" s="368"/>
      <c r="F28" s="368"/>
    </row>
    <row r="29" spans="1:6" ht="25.5" x14ac:dyDescent="0.2">
      <c r="A29" s="391">
        <v>104443</v>
      </c>
      <c r="B29" s="478" t="s">
        <v>40588</v>
      </c>
      <c r="C29" s="391" t="s">
        <v>255</v>
      </c>
      <c r="D29" s="479">
        <v>0</v>
      </c>
      <c r="E29" s="368"/>
      <c r="F29" s="368"/>
    </row>
    <row r="30" spans="1:6" ht="25.5" x14ac:dyDescent="0.2">
      <c r="A30" s="391">
        <v>104441</v>
      </c>
      <c r="B30" s="478" t="s">
        <v>40589</v>
      </c>
      <c r="C30" s="391" t="s">
        <v>255</v>
      </c>
      <c r="D30" s="479">
        <v>0</v>
      </c>
      <c r="E30" s="368"/>
      <c r="F30" s="368"/>
    </row>
    <row r="31" spans="1:6" ht="38.25" x14ac:dyDescent="0.2">
      <c r="A31" s="391">
        <v>103354</v>
      </c>
      <c r="B31" s="478" t="s">
        <v>40511</v>
      </c>
      <c r="C31" s="391" t="s">
        <v>255</v>
      </c>
      <c r="D31" s="479">
        <v>86.46</v>
      </c>
      <c r="E31" s="368"/>
      <c r="F31" s="368"/>
    </row>
    <row r="32" spans="1:6" ht="38.25" x14ac:dyDescent="0.2">
      <c r="A32" s="391">
        <v>103355</v>
      </c>
      <c r="B32" s="478" t="s">
        <v>40512</v>
      </c>
      <c r="C32" s="391" t="s">
        <v>255</v>
      </c>
      <c r="D32" s="479">
        <v>87.68</v>
      </c>
      <c r="E32" s="368"/>
      <c r="F32" s="368"/>
    </row>
    <row r="33" spans="1:6" ht="38.25" x14ac:dyDescent="0.2">
      <c r="A33" s="391">
        <v>103330</v>
      </c>
      <c r="B33" s="478" t="s">
        <v>4421</v>
      </c>
      <c r="C33" s="391" t="s">
        <v>255</v>
      </c>
      <c r="D33" s="479">
        <v>80.459999999999994</v>
      </c>
      <c r="E33" s="368"/>
      <c r="F33" s="368"/>
    </row>
    <row r="34" spans="1:6" ht="38.25" x14ac:dyDescent="0.2">
      <c r="A34" s="391">
        <v>103331</v>
      </c>
      <c r="B34" s="478" t="s">
        <v>4422</v>
      </c>
      <c r="C34" s="391" t="s">
        <v>255</v>
      </c>
      <c r="D34" s="479">
        <v>81.62</v>
      </c>
      <c r="E34" s="368"/>
      <c r="F34" s="368"/>
    </row>
    <row r="35" spans="1:6" ht="38.25" x14ac:dyDescent="0.2">
      <c r="A35" s="391">
        <v>103358</v>
      </c>
      <c r="B35" s="478" t="s">
        <v>40513</v>
      </c>
      <c r="C35" s="391" t="s">
        <v>255</v>
      </c>
      <c r="D35" s="479">
        <v>68.09</v>
      </c>
      <c r="E35" s="368"/>
      <c r="F35" s="368"/>
    </row>
    <row r="36" spans="1:6" ht="38.25" x14ac:dyDescent="0.2">
      <c r="A36" s="391">
        <v>103359</v>
      </c>
      <c r="B36" s="478" t="s">
        <v>40514</v>
      </c>
      <c r="C36" s="391" t="s">
        <v>255</v>
      </c>
      <c r="D36" s="479">
        <v>69.06</v>
      </c>
      <c r="E36" s="368"/>
      <c r="F36" s="368"/>
    </row>
    <row r="37" spans="1:6" ht="38.25" x14ac:dyDescent="0.2">
      <c r="A37" s="391">
        <v>103366</v>
      </c>
      <c r="B37" s="478" t="s">
        <v>40521</v>
      </c>
      <c r="C37" s="391" t="s">
        <v>255</v>
      </c>
      <c r="D37" s="479">
        <v>59.92</v>
      </c>
      <c r="E37" s="368"/>
      <c r="F37" s="368"/>
    </row>
    <row r="38" spans="1:6" ht="38.25" x14ac:dyDescent="0.2">
      <c r="A38" s="391">
        <v>103367</v>
      </c>
      <c r="B38" s="478" t="s">
        <v>40522</v>
      </c>
      <c r="C38" s="391" t="s">
        <v>255</v>
      </c>
      <c r="D38" s="479">
        <v>60.8</v>
      </c>
      <c r="E38" s="368"/>
      <c r="F38" s="368"/>
    </row>
    <row r="39" spans="1:6" ht="38.25" x14ac:dyDescent="0.2">
      <c r="A39" s="391">
        <v>103360</v>
      </c>
      <c r="B39" s="478" t="s">
        <v>40515</v>
      </c>
      <c r="C39" s="391" t="s">
        <v>255</v>
      </c>
      <c r="D39" s="479">
        <v>79.53</v>
      </c>
      <c r="E39" s="368"/>
      <c r="F39" s="368"/>
    </row>
    <row r="40" spans="1:6" ht="38.25" x14ac:dyDescent="0.2">
      <c r="A40" s="391">
        <v>103361</v>
      </c>
      <c r="B40" s="478" t="s">
        <v>40516</v>
      </c>
      <c r="C40" s="391" t="s">
        <v>255</v>
      </c>
      <c r="D40" s="479">
        <v>80.760000000000005</v>
      </c>
      <c r="E40" s="368"/>
      <c r="F40" s="368"/>
    </row>
    <row r="41" spans="1:6" ht="38.25" x14ac:dyDescent="0.2">
      <c r="A41" s="391">
        <v>103368</v>
      </c>
      <c r="B41" s="478" t="s">
        <v>40523</v>
      </c>
      <c r="C41" s="391" t="s">
        <v>255</v>
      </c>
      <c r="D41" s="479">
        <v>67.8</v>
      </c>
      <c r="E41" s="368"/>
      <c r="F41" s="368"/>
    </row>
    <row r="42" spans="1:6" ht="38.25" x14ac:dyDescent="0.2">
      <c r="A42" s="391">
        <v>103369</v>
      </c>
      <c r="B42" s="478" t="s">
        <v>40524</v>
      </c>
      <c r="C42" s="391" t="s">
        <v>255</v>
      </c>
      <c r="D42" s="479">
        <v>68.91</v>
      </c>
      <c r="E42" s="368"/>
      <c r="F42" s="368"/>
    </row>
    <row r="43" spans="1:6" ht="38.25" x14ac:dyDescent="0.2">
      <c r="A43" s="391">
        <v>103334</v>
      </c>
      <c r="B43" s="478" t="s">
        <v>4425</v>
      </c>
      <c r="C43" s="391" t="s">
        <v>255</v>
      </c>
      <c r="D43" s="479">
        <v>140.51</v>
      </c>
      <c r="E43" s="368"/>
      <c r="F43" s="368"/>
    </row>
    <row r="44" spans="1:6" ht="38.25" x14ac:dyDescent="0.2">
      <c r="A44" s="391">
        <v>103335</v>
      </c>
      <c r="B44" s="478" t="s">
        <v>4426</v>
      </c>
      <c r="C44" s="391" t="s">
        <v>255</v>
      </c>
      <c r="D44" s="479">
        <v>142.66</v>
      </c>
      <c r="E44" s="368"/>
      <c r="F44" s="368"/>
    </row>
    <row r="45" spans="1:6" ht="38.25" x14ac:dyDescent="0.2">
      <c r="A45" s="391">
        <v>103362</v>
      </c>
      <c r="B45" s="478" t="s">
        <v>40517</v>
      </c>
      <c r="C45" s="391" t="s">
        <v>255</v>
      </c>
      <c r="D45" s="479">
        <v>96.88</v>
      </c>
      <c r="E45" s="368"/>
      <c r="F45" s="368"/>
    </row>
    <row r="46" spans="1:6" ht="38.25" x14ac:dyDescent="0.2">
      <c r="A46" s="391">
        <v>103363</v>
      </c>
      <c r="B46" s="478" t="s">
        <v>40518</v>
      </c>
      <c r="C46" s="391" t="s">
        <v>255</v>
      </c>
      <c r="D46" s="479">
        <v>98.26</v>
      </c>
      <c r="E46" s="368"/>
      <c r="F46" s="368"/>
    </row>
    <row r="47" spans="1:6" ht="38.25" x14ac:dyDescent="0.2">
      <c r="A47" s="391">
        <v>103370</v>
      </c>
      <c r="B47" s="478" t="s">
        <v>40525</v>
      </c>
      <c r="C47" s="391" t="s">
        <v>255</v>
      </c>
      <c r="D47" s="479">
        <v>85.93</v>
      </c>
      <c r="E47" s="368"/>
      <c r="F47" s="368"/>
    </row>
    <row r="48" spans="1:6" ht="38.25" x14ac:dyDescent="0.2">
      <c r="A48" s="391">
        <v>103371</v>
      </c>
      <c r="B48" s="478" t="s">
        <v>40526</v>
      </c>
      <c r="C48" s="391" t="s">
        <v>255</v>
      </c>
      <c r="D48" s="479">
        <v>87.19</v>
      </c>
      <c r="E48" s="368"/>
      <c r="F48" s="368"/>
    </row>
    <row r="49" spans="1:6" ht="38.25" x14ac:dyDescent="0.2">
      <c r="A49" s="391">
        <v>103332</v>
      </c>
      <c r="B49" s="478" t="s">
        <v>4423</v>
      </c>
      <c r="C49" s="391" t="s">
        <v>255</v>
      </c>
      <c r="D49" s="479">
        <v>116.51</v>
      </c>
      <c r="E49" s="368"/>
      <c r="F49" s="368"/>
    </row>
    <row r="50" spans="1:6" ht="38.25" x14ac:dyDescent="0.2">
      <c r="A50" s="391">
        <v>103333</v>
      </c>
      <c r="B50" s="478" t="s">
        <v>4424</v>
      </c>
      <c r="C50" s="391" t="s">
        <v>255</v>
      </c>
      <c r="D50" s="479">
        <v>117.74</v>
      </c>
      <c r="E50" s="368"/>
      <c r="F50" s="368"/>
    </row>
    <row r="51" spans="1:6" ht="38.25" x14ac:dyDescent="0.2">
      <c r="A51" s="391">
        <v>103352</v>
      </c>
      <c r="B51" s="478" t="s">
        <v>40509</v>
      </c>
      <c r="C51" s="391" t="s">
        <v>255</v>
      </c>
      <c r="D51" s="479">
        <v>100.04</v>
      </c>
      <c r="E51" s="368"/>
      <c r="F51" s="368"/>
    </row>
    <row r="52" spans="1:6" ht="38.25" x14ac:dyDescent="0.2">
      <c r="A52" s="391">
        <v>103353</v>
      </c>
      <c r="B52" s="478" t="s">
        <v>40510</v>
      </c>
      <c r="C52" s="391" t="s">
        <v>255</v>
      </c>
      <c r="D52" s="479">
        <v>101.18</v>
      </c>
      <c r="E52" s="368"/>
      <c r="F52" s="368"/>
    </row>
    <row r="53" spans="1:6" ht="38.25" x14ac:dyDescent="0.2">
      <c r="A53" s="391">
        <v>103328</v>
      </c>
      <c r="B53" s="478" t="s">
        <v>4419</v>
      </c>
      <c r="C53" s="391" t="s">
        <v>255</v>
      </c>
      <c r="D53" s="479">
        <v>91.68</v>
      </c>
      <c r="E53" s="368"/>
      <c r="F53" s="368"/>
    </row>
    <row r="54" spans="1:6" ht="38.25" x14ac:dyDescent="0.2">
      <c r="A54" s="391">
        <v>103329</v>
      </c>
      <c r="B54" s="478" t="s">
        <v>4420</v>
      </c>
      <c r="C54" s="391" t="s">
        <v>255</v>
      </c>
      <c r="D54" s="479">
        <v>92.75</v>
      </c>
      <c r="E54" s="368"/>
      <c r="F54" s="368"/>
    </row>
    <row r="55" spans="1:6" ht="38.25" x14ac:dyDescent="0.2">
      <c r="A55" s="391">
        <v>103356</v>
      </c>
      <c r="B55" s="478" t="s">
        <v>4429</v>
      </c>
      <c r="C55" s="391" t="s">
        <v>255</v>
      </c>
      <c r="D55" s="479">
        <v>59.87</v>
      </c>
      <c r="E55" s="368"/>
      <c r="F55" s="368"/>
    </row>
    <row r="56" spans="1:6" ht="38.25" x14ac:dyDescent="0.2">
      <c r="A56" s="391">
        <v>103357</v>
      </c>
      <c r="B56" s="478" t="s">
        <v>4430</v>
      </c>
      <c r="C56" s="391" t="s">
        <v>255</v>
      </c>
      <c r="D56" s="479">
        <v>60.77</v>
      </c>
      <c r="E56" s="368"/>
      <c r="F56" s="368"/>
    </row>
    <row r="57" spans="1:6" ht="38.25" x14ac:dyDescent="0.2">
      <c r="A57" s="391">
        <v>103364</v>
      </c>
      <c r="B57" s="478" t="s">
        <v>40519</v>
      </c>
      <c r="C57" s="391" t="s">
        <v>255</v>
      </c>
      <c r="D57" s="479">
        <v>50.08</v>
      </c>
      <c r="E57" s="368"/>
      <c r="F57" s="368"/>
    </row>
    <row r="58" spans="1:6" ht="38.25" x14ac:dyDescent="0.2">
      <c r="A58" s="391">
        <v>103365</v>
      </c>
      <c r="B58" s="478" t="s">
        <v>40520</v>
      </c>
      <c r="C58" s="391" t="s">
        <v>255</v>
      </c>
      <c r="D58" s="479">
        <v>50.67</v>
      </c>
      <c r="E58" s="368"/>
      <c r="F58" s="368"/>
    </row>
    <row r="59" spans="1:6" ht="38.25" x14ac:dyDescent="0.2">
      <c r="A59" s="391">
        <v>103350</v>
      </c>
      <c r="B59" s="478" t="s">
        <v>4427</v>
      </c>
      <c r="C59" s="391" t="s">
        <v>255</v>
      </c>
      <c r="D59" s="479">
        <v>169.76</v>
      </c>
      <c r="E59" s="368"/>
      <c r="F59" s="368"/>
    </row>
    <row r="60" spans="1:6" ht="38.25" x14ac:dyDescent="0.2">
      <c r="A60" s="391">
        <v>103351</v>
      </c>
      <c r="B60" s="478" t="s">
        <v>4428</v>
      </c>
      <c r="C60" s="391" t="s">
        <v>255</v>
      </c>
      <c r="D60" s="479">
        <v>171.33</v>
      </c>
      <c r="E60" s="368"/>
      <c r="F60" s="368"/>
    </row>
    <row r="61" spans="1:6" ht="38.25" x14ac:dyDescent="0.2">
      <c r="A61" s="391">
        <v>103344</v>
      </c>
      <c r="B61" s="478" t="s">
        <v>40503</v>
      </c>
      <c r="C61" s="391" t="s">
        <v>255</v>
      </c>
      <c r="D61" s="479">
        <v>81.14</v>
      </c>
      <c r="E61" s="368"/>
      <c r="F61" s="368"/>
    </row>
    <row r="62" spans="1:6" ht="38.25" x14ac:dyDescent="0.2">
      <c r="A62" s="391">
        <v>103345</v>
      </c>
      <c r="B62" s="478" t="s">
        <v>40504</v>
      </c>
      <c r="C62" s="391" t="s">
        <v>255</v>
      </c>
      <c r="D62" s="479">
        <v>82.57</v>
      </c>
      <c r="E62" s="368"/>
      <c r="F62" s="368"/>
    </row>
    <row r="63" spans="1:6" ht="38.25" x14ac:dyDescent="0.2">
      <c r="A63" s="391">
        <v>103348</v>
      </c>
      <c r="B63" s="478" t="s">
        <v>40507</v>
      </c>
      <c r="C63" s="391" t="s">
        <v>255</v>
      </c>
      <c r="D63" s="479">
        <v>68.62</v>
      </c>
      <c r="E63" s="368"/>
      <c r="F63" s="368"/>
    </row>
    <row r="64" spans="1:6" ht="38.25" x14ac:dyDescent="0.2">
      <c r="A64" s="391">
        <v>103349</v>
      </c>
      <c r="B64" s="478" t="s">
        <v>40508</v>
      </c>
      <c r="C64" s="391" t="s">
        <v>255</v>
      </c>
      <c r="D64" s="479">
        <v>69.92</v>
      </c>
      <c r="E64" s="368"/>
      <c r="F64" s="368"/>
    </row>
    <row r="65" spans="1:8" ht="38.25" x14ac:dyDescent="0.2">
      <c r="A65" s="391">
        <v>103346</v>
      </c>
      <c r="B65" s="478" t="s">
        <v>40505</v>
      </c>
      <c r="C65" s="391" t="s">
        <v>255</v>
      </c>
      <c r="D65" s="479">
        <v>89.94</v>
      </c>
      <c r="E65" s="368"/>
      <c r="F65" s="368"/>
    </row>
    <row r="66" spans="1:8" ht="38.25" x14ac:dyDescent="0.2">
      <c r="A66" s="391">
        <v>103347</v>
      </c>
      <c r="B66" s="478" t="s">
        <v>40506</v>
      </c>
      <c r="C66" s="391" t="s">
        <v>255</v>
      </c>
      <c r="D66" s="479">
        <v>91.47</v>
      </c>
      <c r="E66" s="368"/>
      <c r="F66" s="368"/>
    </row>
    <row r="67" spans="1:8" ht="38.25" x14ac:dyDescent="0.2">
      <c r="A67" s="391">
        <v>103324</v>
      </c>
      <c r="B67" s="478" t="s">
        <v>4415</v>
      </c>
      <c r="C67" s="391" t="s">
        <v>255</v>
      </c>
      <c r="D67" s="479">
        <v>77.67</v>
      </c>
      <c r="E67" s="368"/>
      <c r="F67" s="368"/>
    </row>
    <row r="68" spans="1:8" ht="38.25" x14ac:dyDescent="0.2">
      <c r="A68" s="391">
        <v>103325</v>
      </c>
      <c r="B68" s="478" t="s">
        <v>4416</v>
      </c>
      <c r="C68" s="391" t="s">
        <v>255</v>
      </c>
      <c r="D68" s="479">
        <v>79.05</v>
      </c>
      <c r="E68" s="368"/>
      <c r="F68" s="368"/>
    </row>
    <row r="69" spans="1:8" ht="38.25" x14ac:dyDescent="0.2">
      <c r="A69" s="391">
        <v>103326</v>
      </c>
      <c r="B69" s="478" t="s">
        <v>4417</v>
      </c>
      <c r="C69" s="391" t="s">
        <v>255</v>
      </c>
      <c r="D69" s="479">
        <v>91.49</v>
      </c>
      <c r="E69" s="368"/>
      <c r="F69" s="368"/>
    </row>
    <row r="70" spans="1:8" ht="38.25" x14ac:dyDescent="0.2">
      <c r="A70" s="391">
        <v>103327</v>
      </c>
      <c r="B70" s="478" t="s">
        <v>4418</v>
      </c>
      <c r="C70" s="391" t="s">
        <v>255</v>
      </c>
      <c r="D70" s="479">
        <v>93.11</v>
      </c>
      <c r="E70" s="368"/>
      <c r="F70" s="368"/>
    </row>
    <row r="71" spans="1:8" ht="38.25" x14ac:dyDescent="0.2">
      <c r="A71" s="391">
        <v>103322</v>
      </c>
      <c r="B71" s="478" t="s">
        <v>4413</v>
      </c>
      <c r="C71" s="391" t="s">
        <v>255</v>
      </c>
      <c r="D71" s="479">
        <v>58.38</v>
      </c>
      <c r="E71" s="368"/>
      <c r="F71" s="368"/>
    </row>
    <row r="72" spans="1:8" ht="38.25" x14ac:dyDescent="0.2">
      <c r="A72" s="391">
        <v>103323</v>
      </c>
      <c r="B72" s="478" t="s">
        <v>4414</v>
      </c>
      <c r="C72" s="391" t="s">
        <v>255</v>
      </c>
      <c r="D72" s="479">
        <v>59.6</v>
      </c>
      <c r="E72" s="368"/>
      <c r="F72" s="368"/>
    </row>
    <row r="73" spans="1:8" ht="38.25" x14ac:dyDescent="0.2">
      <c r="A73" s="391">
        <v>103338</v>
      </c>
      <c r="B73" s="478" t="s">
        <v>47428</v>
      </c>
      <c r="C73" s="391" t="s">
        <v>255</v>
      </c>
      <c r="D73" s="479">
        <v>115.49</v>
      </c>
      <c r="E73" s="368"/>
      <c r="F73" s="368"/>
    </row>
    <row r="74" spans="1:8" ht="38.25" x14ac:dyDescent="0.2">
      <c r="A74" s="391">
        <v>103339</v>
      </c>
      <c r="B74" s="478" t="s">
        <v>47429</v>
      </c>
      <c r="C74" s="391" t="s">
        <v>255</v>
      </c>
      <c r="D74" s="479">
        <v>116.69</v>
      </c>
      <c r="E74" s="368"/>
      <c r="F74" s="368"/>
    </row>
    <row r="75" spans="1:8" ht="38.25" x14ac:dyDescent="0.2">
      <c r="A75" s="391">
        <v>103340</v>
      </c>
      <c r="B75" s="478" t="s">
        <v>47430</v>
      </c>
      <c r="C75" s="391" t="s">
        <v>255</v>
      </c>
      <c r="D75" s="479">
        <v>140.19</v>
      </c>
      <c r="E75" s="368"/>
      <c r="F75" s="368"/>
    </row>
    <row r="76" spans="1:8" ht="38.25" x14ac:dyDescent="0.2">
      <c r="A76" s="391">
        <v>103341</v>
      </c>
      <c r="B76" s="478" t="s">
        <v>47431</v>
      </c>
      <c r="C76" s="391" t="s">
        <v>255</v>
      </c>
      <c r="D76" s="479">
        <v>141.69</v>
      </c>
      <c r="E76" s="368"/>
      <c r="F76" s="368"/>
    </row>
    <row r="77" spans="1:8" ht="38.25" x14ac:dyDescent="0.2">
      <c r="A77" s="391">
        <v>103336</v>
      </c>
      <c r="B77" s="478" t="s">
        <v>47432</v>
      </c>
      <c r="C77" s="391" t="s">
        <v>255</v>
      </c>
      <c r="D77" s="479">
        <v>88.1</v>
      </c>
      <c r="E77" s="368"/>
      <c r="F77" s="368"/>
    </row>
    <row r="78" spans="1:8" ht="38.25" x14ac:dyDescent="0.2">
      <c r="A78" s="391">
        <v>103337</v>
      </c>
      <c r="B78" s="478" t="s">
        <v>47433</v>
      </c>
      <c r="C78" s="391" t="s">
        <v>255</v>
      </c>
      <c r="D78" s="479">
        <v>89.12</v>
      </c>
      <c r="E78" s="368"/>
      <c r="F78" s="368"/>
      <c r="H78" s="5"/>
    </row>
    <row r="79" spans="1:8" ht="38.25" x14ac:dyDescent="0.2">
      <c r="A79" s="391">
        <v>103342</v>
      </c>
      <c r="B79" s="478" t="s">
        <v>47434</v>
      </c>
      <c r="C79" s="391" t="s">
        <v>255</v>
      </c>
      <c r="D79" s="479">
        <v>119.37</v>
      </c>
      <c r="E79" s="368"/>
      <c r="F79" s="368"/>
    </row>
    <row r="80" spans="1:8" ht="38.25" x14ac:dyDescent="0.2">
      <c r="A80" s="391">
        <v>103343</v>
      </c>
      <c r="B80" s="478" t="s">
        <v>47435</v>
      </c>
      <c r="C80" s="391" t="s">
        <v>255</v>
      </c>
      <c r="D80" s="479">
        <v>120.7</v>
      </c>
      <c r="E80" s="368"/>
      <c r="F80" s="368"/>
    </row>
    <row r="81" spans="1:6" ht="38.25" x14ac:dyDescent="0.2">
      <c r="A81" s="391">
        <v>103318</v>
      </c>
      <c r="B81" s="478" t="s">
        <v>47436</v>
      </c>
      <c r="C81" s="391" t="s">
        <v>255</v>
      </c>
      <c r="D81" s="479">
        <v>102.1</v>
      </c>
      <c r="E81" s="368"/>
      <c r="F81" s="368"/>
    </row>
    <row r="82" spans="1:6" ht="38.25" x14ac:dyDescent="0.2">
      <c r="A82" s="391">
        <v>103319</v>
      </c>
      <c r="B82" s="478" t="s">
        <v>4444</v>
      </c>
      <c r="C82" s="391" t="s">
        <v>255</v>
      </c>
      <c r="D82" s="479">
        <v>103.3</v>
      </c>
      <c r="E82" s="368"/>
      <c r="F82" s="368"/>
    </row>
    <row r="83" spans="1:6" ht="38.25" x14ac:dyDescent="0.2">
      <c r="A83" s="391">
        <v>103320</v>
      </c>
      <c r="B83" s="478" t="s">
        <v>4445</v>
      </c>
      <c r="C83" s="391" t="s">
        <v>255</v>
      </c>
      <c r="D83" s="479">
        <v>122.82</v>
      </c>
      <c r="E83" s="368"/>
      <c r="F83" s="368"/>
    </row>
    <row r="84" spans="1:6" ht="38.25" x14ac:dyDescent="0.2">
      <c r="A84" s="391">
        <v>103321</v>
      </c>
      <c r="B84" s="478" t="s">
        <v>4446</v>
      </c>
      <c r="C84" s="391" t="s">
        <v>255</v>
      </c>
      <c r="D84" s="479">
        <v>124.32</v>
      </c>
      <c r="E84" s="368"/>
      <c r="F84" s="368"/>
    </row>
    <row r="85" spans="1:6" ht="38.25" x14ac:dyDescent="0.2">
      <c r="A85" s="391">
        <v>103316</v>
      </c>
      <c r="B85" s="478" t="s">
        <v>4442</v>
      </c>
      <c r="C85" s="391" t="s">
        <v>255</v>
      </c>
      <c r="D85" s="479">
        <v>78.95</v>
      </c>
      <c r="E85" s="368"/>
      <c r="F85" s="368"/>
    </row>
    <row r="86" spans="1:6" ht="38.25" x14ac:dyDescent="0.2">
      <c r="A86" s="391">
        <v>103317</v>
      </c>
      <c r="B86" s="478" t="s">
        <v>4443</v>
      </c>
      <c r="C86" s="391" t="s">
        <v>255</v>
      </c>
      <c r="D86" s="479">
        <v>79.97</v>
      </c>
      <c r="E86" s="368"/>
      <c r="F86" s="368"/>
    </row>
    <row r="87" spans="1:6" ht="38.25" x14ac:dyDescent="0.2">
      <c r="A87" s="391">
        <v>101166</v>
      </c>
      <c r="B87" s="478" t="s">
        <v>2157</v>
      </c>
      <c r="C87" s="391" t="s">
        <v>271</v>
      </c>
      <c r="D87" s="479">
        <v>652.87</v>
      </c>
      <c r="E87" s="368"/>
      <c r="F87" s="368"/>
    </row>
    <row r="88" spans="1:6" ht="38.25" x14ac:dyDescent="0.2">
      <c r="A88" s="391">
        <v>101165</v>
      </c>
      <c r="B88" s="478" t="s">
        <v>2156</v>
      </c>
      <c r="C88" s="391" t="s">
        <v>271</v>
      </c>
      <c r="D88" s="479">
        <v>1015.3</v>
      </c>
      <c r="E88" s="368"/>
      <c r="F88" s="368"/>
    </row>
    <row r="89" spans="1:6" ht="38.25" x14ac:dyDescent="0.2">
      <c r="A89" s="391">
        <v>101163</v>
      </c>
      <c r="B89" s="478" t="s">
        <v>4456</v>
      </c>
      <c r="C89" s="391" t="s">
        <v>255</v>
      </c>
      <c r="D89" s="479">
        <v>639.22</v>
      </c>
      <c r="E89" s="368"/>
      <c r="F89" s="368"/>
    </row>
    <row r="90" spans="1:6" ht="38.25" x14ac:dyDescent="0.2">
      <c r="A90" s="391">
        <v>101164</v>
      </c>
      <c r="B90" s="478" t="s">
        <v>4457</v>
      </c>
      <c r="C90" s="391" t="s">
        <v>255</v>
      </c>
      <c r="D90" s="479">
        <v>649.19000000000005</v>
      </c>
      <c r="E90" s="368"/>
      <c r="F90" s="368"/>
    </row>
    <row r="91" spans="1:6" ht="38.25" x14ac:dyDescent="0.2">
      <c r="A91" s="391">
        <v>101162</v>
      </c>
      <c r="B91" s="478" t="s">
        <v>4441</v>
      </c>
      <c r="C91" s="391" t="s">
        <v>255</v>
      </c>
      <c r="D91" s="479">
        <v>151.97999999999999</v>
      </c>
      <c r="E91" s="368"/>
      <c r="F91" s="368"/>
    </row>
    <row r="92" spans="1:6" ht="38.25" x14ac:dyDescent="0.2">
      <c r="A92" s="391">
        <v>101161</v>
      </c>
      <c r="B92" s="478" t="s">
        <v>4455</v>
      </c>
      <c r="C92" s="391" t="s">
        <v>255</v>
      </c>
      <c r="D92" s="479">
        <v>236.38</v>
      </c>
      <c r="E92" s="368"/>
      <c r="F92" s="368"/>
    </row>
    <row r="93" spans="1:6" ht="25.5" x14ac:dyDescent="0.2">
      <c r="A93" s="391">
        <v>101160</v>
      </c>
      <c r="B93" s="478" t="s">
        <v>47437</v>
      </c>
      <c r="C93" s="391" t="s">
        <v>255</v>
      </c>
      <c r="D93" s="479">
        <v>0</v>
      </c>
      <c r="E93" s="368"/>
      <c r="F93" s="368"/>
    </row>
    <row r="94" spans="1:6" ht="38.25" x14ac:dyDescent="0.2">
      <c r="A94" s="391">
        <v>101159</v>
      </c>
      <c r="B94" s="478" t="s">
        <v>4412</v>
      </c>
      <c r="C94" s="391" t="s">
        <v>255</v>
      </c>
      <c r="D94" s="479">
        <v>133.30000000000001</v>
      </c>
      <c r="E94" s="368"/>
      <c r="F94" s="368"/>
    </row>
    <row r="95" spans="1:6" ht="38.25" x14ac:dyDescent="0.2">
      <c r="A95" s="391">
        <v>101154</v>
      </c>
      <c r="B95" s="478" t="s">
        <v>4487</v>
      </c>
      <c r="C95" s="391" t="s">
        <v>255</v>
      </c>
      <c r="D95" s="479">
        <v>136.96</v>
      </c>
      <c r="E95" s="368"/>
      <c r="F95" s="368"/>
    </row>
    <row r="96" spans="1:6" ht="38.25" x14ac:dyDescent="0.2">
      <c r="A96" s="391">
        <v>101155</v>
      </c>
      <c r="B96" s="478" t="s">
        <v>4488</v>
      </c>
      <c r="C96" s="391" t="s">
        <v>255</v>
      </c>
      <c r="D96" s="479">
        <v>192.7</v>
      </c>
      <c r="E96" s="368"/>
      <c r="F96" s="368"/>
    </row>
    <row r="97" spans="1:6" ht="38.25" x14ac:dyDescent="0.2">
      <c r="A97" s="391">
        <v>101156</v>
      </c>
      <c r="B97" s="478" t="s">
        <v>4489</v>
      </c>
      <c r="C97" s="391" t="s">
        <v>255</v>
      </c>
      <c r="D97" s="479">
        <v>283.36</v>
      </c>
      <c r="E97" s="368"/>
      <c r="F97" s="368"/>
    </row>
    <row r="98" spans="1:6" ht="25.5" x14ac:dyDescent="0.2">
      <c r="A98" s="391">
        <v>101158</v>
      </c>
      <c r="B98" s="478" t="s">
        <v>4440</v>
      </c>
      <c r="C98" s="391" t="s">
        <v>255</v>
      </c>
      <c r="D98" s="479">
        <v>83.02</v>
      </c>
      <c r="E98" s="368"/>
      <c r="F98" s="368"/>
    </row>
    <row r="99" spans="1:6" ht="25.5" x14ac:dyDescent="0.2">
      <c r="A99" s="391">
        <v>101157</v>
      </c>
      <c r="B99" s="478" t="s">
        <v>4439</v>
      </c>
      <c r="C99" s="391" t="s">
        <v>255</v>
      </c>
      <c r="D99" s="479">
        <v>63.46</v>
      </c>
      <c r="E99" s="368"/>
      <c r="F99" s="368"/>
    </row>
    <row r="100" spans="1:6" ht="38.25" x14ac:dyDescent="0.2">
      <c r="A100" s="391">
        <v>87382</v>
      </c>
      <c r="B100" s="478" t="s">
        <v>5146</v>
      </c>
      <c r="C100" s="391" t="s">
        <v>271</v>
      </c>
      <c r="D100" s="479">
        <v>2454.5300000000002</v>
      </c>
      <c r="E100" s="368"/>
      <c r="F100" s="368"/>
    </row>
    <row r="101" spans="1:6" ht="38.25" x14ac:dyDescent="0.2">
      <c r="A101" s="391">
        <v>87383</v>
      </c>
      <c r="B101" s="478" t="s">
        <v>5147</v>
      </c>
      <c r="C101" s="391" t="s">
        <v>271</v>
      </c>
      <c r="D101" s="479">
        <v>2454</v>
      </c>
      <c r="E101" s="368"/>
      <c r="F101" s="368"/>
    </row>
    <row r="102" spans="1:6" ht="38.25" x14ac:dyDescent="0.2">
      <c r="A102" s="391">
        <v>87384</v>
      </c>
      <c r="B102" s="478" t="s">
        <v>5148</v>
      </c>
      <c r="C102" s="391" t="s">
        <v>271</v>
      </c>
      <c r="D102" s="479">
        <v>2446.5100000000002</v>
      </c>
      <c r="E102" s="368"/>
      <c r="F102" s="368"/>
    </row>
    <row r="103" spans="1:6" ht="25.5" x14ac:dyDescent="0.2">
      <c r="A103" s="391">
        <v>87398</v>
      </c>
      <c r="B103" s="478" t="s">
        <v>5161</v>
      </c>
      <c r="C103" s="391" t="s">
        <v>271</v>
      </c>
      <c r="D103" s="479">
        <v>2674.13</v>
      </c>
      <c r="E103" s="368"/>
      <c r="F103" s="368"/>
    </row>
    <row r="104" spans="1:6" ht="25.5" x14ac:dyDescent="0.2">
      <c r="A104" s="391">
        <v>87395</v>
      </c>
      <c r="B104" s="478" t="s">
        <v>5158</v>
      </c>
      <c r="C104" s="391" t="s">
        <v>271</v>
      </c>
      <c r="D104" s="479">
        <v>4826.62</v>
      </c>
      <c r="E104" s="368"/>
      <c r="F104" s="368"/>
    </row>
    <row r="105" spans="1:6" ht="25.5" x14ac:dyDescent="0.2">
      <c r="A105" s="391">
        <v>87396</v>
      </c>
      <c r="B105" s="478" t="s">
        <v>5159</v>
      </c>
      <c r="C105" s="391" t="s">
        <v>271</v>
      </c>
      <c r="D105" s="479">
        <v>4861.8100000000004</v>
      </c>
      <c r="E105" s="368"/>
      <c r="F105" s="368"/>
    </row>
    <row r="106" spans="1:6" ht="25.5" x14ac:dyDescent="0.2">
      <c r="A106" s="391">
        <v>87397</v>
      </c>
      <c r="B106" s="478" t="s">
        <v>5160</v>
      </c>
      <c r="C106" s="391" t="s">
        <v>271</v>
      </c>
      <c r="D106" s="479">
        <v>4895.7700000000004</v>
      </c>
      <c r="E106" s="368"/>
      <c r="F106" s="368"/>
    </row>
    <row r="107" spans="1:6" ht="25.5" x14ac:dyDescent="0.2">
      <c r="A107" s="391">
        <v>87402</v>
      </c>
      <c r="B107" s="478" t="s">
        <v>5164</v>
      </c>
      <c r="C107" s="391" t="s">
        <v>271</v>
      </c>
      <c r="D107" s="479">
        <v>5111.26</v>
      </c>
      <c r="E107" s="368"/>
      <c r="F107" s="368"/>
    </row>
    <row r="108" spans="1:6" ht="25.5" x14ac:dyDescent="0.2">
      <c r="A108" s="391">
        <v>87391</v>
      </c>
      <c r="B108" s="478" t="s">
        <v>5155</v>
      </c>
      <c r="C108" s="391" t="s">
        <v>271</v>
      </c>
      <c r="D108" s="479">
        <v>7661.33</v>
      </c>
      <c r="E108" s="368"/>
      <c r="F108" s="368"/>
    </row>
    <row r="109" spans="1:6" ht="25.5" x14ac:dyDescent="0.2">
      <c r="A109" s="391">
        <v>87393</v>
      </c>
      <c r="B109" s="478" t="s">
        <v>5156</v>
      </c>
      <c r="C109" s="391" t="s">
        <v>271</v>
      </c>
      <c r="D109" s="479">
        <v>7734.6</v>
      </c>
      <c r="E109" s="368"/>
      <c r="F109" s="368"/>
    </row>
    <row r="110" spans="1:6" ht="25.5" x14ac:dyDescent="0.2">
      <c r="A110" s="391">
        <v>87394</v>
      </c>
      <c r="B110" s="478" t="s">
        <v>5157</v>
      </c>
      <c r="C110" s="391" t="s">
        <v>271</v>
      </c>
      <c r="D110" s="479">
        <v>7804.92</v>
      </c>
      <c r="E110" s="368"/>
      <c r="F110" s="368"/>
    </row>
    <row r="111" spans="1:6" ht="25.5" x14ac:dyDescent="0.2">
      <c r="A111" s="391">
        <v>87401</v>
      </c>
      <c r="B111" s="478" t="s">
        <v>5163</v>
      </c>
      <c r="C111" s="391" t="s">
        <v>271</v>
      </c>
      <c r="D111" s="479">
        <v>8004.01</v>
      </c>
      <c r="E111" s="368"/>
      <c r="F111" s="368"/>
    </row>
    <row r="112" spans="1:6" ht="25.5" x14ac:dyDescent="0.2">
      <c r="A112" s="391">
        <v>87407</v>
      </c>
      <c r="B112" s="478" t="s">
        <v>5166</v>
      </c>
      <c r="C112" s="391" t="s">
        <v>271</v>
      </c>
      <c r="D112" s="479">
        <v>2496.2399999999998</v>
      </c>
      <c r="E112" s="368"/>
      <c r="F112" s="368"/>
    </row>
    <row r="113" spans="1:6" ht="25.5" x14ac:dyDescent="0.2">
      <c r="A113" s="391">
        <v>87408</v>
      </c>
      <c r="B113" s="478" t="s">
        <v>39071</v>
      </c>
      <c r="C113" s="391" t="s">
        <v>271</v>
      </c>
      <c r="D113" s="479">
        <v>2484.25</v>
      </c>
      <c r="E113" s="368"/>
      <c r="F113" s="368"/>
    </row>
    <row r="114" spans="1:6" ht="25.5" x14ac:dyDescent="0.2">
      <c r="A114" s="391">
        <v>87404</v>
      </c>
      <c r="B114" s="478" t="s">
        <v>5165</v>
      </c>
      <c r="C114" s="391" t="s">
        <v>271</v>
      </c>
      <c r="D114" s="479">
        <v>7143.51</v>
      </c>
      <c r="E114" s="368"/>
      <c r="F114" s="368"/>
    </row>
    <row r="115" spans="1:6" ht="25.5" x14ac:dyDescent="0.2">
      <c r="A115" s="391">
        <v>87405</v>
      </c>
      <c r="B115" s="478" t="s">
        <v>39070</v>
      </c>
      <c r="C115" s="391" t="s">
        <v>271</v>
      </c>
      <c r="D115" s="479">
        <v>7167.58</v>
      </c>
      <c r="E115" s="368"/>
      <c r="F115" s="368"/>
    </row>
    <row r="116" spans="1:6" ht="25.5" x14ac:dyDescent="0.2">
      <c r="A116" s="391">
        <v>87388</v>
      </c>
      <c r="B116" s="478" t="s">
        <v>5152</v>
      </c>
      <c r="C116" s="391" t="s">
        <v>271</v>
      </c>
      <c r="D116" s="479">
        <v>6895</v>
      </c>
      <c r="E116" s="368"/>
      <c r="F116" s="368"/>
    </row>
    <row r="117" spans="1:6" ht="25.5" x14ac:dyDescent="0.2">
      <c r="A117" s="391">
        <v>87389</v>
      </c>
      <c r="B117" s="478" t="s">
        <v>5153</v>
      </c>
      <c r="C117" s="391" t="s">
        <v>271</v>
      </c>
      <c r="D117" s="479">
        <v>6926.39</v>
      </c>
      <c r="E117" s="368"/>
      <c r="F117" s="368"/>
    </row>
    <row r="118" spans="1:6" ht="25.5" x14ac:dyDescent="0.2">
      <c r="A118" s="391">
        <v>87390</v>
      </c>
      <c r="B118" s="478" t="s">
        <v>5154</v>
      </c>
      <c r="C118" s="391" t="s">
        <v>271</v>
      </c>
      <c r="D118" s="479">
        <v>6964.59</v>
      </c>
      <c r="E118" s="368"/>
      <c r="F118" s="368"/>
    </row>
    <row r="119" spans="1:6" ht="25.5" x14ac:dyDescent="0.2">
      <c r="A119" s="391">
        <v>87385</v>
      </c>
      <c r="B119" s="478" t="s">
        <v>5149</v>
      </c>
      <c r="C119" s="391" t="s">
        <v>271</v>
      </c>
      <c r="D119" s="479">
        <v>2867.35</v>
      </c>
      <c r="E119" s="368"/>
      <c r="F119" s="368"/>
    </row>
    <row r="120" spans="1:6" ht="25.5" x14ac:dyDescent="0.2">
      <c r="A120" s="391">
        <v>87386</v>
      </c>
      <c r="B120" s="478" t="s">
        <v>5150</v>
      </c>
      <c r="C120" s="391" t="s">
        <v>271</v>
      </c>
      <c r="D120" s="479">
        <v>2861.87</v>
      </c>
      <c r="E120" s="368"/>
      <c r="F120" s="368"/>
    </row>
    <row r="121" spans="1:6" ht="25.5" x14ac:dyDescent="0.2">
      <c r="A121" s="391">
        <v>87387</v>
      </c>
      <c r="B121" s="478" t="s">
        <v>5151</v>
      </c>
      <c r="C121" s="391" t="s">
        <v>271</v>
      </c>
      <c r="D121" s="479">
        <v>2857.59</v>
      </c>
      <c r="E121" s="368"/>
      <c r="F121" s="368"/>
    </row>
    <row r="122" spans="1:6" x14ac:dyDescent="0.2">
      <c r="A122" s="391">
        <v>87399</v>
      </c>
      <c r="B122" s="478" t="s">
        <v>5162</v>
      </c>
      <c r="C122" s="391" t="s">
        <v>271</v>
      </c>
      <c r="D122" s="479">
        <v>3089.37</v>
      </c>
      <c r="E122" s="368"/>
      <c r="F122" s="368"/>
    </row>
    <row r="123" spans="1:6" ht="25.5" x14ac:dyDescent="0.2">
      <c r="A123" s="391">
        <v>88627</v>
      </c>
      <c r="B123" s="478" t="s">
        <v>5169</v>
      </c>
      <c r="C123" s="391" t="s">
        <v>271</v>
      </c>
      <c r="D123" s="479">
        <v>670.31</v>
      </c>
      <c r="E123" s="368"/>
      <c r="F123" s="368"/>
    </row>
    <row r="124" spans="1:6" ht="25.5" x14ac:dyDescent="0.2">
      <c r="A124" s="391">
        <v>100463</v>
      </c>
      <c r="B124" s="478" t="s">
        <v>47438</v>
      </c>
      <c r="C124" s="391" t="s">
        <v>271</v>
      </c>
      <c r="D124" s="479">
        <v>0</v>
      </c>
      <c r="E124" s="368"/>
      <c r="F124" s="368"/>
    </row>
    <row r="125" spans="1:6" ht="25.5" x14ac:dyDescent="0.2">
      <c r="A125" s="391">
        <v>88626</v>
      </c>
      <c r="B125" s="478" t="s">
        <v>5168</v>
      </c>
      <c r="C125" s="391" t="s">
        <v>271</v>
      </c>
      <c r="D125" s="479">
        <v>578.87</v>
      </c>
      <c r="E125" s="368"/>
      <c r="F125" s="368"/>
    </row>
    <row r="126" spans="1:6" ht="25.5" x14ac:dyDescent="0.2">
      <c r="A126" s="391">
        <v>100488</v>
      </c>
      <c r="B126" s="478" t="s">
        <v>5191</v>
      </c>
      <c r="C126" s="391" t="s">
        <v>271</v>
      </c>
      <c r="D126" s="479">
        <v>566.51</v>
      </c>
      <c r="E126" s="368"/>
      <c r="F126" s="368"/>
    </row>
    <row r="127" spans="1:6" ht="38.25" x14ac:dyDescent="0.2">
      <c r="A127" s="391">
        <v>100464</v>
      </c>
      <c r="B127" s="478" t="s">
        <v>47439</v>
      </c>
      <c r="C127" s="391" t="s">
        <v>271</v>
      </c>
      <c r="D127" s="479">
        <v>607.83000000000004</v>
      </c>
      <c r="E127" s="368"/>
      <c r="F127" s="368"/>
    </row>
    <row r="128" spans="1:6" ht="38.25" x14ac:dyDescent="0.2">
      <c r="A128" s="391">
        <v>100465</v>
      </c>
      <c r="B128" s="478" t="s">
        <v>47440</v>
      </c>
      <c r="C128" s="391" t="s">
        <v>271</v>
      </c>
      <c r="D128" s="479">
        <v>564.65</v>
      </c>
      <c r="E128" s="368"/>
      <c r="F128" s="368"/>
    </row>
    <row r="129" spans="1:6" ht="38.25" x14ac:dyDescent="0.2">
      <c r="A129" s="391">
        <v>100466</v>
      </c>
      <c r="B129" s="478" t="s">
        <v>47441</v>
      </c>
      <c r="C129" s="391" t="s">
        <v>271</v>
      </c>
      <c r="D129" s="479">
        <v>541.82000000000005</v>
      </c>
      <c r="E129" s="368"/>
      <c r="F129" s="368"/>
    </row>
    <row r="130" spans="1:6" ht="38.25" x14ac:dyDescent="0.2">
      <c r="A130" s="391">
        <v>87368</v>
      </c>
      <c r="B130" s="478" t="s">
        <v>5132</v>
      </c>
      <c r="C130" s="391" t="s">
        <v>271</v>
      </c>
      <c r="D130" s="479">
        <v>712.92</v>
      </c>
      <c r="E130" s="368"/>
      <c r="F130" s="368"/>
    </row>
    <row r="131" spans="1:6" ht="38.25" x14ac:dyDescent="0.2">
      <c r="A131" s="391">
        <v>100450</v>
      </c>
      <c r="B131" s="478" t="s">
        <v>40590</v>
      </c>
      <c r="C131" s="391" t="s">
        <v>271</v>
      </c>
      <c r="D131" s="479">
        <v>0</v>
      </c>
      <c r="E131" s="368"/>
      <c r="F131" s="368"/>
    </row>
    <row r="132" spans="1:6" ht="38.25" x14ac:dyDescent="0.2">
      <c r="A132" s="391">
        <v>87289</v>
      </c>
      <c r="B132" s="478" t="s">
        <v>5065</v>
      </c>
      <c r="C132" s="391" t="s">
        <v>271</v>
      </c>
      <c r="D132" s="479">
        <v>599.70000000000005</v>
      </c>
      <c r="E132" s="368"/>
      <c r="F132" s="368"/>
    </row>
    <row r="133" spans="1:6" ht="38.25" x14ac:dyDescent="0.2">
      <c r="A133" s="391">
        <v>87290</v>
      </c>
      <c r="B133" s="478" t="s">
        <v>5066</v>
      </c>
      <c r="C133" s="391" t="s">
        <v>271</v>
      </c>
      <c r="D133" s="479">
        <v>585.91999999999996</v>
      </c>
      <c r="E133" s="368"/>
      <c r="F133" s="368"/>
    </row>
    <row r="134" spans="1:6" ht="51" x14ac:dyDescent="0.2">
      <c r="A134" s="391">
        <v>87333</v>
      </c>
      <c r="B134" s="478" t="s">
        <v>5097</v>
      </c>
      <c r="C134" s="391" t="s">
        <v>271</v>
      </c>
      <c r="D134" s="479">
        <v>604.26</v>
      </c>
      <c r="E134" s="368"/>
      <c r="F134" s="368"/>
    </row>
    <row r="135" spans="1:6" ht="51" x14ac:dyDescent="0.2">
      <c r="A135" s="391">
        <v>87334</v>
      </c>
      <c r="B135" s="478" t="s">
        <v>5098</v>
      </c>
      <c r="C135" s="391" t="s">
        <v>271</v>
      </c>
      <c r="D135" s="479">
        <v>560.85</v>
      </c>
      <c r="E135" s="368"/>
      <c r="F135" s="368"/>
    </row>
    <row r="136" spans="1:6" ht="38.25" x14ac:dyDescent="0.2">
      <c r="A136" s="391">
        <v>105515</v>
      </c>
      <c r="B136" s="478" t="s">
        <v>39073</v>
      </c>
      <c r="C136" s="391" t="s">
        <v>271</v>
      </c>
      <c r="D136" s="479">
        <v>821.86</v>
      </c>
      <c r="E136" s="368"/>
      <c r="F136" s="368"/>
    </row>
    <row r="137" spans="1:6" ht="38.25" x14ac:dyDescent="0.2">
      <c r="A137" s="391">
        <v>87367</v>
      </c>
      <c r="B137" s="478" t="s">
        <v>5131</v>
      </c>
      <c r="C137" s="391" t="s">
        <v>271</v>
      </c>
      <c r="D137" s="479">
        <v>722.14</v>
      </c>
      <c r="E137" s="368"/>
      <c r="F137" s="368"/>
    </row>
    <row r="138" spans="1:6" ht="38.25" x14ac:dyDescent="0.2">
      <c r="A138" s="391">
        <v>100449</v>
      </c>
      <c r="B138" s="478" t="s">
        <v>40591</v>
      </c>
      <c r="C138" s="391" t="s">
        <v>271</v>
      </c>
      <c r="D138" s="479">
        <v>0</v>
      </c>
      <c r="E138" s="368"/>
      <c r="F138" s="368"/>
    </row>
    <row r="139" spans="1:6" ht="38.25" x14ac:dyDescent="0.2">
      <c r="A139" s="391">
        <v>87286</v>
      </c>
      <c r="B139" s="478" t="s">
        <v>5063</v>
      </c>
      <c r="C139" s="391" t="s">
        <v>271</v>
      </c>
      <c r="D139" s="479">
        <v>613.86</v>
      </c>
      <c r="E139" s="368"/>
      <c r="F139" s="368"/>
    </row>
    <row r="140" spans="1:6" ht="38.25" x14ac:dyDescent="0.2">
      <c r="A140" s="391">
        <v>87287</v>
      </c>
      <c r="B140" s="478" t="s">
        <v>5064</v>
      </c>
      <c r="C140" s="391" t="s">
        <v>271</v>
      </c>
      <c r="D140" s="479">
        <v>590.41</v>
      </c>
      <c r="E140" s="368"/>
      <c r="F140" s="368"/>
    </row>
    <row r="141" spans="1:6" ht="51" x14ac:dyDescent="0.2">
      <c r="A141" s="391">
        <v>87331</v>
      </c>
      <c r="B141" s="478" t="s">
        <v>5095</v>
      </c>
      <c r="C141" s="391" t="s">
        <v>271</v>
      </c>
      <c r="D141" s="479">
        <v>638.16</v>
      </c>
      <c r="E141" s="368"/>
      <c r="F141" s="368"/>
    </row>
    <row r="142" spans="1:6" ht="51" x14ac:dyDescent="0.2">
      <c r="A142" s="391">
        <v>87332</v>
      </c>
      <c r="B142" s="478" t="s">
        <v>5096</v>
      </c>
      <c r="C142" s="391" t="s">
        <v>271</v>
      </c>
      <c r="D142" s="479">
        <v>567.67999999999995</v>
      </c>
      <c r="E142" s="368"/>
      <c r="F142" s="368"/>
    </row>
    <row r="143" spans="1:6" ht="38.25" x14ac:dyDescent="0.2">
      <c r="A143" s="391">
        <v>87369</v>
      </c>
      <c r="B143" s="478" t="s">
        <v>5133</v>
      </c>
      <c r="C143" s="391" t="s">
        <v>271</v>
      </c>
      <c r="D143" s="479">
        <v>734.73</v>
      </c>
      <c r="E143" s="368"/>
      <c r="F143" s="368"/>
    </row>
    <row r="144" spans="1:6" ht="38.25" x14ac:dyDescent="0.2">
      <c r="A144" s="391">
        <v>100451</v>
      </c>
      <c r="B144" s="478" t="s">
        <v>40592</v>
      </c>
      <c r="C144" s="391" t="s">
        <v>271</v>
      </c>
      <c r="D144" s="479">
        <v>0</v>
      </c>
      <c r="E144" s="368"/>
      <c r="F144" s="368"/>
    </row>
    <row r="145" spans="1:6" ht="38.25" x14ac:dyDescent="0.2">
      <c r="A145" s="391">
        <v>87292</v>
      </c>
      <c r="B145" s="478" t="s">
        <v>5067</v>
      </c>
      <c r="C145" s="391" t="s">
        <v>271</v>
      </c>
      <c r="D145" s="479">
        <v>617.34</v>
      </c>
      <c r="E145" s="368"/>
      <c r="F145" s="368"/>
    </row>
    <row r="146" spans="1:6" ht="51" x14ac:dyDescent="0.2">
      <c r="A146" s="391">
        <v>87335</v>
      </c>
      <c r="B146" s="478" t="s">
        <v>5099</v>
      </c>
      <c r="C146" s="391" t="s">
        <v>271</v>
      </c>
      <c r="D146" s="479">
        <v>596.15</v>
      </c>
      <c r="E146" s="368"/>
      <c r="F146" s="368"/>
    </row>
    <row r="147" spans="1:6" ht="51" x14ac:dyDescent="0.2">
      <c r="A147" s="391">
        <v>87336</v>
      </c>
      <c r="B147" s="478" t="s">
        <v>5100</v>
      </c>
      <c r="C147" s="391" t="s">
        <v>271</v>
      </c>
      <c r="D147" s="479">
        <v>583.63</v>
      </c>
      <c r="E147" s="368"/>
      <c r="F147" s="368"/>
    </row>
    <row r="148" spans="1:6" ht="38.25" x14ac:dyDescent="0.2">
      <c r="A148" s="391">
        <v>87370</v>
      </c>
      <c r="B148" s="478" t="s">
        <v>5134</v>
      </c>
      <c r="C148" s="391" t="s">
        <v>271</v>
      </c>
      <c r="D148" s="479">
        <v>708.69</v>
      </c>
      <c r="E148" s="368"/>
      <c r="F148" s="368"/>
    </row>
    <row r="149" spans="1:6" ht="38.25" x14ac:dyDescent="0.2">
      <c r="A149" s="391">
        <v>100452</v>
      </c>
      <c r="B149" s="478" t="s">
        <v>40593</v>
      </c>
      <c r="C149" s="391" t="s">
        <v>271</v>
      </c>
      <c r="D149" s="479">
        <v>0</v>
      </c>
      <c r="E149" s="368"/>
      <c r="F149" s="368"/>
    </row>
    <row r="150" spans="1:6" ht="38.25" x14ac:dyDescent="0.2">
      <c r="A150" s="391">
        <v>88715</v>
      </c>
      <c r="B150" s="478" t="s">
        <v>5173</v>
      </c>
      <c r="C150" s="391" t="s">
        <v>271</v>
      </c>
      <c r="D150" s="479">
        <v>583.88</v>
      </c>
      <c r="E150" s="368"/>
      <c r="F150" s="368"/>
    </row>
    <row r="151" spans="1:6" ht="38.25" x14ac:dyDescent="0.2">
      <c r="A151" s="391">
        <v>87294</v>
      </c>
      <c r="B151" s="478" t="s">
        <v>5068</v>
      </c>
      <c r="C151" s="391" t="s">
        <v>271</v>
      </c>
      <c r="D151" s="479">
        <v>587.32000000000005</v>
      </c>
      <c r="E151" s="368"/>
      <c r="F151" s="368"/>
    </row>
    <row r="152" spans="1:6" ht="51" x14ac:dyDescent="0.2">
      <c r="A152" s="391">
        <v>87337</v>
      </c>
      <c r="B152" s="478" t="s">
        <v>5101</v>
      </c>
      <c r="C152" s="391" t="s">
        <v>271</v>
      </c>
      <c r="D152" s="479">
        <v>592.63</v>
      </c>
      <c r="E152" s="368"/>
      <c r="F152" s="368"/>
    </row>
    <row r="153" spans="1:6" ht="51" x14ac:dyDescent="0.2">
      <c r="A153" s="391">
        <v>100487</v>
      </c>
      <c r="B153" s="478" t="s">
        <v>5190</v>
      </c>
      <c r="C153" s="391" t="s">
        <v>271</v>
      </c>
      <c r="D153" s="479">
        <v>553.35</v>
      </c>
      <c r="E153" s="368"/>
      <c r="F153" s="368"/>
    </row>
    <row r="154" spans="1:6" ht="38.25" x14ac:dyDescent="0.2">
      <c r="A154" s="391">
        <v>87380</v>
      </c>
      <c r="B154" s="478" t="s">
        <v>5144</v>
      </c>
      <c r="C154" s="391" t="s">
        <v>271</v>
      </c>
      <c r="D154" s="479">
        <v>3710.19</v>
      </c>
      <c r="E154" s="368"/>
      <c r="F154" s="368"/>
    </row>
    <row r="155" spans="1:6" ht="38.25" x14ac:dyDescent="0.2">
      <c r="A155" s="391">
        <v>100461</v>
      </c>
      <c r="B155" s="478" t="s">
        <v>40594</v>
      </c>
      <c r="C155" s="391" t="s">
        <v>271</v>
      </c>
      <c r="D155" s="479">
        <v>0</v>
      </c>
      <c r="E155" s="368"/>
      <c r="F155" s="368"/>
    </row>
    <row r="156" spans="1:6" ht="38.25" x14ac:dyDescent="0.2">
      <c r="A156" s="391">
        <v>87322</v>
      </c>
      <c r="B156" s="478" t="s">
        <v>5087</v>
      </c>
      <c r="C156" s="391" t="s">
        <v>271</v>
      </c>
      <c r="D156" s="479">
        <v>3627.14</v>
      </c>
      <c r="E156" s="368"/>
      <c r="F156" s="368"/>
    </row>
    <row r="157" spans="1:6" ht="38.25" x14ac:dyDescent="0.2">
      <c r="A157" s="391">
        <v>87323</v>
      </c>
      <c r="B157" s="478" t="s">
        <v>5088</v>
      </c>
      <c r="C157" s="391" t="s">
        <v>271</v>
      </c>
      <c r="D157" s="479">
        <v>3620.85</v>
      </c>
      <c r="E157" s="368"/>
      <c r="F157" s="368"/>
    </row>
    <row r="158" spans="1:6" ht="38.25" x14ac:dyDescent="0.2">
      <c r="A158" s="391">
        <v>87360</v>
      </c>
      <c r="B158" s="478" t="s">
        <v>5124</v>
      </c>
      <c r="C158" s="391" t="s">
        <v>271</v>
      </c>
      <c r="D158" s="479">
        <v>3591.64</v>
      </c>
      <c r="E158" s="368"/>
      <c r="F158" s="368"/>
    </row>
    <row r="159" spans="1:6" ht="38.25" x14ac:dyDescent="0.2">
      <c r="A159" s="391">
        <v>87361</v>
      </c>
      <c r="B159" s="478" t="s">
        <v>5125</v>
      </c>
      <c r="C159" s="391" t="s">
        <v>271</v>
      </c>
      <c r="D159" s="479">
        <v>3540.31</v>
      </c>
      <c r="E159" s="368"/>
      <c r="F159" s="368"/>
    </row>
    <row r="160" spans="1:6" ht="38.25" x14ac:dyDescent="0.2">
      <c r="A160" s="391">
        <v>87362</v>
      </c>
      <c r="B160" s="478" t="s">
        <v>5126</v>
      </c>
      <c r="C160" s="391" t="s">
        <v>271</v>
      </c>
      <c r="D160" s="479">
        <v>3534.74</v>
      </c>
      <c r="E160" s="368"/>
      <c r="F160" s="368"/>
    </row>
    <row r="161" spans="1:6" ht="25.5" x14ac:dyDescent="0.2">
      <c r="A161" s="391">
        <v>87377</v>
      </c>
      <c r="B161" s="478" t="s">
        <v>5141</v>
      </c>
      <c r="C161" s="391" t="s">
        <v>271</v>
      </c>
      <c r="D161" s="479">
        <v>663</v>
      </c>
      <c r="E161" s="368"/>
      <c r="F161" s="368"/>
    </row>
    <row r="162" spans="1:6" ht="38.25" x14ac:dyDescent="0.2">
      <c r="A162" s="391">
        <v>100458</v>
      </c>
      <c r="B162" s="478" t="s">
        <v>40595</v>
      </c>
      <c r="C162" s="391" t="s">
        <v>271</v>
      </c>
      <c r="D162" s="479">
        <v>0</v>
      </c>
      <c r="E162" s="368"/>
      <c r="F162" s="368"/>
    </row>
    <row r="163" spans="1:6" ht="38.25" x14ac:dyDescent="0.2">
      <c r="A163" s="391">
        <v>87313</v>
      </c>
      <c r="B163" s="478" t="s">
        <v>5081</v>
      </c>
      <c r="C163" s="391" t="s">
        <v>271</v>
      </c>
      <c r="D163" s="479">
        <v>538.17999999999995</v>
      </c>
      <c r="E163" s="368"/>
      <c r="F163" s="368"/>
    </row>
    <row r="164" spans="1:6" ht="38.25" x14ac:dyDescent="0.2">
      <c r="A164" s="391">
        <v>87314</v>
      </c>
      <c r="B164" s="478" t="s">
        <v>5082</v>
      </c>
      <c r="C164" s="391" t="s">
        <v>271</v>
      </c>
      <c r="D164" s="479">
        <v>526.02</v>
      </c>
      <c r="E164" s="368"/>
      <c r="F164" s="368"/>
    </row>
    <row r="165" spans="1:6" ht="38.25" x14ac:dyDescent="0.2">
      <c r="A165" s="391">
        <v>87352</v>
      </c>
      <c r="B165" s="478" t="s">
        <v>5116</v>
      </c>
      <c r="C165" s="391" t="s">
        <v>271</v>
      </c>
      <c r="D165" s="479">
        <v>629.9</v>
      </c>
      <c r="E165" s="368"/>
      <c r="F165" s="368"/>
    </row>
    <row r="166" spans="1:6" ht="38.25" x14ac:dyDescent="0.2">
      <c r="A166" s="391">
        <v>87353</v>
      </c>
      <c r="B166" s="478" t="s">
        <v>5117</v>
      </c>
      <c r="C166" s="391" t="s">
        <v>271</v>
      </c>
      <c r="D166" s="479">
        <v>543.55999999999995</v>
      </c>
      <c r="E166" s="368"/>
      <c r="F166" s="368"/>
    </row>
    <row r="167" spans="1:6" ht="38.25" x14ac:dyDescent="0.2">
      <c r="A167" s="391">
        <v>87354</v>
      </c>
      <c r="B167" s="478" t="s">
        <v>5118</v>
      </c>
      <c r="C167" s="391" t="s">
        <v>271</v>
      </c>
      <c r="D167" s="479">
        <v>503.12</v>
      </c>
      <c r="E167" s="368"/>
      <c r="F167" s="368"/>
    </row>
    <row r="168" spans="1:6" ht="25.5" x14ac:dyDescent="0.2">
      <c r="A168" s="391">
        <v>100480</v>
      </c>
      <c r="B168" s="478" t="s">
        <v>5184</v>
      </c>
      <c r="C168" s="391" t="s">
        <v>271</v>
      </c>
      <c r="D168" s="479">
        <v>840.4</v>
      </c>
      <c r="E168" s="368"/>
      <c r="F168" s="368"/>
    </row>
    <row r="169" spans="1:6" ht="38.25" x14ac:dyDescent="0.2">
      <c r="A169" s="391">
        <v>100476</v>
      </c>
      <c r="B169" s="478" t="s">
        <v>40596</v>
      </c>
      <c r="C169" s="391" t="s">
        <v>271</v>
      </c>
      <c r="D169" s="479">
        <v>0</v>
      </c>
      <c r="E169" s="368"/>
      <c r="F169" s="368"/>
    </row>
    <row r="170" spans="1:6" ht="38.25" x14ac:dyDescent="0.2">
      <c r="A170" s="391">
        <v>100475</v>
      </c>
      <c r="B170" s="478" t="s">
        <v>5180</v>
      </c>
      <c r="C170" s="391" t="s">
        <v>271</v>
      </c>
      <c r="D170" s="479">
        <v>744.4</v>
      </c>
      <c r="E170" s="368"/>
      <c r="F170" s="368"/>
    </row>
    <row r="171" spans="1:6" ht="38.25" x14ac:dyDescent="0.2">
      <c r="A171" s="391">
        <v>100491</v>
      </c>
      <c r="B171" s="478" t="s">
        <v>5194</v>
      </c>
      <c r="C171" s="391" t="s">
        <v>271</v>
      </c>
      <c r="D171" s="479">
        <v>740.68</v>
      </c>
      <c r="E171" s="368"/>
      <c r="F171" s="368"/>
    </row>
    <row r="172" spans="1:6" ht="38.25" x14ac:dyDescent="0.2">
      <c r="A172" s="391">
        <v>100477</v>
      </c>
      <c r="B172" s="478" t="s">
        <v>5181</v>
      </c>
      <c r="C172" s="391" t="s">
        <v>271</v>
      </c>
      <c r="D172" s="479">
        <v>814.81</v>
      </c>
      <c r="E172" s="368"/>
      <c r="F172" s="368"/>
    </row>
    <row r="173" spans="1:6" ht="38.25" x14ac:dyDescent="0.2">
      <c r="A173" s="391">
        <v>100478</v>
      </c>
      <c r="B173" s="478" t="s">
        <v>5182</v>
      </c>
      <c r="C173" s="391" t="s">
        <v>271</v>
      </c>
      <c r="D173" s="479">
        <v>729.98</v>
      </c>
      <c r="E173" s="368"/>
      <c r="F173" s="368"/>
    </row>
    <row r="174" spans="1:6" ht="38.25" x14ac:dyDescent="0.2">
      <c r="A174" s="391">
        <v>100479</v>
      </c>
      <c r="B174" s="478" t="s">
        <v>5183</v>
      </c>
      <c r="C174" s="391" t="s">
        <v>271</v>
      </c>
      <c r="D174" s="479">
        <v>710.06</v>
      </c>
      <c r="E174" s="368"/>
      <c r="F174" s="368"/>
    </row>
    <row r="175" spans="1:6" ht="25.5" x14ac:dyDescent="0.2">
      <c r="A175" s="391">
        <v>87372</v>
      </c>
      <c r="B175" s="478" t="s">
        <v>5136</v>
      </c>
      <c r="C175" s="391" t="s">
        <v>271</v>
      </c>
      <c r="D175" s="479">
        <v>815.41</v>
      </c>
      <c r="E175" s="368"/>
      <c r="F175" s="368"/>
    </row>
    <row r="176" spans="1:6" ht="25.5" x14ac:dyDescent="0.2">
      <c r="A176" s="391">
        <v>100453</v>
      </c>
      <c r="B176" s="478" t="s">
        <v>40597</v>
      </c>
      <c r="C176" s="391" t="s">
        <v>271</v>
      </c>
      <c r="D176" s="479">
        <v>0</v>
      </c>
      <c r="E176" s="368"/>
      <c r="F176" s="368"/>
    </row>
    <row r="177" spans="1:6" ht="25.5" x14ac:dyDescent="0.2">
      <c r="A177" s="391">
        <v>87298</v>
      </c>
      <c r="B177" s="478" t="s">
        <v>5071</v>
      </c>
      <c r="C177" s="391" t="s">
        <v>271</v>
      </c>
      <c r="D177" s="479">
        <v>685.13</v>
      </c>
      <c r="E177" s="368"/>
      <c r="F177" s="368"/>
    </row>
    <row r="178" spans="1:6" ht="25.5" x14ac:dyDescent="0.2">
      <c r="A178" s="391">
        <v>87299</v>
      </c>
      <c r="B178" s="478" t="s">
        <v>5072</v>
      </c>
      <c r="C178" s="391" t="s">
        <v>271</v>
      </c>
      <c r="D178" s="479">
        <v>463.12</v>
      </c>
      <c r="E178" s="368"/>
      <c r="F178" s="368"/>
    </row>
    <row r="179" spans="1:6" ht="38.25" x14ac:dyDescent="0.2">
      <c r="A179" s="391">
        <v>87339</v>
      </c>
      <c r="B179" s="478" t="s">
        <v>5103</v>
      </c>
      <c r="C179" s="391" t="s">
        <v>271</v>
      </c>
      <c r="D179" s="479">
        <v>823.59</v>
      </c>
      <c r="E179" s="368"/>
      <c r="F179" s="368"/>
    </row>
    <row r="180" spans="1:6" ht="38.25" x14ac:dyDescent="0.2">
      <c r="A180" s="391">
        <v>87340</v>
      </c>
      <c r="B180" s="478" t="s">
        <v>5104</v>
      </c>
      <c r="C180" s="391" t="s">
        <v>271</v>
      </c>
      <c r="D180" s="479">
        <v>684.12</v>
      </c>
      <c r="E180" s="368"/>
      <c r="F180" s="368"/>
    </row>
    <row r="181" spans="1:6" ht="38.25" x14ac:dyDescent="0.2">
      <c r="A181" s="391">
        <v>87341</v>
      </c>
      <c r="B181" s="478" t="s">
        <v>5105</v>
      </c>
      <c r="C181" s="391" t="s">
        <v>271</v>
      </c>
      <c r="D181" s="479">
        <v>647.26</v>
      </c>
      <c r="E181" s="368"/>
      <c r="F181" s="368"/>
    </row>
    <row r="182" spans="1:6" ht="25.5" x14ac:dyDescent="0.2">
      <c r="A182" s="391">
        <v>88629</v>
      </c>
      <c r="B182" s="478" t="s">
        <v>5171</v>
      </c>
      <c r="C182" s="391" t="s">
        <v>271</v>
      </c>
      <c r="D182" s="479">
        <v>667.87</v>
      </c>
      <c r="E182" s="368"/>
      <c r="F182" s="368"/>
    </row>
    <row r="183" spans="1:6" ht="25.5" x14ac:dyDescent="0.2">
      <c r="A183" s="391">
        <v>100467</v>
      </c>
      <c r="B183" s="478" t="s">
        <v>47442</v>
      </c>
      <c r="C183" s="391" t="s">
        <v>271</v>
      </c>
      <c r="D183" s="479">
        <v>0</v>
      </c>
      <c r="E183" s="368"/>
      <c r="F183" s="368"/>
    </row>
    <row r="184" spans="1:6" ht="25.5" x14ac:dyDescent="0.2">
      <c r="A184" s="391">
        <v>88628</v>
      </c>
      <c r="B184" s="478" t="s">
        <v>5170</v>
      </c>
      <c r="C184" s="391" t="s">
        <v>271</v>
      </c>
      <c r="D184" s="479">
        <v>569.75</v>
      </c>
      <c r="E184" s="368"/>
      <c r="F184" s="368"/>
    </row>
    <row r="185" spans="1:6" ht="25.5" x14ac:dyDescent="0.2">
      <c r="A185" s="391">
        <v>100489</v>
      </c>
      <c r="B185" s="478" t="s">
        <v>5192</v>
      </c>
      <c r="C185" s="391" t="s">
        <v>271</v>
      </c>
      <c r="D185" s="479">
        <v>565.11</v>
      </c>
      <c r="E185" s="368"/>
      <c r="F185" s="368"/>
    </row>
    <row r="186" spans="1:6" ht="38.25" x14ac:dyDescent="0.2">
      <c r="A186" s="391">
        <v>100468</v>
      </c>
      <c r="B186" s="478" t="s">
        <v>5174</v>
      </c>
      <c r="C186" s="391" t="s">
        <v>271</v>
      </c>
      <c r="D186" s="479">
        <v>693.38</v>
      </c>
      <c r="E186" s="368"/>
      <c r="F186" s="368"/>
    </row>
    <row r="187" spans="1:6" ht="38.25" x14ac:dyDescent="0.2">
      <c r="A187" s="391">
        <v>100469</v>
      </c>
      <c r="B187" s="478" t="s">
        <v>5175</v>
      </c>
      <c r="C187" s="391" t="s">
        <v>271</v>
      </c>
      <c r="D187" s="479">
        <v>559.41</v>
      </c>
      <c r="E187" s="368"/>
      <c r="F187" s="368"/>
    </row>
    <row r="188" spans="1:6" ht="38.25" x14ac:dyDescent="0.2">
      <c r="A188" s="391">
        <v>100470</v>
      </c>
      <c r="B188" s="478" t="s">
        <v>5176</v>
      </c>
      <c r="C188" s="391" t="s">
        <v>271</v>
      </c>
      <c r="D188" s="479">
        <v>512.96</v>
      </c>
      <c r="E188" s="368"/>
      <c r="F188" s="368"/>
    </row>
    <row r="189" spans="1:6" ht="38.25" x14ac:dyDescent="0.2">
      <c r="A189" s="391">
        <v>87371</v>
      </c>
      <c r="B189" s="478" t="s">
        <v>5135</v>
      </c>
      <c r="C189" s="391" t="s">
        <v>271</v>
      </c>
      <c r="D189" s="479">
        <v>702.08</v>
      </c>
      <c r="E189" s="368"/>
      <c r="F189" s="368"/>
    </row>
    <row r="190" spans="1:6" ht="38.25" x14ac:dyDescent="0.2">
      <c r="A190" s="391">
        <v>87295</v>
      </c>
      <c r="B190" s="478" t="s">
        <v>5069</v>
      </c>
      <c r="C190" s="391" t="s">
        <v>271</v>
      </c>
      <c r="D190" s="479">
        <v>611.72</v>
      </c>
      <c r="E190" s="368"/>
      <c r="F190" s="368"/>
    </row>
    <row r="191" spans="1:6" ht="38.25" x14ac:dyDescent="0.2">
      <c r="A191" s="391">
        <v>87296</v>
      </c>
      <c r="B191" s="478" t="s">
        <v>5070</v>
      </c>
      <c r="C191" s="391" t="s">
        <v>271</v>
      </c>
      <c r="D191" s="479">
        <v>577.04999999999995</v>
      </c>
      <c r="E191" s="368"/>
      <c r="F191" s="368"/>
    </row>
    <row r="192" spans="1:6" ht="51" x14ac:dyDescent="0.2">
      <c r="A192" s="391">
        <v>87338</v>
      </c>
      <c r="B192" s="478" t="s">
        <v>5102</v>
      </c>
      <c r="C192" s="391" t="s">
        <v>271</v>
      </c>
      <c r="D192" s="479">
        <v>575.15</v>
      </c>
      <c r="E192" s="368"/>
      <c r="F192" s="368"/>
    </row>
    <row r="193" spans="1:6" ht="25.5" x14ac:dyDescent="0.2">
      <c r="A193" s="391">
        <v>88630</v>
      </c>
      <c r="B193" s="478" t="s">
        <v>39072</v>
      </c>
      <c r="C193" s="391" t="s">
        <v>271</v>
      </c>
      <c r="D193" s="479">
        <v>495.56</v>
      </c>
      <c r="E193" s="368"/>
      <c r="F193" s="368"/>
    </row>
    <row r="194" spans="1:6" ht="38.25" x14ac:dyDescent="0.2">
      <c r="A194" s="391">
        <v>87381</v>
      </c>
      <c r="B194" s="478" t="s">
        <v>5145</v>
      </c>
      <c r="C194" s="391" t="s">
        <v>271</v>
      </c>
      <c r="D194" s="479">
        <v>3652.19</v>
      </c>
      <c r="E194" s="368"/>
      <c r="F194" s="368"/>
    </row>
    <row r="195" spans="1:6" ht="38.25" x14ac:dyDescent="0.2">
      <c r="A195" s="391">
        <v>100462</v>
      </c>
      <c r="B195" s="478" t="s">
        <v>40598</v>
      </c>
      <c r="C195" s="391" t="s">
        <v>271</v>
      </c>
      <c r="D195" s="479">
        <v>0</v>
      </c>
      <c r="E195" s="368"/>
      <c r="F195" s="368"/>
    </row>
    <row r="196" spans="1:6" ht="38.25" x14ac:dyDescent="0.2">
      <c r="A196" s="391">
        <v>87325</v>
      </c>
      <c r="B196" s="478" t="s">
        <v>5089</v>
      </c>
      <c r="C196" s="391" t="s">
        <v>271</v>
      </c>
      <c r="D196" s="479">
        <v>3549.71</v>
      </c>
      <c r="E196" s="368"/>
      <c r="F196" s="368"/>
    </row>
    <row r="197" spans="1:6" ht="38.25" x14ac:dyDescent="0.2">
      <c r="A197" s="391">
        <v>87326</v>
      </c>
      <c r="B197" s="478" t="s">
        <v>5090</v>
      </c>
      <c r="C197" s="391" t="s">
        <v>271</v>
      </c>
      <c r="D197" s="479">
        <v>3552.59</v>
      </c>
      <c r="E197" s="368"/>
      <c r="F197" s="368"/>
    </row>
    <row r="198" spans="1:6" ht="38.25" x14ac:dyDescent="0.2">
      <c r="A198" s="391">
        <v>87363</v>
      </c>
      <c r="B198" s="478" t="s">
        <v>5127</v>
      </c>
      <c r="C198" s="391" t="s">
        <v>271</v>
      </c>
      <c r="D198" s="479">
        <v>3523.88</v>
      </c>
      <c r="E198" s="368"/>
      <c r="F198" s="368"/>
    </row>
    <row r="199" spans="1:6" ht="38.25" x14ac:dyDescent="0.2">
      <c r="A199" s="391">
        <v>87364</v>
      </c>
      <c r="B199" s="478" t="s">
        <v>5128</v>
      </c>
      <c r="C199" s="391" t="s">
        <v>271</v>
      </c>
      <c r="D199" s="479">
        <v>3487.24</v>
      </c>
      <c r="E199" s="368"/>
      <c r="F199" s="368"/>
    </row>
    <row r="200" spans="1:6" ht="25.5" x14ac:dyDescent="0.2">
      <c r="A200" s="391">
        <v>87378</v>
      </c>
      <c r="B200" s="478" t="s">
        <v>5142</v>
      </c>
      <c r="C200" s="391" t="s">
        <v>271</v>
      </c>
      <c r="D200" s="479">
        <v>604.83000000000004</v>
      </c>
      <c r="E200" s="368"/>
      <c r="F200" s="368"/>
    </row>
    <row r="201" spans="1:6" ht="38.25" x14ac:dyDescent="0.2">
      <c r="A201" s="391">
        <v>100459</v>
      </c>
      <c r="B201" s="478" t="s">
        <v>40599</v>
      </c>
      <c r="C201" s="391" t="s">
        <v>271</v>
      </c>
      <c r="D201" s="479">
        <v>0</v>
      </c>
      <c r="E201" s="368"/>
      <c r="F201" s="368"/>
    </row>
    <row r="202" spans="1:6" ht="38.25" x14ac:dyDescent="0.2">
      <c r="A202" s="391">
        <v>87316</v>
      </c>
      <c r="B202" s="478" t="s">
        <v>5083</v>
      </c>
      <c r="C202" s="391" t="s">
        <v>271</v>
      </c>
      <c r="D202" s="479">
        <v>495.52</v>
      </c>
      <c r="E202" s="368"/>
      <c r="F202" s="368"/>
    </row>
    <row r="203" spans="1:6" ht="38.25" x14ac:dyDescent="0.2">
      <c r="A203" s="391">
        <v>87317</v>
      </c>
      <c r="B203" s="478" t="s">
        <v>5084</v>
      </c>
      <c r="C203" s="391" t="s">
        <v>271</v>
      </c>
      <c r="D203" s="479">
        <v>475.31</v>
      </c>
      <c r="E203" s="368"/>
      <c r="F203" s="368"/>
    </row>
    <row r="204" spans="1:6" ht="38.25" x14ac:dyDescent="0.2">
      <c r="A204" s="391">
        <v>87355</v>
      </c>
      <c r="B204" s="478" t="s">
        <v>5119</v>
      </c>
      <c r="C204" s="391" t="s">
        <v>271</v>
      </c>
      <c r="D204" s="479">
        <v>538.91999999999996</v>
      </c>
      <c r="E204" s="368"/>
      <c r="F204" s="368"/>
    </row>
    <row r="205" spans="1:6" ht="38.25" x14ac:dyDescent="0.2">
      <c r="A205" s="391">
        <v>87356</v>
      </c>
      <c r="B205" s="478" t="s">
        <v>5120</v>
      </c>
      <c r="C205" s="391" t="s">
        <v>271</v>
      </c>
      <c r="D205" s="479">
        <v>480.63</v>
      </c>
      <c r="E205" s="368"/>
      <c r="F205" s="368"/>
    </row>
    <row r="206" spans="1:6" ht="38.25" x14ac:dyDescent="0.2">
      <c r="A206" s="391">
        <v>87357</v>
      </c>
      <c r="B206" s="478" t="s">
        <v>5121</v>
      </c>
      <c r="C206" s="391" t="s">
        <v>271</v>
      </c>
      <c r="D206" s="479">
        <v>450.76</v>
      </c>
      <c r="E206" s="368"/>
      <c r="F206" s="368"/>
    </row>
    <row r="207" spans="1:6" ht="25.5" x14ac:dyDescent="0.2">
      <c r="A207" s="391">
        <v>100486</v>
      </c>
      <c r="B207" s="478" t="s">
        <v>5189</v>
      </c>
      <c r="C207" s="391" t="s">
        <v>271</v>
      </c>
      <c r="D207" s="479">
        <v>749.06</v>
      </c>
      <c r="E207" s="368"/>
      <c r="F207" s="368"/>
    </row>
    <row r="208" spans="1:6" ht="38.25" x14ac:dyDescent="0.2">
      <c r="A208" s="391">
        <v>100482</v>
      </c>
      <c r="B208" s="478" t="s">
        <v>40600</v>
      </c>
      <c r="C208" s="391" t="s">
        <v>271</v>
      </c>
      <c r="D208" s="479">
        <v>0</v>
      </c>
      <c r="E208" s="368"/>
      <c r="F208" s="368"/>
    </row>
    <row r="209" spans="1:6" ht="38.25" x14ac:dyDescent="0.2">
      <c r="A209" s="391">
        <v>100481</v>
      </c>
      <c r="B209" s="478" t="s">
        <v>5185</v>
      </c>
      <c r="C209" s="391" t="s">
        <v>271</v>
      </c>
      <c r="D209" s="479">
        <v>647.41</v>
      </c>
      <c r="E209" s="368"/>
      <c r="F209" s="368"/>
    </row>
    <row r="210" spans="1:6" ht="38.25" x14ac:dyDescent="0.2">
      <c r="A210" s="391">
        <v>100492</v>
      </c>
      <c r="B210" s="478" t="s">
        <v>5195</v>
      </c>
      <c r="C210" s="391" t="s">
        <v>271</v>
      </c>
      <c r="D210" s="479">
        <v>644.33000000000004</v>
      </c>
      <c r="E210" s="368"/>
      <c r="F210" s="368"/>
    </row>
    <row r="211" spans="1:6" ht="38.25" x14ac:dyDescent="0.2">
      <c r="A211" s="391">
        <v>100483</v>
      </c>
      <c r="B211" s="478" t="s">
        <v>5186</v>
      </c>
      <c r="C211" s="391" t="s">
        <v>271</v>
      </c>
      <c r="D211" s="479">
        <v>699.81</v>
      </c>
      <c r="E211" s="368"/>
      <c r="F211" s="368"/>
    </row>
    <row r="212" spans="1:6" ht="38.25" x14ac:dyDescent="0.2">
      <c r="A212" s="391">
        <v>100484</v>
      </c>
      <c r="B212" s="478" t="s">
        <v>5187</v>
      </c>
      <c r="C212" s="391" t="s">
        <v>271</v>
      </c>
      <c r="D212" s="479">
        <v>646.14</v>
      </c>
      <c r="E212" s="368"/>
      <c r="F212" s="368"/>
    </row>
    <row r="213" spans="1:6" ht="38.25" x14ac:dyDescent="0.2">
      <c r="A213" s="391">
        <v>100485</v>
      </c>
      <c r="B213" s="478" t="s">
        <v>5188</v>
      </c>
      <c r="C213" s="391" t="s">
        <v>271</v>
      </c>
      <c r="D213" s="479">
        <v>622.55999999999995</v>
      </c>
      <c r="E213" s="368"/>
      <c r="F213" s="368"/>
    </row>
    <row r="214" spans="1:6" ht="25.5" x14ac:dyDescent="0.2">
      <c r="A214" s="391">
        <v>87373</v>
      </c>
      <c r="B214" s="478" t="s">
        <v>5137</v>
      </c>
      <c r="C214" s="391" t="s">
        <v>271</v>
      </c>
      <c r="D214" s="479">
        <v>735.72</v>
      </c>
      <c r="E214" s="368"/>
      <c r="F214" s="368"/>
    </row>
    <row r="215" spans="1:6" ht="25.5" x14ac:dyDescent="0.2">
      <c r="A215" s="391">
        <v>100454</v>
      </c>
      <c r="B215" s="478" t="s">
        <v>40601</v>
      </c>
      <c r="C215" s="391" t="s">
        <v>271</v>
      </c>
      <c r="D215" s="479">
        <v>0</v>
      </c>
      <c r="E215" s="368"/>
      <c r="F215" s="368"/>
    </row>
    <row r="216" spans="1:6" ht="25.5" x14ac:dyDescent="0.2">
      <c r="A216" s="391">
        <v>87301</v>
      </c>
      <c r="B216" s="478" t="s">
        <v>5073</v>
      </c>
      <c r="C216" s="391" t="s">
        <v>271</v>
      </c>
      <c r="D216" s="479">
        <v>625.52</v>
      </c>
      <c r="E216" s="368"/>
      <c r="F216" s="368"/>
    </row>
    <row r="217" spans="1:6" ht="25.5" x14ac:dyDescent="0.2">
      <c r="A217" s="391">
        <v>87302</v>
      </c>
      <c r="B217" s="478" t="s">
        <v>5074</v>
      </c>
      <c r="C217" s="391" t="s">
        <v>271</v>
      </c>
      <c r="D217" s="479">
        <v>611.79999999999995</v>
      </c>
      <c r="E217" s="368"/>
      <c r="F217" s="368"/>
    </row>
    <row r="218" spans="1:6" ht="38.25" x14ac:dyDescent="0.2">
      <c r="A218" s="391">
        <v>87342</v>
      </c>
      <c r="B218" s="478" t="s">
        <v>5106</v>
      </c>
      <c r="C218" s="391" t="s">
        <v>271</v>
      </c>
      <c r="D218" s="479">
        <v>706.35</v>
      </c>
      <c r="E218" s="368"/>
      <c r="F218" s="368"/>
    </row>
    <row r="219" spans="1:6" ht="38.25" x14ac:dyDescent="0.2">
      <c r="A219" s="391">
        <v>87343</v>
      </c>
      <c r="B219" s="478" t="s">
        <v>5107</v>
      </c>
      <c r="C219" s="391" t="s">
        <v>271</v>
      </c>
      <c r="D219" s="479">
        <v>627.36</v>
      </c>
      <c r="E219" s="368"/>
      <c r="F219" s="368"/>
    </row>
    <row r="220" spans="1:6" ht="38.25" x14ac:dyDescent="0.2">
      <c r="A220" s="391">
        <v>87344</v>
      </c>
      <c r="B220" s="478" t="s">
        <v>5108</v>
      </c>
      <c r="C220" s="391" t="s">
        <v>271</v>
      </c>
      <c r="D220" s="479">
        <v>581.85</v>
      </c>
      <c r="E220" s="368"/>
      <c r="F220" s="368"/>
    </row>
    <row r="221" spans="1:6" ht="25.5" x14ac:dyDescent="0.2">
      <c r="A221" s="391">
        <v>88631</v>
      </c>
      <c r="B221" s="478" t="s">
        <v>5172</v>
      </c>
      <c r="C221" s="391" t="s">
        <v>271</v>
      </c>
      <c r="D221" s="479">
        <v>604.51</v>
      </c>
      <c r="E221" s="368"/>
      <c r="F221" s="368"/>
    </row>
    <row r="222" spans="1:6" ht="25.5" x14ac:dyDescent="0.2">
      <c r="A222" s="391">
        <v>100471</v>
      </c>
      <c r="B222" s="478" t="s">
        <v>40602</v>
      </c>
      <c r="C222" s="391" t="s">
        <v>271</v>
      </c>
      <c r="D222" s="479">
        <v>0</v>
      </c>
      <c r="E222" s="368"/>
      <c r="F222" s="368"/>
    </row>
    <row r="223" spans="1:6" ht="25.5" x14ac:dyDescent="0.2">
      <c r="A223" s="391">
        <v>100490</v>
      </c>
      <c r="B223" s="478" t="s">
        <v>5193</v>
      </c>
      <c r="C223" s="391" t="s">
        <v>271</v>
      </c>
      <c r="D223" s="479">
        <v>504.31</v>
      </c>
      <c r="E223" s="368"/>
      <c r="F223" s="368"/>
    </row>
    <row r="224" spans="1:6" ht="38.25" x14ac:dyDescent="0.2">
      <c r="A224" s="391">
        <v>100472</v>
      </c>
      <c r="B224" s="478" t="s">
        <v>5177</v>
      </c>
      <c r="C224" s="391" t="s">
        <v>271</v>
      </c>
      <c r="D224" s="479">
        <v>564.97</v>
      </c>
      <c r="E224" s="368"/>
      <c r="F224" s="368"/>
    </row>
    <row r="225" spans="1:6" ht="38.25" x14ac:dyDescent="0.2">
      <c r="A225" s="391">
        <v>100473</v>
      </c>
      <c r="B225" s="478" t="s">
        <v>5178</v>
      </c>
      <c r="C225" s="391" t="s">
        <v>271</v>
      </c>
      <c r="D225" s="479">
        <v>510.17</v>
      </c>
      <c r="E225" s="368"/>
      <c r="F225" s="368"/>
    </row>
    <row r="226" spans="1:6" ht="38.25" x14ac:dyDescent="0.2">
      <c r="A226" s="391">
        <v>100474</v>
      </c>
      <c r="B226" s="478" t="s">
        <v>5179</v>
      </c>
      <c r="C226" s="391" t="s">
        <v>271</v>
      </c>
      <c r="D226" s="479">
        <v>484.58</v>
      </c>
      <c r="E226" s="368"/>
      <c r="F226" s="368"/>
    </row>
    <row r="227" spans="1:6" ht="38.25" x14ac:dyDescent="0.2">
      <c r="A227" s="391">
        <v>87379</v>
      </c>
      <c r="B227" s="478" t="s">
        <v>5143</v>
      </c>
      <c r="C227" s="391" t="s">
        <v>271</v>
      </c>
      <c r="D227" s="479">
        <v>3622.21</v>
      </c>
      <c r="E227" s="368"/>
      <c r="F227" s="368"/>
    </row>
    <row r="228" spans="1:6" ht="38.25" x14ac:dyDescent="0.2">
      <c r="A228" s="391">
        <v>100460</v>
      </c>
      <c r="B228" s="478" t="s">
        <v>40603</v>
      </c>
      <c r="C228" s="391" t="s">
        <v>271</v>
      </c>
      <c r="D228" s="479">
        <v>0</v>
      </c>
      <c r="E228" s="368"/>
      <c r="F228" s="368"/>
    </row>
    <row r="229" spans="1:6" ht="38.25" x14ac:dyDescent="0.2">
      <c r="A229" s="391">
        <v>87319</v>
      </c>
      <c r="B229" s="478" t="s">
        <v>5085</v>
      </c>
      <c r="C229" s="391" t="s">
        <v>271</v>
      </c>
      <c r="D229" s="479">
        <v>3523.35</v>
      </c>
      <c r="E229" s="368"/>
      <c r="F229" s="368"/>
    </row>
    <row r="230" spans="1:6" ht="38.25" x14ac:dyDescent="0.2">
      <c r="A230" s="391">
        <v>87320</v>
      </c>
      <c r="B230" s="478" t="s">
        <v>5086</v>
      </c>
      <c r="C230" s="391" t="s">
        <v>271</v>
      </c>
      <c r="D230" s="479">
        <v>3525.08</v>
      </c>
      <c r="E230" s="368"/>
      <c r="F230" s="368"/>
    </row>
    <row r="231" spans="1:6" ht="38.25" x14ac:dyDescent="0.2">
      <c r="A231" s="391">
        <v>87358</v>
      </c>
      <c r="B231" s="478" t="s">
        <v>5122</v>
      </c>
      <c r="C231" s="391" t="s">
        <v>271</v>
      </c>
      <c r="D231" s="479">
        <v>3487.8</v>
      </c>
      <c r="E231" s="368"/>
      <c r="F231" s="368"/>
    </row>
    <row r="232" spans="1:6" ht="38.25" x14ac:dyDescent="0.2">
      <c r="A232" s="391">
        <v>87359</v>
      </c>
      <c r="B232" s="478" t="s">
        <v>5123</v>
      </c>
      <c r="C232" s="391" t="s">
        <v>271</v>
      </c>
      <c r="D232" s="479">
        <v>3452.98</v>
      </c>
      <c r="E232" s="368"/>
      <c r="F232" s="368"/>
    </row>
    <row r="233" spans="1:6" ht="25.5" x14ac:dyDescent="0.2">
      <c r="A233" s="391">
        <v>87376</v>
      </c>
      <c r="B233" s="478" t="s">
        <v>5140</v>
      </c>
      <c r="C233" s="391" t="s">
        <v>271</v>
      </c>
      <c r="D233" s="479">
        <v>574.29</v>
      </c>
      <c r="E233" s="368"/>
      <c r="F233" s="368"/>
    </row>
    <row r="234" spans="1:6" ht="38.25" x14ac:dyDescent="0.2">
      <c r="A234" s="391">
        <v>100457</v>
      </c>
      <c r="B234" s="478" t="s">
        <v>40604</v>
      </c>
      <c r="C234" s="391" t="s">
        <v>271</v>
      </c>
      <c r="D234" s="479">
        <v>0</v>
      </c>
      <c r="E234" s="368"/>
      <c r="F234" s="368"/>
    </row>
    <row r="235" spans="1:6" ht="38.25" x14ac:dyDescent="0.2">
      <c r="A235" s="391">
        <v>87310</v>
      </c>
      <c r="B235" s="478" t="s">
        <v>5079</v>
      </c>
      <c r="C235" s="391" t="s">
        <v>271</v>
      </c>
      <c r="D235" s="479">
        <v>454.11</v>
      </c>
      <c r="E235" s="368"/>
      <c r="F235" s="368"/>
    </row>
    <row r="236" spans="1:6" ht="38.25" x14ac:dyDescent="0.2">
      <c r="A236" s="391">
        <v>87311</v>
      </c>
      <c r="B236" s="478" t="s">
        <v>5080</v>
      </c>
      <c r="C236" s="391" t="s">
        <v>271</v>
      </c>
      <c r="D236" s="479">
        <v>440.22</v>
      </c>
      <c r="E236" s="368"/>
      <c r="F236" s="368"/>
    </row>
    <row r="237" spans="1:6" ht="38.25" x14ac:dyDescent="0.2">
      <c r="A237" s="391">
        <v>87350</v>
      </c>
      <c r="B237" s="478" t="s">
        <v>5114</v>
      </c>
      <c r="C237" s="391" t="s">
        <v>271</v>
      </c>
      <c r="D237" s="479">
        <v>505.59</v>
      </c>
      <c r="E237" s="368"/>
      <c r="F237" s="368"/>
    </row>
    <row r="238" spans="1:6" ht="38.25" x14ac:dyDescent="0.2">
      <c r="A238" s="391">
        <v>87351</v>
      </c>
      <c r="B238" s="478" t="s">
        <v>5115</v>
      </c>
      <c r="C238" s="391" t="s">
        <v>271</v>
      </c>
      <c r="D238" s="479">
        <v>423.45</v>
      </c>
      <c r="E238" s="368"/>
      <c r="F238" s="368"/>
    </row>
    <row r="239" spans="1:6" ht="25.5" x14ac:dyDescent="0.2">
      <c r="A239" s="391">
        <v>87374</v>
      </c>
      <c r="B239" s="478" t="s">
        <v>5138</v>
      </c>
      <c r="C239" s="391" t="s">
        <v>271</v>
      </c>
      <c r="D239" s="479">
        <v>691.91</v>
      </c>
      <c r="E239" s="368"/>
      <c r="F239" s="368"/>
    </row>
    <row r="240" spans="1:6" ht="25.5" x14ac:dyDescent="0.2">
      <c r="A240" s="391">
        <v>100455</v>
      </c>
      <c r="B240" s="478" t="s">
        <v>40605</v>
      </c>
      <c r="C240" s="391" t="s">
        <v>271</v>
      </c>
      <c r="D240" s="479">
        <v>0</v>
      </c>
      <c r="E240" s="368"/>
      <c r="F240" s="368"/>
    </row>
    <row r="241" spans="1:6" ht="25.5" x14ac:dyDescent="0.2">
      <c r="A241" s="391">
        <v>87304</v>
      </c>
      <c r="B241" s="478" t="s">
        <v>5075</v>
      </c>
      <c r="C241" s="391" t="s">
        <v>271</v>
      </c>
      <c r="D241" s="479">
        <v>570.41999999999996</v>
      </c>
      <c r="E241" s="368"/>
      <c r="F241" s="368"/>
    </row>
    <row r="242" spans="1:6" ht="25.5" x14ac:dyDescent="0.2">
      <c r="A242" s="391">
        <v>87305</v>
      </c>
      <c r="B242" s="478" t="s">
        <v>5076</v>
      </c>
      <c r="C242" s="391" t="s">
        <v>271</v>
      </c>
      <c r="D242" s="479">
        <v>569.9</v>
      </c>
      <c r="E242" s="368"/>
      <c r="F242" s="368"/>
    </row>
    <row r="243" spans="1:6" ht="38.25" x14ac:dyDescent="0.2">
      <c r="A243" s="391">
        <v>87345</v>
      </c>
      <c r="B243" s="478" t="s">
        <v>5109</v>
      </c>
      <c r="C243" s="391" t="s">
        <v>271</v>
      </c>
      <c r="D243" s="479">
        <v>638.30999999999995</v>
      </c>
      <c r="E243" s="368"/>
      <c r="F243" s="368"/>
    </row>
    <row r="244" spans="1:6" ht="38.25" x14ac:dyDescent="0.2">
      <c r="A244" s="391">
        <v>87346</v>
      </c>
      <c r="B244" s="478" t="s">
        <v>5110</v>
      </c>
      <c r="C244" s="391" t="s">
        <v>271</v>
      </c>
      <c r="D244" s="479">
        <v>573.1</v>
      </c>
      <c r="E244" s="368"/>
      <c r="F244" s="368"/>
    </row>
    <row r="245" spans="1:6" ht="38.25" x14ac:dyDescent="0.2">
      <c r="A245" s="391">
        <v>87347</v>
      </c>
      <c r="B245" s="478" t="s">
        <v>5111</v>
      </c>
      <c r="C245" s="391" t="s">
        <v>271</v>
      </c>
      <c r="D245" s="479">
        <v>536.75</v>
      </c>
      <c r="E245" s="368"/>
      <c r="F245" s="368"/>
    </row>
    <row r="246" spans="1:6" ht="38.25" x14ac:dyDescent="0.2">
      <c r="A246" s="391">
        <v>87366</v>
      </c>
      <c r="B246" s="478" t="s">
        <v>5130</v>
      </c>
      <c r="C246" s="391" t="s">
        <v>271</v>
      </c>
      <c r="D246" s="479">
        <v>601.34</v>
      </c>
      <c r="E246" s="368"/>
      <c r="F246" s="368"/>
    </row>
    <row r="247" spans="1:6" ht="51" x14ac:dyDescent="0.2">
      <c r="A247" s="391">
        <v>100448</v>
      </c>
      <c r="B247" s="478" t="s">
        <v>40606</v>
      </c>
      <c r="C247" s="391" t="s">
        <v>271</v>
      </c>
      <c r="D247" s="479">
        <v>0</v>
      </c>
      <c r="E247" s="368"/>
      <c r="F247" s="368"/>
    </row>
    <row r="248" spans="1:6" ht="51" x14ac:dyDescent="0.2">
      <c r="A248" s="391">
        <v>87283</v>
      </c>
      <c r="B248" s="478" t="s">
        <v>5061</v>
      </c>
      <c r="C248" s="391" t="s">
        <v>271</v>
      </c>
      <c r="D248" s="479">
        <v>476.58</v>
      </c>
      <c r="E248" s="368"/>
      <c r="F248" s="368"/>
    </row>
    <row r="249" spans="1:6" ht="51" x14ac:dyDescent="0.2">
      <c r="A249" s="391">
        <v>87284</v>
      </c>
      <c r="B249" s="478" t="s">
        <v>5062</v>
      </c>
      <c r="C249" s="391" t="s">
        <v>271</v>
      </c>
      <c r="D249" s="479">
        <v>464.97</v>
      </c>
      <c r="E249" s="368"/>
      <c r="F249" s="368"/>
    </row>
    <row r="250" spans="1:6" ht="51" x14ac:dyDescent="0.2">
      <c r="A250" s="391">
        <v>87329</v>
      </c>
      <c r="B250" s="478" t="s">
        <v>5093</v>
      </c>
      <c r="C250" s="391" t="s">
        <v>271</v>
      </c>
      <c r="D250" s="479">
        <v>522.85</v>
      </c>
      <c r="E250" s="368"/>
      <c r="F250" s="368"/>
    </row>
    <row r="251" spans="1:6" ht="51" x14ac:dyDescent="0.2">
      <c r="A251" s="391">
        <v>87330</v>
      </c>
      <c r="B251" s="478" t="s">
        <v>5094</v>
      </c>
      <c r="C251" s="391" t="s">
        <v>271</v>
      </c>
      <c r="D251" s="479">
        <v>446.13</v>
      </c>
      <c r="E251" s="368"/>
      <c r="F251" s="368"/>
    </row>
    <row r="252" spans="1:6" ht="25.5" x14ac:dyDescent="0.2">
      <c r="A252" s="391">
        <v>87375</v>
      </c>
      <c r="B252" s="478" t="s">
        <v>5139</v>
      </c>
      <c r="C252" s="391" t="s">
        <v>271</v>
      </c>
      <c r="D252" s="479">
        <v>664.49</v>
      </c>
      <c r="E252" s="368"/>
      <c r="F252" s="368"/>
    </row>
    <row r="253" spans="1:6" ht="25.5" x14ac:dyDescent="0.2">
      <c r="A253" s="391">
        <v>100456</v>
      </c>
      <c r="B253" s="478" t="s">
        <v>40607</v>
      </c>
      <c r="C253" s="391" t="s">
        <v>271</v>
      </c>
      <c r="D253" s="479">
        <v>0</v>
      </c>
      <c r="E253" s="368"/>
      <c r="F253" s="368"/>
    </row>
    <row r="254" spans="1:6" ht="25.5" x14ac:dyDescent="0.2">
      <c r="A254" s="391">
        <v>87307</v>
      </c>
      <c r="B254" s="478" t="s">
        <v>5077</v>
      </c>
      <c r="C254" s="391" t="s">
        <v>271</v>
      </c>
      <c r="D254" s="479">
        <v>548.75</v>
      </c>
      <c r="E254" s="368"/>
      <c r="F254" s="368"/>
    </row>
    <row r="255" spans="1:6" ht="25.5" x14ac:dyDescent="0.2">
      <c r="A255" s="391">
        <v>87308</v>
      </c>
      <c r="B255" s="478" t="s">
        <v>5078</v>
      </c>
      <c r="C255" s="391" t="s">
        <v>271</v>
      </c>
      <c r="D255" s="479">
        <v>534.4</v>
      </c>
      <c r="E255" s="368"/>
      <c r="F255" s="368"/>
    </row>
    <row r="256" spans="1:6" ht="38.25" x14ac:dyDescent="0.2">
      <c r="A256" s="391">
        <v>87348</v>
      </c>
      <c r="B256" s="478" t="s">
        <v>5112</v>
      </c>
      <c r="C256" s="391" t="s">
        <v>271</v>
      </c>
      <c r="D256" s="479">
        <v>587.48</v>
      </c>
      <c r="E256" s="368"/>
      <c r="F256" s="368"/>
    </row>
    <row r="257" spans="1:6" ht="38.25" x14ac:dyDescent="0.2">
      <c r="A257" s="391">
        <v>87349</v>
      </c>
      <c r="B257" s="478" t="s">
        <v>5113</v>
      </c>
      <c r="C257" s="391" t="s">
        <v>271</v>
      </c>
      <c r="D257" s="479">
        <v>500.32</v>
      </c>
      <c r="E257" s="368"/>
      <c r="F257" s="368"/>
    </row>
    <row r="258" spans="1:6" ht="38.25" x14ac:dyDescent="0.2">
      <c r="A258" s="391">
        <v>87365</v>
      </c>
      <c r="B258" s="478" t="s">
        <v>5129</v>
      </c>
      <c r="C258" s="391" t="s">
        <v>271</v>
      </c>
      <c r="D258" s="479">
        <v>572.89</v>
      </c>
      <c r="E258" s="368"/>
      <c r="F258" s="368"/>
    </row>
    <row r="259" spans="1:6" ht="51" x14ac:dyDescent="0.2">
      <c r="A259" s="391">
        <v>100447</v>
      </c>
      <c r="B259" s="478" t="s">
        <v>40608</v>
      </c>
      <c r="C259" s="391" t="s">
        <v>271</v>
      </c>
      <c r="D259" s="479">
        <v>0</v>
      </c>
      <c r="E259" s="368"/>
      <c r="F259" s="368"/>
    </row>
    <row r="260" spans="1:6" ht="51" x14ac:dyDescent="0.2">
      <c r="A260" s="391">
        <v>87280</v>
      </c>
      <c r="B260" s="478" t="s">
        <v>5059</v>
      </c>
      <c r="C260" s="391" t="s">
        <v>271</v>
      </c>
      <c r="D260" s="479">
        <v>464.07</v>
      </c>
      <c r="E260" s="368"/>
      <c r="F260" s="368"/>
    </row>
    <row r="261" spans="1:6" ht="51" x14ac:dyDescent="0.2">
      <c r="A261" s="391">
        <v>87281</v>
      </c>
      <c r="B261" s="478" t="s">
        <v>5060</v>
      </c>
      <c r="C261" s="391" t="s">
        <v>271</v>
      </c>
      <c r="D261" s="479">
        <v>453.49</v>
      </c>
      <c r="E261" s="368"/>
      <c r="F261" s="368"/>
    </row>
    <row r="262" spans="1:6" ht="51" x14ac:dyDescent="0.2">
      <c r="A262" s="391">
        <v>87327</v>
      </c>
      <c r="B262" s="478" t="s">
        <v>5091</v>
      </c>
      <c r="C262" s="391" t="s">
        <v>271</v>
      </c>
      <c r="D262" s="479">
        <v>489.62</v>
      </c>
      <c r="E262" s="368"/>
      <c r="F262" s="368"/>
    </row>
    <row r="263" spans="1:6" ht="51" x14ac:dyDescent="0.2">
      <c r="A263" s="391">
        <v>87328</v>
      </c>
      <c r="B263" s="478" t="s">
        <v>5092</v>
      </c>
      <c r="C263" s="391" t="s">
        <v>271</v>
      </c>
      <c r="D263" s="479">
        <v>421.71</v>
      </c>
      <c r="E263" s="368"/>
      <c r="F263" s="368"/>
    </row>
    <row r="264" spans="1:6" ht="25.5" x14ac:dyDescent="0.2">
      <c r="A264" s="391">
        <v>87410</v>
      </c>
      <c r="B264" s="478" t="s">
        <v>5167</v>
      </c>
      <c r="C264" s="391" t="s">
        <v>271</v>
      </c>
      <c r="D264" s="479">
        <v>890.59</v>
      </c>
      <c r="E264" s="368"/>
      <c r="F264" s="368"/>
    </row>
    <row r="265" spans="1:6" x14ac:dyDescent="0.2">
      <c r="A265" s="391">
        <v>95577</v>
      </c>
      <c r="B265" s="478" t="s">
        <v>2053</v>
      </c>
      <c r="C265" s="391" t="s">
        <v>1284</v>
      </c>
      <c r="D265" s="479">
        <v>10.6</v>
      </c>
      <c r="E265" s="368"/>
      <c r="F265" s="368"/>
    </row>
    <row r="266" spans="1:6" x14ac:dyDescent="0.2">
      <c r="A266" s="391">
        <v>95578</v>
      </c>
      <c r="B266" s="478" t="s">
        <v>2054</v>
      </c>
      <c r="C266" s="391" t="s">
        <v>1284</v>
      </c>
      <c r="D266" s="479">
        <v>8.81</v>
      </c>
      <c r="E266" s="368"/>
      <c r="F266" s="368"/>
    </row>
    <row r="267" spans="1:6" x14ac:dyDescent="0.2">
      <c r="A267" s="391">
        <v>95579</v>
      </c>
      <c r="B267" s="478" t="s">
        <v>2055</v>
      </c>
      <c r="C267" s="391" t="s">
        <v>1284</v>
      </c>
      <c r="D267" s="479">
        <v>8.51</v>
      </c>
      <c r="E267" s="368"/>
      <c r="F267" s="368"/>
    </row>
    <row r="268" spans="1:6" x14ac:dyDescent="0.2">
      <c r="A268" s="391">
        <v>95580</v>
      </c>
      <c r="B268" s="478" t="s">
        <v>2056</v>
      </c>
      <c r="C268" s="391" t="s">
        <v>1284</v>
      </c>
      <c r="D268" s="479">
        <v>9.81</v>
      </c>
      <c r="E268" s="368"/>
      <c r="F268" s="368"/>
    </row>
    <row r="269" spans="1:6" x14ac:dyDescent="0.2">
      <c r="A269" s="391">
        <v>95581</v>
      </c>
      <c r="B269" s="478" t="s">
        <v>2057</v>
      </c>
      <c r="C269" s="391" t="s">
        <v>1284</v>
      </c>
      <c r="D269" s="479">
        <v>9.77</v>
      </c>
      <c r="E269" s="368"/>
      <c r="F269" s="368"/>
    </row>
    <row r="270" spans="1:6" x14ac:dyDescent="0.2">
      <c r="A270" s="391">
        <v>95582</v>
      </c>
      <c r="B270" s="478" t="s">
        <v>2058</v>
      </c>
      <c r="C270" s="391" t="s">
        <v>1284</v>
      </c>
      <c r="D270" s="479">
        <v>10.66</v>
      </c>
      <c r="E270" s="368"/>
      <c r="F270" s="368"/>
    </row>
    <row r="271" spans="1:6" x14ac:dyDescent="0.2">
      <c r="A271" s="391">
        <v>95576</v>
      </c>
      <c r="B271" s="478" t="s">
        <v>2052</v>
      </c>
      <c r="C271" s="391" t="s">
        <v>1284</v>
      </c>
      <c r="D271" s="479">
        <v>12.49</v>
      </c>
      <c r="E271" s="368"/>
      <c r="F271" s="368"/>
    </row>
    <row r="272" spans="1:6" ht="25.5" x14ac:dyDescent="0.2">
      <c r="A272" s="391">
        <v>95583</v>
      </c>
      <c r="B272" s="478" t="s">
        <v>2059</v>
      </c>
      <c r="C272" s="391" t="s">
        <v>1284</v>
      </c>
      <c r="D272" s="479">
        <v>15.71</v>
      </c>
      <c r="E272" s="368"/>
      <c r="F272" s="368"/>
    </row>
    <row r="273" spans="1:6" ht="25.5" x14ac:dyDescent="0.2">
      <c r="A273" s="391">
        <v>95584</v>
      </c>
      <c r="B273" s="478" t="s">
        <v>2060</v>
      </c>
      <c r="C273" s="391" t="s">
        <v>1284</v>
      </c>
      <c r="D273" s="479">
        <v>13.84</v>
      </c>
      <c r="E273" s="368"/>
      <c r="F273" s="368"/>
    </row>
    <row r="274" spans="1:6" ht="25.5" x14ac:dyDescent="0.2">
      <c r="A274" s="391">
        <v>95593</v>
      </c>
      <c r="B274" s="478" t="s">
        <v>2062</v>
      </c>
      <c r="C274" s="391" t="s">
        <v>1284</v>
      </c>
      <c r="D274" s="479">
        <v>13.84</v>
      </c>
      <c r="E274" s="368"/>
      <c r="F274" s="368"/>
    </row>
    <row r="275" spans="1:6" ht="25.5" x14ac:dyDescent="0.2">
      <c r="A275" s="391">
        <v>95592</v>
      </c>
      <c r="B275" s="478" t="s">
        <v>2061</v>
      </c>
      <c r="C275" s="391" t="s">
        <v>1284</v>
      </c>
      <c r="D275" s="479">
        <v>15.71</v>
      </c>
      <c r="E275" s="368"/>
      <c r="F275" s="368"/>
    </row>
    <row r="276" spans="1:6" ht="38.25" x14ac:dyDescent="0.2">
      <c r="A276" s="391">
        <v>92919</v>
      </c>
      <c r="B276" s="478" t="s">
        <v>2047</v>
      </c>
      <c r="C276" s="391" t="s">
        <v>1284</v>
      </c>
      <c r="D276" s="479">
        <v>11.89</v>
      </c>
      <c r="E276" s="368"/>
      <c r="F276" s="368"/>
    </row>
    <row r="277" spans="1:6" ht="38.25" x14ac:dyDescent="0.2">
      <c r="A277" s="391">
        <v>92921</v>
      </c>
      <c r="B277" s="478" t="s">
        <v>2048</v>
      </c>
      <c r="C277" s="391" t="s">
        <v>1284</v>
      </c>
      <c r="D277" s="479">
        <v>9.7899999999999991</v>
      </c>
      <c r="E277" s="368"/>
      <c r="F277" s="368"/>
    </row>
    <row r="278" spans="1:6" ht="38.25" x14ac:dyDescent="0.2">
      <c r="A278" s="391">
        <v>92922</v>
      </c>
      <c r="B278" s="478" t="s">
        <v>2049</v>
      </c>
      <c r="C278" s="391" t="s">
        <v>1284</v>
      </c>
      <c r="D278" s="479">
        <v>9.34</v>
      </c>
      <c r="E278" s="368"/>
      <c r="F278" s="368"/>
    </row>
    <row r="279" spans="1:6" ht="38.25" x14ac:dyDescent="0.2">
      <c r="A279" s="391">
        <v>92923</v>
      </c>
      <c r="B279" s="478" t="s">
        <v>2050</v>
      </c>
      <c r="C279" s="391" t="s">
        <v>1284</v>
      </c>
      <c r="D279" s="479">
        <v>10.47</v>
      </c>
      <c r="E279" s="368"/>
      <c r="F279" s="368"/>
    </row>
    <row r="280" spans="1:6" ht="38.25" x14ac:dyDescent="0.2">
      <c r="A280" s="391">
        <v>92924</v>
      </c>
      <c r="B280" s="478" t="s">
        <v>2051</v>
      </c>
      <c r="C280" s="391" t="s">
        <v>1284</v>
      </c>
      <c r="D280" s="479">
        <v>10.27</v>
      </c>
      <c r="E280" s="368"/>
      <c r="F280" s="368"/>
    </row>
    <row r="281" spans="1:6" ht="38.25" x14ac:dyDescent="0.2">
      <c r="A281" s="391">
        <v>104104</v>
      </c>
      <c r="B281" s="478" t="s">
        <v>2077</v>
      </c>
      <c r="C281" s="391" t="s">
        <v>1284</v>
      </c>
      <c r="D281" s="479">
        <v>10.79</v>
      </c>
      <c r="E281" s="368"/>
      <c r="F281" s="368"/>
    </row>
    <row r="282" spans="1:6" ht="38.25" x14ac:dyDescent="0.2">
      <c r="A282" s="391">
        <v>92916</v>
      </c>
      <c r="B282" s="478" t="s">
        <v>2045</v>
      </c>
      <c r="C282" s="391" t="s">
        <v>1284</v>
      </c>
      <c r="D282" s="479">
        <v>15.02</v>
      </c>
      <c r="E282" s="368"/>
      <c r="F282" s="368"/>
    </row>
    <row r="283" spans="1:6" ht="38.25" x14ac:dyDescent="0.2">
      <c r="A283" s="391">
        <v>92917</v>
      </c>
      <c r="B283" s="478" t="s">
        <v>2046</v>
      </c>
      <c r="C283" s="391" t="s">
        <v>1284</v>
      </c>
      <c r="D283" s="479">
        <v>13.64</v>
      </c>
      <c r="E283" s="368"/>
      <c r="F283" s="368"/>
    </row>
    <row r="284" spans="1:6" ht="38.25" x14ac:dyDescent="0.2">
      <c r="A284" s="391">
        <v>92915</v>
      </c>
      <c r="B284" s="478" t="s">
        <v>2044</v>
      </c>
      <c r="C284" s="391" t="s">
        <v>1284</v>
      </c>
      <c r="D284" s="479">
        <v>16.52</v>
      </c>
      <c r="E284" s="368"/>
      <c r="F284" s="368"/>
    </row>
    <row r="285" spans="1:6" ht="25.5" x14ac:dyDescent="0.2">
      <c r="A285" s="391">
        <v>92771</v>
      </c>
      <c r="B285" s="478" t="s">
        <v>2017</v>
      </c>
      <c r="C285" s="391" t="s">
        <v>1284</v>
      </c>
      <c r="D285" s="479">
        <v>10.47</v>
      </c>
      <c r="E285" s="368"/>
      <c r="F285" s="368"/>
    </row>
    <row r="286" spans="1:6" ht="25.5" x14ac:dyDescent="0.2">
      <c r="A286" s="391">
        <v>92772</v>
      </c>
      <c r="B286" s="478" t="s">
        <v>2018</v>
      </c>
      <c r="C286" s="391" t="s">
        <v>1284</v>
      </c>
      <c r="D286" s="479">
        <v>8.76</v>
      </c>
      <c r="E286" s="368"/>
      <c r="F286" s="368"/>
    </row>
    <row r="287" spans="1:6" ht="25.5" x14ac:dyDescent="0.2">
      <c r="A287" s="391">
        <v>92773</v>
      </c>
      <c r="B287" s="478" t="s">
        <v>2019</v>
      </c>
      <c r="C287" s="391" t="s">
        <v>1284</v>
      </c>
      <c r="D287" s="479">
        <v>8.59</v>
      </c>
      <c r="E287" s="368"/>
      <c r="F287" s="368"/>
    </row>
    <row r="288" spans="1:6" ht="25.5" x14ac:dyDescent="0.2">
      <c r="A288" s="391">
        <v>92774</v>
      </c>
      <c r="B288" s="478" t="s">
        <v>2020</v>
      </c>
      <c r="C288" s="391" t="s">
        <v>1284</v>
      </c>
      <c r="D288" s="479">
        <v>9.9499999999999993</v>
      </c>
      <c r="E288" s="368"/>
      <c r="F288" s="368"/>
    </row>
    <row r="289" spans="1:6" ht="25.5" x14ac:dyDescent="0.2">
      <c r="A289" s="391">
        <v>92769</v>
      </c>
      <c r="B289" s="478" t="s">
        <v>2015</v>
      </c>
      <c r="C289" s="391" t="s">
        <v>1284</v>
      </c>
      <c r="D289" s="479">
        <v>12.56</v>
      </c>
      <c r="E289" s="368"/>
      <c r="F289" s="368"/>
    </row>
    <row r="290" spans="1:6" ht="25.5" x14ac:dyDescent="0.2">
      <c r="A290" s="391">
        <v>92770</v>
      </c>
      <c r="B290" s="478" t="s">
        <v>2016</v>
      </c>
      <c r="C290" s="391" t="s">
        <v>1284</v>
      </c>
      <c r="D290" s="479">
        <v>11.78</v>
      </c>
      <c r="E290" s="368"/>
      <c r="F290" s="368"/>
    </row>
    <row r="291" spans="1:6" ht="25.5" x14ac:dyDescent="0.2">
      <c r="A291" s="391">
        <v>92767</v>
      </c>
      <c r="B291" s="478" t="s">
        <v>2013</v>
      </c>
      <c r="C291" s="391" t="s">
        <v>1284</v>
      </c>
      <c r="D291" s="479">
        <v>15.25</v>
      </c>
      <c r="E291" s="368"/>
      <c r="F291" s="368"/>
    </row>
    <row r="292" spans="1:6" ht="25.5" x14ac:dyDescent="0.2">
      <c r="A292" s="391">
        <v>92768</v>
      </c>
      <c r="B292" s="478" t="s">
        <v>2014</v>
      </c>
      <c r="C292" s="391" t="s">
        <v>1284</v>
      </c>
      <c r="D292" s="479">
        <v>13.36</v>
      </c>
      <c r="E292" s="368"/>
      <c r="F292" s="368"/>
    </row>
    <row r="293" spans="1:6" ht="25.5" x14ac:dyDescent="0.2">
      <c r="A293" s="391">
        <v>92762</v>
      </c>
      <c r="B293" s="478" t="s">
        <v>2008</v>
      </c>
      <c r="C293" s="391" t="s">
        <v>1284</v>
      </c>
      <c r="D293" s="479">
        <v>10.92</v>
      </c>
      <c r="E293" s="368"/>
      <c r="F293" s="368"/>
    </row>
    <row r="294" spans="1:6" ht="25.5" x14ac:dyDescent="0.2">
      <c r="A294" s="391">
        <v>92763</v>
      </c>
      <c r="B294" s="478" t="s">
        <v>2009</v>
      </c>
      <c r="C294" s="391" t="s">
        <v>1284</v>
      </c>
      <c r="D294" s="479">
        <v>9.16</v>
      </c>
      <c r="E294" s="368"/>
      <c r="F294" s="368"/>
    </row>
    <row r="295" spans="1:6" ht="25.5" x14ac:dyDescent="0.2">
      <c r="A295" s="391">
        <v>92764</v>
      </c>
      <c r="B295" s="478" t="s">
        <v>2010</v>
      </c>
      <c r="C295" s="391" t="s">
        <v>1284</v>
      </c>
      <c r="D295" s="479">
        <v>8.86</v>
      </c>
      <c r="E295" s="368"/>
      <c r="F295" s="368"/>
    </row>
    <row r="296" spans="1:6" ht="25.5" x14ac:dyDescent="0.2">
      <c r="A296" s="391">
        <v>92765</v>
      </c>
      <c r="B296" s="478" t="s">
        <v>2011</v>
      </c>
      <c r="C296" s="391" t="s">
        <v>1284</v>
      </c>
      <c r="D296" s="479">
        <v>10.09</v>
      </c>
      <c r="E296" s="368"/>
      <c r="F296" s="368"/>
    </row>
    <row r="297" spans="1:6" ht="25.5" x14ac:dyDescent="0.2">
      <c r="A297" s="391">
        <v>92766</v>
      </c>
      <c r="B297" s="478" t="s">
        <v>2012</v>
      </c>
      <c r="C297" s="391" t="s">
        <v>1284</v>
      </c>
      <c r="D297" s="479">
        <v>9.98</v>
      </c>
      <c r="E297" s="368"/>
      <c r="F297" s="368"/>
    </row>
    <row r="298" spans="1:6" ht="25.5" x14ac:dyDescent="0.2">
      <c r="A298" s="391">
        <v>104105</v>
      </c>
      <c r="B298" s="478" t="s">
        <v>2078</v>
      </c>
      <c r="C298" s="391" t="s">
        <v>1284</v>
      </c>
      <c r="D298" s="479">
        <v>10.79</v>
      </c>
      <c r="E298" s="368"/>
      <c r="F298" s="368"/>
    </row>
    <row r="299" spans="1:6" ht="25.5" x14ac:dyDescent="0.2">
      <c r="A299" s="391">
        <v>92760</v>
      </c>
      <c r="B299" s="478" t="s">
        <v>2006</v>
      </c>
      <c r="C299" s="391" t="s">
        <v>1284</v>
      </c>
      <c r="D299" s="479">
        <v>13.07</v>
      </c>
      <c r="E299" s="368"/>
      <c r="F299" s="368"/>
    </row>
    <row r="300" spans="1:6" ht="25.5" x14ac:dyDescent="0.2">
      <c r="A300" s="391">
        <v>92761</v>
      </c>
      <c r="B300" s="478" t="s">
        <v>2007</v>
      </c>
      <c r="C300" s="391" t="s">
        <v>1284</v>
      </c>
      <c r="D300" s="479">
        <v>12.25</v>
      </c>
      <c r="E300" s="368"/>
      <c r="F300" s="368"/>
    </row>
    <row r="301" spans="1:6" ht="25.5" x14ac:dyDescent="0.2">
      <c r="A301" s="391">
        <v>92759</v>
      </c>
      <c r="B301" s="478" t="s">
        <v>2005</v>
      </c>
      <c r="C301" s="391" t="s">
        <v>1284</v>
      </c>
      <c r="D301" s="479">
        <v>13.87</v>
      </c>
      <c r="E301" s="368"/>
      <c r="F301" s="368"/>
    </row>
    <row r="302" spans="1:6" ht="38.25" x14ac:dyDescent="0.2">
      <c r="A302" s="391">
        <v>104108</v>
      </c>
      <c r="B302" s="478" t="s">
        <v>2081</v>
      </c>
      <c r="C302" s="391" t="s">
        <v>1284</v>
      </c>
      <c r="D302" s="479">
        <v>12.64</v>
      </c>
      <c r="E302" s="368"/>
      <c r="F302" s="368"/>
    </row>
    <row r="303" spans="1:6" ht="38.25" x14ac:dyDescent="0.2">
      <c r="A303" s="391">
        <v>104107</v>
      </c>
      <c r="B303" s="478" t="s">
        <v>2080</v>
      </c>
      <c r="C303" s="391" t="s">
        <v>1284</v>
      </c>
      <c r="D303" s="479">
        <v>10.64</v>
      </c>
      <c r="E303" s="368"/>
      <c r="F303" s="368"/>
    </row>
    <row r="304" spans="1:6" ht="38.25" x14ac:dyDescent="0.2">
      <c r="A304" s="391">
        <v>104106</v>
      </c>
      <c r="B304" s="478" t="s">
        <v>2079</v>
      </c>
      <c r="C304" s="391" t="s">
        <v>1284</v>
      </c>
      <c r="D304" s="479">
        <v>9.98</v>
      </c>
      <c r="E304" s="368"/>
      <c r="F304" s="368"/>
    </row>
    <row r="305" spans="1:6" ht="38.25" x14ac:dyDescent="0.2">
      <c r="A305" s="391">
        <v>104110</v>
      </c>
      <c r="B305" s="478" t="s">
        <v>2083</v>
      </c>
      <c r="C305" s="391" t="s">
        <v>1284</v>
      </c>
      <c r="D305" s="479">
        <v>17.649999999999999</v>
      </c>
      <c r="E305" s="368"/>
      <c r="F305" s="368"/>
    </row>
    <row r="306" spans="1:6" ht="38.25" x14ac:dyDescent="0.2">
      <c r="A306" s="391">
        <v>104109</v>
      </c>
      <c r="B306" s="478" t="s">
        <v>2082</v>
      </c>
      <c r="C306" s="391" t="s">
        <v>1284</v>
      </c>
      <c r="D306" s="479">
        <v>15.51</v>
      </c>
      <c r="E306" s="368"/>
      <c r="F306" s="368"/>
    </row>
    <row r="307" spans="1:6" ht="38.25" x14ac:dyDescent="0.2">
      <c r="A307" s="391">
        <v>104111</v>
      </c>
      <c r="B307" s="478" t="s">
        <v>2084</v>
      </c>
      <c r="C307" s="391" t="s">
        <v>1284</v>
      </c>
      <c r="D307" s="479">
        <v>20.07</v>
      </c>
      <c r="E307" s="368"/>
      <c r="F307" s="368"/>
    </row>
    <row r="308" spans="1:6" x14ac:dyDescent="0.2">
      <c r="A308" s="391">
        <v>92884</v>
      </c>
      <c r="B308" s="478" t="s">
        <v>2039</v>
      </c>
      <c r="C308" s="391" t="s">
        <v>1284</v>
      </c>
      <c r="D308" s="479">
        <v>12.12</v>
      </c>
      <c r="E308" s="368"/>
      <c r="F308" s="368"/>
    </row>
    <row r="309" spans="1:6" x14ac:dyDescent="0.2">
      <c r="A309" s="391">
        <v>92885</v>
      </c>
      <c r="B309" s="478" t="s">
        <v>2040</v>
      </c>
      <c r="C309" s="391" t="s">
        <v>1284</v>
      </c>
      <c r="D309" s="479">
        <v>11.48</v>
      </c>
      <c r="E309" s="368"/>
      <c r="F309" s="368"/>
    </row>
    <row r="310" spans="1:6" x14ac:dyDescent="0.2">
      <c r="A310" s="391">
        <v>92886</v>
      </c>
      <c r="B310" s="478" t="s">
        <v>2041</v>
      </c>
      <c r="C310" s="391" t="s">
        <v>1284</v>
      </c>
      <c r="D310" s="479">
        <v>10.95</v>
      </c>
      <c r="E310" s="368"/>
      <c r="F310" s="368"/>
    </row>
    <row r="311" spans="1:6" x14ac:dyDescent="0.2">
      <c r="A311" s="391">
        <v>92887</v>
      </c>
      <c r="B311" s="478" t="s">
        <v>2042</v>
      </c>
      <c r="C311" s="391" t="s">
        <v>1284</v>
      </c>
      <c r="D311" s="479">
        <v>10.88</v>
      </c>
      <c r="E311" s="368"/>
      <c r="F311" s="368"/>
    </row>
    <row r="312" spans="1:6" x14ac:dyDescent="0.2">
      <c r="A312" s="391">
        <v>92888</v>
      </c>
      <c r="B312" s="478" t="s">
        <v>2043</v>
      </c>
      <c r="C312" s="391" t="s">
        <v>1284</v>
      </c>
      <c r="D312" s="479">
        <v>10.61</v>
      </c>
      <c r="E312" s="368"/>
      <c r="F312" s="368"/>
    </row>
    <row r="313" spans="1:6" x14ac:dyDescent="0.2">
      <c r="A313" s="391">
        <v>92882</v>
      </c>
      <c r="B313" s="478" t="s">
        <v>2037</v>
      </c>
      <c r="C313" s="391" t="s">
        <v>1284</v>
      </c>
      <c r="D313" s="479">
        <v>13.04</v>
      </c>
      <c r="E313" s="368"/>
      <c r="F313" s="368"/>
    </row>
    <row r="314" spans="1:6" x14ac:dyDescent="0.2">
      <c r="A314" s="391">
        <v>92883</v>
      </c>
      <c r="B314" s="478" t="s">
        <v>2038</v>
      </c>
      <c r="C314" s="391" t="s">
        <v>1284</v>
      </c>
      <c r="D314" s="479">
        <v>11.98</v>
      </c>
      <c r="E314" s="368"/>
      <c r="F314" s="368"/>
    </row>
    <row r="315" spans="1:6" x14ac:dyDescent="0.2">
      <c r="A315" s="391">
        <v>92877</v>
      </c>
      <c r="B315" s="478" t="s">
        <v>2032</v>
      </c>
      <c r="C315" s="391" t="s">
        <v>1284</v>
      </c>
      <c r="D315" s="479">
        <v>10</v>
      </c>
      <c r="E315" s="368"/>
      <c r="F315" s="368"/>
    </row>
    <row r="316" spans="1:6" x14ac:dyDescent="0.2">
      <c r="A316" s="391">
        <v>92878</v>
      </c>
      <c r="B316" s="478" t="s">
        <v>2033</v>
      </c>
      <c r="C316" s="391" t="s">
        <v>1284</v>
      </c>
      <c r="D316" s="479">
        <v>9.83</v>
      </c>
      <c r="E316" s="368"/>
      <c r="F316" s="368"/>
    </row>
    <row r="317" spans="1:6" x14ac:dyDescent="0.2">
      <c r="A317" s="391">
        <v>92879</v>
      </c>
      <c r="B317" s="478" t="s">
        <v>2034</v>
      </c>
      <c r="C317" s="391" t="s">
        <v>1284</v>
      </c>
      <c r="D317" s="479">
        <v>9.7200000000000006</v>
      </c>
      <c r="E317" s="368"/>
      <c r="F317" s="368"/>
    </row>
    <row r="318" spans="1:6" x14ac:dyDescent="0.2">
      <c r="A318" s="391">
        <v>92880</v>
      </c>
      <c r="B318" s="478" t="s">
        <v>2035</v>
      </c>
      <c r="C318" s="391" t="s">
        <v>1284</v>
      </c>
      <c r="D318" s="479">
        <v>9.94</v>
      </c>
      <c r="E318" s="368"/>
      <c r="F318" s="368"/>
    </row>
    <row r="319" spans="1:6" x14ac:dyDescent="0.2">
      <c r="A319" s="391">
        <v>92881</v>
      </c>
      <c r="B319" s="478" t="s">
        <v>2036</v>
      </c>
      <c r="C319" s="391" t="s">
        <v>1284</v>
      </c>
      <c r="D319" s="479">
        <v>9.91</v>
      </c>
      <c r="E319" s="368"/>
      <c r="F319" s="368"/>
    </row>
    <row r="320" spans="1:6" x14ac:dyDescent="0.2">
      <c r="A320" s="391">
        <v>92875</v>
      </c>
      <c r="B320" s="478" t="s">
        <v>2030</v>
      </c>
      <c r="C320" s="391" t="s">
        <v>1284</v>
      </c>
      <c r="D320" s="479">
        <v>9.5399999999999991</v>
      </c>
      <c r="E320" s="368"/>
      <c r="F320" s="368"/>
    </row>
    <row r="321" spans="1:6" x14ac:dyDescent="0.2">
      <c r="A321" s="391">
        <v>92876</v>
      </c>
      <c r="B321" s="478" t="s">
        <v>2031</v>
      </c>
      <c r="C321" s="391" t="s">
        <v>1284</v>
      </c>
      <c r="D321" s="479">
        <v>9.27</v>
      </c>
      <c r="E321" s="368"/>
      <c r="F321" s="368"/>
    </row>
    <row r="322" spans="1:6" x14ac:dyDescent="0.2">
      <c r="A322" s="391">
        <v>92803</v>
      </c>
      <c r="B322" s="478" t="s">
        <v>2026</v>
      </c>
      <c r="C322" s="391" t="s">
        <v>1284</v>
      </c>
      <c r="D322" s="479">
        <v>9.2200000000000006</v>
      </c>
      <c r="E322" s="368"/>
      <c r="F322" s="368"/>
    </row>
    <row r="323" spans="1:6" x14ac:dyDescent="0.2">
      <c r="A323" s="391">
        <v>92804</v>
      </c>
      <c r="B323" s="478" t="s">
        <v>2027</v>
      </c>
      <c r="C323" s="391" t="s">
        <v>1284</v>
      </c>
      <c r="D323" s="479">
        <v>7.9</v>
      </c>
      <c r="E323" s="368"/>
      <c r="F323" s="368"/>
    </row>
    <row r="324" spans="1:6" x14ac:dyDescent="0.2">
      <c r="A324" s="391">
        <v>92805</v>
      </c>
      <c r="B324" s="478" t="s">
        <v>2028</v>
      </c>
      <c r="C324" s="391" t="s">
        <v>1284</v>
      </c>
      <c r="D324" s="479">
        <v>7.83</v>
      </c>
      <c r="E324" s="368"/>
      <c r="F324" s="368"/>
    </row>
    <row r="325" spans="1:6" x14ac:dyDescent="0.2">
      <c r="A325" s="391">
        <v>92806</v>
      </c>
      <c r="B325" s="478" t="s">
        <v>2029</v>
      </c>
      <c r="C325" s="391" t="s">
        <v>1284</v>
      </c>
      <c r="D325" s="479">
        <v>9.2200000000000006</v>
      </c>
      <c r="E325" s="368"/>
      <c r="F325" s="368"/>
    </row>
    <row r="326" spans="1:6" x14ac:dyDescent="0.2">
      <c r="A326" s="391">
        <v>92798</v>
      </c>
      <c r="B326" s="478" t="s">
        <v>2021</v>
      </c>
      <c r="C326" s="391" t="s">
        <v>1284</v>
      </c>
      <c r="D326" s="479">
        <v>9.2100000000000009</v>
      </c>
      <c r="E326" s="368"/>
      <c r="F326" s="368"/>
    </row>
    <row r="327" spans="1:6" x14ac:dyDescent="0.2">
      <c r="A327" s="391">
        <v>95448</v>
      </c>
      <c r="B327" s="478" t="s">
        <v>40496</v>
      </c>
      <c r="C327" s="391" t="s">
        <v>1284</v>
      </c>
      <c r="D327" s="479">
        <v>10.119999999999999</v>
      </c>
      <c r="E327" s="368"/>
      <c r="F327" s="368"/>
    </row>
    <row r="328" spans="1:6" x14ac:dyDescent="0.2">
      <c r="A328" s="391">
        <v>92801</v>
      </c>
      <c r="B328" s="478" t="s">
        <v>2024</v>
      </c>
      <c r="C328" s="391" t="s">
        <v>1284</v>
      </c>
      <c r="D328" s="479">
        <v>10.050000000000001</v>
      </c>
      <c r="E328" s="368"/>
      <c r="F328" s="368"/>
    </row>
    <row r="329" spans="1:6" x14ac:dyDescent="0.2">
      <c r="A329" s="391">
        <v>92802</v>
      </c>
      <c r="B329" s="478" t="s">
        <v>2025</v>
      </c>
      <c r="C329" s="391" t="s">
        <v>1284</v>
      </c>
      <c r="D329" s="479">
        <v>9.99</v>
      </c>
      <c r="E329" s="368"/>
      <c r="F329" s="368"/>
    </row>
    <row r="330" spans="1:6" x14ac:dyDescent="0.2">
      <c r="A330" s="391">
        <v>92799</v>
      </c>
      <c r="B330" s="478" t="s">
        <v>2022</v>
      </c>
      <c r="C330" s="391" t="s">
        <v>1284</v>
      </c>
      <c r="D330" s="479">
        <v>11.02</v>
      </c>
      <c r="E330" s="368"/>
      <c r="F330" s="368"/>
    </row>
    <row r="331" spans="1:6" x14ac:dyDescent="0.2">
      <c r="A331" s="391">
        <v>92800</v>
      </c>
      <c r="B331" s="478" t="s">
        <v>2023</v>
      </c>
      <c r="C331" s="391" t="s">
        <v>1284</v>
      </c>
      <c r="D331" s="479">
        <v>9.9499999999999993</v>
      </c>
      <c r="E331" s="368"/>
      <c r="F331" s="368"/>
    </row>
    <row r="332" spans="1:6" ht="25.5" x14ac:dyDescent="0.2">
      <c r="A332" s="391">
        <v>95605</v>
      </c>
      <c r="B332" s="478" t="s">
        <v>1750</v>
      </c>
      <c r="C332" s="391" t="s">
        <v>26</v>
      </c>
      <c r="D332" s="479">
        <v>137.22999999999999</v>
      </c>
      <c r="E332" s="368"/>
      <c r="F332" s="368"/>
    </row>
    <row r="333" spans="1:6" ht="25.5" x14ac:dyDescent="0.2">
      <c r="A333" s="391">
        <v>95602</v>
      </c>
      <c r="B333" s="478" t="s">
        <v>1747</v>
      </c>
      <c r="C333" s="391" t="s">
        <v>26</v>
      </c>
      <c r="D333" s="479">
        <v>28.22</v>
      </c>
      <c r="E333" s="368"/>
      <c r="F333" s="368"/>
    </row>
    <row r="334" spans="1:6" ht="25.5" x14ac:dyDescent="0.2">
      <c r="A334" s="391">
        <v>95603</v>
      </c>
      <c r="B334" s="478" t="s">
        <v>1748</v>
      </c>
      <c r="C334" s="391" t="s">
        <v>26</v>
      </c>
      <c r="D334" s="479">
        <v>48.15</v>
      </c>
      <c r="E334" s="368"/>
      <c r="F334" s="368"/>
    </row>
    <row r="335" spans="1:6" ht="25.5" x14ac:dyDescent="0.2">
      <c r="A335" s="391">
        <v>95604</v>
      </c>
      <c r="B335" s="478" t="s">
        <v>1749</v>
      </c>
      <c r="C335" s="391" t="s">
        <v>26</v>
      </c>
      <c r="D335" s="479">
        <v>74.73</v>
      </c>
      <c r="E335" s="368"/>
      <c r="F335" s="368"/>
    </row>
    <row r="336" spans="1:6" ht="25.5" x14ac:dyDescent="0.2">
      <c r="A336" s="391">
        <v>95601</v>
      </c>
      <c r="B336" s="478" t="s">
        <v>1746</v>
      </c>
      <c r="C336" s="391" t="s">
        <v>26</v>
      </c>
      <c r="D336" s="479">
        <v>17.63</v>
      </c>
      <c r="E336" s="368"/>
      <c r="F336" s="368"/>
    </row>
    <row r="337" spans="1:6" ht="25.5" x14ac:dyDescent="0.2">
      <c r="A337" s="391">
        <v>102521</v>
      </c>
      <c r="B337" s="478" t="s">
        <v>1762</v>
      </c>
      <c r="C337" s="391" t="s">
        <v>26</v>
      </c>
      <c r="D337" s="479">
        <v>113.2</v>
      </c>
      <c r="E337" s="368"/>
      <c r="F337" s="368"/>
    </row>
    <row r="338" spans="1:6" ht="25.5" x14ac:dyDescent="0.2">
      <c r="A338" s="391">
        <v>102522</v>
      </c>
      <c r="B338" s="478" t="s">
        <v>1763</v>
      </c>
      <c r="C338" s="391" t="s">
        <v>26</v>
      </c>
      <c r="D338" s="479">
        <v>166.09</v>
      </c>
      <c r="E338" s="368"/>
      <c r="F338" s="368"/>
    </row>
    <row r="339" spans="1:6" ht="25.5" x14ac:dyDescent="0.2">
      <c r="A339" s="391">
        <v>102523</v>
      </c>
      <c r="B339" s="478" t="s">
        <v>1764</v>
      </c>
      <c r="C339" s="391" t="s">
        <v>26</v>
      </c>
      <c r="D339" s="479">
        <v>218.95</v>
      </c>
      <c r="E339" s="368"/>
      <c r="F339" s="368"/>
    </row>
    <row r="340" spans="1:6" ht="25.5" x14ac:dyDescent="0.2">
      <c r="A340" s="391">
        <v>95608</v>
      </c>
      <c r="B340" s="478" t="s">
        <v>47443</v>
      </c>
      <c r="C340" s="391" t="s">
        <v>26</v>
      </c>
      <c r="D340" s="479">
        <v>32.43</v>
      </c>
      <c r="E340" s="368"/>
      <c r="F340" s="368"/>
    </row>
    <row r="341" spans="1:6" ht="25.5" x14ac:dyDescent="0.2">
      <c r="A341" s="391">
        <v>95609</v>
      </c>
      <c r="B341" s="478" t="s">
        <v>47444</v>
      </c>
      <c r="C341" s="391" t="s">
        <v>26</v>
      </c>
      <c r="D341" s="479">
        <v>41.13</v>
      </c>
      <c r="E341" s="368"/>
      <c r="F341" s="368"/>
    </row>
    <row r="342" spans="1:6" ht="25.5" x14ac:dyDescent="0.2">
      <c r="A342" s="391">
        <v>95607</v>
      </c>
      <c r="B342" s="478" t="s">
        <v>47445</v>
      </c>
      <c r="C342" s="391" t="s">
        <v>26</v>
      </c>
      <c r="D342" s="479">
        <v>22.35</v>
      </c>
      <c r="E342" s="368"/>
      <c r="F342" s="368"/>
    </row>
    <row r="343" spans="1:6" ht="25.5" x14ac:dyDescent="0.2">
      <c r="A343" s="391">
        <v>95996</v>
      </c>
      <c r="B343" s="478" t="s">
        <v>4596</v>
      </c>
      <c r="C343" s="391" t="s">
        <v>271</v>
      </c>
      <c r="D343" s="479">
        <v>1390.99</v>
      </c>
      <c r="E343" s="368"/>
      <c r="F343" s="368"/>
    </row>
    <row r="344" spans="1:6" ht="25.5" x14ac:dyDescent="0.2">
      <c r="A344" s="391">
        <v>95995</v>
      </c>
      <c r="B344" s="478" t="s">
        <v>4595</v>
      </c>
      <c r="C344" s="391" t="s">
        <v>271</v>
      </c>
      <c r="D344" s="479">
        <v>1608.99</v>
      </c>
      <c r="E344" s="368"/>
      <c r="F344" s="368"/>
    </row>
    <row r="345" spans="1:6" ht="25.5" x14ac:dyDescent="0.2">
      <c r="A345" s="391">
        <v>104372</v>
      </c>
      <c r="B345" s="478" t="s">
        <v>40609</v>
      </c>
      <c r="C345" s="391" t="s">
        <v>271</v>
      </c>
      <c r="D345" s="479">
        <v>0</v>
      </c>
      <c r="E345" s="368"/>
      <c r="F345" s="368"/>
    </row>
    <row r="346" spans="1:6" ht="25.5" x14ac:dyDescent="0.2">
      <c r="A346" s="391">
        <v>104371</v>
      </c>
      <c r="B346" s="478" t="s">
        <v>40610</v>
      </c>
      <c r="C346" s="391" t="s">
        <v>271</v>
      </c>
      <c r="D346" s="479">
        <v>0</v>
      </c>
      <c r="E346" s="368"/>
      <c r="F346" s="368"/>
    </row>
    <row r="347" spans="1:6" ht="25.5" x14ac:dyDescent="0.2">
      <c r="A347" s="391">
        <v>96001</v>
      </c>
      <c r="B347" s="478" t="s">
        <v>4597</v>
      </c>
      <c r="C347" s="391" t="s">
        <v>255</v>
      </c>
      <c r="D347" s="479">
        <v>7.36</v>
      </c>
      <c r="E347" s="368"/>
      <c r="F347" s="368"/>
    </row>
    <row r="348" spans="1:6" ht="38.25" x14ac:dyDescent="0.2">
      <c r="A348" s="391">
        <v>94880</v>
      </c>
      <c r="B348" s="478" t="s">
        <v>92</v>
      </c>
      <c r="C348" s="391" t="s">
        <v>0</v>
      </c>
      <c r="D348" s="479">
        <v>42.67</v>
      </c>
      <c r="E348" s="368"/>
      <c r="F348" s="368"/>
    </row>
    <row r="349" spans="1:6" ht="38.25" x14ac:dyDescent="0.2">
      <c r="A349" s="391">
        <v>94882</v>
      </c>
      <c r="B349" s="478" t="s">
        <v>94</v>
      </c>
      <c r="C349" s="391" t="s">
        <v>0</v>
      </c>
      <c r="D349" s="479">
        <v>49.57</v>
      </c>
      <c r="E349" s="368"/>
      <c r="F349" s="368"/>
    </row>
    <row r="350" spans="1:6" ht="38.25" x14ac:dyDescent="0.2">
      <c r="A350" s="391">
        <v>94884</v>
      </c>
      <c r="B350" s="478" t="s">
        <v>95</v>
      </c>
      <c r="C350" s="391" t="s">
        <v>0</v>
      </c>
      <c r="D350" s="479">
        <v>63.58</v>
      </c>
      <c r="E350" s="368"/>
      <c r="F350" s="368"/>
    </row>
    <row r="351" spans="1:6" ht="38.25" x14ac:dyDescent="0.2">
      <c r="A351" s="391">
        <v>94870</v>
      </c>
      <c r="B351" s="478" t="s">
        <v>87</v>
      </c>
      <c r="C351" s="391" t="s">
        <v>0</v>
      </c>
      <c r="D351" s="479">
        <v>1.84</v>
      </c>
      <c r="E351" s="368"/>
      <c r="F351" s="368"/>
    </row>
    <row r="352" spans="1:6" ht="38.25" x14ac:dyDescent="0.2">
      <c r="A352" s="391">
        <v>94872</v>
      </c>
      <c r="B352" s="478" t="s">
        <v>47446</v>
      </c>
      <c r="C352" s="391" t="s">
        <v>0</v>
      </c>
      <c r="D352" s="479">
        <v>2.57</v>
      </c>
      <c r="E352" s="368"/>
      <c r="F352" s="368"/>
    </row>
    <row r="353" spans="1:6" ht="38.25" x14ac:dyDescent="0.2">
      <c r="A353" s="391">
        <v>90746</v>
      </c>
      <c r="B353" s="478" t="s">
        <v>84</v>
      </c>
      <c r="C353" s="391" t="s">
        <v>0</v>
      </c>
      <c r="D353" s="479">
        <v>3.43</v>
      </c>
      <c r="E353" s="368"/>
      <c r="F353" s="368"/>
    </row>
    <row r="354" spans="1:6" ht="38.25" x14ac:dyDescent="0.2">
      <c r="A354" s="391">
        <v>90747</v>
      </c>
      <c r="B354" s="478" t="s">
        <v>85</v>
      </c>
      <c r="C354" s="391" t="s">
        <v>0</v>
      </c>
      <c r="D354" s="479">
        <v>17.05</v>
      </c>
      <c r="E354" s="368"/>
      <c r="F354" s="368"/>
    </row>
    <row r="355" spans="1:6" ht="38.25" x14ac:dyDescent="0.2">
      <c r="A355" s="391">
        <v>94876</v>
      </c>
      <c r="B355" s="478" t="s">
        <v>47447</v>
      </c>
      <c r="C355" s="391" t="s">
        <v>0</v>
      </c>
      <c r="D355" s="479">
        <v>28.6</v>
      </c>
      <c r="E355" s="368"/>
      <c r="F355" s="368"/>
    </row>
    <row r="356" spans="1:6" ht="38.25" x14ac:dyDescent="0.2">
      <c r="A356" s="391">
        <v>94878</v>
      </c>
      <c r="B356" s="478" t="s">
        <v>90</v>
      </c>
      <c r="C356" s="391" t="s">
        <v>0</v>
      </c>
      <c r="D356" s="479">
        <v>33.08</v>
      </c>
      <c r="E356" s="368"/>
      <c r="F356" s="368"/>
    </row>
    <row r="357" spans="1:6" ht="38.25" x14ac:dyDescent="0.2">
      <c r="A357" s="391">
        <v>90740</v>
      </c>
      <c r="B357" s="478" t="s">
        <v>79</v>
      </c>
      <c r="C357" s="391" t="s">
        <v>0</v>
      </c>
      <c r="D357" s="479">
        <v>4.17</v>
      </c>
      <c r="E357" s="368"/>
      <c r="F357" s="368"/>
    </row>
    <row r="358" spans="1:6" ht="38.25" x14ac:dyDescent="0.2">
      <c r="A358" s="391">
        <v>90741</v>
      </c>
      <c r="B358" s="478" t="s">
        <v>80</v>
      </c>
      <c r="C358" s="391" t="s">
        <v>0</v>
      </c>
      <c r="D358" s="479">
        <v>4.7699999999999996</v>
      </c>
      <c r="E358" s="368"/>
      <c r="F358" s="368"/>
    </row>
    <row r="359" spans="1:6" ht="38.25" x14ac:dyDescent="0.2">
      <c r="A359" s="391">
        <v>90742</v>
      </c>
      <c r="B359" s="478" t="s">
        <v>81</v>
      </c>
      <c r="C359" s="391" t="s">
        <v>0</v>
      </c>
      <c r="D359" s="479">
        <v>5.35</v>
      </c>
      <c r="E359" s="368"/>
      <c r="F359" s="368"/>
    </row>
    <row r="360" spans="1:6" ht="38.25" x14ac:dyDescent="0.2">
      <c r="A360" s="391">
        <v>90743</v>
      </c>
      <c r="B360" s="478" t="s">
        <v>82</v>
      </c>
      <c r="C360" s="391" t="s">
        <v>0</v>
      </c>
      <c r="D360" s="479">
        <v>5.94</v>
      </c>
      <c r="E360" s="368"/>
      <c r="F360" s="368"/>
    </row>
    <row r="361" spans="1:6" ht="38.25" x14ac:dyDescent="0.2">
      <c r="A361" s="391">
        <v>90744</v>
      </c>
      <c r="B361" s="478" t="s">
        <v>83</v>
      </c>
      <c r="C361" s="391" t="s">
        <v>0</v>
      </c>
      <c r="D361" s="479">
        <v>6.52</v>
      </c>
      <c r="E361" s="368"/>
      <c r="F361" s="368"/>
    </row>
    <row r="362" spans="1:6" ht="38.25" x14ac:dyDescent="0.2">
      <c r="A362" s="391">
        <v>90745</v>
      </c>
      <c r="B362" s="478" t="s">
        <v>47448</v>
      </c>
      <c r="C362" s="391" t="s">
        <v>0</v>
      </c>
      <c r="D362" s="479">
        <v>10.09</v>
      </c>
      <c r="E362" s="368"/>
      <c r="F362" s="368"/>
    </row>
    <row r="363" spans="1:6" ht="38.25" x14ac:dyDescent="0.2">
      <c r="A363" s="391">
        <v>90733</v>
      </c>
      <c r="B363" s="478" t="s">
        <v>74</v>
      </c>
      <c r="C363" s="391" t="s">
        <v>0</v>
      </c>
      <c r="D363" s="479">
        <v>3.16</v>
      </c>
      <c r="E363" s="368"/>
      <c r="F363" s="368"/>
    </row>
    <row r="364" spans="1:6" ht="38.25" x14ac:dyDescent="0.2">
      <c r="A364" s="391">
        <v>90734</v>
      </c>
      <c r="B364" s="478" t="s">
        <v>47449</v>
      </c>
      <c r="C364" s="391" t="s">
        <v>0</v>
      </c>
      <c r="D364" s="479">
        <v>3.76</v>
      </c>
      <c r="E364" s="368"/>
      <c r="F364" s="368"/>
    </row>
    <row r="365" spans="1:6" ht="38.25" x14ac:dyDescent="0.2">
      <c r="A365" s="391">
        <v>90735</v>
      </c>
      <c r="B365" s="478" t="s">
        <v>75</v>
      </c>
      <c r="C365" s="391" t="s">
        <v>0</v>
      </c>
      <c r="D365" s="479">
        <v>4.34</v>
      </c>
      <c r="E365" s="368"/>
      <c r="F365" s="368"/>
    </row>
    <row r="366" spans="1:6" ht="38.25" x14ac:dyDescent="0.2">
      <c r="A366" s="391">
        <v>90736</v>
      </c>
      <c r="B366" s="478" t="s">
        <v>76</v>
      </c>
      <c r="C366" s="391" t="s">
        <v>0</v>
      </c>
      <c r="D366" s="479">
        <v>4.92</v>
      </c>
      <c r="E366" s="368"/>
      <c r="F366" s="368"/>
    </row>
    <row r="367" spans="1:6" ht="38.25" x14ac:dyDescent="0.2">
      <c r="A367" s="391">
        <v>90737</v>
      </c>
      <c r="B367" s="478" t="s">
        <v>47450</v>
      </c>
      <c r="C367" s="391" t="s">
        <v>0</v>
      </c>
      <c r="D367" s="479">
        <v>5.51</v>
      </c>
      <c r="E367" s="368"/>
      <c r="F367" s="368"/>
    </row>
    <row r="368" spans="1:6" ht="38.25" x14ac:dyDescent="0.2">
      <c r="A368" s="391">
        <v>90738</v>
      </c>
      <c r="B368" s="478" t="s">
        <v>77</v>
      </c>
      <c r="C368" s="391" t="s">
        <v>0</v>
      </c>
      <c r="D368" s="479">
        <v>6.09</v>
      </c>
      <c r="E368" s="368"/>
      <c r="F368" s="368"/>
    </row>
    <row r="369" spans="1:6" ht="38.25" x14ac:dyDescent="0.2">
      <c r="A369" s="391">
        <v>90739</v>
      </c>
      <c r="B369" s="478" t="s">
        <v>78</v>
      </c>
      <c r="C369" s="391" t="s">
        <v>0</v>
      </c>
      <c r="D369" s="479">
        <v>9.02</v>
      </c>
      <c r="E369" s="368"/>
      <c r="F369" s="368"/>
    </row>
    <row r="370" spans="1:6" ht="25.5" x14ac:dyDescent="0.2">
      <c r="A370" s="391">
        <v>90724</v>
      </c>
      <c r="B370" s="478" t="s">
        <v>65</v>
      </c>
      <c r="C370" s="391" t="s">
        <v>26</v>
      </c>
      <c r="D370" s="479">
        <v>22.65</v>
      </c>
      <c r="E370" s="368"/>
      <c r="F370" s="368"/>
    </row>
    <row r="371" spans="1:6" ht="25.5" x14ac:dyDescent="0.2">
      <c r="A371" s="391">
        <v>102267</v>
      </c>
      <c r="B371" s="478" t="s">
        <v>99</v>
      </c>
      <c r="C371" s="391" t="s">
        <v>26</v>
      </c>
      <c r="D371" s="479">
        <v>122.3</v>
      </c>
      <c r="E371" s="368"/>
      <c r="F371" s="368"/>
    </row>
    <row r="372" spans="1:6" ht="25.5" x14ac:dyDescent="0.2">
      <c r="A372" s="391">
        <v>102268</v>
      </c>
      <c r="B372" s="478" t="s">
        <v>100</v>
      </c>
      <c r="C372" s="391" t="s">
        <v>26</v>
      </c>
      <c r="D372" s="479">
        <v>138.02000000000001</v>
      </c>
      <c r="E372" s="368"/>
      <c r="F372" s="368"/>
    </row>
    <row r="373" spans="1:6" ht="25.5" x14ac:dyDescent="0.2">
      <c r="A373" s="391">
        <v>90725</v>
      </c>
      <c r="B373" s="478" t="s">
        <v>66</v>
      </c>
      <c r="C373" s="391" t="s">
        <v>26</v>
      </c>
      <c r="D373" s="479">
        <v>27.88</v>
      </c>
      <c r="E373" s="368"/>
      <c r="F373" s="368"/>
    </row>
    <row r="374" spans="1:6" ht="25.5" x14ac:dyDescent="0.2">
      <c r="A374" s="391">
        <v>102269</v>
      </c>
      <c r="B374" s="478" t="s">
        <v>101</v>
      </c>
      <c r="C374" s="391" t="s">
        <v>26</v>
      </c>
      <c r="D374" s="479">
        <v>169.43</v>
      </c>
      <c r="E374" s="368"/>
      <c r="F374" s="368"/>
    </row>
    <row r="375" spans="1:6" ht="25.5" x14ac:dyDescent="0.2">
      <c r="A375" s="391">
        <v>90726</v>
      </c>
      <c r="B375" s="478" t="s">
        <v>67</v>
      </c>
      <c r="C375" s="391" t="s">
        <v>26</v>
      </c>
      <c r="D375" s="479">
        <v>33.19</v>
      </c>
      <c r="E375" s="368"/>
      <c r="F375" s="368"/>
    </row>
    <row r="376" spans="1:6" ht="25.5" x14ac:dyDescent="0.2">
      <c r="A376" s="391">
        <v>90727</v>
      </c>
      <c r="B376" s="478" t="s">
        <v>68</v>
      </c>
      <c r="C376" s="391" t="s">
        <v>26</v>
      </c>
      <c r="D376" s="479">
        <v>38.43</v>
      </c>
      <c r="E376" s="368"/>
      <c r="F376" s="368"/>
    </row>
    <row r="377" spans="1:6" ht="25.5" x14ac:dyDescent="0.2">
      <c r="A377" s="391">
        <v>90728</v>
      </c>
      <c r="B377" s="478" t="s">
        <v>69</v>
      </c>
      <c r="C377" s="391" t="s">
        <v>26</v>
      </c>
      <c r="D377" s="479">
        <v>43.66</v>
      </c>
      <c r="E377" s="368"/>
      <c r="F377" s="368"/>
    </row>
    <row r="378" spans="1:6" ht="25.5" x14ac:dyDescent="0.2">
      <c r="A378" s="391">
        <v>90729</v>
      </c>
      <c r="B378" s="478" t="s">
        <v>70</v>
      </c>
      <c r="C378" s="391" t="s">
        <v>26</v>
      </c>
      <c r="D378" s="479">
        <v>48.9</v>
      </c>
      <c r="E378" s="368"/>
      <c r="F378" s="368"/>
    </row>
    <row r="379" spans="1:6" ht="25.5" x14ac:dyDescent="0.2">
      <c r="A379" s="391">
        <v>90730</v>
      </c>
      <c r="B379" s="478" t="s">
        <v>71</v>
      </c>
      <c r="C379" s="391" t="s">
        <v>26</v>
      </c>
      <c r="D379" s="479">
        <v>54.14</v>
      </c>
      <c r="E379" s="368"/>
      <c r="F379" s="368"/>
    </row>
    <row r="380" spans="1:6" ht="25.5" x14ac:dyDescent="0.2">
      <c r="A380" s="391">
        <v>90731</v>
      </c>
      <c r="B380" s="478" t="s">
        <v>72</v>
      </c>
      <c r="C380" s="391" t="s">
        <v>26</v>
      </c>
      <c r="D380" s="479">
        <v>59.38</v>
      </c>
      <c r="E380" s="368"/>
      <c r="F380" s="368"/>
    </row>
    <row r="381" spans="1:6" ht="25.5" x14ac:dyDescent="0.2">
      <c r="A381" s="391">
        <v>90732</v>
      </c>
      <c r="B381" s="478" t="s">
        <v>73</v>
      </c>
      <c r="C381" s="391" t="s">
        <v>26</v>
      </c>
      <c r="D381" s="479">
        <v>75.09</v>
      </c>
      <c r="E381" s="368"/>
      <c r="F381" s="368"/>
    </row>
    <row r="382" spans="1:6" ht="25.5" x14ac:dyDescent="0.2">
      <c r="A382" s="391">
        <v>102265</v>
      </c>
      <c r="B382" s="478" t="s">
        <v>97</v>
      </c>
      <c r="C382" s="391" t="s">
        <v>26</v>
      </c>
      <c r="D382" s="479">
        <v>96.04</v>
      </c>
      <c r="E382" s="368"/>
      <c r="F382" s="368"/>
    </row>
    <row r="383" spans="1:6" ht="25.5" x14ac:dyDescent="0.2">
      <c r="A383" s="391">
        <v>102266</v>
      </c>
      <c r="B383" s="478" t="s">
        <v>98</v>
      </c>
      <c r="C383" s="391" t="s">
        <v>26</v>
      </c>
      <c r="D383" s="479">
        <v>106.52</v>
      </c>
      <c r="E383" s="368"/>
      <c r="F383" s="368"/>
    </row>
    <row r="384" spans="1:6" ht="38.25" x14ac:dyDescent="0.2">
      <c r="A384" s="391">
        <v>94879</v>
      </c>
      <c r="B384" s="478" t="s">
        <v>91</v>
      </c>
      <c r="C384" s="391" t="s">
        <v>0</v>
      </c>
      <c r="D384" s="479">
        <v>1724.77</v>
      </c>
      <c r="E384" s="368"/>
      <c r="F384" s="368"/>
    </row>
    <row r="385" spans="1:6" ht="38.25" x14ac:dyDescent="0.2">
      <c r="A385" s="391">
        <v>94881</v>
      </c>
      <c r="B385" s="478" t="s">
        <v>93</v>
      </c>
      <c r="C385" s="391" t="s">
        <v>0</v>
      </c>
      <c r="D385" s="479">
        <v>2374.34</v>
      </c>
      <c r="E385" s="368"/>
      <c r="F385" s="368"/>
    </row>
    <row r="386" spans="1:6" ht="38.25" x14ac:dyDescent="0.2">
      <c r="A386" s="391">
        <v>94869</v>
      </c>
      <c r="B386" s="478" t="s">
        <v>86</v>
      </c>
      <c r="C386" s="391" t="s">
        <v>0</v>
      </c>
      <c r="D386" s="479">
        <v>121.45</v>
      </c>
      <c r="E386" s="368"/>
      <c r="F386" s="368"/>
    </row>
    <row r="387" spans="1:6" ht="38.25" x14ac:dyDescent="0.2">
      <c r="A387" s="391">
        <v>94871</v>
      </c>
      <c r="B387" s="478" t="s">
        <v>88</v>
      </c>
      <c r="C387" s="391" t="s">
        <v>0</v>
      </c>
      <c r="D387" s="479">
        <v>189.97</v>
      </c>
      <c r="E387" s="368"/>
      <c r="F387" s="368"/>
    </row>
    <row r="388" spans="1:6" ht="38.25" x14ac:dyDescent="0.2">
      <c r="A388" s="391">
        <v>90708</v>
      </c>
      <c r="B388" s="478" t="s">
        <v>64</v>
      </c>
      <c r="C388" s="391" t="s">
        <v>0</v>
      </c>
      <c r="D388" s="479">
        <v>690.22</v>
      </c>
      <c r="E388" s="368"/>
      <c r="F388" s="368"/>
    </row>
    <row r="389" spans="1:6" ht="38.25" x14ac:dyDescent="0.2">
      <c r="A389" s="391">
        <v>94875</v>
      </c>
      <c r="B389" s="478" t="s">
        <v>89</v>
      </c>
      <c r="C389" s="391" t="s">
        <v>0</v>
      </c>
      <c r="D389" s="479">
        <v>1120.53</v>
      </c>
      <c r="E389" s="368"/>
      <c r="F389" s="368"/>
    </row>
    <row r="390" spans="1:6" ht="38.25" x14ac:dyDescent="0.2">
      <c r="A390" s="391">
        <v>102264</v>
      </c>
      <c r="B390" s="478" t="s">
        <v>96</v>
      </c>
      <c r="C390" s="391" t="s">
        <v>0</v>
      </c>
      <c r="D390" s="479">
        <v>20.99</v>
      </c>
      <c r="E390" s="368"/>
      <c r="F390" s="368"/>
    </row>
    <row r="391" spans="1:6" ht="38.25" x14ac:dyDescent="0.2">
      <c r="A391" s="391">
        <v>90701</v>
      </c>
      <c r="B391" s="478" t="s">
        <v>58</v>
      </c>
      <c r="C391" s="391" t="s">
        <v>0</v>
      </c>
      <c r="D391" s="479">
        <v>73.34</v>
      </c>
      <c r="E391" s="368"/>
      <c r="F391" s="368"/>
    </row>
    <row r="392" spans="1:6" ht="38.25" x14ac:dyDescent="0.2">
      <c r="A392" s="391">
        <v>90702</v>
      </c>
      <c r="B392" s="478" t="s">
        <v>59</v>
      </c>
      <c r="C392" s="391" t="s">
        <v>0</v>
      </c>
      <c r="D392" s="479">
        <v>121.69</v>
      </c>
      <c r="E392" s="368"/>
      <c r="F392" s="368"/>
    </row>
    <row r="393" spans="1:6" ht="38.25" x14ac:dyDescent="0.2">
      <c r="A393" s="391">
        <v>90703</v>
      </c>
      <c r="B393" s="478" t="s">
        <v>60</v>
      </c>
      <c r="C393" s="391" t="s">
        <v>0</v>
      </c>
      <c r="D393" s="479">
        <v>191.96</v>
      </c>
      <c r="E393" s="368"/>
      <c r="F393" s="368"/>
    </row>
    <row r="394" spans="1:6" ht="38.25" x14ac:dyDescent="0.2">
      <c r="A394" s="391">
        <v>90704</v>
      </c>
      <c r="B394" s="478" t="s">
        <v>61</v>
      </c>
      <c r="C394" s="391" t="s">
        <v>0</v>
      </c>
      <c r="D394" s="479">
        <v>287.57</v>
      </c>
      <c r="E394" s="368"/>
      <c r="F394" s="368"/>
    </row>
    <row r="395" spans="1:6" ht="38.25" x14ac:dyDescent="0.2">
      <c r="A395" s="391">
        <v>90705</v>
      </c>
      <c r="B395" s="478" t="s">
        <v>62</v>
      </c>
      <c r="C395" s="391" t="s">
        <v>0</v>
      </c>
      <c r="D395" s="479">
        <v>372.68</v>
      </c>
      <c r="E395" s="368"/>
      <c r="F395" s="368"/>
    </row>
    <row r="396" spans="1:6" ht="38.25" x14ac:dyDescent="0.2">
      <c r="A396" s="391">
        <v>90706</v>
      </c>
      <c r="B396" s="478" t="s">
        <v>63</v>
      </c>
      <c r="C396" s="391" t="s">
        <v>0</v>
      </c>
      <c r="D396" s="479">
        <v>494.63</v>
      </c>
      <c r="E396" s="368"/>
      <c r="F396" s="368"/>
    </row>
    <row r="397" spans="1:6" ht="25.5" x14ac:dyDescent="0.2">
      <c r="A397" s="391">
        <v>90694</v>
      </c>
      <c r="B397" s="478" t="s">
        <v>56</v>
      </c>
      <c r="C397" s="391" t="s">
        <v>0</v>
      </c>
      <c r="D397" s="479">
        <v>48.61</v>
      </c>
      <c r="E397" s="368"/>
      <c r="F397" s="368"/>
    </row>
    <row r="398" spans="1:6" ht="25.5" x14ac:dyDescent="0.2">
      <c r="A398" s="391">
        <v>90695</v>
      </c>
      <c r="B398" s="478" t="s">
        <v>47451</v>
      </c>
      <c r="C398" s="391" t="s">
        <v>0</v>
      </c>
      <c r="D398" s="479">
        <v>92.77</v>
      </c>
      <c r="E398" s="368"/>
      <c r="F398" s="368"/>
    </row>
    <row r="399" spans="1:6" ht="25.5" x14ac:dyDescent="0.2">
      <c r="A399" s="391">
        <v>90696</v>
      </c>
      <c r="B399" s="478" t="s">
        <v>57</v>
      </c>
      <c r="C399" s="391" t="s">
        <v>0</v>
      </c>
      <c r="D399" s="479">
        <v>155.28</v>
      </c>
      <c r="E399" s="368"/>
      <c r="F399" s="368"/>
    </row>
    <row r="400" spans="1:6" ht="25.5" x14ac:dyDescent="0.2">
      <c r="A400" s="391">
        <v>90697</v>
      </c>
      <c r="B400" s="478" t="s">
        <v>47452</v>
      </c>
      <c r="C400" s="391" t="s">
        <v>0</v>
      </c>
      <c r="D400" s="479">
        <v>241.2</v>
      </c>
      <c r="E400" s="368"/>
      <c r="F400" s="368"/>
    </row>
    <row r="401" spans="1:6" ht="25.5" x14ac:dyDescent="0.2">
      <c r="A401" s="391">
        <v>90698</v>
      </c>
      <c r="B401" s="478" t="s">
        <v>47453</v>
      </c>
      <c r="C401" s="391" t="s">
        <v>0</v>
      </c>
      <c r="D401" s="479">
        <v>369.01</v>
      </c>
      <c r="E401" s="368"/>
      <c r="F401" s="368"/>
    </row>
    <row r="402" spans="1:6" ht="25.5" x14ac:dyDescent="0.2">
      <c r="A402" s="391">
        <v>90699</v>
      </c>
      <c r="B402" s="478" t="s">
        <v>47454</v>
      </c>
      <c r="C402" s="391" t="s">
        <v>0</v>
      </c>
      <c r="D402" s="479">
        <v>519.64</v>
      </c>
      <c r="E402" s="368"/>
      <c r="F402" s="368"/>
    </row>
    <row r="403" spans="1:6" ht="25.5" x14ac:dyDescent="0.2">
      <c r="A403" s="391">
        <v>90700</v>
      </c>
      <c r="B403" s="478" t="s">
        <v>47455</v>
      </c>
      <c r="C403" s="391" t="s">
        <v>0</v>
      </c>
      <c r="D403" s="479">
        <v>607.09</v>
      </c>
      <c r="E403" s="368"/>
      <c r="F403" s="368"/>
    </row>
    <row r="404" spans="1:6" ht="38.25" x14ac:dyDescent="0.2">
      <c r="A404" s="391">
        <v>105378</v>
      </c>
      <c r="B404" s="478" t="s">
        <v>38627</v>
      </c>
      <c r="C404" s="391" t="s">
        <v>26</v>
      </c>
      <c r="D404" s="479">
        <v>11.58</v>
      </c>
      <c r="E404" s="368"/>
      <c r="F404" s="368"/>
    </row>
    <row r="405" spans="1:6" ht="38.25" x14ac:dyDescent="0.2">
      <c r="A405" s="391">
        <v>105373</v>
      </c>
      <c r="B405" s="478" t="s">
        <v>38719</v>
      </c>
      <c r="C405" s="391" t="s">
        <v>26</v>
      </c>
      <c r="D405" s="479">
        <v>9.0399999999999991</v>
      </c>
      <c r="E405" s="368"/>
      <c r="F405" s="368"/>
    </row>
    <row r="406" spans="1:6" ht="38.25" x14ac:dyDescent="0.2">
      <c r="A406" s="391">
        <v>105380</v>
      </c>
      <c r="B406" s="478" t="s">
        <v>38629</v>
      </c>
      <c r="C406" s="391" t="s">
        <v>26</v>
      </c>
      <c r="D406" s="479">
        <v>92.96</v>
      </c>
      <c r="E406" s="368"/>
      <c r="F406" s="368"/>
    </row>
    <row r="407" spans="1:6" ht="38.25" x14ac:dyDescent="0.2">
      <c r="A407" s="391">
        <v>105267</v>
      </c>
      <c r="B407" s="478" t="s">
        <v>38567</v>
      </c>
      <c r="C407" s="391" t="s">
        <v>26</v>
      </c>
      <c r="D407" s="479">
        <v>75.27</v>
      </c>
      <c r="E407" s="368"/>
      <c r="F407" s="368"/>
    </row>
    <row r="408" spans="1:6" ht="38.25" x14ac:dyDescent="0.2">
      <c r="A408" s="391">
        <v>105249</v>
      </c>
      <c r="B408" s="478" t="s">
        <v>38550</v>
      </c>
      <c r="C408" s="391" t="s">
        <v>26</v>
      </c>
      <c r="D408" s="479">
        <v>113.51</v>
      </c>
      <c r="E408" s="368"/>
      <c r="F408" s="368"/>
    </row>
    <row r="409" spans="1:6" ht="38.25" x14ac:dyDescent="0.2">
      <c r="A409" s="391">
        <v>105268</v>
      </c>
      <c r="B409" s="478" t="s">
        <v>38568</v>
      </c>
      <c r="C409" s="391" t="s">
        <v>26</v>
      </c>
      <c r="D409" s="479">
        <v>92.65</v>
      </c>
      <c r="E409" s="368"/>
      <c r="F409" s="368"/>
    </row>
    <row r="410" spans="1:6" ht="38.25" x14ac:dyDescent="0.2">
      <c r="A410" s="391">
        <v>105379</v>
      </c>
      <c r="B410" s="478" t="s">
        <v>38628</v>
      </c>
      <c r="C410" s="391" t="s">
        <v>26</v>
      </c>
      <c r="D410" s="479">
        <v>15.29</v>
      </c>
      <c r="E410" s="368"/>
      <c r="F410" s="368"/>
    </row>
    <row r="411" spans="1:6" ht="38.25" x14ac:dyDescent="0.2">
      <c r="A411" s="391">
        <v>105388</v>
      </c>
      <c r="B411" s="478" t="s">
        <v>38630</v>
      </c>
      <c r="C411" s="391" t="s">
        <v>26</v>
      </c>
      <c r="D411" s="479">
        <v>12.14</v>
      </c>
      <c r="E411" s="368"/>
      <c r="F411" s="368"/>
    </row>
    <row r="412" spans="1:6" ht="38.25" x14ac:dyDescent="0.2">
      <c r="A412" s="391">
        <v>105392</v>
      </c>
      <c r="B412" s="478" t="s">
        <v>38634</v>
      </c>
      <c r="C412" s="391" t="s">
        <v>26</v>
      </c>
      <c r="D412" s="479">
        <v>19.04</v>
      </c>
      <c r="E412" s="368"/>
      <c r="F412" s="368"/>
    </row>
    <row r="413" spans="1:6" ht="38.25" x14ac:dyDescent="0.2">
      <c r="A413" s="391">
        <v>105389</v>
      </c>
      <c r="B413" s="478" t="s">
        <v>38631</v>
      </c>
      <c r="C413" s="391" t="s">
        <v>26</v>
      </c>
      <c r="D413" s="479">
        <v>15.25</v>
      </c>
      <c r="E413" s="368"/>
      <c r="F413" s="368"/>
    </row>
    <row r="414" spans="1:6" ht="38.25" x14ac:dyDescent="0.2">
      <c r="A414" s="391">
        <v>105393</v>
      </c>
      <c r="B414" s="478" t="s">
        <v>38635</v>
      </c>
      <c r="C414" s="391" t="s">
        <v>26</v>
      </c>
      <c r="D414" s="479">
        <v>22.92</v>
      </c>
      <c r="E414" s="368"/>
      <c r="F414" s="368"/>
    </row>
    <row r="415" spans="1:6" ht="38.25" x14ac:dyDescent="0.2">
      <c r="A415" s="391">
        <v>105316</v>
      </c>
      <c r="B415" s="478" t="s">
        <v>38692</v>
      </c>
      <c r="C415" s="391" t="s">
        <v>26</v>
      </c>
      <c r="D415" s="479">
        <v>18.52</v>
      </c>
      <c r="E415" s="368"/>
      <c r="F415" s="368"/>
    </row>
    <row r="416" spans="1:6" ht="38.25" x14ac:dyDescent="0.2">
      <c r="A416" s="391">
        <v>105394</v>
      </c>
      <c r="B416" s="478" t="s">
        <v>38636</v>
      </c>
      <c r="C416" s="391" t="s">
        <v>26</v>
      </c>
      <c r="D416" s="479">
        <v>26.78</v>
      </c>
      <c r="E416" s="368"/>
      <c r="F416" s="368"/>
    </row>
    <row r="417" spans="1:6" ht="38.25" x14ac:dyDescent="0.2">
      <c r="A417" s="391">
        <v>105317</v>
      </c>
      <c r="B417" s="478" t="s">
        <v>38596</v>
      </c>
      <c r="C417" s="391" t="s">
        <v>26</v>
      </c>
      <c r="D417" s="479">
        <v>21.78</v>
      </c>
      <c r="E417" s="368"/>
      <c r="F417" s="368"/>
    </row>
    <row r="418" spans="1:6" ht="38.25" x14ac:dyDescent="0.2">
      <c r="A418" s="391">
        <v>105395</v>
      </c>
      <c r="B418" s="478" t="s">
        <v>38637</v>
      </c>
      <c r="C418" s="391" t="s">
        <v>26</v>
      </c>
      <c r="D418" s="479">
        <v>30.66</v>
      </c>
      <c r="E418" s="368"/>
      <c r="F418" s="368"/>
    </row>
    <row r="419" spans="1:6" ht="38.25" x14ac:dyDescent="0.2">
      <c r="A419" s="391">
        <v>105318</v>
      </c>
      <c r="B419" s="478" t="s">
        <v>38597</v>
      </c>
      <c r="C419" s="391" t="s">
        <v>26</v>
      </c>
      <c r="D419" s="479">
        <v>25.02</v>
      </c>
      <c r="E419" s="368"/>
      <c r="F419" s="368"/>
    </row>
    <row r="420" spans="1:6" ht="38.25" x14ac:dyDescent="0.2">
      <c r="A420" s="391">
        <v>105396</v>
      </c>
      <c r="B420" s="478" t="s">
        <v>38638</v>
      </c>
      <c r="C420" s="391" t="s">
        <v>26</v>
      </c>
      <c r="D420" s="479">
        <v>34.51</v>
      </c>
      <c r="E420" s="368"/>
      <c r="F420" s="368"/>
    </row>
    <row r="421" spans="1:6" ht="38.25" x14ac:dyDescent="0.2">
      <c r="A421" s="391">
        <v>105258</v>
      </c>
      <c r="B421" s="478" t="s">
        <v>38559</v>
      </c>
      <c r="C421" s="391" t="s">
        <v>26</v>
      </c>
      <c r="D421" s="479">
        <v>28.26</v>
      </c>
      <c r="E421" s="368"/>
      <c r="F421" s="368"/>
    </row>
    <row r="422" spans="1:6" ht="38.25" x14ac:dyDescent="0.2">
      <c r="A422" s="391">
        <v>105397</v>
      </c>
      <c r="B422" s="478" t="s">
        <v>38639</v>
      </c>
      <c r="C422" s="391" t="s">
        <v>26</v>
      </c>
      <c r="D422" s="479">
        <v>38.5</v>
      </c>
      <c r="E422" s="368"/>
      <c r="F422" s="368"/>
    </row>
    <row r="423" spans="1:6" ht="38.25" x14ac:dyDescent="0.2">
      <c r="A423" s="391">
        <v>105261</v>
      </c>
      <c r="B423" s="478" t="s">
        <v>38561</v>
      </c>
      <c r="C423" s="391" t="s">
        <v>26</v>
      </c>
      <c r="D423" s="479">
        <v>31.62</v>
      </c>
      <c r="E423" s="368"/>
      <c r="F423" s="368"/>
    </row>
    <row r="424" spans="1:6" ht="38.25" x14ac:dyDescent="0.2">
      <c r="A424" s="391">
        <v>105398</v>
      </c>
      <c r="B424" s="478" t="s">
        <v>38640</v>
      </c>
      <c r="C424" s="391" t="s">
        <v>26</v>
      </c>
      <c r="D424" s="479">
        <v>49.44</v>
      </c>
      <c r="E424" s="368"/>
      <c r="F424" s="368"/>
    </row>
    <row r="425" spans="1:6" ht="38.25" x14ac:dyDescent="0.2">
      <c r="A425" s="391">
        <v>105262</v>
      </c>
      <c r="B425" s="478" t="s">
        <v>38562</v>
      </c>
      <c r="C425" s="391" t="s">
        <v>26</v>
      </c>
      <c r="D425" s="479">
        <v>39.659999999999997</v>
      </c>
      <c r="E425" s="368"/>
      <c r="F425" s="368"/>
    </row>
    <row r="426" spans="1:6" ht="38.25" x14ac:dyDescent="0.2">
      <c r="A426" s="391">
        <v>105399</v>
      </c>
      <c r="B426" s="478" t="s">
        <v>38641</v>
      </c>
      <c r="C426" s="391" t="s">
        <v>26</v>
      </c>
      <c r="D426" s="479">
        <v>58.46</v>
      </c>
      <c r="E426" s="368"/>
      <c r="F426" s="368"/>
    </row>
    <row r="427" spans="1:6" ht="38.25" x14ac:dyDescent="0.2">
      <c r="A427" s="391">
        <v>105263</v>
      </c>
      <c r="B427" s="478" t="s">
        <v>38563</v>
      </c>
      <c r="C427" s="391" t="s">
        <v>26</v>
      </c>
      <c r="D427" s="479">
        <v>47.1</v>
      </c>
      <c r="E427" s="368"/>
      <c r="F427" s="368"/>
    </row>
    <row r="428" spans="1:6" ht="38.25" x14ac:dyDescent="0.2">
      <c r="A428" s="391">
        <v>105400</v>
      </c>
      <c r="B428" s="478" t="s">
        <v>38642</v>
      </c>
      <c r="C428" s="391" t="s">
        <v>26</v>
      </c>
      <c r="D428" s="479">
        <v>66.760000000000005</v>
      </c>
      <c r="E428" s="368"/>
      <c r="F428" s="368"/>
    </row>
    <row r="429" spans="1:6" ht="38.25" x14ac:dyDescent="0.2">
      <c r="A429" s="391">
        <v>105264</v>
      </c>
      <c r="B429" s="478" t="s">
        <v>38564</v>
      </c>
      <c r="C429" s="391" t="s">
        <v>26</v>
      </c>
      <c r="D429" s="479">
        <v>53.81</v>
      </c>
      <c r="E429" s="368"/>
      <c r="F429" s="368"/>
    </row>
    <row r="430" spans="1:6" ht="38.25" x14ac:dyDescent="0.2">
      <c r="A430" s="391">
        <v>105297</v>
      </c>
      <c r="B430" s="478" t="s">
        <v>38585</v>
      </c>
      <c r="C430" s="391" t="s">
        <v>26</v>
      </c>
      <c r="D430" s="479">
        <v>10.06</v>
      </c>
      <c r="E430" s="368"/>
      <c r="F430" s="368"/>
    </row>
    <row r="431" spans="1:6" ht="38.25" x14ac:dyDescent="0.2">
      <c r="A431" s="391">
        <v>105372</v>
      </c>
      <c r="B431" s="478" t="s">
        <v>38718</v>
      </c>
      <c r="C431" s="391" t="s">
        <v>26</v>
      </c>
      <c r="D431" s="479">
        <v>7.76</v>
      </c>
      <c r="E431" s="368"/>
      <c r="F431" s="368"/>
    </row>
    <row r="432" spans="1:6" ht="38.25" x14ac:dyDescent="0.2">
      <c r="A432" s="391">
        <v>105401</v>
      </c>
      <c r="B432" s="478" t="s">
        <v>38643</v>
      </c>
      <c r="C432" s="391" t="s">
        <v>26</v>
      </c>
      <c r="D432" s="479">
        <v>75.319999999999993</v>
      </c>
      <c r="E432" s="368"/>
      <c r="F432" s="368"/>
    </row>
    <row r="433" spans="1:6" ht="38.25" x14ac:dyDescent="0.2">
      <c r="A433" s="391">
        <v>105265</v>
      </c>
      <c r="B433" s="478" t="s">
        <v>38565</v>
      </c>
      <c r="C433" s="391" t="s">
        <v>26</v>
      </c>
      <c r="D433" s="479">
        <v>60.78</v>
      </c>
      <c r="E433" s="368"/>
      <c r="F433" s="368"/>
    </row>
    <row r="434" spans="1:6" ht="38.25" x14ac:dyDescent="0.2">
      <c r="A434" s="391">
        <v>105402</v>
      </c>
      <c r="B434" s="478" t="s">
        <v>38644</v>
      </c>
      <c r="C434" s="391" t="s">
        <v>26</v>
      </c>
      <c r="D434" s="479">
        <v>84.1</v>
      </c>
      <c r="E434" s="368"/>
      <c r="F434" s="368"/>
    </row>
    <row r="435" spans="1:6" ht="38.25" x14ac:dyDescent="0.2">
      <c r="A435" s="391">
        <v>105266</v>
      </c>
      <c r="B435" s="478" t="s">
        <v>38566</v>
      </c>
      <c r="C435" s="391" t="s">
        <v>26</v>
      </c>
      <c r="D435" s="479">
        <v>67.97</v>
      </c>
      <c r="E435" s="368"/>
      <c r="F435" s="368"/>
    </row>
    <row r="436" spans="1:6" ht="38.25" x14ac:dyDescent="0.2">
      <c r="A436" s="391">
        <v>105361</v>
      </c>
      <c r="B436" s="478" t="s">
        <v>38708</v>
      </c>
      <c r="C436" s="391" t="s">
        <v>26</v>
      </c>
      <c r="D436" s="479">
        <v>16.350000000000001</v>
      </c>
      <c r="E436" s="368"/>
      <c r="F436" s="368"/>
    </row>
    <row r="437" spans="1:6" ht="51" x14ac:dyDescent="0.2">
      <c r="A437" s="391">
        <v>105382</v>
      </c>
      <c r="B437" s="478" t="s">
        <v>38724</v>
      </c>
      <c r="C437" s="391" t="s">
        <v>26</v>
      </c>
      <c r="D437" s="479">
        <v>13.54</v>
      </c>
      <c r="E437" s="368"/>
      <c r="F437" s="368"/>
    </row>
    <row r="438" spans="1:6" ht="38.25" x14ac:dyDescent="0.2">
      <c r="A438" s="391">
        <v>105359</v>
      </c>
      <c r="B438" s="478" t="s">
        <v>38706</v>
      </c>
      <c r="C438" s="391" t="s">
        <v>26</v>
      </c>
      <c r="D438" s="479">
        <v>11.57</v>
      </c>
      <c r="E438" s="368"/>
      <c r="F438" s="368"/>
    </row>
    <row r="439" spans="1:6" ht="51" x14ac:dyDescent="0.2">
      <c r="A439" s="391">
        <v>105315</v>
      </c>
      <c r="B439" s="478" t="s">
        <v>38691</v>
      </c>
      <c r="C439" s="391" t="s">
        <v>26</v>
      </c>
      <c r="D439" s="479">
        <v>9.51</v>
      </c>
      <c r="E439" s="368"/>
      <c r="F439" s="368"/>
    </row>
    <row r="440" spans="1:6" ht="38.25" x14ac:dyDescent="0.2">
      <c r="A440" s="391">
        <v>105360</v>
      </c>
      <c r="B440" s="478" t="s">
        <v>38707</v>
      </c>
      <c r="C440" s="391" t="s">
        <v>26</v>
      </c>
      <c r="D440" s="479">
        <v>14.04</v>
      </c>
      <c r="E440" s="368"/>
      <c r="F440" s="368"/>
    </row>
    <row r="441" spans="1:6" ht="51" x14ac:dyDescent="0.2">
      <c r="A441" s="391">
        <v>105381</v>
      </c>
      <c r="B441" s="478" t="s">
        <v>38723</v>
      </c>
      <c r="C441" s="391" t="s">
        <v>26</v>
      </c>
      <c r="D441" s="479">
        <v>11.61</v>
      </c>
      <c r="E441" s="368"/>
      <c r="F441" s="368"/>
    </row>
    <row r="442" spans="1:6" ht="38.25" x14ac:dyDescent="0.2">
      <c r="A442" s="391">
        <v>105251</v>
      </c>
      <c r="B442" s="478" t="s">
        <v>38552</v>
      </c>
      <c r="C442" s="391" t="s">
        <v>26</v>
      </c>
      <c r="D442" s="479">
        <v>16.95</v>
      </c>
      <c r="E442" s="368"/>
      <c r="F442" s="368"/>
    </row>
    <row r="443" spans="1:6" ht="38.25" x14ac:dyDescent="0.2">
      <c r="A443" s="391">
        <v>105282</v>
      </c>
      <c r="B443" s="478" t="s">
        <v>38582</v>
      </c>
      <c r="C443" s="391" t="s">
        <v>26</v>
      </c>
      <c r="D443" s="479">
        <v>13.14</v>
      </c>
      <c r="E443" s="368"/>
      <c r="F443" s="368"/>
    </row>
    <row r="444" spans="1:6" ht="38.25" x14ac:dyDescent="0.2">
      <c r="A444" s="391">
        <v>105276</v>
      </c>
      <c r="B444" s="478" t="s">
        <v>38576</v>
      </c>
      <c r="C444" s="391" t="s">
        <v>26</v>
      </c>
      <c r="D444" s="479">
        <v>135.66999999999999</v>
      </c>
      <c r="E444" s="368"/>
      <c r="F444" s="368"/>
    </row>
    <row r="445" spans="1:6" ht="38.25" x14ac:dyDescent="0.2">
      <c r="A445" s="391">
        <v>105341</v>
      </c>
      <c r="B445" s="478" t="s">
        <v>38607</v>
      </c>
      <c r="C445" s="391" t="s">
        <v>26</v>
      </c>
      <c r="D445" s="479">
        <v>109.13</v>
      </c>
      <c r="E445" s="368"/>
      <c r="F445" s="368"/>
    </row>
    <row r="446" spans="1:6" ht="38.25" x14ac:dyDescent="0.2">
      <c r="A446" s="391">
        <v>105277</v>
      </c>
      <c r="B446" s="478" t="s">
        <v>38577</v>
      </c>
      <c r="C446" s="391" t="s">
        <v>26</v>
      </c>
      <c r="D446" s="479">
        <v>164.21</v>
      </c>
      <c r="E446" s="368"/>
      <c r="F446" s="368"/>
    </row>
    <row r="447" spans="1:6" ht="38.25" x14ac:dyDescent="0.2">
      <c r="A447" s="391">
        <v>105342</v>
      </c>
      <c r="B447" s="478" t="s">
        <v>38608</v>
      </c>
      <c r="C447" s="391" t="s">
        <v>26</v>
      </c>
      <c r="D447" s="479">
        <v>132.91</v>
      </c>
      <c r="E447" s="368"/>
      <c r="F447" s="368"/>
    </row>
    <row r="448" spans="1:6" ht="38.25" x14ac:dyDescent="0.2">
      <c r="A448" s="391">
        <v>105252</v>
      </c>
      <c r="B448" s="478" t="s">
        <v>38553</v>
      </c>
      <c r="C448" s="391" t="s">
        <v>26</v>
      </c>
      <c r="D448" s="479">
        <v>22.4</v>
      </c>
      <c r="E448" s="368"/>
      <c r="F448" s="368"/>
    </row>
    <row r="449" spans="1:6" ht="38.25" x14ac:dyDescent="0.2">
      <c r="A449" s="391">
        <v>105298</v>
      </c>
      <c r="B449" s="478" t="s">
        <v>38586</v>
      </c>
      <c r="C449" s="391" t="s">
        <v>26</v>
      </c>
      <c r="D449" s="479">
        <v>17.66</v>
      </c>
      <c r="E449" s="368"/>
      <c r="F449" s="368"/>
    </row>
    <row r="450" spans="1:6" ht="38.25" x14ac:dyDescent="0.2">
      <c r="A450" s="391">
        <v>105253</v>
      </c>
      <c r="B450" s="478" t="s">
        <v>38554</v>
      </c>
      <c r="C450" s="391" t="s">
        <v>26</v>
      </c>
      <c r="D450" s="479">
        <v>27.87</v>
      </c>
      <c r="E450" s="368"/>
      <c r="F450" s="368"/>
    </row>
    <row r="451" spans="1:6" ht="38.25" x14ac:dyDescent="0.2">
      <c r="A451" s="391">
        <v>105299</v>
      </c>
      <c r="B451" s="478" t="s">
        <v>38587</v>
      </c>
      <c r="C451" s="391" t="s">
        <v>26</v>
      </c>
      <c r="D451" s="479">
        <v>22.19</v>
      </c>
      <c r="E451" s="368"/>
      <c r="F451" s="368"/>
    </row>
    <row r="452" spans="1:6" ht="38.25" x14ac:dyDescent="0.2">
      <c r="A452" s="391">
        <v>105254</v>
      </c>
      <c r="B452" s="478" t="s">
        <v>38555</v>
      </c>
      <c r="C452" s="391" t="s">
        <v>26</v>
      </c>
      <c r="D452" s="479">
        <v>33.479999999999997</v>
      </c>
      <c r="E452" s="368"/>
      <c r="F452" s="368"/>
    </row>
    <row r="453" spans="1:6" ht="38.25" x14ac:dyDescent="0.2">
      <c r="A453" s="391">
        <v>105300</v>
      </c>
      <c r="B453" s="478" t="s">
        <v>38588</v>
      </c>
      <c r="C453" s="391" t="s">
        <v>26</v>
      </c>
      <c r="D453" s="479">
        <v>26.88</v>
      </c>
      <c r="E453" s="368"/>
      <c r="F453" s="368"/>
    </row>
    <row r="454" spans="1:6" ht="38.25" x14ac:dyDescent="0.2">
      <c r="A454" s="391">
        <v>105255</v>
      </c>
      <c r="B454" s="478" t="s">
        <v>38556</v>
      </c>
      <c r="C454" s="391" t="s">
        <v>26</v>
      </c>
      <c r="D454" s="479">
        <v>39.08</v>
      </c>
      <c r="E454" s="368"/>
      <c r="F454" s="368"/>
    </row>
    <row r="455" spans="1:6" ht="38.25" x14ac:dyDescent="0.2">
      <c r="A455" s="391">
        <v>105301</v>
      </c>
      <c r="B455" s="478" t="s">
        <v>38589</v>
      </c>
      <c r="C455" s="391" t="s">
        <v>26</v>
      </c>
      <c r="D455" s="479">
        <v>31.56</v>
      </c>
      <c r="E455" s="368"/>
      <c r="F455" s="368"/>
    </row>
    <row r="456" spans="1:6" ht="38.25" x14ac:dyDescent="0.2">
      <c r="A456" s="391">
        <v>105256</v>
      </c>
      <c r="B456" s="478" t="s">
        <v>38557</v>
      </c>
      <c r="C456" s="391" t="s">
        <v>26</v>
      </c>
      <c r="D456" s="479">
        <v>44.69</v>
      </c>
      <c r="E456" s="368"/>
      <c r="F456" s="368"/>
    </row>
    <row r="457" spans="1:6" ht="38.25" x14ac:dyDescent="0.2">
      <c r="A457" s="391">
        <v>105302</v>
      </c>
      <c r="B457" s="478" t="s">
        <v>38590</v>
      </c>
      <c r="C457" s="391" t="s">
        <v>26</v>
      </c>
      <c r="D457" s="479">
        <v>36.229999999999997</v>
      </c>
      <c r="E457" s="368"/>
      <c r="F457" s="368"/>
    </row>
    <row r="458" spans="1:6" ht="38.25" x14ac:dyDescent="0.2">
      <c r="A458" s="391">
        <v>105257</v>
      </c>
      <c r="B458" s="478" t="s">
        <v>38558</v>
      </c>
      <c r="C458" s="391" t="s">
        <v>26</v>
      </c>
      <c r="D458" s="479">
        <v>50.26</v>
      </c>
      <c r="E458" s="368"/>
      <c r="F458" s="368"/>
    </row>
    <row r="459" spans="1:6" ht="38.25" x14ac:dyDescent="0.2">
      <c r="A459" s="391">
        <v>105303</v>
      </c>
      <c r="B459" s="478" t="s">
        <v>38591</v>
      </c>
      <c r="C459" s="391" t="s">
        <v>26</v>
      </c>
      <c r="D459" s="479">
        <v>40.880000000000003</v>
      </c>
      <c r="E459" s="368"/>
      <c r="F459" s="368"/>
    </row>
    <row r="460" spans="1:6" ht="38.25" x14ac:dyDescent="0.2">
      <c r="A460" s="391">
        <v>105270</v>
      </c>
      <c r="B460" s="478" t="s">
        <v>38570</v>
      </c>
      <c r="C460" s="391" t="s">
        <v>26</v>
      </c>
      <c r="D460" s="479">
        <v>55.99</v>
      </c>
      <c r="E460" s="368"/>
      <c r="F460" s="368"/>
    </row>
    <row r="461" spans="1:6" ht="38.25" x14ac:dyDescent="0.2">
      <c r="A461" s="391">
        <v>105304</v>
      </c>
      <c r="B461" s="478" t="s">
        <v>38592</v>
      </c>
      <c r="C461" s="391" t="s">
        <v>26</v>
      </c>
      <c r="D461" s="479">
        <v>45.69</v>
      </c>
      <c r="E461" s="368"/>
      <c r="F461" s="368"/>
    </row>
    <row r="462" spans="1:6" ht="38.25" x14ac:dyDescent="0.2">
      <c r="A462" s="391">
        <v>105271</v>
      </c>
      <c r="B462" s="478" t="s">
        <v>38571</v>
      </c>
      <c r="C462" s="391" t="s">
        <v>26</v>
      </c>
      <c r="D462" s="479">
        <v>72.17</v>
      </c>
      <c r="E462" s="368"/>
      <c r="F462" s="368"/>
    </row>
    <row r="463" spans="1:6" ht="38.25" x14ac:dyDescent="0.2">
      <c r="A463" s="391">
        <v>105305</v>
      </c>
      <c r="B463" s="478" t="s">
        <v>38593</v>
      </c>
      <c r="C463" s="391" t="s">
        <v>26</v>
      </c>
      <c r="D463" s="479">
        <v>57.5</v>
      </c>
      <c r="E463" s="368"/>
      <c r="F463" s="368"/>
    </row>
    <row r="464" spans="1:6" ht="38.25" x14ac:dyDescent="0.2">
      <c r="A464" s="391">
        <v>105272</v>
      </c>
      <c r="B464" s="478" t="s">
        <v>38572</v>
      </c>
      <c r="C464" s="391" t="s">
        <v>26</v>
      </c>
      <c r="D464" s="479">
        <v>85.2</v>
      </c>
      <c r="E464" s="368"/>
      <c r="F464" s="368"/>
    </row>
    <row r="465" spans="1:6" ht="38.25" x14ac:dyDescent="0.2">
      <c r="A465" s="391">
        <v>105306</v>
      </c>
      <c r="B465" s="478" t="s">
        <v>38594</v>
      </c>
      <c r="C465" s="391" t="s">
        <v>26</v>
      </c>
      <c r="D465" s="479">
        <v>68.150000000000006</v>
      </c>
      <c r="E465" s="368"/>
      <c r="F465" s="368"/>
    </row>
    <row r="466" spans="1:6" ht="38.25" x14ac:dyDescent="0.2">
      <c r="A466" s="391">
        <v>105273</v>
      </c>
      <c r="B466" s="478" t="s">
        <v>38573</v>
      </c>
      <c r="C466" s="391" t="s">
        <v>26</v>
      </c>
      <c r="D466" s="479">
        <v>97.48</v>
      </c>
      <c r="E466" s="368"/>
      <c r="F466" s="368"/>
    </row>
    <row r="467" spans="1:6" ht="38.25" x14ac:dyDescent="0.2">
      <c r="A467" s="391">
        <v>105307</v>
      </c>
      <c r="B467" s="478" t="s">
        <v>38595</v>
      </c>
      <c r="C467" s="391" t="s">
        <v>26</v>
      </c>
      <c r="D467" s="479">
        <v>78.05</v>
      </c>
      <c r="E467" s="368"/>
      <c r="F467" s="368"/>
    </row>
    <row r="468" spans="1:6" ht="38.25" x14ac:dyDescent="0.2">
      <c r="A468" s="391">
        <v>105250</v>
      </c>
      <c r="B468" s="478" t="s">
        <v>38551</v>
      </c>
      <c r="C468" s="391" t="s">
        <v>26</v>
      </c>
      <c r="D468" s="479">
        <v>14.72</v>
      </c>
      <c r="E468" s="368"/>
      <c r="F468" s="368"/>
    </row>
    <row r="469" spans="1:6" ht="38.25" x14ac:dyDescent="0.2">
      <c r="A469" s="391">
        <v>105269</v>
      </c>
      <c r="B469" s="478" t="s">
        <v>38569</v>
      </c>
      <c r="C469" s="391" t="s">
        <v>26</v>
      </c>
      <c r="D469" s="479">
        <v>11.28</v>
      </c>
      <c r="E469" s="368"/>
      <c r="F469" s="368"/>
    </row>
    <row r="470" spans="1:6" ht="38.25" x14ac:dyDescent="0.2">
      <c r="A470" s="391">
        <v>105274</v>
      </c>
      <c r="B470" s="478" t="s">
        <v>38574</v>
      </c>
      <c r="C470" s="391" t="s">
        <v>26</v>
      </c>
      <c r="D470" s="479">
        <v>110.04</v>
      </c>
      <c r="E470" s="368"/>
      <c r="F470" s="368"/>
    </row>
    <row r="471" spans="1:6" ht="38.25" x14ac:dyDescent="0.2">
      <c r="A471" s="391">
        <v>105340</v>
      </c>
      <c r="B471" s="478" t="s">
        <v>38606</v>
      </c>
      <c r="C471" s="391" t="s">
        <v>26</v>
      </c>
      <c r="D471" s="479">
        <v>88.25</v>
      </c>
      <c r="E471" s="368"/>
      <c r="F471" s="368"/>
    </row>
    <row r="472" spans="1:6" ht="38.25" x14ac:dyDescent="0.2">
      <c r="A472" s="391">
        <v>105275</v>
      </c>
      <c r="B472" s="478" t="s">
        <v>38575</v>
      </c>
      <c r="C472" s="391" t="s">
        <v>26</v>
      </c>
      <c r="D472" s="479">
        <v>122.8</v>
      </c>
      <c r="E472" s="368"/>
      <c r="F472" s="368"/>
    </row>
    <row r="473" spans="1:6" ht="38.25" x14ac:dyDescent="0.2">
      <c r="A473" s="391">
        <v>105390</v>
      </c>
      <c r="B473" s="478" t="s">
        <v>38632</v>
      </c>
      <c r="C473" s="391" t="s">
        <v>26</v>
      </c>
      <c r="D473" s="479">
        <v>98.61</v>
      </c>
      <c r="E473" s="368"/>
      <c r="F473" s="368"/>
    </row>
    <row r="474" spans="1:6" ht="38.25" x14ac:dyDescent="0.2">
      <c r="A474" s="391">
        <v>105364</v>
      </c>
      <c r="B474" s="478" t="s">
        <v>38711</v>
      </c>
      <c r="C474" s="391" t="s">
        <v>26</v>
      </c>
      <c r="D474" s="479">
        <v>23.78</v>
      </c>
      <c r="E474" s="368"/>
      <c r="F474" s="368"/>
    </row>
    <row r="475" spans="1:6" ht="51" x14ac:dyDescent="0.2">
      <c r="A475" s="391">
        <v>105385</v>
      </c>
      <c r="B475" s="478" t="s">
        <v>38727</v>
      </c>
      <c r="C475" s="391" t="s">
        <v>26</v>
      </c>
      <c r="D475" s="479">
        <v>19.57</v>
      </c>
      <c r="E475" s="368"/>
      <c r="F475" s="368"/>
    </row>
    <row r="476" spans="1:6" ht="38.25" x14ac:dyDescent="0.2">
      <c r="A476" s="391">
        <v>105362</v>
      </c>
      <c r="B476" s="478" t="s">
        <v>38709</v>
      </c>
      <c r="C476" s="391" t="s">
        <v>26</v>
      </c>
      <c r="D476" s="479">
        <v>17.02</v>
      </c>
      <c r="E476" s="368"/>
      <c r="F476" s="368"/>
    </row>
    <row r="477" spans="1:6" ht="51" x14ac:dyDescent="0.2">
      <c r="A477" s="391">
        <v>105383</v>
      </c>
      <c r="B477" s="478" t="s">
        <v>38725</v>
      </c>
      <c r="C477" s="391" t="s">
        <v>26</v>
      </c>
      <c r="D477" s="479">
        <v>13.93</v>
      </c>
      <c r="E477" s="368"/>
      <c r="F477" s="368"/>
    </row>
    <row r="478" spans="1:6" ht="38.25" x14ac:dyDescent="0.2">
      <c r="A478" s="391">
        <v>105363</v>
      </c>
      <c r="B478" s="478" t="s">
        <v>38710</v>
      </c>
      <c r="C478" s="391" t="s">
        <v>26</v>
      </c>
      <c r="D478" s="479">
        <v>20.48</v>
      </c>
      <c r="E478" s="368"/>
      <c r="F478" s="368"/>
    </row>
    <row r="479" spans="1:6" ht="51" x14ac:dyDescent="0.2">
      <c r="A479" s="391">
        <v>105384</v>
      </c>
      <c r="B479" s="478" t="s">
        <v>38726</v>
      </c>
      <c r="C479" s="391" t="s">
        <v>26</v>
      </c>
      <c r="D479" s="479">
        <v>16.84</v>
      </c>
      <c r="E479" s="368"/>
      <c r="F479" s="368"/>
    </row>
    <row r="480" spans="1:6" ht="38.25" x14ac:dyDescent="0.2">
      <c r="A480" s="391">
        <v>105279</v>
      </c>
      <c r="B480" s="478" t="s">
        <v>38579</v>
      </c>
      <c r="C480" s="391" t="s">
        <v>26</v>
      </c>
      <c r="D480" s="479">
        <v>23.18</v>
      </c>
      <c r="E480" s="368"/>
      <c r="F480" s="368"/>
    </row>
    <row r="481" spans="1:6" ht="38.25" x14ac:dyDescent="0.2">
      <c r="A481" s="391">
        <v>105259</v>
      </c>
      <c r="B481" s="478" t="s">
        <v>38560</v>
      </c>
      <c r="C481" s="391" t="s">
        <v>26</v>
      </c>
      <c r="D481" s="479">
        <v>18.11</v>
      </c>
      <c r="E481" s="368"/>
      <c r="F481" s="368"/>
    </row>
    <row r="482" spans="1:6" ht="38.25" x14ac:dyDescent="0.2">
      <c r="A482" s="391">
        <v>105357</v>
      </c>
      <c r="B482" s="478" t="s">
        <v>38623</v>
      </c>
      <c r="C482" s="391" t="s">
        <v>26</v>
      </c>
      <c r="D482" s="479">
        <v>185.94</v>
      </c>
      <c r="E482" s="368"/>
      <c r="F482" s="368"/>
    </row>
    <row r="483" spans="1:6" ht="38.25" x14ac:dyDescent="0.2">
      <c r="A483" s="391">
        <v>105346</v>
      </c>
      <c r="B483" s="478" t="s">
        <v>38612</v>
      </c>
      <c r="C483" s="391" t="s">
        <v>26</v>
      </c>
      <c r="D483" s="479">
        <v>150.56</v>
      </c>
      <c r="E483" s="368"/>
      <c r="F483" s="368"/>
    </row>
    <row r="484" spans="1:6" ht="38.25" x14ac:dyDescent="0.2">
      <c r="A484" s="391">
        <v>105358</v>
      </c>
      <c r="B484" s="478" t="s">
        <v>38624</v>
      </c>
      <c r="C484" s="391" t="s">
        <v>26</v>
      </c>
      <c r="D484" s="479">
        <v>227.04</v>
      </c>
      <c r="E484" s="368"/>
      <c r="F484" s="368"/>
    </row>
    <row r="485" spans="1:6" ht="38.25" x14ac:dyDescent="0.2">
      <c r="A485" s="391">
        <v>105347</v>
      </c>
      <c r="B485" s="478" t="s">
        <v>38613</v>
      </c>
      <c r="C485" s="391" t="s">
        <v>26</v>
      </c>
      <c r="D485" s="479">
        <v>185.31</v>
      </c>
      <c r="E485" s="368"/>
      <c r="F485" s="368"/>
    </row>
    <row r="486" spans="1:6" ht="38.25" x14ac:dyDescent="0.2">
      <c r="A486" s="391">
        <v>105280</v>
      </c>
      <c r="B486" s="478" t="s">
        <v>38580</v>
      </c>
      <c r="C486" s="391" t="s">
        <v>26</v>
      </c>
      <c r="D486" s="479">
        <v>30.63</v>
      </c>
      <c r="E486" s="368"/>
      <c r="F486" s="368"/>
    </row>
    <row r="487" spans="1:6" ht="38.25" x14ac:dyDescent="0.2">
      <c r="A487" s="391">
        <v>105283</v>
      </c>
      <c r="B487" s="478" t="s">
        <v>38583</v>
      </c>
      <c r="C487" s="391" t="s">
        <v>26</v>
      </c>
      <c r="D487" s="479">
        <v>24.32</v>
      </c>
      <c r="E487" s="368"/>
      <c r="F487" s="368"/>
    </row>
    <row r="488" spans="1:6" ht="38.25" x14ac:dyDescent="0.2">
      <c r="A488" s="391">
        <v>105281</v>
      </c>
      <c r="B488" s="478" t="s">
        <v>38581</v>
      </c>
      <c r="C488" s="391" t="s">
        <v>26</v>
      </c>
      <c r="D488" s="479">
        <v>38.1</v>
      </c>
      <c r="E488" s="368"/>
      <c r="F488" s="368"/>
    </row>
    <row r="489" spans="1:6" ht="38.25" x14ac:dyDescent="0.2">
      <c r="A489" s="391">
        <v>105319</v>
      </c>
      <c r="B489" s="478" t="s">
        <v>38598</v>
      </c>
      <c r="C489" s="391" t="s">
        <v>26</v>
      </c>
      <c r="D489" s="479">
        <v>30.55</v>
      </c>
      <c r="E489" s="368"/>
      <c r="F489" s="368"/>
    </row>
    <row r="490" spans="1:6" ht="38.25" x14ac:dyDescent="0.2">
      <c r="A490" s="391">
        <v>105284</v>
      </c>
      <c r="B490" s="478" t="s">
        <v>38584</v>
      </c>
      <c r="C490" s="391" t="s">
        <v>26</v>
      </c>
      <c r="D490" s="479">
        <v>45.88</v>
      </c>
      <c r="E490" s="368"/>
      <c r="F490" s="368"/>
    </row>
    <row r="491" spans="1:6" ht="38.25" x14ac:dyDescent="0.2">
      <c r="A491" s="391">
        <v>105320</v>
      </c>
      <c r="B491" s="478" t="s">
        <v>38599</v>
      </c>
      <c r="C491" s="391" t="s">
        <v>26</v>
      </c>
      <c r="D491" s="479">
        <v>37.08</v>
      </c>
      <c r="E491" s="368"/>
      <c r="F491" s="368"/>
    </row>
    <row r="492" spans="1:6" ht="38.25" x14ac:dyDescent="0.2">
      <c r="A492" s="391">
        <v>105348</v>
      </c>
      <c r="B492" s="478" t="s">
        <v>38614</v>
      </c>
      <c r="C492" s="391" t="s">
        <v>26</v>
      </c>
      <c r="D492" s="479">
        <v>53.6</v>
      </c>
      <c r="E492" s="368"/>
      <c r="F492" s="368"/>
    </row>
    <row r="493" spans="1:6" ht="38.25" x14ac:dyDescent="0.2">
      <c r="A493" s="391">
        <v>105321</v>
      </c>
      <c r="B493" s="478" t="s">
        <v>38600</v>
      </c>
      <c r="C493" s="391" t="s">
        <v>26</v>
      </c>
      <c r="D493" s="479">
        <v>43.57</v>
      </c>
      <c r="E493" s="368"/>
      <c r="F493" s="368"/>
    </row>
    <row r="494" spans="1:6" ht="38.25" x14ac:dyDescent="0.2">
      <c r="A494" s="391">
        <v>105349</v>
      </c>
      <c r="B494" s="478" t="s">
        <v>38615</v>
      </c>
      <c r="C494" s="391" t="s">
        <v>26</v>
      </c>
      <c r="D494" s="479">
        <v>61.33</v>
      </c>
      <c r="E494" s="368"/>
      <c r="F494" s="368"/>
    </row>
    <row r="495" spans="1:6" ht="38.25" x14ac:dyDescent="0.2">
      <c r="A495" s="391">
        <v>105322</v>
      </c>
      <c r="B495" s="478" t="s">
        <v>38601</v>
      </c>
      <c r="C495" s="391" t="s">
        <v>26</v>
      </c>
      <c r="D495" s="479">
        <v>50.06</v>
      </c>
      <c r="E495" s="368"/>
      <c r="F495" s="368"/>
    </row>
    <row r="496" spans="1:6" ht="38.25" x14ac:dyDescent="0.2">
      <c r="A496" s="391">
        <v>105350</v>
      </c>
      <c r="B496" s="478" t="s">
        <v>38616</v>
      </c>
      <c r="C496" s="391" t="s">
        <v>26</v>
      </c>
      <c r="D496" s="479">
        <v>69.06</v>
      </c>
      <c r="E496" s="368"/>
      <c r="F496" s="368"/>
    </row>
    <row r="497" spans="1:6" ht="38.25" x14ac:dyDescent="0.2">
      <c r="A497" s="391">
        <v>105323</v>
      </c>
      <c r="B497" s="478" t="s">
        <v>38602</v>
      </c>
      <c r="C497" s="391" t="s">
        <v>26</v>
      </c>
      <c r="D497" s="479">
        <v>56.55</v>
      </c>
      <c r="E497" s="368"/>
      <c r="F497" s="368"/>
    </row>
    <row r="498" spans="1:6" ht="38.25" x14ac:dyDescent="0.2">
      <c r="A498" s="391">
        <v>105351</v>
      </c>
      <c r="B498" s="478" t="s">
        <v>38617</v>
      </c>
      <c r="C498" s="391" t="s">
        <v>26</v>
      </c>
      <c r="D498" s="479">
        <v>77.040000000000006</v>
      </c>
      <c r="E498" s="368"/>
      <c r="F498" s="368"/>
    </row>
    <row r="499" spans="1:6" ht="38.25" x14ac:dyDescent="0.2">
      <c r="A499" s="391">
        <v>105324</v>
      </c>
      <c r="B499" s="478" t="s">
        <v>38603</v>
      </c>
      <c r="C499" s="391" t="s">
        <v>26</v>
      </c>
      <c r="D499" s="479">
        <v>63.28</v>
      </c>
      <c r="E499" s="368"/>
      <c r="F499" s="368"/>
    </row>
    <row r="500" spans="1:6" ht="38.25" x14ac:dyDescent="0.2">
      <c r="A500" s="391">
        <v>105352</v>
      </c>
      <c r="B500" s="478" t="s">
        <v>38618</v>
      </c>
      <c r="C500" s="391" t="s">
        <v>26</v>
      </c>
      <c r="D500" s="479">
        <v>98.92</v>
      </c>
      <c r="E500" s="368"/>
      <c r="F500" s="368"/>
    </row>
    <row r="501" spans="1:6" ht="38.25" x14ac:dyDescent="0.2">
      <c r="A501" s="391">
        <v>105325</v>
      </c>
      <c r="B501" s="478" t="s">
        <v>38604</v>
      </c>
      <c r="C501" s="391" t="s">
        <v>26</v>
      </c>
      <c r="D501" s="479">
        <v>79.34</v>
      </c>
      <c r="E501" s="368"/>
      <c r="F501" s="368"/>
    </row>
    <row r="502" spans="1:6" ht="38.25" x14ac:dyDescent="0.2">
      <c r="A502" s="391">
        <v>105353</v>
      </c>
      <c r="B502" s="478" t="s">
        <v>38619</v>
      </c>
      <c r="C502" s="391" t="s">
        <v>26</v>
      </c>
      <c r="D502" s="479">
        <v>116.97</v>
      </c>
      <c r="E502" s="368"/>
      <c r="F502" s="368"/>
    </row>
    <row r="503" spans="1:6" ht="38.25" x14ac:dyDescent="0.2">
      <c r="A503" s="391">
        <v>105326</v>
      </c>
      <c r="B503" s="478" t="s">
        <v>38605</v>
      </c>
      <c r="C503" s="391" t="s">
        <v>26</v>
      </c>
      <c r="D503" s="479">
        <v>94.24</v>
      </c>
      <c r="E503" s="368"/>
      <c r="F503" s="368"/>
    </row>
    <row r="504" spans="1:6" ht="38.25" x14ac:dyDescent="0.2">
      <c r="A504" s="391">
        <v>105354</v>
      </c>
      <c r="B504" s="478" t="s">
        <v>38620</v>
      </c>
      <c r="C504" s="391" t="s">
        <v>26</v>
      </c>
      <c r="D504" s="479">
        <v>133.54</v>
      </c>
      <c r="E504" s="368"/>
      <c r="F504" s="368"/>
    </row>
    <row r="505" spans="1:6" ht="38.25" x14ac:dyDescent="0.2">
      <c r="A505" s="391">
        <v>105344</v>
      </c>
      <c r="B505" s="478" t="s">
        <v>38610</v>
      </c>
      <c r="C505" s="391" t="s">
        <v>26</v>
      </c>
      <c r="D505" s="479">
        <v>107.64</v>
      </c>
      <c r="E505" s="368"/>
      <c r="F505" s="368"/>
    </row>
    <row r="506" spans="1:6" ht="38.25" x14ac:dyDescent="0.2">
      <c r="A506" s="391">
        <v>105278</v>
      </c>
      <c r="B506" s="478" t="s">
        <v>38578</v>
      </c>
      <c r="C506" s="391" t="s">
        <v>26</v>
      </c>
      <c r="D506" s="479">
        <v>20.14</v>
      </c>
      <c r="E506" s="368"/>
      <c r="F506" s="368"/>
    </row>
    <row r="507" spans="1:6" ht="38.25" x14ac:dyDescent="0.2">
      <c r="A507" s="391">
        <v>105343</v>
      </c>
      <c r="B507" s="478" t="s">
        <v>38609</v>
      </c>
      <c r="C507" s="391" t="s">
        <v>26</v>
      </c>
      <c r="D507" s="479">
        <v>15.55</v>
      </c>
      <c r="E507" s="368"/>
      <c r="F507" s="368"/>
    </row>
    <row r="508" spans="1:6" ht="38.25" x14ac:dyDescent="0.2">
      <c r="A508" s="391">
        <v>105355</v>
      </c>
      <c r="B508" s="478" t="s">
        <v>38621</v>
      </c>
      <c r="C508" s="391" t="s">
        <v>26</v>
      </c>
      <c r="D508" s="479">
        <v>150.66</v>
      </c>
      <c r="E508" s="368"/>
      <c r="F508" s="368"/>
    </row>
    <row r="509" spans="1:6" ht="38.25" x14ac:dyDescent="0.2">
      <c r="A509" s="391">
        <v>105391</v>
      </c>
      <c r="B509" s="478" t="s">
        <v>38633</v>
      </c>
      <c r="C509" s="391" t="s">
        <v>26</v>
      </c>
      <c r="D509" s="479">
        <v>121.6</v>
      </c>
      <c r="E509" s="368"/>
      <c r="F509" s="368"/>
    </row>
    <row r="510" spans="1:6" ht="38.25" x14ac:dyDescent="0.2">
      <c r="A510" s="391">
        <v>105356</v>
      </c>
      <c r="B510" s="478" t="s">
        <v>38622</v>
      </c>
      <c r="C510" s="391" t="s">
        <v>26</v>
      </c>
      <c r="D510" s="479">
        <v>168.19</v>
      </c>
      <c r="E510" s="368"/>
      <c r="F510" s="368"/>
    </row>
    <row r="511" spans="1:6" ht="38.25" x14ac:dyDescent="0.2">
      <c r="A511" s="391">
        <v>105345</v>
      </c>
      <c r="B511" s="478" t="s">
        <v>38611</v>
      </c>
      <c r="C511" s="391" t="s">
        <v>26</v>
      </c>
      <c r="D511" s="479">
        <v>135.96</v>
      </c>
      <c r="E511" s="368"/>
      <c r="F511" s="368"/>
    </row>
    <row r="512" spans="1:6" ht="38.25" x14ac:dyDescent="0.2">
      <c r="A512" s="391">
        <v>105367</v>
      </c>
      <c r="B512" s="478" t="s">
        <v>38714</v>
      </c>
      <c r="C512" s="391" t="s">
        <v>26</v>
      </c>
      <c r="D512" s="479">
        <v>32.72</v>
      </c>
      <c r="E512" s="368"/>
      <c r="F512" s="368"/>
    </row>
    <row r="513" spans="1:6" ht="38.25" x14ac:dyDescent="0.2">
      <c r="A513" s="391">
        <v>105371</v>
      </c>
      <c r="B513" s="478" t="s">
        <v>38717</v>
      </c>
      <c r="C513" s="391" t="s">
        <v>26</v>
      </c>
      <c r="D513" s="479">
        <v>27.11</v>
      </c>
      <c r="E513" s="368"/>
      <c r="F513" s="368"/>
    </row>
    <row r="514" spans="1:6" ht="38.25" x14ac:dyDescent="0.2">
      <c r="A514" s="391">
        <v>105365</v>
      </c>
      <c r="B514" s="478" t="s">
        <v>38712</v>
      </c>
      <c r="C514" s="391" t="s">
        <v>26</v>
      </c>
      <c r="D514" s="479">
        <v>23.14</v>
      </c>
      <c r="E514" s="368"/>
      <c r="F514" s="368"/>
    </row>
    <row r="515" spans="1:6" ht="38.25" x14ac:dyDescent="0.2">
      <c r="A515" s="391">
        <v>105386</v>
      </c>
      <c r="B515" s="478" t="s">
        <v>38728</v>
      </c>
      <c r="C515" s="391" t="s">
        <v>26</v>
      </c>
      <c r="D515" s="479">
        <v>19.02</v>
      </c>
      <c r="E515" s="368"/>
      <c r="F515" s="368"/>
    </row>
    <row r="516" spans="1:6" ht="38.25" x14ac:dyDescent="0.2">
      <c r="A516" s="391">
        <v>105366</v>
      </c>
      <c r="B516" s="478" t="s">
        <v>38713</v>
      </c>
      <c r="C516" s="391" t="s">
        <v>26</v>
      </c>
      <c r="D516" s="479">
        <v>28.09</v>
      </c>
      <c r="E516" s="368"/>
      <c r="F516" s="368"/>
    </row>
    <row r="517" spans="1:6" ht="38.25" x14ac:dyDescent="0.2">
      <c r="A517" s="391">
        <v>105387</v>
      </c>
      <c r="B517" s="478" t="s">
        <v>38729</v>
      </c>
      <c r="C517" s="391" t="s">
        <v>26</v>
      </c>
      <c r="D517" s="479">
        <v>23.23</v>
      </c>
      <c r="E517" s="368"/>
      <c r="F517" s="368"/>
    </row>
    <row r="518" spans="1:6" ht="38.25" x14ac:dyDescent="0.2">
      <c r="A518" s="391">
        <v>97177</v>
      </c>
      <c r="B518" s="478" t="s">
        <v>38649</v>
      </c>
      <c r="C518" s="391" t="s">
        <v>0</v>
      </c>
      <c r="D518" s="479">
        <v>74.31</v>
      </c>
      <c r="E518" s="368"/>
      <c r="F518" s="368"/>
    </row>
    <row r="519" spans="1:6" ht="38.25" x14ac:dyDescent="0.2">
      <c r="A519" s="391">
        <v>97187</v>
      </c>
      <c r="B519" s="478" t="s">
        <v>38659</v>
      </c>
      <c r="C519" s="391" t="s">
        <v>0</v>
      </c>
      <c r="D519" s="479">
        <v>66.72</v>
      </c>
      <c r="E519" s="368"/>
      <c r="F519" s="368"/>
    </row>
    <row r="520" spans="1:6" ht="38.25" x14ac:dyDescent="0.2">
      <c r="A520" s="391">
        <v>97178</v>
      </c>
      <c r="B520" s="478" t="s">
        <v>38650</v>
      </c>
      <c r="C520" s="391" t="s">
        <v>0</v>
      </c>
      <c r="D520" s="479">
        <v>90.33</v>
      </c>
      <c r="E520" s="368"/>
      <c r="F520" s="368"/>
    </row>
    <row r="521" spans="1:6" ht="38.25" x14ac:dyDescent="0.2">
      <c r="A521" s="391">
        <v>97188</v>
      </c>
      <c r="B521" s="478" t="s">
        <v>38660</v>
      </c>
      <c r="C521" s="391" t="s">
        <v>0</v>
      </c>
      <c r="D521" s="479">
        <v>81.209999999999994</v>
      </c>
      <c r="E521" s="368"/>
      <c r="F521" s="368"/>
    </row>
    <row r="522" spans="1:6" ht="38.25" x14ac:dyDescent="0.2">
      <c r="A522" s="391">
        <v>97179</v>
      </c>
      <c r="B522" s="478" t="s">
        <v>38651</v>
      </c>
      <c r="C522" s="391" t="s">
        <v>0</v>
      </c>
      <c r="D522" s="479">
        <v>106.36</v>
      </c>
      <c r="E522" s="368"/>
      <c r="F522" s="368"/>
    </row>
    <row r="523" spans="1:6" ht="38.25" x14ac:dyDescent="0.2">
      <c r="A523" s="391">
        <v>97189</v>
      </c>
      <c r="B523" s="478" t="s">
        <v>38661</v>
      </c>
      <c r="C523" s="391" t="s">
        <v>0</v>
      </c>
      <c r="D523" s="479">
        <v>95.68</v>
      </c>
      <c r="E523" s="368"/>
      <c r="F523" s="368"/>
    </row>
    <row r="524" spans="1:6" ht="38.25" x14ac:dyDescent="0.2">
      <c r="A524" s="391">
        <v>97180</v>
      </c>
      <c r="B524" s="478" t="s">
        <v>38652</v>
      </c>
      <c r="C524" s="391" t="s">
        <v>0</v>
      </c>
      <c r="D524" s="479">
        <v>122.38</v>
      </c>
      <c r="E524" s="368"/>
      <c r="F524" s="368"/>
    </row>
    <row r="525" spans="1:6" ht="38.25" x14ac:dyDescent="0.2">
      <c r="A525" s="391">
        <v>97190</v>
      </c>
      <c r="B525" s="478" t="s">
        <v>38662</v>
      </c>
      <c r="C525" s="391" t="s">
        <v>0</v>
      </c>
      <c r="D525" s="479">
        <v>110.16</v>
      </c>
      <c r="E525" s="368"/>
      <c r="F525" s="368"/>
    </row>
    <row r="526" spans="1:6" ht="38.25" x14ac:dyDescent="0.2">
      <c r="A526" s="391">
        <v>97181</v>
      </c>
      <c r="B526" s="478" t="s">
        <v>38653</v>
      </c>
      <c r="C526" s="391" t="s">
        <v>0</v>
      </c>
      <c r="D526" s="479">
        <v>138.4</v>
      </c>
      <c r="E526" s="368"/>
      <c r="F526" s="368"/>
    </row>
    <row r="527" spans="1:6" ht="38.25" x14ac:dyDescent="0.2">
      <c r="A527" s="391">
        <v>97191</v>
      </c>
      <c r="B527" s="478" t="s">
        <v>38663</v>
      </c>
      <c r="C527" s="391" t="s">
        <v>0</v>
      </c>
      <c r="D527" s="479">
        <v>124.64</v>
      </c>
      <c r="E527" s="368"/>
      <c r="F527" s="368"/>
    </row>
    <row r="528" spans="1:6" ht="38.25" x14ac:dyDescent="0.2">
      <c r="A528" s="391">
        <v>97182</v>
      </c>
      <c r="B528" s="478" t="s">
        <v>38654</v>
      </c>
      <c r="C528" s="391" t="s">
        <v>0</v>
      </c>
      <c r="D528" s="479">
        <v>158.84</v>
      </c>
      <c r="E528" s="368"/>
      <c r="F528" s="368"/>
    </row>
    <row r="529" spans="1:6" ht="38.25" x14ac:dyDescent="0.2">
      <c r="A529" s="391">
        <v>97192</v>
      </c>
      <c r="B529" s="478" t="s">
        <v>38664</v>
      </c>
      <c r="C529" s="391" t="s">
        <v>0</v>
      </c>
      <c r="D529" s="479">
        <v>142.52000000000001</v>
      </c>
      <c r="E529" s="368"/>
      <c r="F529" s="368"/>
    </row>
    <row r="530" spans="1:6" ht="38.25" x14ac:dyDescent="0.2">
      <c r="A530" s="391">
        <v>97173</v>
      </c>
      <c r="B530" s="478" t="s">
        <v>38645</v>
      </c>
      <c r="C530" s="391" t="s">
        <v>0</v>
      </c>
      <c r="D530" s="479">
        <v>42.28</v>
      </c>
      <c r="E530" s="368"/>
      <c r="F530" s="368"/>
    </row>
    <row r="531" spans="1:6" ht="38.25" x14ac:dyDescent="0.2">
      <c r="A531" s="391">
        <v>97183</v>
      </c>
      <c r="B531" s="478" t="s">
        <v>38655</v>
      </c>
      <c r="C531" s="391" t="s">
        <v>0</v>
      </c>
      <c r="D531" s="479">
        <v>37.79</v>
      </c>
      <c r="E531" s="368"/>
      <c r="F531" s="368"/>
    </row>
    <row r="532" spans="1:6" ht="38.25" x14ac:dyDescent="0.2">
      <c r="A532" s="391">
        <v>97174</v>
      </c>
      <c r="B532" s="478" t="s">
        <v>38646</v>
      </c>
      <c r="C532" s="391" t="s">
        <v>0</v>
      </c>
      <c r="D532" s="479">
        <v>50.27</v>
      </c>
      <c r="E532" s="368"/>
      <c r="F532" s="368"/>
    </row>
    <row r="533" spans="1:6" ht="38.25" x14ac:dyDescent="0.2">
      <c r="A533" s="391">
        <v>97184</v>
      </c>
      <c r="B533" s="478" t="s">
        <v>38656</v>
      </c>
      <c r="C533" s="391" t="s">
        <v>0</v>
      </c>
      <c r="D533" s="479">
        <v>45</v>
      </c>
      <c r="E533" s="368"/>
      <c r="F533" s="368"/>
    </row>
    <row r="534" spans="1:6" ht="38.25" x14ac:dyDescent="0.2">
      <c r="A534" s="391">
        <v>97175</v>
      </c>
      <c r="B534" s="478" t="s">
        <v>38647</v>
      </c>
      <c r="C534" s="391" t="s">
        <v>0</v>
      </c>
      <c r="D534" s="479">
        <v>58.28</v>
      </c>
      <c r="E534" s="368"/>
      <c r="F534" s="368"/>
    </row>
    <row r="535" spans="1:6" ht="38.25" x14ac:dyDescent="0.2">
      <c r="A535" s="391">
        <v>97185</v>
      </c>
      <c r="B535" s="478" t="s">
        <v>38657</v>
      </c>
      <c r="C535" s="391" t="s">
        <v>0</v>
      </c>
      <c r="D535" s="479">
        <v>52.24</v>
      </c>
      <c r="E535" s="368"/>
      <c r="F535" s="368"/>
    </row>
    <row r="536" spans="1:6" ht="38.25" x14ac:dyDescent="0.2">
      <c r="A536" s="391">
        <v>97176</v>
      </c>
      <c r="B536" s="478" t="s">
        <v>38648</v>
      </c>
      <c r="C536" s="391" t="s">
        <v>0</v>
      </c>
      <c r="D536" s="479">
        <v>66.3</v>
      </c>
      <c r="E536" s="368"/>
      <c r="F536" s="368"/>
    </row>
    <row r="537" spans="1:6" ht="38.25" x14ac:dyDescent="0.2">
      <c r="A537" s="391">
        <v>97186</v>
      </c>
      <c r="B537" s="478" t="s">
        <v>38658</v>
      </c>
      <c r="C537" s="391" t="s">
        <v>0</v>
      </c>
      <c r="D537" s="479">
        <v>59.48</v>
      </c>
      <c r="E537" s="368"/>
      <c r="F537" s="368"/>
    </row>
    <row r="538" spans="1:6" ht="38.25" x14ac:dyDescent="0.2">
      <c r="A538" s="391">
        <v>97142</v>
      </c>
      <c r="B538" s="478" t="s">
        <v>38519</v>
      </c>
      <c r="C538" s="391" t="s">
        <v>0</v>
      </c>
      <c r="D538" s="479">
        <v>5.35</v>
      </c>
      <c r="E538" s="368"/>
      <c r="F538" s="368"/>
    </row>
    <row r="539" spans="1:6" ht="38.25" x14ac:dyDescent="0.2">
      <c r="A539" s="391">
        <v>97158</v>
      </c>
      <c r="B539" s="478" t="s">
        <v>38535</v>
      </c>
      <c r="C539" s="391" t="s">
        <v>0</v>
      </c>
      <c r="D539" s="479">
        <v>4.12</v>
      </c>
      <c r="E539" s="368"/>
      <c r="F539" s="368"/>
    </row>
    <row r="540" spans="1:6" ht="38.25" x14ac:dyDescent="0.2">
      <c r="A540" s="391">
        <v>97155</v>
      </c>
      <c r="B540" s="478" t="s">
        <v>38532</v>
      </c>
      <c r="C540" s="391" t="s">
        <v>0</v>
      </c>
      <c r="D540" s="479">
        <v>42.7</v>
      </c>
      <c r="E540" s="368"/>
      <c r="F540" s="368"/>
    </row>
    <row r="541" spans="1:6" ht="38.25" x14ac:dyDescent="0.2">
      <c r="A541" s="391">
        <v>97171</v>
      </c>
      <c r="B541" s="478" t="s">
        <v>38548</v>
      </c>
      <c r="C541" s="391" t="s">
        <v>0</v>
      </c>
      <c r="D541" s="479">
        <v>34.090000000000003</v>
      </c>
      <c r="E541" s="368"/>
      <c r="F541" s="368"/>
    </row>
    <row r="542" spans="1:6" ht="38.25" x14ac:dyDescent="0.2">
      <c r="A542" s="391">
        <v>97156</v>
      </c>
      <c r="B542" s="478" t="s">
        <v>38533</v>
      </c>
      <c r="C542" s="391" t="s">
        <v>0</v>
      </c>
      <c r="D542" s="479">
        <v>51.14</v>
      </c>
      <c r="E542" s="368"/>
      <c r="F542" s="368"/>
    </row>
    <row r="543" spans="1:6" ht="38.25" x14ac:dyDescent="0.2">
      <c r="A543" s="391">
        <v>97172</v>
      </c>
      <c r="B543" s="478" t="s">
        <v>38549</v>
      </c>
      <c r="C543" s="391" t="s">
        <v>0</v>
      </c>
      <c r="D543" s="479">
        <v>40.98</v>
      </c>
      <c r="E543" s="368"/>
      <c r="F543" s="368"/>
    </row>
    <row r="544" spans="1:6" ht="38.25" x14ac:dyDescent="0.2">
      <c r="A544" s="391">
        <v>97143</v>
      </c>
      <c r="B544" s="478" t="s">
        <v>38520</v>
      </c>
      <c r="C544" s="391" t="s">
        <v>0</v>
      </c>
      <c r="D544" s="479">
        <v>7.09</v>
      </c>
      <c r="E544" s="368"/>
      <c r="F544" s="368"/>
    </row>
    <row r="545" spans="1:6" ht="38.25" x14ac:dyDescent="0.2">
      <c r="A545" s="391">
        <v>97159</v>
      </c>
      <c r="B545" s="478" t="s">
        <v>38536</v>
      </c>
      <c r="C545" s="391" t="s">
        <v>0</v>
      </c>
      <c r="D545" s="479">
        <v>5.55</v>
      </c>
      <c r="E545" s="368"/>
      <c r="F545" s="368"/>
    </row>
    <row r="546" spans="1:6" ht="38.25" x14ac:dyDescent="0.2">
      <c r="A546" s="391">
        <v>97144</v>
      </c>
      <c r="B546" s="478" t="s">
        <v>38521</v>
      </c>
      <c r="C546" s="391" t="s">
        <v>0</v>
      </c>
      <c r="D546" s="479">
        <v>8.83</v>
      </c>
      <c r="E546" s="368"/>
      <c r="F546" s="368"/>
    </row>
    <row r="547" spans="1:6" ht="38.25" x14ac:dyDescent="0.2">
      <c r="A547" s="391">
        <v>97160</v>
      </c>
      <c r="B547" s="478" t="s">
        <v>38537</v>
      </c>
      <c r="C547" s="391" t="s">
        <v>0</v>
      </c>
      <c r="D547" s="479">
        <v>6.98</v>
      </c>
      <c r="E547" s="368"/>
      <c r="F547" s="368"/>
    </row>
    <row r="548" spans="1:6" ht="38.25" x14ac:dyDescent="0.2">
      <c r="A548" s="391">
        <v>97145</v>
      </c>
      <c r="B548" s="478" t="s">
        <v>38522</v>
      </c>
      <c r="C548" s="391" t="s">
        <v>0</v>
      </c>
      <c r="D548" s="479">
        <v>10.58</v>
      </c>
      <c r="E548" s="368"/>
      <c r="F548" s="368"/>
    </row>
    <row r="549" spans="1:6" ht="38.25" x14ac:dyDescent="0.2">
      <c r="A549" s="391">
        <v>97161</v>
      </c>
      <c r="B549" s="478" t="s">
        <v>38538</v>
      </c>
      <c r="C549" s="391" t="s">
        <v>0</v>
      </c>
      <c r="D549" s="479">
        <v>8.44</v>
      </c>
      <c r="E549" s="368"/>
      <c r="F549" s="368"/>
    </row>
    <row r="550" spans="1:6" ht="38.25" x14ac:dyDescent="0.2">
      <c r="A550" s="391">
        <v>97146</v>
      </c>
      <c r="B550" s="478" t="s">
        <v>38523</v>
      </c>
      <c r="C550" s="391" t="s">
        <v>0</v>
      </c>
      <c r="D550" s="479">
        <v>12.33</v>
      </c>
      <c r="E550" s="368"/>
      <c r="F550" s="368"/>
    </row>
    <row r="551" spans="1:6" ht="38.25" x14ac:dyDescent="0.2">
      <c r="A551" s="391">
        <v>97162</v>
      </c>
      <c r="B551" s="478" t="s">
        <v>38539</v>
      </c>
      <c r="C551" s="391" t="s">
        <v>0</v>
      </c>
      <c r="D551" s="479">
        <v>9.89</v>
      </c>
      <c r="E551" s="368"/>
      <c r="F551" s="368"/>
    </row>
    <row r="552" spans="1:6" ht="38.25" x14ac:dyDescent="0.2">
      <c r="A552" s="391">
        <v>97147</v>
      </c>
      <c r="B552" s="478" t="s">
        <v>38524</v>
      </c>
      <c r="C552" s="391" t="s">
        <v>0</v>
      </c>
      <c r="D552" s="479">
        <v>14.1</v>
      </c>
      <c r="E552" s="368"/>
      <c r="F552" s="368"/>
    </row>
    <row r="553" spans="1:6" ht="38.25" x14ac:dyDescent="0.2">
      <c r="A553" s="391">
        <v>97163</v>
      </c>
      <c r="B553" s="478" t="s">
        <v>38540</v>
      </c>
      <c r="C553" s="391" t="s">
        <v>0</v>
      </c>
      <c r="D553" s="479">
        <v>11.35</v>
      </c>
      <c r="E553" s="368"/>
      <c r="F553" s="368"/>
    </row>
    <row r="554" spans="1:6" ht="38.25" x14ac:dyDescent="0.2">
      <c r="A554" s="391">
        <v>97148</v>
      </c>
      <c r="B554" s="478" t="s">
        <v>38525</v>
      </c>
      <c r="C554" s="391" t="s">
        <v>0</v>
      </c>
      <c r="D554" s="479">
        <v>15.85</v>
      </c>
      <c r="E554" s="368"/>
      <c r="F554" s="368"/>
    </row>
    <row r="555" spans="1:6" ht="38.25" x14ac:dyDescent="0.2">
      <c r="A555" s="391">
        <v>97164</v>
      </c>
      <c r="B555" s="478" t="s">
        <v>38541</v>
      </c>
      <c r="C555" s="391" t="s">
        <v>0</v>
      </c>
      <c r="D555" s="479">
        <v>12.8</v>
      </c>
      <c r="E555" s="368"/>
      <c r="F555" s="368"/>
    </row>
    <row r="556" spans="1:6" ht="38.25" x14ac:dyDescent="0.2">
      <c r="A556" s="391">
        <v>97149</v>
      </c>
      <c r="B556" s="478" t="s">
        <v>38526</v>
      </c>
      <c r="C556" s="391" t="s">
        <v>0</v>
      </c>
      <c r="D556" s="479">
        <v>17.64</v>
      </c>
      <c r="E556" s="368"/>
      <c r="F556" s="368"/>
    </row>
    <row r="557" spans="1:6" ht="38.25" x14ac:dyDescent="0.2">
      <c r="A557" s="391">
        <v>97165</v>
      </c>
      <c r="B557" s="478" t="s">
        <v>38542</v>
      </c>
      <c r="C557" s="391" t="s">
        <v>0</v>
      </c>
      <c r="D557" s="479">
        <v>14.28</v>
      </c>
      <c r="E557" s="368"/>
      <c r="F557" s="368"/>
    </row>
    <row r="558" spans="1:6" ht="38.25" x14ac:dyDescent="0.2">
      <c r="A558" s="391">
        <v>97150</v>
      </c>
      <c r="B558" s="478" t="s">
        <v>38527</v>
      </c>
      <c r="C558" s="391" t="s">
        <v>0</v>
      </c>
      <c r="D558" s="479">
        <v>22.82</v>
      </c>
      <c r="E558" s="368"/>
      <c r="F558" s="368"/>
    </row>
    <row r="559" spans="1:6" ht="38.25" x14ac:dyDescent="0.2">
      <c r="A559" s="391">
        <v>97166</v>
      </c>
      <c r="B559" s="478" t="s">
        <v>38543</v>
      </c>
      <c r="C559" s="391" t="s">
        <v>0</v>
      </c>
      <c r="D559" s="479">
        <v>18.05</v>
      </c>
      <c r="E559" s="368"/>
      <c r="F559" s="368"/>
    </row>
    <row r="560" spans="1:6" ht="38.25" x14ac:dyDescent="0.2">
      <c r="A560" s="391">
        <v>97151</v>
      </c>
      <c r="B560" s="478" t="s">
        <v>38528</v>
      </c>
      <c r="C560" s="391" t="s">
        <v>0</v>
      </c>
      <c r="D560" s="479">
        <v>26.88</v>
      </c>
      <c r="E560" s="368"/>
      <c r="F560" s="368"/>
    </row>
    <row r="561" spans="1:6" ht="38.25" x14ac:dyDescent="0.2">
      <c r="A561" s="391">
        <v>97167</v>
      </c>
      <c r="B561" s="478" t="s">
        <v>38544</v>
      </c>
      <c r="C561" s="391" t="s">
        <v>0</v>
      </c>
      <c r="D561" s="479">
        <v>21.34</v>
      </c>
      <c r="E561" s="368"/>
      <c r="F561" s="368"/>
    </row>
    <row r="562" spans="1:6" ht="38.25" x14ac:dyDescent="0.2">
      <c r="A562" s="391">
        <v>97152</v>
      </c>
      <c r="B562" s="478" t="s">
        <v>38529</v>
      </c>
      <c r="C562" s="391" t="s">
        <v>0</v>
      </c>
      <c r="D562" s="479">
        <v>30.71</v>
      </c>
      <c r="E562" s="368"/>
      <c r="F562" s="368"/>
    </row>
    <row r="563" spans="1:6" ht="38.25" x14ac:dyDescent="0.2">
      <c r="A563" s="391">
        <v>97168</v>
      </c>
      <c r="B563" s="478" t="s">
        <v>38545</v>
      </c>
      <c r="C563" s="391" t="s">
        <v>0</v>
      </c>
      <c r="D563" s="479">
        <v>24.39</v>
      </c>
      <c r="E563" s="368"/>
      <c r="F563" s="368"/>
    </row>
    <row r="564" spans="1:6" ht="38.25" x14ac:dyDescent="0.2">
      <c r="A564" s="391">
        <v>97141</v>
      </c>
      <c r="B564" s="478" t="s">
        <v>38518</v>
      </c>
      <c r="C564" s="391" t="s">
        <v>0</v>
      </c>
      <c r="D564" s="479">
        <v>4.6500000000000004</v>
      </c>
      <c r="E564" s="368"/>
      <c r="F564" s="368"/>
    </row>
    <row r="565" spans="1:6" ht="38.25" x14ac:dyDescent="0.2">
      <c r="A565" s="391">
        <v>97157</v>
      </c>
      <c r="B565" s="478" t="s">
        <v>38534</v>
      </c>
      <c r="C565" s="391" t="s">
        <v>0</v>
      </c>
      <c r="D565" s="479">
        <v>3.52</v>
      </c>
      <c r="E565" s="368"/>
      <c r="F565" s="368"/>
    </row>
    <row r="566" spans="1:6" ht="38.25" x14ac:dyDescent="0.2">
      <c r="A566" s="391">
        <v>97153</v>
      </c>
      <c r="B566" s="478" t="s">
        <v>38530</v>
      </c>
      <c r="C566" s="391" t="s">
        <v>0</v>
      </c>
      <c r="D566" s="479">
        <v>34.67</v>
      </c>
      <c r="E566" s="368"/>
      <c r="F566" s="368"/>
    </row>
    <row r="567" spans="1:6" ht="38.25" x14ac:dyDescent="0.2">
      <c r="A567" s="391">
        <v>97169</v>
      </c>
      <c r="B567" s="478" t="s">
        <v>38546</v>
      </c>
      <c r="C567" s="391" t="s">
        <v>0</v>
      </c>
      <c r="D567" s="479">
        <v>27.59</v>
      </c>
      <c r="E567" s="368"/>
      <c r="F567" s="368"/>
    </row>
    <row r="568" spans="1:6" ht="38.25" x14ac:dyDescent="0.2">
      <c r="A568" s="391">
        <v>97154</v>
      </c>
      <c r="B568" s="478" t="s">
        <v>38531</v>
      </c>
      <c r="C568" s="391" t="s">
        <v>0</v>
      </c>
      <c r="D568" s="479">
        <v>38.68</v>
      </c>
      <c r="E568" s="368"/>
      <c r="F568" s="368"/>
    </row>
    <row r="569" spans="1:6" ht="38.25" x14ac:dyDescent="0.2">
      <c r="A569" s="391">
        <v>97170</v>
      </c>
      <c r="B569" s="478" t="s">
        <v>38547</v>
      </c>
      <c r="C569" s="391" t="s">
        <v>0</v>
      </c>
      <c r="D569" s="479">
        <v>30.82</v>
      </c>
      <c r="E569" s="368"/>
      <c r="F569" s="368"/>
    </row>
    <row r="570" spans="1:6" ht="38.25" x14ac:dyDescent="0.2">
      <c r="A570" s="391">
        <v>105311</v>
      </c>
      <c r="B570" s="478" t="s">
        <v>38687</v>
      </c>
      <c r="C570" s="391" t="s">
        <v>0</v>
      </c>
      <c r="D570" s="479">
        <v>3.64</v>
      </c>
      <c r="E570" s="368"/>
      <c r="F570" s="368"/>
    </row>
    <row r="571" spans="1:6" ht="38.25" x14ac:dyDescent="0.2">
      <c r="A571" s="391">
        <v>105339</v>
      </c>
      <c r="B571" s="478" t="s">
        <v>38705</v>
      </c>
      <c r="C571" s="391" t="s">
        <v>0</v>
      </c>
      <c r="D571" s="479">
        <v>3</v>
      </c>
      <c r="E571" s="368"/>
      <c r="F571" s="368"/>
    </row>
    <row r="572" spans="1:6" ht="38.25" x14ac:dyDescent="0.2">
      <c r="A572" s="391">
        <v>97127</v>
      </c>
      <c r="B572" s="478" t="s">
        <v>38730</v>
      </c>
      <c r="C572" s="391" t="s">
        <v>0</v>
      </c>
      <c r="D572" s="479">
        <v>4.76</v>
      </c>
      <c r="E572" s="368"/>
      <c r="F572" s="368"/>
    </row>
    <row r="573" spans="1:6" ht="38.25" x14ac:dyDescent="0.2">
      <c r="A573" s="391">
        <v>97134</v>
      </c>
      <c r="B573" s="478" t="s">
        <v>38737</v>
      </c>
      <c r="C573" s="391" t="s">
        <v>0</v>
      </c>
      <c r="D573" s="479">
        <v>3.94</v>
      </c>
      <c r="E573" s="368"/>
      <c r="F573" s="368"/>
    </row>
    <row r="574" spans="1:6" ht="38.25" x14ac:dyDescent="0.2">
      <c r="A574" s="392">
        <v>97128</v>
      </c>
      <c r="B574" s="480" t="s">
        <v>38731</v>
      </c>
      <c r="C574" s="392" t="s">
        <v>0</v>
      </c>
      <c r="D574" s="481">
        <v>9.51</v>
      </c>
      <c r="E574" s="368"/>
      <c r="F574" s="368"/>
    </row>
    <row r="575" spans="1:6" ht="38.25" x14ac:dyDescent="0.2">
      <c r="A575" s="391">
        <v>97135</v>
      </c>
      <c r="B575" s="478" t="s">
        <v>38738</v>
      </c>
      <c r="C575" s="391" t="s">
        <v>0</v>
      </c>
      <c r="D575" s="479">
        <v>7.28</v>
      </c>
      <c r="E575" s="368"/>
      <c r="F575" s="368"/>
    </row>
    <row r="576" spans="1:6" ht="38.25" x14ac:dyDescent="0.2">
      <c r="A576" s="391">
        <v>97129</v>
      </c>
      <c r="B576" s="478" t="s">
        <v>38732</v>
      </c>
      <c r="C576" s="391" t="s">
        <v>0</v>
      </c>
      <c r="D576" s="479">
        <v>11.25</v>
      </c>
      <c r="E576" s="368"/>
      <c r="F576" s="368"/>
    </row>
    <row r="577" spans="1:6" ht="38.25" x14ac:dyDescent="0.2">
      <c r="A577" s="391">
        <v>97136</v>
      </c>
      <c r="B577" s="478" t="s">
        <v>38739</v>
      </c>
      <c r="C577" s="391" t="s">
        <v>0</v>
      </c>
      <c r="D577" s="479">
        <v>8.6300000000000008</v>
      </c>
      <c r="E577" s="368"/>
      <c r="F577" s="368"/>
    </row>
    <row r="578" spans="1:6" ht="38.25" x14ac:dyDescent="0.2">
      <c r="A578" s="391">
        <v>97130</v>
      </c>
      <c r="B578" s="478" t="s">
        <v>38733</v>
      </c>
      <c r="C578" s="391" t="s">
        <v>0</v>
      </c>
      <c r="D578" s="479">
        <v>13.02</v>
      </c>
      <c r="E578" s="368"/>
      <c r="F578" s="368"/>
    </row>
    <row r="579" spans="1:6" ht="38.25" x14ac:dyDescent="0.2">
      <c r="A579" s="391">
        <v>97137</v>
      </c>
      <c r="B579" s="478" t="s">
        <v>38740</v>
      </c>
      <c r="C579" s="391" t="s">
        <v>0</v>
      </c>
      <c r="D579" s="479">
        <v>9.99</v>
      </c>
      <c r="E579" s="368"/>
      <c r="F579" s="368"/>
    </row>
    <row r="580" spans="1:6" ht="38.25" x14ac:dyDescent="0.2">
      <c r="A580" s="391">
        <v>97131</v>
      </c>
      <c r="B580" s="478" t="s">
        <v>38734</v>
      </c>
      <c r="C580" s="391" t="s">
        <v>0</v>
      </c>
      <c r="D580" s="479">
        <v>14.77</v>
      </c>
      <c r="E580" s="368"/>
      <c r="F580" s="368"/>
    </row>
    <row r="581" spans="1:6" ht="38.25" x14ac:dyDescent="0.2">
      <c r="A581" s="391">
        <v>97138</v>
      </c>
      <c r="B581" s="478" t="s">
        <v>38741</v>
      </c>
      <c r="C581" s="391" t="s">
        <v>0</v>
      </c>
      <c r="D581" s="479">
        <v>11.32</v>
      </c>
      <c r="E581" s="368"/>
      <c r="F581" s="368"/>
    </row>
    <row r="582" spans="1:6" ht="38.25" x14ac:dyDescent="0.2">
      <c r="A582" s="391">
        <v>97132</v>
      </c>
      <c r="B582" s="478" t="s">
        <v>38735</v>
      </c>
      <c r="C582" s="391" t="s">
        <v>0</v>
      </c>
      <c r="D582" s="479">
        <v>16.55</v>
      </c>
      <c r="E582" s="368"/>
      <c r="F582" s="368"/>
    </row>
    <row r="583" spans="1:6" ht="38.25" x14ac:dyDescent="0.2">
      <c r="A583" s="391">
        <v>97139</v>
      </c>
      <c r="B583" s="478" t="s">
        <v>38742</v>
      </c>
      <c r="C583" s="391" t="s">
        <v>0</v>
      </c>
      <c r="D583" s="479">
        <v>12.7</v>
      </c>
      <c r="E583" s="368"/>
      <c r="F583" s="368"/>
    </row>
    <row r="584" spans="1:6" ht="38.25" x14ac:dyDescent="0.2">
      <c r="A584" s="391">
        <v>97133</v>
      </c>
      <c r="B584" s="478" t="s">
        <v>38736</v>
      </c>
      <c r="C584" s="391" t="s">
        <v>0</v>
      </c>
      <c r="D584" s="479">
        <v>20.07</v>
      </c>
      <c r="E584" s="368"/>
      <c r="F584" s="368"/>
    </row>
    <row r="585" spans="1:6" ht="38.25" x14ac:dyDescent="0.2">
      <c r="A585" s="391">
        <v>97140</v>
      </c>
      <c r="B585" s="478" t="s">
        <v>38743</v>
      </c>
      <c r="C585" s="391" t="s">
        <v>0</v>
      </c>
      <c r="D585" s="479">
        <v>15.38</v>
      </c>
      <c r="E585" s="368"/>
      <c r="F585" s="368"/>
    </row>
    <row r="586" spans="1:6" ht="38.25" x14ac:dyDescent="0.2">
      <c r="A586" s="391">
        <v>97123</v>
      </c>
      <c r="B586" s="478" t="s">
        <v>38667</v>
      </c>
      <c r="C586" s="391" t="s">
        <v>0</v>
      </c>
      <c r="D586" s="479">
        <v>3.92</v>
      </c>
      <c r="E586" s="368"/>
      <c r="F586" s="368"/>
    </row>
    <row r="587" spans="1:6" ht="38.25" x14ac:dyDescent="0.2">
      <c r="A587" s="391">
        <v>97126</v>
      </c>
      <c r="B587" s="478" t="s">
        <v>38670</v>
      </c>
      <c r="C587" s="391" t="s">
        <v>0</v>
      </c>
      <c r="D587" s="479">
        <v>3.22</v>
      </c>
      <c r="E587" s="368"/>
      <c r="F587" s="368"/>
    </row>
    <row r="588" spans="1:6" ht="38.25" x14ac:dyDescent="0.2">
      <c r="A588" s="391">
        <v>105308</v>
      </c>
      <c r="B588" s="478" t="s">
        <v>38684</v>
      </c>
      <c r="C588" s="391" t="s">
        <v>0</v>
      </c>
      <c r="D588" s="479">
        <v>4.51</v>
      </c>
      <c r="E588" s="368"/>
      <c r="F588" s="368"/>
    </row>
    <row r="589" spans="1:6" ht="38.25" x14ac:dyDescent="0.2">
      <c r="A589" s="391">
        <v>105312</v>
      </c>
      <c r="B589" s="478" t="s">
        <v>38688</v>
      </c>
      <c r="C589" s="391" t="s">
        <v>0</v>
      </c>
      <c r="D589" s="479">
        <v>3.73</v>
      </c>
      <c r="E589" s="368"/>
      <c r="F589" s="368"/>
    </row>
    <row r="590" spans="1:6" ht="38.25" x14ac:dyDescent="0.2">
      <c r="A590" s="391">
        <v>105309</v>
      </c>
      <c r="B590" s="478" t="s">
        <v>38685</v>
      </c>
      <c r="C590" s="391" t="s">
        <v>0</v>
      </c>
      <c r="D590" s="479">
        <v>4.87</v>
      </c>
      <c r="E590" s="368"/>
      <c r="F590" s="368"/>
    </row>
    <row r="591" spans="1:6" ht="38.25" x14ac:dyDescent="0.2">
      <c r="A591" s="391">
        <v>105313</v>
      </c>
      <c r="B591" s="478" t="s">
        <v>38689</v>
      </c>
      <c r="C591" s="391" t="s">
        <v>0</v>
      </c>
      <c r="D591" s="479">
        <v>4.0199999999999996</v>
      </c>
      <c r="E591" s="368"/>
      <c r="F591" s="368"/>
    </row>
    <row r="592" spans="1:6" ht="38.25" x14ac:dyDescent="0.2">
      <c r="A592" s="391">
        <v>105310</v>
      </c>
      <c r="B592" s="478" t="s">
        <v>38686</v>
      </c>
      <c r="C592" s="391" t="s">
        <v>0</v>
      </c>
      <c r="D592" s="479">
        <v>5.73</v>
      </c>
      <c r="E592" s="368"/>
      <c r="F592" s="368"/>
    </row>
    <row r="593" spans="1:6" ht="38.25" x14ac:dyDescent="0.2">
      <c r="A593" s="391">
        <v>105314</v>
      </c>
      <c r="B593" s="478" t="s">
        <v>38690</v>
      </c>
      <c r="C593" s="391" t="s">
        <v>0</v>
      </c>
      <c r="D593" s="479">
        <v>4.75</v>
      </c>
      <c r="E593" s="368"/>
      <c r="F593" s="368"/>
    </row>
    <row r="594" spans="1:6" ht="38.25" x14ac:dyDescent="0.2">
      <c r="A594" s="391">
        <v>97121</v>
      </c>
      <c r="B594" s="478" t="s">
        <v>38665</v>
      </c>
      <c r="C594" s="391" t="s">
        <v>0</v>
      </c>
      <c r="D594" s="479">
        <v>2.8</v>
      </c>
      <c r="E594" s="368"/>
      <c r="F594" s="368"/>
    </row>
    <row r="595" spans="1:6" ht="38.25" x14ac:dyDescent="0.2">
      <c r="A595" s="391">
        <v>97124</v>
      </c>
      <c r="B595" s="478" t="s">
        <v>38668</v>
      </c>
      <c r="C595" s="391" t="s">
        <v>0</v>
      </c>
      <c r="D595" s="479">
        <v>2.29</v>
      </c>
      <c r="E595" s="368"/>
      <c r="F595" s="368"/>
    </row>
    <row r="596" spans="1:6" ht="38.25" x14ac:dyDescent="0.2">
      <c r="A596" s="391">
        <v>97122</v>
      </c>
      <c r="B596" s="478" t="s">
        <v>38666</v>
      </c>
      <c r="C596" s="391" t="s">
        <v>0</v>
      </c>
      <c r="D596" s="479">
        <v>3.37</v>
      </c>
      <c r="E596" s="368"/>
      <c r="F596" s="368"/>
    </row>
    <row r="597" spans="1:6" ht="38.25" x14ac:dyDescent="0.2">
      <c r="A597" s="391">
        <v>97125</v>
      </c>
      <c r="B597" s="478" t="s">
        <v>38669</v>
      </c>
      <c r="C597" s="391" t="s">
        <v>0</v>
      </c>
      <c r="D597" s="479">
        <v>2.77</v>
      </c>
      <c r="E597" s="368"/>
      <c r="F597" s="368"/>
    </row>
    <row r="598" spans="1:6" ht="51" x14ac:dyDescent="0.2">
      <c r="A598" s="391">
        <v>105296</v>
      </c>
      <c r="B598" s="478" t="s">
        <v>38683</v>
      </c>
      <c r="C598" s="391" t="s">
        <v>26</v>
      </c>
      <c r="D598" s="479">
        <v>173.37</v>
      </c>
      <c r="E598" s="368"/>
      <c r="F598" s="368"/>
    </row>
    <row r="599" spans="1:6" ht="51" x14ac:dyDescent="0.2">
      <c r="A599" s="391">
        <v>105374</v>
      </c>
      <c r="B599" s="478" t="s">
        <v>38720</v>
      </c>
      <c r="C599" s="391" t="s">
        <v>26</v>
      </c>
      <c r="D599" s="479">
        <v>169.16</v>
      </c>
      <c r="E599" s="368"/>
      <c r="F599" s="368"/>
    </row>
    <row r="600" spans="1:6" ht="51" x14ac:dyDescent="0.2">
      <c r="A600" s="391">
        <v>105292</v>
      </c>
      <c r="B600" s="478" t="s">
        <v>38679</v>
      </c>
      <c r="C600" s="391" t="s">
        <v>26</v>
      </c>
      <c r="D600" s="479">
        <v>49.67</v>
      </c>
      <c r="E600" s="368"/>
      <c r="F600" s="368"/>
    </row>
    <row r="601" spans="1:6" ht="51" x14ac:dyDescent="0.2">
      <c r="A601" s="391">
        <v>105293</v>
      </c>
      <c r="B601" s="478" t="s">
        <v>38680</v>
      </c>
      <c r="C601" s="391" t="s">
        <v>26</v>
      </c>
      <c r="D601" s="479">
        <v>46.58</v>
      </c>
      <c r="E601" s="368"/>
      <c r="F601" s="368"/>
    </row>
    <row r="602" spans="1:6" ht="51" x14ac:dyDescent="0.2">
      <c r="A602" s="391">
        <v>105294</v>
      </c>
      <c r="B602" s="478" t="s">
        <v>38681</v>
      </c>
      <c r="C602" s="391" t="s">
        <v>26</v>
      </c>
      <c r="D602" s="479">
        <v>101.07</v>
      </c>
      <c r="E602" s="368"/>
      <c r="F602" s="368"/>
    </row>
    <row r="603" spans="1:6" ht="51" x14ac:dyDescent="0.2">
      <c r="A603" s="391">
        <v>105295</v>
      </c>
      <c r="B603" s="478" t="s">
        <v>38682</v>
      </c>
      <c r="C603" s="391" t="s">
        <v>26</v>
      </c>
      <c r="D603" s="479">
        <v>97.43</v>
      </c>
      <c r="E603" s="368"/>
      <c r="F603" s="368"/>
    </row>
    <row r="604" spans="1:6" ht="51" x14ac:dyDescent="0.2">
      <c r="A604" s="391">
        <v>105290</v>
      </c>
      <c r="B604" s="478" t="s">
        <v>38677</v>
      </c>
      <c r="C604" s="391" t="s">
        <v>26</v>
      </c>
      <c r="D604" s="479">
        <v>66.17</v>
      </c>
      <c r="E604" s="368"/>
      <c r="F604" s="368"/>
    </row>
    <row r="605" spans="1:6" ht="51" x14ac:dyDescent="0.2">
      <c r="A605" s="391">
        <v>105291</v>
      </c>
      <c r="B605" s="478" t="s">
        <v>38678</v>
      </c>
      <c r="C605" s="391" t="s">
        <v>26</v>
      </c>
      <c r="D605" s="479">
        <v>63.36</v>
      </c>
      <c r="E605" s="368"/>
      <c r="F605" s="368"/>
    </row>
    <row r="606" spans="1:6" ht="38.25" x14ac:dyDescent="0.2">
      <c r="A606" s="391">
        <v>105286</v>
      </c>
      <c r="B606" s="478" t="s">
        <v>38673</v>
      </c>
      <c r="C606" s="391" t="s">
        <v>26</v>
      </c>
      <c r="D606" s="479">
        <v>29.77</v>
      </c>
      <c r="E606" s="368"/>
      <c r="F606" s="368"/>
    </row>
    <row r="607" spans="1:6" ht="38.25" x14ac:dyDescent="0.2">
      <c r="A607" s="391">
        <v>105287</v>
      </c>
      <c r="B607" s="478" t="s">
        <v>38674</v>
      </c>
      <c r="C607" s="391" t="s">
        <v>26</v>
      </c>
      <c r="D607" s="479">
        <v>27.71</v>
      </c>
      <c r="E607" s="368"/>
      <c r="F607" s="368"/>
    </row>
    <row r="608" spans="1:6" ht="38.25" x14ac:dyDescent="0.2">
      <c r="A608" s="391">
        <v>105288</v>
      </c>
      <c r="B608" s="478" t="s">
        <v>38675</v>
      </c>
      <c r="C608" s="391" t="s">
        <v>26</v>
      </c>
      <c r="D608" s="479">
        <v>49.14</v>
      </c>
      <c r="E608" s="368"/>
      <c r="F608" s="368"/>
    </row>
    <row r="609" spans="1:6" ht="38.25" x14ac:dyDescent="0.2">
      <c r="A609" s="391">
        <v>105289</v>
      </c>
      <c r="B609" s="478" t="s">
        <v>38676</v>
      </c>
      <c r="C609" s="391" t="s">
        <v>26</v>
      </c>
      <c r="D609" s="479">
        <v>46.71</v>
      </c>
      <c r="E609" s="368"/>
      <c r="F609" s="368"/>
    </row>
    <row r="610" spans="1:6" ht="51" x14ac:dyDescent="0.2">
      <c r="A610" s="391">
        <v>105375</v>
      </c>
      <c r="B610" s="478" t="s">
        <v>38721</v>
      </c>
      <c r="C610" s="391" t="s">
        <v>26</v>
      </c>
      <c r="D610" s="479">
        <v>134</v>
      </c>
      <c r="E610" s="368"/>
      <c r="F610" s="368"/>
    </row>
    <row r="611" spans="1:6" ht="51" x14ac:dyDescent="0.2">
      <c r="A611" s="391">
        <v>105376</v>
      </c>
      <c r="B611" s="478" t="s">
        <v>38722</v>
      </c>
      <c r="C611" s="391" t="s">
        <v>26</v>
      </c>
      <c r="D611" s="479">
        <v>128.38999999999999</v>
      </c>
      <c r="E611" s="368"/>
      <c r="F611" s="368"/>
    </row>
    <row r="612" spans="1:6" ht="51" x14ac:dyDescent="0.2">
      <c r="A612" s="391">
        <v>105331</v>
      </c>
      <c r="B612" s="478" t="s">
        <v>38697</v>
      </c>
      <c r="C612" s="391" t="s">
        <v>0</v>
      </c>
      <c r="D612" s="479">
        <v>56.58</v>
      </c>
      <c r="E612" s="368"/>
      <c r="F612" s="368"/>
    </row>
    <row r="613" spans="1:6" ht="51" x14ac:dyDescent="0.2">
      <c r="A613" s="391">
        <v>105332</v>
      </c>
      <c r="B613" s="478" t="s">
        <v>38698</v>
      </c>
      <c r="C613" s="391" t="s">
        <v>0</v>
      </c>
      <c r="D613" s="479">
        <v>55.94</v>
      </c>
      <c r="E613" s="368"/>
      <c r="F613" s="368"/>
    </row>
    <row r="614" spans="1:6" ht="38.25" x14ac:dyDescent="0.2">
      <c r="A614" s="391">
        <v>105333</v>
      </c>
      <c r="B614" s="478" t="s">
        <v>38699</v>
      </c>
      <c r="C614" s="391" t="s">
        <v>0</v>
      </c>
      <c r="D614" s="479">
        <v>250.97</v>
      </c>
      <c r="E614" s="368"/>
      <c r="F614" s="368"/>
    </row>
    <row r="615" spans="1:6" ht="38.25" x14ac:dyDescent="0.2">
      <c r="A615" s="391">
        <v>105334</v>
      </c>
      <c r="B615" s="478" t="s">
        <v>38700</v>
      </c>
      <c r="C615" s="391" t="s">
        <v>0</v>
      </c>
      <c r="D615" s="479">
        <v>248.74</v>
      </c>
      <c r="E615" s="368"/>
      <c r="F615" s="368"/>
    </row>
    <row r="616" spans="1:6" ht="38.25" x14ac:dyDescent="0.2">
      <c r="A616" s="391">
        <v>105335</v>
      </c>
      <c r="B616" s="478" t="s">
        <v>38701</v>
      </c>
      <c r="C616" s="391" t="s">
        <v>0</v>
      </c>
      <c r="D616" s="479">
        <v>378.84</v>
      </c>
      <c r="E616" s="368"/>
      <c r="F616" s="368"/>
    </row>
    <row r="617" spans="1:6" ht="38.25" x14ac:dyDescent="0.2">
      <c r="A617" s="391">
        <v>105336</v>
      </c>
      <c r="B617" s="478" t="s">
        <v>38702</v>
      </c>
      <c r="C617" s="391" t="s">
        <v>0</v>
      </c>
      <c r="D617" s="479">
        <v>376.22</v>
      </c>
      <c r="E617" s="368"/>
      <c r="F617" s="368"/>
    </row>
    <row r="618" spans="1:6" ht="38.25" x14ac:dyDescent="0.2">
      <c r="A618" s="391">
        <v>105337</v>
      </c>
      <c r="B618" s="478" t="s">
        <v>38703</v>
      </c>
      <c r="C618" s="391" t="s">
        <v>0</v>
      </c>
      <c r="D618" s="479">
        <v>535.01</v>
      </c>
      <c r="E618" s="368"/>
      <c r="F618" s="368"/>
    </row>
    <row r="619" spans="1:6" ht="38.25" x14ac:dyDescent="0.2">
      <c r="A619" s="391">
        <v>105338</v>
      </c>
      <c r="B619" s="478" t="s">
        <v>38704</v>
      </c>
      <c r="C619" s="391" t="s">
        <v>0</v>
      </c>
      <c r="D619" s="479">
        <v>531.98</v>
      </c>
      <c r="E619" s="368"/>
      <c r="F619" s="368"/>
    </row>
    <row r="620" spans="1:6" ht="38.25" x14ac:dyDescent="0.2">
      <c r="A620" s="391">
        <v>105329</v>
      </c>
      <c r="B620" s="478" t="s">
        <v>38695</v>
      </c>
      <c r="C620" s="391" t="s">
        <v>26</v>
      </c>
      <c r="D620" s="479">
        <v>80.03</v>
      </c>
      <c r="E620" s="368"/>
      <c r="F620" s="368"/>
    </row>
    <row r="621" spans="1:6" ht="38.25" x14ac:dyDescent="0.2">
      <c r="A621" s="391">
        <v>105330</v>
      </c>
      <c r="B621" s="478" t="s">
        <v>38696</v>
      </c>
      <c r="C621" s="391" t="s">
        <v>26</v>
      </c>
      <c r="D621" s="479">
        <v>79.33</v>
      </c>
      <c r="E621" s="368"/>
      <c r="F621" s="368"/>
    </row>
    <row r="622" spans="1:6" ht="38.25" x14ac:dyDescent="0.2">
      <c r="A622" s="391">
        <v>105260</v>
      </c>
      <c r="B622" s="478" t="s">
        <v>38671</v>
      </c>
      <c r="C622" s="391" t="s">
        <v>26</v>
      </c>
      <c r="D622" s="479">
        <v>25.99</v>
      </c>
      <c r="E622" s="368"/>
      <c r="F622" s="368"/>
    </row>
    <row r="623" spans="1:6" ht="38.25" x14ac:dyDescent="0.2">
      <c r="A623" s="391">
        <v>105285</v>
      </c>
      <c r="B623" s="478" t="s">
        <v>38672</v>
      </c>
      <c r="C623" s="391" t="s">
        <v>26</v>
      </c>
      <c r="D623" s="479">
        <v>25.48</v>
      </c>
      <c r="E623" s="368"/>
      <c r="F623" s="368"/>
    </row>
    <row r="624" spans="1:6" ht="38.25" x14ac:dyDescent="0.2">
      <c r="A624" s="391">
        <v>105327</v>
      </c>
      <c r="B624" s="478" t="s">
        <v>38693</v>
      </c>
      <c r="C624" s="391" t="s">
        <v>26</v>
      </c>
      <c r="D624" s="479">
        <v>48.92</v>
      </c>
      <c r="E624" s="368"/>
      <c r="F624" s="368"/>
    </row>
    <row r="625" spans="1:6" ht="38.25" x14ac:dyDescent="0.2">
      <c r="A625" s="391">
        <v>105328</v>
      </c>
      <c r="B625" s="478" t="s">
        <v>38694</v>
      </c>
      <c r="C625" s="391" t="s">
        <v>26</v>
      </c>
      <c r="D625" s="479">
        <v>48.32</v>
      </c>
      <c r="E625" s="368"/>
      <c r="F625" s="368"/>
    </row>
    <row r="626" spans="1:6" ht="38.25" x14ac:dyDescent="0.2">
      <c r="A626" s="391">
        <v>105377</v>
      </c>
      <c r="B626" s="478" t="s">
        <v>38626</v>
      </c>
      <c r="C626" s="391" t="s">
        <v>26</v>
      </c>
      <c r="D626" s="479">
        <v>44.29</v>
      </c>
      <c r="E626" s="368"/>
      <c r="F626" s="368"/>
    </row>
    <row r="627" spans="1:6" ht="38.25" x14ac:dyDescent="0.2">
      <c r="A627" s="391">
        <v>105368</v>
      </c>
      <c r="B627" s="478" t="s">
        <v>38715</v>
      </c>
      <c r="C627" s="391" t="s">
        <v>26</v>
      </c>
      <c r="D627" s="479">
        <v>40.85</v>
      </c>
      <c r="E627" s="368"/>
      <c r="F627" s="368"/>
    </row>
    <row r="628" spans="1:6" ht="38.25" x14ac:dyDescent="0.2">
      <c r="A628" s="391">
        <v>105369</v>
      </c>
      <c r="B628" s="478" t="s">
        <v>38625</v>
      </c>
      <c r="C628" s="391" t="s">
        <v>26</v>
      </c>
      <c r="D628" s="479">
        <v>69.709999999999994</v>
      </c>
      <c r="E628" s="368"/>
      <c r="F628" s="368"/>
    </row>
    <row r="629" spans="1:6" ht="38.25" x14ac:dyDescent="0.2">
      <c r="A629" s="391">
        <v>105370</v>
      </c>
      <c r="B629" s="478" t="s">
        <v>38716</v>
      </c>
      <c r="C629" s="391" t="s">
        <v>26</v>
      </c>
      <c r="D629" s="479">
        <v>65.12</v>
      </c>
      <c r="E629" s="368"/>
      <c r="F629" s="368"/>
    </row>
    <row r="630" spans="1:6" ht="51" x14ac:dyDescent="0.2">
      <c r="A630" s="391">
        <v>92864</v>
      </c>
      <c r="B630" s="478" t="s">
        <v>133</v>
      </c>
      <c r="C630" s="391" t="s">
        <v>0</v>
      </c>
      <c r="D630" s="479">
        <v>105.3</v>
      </c>
      <c r="E630" s="368"/>
      <c r="F630" s="368"/>
    </row>
    <row r="631" spans="1:6" ht="51" x14ac:dyDescent="0.2">
      <c r="A631" s="391">
        <v>92848</v>
      </c>
      <c r="B631" s="478" t="s">
        <v>117</v>
      </c>
      <c r="C631" s="391" t="s">
        <v>0</v>
      </c>
      <c r="D631" s="479">
        <v>95.63</v>
      </c>
      <c r="E631" s="368"/>
      <c r="F631" s="368"/>
    </row>
    <row r="632" spans="1:6" ht="51" x14ac:dyDescent="0.2">
      <c r="A632" s="391">
        <v>104937</v>
      </c>
      <c r="B632" s="478" t="s">
        <v>40611</v>
      </c>
      <c r="C632" s="391" t="s">
        <v>0</v>
      </c>
      <c r="D632" s="479">
        <v>0</v>
      </c>
      <c r="E632" s="368"/>
      <c r="F632" s="368"/>
    </row>
    <row r="633" spans="1:6" ht="51" x14ac:dyDescent="0.2">
      <c r="A633" s="391">
        <v>104933</v>
      </c>
      <c r="B633" s="478" t="s">
        <v>40612</v>
      </c>
      <c r="C633" s="391" t="s">
        <v>0</v>
      </c>
      <c r="D633" s="479">
        <v>0</v>
      </c>
      <c r="E633" s="368"/>
      <c r="F633" s="368"/>
    </row>
    <row r="634" spans="1:6" ht="51" x14ac:dyDescent="0.2">
      <c r="A634" s="391">
        <v>104939</v>
      </c>
      <c r="B634" s="478" t="s">
        <v>40613</v>
      </c>
      <c r="C634" s="391" t="s">
        <v>0</v>
      </c>
      <c r="D634" s="479">
        <v>0</v>
      </c>
      <c r="E634" s="368"/>
      <c r="F634" s="368"/>
    </row>
    <row r="635" spans="1:6" ht="51" x14ac:dyDescent="0.2">
      <c r="A635" s="391">
        <v>104935</v>
      </c>
      <c r="B635" s="478" t="s">
        <v>40614</v>
      </c>
      <c r="C635" s="391" t="s">
        <v>0</v>
      </c>
      <c r="D635" s="479">
        <v>0</v>
      </c>
      <c r="E635" s="368"/>
      <c r="F635" s="368"/>
    </row>
    <row r="636" spans="1:6" ht="51" x14ac:dyDescent="0.2">
      <c r="A636" s="391">
        <v>92850</v>
      </c>
      <c r="B636" s="478" t="s">
        <v>119</v>
      </c>
      <c r="C636" s="391" t="s">
        <v>0</v>
      </c>
      <c r="D636" s="479">
        <v>25.93</v>
      </c>
      <c r="E636" s="368"/>
      <c r="F636" s="368"/>
    </row>
    <row r="637" spans="1:6" ht="51" x14ac:dyDescent="0.2">
      <c r="A637" s="391">
        <v>92834</v>
      </c>
      <c r="B637" s="478" t="s">
        <v>103</v>
      </c>
      <c r="C637" s="391" t="s">
        <v>0</v>
      </c>
      <c r="D637" s="479">
        <v>23.52</v>
      </c>
      <c r="E637" s="368"/>
      <c r="F637" s="368"/>
    </row>
    <row r="638" spans="1:6" ht="51" x14ac:dyDescent="0.2">
      <c r="A638" s="391">
        <v>92852</v>
      </c>
      <c r="B638" s="478" t="s">
        <v>121</v>
      </c>
      <c r="C638" s="391" t="s">
        <v>0</v>
      </c>
      <c r="D638" s="479">
        <v>34.049999999999997</v>
      </c>
      <c r="E638" s="368"/>
      <c r="F638" s="368"/>
    </row>
    <row r="639" spans="1:6" ht="51" x14ac:dyDescent="0.2">
      <c r="A639" s="391">
        <v>92836</v>
      </c>
      <c r="B639" s="478" t="s">
        <v>105</v>
      </c>
      <c r="C639" s="391" t="s">
        <v>0</v>
      </c>
      <c r="D639" s="479">
        <v>30.58</v>
      </c>
      <c r="E639" s="368"/>
      <c r="F639" s="368"/>
    </row>
    <row r="640" spans="1:6" ht="51" x14ac:dyDescent="0.2">
      <c r="A640" s="391">
        <v>92854</v>
      </c>
      <c r="B640" s="478" t="s">
        <v>123</v>
      </c>
      <c r="C640" s="391" t="s">
        <v>0</v>
      </c>
      <c r="D640" s="479">
        <v>42.64</v>
      </c>
      <c r="E640" s="368"/>
      <c r="F640" s="368"/>
    </row>
    <row r="641" spans="1:6" ht="51" x14ac:dyDescent="0.2">
      <c r="A641" s="391">
        <v>92838</v>
      </c>
      <c r="B641" s="478" t="s">
        <v>107</v>
      </c>
      <c r="C641" s="391" t="s">
        <v>0</v>
      </c>
      <c r="D641" s="479">
        <v>38.15</v>
      </c>
      <c r="E641" s="368"/>
      <c r="F641" s="368"/>
    </row>
    <row r="642" spans="1:6" ht="51" x14ac:dyDescent="0.2">
      <c r="A642" s="391">
        <v>92856</v>
      </c>
      <c r="B642" s="478" t="s">
        <v>125</v>
      </c>
      <c r="C642" s="391" t="s">
        <v>0</v>
      </c>
      <c r="D642" s="479">
        <v>51.66</v>
      </c>
      <c r="E642" s="368"/>
      <c r="F642" s="368"/>
    </row>
    <row r="643" spans="1:6" ht="51" x14ac:dyDescent="0.2">
      <c r="A643" s="391">
        <v>92840</v>
      </c>
      <c r="B643" s="478" t="s">
        <v>109</v>
      </c>
      <c r="C643" s="391" t="s">
        <v>0</v>
      </c>
      <c r="D643" s="479">
        <v>46.14</v>
      </c>
      <c r="E643" s="368"/>
      <c r="F643" s="368"/>
    </row>
    <row r="644" spans="1:6" ht="51" x14ac:dyDescent="0.2">
      <c r="A644" s="391">
        <v>92858</v>
      </c>
      <c r="B644" s="478" t="s">
        <v>127</v>
      </c>
      <c r="C644" s="391" t="s">
        <v>0</v>
      </c>
      <c r="D644" s="479">
        <v>65.12</v>
      </c>
      <c r="E644" s="368"/>
      <c r="F644" s="368"/>
    </row>
    <row r="645" spans="1:6" ht="51" x14ac:dyDescent="0.2">
      <c r="A645" s="391">
        <v>92842</v>
      </c>
      <c r="B645" s="478" t="s">
        <v>111</v>
      </c>
      <c r="C645" s="391" t="s">
        <v>0</v>
      </c>
      <c r="D645" s="479">
        <v>58.54</v>
      </c>
      <c r="E645" s="368"/>
      <c r="F645" s="368"/>
    </row>
    <row r="646" spans="1:6" ht="51" x14ac:dyDescent="0.2">
      <c r="A646" s="391">
        <v>92860</v>
      </c>
      <c r="B646" s="478" t="s">
        <v>129</v>
      </c>
      <c r="C646" s="391" t="s">
        <v>0</v>
      </c>
      <c r="D646" s="479">
        <v>77.53</v>
      </c>
      <c r="E646" s="368"/>
      <c r="F646" s="368"/>
    </row>
    <row r="647" spans="1:6" ht="51" x14ac:dyDescent="0.2">
      <c r="A647" s="391">
        <v>92844</v>
      </c>
      <c r="B647" s="478" t="s">
        <v>113</v>
      </c>
      <c r="C647" s="391" t="s">
        <v>0</v>
      </c>
      <c r="D647" s="479">
        <v>69.92</v>
      </c>
      <c r="E647" s="368"/>
      <c r="F647" s="368"/>
    </row>
    <row r="648" spans="1:6" ht="51" x14ac:dyDescent="0.2">
      <c r="A648" s="391">
        <v>92862</v>
      </c>
      <c r="B648" s="478" t="s">
        <v>131</v>
      </c>
      <c r="C648" s="391" t="s">
        <v>0</v>
      </c>
      <c r="D648" s="479">
        <v>88.97</v>
      </c>
      <c r="E648" s="368"/>
      <c r="F648" s="368"/>
    </row>
    <row r="649" spans="1:6" ht="51" x14ac:dyDescent="0.2">
      <c r="A649" s="391">
        <v>92846</v>
      </c>
      <c r="B649" s="478" t="s">
        <v>115</v>
      </c>
      <c r="C649" s="391" t="s">
        <v>0</v>
      </c>
      <c r="D649" s="479">
        <v>80.33</v>
      </c>
      <c r="E649" s="368"/>
      <c r="F649" s="368"/>
    </row>
    <row r="650" spans="1:6" ht="38.25" x14ac:dyDescent="0.2">
      <c r="A650" s="391">
        <v>92828</v>
      </c>
      <c r="B650" s="478" t="s">
        <v>167</v>
      </c>
      <c r="C650" s="391" t="s">
        <v>0</v>
      </c>
      <c r="D650" s="479">
        <v>106</v>
      </c>
      <c r="E650" s="368"/>
      <c r="F650" s="368"/>
    </row>
    <row r="651" spans="1:6" ht="38.25" x14ac:dyDescent="0.2">
      <c r="A651" s="391">
        <v>92815</v>
      </c>
      <c r="B651" s="478" t="s">
        <v>155</v>
      </c>
      <c r="C651" s="391" t="s">
        <v>0</v>
      </c>
      <c r="D651" s="479">
        <v>96.31</v>
      </c>
      <c r="E651" s="368"/>
      <c r="F651" s="368"/>
    </row>
    <row r="652" spans="1:6" ht="38.25" x14ac:dyDescent="0.2">
      <c r="A652" s="391">
        <v>92830</v>
      </c>
      <c r="B652" s="478" t="s">
        <v>169</v>
      </c>
      <c r="C652" s="391" t="s">
        <v>0</v>
      </c>
      <c r="D652" s="479">
        <v>130.91999999999999</v>
      </c>
      <c r="E652" s="368"/>
      <c r="F652" s="368"/>
    </row>
    <row r="653" spans="1:6" ht="38.25" x14ac:dyDescent="0.2">
      <c r="A653" s="391">
        <v>92817</v>
      </c>
      <c r="B653" s="478" t="s">
        <v>157</v>
      </c>
      <c r="C653" s="391" t="s">
        <v>0</v>
      </c>
      <c r="D653" s="479">
        <v>119.18</v>
      </c>
      <c r="E653" s="368"/>
      <c r="F653" s="368"/>
    </row>
    <row r="654" spans="1:6" ht="38.25" x14ac:dyDescent="0.2">
      <c r="A654" s="391">
        <v>92832</v>
      </c>
      <c r="B654" s="478" t="s">
        <v>171</v>
      </c>
      <c r="C654" s="391" t="s">
        <v>0</v>
      </c>
      <c r="D654" s="479">
        <v>170.18</v>
      </c>
      <c r="E654" s="368"/>
      <c r="F654" s="368"/>
    </row>
    <row r="655" spans="1:6" ht="38.25" x14ac:dyDescent="0.2">
      <c r="A655" s="391">
        <v>92819</v>
      </c>
      <c r="B655" s="478" t="s">
        <v>159</v>
      </c>
      <c r="C655" s="391" t="s">
        <v>0</v>
      </c>
      <c r="D655" s="479">
        <v>155.33000000000001</v>
      </c>
      <c r="E655" s="368"/>
      <c r="F655" s="368"/>
    </row>
    <row r="656" spans="1:6" ht="38.25" x14ac:dyDescent="0.2">
      <c r="A656" s="391">
        <v>92820</v>
      </c>
      <c r="B656" s="478" t="s">
        <v>160</v>
      </c>
      <c r="C656" s="391" t="s">
        <v>0</v>
      </c>
      <c r="D656" s="479">
        <v>26.68</v>
      </c>
      <c r="E656" s="368"/>
      <c r="F656" s="368"/>
    </row>
    <row r="657" spans="1:6" ht="38.25" x14ac:dyDescent="0.2">
      <c r="A657" s="391">
        <v>92808</v>
      </c>
      <c r="B657" s="478" t="s">
        <v>148</v>
      </c>
      <c r="C657" s="391" t="s">
        <v>0</v>
      </c>
      <c r="D657" s="479">
        <v>24.24</v>
      </c>
      <c r="E657" s="368"/>
      <c r="F657" s="368"/>
    </row>
    <row r="658" spans="1:6" ht="38.25" x14ac:dyDescent="0.2">
      <c r="A658" s="391">
        <v>92821</v>
      </c>
      <c r="B658" s="478" t="s">
        <v>161</v>
      </c>
      <c r="C658" s="391" t="s">
        <v>0</v>
      </c>
      <c r="D658" s="479">
        <v>37.21</v>
      </c>
      <c r="E658" s="368"/>
      <c r="F658" s="368"/>
    </row>
    <row r="659" spans="1:6" ht="38.25" x14ac:dyDescent="0.2">
      <c r="A659" s="391">
        <v>92809</v>
      </c>
      <c r="B659" s="478" t="s">
        <v>149</v>
      </c>
      <c r="C659" s="391" t="s">
        <v>0</v>
      </c>
      <c r="D659" s="479">
        <v>33.74</v>
      </c>
      <c r="E659" s="368"/>
      <c r="F659" s="368"/>
    </row>
    <row r="660" spans="1:6" ht="38.25" x14ac:dyDescent="0.2">
      <c r="A660" s="391">
        <v>92822</v>
      </c>
      <c r="B660" s="478" t="s">
        <v>162</v>
      </c>
      <c r="C660" s="391" t="s">
        <v>0</v>
      </c>
      <c r="D660" s="479">
        <v>48.07</v>
      </c>
      <c r="E660" s="368"/>
      <c r="F660" s="368"/>
    </row>
    <row r="661" spans="1:6" ht="38.25" x14ac:dyDescent="0.2">
      <c r="A661" s="391">
        <v>92810</v>
      </c>
      <c r="B661" s="478" t="s">
        <v>150</v>
      </c>
      <c r="C661" s="391" t="s">
        <v>0</v>
      </c>
      <c r="D661" s="479">
        <v>43.56</v>
      </c>
      <c r="E661" s="368"/>
      <c r="F661" s="368"/>
    </row>
    <row r="662" spans="1:6" ht="38.25" x14ac:dyDescent="0.2">
      <c r="A662" s="391">
        <v>92824</v>
      </c>
      <c r="B662" s="478" t="s">
        <v>163</v>
      </c>
      <c r="C662" s="391" t="s">
        <v>0</v>
      </c>
      <c r="D662" s="479">
        <v>59.12</v>
      </c>
      <c r="E662" s="368"/>
      <c r="F662" s="368"/>
    </row>
    <row r="663" spans="1:6" ht="38.25" x14ac:dyDescent="0.2">
      <c r="A663" s="391">
        <v>92811</v>
      </c>
      <c r="B663" s="478" t="s">
        <v>151</v>
      </c>
      <c r="C663" s="391" t="s">
        <v>0</v>
      </c>
      <c r="D663" s="479">
        <v>53.6</v>
      </c>
      <c r="E663" s="368"/>
      <c r="F663" s="368"/>
    </row>
    <row r="664" spans="1:6" ht="38.25" x14ac:dyDescent="0.2">
      <c r="A664" s="391">
        <v>92825</v>
      </c>
      <c r="B664" s="478" t="s">
        <v>164</v>
      </c>
      <c r="C664" s="391" t="s">
        <v>0</v>
      </c>
      <c r="D664" s="479">
        <v>70.47</v>
      </c>
      <c r="E664" s="368"/>
      <c r="F664" s="368"/>
    </row>
    <row r="665" spans="1:6" ht="38.25" x14ac:dyDescent="0.2">
      <c r="A665" s="391">
        <v>92812</v>
      </c>
      <c r="B665" s="478" t="s">
        <v>152</v>
      </c>
      <c r="C665" s="391" t="s">
        <v>0</v>
      </c>
      <c r="D665" s="479">
        <v>63.9</v>
      </c>
      <c r="E665" s="368"/>
      <c r="F665" s="368"/>
    </row>
    <row r="666" spans="1:6" ht="38.25" x14ac:dyDescent="0.2">
      <c r="A666" s="391">
        <v>92826</v>
      </c>
      <c r="B666" s="478" t="s">
        <v>165</v>
      </c>
      <c r="C666" s="391" t="s">
        <v>0</v>
      </c>
      <c r="D666" s="479">
        <v>82.05</v>
      </c>
      <c r="E666" s="368"/>
      <c r="F666" s="368"/>
    </row>
    <row r="667" spans="1:6" ht="38.25" x14ac:dyDescent="0.2">
      <c r="A667" s="391">
        <v>92813</v>
      </c>
      <c r="B667" s="478" t="s">
        <v>153</v>
      </c>
      <c r="C667" s="391" t="s">
        <v>0</v>
      </c>
      <c r="D667" s="479">
        <v>74.47</v>
      </c>
      <c r="E667" s="368"/>
      <c r="F667" s="368"/>
    </row>
    <row r="668" spans="1:6" ht="38.25" x14ac:dyDescent="0.2">
      <c r="A668" s="391">
        <v>92827</v>
      </c>
      <c r="B668" s="478" t="s">
        <v>166</v>
      </c>
      <c r="C668" s="391" t="s">
        <v>0</v>
      </c>
      <c r="D668" s="479">
        <v>93.93</v>
      </c>
      <c r="E668" s="368"/>
      <c r="F668" s="368"/>
    </row>
    <row r="669" spans="1:6" ht="38.25" x14ac:dyDescent="0.2">
      <c r="A669" s="391">
        <v>92814</v>
      </c>
      <c r="B669" s="478" t="s">
        <v>154</v>
      </c>
      <c r="C669" s="391" t="s">
        <v>0</v>
      </c>
      <c r="D669" s="479">
        <v>85.28</v>
      </c>
      <c r="E669" s="368"/>
      <c r="F669" s="368"/>
    </row>
    <row r="670" spans="1:6" ht="38.25" x14ac:dyDescent="0.2">
      <c r="A670" s="391">
        <v>95570</v>
      </c>
      <c r="B670" s="478" t="s">
        <v>177</v>
      </c>
      <c r="C670" s="391" t="s">
        <v>0</v>
      </c>
      <c r="D670" s="479">
        <v>96.72</v>
      </c>
      <c r="E670" s="368"/>
      <c r="F670" s="368"/>
    </row>
    <row r="671" spans="1:6" ht="38.25" x14ac:dyDescent="0.2">
      <c r="A671" s="391">
        <v>95567</v>
      </c>
      <c r="B671" s="478" t="s">
        <v>174</v>
      </c>
      <c r="C671" s="391" t="s">
        <v>0</v>
      </c>
      <c r="D671" s="479">
        <v>94.28</v>
      </c>
      <c r="E671" s="368"/>
      <c r="F671" s="368"/>
    </row>
    <row r="672" spans="1:6" ht="38.25" x14ac:dyDescent="0.2">
      <c r="A672" s="391">
        <v>95571</v>
      </c>
      <c r="B672" s="478" t="s">
        <v>178</v>
      </c>
      <c r="C672" s="391" t="s">
        <v>0</v>
      </c>
      <c r="D672" s="479">
        <v>119.97</v>
      </c>
      <c r="E672" s="368"/>
      <c r="F672" s="368"/>
    </row>
    <row r="673" spans="1:6" ht="38.25" x14ac:dyDescent="0.2">
      <c r="A673" s="391">
        <v>95568</v>
      </c>
      <c r="B673" s="478" t="s">
        <v>175</v>
      </c>
      <c r="C673" s="391" t="s">
        <v>0</v>
      </c>
      <c r="D673" s="479">
        <v>116.5</v>
      </c>
      <c r="E673" s="368"/>
      <c r="F673" s="368"/>
    </row>
    <row r="674" spans="1:6" ht="38.25" x14ac:dyDescent="0.2">
      <c r="A674" s="391">
        <v>95572</v>
      </c>
      <c r="B674" s="478" t="s">
        <v>179</v>
      </c>
      <c r="C674" s="391" t="s">
        <v>0</v>
      </c>
      <c r="D674" s="479">
        <v>171.24</v>
      </c>
      <c r="E674" s="368"/>
      <c r="F674" s="368"/>
    </row>
    <row r="675" spans="1:6" ht="38.25" x14ac:dyDescent="0.2">
      <c r="A675" s="391">
        <v>95569</v>
      </c>
      <c r="B675" s="478" t="s">
        <v>176</v>
      </c>
      <c r="C675" s="391" t="s">
        <v>0</v>
      </c>
      <c r="D675" s="479">
        <v>166.73</v>
      </c>
      <c r="E675" s="368"/>
      <c r="F675" s="368"/>
    </row>
    <row r="676" spans="1:6" ht="38.25" x14ac:dyDescent="0.2">
      <c r="A676" s="391">
        <v>92863</v>
      </c>
      <c r="B676" s="478" t="s">
        <v>132</v>
      </c>
      <c r="C676" s="391" t="s">
        <v>0</v>
      </c>
      <c r="D676" s="479">
        <v>1178.18</v>
      </c>
      <c r="E676" s="368"/>
      <c r="F676" s="368"/>
    </row>
    <row r="677" spans="1:6" ht="38.25" x14ac:dyDescent="0.2">
      <c r="A677" s="391">
        <v>92847</v>
      </c>
      <c r="B677" s="478" t="s">
        <v>116</v>
      </c>
      <c r="C677" s="391" t="s">
        <v>0</v>
      </c>
      <c r="D677" s="479">
        <v>1168.51</v>
      </c>
      <c r="E677" s="368"/>
      <c r="F677" s="368"/>
    </row>
    <row r="678" spans="1:6" ht="38.25" x14ac:dyDescent="0.2">
      <c r="A678" s="391">
        <v>104936</v>
      </c>
      <c r="B678" s="478" t="s">
        <v>40615</v>
      </c>
      <c r="C678" s="391" t="s">
        <v>0</v>
      </c>
      <c r="D678" s="479">
        <v>0</v>
      </c>
      <c r="E678" s="368"/>
      <c r="F678" s="368"/>
    </row>
    <row r="679" spans="1:6" ht="38.25" x14ac:dyDescent="0.2">
      <c r="A679" s="391">
        <v>104932</v>
      </c>
      <c r="B679" s="478" t="s">
        <v>40616</v>
      </c>
      <c r="C679" s="391" t="s">
        <v>0</v>
      </c>
      <c r="D679" s="479">
        <v>0</v>
      </c>
      <c r="E679" s="368"/>
      <c r="F679" s="368"/>
    </row>
    <row r="680" spans="1:6" ht="38.25" x14ac:dyDescent="0.2">
      <c r="A680" s="391">
        <v>104938</v>
      </c>
      <c r="B680" s="478" t="s">
        <v>40617</v>
      </c>
      <c r="C680" s="391" t="s">
        <v>0</v>
      </c>
      <c r="D680" s="479">
        <v>0</v>
      </c>
      <c r="E680" s="368"/>
      <c r="F680" s="368"/>
    </row>
    <row r="681" spans="1:6" ht="38.25" x14ac:dyDescent="0.2">
      <c r="A681" s="391">
        <v>104934</v>
      </c>
      <c r="B681" s="478" t="s">
        <v>40618</v>
      </c>
      <c r="C681" s="391" t="s">
        <v>0</v>
      </c>
      <c r="D681" s="479">
        <v>0</v>
      </c>
      <c r="E681" s="368"/>
      <c r="F681" s="368"/>
    </row>
    <row r="682" spans="1:6" ht="38.25" x14ac:dyDescent="0.2">
      <c r="A682" s="391">
        <v>92849</v>
      </c>
      <c r="B682" s="478" t="s">
        <v>118</v>
      </c>
      <c r="C682" s="391" t="s">
        <v>0</v>
      </c>
      <c r="D682" s="479">
        <v>250.4</v>
      </c>
      <c r="E682" s="368"/>
      <c r="F682" s="368"/>
    </row>
    <row r="683" spans="1:6" ht="38.25" x14ac:dyDescent="0.2">
      <c r="A683" s="391">
        <v>92833</v>
      </c>
      <c r="B683" s="478" t="s">
        <v>102</v>
      </c>
      <c r="C683" s="391" t="s">
        <v>0</v>
      </c>
      <c r="D683" s="479">
        <v>247.99</v>
      </c>
      <c r="E683" s="368"/>
      <c r="F683" s="368"/>
    </row>
    <row r="684" spans="1:6" ht="38.25" x14ac:dyDescent="0.2">
      <c r="A684" s="391">
        <v>92851</v>
      </c>
      <c r="B684" s="478" t="s">
        <v>120</v>
      </c>
      <c r="C684" s="391" t="s">
        <v>0</v>
      </c>
      <c r="D684" s="479">
        <v>264.27</v>
      </c>
      <c r="E684" s="368"/>
      <c r="F684" s="368"/>
    </row>
    <row r="685" spans="1:6" ht="38.25" x14ac:dyDescent="0.2">
      <c r="A685" s="391">
        <v>92835</v>
      </c>
      <c r="B685" s="478" t="s">
        <v>104</v>
      </c>
      <c r="C685" s="391" t="s">
        <v>0</v>
      </c>
      <c r="D685" s="479">
        <v>260.8</v>
      </c>
      <c r="E685" s="368"/>
      <c r="F685" s="368"/>
    </row>
    <row r="686" spans="1:6" ht="38.25" x14ac:dyDescent="0.2">
      <c r="A686" s="391">
        <v>92853</v>
      </c>
      <c r="B686" s="478" t="s">
        <v>122</v>
      </c>
      <c r="C686" s="391" t="s">
        <v>0</v>
      </c>
      <c r="D686" s="479">
        <v>468.56</v>
      </c>
      <c r="E686" s="368"/>
      <c r="F686" s="368"/>
    </row>
    <row r="687" spans="1:6" ht="38.25" x14ac:dyDescent="0.2">
      <c r="A687" s="391">
        <v>92837</v>
      </c>
      <c r="B687" s="478" t="s">
        <v>106</v>
      </c>
      <c r="C687" s="391" t="s">
        <v>0</v>
      </c>
      <c r="D687" s="479">
        <v>464.07</v>
      </c>
      <c r="E687" s="368"/>
      <c r="F687" s="368"/>
    </row>
    <row r="688" spans="1:6" ht="38.25" x14ac:dyDescent="0.2">
      <c r="A688" s="391">
        <v>92855</v>
      </c>
      <c r="B688" s="478" t="s">
        <v>124</v>
      </c>
      <c r="C688" s="391" t="s">
        <v>0</v>
      </c>
      <c r="D688" s="479">
        <v>574.29</v>
      </c>
      <c r="E688" s="368"/>
      <c r="F688" s="368"/>
    </row>
    <row r="689" spans="1:6" ht="38.25" x14ac:dyDescent="0.2">
      <c r="A689" s="391">
        <v>92839</v>
      </c>
      <c r="B689" s="478" t="s">
        <v>108</v>
      </c>
      <c r="C689" s="391" t="s">
        <v>0</v>
      </c>
      <c r="D689" s="479">
        <v>568.77</v>
      </c>
      <c r="E689" s="368"/>
      <c r="F689" s="368"/>
    </row>
    <row r="690" spans="1:6" ht="38.25" x14ac:dyDescent="0.2">
      <c r="A690" s="391">
        <v>92857</v>
      </c>
      <c r="B690" s="478" t="s">
        <v>126</v>
      </c>
      <c r="C690" s="391" t="s">
        <v>0</v>
      </c>
      <c r="D690" s="479">
        <v>747.76</v>
      </c>
      <c r="E690" s="368"/>
      <c r="F690" s="368"/>
    </row>
    <row r="691" spans="1:6" ht="38.25" x14ac:dyDescent="0.2">
      <c r="A691" s="391">
        <v>92841</v>
      </c>
      <c r="B691" s="478" t="s">
        <v>110</v>
      </c>
      <c r="C691" s="391" t="s">
        <v>0</v>
      </c>
      <c r="D691" s="479">
        <v>741.18</v>
      </c>
      <c r="E691" s="368"/>
      <c r="F691" s="368"/>
    </row>
    <row r="692" spans="1:6" ht="38.25" x14ac:dyDescent="0.2">
      <c r="A692" s="391">
        <v>92859</v>
      </c>
      <c r="B692" s="478" t="s">
        <v>128</v>
      </c>
      <c r="C692" s="391" t="s">
        <v>0</v>
      </c>
      <c r="D692" s="479">
        <v>775.25</v>
      </c>
      <c r="E692" s="368"/>
      <c r="F692" s="368"/>
    </row>
    <row r="693" spans="1:6" ht="38.25" x14ac:dyDescent="0.2">
      <c r="A693" s="391">
        <v>92843</v>
      </c>
      <c r="B693" s="478" t="s">
        <v>112</v>
      </c>
      <c r="C693" s="391" t="s">
        <v>0</v>
      </c>
      <c r="D693" s="479">
        <v>767.64</v>
      </c>
      <c r="E693" s="368"/>
      <c r="F693" s="368"/>
    </row>
    <row r="694" spans="1:6" ht="38.25" x14ac:dyDescent="0.2">
      <c r="A694" s="391">
        <v>92861</v>
      </c>
      <c r="B694" s="478" t="s">
        <v>130</v>
      </c>
      <c r="C694" s="391" t="s">
        <v>0</v>
      </c>
      <c r="D694" s="479">
        <v>1146.8900000000001</v>
      </c>
      <c r="E694" s="368"/>
      <c r="F694" s="368"/>
    </row>
    <row r="695" spans="1:6" ht="38.25" x14ac:dyDescent="0.2">
      <c r="A695" s="391">
        <v>92845</v>
      </c>
      <c r="B695" s="478" t="s">
        <v>114</v>
      </c>
      <c r="C695" s="391" t="s">
        <v>0</v>
      </c>
      <c r="D695" s="479">
        <v>1138.25</v>
      </c>
      <c r="E695" s="368"/>
      <c r="F695" s="368"/>
    </row>
    <row r="696" spans="1:6" ht="38.25" x14ac:dyDescent="0.2">
      <c r="A696" s="391">
        <v>92226</v>
      </c>
      <c r="B696" s="478" t="s">
        <v>147</v>
      </c>
      <c r="C696" s="391" t="s">
        <v>0</v>
      </c>
      <c r="D696" s="479">
        <v>640.13</v>
      </c>
      <c r="E696" s="368"/>
      <c r="F696" s="368"/>
    </row>
    <row r="697" spans="1:6" ht="38.25" x14ac:dyDescent="0.2">
      <c r="A697" s="391">
        <v>92216</v>
      </c>
      <c r="B697" s="478" t="s">
        <v>140</v>
      </c>
      <c r="C697" s="391" t="s">
        <v>0</v>
      </c>
      <c r="D697" s="479">
        <v>630.44000000000005</v>
      </c>
      <c r="E697" s="368"/>
      <c r="F697" s="368"/>
    </row>
    <row r="698" spans="1:6" ht="38.25" x14ac:dyDescent="0.2">
      <c r="A698" s="391">
        <v>92829</v>
      </c>
      <c r="B698" s="478" t="s">
        <v>168</v>
      </c>
      <c r="C698" s="391" t="s">
        <v>0</v>
      </c>
      <c r="D698" s="479">
        <v>928.67</v>
      </c>
      <c r="E698" s="368"/>
      <c r="F698" s="368"/>
    </row>
    <row r="699" spans="1:6" ht="38.25" x14ac:dyDescent="0.2">
      <c r="A699" s="391">
        <v>92816</v>
      </c>
      <c r="B699" s="478" t="s">
        <v>156</v>
      </c>
      <c r="C699" s="391" t="s">
        <v>0</v>
      </c>
      <c r="D699" s="479">
        <v>916.93</v>
      </c>
      <c r="E699" s="368"/>
      <c r="F699" s="368"/>
    </row>
    <row r="700" spans="1:6" ht="38.25" x14ac:dyDescent="0.2">
      <c r="A700" s="391">
        <v>92831</v>
      </c>
      <c r="B700" s="478" t="s">
        <v>170</v>
      </c>
      <c r="C700" s="391" t="s">
        <v>0</v>
      </c>
      <c r="D700" s="479">
        <v>1325.95</v>
      </c>
      <c r="E700" s="368"/>
      <c r="F700" s="368"/>
    </row>
    <row r="701" spans="1:6" ht="38.25" x14ac:dyDescent="0.2">
      <c r="A701" s="391">
        <v>92818</v>
      </c>
      <c r="B701" s="478" t="s">
        <v>158</v>
      </c>
      <c r="C701" s="391" t="s">
        <v>0</v>
      </c>
      <c r="D701" s="479">
        <v>1311.1</v>
      </c>
      <c r="E701" s="368"/>
      <c r="F701" s="368"/>
    </row>
    <row r="702" spans="1:6" ht="38.25" x14ac:dyDescent="0.2">
      <c r="A702" s="391">
        <v>95566</v>
      </c>
      <c r="B702" s="478" t="s">
        <v>173</v>
      </c>
      <c r="C702" s="391" t="s">
        <v>0</v>
      </c>
      <c r="D702" s="479">
        <v>152.15</v>
      </c>
      <c r="E702" s="368"/>
      <c r="F702" s="368"/>
    </row>
    <row r="703" spans="1:6" ht="38.25" x14ac:dyDescent="0.2">
      <c r="A703" s="391">
        <v>95565</v>
      </c>
      <c r="B703" s="478" t="s">
        <v>172</v>
      </c>
      <c r="C703" s="391" t="s">
        <v>0</v>
      </c>
      <c r="D703" s="479">
        <v>149.71</v>
      </c>
      <c r="E703" s="368"/>
      <c r="F703" s="368"/>
    </row>
    <row r="704" spans="1:6" ht="38.25" x14ac:dyDescent="0.2">
      <c r="A704" s="391">
        <v>92219</v>
      </c>
      <c r="B704" s="478" t="s">
        <v>141</v>
      </c>
      <c r="C704" s="391" t="s">
        <v>0</v>
      </c>
      <c r="D704" s="479">
        <v>178.8</v>
      </c>
      <c r="E704" s="368"/>
      <c r="F704" s="368"/>
    </row>
    <row r="705" spans="1:6" ht="38.25" x14ac:dyDescent="0.2">
      <c r="A705" s="391">
        <v>92210</v>
      </c>
      <c r="B705" s="478" t="s">
        <v>134</v>
      </c>
      <c r="C705" s="391" t="s">
        <v>0</v>
      </c>
      <c r="D705" s="479">
        <v>175.33</v>
      </c>
      <c r="E705" s="368"/>
      <c r="F705" s="368"/>
    </row>
    <row r="706" spans="1:6" ht="38.25" x14ac:dyDescent="0.2">
      <c r="A706" s="391">
        <v>92220</v>
      </c>
      <c r="B706" s="478" t="s">
        <v>142</v>
      </c>
      <c r="C706" s="391" t="s">
        <v>0</v>
      </c>
      <c r="D706" s="479">
        <v>217.28</v>
      </c>
      <c r="E706" s="368"/>
      <c r="F706" s="368"/>
    </row>
    <row r="707" spans="1:6" ht="38.25" x14ac:dyDescent="0.2">
      <c r="A707" s="391">
        <v>92211</v>
      </c>
      <c r="B707" s="478" t="s">
        <v>135</v>
      </c>
      <c r="C707" s="391" t="s">
        <v>0</v>
      </c>
      <c r="D707" s="479">
        <v>212.77</v>
      </c>
      <c r="E707" s="368"/>
      <c r="F707" s="368"/>
    </row>
    <row r="708" spans="1:6" ht="38.25" x14ac:dyDescent="0.2">
      <c r="A708" s="391">
        <v>92221</v>
      </c>
      <c r="B708" s="478" t="s">
        <v>143</v>
      </c>
      <c r="C708" s="391" t="s">
        <v>0</v>
      </c>
      <c r="D708" s="479">
        <v>333.1</v>
      </c>
      <c r="E708" s="368"/>
      <c r="F708" s="368"/>
    </row>
    <row r="709" spans="1:6" ht="38.25" x14ac:dyDescent="0.2">
      <c r="A709" s="391">
        <v>92212</v>
      </c>
      <c r="B709" s="478" t="s">
        <v>136</v>
      </c>
      <c r="C709" s="391" t="s">
        <v>0</v>
      </c>
      <c r="D709" s="479">
        <v>327.58</v>
      </c>
      <c r="E709" s="368"/>
      <c r="F709" s="368"/>
    </row>
    <row r="710" spans="1:6" ht="38.25" x14ac:dyDescent="0.2">
      <c r="A710" s="391">
        <v>92222</v>
      </c>
      <c r="B710" s="478" t="s">
        <v>144</v>
      </c>
      <c r="C710" s="391" t="s">
        <v>0</v>
      </c>
      <c r="D710" s="479">
        <v>443.9</v>
      </c>
      <c r="E710" s="368"/>
      <c r="F710" s="368"/>
    </row>
    <row r="711" spans="1:6" ht="38.25" x14ac:dyDescent="0.2">
      <c r="A711" s="391">
        <v>92213</v>
      </c>
      <c r="B711" s="478" t="s">
        <v>137</v>
      </c>
      <c r="C711" s="391" t="s">
        <v>0</v>
      </c>
      <c r="D711" s="479">
        <v>437.33</v>
      </c>
      <c r="E711" s="368"/>
      <c r="F711" s="368"/>
    </row>
    <row r="712" spans="1:6" ht="38.25" x14ac:dyDescent="0.2">
      <c r="A712" s="391">
        <v>92223</v>
      </c>
      <c r="B712" s="478" t="s">
        <v>145</v>
      </c>
      <c r="C712" s="391" t="s">
        <v>0</v>
      </c>
      <c r="D712" s="479">
        <v>537.9</v>
      </c>
      <c r="E712" s="368"/>
      <c r="F712" s="368"/>
    </row>
    <row r="713" spans="1:6" ht="38.25" x14ac:dyDescent="0.2">
      <c r="A713" s="391">
        <v>92214</v>
      </c>
      <c r="B713" s="478" t="s">
        <v>138</v>
      </c>
      <c r="C713" s="391" t="s">
        <v>0</v>
      </c>
      <c r="D713" s="479">
        <v>530.32000000000005</v>
      </c>
      <c r="E713" s="368"/>
      <c r="F713" s="368"/>
    </row>
    <row r="714" spans="1:6" ht="38.25" x14ac:dyDescent="0.2">
      <c r="A714" s="391">
        <v>92224</v>
      </c>
      <c r="B714" s="478" t="s">
        <v>146</v>
      </c>
      <c r="C714" s="391" t="s">
        <v>0</v>
      </c>
      <c r="D714" s="479">
        <v>617.70000000000005</v>
      </c>
      <c r="E714" s="368"/>
      <c r="F714" s="368"/>
    </row>
    <row r="715" spans="1:6" ht="38.25" x14ac:dyDescent="0.2">
      <c r="A715" s="391">
        <v>92215</v>
      </c>
      <c r="B715" s="478" t="s">
        <v>139</v>
      </c>
      <c r="C715" s="391" t="s">
        <v>0</v>
      </c>
      <c r="D715" s="479">
        <v>609.04999999999995</v>
      </c>
      <c r="E715" s="368"/>
      <c r="F715" s="368"/>
    </row>
    <row r="716" spans="1:6" x14ac:dyDescent="0.2">
      <c r="A716" s="391">
        <v>94342</v>
      </c>
      <c r="B716" s="478" t="s">
        <v>4379</v>
      </c>
      <c r="C716" s="391" t="s">
        <v>271</v>
      </c>
      <c r="D716" s="479">
        <v>113.24</v>
      </c>
      <c r="E716" s="368"/>
      <c r="F716" s="368"/>
    </row>
    <row r="717" spans="1:6" x14ac:dyDescent="0.2">
      <c r="A717" s="391">
        <v>94319</v>
      </c>
      <c r="B717" s="478" t="s">
        <v>4373</v>
      </c>
      <c r="C717" s="391" t="s">
        <v>271</v>
      </c>
      <c r="D717" s="479">
        <v>80.27</v>
      </c>
      <c r="E717" s="368"/>
      <c r="F717" s="368"/>
    </row>
    <row r="718" spans="1:6" ht="38.25" x14ac:dyDescent="0.2">
      <c r="A718" s="391">
        <v>94304</v>
      </c>
      <c r="B718" s="478" t="s">
        <v>4368</v>
      </c>
      <c r="C718" s="391" t="s">
        <v>271</v>
      </c>
      <c r="D718" s="479">
        <v>77.569999999999993</v>
      </c>
      <c r="E718" s="368"/>
      <c r="F718" s="368"/>
    </row>
    <row r="719" spans="1:6" ht="38.25" x14ac:dyDescent="0.2">
      <c r="A719" s="391">
        <v>94306</v>
      </c>
      <c r="B719" s="478" t="s">
        <v>4369</v>
      </c>
      <c r="C719" s="391" t="s">
        <v>271</v>
      </c>
      <c r="D719" s="479">
        <v>70.959999999999994</v>
      </c>
      <c r="E719" s="368"/>
      <c r="F719" s="368"/>
    </row>
    <row r="720" spans="1:6" ht="38.25" x14ac:dyDescent="0.2">
      <c r="A720" s="391">
        <v>94327</v>
      </c>
      <c r="B720" s="478" t="s">
        <v>4374</v>
      </c>
      <c r="C720" s="391" t="s">
        <v>271</v>
      </c>
      <c r="D720" s="479">
        <v>110.54</v>
      </c>
      <c r="E720" s="368"/>
      <c r="F720" s="368"/>
    </row>
    <row r="721" spans="1:6" ht="38.25" x14ac:dyDescent="0.2">
      <c r="A721" s="391">
        <v>94329</v>
      </c>
      <c r="B721" s="478" t="s">
        <v>4375</v>
      </c>
      <c r="C721" s="391" t="s">
        <v>271</v>
      </c>
      <c r="D721" s="479">
        <v>103.93</v>
      </c>
      <c r="E721" s="368"/>
      <c r="F721" s="368"/>
    </row>
    <row r="722" spans="1:6" ht="38.25" x14ac:dyDescent="0.2">
      <c r="A722" s="391">
        <v>94333</v>
      </c>
      <c r="B722" s="478" t="s">
        <v>4376</v>
      </c>
      <c r="C722" s="391" t="s">
        <v>271</v>
      </c>
      <c r="D722" s="479">
        <v>100.94</v>
      </c>
      <c r="E722" s="368"/>
      <c r="F722" s="368"/>
    </row>
    <row r="723" spans="1:6" ht="38.25" x14ac:dyDescent="0.2">
      <c r="A723" s="391">
        <v>94310</v>
      </c>
      <c r="B723" s="480" t="s">
        <v>4370</v>
      </c>
      <c r="C723" s="391" t="s">
        <v>271</v>
      </c>
      <c r="D723" s="479">
        <v>67.97</v>
      </c>
      <c r="E723" s="368"/>
      <c r="F723" s="368"/>
    </row>
    <row r="724" spans="1:6" ht="25.5" x14ac:dyDescent="0.2">
      <c r="A724" s="391">
        <v>104739</v>
      </c>
      <c r="B724" s="478" t="s">
        <v>4393</v>
      </c>
      <c r="C724" s="391" t="s">
        <v>271</v>
      </c>
      <c r="D724" s="479">
        <v>115.25</v>
      </c>
      <c r="E724" s="368"/>
      <c r="F724" s="368"/>
    </row>
    <row r="725" spans="1:6" ht="25.5" x14ac:dyDescent="0.2">
      <c r="A725" s="391">
        <v>104738</v>
      </c>
      <c r="B725" s="478" t="s">
        <v>4392</v>
      </c>
      <c r="C725" s="391" t="s">
        <v>271</v>
      </c>
      <c r="D725" s="479">
        <v>82.28</v>
      </c>
      <c r="E725" s="368"/>
      <c r="F725" s="368"/>
    </row>
    <row r="726" spans="1:6" ht="38.25" x14ac:dyDescent="0.2">
      <c r="A726" s="391">
        <v>94316</v>
      </c>
      <c r="B726" s="478" t="s">
        <v>4371</v>
      </c>
      <c r="C726" s="391" t="s">
        <v>271</v>
      </c>
      <c r="D726" s="479">
        <v>72.25</v>
      </c>
      <c r="E726" s="368"/>
      <c r="F726" s="368"/>
    </row>
    <row r="727" spans="1:6" ht="38.25" x14ac:dyDescent="0.2">
      <c r="A727" s="391">
        <v>94318</v>
      </c>
      <c r="B727" s="478" t="s">
        <v>4372</v>
      </c>
      <c r="C727" s="391" t="s">
        <v>271</v>
      </c>
      <c r="D727" s="479">
        <v>66.58</v>
      </c>
      <c r="E727" s="368"/>
      <c r="F727" s="368"/>
    </row>
    <row r="728" spans="1:6" ht="38.25" x14ac:dyDescent="0.2">
      <c r="A728" s="391">
        <v>94339</v>
      </c>
      <c r="B728" s="478" t="s">
        <v>4377</v>
      </c>
      <c r="C728" s="391" t="s">
        <v>271</v>
      </c>
      <c r="D728" s="479">
        <v>105.22</v>
      </c>
      <c r="E728" s="368"/>
      <c r="F728" s="368"/>
    </row>
    <row r="729" spans="1:6" ht="38.25" x14ac:dyDescent="0.2">
      <c r="A729" s="391">
        <v>94341</v>
      </c>
      <c r="B729" s="478" t="s">
        <v>4378</v>
      </c>
      <c r="C729" s="391" t="s">
        <v>271</v>
      </c>
      <c r="D729" s="479">
        <v>99.55</v>
      </c>
      <c r="E729" s="368"/>
      <c r="F729" s="368"/>
    </row>
    <row r="730" spans="1:6" x14ac:dyDescent="0.2">
      <c r="A730" s="391">
        <v>104742</v>
      </c>
      <c r="B730" s="478" t="s">
        <v>4396</v>
      </c>
      <c r="C730" s="391" t="s">
        <v>255</v>
      </c>
      <c r="D730" s="479">
        <v>8.74</v>
      </c>
      <c r="E730" s="368"/>
      <c r="F730" s="368"/>
    </row>
    <row r="731" spans="1:6" ht="25.5" x14ac:dyDescent="0.2">
      <c r="A731" s="391">
        <v>93382</v>
      </c>
      <c r="B731" s="478" t="s">
        <v>4385</v>
      </c>
      <c r="C731" s="391" t="s">
        <v>271</v>
      </c>
      <c r="D731" s="479">
        <v>26.44</v>
      </c>
      <c r="E731" s="368"/>
      <c r="F731" s="368"/>
    </row>
    <row r="732" spans="1:6" x14ac:dyDescent="0.2">
      <c r="A732" s="391">
        <v>104737</v>
      </c>
      <c r="B732" s="478" t="s">
        <v>4391</v>
      </c>
      <c r="C732" s="391" t="s">
        <v>271</v>
      </c>
      <c r="D732" s="479">
        <v>21.95</v>
      </c>
      <c r="E732" s="368"/>
      <c r="F732" s="368"/>
    </row>
    <row r="733" spans="1:6" ht="51" x14ac:dyDescent="0.2">
      <c r="A733" s="391">
        <v>93369</v>
      </c>
      <c r="B733" s="478" t="s">
        <v>4382</v>
      </c>
      <c r="C733" s="391" t="s">
        <v>271</v>
      </c>
      <c r="D733" s="479">
        <v>17.13</v>
      </c>
      <c r="E733" s="368"/>
      <c r="F733" s="368"/>
    </row>
    <row r="734" spans="1:6" ht="51" x14ac:dyDescent="0.2">
      <c r="A734" s="391">
        <v>93373</v>
      </c>
      <c r="B734" s="478" t="s">
        <v>4384</v>
      </c>
      <c r="C734" s="391" t="s">
        <v>271</v>
      </c>
      <c r="D734" s="479">
        <v>14.14</v>
      </c>
      <c r="E734" s="368"/>
      <c r="F734" s="368"/>
    </row>
    <row r="735" spans="1:6" ht="51" x14ac:dyDescent="0.2">
      <c r="A735" s="391">
        <v>93368</v>
      </c>
      <c r="B735" s="478" t="s">
        <v>4381</v>
      </c>
      <c r="C735" s="391" t="s">
        <v>271</v>
      </c>
      <c r="D735" s="479">
        <v>20.8</v>
      </c>
      <c r="E735" s="368"/>
      <c r="F735" s="368"/>
    </row>
    <row r="736" spans="1:6" ht="51" x14ac:dyDescent="0.2">
      <c r="A736" s="391">
        <v>104729</v>
      </c>
      <c r="B736" s="478" t="s">
        <v>4387</v>
      </c>
      <c r="C736" s="391" t="s">
        <v>271</v>
      </c>
      <c r="D736" s="479">
        <v>16.71</v>
      </c>
      <c r="E736" s="368"/>
      <c r="F736" s="368"/>
    </row>
    <row r="737" spans="1:6" ht="51" x14ac:dyDescent="0.2">
      <c r="A737" s="391">
        <v>93372</v>
      </c>
      <c r="B737" s="478" t="s">
        <v>4383</v>
      </c>
      <c r="C737" s="391" t="s">
        <v>271</v>
      </c>
      <c r="D737" s="479">
        <v>16.47</v>
      </c>
      <c r="E737" s="368"/>
      <c r="F737" s="368"/>
    </row>
    <row r="738" spans="1:6" ht="51" x14ac:dyDescent="0.2">
      <c r="A738" s="391">
        <v>104731</v>
      </c>
      <c r="B738" s="478" t="s">
        <v>4389</v>
      </c>
      <c r="C738" s="391" t="s">
        <v>271</v>
      </c>
      <c r="D738" s="479">
        <v>12.42</v>
      </c>
      <c r="E738" s="368"/>
      <c r="F738" s="368"/>
    </row>
    <row r="739" spans="1:6" ht="51" x14ac:dyDescent="0.2">
      <c r="A739" s="391">
        <v>93367</v>
      </c>
      <c r="B739" s="478" t="s">
        <v>4380</v>
      </c>
      <c r="C739" s="391" t="s">
        <v>271</v>
      </c>
      <c r="D739" s="479">
        <v>23.74</v>
      </c>
      <c r="E739" s="368"/>
      <c r="F739" s="368"/>
    </row>
    <row r="740" spans="1:6" ht="51" x14ac:dyDescent="0.2">
      <c r="A740" s="391">
        <v>104728</v>
      </c>
      <c r="B740" s="478" t="s">
        <v>4386</v>
      </c>
      <c r="C740" s="391" t="s">
        <v>271</v>
      </c>
      <c r="D740" s="479">
        <v>19.62</v>
      </c>
      <c r="E740" s="368"/>
      <c r="F740" s="368"/>
    </row>
    <row r="741" spans="1:6" ht="51" x14ac:dyDescent="0.2">
      <c r="A741" s="391">
        <v>104730</v>
      </c>
      <c r="B741" s="478" t="s">
        <v>4388</v>
      </c>
      <c r="C741" s="391" t="s">
        <v>271</v>
      </c>
      <c r="D741" s="479">
        <v>13.06</v>
      </c>
      <c r="E741" s="368"/>
      <c r="F741" s="368"/>
    </row>
    <row r="742" spans="1:6" ht="51" x14ac:dyDescent="0.2">
      <c r="A742" s="391">
        <v>104732</v>
      </c>
      <c r="B742" s="478" t="s">
        <v>4390</v>
      </c>
      <c r="C742" s="391" t="s">
        <v>271</v>
      </c>
      <c r="D742" s="479">
        <v>10.08</v>
      </c>
      <c r="E742" s="368"/>
      <c r="F742" s="368"/>
    </row>
    <row r="743" spans="1:6" ht="25.5" x14ac:dyDescent="0.2">
      <c r="A743" s="391">
        <v>104740</v>
      </c>
      <c r="B743" s="478" t="s">
        <v>4394</v>
      </c>
      <c r="C743" s="391" t="s">
        <v>271</v>
      </c>
      <c r="D743" s="479">
        <v>28.45</v>
      </c>
      <c r="E743" s="368"/>
      <c r="F743" s="368"/>
    </row>
    <row r="744" spans="1:6" ht="25.5" x14ac:dyDescent="0.2">
      <c r="A744" s="391">
        <v>104741</v>
      </c>
      <c r="B744" s="478" t="s">
        <v>4395</v>
      </c>
      <c r="C744" s="391" t="s">
        <v>271</v>
      </c>
      <c r="D744" s="479">
        <v>23.96</v>
      </c>
      <c r="E744" s="368"/>
      <c r="F744" s="368"/>
    </row>
    <row r="745" spans="1:6" ht="51" x14ac:dyDescent="0.2">
      <c r="A745" s="391">
        <v>93381</v>
      </c>
      <c r="B745" s="478" t="s">
        <v>47456</v>
      </c>
      <c r="C745" s="391" t="s">
        <v>271</v>
      </c>
      <c r="D745" s="479">
        <v>12.75</v>
      </c>
      <c r="E745" s="368"/>
      <c r="F745" s="368"/>
    </row>
    <row r="746" spans="1:6" ht="51" x14ac:dyDescent="0.2">
      <c r="A746" s="391">
        <v>93379</v>
      </c>
      <c r="B746" s="478" t="s">
        <v>47457</v>
      </c>
      <c r="C746" s="391" t="s">
        <v>271</v>
      </c>
      <c r="D746" s="479">
        <v>18.420000000000002</v>
      </c>
      <c r="E746" s="368"/>
      <c r="F746" s="368"/>
    </row>
    <row r="747" spans="1:6" ht="51" x14ac:dyDescent="0.2">
      <c r="A747" s="391">
        <v>93380</v>
      </c>
      <c r="B747" s="478" t="s">
        <v>47458</v>
      </c>
      <c r="C747" s="391" t="s">
        <v>271</v>
      </c>
      <c r="D747" s="479">
        <v>15.7</v>
      </c>
      <c r="E747" s="368"/>
      <c r="F747" s="368"/>
    </row>
    <row r="748" spans="1:6" ht="51" x14ac:dyDescent="0.2">
      <c r="A748" s="391">
        <v>93378</v>
      </c>
      <c r="B748" s="478" t="s">
        <v>47459</v>
      </c>
      <c r="C748" s="391" t="s">
        <v>271</v>
      </c>
      <c r="D748" s="479">
        <v>23.91</v>
      </c>
      <c r="E748" s="368"/>
      <c r="F748" s="368"/>
    </row>
    <row r="749" spans="1:6" ht="51" x14ac:dyDescent="0.2">
      <c r="A749" s="391">
        <v>104733</v>
      </c>
      <c r="B749" s="478" t="s">
        <v>47460</v>
      </c>
      <c r="C749" s="391" t="s">
        <v>271</v>
      </c>
      <c r="D749" s="479">
        <v>19.420000000000002</v>
      </c>
      <c r="E749" s="368"/>
      <c r="F749" s="368"/>
    </row>
    <row r="750" spans="1:6" ht="51" x14ac:dyDescent="0.2">
      <c r="A750" s="391">
        <v>104735</v>
      </c>
      <c r="B750" s="478" t="s">
        <v>47461</v>
      </c>
      <c r="C750" s="391" t="s">
        <v>271</v>
      </c>
      <c r="D750" s="479">
        <v>11.53</v>
      </c>
      <c r="E750" s="368"/>
      <c r="F750" s="368"/>
    </row>
    <row r="751" spans="1:6" ht="51" x14ac:dyDescent="0.2">
      <c r="A751" s="391">
        <v>104734</v>
      </c>
      <c r="B751" s="478" t="s">
        <v>47462</v>
      </c>
      <c r="C751" s="391" t="s">
        <v>271</v>
      </c>
      <c r="D751" s="479">
        <v>14.12</v>
      </c>
      <c r="E751" s="368"/>
      <c r="F751" s="368"/>
    </row>
    <row r="752" spans="1:6" ht="51" x14ac:dyDescent="0.2">
      <c r="A752" s="391">
        <v>104736</v>
      </c>
      <c r="B752" s="478" t="s">
        <v>47463</v>
      </c>
      <c r="C752" s="391" t="s">
        <v>271</v>
      </c>
      <c r="D752" s="479">
        <v>8.67</v>
      </c>
      <c r="E752" s="368"/>
      <c r="F752" s="368"/>
    </row>
    <row r="753" spans="1:6" ht="38.25" x14ac:dyDescent="0.2">
      <c r="A753" s="391">
        <v>105732</v>
      </c>
      <c r="B753" s="478" t="s">
        <v>39722</v>
      </c>
      <c r="C753" s="391" t="s">
        <v>271</v>
      </c>
      <c r="D753" s="479">
        <v>260.55</v>
      </c>
      <c r="E753" s="368"/>
      <c r="F753" s="368"/>
    </row>
    <row r="754" spans="1:6" ht="38.25" x14ac:dyDescent="0.2">
      <c r="A754" s="391">
        <v>96397</v>
      </c>
      <c r="B754" s="478" t="s">
        <v>39624</v>
      </c>
      <c r="C754" s="391" t="s">
        <v>271</v>
      </c>
      <c r="D754" s="479">
        <v>255.95</v>
      </c>
      <c r="E754" s="368"/>
      <c r="F754" s="368"/>
    </row>
    <row r="755" spans="1:6" ht="38.25" x14ac:dyDescent="0.2">
      <c r="A755" s="391">
        <v>105735</v>
      </c>
      <c r="B755" s="478" t="s">
        <v>39725</v>
      </c>
      <c r="C755" s="391" t="s">
        <v>271</v>
      </c>
      <c r="D755" s="479">
        <v>253.6</v>
      </c>
      <c r="E755" s="368"/>
      <c r="F755" s="368"/>
    </row>
    <row r="756" spans="1:6" ht="38.25" x14ac:dyDescent="0.2">
      <c r="A756" s="391">
        <v>105727</v>
      </c>
      <c r="B756" s="478" t="s">
        <v>39717</v>
      </c>
      <c r="C756" s="391" t="s">
        <v>271</v>
      </c>
      <c r="D756" s="479">
        <v>197.74</v>
      </c>
      <c r="E756" s="368"/>
      <c r="F756" s="368"/>
    </row>
    <row r="757" spans="1:6" ht="38.25" x14ac:dyDescent="0.2">
      <c r="A757" s="391">
        <v>96396</v>
      </c>
      <c r="B757" s="478" t="s">
        <v>39623</v>
      </c>
      <c r="C757" s="391" t="s">
        <v>271</v>
      </c>
      <c r="D757" s="479">
        <v>194.18</v>
      </c>
      <c r="E757" s="368"/>
      <c r="F757" s="368"/>
    </row>
    <row r="758" spans="1:6" ht="38.25" x14ac:dyDescent="0.2">
      <c r="A758" s="391">
        <v>105730</v>
      </c>
      <c r="B758" s="478" t="s">
        <v>39720</v>
      </c>
      <c r="C758" s="391" t="s">
        <v>271</v>
      </c>
      <c r="D758" s="479">
        <v>192.38</v>
      </c>
      <c r="E758" s="368"/>
      <c r="F758" s="368"/>
    </row>
    <row r="759" spans="1:6" ht="38.25" x14ac:dyDescent="0.2">
      <c r="A759" s="391">
        <v>105737</v>
      </c>
      <c r="B759" s="478" t="s">
        <v>39727</v>
      </c>
      <c r="C759" s="391" t="s">
        <v>271</v>
      </c>
      <c r="D759" s="479">
        <v>340.87</v>
      </c>
      <c r="E759" s="368"/>
      <c r="F759" s="368"/>
    </row>
    <row r="760" spans="1:6" ht="38.25" x14ac:dyDescent="0.2">
      <c r="A760" s="391">
        <v>96398</v>
      </c>
      <c r="B760" s="478" t="s">
        <v>39625</v>
      </c>
      <c r="C760" s="391" t="s">
        <v>271</v>
      </c>
      <c r="D760" s="479">
        <v>337.41</v>
      </c>
      <c r="E760" s="368"/>
      <c r="F760" s="368"/>
    </row>
    <row r="761" spans="1:6" ht="38.25" x14ac:dyDescent="0.2">
      <c r="A761" s="391">
        <v>105740</v>
      </c>
      <c r="B761" s="478" t="s">
        <v>39730</v>
      </c>
      <c r="C761" s="391" t="s">
        <v>271</v>
      </c>
      <c r="D761" s="479">
        <v>335.56</v>
      </c>
      <c r="E761" s="368"/>
      <c r="F761" s="368"/>
    </row>
    <row r="762" spans="1:6" ht="38.25" x14ac:dyDescent="0.2">
      <c r="A762" s="391">
        <v>105749</v>
      </c>
      <c r="B762" s="478" t="s">
        <v>39739</v>
      </c>
      <c r="C762" s="391" t="s">
        <v>271</v>
      </c>
      <c r="D762" s="479">
        <v>178.55</v>
      </c>
      <c r="E762" s="368"/>
      <c r="F762" s="368"/>
    </row>
    <row r="763" spans="1:6" ht="38.25" x14ac:dyDescent="0.2">
      <c r="A763" s="391">
        <v>96400</v>
      </c>
      <c r="B763" s="478" t="s">
        <v>39627</v>
      </c>
      <c r="C763" s="391" t="s">
        <v>271</v>
      </c>
      <c r="D763" s="479">
        <v>176.66</v>
      </c>
      <c r="E763" s="368"/>
      <c r="F763" s="368"/>
    </row>
    <row r="764" spans="1:6" ht="38.25" x14ac:dyDescent="0.2">
      <c r="A764" s="391">
        <v>105752</v>
      </c>
      <c r="B764" s="478" t="s">
        <v>39742</v>
      </c>
      <c r="C764" s="391" t="s">
        <v>271</v>
      </c>
      <c r="D764" s="479">
        <v>175</v>
      </c>
      <c r="E764" s="368"/>
      <c r="F764" s="368"/>
    </row>
    <row r="765" spans="1:6" ht="38.25" x14ac:dyDescent="0.2">
      <c r="A765" s="391">
        <v>105754</v>
      </c>
      <c r="B765" s="478" t="s">
        <v>39744</v>
      </c>
      <c r="C765" s="391" t="s">
        <v>271</v>
      </c>
      <c r="D765" s="479">
        <v>173.45</v>
      </c>
      <c r="E765" s="368"/>
      <c r="F765" s="368"/>
    </row>
    <row r="766" spans="1:6" ht="25.5" x14ac:dyDescent="0.2">
      <c r="A766" s="391">
        <v>105742</v>
      </c>
      <c r="B766" s="478" t="s">
        <v>39732</v>
      </c>
      <c r="C766" s="391" t="s">
        <v>271</v>
      </c>
      <c r="D766" s="479">
        <v>136.38</v>
      </c>
      <c r="E766" s="368"/>
      <c r="F766" s="368"/>
    </row>
    <row r="767" spans="1:6" ht="25.5" x14ac:dyDescent="0.2">
      <c r="A767" s="391">
        <v>96399</v>
      </c>
      <c r="B767" s="478" t="s">
        <v>39626</v>
      </c>
      <c r="C767" s="391" t="s">
        <v>271</v>
      </c>
      <c r="D767" s="479">
        <v>134.74</v>
      </c>
      <c r="E767" s="368"/>
      <c r="F767" s="368"/>
    </row>
    <row r="768" spans="1:6" ht="25.5" x14ac:dyDescent="0.2">
      <c r="A768" s="391">
        <v>105745</v>
      </c>
      <c r="B768" s="478" t="s">
        <v>39735</v>
      </c>
      <c r="C768" s="391" t="s">
        <v>271</v>
      </c>
      <c r="D768" s="479">
        <v>133.07</v>
      </c>
      <c r="E768" s="368"/>
      <c r="F768" s="368"/>
    </row>
    <row r="769" spans="1:6" ht="25.5" x14ac:dyDescent="0.2">
      <c r="A769" s="391">
        <v>105747</v>
      </c>
      <c r="B769" s="478" t="s">
        <v>39737</v>
      </c>
      <c r="C769" s="391" t="s">
        <v>271</v>
      </c>
      <c r="D769" s="479">
        <v>131.38999999999999</v>
      </c>
      <c r="E769" s="368"/>
      <c r="F769" s="368"/>
    </row>
    <row r="770" spans="1:6" ht="51" x14ac:dyDescent="0.2">
      <c r="A770" s="391">
        <v>105657</v>
      </c>
      <c r="B770" s="478" t="s">
        <v>39683</v>
      </c>
      <c r="C770" s="391" t="s">
        <v>271</v>
      </c>
      <c r="D770" s="479">
        <v>188.8</v>
      </c>
      <c r="E770" s="368"/>
      <c r="F770" s="368"/>
    </row>
    <row r="771" spans="1:6" ht="51" x14ac:dyDescent="0.2">
      <c r="A771" s="391">
        <v>100566</v>
      </c>
      <c r="B771" s="478" t="s">
        <v>39630</v>
      </c>
      <c r="C771" s="391" t="s">
        <v>271</v>
      </c>
      <c r="D771" s="479">
        <v>181.55</v>
      </c>
      <c r="E771" s="368"/>
      <c r="F771" s="368"/>
    </row>
    <row r="772" spans="1:6" ht="51" x14ac:dyDescent="0.2">
      <c r="A772" s="391">
        <v>105666</v>
      </c>
      <c r="B772" s="478" t="s">
        <v>39692</v>
      </c>
      <c r="C772" s="391" t="s">
        <v>271</v>
      </c>
      <c r="D772" s="479">
        <v>177.91</v>
      </c>
      <c r="E772" s="368"/>
      <c r="F772" s="368"/>
    </row>
    <row r="773" spans="1:6" ht="51" x14ac:dyDescent="0.2">
      <c r="A773" s="391">
        <v>105639</v>
      </c>
      <c r="B773" s="478" t="s">
        <v>40619</v>
      </c>
      <c r="C773" s="391" t="s">
        <v>271</v>
      </c>
      <c r="D773" s="479">
        <v>0</v>
      </c>
      <c r="E773" s="368"/>
      <c r="F773" s="368"/>
    </row>
    <row r="774" spans="1:6" ht="51" x14ac:dyDescent="0.2">
      <c r="A774" s="391">
        <v>105645</v>
      </c>
      <c r="B774" s="478" t="s">
        <v>40620</v>
      </c>
      <c r="C774" s="391" t="s">
        <v>271</v>
      </c>
      <c r="D774" s="479">
        <v>0</v>
      </c>
      <c r="E774" s="368"/>
      <c r="F774" s="368"/>
    </row>
    <row r="775" spans="1:6" ht="51" x14ac:dyDescent="0.2">
      <c r="A775" s="391">
        <v>105651</v>
      </c>
      <c r="B775" s="478" t="s">
        <v>40621</v>
      </c>
      <c r="C775" s="391" t="s">
        <v>271</v>
      </c>
      <c r="D775" s="479">
        <v>0</v>
      </c>
      <c r="E775" s="368"/>
      <c r="F775" s="368"/>
    </row>
    <row r="776" spans="1:6" ht="51" x14ac:dyDescent="0.2">
      <c r="A776" s="391">
        <v>105658</v>
      </c>
      <c r="B776" s="478" t="s">
        <v>39684</v>
      </c>
      <c r="C776" s="391" t="s">
        <v>271</v>
      </c>
      <c r="D776" s="479">
        <v>218.34</v>
      </c>
      <c r="E776" s="368"/>
      <c r="F776" s="368"/>
    </row>
    <row r="777" spans="1:6" ht="51" x14ac:dyDescent="0.2">
      <c r="A777" s="391">
        <v>100567</v>
      </c>
      <c r="B777" s="478" t="s">
        <v>39631</v>
      </c>
      <c r="C777" s="391" t="s">
        <v>271</v>
      </c>
      <c r="D777" s="479">
        <v>211.09</v>
      </c>
      <c r="E777" s="368"/>
      <c r="F777" s="368"/>
    </row>
    <row r="778" spans="1:6" ht="51" x14ac:dyDescent="0.2">
      <c r="A778" s="391">
        <v>105667</v>
      </c>
      <c r="B778" s="478" t="s">
        <v>39693</v>
      </c>
      <c r="C778" s="391" t="s">
        <v>271</v>
      </c>
      <c r="D778" s="479">
        <v>207.45</v>
      </c>
      <c r="E778" s="368"/>
      <c r="F778" s="368"/>
    </row>
    <row r="779" spans="1:6" ht="51" x14ac:dyDescent="0.2">
      <c r="A779" s="391">
        <v>105640</v>
      </c>
      <c r="B779" s="478" t="s">
        <v>40622</v>
      </c>
      <c r="C779" s="391" t="s">
        <v>271</v>
      </c>
      <c r="D779" s="479">
        <v>0</v>
      </c>
      <c r="E779" s="368"/>
      <c r="F779" s="368"/>
    </row>
    <row r="780" spans="1:6" ht="51" x14ac:dyDescent="0.2">
      <c r="A780" s="391">
        <v>105646</v>
      </c>
      <c r="B780" s="478" t="s">
        <v>40623</v>
      </c>
      <c r="C780" s="391" t="s">
        <v>271</v>
      </c>
      <c r="D780" s="479">
        <v>0</v>
      </c>
      <c r="E780" s="368"/>
      <c r="F780" s="368"/>
    </row>
    <row r="781" spans="1:6" ht="51" x14ac:dyDescent="0.2">
      <c r="A781" s="391">
        <v>105652</v>
      </c>
      <c r="B781" s="478" t="s">
        <v>40624</v>
      </c>
      <c r="C781" s="391" t="s">
        <v>271</v>
      </c>
      <c r="D781" s="479">
        <v>0</v>
      </c>
      <c r="E781" s="368"/>
      <c r="F781" s="368"/>
    </row>
    <row r="782" spans="1:6" ht="51" x14ac:dyDescent="0.2">
      <c r="A782" s="391">
        <v>105659</v>
      </c>
      <c r="B782" s="478" t="s">
        <v>39685</v>
      </c>
      <c r="C782" s="391" t="s">
        <v>271</v>
      </c>
      <c r="D782" s="479">
        <v>247.48</v>
      </c>
      <c r="E782" s="368"/>
      <c r="F782" s="368"/>
    </row>
    <row r="783" spans="1:6" ht="51" x14ac:dyDescent="0.2">
      <c r="A783" s="391">
        <v>100568</v>
      </c>
      <c r="B783" s="478" t="s">
        <v>39632</v>
      </c>
      <c r="C783" s="391" t="s">
        <v>271</v>
      </c>
      <c r="D783" s="479">
        <v>240.23</v>
      </c>
      <c r="E783" s="368"/>
      <c r="F783" s="368"/>
    </row>
    <row r="784" spans="1:6" ht="51" x14ac:dyDescent="0.2">
      <c r="A784" s="391">
        <v>105668</v>
      </c>
      <c r="B784" s="478" t="s">
        <v>39694</v>
      </c>
      <c r="C784" s="391" t="s">
        <v>271</v>
      </c>
      <c r="D784" s="479">
        <v>236.59</v>
      </c>
      <c r="E784" s="368"/>
      <c r="F784" s="368"/>
    </row>
    <row r="785" spans="1:6" ht="51" x14ac:dyDescent="0.2">
      <c r="A785" s="391">
        <v>105641</v>
      </c>
      <c r="B785" s="478" t="s">
        <v>40625</v>
      </c>
      <c r="C785" s="391" t="s">
        <v>271</v>
      </c>
      <c r="D785" s="479">
        <v>0</v>
      </c>
      <c r="E785" s="368"/>
      <c r="F785" s="368"/>
    </row>
    <row r="786" spans="1:6" ht="51" x14ac:dyDescent="0.2">
      <c r="A786" s="391">
        <v>105647</v>
      </c>
      <c r="B786" s="478" t="s">
        <v>40626</v>
      </c>
      <c r="C786" s="391" t="s">
        <v>271</v>
      </c>
      <c r="D786" s="479">
        <v>0</v>
      </c>
      <c r="E786" s="368"/>
      <c r="F786" s="368"/>
    </row>
    <row r="787" spans="1:6" ht="51" x14ac:dyDescent="0.2">
      <c r="A787" s="391">
        <v>105653</v>
      </c>
      <c r="B787" s="478" t="s">
        <v>40627</v>
      </c>
      <c r="C787" s="391" t="s">
        <v>271</v>
      </c>
      <c r="D787" s="479">
        <v>0</v>
      </c>
      <c r="E787" s="368"/>
      <c r="F787" s="368"/>
    </row>
    <row r="788" spans="1:6" ht="51" x14ac:dyDescent="0.2">
      <c r="A788" s="391">
        <v>105710</v>
      </c>
      <c r="B788" s="478" t="s">
        <v>39713</v>
      </c>
      <c r="C788" s="391" t="s">
        <v>271</v>
      </c>
      <c r="D788" s="479">
        <v>125.68</v>
      </c>
      <c r="E788" s="368"/>
      <c r="F788" s="368"/>
    </row>
    <row r="789" spans="1:6" ht="51" x14ac:dyDescent="0.2">
      <c r="A789" s="391">
        <v>100564</v>
      </c>
      <c r="B789" s="478" t="s">
        <v>39628</v>
      </c>
      <c r="C789" s="391" t="s">
        <v>271</v>
      </c>
      <c r="D789" s="479">
        <v>118.43</v>
      </c>
      <c r="E789" s="368"/>
      <c r="F789" s="368"/>
    </row>
    <row r="790" spans="1:6" ht="51" x14ac:dyDescent="0.2">
      <c r="A790" s="391">
        <v>105711</v>
      </c>
      <c r="B790" s="478" t="s">
        <v>39714</v>
      </c>
      <c r="C790" s="391" t="s">
        <v>271</v>
      </c>
      <c r="D790" s="479">
        <v>114.79</v>
      </c>
      <c r="E790" s="368"/>
      <c r="F790" s="368"/>
    </row>
    <row r="791" spans="1:6" ht="38.25" x14ac:dyDescent="0.2">
      <c r="A791" s="391">
        <v>105705</v>
      </c>
      <c r="B791" s="478" t="s">
        <v>40628</v>
      </c>
      <c r="C791" s="391" t="s">
        <v>271</v>
      </c>
      <c r="D791" s="479">
        <v>0</v>
      </c>
      <c r="E791" s="368"/>
      <c r="F791" s="368"/>
    </row>
    <row r="792" spans="1:6" ht="38.25" x14ac:dyDescent="0.2">
      <c r="A792" s="391">
        <v>105706</v>
      </c>
      <c r="B792" s="478" t="s">
        <v>40629</v>
      </c>
      <c r="C792" s="391" t="s">
        <v>271</v>
      </c>
      <c r="D792" s="479">
        <v>0</v>
      </c>
      <c r="E792" s="368"/>
      <c r="F792" s="368"/>
    </row>
    <row r="793" spans="1:6" ht="38.25" x14ac:dyDescent="0.2">
      <c r="A793" s="391">
        <v>105708</v>
      </c>
      <c r="B793" s="478" t="s">
        <v>40630</v>
      </c>
      <c r="C793" s="391" t="s">
        <v>271</v>
      </c>
      <c r="D793" s="479">
        <v>0</v>
      </c>
      <c r="E793" s="368"/>
      <c r="F793" s="368"/>
    </row>
    <row r="794" spans="1:6" ht="51" x14ac:dyDescent="0.2">
      <c r="A794" s="391">
        <v>105690</v>
      </c>
      <c r="B794" s="478" t="s">
        <v>39698</v>
      </c>
      <c r="C794" s="391" t="s">
        <v>271</v>
      </c>
      <c r="D794" s="479">
        <v>173.81</v>
      </c>
      <c r="E794" s="368"/>
      <c r="F794" s="368"/>
    </row>
    <row r="795" spans="1:6" ht="51" x14ac:dyDescent="0.2">
      <c r="A795" s="391">
        <v>100569</v>
      </c>
      <c r="B795" s="478" t="s">
        <v>39633</v>
      </c>
      <c r="C795" s="391" t="s">
        <v>271</v>
      </c>
      <c r="D795" s="479">
        <v>166.56</v>
      </c>
      <c r="E795" s="368"/>
      <c r="F795" s="368"/>
    </row>
    <row r="796" spans="1:6" ht="51" x14ac:dyDescent="0.2">
      <c r="A796" s="391">
        <v>105699</v>
      </c>
      <c r="B796" s="478" t="s">
        <v>39707</v>
      </c>
      <c r="C796" s="391" t="s">
        <v>271</v>
      </c>
      <c r="D796" s="479">
        <v>162.91999999999999</v>
      </c>
      <c r="E796" s="368"/>
      <c r="F796" s="368"/>
    </row>
    <row r="797" spans="1:6" ht="51" x14ac:dyDescent="0.2">
      <c r="A797" s="391">
        <v>105672</v>
      </c>
      <c r="B797" s="478" t="s">
        <v>40631</v>
      </c>
      <c r="C797" s="391" t="s">
        <v>271</v>
      </c>
      <c r="D797" s="479">
        <v>0</v>
      </c>
      <c r="E797" s="368"/>
      <c r="F797" s="368"/>
    </row>
    <row r="798" spans="1:6" ht="51" x14ac:dyDescent="0.2">
      <c r="A798" s="391">
        <v>105678</v>
      </c>
      <c r="B798" s="478" t="s">
        <v>40632</v>
      </c>
      <c r="C798" s="391" t="s">
        <v>271</v>
      </c>
      <c r="D798" s="479">
        <v>0</v>
      </c>
      <c r="E798" s="368"/>
      <c r="F798" s="368"/>
    </row>
    <row r="799" spans="1:6" ht="51" x14ac:dyDescent="0.2">
      <c r="A799" s="391">
        <v>105684</v>
      </c>
      <c r="B799" s="478" t="s">
        <v>40633</v>
      </c>
      <c r="C799" s="391" t="s">
        <v>271</v>
      </c>
      <c r="D799" s="479">
        <v>0</v>
      </c>
      <c r="E799" s="368"/>
      <c r="F799" s="368"/>
    </row>
    <row r="800" spans="1:6" ht="51" x14ac:dyDescent="0.2">
      <c r="A800" s="391">
        <v>105691</v>
      </c>
      <c r="B800" s="478" t="s">
        <v>39699</v>
      </c>
      <c r="C800" s="391" t="s">
        <v>271</v>
      </c>
      <c r="D800" s="479">
        <v>203.66</v>
      </c>
      <c r="E800" s="368"/>
      <c r="F800" s="368"/>
    </row>
    <row r="801" spans="1:6" ht="51" x14ac:dyDescent="0.2">
      <c r="A801" s="391">
        <v>100570</v>
      </c>
      <c r="B801" s="478" t="s">
        <v>39634</v>
      </c>
      <c r="C801" s="391" t="s">
        <v>271</v>
      </c>
      <c r="D801" s="479">
        <v>196.41</v>
      </c>
      <c r="E801" s="368"/>
      <c r="F801" s="368"/>
    </row>
    <row r="802" spans="1:6" ht="51" x14ac:dyDescent="0.2">
      <c r="A802" s="391">
        <v>105700</v>
      </c>
      <c r="B802" s="478" t="s">
        <v>39708</v>
      </c>
      <c r="C802" s="391" t="s">
        <v>271</v>
      </c>
      <c r="D802" s="479">
        <v>192.77</v>
      </c>
      <c r="E802" s="368"/>
      <c r="F802" s="368"/>
    </row>
    <row r="803" spans="1:6" ht="51" x14ac:dyDescent="0.2">
      <c r="A803" s="391">
        <v>105673</v>
      </c>
      <c r="B803" s="478" t="s">
        <v>40634</v>
      </c>
      <c r="C803" s="391" t="s">
        <v>271</v>
      </c>
      <c r="D803" s="479">
        <v>0</v>
      </c>
      <c r="E803" s="368"/>
      <c r="F803" s="368"/>
    </row>
    <row r="804" spans="1:6" ht="51" x14ac:dyDescent="0.2">
      <c r="A804" s="391">
        <v>105679</v>
      </c>
      <c r="B804" s="478" t="s">
        <v>40635</v>
      </c>
      <c r="C804" s="391" t="s">
        <v>271</v>
      </c>
      <c r="D804" s="479">
        <v>0</v>
      </c>
      <c r="E804" s="368"/>
      <c r="F804" s="368"/>
    </row>
    <row r="805" spans="1:6" ht="51" x14ac:dyDescent="0.2">
      <c r="A805" s="391">
        <v>105685</v>
      </c>
      <c r="B805" s="478" t="s">
        <v>40636</v>
      </c>
      <c r="C805" s="391" t="s">
        <v>271</v>
      </c>
      <c r="D805" s="479">
        <v>0</v>
      </c>
      <c r="E805" s="368"/>
      <c r="F805" s="368"/>
    </row>
    <row r="806" spans="1:6" ht="51" x14ac:dyDescent="0.2">
      <c r="A806" s="391">
        <v>105692</v>
      </c>
      <c r="B806" s="478" t="s">
        <v>39700</v>
      </c>
      <c r="C806" s="391" t="s">
        <v>271</v>
      </c>
      <c r="D806" s="479">
        <v>233.11</v>
      </c>
      <c r="E806" s="368"/>
      <c r="F806" s="368"/>
    </row>
    <row r="807" spans="1:6" ht="51" x14ac:dyDescent="0.2">
      <c r="A807" s="391">
        <v>100571</v>
      </c>
      <c r="B807" s="478" t="s">
        <v>39635</v>
      </c>
      <c r="C807" s="391" t="s">
        <v>271</v>
      </c>
      <c r="D807" s="479">
        <v>225.86</v>
      </c>
      <c r="E807" s="368"/>
      <c r="F807" s="368"/>
    </row>
    <row r="808" spans="1:6" ht="51" x14ac:dyDescent="0.2">
      <c r="A808" s="391">
        <v>105701</v>
      </c>
      <c r="B808" s="478" t="s">
        <v>39709</v>
      </c>
      <c r="C808" s="391" t="s">
        <v>271</v>
      </c>
      <c r="D808" s="479">
        <v>222.22</v>
      </c>
      <c r="E808" s="368"/>
      <c r="F808" s="368"/>
    </row>
    <row r="809" spans="1:6" ht="51" x14ac:dyDescent="0.2">
      <c r="A809" s="391">
        <v>105674</v>
      </c>
      <c r="B809" s="478" t="s">
        <v>40637</v>
      </c>
      <c r="C809" s="391" t="s">
        <v>271</v>
      </c>
      <c r="D809" s="479">
        <v>0</v>
      </c>
      <c r="E809" s="368"/>
      <c r="F809" s="368"/>
    </row>
    <row r="810" spans="1:6" ht="51" x14ac:dyDescent="0.2">
      <c r="A810" s="391">
        <v>105680</v>
      </c>
      <c r="B810" s="478" t="s">
        <v>40638</v>
      </c>
      <c r="C810" s="391" t="s">
        <v>271</v>
      </c>
      <c r="D810" s="479">
        <v>0</v>
      </c>
      <c r="E810" s="368"/>
      <c r="F810" s="368"/>
    </row>
    <row r="811" spans="1:6" ht="51" x14ac:dyDescent="0.2">
      <c r="A811" s="391">
        <v>105686</v>
      </c>
      <c r="B811" s="478" t="s">
        <v>40639</v>
      </c>
      <c r="C811" s="391" t="s">
        <v>271</v>
      </c>
      <c r="D811" s="479">
        <v>0</v>
      </c>
      <c r="E811" s="368"/>
      <c r="F811" s="368"/>
    </row>
    <row r="812" spans="1:6" ht="51" x14ac:dyDescent="0.2">
      <c r="A812" s="391">
        <v>105718</v>
      </c>
      <c r="B812" s="478" t="s">
        <v>39716</v>
      </c>
      <c r="C812" s="391" t="s">
        <v>271</v>
      </c>
      <c r="D812" s="479">
        <v>110.06</v>
      </c>
      <c r="E812" s="368"/>
      <c r="F812" s="368"/>
    </row>
    <row r="813" spans="1:6" ht="51" x14ac:dyDescent="0.2">
      <c r="A813" s="391">
        <v>100565</v>
      </c>
      <c r="B813" s="478" t="s">
        <v>39629</v>
      </c>
      <c r="C813" s="391" t="s">
        <v>271</v>
      </c>
      <c r="D813" s="479">
        <v>102.81</v>
      </c>
      <c r="E813" s="368"/>
      <c r="F813" s="368"/>
    </row>
    <row r="814" spans="1:6" ht="51" x14ac:dyDescent="0.2">
      <c r="A814" s="391">
        <v>105581</v>
      </c>
      <c r="B814" s="478" t="s">
        <v>39657</v>
      </c>
      <c r="C814" s="391" t="s">
        <v>271</v>
      </c>
      <c r="D814" s="479">
        <v>99.17</v>
      </c>
      <c r="E814" s="368"/>
      <c r="F814" s="368"/>
    </row>
    <row r="815" spans="1:6" ht="38.25" x14ac:dyDescent="0.2">
      <c r="A815" s="391">
        <v>105713</v>
      </c>
      <c r="B815" s="478" t="s">
        <v>40640</v>
      </c>
      <c r="C815" s="391" t="s">
        <v>271</v>
      </c>
      <c r="D815" s="479">
        <v>0</v>
      </c>
      <c r="E815" s="368"/>
      <c r="F815" s="368"/>
    </row>
    <row r="816" spans="1:6" ht="38.25" x14ac:dyDescent="0.2">
      <c r="A816" s="391">
        <v>105714</v>
      </c>
      <c r="B816" s="478" t="s">
        <v>40641</v>
      </c>
      <c r="C816" s="391" t="s">
        <v>271</v>
      </c>
      <c r="D816" s="479">
        <v>0</v>
      </c>
      <c r="E816" s="368"/>
      <c r="F816" s="368"/>
    </row>
    <row r="817" spans="1:6" ht="38.25" x14ac:dyDescent="0.2">
      <c r="A817" s="391">
        <v>105716</v>
      </c>
      <c r="B817" s="478" t="s">
        <v>40642</v>
      </c>
      <c r="C817" s="391" t="s">
        <v>271</v>
      </c>
      <c r="D817" s="479">
        <v>0</v>
      </c>
      <c r="E817" s="368"/>
      <c r="F817" s="368"/>
    </row>
    <row r="818" spans="1:6" ht="51" x14ac:dyDescent="0.2">
      <c r="A818" s="391">
        <v>105624</v>
      </c>
      <c r="B818" s="478" t="s">
        <v>39670</v>
      </c>
      <c r="C818" s="391" t="s">
        <v>271</v>
      </c>
      <c r="D818" s="479">
        <v>118.08</v>
      </c>
      <c r="E818" s="368"/>
      <c r="F818" s="368"/>
    </row>
    <row r="819" spans="1:6" ht="51" x14ac:dyDescent="0.2">
      <c r="A819" s="391">
        <v>96391</v>
      </c>
      <c r="B819" s="478" t="s">
        <v>39621</v>
      </c>
      <c r="C819" s="391" t="s">
        <v>271</v>
      </c>
      <c r="D819" s="479">
        <v>112.24</v>
      </c>
      <c r="E819" s="368"/>
      <c r="F819" s="368"/>
    </row>
    <row r="820" spans="1:6" ht="51" x14ac:dyDescent="0.2">
      <c r="A820" s="391">
        <v>105632</v>
      </c>
      <c r="B820" s="478" t="s">
        <v>39678</v>
      </c>
      <c r="C820" s="391" t="s">
        <v>271</v>
      </c>
      <c r="D820" s="479">
        <v>111.32</v>
      </c>
      <c r="E820" s="368"/>
      <c r="F820" s="368"/>
    </row>
    <row r="821" spans="1:6" ht="38.25" x14ac:dyDescent="0.2">
      <c r="A821" s="391">
        <v>105601</v>
      </c>
      <c r="B821" s="478" t="s">
        <v>40643</v>
      </c>
      <c r="C821" s="391" t="s">
        <v>271</v>
      </c>
      <c r="D821" s="479">
        <v>0</v>
      </c>
      <c r="E821" s="368"/>
      <c r="F821" s="368"/>
    </row>
    <row r="822" spans="1:6" ht="38.25" x14ac:dyDescent="0.2">
      <c r="A822" s="391">
        <v>105609</v>
      </c>
      <c r="B822" s="478" t="s">
        <v>40644</v>
      </c>
      <c r="C822" s="391" t="s">
        <v>271</v>
      </c>
      <c r="D822" s="479">
        <v>0</v>
      </c>
      <c r="E822" s="368"/>
      <c r="F822" s="368"/>
    </row>
    <row r="823" spans="1:6" ht="38.25" x14ac:dyDescent="0.2">
      <c r="A823" s="391">
        <v>105617</v>
      </c>
      <c r="B823" s="478" t="s">
        <v>40645</v>
      </c>
      <c r="C823" s="391" t="s">
        <v>271</v>
      </c>
      <c r="D823" s="479">
        <v>0</v>
      </c>
      <c r="E823" s="368"/>
      <c r="F823" s="368"/>
    </row>
    <row r="824" spans="1:6" ht="51" x14ac:dyDescent="0.2">
      <c r="A824" s="391">
        <v>105625</v>
      </c>
      <c r="B824" s="478" t="s">
        <v>39671</v>
      </c>
      <c r="C824" s="391" t="s">
        <v>271</v>
      </c>
      <c r="D824" s="479">
        <v>149.09</v>
      </c>
      <c r="E824" s="368"/>
      <c r="F824" s="368"/>
    </row>
    <row r="825" spans="1:6" ht="51" x14ac:dyDescent="0.2">
      <c r="A825" s="391">
        <v>96392</v>
      </c>
      <c r="B825" s="478" t="s">
        <v>39622</v>
      </c>
      <c r="C825" s="391" t="s">
        <v>271</v>
      </c>
      <c r="D825" s="479">
        <v>143.25</v>
      </c>
      <c r="E825" s="368"/>
      <c r="F825" s="368"/>
    </row>
    <row r="826" spans="1:6" ht="51" x14ac:dyDescent="0.2">
      <c r="A826" s="391">
        <v>105633</v>
      </c>
      <c r="B826" s="478" t="s">
        <v>39679</v>
      </c>
      <c r="C826" s="391" t="s">
        <v>271</v>
      </c>
      <c r="D826" s="479">
        <v>142.33000000000001</v>
      </c>
      <c r="E826" s="368"/>
      <c r="F826" s="368"/>
    </row>
    <row r="827" spans="1:6" ht="38.25" x14ac:dyDescent="0.2">
      <c r="A827" s="391">
        <v>105602</v>
      </c>
      <c r="B827" s="478" t="s">
        <v>40646</v>
      </c>
      <c r="C827" s="391" t="s">
        <v>271</v>
      </c>
      <c r="D827" s="479">
        <v>0</v>
      </c>
      <c r="E827" s="368"/>
      <c r="F827" s="368"/>
    </row>
    <row r="828" spans="1:6" ht="38.25" x14ac:dyDescent="0.2">
      <c r="A828" s="391">
        <v>105610</v>
      </c>
      <c r="B828" s="478" t="s">
        <v>40647</v>
      </c>
      <c r="C828" s="391" t="s">
        <v>271</v>
      </c>
      <c r="D828" s="479">
        <v>0</v>
      </c>
      <c r="E828" s="368"/>
      <c r="F828" s="368"/>
    </row>
    <row r="829" spans="1:6" ht="38.25" x14ac:dyDescent="0.2">
      <c r="A829" s="391">
        <v>105618</v>
      </c>
      <c r="B829" s="478" t="s">
        <v>40648</v>
      </c>
      <c r="C829" s="391" t="s">
        <v>271</v>
      </c>
      <c r="D829" s="479">
        <v>0</v>
      </c>
      <c r="E829" s="368"/>
      <c r="F829" s="368"/>
    </row>
    <row r="830" spans="1:6" ht="51" x14ac:dyDescent="0.2">
      <c r="A830" s="391">
        <v>105571</v>
      </c>
      <c r="B830" s="478" t="s">
        <v>39647</v>
      </c>
      <c r="C830" s="391" t="s">
        <v>271</v>
      </c>
      <c r="D830" s="479">
        <v>54.37</v>
      </c>
      <c r="E830" s="368"/>
      <c r="F830" s="368"/>
    </row>
    <row r="831" spans="1:6" ht="51" x14ac:dyDescent="0.2">
      <c r="A831" s="391">
        <v>96389</v>
      </c>
      <c r="B831" s="478" t="s">
        <v>39619</v>
      </c>
      <c r="C831" s="391" t="s">
        <v>271</v>
      </c>
      <c r="D831" s="479">
        <v>48.53</v>
      </c>
      <c r="E831" s="368"/>
      <c r="F831" s="368"/>
    </row>
    <row r="832" spans="1:6" ht="51" x14ac:dyDescent="0.2">
      <c r="A832" s="391">
        <v>105575</v>
      </c>
      <c r="B832" s="478" t="s">
        <v>39651</v>
      </c>
      <c r="C832" s="391" t="s">
        <v>271</v>
      </c>
      <c r="D832" s="479">
        <v>47.61</v>
      </c>
      <c r="E832" s="368"/>
      <c r="F832" s="368"/>
    </row>
    <row r="833" spans="1:6" ht="51" x14ac:dyDescent="0.2">
      <c r="A833" s="391">
        <v>105599</v>
      </c>
      <c r="B833" s="478" t="s">
        <v>40649</v>
      </c>
      <c r="C833" s="391" t="s">
        <v>271</v>
      </c>
      <c r="D833" s="479">
        <v>0</v>
      </c>
      <c r="E833" s="368"/>
      <c r="F833" s="368"/>
    </row>
    <row r="834" spans="1:6" ht="51" x14ac:dyDescent="0.2">
      <c r="A834" s="391">
        <v>105607</v>
      </c>
      <c r="B834" s="478" t="s">
        <v>40650</v>
      </c>
      <c r="C834" s="391" t="s">
        <v>271</v>
      </c>
      <c r="D834" s="479">
        <v>0</v>
      </c>
      <c r="E834" s="368"/>
      <c r="F834" s="368"/>
    </row>
    <row r="835" spans="1:6" ht="51" x14ac:dyDescent="0.2">
      <c r="A835" s="391">
        <v>105615</v>
      </c>
      <c r="B835" s="478" t="s">
        <v>40651</v>
      </c>
      <c r="C835" s="391" t="s">
        <v>271</v>
      </c>
      <c r="D835" s="479">
        <v>0</v>
      </c>
      <c r="E835" s="368"/>
      <c r="F835" s="368"/>
    </row>
    <row r="836" spans="1:6" ht="51" x14ac:dyDescent="0.2">
      <c r="A836" s="391">
        <v>105623</v>
      </c>
      <c r="B836" s="478" t="s">
        <v>39669</v>
      </c>
      <c r="C836" s="391" t="s">
        <v>271</v>
      </c>
      <c r="D836" s="479">
        <v>86.66</v>
      </c>
      <c r="E836" s="368"/>
      <c r="F836" s="368"/>
    </row>
    <row r="837" spans="1:6" ht="51" x14ac:dyDescent="0.2">
      <c r="A837" s="391">
        <v>96390</v>
      </c>
      <c r="B837" s="478" t="s">
        <v>39620</v>
      </c>
      <c r="C837" s="391" t="s">
        <v>271</v>
      </c>
      <c r="D837" s="479">
        <v>80.819999999999993</v>
      </c>
      <c r="E837" s="368"/>
      <c r="F837" s="368"/>
    </row>
    <row r="838" spans="1:6" ht="51" x14ac:dyDescent="0.2">
      <c r="A838" s="391">
        <v>105631</v>
      </c>
      <c r="B838" s="478" t="s">
        <v>39677</v>
      </c>
      <c r="C838" s="391" t="s">
        <v>271</v>
      </c>
      <c r="D838" s="479">
        <v>79.900000000000006</v>
      </c>
      <c r="E838" s="368"/>
      <c r="F838" s="368"/>
    </row>
    <row r="839" spans="1:6" ht="51" x14ac:dyDescent="0.2">
      <c r="A839" s="391">
        <v>105600</v>
      </c>
      <c r="B839" s="478" t="s">
        <v>40652</v>
      </c>
      <c r="C839" s="391" t="s">
        <v>271</v>
      </c>
      <c r="D839" s="479">
        <v>0</v>
      </c>
      <c r="E839" s="368"/>
      <c r="F839" s="368"/>
    </row>
    <row r="840" spans="1:6" ht="51" x14ac:dyDescent="0.2">
      <c r="A840" s="391">
        <v>105608</v>
      </c>
      <c r="B840" s="478" t="s">
        <v>40653</v>
      </c>
      <c r="C840" s="391" t="s">
        <v>271</v>
      </c>
      <c r="D840" s="479">
        <v>0</v>
      </c>
      <c r="E840" s="368"/>
      <c r="F840" s="368"/>
    </row>
    <row r="841" spans="1:6" ht="51" x14ac:dyDescent="0.2">
      <c r="A841" s="391">
        <v>105616</v>
      </c>
      <c r="B841" s="478" t="s">
        <v>40654</v>
      </c>
      <c r="C841" s="391" t="s">
        <v>271</v>
      </c>
      <c r="D841" s="479">
        <v>0</v>
      </c>
      <c r="E841" s="368"/>
      <c r="F841" s="368"/>
    </row>
    <row r="842" spans="1:6" ht="51" x14ac:dyDescent="0.2">
      <c r="A842" s="391">
        <v>105585</v>
      </c>
      <c r="B842" s="478" t="s">
        <v>39659</v>
      </c>
      <c r="C842" s="391" t="s">
        <v>271</v>
      </c>
      <c r="D842" s="479">
        <v>133.75</v>
      </c>
      <c r="E842" s="368"/>
      <c r="F842" s="368"/>
    </row>
    <row r="843" spans="1:6" ht="51" x14ac:dyDescent="0.2">
      <c r="A843" s="391">
        <v>100572</v>
      </c>
      <c r="B843" s="478" t="s">
        <v>39636</v>
      </c>
      <c r="C843" s="391" t="s">
        <v>271</v>
      </c>
      <c r="D843" s="479">
        <v>123.83</v>
      </c>
      <c r="E843" s="368"/>
      <c r="F843" s="368"/>
    </row>
    <row r="844" spans="1:6" ht="51" x14ac:dyDescent="0.2">
      <c r="A844" s="391">
        <v>105588</v>
      </c>
      <c r="B844" s="478" t="s">
        <v>39662</v>
      </c>
      <c r="C844" s="391" t="s">
        <v>271</v>
      </c>
      <c r="D844" s="479">
        <v>122.82</v>
      </c>
      <c r="E844" s="368"/>
      <c r="F844" s="368"/>
    </row>
    <row r="845" spans="1:6" ht="38.25" x14ac:dyDescent="0.2">
      <c r="A845" s="391">
        <v>105583</v>
      </c>
      <c r="B845" s="478" t="s">
        <v>40655</v>
      </c>
      <c r="C845" s="391" t="s">
        <v>271</v>
      </c>
      <c r="D845" s="479">
        <v>0</v>
      </c>
      <c r="E845" s="368"/>
      <c r="F845" s="368"/>
    </row>
    <row r="846" spans="1:6" ht="38.25" x14ac:dyDescent="0.2">
      <c r="A846" s="391">
        <v>105719</v>
      </c>
      <c r="B846" s="478" t="s">
        <v>40656</v>
      </c>
      <c r="C846" s="391" t="s">
        <v>271</v>
      </c>
      <c r="D846" s="479">
        <v>0</v>
      </c>
      <c r="E846" s="368"/>
      <c r="F846" s="368"/>
    </row>
    <row r="847" spans="1:6" ht="38.25" x14ac:dyDescent="0.2">
      <c r="A847" s="391">
        <v>105721</v>
      </c>
      <c r="B847" s="478" t="s">
        <v>40657</v>
      </c>
      <c r="C847" s="391" t="s">
        <v>271</v>
      </c>
      <c r="D847" s="479">
        <v>0</v>
      </c>
      <c r="E847" s="368"/>
      <c r="F847" s="368"/>
    </row>
    <row r="848" spans="1:6" ht="51" x14ac:dyDescent="0.2">
      <c r="A848" s="391">
        <v>105592</v>
      </c>
      <c r="B848" s="478" t="s">
        <v>39664</v>
      </c>
      <c r="C848" s="391" t="s">
        <v>271</v>
      </c>
      <c r="D848" s="479">
        <v>118.13</v>
      </c>
      <c r="E848" s="368"/>
      <c r="F848" s="368"/>
    </row>
    <row r="849" spans="1:6" ht="51" x14ac:dyDescent="0.2">
      <c r="A849" s="391">
        <v>100573</v>
      </c>
      <c r="B849" s="478" t="s">
        <v>39637</v>
      </c>
      <c r="C849" s="391" t="s">
        <v>271</v>
      </c>
      <c r="D849" s="479">
        <v>108.21</v>
      </c>
      <c r="E849" s="368"/>
      <c r="F849" s="368"/>
    </row>
    <row r="850" spans="1:6" ht="51" x14ac:dyDescent="0.2">
      <c r="A850" s="391">
        <v>105595</v>
      </c>
      <c r="B850" s="478" t="s">
        <v>39667</v>
      </c>
      <c r="C850" s="391" t="s">
        <v>271</v>
      </c>
      <c r="D850" s="479">
        <v>107.2</v>
      </c>
      <c r="E850" s="368"/>
      <c r="F850" s="368"/>
    </row>
    <row r="851" spans="1:6" ht="38.25" x14ac:dyDescent="0.2">
      <c r="A851" s="391">
        <v>105590</v>
      </c>
      <c r="B851" s="478" t="s">
        <v>40658</v>
      </c>
      <c r="C851" s="391" t="s">
        <v>271</v>
      </c>
      <c r="D851" s="479">
        <v>0</v>
      </c>
      <c r="E851" s="368"/>
      <c r="F851" s="368"/>
    </row>
    <row r="852" spans="1:6" ht="38.25" x14ac:dyDescent="0.2">
      <c r="A852" s="391">
        <v>105723</v>
      </c>
      <c r="B852" s="478" t="s">
        <v>40659</v>
      </c>
      <c r="C852" s="391" t="s">
        <v>271</v>
      </c>
      <c r="D852" s="479">
        <v>0</v>
      </c>
      <c r="E852" s="368"/>
      <c r="F852" s="368"/>
    </row>
    <row r="853" spans="1:6" ht="38.25" x14ac:dyDescent="0.2">
      <c r="A853" s="391">
        <v>105725</v>
      </c>
      <c r="B853" s="478" t="s">
        <v>40660</v>
      </c>
      <c r="C853" s="391" t="s">
        <v>271</v>
      </c>
      <c r="D853" s="479">
        <v>0</v>
      </c>
      <c r="E853" s="368"/>
      <c r="F853" s="368"/>
    </row>
    <row r="854" spans="1:6" ht="38.25" x14ac:dyDescent="0.2">
      <c r="A854" s="391">
        <v>105566</v>
      </c>
      <c r="B854" s="478" t="s">
        <v>39642</v>
      </c>
      <c r="C854" s="391" t="s">
        <v>271</v>
      </c>
      <c r="D854" s="479">
        <v>11.73</v>
      </c>
      <c r="E854" s="368"/>
      <c r="F854" s="368"/>
    </row>
    <row r="855" spans="1:6" ht="38.25" x14ac:dyDescent="0.2">
      <c r="A855" s="391">
        <v>96388</v>
      </c>
      <c r="B855" s="478" t="s">
        <v>39618</v>
      </c>
      <c r="C855" s="391" t="s">
        <v>271</v>
      </c>
      <c r="D855" s="479">
        <v>9.42</v>
      </c>
      <c r="E855" s="368"/>
      <c r="F855" s="368"/>
    </row>
    <row r="856" spans="1:6" ht="38.25" x14ac:dyDescent="0.2">
      <c r="A856" s="391">
        <v>105569</v>
      </c>
      <c r="B856" s="478" t="s">
        <v>39645</v>
      </c>
      <c r="C856" s="391" t="s">
        <v>271</v>
      </c>
      <c r="D856" s="479">
        <v>7.81</v>
      </c>
      <c r="E856" s="368"/>
      <c r="F856" s="368"/>
    </row>
    <row r="857" spans="1:6" ht="38.25" x14ac:dyDescent="0.2">
      <c r="A857" s="391">
        <v>101767</v>
      </c>
      <c r="B857" s="478" t="s">
        <v>39640</v>
      </c>
      <c r="C857" s="391" t="s">
        <v>271</v>
      </c>
      <c r="D857" s="479">
        <v>30.47</v>
      </c>
      <c r="E857" s="368"/>
      <c r="F857" s="368"/>
    </row>
    <row r="858" spans="1:6" ht="38.25" x14ac:dyDescent="0.2">
      <c r="A858" s="391">
        <v>101768</v>
      </c>
      <c r="B858" s="478" t="s">
        <v>39641</v>
      </c>
      <c r="C858" s="391" t="s">
        <v>271</v>
      </c>
      <c r="D858" s="479">
        <v>26.55</v>
      </c>
      <c r="E858" s="368"/>
      <c r="F858" s="368"/>
    </row>
    <row r="859" spans="1:6" x14ac:dyDescent="0.2">
      <c r="A859" s="391">
        <v>100574</v>
      </c>
      <c r="B859" s="478" t="s">
        <v>39638</v>
      </c>
      <c r="C859" s="391" t="s">
        <v>271</v>
      </c>
      <c r="D859" s="479">
        <v>1.42</v>
      </c>
      <c r="E859" s="368"/>
      <c r="F859" s="368"/>
    </row>
    <row r="860" spans="1:6" ht="25.5" x14ac:dyDescent="0.2">
      <c r="A860" s="391">
        <v>102470</v>
      </c>
      <c r="B860" s="478" t="s">
        <v>40661</v>
      </c>
      <c r="C860" s="391" t="s">
        <v>255</v>
      </c>
      <c r="D860" s="479">
        <v>0</v>
      </c>
      <c r="E860" s="368"/>
      <c r="F860" s="368"/>
    </row>
    <row r="861" spans="1:6" ht="25.5" x14ac:dyDescent="0.2">
      <c r="A861" s="391">
        <v>105756</v>
      </c>
      <c r="B861" s="478" t="s">
        <v>40662</v>
      </c>
      <c r="C861" s="391" t="s">
        <v>255</v>
      </c>
      <c r="D861" s="479">
        <v>0</v>
      </c>
      <c r="E861" s="368"/>
      <c r="F861" s="368"/>
    </row>
    <row r="862" spans="1:6" ht="25.5" x14ac:dyDescent="0.2">
      <c r="A862" s="391">
        <v>104375</v>
      </c>
      <c r="B862" s="478" t="s">
        <v>40663</v>
      </c>
      <c r="C862" s="391" t="s">
        <v>255</v>
      </c>
      <c r="D862" s="479">
        <v>0</v>
      </c>
      <c r="E862" s="368"/>
      <c r="F862" s="368"/>
    </row>
    <row r="863" spans="1:6" ht="25.5" x14ac:dyDescent="0.2">
      <c r="A863" s="391">
        <v>105757</v>
      </c>
      <c r="B863" s="478" t="s">
        <v>40664</v>
      </c>
      <c r="C863" s="391" t="s">
        <v>255</v>
      </c>
      <c r="D863" s="479">
        <v>0</v>
      </c>
      <c r="E863" s="368"/>
      <c r="F863" s="368"/>
    </row>
    <row r="864" spans="1:6" ht="51" x14ac:dyDescent="0.2">
      <c r="A864" s="391">
        <v>105562</v>
      </c>
      <c r="B864" s="478" t="s">
        <v>39610</v>
      </c>
      <c r="C864" s="391" t="s">
        <v>271</v>
      </c>
      <c r="D864" s="479">
        <v>8.6300000000000008</v>
      </c>
      <c r="E864" s="368"/>
      <c r="F864" s="368"/>
    </row>
    <row r="865" spans="1:6" ht="51" x14ac:dyDescent="0.2">
      <c r="A865" s="391">
        <v>105563</v>
      </c>
      <c r="B865" s="478" t="s">
        <v>39611</v>
      </c>
      <c r="C865" s="391" t="s">
        <v>271</v>
      </c>
      <c r="D865" s="479">
        <v>6.98</v>
      </c>
      <c r="E865" s="368"/>
      <c r="F865" s="368"/>
    </row>
    <row r="866" spans="1:6" ht="51" x14ac:dyDescent="0.2">
      <c r="A866" s="391">
        <v>105565</v>
      </c>
      <c r="B866" s="478" t="s">
        <v>39613</v>
      </c>
      <c r="C866" s="391" t="s">
        <v>271</v>
      </c>
      <c r="D866" s="479">
        <v>6.45</v>
      </c>
      <c r="E866" s="368"/>
      <c r="F866" s="368"/>
    </row>
    <row r="867" spans="1:6" ht="51" x14ac:dyDescent="0.2">
      <c r="A867" s="391">
        <v>105557</v>
      </c>
      <c r="B867" s="478" t="s">
        <v>39605</v>
      </c>
      <c r="C867" s="391" t="s">
        <v>271</v>
      </c>
      <c r="D867" s="479">
        <v>16.41</v>
      </c>
      <c r="E867" s="368"/>
      <c r="F867" s="368"/>
    </row>
    <row r="868" spans="1:6" ht="51" x14ac:dyDescent="0.2">
      <c r="A868" s="391">
        <v>105558</v>
      </c>
      <c r="B868" s="478" t="s">
        <v>39606</v>
      </c>
      <c r="C868" s="391" t="s">
        <v>271</v>
      </c>
      <c r="D868" s="479">
        <v>14.15</v>
      </c>
      <c r="E868" s="368"/>
      <c r="F868" s="368"/>
    </row>
    <row r="869" spans="1:6" ht="51" x14ac:dyDescent="0.2">
      <c r="A869" s="391">
        <v>105560</v>
      </c>
      <c r="B869" s="478" t="s">
        <v>39608</v>
      </c>
      <c r="C869" s="391" t="s">
        <v>271</v>
      </c>
      <c r="D869" s="479">
        <v>12.9</v>
      </c>
      <c r="E869" s="368"/>
      <c r="F869" s="368"/>
    </row>
    <row r="870" spans="1:6" ht="38.25" x14ac:dyDescent="0.2">
      <c r="A870" s="391">
        <v>96386</v>
      </c>
      <c r="B870" s="478" t="s">
        <v>39603</v>
      </c>
      <c r="C870" s="391" t="s">
        <v>271</v>
      </c>
      <c r="D870" s="479">
        <v>6.91</v>
      </c>
      <c r="E870" s="368"/>
      <c r="F870" s="368"/>
    </row>
    <row r="871" spans="1:6" ht="51" x14ac:dyDescent="0.2">
      <c r="A871" s="391">
        <v>105564</v>
      </c>
      <c r="B871" s="478" t="s">
        <v>39612</v>
      </c>
      <c r="C871" s="391" t="s">
        <v>271</v>
      </c>
      <c r="D871" s="479">
        <v>6.41</v>
      </c>
      <c r="E871" s="368"/>
      <c r="F871" s="368"/>
    </row>
    <row r="872" spans="1:6" ht="51" x14ac:dyDescent="0.2">
      <c r="A872" s="391">
        <v>105561</v>
      </c>
      <c r="B872" s="478" t="s">
        <v>39609</v>
      </c>
      <c r="C872" s="391" t="s">
        <v>271</v>
      </c>
      <c r="D872" s="479">
        <v>8.4499999999999993</v>
      </c>
      <c r="E872" s="368"/>
      <c r="F872" s="368"/>
    </row>
    <row r="873" spans="1:6" ht="51" x14ac:dyDescent="0.2">
      <c r="A873" s="391">
        <v>96385</v>
      </c>
      <c r="B873" s="478" t="s">
        <v>39602</v>
      </c>
      <c r="C873" s="391" t="s">
        <v>271</v>
      </c>
      <c r="D873" s="479">
        <v>12.78</v>
      </c>
      <c r="E873" s="368"/>
      <c r="F873" s="368"/>
    </row>
    <row r="874" spans="1:6" ht="51" x14ac:dyDescent="0.2">
      <c r="A874" s="391">
        <v>105556</v>
      </c>
      <c r="B874" s="478" t="s">
        <v>39604</v>
      </c>
      <c r="C874" s="391" t="s">
        <v>271</v>
      </c>
      <c r="D874" s="479">
        <v>14.36</v>
      </c>
      <c r="E874" s="368"/>
      <c r="F874" s="368"/>
    </row>
    <row r="875" spans="1:6" ht="51" x14ac:dyDescent="0.2">
      <c r="A875" s="391">
        <v>105559</v>
      </c>
      <c r="B875" s="478" t="s">
        <v>39607</v>
      </c>
      <c r="C875" s="391" t="s">
        <v>271</v>
      </c>
      <c r="D875" s="479">
        <v>10.85</v>
      </c>
      <c r="E875" s="368"/>
      <c r="F875" s="368"/>
    </row>
    <row r="876" spans="1:6" ht="38.25" x14ac:dyDescent="0.2">
      <c r="A876" s="391">
        <v>105733</v>
      </c>
      <c r="B876" s="478" t="s">
        <v>39723</v>
      </c>
      <c r="C876" s="391" t="s">
        <v>271</v>
      </c>
      <c r="D876" s="479">
        <v>268.44</v>
      </c>
      <c r="E876" s="368"/>
      <c r="F876" s="368"/>
    </row>
    <row r="877" spans="1:6" ht="38.25" x14ac:dyDescent="0.2">
      <c r="A877" s="391">
        <v>105734</v>
      </c>
      <c r="B877" s="478" t="s">
        <v>39724</v>
      </c>
      <c r="C877" s="391" t="s">
        <v>271</v>
      </c>
      <c r="D877" s="479">
        <v>262.07</v>
      </c>
      <c r="E877" s="368"/>
      <c r="F877" s="368"/>
    </row>
    <row r="878" spans="1:6" ht="38.25" x14ac:dyDescent="0.2">
      <c r="A878" s="391">
        <v>105736</v>
      </c>
      <c r="B878" s="478" t="s">
        <v>39726</v>
      </c>
      <c r="C878" s="391" t="s">
        <v>271</v>
      </c>
      <c r="D878" s="479">
        <v>258.86</v>
      </c>
      <c r="E878" s="368"/>
      <c r="F878" s="368"/>
    </row>
    <row r="879" spans="1:6" ht="38.25" x14ac:dyDescent="0.2">
      <c r="A879" s="391">
        <v>105728</v>
      </c>
      <c r="B879" s="478" t="s">
        <v>39718</v>
      </c>
      <c r="C879" s="391" t="s">
        <v>271</v>
      </c>
      <c r="D879" s="479">
        <v>204.32</v>
      </c>
      <c r="E879" s="368"/>
      <c r="F879" s="368"/>
    </row>
    <row r="880" spans="1:6" ht="38.25" x14ac:dyDescent="0.2">
      <c r="A880" s="391">
        <v>105729</v>
      </c>
      <c r="B880" s="478" t="s">
        <v>39719</v>
      </c>
      <c r="C880" s="391" t="s">
        <v>271</v>
      </c>
      <c r="D880" s="479">
        <v>199.43</v>
      </c>
      <c r="E880" s="368"/>
      <c r="F880" s="368"/>
    </row>
    <row r="881" spans="1:6" ht="38.25" x14ac:dyDescent="0.2">
      <c r="A881" s="391">
        <v>105731</v>
      </c>
      <c r="B881" s="478" t="s">
        <v>39721</v>
      </c>
      <c r="C881" s="391" t="s">
        <v>271</v>
      </c>
      <c r="D881" s="479">
        <v>196.98</v>
      </c>
      <c r="E881" s="368"/>
      <c r="F881" s="368"/>
    </row>
    <row r="882" spans="1:6" ht="38.25" x14ac:dyDescent="0.2">
      <c r="A882" s="391">
        <v>105738</v>
      </c>
      <c r="B882" s="478" t="s">
        <v>39728</v>
      </c>
      <c r="C882" s="391" t="s">
        <v>271</v>
      </c>
      <c r="D882" s="479">
        <v>347.45</v>
      </c>
      <c r="E882" s="368"/>
      <c r="F882" s="368"/>
    </row>
    <row r="883" spans="1:6" ht="38.25" x14ac:dyDescent="0.2">
      <c r="A883" s="391">
        <v>105739</v>
      </c>
      <c r="B883" s="478" t="s">
        <v>39729</v>
      </c>
      <c r="C883" s="391" t="s">
        <v>271</v>
      </c>
      <c r="D883" s="479">
        <v>342.66</v>
      </c>
      <c r="E883" s="368"/>
      <c r="F883" s="368"/>
    </row>
    <row r="884" spans="1:6" ht="38.25" x14ac:dyDescent="0.2">
      <c r="A884" s="391">
        <v>105741</v>
      </c>
      <c r="B884" s="478" t="s">
        <v>39731</v>
      </c>
      <c r="C884" s="391" t="s">
        <v>271</v>
      </c>
      <c r="D884" s="479">
        <v>340.15</v>
      </c>
      <c r="E884" s="368"/>
      <c r="F884" s="368"/>
    </row>
    <row r="885" spans="1:6" ht="38.25" x14ac:dyDescent="0.2">
      <c r="A885" s="391">
        <v>105750</v>
      </c>
      <c r="B885" s="478" t="s">
        <v>39740</v>
      </c>
      <c r="C885" s="391" t="s">
        <v>271</v>
      </c>
      <c r="D885" s="479">
        <v>189.03</v>
      </c>
      <c r="E885" s="368"/>
      <c r="F885" s="368"/>
    </row>
    <row r="886" spans="1:6" ht="38.25" x14ac:dyDescent="0.2">
      <c r="A886" s="391">
        <v>105751</v>
      </c>
      <c r="B886" s="478" t="s">
        <v>39741</v>
      </c>
      <c r="C886" s="391" t="s">
        <v>271</v>
      </c>
      <c r="D886" s="479">
        <v>186.57</v>
      </c>
      <c r="E886" s="368"/>
      <c r="F886" s="368"/>
    </row>
    <row r="887" spans="1:6" ht="38.25" x14ac:dyDescent="0.2">
      <c r="A887" s="391">
        <v>105753</v>
      </c>
      <c r="B887" s="478" t="s">
        <v>39743</v>
      </c>
      <c r="C887" s="391" t="s">
        <v>271</v>
      </c>
      <c r="D887" s="479">
        <v>184.36</v>
      </c>
      <c r="E887" s="368"/>
      <c r="F887" s="368"/>
    </row>
    <row r="888" spans="1:6" ht="38.25" x14ac:dyDescent="0.2">
      <c r="A888" s="391">
        <v>105755</v>
      </c>
      <c r="B888" s="478" t="s">
        <v>39745</v>
      </c>
      <c r="C888" s="391" t="s">
        <v>271</v>
      </c>
      <c r="D888" s="479">
        <v>182.21</v>
      </c>
      <c r="E888" s="368"/>
      <c r="F888" s="368"/>
    </row>
    <row r="889" spans="1:6" ht="25.5" x14ac:dyDescent="0.2">
      <c r="A889" s="391">
        <v>105743</v>
      </c>
      <c r="B889" s="478" t="s">
        <v>39733</v>
      </c>
      <c r="C889" s="391" t="s">
        <v>271</v>
      </c>
      <c r="D889" s="479">
        <v>143.55000000000001</v>
      </c>
      <c r="E889" s="368"/>
      <c r="F889" s="368"/>
    </row>
    <row r="890" spans="1:6" ht="25.5" x14ac:dyDescent="0.2">
      <c r="A890" s="391">
        <v>105744</v>
      </c>
      <c r="B890" s="478" t="s">
        <v>39734</v>
      </c>
      <c r="C890" s="391" t="s">
        <v>271</v>
      </c>
      <c r="D890" s="479">
        <v>141.22999999999999</v>
      </c>
      <c r="E890" s="368"/>
      <c r="F890" s="368"/>
    </row>
    <row r="891" spans="1:6" ht="25.5" x14ac:dyDescent="0.2">
      <c r="A891" s="391">
        <v>105746</v>
      </c>
      <c r="B891" s="478" t="s">
        <v>39736</v>
      </c>
      <c r="C891" s="391" t="s">
        <v>271</v>
      </c>
      <c r="D891" s="479">
        <v>138.9</v>
      </c>
      <c r="E891" s="368"/>
      <c r="F891" s="368"/>
    </row>
    <row r="892" spans="1:6" ht="25.5" x14ac:dyDescent="0.2">
      <c r="A892" s="391">
        <v>105748</v>
      </c>
      <c r="B892" s="478" t="s">
        <v>39738</v>
      </c>
      <c r="C892" s="391" t="s">
        <v>271</v>
      </c>
      <c r="D892" s="479">
        <v>136.57</v>
      </c>
      <c r="E892" s="368"/>
      <c r="F892" s="368"/>
    </row>
    <row r="893" spans="1:6" ht="51" x14ac:dyDescent="0.2">
      <c r="A893" s="391">
        <v>105660</v>
      </c>
      <c r="B893" s="478" t="s">
        <v>39686</v>
      </c>
      <c r="C893" s="391" t="s">
        <v>271</v>
      </c>
      <c r="D893" s="479">
        <v>200.86</v>
      </c>
      <c r="E893" s="368"/>
      <c r="F893" s="368"/>
    </row>
    <row r="894" spans="1:6" ht="51" x14ac:dyDescent="0.2">
      <c r="A894" s="391">
        <v>105663</v>
      </c>
      <c r="B894" s="478" t="s">
        <v>39689</v>
      </c>
      <c r="C894" s="391" t="s">
        <v>271</v>
      </c>
      <c r="D894" s="479">
        <v>190.75</v>
      </c>
      <c r="E894" s="368"/>
      <c r="F894" s="368"/>
    </row>
    <row r="895" spans="1:6" ht="51" x14ac:dyDescent="0.2">
      <c r="A895" s="391">
        <v>105669</v>
      </c>
      <c r="B895" s="478" t="s">
        <v>39695</v>
      </c>
      <c r="C895" s="391" t="s">
        <v>271</v>
      </c>
      <c r="D895" s="479">
        <v>185.68</v>
      </c>
      <c r="E895" s="368"/>
      <c r="F895" s="368"/>
    </row>
    <row r="896" spans="1:6" ht="51" x14ac:dyDescent="0.2">
      <c r="A896" s="391">
        <v>105642</v>
      </c>
      <c r="B896" s="478" t="s">
        <v>40665</v>
      </c>
      <c r="C896" s="391" t="s">
        <v>271</v>
      </c>
      <c r="D896" s="479">
        <v>0</v>
      </c>
      <c r="E896" s="368"/>
      <c r="F896" s="368"/>
    </row>
    <row r="897" spans="1:6" ht="51" x14ac:dyDescent="0.2">
      <c r="A897" s="391">
        <v>105648</v>
      </c>
      <c r="B897" s="478" t="s">
        <v>40666</v>
      </c>
      <c r="C897" s="391" t="s">
        <v>271</v>
      </c>
      <c r="D897" s="479">
        <v>0</v>
      </c>
      <c r="E897" s="368"/>
      <c r="F897" s="368"/>
    </row>
    <row r="898" spans="1:6" ht="51" x14ac:dyDescent="0.2">
      <c r="A898" s="391">
        <v>105654</v>
      </c>
      <c r="B898" s="478" t="s">
        <v>40667</v>
      </c>
      <c r="C898" s="391" t="s">
        <v>271</v>
      </c>
      <c r="D898" s="479">
        <v>0</v>
      </c>
      <c r="E898" s="368"/>
      <c r="F898" s="368"/>
    </row>
    <row r="899" spans="1:6" ht="51" x14ac:dyDescent="0.2">
      <c r="A899" s="391">
        <v>105661</v>
      </c>
      <c r="B899" s="478" t="s">
        <v>39687</v>
      </c>
      <c r="C899" s="391" t="s">
        <v>271</v>
      </c>
      <c r="D899" s="479">
        <v>230.4</v>
      </c>
      <c r="E899" s="368"/>
      <c r="F899" s="368"/>
    </row>
    <row r="900" spans="1:6" ht="51" x14ac:dyDescent="0.2">
      <c r="A900" s="391">
        <v>105664</v>
      </c>
      <c r="B900" s="478" t="s">
        <v>39690</v>
      </c>
      <c r="C900" s="391" t="s">
        <v>271</v>
      </c>
      <c r="D900" s="479">
        <v>220.29</v>
      </c>
      <c r="E900" s="368"/>
      <c r="F900" s="368"/>
    </row>
    <row r="901" spans="1:6" ht="51" x14ac:dyDescent="0.2">
      <c r="A901" s="391">
        <v>105670</v>
      </c>
      <c r="B901" s="478" t="s">
        <v>39696</v>
      </c>
      <c r="C901" s="391" t="s">
        <v>271</v>
      </c>
      <c r="D901" s="479">
        <v>215.22</v>
      </c>
      <c r="E901" s="368"/>
      <c r="F901" s="368"/>
    </row>
    <row r="902" spans="1:6" ht="51" x14ac:dyDescent="0.2">
      <c r="A902" s="391">
        <v>105643</v>
      </c>
      <c r="B902" s="478" t="s">
        <v>40668</v>
      </c>
      <c r="C902" s="391" t="s">
        <v>271</v>
      </c>
      <c r="D902" s="479">
        <v>0</v>
      </c>
      <c r="E902" s="368"/>
      <c r="F902" s="368"/>
    </row>
    <row r="903" spans="1:6" ht="51" x14ac:dyDescent="0.2">
      <c r="A903" s="391">
        <v>105649</v>
      </c>
      <c r="B903" s="478" t="s">
        <v>40669</v>
      </c>
      <c r="C903" s="391" t="s">
        <v>271</v>
      </c>
      <c r="D903" s="479">
        <v>0</v>
      </c>
      <c r="E903" s="368"/>
      <c r="F903" s="368"/>
    </row>
    <row r="904" spans="1:6" ht="51" x14ac:dyDescent="0.2">
      <c r="A904" s="391">
        <v>105655</v>
      </c>
      <c r="B904" s="478" t="s">
        <v>40670</v>
      </c>
      <c r="C904" s="391" t="s">
        <v>271</v>
      </c>
      <c r="D904" s="479">
        <v>0</v>
      </c>
      <c r="E904" s="368"/>
      <c r="F904" s="368"/>
    </row>
    <row r="905" spans="1:6" ht="51" x14ac:dyDescent="0.2">
      <c r="A905" s="391">
        <v>105662</v>
      </c>
      <c r="B905" s="478" t="s">
        <v>39688</v>
      </c>
      <c r="C905" s="391" t="s">
        <v>271</v>
      </c>
      <c r="D905" s="479">
        <v>259.54000000000002</v>
      </c>
      <c r="E905" s="368"/>
      <c r="F905" s="368"/>
    </row>
    <row r="906" spans="1:6" ht="51" x14ac:dyDescent="0.2">
      <c r="A906" s="391">
        <v>105665</v>
      </c>
      <c r="B906" s="478" t="s">
        <v>39691</v>
      </c>
      <c r="C906" s="391" t="s">
        <v>271</v>
      </c>
      <c r="D906" s="479">
        <v>249.43</v>
      </c>
      <c r="E906" s="368"/>
      <c r="F906" s="368"/>
    </row>
    <row r="907" spans="1:6" ht="51" x14ac:dyDescent="0.2">
      <c r="A907" s="391">
        <v>105671</v>
      </c>
      <c r="B907" s="478" t="s">
        <v>39697</v>
      </c>
      <c r="C907" s="391" t="s">
        <v>271</v>
      </c>
      <c r="D907" s="479">
        <v>244.36</v>
      </c>
      <c r="E907" s="368"/>
      <c r="F907" s="368"/>
    </row>
    <row r="908" spans="1:6" ht="51" x14ac:dyDescent="0.2">
      <c r="A908" s="391">
        <v>105644</v>
      </c>
      <c r="B908" s="478" t="s">
        <v>40671</v>
      </c>
      <c r="C908" s="391" t="s">
        <v>271</v>
      </c>
      <c r="D908" s="479">
        <v>0</v>
      </c>
      <c r="E908" s="368"/>
      <c r="F908" s="368"/>
    </row>
    <row r="909" spans="1:6" ht="51" x14ac:dyDescent="0.2">
      <c r="A909" s="391">
        <v>105650</v>
      </c>
      <c r="B909" s="478" t="s">
        <v>40672</v>
      </c>
      <c r="C909" s="391" t="s">
        <v>271</v>
      </c>
      <c r="D909" s="479">
        <v>0</v>
      </c>
      <c r="E909" s="368"/>
      <c r="F909" s="368"/>
    </row>
    <row r="910" spans="1:6" ht="51" x14ac:dyDescent="0.2">
      <c r="A910" s="391">
        <v>105656</v>
      </c>
      <c r="B910" s="478" t="s">
        <v>40673</v>
      </c>
      <c r="C910" s="391" t="s">
        <v>271</v>
      </c>
      <c r="D910" s="479">
        <v>0</v>
      </c>
      <c r="E910" s="368"/>
      <c r="F910" s="368"/>
    </row>
    <row r="911" spans="1:6" ht="51" x14ac:dyDescent="0.2">
      <c r="A911" s="391">
        <v>105577</v>
      </c>
      <c r="B911" s="478" t="s">
        <v>39653</v>
      </c>
      <c r="C911" s="391" t="s">
        <v>271</v>
      </c>
      <c r="D911" s="479">
        <v>137.74</v>
      </c>
      <c r="E911" s="368"/>
      <c r="F911" s="368"/>
    </row>
    <row r="912" spans="1:6" ht="51" x14ac:dyDescent="0.2">
      <c r="A912" s="391">
        <v>105578</v>
      </c>
      <c r="B912" s="478" t="s">
        <v>39654</v>
      </c>
      <c r="C912" s="391" t="s">
        <v>271</v>
      </c>
      <c r="D912" s="479">
        <v>127.63</v>
      </c>
      <c r="E912" s="368"/>
      <c r="F912" s="368"/>
    </row>
    <row r="913" spans="1:6" ht="51" x14ac:dyDescent="0.2">
      <c r="A913" s="391">
        <v>105712</v>
      </c>
      <c r="B913" s="478" t="s">
        <v>39715</v>
      </c>
      <c r="C913" s="391" t="s">
        <v>271</v>
      </c>
      <c r="D913" s="479">
        <v>122.56</v>
      </c>
      <c r="E913" s="368"/>
      <c r="F913" s="368"/>
    </row>
    <row r="914" spans="1:6" ht="38.25" x14ac:dyDescent="0.2">
      <c r="A914" s="391">
        <v>105637</v>
      </c>
      <c r="B914" s="478" t="s">
        <v>40674</v>
      </c>
      <c r="C914" s="391" t="s">
        <v>271</v>
      </c>
      <c r="D914" s="479">
        <v>0</v>
      </c>
      <c r="E914" s="368"/>
      <c r="F914" s="368"/>
    </row>
    <row r="915" spans="1:6" ht="38.25" x14ac:dyDescent="0.2">
      <c r="A915" s="391">
        <v>105707</v>
      </c>
      <c r="B915" s="478" t="s">
        <v>40675</v>
      </c>
      <c r="C915" s="391" t="s">
        <v>271</v>
      </c>
      <c r="D915" s="479">
        <v>0</v>
      </c>
      <c r="E915" s="368"/>
      <c r="F915" s="368"/>
    </row>
    <row r="916" spans="1:6" ht="38.25" x14ac:dyDescent="0.2">
      <c r="A916" s="391">
        <v>105709</v>
      </c>
      <c r="B916" s="478" t="s">
        <v>40676</v>
      </c>
      <c r="C916" s="391" t="s">
        <v>271</v>
      </c>
      <c r="D916" s="479">
        <v>0</v>
      </c>
      <c r="E916" s="368"/>
      <c r="F916" s="368"/>
    </row>
    <row r="917" spans="1:6" ht="51" x14ac:dyDescent="0.2">
      <c r="A917" s="391">
        <v>105693</v>
      </c>
      <c r="B917" s="478" t="s">
        <v>39701</v>
      </c>
      <c r="C917" s="391" t="s">
        <v>271</v>
      </c>
      <c r="D917" s="479">
        <v>185.87</v>
      </c>
      <c r="E917" s="368"/>
      <c r="F917" s="368"/>
    </row>
    <row r="918" spans="1:6" ht="51" x14ac:dyDescent="0.2">
      <c r="A918" s="391">
        <v>105696</v>
      </c>
      <c r="B918" s="478" t="s">
        <v>39704</v>
      </c>
      <c r="C918" s="391" t="s">
        <v>271</v>
      </c>
      <c r="D918" s="479">
        <v>175.76</v>
      </c>
      <c r="E918" s="368"/>
      <c r="F918" s="368"/>
    </row>
    <row r="919" spans="1:6" ht="51" x14ac:dyDescent="0.2">
      <c r="A919" s="391">
        <v>105702</v>
      </c>
      <c r="B919" s="478" t="s">
        <v>39710</v>
      </c>
      <c r="C919" s="391" t="s">
        <v>271</v>
      </c>
      <c r="D919" s="479">
        <v>170.69</v>
      </c>
      <c r="E919" s="368"/>
      <c r="F919" s="368"/>
    </row>
    <row r="920" spans="1:6" ht="51" x14ac:dyDescent="0.2">
      <c r="A920" s="391">
        <v>105675</v>
      </c>
      <c r="B920" s="478" t="s">
        <v>40677</v>
      </c>
      <c r="C920" s="391" t="s">
        <v>271</v>
      </c>
      <c r="D920" s="479">
        <v>0</v>
      </c>
      <c r="E920" s="368"/>
      <c r="F920" s="368"/>
    </row>
    <row r="921" spans="1:6" ht="51" x14ac:dyDescent="0.2">
      <c r="A921" s="391">
        <v>105681</v>
      </c>
      <c r="B921" s="478" t="s">
        <v>40678</v>
      </c>
      <c r="C921" s="391" t="s">
        <v>271</v>
      </c>
      <c r="D921" s="479">
        <v>0</v>
      </c>
      <c r="E921" s="368"/>
      <c r="F921" s="368"/>
    </row>
    <row r="922" spans="1:6" ht="51" x14ac:dyDescent="0.2">
      <c r="A922" s="391">
        <v>105687</v>
      </c>
      <c r="B922" s="478" t="s">
        <v>40679</v>
      </c>
      <c r="C922" s="391" t="s">
        <v>271</v>
      </c>
      <c r="D922" s="479">
        <v>0</v>
      </c>
      <c r="E922" s="368"/>
      <c r="F922" s="368"/>
    </row>
    <row r="923" spans="1:6" ht="51" x14ac:dyDescent="0.2">
      <c r="A923" s="391">
        <v>105694</v>
      </c>
      <c r="B923" s="478" t="s">
        <v>39702</v>
      </c>
      <c r="C923" s="391" t="s">
        <v>271</v>
      </c>
      <c r="D923" s="479">
        <v>215.72</v>
      </c>
      <c r="E923" s="368"/>
      <c r="F923" s="368"/>
    </row>
    <row r="924" spans="1:6" ht="51" x14ac:dyDescent="0.2">
      <c r="A924" s="391">
        <v>105697</v>
      </c>
      <c r="B924" s="478" t="s">
        <v>39705</v>
      </c>
      <c r="C924" s="391" t="s">
        <v>271</v>
      </c>
      <c r="D924" s="479">
        <v>205.61</v>
      </c>
      <c r="E924" s="368"/>
      <c r="F924" s="368"/>
    </row>
    <row r="925" spans="1:6" ht="51" x14ac:dyDescent="0.2">
      <c r="A925" s="391">
        <v>105703</v>
      </c>
      <c r="B925" s="478" t="s">
        <v>39711</v>
      </c>
      <c r="C925" s="391" t="s">
        <v>271</v>
      </c>
      <c r="D925" s="479">
        <v>200.54</v>
      </c>
      <c r="E925" s="368"/>
      <c r="F925" s="368"/>
    </row>
    <row r="926" spans="1:6" ht="51" x14ac:dyDescent="0.2">
      <c r="A926" s="391">
        <v>105676</v>
      </c>
      <c r="B926" s="478" t="s">
        <v>40680</v>
      </c>
      <c r="C926" s="391" t="s">
        <v>271</v>
      </c>
      <c r="D926" s="479">
        <v>0</v>
      </c>
      <c r="E926" s="368"/>
      <c r="F926" s="368"/>
    </row>
    <row r="927" spans="1:6" ht="51" x14ac:dyDescent="0.2">
      <c r="A927" s="391">
        <v>105682</v>
      </c>
      <c r="B927" s="478" t="s">
        <v>40681</v>
      </c>
      <c r="C927" s="391" t="s">
        <v>271</v>
      </c>
      <c r="D927" s="479">
        <v>0</v>
      </c>
      <c r="E927" s="368"/>
      <c r="F927" s="368"/>
    </row>
    <row r="928" spans="1:6" ht="51" x14ac:dyDescent="0.2">
      <c r="A928" s="391">
        <v>105688</v>
      </c>
      <c r="B928" s="478" t="s">
        <v>40682</v>
      </c>
      <c r="C928" s="391" t="s">
        <v>271</v>
      </c>
      <c r="D928" s="479">
        <v>0</v>
      </c>
      <c r="E928" s="368"/>
      <c r="F928" s="368"/>
    </row>
    <row r="929" spans="1:6" ht="51" x14ac:dyDescent="0.2">
      <c r="A929" s="391">
        <v>105695</v>
      </c>
      <c r="B929" s="478" t="s">
        <v>39703</v>
      </c>
      <c r="C929" s="391" t="s">
        <v>271</v>
      </c>
      <c r="D929" s="479">
        <v>245.17</v>
      </c>
      <c r="E929" s="368"/>
      <c r="F929" s="368"/>
    </row>
    <row r="930" spans="1:6" ht="51" x14ac:dyDescent="0.2">
      <c r="A930" s="391">
        <v>105698</v>
      </c>
      <c r="B930" s="478" t="s">
        <v>39706</v>
      </c>
      <c r="C930" s="391" t="s">
        <v>271</v>
      </c>
      <c r="D930" s="479">
        <v>235.06</v>
      </c>
      <c r="E930" s="368"/>
      <c r="F930" s="368"/>
    </row>
    <row r="931" spans="1:6" ht="51" x14ac:dyDescent="0.2">
      <c r="A931" s="391">
        <v>105704</v>
      </c>
      <c r="B931" s="478" t="s">
        <v>39712</v>
      </c>
      <c r="C931" s="391" t="s">
        <v>271</v>
      </c>
      <c r="D931" s="479">
        <v>229.99</v>
      </c>
      <c r="E931" s="368"/>
      <c r="F931" s="368"/>
    </row>
    <row r="932" spans="1:6" ht="51" x14ac:dyDescent="0.2">
      <c r="A932" s="391">
        <v>105677</v>
      </c>
      <c r="B932" s="478" t="s">
        <v>40683</v>
      </c>
      <c r="C932" s="391" t="s">
        <v>271</v>
      </c>
      <c r="D932" s="479">
        <v>0</v>
      </c>
      <c r="E932" s="368"/>
      <c r="F932" s="368"/>
    </row>
    <row r="933" spans="1:6" ht="51" x14ac:dyDescent="0.2">
      <c r="A933" s="391">
        <v>105683</v>
      </c>
      <c r="B933" s="478" t="s">
        <v>40684</v>
      </c>
      <c r="C933" s="391" t="s">
        <v>271</v>
      </c>
      <c r="D933" s="479">
        <v>0</v>
      </c>
      <c r="E933" s="368"/>
      <c r="F933" s="368"/>
    </row>
    <row r="934" spans="1:6" ht="51" x14ac:dyDescent="0.2">
      <c r="A934" s="391">
        <v>105689</v>
      </c>
      <c r="B934" s="478" t="s">
        <v>40685</v>
      </c>
      <c r="C934" s="391" t="s">
        <v>271</v>
      </c>
      <c r="D934" s="479">
        <v>0</v>
      </c>
      <c r="E934" s="368"/>
      <c r="F934" s="368"/>
    </row>
    <row r="935" spans="1:6" ht="51" x14ac:dyDescent="0.2">
      <c r="A935" s="391">
        <v>105579</v>
      </c>
      <c r="B935" s="478" t="s">
        <v>39655</v>
      </c>
      <c r="C935" s="391" t="s">
        <v>271</v>
      </c>
      <c r="D935" s="479">
        <v>122.12</v>
      </c>
      <c r="E935" s="368"/>
      <c r="F935" s="368"/>
    </row>
    <row r="936" spans="1:6" ht="51" x14ac:dyDescent="0.2">
      <c r="A936" s="391">
        <v>105580</v>
      </c>
      <c r="B936" s="478" t="s">
        <v>39656</v>
      </c>
      <c r="C936" s="391" t="s">
        <v>271</v>
      </c>
      <c r="D936" s="479">
        <v>112.01</v>
      </c>
      <c r="E936" s="368"/>
      <c r="F936" s="368"/>
    </row>
    <row r="937" spans="1:6" ht="51" x14ac:dyDescent="0.2">
      <c r="A937" s="391">
        <v>105582</v>
      </c>
      <c r="B937" s="478" t="s">
        <v>39658</v>
      </c>
      <c r="C937" s="391" t="s">
        <v>271</v>
      </c>
      <c r="D937" s="479">
        <v>106.94</v>
      </c>
      <c r="E937" s="368"/>
      <c r="F937" s="368"/>
    </row>
    <row r="938" spans="1:6" ht="38.25" x14ac:dyDescent="0.2">
      <c r="A938" s="391">
        <v>105638</v>
      </c>
      <c r="B938" s="478" t="s">
        <v>40686</v>
      </c>
      <c r="C938" s="391" t="s">
        <v>271</v>
      </c>
      <c r="D938" s="479">
        <v>0</v>
      </c>
      <c r="E938" s="368"/>
      <c r="F938" s="368"/>
    </row>
    <row r="939" spans="1:6" ht="38.25" x14ac:dyDescent="0.2">
      <c r="A939" s="391">
        <v>105715</v>
      </c>
      <c r="B939" s="478" t="s">
        <v>40687</v>
      </c>
      <c r="C939" s="391" t="s">
        <v>271</v>
      </c>
      <c r="D939" s="479">
        <v>0</v>
      </c>
      <c r="E939" s="368"/>
      <c r="F939" s="368"/>
    </row>
    <row r="940" spans="1:6" ht="38.25" x14ac:dyDescent="0.2">
      <c r="A940" s="391">
        <v>105717</v>
      </c>
      <c r="B940" s="478" t="s">
        <v>40688</v>
      </c>
      <c r="C940" s="391" t="s">
        <v>271</v>
      </c>
      <c r="D940" s="479">
        <v>0</v>
      </c>
      <c r="E940" s="368"/>
      <c r="F940" s="368"/>
    </row>
    <row r="941" spans="1:6" ht="51" x14ac:dyDescent="0.2">
      <c r="A941" s="391">
        <v>105626</v>
      </c>
      <c r="B941" s="478" t="s">
        <v>39672</v>
      </c>
      <c r="C941" s="391" t="s">
        <v>271</v>
      </c>
      <c r="D941" s="479">
        <v>124.99</v>
      </c>
      <c r="E941" s="368"/>
      <c r="F941" s="368"/>
    </row>
    <row r="942" spans="1:6" ht="51" x14ac:dyDescent="0.2">
      <c r="A942" s="391">
        <v>105629</v>
      </c>
      <c r="B942" s="478" t="s">
        <v>39675</v>
      </c>
      <c r="C942" s="391" t="s">
        <v>271</v>
      </c>
      <c r="D942" s="479">
        <v>116.86</v>
      </c>
      <c r="E942" s="368"/>
      <c r="F942" s="368"/>
    </row>
    <row r="943" spans="1:6" ht="51" x14ac:dyDescent="0.2">
      <c r="A943" s="391">
        <v>105635</v>
      </c>
      <c r="B943" s="478" t="s">
        <v>39681</v>
      </c>
      <c r="C943" s="391" t="s">
        <v>271</v>
      </c>
      <c r="D943" s="479">
        <v>115.7</v>
      </c>
      <c r="E943" s="368"/>
      <c r="F943" s="368"/>
    </row>
    <row r="944" spans="1:6" ht="38.25" x14ac:dyDescent="0.2">
      <c r="A944" s="391">
        <v>105605</v>
      </c>
      <c r="B944" s="478" t="s">
        <v>40689</v>
      </c>
      <c r="C944" s="391" t="s">
        <v>271</v>
      </c>
      <c r="D944" s="479">
        <v>0</v>
      </c>
      <c r="E944" s="368"/>
      <c r="F944" s="368"/>
    </row>
    <row r="945" spans="1:6" ht="38.25" x14ac:dyDescent="0.2">
      <c r="A945" s="391">
        <v>105613</v>
      </c>
      <c r="B945" s="478" t="s">
        <v>40690</v>
      </c>
      <c r="C945" s="391" t="s">
        <v>271</v>
      </c>
      <c r="D945" s="479">
        <v>0</v>
      </c>
      <c r="E945" s="368"/>
      <c r="F945" s="368"/>
    </row>
    <row r="946" spans="1:6" ht="38.25" x14ac:dyDescent="0.2">
      <c r="A946" s="391">
        <v>105621</v>
      </c>
      <c r="B946" s="478" t="s">
        <v>40691</v>
      </c>
      <c r="C946" s="391" t="s">
        <v>271</v>
      </c>
      <c r="D946" s="479">
        <v>0</v>
      </c>
      <c r="E946" s="368"/>
      <c r="F946" s="368"/>
    </row>
    <row r="947" spans="1:6" ht="51" x14ac:dyDescent="0.2">
      <c r="A947" s="391">
        <v>105627</v>
      </c>
      <c r="B947" s="478" t="s">
        <v>39673</v>
      </c>
      <c r="C947" s="391" t="s">
        <v>271</v>
      </c>
      <c r="D947" s="479">
        <v>156</v>
      </c>
      <c r="E947" s="368"/>
      <c r="F947" s="368"/>
    </row>
    <row r="948" spans="1:6" ht="51" x14ac:dyDescent="0.2">
      <c r="A948" s="391">
        <v>105630</v>
      </c>
      <c r="B948" s="478" t="s">
        <v>39676</v>
      </c>
      <c r="C948" s="391" t="s">
        <v>271</v>
      </c>
      <c r="D948" s="479">
        <v>147.87</v>
      </c>
      <c r="E948" s="368"/>
      <c r="F948" s="368"/>
    </row>
    <row r="949" spans="1:6" ht="51" x14ac:dyDescent="0.2">
      <c r="A949" s="391">
        <v>105636</v>
      </c>
      <c r="B949" s="478" t="s">
        <v>39682</v>
      </c>
      <c r="C949" s="391" t="s">
        <v>271</v>
      </c>
      <c r="D949" s="479">
        <v>146.71</v>
      </c>
      <c r="E949" s="368"/>
      <c r="F949" s="368"/>
    </row>
    <row r="950" spans="1:6" ht="38.25" x14ac:dyDescent="0.2">
      <c r="A950" s="391">
        <v>105606</v>
      </c>
      <c r="B950" s="478" t="s">
        <v>40692</v>
      </c>
      <c r="C950" s="391" t="s">
        <v>271</v>
      </c>
      <c r="D950" s="479">
        <v>0</v>
      </c>
      <c r="E950" s="368"/>
      <c r="F950" s="368"/>
    </row>
    <row r="951" spans="1:6" ht="38.25" x14ac:dyDescent="0.2">
      <c r="A951" s="391">
        <v>105614</v>
      </c>
      <c r="B951" s="478" t="s">
        <v>40693</v>
      </c>
      <c r="C951" s="391" t="s">
        <v>271</v>
      </c>
      <c r="D951" s="479">
        <v>0</v>
      </c>
      <c r="E951" s="368"/>
      <c r="F951" s="368"/>
    </row>
    <row r="952" spans="1:6" ht="38.25" x14ac:dyDescent="0.2">
      <c r="A952" s="391">
        <v>105622</v>
      </c>
      <c r="B952" s="478" t="s">
        <v>40694</v>
      </c>
      <c r="C952" s="391" t="s">
        <v>271</v>
      </c>
      <c r="D952" s="479">
        <v>0</v>
      </c>
      <c r="E952" s="368"/>
      <c r="F952" s="368"/>
    </row>
    <row r="953" spans="1:6" ht="51" x14ac:dyDescent="0.2">
      <c r="A953" s="391">
        <v>105572</v>
      </c>
      <c r="B953" s="478" t="s">
        <v>39648</v>
      </c>
      <c r="C953" s="391" t="s">
        <v>271</v>
      </c>
      <c r="D953" s="479">
        <v>61.28</v>
      </c>
      <c r="E953" s="368"/>
      <c r="F953" s="368"/>
    </row>
    <row r="954" spans="1:6" ht="51" x14ac:dyDescent="0.2">
      <c r="A954" s="391">
        <v>105574</v>
      </c>
      <c r="B954" s="478" t="s">
        <v>39650</v>
      </c>
      <c r="C954" s="391" t="s">
        <v>271</v>
      </c>
      <c r="D954" s="479">
        <v>53.15</v>
      </c>
      <c r="E954" s="368"/>
      <c r="F954" s="368"/>
    </row>
    <row r="955" spans="1:6" ht="51" x14ac:dyDescent="0.2">
      <c r="A955" s="391">
        <v>105576</v>
      </c>
      <c r="B955" s="478" t="s">
        <v>39652</v>
      </c>
      <c r="C955" s="391" t="s">
        <v>271</v>
      </c>
      <c r="D955" s="479">
        <v>51.99</v>
      </c>
      <c r="E955" s="368"/>
      <c r="F955" s="368"/>
    </row>
    <row r="956" spans="1:6" ht="51" x14ac:dyDescent="0.2">
      <c r="A956" s="391">
        <v>105603</v>
      </c>
      <c r="B956" s="478" t="s">
        <v>40695</v>
      </c>
      <c r="C956" s="391" t="s">
        <v>271</v>
      </c>
      <c r="D956" s="479">
        <v>0</v>
      </c>
      <c r="E956" s="368"/>
      <c r="F956" s="368"/>
    </row>
    <row r="957" spans="1:6" ht="51" x14ac:dyDescent="0.2">
      <c r="A957" s="391">
        <v>105611</v>
      </c>
      <c r="B957" s="478" t="s">
        <v>40696</v>
      </c>
      <c r="C957" s="391" t="s">
        <v>271</v>
      </c>
      <c r="D957" s="479">
        <v>0</v>
      </c>
      <c r="E957" s="368"/>
      <c r="F957" s="368"/>
    </row>
    <row r="958" spans="1:6" ht="51" x14ac:dyDescent="0.2">
      <c r="A958" s="391">
        <v>105619</v>
      </c>
      <c r="B958" s="478" t="s">
        <v>40697</v>
      </c>
      <c r="C958" s="391" t="s">
        <v>271</v>
      </c>
      <c r="D958" s="479">
        <v>0</v>
      </c>
      <c r="E958" s="368"/>
      <c r="F958" s="368"/>
    </row>
    <row r="959" spans="1:6" ht="51" x14ac:dyDescent="0.2">
      <c r="A959" s="391">
        <v>105573</v>
      </c>
      <c r="B959" s="478" t="s">
        <v>39649</v>
      </c>
      <c r="C959" s="391" t="s">
        <v>271</v>
      </c>
      <c r="D959" s="479">
        <v>93.57</v>
      </c>
      <c r="E959" s="368"/>
      <c r="F959" s="368"/>
    </row>
    <row r="960" spans="1:6" ht="51" x14ac:dyDescent="0.2">
      <c r="A960" s="391">
        <v>105628</v>
      </c>
      <c r="B960" s="478" t="s">
        <v>39674</v>
      </c>
      <c r="C960" s="391" t="s">
        <v>271</v>
      </c>
      <c r="D960" s="479">
        <v>85.44</v>
      </c>
      <c r="E960" s="368"/>
      <c r="F960" s="368"/>
    </row>
    <row r="961" spans="1:6" ht="51" x14ac:dyDescent="0.2">
      <c r="A961" s="391">
        <v>105634</v>
      </c>
      <c r="B961" s="478" t="s">
        <v>39680</v>
      </c>
      <c r="C961" s="391" t="s">
        <v>271</v>
      </c>
      <c r="D961" s="479">
        <v>84.28</v>
      </c>
      <c r="E961" s="368"/>
      <c r="F961" s="368"/>
    </row>
    <row r="962" spans="1:6" ht="51" x14ac:dyDescent="0.2">
      <c r="A962" s="391">
        <v>105604</v>
      </c>
      <c r="B962" s="478" t="s">
        <v>40698</v>
      </c>
      <c r="C962" s="391" t="s">
        <v>271</v>
      </c>
      <c r="D962" s="479">
        <v>0</v>
      </c>
      <c r="E962" s="368"/>
      <c r="F962" s="368"/>
    </row>
    <row r="963" spans="1:6" ht="51" x14ac:dyDescent="0.2">
      <c r="A963" s="391">
        <v>105612</v>
      </c>
      <c r="B963" s="478" t="s">
        <v>40699</v>
      </c>
      <c r="C963" s="391" t="s">
        <v>271</v>
      </c>
      <c r="D963" s="479">
        <v>0</v>
      </c>
      <c r="E963" s="368"/>
      <c r="F963" s="368"/>
    </row>
    <row r="964" spans="1:6" ht="51" x14ac:dyDescent="0.2">
      <c r="A964" s="391">
        <v>105620</v>
      </c>
      <c r="B964" s="478" t="s">
        <v>40700</v>
      </c>
      <c r="C964" s="391" t="s">
        <v>271</v>
      </c>
      <c r="D964" s="479">
        <v>0</v>
      </c>
      <c r="E964" s="368"/>
      <c r="F964" s="368"/>
    </row>
    <row r="965" spans="1:6" ht="51" x14ac:dyDescent="0.2">
      <c r="A965" s="391">
        <v>105586</v>
      </c>
      <c r="B965" s="478" t="s">
        <v>39660</v>
      </c>
      <c r="C965" s="391" t="s">
        <v>271</v>
      </c>
      <c r="D965" s="479">
        <v>149.34</v>
      </c>
      <c r="E965" s="368"/>
      <c r="F965" s="368"/>
    </row>
    <row r="966" spans="1:6" ht="51" x14ac:dyDescent="0.2">
      <c r="A966" s="391">
        <v>105587</v>
      </c>
      <c r="B966" s="478" t="s">
        <v>39661</v>
      </c>
      <c r="C966" s="391" t="s">
        <v>271</v>
      </c>
      <c r="D966" s="479">
        <v>135.36000000000001</v>
      </c>
      <c r="E966" s="368"/>
      <c r="F966" s="368"/>
    </row>
    <row r="967" spans="1:6" ht="51" x14ac:dyDescent="0.2">
      <c r="A967" s="391">
        <v>105589</v>
      </c>
      <c r="B967" s="478" t="s">
        <v>39663</v>
      </c>
      <c r="C967" s="391" t="s">
        <v>271</v>
      </c>
      <c r="D967" s="479">
        <v>134.07</v>
      </c>
      <c r="E967" s="368"/>
      <c r="F967" s="368"/>
    </row>
    <row r="968" spans="1:6" ht="38.25" x14ac:dyDescent="0.2">
      <c r="A968" s="391">
        <v>105584</v>
      </c>
      <c r="B968" s="478" t="s">
        <v>40701</v>
      </c>
      <c r="C968" s="391" t="s">
        <v>271</v>
      </c>
      <c r="D968" s="479">
        <v>0</v>
      </c>
      <c r="E968" s="368"/>
      <c r="F968" s="368"/>
    </row>
    <row r="969" spans="1:6" ht="38.25" x14ac:dyDescent="0.2">
      <c r="A969" s="391">
        <v>105720</v>
      </c>
      <c r="B969" s="478" t="s">
        <v>40702</v>
      </c>
      <c r="C969" s="391" t="s">
        <v>271</v>
      </c>
      <c r="D969" s="479">
        <v>0</v>
      </c>
      <c r="E969" s="368"/>
      <c r="F969" s="368"/>
    </row>
    <row r="970" spans="1:6" ht="38.25" x14ac:dyDescent="0.2">
      <c r="A970" s="391">
        <v>105722</v>
      </c>
      <c r="B970" s="478" t="s">
        <v>40703</v>
      </c>
      <c r="C970" s="391" t="s">
        <v>271</v>
      </c>
      <c r="D970" s="479">
        <v>0</v>
      </c>
      <c r="E970" s="368"/>
      <c r="F970" s="368"/>
    </row>
    <row r="971" spans="1:6" ht="51" x14ac:dyDescent="0.2">
      <c r="A971" s="391">
        <v>105593</v>
      </c>
      <c r="B971" s="478" t="s">
        <v>39665</v>
      </c>
      <c r="C971" s="391" t="s">
        <v>271</v>
      </c>
      <c r="D971" s="479">
        <v>133.72</v>
      </c>
      <c r="E971" s="368"/>
      <c r="F971" s="368"/>
    </row>
    <row r="972" spans="1:6" ht="51" x14ac:dyDescent="0.2">
      <c r="A972" s="391">
        <v>105594</v>
      </c>
      <c r="B972" s="478" t="s">
        <v>39666</v>
      </c>
      <c r="C972" s="391" t="s">
        <v>271</v>
      </c>
      <c r="D972" s="479">
        <v>119.74</v>
      </c>
      <c r="E972" s="368"/>
      <c r="F972" s="368"/>
    </row>
    <row r="973" spans="1:6" ht="51" x14ac:dyDescent="0.2">
      <c r="A973" s="391">
        <v>105596</v>
      </c>
      <c r="B973" s="478" t="s">
        <v>39668</v>
      </c>
      <c r="C973" s="391" t="s">
        <v>271</v>
      </c>
      <c r="D973" s="479">
        <v>118.45</v>
      </c>
      <c r="E973" s="368"/>
      <c r="F973" s="368"/>
    </row>
    <row r="974" spans="1:6" ht="38.25" x14ac:dyDescent="0.2">
      <c r="A974" s="391">
        <v>105591</v>
      </c>
      <c r="B974" s="478" t="s">
        <v>40704</v>
      </c>
      <c r="C974" s="391" t="s">
        <v>271</v>
      </c>
      <c r="D974" s="479">
        <v>0</v>
      </c>
      <c r="E974" s="368"/>
      <c r="F974" s="368"/>
    </row>
    <row r="975" spans="1:6" ht="38.25" x14ac:dyDescent="0.2">
      <c r="A975" s="391">
        <v>105724</v>
      </c>
      <c r="B975" s="478" t="s">
        <v>40705</v>
      </c>
      <c r="C975" s="391" t="s">
        <v>271</v>
      </c>
      <c r="D975" s="479">
        <v>0</v>
      </c>
      <c r="E975" s="368"/>
      <c r="F975" s="368"/>
    </row>
    <row r="976" spans="1:6" ht="38.25" x14ac:dyDescent="0.2">
      <c r="A976" s="391">
        <v>105726</v>
      </c>
      <c r="B976" s="478" t="s">
        <v>40706</v>
      </c>
      <c r="C976" s="391" t="s">
        <v>271</v>
      </c>
      <c r="D976" s="479">
        <v>0</v>
      </c>
      <c r="E976" s="368"/>
      <c r="F976" s="368"/>
    </row>
    <row r="977" spans="1:6" ht="38.25" x14ac:dyDescent="0.2">
      <c r="A977" s="391">
        <v>105567</v>
      </c>
      <c r="B977" s="478" t="s">
        <v>39643</v>
      </c>
      <c r="C977" s="391" t="s">
        <v>271</v>
      </c>
      <c r="D977" s="479">
        <v>15.52</v>
      </c>
      <c r="E977" s="368"/>
      <c r="F977" s="368"/>
    </row>
    <row r="978" spans="1:6" ht="38.25" x14ac:dyDescent="0.2">
      <c r="A978" s="391">
        <v>105568</v>
      </c>
      <c r="B978" s="478" t="s">
        <v>39644</v>
      </c>
      <c r="C978" s="391" t="s">
        <v>271</v>
      </c>
      <c r="D978" s="479">
        <v>12.37</v>
      </c>
      <c r="E978" s="368"/>
      <c r="F978" s="368"/>
    </row>
    <row r="979" spans="1:6" ht="38.25" x14ac:dyDescent="0.2">
      <c r="A979" s="391">
        <v>105570</v>
      </c>
      <c r="B979" s="478" t="s">
        <v>39646</v>
      </c>
      <c r="C979" s="391" t="s">
        <v>271</v>
      </c>
      <c r="D979" s="479">
        <v>10.210000000000001</v>
      </c>
      <c r="E979" s="368"/>
      <c r="F979" s="368"/>
    </row>
    <row r="980" spans="1:6" x14ac:dyDescent="0.2">
      <c r="A980" s="391">
        <v>100575</v>
      </c>
      <c r="B980" s="478" t="s">
        <v>39639</v>
      </c>
      <c r="C980" s="391" t="s">
        <v>255</v>
      </c>
      <c r="D980" s="479">
        <v>0.61</v>
      </c>
      <c r="E980" s="368"/>
      <c r="F980" s="368"/>
    </row>
    <row r="981" spans="1:6" ht="38.25" x14ac:dyDescent="0.2">
      <c r="A981" s="391">
        <v>100577</v>
      </c>
      <c r="B981" s="478" t="s">
        <v>39615</v>
      </c>
      <c r="C981" s="391" t="s">
        <v>255</v>
      </c>
      <c r="D981" s="479">
        <v>1.5</v>
      </c>
      <c r="E981" s="368"/>
      <c r="F981" s="368"/>
    </row>
    <row r="982" spans="1:6" ht="38.25" x14ac:dyDescent="0.2">
      <c r="A982" s="391">
        <v>105598</v>
      </c>
      <c r="B982" s="478" t="s">
        <v>39617</v>
      </c>
      <c r="C982" s="391" t="s">
        <v>255</v>
      </c>
      <c r="D982" s="479">
        <v>2</v>
      </c>
      <c r="E982" s="368"/>
      <c r="F982" s="368"/>
    </row>
    <row r="983" spans="1:6" ht="38.25" x14ac:dyDescent="0.2">
      <c r="A983" s="391">
        <v>100576</v>
      </c>
      <c r="B983" s="478" t="s">
        <v>39614</v>
      </c>
      <c r="C983" s="391" t="s">
        <v>255</v>
      </c>
      <c r="D983" s="479">
        <v>2.93</v>
      </c>
      <c r="E983" s="368"/>
      <c r="F983" s="368"/>
    </row>
    <row r="984" spans="1:6" ht="38.25" x14ac:dyDescent="0.2">
      <c r="A984" s="391">
        <v>105597</v>
      </c>
      <c r="B984" s="478" t="s">
        <v>39616</v>
      </c>
      <c r="C984" s="391" t="s">
        <v>255</v>
      </c>
      <c r="D984" s="479">
        <v>4.0199999999999996</v>
      </c>
      <c r="E984" s="368"/>
      <c r="F984" s="368"/>
    </row>
    <row r="985" spans="1:6" ht="25.5" x14ac:dyDescent="0.2">
      <c r="A985" s="391">
        <v>102730</v>
      </c>
      <c r="B985" s="478" t="s">
        <v>1476</v>
      </c>
      <c r="C985" s="391" t="s">
        <v>1284</v>
      </c>
      <c r="D985" s="479">
        <v>11.78</v>
      </c>
      <c r="E985" s="368"/>
      <c r="F985" s="368"/>
    </row>
    <row r="986" spans="1:6" ht="25.5" x14ac:dyDescent="0.2">
      <c r="A986" s="391">
        <v>102731</v>
      </c>
      <c r="B986" s="478" t="s">
        <v>1477</v>
      </c>
      <c r="C986" s="391" t="s">
        <v>1284</v>
      </c>
      <c r="D986" s="479">
        <v>9.8800000000000008</v>
      </c>
      <c r="E986" s="368"/>
      <c r="F986" s="368"/>
    </row>
    <row r="987" spans="1:6" ht="25.5" x14ac:dyDescent="0.2">
      <c r="A987" s="391">
        <v>102732</v>
      </c>
      <c r="B987" s="478" t="s">
        <v>1478</v>
      </c>
      <c r="C987" s="391" t="s">
        <v>1284</v>
      </c>
      <c r="D987" s="479">
        <v>9.2799999999999994</v>
      </c>
      <c r="E987" s="368"/>
      <c r="F987" s="368"/>
    </row>
    <row r="988" spans="1:6" ht="25.5" x14ac:dyDescent="0.2">
      <c r="A988" s="391">
        <v>102733</v>
      </c>
      <c r="B988" s="478" t="s">
        <v>1479</v>
      </c>
      <c r="C988" s="391" t="s">
        <v>1284</v>
      </c>
      <c r="D988" s="479">
        <v>10.3</v>
      </c>
      <c r="E988" s="368"/>
      <c r="F988" s="368"/>
    </row>
    <row r="989" spans="1:6" ht="25.5" x14ac:dyDescent="0.2">
      <c r="A989" s="391">
        <v>102728</v>
      </c>
      <c r="B989" s="478" t="s">
        <v>1474</v>
      </c>
      <c r="C989" s="391" t="s">
        <v>1284</v>
      </c>
      <c r="D989" s="479">
        <v>14.34</v>
      </c>
      <c r="E989" s="368"/>
      <c r="F989" s="368"/>
    </row>
    <row r="990" spans="1:6" ht="25.5" x14ac:dyDescent="0.2">
      <c r="A990" s="391">
        <v>102729</v>
      </c>
      <c r="B990" s="478" t="s">
        <v>1475</v>
      </c>
      <c r="C990" s="391" t="s">
        <v>1284</v>
      </c>
      <c r="D990" s="479">
        <v>13.29</v>
      </c>
      <c r="E990" s="368"/>
      <c r="F990" s="368"/>
    </row>
    <row r="991" spans="1:6" ht="25.5" x14ac:dyDescent="0.2">
      <c r="A991" s="391">
        <v>102734</v>
      </c>
      <c r="B991" s="478" t="s">
        <v>1480</v>
      </c>
      <c r="C991" s="391" t="s">
        <v>1284</v>
      </c>
      <c r="D991" s="479">
        <v>13.45</v>
      </c>
      <c r="E991" s="368"/>
      <c r="F991" s="368"/>
    </row>
    <row r="992" spans="1:6" ht="25.5" x14ac:dyDescent="0.2">
      <c r="A992" s="391">
        <v>102735</v>
      </c>
      <c r="B992" s="478" t="s">
        <v>1481</v>
      </c>
      <c r="C992" s="391" t="s">
        <v>1284</v>
      </c>
      <c r="D992" s="479">
        <v>12.49</v>
      </c>
      <c r="E992" s="368"/>
      <c r="F992" s="368"/>
    </row>
    <row r="993" spans="1:6" ht="25.5" x14ac:dyDescent="0.2">
      <c r="A993" s="391">
        <v>102765</v>
      </c>
      <c r="B993" s="478" t="s">
        <v>1511</v>
      </c>
      <c r="C993" s="391" t="s">
        <v>26</v>
      </c>
      <c r="D993" s="479">
        <v>16189.11</v>
      </c>
      <c r="E993" s="368"/>
      <c r="F993" s="368"/>
    </row>
    <row r="994" spans="1:6" ht="25.5" x14ac:dyDescent="0.2">
      <c r="A994" s="391">
        <v>102795</v>
      </c>
      <c r="B994" s="478" t="s">
        <v>1541</v>
      </c>
      <c r="C994" s="391" t="s">
        <v>26</v>
      </c>
      <c r="D994" s="479">
        <v>27908.720000000001</v>
      </c>
      <c r="E994" s="368"/>
      <c r="F994" s="368"/>
    </row>
    <row r="995" spans="1:6" ht="25.5" x14ac:dyDescent="0.2">
      <c r="A995" s="391">
        <v>102766</v>
      </c>
      <c r="B995" s="478" t="s">
        <v>1512</v>
      </c>
      <c r="C995" s="391" t="s">
        <v>26</v>
      </c>
      <c r="D995" s="479">
        <v>24274.25</v>
      </c>
      <c r="E995" s="368"/>
      <c r="F995" s="368"/>
    </row>
    <row r="996" spans="1:6" ht="25.5" x14ac:dyDescent="0.2">
      <c r="A996" s="391">
        <v>102796</v>
      </c>
      <c r="B996" s="478" t="s">
        <v>1542</v>
      </c>
      <c r="C996" s="391" t="s">
        <v>26</v>
      </c>
      <c r="D996" s="479">
        <v>44795.07</v>
      </c>
      <c r="E996" s="368"/>
      <c r="F996" s="368"/>
    </row>
    <row r="997" spans="1:6" ht="25.5" x14ac:dyDescent="0.2">
      <c r="A997" s="391">
        <v>102767</v>
      </c>
      <c r="B997" s="478" t="s">
        <v>1513</v>
      </c>
      <c r="C997" s="391" t="s">
        <v>26</v>
      </c>
      <c r="D997" s="479">
        <v>33870.81</v>
      </c>
      <c r="E997" s="368"/>
      <c r="F997" s="368"/>
    </row>
    <row r="998" spans="1:6" ht="25.5" x14ac:dyDescent="0.2">
      <c r="A998" s="391">
        <v>102797</v>
      </c>
      <c r="B998" s="478" t="s">
        <v>1543</v>
      </c>
      <c r="C998" s="391" t="s">
        <v>26</v>
      </c>
      <c r="D998" s="479">
        <v>63336.71</v>
      </c>
      <c r="E998" s="368"/>
      <c r="F998" s="368"/>
    </row>
    <row r="999" spans="1:6" ht="25.5" x14ac:dyDescent="0.2">
      <c r="A999" s="391">
        <v>102768</v>
      </c>
      <c r="B999" s="478" t="s">
        <v>1514</v>
      </c>
      <c r="C999" s="391" t="s">
        <v>26</v>
      </c>
      <c r="D999" s="479">
        <v>47193.55</v>
      </c>
      <c r="E999" s="368"/>
      <c r="F999" s="368"/>
    </row>
    <row r="1000" spans="1:6" ht="25.5" x14ac:dyDescent="0.2">
      <c r="A1000" s="391">
        <v>102798</v>
      </c>
      <c r="B1000" s="478" t="s">
        <v>1544</v>
      </c>
      <c r="C1000" s="391" t="s">
        <v>26</v>
      </c>
      <c r="D1000" s="479">
        <v>77492.47</v>
      </c>
      <c r="E1000" s="368"/>
      <c r="F1000" s="368"/>
    </row>
    <row r="1001" spans="1:6" ht="25.5" x14ac:dyDescent="0.2">
      <c r="A1001" s="391">
        <v>102744</v>
      </c>
      <c r="B1001" s="478" t="s">
        <v>1490</v>
      </c>
      <c r="C1001" s="391" t="s">
        <v>26</v>
      </c>
      <c r="D1001" s="479">
        <v>6734.2</v>
      </c>
      <c r="E1001" s="368"/>
      <c r="F1001" s="368"/>
    </row>
    <row r="1002" spans="1:6" ht="25.5" x14ac:dyDescent="0.2">
      <c r="A1002" s="391">
        <v>102755</v>
      </c>
      <c r="B1002" s="478" t="s">
        <v>1501</v>
      </c>
      <c r="C1002" s="391" t="s">
        <v>26</v>
      </c>
      <c r="D1002" s="479">
        <v>10367.219999999999</v>
      </c>
      <c r="E1002" s="368"/>
      <c r="F1002" s="368"/>
    </row>
    <row r="1003" spans="1:6" ht="25.5" x14ac:dyDescent="0.2">
      <c r="A1003" s="391">
        <v>102782</v>
      </c>
      <c r="B1003" s="478" t="s">
        <v>1528</v>
      </c>
      <c r="C1003" s="391" t="s">
        <v>26</v>
      </c>
      <c r="D1003" s="479">
        <v>13637.4</v>
      </c>
      <c r="E1003" s="368"/>
      <c r="F1003" s="368"/>
    </row>
    <row r="1004" spans="1:6" ht="25.5" x14ac:dyDescent="0.2">
      <c r="A1004" s="391">
        <v>102745</v>
      </c>
      <c r="B1004" s="478" t="s">
        <v>1491</v>
      </c>
      <c r="C1004" s="391" t="s">
        <v>26</v>
      </c>
      <c r="D1004" s="479">
        <v>9438.3799999999992</v>
      </c>
      <c r="E1004" s="368"/>
      <c r="F1004" s="368"/>
    </row>
    <row r="1005" spans="1:6" ht="25.5" x14ac:dyDescent="0.2">
      <c r="A1005" s="391">
        <v>102756</v>
      </c>
      <c r="B1005" s="478" t="s">
        <v>1502</v>
      </c>
      <c r="C1005" s="391" t="s">
        <v>26</v>
      </c>
      <c r="D1005" s="479">
        <v>15344.58</v>
      </c>
      <c r="E1005" s="368"/>
      <c r="F1005" s="368"/>
    </row>
    <row r="1006" spans="1:6" ht="25.5" x14ac:dyDescent="0.2">
      <c r="A1006" s="391">
        <v>102783</v>
      </c>
      <c r="B1006" s="478" t="s">
        <v>1529</v>
      </c>
      <c r="C1006" s="391" t="s">
        <v>26</v>
      </c>
      <c r="D1006" s="479">
        <v>18126</v>
      </c>
      <c r="E1006" s="368"/>
      <c r="F1006" s="368"/>
    </row>
    <row r="1007" spans="1:6" ht="25.5" x14ac:dyDescent="0.2">
      <c r="A1007" s="391">
        <v>102746</v>
      </c>
      <c r="B1007" s="478" t="s">
        <v>1492</v>
      </c>
      <c r="C1007" s="391" t="s">
        <v>26</v>
      </c>
      <c r="D1007" s="479">
        <v>16315.94</v>
      </c>
      <c r="E1007" s="368"/>
      <c r="F1007" s="368"/>
    </row>
    <row r="1008" spans="1:6" ht="25.5" x14ac:dyDescent="0.2">
      <c r="A1008" s="391">
        <v>102757</v>
      </c>
      <c r="B1008" s="478" t="s">
        <v>1503</v>
      </c>
      <c r="C1008" s="391" t="s">
        <v>26</v>
      </c>
      <c r="D1008" s="479">
        <v>28458.46</v>
      </c>
      <c r="E1008" s="368"/>
      <c r="F1008" s="368"/>
    </row>
    <row r="1009" spans="1:6" ht="25.5" x14ac:dyDescent="0.2">
      <c r="A1009" s="391">
        <v>102784</v>
      </c>
      <c r="B1009" s="478" t="s">
        <v>1530</v>
      </c>
      <c r="C1009" s="391" t="s">
        <v>26</v>
      </c>
      <c r="D1009" s="479">
        <v>27463.27</v>
      </c>
      <c r="E1009" s="368"/>
      <c r="F1009" s="368"/>
    </row>
    <row r="1010" spans="1:6" ht="25.5" x14ac:dyDescent="0.2">
      <c r="A1010" s="391">
        <v>102779</v>
      </c>
      <c r="B1010" s="478" t="s">
        <v>1525</v>
      </c>
      <c r="C1010" s="391" t="s">
        <v>26</v>
      </c>
      <c r="D1010" s="479">
        <v>7221.64</v>
      </c>
      <c r="E1010" s="368"/>
      <c r="F1010" s="368"/>
    </row>
    <row r="1011" spans="1:6" ht="25.5" x14ac:dyDescent="0.2">
      <c r="A1011" s="391">
        <v>102780</v>
      </c>
      <c r="B1011" s="478" t="s">
        <v>1526</v>
      </c>
      <c r="C1011" s="391" t="s">
        <v>26</v>
      </c>
      <c r="D1011" s="479">
        <v>8306.8799999999992</v>
      </c>
      <c r="E1011" s="368"/>
      <c r="F1011" s="368"/>
    </row>
    <row r="1012" spans="1:6" ht="25.5" x14ac:dyDescent="0.2">
      <c r="A1012" s="391">
        <v>102743</v>
      </c>
      <c r="B1012" s="478" t="s">
        <v>1489</v>
      </c>
      <c r="C1012" s="391" t="s">
        <v>26</v>
      </c>
      <c r="D1012" s="479">
        <v>4509.1899999999996</v>
      </c>
      <c r="E1012" s="368"/>
      <c r="F1012" s="368"/>
    </row>
    <row r="1013" spans="1:6" ht="25.5" x14ac:dyDescent="0.2">
      <c r="A1013" s="391">
        <v>102781</v>
      </c>
      <c r="B1013" s="478" t="s">
        <v>1527</v>
      </c>
      <c r="C1013" s="391" t="s">
        <v>26</v>
      </c>
      <c r="D1013" s="479">
        <v>12346.62</v>
      </c>
      <c r="E1013" s="368"/>
      <c r="F1013" s="368"/>
    </row>
    <row r="1014" spans="1:6" ht="25.5" x14ac:dyDescent="0.2">
      <c r="A1014" s="391">
        <v>102761</v>
      </c>
      <c r="B1014" s="478" t="s">
        <v>1507</v>
      </c>
      <c r="C1014" s="391" t="s">
        <v>26</v>
      </c>
      <c r="D1014" s="479">
        <v>12972.59</v>
      </c>
      <c r="E1014" s="368"/>
      <c r="F1014" s="368"/>
    </row>
    <row r="1015" spans="1:6" ht="25.5" x14ac:dyDescent="0.2">
      <c r="A1015" s="391">
        <v>102791</v>
      </c>
      <c r="B1015" s="478" t="s">
        <v>1537</v>
      </c>
      <c r="C1015" s="391" t="s">
        <v>26</v>
      </c>
      <c r="D1015" s="479">
        <v>26179.62</v>
      </c>
      <c r="E1015" s="368"/>
      <c r="F1015" s="368"/>
    </row>
    <row r="1016" spans="1:6" ht="25.5" x14ac:dyDescent="0.2">
      <c r="A1016" s="391">
        <v>102762</v>
      </c>
      <c r="B1016" s="478" t="s">
        <v>1508</v>
      </c>
      <c r="C1016" s="391" t="s">
        <v>26</v>
      </c>
      <c r="D1016" s="479">
        <v>19964.09</v>
      </c>
      <c r="E1016" s="368"/>
      <c r="F1016" s="368"/>
    </row>
    <row r="1017" spans="1:6" ht="25.5" x14ac:dyDescent="0.2">
      <c r="A1017" s="391">
        <v>102792</v>
      </c>
      <c r="B1017" s="478" t="s">
        <v>1538</v>
      </c>
      <c r="C1017" s="391" t="s">
        <v>26</v>
      </c>
      <c r="D1017" s="479">
        <v>42401.63</v>
      </c>
      <c r="E1017" s="368"/>
      <c r="F1017" s="368"/>
    </row>
    <row r="1018" spans="1:6" ht="25.5" x14ac:dyDescent="0.2">
      <c r="A1018" s="391">
        <v>102763</v>
      </c>
      <c r="B1018" s="478" t="s">
        <v>1509</v>
      </c>
      <c r="C1018" s="391" t="s">
        <v>26</v>
      </c>
      <c r="D1018" s="479">
        <v>27689.03</v>
      </c>
      <c r="E1018" s="368"/>
      <c r="F1018" s="368"/>
    </row>
    <row r="1019" spans="1:6" ht="25.5" x14ac:dyDescent="0.2">
      <c r="A1019" s="391">
        <v>102793</v>
      </c>
      <c r="B1019" s="478" t="s">
        <v>1539</v>
      </c>
      <c r="C1019" s="391" t="s">
        <v>26</v>
      </c>
      <c r="D1019" s="479">
        <v>56747.01</v>
      </c>
      <c r="E1019" s="368"/>
      <c r="F1019" s="368"/>
    </row>
    <row r="1020" spans="1:6" ht="25.5" x14ac:dyDescent="0.2">
      <c r="A1020" s="391">
        <v>102764</v>
      </c>
      <c r="B1020" s="478" t="s">
        <v>1510</v>
      </c>
      <c r="C1020" s="391" t="s">
        <v>26</v>
      </c>
      <c r="D1020" s="479">
        <v>38921.74</v>
      </c>
      <c r="E1020" s="368"/>
      <c r="F1020" s="368"/>
    </row>
    <row r="1021" spans="1:6" ht="25.5" x14ac:dyDescent="0.2">
      <c r="A1021" s="391">
        <v>102794</v>
      </c>
      <c r="B1021" s="478" t="s">
        <v>1540</v>
      </c>
      <c r="C1021" s="391" t="s">
        <v>26</v>
      </c>
      <c r="D1021" s="479">
        <v>81252.179999999993</v>
      </c>
      <c r="E1021" s="368"/>
      <c r="F1021" s="368"/>
    </row>
    <row r="1022" spans="1:6" ht="25.5" x14ac:dyDescent="0.2">
      <c r="A1022" s="391">
        <v>102740</v>
      </c>
      <c r="B1022" s="478" t="s">
        <v>1486</v>
      </c>
      <c r="C1022" s="391" t="s">
        <v>26</v>
      </c>
      <c r="D1022" s="479">
        <v>5552.22</v>
      </c>
      <c r="E1022" s="368"/>
      <c r="F1022" s="368"/>
    </row>
    <row r="1023" spans="1:6" ht="25.5" x14ac:dyDescent="0.2">
      <c r="A1023" s="391">
        <v>102752</v>
      </c>
      <c r="B1023" s="478" t="s">
        <v>1498</v>
      </c>
      <c r="C1023" s="391" t="s">
        <v>26</v>
      </c>
      <c r="D1023" s="479">
        <v>7428.42</v>
      </c>
      <c r="E1023" s="368"/>
      <c r="F1023" s="368"/>
    </row>
    <row r="1024" spans="1:6" ht="25.5" x14ac:dyDescent="0.2">
      <c r="A1024" s="391">
        <v>102776</v>
      </c>
      <c r="B1024" s="478" t="s">
        <v>1522</v>
      </c>
      <c r="C1024" s="391" t="s">
        <v>26</v>
      </c>
      <c r="D1024" s="479">
        <v>10812.52</v>
      </c>
      <c r="E1024" s="368"/>
      <c r="F1024" s="368"/>
    </row>
    <row r="1025" spans="1:6" ht="25.5" x14ac:dyDescent="0.2">
      <c r="A1025" s="391">
        <v>102741</v>
      </c>
      <c r="B1025" s="478" t="s">
        <v>1487</v>
      </c>
      <c r="C1025" s="391" t="s">
        <v>26</v>
      </c>
      <c r="D1025" s="479">
        <v>7772.1</v>
      </c>
      <c r="E1025" s="368"/>
      <c r="F1025" s="368"/>
    </row>
    <row r="1026" spans="1:6" ht="25.5" x14ac:dyDescent="0.2">
      <c r="A1026" s="391">
        <v>102753</v>
      </c>
      <c r="B1026" s="478" t="s">
        <v>1499</v>
      </c>
      <c r="C1026" s="391" t="s">
        <v>26</v>
      </c>
      <c r="D1026" s="479">
        <v>10960.15</v>
      </c>
      <c r="E1026" s="368"/>
      <c r="F1026" s="368"/>
    </row>
    <row r="1027" spans="1:6" ht="25.5" x14ac:dyDescent="0.2">
      <c r="A1027" s="391">
        <v>102777</v>
      </c>
      <c r="B1027" s="478" t="s">
        <v>1523</v>
      </c>
      <c r="C1027" s="391" t="s">
        <v>26</v>
      </c>
      <c r="D1027" s="479">
        <v>16386.36</v>
      </c>
      <c r="E1027" s="368"/>
      <c r="F1027" s="368"/>
    </row>
    <row r="1028" spans="1:6" ht="25.5" x14ac:dyDescent="0.2">
      <c r="A1028" s="391">
        <v>102742</v>
      </c>
      <c r="B1028" s="478" t="s">
        <v>1488</v>
      </c>
      <c r="C1028" s="391" t="s">
        <v>26</v>
      </c>
      <c r="D1028" s="479">
        <v>13421.2</v>
      </c>
      <c r="E1028" s="368"/>
      <c r="F1028" s="368"/>
    </row>
    <row r="1029" spans="1:6" ht="25.5" x14ac:dyDescent="0.2">
      <c r="A1029" s="391">
        <v>102754</v>
      </c>
      <c r="B1029" s="478" t="s">
        <v>1500</v>
      </c>
      <c r="C1029" s="391" t="s">
        <v>26</v>
      </c>
      <c r="D1029" s="479">
        <v>20771.59</v>
      </c>
      <c r="E1029" s="368"/>
      <c r="F1029" s="368"/>
    </row>
    <row r="1030" spans="1:6" ht="25.5" x14ac:dyDescent="0.2">
      <c r="A1030" s="391">
        <v>102778</v>
      </c>
      <c r="B1030" s="478" t="s">
        <v>1524</v>
      </c>
      <c r="C1030" s="391" t="s">
        <v>26</v>
      </c>
      <c r="D1030" s="479">
        <v>23770.97</v>
      </c>
      <c r="E1030" s="368"/>
      <c r="F1030" s="368"/>
    </row>
    <row r="1031" spans="1:6" ht="25.5" x14ac:dyDescent="0.2">
      <c r="A1031" s="391">
        <v>102737</v>
      </c>
      <c r="B1031" s="478" t="s">
        <v>1483</v>
      </c>
      <c r="C1031" s="391" t="s">
        <v>26</v>
      </c>
      <c r="D1031" s="479">
        <v>1092.5899999999999</v>
      </c>
      <c r="E1031" s="368"/>
      <c r="F1031" s="368"/>
    </row>
    <row r="1032" spans="1:6" ht="25.5" x14ac:dyDescent="0.2">
      <c r="A1032" s="391">
        <v>102773</v>
      </c>
      <c r="B1032" s="478" t="s">
        <v>1519</v>
      </c>
      <c r="C1032" s="391" t="s">
        <v>26</v>
      </c>
      <c r="D1032" s="479">
        <v>7221.64</v>
      </c>
      <c r="E1032" s="368"/>
      <c r="F1032" s="368"/>
    </row>
    <row r="1033" spans="1:6" ht="25.5" x14ac:dyDescent="0.2">
      <c r="A1033" s="391">
        <v>102738</v>
      </c>
      <c r="B1033" s="478" t="s">
        <v>1484</v>
      </c>
      <c r="C1033" s="391" t="s">
        <v>26</v>
      </c>
      <c r="D1033" s="479">
        <v>2225.4499999999998</v>
      </c>
      <c r="E1033" s="368"/>
      <c r="F1033" s="368"/>
    </row>
    <row r="1034" spans="1:6" ht="25.5" x14ac:dyDescent="0.2">
      <c r="A1034" s="391">
        <v>102750</v>
      </c>
      <c r="B1034" s="478" t="s">
        <v>1496</v>
      </c>
      <c r="C1034" s="391" t="s">
        <v>26</v>
      </c>
      <c r="D1034" s="479">
        <v>2708.28</v>
      </c>
      <c r="E1034" s="368"/>
      <c r="F1034" s="368"/>
    </row>
    <row r="1035" spans="1:6" ht="25.5" x14ac:dyDescent="0.2">
      <c r="A1035" s="391">
        <v>102774</v>
      </c>
      <c r="B1035" s="478" t="s">
        <v>1520</v>
      </c>
      <c r="C1035" s="391" t="s">
        <v>26</v>
      </c>
      <c r="D1035" s="479">
        <v>7221.64</v>
      </c>
      <c r="E1035" s="368"/>
      <c r="F1035" s="368"/>
    </row>
    <row r="1036" spans="1:6" ht="25.5" x14ac:dyDescent="0.2">
      <c r="A1036" s="391">
        <v>102739</v>
      </c>
      <c r="B1036" s="478" t="s">
        <v>1485</v>
      </c>
      <c r="C1036" s="391" t="s">
        <v>26</v>
      </c>
      <c r="D1036" s="479">
        <v>3715.05</v>
      </c>
      <c r="E1036" s="368"/>
      <c r="F1036" s="368"/>
    </row>
    <row r="1037" spans="1:6" ht="25.5" x14ac:dyDescent="0.2">
      <c r="A1037" s="391">
        <v>102751</v>
      </c>
      <c r="B1037" s="478" t="s">
        <v>1497</v>
      </c>
      <c r="C1037" s="391" t="s">
        <v>26</v>
      </c>
      <c r="D1037" s="479">
        <v>4680.6400000000003</v>
      </c>
      <c r="E1037" s="368"/>
      <c r="F1037" s="368"/>
    </row>
    <row r="1038" spans="1:6" ht="25.5" x14ac:dyDescent="0.2">
      <c r="A1038" s="391">
        <v>102775</v>
      </c>
      <c r="B1038" s="478" t="s">
        <v>1521</v>
      </c>
      <c r="C1038" s="391" t="s">
        <v>26</v>
      </c>
      <c r="D1038" s="479">
        <v>10812.52</v>
      </c>
      <c r="E1038" s="368"/>
      <c r="F1038" s="368"/>
    </row>
    <row r="1039" spans="1:6" ht="25.5" x14ac:dyDescent="0.2">
      <c r="A1039" s="391">
        <v>102769</v>
      </c>
      <c r="B1039" s="478" t="s">
        <v>1515</v>
      </c>
      <c r="C1039" s="391" t="s">
        <v>26</v>
      </c>
      <c r="D1039" s="479">
        <v>18723.41</v>
      </c>
      <c r="E1039" s="368"/>
      <c r="F1039" s="368"/>
    </row>
    <row r="1040" spans="1:6" ht="25.5" x14ac:dyDescent="0.2">
      <c r="A1040" s="391">
        <v>102799</v>
      </c>
      <c r="B1040" s="478" t="s">
        <v>1545</v>
      </c>
      <c r="C1040" s="391" t="s">
        <v>26</v>
      </c>
      <c r="D1040" s="479">
        <v>28507.200000000001</v>
      </c>
      <c r="E1040" s="368"/>
      <c r="F1040" s="368"/>
    </row>
    <row r="1041" spans="1:6" ht="25.5" x14ac:dyDescent="0.2">
      <c r="A1041" s="391">
        <v>102770</v>
      </c>
      <c r="B1041" s="478" t="s">
        <v>1516</v>
      </c>
      <c r="C1041" s="391" t="s">
        <v>26</v>
      </c>
      <c r="D1041" s="479">
        <v>28635.22</v>
      </c>
      <c r="E1041" s="368"/>
      <c r="F1041" s="368"/>
    </row>
    <row r="1042" spans="1:6" ht="25.5" x14ac:dyDescent="0.2">
      <c r="A1042" s="391">
        <v>102800</v>
      </c>
      <c r="B1042" s="478" t="s">
        <v>1546</v>
      </c>
      <c r="C1042" s="391" t="s">
        <v>26</v>
      </c>
      <c r="D1042" s="479">
        <v>49163.99</v>
      </c>
      <c r="E1042" s="368"/>
      <c r="F1042" s="368"/>
    </row>
    <row r="1043" spans="1:6" ht="25.5" x14ac:dyDescent="0.2">
      <c r="A1043" s="391">
        <v>102771</v>
      </c>
      <c r="B1043" s="478" t="s">
        <v>1517</v>
      </c>
      <c r="C1043" s="391" t="s">
        <v>26</v>
      </c>
      <c r="D1043" s="479">
        <v>39939.129999999997</v>
      </c>
      <c r="E1043" s="368"/>
      <c r="F1043" s="368"/>
    </row>
    <row r="1044" spans="1:6" ht="25.5" x14ac:dyDescent="0.2">
      <c r="A1044" s="391">
        <v>102801</v>
      </c>
      <c r="B1044" s="478" t="s">
        <v>1547</v>
      </c>
      <c r="C1044" s="391" t="s">
        <v>26</v>
      </c>
      <c r="D1044" s="479">
        <v>68608.38</v>
      </c>
      <c r="E1044" s="368"/>
      <c r="F1044" s="368"/>
    </row>
    <row r="1045" spans="1:6" ht="25.5" x14ac:dyDescent="0.2">
      <c r="A1045" s="391">
        <v>102772</v>
      </c>
      <c r="B1045" s="478" t="s">
        <v>1518</v>
      </c>
      <c r="C1045" s="391" t="s">
        <v>26</v>
      </c>
      <c r="D1045" s="479">
        <v>56002.89</v>
      </c>
      <c r="E1045" s="368"/>
      <c r="F1045" s="368"/>
    </row>
    <row r="1046" spans="1:6" ht="25.5" x14ac:dyDescent="0.2">
      <c r="A1046" s="391">
        <v>102802</v>
      </c>
      <c r="B1046" s="478" t="s">
        <v>1548</v>
      </c>
      <c r="C1046" s="391" t="s">
        <v>26</v>
      </c>
      <c r="D1046" s="479">
        <v>82251.399999999994</v>
      </c>
      <c r="E1046" s="368"/>
      <c r="F1046" s="368"/>
    </row>
    <row r="1047" spans="1:6" ht="25.5" x14ac:dyDescent="0.2">
      <c r="A1047" s="391">
        <v>102747</v>
      </c>
      <c r="B1047" s="478" t="s">
        <v>1493</v>
      </c>
      <c r="C1047" s="391" t="s">
        <v>26</v>
      </c>
      <c r="D1047" s="479">
        <v>8357.98</v>
      </c>
      <c r="E1047" s="368"/>
      <c r="F1047" s="368"/>
    </row>
    <row r="1048" spans="1:6" ht="25.5" x14ac:dyDescent="0.2">
      <c r="A1048" s="391">
        <v>102758</v>
      </c>
      <c r="B1048" s="478" t="s">
        <v>1504</v>
      </c>
      <c r="C1048" s="391" t="s">
        <v>26</v>
      </c>
      <c r="D1048" s="479">
        <v>13319.73</v>
      </c>
      <c r="E1048" s="368"/>
      <c r="F1048" s="368"/>
    </row>
    <row r="1049" spans="1:6" ht="25.5" x14ac:dyDescent="0.2">
      <c r="A1049" s="391">
        <v>102788</v>
      </c>
      <c r="B1049" s="478" t="s">
        <v>1534</v>
      </c>
      <c r="C1049" s="391" t="s">
        <v>26</v>
      </c>
      <c r="D1049" s="479">
        <v>14882.55</v>
      </c>
      <c r="E1049" s="368"/>
      <c r="F1049" s="368"/>
    </row>
    <row r="1050" spans="1:6" ht="25.5" x14ac:dyDescent="0.2">
      <c r="A1050" s="391">
        <v>102748</v>
      </c>
      <c r="B1050" s="478" t="s">
        <v>1494</v>
      </c>
      <c r="C1050" s="391" t="s">
        <v>26</v>
      </c>
      <c r="D1050" s="479">
        <v>11664.82</v>
      </c>
      <c r="E1050" s="368"/>
      <c r="F1050" s="368"/>
    </row>
    <row r="1051" spans="1:6" ht="25.5" x14ac:dyDescent="0.2">
      <c r="A1051" s="391">
        <v>102759</v>
      </c>
      <c r="B1051" s="478" t="s">
        <v>1505</v>
      </c>
      <c r="C1051" s="391" t="s">
        <v>26</v>
      </c>
      <c r="D1051" s="479">
        <v>19749.89</v>
      </c>
      <c r="E1051" s="368"/>
      <c r="F1051" s="368"/>
    </row>
    <row r="1052" spans="1:6" ht="25.5" x14ac:dyDescent="0.2">
      <c r="A1052" s="391">
        <v>102789</v>
      </c>
      <c r="B1052" s="478" t="s">
        <v>1535</v>
      </c>
      <c r="C1052" s="391" t="s">
        <v>26</v>
      </c>
      <c r="D1052" s="479">
        <v>19591.900000000001</v>
      </c>
      <c r="E1052" s="368"/>
      <c r="F1052" s="368"/>
    </row>
    <row r="1053" spans="1:6" ht="25.5" x14ac:dyDescent="0.2">
      <c r="A1053" s="391">
        <v>102749</v>
      </c>
      <c r="B1053" s="478" t="s">
        <v>1495</v>
      </c>
      <c r="C1053" s="391" t="s">
        <v>26</v>
      </c>
      <c r="D1053" s="479">
        <v>19972.060000000001</v>
      </c>
      <c r="E1053" s="368"/>
      <c r="F1053" s="368"/>
    </row>
    <row r="1054" spans="1:6" ht="25.5" x14ac:dyDescent="0.2">
      <c r="A1054" s="391">
        <v>102760</v>
      </c>
      <c r="B1054" s="478" t="s">
        <v>1506</v>
      </c>
      <c r="C1054" s="391" t="s">
        <v>26</v>
      </c>
      <c r="D1054" s="479">
        <v>36292.589999999997</v>
      </c>
      <c r="E1054" s="368"/>
      <c r="F1054" s="368"/>
    </row>
    <row r="1055" spans="1:6" ht="25.5" x14ac:dyDescent="0.2">
      <c r="A1055" s="391">
        <v>102790</v>
      </c>
      <c r="B1055" s="478" t="s">
        <v>1536</v>
      </c>
      <c r="C1055" s="391" t="s">
        <v>26</v>
      </c>
      <c r="D1055" s="479">
        <v>31915.95</v>
      </c>
      <c r="E1055" s="368"/>
      <c r="F1055" s="368"/>
    </row>
    <row r="1056" spans="1:6" ht="25.5" x14ac:dyDescent="0.2">
      <c r="A1056" s="391">
        <v>102785</v>
      </c>
      <c r="B1056" s="478" t="s">
        <v>1531</v>
      </c>
      <c r="C1056" s="391" t="s">
        <v>26</v>
      </c>
      <c r="D1056" s="479">
        <v>8306.8799999999992</v>
      </c>
      <c r="E1056" s="368"/>
      <c r="F1056" s="368"/>
    </row>
    <row r="1057" spans="1:6" ht="25.5" x14ac:dyDescent="0.2">
      <c r="A1057" s="391">
        <v>102786</v>
      </c>
      <c r="B1057" s="478" t="s">
        <v>1532</v>
      </c>
      <c r="C1057" s="391" t="s">
        <v>26</v>
      </c>
      <c r="D1057" s="479">
        <v>9148.7999999999993</v>
      </c>
      <c r="E1057" s="368"/>
      <c r="F1057" s="368"/>
    </row>
    <row r="1058" spans="1:6" ht="25.5" x14ac:dyDescent="0.2">
      <c r="A1058" s="391">
        <v>102787</v>
      </c>
      <c r="B1058" s="478" t="s">
        <v>1533</v>
      </c>
      <c r="C1058" s="391" t="s">
        <v>26</v>
      </c>
      <c r="D1058" s="479">
        <v>13637.4</v>
      </c>
      <c r="E1058" s="368"/>
      <c r="F1058" s="368"/>
    </row>
    <row r="1059" spans="1:6" ht="25.5" x14ac:dyDescent="0.2">
      <c r="A1059" s="391">
        <v>102736</v>
      </c>
      <c r="B1059" s="478" t="s">
        <v>1482</v>
      </c>
      <c r="C1059" s="391" t="s">
        <v>271</v>
      </c>
      <c r="D1059" s="479">
        <v>617.30999999999995</v>
      </c>
      <c r="E1059" s="368"/>
      <c r="F1059" s="368"/>
    </row>
    <row r="1060" spans="1:6" ht="38.25" x14ac:dyDescent="0.2">
      <c r="A1060" s="391">
        <v>102727</v>
      </c>
      <c r="B1060" s="478" t="s">
        <v>1473</v>
      </c>
      <c r="C1060" s="391" t="s">
        <v>255</v>
      </c>
      <c r="D1060" s="479">
        <v>105.6</v>
      </c>
      <c r="E1060" s="368"/>
      <c r="F1060" s="368"/>
    </row>
    <row r="1061" spans="1:6" ht="25.5" x14ac:dyDescent="0.2">
      <c r="A1061" s="391">
        <v>102112</v>
      </c>
      <c r="B1061" s="478" t="s">
        <v>4208</v>
      </c>
      <c r="C1061" s="391" t="s">
        <v>26</v>
      </c>
      <c r="D1061" s="479">
        <v>139.49</v>
      </c>
      <c r="E1061" s="368"/>
      <c r="F1061" s="368"/>
    </row>
    <row r="1062" spans="1:6" ht="25.5" x14ac:dyDescent="0.2">
      <c r="A1062" s="391">
        <v>102111</v>
      </c>
      <c r="B1062" s="478" t="s">
        <v>4207</v>
      </c>
      <c r="C1062" s="391" t="s">
        <v>26</v>
      </c>
      <c r="D1062" s="479">
        <v>1107.52</v>
      </c>
      <c r="E1062" s="368"/>
      <c r="F1062" s="368"/>
    </row>
    <row r="1063" spans="1:6" ht="25.5" x14ac:dyDescent="0.2">
      <c r="A1063" s="391">
        <v>102114</v>
      </c>
      <c r="B1063" s="478" t="s">
        <v>4210</v>
      </c>
      <c r="C1063" s="391" t="s">
        <v>26</v>
      </c>
      <c r="D1063" s="479">
        <v>143</v>
      </c>
      <c r="E1063" s="368"/>
      <c r="F1063" s="368"/>
    </row>
    <row r="1064" spans="1:6" ht="25.5" x14ac:dyDescent="0.2">
      <c r="A1064" s="391">
        <v>102113</v>
      </c>
      <c r="B1064" s="478" t="s">
        <v>4209</v>
      </c>
      <c r="C1064" s="391" t="s">
        <v>26</v>
      </c>
      <c r="D1064" s="479">
        <v>1774.78</v>
      </c>
      <c r="E1064" s="368"/>
      <c r="F1064" s="368"/>
    </row>
    <row r="1065" spans="1:6" ht="25.5" x14ac:dyDescent="0.2">
      <c r="A1065" s="391">
        <v>102117</v>
      </c>
      <c r="B1065" s="478" t="s">
        <v>4213</v>
      </c>
      <c r="C1065" s="391" t="s">
        <v>26</v>
      </c>
      <c r="D1065" s="479">
        <v>147.22999999999999</v>
      </c>
      <c r="E1065" s="368"/>
      <c r="F1065" s="368"/>
    </row>
    <row r="1066" spans="1:6" ht="25.5" x14ac:dyDescent="0.2">
      <c r="A1066" s="391">
        <v>102116</v>
      </c>
      <c r="B1066" s="478" t="s">
        <v>4212</v>
      </c>
      <c r="C1066" s="391" t="s">
        <v>26</v>
      </c>
      <c r="D1066" s="479">
        <v>1896.49</v>
      </c>
      <c r="E1066" s="368"/>
      <c r="F1066" s="368"/>
    </row>
    <row r="1067" spans="1:6" ht="38.25" x14ac:dyDescent="0.2">
      <c r="A1067" s="391">
        <v>102132</v>
      </c>
      <c r="B1067" s="478" t="s">
        <v>40707</v>
      </c>
      <c r="C1067" s="391" t="s">
        <v>26</v>
      </c>
      <c r="D1067" s="479">
        <v>0</v>
      </c>
      <c r="E1067" s="368"/>
      <c r="F1067" s="368"/>
    </row>
    <row r="1068" spans="1:6" ht="25.5" x14ac:dyDescent="0.2">
      <c r="A1068" s="391">
        <v>102115</v>
      </c>
      <c r="B1068" s="478" t="s">
        <v>4211</v>
      </c>
      <c r="C1068" s="391" t="s">
        <v>26</v>
      </c>
      <c r="D1068" s="479">
        <v>3102.83</v>
      </c>
      <c r="E1068" s="368"/>
      <c r="F1068" s="368"/>
    </row>
    <row r="1069" spans="1:6" ht="25.5" x14ac:dyDescent="0.2">
      <c r="A1069" s="391">
        <v>102123</v>
      </c>
      <c r="B1069" s="478" t="s">
        <v>4218</v>
      </c>
      <c r="C1069" s="391" t="s">
        <v>26</v>
      </c>
      <c r="D1069" s="479">
        <v>199.99</v>
      </c>
      <c r="E1069" s="368"/>
      <c r="F1069" s="368"/>
    </row>
    <row r="1070" spans="1:6" ht="25.5" x14ac:dyDescent="0.2">
      <c r="A1070" s="391">
        <v>102122</v>
      </c>
      <c r="B1070" s="478" t="s">
        <v>4217</v>
      </c>
      <c r="C1070" s="391" t="s">
        <v>26</v>
      </c>
      <c r="D1070" s="479">
        <v>8808.23</v>
      </c>
      <c r="E1070" s="368"/>
      <c r="F1070" s="368"/>
    </row>
    <row r="1071" spans="1:6" ht="25.5" x14ac:dyDescent="0.2">
      <c r="A1071" s="391">
        <v>102119</v>
      </c>
      <c r="B1071" s="478" t="s">
        <v>4215</v>
      </c>
      <c r="C1071" s="391" t="s">
        <v>26</v>
      </c>
      <c r="D1071" s="479">
        <v>150.88999999999999</v>
      </c>
      <c r="E1071" s="368"/>
      <c r="F1071" s="368"/>
    </row>
    <row r="1072" spans="1:6" ht="25.5" x14ac:dyDescent="0.2">
      <c r="A1072" s="391">
        <v>102118</v>
      </c>
      <c r="B1072" s="478" t="s">
        <v>4214</v>
      </c>
      <c r="C1072" s="391" t="s">
        <v>26</v>
      </c>
      <c r="D1072" s="479">
        <v>2591.66</v>
      </c>
      <c r="E1072" s="368"/>
      <c r="F1072" s="368"/>
    </row>
    <row r="1073" spans="1:6" ht="38.25" x14ac:dyDescent="0.2">
      <c r="A1073" s="391">
        <v>102133</v>
      </c>
      <c r="B1073" s="478" t="s">
        <v>40708</v>
      </c>
      <c r="C1073" s="391" t="s">
        <v>26</v>
      </c>
      <c r="D1073" s="479">
        <v>0</v>
      </c>
      <c r="E1073" s="368"/>
      <c r="F1073" s="368"/>
    </row>
    <row r="1074" spans="1:6" ht="25.5" x14ac:dyDescent="0.2">
      <c r="A1074" s="391">
        <v>102127</v>
      </c>
      <c r="B1074" s="478" t="s">
        <v>40709</v>
      </c>
      <c r="C1074" s="391" t="s">
        <v>26</v>
      </c>
      <c r="D1074" s="479">
        <v>664.65</v>
      </c>
      <c r="E1074" s="368"/>
      <c r="F1074" s="368"/>
    </row>
    <row r="1075" spans="1:6" ht="25.5" x14ac:dyDescent="0.2">
      <c r="A1075" s="391">
        <v>102126</v>
      </c>
      <c r="B1075" s="478" t="s">
        <v>40710</v>
      </c>
      <c r="C1075" s="391" t="s">
        <v>26</v>
      </c>
      <c r="D1075" s="479">
        <v>10442.77</v>
      </c>
      <c r="E1075" s="368"/>
      <c r="F1075" s="368"/>
    </row>
    <row r="1076" spans="1:6" ht="25.5" x14ac:dyDescent="0.2">
      <c r="A1076" s="391">
        <v>102137</v>
      </c>
      <c r="B1076" s="478" t="s">
        <v>4220</v>
      </c>
      <c r="C1076" s="391" t="s">
        <v>26</v>
      </c>
      <c r="D1076" s="479">
        <v>74.34</v>
      </c>
      <c r="E1076" s="368"/>
      <c r="F1076" s="368"/>
    </row>
    <row r="1077" spans="1:6" ht="25.5" x14ac:dyDescent="0.2">
      <c r="A1077" s="391">
        <v>102136</v>
      </c>
      <c r="B1077" s="478" t="s">
        <v>4219</v>
      </c>
      <c r="C1077" s="391" t="s">
        <v>26</v>
      </c>
      <c r="D1077" s="479">
        <v>72.16</v>
      </c>
      <c r="E1077" s="368"/>
      <c r="F1077" s="368"/>
    </row>
    <row r="1078" spans="1:6" ht="25.5" x14ac:dyDescent="0.2">
      <c r="A1078" s="391">
        <v>102121</v>
      </c>
      <c r="B1078" s="478" t="s">
        <v>4216</v>
      </c>
      <c r="C1078" s="391" t="s">
        <v>26</v>
      </c>
      <c r="D1078" s="479">
        <v>189.1</v>
      </c>
      <c r="E1078" s="368"/>
      <c r="F1078" s="368"/>
    </row>
    <row r="1079" spans="1:6" ht="25.5" x14ac:dyDescent="0.2">
      <c r="A1079" s="391">
        <v>102120</v>
      </c>
      <c r="B1079" s="478" t="s">
        <v>40711</v>
      </c>
      <c r="C1079" s="391" t="s">
        <v>26</v>
      </c>
      <c r="D1079" s="479">
        <v>0</v>
      </c>
      <c r="E1079" s="368"/>
      <c r="F1079" s="368"/>
    </row>
    <row r="1080" spans="1:6" ht="25.5" x14ac:dyDescent="0.2">
      <c r="A1080" s="391">
        <v>102138</v>
      </c>
      <c r="B1080" s="478" t="s">
        <v>4221</v>
      </c>
      <c r="C1080" s="391" t="s">
        <v>26</v>
      </c>
      <c r="D1080" s="479">
        <v>217.71</v>
      </c>
      <c r="E1080" s="368"/>
      <c r="F1080" s="368"/>
    </row>
    <row r="1081" spans="1:6" ht="25.5" x14ac:dyDescent="0.2">
      <c r="A1081" s="391">
        <v>102334</v>
      </c>
      <c r="B1081" s="478" t="s">
        <v>40712</v>
      </c>
      <c r="C1081" s="391" t="s">
        <v>26</v>
      </c>
      <c r="D1081" s="479">
        <v>0</v>
      </c>
      <c r="E1081" s="368"/>
      <c r="F1081" s="368"/>
    </row>
    <row r="1082" spans="1:6" ht="25.5" x14ac:dyDescent="0.2">
      <c r="A1082" s="391">
        <v>102129</v>
      </c>
      <c r="B1082" s="478" t="s">
        <v>40713</v>
      </c>
      <c r="C1082" s="391" t="s">
        <v>26</v>
      </c>
      <c r="D1082" s="479">
        <v>978.95</v>
      </c>
      <c r="E1082" s="368"/>
      <c r="F1082" s="368"/>
    </row>
    <row r="1083" spans="1:6" ht="25.5" x14ac:dyDescent="0.2">
      <c r="A1083" s="391">
        <v>102128</v>
      </c>
      <c r="B1083" s="478" t="s">
        <v>40714</v>
      </c>
      <c r="C1083" s="391" t="s">
        <v>26</v>
      </c>
      <c r="D1083" s="479">
        <v>0</v>
      </c>
      <c r="E1083" s="368"/>
      <c r="F1083" s="368"/>
    </row>
    <row r="1084" spans="1:6" ht="25.5" x14ac:dyDescent="0.2">
      <c r="A1084" s="391">
        <v>102131</v>
      </c>
      <c r="B1084" s="478" t="s">
        <v>40715</v>
      </c>
      <c r="C1084" s="391" t="s">
        <v>26</v>
      </c>
      <c r="D1084" s="479">
        <v>978.95</v>
      </c>
      <c r="E1084" s="368"/>
      <c r="F1084" s="368"/>
    </row>
    <row r="1085" spans="1:6" ht="25.5" x14ac:dyDescent="0.2">
      <c r="A1085" s="391">
        <v>102130</v>
      </c>
      <c r="B1085" s="478" t="s">
        <v>40716</v>
      </c>
      <c r="C1085" s="391" t="s">
        <v>26</v>
      </c>
      <c r="D1085" s="479">
        <v>0</v>
      </c>
      <c r="E1085" s="368"/>
      <c r="F1085" s="368"/>
    </row>
    <row r="1086" spans="1:6" ht="25.5" x14ac:dyDescent="0.2">
      <c r="A1086" s="391">
        <v>102134</v>
      </c>
      <c r="B1086" s="478" t="s">
        <v>40717</v>
      </c>
      <c r="C1086" s="391" t="s">
        <v>26</v>
      </c>
      <c r="D1086" s="479">
        <v>0</v>
      </c>
      <c r="E1086" s="368"/>
      <c r="F1086" s="368"/>
    </row>
    <row r="1087" spans="1:6" ht="25.5" x14ac:dyDescent="0.2">
      <c r="A1087" s="391">
        <v>102135</v>
      </c>
      <c r="B1087" s="478" t="s">
        <v>40718</v>
      </c>
      <c r="C1087" s="391" t="s">
        <v>26</v>
      </c>
      <c r="D1087" s="479">
        <v>0</v>
      </c>
      <c r="E1087" s="368"/>
      <c r="F1087" s="368"/>
    </row>
    <row r="1088" spans="1:6" ht="38.25" x14ac:dyDescent="0.2">
      <c r="A1088" s="391">
        <v>104941</v>
      </c>
      <c r="B1088" s="478" t="s">
        <v>40719</v>
      </c>
      <c r="C1088" s="391" t="s">
        <v>255</v>
      </c>
      <c r="D1088" s="479">
        <v>0</v>
      </c>
      <c r="E1088" s="368"/>
      <c r="F1088" s="368"/>
    </row>
    <row r="1089" spans="1:6" ht="38.25" x14ac:dyDescent="0.2">
      <c r="A1089" s="391">
        <v>104942</v>
      </c>
      <c r="B1089" s="478" t="s">
        <v>40720</v>
      </c>
      <c r="C1089" s="391" t="s">
        <v>255</v>
      </c>
      <c r="D1089" s="479">
        <v>0</v>
      </c>
      <c r="E1089" s="368"/>
      <c r="F1089" s="368"/>
    </row>
    <row r="1090" spans="1:6" ht="38.25" x14ac:dyDescent="0.2">
      <c r="A1090" s="391">
        <v>104940</v>
      </c>
      <c r="B1090" s="478" t="s">
        <v>40721</v>
      </c>
      <c r="C1090" s="391" t="s">
        <v>26</v>
      </c>
      <c r="D1090" s="479">
        <v>0</v>
      </c>
      <c r="E1090" s="368"/>
      <c r="F1090" s="368"/>
    </row>
    <row r="1091" spans="1:6" ht="38.25" x14ac:dyDescent="0.2">
      <c r="A1091" s="391">
        <v>104943</v>
      </c>
      <c r="B1091" s="478" t="s">
        <v>40722</v>
      </c>
      <c r="C1091" s="391" t="s">
        <v>255</v>
      </c>
      <c r="D1091" s="479">
        <v>0</v>
      </c>
      <c r="E1091" s="368"/>
      <c r="F1091" s="368"/>
    </row>
    <row r="1092" spans="1:6" ht="25.5" x14ac:dyDescent="0.2">
      <c r="A1092" s="391">
        <v>101801</v>
      </c>
      <c r="B1092" s="478" t="s">
        <v>1459</v>
      </c>
      <c r="C1092" s="391" t="s">
        <v>26</v>
      </c>
      <c r="D1092" s="479">
        <v>1059.26</v>
      </c>
      <c r="E1092" s="368"/>
      <c r="F1092" s="368"/>
    </row>
    <row r="1093" spans="1:6" ht="38.25" x14ac:dyDescent="0.2">
      <c r="A1093" s="391">
        <v>101800</v>
      </c>
      <c r="B1093" s="478" t="s">
        <v>1458</v>
      </c>
      <c r="C1093" s="391" t="s">
        <v>26</v>
      </c>
      <c r="D1093" s="479">
        <v>1436.1</v>
      </c>
      <c r="E1093" s="368"/>
      <c r="F1093" s="368"/>
    </row>
    <row r="1094" spans="1:6" ht="38.25" x14ac:dyDescent="0.2">
      <c r="A1094" s="391">
        <v>98108</v>
      </c>
      <c r="B1094" s="478" t="s">
        <v>3874</v>
      </c>
      <c r="C1094" s="391" t="s">
        <v>26</v>
      </c>
      <c r="D1094" s="479">
        <v>492.32</v>
      </c>
      <c r="E1094" s="368"/>
      <c r="F1094" s="368"/>
    </row>
    <row r="1095" spans="1:6" ht="38.25" x14ac:dyDescent="0.2">
      <c r="A1095" s="391">
        <v>98105</v>
      </c>
      <c r="B1095" s="478" t="s">
        <v>3871</v>
      </c>
      <c r="C1095" s="391" t="s">
        <v>26</v>
      </c>
      <c r="D1095" s="479">
        <v>625.94000000000005</v>
      </c>
      <c r="E1095" s="368"/>
      <c r="F1095" s="368"/>
    </row>
    <row r="1096" spans="1:6" ht="51" x14ac:dyDescent="0.2">
      <c r="A1096" s="391">
        <v>98109</v>
      </c>
      <c r="B1096" s="478" t="s">
        <v>4046</v>
      </c>
      <c r="C1096" s="391" t="s">
        <v>26</v>
      </c>
      <c r="D1096" s="479">
        <v>800.29</v>
      </c>
      <c r="E1096" s="368"/>
      <c r="F1096" s="368"/>
    </row>
    <row r="1097" spans="1:6" ht="51" x14ac:dyDescent="0.2">
      <c r="A1097" s="391">
        <v>98106</v>
      </c>
      <c r="B1097" s="478" t="s">
        <v>3872</v>
      </c>
      <c r="C1097" s="391" t="s">
        <v>26</v>
      </c>
      <c r="D1097" s="479">
        <v>1032.06</v>
      </c>
      <c r="E1097" s="368"/>
      <c r="F1097" s="368"/>
    </row>
    <row r="1098" spans="1:6" ht="25.5" x14ac:dyDescent="0.2">
      <c r="A1098" s="391">
        <v>98110</v>
      </c>
      <c r="B1098" s="478" t="s">
        <v>4047</v>
      </c>
      <c r="C1098" s="391" t="s">
        <v>26</v>
      </c>
      <c r="D1098" s="479">
        <v>434.95</v>
      </c>
      <c r="E1098" s="368"/>
      <c r="F1098" s="368"/>
    </row>
    <row r="1099" spans="1:6" ht="38.25" x14ac:dyDescent="0.2">
      <c r="A1099" s="391">
        <v>98107</v>
      </c>
      <c r="B1099" s="478" t="s">
        <v>3873</v>
      </c>
      <c r="C1099" s="391" t="s">
        <v>26</v>
      </c>
      <c r="D1099" s="479">
        <v>276.11</v>
      </c>
      <c r="E1099" s="368"/>
      <c r="F1099" s="368"/>
    </row>
    <row r="1100" spans="1:6" ht="38.25" x14ac:dyDescent="0.2">
      <c r="A1100" s="391">
        <v>98104</v>
      </c>
      <c r="B1100" s="478" t="s">
        <v>3870</v>
      </c>
      <c r="C1100" s="391" t="s">
        <v>26</v>
      </c>
      <c r="D1100" s="479">
        <v>358.82</v>
      </c>
      <c r="E1100" s="368"/>
      <c r="F1100" s="368"/>
    </row>
    <row r="1101" spans="1:6" ht="25.5" x14ac:dyDescent="0.2">
      <c r="A1101" s="391">
        <v>98102</v>
      </c>
      <c r="B1101" s="478" t="s">
        <v>3869</v>
      </c>
      <c r="C1101" s="391" t="s">
        <v>26</v>
      </c>
      <c r="D1101" s="479">
        <v>201.15</v>
      </c>
      <c r="E1101" s="368"/>
      <c r="F1101" s="368"/>
    </row>
    <row r="1102" spans="1:6" ht="25.5" x14ac:dyDescent="0.2">
      <c r="A1102" s="391">
        <v>98111</v>
      </c>
      <c r="B1102" s="478" t="s">
        <v>4048</v>
      </c>
      <c r="C1102" s="391" t="s">
        <v>26</v>
      </c>
      <c r="D1102" s="479">
        <v>58.01</v>
      </c>
      <c r="E1102" s="368"/>
      <c r="F1102" s="368"/>
    </row>
    <row r="1103" spans="1:6" ht="38.25" x14ac:dyDescent="0.2">
      <c r="A1103" s="391">
        <v>97891</v>
      </c>
      <c r="B1103" s="478" t="s">
        <v>2439</v>
      </c>
      <c r="C1103" s="391" t="s">
        <v>26</v>
      </c>
      <c r="D1103" s="479">
        <v>204.78</v>
      </c>
      <c r="E1103" s="368"/>
      <c r="F1103" s="368"/>
    </row>
    <row r="1104" spans="1:6" ht="38.25" x14ac:dyDescent="0.2">
      <c r="A1104" s="392">
        <v>97892</v>
      </c>
      <c r="B1104" s="480" t="s">
        <v>2440</v>
      </c>
      <c r="C1104" s="392" t="s">
        <v>26</v>
      </c>
      <c r="D1104" s="481">
        <v>385</v>
      </c>
      <c r="E1104" s="368"/>
      <c r="F1104" s="368"/>
    </row>
    <row r="1105" spans="1:6" ht="38.25" x14ac:dyDescent="0.2">
      <c r="A1105" s="391">
        <v>97893</v>
      </c>
      <c r="B1105" s="478" t="s">
        <v>51</v>
      </c>
      <c r="C1105" s="391" t="s">
        <v>26</v>
      </c>
      <c r="D1105" s="479">
        <v>531.41999999999996</v>
      </c>
      <c r="E1105" s="368"/>
      <c r="F1105" s="368"/>
    </row>
    <row r="1106" spans="1:6" ht="25.5" x14ac:dyDescent="0.2">
      <c r="A1106" s="430">
        <v>97894</v>
      </c>
      <c r="B1106" s="482" t="s">
        <v>2441</v>
      </c>
      <c r="C1106" s="430" t="s">
        <v>26</v>
      </c>
      <c r="D1106" s="483">
        <v>593.75</v>
      </c>
      <c r="E1106" s="368"/>
      <c r="F1106" s="368"/>
    </row>
    <row r="1107" spans="1:6" ht="38.25" x14ac:dyDescent="0.2">
      <c r="A1107" s="391">
        <v>97886</v>
      </c>
      <c r="B1107" s="478" t="s">
        <v>2434</v>
      </c>
      <c r="C1107" s="391" t="s">
        <v>26</v>
      </c>
      <c r="D1107" s="479">
        <v>162.94</v>
      </c>
      <c r="E1107" s="368"/>
      <c r="F1107" s="368"/>
    </row>
    <row r="1108" spans="1:6" ht="38.25" x14ac:dyDescent="0.2">
      <c r="A1108" s="391">
        <v>97887</v>
      </c>
      <c r="B1108" s="478" t="s">
        <v>2435</v>
      </c>
      <c r="C1108" s="391" t="s">
        <v>26</v>
      </c>
      <c r="D1108" s="479">
        <v>256.52999999999997</v>
      </c>
      <c r="E1108" s="368"/>
      <c r="F1108" s="368"/>
    </row>
    <row r="1109" spans="1:6" ht="38.25" x14ac:dyDescent="0.2">
      <c r="A1109" s="391">
        <v>97888</v>
      </c>
      <c r="B1109" s="478" t="s">
        <v>2436</v>
      </c>
      <c r="C1109" s="391" t="s">
        <v>26</v>
      </c>
      <c r="D1109" s="479">
        <v>494.41</v>
      </c>
      <c r="E1109" s="368"/>
      <c r="F1109" s="368"/>
    </row>
    <row r="1110" spans="1:6" ht="38.25" x14ac:dyDescent="0.2">
      <c r="A1110" s="391">
        <v>97889</v>
      </c>
      <c r="B1110" s="478" t="s">
        <v>2437</v>
      </c>
      <c r="C1110" s="391" t="s">
        <v>26</v>
      </c>
      <c r="D1110" s="479">
        <v>670.96</v>
      </c>
      <c r="E1110" s="368"/>
      <c r="F1110" s="368"/>
    </row>
    <row r="1111" spans="1:6" ht="38.25" x14ac:dyDescent="0.2">
      <c r="A1111" s="391">
        <v>97890</v>
      </c>
      <c r="B1111" s="478" t="s">
        <v>2438</v>
      </c>
      <c r="C1111" s="391" t="s">
        <v>26</v>
      </c>
      <c r="D1111" s="479">
        <v>762.84</v>
      </c>
      <c r="E1111" s="368"/>
      <c r="F1111" s="368"/>
    </row>
    <row r="1112" spans="1:6" ht="25.5" x14ac:dyDescent="0.2">
      <c r="A1112" s="391">
        <v>97881</v>
      </c>
      <c r="B1112" s="478" t="s">
        <v>2429</v>
      </c>
      <c r="C1112" s="391" t="s">
        <v>26</v>
      </c>
      <c r="D1112" s="479">
        <v>149.15</v>
      </c>
      <c r="E1112" s="368"/>
      <c r="F1112" s="368"/>
    </row>
    <row r="1113" spans="1:6" ht="25.5" x14ac:dyDescent="0.2">
      <c r="A1113" s="391">
        <v>97882</v>
      </c>
      <c r="B1113" s="478" t="s">
        <v>2430</v>
      </c>
      <c r="C1113" s="391" t="s">
        <v>26</v>
      </c>
      <c r="D1113" s="479">
        <v>236.98</v>
      </c>
      <c r="E1113" s="368"/>
      <c r="F1113" s="368"/>
    </row>
    <row r="1114" spans="1:6" ht="25.5" x14ac:dyDescent="0.2">
      <c r="A1114" s="391">
        <v>97883</v>
      </c>
      <c r="B1114" s="478" t="s">
        <v>2431</v>
      </c>
      <c r="C1114" s="391" t="s">
        <v>26</v>
      </c>
      <c r="D1114" s="479">
        <v>458.13</v>
      </c>
      <c r="E1114" s="368"/>
      <c r="F1114" s="368"/>
    </row>
    <row r="1115" spans="1:6" ht="25.5" x14ac:dyDescent="0.2">
      <c r="A1115" s="391">
        <v>97884</v>
      </c>
      <c r="B1115" s="478" t="s">
        <v>2432</v>
      </c>
      <c r="C1115" s="391" t="s">
        <v>26</v>
      </c>
      <c r="D1115" s="479">
        <v>904.69</v>
      </c>
      <c r="E1115" s="368"/>
      <c r="F1115" s="368"/>
    </row>
    <row r="1116" spans="1:6" ht="25.5" x14ac:dyDescent="0.2">
      <c r="A1116" s="391">
        <v>97885</v>
      </c>
      <c r="B1116" s="478" t="s">
        <v>2433</v>
      </c>
      <c r="C1116" s="391" t="s">
        <v>26</v>
      </c>
      <c r="D1116" s="479">
        <v>1397.19</v>
      </c>
      <c r="E1116" s="368"/>
      <c r="F1116" s="368"/>
    </row>
    <row r="1117" spans="1:6" ht="38.25" x14ac:dyDescent="0.2">
      <c r="A1117" s="391">
        <v>99250</v>
      </c>
      <c r="B1117" s="478" t="s">
        <v>3875</v>
      </c>
      <c r="C1117" s="391" t="s">
        <v>26</v>
      </c>
      <c r="D1117" s="479">
        <v>177.76</v>
      </c>
      <c r="E1117" s="368"/>
      <c r="F1117" s="368"/>
    </row>
    <row r="1118" spans="1:6" ht="38.25" x14ac:dyDescent="0.2">
      <c r="A1118" s="391">
        <v>97900</v>
      </c>
      <c r="B1118" s="478" t="s">
        <v>3860</v>
      </c>
      <c r="C1118" s="391" t="s">
        <v>26</v>
      </c>
      <c r="D1118" s="479">
        <v>183</v>
      </c>
      <c r="E1118" s="368"/>
      <c r="F1118" s="368"/>
    </row>
    <row r="1119" spans="1:6" ht="38.25" x14ac:dyDescent="0.2">
      <c r="A1119" s="391">
        <v>99251</v>
      </c>
      <c r="B1119" s="478" t="s">
        <v>3876</v>
      </c>
      <c r="C1119" s="391" t="s">
        <v>26</v>
      </c>
      <c r="D1119" s="479">
        <v>277.94</v>
      </c>
      <c r="E1119" s="368"/>
      <c r="F1119" s="368"/>
    </row>
    <row r="1120" spans="1:6" ht="38.25" x14ac:dyDescent="0.2">
      <c r="A1120" s="391">
        <v>97901</v>
      </c>
      <c r="B1120" s="478" t="s">
        <v>3861</v>
      </c>
      <c r="C1120" s="391" t="s">
        <v>26</v>
      </c>
      <c r="D1120" s="479">
        <v>286.93</v>
      </c>
      <c r="E1120" s="368"/>
      <c r="F1120" s="368"/>
    </row>
    <row r="1121" spans="1:6" ht="38.25" x14ac:dyDescent="0.2">
      <c r="A1121" s="391">
        <v>99253</v>
      </c>
      <c r="B1121" s="478" t="s">
        <v>3877</v>
      </c>
      <c r="C1121" s="391" t="s">
        <v>26</v>
      </c>
      <c r="D1121" s="479">
        <v>535.88</v>
      </c>
      <c r="E1121" s="368"/>
      <c r="F1121" s="368"/>
    </row>
    <row r="1122" spans="1:6" ht="38.25" x14ac:dyDescent="0.2">
      <c r="A1122" s="391">
        <v>97902</v>
      </c>
      <c r="B1122" s="478" t="s">
        <v>3862</v>
      </c>
      <c r="C1122" s="391" t="s">
        <v>26</v>
      </c>
      <c r="D1122" s="479">
        <v>556.07000000000005</v>
      </c>
      <c r="E1122" s="368"/>
      <c r="F1122" s="368"/>
    </row>
    <row r="1123" spans="1:6" ht="38.25" x14ac:dyDescent="0.2">
      <c r="A1123" s="391">
        <v>99255</v>
      </c>
      <c r="B1123" s="478" t="s">
        <v>3878</v>
      </c>
      <c r="C1123" s="391" t="s">
        <v>26</v>
      </c>
      <c r="D1123" s="479">
        <v>746.78</v>
      </c>
      <c r="E1123" s="368"/>
      <c r="F1123" s="368"/>
    </row>
    <row r="1124" spans="1:6" ht="38.25" x14ac:dyDescent="0.2">
      <c r="A1124" s="391">
        <v>97903</v>
      </c>
      <c r="B1124" s="478" t="s">
        <v>3863</v>
      </c>
      <c r="C1124" s="391" t="s">
        <v>26</v>
      </c>
      <c r="D1124" s="479">
        <v>774.46</v>
      </c>
      <c r="E1124" s="368"/>
      <c r="F1124" s="368"/>
    </row>
    <row r="1125" spans="1:6" ht="38.25" x14ac:dyDescent="0.2">
      <c r="A1125" s="391">
        <v>99257</v>
      </c>
      <c r="B1125" s="478" t="s">
        <v>3879</v>
      </c>
      <c r="C1125" s="391" t="s">
        <v>26</v>
      </c>
      <c r="D1125" s="479">
        <v>878.22</v>
      </c>
      <c r="E1125" s="368"/>
      <c r="F1125" s="368"/>
    </row>
    <row r="1126" spans="1:6" ht="38.25" x14ac:dyDescent="0.2">
      <c r="A1126" s="391">
        <v>97904</v>
      </c>
      <c r="B1126" s="478" t="s">
        <v>3864</v>
      </c>
      <c r="C1126" s="391" t="s">
        <v>26</v>
      </c>
      <c r="D1126" s="479">
        <v>914.03</v>
      </c>
      <c r="E1126" s="368"/>
      <c r="F1126" s="368"/>
    </row>
    <row r="1127" spans="1:6" ht="38.25" x14ac:dyDescent="0.2">
      <c r="A1127" s="391">
        <v>99258</v>
      </c>
      <c r="B1127" s="478" t="s">
        <v>3880</v>
      </c>
      <c r="C1127" s="391" t="s">
        <v>26</v>
      </c>
      <c r="D1127" s="479">
        <v>235.85</v>
      </c>
      <c r="E1127" s="368"/>
      <c r="F1127" s="368"/>
    </row>
    <row r="1128" spans="1:6" ht="38.25" x14ac:dyDescent="0.2">
      <c r="A1128" s="391">
        <v>97905</v>
      </c>
      <c r="B1128" s="478" t="s">
        <v>3865</v>
      </c>
      <c r="C1128" s="391" t="s">
        <v>26</v>
      </c>
      <c r="D1128" s="479">
        <v>241.56</v>
      </c>
      <c r="E1128" s="368"/>
      <c r="F1128" s="368"/>
    </row>
    <row r="1129" spans="1:6" ht="38.25" x14ac:dyDescent="0.2">
      <c r="A1129" s="391">
        <v>99260</v>
      </c>
      <c r="B1129" s="478" t="s">
        <v>3881</v>
      </c>
      <c r="C1129" s="391" t="s">
        <v>26</v>
      </c>
      <c r="D1129" s="479">
        <v>436.3</v>
      </c>
      <c r="E1129" s="368"/>
      <c r="F1129" s="368"/>
    </row>
    <row r="1130" spans="1:6" ht="38.25" x14ac:dyDescent="0.2">
      <c r="A1130" s="391">
        <v>97906</v>
      </c>
      <c r="B1130" s="478" t="s">
        <v>3866</v>
      </c>
      <c r="C1130" s="391" t="s">
        <v>26</v>
      </c>
      <c r="D1130" s="479">
        <v>449.02</v>
      </c>
      <c r="E1130" s="368"/>
      <c r="F1130" s="368"/>
    </row>
    <row r="1131" spans="1:6" ht="38.25" x14ac:dyDescent="0.2">
      <c r="A1131" s="391">
        <v>99262</v>
      </c>
      <c r="B1131" s="478" t="s">
        <v>3882</v>
      </c>
      <c r="C1131" s="391" t="s">
        <v>26</v>
      </c>
      <c r="D1131" s="479">
        <v>619.72</v>
      </c>
      <c r="E1131" s="368"/>
      <c r="F1131" s="368"/>
    </row>
    <row r="1132" spans="1:6" ht="38.25" x14ac:dyDescent="0.2">
      <c r="A1132" s="391">
        <v>97907</v>
      </c>
      <c r="B1132" s="478" t="s">
        <v>3867</v>
      </c>
      <c r="C1132" s="391" t="s">
        <v>26</v>
      </c>
      <c r="D1132" s="479">
        <v>637.87</v>
      </c>
      <c r="E1132" s="368"/>
      <c r="F1132" s="368"/>
    </row>
    <row r="1133" spans="1:6" ht="38.25" x14ac:dyDescent="0.2">
      <c r="A1133" s="391">
        <v>99264</v>
      </c>
      <c r="B1133" s="478" t="s">
        <v>3883</v>
      </c>
      <c r="C1133" s="391" t="s">
        <v>26</v>
      </c>
      <c r="D1133" s="479">
        <v>727.87</v>
      </c>
      <c r="E1133" s="368"/>
      <c r="F1133" s="368"/>
    </row>
    <row r="1134" spans="1:6" ht="38.25" x14ac:dyDescent="0.2">
      <c r="A1134" s="391">
        <v>97908</v>
      </c>
      <c r="B1134" s="478" t="s">
        <v>3868</v>
      </c>
      <c r="C1134" s="391" t="s">
        <v>26</v>
      </c>
      <c r="D1134" s="479">
        <v>752.39</v>
      </c>
      <c r="E1134" s="368"/>
      <c r="F1134" s="368"/>
    </row>
    <row r="1135" spans="1:6" ht="25.5" x14ac:dyDescent="0.2">
      <c r="A1135" s="391">
        <v>97895</v>
      </c>
      <c r="B1135" s="478" t="s">
        <v>3856</v>
      </c>
      <c r="C1135" s="391" t="s">
        <v>26</v>
      </c>
      <c r="D1135" s="479">
        <v>212.62</v>
      </c>
      <c r="E1135" s="368"/>
      <c r="F1135" s="368"/>
    </row>
    <row r="1136" spans="1:6" ht="25.5" x14ac:dyDescent="0.2">
      <c r="A1136" s="391">
        <v>97896</v>
      </c>
      <c r="B1136" s="478" t="s">
        <v>3857</v>
      </c>
      <c r="C1136" s="391" t="s">
        <v>26</v>
      </c>
      <c r="D1136" s="479">
        <v>393.6</v>
      </c>
      <c r="E1136" s="368"/>
      <c r="F1136" s="368"/>
    </row>
    <row r="1137" spans="1:6" ht="25.5" x14ac:dyDescent="0.2">
      <c r="A1137" s="391">
        <v>97897</v>
      </c>
      <c r="B1137" s="478" t="s">
        <v>3858</v>
      </c>
      <c r="C1137" s="391" t="s">
        <v>26</v>
      </c>
      <c r="D1137" s="479">
        <v>509.39</v>
      </c>
      <c r="E1137" s="368"/>
      <c r="F1137" s="368"/>
    </row>
    <row r="1138" spans="1:6" ht="25.5" x14ac:dyDescent="0.2">
      <c r="A1138" s="391">
        <v>97898</v>
      </c>
      <c r="B1138" s="478" t="s">
        <v>3859</v>
      </c>
      <c r="C1138" s="391" t="s">
        <v>26</v>
      </c>
      <c r="D1138" s="479">
        <v>959.18</v>
      </c>
      <c r="E1138" s="368"/>
      <c r="F1138" s="368"/>
    </row>
    <row r="1139" spans="1:6" ht="25.5" x14ac:dyDescent="0.2">
      <c r="A1139" s="391">
        <v>97899</v>
      </c>
      <c r="B1139" s="478" t="s">
        <v>40723</v>
      </c>
      <c r="C1139" s="391" t="s">
        <v>26</v>
      </c>
      <c r="D1139" s="479">
        <v>0</v>
      </c>
      <c r="E1139" s="368"/>
      <c r="F1139" s="368"/>
    </row>
    <row r="1140" spans="1:6" ht="38.25" x14ac:dyDescent="0.2">
      <c r="A1140" s="391">
        <v>101795</v>
      </c>
      <c r="B1140" s="478" t="s">
        <v>2746</v>
      </c>
      <c r="C1140" s="391" t="s">
        <v>26</v>
      </c>
      <c r="D1140" s="479">
        <v>589.85</v>
      </c>
      <c r="E1140" s="368"/>
      <c r="F1140" s="368"/>
    </row>
    <row r="1141" spans="1:6" ht="38.25" x14ac:dyDescent="0.2">
      <c r="A1141" s="391">
        <v>101796</v>
      </c>
      <c r="B1141" s="478" t="s">
        <v>40724</v>
      </c>
      <c r="C1141" s="391" t="s">
        <v>26</v>
      </c>
      <c r="D1141" s="479">
        <v>0</v>
      </c>
      <c r="E1141" s="368"/>
      <c r="F1141" s="368"/>
    </row>
    <row r="1142" spans="1:6" ht="38.25" x14ac:dyDescent="0.2">
      <c r="A1142" s="391">
        <v>101797</v>
      </c>
      <c r="B1142" s="478" t="s">
        <v>40725</v>
      </c>
      <c r="C1142" s="391" t="s">
        <v>26</v>
      </c>
      <c r="D1142" s="479">
        <v>0</v>
      </c>
      <c r="E1142" s="368"/>
      <c r="F1142" s="368"/>
    </row>
    <row r="1143" spans="1:6" ht="38.25" x14ac:dyDescent="0.2">
      <c r="A1143" s="391">
        <v>101802</v>
      </c>
      <c r="B1143" s="478" t="s">
        <v>4203</v>
      </c>
      <c r="C1143" s="391" t="s">
        <v>26</v>
      </c>
      <c r="D1143" s="479">
        <v>1732.96</v>
      </c>
      <c r="E1143" s="368"/>
      <c r="F1143" s="368"/>
    </row>
    <row r="1144" spans="1:6" ht="38.25" x14ac:dyDescent="0.2">
      <c r="A1144" s="391">
        <v>101803</v>
      </c>
      <c r="B1144" s="478" t="s">
        <v>4204</v>
      </c>
      <c r="C1144" s="391" t="s">
        <v>26</v>
      </c>
      <c r="D1144" s="479">
        <v>1104.48</v>
      </c>
      <c r="E1144" s="368"/>
      <c r="F1144" s="368"/>
    </row>
    <row r="1145" spans="1:6" ht="38.25" x14ac:dyDescent="0.2">
      <c r="A1145" s="391">
        <v>101804</v>
      </c>
      <c r="B1145" s="478" t="s">
        <v>4205</v>
      </c>
      <c r="C1145" s="391" t="s">
        <v>26</v>
      </c>
      <c r="D1145" s="479">
        <v>1389.56</v>
      </c>
      <c r="E1145" s="368"/>
      <c r="F1145" s="368"/>
    </row>
    <row r="1146" spans="1:6" ht="38.25" x14ac:dyDescent="0.2">
      <c r="A1146" s="391">
        <v>101805</v>
      </c>
      <c r="B1146" s="478" t="s">
        <v>4206</v>
      </c>
      <c r="C1146" s="391" t="s">
        <v>26</v>
      </c>
      <c r="D1146" s="479">
        <v>1766.5</v>
      </c>
      <c r="E1146" s="368"/>
      <c r="F1146" s="368"/>
    </row>
    <row r="1147" spans="1:6" ht="25.5" x14ac:dyDescent="0.2">
      <c r="A1147" s="391">
        <v>98115</v>
      </c>
      <c r="B1147" s="478" t="s">
        <v>4051</v>
      </c>
      <c r="C1147" s="391" t="s">
        <v>26</v>
      </c>
      <c r="D1147" s="479">
        <v>96.92</v>
      </c>
      <c r="E1147" s="368"/>
      <c r="F1147" s="368"/>
    </row>
    <row r="1148" spans="1:6" ht="25.5" x14ac:dyDescent="0.2">
      <c r="A1148" s="391">
        <v>98114</v>
      </c>
      <c r="B1148" s="478" t="s">
        <v>4050</v>
      </c>
      <c r="C1148" s="391" t="s">
        <v>26</v>
      </c>
      <c r="D1148" s="479">
        <v>625.38</v>
      </c>
      <c r="E1148" s="368"/>
      <c r="F1148" s="368"/>
    </row>
    <row r="1149" spans="1:6" ht="25.5" x14ac:dyDescent="0.2">
      <c r="A1149" s="391">
        <v>98112</v>
      </c>
      <c r="B1149" s="478" t="s">
        <v>4049</v>
      </c>
      <c r="C1149" s="391" t="s">
        <v>26</v>
      </c>
      <c r="D1149" s="479">
        <v>100.37</v>
      </c>
      <c r="E1149" s="368"/>
      <c r="F1149" s="368"/>
    </row>
    <row r="1150" spans="1:6" ht="25.5" x14ac:dyDescent="0.2">
      <c r="A1150" s="391">
        <v>100128</v>
      </c>
      <c r="B1150" s="478" t="s">
        <v>4202</v>
      </c>
      <c r="C1150" s="391" t="s">
        <v>26</v>
      </c>
      <c r="D1150" s="479">
        <v>1675.46</v>
      </c>
      <c r="E1150" s="368"/>
      <c r="F1150" s="368"/>
    </row>
    <row r="1151" spans="1:6" ht="25.5" x14ac:dyDescent="0.2">
      <c r="A1151" s="391">
        <v>102623</v>
      </c>
      <c r="B1151" s="478" t="s">
        <v>3920</v>
      </c>
      <c r="C1151" s="391" t="s">
        <v>26</v>
      </c>
      <c r="D1151" s="479">
        <v>814.14</v>
      </c>
      <c r="E1151" s="368"/>
      <c r="F1151" s="368"/>
    </row>
    <row r="1152" spans="1:6" ht="25.5" x14ac:dyDescent="0.2">
      <c r="A1152" s="391">
        <v>102607</v>
      </c>
      <c r="B1152" s="478" t="s">
        <v>3904</v>
      </c>
      <c r="C1152" s="391" t="s">
        <v>26</v>
      </c>
      <c r="D1152" s="479">
        <v>505.32</v>
      </c>
      <c r="E1152" s="368"/>
      <c r="F1152" s="368"/>
    </row>
    <row r="1153" spans="1:6" ht="25.5" x14ac:dyDescent="0.2">
      <c r="A1153" s="391">
        <v>102608</v>
      </c>
      <c r="B1153" s="478" t="s">
        <v>3905</v>
      </c>
      <c r="C1153" s="391" t="s">
        <v>26</v>
      </c>
      <c r="D1153" s="479">
        <v>1159.2</v>
      </c>
      <c r="E1153" s="368"/>
      <c r="F1153" s="368"/>
    </row>
    <row r="1154" spans="1:6" ht="25.5" x14ac:dyDescent="0.2">
      <c r="A1154" s="391">
        <v>102609</v>
      </c>
      <c r="B1154" s="478" t="s">
        <v>3906</v>
      </c>
      <c r="C1154" s="391" t="s">
        <v>26</v>
      </c>
      <c r="D1154" s="479">
        <v>1316.92</v>
      </c>
      <c r="E1154" s="368"/>
      <c r="F1154" s="368"/>
    </row>
    <row r="1155" spans="1:6" ht="25.5" x14ac:dyDescent="0.2">
      <c r="A1155" s="391">
        <v>102610</v>
      </c>
      <c r="B1155" s="478" t="s">
        <v>3907</v>
      </c>
      <c r="C1155" s="391" t="s">
        <v>26</v>
      </c>
      <c r="D1155" s="479">
        <v>2264.19</v>
      </c>
      <c r="E1155" s="368"/>
      <c r="F1155" s="368"/>
    </row>
    <row r="1156" spans="1:6" ht="25.5" x14ac:dyDescent="0.2">
      <c r="A1156" s="391">
        <v>102622</v>
      </c>
      <c r="B1156" s="478" t="s">
        <v>3919</v>
      </c>
      <c r="C1156" s="391" t="s">
        <v>26</v>
      </c>
      <c r="D1156" s="479">
        <v>571.29999999999995</v>
      </c>
      <c r="E1156" s="368"/>
      <c r="F1156" s="368"/>
    </row>
    <row r="1157" spans="1:6" ht="25.5" x14ac:dyDescent="0.2">
      <c r="A1157" s="391">
        <v>102605</v>
      </c>
      <c r="B1157" s="478" t="s">
        <v>3902</v>
      </c>
      <c r="C1157" s="391" t="s">
        <v>26</v>
      </c>
      <c r="D1157" s="479">
        <v>306.26</v>
      </c>
      <c r="E1157" s="368"/>
      <c r="F1157" s="368"/>
    </row>
    <row r="1158" spans="1:6" ht="25.5" x14ac:dyDescent="0.2">
      <c r="A1158" s="391">
        <v>102606</v>
      </c>
      <c r="B1158" s="478" t="s">
        <v>3903</v>
      </c>
      <c r="C1158" s="391" t="s">
        <v>26</v>
      </c>
      <c r="D1158" s="479">
        <v>472.12</v>
      </c>
      <c r="E1158" s="368"/>
      <c r="F1158" s="368"/>
    </row>
    <row r="1159" spans="1:6" ht="25.5" x14ac:dyDescent="0.2">
      <c r="A1159" s="391">
        <v>102613</v>
      </c>
      <c r="B1159" s="478" t="s">
        <v>3910</v>
      </c>
      <c r="C1159" s="391" t="s">
        <v>26</v>
      </c>
      <c r="D1159" s="479">
        <v>708.73</v>
      </c>
      <c r="E1159" s="368"/>
      <c r="F1159" s="368"/>
    </row>
    <row r="1160" spans="1:6" ht="25.5" x14ac:dyDescent="0.2">
      <c r="A1160" s="391">
        <v>102619</v>
      </c>
      <c r="B1160" s="478" t="s">
        <v>3916</v>
      </c>
      <c r="C1160" s="391" t="s">
        <v>26</v>
      </c>
      <c r="D1160" s="479">
        <v>6015.02</v>
      </c>
      <c r="E1160" s="368"/>
      <c r="F1160" s="368"/>
    </row>
    <row r="1161" spans="1:6" ht="25.5" x14ac:dyDescent="0.2">
      <c r="A1161" s="391">
        <v>102614</v>
      </c>
      <c r="B1161" s="478" t="s">
        <v>3911</v>
      </c>
      <c r="C1161" s="391" t="s">
        <v>26</v>
      </c>
      <c r="D1161" s="479">
        <v>1090</v>
      </c>
      <c r="E1161" s="368"/>
      <c r="F1161" s="368"/>
    </row>
    <row r="1162" spans="1:6" ht="25.5" x14ac:dyDescent="0.2">
      <c r="A1162" s="391">
        <v>102620</v>
      </c>
      <c r="B1162" s="478" t="s">
        <v>3917</v>
      </c>
      <c r="C1162" s="391" t="s">
        <v>26</v>
      </c>
      <c r="D1162" s="479">
        <v>8753.8799999999992</v>
      </c>
      <c r="E1162" s="368"/>
      <c r="F1162" s="368"/>
    </row>
    <row r="1163" spans="1:6" ht="25.5" x14ac:dyDescent="0.2">
      <c r="A1163" s="391">
        <v>102615</v>
      </c>
      <c r="B1163" s="478" t="s">
        <v>3912</v>
      </c>
      <c r="C1163" s="391" t="s">
        <v>26</v>
      </c>
      <c r="D1163" s="479">
        <v>1367.96</v>
      </c>
      <c r="E1163" s="368"/>
      <c r="F1163" s="368"/>
    </row>
    <row r="1164" spans="1:6" ht="25.5" x14ac:dyDescent="0.2">
      <c r="A1164" s="391">
        <v>102621</v>
      </c>
      <c r="B1164" s="478" t="s">
        <v>3918</v>
      </c>
      <c r="C1164" s="391" t="s">
        <v>26</v>
      </c>
      <c r="D1164" s="479">
        <v>13473.64</v>
      </c>
      <c r="E1164" s="368"/>
      <c r="F1164" s="368"/>
    </row>
    <row r="1165" spans="1:6" ht="25.5" x14ac:dyDescent="0.2">
      <c r="A1165" s="391">
        <v>102616</v>
      </c>
      <c r="B1165" s="478" t="s">
        <v>3913</v>
      </c>
      <c r="C1165" s="391" t="s">
        <v>26</v>
      </c>
      <c r="D1165" s="479">
        <v>2025.28</v>
      </c>
      <c r="E1165" s="368"/>
      <c r="F1165" s="368"/>
    </row>
    <row r="1166" spans="1:6" ht="25.5" x14ac:dyDescent="0.2">
      <c r="A1166" s="391">
        <v>102611</v>
      </c>
      <c r="B1166" s="478" t="s">
        <v>3908</v>
      </c>
      <c r="C1166" s="391" t="s">
        <v>26</v>
      </c>
      <c r="D1166" s="479">
        <v>509.22</v>
      </c>
      <c r="E1166" s="368"/>
      <c r="F1166" s="368"/>
    </row>
    <row r="1167" spans="1:6" ht="25.5" x14ac:dyDescent="0.2">
      <c r="A1167" s="391">
        <v>102617</v>
      </c>
      <c r="B1167" s="478" t="s">
        <v>3914</v>
      </c>
      <c r="C1167" s="391" t="s">
        <v>26</v>
      </c>
      <c r="D1167" s="479">
        <v>3711.74</v>
      </c>
      <c r="E1167" s="368"/>
      <c r="F1167" s="368"/>
    </row>
    <row r="1168" spans="1:6" ht="25.5" x14ac:dyDescent="0.2">
      <c r="A1168" s="391">
        <v>102618</v>
      </c>
      <c r="B1168" s="478" t="s">
        <v>3915</v>
      </c>
      <c r="C1168" s="391" t="s">
        <v>26</v>
      </c>
      <c r="D1168" s="479">
        <v>4472.1899999999996</v>
      </c>
      <c r="E1168" s="368"/>
      <c r="F1168" s="368"/>
    </row>
    <row r="1169" spans="1:6" ht="25.5" x14ac:dyDescent="0.2">
      <c r="A1169" s="391">
        <v>102612</v>
      </c>
      <c r="B1169" s="478" t="s">
        <v>3909</v>
      </c>
      <c r="C1169" s="391" t="s">
        <v>26</v>
      </c>
      <c r="D1169" s="479">
        <v>731.32</v>
      </c>
      <c r="E1169" s="368"/>
      <c r="F1169" s="368"/>
    </row>
    <row r="1170" spans="1:6" ht="25.5" x14ac:dyDescent="0.2">
      <c r="A1170" s="391">
        <v>102603</v>
      </c>
      <c r="B1170" s="478" t="s">
        <v>3900</v>
      </c>
      <c r="C1170" s="391" t="s">
        <v>26</v>
      </c>
      <c r="D1170" s="479">
        <v>9.8800000000000008</v>
      </c>
      <c r="E1170" s="368"/>
      <c r="F1170" s="368"/>
    </row>
    <row r="1171" spans="1:6" ht="25.5" x14ac:dyDescent="0.2">
      <c r="A1171" s="391">
        <v>102587</v>
      </c>
      <c r="B1171" s="478" t="s">
        <v>3884</v>
      </c>
      <c r="C1171" s="391" t="s">
        <v>26</v>
      </c>
      <c r="D1171" s="479">
        <v>3.38</v>
      </c>
      <c r="E1171" s="368"/>
      <c r="F1171" s="368"/>
    </row>
    <row r="1172" spans="1:6" ht="25.5" x14ac:dyDescent="0.2">
      <c r="A1172" s="391">
        <v>102589</v>
      </c>
      <c r="B1172" s="478" t="s">
        <v>3886</v>
      </c>
      <c r="C1172" s="391" t="s">
        <v>26</v>
      </c>
      <c r="D1172" s="479">
        <v>3.77</v>
      </c>
      <c r="E1172" s="368"/>
      <c r="F1172" s="368"/>
    </row>
    <row r="1173" spans="1:6" ht="25.5" x14ac:dyDescent="0.2">
      <c r="A1173" s="391">
        <v>102591</v>
      </c>
      <c r="B1173" s="478" t="s">
        <v>3888</v>
      </c>
      <c r="C1173" s="391" t="s">
        <v>26</v>
      </c>
      <c r="D1173" s="479">
        <v>4.1500000000000004</v>
      </c>
      <c r="E1173" s="368"/>
      <c r="F1173" s="368"/>
    </row>
    <row r="1174" spans="1:6" ht="25.5" x14ac:dyDescent="0.2">
      <c r="A1174" s="391">
        <v>102593</v>
      </c>
      <c r="B1174" s="478" t="s">
        <v>3890</v>
      </c>
      <c r="C1174" s="391" t="s">
        <v>26</v>
      </c>
      <c r="D1174" s="479">
        <v>4.6900000000000004</v>
      </c>
      <c r="E1174" s="368"/>
      <c r="F1174" s="368"/>
    </row>
    <row r="1175" spans="1:6" ht="25.5" x14ac:dyDescent="0.2">
      <c r="A1175" s="391">
        <v>102595</v>
      </c>
      <c r="B1175" s="478" t="s">
        <v>3892</v>
      </c>
      <c r="C1175" s="391" t="s">
        <v>26</v>
      </c>
      <c r="D1175" s="479">
        <v>5.3</v>
      </c>
      <c r="E1175" s="368"/>
      <c r="F1175" s="368"/>
    </row>
    <row r="1176" spans="1:6" ht="25.5" x14ac:dyDescent="0.2">
      <c r="A1176" s="391">
        <v>102597</v>
      </c>
      <c r="B1176" s="478" t="s">
        <v>3894</v>
      </c>
      <c r="C1176" s="391" t="s">
        <v>26</v>
      </c>
      <c r="D1176" s="479">
        <v>6.06</v>
      </c>
      <c r="E1176" s="368"/>
      <c r="F1176" s="368"/>
    </row>
    <row r="1177" spans="1:6" ht="25.5" x14ac:dyDescent="0.2">
      <c r="A1177" s="391">
        <v>102599</v>
      </c>
      <c r="B1177" s="478" t="s">
        <v>3896</v>
      </c>
      <c r="C1177" s="391" t="s">
        <v>26</v>
      </c>
      <c r="D1177" s="479">
        <v>6.82</v>
      </c>
      <c r="E1177" s="368"/>
      <c r="F1177" s="368"/>
    </row>
    <row r="1178" spans="1:6" ht="25.5" x14ac:dyDescent="0.2">
      <c r="A1178" s="391">
        <v>102601</v>
      </c>
      <c r="B1178" s="478" t="s">
        <v>3898</v>
      </c>
      <c r="C1178" s="391" t="s">
        <v>26</v>
      </c>
      <c r="D1178" s="479">
        <v>7.98</v>
      </c>
      <c r="E1178" s="368"/>
      <c r="F1178" s="368"/>
    </row>
    <row r="1179" spans="1:6" ht="25.5" x14ac:dyDescent="0.2">
      <c r="A1179" s="391">
        <v>102604</v>
      </c>
      <c r="B1179" s="478" t="s">
        <v>3901</v>
      </c>
      <c r="C1179" s="391" t="s">
        <v>26</v>
      </c>
      <c r="D1179" s="479">
        <v>11.4</v>
      </c>
      <c r="E1179" s="368"/>
      <c r="F1179" s="368"/>
    </row>
    <row r="1180" spans="1:6" ht="25.5" x14ac:dyDescent="0.2">
      <c r="A1180" s="391">
        <v>102588</v>
      </c>
      <c r="B1180" s="478" t="s">
        <v>3885</v>
      </c>
      <c r="C1180" s="391" t="s">
        <v>26</v>
      </c>
      <c r="D1180" s="479">
        <v>4.9000000000000004</v>
      </c>
      <c r="E1180" s="368"/>
      <c r="F1180" s="368"/>
    </row>
    <row r="1181" spans="1:6" ht="25.5" x14ac:dyDescent="0.2">
      <c r="A1181" s="391">
        <v>102590</v>
      </c>
      <c r="B1181" s="478" t="s">
        <v>3887</v>
      </c>
      <c r="C1181" s="391" t="s">
        <v>26</v>
      </c>
      <c r="D1181" s="479">
        <v>5.28</v>
      </c>
      <c r="E1181" s="368"/>
      <c r="F1181" s="368"/>
    </row>
    <row r="1182" spans="1:6" ht="25.5" x14ac:dyDescent="0.2">
      <c r="A1182" s="391">
        <v>102592</v>
      </c>
      <c r="B1182" s="478" t="s">
        <v>3889</v>
      </c>
      <c r="C1182" s="391" t="s">
        <v>26</v>
      </c>
      <c r="D1182" s="479">
        <v>5.67</v>
      </c>
      <c r="E1182" s="368"/>
      <c r="F1182" s="368"/>
    </row>
    <row r="1183" spans="1:6" ht="25.5" x14ac:dyDescent="0.2">
      <c r="A1183" s="391">
        <v>102594</v>
      </c>
      <c r="B1183" s="478" t="s">
        <v>3891</v>
      </c>
      <c r="C1183" s="391" t="s">
        <v>26</v>
      </c>
      <c r="D1183" s="479">
        <v>6.2</v>
      </c>
      <c r="E1183" s="368"/>
      <c r="F1183" s="368"/>
    </row>
    <row r="1184" spans="1:6" ht="25.5" x14ac:dyDescent="0.2">
      <c r="A1184" s="391">
        <v>102596</v>
      </c>
      <c r="B1184" s="478" t="s">
        <v>3893</v>
      </c>
      <c r="C1184" s="391" t="s">
        <v>26</v>
      </c>
      <c r="D1184" s="479">
        <v>6.81</v>
      </c>
      <c r="E1184" s="368"/>
      <c r="F1184" s="368"/>
    </row>
    <row r="1185" spans="1:6" ht="25.5" x14ac:dyDescent="0.2">
      <c r="A1185" s="391">
        <v>102598</v>
      </c>
      <c r="B1185" s="478" t="s">
        <v>3895</v>
      </c>
      <c r="C1185" s="391" t="s">
        <v>26</v>
      </c>
      <c r="D1185" s="479">
        <v>7.57</v>
      </c>
      <c r="E1185" s="368"/>
      <c r="F1185" s="368"/>
    </row>
    <row r="1186" spans="1:6" ht="25.5" x14ac:dyDescent="0.2">
      <c r="A1186" s="391">
        <v>102600</v>
      </c>
      <c r="B1186" s="478" t="s">
        <v>3897</v>
      </c>
      <c r="C1186" s="391" t="s">
        <v>26</v>
      </c>
      <c r="D1186" s="479">
        <v>8.35</v>
      </c>
      <c r="E1186" s="368"/>
      <c r="F1186" s="368"/>
    </row>
    <row r="1187" spans="1:6" ht="25.5" x14ac:dyDescent="0.2">
      <c r="A1187" s="391">
        <v>102602</v>
      </c>
      <c r="B1187" s="478" t="s">
        <v>3899</v>
      </c>
      <c r="C1187" s="391" t="s">
        <v>26</v>
      </c>
      <c r="D1187" s="479">
        <v>9.49</v>
      </c>
      <c r="E1187" s="368"/>
      <c r="F1187" s="368"/>
    </row>
    <row r="1188" spans="1:6" ht="38.25" x14ac:dyDescent="0.2">
      <c r="A1188" s="391">
        <v>103005</v>
      </c>
      <c r="B1188" s="478" t="s">
        <v>47464</v>
      </c>
      <c r="C1188" s="391" t="s">
        <v>26</v>
      </c>
      <c r="D1188" s="479">
        <v>609.76</v>
      </c>
      <c r="E1188" s="368"/>
      <c r="F1188" s="368"/>
    </row>
    <row r="1189" spans="1:6" ht="38.25" x14ac:dyDescent="0.2">
      <c r="A1189" s="391">
        <v>103006</v>
      </c>
      <c r="B1189" s="478" t="s">
        <v>47465</v>
      </c>
      <c r="C1189" s="391" t="s">
        <v>26</v>
      </c>
      <c r="D1189" s="479">
        <v>771.69</v>
      </c>
      <c r="E1189" s="368"/>
      <c r="F1189" s="368"/>
    </row>
    <row r="1190" spans="1:6" ht="38.25" x14ac:dyDescent="0.2">
      <c r="A1190" s="391">
        <v>103007</v>
      </c>
      <c r="B1190" s="478" t="s">
        <v>47466</v>
      </c>
      <c r="C1190" s="391" t="s">
        <v>26</v>
      </c>
      <c r="D1190" s="479">
        <v>1020.29</v>
      </c>
      <c r="E1190" s="368"/>
      <c r="F1190" s="368"/>
    </row>
    <row r="1191" spans="1:6" ht="25.5" x14ac:dyDescent="0.2">
      <c r="A1191" s="391">
        <v>103004</v>
      </c>
      <c r="B1191" s="478" t="s">
        <v>47467</v>
      </c>
      <c r="C1191" s="391" t="s">
        <v>0</v>
      </c>
      <c r="D1191" s="479">
        <v>0</v>
      </c>
      <c r="E1191" s="368"/>
      <c r="F1191" s="368"/>
    </row>
    <row r="1192" spans="1:6" ht="25.5" x14ac:dyDescent="0.2">
      <c r="A1192" s="391">
        <v>102989</v>
      </c>
      <c r="B1192" s="478" t="s">
        <v>47468</v>
      </c>
      <c r="C1192" s="391" t="s">
        <v>0</v>
      </c>
      <c r="D1192" s="479">
        <v>41.13</v>
      </c>
      <c r="E1192" s="368"/>
      <c r="F1192" s="368"/>
    </row>
    <row r="1193" spans="1:6" ht="25.5" x14ac:dyDescent="0.2">
      <c r="A1193" s="391">
        <v>102990</v>
      </c>
      <c r="B1193" s="478" t="s">
        <v>47469</v>
      </c>
      <c r="C1193" s="391" t="s">
        <v>0</v>
      </c>
      <c r="D1193" s="479">
        <v>51.56</v>
      </c>
      <c r="E1193" s="368"/>
      <c r="F1193" s="368"/>
    </row>
    <row r="1194" spans="1:6" ht="25.5" x14ac:dyDescent="0.2">
      <c r="A1194" s="391">
        <v>102991</v>
      </c>
      <c r="B1194" s="478" t="s">
        <v>47470</v>
      </c>
      <c r="C1194" s="391" t="s">
        <v>0</v>
      </c>
      <c r="D1194" s="479">
        <v>67.819999999999993</v>
      </c>
      <c r="E1194" s="368"/>
      <c r="F1194" s="368"/>
    </row>
    <row r="1195" spans="1:6" ht="25.5" x14ac:dyDescent="0.2">
      <c r="A1195" s="391">
        <v>102992</v>
      </c>
      <c r="B1195" s="478" t="s">
        <v>47471</v>
      </c>
      <c r="C1195" s="391" t="s">
        <v>0</v>
      </c>
      <c r="D1195" s="479">
        <v>103.21</v>
      </c>
      <c r="E1195" s="368"/>
      <c r="F1195" s="368"/>
    </row>
    <row r="1196" spans="1:6" ht="25.5" x14ac:dyDescent="0.2">
      <c r="A1196" s="391">
        <v>102993</v>
      </c>
      <c r="B1196" s="478" t="s">
        <v>47472</v>
      </c>
      <c r="C1196" s="391" t="s">
        <v>0</v>
      </c>
      <c r="D1196" s="479">
        <v>134.15</v>
      </c>
      <c r="E1196" s="368"/>
      <c r="F1196" s="368"/>
    </row>
    <row r="1197" spans="1:6" ht="25.5" x14ac:dyDescent="0.2">
      <c r="A1197" s="391">
        <v>102994</v>
      </c>
      <c r="B1197" s="478" t="s">
        <v>47473</v>
      </c>
      <c r="C1197" s="391" t="s">
        <v>0</v>
      </c>
      <c r="D1197" s="479">
        <v>250.5</v>
      </c>
      <c r="E1197" s="368"/>
      <c r="F1197" s="368"/>
    </row>
    <row r="1198" spans="1:6" ht="38.25" x14ac:dyDescent="0.2">
      <c r="A1198" s="391">
        <v>106017</v>
      </c>
      <c r="B1198" s="478" t="s">
        <v>47474</v>
      </c>
      <c r="C1198" s="391" t="s">
        <v>26</v>
      </c>
      <c r="D1198" s="479">
        <v>0</v>
      </c>
      <c r="E1198" s="368"/>
      <c r="F1198" s="368"/>
    </row>
    <row r="1199" spans="1:6" x14ac:dyDescent="0.2">
      <c r="A1199" s="391">
        <v>105944</v>
      </c>
      <c r="B1199" s="478" t="s">
        <v>47475</v>
      </c>
      <c r="C1199" s="391" t="s">
        <v>271</v>
      </c>
      <c r="D1199" s="479">
        <v>778.11</v>
      </c>
      <c r="E1199" s="368"/>
      <c r="F1199" s="368"/>
    </row>
    <row r="1200" spans="1:6" ht="38.25" x14ac:dyDescent="0.2">
      <c r="A1200" s="391">
        <v>106004</v>
      </c>
      <c r="B1200" s="478" t="s">
        <v>47476</v>
      </c>
      <c r="C1200" s="391" t="s">
        <v>0</v>
      </c>
      <c r="D1200" s="479">
        <v>179.29</v>
      </c>
      <c r="E1200" s="368"/>
      <c r="F1200" s="368"/>
    </row>
    <row r="1201" spans="1:6" ht="38.25" x14ac:dyDescent="0.2">
      <c r="A1201" s="391">
        <v>106005</v>
      </c>
      <c r="B1201" s="478" t="s">
        <v>47477</v>
      </c>
      <c r="C1201" s="391" t="s">
        <v>0</v>
      </c>
      <c r="D1201" s="479">
        <v>212.08</v>
      </c>
      <c r="E1201" s="368"/>
      <c r="F1201" s="368"/>
    </row>
    <row r="1202" spans="1:6" ht="38.25" x14ac:dyDescent="0.2">
      <c r="A1202" s="391">
        <v>106006</v>
      </c>
      <c r="B1202" s="478" t="s">
        <v>47478</v>
      </c>
      <c r="C1202" s="391" t="s">
        <v>0</v>
      </c>
      <c r="D1202" s="479">
        <v>252.52</v>
      </c>
      <c r="E1202" s="368"/>
      <c r="F1202" s="368"/>
    </row>
    <row r="1203" spans="1:6" ht="38.25" x14ac:dyDescent="0.2">
      <c r="A1203" s="391">
        <v>106007</v>
      </c>
      <c r="B1203" s="478" t="s">
        <v>47479</v>
      </c>
      <c r="C1203" s="391" t="s">
        <v>0</v>
      </c>
      <c r="D1203" s="479">
        <v>287.83999999999997</v>
      </c>
      <c r="E1203" s="368"/>
      <c r="F1203" s="368"/>
    </row>
    <row r="1204" spans="1:6" ht="38.25" x14ac:dyDescent="0.2">
      <c r="A1204" s="391">
        <v>106008</v>
      </c>
      <c r="B1204" s="478" t="s">
        <v>47480</v>
      </c>
      <c r="C1204" s="391" t="s">
        <v>0</v>
      </c>
      <c r="D1204" s="479">
        <v>323.19</v>
      </c>
      <c r="E1204" s="368"/>
      <c r="F1204" s="368"/>
    </row>
    <row r="1205" spans="1:6" ht="38.25" x14ac:dyDescent="0.2">
      <c r="A1205" s="391">
        <v>106009</v>
      </c>
      <c r="B1205" s="478" t="s">
        <v>47481</v>
      </c>
      <c r="C1205" s="391" t="s">
        <v>0</v>
      </c>
      <c r="D1205" s="479">
        <v>398.94</v>
      </c>
      <c r="E1205" s="368"/>
      <c r="F1205" s="368"/>
    </row>
    <row r="1206" spans="1:6" ht="38.25" x14ac:dyDescent="0.2">
      <c r="A1206" s="391">
        <v>106010</v>
      </c>
      <c r="B1206" s="478" t="s">
        <v>47482</v>
      </c>
      <c r="C1206" s="391" t="s">
        <v>0</v>
      </c>
      <c r="D1206" s="479">
        <v>467.07</v>
      </c>
      <c r="E1206" s="368"/>
      <c r="F1206" s="368"/>
    </row>
    <row r="1207" spans="1:6" ht="38.25" x14ac:dyDescent="0.2">
      <c r="A1207" s="391">
        <v>106011</v>
      </c>
      <c r="B1207" s="478" t="s">
        <v>47483</v>
      </c>
      <c r="C1207" s="391" t="s">
        <v>0</v>
      </c>
      <c r="D1207" s="479">
        <v>840.92</v>
      </c>
      <c r="E1207" s="368"/>
      <c r="F1207" s="368"/>
    </row>
    <row r="1208" spans="1:6" ht="38.25" x14ac:dyDescent="0.2">
      <c r="A1208" s="391">
        <v>106013</v>
      </c>
      <c r="B1208" s="478" t="s">
        <v>47484</v>
      </c>
      <c r="C1208" s="391" t="s">
        <v>0</v>
      </c>
      <c r="D1208" s="479">
        <v>1051.96</v>
      </c>
      <c r="E1208" s="368"/>
      <c r="F1208" s="368"/>
    </row>
    <row r="1209" spans="1:6" ht="38.25" x14ac:dyDescent="0.2">
      <c r="A1209" s="391">
        <v>106012</v>
      </c>
      <c r="B1209" s="478" t="s">
        <v>47485</v>
      </c>
      <c r="C1209" s="391" t="s">
        <v>0</v>
      </c>
      <c r="D1209" s="479">
        <v>927.96</v>
      </c>
      <c r="E1209" s="368"/>
      <c r="F1209" s="368"/>
    </row>
    <row r="1210" spans="1:6" ht="38.25" x14ac:dyDescent="0.2">
      <c r="A1210" s="391">
        <v>106014</v>
      </c>
      <c r="B1210" s="478" t="s">
        <v>47486</v>
      </c>
      <c r="C1210" s="391" t="s">
        <v>0</v>
      </c>
      <c r="D1210" s="479">
        <v>1202.71</v>
      </c>
      <c r="E1210" s="368"/>
      <c r="F1210" s="368"/>
    </row>
    <row r="1211" spans="1:6" ht="38.25" x14ac:dyDescent="0.2">
      <c r="A1211" s="391">
        <v>106015</v>
      </c>
      <c r="B1211" s="478" t="s">
        <v>47487</v>
      </c>
      <c r="C1211" s="391" t="s">
        <v>0</v>
      </c>
      <c r="D1211" s="479">
        <v>1434.71</v>
      </c>
      <c r="E1211" s="368"/>
      <c r="F1211" s="368"/>
    </row>
    <row r="1212" spans="1:6" ht="38.25" x14ac:dyDescent="0.2">
      <c r="A1212" s="391">
        <v>106016</v>
      </c>
      <c r="B1212" s="478" t="s">
        <v>47488</v>
      </c>
      <c r="C1212" s="391" t="s">
        <v>0</v>
      </c>
      <c r="D1212" s="479">
        <v>1681.37</v>
      </c>
      <c r="E1212" s="368"/>
      <c r="F1212" s="368"/>
    </row>
    <row r="1213" spans="1:6" ht="38.25" x14ac:dyDescent="0.2">
      <c r="A1213" s="391">
        <v>106003</v>
      </c>
      <c r="B1213" s="478" t="s">
        <v>47489</v>
      </c>
      <c r="C1213" s="391" t="s">
        <v>0</v>
      </c>
      <c r="D1213" s="479">
        <v>166.78</v>
      </c>
      <c r="E1213" s="368"/>
      <c r="F1213" s="368"/>
    </row>
    <row r="1214" spans="1:6" ht="38.25" x14ac:dyDescent="0.2">
      <c r="A1214" s="391">
        <v>105997</v>
      </c>
      <c r="B1214" s="478" t="s">
        <v>47490</v>
      </c>
      <c r="C1214" s="391" t="s">
        <v>0</v>
      </c>
      <c r="D1214" s="479">
        <v>91.27</v>
      </c>
      <c r="E1214" s="368"/>
      <c r="F1214" s="368"/>
    </row>
    <row r="1215" spans="1:6" ht="38.25" x14ac:dyDescent="0.2">
      <c r="A1215" s="391">
        <v>105998</v>
      </c>
      <c r="B1215" s="478" t="s">
        <v>47491</v>
      </c>
      <c r="C1215" s="391" t="s">
        <v>0</v>
      </c>
      <c r="D1215" s="479">
        <v>101.13</v>
      </c>
      <c r="E1215" s="368"/>
      <c r="F1215" s="368"/>
    </row>
    <row r="1216" spans="1:6" ht="38.25" x14ac:dyDescent="0.2">
      <c r="A1216" s="391">
        <v>105999</v>
      </c>
      <c r="B1216" s="478" t="s">
        <v>47492</v>
      </c>
      <c r="C1216" s="391" t="s">
        <v>0</v>
      </c>
      <c r="D1216" s="479">
        <v>115.08</v>
      </c>
      <c r="E1216" s="368"/>
      <c r="F1216" s="368"/>
    </row>
    <row r="1217" spans="1:6" ht="38.25" x14ac:dyDescent="0.2">
      <c r="A1217" s="391">
        <v>106000</v>
      </c>
      <c r="B1217" s="478" t="s">
        <v>47493</v>
      </c>
      <c r="C1217" s="391" t="s">
        <v>0</v>
      </c>
      <c r="D1217" s="479">
        <v>129.02000000000001</v>
      </c>
      <c r="E1217" s="368"/>
      <c r="F1217" s="368"/>
    </row>
    <row r="1218" spans="1:6" ht="38.25" x14ac:dyDescent="0.2">
      <c r="A1218" s="391">
        <v>106001</v>
      </c>
      <c r="B1218" s="478" t="s">
        <v>47494</v>
      </c>
      <c r="C1218" s="391" t="s">
        <v>0</v>
      </c>
      <c r="D1218" s="479">
        <v>138.88</v>
      </c>
      <c r="E1218" s="368"/>
      <c r="F1218" s="368"/>
    </row>
    <row r="1219" spans="1:6" ht="38.25" x14ac:dyDescent="0.2">
      <c r="A1219" s="391">
        <v>106002</v>
      </c>
      <c r="B1219" s="478" t="s">
        <v>47495</v>
      </c>
      <c r="C1219" s="391" t="s">
        <v>0</v>
      </c>
      <c r="D1219" s="479">
        <v>152.83000000000001</v>
      </c>
      <c r="E1219" s="368"/>
      <c r="F1219" s="368"/>
    </row>
    <row r="1220" spans="1:6" ht="38.25" x14ac:dyDescent="0.2">
      <c r="A1220" s="391">
        <v>105992</v>
      </c>
      <c r="B1220" s="478" t="s">
        <v>47496</v>
      </c>
      <c r="C1220" s="391" t="s">
        <v>0</v>
      </c>
      <c r="D1220" s="479">
        <v>100.13</v>
      </c>
      <c r="E1220" s="368"/>
      <c r="F1220" s="368"/>
    </row>
    <row r="1221" spans="1:6" ht="38.25" x14ac:dyDescent="0.2">
      <c r="A1221" s="391">
        <v>105993</v>
      </c>
      <c r="B1221" s="478" t="s">
        <v>47497</v>
      </c>
      <c r="C1221" s="391" t="s">
        <v>0</v>
      </c>
      <c r="D1221" s="479">
        <v>120.17</v>
      </c>
      <c r="E1221" s="368"/>
      <c r="F1221" s="368"/>
    </row>
    <row r="1222" spans="1:6" ht="38.25" x14ac:dyDescent="0.2">
      <c r="A1222" s="391">
        <v>105994</v>
      </c>
      <c r="B1222" s="478" t="s">
        <v>47498</v>
      </c>
      <c r="C1222" s="391" t="s">
        <v>0</v>
      </c>
      <c r="D1222" s="479">
        <v>147.29</v>
      </c>
      <c r="E1222" s="368"/>
      <c r="F1222" s="368"/>
    </row>
    <row r="1223" spans="1:6" ht="38.25" x14ac:dyDescent="0.2">
      <c r="A1223" s="391">
        <v>105995</v>
      </c>
      <c r="B1223" s="478" t="s">
        <v>47499</v>
      </c>
      <c r="C1223" s="391" t="s">
        <v>0</v>
      </c>
      <c r="D1223" s="479">
        <v>174.49</v>
      </c>
      <c r="E1223" s="368"/>
      <c r="F1223" s="368"/>
    </row>
    <row r="1224" spans="1:6" ht="38.25" x14ac:dyDescent="0.2">
      <c r="A1224" s="391">
        <v>105996</v>
      </c>
      <c r="B1224" s="478" t="s">
        <v>47500</v>
      </c>
      <c r="C1224" s="391" t="s">
        <v>0</v>
      </c>
      <c r="D1224" s="479">
        <v>188.66</v>
      </c>
      <c r="E1224" s="368"/>
      <c r="F1224" s="368"/>
    </row>
    <row r="1225" spans="1:6" ht="38.25" x14ac:dyDescent="0.2">
      <c r="A1225" s="391">
        <v>105988</v>
      </c>
      <c r="B1225" s="478" t="s">
        <v>47501</v>
      </c>
      <c r="C1225" s="391" t="s">
        <v>0</v>
      </c>
      <c r="D1225" s="479">
        <v>65.94</v>
      </c>
      <c r="E1225" s="368"/>
      <c r="F1225" s="368"/>
    </row>
    <row r="1226" spans="1:6" ht="38.25" x14ac:dyDescent="0.2">
      <c r="A1226" s="391">
        <v>105989</v>
      </c>
      <c r="B1226" s="478" t="s">
        <v>47502</v>
      </c>
      <c r="C1226" s="391" t="s">
        <v>0</v>
      </c>
      <c r="D1226" s="479">
        <v>73.02</v>
      </c>
      <c r="E1226" s="368"/>
      <c r="F1226" s="368"/>
    </row>
    <row r="1227" spans="1:6" ht="38.25" x14ac:dyDescent="0.2">
      <c r="A1227" s="391">
        <v>105990</v>
      </c>
      <c r="B1227" s="478" t="s">
        <v>47503</v>
      </c>
      <c r="C1227" s="391" t="s">
        <v>0</v>
      </c>
      <c r="D1227" s="479">
        <v>83.04</v>
      </c>
      <c r="E1227" s="368"/>
      <c r="F1227" s="368"/>
    </row>
    <row r="1228" spans="1:6" ht="38.25" x14ac:dyDescent="0.2">
      <c r="A1228" s="391">
        <v>105991</v>
      </c>
      <c r="B1228" s="478" t="s">
        <v>47504</v>
      </c>
      <c r="C1228" s="391" t="s">
        <v>0</v>
      </c>
      <c r="D1228" s="479">
        <v>93.05</v>
      </c>
      <c r="E1228" s="368"/>
      <c r="F1228" s="368"/>
    </row>
    <row r="1229" spans="1:6" ht="38.25" x14ac:dyDescent="0.2">
      <c r="A1229" s="391">
        <v>105987</v>
      </c>
      <c r="B1229" s="478" t="s">
        <v>47505</v>
      </c>
      <c r="C1229" s="391" t="s">
        <v>0</v>
      </c>
      <c r="D1229" s="479">
        <v>114.31</v>
      </c>
      <c r="E1229" s="368"/>
      <c r="F1229" s="368"/>
    </row>
    <row r="1230" spans="1:6" ht="38.25" x14ac:dyDescent="0.2">
      <c r="A1230" s="391">
        <v>105986</v>
      </c>
      <c r="B1230" s="478" t="s">
        <v>47506</v>
      </c>
      <c r="C1230" s="391" t="s">
        <v>0</v>
      </c>
      <c r="D1230" s="479">
        <v>142.66</v>
      </c>
      <c r="E1230" s="368"/>
      <c r="F1230" s="368"/>
    </row>
    <row r="1231" spans="1:6" ht="25.5" x14ac:dyDescent="0.2">
      <c r="A1231" s="391">
        <v>106019</v>
      </c>
      <c r="B1231" s="478" t="s">
        <v>47507</v>
      </c>
      <c r="C1231" s="391" t="s">
        <v>26</v>
      </c>
      <c r="D1231" s="479">
        <v>0</v>
      </c>
      <c r="E1231" s="368"/>
      <c r="F1231" s="368"/>
    </row>
    <row r="1232" spans="1:6" ht="38.25" x14ac:dyDescent="0.2">
      <c r="A1232" s="391">
        <v>103001</v>
      </c>
      <c r="B1232" s="478" t="s">
        <v>47508</v>
      </c>
      <c r="C1232" s="391" t="s">
        <v>26</v>
      </c>
      <c r="D1232" s="479">
        <v>205.16</v>
      </c>
      <c r="E1232" s="368"/>
      <c r="F1232" s="368"/>
    </row>
    <row r="1233" spans="1:6" ht="38.25" x14ac:dyDescent="0.2">
      <c r="A1233" s="391">
        <v>103002</v>
      </c>
      <c r="B1233" s="478" t="s">
        <v>47509</v>
      </c>
      <c r="C1233" s="391" t="s">
        <v>26</v>
      </c>
      <c r="D1233" s="479">
        <v>257.20999999999998</v>
      </c>
      <c r="E1233" s="368"/>
      <c r="F1233" s="368"/>
    </row>
    <row r="1234" spans="1:6" ht="38.25" x14ac:dyDescent="0.2">
      <c r="A1234" s="391">
        <v>103003</v>
      </c>
      <c r="B1234" s="478" t="s">
        <v>47510</v>
      </c>
      <c r="C1234" s="391" t="s">
        <v>26</v>
      </c>
      <c r="D1234" s="479">
        <v>361.29</v>
      </c>
      <c r="E1234" s="368"/>
      <c r="F1234" s="368"/>
    </row>
    <row r="1235" spans="1:6" ht="25.5" x14ac:dyDescent="0.2">
      <c r="A1235" s="391">
        <v>106018</v>
      </c>
      <c r="B1235" s="478" t="s">
        <v>47511</v>
      </c>
      <c r="C1235" s="391" t="s">
        <v>26</v>
      </c>
      <c r="D1235" s="479">
        <v>0</v>
      </c>
      <c r="E1235" s="368"/>
      <c r="F1235" s="368"/>
    </row>
    <row r="1236" spans="1:6" ht="25.5" x14ac:dyDescent="0.2">
      <c r="A1236" s="391">
        <v>105945</v>
      </c>
      <c r="B1236" s="478" t="s">
        <v>47512</v>
      </c>
      <c r="C1236" s="391" t="s">
        <v>255</v>
      </c>
      <c r="D1236" s="479">
        <v>8.61</v>
      </c>
      <c r="E1236" s="368"/>
      <c r="F1236" s="368"/>
    </row>
    <row r="1237" spans="1:6" ht="25.5" x14ac:dyDescent="0.2">
      <c r="A1237" s="391">
        <v>98522</v>
      </c>
      <c r="B1237" s="478" t="s">
        <v>5557</v>
      </c>
      <c r="C1237" s="391" t="s">
        <v>0</v>
      </c>
      <c r="D1237" s="479">
        <v>159.30000000000001</v>
      </c>
      <c r="E1237" s="368"/>
      <c r="F1237" s="368"/>
    </row>
    <row r="1238" spans="1:6" ht="25.5" x14ac:dyDescent="0.2">
      <c r="A1238" s="391">
        <v>98523</v>
      </c>
      <c r="B1238" s="478" t="s">
        <v>40726</v>
      </c>
      <c r="C1238" s="391" t="s">
        <v>0</v>
      </c>
      <c r="D1238" s="479">
        <v>0</v>
      </c>
      <c r="E1238" s="368"/>
      <c r="F1238" s="368"/>
    </row>
    <row r="1239" spans="1:6" ht="51" x14ac:dyDescent="0.2">
      <c r="A1239" s="391">
        <v>102364</v>
      </c>
      <c r="B1239" s="478" t="s">
        <v>5556</v>
      </c>
      <c r="C1239" s="391" t="s">
        <v>255</v>
      </c>
      <c r="D1239" s="479">
        <v>195.85</v>
      </c>
      <c r="E1239" s="368"/>
      <c r="F1239" s="368"/>
    </row>
    <row r="1240" spans="1:6" ht="51" x14ac:dyDescent="0.2">
      <c r="A1240" s="391">
        <v>102363</v>
      </c>
      <c r="B1240" s="478" t="s">
        <v>5555</v>
      </c>
      <c r="C1240" s="391" t="s">
        <v>255</v>
      </c>
      <c r="D1240" s="479">
        <v>173.76</v>
      </c>
      <c r="E1240" s="368"/>
      <c r="F1240" s="368"/>
    </row>
    <row r="1241" spans="1:6" ht="51" x14ac:dyDescent="0.2">
      <c r="A1241" s="391">
        <v>102362</v>
      </c>
      <c r="B1241" s="478" t="s">
        <v>5554</v>
      </c>
      <c r="C1241" s="391" t="s">
        <v>255</v>
      </c>
      <c r="D1241" s="479">
        <v>161.69999999999999</v>
      </c>
      <c r="E1241" s="368"/>
      <c r="F1241" s="368"/>
    </row>
    <row r="1242" spans="1:6" ht="38.25" x14ac:dyDescent="0.2">
      <c r="A1242" s="391">
        <v>101196</v>
      </c>
      <c r="B1242" s="478" t="s">
        <v>40727</v>
      </c>
      <c r="C1242" s="391" t="s">
        <v>0</v>
      </c>
      <c r="D1242" s="479">
        <v>0</v>
      </c>
      <c r="E1242" s="368"/>
      <c r="F1242" s="368"/>
    </row>
    <row r="1243" spans="1:6" ht="38.25" x14ac:dyDescent="0.2">
      <c r="A1243" s="391">
        <v>101195</v>
      </c>
      <c r="B1243" s="478" t="s">
        <v>40728</v>
      </c>
      <c r="C1243" s="391" t="s">
        <v>0</v>
      </c>
      <c r="D1243" s="479">
        <v>0</v>
      </c>
      <c r="E1243" s="368"/>
      <c r="F1243" s="368"/>
    </row>
    <row r="1244" spans="1:6" ht="38.25" x14ac:dyDescent="0.2">
      <c r="A1244" s="391">
        <v>101193</v>
      </c>
      <c r="B1244" s="478" t="s">
        <v>5543</v>
      </c>
      <c r="C1244" s="391" t="s">
        <v>0</v>
      </c>
      <c r="D1244" s="479">
        <v>56.31</v>
      </c>
      <c r="E1244" s="368"/>
      <c r="F1244" s="368"/>
    </row>
    <row r="1245" spans="1:6" ht="38.25" x14ac:dyDescent="0.2">
      <c r="A1245" s="391">
        <v>101192</v>
      </c>
      <c r="B1245" s="478" t="s">
        <v>5542</v>
      </c>
      <c r="C1245" s="391" t="s">
        <v>0</v>
      </c>
      <c r="D1245" s="479">
        <v>60.95</v>
      </c>
      <c r="E1245" s="368"/>
      <c r="F1245" s="368"/>
    </row>
    <row r="1246" spans="1:6" ht="38.25" x14ac:dyDescent="0.2">
      <c r="A1246" s="391">
        <v>101194</v>
      </c>
      <c r="B1246" s="478" t="s">
        <v>5544</v>
      </c>
      <c r="C1246" s="391" t="s">
        <v>0</v>
      </c>
      <c r="D1246" s="479">
        <v>56.55</v>
      </c>
      <c r="E1246" s="368"/>
      <c r="F1246" s="368"/>
    </row>
    <row r="1247" spans="1:6" ht="38.25" x14ac:dyDescent="0.2">
      <c r="A1247" s="391">
        <v>101190</v>
      </c>
      <c r="B1247" s="478" t="s">
        <v>5540</v>
      </c>
      <c r="C1247" s="391" t="s">
        <v>0</v>
      </c>
      <c r="D1247" s="479">
        <v>61.39</v>
      </c>
      <c r="E1247" s="368"/>
      <c r="F1247" s="368"/>
    </row>
    <row r="1248" spans="1:6" ht="38.25" x14ac:dyDescent="0.2">
      <c r="A1248" s="391">
        <v>101189</v>
      </c>
      <c r="B1248" s="478" t="s">
        <v>5539</v>
      </c>
      <c r="C1248" s="391" t="s">
        <v>0</v>
      </c>
      <c r="D1248" s="479">
        <v>61.88</v>
      </c>
      <c r="E1248" s="368"/>
      <c r="F1248" s="368"/>
    </row>
    <row r="1249" spans="1:6" ht="38.25" x14ac:dyDescent="0.2">
      <c r="A1249" s="391">
        <v>101191</v>
      </c>
      <c r="B1249" s="478" t="s">
        <v>5541</v>
      </c>
      <c r="C1249" s="391" t="s">
        <v>0</v>
      </c>
      <c r="D1249" s="479">
        <v>61.63</v>
      </c>
      <c r="E1249" s="368"/>
      <c r="F1249" s="368"/>
    </row>
    <row r="1250" spans="1:6" ht="38.25" x14ac:dyDescent="0.2">
      <c r="A1250" s="391">
        <v>101198</v>
      </c>
      <c r="B1250" s="478" t="s">
        <v>5546</v>
      </c>
      <c r="C1250" s="391" t="s">
        <v>0</v>
      </c>
      <c r="D1250" s="479">
        <v>83.3</v>
      </c>
      <c r="E1250" s="368"/>
      <c r="F1250" s="368"/>
    </row>
    <row r="1251" spans="1:6" ht="38.25" x14ac:dyDescent="0.2">
      <c r="A1251" s="391">
        <v>101197</v>
      </c>
      <c r="B1251" s="478" t="s">
        <v>5545</v>
      </c>
      <c r="C1251" s="391" t="s">
        <v>0</v>
      </c>
      <c r="D1251" s="479">
        <v>117.96</v>
      </c>
      <c r="E1251" s="368"/>
      <c r="F1251" s="368"/>
    </row>
    <row r="1252" spans="1:6" ht="38.25" x14ac:dyDescent="0.2">
      <c r="A1252" s="391">
        <v>101199</v>
      </c>
      <c r="B1252" s="478" t="s">
        <v>5547</v>
      </c>
      <c r="C1252" s="391" t="s">
        <v>0</v>
      </c>
      <c r="D1252" s="479">
        <v>83.91</v>
      </c>
      <c r="E1252" s="368"/>
      <c r="F1252" s="368"/>
    </row>
    <row r="1253" spans="1:6" ht="38.25" x14ac:dyDescent="0.2">
      <c r="A1253" s="391">
        <v>101203</v>
      </c>
      <c r="B1253" s="478" t="s">
        <v>5551</v>
      </c>
      <c r="C1253" s="391" t="s">
        <v>0</v>
      </c>
      <c r="D1253" s="479">
        <v>39.840000000000003</v>
      </c>
      <c r="E1253" s="368"/>
      <c r="F1253" s="368"/>
    </row>
    <row r="1254" spans="1:6" ht="38.25" x14ac:dyDescent="0.2">
      <c r="A1254" s="391">
        <v>101202</v>
      </c>
      <c r="B1254" s="478" t="s">
        <v>5550</v>
      </c>
      <c r="C1254" s="391" t="s">
        <v>0</v>
      </c>
      <c r="D1254" s="479">
        <v>40.46</v>
      </c>
      <c r="E1254" s="368"/>
      <c r="F1254" s="368"/>
    </row>
    <row r="1255" spans="1:6" ht="38.25" x14ac:dyDescent="0.2">
      <c r="A1255" s="391">
        <v>101204</v>
      </c>
      <c r="B1255" s="478" t="s">
        <v>5552</v>
      </c>
      <c r="C1255" s="391" t="s">
        <v>0</v>
      </c>
      <c r="D1255" s="479">
        <v>40.090000000000003</v>
      </c>
      <c r="E1255" s="368"/>
      <c r="F1255" s="368"/>
    </row>
    <row r="1256" spans="1:6" ht="38.25" x14ac:dyDescent="0.2">
      <c r="A1256" s="391">
        <v>101200</v>
      </c>
      <c r="B1256" s="478" t="s">
        <v>5548</v>
      </c>
      <c r="C1256" s="391" t="s">
        <v>0</v>
      </c>
      <c r="D1256" s="479">
        <v>56.71</v>
      </c>
      <c r="E1256" s="368"/>
      <c r="F1256" s="368"/>
    </row>
    <row r="1257" spans="1:6" ht="38.25" x14ac:dyDescent="0.2">
      <c r="A1257" s="391">
        <v>101201</v>
      </c>
      <c r="B1257" s="478" t="s">
        <v>5549</v>
      </c>
      <c r="C1257" s="391" t="s">
        <v>0</v>
      </c>
      <c r="D1257" s="479">
        <v>68.010000000000005</v>
      </c>
      <c r="E1257" s="368"/>
      <c r="F1257" s="368"/>
    </row>
    <row r="1258" spans="1:6" ht="38.25" x14ac:dyDescent="0.2">
      <c r="A1258" s="391">
        <v>101205</v>
      </c>
      <c r="B1258" s="478" t="s">
        <v>5553</v>
      </c>
      <c r="C1258" s="391" t="s">
        <v>0</v>
      </c>
      <c r="D1258" s="479">
        <v>40.46</v>
      </c>
      <c r="E1258" s="368"/>
      <c r="F1258" s="368"/>
    </row>
    <row r="1259" spans="1:6" ht="38.25" x14ac:dyDescent="0.2">
      <c r="A1259" s="391">
        <v>101188</v>
      </c>
      <c r="B1259" s="478" t="s">
        <v>5538</v>
      </c>
      <c r="C1259" s="391" t="s">
        <v>0</v>
      </c>
      <c r="D1259" s="479">
        <v>5.59</v>
      </c>
      <c r="E1259" s="368"/>
      <c r="F1259" s="368"/>
    </row>
    <row r="1260" spans="1:6" ht="38.25" x14ac:dyDescent="0.2">
      <c r="A1260" s="391">
        <v>87905</v>
      </c>
      <c r="B1260" s="478" t="s">
        <v>47513</v>
      </c>
      <c r="C1260" s="391" t="s">
        <v>255</v>
      </c>
      <c r="D1260" s="479">
        <v>7.89</v>
      </c>
      <c r="E1260" s="368"/>
      <c r="F1260" s="368"/>
    </row>
    <row r="1261" spans="1:6" ht="38.25" x14ac:dyDescent="0.2">
      <c r="A1261" s="391">
        <v>87904</v>
      </c>
      <c r="B1261" s="478" t="s">
        <v>47514</v>
      </c>
      <c r="C1261" s="391" t="s">
        <v>255</v>
      </c>
      <c r="D1261" s="479">
        <v>8.35</v>
      </c>
      <c r="E1261" s="368"/>
      <c r="F1261" s="368"/>
    </row>
    <row r="1262" spans="1:6" ht="38.25" x14ac:dyDescent="0.2">
      <c r="A1262" s="391">
        <v>87908</v>
      </c>
      <c r="B1262" s="478" t="s">
        <v>47515</v>
      </c>
      <c r="C1262" s="391" t="s">
        <v>255</v>
      </c>
      <c r="D1262" s="479">
        <v>6.1</v>
      </c>
      <c r="E1262" s="368"/>
      <c r="F1262" s="368"/>
    </row>
    <row r="1263" spans="1:6" ht="38.25" x14ac:dyDescent="0.2">
      <c r="A1263" s="391">
        <v>87907</v>
      </c>
      <c r="B1263" s="478" t="s">
        <v>47516</v>
      </c>
      <c r="C1263" s="391" t="s">
        <v>255</v>
      </c>
      <c r="D1263" s="479">
        <v>6.56</v>
      </c>
      <c r="E1263" s="368"/>
      <c r="F1263" s="368"/>
    </row>
    <row r="1264" spans="1:6" ht="51" x14ac:dyDescent="0.2">
      <c r="A1264" s="391">
        <v>87903</v>
      </c>
      <c r="B1264" s="478" t="s">
        <v>47517</v>
      </c>
      <c r="C1264" s="391" t="s">
        <v>255</v>
      </c>
      <c r="D1264" s="479">
        <v>15.26</v>
      </c>
      <c r="E1264" s="368"/>
      <c r="F1264" s="368"/>
    </row>
    <row r="1265" spans="1:6" ht="38.25" x14ac:dyDescent="0.2">
      <c r="A1265" s="391">
        <v>87902</v>
      </c>
      <c r="B1265" s="478" t="s">
        <v>47518</v>
      </c>
      <c r="C1265" s="391" t="s">
        <v>255</v>
      </c>
      <c r="D1265" s="479">
        <v>15.66</v>
      </c>
      <c r="E1265" s="368"/>
      <c r="F1265" s="368"/>
    </row>
    <row r="1266" spans="1:6" ht="51" x14ac:dyDescent="0.2">
      <c r="A1266" s="391">
        <v>87900</v>
      </c>
      <c r="B1266" s="478" t="s">
        <v>47519</v>
      </c>
      <c r="C1266" s="391" t="s">
        <v>255</v>
      </c>
      <c r="D1266" s="479">
        <v>8.98</v>
      </c>
      <c r="E1266" s="368"/>
      <c r="F1266" s="368"/>
    </row>
    <row r="1267" spans="1:6" ht="51" x14ac:dyDescent="0.2">
      <c r="A1267" s="391">
        <v>87899</v>
      </c>
      <c r="B1267" s="478" t="s">
        <v>47520</v>
      </c>
      <c r="C1267" s="391" t="s">
        <v>255</v>
      </c>
      <c r="D1267" s="479">
        <v>9.1300000000000008</v>
      </c>
      <c r="E1267" s="368"/>
      <c r="F1267" s="368"/>
    </row>
    <row r="1268" spans="1:6" ht="38.25" x14ac:dyDescent="0.2">
      <c r="A1268" s="391">
        <v>87894</v>
      </c>
      <c r="B1268" s="478" t="s">
        <v>47521</v>
      </c>
      <c r="C1268" s="391" t="s">
        <v>255</v>
      </c>
      <c r="D1268" s="479">
        <v>6.76</v>
      </c>
      <c r="E1268" s="368"/>
      <c r="F1268" s="368"/>
    </row>
    <row r="1269" spans="1:6" ht="38.25" x14ac:dyDescent="0.2">
      <c r="A1269" s="391">
        <v>87893</v>
      </c>
      <c r="B1269" s="478" t="s">
        <v>47522</v>
      </c>
      <c r="C1269" s="391" t="s">
        <v>255</v>
      </c>
      <c r="D1269" s="479">
        <v>7.22</v>
      </c>
      <c r="E1269" s="368"/>
      <c r="F1269" s="368"/>
    </row>
    <row r="1270" spans="1:6" ht="38.25" x14ac:dyDescent="0.2">
      <c r="A1270" s="391">
        <v>87897</v>
      </c>
      <c r="B1270" s="478" t="s">
        <v>47523</v>
      </c>
      <c r="C1270" s="391" t="s">
        <v>255</v>
      </c>
      <c r="D1270" s="479">
        <v>5.03</v>
      </c>
      <c r="E1270" s="368"/>
      <c r="F1270" s="368"/>
    </row>
    <row r="1271" spans="1:6" ht="38.25" x14ac:dyDescent="0.2">
      <c r="A1271" s="391">
        <v>87896</v>
      </c>
      <c r="B1271" s="478" t="s">
        <v>4851</v>
      </c>
      <c r="C1271" s="391" t="s">
        <v>255</v>
      </c>
      <c r="D1271" s="479">
        <v>5.49</v>
      </c>
      <c r="E1271" s="368"/>
      <c r="F1271" s="368"/>
    </row>
    <row r="1272" spans="1:6" ht="51" x14ac:dyDescent="0.2">
      <c r="A1272" s="391">
        <v>87892</v>
      </c>
      <c r="B1272" s="478" t="s">
        <v>47524</v>
      </c>
      <c r="C1272" s="391" t="s">
        <v>255</v>
      </c>
      <c r="D1272" s="479">
        <v>14.56</v>
      </c>
      <c r="E1272" s="368"/>
      <c r="F1272" s="368"/>
    </row>
    <row r="1273" spans="1:6" ht="38.25" x14ac:dyDescent="0.2">
      <c r="A1273" s="391">
        <v>87891</v>
      </c>
      <c r="B1273" s="478" t="s">
        <v>4850</v>
      </c>
      <c r="C1273" s="391" t="s">
        <v>255</v>
      </c>
      <c r="D1273" s="479">
        <v>14.96</v>
      </c>
      <c r="E1273" s="368"/>
      <c r="F1273" s="368"/>
    </row>
    <row r="1274" spans="1:6" ht="51" x14ac:dyDescent="0.2">
      <c r="A1274" s="391">
        <v>87889</v>
      </c>
      <c r="B1274" s="478" t="s">
        <v>47525</v>
      </c>
      <c r="C1274" s="391" t="s">
        <v>255</v>
      </c>
      <c r="D1274" s="479">
        <v>8.2799999999999994</v>
      </c>
      <c r="E1274" s="368"/>
      <c r="F1274" s="368"/>
    </row>
    <row r="1275" spans="1:6" ht="51" x14ac:dyDescent="0.2">
      <c r="A1275" s="391">
        <v>87888</v>
      </c>
      <c r="B1275" s="478" t="s">
        <v>47526</v>
      </c>
      <c r="C1275" s="391" t="s">
        <v>255</v>
      </c>
      <c r="D1275" s="479">
        <v>8.43</v>
      </c>
      <c r="E1275" s="368"/>
      <c r="F1275" s="368"/>
    </row>
    <row r="1276" spans="1:6" ht="38.25" x14ac:dyDescent="0.2">
      <c r="A1276" s="391">
        <v>104411</v>
      </c>
      <c r="B1276" s="478" t="s">
        <v>47527</v>
      </c>
      <c r="C1276" s="391" t="s">
        <v>255</v>
      </c>
      <c r="D1276" s="479">
        <v>5.04</v>
      </c>
      <c r="E1276" s="368"/>
      <c r="F1276" s="368"/>
    </row>
    <row r="1277" spans="1:6" ht="38.25" x14ac:dyDescent="0.2">
      <c r="A1277" s="391">
        <v>104410</v>
      </c>
      <c r="B1277" s="478" t="s">
        <v>47528</v>
      </c>
      <c r="C1277" s="391" t="s">
        <v>255</v>
      </c>
      <c r="D1277" s="479">
        <v>5.04</v>
      </c>
      <c r="E1277" s="368"/>
      <c r="F1277" s="368"/>
    </row>
    <row r="1278" spans="1:6" ht="38.25" x14ac:dyDescent="0.2">
      <c r="A1278" s="391">
        <v>87879</v>
      </c>
      <c r="B1278" s="478" t="s">
        <v>47529</v>
      </c>
      <c r="C1278" s="391" t="s">
        <v>255</v>
      </c>
      <c r="D1278" s="479">
        <v>4.37</v>
      </c>
      <c r="E1278" s="368"/>
      <c r="F1278" s="368"/>
    </row>
    <row r="1279" spans="1:6" ht="38.25" x14ac:dyDescent="0.2">
      <c r="A1279" s="391">
        <v>87878</v>
      </c>
      <c r="B1279" s="478" t="s">
        <v>47530</v>
      </c>
      <c r="C1279" s="391" t="s">
        <v>255</v>
      </c>
      <c r="D1279" s="479">
        <v>4.83</v>
      </c>
      <c r="E1279" s="368"/>
      <c r="F1279" s="368"/>
    </row>
    <row r="1280" spans="1:6" ht="38.25" x14ac:dyDescent="0.2">
      <c r="A1280" s="391">
        <v>87885</v>
      </c>
      <c r="B1280" s="478" t="s">
        <v>4847</v>
      </c>
      <c r="C1280" s="391" t="s">
        <v>255</v>
      </c>
      <c r="D1280" s="479">
        <v>12.95</v>
      </c>
      <c r="E1280" s="368"/>
      <c r="F1280" s="368"/>
    </row>
    <row r="1281" spans="1:6" ht="38.25" x14ac:dyDescent="0.2">
      <c r="A1281" s="391">
        <v>87884</v>
      </c>
      <c r="B1281" s="478" t="s">
        <v>4846</v>
      </c>
      <c r="C1281" s="391" t="s">
        <v>255</v>
      </c>
      <c r="D1281" s="479">
        <v>13.35</v>
      </c>
      <c r="E1281" s="368"/>
      <c r="F1281" s="368"/>
    </row>
    <row r="1282" spans="1:6" ht="38.25" x14ac:dyDescent="0.2">
      <c r="A1282" s="391">
        <v>87882</v>
      </c>
      <c r="B1282" s="478" t="s">
        <v>4845</v>
      </c>
      <c r="C1282" s="391" t="s">
        <v>255</v>
      </c>
      <c r="D1282" s="479">
        <v>6.67</v>
      </c>
      <c r="E1282" s="368"/>
      <c r="F1282" s="368"/>
    </row>
    <row r="1283" spans="1:6" ht="38.25" x14ac:dyDescent="0.2">
      <c r="A1283" s="391">
        <v>87881</v>
      </c>
      <c r="B1283" s="478" t="s">
        <v>4844</v>
      </c>
      <c r="C1283" s="391" t="s">
        <v>255</v>
      </c>
      <c r="D1283" s="479">
        <v>6.82</v>
      </c>
      <c r="E1283" s="368"/>
      <c r="F1283" s="368"/>
    </row>
    <row r="1284" spans="1:6" ht="38.25" x14ac:dyDescent="0.2">
      <c r="A1284" s="391">
        <v>87887</v>
      </c>
      <c r="B1284" s="478" t="s">
        <v>4849</v>
      </c>
      <c r="C1284" s="391" t="s">
        <v>255</v>
      </c>
      <c r="D1284" s="479">
        <v>21.07</v>
      </c>
      <c r="E1284" s="368"/>
      <c r="F1284" s="368"/>
    </row>
    <row r="1285" spans="1:6" ht="25.5" x14ac:dyDescent="0.2">
      <c r="A1285" s="391">
        <v>87886</v>
      </c>
      <c r="B1285" s="478" t="s">
        <v>4848</v>
      </c>
      <c r="C1285" s="391" t="s">
        <v>255</v>
      </c>
      <c r="D1285" s="479">
        <v>21.91</v>
      </c>
      <c r="E1285" s="368"/>
      <c r="F1285" s="368"/>
    </row>
    <row r="1286" spans="1:6" ht="38.25" x14ac:dyDescent="0.2">
      <c r="A1286" s="391">
        <v>87911</v>
      </c>
      <c r="B1286" s="478" t="s">
        <v>4853</v>
      </c>
      <c r="C1286" s="391" t="s">
        <v>255</v>
      </c>
      <c r="D1286" s="479">
        <v>26.42</v>
      </c>
      <c r="E1286" s="368"/>
      <c r="F1286" s="368"/>
    </row>
    <row r="1287" spans="1:6" ht="38.25" x14ac:dyDescent="0.2">
      <c r="A1287" s="391">
        <v>87910</v>
      </c>
      <c r="B1287" s="478" t="s">
        <v>4852</v>
      </c>
      <c r="C1287" s="391" t="s">
        <v>255</v>
      </c>
      <c r="D1287" s="479">
        <v>27.26</v>
      </c>
      <c r="E1287" s="368"/>
      <c r="F1287" s="368"/>
    </row>
    <row r="1288" spans="1:6" ht="25.5" x14ac:dyDescent="0.2">
      <c r="A1288" s="391">
        <v>103686</v>
      </c>
      <c r="B1288" s="478" t="s">
        <v>2150</v>
      </c>
      <c r="C1288" s="391" t="s">
        <v>271</v>
      </c>
      <c r="D1288" s="479">
        <v>694.99</v>
      </c>
      <c r="E1288" s="368"/>
      <c r="F1288" s="368"/>
    </row>
    <row r="1289" spans="1:6" ht="25.5" x14ac:dyDescent="0.2">
      <c r="A1289" s="391">
        <v>103685</v>
      </c>
      <c r="B1289" s="478" t="s">
        <v>2149</v>
      </c>
      <c r="C1289" s="391" t="s">
        <v>271</v>
      </c>
      <c r="D1289" s="479">
        <v>636.04999999999995</v>
      </c>
      <c r="E1289" s="368"/>
      <c r="F1289" s="368"/>
    </row>
    <row r="1290" spans="1:6" ht="25.5" x14ac:dyDescent="0.2">
      <c r="A1290" s="391">
        <v>103669</v>
      </c>
      <c r="B1290" s="478" t="s">
        <v>47531</v>
      </c>
      <c r="C1290" s="391" t="s">
        <v>271</v>
      </c>
      <c r="D1290" s="479">
        <v>920.06</v>
      </c>
      <c r="E1290" s="368"/>
      <c r="F1290" s="368"/>
    </row>
    <row r="1291" spans="1:6" ht="25.5" x14ac:dyDescent="0.2">
      <c r="A1291" s="391">
        <v>103672</v>
      </c>
      <c r="B1291" s="478" t="s">
        <v>2138</v>
      </c>
      <c r="C1291" s="391" t="s">
        <v>271</v>
      </c>
      <c r="D1291" s="479">
        <v>631.15</v>
      </c>
      <c r="E1291" s="368"/>
      <c r="F1291" s="368"/>
    </row>
    <row r="1292" spans="1:6" ht="25.5" x14ac:dyDescent="0.2">
      <c r="A1292" s="391">
        <v>103671</v>
      </c>
      <c r="B1292" s="478" t="s">
        <v>2137</v>
      </c>
      <c r="C1292" s="391" t="s">
        <v>271</v>
      </c>
      <c r="D1292" s="479">
        <v>673.46</v>
      </c>
      <c r="E1292" s="368"/>
      <c r="F1292" s="368"/>
    </row>
    <row r="1293" spans="1:6" ht="25.5" x14ac:dyDescent="0.2">
      <c r="A1293" s="391">
        <v>103688</v>
      </c>
      <c r="B1293" s="478" t="s">
        <v>2152</v>
      </c>
      <c r="C1293" s="391" t="s">
        <v>271</v>
      </c>
      <c r="D1293" s="479">
        <v>801</v>
      </c>
      <c r="E1293" s="368"/>
      <c r="F1293" s="368"/>
    </row>
    <row r="1294" spans="1:6" ht="38.25" x14ac:dyDescent="0.2">
      <c r="A1294" s="391">
        <v>103687</v>
      </c>
      <c r="B1294" s="478" t="s">
        <v>2151</v>
      </c>
      <c r="C1294" s="391" t="s">
        <v>271</v>
      </c>
      <c r="D1294" s="479">
        <v>1042.6500000000001</v>
      </c>
      <c r="E1294" s="368"/>
      <c r="F1294" s="368"/>
    </row>
    <row r="1295" spans="1:6" ht="25.5" x14ac:dyDescent="0.2">
      <c r="A1295" s="391">
        <v>103684</v>
      </c>
      <c r="B1295" s="478" t="s">
        <v>2148</v>
      </c>
      <c r="C1295" s="391" t="s">
        <v>271</v>
      </c>
      <c r="D1295" s="479">
        <v>648.5</v>
      </c>
      <c r="E1295" s="368"/>
      <c r="F1295" s="368"/>
    </row>
    <row r="1296" spans="1:6" ht="51" x14ac:dyDescent="0.2">
      <c r="A1296" s="391">
        <v>103681</v>
      </c>
      <c r="B1296" s="478" t="s">
        <v>2145</v>
      </c>
      <c r="C1296" s="391" t="s">
        <v>271</v>
      </c>
      <c r="D1296" s="479">
        <v>699</v>
      </c>
      <c r="E1296" s="368"/>
      <c r="F1296" s="368"/>
    </row>
    <row r="1297" spans="1:6" ht="51" x14ac:dyDescent="0.2">
      <c r="A1297" s="391">
        <v>103679</v>
      </c>
      <c r="B1297" s="478" t="s">
        <v>2143</v>
      </c>
      <c r="C1297" s="391" t="s">
        <v>271</v>
      </c>
      <c r="D1297" s="479">
        <v>765.67</v>
      </c>
      <c r="E1297" s="368"/>
      <c r="F1297" s="368"/>
    </row>
    <row r="1298" spans="1:6" ht="51" x14ac:dyDescent="0.2">
      <c r="A1298" s="391">
        <v>103677</v>
      </c>
      <c r="B1298" s="478" t="s">
        <v>47532</v>
      </c>
      <c r="C1298" s="391" t="s">
        <v>271</v>
      </c>
      <c r="D1298" s="479">
        <v>807.54</v>
      </c>
      <c r="E1298" s="368"/>
      <c r="F1298" s="368"/>
    </row>
    <row r="1299" spans="1:6" ht="38.25" x14ac:dyDescent="0.2">
      <c r="A1299" s="391">
        <v>103675</v>
      </c>
      <c r="B1299" s="478" t="s">
        <v>2141</v>
      </c>
      <c r="C1299" s="391" t="s">
        <v>271</v>
      </c>
      <c r="D1299" s="479">
        <v>631.54</v>
      </c>
      <c r="E1299" s="368"/>
      <c r="F1299" s="368"/>
    </row>
    <row r="1300" spans="1:6" ht="38.25" x14ac:dyDescent="0.2">
      <c r="A1300" s="391">
        <v>103680</v>
      </c>
      <c r="B1300" s="478" t="s">
        <v>2144</v>
      </c>
      <c r="C1300" s="391" t="s">
        <v>271</v>
      </c>
      <c r="D1300" s="479">
        <v>811.8</v>
      </c>
      <c r="E1300" s="368"/>
      <c r="F1300" s="368"/>
    </row>
    <row r="1301" spans="1:6" ht="38.25" x14ac:dyDescent="0.2">
      <c r="A1301" s="391">
        <v>103678</v>
      </c>
      <c r="B1301" s="478" t="s">
        <v>47533</v>
      </c>
      <c r="C1301" s="391" t="s">
        <v>271</v>
      </c>
      <c r="D1301" s="479">
        <v>882.11</v>
      </c>
      <c r="E1301" s="368"/>
      <c r="F1301" s="368"/>
    </row>
    <row r="1302" spans="1:6" ht="38.25" x14ac:dyDescent="0.2">
      <c r="A1302" s="391">
        <v>103676</v>
      </c>
      <c r="B1302" s="478" t="s">
        <v>2142</v>
      </c>
      <c r="C1302" s="391" t="s">
        <v>271</v>
      </c>
      <c r="D1302" s="479">
        <v>976.45</v>
      </c>
      <c r="E1302" s="368"/>
      <c r="F1302" s="368"/>
    </row>
    <row r="1303" spans="1:6" ht="38.25" x14ac:dyDescent="0.2">
      <c r="A1303" s="391">
        <v>103674</v>
      </c>
      <c r="B1303" s="478" t="s">
        <v>2140</v>
      </c>
      <c r="C1303" s="391" t="s">
        <v>271</v>
      </c>
      <c r="D1303" s="479">
        <v>651.12</v>
      </c>
      <c r="E1303" s="368"/>
      <c r="F1303" s="368"/>
    </row>
    <row r="1304" spans="1:6" ht="38.25" x14ac:dyDescent="0.2">
      <c r="A1304" s="391">
        <v>103683</v>
      </c>
      <c r="B1304" s="478" t="s">
        <v>2147</v>
      </c>
      <c r="C1304" s="391" t="s">
        <v>271</v>
      </c>
      <c r="D1304" s="479">
        <v>1223.8</v>
      </c>
      <c r="E1304" s="368"/>
      <c r="F1304" s="368"/>
    </row>
    <row r="1305" spans="1:6" ht="38.25" x14ac:dyDescent="0.2">
      <c r="A1305" s="391">
        <v>103682</v>
      </c>
      <c r="B1305" s="478" t="s">
        <v>2146</v>
      </c>
      <c r="C1305" s="391" t="s">
        <v>271</v>
      </c>
      <c r="D1305" s="479">
        <v>937.97</v>
      </c>
      <c r="E1305" s="368"/>
      <c r="F1305" s="368"/>
    </row>
    <row r="1306" spans="1:6" ht="25.5" x14ac:dyDescent="0.2">
      <c r="A1306" s="391">
        <v>103670</v>
      </c>
      <c r="B1306" s="478" t="s">
        <v>2136</v>
      </c>
      <c r="C1306" s="391" t="s">
        <v>271</v>
      </c>
      <c r="D1306" s="479">
        <v>294.32</v>
      </c>
      <c r="E1306" s="368"/>
      <c r="F1306" s="368"/>
    </row>
    <row r="1307" spans="1:6" ht="25.5" x14ac:dyDescent="0.2">
      <c r="A1307" s="391">
        <v>103673</v>
      </c>
      <c r="B1307" s="478" t="s">
        <v>2139</v>
      </c>
      <c r="C1307" s="391" t="s">
        <v>271</v>
      </c>
      <c r="D1307" s="479">
        <v>41.43</v>
      </c>
      <c r="E1307" s="368"/>
      <c r="F1307" s="368"/>
    </row>
    <row r="1308" spans="1:6" ht="51" x14ac:dyDescent="0.2">
      <c r="A1308" s="391">
        <v>91084</v>
      </c>
      <c r="B1308" s="478" t="s">
        <v>39446</v>
      </c>
      <c r="C1308" s="391" t="s">
        <v>255</v>
      </c>
      <c r="D1308" s="479">
        <v>267.89999999999998</v>
      </c>
      <c r="E1308" s="368"/>
      <c r="F1308" s="368"/>
    </row>
    <row r="1309" spans="1:6" ht="51" x14ac:dyDescent="0.2">
      <c r="A1309" s="391">
        <v>91080</v>
      </c>
      <c r="B1309" s="478" t="s">
        <v>39442</v>
      </c>
      <c r="C1309" s="391" t="s">
        <v>255</v>
      </c>
      <c r="D1309" s="479">
        <v>211.42</v>
      </c>
      <c r="E1309" s="368"/>
      <c r="F1309" s="368"/>
    </row>
    <row r="1310" spans="1:6" ht="51" x14ac:dyDescent="0.2">
      <c r="A1310" s="391">
        <v>91101</v>
      </c>
      <c r="B1310" s="478" t="s">
        <v>39462</v>
      </c>
      <c r="C1310" s="391" t="s">
        <v>255</v>
      </c>
      <c r="D1310" s="479">
        <v>248.91</v>
      </c>
      <c r="E1310" s="368"/>
      <c r="F1310" s="368"/>
    </row>
    <row r="1311" spans="1:6" ht="51" x14ac:dyDescent="0.2">
      <c r="A1311" s="391">
        <v>91097</v>
      </c>
      <c r="B1311" s="478" t="s">
        <v>39458</v>
      </c>
      <c r="C1311" s="391" t="s">
        <v>255</v>
      </c>
      <c r="D1311" s="479">
        <v>204.25</v>
      </c>
      <c r="E1311" s="368"/>
      <c r="F1311" s="368"/>
    </row>
    <row r="1312" spans="1:6" ht="51" x14ac:dyDescent="0.2">
      <c r="A1312" s="391">
        <v>91082</v>
      </c>
      <c r="B1312" s="478" t="s">
        <v>39444</v>
      </c>
      <c r="C1312" s="391" t="s">
        <v>255</v>
      </c>
      <c r="D1312" s="479">
        <v>242</v>
      </c>
      <c r="E1312" s="368"/>
      <c r="F1312" s="368"/>
    </row>
    <row r="1313" spans="1:6" ht="51" x14ac:dyDescent="0.2">
      <c r="A1313" s="391">
        <v>91078</v>
      </c>
      <c r="B1313" s="478" t="s">
        <v>39440</v>
      </c>
      <c r="C1313" s="391" t="s">
        <v>255</v>
      </c>
      <c r="D1313" s="479">
        <v>199.54</v>
      </c>
      <c r="E1313" s="368"/>
      <c r="F1313" s="368"/>
    </row>
    <row r="1314" spans="1:6" ht="51" x14ac:dyDescent="0.2">
      <c r="A1314" s="391">
        <v>91099</v>
      </c>
      <c r="B1314" s="478" t="s">
        <v>39460</v>
      </c>
      <c r="C1314" s="391" t="s">
        <v>255</v>
      </c>
      <c r="D1314" s="479">
        <v>228.57</v>
      </c>
      <c r="E1314" s="368"/>
      <c r="F1314" s="368"/>
    </row>
    <row r="1315" spans="1:6" ht="51" x14ac:dyDescent="0.2">
      <c r="A1315" s="391">
        <v>91095</v>
      </c>
      <c r="B1315" s="478" t="s">
        <v>39456</v>
      </c>
      <c r="C1315" s="391" t="s">
        <v>255</v>
      </c>
      <c r="D1315" s="479">
        <v>193.83</v>
      </c>
      <c r="E1315" s="368"/>
      <c r="F1315" s="368"/>
    </row>
    <row r="1316" spans="1:6" ht="51" x14ac:dyDescent="0.2">
      <c r="A1316" s="391">
        <v>91076</v>
      </c>
      <c r="B1316" s="478" t="s">
        <v>39438</v>
      </c>
      <c r="C1316" s="391" t="s">
        <v>255</v>
      </c>
      <c r="D1316" s="479">
        <v>363.6</v>
      </c>
      <c r="E1316" s="368"/>
      <c r="F1316" s="368"/>
    </row>
    <row r="1317" spans="1:6" ht="51" x14ac:dyDescent="0.2">
      <c r="A1317" s="391">
        <v>91072</v>
      </c>
      <c r="B1317" s="478" t="s">
        <v>39434</v>
      </c>
      <c r="C1317" s="391" t="s">
        <v>255</v>
      </c>
      <c r="D1317" s="479">
        <v>318.95999999999998</v>
      </c>
      <c r="E1317" s="368"/>
      <c r="F1317" s="368"/>
    </row>
    <row r="1318" spans="1:6" ht="51" x14ac:dyDescent="0.2">
      <c r="A1318" s="391">
        <v>91093</v>
      </c>
      <c r="B1318" s="478" t="s">
        <v>39454</v>
      </c>
      <c r="C1318" s="391" t="s">
        <v>255</v>
      </c>
      <c r="D1318" s="479">
        <v>377.65</v>
      </c>
      <c r="E1318" s="368"/>
      <c r="F1318" s="368"/>
    </row>
    <row r="1319" spans="1:6" ht="51" x14ac:dyDescent="0.2">
      <c r="A1319" s="391">
        <v>91089</v>
      </c>
      <c r="B1319" s="478" t="s">
        <v>39450</v>
      </c>
      <c r="C1319" s="391" t="s">
        <v>255</v>
      </c>
      <c r="D1319" s="479">
        <v>341.11</v>
      </c>
      <c r="E1319" s="368"/>
      <c r="F1319" s="368"/>
    </row>
    <row r="1320" spans="1:6" ht="51" x14ac:dyDescent="0.2">
      <c r="A1320" s="391">
        <v>91074</v>
      </c>
      <c r="B1320" s="478" t="s">
        <v>39436</v>
      </c>
      <c r="C1320" s="391" t="s">
        <v>255</v>
      </c>
      <c r="D1320" s="479">
        <v>236.96</v>
      </c>
      <c r="E1320" s="368"/>
      <c r="F1320" s="368"/>
    </row>
    <row r="1321" spans="1:6" ht="51" x14ac:dyDescent="0.2">
      <c r="A1321" s="391">
        <v>91070</v>
      </c>
      <c r="B1321" s="478" t="s">
        <v>39432</v>
      </c>
      <c r="C1321" s="391" t="s">
        <v>255</v>
      </c>
      <c r="D1321" s="479">
        <v>202.57</v>
      </c>
      <c r="E1321" s="368"/>
      <c r="F1321" s="368"/>
    </row>
    <row r="1322" spans="1:6" ht="51" x14ac:dyDescent="0.2">
      <c r="A1322" s="391">
        <v>91091</v>
      </c>
      <c r="B1322" s="478" t="s">
        <v>39452</v>
      </c>
      <c r="C1322" s="391" t="s">
        <v>255</v>
      </c>
      <c r="D1322" s="479">
        <v>252.32</v>
      </c>
      <c r="E1322" s="368"/>
      <c r="F1322" s="368"/>
    </row>
    <row r="1323" spans="1:6" ht="51" x14ac:dyDescent="0.2">
      <c r="A1323" s="391">
        <v>91087</v>
      </c>
      <c r="B1323" s="478" t="s">
        <v>39448</v>
      </c>
      <c r="C1323" s="391" t="s">
        <v>255</v>
      </c>
      <c r="D1323" s="479">
        <v>223.64</v>
      </c>
      <c r="E1323" s="368"/>
      <c r="F1323" s="368"/>
    </row>
    <row r="1324" spans="1:6" ht="51" x14ac:dyDescent="0.2">
      <c r="A1324" s="391">
        <v>91083</v>
      </c>
      <c r="B1324" s="478" t="s">
        <v>39445</v>
      </c>
      <c r="C1324" s="391" t="s">
        <v>255</v>
      </c>
      <c r="D1324" s="479">
        <v>330.49</v>
      </c>
      <c r="E1324" s="368"/>
      <c r="F1324" s="368"/>
    </row>
    <row r="1325" spans="1:6" ht="51" x14ac:dyDescent="0.2">
      <c r="A1325" s="391">
        <v>91079</v>
      </c>
      <c r="B1325" s="478" t="s">
        <v>39441</v>
      </c>
      <c r="C1325" s="391" t="s">
        <v>255</v>
      </c>
      <c r="D1325" s="479">
        <v>197.87</v>
      </c>
      <c r="E1325" s="368"/>
      <c r="F1325" s="368"/>
    </row>
    <row r="1326" spans="1:6" ht="51" x14ac:dyDescent="0.2">
      <c r="A1326" s="391">
        <v>91100</v>
      </c>
      <c r="B1326" s="478" t="s">
        <v>39461</v>
      </c>
      <c r="C1326" s="391" t="s">
        <v>255</v>
      </c>
      <c r="D1326" s="479">
        <v>274.81</v>
      </c>
      <c r="E1326" s="368"/>
      <c r="F1326" s="368"/>
    </row>
    <row r="1327" spans="1:6" ht="51" x14ac:dyDescent="0.2">
      <c r="A1327" s="391">
        <v>91096</v>
      </c>
      <c r="B1327" s="478" t="s">
        <v>39457</v>
      </c>
      <c r="C1327" s="391" t="s">
        <v>255</v>
      </c>
      <c r="D1327" s="479">
        <v>187.07</v>
      </c>
      <c r="E1327" s="368"/>
      <c r="F1327" s="368"/>
    </row>
    <row r="1328" spans="1:6" ht="51" x14ac:dyDescent="0.2">
      <c r="A1328" s="391">
        <v>91081</v>
      </c>
      <c r="B1328" s="478" t="s">
        <v>39443</v>
      </c>
      <c r="C1328" s="391" t="s">
        <v>255</v>
      </c>
      <c r="D1328" s="479">
        <v>264.97000000000003</v>
      </c>
      <c r="E1328" s="368"/>
      <c r="F1328" s="368"/>
    </row>
    <row r="1329" spans="1:6" ht="51" x14ac:dyDescent="0.2">
      <c r="A1329" s="391">
        <v>91077</v>
      </c>
      <c r="B1329" s="478" t="s">
        <v>39439</v>
      </c>
      <c r="C1329" s="391" t="s">
        <v>255</v>
      </c>
      <c r="D1329" s="479">
        <v>182.33</v>
      </c>
      <c r="E1329" s="368"/>
      <c r="F1329" s="368"/>
    </row>
    <row r="1330" spans="1:6" ht="51" x14ac:dyDescent="0.2">
      <c r="A1330" s="391">
        <v>91098</v>
      </c>
      <c r="B1330" s="478" t="s">
        <v>39459</v>
      </c>
      <c r="C1330" s="391" t="s">
        <v>255</v>
      </c>
      <c r="D1330" s="479">
        <v>233.41</v>
      </c>
      <c r="E1330" s="368"/>
      <c r="F1330" s="368"/>
    </row>
    <row r="1331" spans="1:6" ht="51" x14ac:dyDescent="0.2">
      <c r="A1331" s="391">
        <v>91094</v>
      </c>
      <c r="B1331" s="478" t="s">
        <v>39455</v>
      </c>
      <c r="C1331" s="391" t="s">
        <v>255</v>
      </c>
      <c r="D1331" s="479">
        <v>174.3</v>
      </c>
      <c r="E1331" s="368"/>
      <c r="F1331" s="368"/>
    </row>
    <row r="1332" spans="1:6" ht="51" x14ac:dyDescent="0.2">
      <c r="A1332" s="391">
        <v>91075</v>
      </c>
      <c r="B1332" s="478" t="s">
        <v>39437</v>
      </c>
      <c r="C1332" s="391" t="s">
        <v>255</v>
      </c>
      <c r="D1332" s="479">
        <v>396.38</v>
      </c>
      <c r="E1332" s="368"/>
      <c r="F1332" s="368"/>
    </row>
    <row r="1333" spans="1:6" ht="51" x14ac:dyDescent="0.2">
      <c r="A1333" s="391">
        <v>91071</v>
      </c>
      <c r="B1333" s="478" t="s">
        <v>39433</v>
      </c>
      <c r="C1333" s="391" t="s">
        <v>255</v>
      </c>
      <c r="D1333" s="479">
        <v>310.14999999999998</v>
      </c>
      <c r="E1333" s="368"/>
      <c r="F1333" s="368"/>
    </row>
    <row r="1334" spans="1:6" ht="51" x14ac:dyDescent="0.2">
      <c r="A1334" s="391">
        <v>91092</v>
      </c>
      <c r="B1334" s="478" t="s">
        <v>39453</v>
      </c>
      <c r="C1334" s="391" t="s">
        <v>255</v>
      </c>
      <c r="D1334" s="479">
        <v>391.76</v>
      </c>
      <c r="E1334" s="368"/>
      <c r="F1334" s="368"/>
    </row>
    <row r="1335" spans="1:6" ht="51" x14ac:dyDescent="0.2">
      <c r="A1335" s="391">
        <v>91088</v>
      </c>
      <c r="B1335" s="478" t="s">
        <v>39449</v>
      </c>
      <c r="C1335" s="391" t="s">
        <v>255</v>
      </c>
      <c r="D1335" s="479">
        <v>329.92</v>
      </c>
      <c r="E1335" s="368"/>
      <c r="F1335" s="368"/>
    </row>
    <row r="1336" spans="1:6" ht="51" x14ac:dyDescent="0.2">
      <c r="A1336" s="391">
        <v>91073</v>
      </c>
      <c r="B1336" s="478" t="s">
        <v>39435</v>
      </c>
      <c r="C1336" s="391" t="s">
        <v>255</v>
      </c>
      <c r="D1336" s="479">
        <v>249.77</v>
      </c>
      <c r="E1336" s="368"/>
      <c r="F1336" s="368"/>
    </row>
    <row r="1337" spans="1:6" ht="51" x14ac:dyDescent="0.2">
      <c r="A1337" s="391">
        <v>91069</v>
      </c>
      <c r="B1337" s="478" t="s">
        <v>39431</v>
      </c>
      <c r="C1337" s="391" t="s">
        <v>255</v>
      </c>
      <c r="D1337" s="479">
        <v>191.52</v>
      </c>
      <c r="E1337" s="368"/>
      <c r="F1337" s="368"/>
    </row>
    <row r="1338" spans="1:6" ht="51" x14ac:dyDescent="0.2">
      <c r="A1338" s="391">
        <v>91090</v>
      </c>
      <c r="B1338" s="478" t="s">
        <v>39451</v>
      </c>
      <c r="C1338" s="391" t="s">
        <v>255</v>
      </c>
      <c r="D1338" s="479">
        <v>255</v>
      </c>
      <c r="E1338" s="368"/>
      <c r="F1338" s="368"/>
    </row>
    <row r="1339" spans="1:6" ht="51" x14ac:dyDescent="0.2">
      <c r="A1339" s="391">
        <v>91086</v>
      </c>
      <c r="B1339" s="478" t="s">
        <v>39447</v>
      </c>
      <c r="C1339" s="391" t="s">
        <v>255</v>
      </c>
      <c r="D1339" s="479">
        <v>211.01</v>
      </c>
      <c r="E1339" s="368"/>
      <c r="F1339" s="368"/>
    </row>
    <row r="1340" spans="1:6" ht="25.5" x14ac:dyDescent="0.2">
      <c r="A1340" s="391">
        <v>105522</v>
      </c>
      <c r="B1340" s="478" t="s">
        <v>40729</v>
      </c>
      <c r="C1340" s="391" t="s">
        <v>255</v>
      </c>
      <c r="D1340" s="479">
        <v>0</v>
      </c>
      <c r="E1340" s="368"/>
      <c r="F1340" s="368"/>
    </row>
    <row r="1341" spans="1:6" ht="25.5" x14ac:dyDescent="0.2">
      <c r="A1341" s="391">
        <v>104281</v>
      </c>
      <c r="B1341" s="478" t="s">
        <v>40730</v>
      </c>
      <c r="C1341" s="391" t="s">
        <v>26</v>
      </c>
      <c r="D1341" s="479">
        <v>0</v>
      </c>
      <c r="E1341" s="368"/>
      <c r="F1341" s="368"/>
    </row>
    <row r="1342" spans="1:6" ht="25.5" x14ac:dyDescent="0.2">
      <c r="A1342" s="391">
        <v>104287</v>
      </c>
      <c r="B1342" s="478" t="s">
        <v>40731</v>
      </c>
      <c r="C1342" s="391" t="s">
        <v>26</v>
      </c>
      <c r="D1342" s="479">
        <v>0</v>
      </c>
      <c r="E1342" s="368"/>
      <c r="F1342" s="368"/>
    </row>
    <row r="1343" spans="1:6" ht="25.5" x14ac:dyDescent="0.2">
      <c r="A1343" s="391">
        <v>104286</v>
      </c>
      <c r="B1343" s="478" t="s">
        <v>40732</v>
      </c>
      <c r="C1343" s="391" t="s">
        <v>26</v>
      </c>
      <c r="D1343" s="479">
        <v>0</v>
      </c>
      <c r="E1343" s="368"/>
      <c r="F1343" s="368"/>
    </row>
    <row r="1344" spans="1:6" ht="25.5" x14ac:dyDescent="0.2">
      <c r="A1344" s="391">
        <v>104292</v>
      </c>
      <c r="B1344" s="478" t="s">
        <v>40733</v>
      </c>
      <c r="C1344" s="391" t="s">
        <v>26</v>
      </c>
      <c r="D1344" s="479">
        <v>0</v>
      </c>
      <c r="E1344" s="368"/>
      <c r="F1344" s="368"/>
    </row>
    <row r="1345" spans="1:6" ht="25.5" x14ac:dyDescent="0.2">
      <c r="A1345" s="391">
        <v>104282</v>
      </c>
      <c r="B1345" s="478" t="s">
        <v>40734</v>
      </c>
      <c r="C1345" s="391" t="s">
        <v>26</v>
      </c>
      <c r="D1345" s="479">
        <v>0</v>
      </c>
      <c r="E1345" s="368"/>
      <c r="F1345" s="368"/>
    </row>
    <row r="1346" spans="1:6" ht="25.5" x14ac:dyDescent="0.2">
      <c r="A1346" s="391">
        <v>104288</v>
      </c>
      <c r="B1346" s="478" t="s">
        <v>40735</v>
      </c>
      <c r="C1346" s="391" t="s">
        <v>26</v>
      </c>
      <c r="D1346" s="479">
        <v>0</v>
      </c>
      <c r="E1346" s="368"/>
      <c r="F1346" s="368"/>
    </row>
    <row r="1347" spans="1:6" ht="25.5" x14ac:dyDescent="0.2">
      <c r="A1347" s="391">
        <v>104283</v>
      </c>
      <c r="B1347" s="478" t="s">
        <v>40736</v>
      </c>
      <c r="C1347" s="391" t="s">
        <v>26</v>
      </c>
      <c r="D1347" s="479">
        <v>0</v>
      </c>
      <c r="E1347" s="368"/>
      <c r="F1347" s="368"/>
    </row>
    <row r="1348" spans="1:6" ht="25.5" x14ac:dyDescent="0.2">
      <c r="A1348" s="391">
        <v>104289</v>
      </c>
      <c r="B1348" s="478" t="s">
        <v>40737</v>
      </c>
      <c r="C1348" s="391" t="s">
        <v>26</v>
      </c>
      <c r="D1348" s="479">
        <v>0</v>
      </c>
      <c r="E1348" s="368"/>
      <c r="F1348" s="368"/>
    </row>
    <row r="1349" spans="1:6" ht="25.5" x14ac:dyDescent="0.2">
      <c r="A1349" s="391">
        <v>104284</v>
      </c>
      <c r="B1349" s="478" t="s">
        <v>40738</v>
      </c>
      <c r="C1349" s="391" t="s">
        <v>26</v>
      </c>
      <c r="D1349" s="479">
        <v>0</v>
      </c>
      <c r="E1349" s="368"/>
      <c r="F1349" s="368"/>
    </row>
    <row r="1350" spans="1:6" ht="25.5" x14ac:dyDescent="0.2">
      <c r="A1350" s="391">
        <v>104290</v>
      </c>
      <c r="B1350" s="478" t="s">
        <v>40739</v>
      </c>
      <c r="C1350" s="391" t="s">
        <v>26</v>
      </c>
      <c r="D1350" s="479">
        <v>0</v>
      </c>
      <c r="E1350" s="368"/>
      <c r="F1350" s="368"/>
    </row>
    <row r="1351" spans="1:6" ht="25.5" x14ac:dyDescent="0.2">
      <c r="A1351" s="391">
        <v>104285</v>
      </c>
      <c r="B1351" s="478" t="s">
        <v>40740</v>
      </c>
      <c r="C1351" s="391" t="s">
        <v>26</v>
      </c>
      <c r="D1351" s="479">
        <v>0</v>
      </c>
      <c r="E1351" s="368"/>
      <c r="F1351" s="368"/>
    </row>
    <row r="1352" spans="1:6" ht="25.5" x14ac:dyDescent="0.2">
      <c r="A1352" s="391">
        <v>104291</v>
      </c>
      <c r="B1352" s="478" t="s">
        <v>40741</v>
      </c>
      <c r="C1352" s="391" t="s">
        <v>26</v>
      </c>
      <c r="D1352" s="479">
        <v>0</v>
      </c>
      <c r="E1352" s="368"/>
      <c r="F1352" s="368"/>
    </row>
    <row r="1353" spans="1:6" ht="25.5" x14ac:dyDescent="0.2">
      <c r="A1353" s="391">
        <v>104267</v>
      </c>
      <c r="B1353" s="478" t="s">
        <v>40742</v>
      </c>
      <c r="C1353" s="391" t="s">
        <v>26</v>
      </c>
      <c r="D1353" s="479">
        <v>0</v>
      </c>
      <c r="E1353" s="368"/>
      <c r="F1353" s="368"/>
    </row>
    <row r="1354" spans="1:6" ht="25.5" x14ac:dyDescent="0.2">
      <c r="A1354" s="391">
        <v>104268</v>
      </c>
      <c r="B1354" s="478" t="s">
        <v>40743</v>
      </c>
      <c r="C1354" s="391" t="s">
        <v>26</v>
      </c>
      <c r="D1354" s="479">
        <v>0</v>
      </c>
      <c r="E1354" s="368"/>
      <c r="F1354" s="368"/>
    </row>
    <row r="1355" spans="1:6" ht="25.5" x14ac:dyDescent="0.2">
      <c r="A1355" s="391">
        <v>104269</v>
      </c>
      <c r="B1355" s="478" t="s">
        <v>40744</v>
      </c>
      <c r="C1355" s="391" t="s">
        <v>26</v>
      </c>
      <c r="D1355" s="479">
        <v>0</v>
      </c>
      <c r="E1355" s="368"/>
      <c r="F1355" s="368"/>
    </row>
    <row r="1356" spans="1:6" ht="25.5" x14ac:dyDescent="0.2">
      <c r="A1356" s="391">
        <v>104270</v>
      </c>
      <c r="B1356" s="478" t="s">
        <v>40745</v>
      </c>
      <c r="C1356" s="391" t="s">
        <v>26</v>
      </c>
      <c r="D1356" s="479">
        <v>0</v>
      </c>
      <c r="E1356" s="368"/>
      <c r="F1356" s="368"/>
    </row>
    <row r="1357" spans="1:6" ht="25.5" x14ac:dyDescent="0.2">
      <c r="A1357" s="391">
        <v>104276</v>
      </c>
      <c r="B1357" s="478" t="s">
        <v>40746</v>
      </c>
      <c r="C1357" s="391" t="s">
        <v>26</v>
      </c>
      <c r="D1357" s="479">
        <v>0</v>
      </c>
      <c r="E1357" s="368"/>
      <c r="F1357" s="368"/>
    </row>
    <row r="1358" spans="1:6" ht="25.5" x14ac:dyDescent="0.2">
      <c r="A1358" s="391">
        <v>104280</v>
      </c>
      <c r="B1358" s="478" t="s">
        <v>40747</v>
      </c>
      <c r="C1358" s="391" t="s">
        <v>26</v>
      </c>
      <c r="D1358" s="479">
        <v>0</v>
      </c>
      <c r="E1358" s="368"/>
      <c r="F1358" s="368"/>
    </row>
    <row r="1359" spans="1:6" ht="25.5" x14ac:dyDescent="0.2">
      <c r="A1359" s="391">
        <v>104271</v>
      </c>
      <c r="B1359" s="478" t="s">
        <v>40748</v>
      </c>
      <c r="C1359" s="391" t="s">
        <v>26</v>
      </c>
      <c r="D1359" s="479">
        <v>0</v>
      </c>
      <c r="E1359" s="368"/>
      <c r="F1359" s="368"/>
    </row>
    <row r="1360" spans="1:6" ht="25.5" x14ac:dyDescent="0.2">
      <c r="A1360" s="391">
        <v>104272</v>
      </c>
      <c r="B1360" s="478" t="s">
        <v>40749</v>
      </c>
      <c r="C1360" s="391" t="s">
        <v>26</v>
      </c>
      <c r="D1360" s="479">
        <v>0</v>
      </c>
      <c r="E1360" s="368"/>
      <c r="F1360" s="368"/>
    </row>
    <row r="1361" spans="1:6" ht="25.5" x14ac:dyDescent="0.2">
      <c r="A1361" s="391">
        <v>104273</v>
      </c>
      <c r="B1361" s="478" t="s">
        <v>40750</v>
      </c>
      <c r="C1361" s="391" t="s">
        <v>26</v>
      </c>
      <c r="D1361" s="479">
        <v>0</v>
      </c>
      <c r="E1361" s="368"/>
      <c r="F1361" s="368"/>
    </row>
    <row r="1362" spans="1:6" ht="25.5" x14ac:dyDescent="0.2">
      <c r="A1362" s="391">
        <v>104277</v>
      </c>
      <c r="B1362" s="478" t="s">
        <v>40751</v>
      </c>
      <c r="C1362" s="391" t="s">
        <v>26</v>
      </c>
      <c r="D1362" s="479">
        <v>0</v>
      </c>
      <c r="E1362" s="368"/>
      <c r="F1362" s="368"/>
    </row>
    <row r="1363" spans="1:6" ht="25.5" x14ac:dyDescent="0.2">
      <c r="A1363" s="391">
        <v>104274</v>
      </c>
      <c r="B1363" s="478" t="s">
        <v>40752</v>
      </c>
      <c r="C1363" s="391" t="s">
        <v>26</v>
      </c>
      <c r="D1363" s="479">
        <v>0</v>
      </c>
      <c r="E1363" s="368"/>
      <c r="F1363" s="368"/>
    </row>
    <row r="1364" spans="1:6" ht="25.5" x14ac:dyDescent="0.2">
      <c r="A1364" s="391">
        <v>104278</v>
      </c>
      <c r="B1364" s="478" t="s">
        <v>40753</v>
      </c>
      <c r="C1364" s="391" t="s">
        <v>26</v>
      </c>
      <c r="D1364" s="479">
        <v>0</v>
      </c>
      <c r="E1364" s="368"/>
      <c r="F1364" s="368"/>
    </row>
    <row r="1365" spans="1:6" ht="25.5" x14ac:dyDescent="0.2">
      <c r="A1365" s="391">
        <v>104275</v>
      </c>
      <c r="B1365" s="478" t="s">
        <v>40754</v>
      </c>
      <c r="C1365" s="391" t="s">
        <v>26</v>
      </c>
      <c r="D1365" s="479">
        <v>0</v>
      </c>
      <c r="E1365" s="368"/>
      <c r="F1365" s="368"/>
    </row>
    <row r="1366" spans="1:6" ht="25.5" x14ac:dyDescent="0.2">
      <c r="A1366" s="391">
        <v>104279</v>
      </c>
      <c r="B1366" s="478" t="s">
        <v>40755</v>
      </c>
      <c r="C1366" s="391" t="s">
        <v>26</v>
      </c>
      <c r="D1366" s="479">
        <v>0</v>
      </c>
      <c r="E1366" s="368"/>
      <c r="F1366" s="368"/>
    </row>
    <row r="1367" spans="1:6" ht="25.5" x14ac:dyDescent="0.2">
      <c r="A1367" s="391">
        <v>104265</v>
      </c>
      <c r="B1367" s="478" t="s">
        <v>40756</v>
      </c>
      <c r="C1367" s="391" t="s">
        <v>26</v>
      </c>
      <c r="D1367" s="479">
        <v>0</v>
      </c>
      <c r="E1367" s="368"/>
      <c r="F1367" s="368"/>
    </row>
    <row r="1368" spans="1:6" ht="25.5" x14ac:dyDescent="0.2">
      <c r="A1368" s="391">
        <v>104266</v>
      </c>
      <c r="B1368" s="478" t="s">
        <v>40757</v>
      </c>
      <c r="C1368" s="391" t="s">
        <v>26</v>
      </c>
      <c r="D1368" s="479">
        <v>0</v>
      </c>
      <c r="E1368" s="368"/>
      <c r="F1368" s="368"/>
    </row>
    <row r="1369" spans="1:6" ht="25.5" x14ac:dyDescent="0.2">
      <c r="A1369" s="391">
        <v>104305</v>
      </c>
      <c r="B1369" s="478" t="s">
        <v>40758</v>
      </c>
      <c r="C1369" s="391" t="s">
        <v>0</v>
      </c>
      <c r="D1369" s="479">
        <v>0</v>
      </c>
      <c r="E1369" s="368"/>
      <c r="F1369" s="368"/>
    </row>
    <row r="1370" spans="1:6" ht="25.5" x14ac:dyDescent="0.2">
      <c r="A1370" s="391">
        <v>104306</v>
      </c>
      <c r="B1370" s="478" t="s">
        <v>40759</v>
      </c>
      <c r="C1370" s="391" t="s">
        <v>0</v>
      </c>
      <c r="D1370" s="479">
        <v>0</v>
      </c>
      <c r="E1370" s="368"/>
      <c r="F1370" s="368"/>
    </row>
    <row r="1371" spans="1:6" ht="25.5" x14ac:dyDescent="0.2">
      <c r="A1371" s="391">
        <v>104307</v>
      </c>
      <c r="B1371" s="478" t="s">
        <v>40760</v>
      </c>
      <c r="C1371" s="391" t="s">
        <v>0</v>
      </c>
      <c r="D1371" s="479">
        <v>0</v>
      </c>
      <c r="E1371" s="368"/>
      <c r="F1371" s="368"/>
    </row>
    <row r="1372" spans="1:6" ht="25.5" x14ac:dyDescent="0.2">
      <c r="A1372" s="391">
        <v>104308</v>
      </c>
      <c r="B1372" s="478" t="s">
        <v>40761</v>
      </c>
      <c r="C1372" s="391" t="s">
        <v>0</v>
      </c>
      <c r="D1372" s="479">
        <v>0</v>
      </c>
      <c r="E1372" s="368"/>
      <c r="F1372" s="368"/>
    </row>
    <row r="1373" spans="1:6" ht="25.5" x14ac:dyDescent="0.2">
      <c r="A1373" s="391">
        <v>104309</v>
      </c>
      <c r="B1373" s="478" t="s">
        <v>40762</v>
      </c>
      <c r="C1373" s="391" t="s">
        <v>0</v>
      </c>
      <c r="D1373" s="479">
        <v>0</v>
      </c>
      <c r="E1373" s="368"/>
      <c r="F1373" s="368"/>
    </row>
    <row r="1374" spans="1:6" ht="25.5" x14ac:dyDescent="0.2">
      <c r="A1374" s="391">
        <v>104310</v>
      </c>
      <c r="B1374" s="478" t="s">
        <v>40763</v>
      </c>
      <c r="C1374" s="391" t="s">
        <v>0</v>
      </c>
      <c r="D1374" s="479">
        <v>0</v>
      </c>
      <c r="E1374" s="368"/>
      <c r="F1374" s="368"/>
    </row>
    <row r="1375" spans="1:6" ht="25.5" x14ac:dyDescent="0.2">
      <c r="A1375" s="391">
        <v>104311</v>
      </c>
      <c r="B1375" s="478" t="s">
        <v>40764</v>
      </c>
      <c r="C1375" s="391" t="s">
        <v>0</v>
      </c>
      <c r="D1375" s="479">
        <v>0</v>
      </c>
      <c r="E1375" s="368"/>
      <c r="F1375" s="368"/>
    </row>
    <row r="1376" spans="1:6" ht="38.25" x14ac:dyDescent="0.2">
      <c r="A1376" s="391">
        <v>104301</v>
      </c>
      <c r="B1376" s="478" t="s">
        <v>40765</v>
      </c>
      <c r="C1376" s="391" t="s">
        <v>1284</v>
      </c>
      <c r="D1376" s="479">
        <v>0</v>
      </c>
      <c r="E1376" s="368"/>
      <c r="F1376" s="368"/>
    </row>
    <row r="1377" spans="1:6" ht="38.25" x14ac:dyDescent="0.2">
      <c r="A1377" s="391">
        <v>104302</v>
      </c>
      <c r="B1377" s="478" t="s">
        <v>40766</v>
      </c>
      <c r="C1377" s="391" t="s">
        <v>1284</v>
      </c>
      <c r="D1377" s="479">
        <v>0</v>
      </c>
      <c r="E1377" s="368"/>
      <c r="F1377" s="368"/>
    </row>
    <row r="1378" spans="1:6" ht="38.25" x14ac:dyDescent="0.2">
      <c r="A1378" s="391">
        <v>104303</v>
      </c>
      <c r="B1378" s="478" t="s">
        <v>40767</v>
      </c>
      <c r="C1378" s="391" t="s">
        <v>1284</v>
      </c>
      <c r="D1378" s="479">
        <v>0</v>
      </c>
      <c r="E1378" s="368"/>
      <c r="F1378" s="368"/>
    </row>
    <row r="1379" spans="1:6" ht="38.25" x14ac:dyDescent="0.2">
      <c r="A1379" s="391">
        <v>104304</v>
      </c>
      <c r="B1379" s="478" t="s">
        <v>40768</v>
      </c>
      <c r="C1379" s="391" t="s">
        <v>1284</v>
      </c>
      <c r="D1379" s="479">
        <v>0</v>
      </c>
      <c r="E1379" s="368"/>
      <c r="F1379" s="368"/>
    </row>
    <row r="1380" spans="1:6" ht="38.25" x14ac:dyDescent="0.2">
      <c r="A1380" s="391">
        <v>104293</v>
      </c>
      <c r="B1380" s="478" t="s">
        <v>40769</v>
      </c>
      <c r="C1380" s="391" t="s">
        <v>1284</v>
      </c>
      <c r="D1380" s="479">
        <v>0</v>
      </c>
      <c r="E1380" s="368"/>
      <c r="F1380" s="368"/>
    </row>
    <row r="1381" spans="1:6" ht="38.25" x14ac:dyDescent="0.2">
      <c r="A1381" s="391">
        <v>104297</v>
      </c>
      <c r="B1381" s="478" t="s">
        <v>40770</v>
      </c>
      <c r="C1381" s="391" t="s">
        <v>1284</v>
      </c>
      <c r="D1381" s="479">
        <v>0</v>
      </c>
      <c r="E1381" s="368"/>
      <c r="F1381" s="368"/>
    </row>
    <row r="1382" spans="1:6" ht="38.25" x14ac:dyDescent="0.2">
      <c r="A1382" s="391">
        <v>104295</v>
      </c>
      <c r="B1382" s="478" t="s">
        <v>40771</v>
      </c>
      <c r="C1382" s="391" t="s">
        <v>1284</v>
      </c>
      <c r="D1382" s="479">
        <v>0</v>
      </c>
      <c r="E1382" s="368"/>
      <c r="F1382" s="368"/>
    </row>
    <row r="1383" spans="1:6" ht="38.25" x14ac:dyDescent="0.2">
      <c r="A1383" s="391">
        <v>104299</v>
      </c>
      <c r="B1383" s="478" t="s">
        <v>40772</v>
      </c>
      <c r="C1383" s="391" t="s">
        <v>1284</v>
      </c>
      <c r="D1383" s="479">
        <v>0</v>
      </c>
      <c r="E1383" s="368"/>
      <c r="F1383" s="368"/>
    </row>
    <row r="1384" spans="1:6" ht="38.25" x14ac:dyDescent="0.2">
      <c r="A1384" s="391">
        <v>104294</v>
      </c>
      <c r="B1384" s="478" t="s">
        <v>40773</v>
      </c>
      <c r="C1384" s="391" t="s">
        <v>1284</v>
      </c>
      <c r="D1384" s="479">
        <v>0</v>
      </c>
      <c r="E1384" s="368"/>
      <c r="F1384" s="368"/>
    </row>
    <row r="1385" spans="1:6" ht="38.25" x14ac:dyDescent="0.2">
      <c r="A1385" s="391">
        <v>104298</v>
      </c>
      <c r="B1385" s="478" t="s">
        <v>40774</v>
      </c>
      <c r="C1385" s="391" t="s">
        <v>1284</v>
      </c>
      <c r="D1385" s="479">
        <v>0</v>
      </c>
      <c r="E1385" s="368"/>
      <c r="F1385" s="368"/>
    </row>
    <row r="1386" spans="1:6" ht="38.25" x14ac:dyDescent="0.2">
      <c r="A1386" s="391">
        <v>104296</v>
      </c>
      <c r="B1386" s="478" t="s">
        <v>40775</v>
      </c>
      <c r="C1386" s="391" t="s">
        <v>1284</v>
      </c>
      <c r="D1386" s="479">
        <v>0</v>
      </c>
      <c r="E1386" s="368"/>
      <c r="F1386" s="368"/>
    </row>
    <row r="1387" spans="1:6" ht="38.25" x14ac:dyDescent="0.2">
      <c r="A1387" s="391">
        <v>104300</v>
      </c>
      <c r="B1387" s="478" t="s">
        <v>40776</v>
      </c>
      <c r="C1387" s="391" t="s">
        <v>1284</v>
      </c>
      <c r="D1387" s="479">
        <v>0</v>
      </c>
      <c r="E1387" s="368"/>
      <c r="F1387" s="368"/>
    </row>
    <row r="1388" spans="1:6" ht="38.25" x14ac:dyDescent="0.2">
      <c r="A1388" s="391">
        <v>90944</v>
      </c>
      <c r="B1388" s="478" t="s">
        <v>4837</v>
      </c>
      <c r="C1388" s="391" t="s">
        <v>255</v>
      </c>
      <c r="D1388" s="479">
        <v>246.96</v>
      </c>
      <c r="E1388" s="368"/>
      <c r="F1388" s="368"/>
    </row>
    <row r="1389" spans="1:6" ht="38.25" x14ac:dyDescent="0.2">
      <c r="A1389" s="391">
        <v>90934</v>
      </c>
      <c r="B1389" s="478" t="s">
        <v>4833</v>
      </c>
      <c r="C1389" s="391" t="s">
        <v>255</v>
      </c>
      <c r="D1389" s="479">
        <v>228.46</v>
      </c>
      <c r="E1389" s="368"/>
      <c r="F1389" s="368"/>
    </row>
    <row r="1390" spans="1:6" ht="38.25" x14ac:dyDescent="0.2">
      <c r="A1390" s="391">
        <v>90954</v>
      </c>
      <c r="B1390" s="478" t="s">
        <v>4841</v>
      </c>
      <c r="C1390" s="391" t="s">
        <v>255</v>
      </c>
      <c r="D1390" s="479">
        <v>280.86</v>
      </c>
      <c r="E1390" s="368"/>
      <c r="F1390" s="368"/>
    </row>
    <row r="1391" spans="1:6" ht="38.25" x14ac:dyDescent="0.2">
      <c r="A1391" s="391">
        <v>90933</v>
      </c>
      <c r="B1391" s="478" t="s">
        <v>4832</v>
      </c>
      <c r="C1391" s="391" t="s">
        <v>255</v>
      </c>
      <c r="D1391" s="479">
        <v>214.65</v>
      </c>
      <c r="E1391" s="368"/>
      <c r="F1391" s="368"/>
    </row>
    <row r="1392" spans="1:6" ht="38.25" x14ac:dyDescent="0.2">
      <c r="A1392" s="391">
        <v>90943</v>
      </c>
      <c r="B1392" s="478" t="s">
        <v>4836</v>
      </c>
      <c r="C1392" s="391" t="s">
        <v>255</v>
      </c>
      <c r="D1392" s="479">
        <v>231.92</v>
      </c>
      <c r="E1392" s="368"/>
      <c r="F1392" s="368"/>
    </row>
    <row r="1393" spans="1:6" ht="38.25" x14ac:dyDescent="0.2">
      <c r="A1393" s="391">
        <v>90953</v>
      </c>
      <c r="B1393" s="478" t="s">
        <v>4840</v>
      </c>
      <c r="C1393" s="391" t="s">
        <v>255</v>
      </c>
      <c r="D1393" s="479">
        <v>263.57</v>
      </c>
      <c r="E1393" s="368"/>
      <c r="F1393" s="368"/>
    </row>
    <row r="1394" spans="1:6" ht="38.25" x14ac:dyDescent="0.2">
      <c r="A1394" s="391">
        <v>90932</v>
      </c>
      <c r="B1394" s="478" t="s">
        <v>4831</v>
      </c>
      <c r="C1394" s="391" t="s">
        <v>255</v>
      </c>
      <c r="D1394" s="479">
        <v>85.59</v>
      </c>
      <c r="E1394" s="368"/>
      <c r="F1394" s="368"/>
    </row>
    <row r="1395" spans="1:6" ht="38.25" x14ac:dyDescent="0.2">
      <c r="A1395" s="391">
        <v>90942</v>
      </c>
      <c r="B1395" s="478" t="s">
        <v>4835</v>
      </c>
      <c r="C1395" s="391" t="s">
        <v>255</v>
      </c>
      <c r="D1395" s="479">
        <v>91.39</v>
      </c>
      <c r="E1395" s="368"/>
      <c r="F1395" s="368"/>
    </row>
    <row r="1396" spans="1:6" ht="38.25" x14ac:dyDescent="0.2">
      <c r="A1396" s="391">
        <v>90952</v>
      </c>
      <c r="B1396" s="478" t="s">
        <v>4839</v>
      </c>
      <c r="C1396" s="391" t="s">
        <v>255</v>
      </c>
      <c r="D1396" s="479">
        <v>101.98</v>
      </c>
      <c r="E1396" s="368"/>
      <c r="F1396" s="368"/>
    </row>
    <row r="1397" spans="1:6" ht="38.25" x14ac:dyDescent="0.2">
      <c r="A1397" s="391">
        <v>90930</v>
      </c>
      <c r="B1397" s="478" t="s">
        <v>4830</v>
      </c>
      <c r="C1397" s="391" t="s">
        <v>255</v>
      </c>
      <c r="D1397" s="479">
        <v>78.900000000000006</v>
      </c>
      <c r="E1397" s="368"/>
      <c r="F1397" s="368"/>
    </row>
    <row r="1398" spans="1:6" ht="38.25" x14ac:dyDescent="0.2">
      <c r="A1398" s="391">
        <v>90940</v>
      </c>
      <c r="B1398" s="478" t="s">
        <v>4834</v>
      </c>
      <c r="C1398" s="391" t="s">
        <v>255</v>
      </c>
      <c r="D1398" s="479">
        <v>84.1</v>
      </c>
      <c r="E1398" s="368"/>
      <c r="F1398" s="368"/>
    </row>
    <row r="1399" spans="1:6" ht="38.25" x14ac:dyDescent="0.2">
      <c r="A1399" s="391">
        <v>90950</v>
      </c>
      <c r="B1399" s="478" t="s">
        <v>4838</v>
      </c>
      <c r="C1399" s="391" t="s">
        <v>255</v>
      </c>
      <c r="D1399" s="479">
        <v>93.6</v>
      </c>
      <c r="E1399" s="368"/>
      <c r="F1399" s="368"/>
    </row>
    <row r="1400" spans="1:6" ht="25.5" x14ac:dyDescent="0.2">
      <c r="A1400" s="391">
        <v>88476</v>
      </c>
      <c r="B1400" s="478" t="s">
        <v>4827</v>
      </c>
      <c r="C1400" s="391" t="s">
        <v>255</v>
      </c>
      <c r="D1400" s="479">
        <v>21.69</v>
      </c>
      <c r="E1400" s="368"/>
      <c r="F1400" s="368"/>
    </row>
    <row r="1401" spans="1:6" ht="25.5" x14ac:dyDescent="0.2">
      <c r="A1401" s="391">
        <v>88477</v>
      </c>
      <c r="B1401" s="478" t="s">
        <v>4828</v>
      </c>
      <c r="C1401" s="391" t="s">
        <v>255</v>
      </c>
      <c r="D1401" s="479">
        <v>29.77</v>
      </c>
      <c r="E1401" s="368"/>
      <c r="F1401" s="368"/>
    </row>
    <row r="1402" spans="1:6" ht="25.5" x14ac:dyDescent="0.2">
      <c r="A1402" s="391">
        <v>88478</v>
      </c>
      <c r="B1402" s="478" t="s">
        <v>4829</v>
      </c>
      <c r="C1402" s="391" t="s">
        <v>255</v>
      </c>
      <c r="D1402" s="479">
        <v>36.450000000000003</v>
      </c>
      <c r="E1402" s="368"/>
      <c r="F1402" s="368"/>
    </row>
    <row r="1403" spans="1:6" ht="25.5" x14ac:dyDescent="0.2">
      <c r="A1403" s="391">
        <v>88470</v>
      </c>
      <c r="B1403" s="478" t="s">
        <v>4824</v>
      </c>
      <c r="C1403" s="391" t="s">
        <v>255</v>
      </c>
      <c r="D1403" s="479">
        <v>25.66</v>
      </c>
      <c r="E1403" s="368"/>
      <c r="F1403" s="368"/>
    </row>
    <row r="1404" spans="1:6" ht="25.5" x14ac:dyDescent="0.2">
      <c r="A1404" s="391">
        <v>88471</v>
      </c>
      <c r="B1404" s="478" t="s">
        <v>4825</v>
      </c>
      <c r="C1404" s="391" t="s">
        <v>255</v>
      </c>
      <c r="D1404" s="479">
        <v>32.11</v>
      </c>
      <c r="E1404" s="368"/>
      <c r="F1404" s="368"/>
    </row>
    <row r="1405" spans="1:6" ht="25.5" x14ac:dyDescent="0.2">
      <c r="A1405" s="391">
        <v>88472</v>
      </c>
      <c r="B1405" s="478" t="s">
        <v>4826</v>
      </c>
      <c r="C1405" s="391" t="s">
        <v>255</v>
      </c>
      <c r="D1405" s="479">
        <v>37.229999999999997</v>
      </c>
      <c r="E1405" s="368"/>
      <c r="F1405" s="368"/>
    </row>
    <row r="1406" spans="1:6" ht="38.25" x14ac:dyDescent="0.2">
      <c r="A1406" s="391">
        <v>87759</v>
      </c>
      <c r="B1406" s="478" t="s">
        <v>4819</v>
      </c>
      <c r="C1406" s="391" t="s">
        <v>255</v>
      </c>
      <c r="D1406" s="479">
        <v>155.79</v>
      </c>
      <c r="E1406" s="368"/>
      <c r="F1406" s="368"/>
    </row>
    <row r="1407" spans="1:6" ht="38.25" x14ac:dyDescent="0.2">
      <c r="A1407" s="391">
        <v>87769</v>
      </c>
      <c r="B1407" s="478" t="s">
        <v>4823</v>
      </c>
      <c r="C1407" s="391" t="s">
        <v>255</v>
      </c>
      <c r="D1407" s="479">
        <v>187.39</v>
      </c>
      <c r="E1407" s="368"/>
      <c r="F1407" s="368"/>
    </row>
    <row r="1408" spans="1:6" ht="38.25" x14ac:dyDescent="0.2">
      <c r="A1408" s="391">
        <v>87739</v>
      </c>
      <c r="B1408" s="478" t="s">
        <v>4811</v>
      </c>
      <c r="C1408" s="391" t="s">
        <v>255</v>
      </c>
      <c r="D1408" s="479">
        <v>119.64</v>
      </c>
      <c r="E1408" s="368"/>
      <c r="F1408" s="368"/>
    </row>
    <row r="1409" spans="1:6" ht="38.25" x14ac:dyDescent="0.2">
      <c r="A1409" s="391">
        <v>87749</v>
      </c>
      <c r="B1409" s="478" t="s">
        <v>4815</v>
      </c>
      <c r="C1409" s="391" t="s">
        <v>255</v>
      </c>
      <c r="D1409" s="479">
        <v>158.21</v>
      </c>
      <c r="E1409" s="368"/>
      <c r="F1409" s="368"/>
    </row>
    <row r="1410" spans="1:6" ht="38.25" x14ac:dyDescent="0.2">
      <c r="A1410" s="391">
        <v>87624</v>
      </c>
      <c r="B1410" s="478" t="s">
        <v>4787</v>
      </c>
      <c r="C1410" s="391" t="s">
        <v>255</v>
      </c>
      <c r="D1410" s="479">
        <v>107.7</v>
      </c>
      <c r="E1410" s="368"/>
      <c r="F1410" s="368"/>
    </row>
    <row r="1411" spans="1:6" ht="38.25" x14ac:dyDescent="0.2">
      <c r="A1411" s="391">
        <v>87634</v>
      </c>
      <c r="B1411" s="478" t="s">
        <v>4791</v>
      </c>
      <c r="C1411" s="391" t="s">
        <v>255</v>
      </c>
      <c r="D1411" s="479">
        <v>146.27000000000001</v>
      </c>
      <c r="E1411" s="368"/>
      <c r="F1411" s="368"/>
    </row>
    <row r="1412" spans="1:6" ht="38.25" x14ac:dyDescent="0.2">
      <c r="A1412" s="391">
        <v>87644</v>
      </c>
      <c r="B1412" s="478" t="s">
        <v>4795</v>
      </c>
      <c r="C1412" s="391" t="s">
        <v>255</v>
      </c>
      <c r="D1412" s="479">
        <v>177.83</v>
      </c>
      <c r="E1412" s="368"/>
      <c r="F1412" s="368"/>
    </row>
    <row r="1413" spans="1:6" ht="38.25" x14ac:dyDescent="0.2">
      <c r="A1413" s="391">
        <v>87684</v>
      </c>
      <c r="B1413" s="478" t="s">
        <v>4799</v>
      </c>
      <c r="C1413" s="391" t="s">
        <v>255</v>
      </c>
      <c r="D1413" s="479">
        <v>173.11</v>
      </c>
      <c r="E1413" s="368"/>
      <c r="F1413" s="368"/>
    </row>
    <row r="1414" spans="1:6" ht="38.25" x14ac:dyDescent="0.2">
      <c r="A1414" s="391">
        <v>87694</v>
      </c>
      <c r="B1414" s="478" t="s">
        <v>4803</v>
      </c>
      <c r="C1414" s="391" t="s">
        <v>255</v>
      </c>
      <c r="D1414" s="479">
        <v>198.28</v>
      </c>
      <c r="E1414" s="368"/>
      <c r="F1414" s="368"/>
    </row>
    <row r="1415" spans="1:6" ht="38.25" x14ac:dyDescent="0.2">
      <c r="A1415" s="391">
        <v>87704</v>
      </c>
      <c r="B1415" s="478" t="s">
        <v>4807</v>
      </c>
      <c r="C1415" s="391" t="s">
        <v>255</v>
      </c>
      <c r="D1415" s="479">
        <v>215.5</v>
      </c>
      <c r="E1415" s="368"/>
      <c r="F1415" s="368"/>
    </row>
    <row r="1416" spans="1:6" ht="51" x14ac:dyDescent="0.2">
      <c r="A1416" s="391">
        <v>87758</v>
      </c>
      <c r="B1416" s="478" t="s">
        <v>4818</v>
      </c>
      <c r="C1416" s="391" t="s">
        <v>255</v>
      </c>
      <c r="D1416" s="479">
        <v>145.97999999999999</v>
      </c>
      <c r="E1416" s="368"/>
      <c r="F1416" s="368"/>
    </row>
    <row r="1417" spans="1:6" ht="51" x14ac:dyDescent="0.2">
      <c r="A1417" s="391">
        <v>87768</v>
      </c>
      <c r="B1417" s="478" t="s">
        <v>4822</v>
      </c>
      <c r="C1417" s="391" t="s">
        <v>255</v>
      </c>
      <c r="D1417" s="479">
        <v>175.33</v>
      </c>
      <c r="E1417" s="368"/>
      <c r="F1417" s="368"/>
    </row>
    <row r="1418" spans="1:6" ht="38.25" x14ac:dyDescent="0.2">
      <c r="A1418" s="391">
        <v>87738</v>
      </c>
      <c r="B1418" s="478" t="s">
        <v>4810</v>
      </c>
      <c r="C1418" s="391" t="s">
        <v>255</v>
      </c>
      <c r="D1418" s="479">
        <v>112.58</v>
      </c>
      <c r="E1418" s="368"/>
      <c r="F1418" s="368"/>
    </row>
    <row r="1419" spans="1:6" ht="38.25" x14ac:dyDescent="0.2">
      <c r="A1419" s="391">
        <v>87748</v>
      </c>
      <c r="B1419" s="478" t="s">
        <v>4814</v>
      </c>
      <c r="C1419" s="391" t="s">
        <v>255</v>
      </c>
      <c r="D1419" s="479">
        <v>148.4</v>
      </c>
      <c r="E1419" s="368"/>
      <c r="F1419" s="368"/>
    </row>
    <row r="1420" spans="1:6" ht="38.25" x14ac:dyDescent="0.2">
      <c r="A1420" s="391">
        <v>87623</v>
      </c>
      <c r="B1420" s="478" t="s">
        <v>4786</v>
      </c>
      <c r="C1420" s="391" t="s">
        <v>255</v>
      </c>
      <c r="D1420" s="479">
        <v>100.64</v>
      </c>
      <c r="E1420" s="368"/>
      <c r="F1420" s="368"/>
    </row>
    <row r="1421" spans="1:6" ht="38.25" x14ac:dyDescent="0.2">
      <c r="A1421" s="391">
        <v>87633</v>
      </c>
      <c r="B1421" s="478" t="s">
        <v>4790</v>
      </c>
      <c r="C1421" s="391" t="s">
        <v>255</v>
      </c>
      <c r="D1421" s="479">
        <v>136.46</v>
      </c>
      <c r="E1421" s="368"/>
      <c r="F1421" s="368"/>
    </row>
    <row r="1422" spans="1:6" ht="38.25" x14ac:dyDescent="0.2">
      <c r="A1422" s="391">
        <v>87643</v>
      </c>
      <c r="B1422" s="478" t="s">
        <v>4794</v>
      </c>
      <c r="C1422" s="391" t="s">
        <v>255</v>
      </c>
      <c r="D1422" s="479">
        <v>165.77</v>
      </c>
      <c r="E1422" s="368"/>
      <c r="F1422" s="368"/>
    </row>
    <row r="1423" spans="1:6" ht="38.25" x14ac:dyDescent="0.2">
      <c r="A1423" s="391">
        <v>87683</v>
      </c>
      <c r="B1423" s="478" t="s">
        <v>4798</v>
      </c>
      <c r="C1423" s="391" t="s">
        <v>255</v>
      </c>
      <c r="D1423" s="479">
        <v>161.05000000000001</v>
      </c>
      <c r="E1423" s="368"/>
      <c r="F1423" s="368"/>
    </row>
    <row r="1424" spans="1:6" ht="38.25" x14ac:dyDescent="0.2">
      <c r="A1424" s="391">
        <v>87703</v>
      </c>
      <c r="B1424" s="478" t="s">
        <v>4806</v>
      </c>
      <c r="C1424" s="391" t="s">
        <v>255</v>
      </c>
      <c r="D1424" s="479">
        <v>200.46</v>
      </c>
      <c r="E1424" s="368"/>
      <c r="F1424" s="368"/>
    </row>
    <row r="1425" spans="1:6" ht="38.25" x14ac:dyDescent="0.2">
      <c r="A1425" s="391">
        <v>87693</v>
      </c>
      <c r="B1425" s="478" t="s">
        <v>4802</v>
      </c>
      <c r="C1425" s="391" t="s">
        <v>255</v>
      </c>
      <c r="D1425" s="479">
        <v>184.47</v>
      </c>
      <c r="E1425" s="368"/>
      <c r="F1425" s="368"/>
    </row>
    <row r="1426" spans="1:6" ht="38.25" x14ac:dyDescent="0.2">
      <c r="A1426" s="391">
        <v>87757</v>
      </c>
      <c r="B1426" s="478" t="s">
        <v>4817</v>
      </c>
      <c r="C1426" s="391" t="s">
        <v>255</v>
      </c>
      <c r="D1426" s="479">
        <v>54.34</v>
      </c>
      <c r="E1426" s="368"/>
      <c r="F1426" s="368"/>
    </row>
    <row r="1427" spans="1:6" ht="38.25" x14ac:dyDescent="0.2">
      <c r="A1427" s="391">
        <v>87767</v>
      </c>
      <c r="B1427" s="478" t="s">
        <v>4821</v>
      </c>
      <c r="C1427" s="391" t="s">
        <v>255</v>
      </c>
      <c r="D1427" s="479">
        <v>62.65</v>
      </c>
      <c r="E1427" s="368"/>
      <c r="F1427" s="368"/>
    </row>
    <row r="1428" spans="1:6" ht="38.25" x14ac:dyDescent="0.2">
      <c r="A1428" s="391">
        <v>87737</v>
      </c>
      <c r="B1428" s="478" t="s">
        <v>4809</v>
      </c>
      <c r="C1428" s="391" t="s">
        <v>255</v>
      </c>
      <c r="D1428" s="479">
        <v>46.67</v>
      </c>
      <c r="E1428" s="368"/>
      <c r="F1428" s="368"/>
    </row>
    <row r="1429" spans="1:6" ht="38.25" x14ac:dyDescent="0.2">
      <c r="A1429" s="391">
        <v>87747</v>
      </c>
      <c r="B1429" s="478" t="s">
        <v>4813</v>
      </c>
      <c r="C1429" s="391" t="s">
        <v>255</v>
      </c>
      <c r="D1429" s="479">
        <v>56.76</v>
      </c>
      <c r="E1429" s="368"/>
      <c r="F1429" s="368"/>
    </row>
    <row r="1430" spans="1:6" ht="38.25" x14ac:dyDescent="0.2">
      <c r="A1430" s="391">
        <v>87622</v>
      </c>
      <c r="B1430" s="478" t="s">
        <v>4785</v>
      </c>
      <c r="C1430" s="391" t="s">
        <v>255</v>
      </c>
      <c r="D1430" s="479">
        <v>34.729999999999997</v>
      </c>
      <c r="E1430" s="368"/>
      <c r="F1430" s="368"/>
    </row>
    <row r="1431" spans="1:6" ht="38.25" x14ac:dyDescent="0.2">
      <c r="A1431" s="391">
        <v>87632</v>
      </c>
      <c r="B1431" s="478" t="s">
        <v>4789</v>
      </c>
      <c r="C1431" s="391" t="s">
        <v>255</v>
      </c>
      <c r="D1431" s="479">
        <v>44.82</v>
      </c>
      <c r="E1431" s="368"/>
      <c r="F1431" s="368"/>
    </row>
    <row r="1432" spans="1:6" ht="38.25" x14ac:dyDescent="0.2">
      <c r="A1432" s="391">
        <v>87642</v>
      </c>
      <c r="B1432" s="478" t="s">
        <v>4793</v>
      </c>
      <c r="C1432" s="391" t="s">
        <v>255</v>
      </c>
      <c r="D1432" s="479">
        <v>53.09</v>
      </c>
      <c r="E1432" s="368"/>
      <c r="F1432" s="368"/>
    </row>
    <row r="1433" spans="1:6" ht="38.25" x14ac:dyDescent="0.2">
      <c r="A1433" s="391">
        <v>87682</v>
      </c>
      <c r="B1433" s="478" t="s">
        <v>4797</v>
      </c>
      <c r="C1433" s="391" t="s">
        <v>255</v>
      </c>
      <c r="D1433" s="479">
        <v>48.37</v>
      </c>
      <c r="E1433" s="368"/>
      <c r="F1433" s="368"/>
    </row>
    <row r="1434" spans="1:6" ht="38.25" x14ac:dyDescent="0.2">
      <c r="A1434" s="391">
        <v>87692</v>
      </c>
      <c r="B1434" s="478" t="s">
        <v>4801</v>
      </c>
      <c r="C1434" s="391" t="s">
        <v>255</v>
      </c>
      <c r="D1434" s="479">
        <v>55.41</v>
      </c>
      <c r="E1434" s="368"/>
      <c r="F1434" s="368"/>
    </row>
    <row r="1435" spans="1:6" ht="38.25" x14ac:dyDescent="0.2">
      <c r="A1435" s="391">
        <v>87702</v>
      </c>
      <c r="B1435" s="478" t="s">
        <v>4805</v>
      </c>
      <c r="C1435" s="391" t="s">
        <v>255</v>
      </c>
      <c r="D1435" s="479">
        <v>59.93</v>
      </c>
      <c r="E1435" s="368"/>
      <c r="F1435" s="368"/>
    </row>
    <row r="1436" spans="1:6" ht="51" x14ac:dyDescent="0.2">
      <c r="A1436" s="391">
        <v>87755</v>
      </c>
      <c r="B1436" s="478" t="s">
        <v>4816</v>
      </c>
      <c r="C1436" s="391" t="s">
        <v>255</v>
      </c>
      <c r="D1436" s="479">
        <v>49.59</v>
      </c>
      <c r="E1436" s="368"/>
      <c r="F1436" s="368"/>
    </row>
    <row r="1437" spans="1:6" ht="51" x14ac:dyDescent="0.2">
      <c r="A1437" s="391">
        <v>87765</v>
      </c>
      <c r="B1437" s="478" t="s">
        <v>4820</v>
      </c>
      <c r="C1437" s="391" t="s">
        <v>255</v>
      </c>
      <c r="D1437" s="479">
        <v>56.81</v>
      </c>
      <c r="E1437" s="368"/>
      <c r="F1437" s="368"/>
    </row>
    <row r="1438" spans="1:6" ht="38.25" x14ac:dyDescent="0.2">
      <c r="A1438" s="391">
        <v>87735</v>
      </c>
      <c r="B1438" s="478" t="s">
        <v>4808</v>
      </c>
      <c r="C1438" s="391" t="s">
        <v>255</v>
      </c>
      <c r="D1438" s="479">
        <v>43.26</v>
      </c>
      <c r="E1438" s="368"/>
      <c r="F1438" s="368"/>
    </row>
    <row r="1439" spans="1:6" ht="38.25" x14ac:dyDescent="0.2">
      <c r="A1439" s="391">
        <v>87745</v>
      </c>
      <c r="B1439" s="478" t="s">
        <v>4812</v>
      </c>
      <c r="C1439" s="391" t="s">
        <v>255</v>
      </c>
      <c r="D1439" s="479">
        <v>52.01</v>
      </c>
      <c r="E1439" s="368"/>
      <c r="F1439" s="368"/>
    </row>
    <row r="1440" spans="1:6" ht="38.25" x14ac:dyDescent="0.2">
      <c r="A1440" s="391">
        <v>87620</v>
      </c>
      <c r="B1440" s="478" t="s">
        <v>4784</v>
      </c>
      <c r="C1440" s="391" t="s">
        <v>255</v>
      </c>
      <c r="D1440" s="479">
        <v>31.32</v>
      </c>
      <c r="E1440" s="368"/>
      <c r="F1440" s="368"/>
    </row>
    <row r="1441" spans="1:6" ht="38.25" x14ac:dyDescent="0.2">
      <c r="A1441" s="391">
        <v>87630</v>
      </c>
      <c r="B1441" s="478" t="s">
        <v>4788</v>
      </c>
      <c r="C1441" s="391" t="s">
        <v>255</v>
      </c>
      <c r="D1441" s="479">
        <v>40.07</v>
      </c>
      <c r="E1441" s="368"/>
      <c r="F1441" s="368"/>
    </row>
    <row r="1442" spans="1:6" ht="38.25" x14ac:dyDescent="0.2">
      <c r="A1442" s="391">
        <v>87640</v>
      </c>
      <c r="B1442" s="478" t="s">
        <v>4792</v>
      </c>
      <c r="C1442" s="391" t="s">
        <v>255</v>
      </c>
      <c r="D1442" s="479">
        <v>47.25</v>
      </c>
      <c r="E1442" s="368"/>
      <c r="F1442" s="368"/>
    </row>
    <row r="1443" spans="1:6" ht="38.25" x14ac:dyDescent="0.2">
      <c r="A1443" s="391">
        <v>87680</v>
      </c>
      <c r="B1443" s="478" t="s">
        <v>4796</v>
      </c>
      <c r="C1443" s="391" t="s">
        <v>255</v>
      </c>
      <c r="D1443" s="479">
        <v>42.53</v>
      </c>
      <c r="E1443" s="368"/>
      <c r="F1443" s="368"/>
    </row>
    <row r="1444" spans="1:6" ht="38.25" x14ac:dyDescent="0.2">
      <c r="A1444" s="391">
        <v>87690</v>
      </c>
      <c r="B1444" s="478" t="s">
        <v>4800</v>
      </c>
      <c r="C1444" s="391" t="s">
        <v>255</v>
      </c>
      <c r="D1444" s="479">
        <v>48.72</v>
      </c>
      <c r="E1444" s="368"/>
      <c r="F1444" s="368"/>
    </row>
    <row r="1445" spans="1:6" ht="38.25" x14ac:dyDescent="0.2">
      <c r="A1445" s="391">
        <v>87700</v>
      </c>
      <c r="B1445" s="478" t="s">
        <v>4804</v>
      </c>
      <c r="C1445" s="391" t="s">
        <v>255</v>
      </c>
      <c r="D1445" s="479">
        <v>52.64</v>
      </c>
      <c r="E1445" s="368"/>
      <c r="F1445" s="368"/>
    </row>
    <row r="1446" spans="1:6" ht="25.5" x14ac:dyDescent="0.2">
      <c r="A1446" s="391">
        <v>102803</v>
      </c>
      <c r="B1446" s="478" t="s">
        <v>4842</v>
      </c>
      <c r="C1446" s="391" t="s">
        <v>255</v>
      </c>
      <c r="D1446" s="479">
        <v>2.3199999999999998</v>
      </c>
      <c r="E1446" s="368"/>
      <c r="F1446" s="368"/>
    </row>
    <row r="1447" spans="1:6" ht="25.5" x14ac:dyDescent="0.2">
      <c r="A1447" s="391">
        <v>92717</v>
      </c>
      <c r="B1447" s="478" t="s">
        <v>514</v>
      </c>
      <c r="C1447" s="391" t="s">
        <v>419</v>
      </c>
      <c r="D1447" s="479">
        <v>0.28000000000000003</v>
      </c>
      <c r="E1447" s="368"/>
      <c r="F1447" s="368"/>
    </row>
    <row r="1448" spans="1:6" ht="25.5" x14ac:dyDescent="0.2">
      <c r="A1448" s="391">
        <v>92716</v>
      </c>
      <c r="B1448" s="478" t="s">
        <v>375</v>
      </c>
      <c r="C1448" s="391" t="s">
        <v>279</v>
      </c>
      <c r="D1448" s="479">
        <v>94.81</v>
      </c>
      <c r="E1448" s="368"/>
      <c r="F1448" s="368"/>
    </row>
    <row r="1449" spans="1:6" ht="38.25" x14ac:dyDescent="0.2">
      <c r="A1449" s="391">
        <v>103668</v>
      </c>
      <c r="B1449" s="478" t="s">
        <v>40777</v>
      </c>
      <c r="C1449" s="391" t="s">
        <v>419</v>
      </c>
      <c r="D1449" s="479">
        <v>0</v>
      </c>
      <c r="E1449" s="368"/>
      <c r="F1449" s="368"/>
    </row>
    <row r="1450" spans="1:6" ht="38.25" x14ac:dyDescent="0.2">
      <c r="A1450" s="391">
        <v>103667</v>
      </c>
      <c r="B1450" s="478" t="s">
        <v>40778</v>
      </c>
      <c r="C1450" s="391" t="s">
        <v>279</v>
      </c>
      <c r="D1450" s="479">
        <v>0</v>
      </c>
      <c r="E1450" s="368"/>
      <c r="F1450" s="368"/>
    </row>
    <row r="1451" spans="1:6" ht="25.5" x14ac:dyDescent="0.2">
      <c r="A1451" s="391">
        <v>89218</v>
      </c>
      <c r="B1451" s="478" t="s">
        <v>471</v>
      </c>
      <c r="C1451" s="391" t="s">
        <v>419</v>
      </c>
      <c r="D1451" s="479">
        <v>93.16</v>
      </c>
      <c r="E1451" s="368"/>
      <c r="F1451" s="368"/>
    </row>
    <row r="1452" spans="1:6" ht="25.5" x14ac:dyDescent="0.2">
      <c r="A1452" s="391">
        <v>89843</v>
      </c>
      <c r="B1452" s="480" t="s">
        <v>340</v>
      </c>
      <c r="C1452" s="391" t="s">
        <v>279</v>
      </c>
      <c r="D1452" s="479">
        <v>219.49</v>
      </c>
      <c r="E1452" s="368"/>
      <c r="F1452" s="368"/>
    </row>
    <row r="1453" spans="1:6" ht="38.25" x14ac:dyDescent="0.2">
      <c r="A1453" s="391">
        <v>87446</v>
      </c>
      <c r="B1453" s="478" t="s">
        <v>458</v>
      </c>
      <c r="C1453" s="391" t="s">
        <v>419</v>
      </c>
      <c r="D1453" s="479">
        <v>0.53</v>
      </c>
      <c r="E1453" s="368"/>
      <c r="F1453" s="368"/>
    </row>
    <row r="1454" spans="1:6" ht="38.25" x14ac:dyDescent="0.2">
      <c r="A1454" s="391">
        <v>87445</v>
      </c>
      <c r="B1454" s="478" t="s">
        <v>320</v>
      </c>
      <c r="C1454" s="391" t="s">
        <v>279</v>
      </c>
      <c r="D1454" s="479">
        <v>5.5</v>
      </c>
      <c r="E1454" s="368"/>
      <c r="F1454" s="368"/>
    </row>
    <row r="1455" spans="1:6" ht="38.25" x14ac:dyDescent="0.2">
      <c r="A1455" s="391">
        <v>93234</v>
      </c>
      <c r="B1455" s="478" t="s">
        <v>518</v>
      </c>
      <c r="C1455" s="391" t="s">
        <v>419</v>
      </c>
      <c r="D1455" s="479">
        <v>0.48</v>
      </c>
      <c r="E1455" s="368"/>
      <c r="F1455" s="368"/>
    </row>
    <row r="1456" spans="1:6" ht="38.25" x14ac:dyDescent="0.2">
      <c r="A1456" s="391">
        <v>93233</v>
      </c>
      <c r="B1456" s="478" t="s">
        <v>379</v>
      </c>
      <c r="C1456" s="391" t="s">
        <v>279</v>
      </c>
      <c r="D1456" s="479">
        <v>5.89</v>
      </c>
      <c r="E1456" s="368"/>
      <c r="F1456" s="368"/>
    </row>
    <row r="1457" spans="1:6" ht="25.5" x14ac:dyDescent="0.2">
      <c r="A1457" s="391">
        <v>102953</v>
      </c>
      <c r="B1457" s="478" t="s">
        <v>40779</v>
      </c>
      <c r="C1457" s="391" t="s">
        <v>419</v>
      </c>
      <c r="D1457" s="479">
        <v>0</v>
      </c>
      <c r="E1457" s="368"/>
      <c r="F1457" s="368"/>
    </row>
    <row r="1458" spans="1:6" ht="25.5" x14ac:dyDescent="0.2">
      <c r="A1458" s="391">
        <v>102952</v>
      </c>
      <c r="B1458" s="478" t="s">
        <v>40780</v>
      </c>
      <c r="C1458" s="391" t="s">
        <v>279</v>
      </c>
      <c r="D1458" s="479">
        <v>0</v>
      </c>
      <c r="E1458" s="368"/>
      <c r="F1458" s="368"/>
    </row>
    <row r="1459" spans="1:6" ht="38.25" x14ac:dyDescent="0.2">
      <c r="A1459" s="391">
        <v>88831</v>
      </c>
      <c r="B1459" s="478" t="s">
        <v>464</v>
      </c>
      <c r="C1459" s="391" t="s">
        <v>419</v>
      </c>
      <c r="D1459" s="479">
        <v>0.38</v>
      </c>
      <c r="E1459" s="368"/>
      <c r="F1459" s="368"/>
    </row>
    <row r="1460" spans="1:6" ht="38.25" x14ac:dyDescent="0.2">
      <c r="A1460" s="391">
        <v>88830</v>
      </c>
      <c r="B1460" s="478" t="s">
        <v>326</v>
      </c>
      <c r="C1460" s="391" t="s">
        <v>279</v>
      </c>
      <c r="D1460" s="479">
        <v>1.87</v>
      </c>
      <c r="E1460" s="368"/>
      <c r="F1460" s="368"/>
    </row>
    <row r="1461" spans="1:6" ht="38.25" x14ac:dyDescent="0.2">
      <c r="A1461" s="391">
        <v>89226</v>
      </c>
      <c r="B1461" s="478" t="s">
        <v>472</v>
      </c>
      <c r="C1461" s="391" t="s">
        <v>419</v>
      </c>
      <c r="D1461" s="479">
        <v>1.58</v>
      </c>
      <c r="E1461" s="368"/>
      <c r="F1461" s="368"/>
    </row>
    <row r="1462" spans="1:6" ht="38.25" x14ac:dyDescent="0.2">
      <c r="A1462" s="391">
        <v>89225</v>
      </c>
      <c r="B1462" s="478" t="s">
        <v>333</v>
      </c>
      <c r="C1462" s="391" t="s">
        <v>279</v>
      </c>
      <c r="D1462" s="479">
        <v>5.29</v>
      </c>
      <c r="E1462" s="368"/>
      <c r="F1462" s="368"/>
    </row>
    <row r="1463" spans="1:6" ht="38.25" x14ac:dyDescent="0.2">
      <c r="A1463" s="391">
        <v>89279</v>
      </c>
      <c r="B1463" s="478" t="s">
        <v>478</v>
      </c>
      <c r="C1463" s="391" t="s">
        <v>419</v>
      </c>
      <c r="D1463" s="479">
        <v>1.93</v>
      </c>
      <c r="E1463" s="368"/>
      <c r="F1463" s="368"/>
    </row>
    <row r="1464" spans="1:6" ht="38.25" x14ac:dyDescent="0.2">
      <c r="A1464" s="391">
        <v>89278</v>
      </c>
      <c r="B1464" s="478" t="s">
        <v>339</v>
      </c>
      <c r="C1464" s="391" t="s">
        <v>279</v>
      </c>
      <c r="D1464" s="479">
        <v>12.76</v>
      </c>
      <c r="E1464" s="368"/>
      <c r="F1464" s="368"/>
    </row>
    <row r="1465" spans="1:6" ht="38.25" x14ac:dyDescent="0.2">
      <c r="A1465" s="391">
        <v>90651</v>
      </c>
      <c r="B1465" s="478" t="s">
        <v>486</v>
      </c>
      <c r="C1465" s="391" t="s">
        <v>419</v>
      </c>
      <c r="D1465" s="479">
        <v>1.1200000000000001</v>
      </c>
      <c r="E1465" s="368"/>
      <c r="F1465" s="368"/>
    </row>
    <row r="1466" spans="1:6" ht="38.25" x14ac:dyDescent="0.2">
      <c r="A1466" s="391">
        <v>90650</v>
      </c>
      <c r="B1466" s="478" t="s">
        <v>348</v>
      </c>
      <c r="C1466" s="391" t="s">
        <v>279</v>
      </c>
      <c r="D1466" s="479">
        <v>11.05</v>
      </c>
      <c r="E1466" s="368"/>
      <c r="F1466" s="368"/>
    </row>
    <row r="1467" spans="1:6" ht="25.5" x14ac:dyDescent="0.2">
      <c r="A1467" s="391">
        <v>90657</v>
      </c>
      <c r="B1467" s="478" t="s">
        <v>487</v>
      </c>
      <c r="C1467" s="391" t="s">
        <v>419</v>
      </c>
      <c r="D1467" s="479">
        <v>4.7699999999999996</v>
      </c>
      <c r="E1467" s="368"/>
      <c r="F1467" s="368"/>
    </row>
    <row r="1468" spans="1:6" ht="25.5" x14ac:dyDescent="0.2">
      <c r="A1468" s="391">
        <v>90656</v>
      </c>
      <c r="B1468" s="478" t="s">
        <v>349</v>
      </c>
      <c r="C1468" s="391" t="s">
        <v>279</v>
      </c>
      <c r="D1468" s="479">
        <v>14.89</v>
      </c>
      <c r="E1468" s="368"/>
      <c r="F1468" s="368"/>
    </row>
    <row r="1469" spans="1:6" ht="25.5" x14ac:dyDescent="0.2">
      <c r="A1469" s="391">
        <v>90663</v>
      </c>
      <c r="B1469" s="478" t="s">
        <v>488</v>
      </c>
      <c r="C1469" s="391" t="s">
        <v>419</v>
      </c>
      <c r="D1469" s="479">
        <v>5.1100000000000003</v>
      </c>
      <c r="E1469" s="368"/>
      <c r="F1469" s="368"/>
    </row>
    <row r="1470" spans="1:6" ht="25.5" x14ac:dyDescent="0.2">
      <c r="A1470" s="391">
        <v>90662</v>
      </c>
      <c r="B1470" s="478" t="s">
        <v>350</v>
      </c>
      <c r="C1470" s="391" t="s">
        <v>279</v>
      </c>
      <c r="D1470" s="479">
        <v>15.53</v>
      </c>
      <c r="E1470" s="368"/>
      <c r="F1470" s="368"/>
    </row>
    <row r="1471" spans="1:6" ht="38.25" x14ac:dyDescent="0.2">
      <c r="A1471" s="391">
        <v>89022</v>
      </c>
      <c r="B1471" s="478" t="s">
        <v>467</v>
      </c>
      <c r="C1471" s="391" t="s">
        <v>419</v>
      </c>
      <c r="D1471" s="479">
        <v>0.48</v>
      </c>
      <c r="E1471" s="368"/>
      <c r="F1471" s="368"/>
    </row>
    <row r="1472" spans="1:6" ht="38.25" x14ac:dyDescent="0.2">
      <c r="A1472" s="391">
        <v>89021</v>
      </c>
      <c r="B1472" s="478" t="s">
        <v>329</v>
      </c>
      <c r="C1472" s="391" t="s">
        <v>279</v>
      </c>
      <c r="D1472" s="479">
        <v>2.67</v>
      </c>
      <c r="E1472" s="368"/>
      <c r="F1472" s="368"/>
    </row>
    <row r="1473" spans="1:6" ht="25.5" x14ac:dyDescent="0.2">
      <c r="A1473" s="391">
        <v>90644</v>
      </c>
      <c r="B1473" s="478" t="s">
        <v>485</v>
      </c>
      <c r="C1473" s="391" t="s">
        <v>419</v>
      </c>
      <c r="D1473" s="479">
        <v>7.33</v>
      </c>
      <c r="E1473" s="368"/>
      <c r="F1473" s="368"/>
    </row>
    <row r="1474" spans="1:6" ht="25.5" x14ac:dyDescent="0.2">
      <c r="A1474" s="391">
        <v>90643</v>
      </c>
      <c r="B1474" s="478" t="s">
        <v>347</v>
      </c>
      <c r="C1474" s="391" t="s">
        <v>279</v>
      </c>
      <c r="D1474" s="479">
        <v>27.15</v>
      </c>
      <c r="E1474" s="368"/>
      <c r="F1474" s="368"/>
    </row>
    <row r="1475" spans="1:6" ht="25.5" x14ac:dyDescent="0.2">
      <c r="A1475" s="391">
        <v>102811</v>
      </c>
      <c r="B1475" s="478" t="s">
        <v>40781</v>
      </c>
      <c r="C1475" s="391" t="s">
        <v>419</v>
      </c>
      <c r="D1475" s="479">
        <v>0</v>
      </c>
      <c r="E1475" s="368"/>
      <c r="F1475" s="368"/>
    </row>
    <row r="1476" spans="1:6" ht="25.5" x14ac:dyDescent="0.2">
      <c r="A1476" s="391">
        <v>102810</v>
      </c>
      <c r="B1476" s="478" t="s">
        <v>40782</v>
      </c>
      <c r="C1476" s="391" t="s">
        <v>279</v>
      </c>
      <c r="D1476" s="479">
        <v>0</v>
      </c>
      <c r="E1476" s="368"/>
      <c r="F1476" s="368"/>
    </row>
    <row r="1477" spans="1:6" ht="25.5" x14ac:dyDescent="0.2">
      <c r="A1477" s="391">
        <v>92146</v>
      </c>
      <c r="B1477" s="478" t="s">
        <v>512</v>
      </c>
      <c r="C1477" s="391" t="s">
        <v>419</v>
      </c>
      <c r="D1477" s="479">
        <v>30.34</v>
      </c>
      <c r="E1477" s="368"/>
      <c r="F1477" s="368"/>
    </row>
    <row r="1478" spans="1:6" ht="25.5" x14ac:dyDescent="0.2">
      <c r="A1478" s="391">
        <v>92145</v>
      </c>
      <c r="B1478" s="478" t="s">
        <v>373</v>
      </c>
      <c r="C1478" s="391" t="s">
        <v>279</v>
      </c>
      <c r="D1478" s="479">
        <v>79.260000000000005</v>
      </c>
      <c r="E1478" s="368"/>
      <c r="F1478" s="368"/>
    </row>
    <row r="1479" spans="1:6" ht="25.5" x14ac:dyDescent="0.2">
      <c r="A1479" s="391">
        <v>92139</v>
      </c>
      <c r="B1479" s="478" t="s">
        <v>511</v>
      </c>
      <c r="C1479" s="391" t="s">
        <v>419</v>
      </c>
      <c r="D1479" s="479">
        <v>42.46</v>
      </c>
      <c r="E1479" s="368"/>
      <c r="F1479" s="368"/>
    </row>
    <row r="1480" spans="1:6" ht="25.5" x14ac:dyDescent="0.2">
      <c r="A1480" s="391">
        <v>92138</v>
      </c>
      <c r="B1480" s="478" t="s">
        <v>372</v>
      </c>
      <c r="C1480" s="391" t="s">
        <v>279</v>
      </c>
      <c r="D1480" s="479">
        <v>96.49</v>
      </c>
      <c r="E1480" s="368"/>
      <c r="F1480" s="368"/>
    </row>
    <row r="1481" spans="1:6" ht="38.25" x14ac:dyDescent="0.2">
      <c r="A1481" s="391">
        <v>91387</v>
      </c>
      <c r="B1481" s="478" t="s">
        <v>501</v>
      </c>
      <c r="C1481" s="391" t="s">
        <v>419</v>
      </c>
      <c r="D1481" s="479">
        <v>74.58</v>
      </c>
      <c r="E1481" s="368"/>
      <c r="F1481" s="368"/>
    </row>
    <row r="1482" spans="1:6" ht="38.25" x14ac:dyDescent="0.2">
      <c r="A1482" s="391">
        <v>91386</v>
      </c>
      <c r="B1482" s="478" t="s">
        <v>363</v>
      </c>
      <c r="C1482" s="391" t="s">
        <v>279</v>
      </c>
      <c r="D1482" s="479">
        <v>277.54000000000002</v>
      </c>
      <c r="E1482" s="368"/>
      <c r="F1482" s="368"/>
    </row>
    <row r="1483" spans="1:6" ht="38.25" x14ac:dyDescent="0.2">
      <c r="A1483" s="391">
        <v>96036</v>
      </c>
      <c r="B1483" s="478" t="s">
        <v>547</v>
      </c>
      <c r="C1483" s="391" t="s">
        <v>419</v>
      </c>
      <c r="D1483" s="479">
        <v>83.22</v>
      </c>
      <c r="E1483" s="368"/>
      <c r="F1483" s="368"/>
    </row>
    <row r="1484" spans="1:6" ht="38.25" x14ac:dyDescent="0.2">
      <c r="A1484" s="391">
        <v>96035</v>
      </c>
      <c r="B1484" s="478" t="s">
        <v>408</v>
      </c>
      <c r="C1484" s="391" t="s">
        <v>279</v>
      </c>
      <c r="D1484" s="479">
        <v>291.79000000000002</v>
      </c>
      <c r="E1484" s="368"/>
      <c r="F1484" s="368"/>
    </row>
    <row r="1485" spans="1:6" ht="38.25" x14ac:dyDescent="0.2">
      <c r="A1485" s="391">
        <v>89877</v>
      </c>
      <c r="B1485" s="478" t="s">
        <v>479</v>
      </c>
      <c r="C1485" s="391" t="s">
        <v>419</v>
      </c>
      <c r="D1485" s="479">
        <v>88.76</v>
      </c>
      <c r="E1485" s="368"/>
      <c r="F1485" s="368"/>
    </row>
    <row r="1486" spans="1:6" ht="38.25" x14ac:dyDescent="0.2">
      <c r="A1486" s="392">
        <v>89876</v>
      </c>
      <c r="B1486" s="480" t="s">
        <v>341</v>
      </c>
      <c r="C1486" s="392" t="s">
        <v>279</v>
      </c>
      <c r="D1486" s="481">
        <v>343.41</v>
      </c>
      <c r="E1486" s="368"/>
      <c r="F1486" s="368"/>
    </row>
    <row r="1487" spans="1:6" ht="38.25" x14ac:dyDescent="0.2">
      <c r="A1487" s="391">
        <v>89884</v>
      </c>
      <c r="B1487" s="478" t="s">
        <v>480</v>
      </c>
      <c r="C1487" s="391" t="s">
        <v>419</v>
      </c>
      <c r="D1487" s="479">
        <v>92.62</v>
      </c>
      <c r="E1487" s="368"/>
      <c r="F1487" s="368"/>
    </row>
    <row r="1488" spans="1:6" ht="38.25" x14ac:dyDescent="0.2">
      <c r="A1488" s="391">
        <v>89883</v>
      </c>
      <c r="B1488" s="478" t="s">
        <v>342</v>
      </c>
      <c r="C1488" s="391" t="s">
        <v>279</v>
      </c>
      <c r="D1488" s="479">
        <v>380.13</v>
      </c>
      <c r="E1488" s="368"/>
      <c r="F1488" s="368"/>
    </row>
    <row r="1489" spans="1:6" ht="38.25" x14ac:dyDescent="0.2">
      <c r="A1489" s="391">
        <v>67827</v>
      </c>
      <c r="B1489" s="478" t="s">
        <v>455</v>
      </c>
      <c r="C1489" s="391" t="s">
        <v>419</v>
      </c>
      <c r="D1489" s="479">
        <v>64.98</v>
      </c>
      <c r="E1489" s="368"/>
      <c r="F1489" s="368"/>
    </row>
    <row r="1490" spans="1:6" ht="38.25" x14ac:dyDescent="0.2">
      <c r="A1490" s="391">
        <v>67826</v>
      </c>
      <c r="B1490" s="478" t="s">
        <v>314</v>
      </c>
      <c r="C1490" s="391" t="s">
        <v>279</v>
      </c>
      <c r="D1490" s="479">
        <v>192.85</v>
      </c>
      <c r="E1490" s="368"/>
      <c r="F1490" s="368"/>
    </row>
    <row r="1491" spans="1:6" ht="38.25" x14ac:dyDescent="0.2">
      <c r="A1491" s="391">
        <v>5961</v>
      </c>
      <c r="B1491" s="478" t="s">
        <v>449</v>
      </c>
      <c r="C1491" s="391" t="s">
        <v>419</v>
      </c>
      <c r="D1491" s="479">
        <v>63.77</v>
      </c>
      <c r="E1491" s="368"/>
      <c r="F1491" s="368"/>
    </row>
    <row r="1492" spans="1:6" ht="38.25" x14ac:dyDescent="0.2">
      <c r="A1492" s="391">
        <v>5811</v>
      </c>
      <c r="B1492" s="478" t="s">
        <v>285</v>
      </c>
      <c r="C1492" s="391" t="s">
        <v>279</v>
      </c>
      <c r="D1492" s="479">
        <v>211.23</v>
      </c>
      <c r="E1492" s="368"/>
      <c r="F1492" s="368"/>
    </row>
    <row r="1493" spans="1:6" ht="51" x14ac:dyDescent="0.2">
      <c r="A1493" s="391">
        <v>92243</v>
      </c>
      <c r="B1493" s="478" t="s">
        <v>513</v>
      </c>
      <c r="C1493" s="391" t="s">
        <v>419</v>
      </c>
      <c r="D1493" s="479">
        <v>80.2</v>
      </c>
      <c r="E1493" s="368"/>
      <c r="F1493" s="368"/>
    </row>
    <row r="1494" spans="1:6" ht="51" x14ac:dyDescent="0.2">
      <c r="A1494" s="391">
        <v>92242</v>
      </c>
      <c r="B1494" s="478" t="s">
        <v>374</v>
      </c>
      <c r="C1494" s="391" t="s">
        <v>279</v>
      </c>
      <c r="D1494" s="479">
        <v>425.85</v>
      </c>
      <c r="E1494" s="368"/>
      <c r="F1494" s="368"/>
    </row>
    <row r="1495" spans="1:6" ht="51" x14ac:dyDescent="0.2">
      <c r="A1495" s="391">
        <v>91646</v>
      </c>
      <c r="B1495" s="478" t="s">
        <v>505</v>
      </c>
      <c r="C1495" s="391" t="s">
        <v>419</v>
      </c>
      <c r="D1495" s="479">
        <v>97.53</v>
      </c>
      <c r="E1495" s="368"/>
      <c r="F1495" s="368"/>
    </row>
    <row r="1496" spans="1:6" ht="51" x14ac:dyDescent="0.2">
      <c r="A1496" s="391">
        <v>91645</v>
      </c>
      <c r="B1496" s="478" t="s">
        <v>366</v>
      </c>
      <c r="C1496" s="391" t="s">
        <v>279</v>
      </c>
      <c r="D1496" s="479">
        <v>489.87</v>
      </c>
      <c r="E1496" s="368"/>
      <c r="F1496" s="368"/>
    </row>
    <row r="1497" spans="1:6" ht="51" x14ac:dyDescent="0.2">
      <c r="A1497" s="391">
        <v>92107</v>
      </c>
      <c r="B1497" s="478" t="s">
        <v>508</v>
      </c>
      <c r="C1497" s="391" t="s">
        <v>419</v>
      </c>
      <c r="D1497" s="479">
        <v>93.33</v>
      </c>
      <c r="E1497" s="368"/>
      <c r="F1497" s="368"/>
    </row>
    <row r="1498" spans="1:6" ht="51" x14ac:dyDescent="0.2">
      <c r="A1498" s="391">
        <v>92106</v>
      </c>
      <c r="B1498" s="478" t="s">
        <v>369</v>
      </c>
      <c r="C1498" s="391" t="s">
        <v>279</v>
      </c>
      <c r="D1498" s="479">
        <v>368.12</v>
      </c>
      <c r="E1498" s="368"/>
      <c r="F1498" s="368"/>
    </row>
    <row r="1499" spans="1:6" ht="38.25" x14ac:dyDescent="0.2">
      <c r="A1499" s="391">
        <v>5903</v>
      </c>
      <c r="B1499" s="478" t="s">
        <v>440</v>
      </c>
      <c r="C1499" s="391" t="s">
        <v>419</v>
      </c>
      <c r="D1499" s="479">
        <v>73.67</v>
      </c>
      <c r="E1499" s="368"/>
      <c r="F1499" s="368"/>
    </row>
    <row r="1500" spans="1:6" ht="38.25" x14ac:dyDescent="0.2">
      <c r="A1500" s="391">
        <v>5901</v>
      </c>
      <c r="B1500" s="478" t="s">
        <v>301</v>
      </c>
      <c r="C1500" s="391" t="s">
        <v>279</v>
      </c>
      <c r="D1500" s="479">
        <v>329.33</v>
      </c>
      <c r="E1500" s="368"/>
      <c r="F1500" s="368"/>
    </row>
    <row r="1501" spans="1:6" ht="38.25" x14ac:dyDescent="0.2">
      <c r="A1501" s="391">
        <v>6260</v>
      </c>
      <c r="B1501" s="478" t="s">
        <v>450</v>
      </c>
      <c r="C1501" s="391" t="s">
        <v>419</v>
      </c>
      <c r="D1501" s="479">
        <v>61</v>
      </c>
      <c r="E1501" s="368"/>
      <c r="F1501" s="368"/>
    </row>
    <row r="1502" spans="1:6" ht="38.25" x14ac:dyDescent="0.2">
      <c r="A1502" s="391">
        <v>6259</v>
      </c>
      <c r="B1502" s="478" t="s">
        <v>309</v>
      </c>
      <c r="C1502" s="391" t="s">
        <v>279</v>
      </c>
      <c r="D1502" s="479">
        <v>265.55</v>
      </c>
      <c r="E1502" s="368"/>
      <c r="F1502" s="368"/>
    </row>
    <row r="1503" spans="1:6" ht="38.25" x14ac:dyDescent="0.2">
      <c r="A1503" s="391">
        <v>104705</v>
      </c>
      <c r="B1503" s="478" t="s">
        <v>40783</v>
      </c>
      <c r="C1503" s="391" t="s">
        <v>419</v>
      </c>
      <c r="D1503" s="479">
        <v>0</v>
      </c>
      <c r="E1503" s="368"/>
      <c r="F1503" s="368"/>
    </row>
    <row r="1504" spans="1:6" ht="38.25" x14ac:dyDescent="0.2">
      <c r="A1504" s="391">
        <v>104704</v>
      </c>
      <c r="B1504" s="478" t="s">
        <v>40784</v>
      </c>
      <c r="C1504" s="391" t="s">
        <v>279</v>
      </c>
      <c r="D1504" s="479">
        <v>0</v>
      </c>
      <c r="E1504" s="368"/>
      <c r="F1504" s="368"/>
    </row>
    <row r="1505" spans="1:6" ht="51" x14ac:dyDescent="0.2">
      <c r="A1505" s="391">
        <v>91395</v>
      </c>
      <c r="B1505" s="478" t="s">
        <v>502</v>
      </c>
      <c r="C1505" s="391" t="s">
        <v>419</v>
      </c>
      <c r="D1505" s="479">
        <v>58.77</v>
      </c>
      <c r="E1505" s="368"/>
      <c r="F1505" s="368"/>
    </row>
    <row r="1506" spans="1:6" ht="51" x14ac:dyDescent="0.2">
      <c r="A1506" s="391">
        <v>73467</v>
      </c>
      <c r="B1506" s="478" t="s">
        <v>317</v>
      </c>
      <c r="C1506" s="391" t="s">
        <v>279</v>
      </c>
      <c r="D1506" s="479">
        <v>257.98</v>
      </c>
      <c r="E1506" s="368"/>
      <c r="F1506" s="368"/>
    </row>
    <row r="1507" spans="1:6" ht="51" x14ac:dyDescent="0.2">
      <c r="A1507" s="391">
        <v>5826</v>
      </c>
      <c r="B1507" s="478" t="s">
        <v>425</v>
      </c>
      <c r="C1507" s="391" t="s">
        <v>419</v>
      </c>
      <c r="D1507" s="479">
        <v>61.66</v>
      </c>
      <c r="E1507" s="368"/>
      <c r="F1507" s="368"/>
    </row>
    <row r="1508" spans="1:6" ht="51" x14ac:dyDescent="0.2">
      <c r="A1508" s="391">
        <v>5824</v>
      </c>
      <c r="B1508" s="480" t="s">
        <v>287</v>
      </c>
      <c r="C1508" s="391" t="s">
        <v>279</v>
      </c>
      <c r="D1508" s="479">
        <v>223.69</v>
      </c>
      <c r="E1508" s="368"/>
      <c r="F1508" s="368"/>
    </row>
    <row r="1509" spans="1:6" ht="38.25" x14ac:dyDescent="0.2">
      <c r="A1509" s="391">
        <v>5892</v>
      </c>
      <c r="B1509" s="478" t="s">
        <v>438</v>
      </c>
      <c r="C1509" s="391" t="s">
        <v>419</v>
      </c>
      <c r="D1509" s="479">
        <v>56.52</v>
      </c>
      <c r="E1509" s="368"/>
      <c r="F1509" s="368"/>
    </row>
    <row r="1510" spans="1:6" ht="38.25" x14ac:dyDescent="0.2">
      <c r="A1510" s="391">
        <v>5890</v>
      </c>
      <c r="B1510" s="478" t="s">
        <v>299</v>
      </c>
      <c r="C1510" s="391" t="s">
        <v>279</v>
      </c>
      <c r="D1510" s="479">
        <v>210.49</v>
      </c>
      <c r="E1510" s="368"/>
      <c r="F1510" s="368"/>
    </row>
    <row r="1511" spans="1:6" ht="38.25" x14ac:dyDescent="0.2">
      <c r="A1511" s="391">
        <v>5896</v>
      </c>
      <c r="B1511" s="478" t="s">
        <v>439</v>
      </c>
      <c r="C1511" s="391" t="s">
        <v>419</v>
      </c>
      <c r="D1511" s="479">
        <v>59.25</v>
      </c>
      <c r="E1511" s="368"/>
      <c r="F1511" s="368"/>
    </row>
    <row r="1512" spans="1:6" ht="38.25" x14ac:dyDescent="0.2">
      <c r="A1512" s="391">
        <v>5894</v>
      </c>
      <c r="B1512" s="478" t="s">
        <v>300</v>
      </c>
      <c r="C1512" s="391" t="s">
        <v>279</v>
      </c>
      <c r="D1512" s="479">
        <v>219.06</v>
      </c>
      <c r="E1512" s="368"/>
      <c r="F1512" s="368"/>
    </row>
    <row r="1513" spans="1:6" ht="38.25" x14ac:dyDescent="0.2">
      <c r="A1513" s="391">
        <v>91032</v>
      </c>
      <c r="B1513" s="478" t="s">
        <v>498</v>
      </c>
      <c r="C1513" s="391" t="s">
        <v>419</v>
      </c>
      <c r="D1513" s="479">
        <v>67.48</v>
      </c>
      <c r="E1513" s="368"/>
      <c r="F1513" s="368"/>
    </row>
    <row r="1514" spans="1:6" ht="38.25" x14ac:dyDescent="0.2">
      <c r="A1514" s="391">
        <v>91031</v>
      </c>
      <c r="B1514" s="478" t="s">
        <v>360</v>
      </c>
      <c r="C1514" s="391" t="s">
        <v>279</v>
      </c>
      <c r="D1514" s="479">
        <v>268.48</v>
      </c>
      <c r="E1514" s="368"/>
      <c r="F1514" s="368"/>
    </row>
    <row r="1515" spans="1:6" ht="51" x14ac:dyDescent="0.2">
      <c r="A1515" s="391">
        <v>102817</v>
      </c>
      <c r="B1515" s="478" t="s">
        <v>40785</v>
      </c>
      <c r="C1515" s="391" t="s">
        <v>419</v>
      </c>
      <c r="D1515" s="479">
        <v>0</v>
      </c>
      <c r="E1515" s="368"/>
      <c r="F1515" s="368"/>
    </row>
    <row r="1516" spans="1:6" ht="51" x14ac:dyDescent="0.2">
      <c r="A1516" s="391">
        <v>102816</v>
      </c>
      <c r="B1516" s="480" t="s">
        <v>40786</v>
      </c>
      <c r="C1516" s="391" t="s">
        <v>279</v>
      </c>
      <c r="D1516" s="479">
        <v>0</v>
      </c>
      <c r="E1516" s="368"/>
      <c r="F1516" s="368"/>
    </row>
    <row r="1517" spans="1:6" ht="25.5" x14ac:dyDescent="0.2">
      <c r="A1517" s="391">
        <v>91534</v>
      </c>
      <c r="B1517" s="478" t="s">
        <v>503</v>
      </c>
      <c r="C1517" s="391" t="s">
        <v>419</v>
      </c>
      <c r="D1517" s="479">
        <v>30.85</v>
      </c>
      <c r="E1517" s="368"/>
      <c r="F1517" s="368"/>
    </row>
    <row r="1518" spans="1:6" ht="25.5" x14ac:dyDescent="0.2">
      <c r="A1518" s="391">
        <v>91533</v>
      </c>
      <c r="B1518" s="478" t="s">
        <v>364</v>
      </c>
      <c r="C1518" s="391" t="s">
        <v>279</v>
      </c>
      <c r="D1518" s="479">
        <v>38.43</v>
      </c>
      <c r="E1518" s="368"/>
      <c r="F1518" s="368"/>
    </row>
    <row r="1519" spans="1:6" ht="25.5" x14ac:dyDescent="0.2">
      <c r="A1519" s="391">
        <v>95265</v>
      </c>
      <c r="B1519" s="478" t="s">
        <v>534</v>
      </c>
      <c r="C1519" s="391" t="s">
        <v>419</v>
      </c>
      <c r="D1519" s="479">
        <v>0.81</v>
      </c>
      <c r="E1519" s="368"/>
      <c r="F1519" s="368"/>
    </row>
    <row r="1520" spans="1:6" ht="25.5" x14ac:dyDescent="0.2">
      <c r="A1520" s="391">
        <v>95264</v>
      </c>
      <c r="B1520" s="478" t="s">
        <v>395</v>
      </c>
      <c r="C1520" s="391" t="s">
        <v>279</v>
      </c>
      <c r="D1520" s="479">
        <v>6.6</v>
      </c>
      <c r="E1520" s="368"/>
      <c r="F1520" s="368"/>
    </row>
    <row r="1521" spans="1:6" ht="25.5" x14ac:dyDescent="0.2">
      <c r="A1521" s="391">
        <v>90973</v>
      </c>
      <c r="B1521" s="478" t="s">
        <v>495</v>
      </c>
      <c r="C1521" s="391" t="s">
        <v>419</v>
      </c>
      <c r="D1521" s="479">
        <v>8.44</v>
      </c>
      <c r="E1521" s="368"/>
      <c r="F1521" s="368"/>
    </row>
    <row r="1522" spans="1:6" ht="25.5" x14ac:dyDescent="0.2">
      <c r="A1522" s="391">
        <v>90972</v>
      </c>
      <c r="B1522" s="478" t="s">
        <v>357</v>
      </c>
      <c r="C1522" s="391" t="s">
        <v>279</v>
      </c>
      <c r="D1522" s="479">
        <v>81</v>
      </c>
      <c r="E1522" s="368"/>
      <c r="F1522" s="368"/>
    </row>
    <row r="1523" spans="1:6" ht="25.5" x14ac:dyDescent="0.2">
      <c r="A1523" s="391">
        <v>91001</v>
      </c>
      <c r="B1523" s="478" t="s">
        <v>497</v>
      </c>
      <c r="C1523" s="391" t="s">
        <v>419</v>
      </c>
      <c r="D1523" s="479">
        <v>10.02</v>
      </c>
      <c r="E1523" s="368"/>
      <c r="F1523" s="368"/>
    </row>
    <row r="1524" spans="1:6" ht="25.5" x14ac:dyDescent="0.2">
      <c r="A1524" s="391">
        <v>90999</v>
      </c>
      <c r="B1524" s="478" t="s">
        <v>359</v>
      </c>
      <c r="C1524" s="391" t="s">
        <v>279</v>
      </c>
      <c r="D1524" s="479">
        <v>107.14</v>
      </c>
      <c r="E1524" s="368"/>
      <c r="F1524" s="368"/>
    </row>
    <row r="1525" spans="1:6" ht="25.5" x14ac:dyDescent="0.2">
      <c r="A1525" s="391">
        <v>5954</v>
      </c>
      <c r="B1525" s="480" t="s">
        <v>448</v>
      </c>
      <c r="C1525" s="391" t="s">
        <v>419</v>
      </c>
      <c r="D1525" s="479">
        <v>6.3</v>
      </c>
      <c r="E1525" s="368"/>
      <c r="F1525" s="368"/>
    </row>
    <row r="1526" spans="1:6" ht="25.5" x14ac:dyDescent="0.2">
      <c r="A1526" s="391">
        <v>5953</v>
      </c>
      <c r="B1526" s="478" t="s">
        <v>308</v>
      </c>
      <c r="C1526" s="391" t="s">
        <v>279</v>
      </c>
      <c r="D1526" s="479">
        <v>62.47</v>
      </c>
      <c r="E1526" s="368"/>
      <c r="F1526" s="368"/>
    </row>
    <row r="1527" spans="1:6" ht="25.5" x14ac:dyDescent="0.2">
      <c r="A1527" s="391">
        <v>90982</v>
      </c>
      <c r="B1527" s="478" t="s">
        <v>496</v>
      </c>
      <c r="C1527" s="391" t="s">
        <v>419</v>
      </c>
      <c r="D1527" s="479">
        <v>21.46</v>
      </c>
      <c r="E1527" s="368"/>
      <c r="F1527" s="368"/>
    </row>
    <row r="1528" spans="1:6" ht="25.5" x14ac:dyDescent="0.2">
      <c r="A1528" s="391">
        <v>90979</v>
      </c>
      <c r="B1528" s="478" t="s">
        <v>358</v>
      </c>
      <c r="C1528" s="391" t="s">
        <v>279</v>
      </c>
      <c r="D1528" s="479">
        <v>209.24</v>
      </c>
      <c r="E1528" s="368"/>
      <c r="F1528" s="368"/>
    </row>
    <row r="1529" spans="1:6" ht="25.5" x14ac:dyDescent="0.2">
      <c r="A1529" s="391">
        <v>90965</v>
      </c>
      <c r="B1529" s="478" t="s">
        <v>494</v>
      </c>
      <c r="C1529" s="391" t="s">
        <v>419</v>
      </c>
      <c r="D1529" s="479">
        <v>8.42</v>
      </c>
      <c r="E1529" s="368"/>
      <c r="F1529" s="368"/>
    </row>
    <row r="1530" spans="1:6" ht="25.5" x14ac:dyDescent="0.2">
      <c r="A1530" s="391">
        <v>90964</v>
      </c>
      <c r="B1530" s="478" t="s">
        <v>356</v>
      </c>
      <c r="C1530" s="391" t="s">
        <v>279</v>
      </c>
      <c r="D1530" s="479">
        <v>32.58</v>
      </c>
      <c r="E1530" s="368"/>
      <c r="F1530" s="368"/>
    </row>
    <row r="1531" spans="1:6" ht="38.25" x14ac:dyDescent="0.2">
      <c r="A1531" s="391">
        <v>102970</v>
      </c>
      <c r="B1531" s="478" t="s">
        <v>47534</v>
      </c>
      <c r="C1531" s="391" t="s">
        <v>419</v>
      </c>
      <c r="D1531" s="479">
        <v>0</v>
      </c>
      <c r="E1531" s="368"/>
      <c r="F1531" s="368"/>
    </row>
    <row r="1532" spans="1:6" ht="38.25" x14ac:dyDescent="0.2">
      <c r="A1532" s="391">
        <v>102971</v>
      </c>
      <c r="B1532" s="478" t="s">
        <v>40787</v>
      </c>
      <c r="C1532" s="391" t="s">
        <v>279</v>
      </c>
      <c r="D1532" s="479">
        <v>0</v>
      </c>
      <c r="E1532" s="368"/>
      <c r="F1532" s="368"/>
    </row>
    <row r="1533" spans="1:6" ht="38.25" x14ac:dyDescent="0.2">
      <c r="A1533" s="391">
        <v>102822</v>
      </c>
      <c r="B1533" s="478" t="s">
        <v>47535</v>
      </c>
      <c r="C1533" s="391" t="s">
        <v>419</v>
      </c>
      <c r="D1533" s="479">
        <v>0</v>
      </c>
      <c r="E1533" s="368"/>
      <c r="F1533" s="368"/>
    </row>
    <row r="1534" spans="1:6" ht="38.25" x14ac:dyDescent="0.2">
      <c r="A1534" s="391">
        <v>102821</v>
      </c>
      <c r="B1534" s="478" t="s">
        <v>47536</v>
      </c>
      <c r="C1534" s="391" t="s">
        <v>279</v>
      </c>
      <c r="D1534" s="479">
        <v>0</v>
      </c>
      <c r="E1534" s="368"/>
      <c r="F1534" s="368"/>
    </row>
    <row r="1535" spans="1:6" ht="25.5" x14ac:dyDescent="0.2">
      <c r="A1535" s="391">
        <v>102828</v>
      </c>
      <c r="B1535" s="478" t="s">
        <v>40788</v>
      </c>
      <c r="C1535" s="391" t="s">
        <v>419</v>
      </c>
      <c r="D1535" s="479">
        <v>0</v>
      </c>
      <c r="E1535" s="368"/>
      <c r="F1535" s="368"/>
    </row>
    <row r="1536" spans="1:6" ht="38.25" x14ac:dyDescent="0.2">
      <c r="A1536" s="391">
        <v>102827</v>
      </c>
      <c r="B1536" s="478" t="s">
        <v>40789</v>
      </c>
      <c r="C1536" s="391" t="s">
        <v>279</v>
      </c>
      <c r="D1536" s="479">
        <v>0</v>
      </c>
      <c r="E1536" s="368"/>
      <c r="F1536" s="368"/>
    </row>
    <row r="1537" spans="1:6" ht="38.25" x14ac:dyDescent="0.2">
      <c r="A1537" s="391">
        <v>103939</v>
      </c>
      <c r="B1537" s="478" t="s">
        <v>47537</v>
      </c>
      <c r="C1537" s="391" t="s">
        <v>419</v>
      </c>
      <c r="D1537" s="479">
        <v>0</v>
      </c>
      <c r="E1537" s="368"/>
      <c r="F1537" s="368"/>
    </row>
    <row r="1538" spans="1:6" ht="38.25" x14ac:dyDescent="0.2">
      <c r="A1538" s="391">
        <v>103938</v>
      </c>
      <c r="B1538" s="478" t="s">
        <v>47538</v>
      </c>
      <c r="C1538" s="391" t="s">
        <v>279</v>
      </c>
      <c r="D1538" s="479">
        <v>0</v>
      </c>
      <c r="E1538" s="368"/>
      <c r="F1538" s="368"/>
    </row>
    <row r="1539" spans="1:6" ht="38.25" x14ac:dyDescent="0.2">
      <c r="A1539" s="391">
        <v>103945</v>
      </c>
      <c r="B1539" s="478" t="s">
        <v>47539</v>
      </c>
      <c r="C1539" s="391" t="s">
        <v>419</v>
      </c>
      <c r="D1539" s="479">
        <v>0</v>
      </c>
      <c r="E1539" s="368"/>
      <c r="F1539" s="368"/>
    </row>
    <row r="1540" spans="1:6" ht="38.25" x14ac:dyDescent="0.2">
      <c r="A1540" s="391">
        <v>103944</v>
      </c>
      <c r="B1540" s="478" t="s">
        <v>47540</v>
      </c>
      <c r="C1540" s="391" t="s">
        <v>279</v>
      </c>
      <c r="D1540" s="479">
        <v>0</v>
      </c>
      <c r="E1540" s="368"/>
      <c r="F1540" s="368"/>
    </row>
    <row r="1541" spans="1:6" ht="38.25" x14ac:dyDescent="0.2">
      <c r="A1541" s="391">
        <v>91285</v>
      </c>
      <c r="B1541" s="478" t="s">
        <v>500</v>
      </c>
      <c r="C1541" s="391" t="s">
        <v>419</v>
      </c>
      <c r="D1541" s="479">
        <v>1.31</v>
      </c>
      <c r="E1541" s="368"/>
      <c r="F1541" s="368"/>
    </row>
    <row r="1542" spans="1:6" ht="38.25" x14ac:dyDescent="0.2">
      <c r="A1542" s="392">
        <v>91283</v>
      </c>
      <c r="B1542" s="480" t="s">
        <v>362</v>
      </c>
      <c r="C1542" s="392" t="s">
        <v>279</v>
      </c>
      <c r="D1542" s="481">
        <v>11.93</v>
      </c>
      <c r="E1542" s="368"/>
      <c r="F1542" s="368"/>
    </row>
    <row r="1543" spans="1:6" ht="25.5" x14ac:dyDescent="0.2">
      <c r="A1543" s="391">
        <v>95283</v>
      </c>
      <c r="B1543" s="478" t="s">
        <v>537</v>
      </c>
      <c r="C1543" s="391" t="s">
        <v>419</v>
      </c>
      <c r="D1543" s="479">
        <v>0.91</v>
      </c>
      <c r="E1543" s="368"/>
      <c r="F1543" s="368"/>
    </row>
    <row r="1544" spans="1:6" ht="25.5" x14ac:dyDescent="0.2">
      <c r="A1544" s="391">
        <v>95282</v>
      </c>
      <c r="B1544" s="478" t="s">
        <v>398</v>
      </c>
      <c r="C1544" s="391" t="s">
        <v>279</v>
      </c>
      <c r="D1544" s="479">
        <v>10.86</v>
      </c>
      <c r="E1544" s="368"/>
      <c r="F1544" s="368"/>
    </row>
    <row r="1545" spans="1:6" ht="25.5" x14ac:dyDescent="0.2">
      <c r="A1545" s="391">
        <v>95128</v>
      </c>
      <c r="B1545" s="478" t="s">
        <v>530</v>
      </c>
      <c r="C1545" s="391" t="s">
        <v>419</v>
      </c>
      <c r="D1545" s="479">
        <v>54.16</v>
      </c>
      <c r="E1545" s="368"/>
      <c r="F1545" s="368"/>
    </row>
    <row r="1546" spans="1:6" ht="25.5" x14ac:dyDescent="0.2">
      <c r="A1546" s="391">
        <v>95127</v>
      </c>
      <c r="B1546" s="478" t="s">
        <v>390</v>
      </c>
      <c r="C1546" s="391" t="s">
        <v>279</v>
      </c>
      <c r="D1546" s="479">
        <v>230.51</v>
      </c>
      <c r="E1546" s="368"/>
      <c r="F1546" s="368"/>
    </row>
    <row r="1547" spans="1:6" ht="25.5" x14ac:dyDescent="0.2">
      <c r="A1547" s="391">
        <v>92044</v>
      </c>
      <c r="B1547" s="478" t="s">
        <v>507</v>
      </c>
      <c r="C1547" s="391" t="s">
        <v>419</v>
      </c>
      <c r="D1547" s="479">
        <v>8.11</v>
      </c>
      <c r="E1547" s="368"/>
      <c r="F1547" s="368"/>
    </row>
    <row r="1548" spans="1:6" ht="25.5" x14ac:dyDescent="0.2">
      <c r="A1548" s="391">
        <v>92043</v>
      </c>
      <c r="B1548" s="478" t="s">
        <v>368</v>
      </c>
      <c r="C1548" s="391" t="s">
        <v>279</v>
      </c>
      <c r="D1548" s="479">
        <v>13.72</v>
      </c>
      <c r="E1548" s="368"/>
      <c r="F1548" s="368"/>
    </row>
    <row r="1549" spans="1:6" x14ac:dyDescent="0.2">
      <c r="A1549" s="391">
        <v>102834</v>
      </c>
      <c r="B1549" s="478" t="s">
        <v>40790</v>
      </c>
      <c r="C1549" s="391" t="s">
        <v>419</v>
      </c>
      <c r="D1549" s="479">
        <v>0</v>
      </c>
      <c r="E1549" s="368"/>
      <c r="F1549" s="368"/>
    </row>
    <row r="1550" spans="1:6" x14ac:dyDescent="0.2">
      <c r="A1550" s="391">
        <v>102833</v>
      </c>
      <c r="B1550" s="478" t="s">
        <v>40791</v>
      </c>
      <c r="C1550" s="391" t="s">
        <v>279</v>
      </c>
      <c r="D1550" s="479">
        <v>0</v>
      </c>
      <c r="E1550" s="368"/>
      <c r="F1550" s="368"/>
    </row>
    <row r="1551" spans="1:6" x14ac:dyDescent="0.2">
      <c r="A1551" s="391">
        <v>92119</v>
      </c>
      <c r="B1551" s="478" t="s">
        <v>510</v>
      </c>
      <c r="C1551" s="391" t="s">
        <v>419</v>
      </c>
      <c r="D1551" s="479">
        <v>0.27</v>
      </c>
      <c r="E1551" s="368"/>
      <c r="F1551" s="368"/>
    </row>
    <row r="1552" spans="1:6" x14ac:dyDescent="0.2">
      <c r="A1552" s="391">
        <v>92118</v>
      </c>
      <c r="B1552" s="478" t="s">
        <v>371</v>
      </c>
      <c r="C1552" s="391" t="s">
        <v>279</v>
      </c>
      <c r="D1552" s="479">
        <v>0.43</v>
      </c>
      <c r="E1552" s="368"/>
      <c r="F1552" s="368"/>
    </row>
    <row r="1553" spans="1:6" x14ac:dyDescent="0.2">
      <c r="A1553" s="391">
        <v>102917</v>
      </c>
      <c r="B1553" s="478" t="s">
        <v>40792</v>
      </c>
      <c r="C1553" s="391" t="s">
        <v>419</v>
      </c>
      <c r="D1553" s="479">
        <v>0</v>
      </c>
      <c r="E1553" s="368"/>
      <c r="F1553" s="368"/>
    </row>
    <row r="1554" spans="1:6" x14ac:dyDescent="0.2">
      <c r="A1554" s="391">
        <v>102916</v>
      </c>
      <c r="B1554" s="478" t="s">
        <v>40793</v>
      </c>
      <c r="C1554" s="391" t="s">
        <v>279</v>
      </c>
      <c r="D1554" s="479">
        <v>0</v>
      </c>
      <c r="E1554" s="368"/>
      <c r="F1554" s="368"/>
    </row>
    <row r="1555" spans="1:6" ht="51" x14ac:dyDescent="0.2">
      <c r="A1555" s="391">
        <v>95721</v>
      </c>
      <c r="B1555" s="478" t="s">
        <v>542</v>
      </c>
      <c r="C1555" s="391" t="s">
        <v>419</v>
      </c>
      <c r="D1555" s="479">
        <v>113.63</v>
      </c>
      <c r="E1555" s="368"/>
      <c r="F1555" s="368"/>
    </row>
    <row r="1556" spans="1:6" ht="51" x14ac:dyDescent="0.2">
      <c r="A1556" s="391">
        <v>95720</v>
      </c>
      <c r="B1556" s="478" t="s">
        <v>403</v>
      </c>
      <c r="C1556" s="391" t="s">
        <v>279</v>
      </c>
      <c r="D1556" s="479">
        <v>291.31</v>
      </c>
      <c r="E1556" s="368"/>
      <c r="F1556" s="368"/>
    </row>
    <row r="1557" spans="1:6" ht="38.25" x14ac:dyDescent="0.2">
      <c r="A1557" s="391">
        <v>104717</v>
      </c>
      <c r="B1557" s="478" t="s">
        <v>40432</v>
      </c>
      <c r="C1557" s="391" t="s">
        <v>419</v>
      </c>
      <c r="D1557" s="479">
        <v>108.62</v>
      </c>
      <c r="E1557" s="368"/>
      <c r="F1557" s="368"/>
    </row>
    <row r="1558" spans="1:6" ht="38.25" x14ac:dyDescent="0.2">
      <c r="A1558" s="391">
        <v>104716</v>
      </c>
      <c r="B1558" s="478" t="s">
        <v>47541</v>
      </c>
      <c r="C1558" s="391" t="s">
        <v>279</v>
      </c>
      <c r="D1558" s="479">
        <v>281.33999999999997</v>
      </c>
      <c r="E1558" s="368"/>
      <c r="F1558" s="368"/>
    </row>
    <row r="1559" spans="1:6" ht="38.25" x14ac:dyDescent="0.2">
      <c r="A1559" s="391">
        <v>102899</v>
      </c>
      <c r="B1559" s="478" t="s">
        <v>40794</v>
      </c>
      <c r="C1559" s="391" t="s">
        <v>419</v>
      </c>
      <c r="D1559" s="479">
        <v>0</v>
      </c>
      <c r="E1559" s="368"/>
      <c r="F1559" s="368"/>
    </row>
    <row r="1560" spans="1:6" ht="38.25" x14ac:dyDescent="0.2">
      <c r="A1560" s="391">
        <v>102898</v>
      </c>
      <c r="B1560" s="478" t="s">
        <v>40795</v>
      </c>
      <c r="C1560" s="391" t="s">
        <v>279</v>
      </c>
      <c r="D1560" s="479">
        <v>0</v>
      </c>
      <c r="E1560" s="368"/>
      <c r="F1560" s="368"/>
    </row>
    <row r="1561" spans="1:6" ht="25.5" x14ac:dyDescent="0.2">
      <c r="A1561" s="391">
        <v>5632</v>
      </c>
      <c r="B1561" s="478" t="s">
        <v>418</v>
      </c>
      <c r="C1561" s="391" t="s">
        <v>419</v>
      </c>
      <c r="D1561" s="479">
        <v>90.48</v>
      </c>
      <c r="E1561" s="368"/>
      <c r="F1561" s="368"/>
    </row>
    <row r="1562" spans="1:6" ht="25.5" x14ac:dyDescent="0.2">
      <c r="A1562" s="391">
        <v>5631</v>
      </c>
      <c r="B1562" s="478" t="s">
        <v>278</v>
      </c>
      <c r="C1562" s="391" t="s">
        <v>279</v>
      </c>
      <c r="D1562" s="479">
        <v>218.26</v>
      </c>
      <c r="E1562" s="368"/>
      <c r="F1562" s="368"/>
    </row>
    <row r="1563" spans="1:6" ht="25.5" x14ac:dyDescent="0.2">
      <c r="A1563" s="391">
        <v>88908</v>
      </c>
      <c r="B1563" s="478" t="s">
        <v>466</v>
      </c>
      <c r="C1563" s="391" t="s">
        <v>419</v>
      </c>
      <c r="D1563" s="479">
        <v>98.39</v>
      </c>
      <c r="E1563" s="368"/>
      <c r="F1563" s="368"/>
    </row>
    <row r="1564" spans="1:6" ht="25.5" x14ac:dyDescent="0.2">
      <c r="A1564" s="391">
        <v>88907</v>
      </c>
      <c r="B1564" s="478" t="s">
        <v>328</v>
      </c>
      <c r="C1564" s="391" t="s">
        <v>279</v>
      </c>
      <c r="D1564" s="479">
        <v>261</v>
      </c>
      <c r="E1564" s="368"/>
      <c r="F1564" s="368"/>
    </row>
    <row r="1565" spans="1:6" ht="38.25" x14ac:dyDescent="0.2">
      <c r="A1565" s="391">
        <v>5911</v>
      </c>
      <c r="B1565" s="478" t="s">
        <v>441</v>
      </c>
      <c r="C1565" s="391" t="s">
        <v>419</v>
      </c>
      <c r="D1565" s="479">
        <v>26.93</v>
      </c>
      <c r="E1565" s="368"/>
      <c r="F1565" s="368"/>
    </row>
    <row r="1566" spans="1:6" ht="38.25" x14ac:dyDescent="0.2">
      <c r="A1566" s="391">
        <v>5909</v>
      </c>
      <c r="B1566" s="478" t="s">
        <v>302</v>
      </c>
      <c r="C1566" s="391" t="s">
        <v>279</v>
      </c>
      <c r="D1566" s="479">
        <v>34.82</v>
      </c>
      <c r="E1566" s="368"/>
      <c r="F1566" s="368"/>
    </row>
    <row r="1567" spans="1:6" ht="51" x14ac:dyDescent="0.2">
      <c r="A1567" s="391">
        <v>91486</v>
      </c>
      <c r="B1567" s="478" t="s">
        <v>47542</v>
      </c>
      <c r="C1567" s="391" t="s">
        <v>419</v>
      </c>
      <c r="D1567" s="479">
        <v>68.69</v>
      </c>
      <c r="E1567" s="368"/>
      <c r="F1567" s="368"/>
    </row>
    <row r="1568" spans="1:6" ht="51" x14ac:dyDescent="0.2">
      <c r="A1568" s="391">
        <v>83362</v>
      </c>
      <c r="B1568" s="478" t="s">
        <v>47543</v>
      </c>
      <c r="C1568" s="391" t="s">
        <v>279</v>
      </c>
      <c r="D1568" s="479">
        <v>276.01</v>
      </c>
      <c r="E1568" s="368"/>
      <c r="F1568" s="368"/>
    </row>
    <row r="1569" spans="1:6" ht="38.25" x14ac:dyDescent="0.2">
      <c r="A1569" s="391">
        <v>102839</v>
      </c>
      <c r="B1569" s="478" t="s">
        <v>47544</v>
      </c>
      <c r="C1569" s="391" t="s">
        <v>419</v>
      </c>
      <c r="D1569" s="479">
        <v>0</v>
      </c>
      <c r="E1569" s="368"/>
      <c r="F1569" s="368"/>
    </row>
    <row r="1570" spans="1:6" ht="38.25" x14ac:dyDescent="0.2">
      <c r="A1570" s="391">
        <v>102838</v>
      </c>
      <c r="B1570" s="478" t="s">
        <v>47545</v>
      </c>
      <c r="C1570" s="391" t="s">
        <v>279</v>
      </c>
      <c r="D1570" s="479">
        <v>0</v>
      </c>
      <c r="E1570" s="368"/>
      <c r="F1570" s="368"/>
    </row>
    <row r="1571" spans="1:6" ht="25.5" x14ac:dyDescent="0.2">
      <c r="A1571" s="391">
        <v>89235</v>
      </c>
      <c r="B1571" s="478" t="s">
        <v>473</v>
      </c>
      <c r="C1571" s="391" t="s">
        <v>419</v>
      </c>
      <c r="D1571" s="479">
        <v>179.58</v>
      </c>
      <c r="E1571" s="368"/>
      <c r="F1571" s="368"/>
    </row>
    <row r="1572" spans="1:6" ht="25.5" x14ac:dyDescent="0.2">
      <c r="A1572" s="391">
        <v>89234</v>
      </c>
      <c r="B1572" s="478" t="s">
        <v>334</v>
      </c>
      <c r="C1572" s="391" t="s">
        <v>279</v>
      </c>
      <c r="D1572" s="479">
        <v>565.54999999999995</v>
      </c>
      <c r="E1572" s="368"/>
      <c r="F1572" s="368"/>
    </row>
    <row r="1573" spans="1:6" ht="25.5" x14ac:dyDescent="0.2">
      <c r="A1573" s="391">
        <v>89243</v>
      </c>
      <c r="B1573" s="478" t="s">
        <v>474</v>
      </c>
      <c r="C1573" s="391" t="s">
        <v>419</v>
      </c>
      <c r="D1573" s="479">
        <v>383.96</v>
      </c>
      <c r="E1573" s="368"/>
      <c r="F1573" s="368"/>
    </row>
    <row r="1574" spans="1:6" ht="25.5" x14ac:dyDescent="0.2">
      <c r="A1574" s="391">
        <v>89242</v>
      </c>
      <c r="B1574" s="478" t="s">
        <v>335</v>
      </c>
      <c r="C1574" s="391" t="s">
        <v>279</v>
      </c>
      <c r="D1574" s="479">
        <v>1340.23</v>
      </c>
      <c r="E1574" s="368"/>
      <c r="F1574" s="368"/>
    </row>
    <row r="1575" spans="1:6" ht="51" x14ac:dyDescent="0.2">
      <c r="A1575" s="391">
        <v>102935</v>
      </c>
      <c r="B1575" s="478" t="s">
        <v>40796</v>
      </c>
      <c r="C1575" s="391" t="s">
        <v>419</v>
      </c>
      <c r="D1575" s="479">
        <v>0</v>
      </c>
      <c r="E1575" s="368"/>
      <c r="F1575" s="368"/>
    </row>
    <row r="1576" spans="1:6" ht="51" x14ac:dyDescent="0.2">
      <c r="A1576" s="391">
        <v>102934</v>
      </c>
      <c r="B1576" s="478" t="s">
        <v>40797</v>
      </c>
      <c r="C1576" s="391" t="s">
        <v>279</v>
      </c>
      <c r="D1576" s="479">
        <v>0</v>
      </c>
      <c r="E1576" s="368"/>
      <c r="F1576" s="368"/>
    </row>
    <row r="1577" spans="1:6" ht="25.5" x14ac:dyDescent="0.2">
      <c r="A1577" s="391">
        <v>93416</v>
      </c>
      <c r="B1577" s="478" t="s">
        <v>524</v>
      </c>
      <c r="C1577" s="391" t="s">
        <v>419</v>
      </c>
      <c r="D1577" s="479">
        <v>0.51</v>
      </c>
      <c r="E1577" s="368"/>
      <c r="F1577" s="368"/>
    </row>
    <row r="1578" spans="1:6" ht="25.5" x14ac:dyDescent="0.2">
      <c r="A1578" s="391">
        <v>93415</v>
      </c>
      <c r="B1578" s="478" t="s">
        <v>384</v>
      </c>
      <c r="C1578" s="391" t="s">
        <v>279</v>
      </c>
      <c r="D1578" s="479">
        <v>12.49</v>
      </c>
      <c r="E1578" s="368"/>
      <c r="F1578" s="368"/>
    </row>
    <row r="1579" spans="1:6" ht="25.5" x14ac:dyDescent="0.2">
      <c r="A1579" s="391">
        <v>5689</v>
      </c>
      <c r="B1579" s="478" t="s">
        <v>283</v>
      </c>
      <c r="C1579" s="391" t="s">
        <v>279</v>
      </c>
      <c r="D1579" s="479">
        <v>6.55</v>
      </c>
      <c r="E1579" s="368"/>
      <c r="F1579" s="368"/>
    </row>
    <row r="1580" spans="1:6" ht="25.5" x14ac:dyDescent="0.2">
      <c r="A1580" s="391">
        <v>5690</v>
      </c>
      <c r="B1580" s="478" t="s">
        <v>423</v>
      </c>
      <c r="C1580" s="391" t="s">
        <v>419</v>
      </c>
      <c r="D1580" s="479">
        <v>4.24</v>
      </c>
      <c r="E1580" s="368"/>
      <c r="F1580" s="368"/>
    </row>
    <row r="1581" spans="1:6" ht="25.5" x14ac:dyDescent="0.2">
      <c r="A1581" s="391">
        <v>5923</v>
      </c>
      <c r="B1581" s="478" t="s">
        <v>442</v>
      </c>
      <c r="C1581" s="391" t="s">
        <v>419</v>
      </c>
      <c r="D1581" s="479">
        <v>3.32</v>
      </c>
      <c r="E1581" s="368"/>
      <c r="F1581" s="368"/>
    </row>
    <row r="1582" spans="1:6" ht="25.5" x14ac:dyDescent="0.2">
      <c r="A1582" s="391">
        <v>5921</v>
      </c>
      <c r="B1582" s="478" t="s">
        <v>303</v>
      </c>
      <c r="C1582" s="391" t="s">
        <v>279</v>
      </c>
      <c r="D1582" s="479">
        <v>5.13</v>
      </c>
      <c r="E1582" s="368"/>
      <c r="F1582" s="368"/>
    </row>
    <row r="1583" spans="1:6" ht="25.5" x14ac:dyDescent="0.2">
      <c r="A1583" s="391">
        <v>95212</v>
      </c>
      <c r="B1583" s="478" t="s">
        <v>393</v>
      </c>
      <c r="C1583" s="391" t="s">
        <v>279</v>
      </c>
      <c r="D1583" s="479">
        <v>173.35</v>
      </c>
      <c r="E1583" s="368"/>
      <c r="F1583" s="368"/>
    </row>
    <row r="1584" spans="1:6" ht="25.5" x14ac:dyDescent="0.2">
      <c r="A1584" s="391">
        <v>95213</v>
      </c>
      <c r="B1584" s="478" t="s">
        <v>532</v>
      </c>
      <c r="C1584" s="391" t="s">
        <v>419</v>
      </c>
      <c r="D1584" s="479">
        <v>106.01</v>
      </c>
      <c r="E1584" s="368"/>
      <c r="F1584" s="368"/>
    </row>
    <row r="1585" spans="1:6" ht="25.5" x14ac:dyDescent="0.2">
      <c r="A1585" s="391">
        <v>93272</v>
      </c>
      <c r="B1585" s="478" t="s">
        <v>380</v>
      </c>
      <c r="C1585" s="391" t="s">
        <v>279</v>
      </c>
      <c r="D1585" s="479">
        <v>111.06</v>
      </c>
      <c r="E1585" s="368"/>
      <c r="F1585" s="368"/>
    </row>
    <row r="1586" spans="1:6" ht="25.5" x14ac:dyDescent="0.2">
      <c r="A1586" s="391">
        <v>93274</v>
      </c>
      <c r="B1586" s="478" t="s">
        <v>520</v>
      </c>
      <c r="C1586" s="391" t="s">
        <v>419</v>
      </c>
      <c r="D1586" s="479">
        <v>76.540000000000006</v>
      </c>
      <c r="E1586" s="368"/>
      <c r="F1586" s="368"/>
    </row>
    <row r="1587" spans="1:6" ht="25.5" x14ac:dyDescent="0.2">
      <c r="A1587" s="391">
        <v>83766</v>
      </c>
      <c r="B1587" s="478" t="s">
        <v>457</v>
      </c>
      <c r="C1587" s="391" t="s">
        <v>419</v>
      </c>
      <c r="D1587" s="479">
        <v>42.04</v>
      </c>
      <c r="E1587" s="368"/>
      <c r="F1587" s="368"/>
    </row>
    <row r="1588" spans="1:6" ht="25.5" x14ac:dyDescent="0.2">
      <c r="A1588" s="391">
        <v>83765</v>
      </c>
      <c r="B1588" s="478" t="s">
        <v>319</v>
      </c>
      <c r="C1588" s="391" t="s">
        <v>279</v>
      </c>
      <c r="D1588" s="479">
        <v>104.66</v>
      </c>
      <c r="E1588" s="368"/>
      <c r="F1588" s="368"/>
    </row>
    <row r="1589" spans="1:6" ht="25.5" x14ac:dyDescent="0.2">
      <c r="A1589" s="391">
        <v>95873</v>
      </c>
      <c r="B1589" s="478" t="s">
        <v>543</v>
      </c>
      <c r="C1589" s="391" t="s">
        <v>419</v>
      </c>
      <c r="D1589" s="479">
        <v>15.27</v>
      </c>
      <c r="E1589" s="368"/>
      <c r="F1589" s="368"/>
    </row>
    <row r="1590" spans="1:6" ht="25.5" x14ac:dyDescent="0.2">
      <c r="A1590" s="391">
        <v>95872</v>
      </c>
      <c r="B1590" s="478" t="s">
        <v>404</v>
      </c>
      <c r="C1590" s="391" t="s">
        <v>279</v>
      </c>
      <c r="D1590" s="479">
        <v>314.69</v>
      </c>
      <c r="E1590" s="368"/>
      <c r="F1590" s="368"/>
    </row>
    <row r="1591" spans="1:6" ht="38.25" x14ac:dyDescent="0.2">
      <c r="A1591" s="391">
        <v>104689</v>
      </c>
      <c r="B1591" s="478" t="s">
        <v>40798</v>
      </c>
      <c r="C1591" s="391" t="s">
        <v>419</v>
      </c>
      <c r="D1591" s="479">
        <v>0</v>
      </c>
      <c r="E1591" s="368"/>
      <c r="F1591" s="368"/>
    </row>
    <row r="1592" spans="1:6" ht="38.25" x14ac:dyDescent="0.2">
      <c r="A1592" s="391">
        <v>104688</v>
      </c>
      <c r="B1592" s="478" t="s">
        <v>40799</v>
      </c>
      <c r="C1592" s="391" t="s">
        <v>279</v>
      </c>
      <c r="D1592" s="479">
        <v>0</v>
      </c>
      <c r="E1592" s="368"/>
      <c r="F1592" s="368"/>
    </row>
    <row r="1593" spans="1:6" ht="25.5" x14ac:dyDescent="0.2">
      <c r="A1593" s="391">
        <v>73395</v>
      </c>
      <c r="B1593" s="478" t="s">
        <v>456</v>
      </c>
      <c r="C1593" s="391" t="s">
        <v>419</v>
      </c>
      <c r="D1593" s="479">
        <v>10.72</v>
      </c>
      <c r="E1593" s="368"/>
      <c r="F1593" s="368"/>
    </row>
    <row r="1594" spans="1:6" ht="25.5" x14ac:dyDescent="0.2">
      <c r="A1594" s="391">
        <v>73417</v>
      </c>
      <c r="B1594" s="478" t="s">
        <v>315</v>
      </c>
      <c r="C1594" s="391" t="s">
        <v>279</v>
      </c>
      <c r="D1594" s="479">
        <v>203.75</v>
      </c>
      <c r="E1594" s="368"/>
      <c r="F1594" s="368"/>
    </row>
    <row r="1595" spans="1:6" ht="25.5" x14ac:dyDescent="0.2">
      <c r="A1595" s="391">
        <v>93428</v>
      </c>
      <c r="B1595" s="478" t="s">
        <v>526</v>
      </c>
      <c r="C1595" s="391" t="s">
        <v>419</v>
      </c>
      <c r="D1595" s="479">
        <v>9.5500000000000007</v>
      </c>
      <c r="E1595" s="368"/>
      <c r="F1595" s="368"/>
    </row>
    <row r="1596" spans="1:6" ht="25.5" x14ac:dyDescent="0.2">
      <c r="A1596" s="391">
        <v>93427</v>
      </c>
      <c r="B1596" s="478" t="s">
        <v>386</v>
      </c>
      <c r="C1596" s="391" t="s">
        <v>279</v>
      </c>
      <c r="D1596" s="479">
        <v>185.69</v>
      </c>
      <c r="E1596" s="368"/>
      <c r="F1596" s="368"/>
    </row>
    <row r="1597" spans="1:6" ht="25.5" x14ac:dyDescent="0.2">
      <c r="A1597" s="391">
        <v>93422</v>
      </c>
      <c r="B1597" s="478" t="s">
        <v>525</v>
      </c>
      <c r="C1597" s="391" t="s">
        <v>419</v>
      </c>
      <c r="D1597" s="479">
        <v>6.75</v>
      </c>
      <c r="E1597" s="368"/>
      <c r="F1597" s="368"/>
    </row>
    <row r="1598" spans="1:6" ht="25.5" x14ac:dyDescent="0.2">
      <c r="A1598" s="391">
        <v>93421</v>
      </c>
      <c r="B1598" s="478" t="s">
        <v>385</v>
      </c>
      <c r="C1598" s="391" t="s">
        <v>279</v>
      </c>
      <c r="D1598" s="479">
        <v>82.27</v>
      </c>
      <c r="E1598" s="368"/>
      <c r="F1598" s="368"/>
    </row>
    <row r="1599" spans="1:6" ht="25.5" x14ac:dyDescent="0.2">
      <c r="A1599" s="391">
        <v>93282</v>
      </c>
      <c r="B1599" s="478" t="s">
        <v>521</v>
      </c>
      <c r="C1599" s="391" t="s">
        <v>419</v>
      </c>
      <c r="D1599" s="479">
        <v>25.49</v>
      </c>
      <c r="E1599" s="368"/>
      <c r="F1599" s="368"/>
    </row>
    <row r="1600" spans="1:6" ht="25.5" x14ac:dyDescent="0.2">
      <c r="A1600" s="391">
        <v>93281</v>
      </c>
      <c r="B1600" s="478" t="s">
        <v>381</v>
      </c>
      <c r="C1600" s="391" t="s">
        <v>279</v>
      </c>
      <c r="D1600" s="479">
        <v>26.52</v>
      </c>
      <c r="E1600" s="368"/>
      <c r="F1600" s="368"/>
    </row>
    <row r="1601" spans="1:6" ht="25.5" x14ac:dyDescent="0.2">
      <c r="A1601" s="391">
        <v>104914</v>
      </c>
      <c r="B1601" s="478" t="s">
        <v>40800</v>
      </c>
      <c r="C1601" s="391" t="s">
        <v>419</v>
      </c>
      <c r="D1601" s="479">
        <v>0</v>
      </c>
      <c r="E1601" s="368"/>
      <c r="F1601" s="368"/>
    </row>
    <row r="1602" spans="1:6" ht="25.5" x14ac:dyDescent="0.2">
      <c r="A1602" s="391">
        <v>104913</v>
      </c>
      <c r="B1602" s="478" t="s">
        <v>40801</v>
      </c>
      <c r="C1602" s="391" t="s">
        <v>279</v>
      </c>
      <c r="D1602" s="479">
        <v>0</v>
      </c>
      <c r="E1602" s="368"/>
      <c r="F1602" s="368"/>
    </row>
    <row r="1603" spans="1:6" ht="38.25" x14ac:dyDescent="0.2">
      <c r="A1603" s="391">
        <v>102845</v>
      </c>
      <c r="B1603" s="478" t="s">
        <v>40802</v>
      </c>
      <c r="C1603" s="391" t="s">
        <v>419</v>
      </c>
      <c r="D1603" s="479">
        <v>0</v>
      </c>
      <c r="E1603" s="368"/>
      <c r="F1603" s="368"/>
    </row>
    <row r="1604" spans="1:6" ht="38.25" x14ac:dyDescent="0.2">
      <c r="A1604" s="391">
        <v>102844</v>
      </c>
      <c r="B1604" s="478" t="s">
        <v>40803</v>
      </c>
      <c r="C1604" s="391" t="s">
        <v>279</v>
      </c>
      <c r="D1604" s="479">
        <v>0</v>
      </c>
      <c r="E1604" s="368"/>
      <c r="F1604" s="368"/>
    </row>
    <row r="1605" spans="1:6" ht="38.25" x14ac:dyDescent="0.2">
      <c r="A1605" s="391">
        <v>89273</v>
      </c>
      <c r="B1605" s="478" t="s">
        <v>477</v>
      </c>
      <c r="C1605" s="391" t="s">
        <v>419</v>
      </c>
      <c r="D1605" s="479">
        <v>117.33</v>
      </c>
      <c r="E1605" s="368"/>
      <c r="F1605" s="368"/>
    </row>
    <row r="1606" spans="1:6" ht="38.25" x14ac:dyDescent="0.2">
      <c r="A1606" s="391">
        <v>89272</v>
      </c>
      <c r="B1606" s="478" t="s">
        <v>338</v>
      </c>
      <c r="C1606" s="391" t="s">
        <v>279</v>
      </c>
      <c r="D1606" s="479">
        <v>231.36</v>
      </c>
      <c r="E1606" s="368"/>
      <c r="F1606" s="368"/>
    </row>
    <row r="1607" spans="1:6" ht="25.5" x14ac:dyDescent="0.2">
      <c r="A1607" s="391">
        <v>93288</v>
      </c>
      <c r="B1607" s="478" t="s">
        <v>522</v>
      </c>
      <c r="C1607" s="391" t="s">
        <v>419</v>
      </c>
      <c r="D1607" s="479">
        <v>188.83</v>
      </c>
      <c r="E1607" s="368"/>
      <c r="F1607" s="368"/>
    </row>
    <row r="1608" spans="1:6" ht="25.5" x14ac:dyDescent="0.2">
      <c r="A1608" s="391">
        <v>93287</v>
      </c>
      <c r="B1608" s="478" t="s">
        <v>382</v>
      </c>
      <c r="C1608" s="391" t="s">
        <v>279</v>
      </c>
      <c r="D1608" s="479">
        <v>360.96</v>
      </c>
      <c r="E1608" s="368"/>
      <c r="F1608" s="368"/>
    </row>
    <row r="1609" spans="1:6" ht="38.25" x14ac:dyDescent="0.2">
      <c r="A1609" s="391">
        <v>104711</v>
      </c>
      <c r="B1609" s="478" t="s">
        <v>40804</v>
      </c>
      <c r="C1609" s="391" t="s">
        <v>419</v>
      </c>
      <c r="D1609" s="479">
        <v>0</v>
      </c>
      <c r="E1609" s="368"/>
      <c r="F1609" s="368"/>
    </row>
    <row r="1610" spans="1:6" ht="38.25" x14ac:dyDescent="0.2">
      <c r="A1610" s="391">
        <v>104710</v>
      </c>
      <c r="B1610" s="478" t="s">
        <v>40805</v>
      </c>
      <c r="C1610" s="391" t="s">
        <v>279</v>
      </c>
      <c r="D1610" s="479">
        <v>0</v>
      </c>
      <c r="E1610" s="368"/>
      <c r="F1610" s="368"/>
    </row>
    <row r="1611" spans="1:6" ht="38.25" x14ac:dyDescent="0.2">
      <c r="A1611" s="391">
        <v>104908</v>
      </c>
      <c r="B1611" s="478" t="s">
        <v>40806</v>
      </c>
      <c r="C1611" s="391" t="s">
        <v>419</v>
      </c>
      <c r="D1611" s="479">
        <v>0</v>
      </c>
      <c r="E1611" s="368"/>
      <c r="F1611" s="368"/>
    </row>
    <row r="1612" spans="1:6" ht="38.25" x14ac:dyDescent="0.2">
      <c r="A1612" s="391">
        <v>104907</v>
      </c>
      <c r="B1612" s="478" t="s">
        <v>40807</v>
      </c>
      <c r="C1612" s="391" t="s">
        <v>279</v>
      </c>
      <c r="D1612" s="479">
        <v>0</v>
      </c>
      <c r="E1612" s="368"/>
      <c r="F1612" s="368"/>
    </row>
    <row r="1613" spans="1:6" ht="25.5" x14ac:dyDescent="0.2">
      <c r="A1613" s="391">
        <v>102851</v>
      </c>
      <c r="B1613" s="478" t="s">
        <v>40808</v>
      </c>
      <c r="C1613" s="391" t="s">
        <v>419</v>
      </c>
      <c r="D1613" s="479">
        <v>0</v>
      </c>
      <c r="E1613" s="368"/>
      <c r="F1613" s="368"/>
    </row>
    <row r="1614" spans="1:6" ht="25.5" x14ac:dyDescent="0.2">
      <c r="A1614" s="391">
        <v>102850</v>
      </c>
      <c r="B1614" s="478" t="s">
        <v>40809</v>
      </c>
      <c r="C1614" s="391" t="s">
        <v>279</v>
      </c>
      <c r="D1614" s="479">
        <v>0</v>
      </c>
      <c r="E1614" s="368"/>
      <c r="F1614" s="368"/>
    </row>
    <row r="1615" spans="1:6" ht="25.5" x14ac:dyDescent="0.2">
      <c r="A1615" s="391">
        <v>102857</v>
      </c>
      <c r="B1615" s="478" t="s">
        <v>40810</v>
      </c>
      <c r="C1615" s="391" t="s">
        <v>419</v>
      </c>
      <c r="D1615" s="479">
        <v>0</v>
      </c>
      <c r="E1615" s="368"/>
      <c r="F1615" s="368"/>
    </row>
    <row r="1616" spans="1:6" ht="25.5" x14ac:dyDescent="0.2">
      <c r="A1616" s="391">
        <v>102856</v>
      </c>
      <c r="B1616" s="478" t="s">
        <v>40811</v>
      </c>
      <c r="C1616" s="391" t="s">
        <v>279</v>
      </c>
      <c r="D1616" s="479">
        <v>0</v>
      </c>
      <c r="E1616" s="368"/>
      <c r="F1616" s="368"/>
    </row>
    <row r="1617" spans="1:6" ht="38.25" x14ac:dyDescent="0.2">
      <c r="A1617" s="391">
        <v>93403</v>
      </c>
      <c r="B1617" s="478" t="s">
        <v>523</v>
      </c>
      <c r="C1617" s="391" t="s">
        <v>419</v>
      </c>
      <c r="D1617" s="479">
        <v>69.83</v>
      </c>
      <c r="E1617" s="368"/>
      <c r="F1617" s="368"/>
    </row>
    <row r="1618" spans="1:6" ht="51" x14ac:dyDescent="0.2">
      <c r="A1618" s="391">
        <v>93402</v>
      </c>
      <c r="B1618" s="478" t="s">
        <v>383</v>
      </c>
      <c r="C1618" s="391" t="s">
        <v>279</v>
      </c>
      <c r="D1618" s="479">
        <v>280.81</v>
      </c>
      <c r="E1618" s="368"/>
      <c r="F1618" s="368"/>
    </row>
    <row r="1619" spans="1:6" ht="38.25" x14ac:dyDescent="0.2">
      <c r="A1619" s="391">
        <v>5930</v>
      </c>
      <c r="B1619" s="478" t="s">
        <v>443</v>
      </c>
      <c r="C1619" s="391" t="s">
        <v>419</v>
      </c>
      <c r="D1619" s="479">
        <v>72.959999999999994</v>
      </c>
      <c r="E1619" s="368"/>
      <c r="F1619" s="368"/>
    </row>
    <row r="1620" spans="1:6" ht="51" x14ac:dyDescent="0.2">
      <c r="A1620" s="391">
        <v>5928</v>
      </c>
      <c r="B1620" s="478" t="s">
        <v>304</v>
      </c>
      <c r="C1620" s="391" t="s">
        <v>279</v>
      </c>
      <c r="D1620" s="479">
        <v>286.8</v>
      </c>
      <c r="E1620" s="368"/>
      <c r="F1620" s="368"/>
    </row>
    <row r="1621" spans="1:6" ht="51" x14ac:dyDescent="0.2">
      <c r="A1621" s="391">
        <v>105845</v>
      </c>
      <c r="B1621" s="478" t="s">
        <v>40812</v>
      </c>
      <c r="C1621" s="391" t="s">
        <v>419</v>
      </c>
      <c r="D1621" s="479">
        <v>0</v>
      </c>
      <c r="E1621" s="368"/>
      <c r="F1621" s="368"/>
    </row>
    <row r="1622" spans="1:6" ht="51" x14ac:dyDescent="0.2">
      <c r="A1622" s="391">
        <v>105844</v>
      </c>
      <c r="B1622" s="478" t="s">
        <v>40813</v>
      </c>
      <c r="C1622" s="391" t="s">
        <v>279</v>
      </c>
      <c r="D1622" s="479">
        <v>0</v>
      </c>
      <c r="E1622" s="368"/>
      <c r="F1622" s="368"/>
    </row>
    <row r="1623" spans="1:6" ht="38.25" x14ac:dyDescent="0.2">
      <c r="A1623" s="391">
        <v>91635</v>
      </c>
      <c r="B1623" s="478" t="s">
        <v>504</v>
      </c>
      <c r="C1623" s="391" t="s">
        <v>419</v>
      </c>
      <c r="D1623" s="479">
        <v>64.489999999999995</v>
      </c>
      <c r="E1623" s="368"/>
      <c r="F1623" s="368"/>
    </row>
    <row r="1624" spans="1:6" ht="38.25" x14ac:dyDescent="0.2">
      <c r="A1624" s="391">
        <v>91634</v>
      </c>
      <c r="B1624" s="478" t="s">
        <v>365</v>
      </c>
      <c r="C1624" s="391" t="s">
        <v>279</v>
      </c>
      <c r="D1624" s="479">
        <v>243.37</v>
      </c>
      <c r="E1624" s="368"/>
      <c r="F1624" s="368"/>
    </row>
    <row r="1625" spans="1:6" ht="51" x14ac:dyDescent="0.2">
      <c r="A1625" s="391">
        <v>105985</v>
      </c>
      <c r="B1625" s="478" t="s">
        <v>47546</v>
      </c>
      <c r="C1625" s="391" t="s">
        <v>419</v>
      </c>
      <c r="D1625" s="479">
        <v>96.27</v>
      </c>
      <c r="E1625" s="368"/>
      <c r="F1625" s="368"/>
    </row>
    <row r="1626" spans="1:6" ht="51" x14ac:dyDescent="0.2">
      <c r="A1626" s="391">
        <v>105984</v>
      </c>
      <c r="B1626" s="478" t="s">
        <v>47547</v>
      </c>
      <c r="C1626" s="391" t="s">
        <v>279</v>
      </c>
      <c r="D1626" s="479">
        <v>332.7</v>
      </c>
      <c r="E1626" s="368"/>
      <c r="F1626" s="368"/>
    </row>
    <row r="1627" spans="1:6" ht="38.25" x14ac:dyDescent="0.2">
      <c r="A1627" s="391">
        <v>98765</v>
      </c>
      <c r="B1627" s="478" t="s">
        <v>551</v>
      </c>
      <c r="C1627" s="391" t="s">
        <v>419</v>
      </c>
      <c r="D1627" s="479">
        <v>7.0000000000000007E-2</v>
      </c>
      <c r="E1627" s="368"/>
      <c r="F1627" s="368"/>
    </row>
    <row r="1628" spans="1:6" ht="38.25" x14ac:dyDescent="0.2">
      <c r="A1628" s="391">
        <v>98764</v>
      </c>
      <c r="B1628" s="478" t="s">
        <v>411</v>
      </c>
      <c r="C1628" s="391" t="s">
        <v>279</v>
      </c>
      <c r="D1628" s="479">
        <v>4.3600000000000003</v>
      </c>
      <c r="E1628" s="368"/>
      <c r="F1628" s="368"/>
    </row>
    <row r="1629" spans="1:6" ht="38.25" x14ac:dyDescent="0.2">
      <c r="A1629" s="391">
        <v>99834</v>
      </c>
      <c r="B1629" s="478" t="s">
        <v>552</v>
      </c>
      <c r="C1629" s="391" t="s">
        <v>419</v>
      </c>
      <c r="D1629" s="479">
        <v>0.1</v>
      </c>
      <c r="E1629" s="368"/>
      <c r="F1629" s="368"/>
    </row>
    <row r="1630" spans="1:6" ht="38.25" x14ac:dyDescent="0.2">
      <c r="A1630" s="391">
        <v>99833</v>
      </c>
      <c r="B1630" s="478" t="s">
        <v>412</v>
      </c>
      <c r="C1630" s="391" t="s">
        <v>279</v>
      </c>
      <c r="D1630" s="479">
        <v>4.22</v>
      </c>
      <c r="E1630" s="368"/>
      <c r="F1630" s="368"/>
    </row>
    <row r="1631" spans="1:6" ht="38.25" x14ac:dyDescent="0.2">
      <c r="A1631" s="391">
        <v>104521</v>
      </c>
      <c r="B1631" s="478" t="s">
        <v>40814</v>
      </c>
      <c r="C1631" s="391" t="s">
        <v>419</v>
      </c>
      <c r="D1631" s="479">
        <v>0</v>
      </c>
      <c r="E1631" s="368"/>
      <c r="F1631" s="368"/>
    </row>
    <row r="1632" spans="1:6" ht="38.25" x14ac:dyDescent="0.2">
      <c r="A1632" s="391">
        <v>104520</v>
      </c>
      <c r="B1632" s="478" t="s">
        <v>40815</v>
      </c>
      <c r="C1632" s="391" t="s">
        <v>279</v>
      </c>
      <c r="D1632" s="479">
        <v>0</v>
      </c>
      <c r="E1632" s="368"/>
      <c r="F1632" s="368"/>
    </row>
    <row r="1633" spans="1:6" ht="25.5" x14ac:dyDescent="0.2">
      <c r="A1633" s="391">
        <v>90687</v>
      </c>
      <c r="B1633" s="478" t="s">
        <v>492</v>
      </c>
      <c r="C1633" s="391" t="s">
        <v>419</v>
      </c>
      <c r="D1633" s="479">
        <v>76.89</v>
      </c>
      <c r="E1633" s="368"/>
      <c r="F1633" s="368"/>
    </row>
    <row r="1634" spans="1:6" ht="25.5" x14ac:dyDescent="0.2">
      <c r="A1634" s="391">
        <v>90686</v>
      </c>
      <c r="B1634" s="478" t="s">
        <v>354</v>
      </c>
      <c r="C1634" s="391" t="s">
        <v>279</v>
      </c>
      <c r="D1634" s="479">
        <v>180.58</v>
      </c>
      <c r="E1634" s="368"/>
      <c r="F1634" s="368"/>
    </row>
    <row r="1635" spans="1:6" ht="25.5" x14ac:dyDescent="0.2">
      <c r="A1635" s="391">
        <v>5952</v>
      </c>
      <c r="B1635" s="478" t="s">
        <v>447</v>
      </c>
      <c r="C1635" s="391" t="s">
        <v>419</v>
      </c>
      <c r="D1635" s="479">
        <v>27.03</v>
      </c>
      <c r="E1635" s="368"/>
      <c r="F1635" s="368"/>
    </row>
    <row r="1636" spans="1:6" ht="25.5" x14ac:dyDescent="0.2">
      <c r="A1636" s="391">
        <v>5795</v>
      </c>
      <c r="B1636" s="478" t="s">
        <v>284</v>
      </c>
      <c r="C1636" s="391" t="s">
        <v>279</v>
      </c>
      <c r="D1636" s="479">
        <v>29.43</v>
      </c>
      <c r="E1636" s="368"/>
      <c r="F1636" s="368"/>
    </row>
    <row r="1637" spans="1:6" ht="25.5" x14ac:dyDescent="0.2">
      <c r="A1637" s="391">
        <v>104657</v>
      </c>
      <c r="B1637" s="478" t="s">
        <v>40816</v>
      </c>
      <c r="C1637" s="391" t="s">
        <v>419</v>
      </c>
      <c r="D1637" s="479">
        <v>0</v>
      </c>
      <c r="E1637" s="368"/>
      <c r="F1637" s="368"/>
    </row>
    <row r="1638" spans="1:6" ht="25.5" x14ac:dyDescent="0.2">
      <c r="A1638" s="391">
        <v>104656</v>
      </c>
      <c r="B1638" s="478" t="s">
        <v>40817</v>
      </c>
      <c r="C1638" s="391" t="s">
        <v>279</v>
      </c>
      <c r="D1638" s="479">
        <v>0</v>
      </c>
      <c r="E1638" s="368"/>
      <c r="F1638" s="368"/>
    </row>
    <row r="1639" spans="1:6" ht="25.5" x14ac:dyDescent="0.2">
      <c r="A1639" s="391">
        <v>102274</v>
      </c>
      <c r="B1639" s="478" t="s">
        <v>47548</v>
      </c>
      <c r="C1639" s="391" t="s">
        <v>419</v>
      </c>
      <c r="D1639" s="479">
        <v>25.7</v>
      </c>
      <c r="E1639" s="368"/>
      <c r="F1639" s="368"/>
    </row>
    <row r="1640" spans="1:6" ht="25.5" x14ac:dyDescent="0.2">
      <c r="A1640" s="391">
        <v>102275</v>
      </c>
      <c r="B1640" s="478" t="s">
        <v>415</v>
      </c>
      <c r="C1640" s="391" t="s">
        <v>279</v>
      </c>
      <c r="D1640" s="479">
        <v>28.31</v>
      </c>
      <c r="E1640" s="368"/>
      <c r="F1640" s="368"/>
    </row>
    <row r="1641" spans="1:6" x14ac:dyDescent="0.2">
      <c r="A1641" s="391">
        <v>95259</v>
      </c>
      <c r="B1641" s="478" t="s">
        <v>533</v>
      </c>
      <c r="C1641" s="391" t="s">
        <v>419</v>
      </c>
      <c r="D1641" s="479">
        <v>26.76</v>
      </c>
      <c r="E1641" s="368"/>
      <c r="F1641" s="368"/>
    </row>
    <row r="1642" spans="1:6" x14ac:dyDescent="0.2">
      <c r="A1642" s="391">
        <v>95258</v>
      </c>
      <c r="B1642" s="478" t="s">
        <v>394</v>
      </c>
      <c r="C1642" s="391" t="s">
        <v>279</v>
      </c>
      <c r="D1642" s="479">
        <v>28.89</v>
      </c>
      <c r="E1642" s="368"/>
      <c r="F1642" s="368"/>
    </row>
    <row r="1643" spans="1:6" ht="25.5" x14ac:dyDescent="0.2">
      <c r="A1643" s="391">
        <v>105917</v>
      </c>
      <c r="B1643" s="478" t="s">
        <v>47170</v>
      </c>
      <c r="C1643" s="391" t="s">
        <v>419</v>
      </c>
      <c r="D1643" s="479">
        <v>0</v>
      </c>
      <c r="E1643" s="368"/>
      <c r="F1643" s="368"/>
    </row>
    <row r="1644" spans="1:6" ht="25.5" x14ac:dyDescent="0.2">
      <c r="A1644" s="391">
        <v>105916</v>
      </c>
      <c r="B1644" s="478" t="s">
        <v>47171</v>
      </c>
      <c r="C1644" s="391" t="s">
        <v>279</v>
      </c>
      <c r="D1644" s="479">
        <v>0</v>
      </c>
      <c r="E1644" s="368"/>
      <c r="F1644" s="368"/>
    </row>
    <row r="1645" spans="1:6" ht="25.5" x14ac:dyDescent="0.2">
      <c r="A1645" s="391">
        <v>92967</v>
      </c>
      <c r="B1645" s="478" t="s">
        <v>516</v>
      </c>
      <c r="C1645" s="391" t="s">
        <v>419</v>
      </c>
      <c r="D1645" s="479">
        <v>27.09</v>
      </c>
      <c r="E1645" s="368"/>
      <c r="F1645" s="368"/>
    </row>
    <row r="1646" spans="1:6" ht="25.5" x14ac:dyDescent="0.2">
      <c r="A1646" s="391">
        <v>92966</v>
      </c>
      <c r="B1646" s="478" t="s">
        <v>377</v>
      </c>
      <c r="C1646" s="391" t="s">
        <v>279</v>
      </c>
      <c r="D1646" s="479">
        <v>29.56</v>
      </c>
      <c r="E1646" s="368"/>
      <c r="F1646" s="368"/>
    </row>
    <row r="1647" spans="1:6" ht="51" x14ac:dyDescent="0.2">
      <c r="A1647" s="391">
        <v>103794</v>
      </c>
      <c r="B1647" s="478" t="s">
        <v>40818</v>
      </c>
      <c r="C1647" s="391" t="s">
        <v>419</v>
      </c>
      <c r="D1647" s="479">
        <v>0</v>
      </c>
      <c r="E1647" s="368"/>
      <c r="F1647" s="368"/>
    </row>
    <row r="1648" spans="1:6" ht="51" x14ac:dyDescent="0.2">
      <c r="A1648" s="391">
        <v>103793</v>
      </c>
      <c r="B1648" s="478" t="s">
        <v>40819</v>
      </c>
      <c r="C1648" s="391" t="s">
        <v>279</v>
      </c>
      <c r="D1648" s="479">
        <v>0</v>
      </c>
      <c r="E1648" s="368"/>
      <c r="F1648" s="368"/>
    </row>
    <row r="1649" spans="1:6" ht="25.5" x14ac:dyDescent="0.2">
      <c r="A1649" s="391">
        <v>96156</v>
      </c>
      <c r="B1649" s="478" t="s">
        <v>549</v>
      </c>
      <c r="C1649" s="391" t="s">
        <v>419</v>
      </c>
      <c r="D1649" s="479">
        <v>66.510000000000005</v>
      </c>
      <c r="E1649" s="368"/>
      <c r="F1649" s="368"/>
    </row>
    <row r="1650" spans="1:6" ht="25.5" x14ac:dyDescent="0.2">
      <c r="A1650" s="391">
        <v>96158</v>
      </c>
      <c r="B1650" s="478" t="s">
        <v>410</v>
      </c>
      <c r="C1650" s="391" t="s">
        <v>279</v>
      </c>
      <c r="D1650" s="479">
        <v>148.63</v>
      </c>
      <c r="E1650" s="368"/>
      <c r="F1650" s="368"/>
    </row>
    <row r="1651" spans="1:6" ht="25.5" x14ac:dyDescent="0.2">
      <c r="A1651" s="391">
        <v>90693</v>
      </c>
      <c r="B1651" s="478" t="s">
        <v>493</v>
      </c>
      <c r="C1651" s="391" t="s">
        <v>419</v>
      </c>
      <c r="D1651" s="479">
        <v>61.66</v>
      </c>
      <c r="E1651" s="368"/>
      <c r="F1651" s="368"/>
    </row>
    <row r="1652" spans="1:6" ht="25.5" x14ac:dyDescent="0.2">
      <c r="A1652" s="391">
        <v>90692</v>
      </c>
      <c r="B1652" s="478" t="s">
        <v>355</v>
      </c>
      <c r="C1652" s="391" t="s">
        <v>279</v>
      </c>
      <c r="D1652" s="479">
        <v>138.97999999999999</v>
      </c>
      <c r="E1652" s="368"/>
      <c r="F1652" s="368"/>
    </row>
    <row r="1653" spans="1:6" ht="25.5" x14ac:dyDescent="0.2">
      <c r="A1653" s="391">
        <v>96246</v>
      </c>
      <c r="B1653" s="478" t="s">
        <v>40422</v>
      </c>
      <c r="C1653" s="391" t="s">
        <v>419</v>
      </c>
      <c r="D1653" s="479">
        <v>68.010000000000005</v>
      </c>
      <c r="E1653" s="368"/>
      <c r="F1653" s="368"/>
    </row>
    <row r="1654" spans="1:6" ht="25.5" x14ac:dyDescent="0.2">
      <c r="A1654" s="391">
        <v>96245</v>
      </c>
      <c r="B1654" s="478" t="s">
        <v>40412</v>
      </c>
      <c r="C1654" s="391" t="s">
        <v>279</v>
      </c>
      <c r="D1654" s="479">
        <v>123.74</v>
      </c>
      <c r="E1654" s="368"/>
      <c r="F1654" s="368"/>
    </row>
    <row r="1655" spans="1:6" ht="25.5" x14ac:dyDescent="0.2">
      <c r="A1655" s="391">
        <v>88404</v>
      </c>
      <c r="B1655" s="478" t="s">
        <v>461</v>
      </c>
      <c r="C1655" s="391" t="s">
        <v>419</v>
      </c>
      <c r="D1655" s="479">
        <v>0.97</v>
      </c>
      <c r="E1655" s="368"/>
      <c r="F1655" s="368"/>
    </row>
    <row r="1656" spans="1:6" ht="25.5" x14ac:dyDescent="0.2">
      <c r="A1656" s="391">
        <v>88399</v>
      </c>
      <c r="B1656" s="478" t="s">
        <v>323</v>
      </c>
      <c r="C1656" s="391" t="s">
        <v>279</v>
      </c>
      <c r="D1656" s="479">
        <v>3.56</v>
      </c>
      <c r="E1656" s="368"/>
      <c r="F1656" s="368"/>
    </row>
    <row r="1657" spans="1:6" ht="25.5" x14ac:dyDescent="0.2">
      <c r="A1657" s="391">
        <v>88392</v>
      </c>
      <c r="B1657" s="478" t="s">
        <v>459</v>
      </c>
      <c r="C1657" s="391" t="s">
        <v>419</v>
      </c>
      <c r="D1657" s="479">
        <v>1.03</v>
      </c>
      <c r="E1657" s="368"/>
      <c r="F1657" s="368"/>
    </row>
    <row r="1658" spans="1:6" ht="25.5" x14ac:dyDescent="0.2">
      <c r="A1658" s="391">
        <v>88386</v>
      </c>
      <c r="B1658" s="478" t="s">
        <v>321</v>
      </c>
      <c r="C1658" s="391" t="s">
        <v>279</v>
      </c>
      <c r="D1658" s="479">
        <v>4.82</v>
      </c>
      <c r="E1658" s="368"/>
      <c r="F1658" s="368"/>
    </row>
    <row r="1659" spans="1:6" ht="25.5" x14ac:dyDescent="0.2">
      <c r="A1659" s="391">
        <v>88398</v>
      </c>
      <c r="B1659" s="478" t="s">
        <v>460</v>
      </c>
      <c r="C1659" s="391" t="s">
        <v>419</v>
      </c>
      <c r="D1659" s="479">
        <v>1.23</v>
      </c>
      <c r="E1659" s="368"/>
      <c r="F1659" s="368"/>
    </row>
    <row r="1660" spans="1:6" ht="25.5" x14ac:dyDescent="0.2">
      <c r="A1660" s="391">
        <v>88393</v>
      </c>
      <c r="B1660" s="478" t="s">
        <v>322</v>
      </c>
      <c r="C1660" s="391" t="s">
        <v>279</v>
      </c>
      <c r="D1660" s="479">
        <v>6.63</v>
      </c>
      <c r="E1660" s="368"/>
      <c r="F1660" s="368"/>
    </row>
    <row r="1661" spans="1:6" ht="38.25" x14ac:dyDescent="0.2">
      <c r="A1661" s="391">
        <v>90638</v>
      </c>
      <c r="B1661" s="478" t="s">
        <v>484</v>
      </c>
      <c r="C1661" s="391" t="s">
        <v>419</v>
      </c>
      <c r="D1661" s="479">
        <v>4.91</v>
      </c>
      <c r="E1661" s="368"/>
      <c r="F1661" s="368"/>
    </row>
    <row r="1662" spans="1:6" ht="38.25" x14ac:dyDescent="0.2">
      <c r="A1662" s="391">
        <v>90637</v>
      </c>
      <c r="B1662" s="478" t="s">
        <v>346</v>
      </c>
      <c r="C1662" s="391" t="s">
        <v>279</v>
      </c>
      <c r="D1662" s="479">
        <v>15.02</v>
      </c>
      <c r="E1662" s="368"/>
      <c r="F1662" s="368"/>
    </row>
    <row r="1663" spans="1:6" ht="38.25" x14ac:dyDescent="0.2">
      <c r="A1663" s="391">
        <v>103243</v>
      </c>
      <c r="B1663" s="478" t="s">
        <v>40820</v>
      </c>
      <c r="C1663" s="391" t="s">
        <v>419</v>
      </c>
      <c r="D1663" s="479">
        <v>0</v>
      </c>
      <c r="E1663" s="368"/>
      <c r="F1663" s="368"/>
    </row>
    <row r="1664" spans="1:6" ht="38.25" x14ac:dyDescent="0.2">
      <c r="A1664" s="391">
        <v>103242</v>
      </c>
      <c r="B1664" s="478" t="s">
        <v>40821</v>
      </c>
      <c r="C1664" s="391" t="s">
        <v>279</v>
      </c>
      <c r="D1664" s="479">
        <v>0</v>
      </c>
      <c r="E1664" s="368"/>
      <c r="F1664" s="368"/>
    </row>
    <row r="1665" spans="1:6" ht="38.25" x14ac:dyDescent="0.2">
      <c r="A1665" s="391">
        <v>5806</v>
      </c>
      <c r="B1665" s="478" t="s">
        <v>424</v>
      </c>
      <c r="C1665" s="391" t="s">
        <v>419</v>
      </c>
      <c r="D1665" s="479">
        <v>0.32</v>
      </c>
      <c r="E1665" s="368"/>
      <c r="F1665" s="368"/>
    </row>
    <row r="1666" spans="1:6" ht="38.25" x14ac:dyDescent="0.2">
      <c r="A1666" s="391">
        <v>73536</v>
      </c>
      <c r="B1666" s="478" t="s">
        <v>318</v>
      </c>
      <c r="C1666" s="391" t="s">
        <v>279</v>
      </c>
      <c r="D1666" s="479">
        <v>22.61</v>
      </c>
      <c r="E1666" s="368"/>
      <c r="F1666" s="368"/>
    </row>
    <row r="1667" spans="1:6" ht="38.25" x14ac:dyDescent="0.2">
      <c r="A1667" s="391">
        <v>7043</v>
      </c>
      <c r="B1667" s="478" t="s">
        <v>453</v>
      </c>
      <c r="C1667" s="391" t="s">
        <v>419</v>
      </c>
      <c r="D1667" s="479">
        <v>0.39</v>
      </c>
      <c r="E1667" s="368"/>
      <c r="F1667" s="368"/>
    </row>
    <row r="1668" spans="1:6" ht="38.25" x14ac:dyDescent="0.2">
      <c r="A1668" s="391">
        <v>7042</v>
      </c>
      <c r="B1668" s="478" t="s">
        <v>312</v>
      </c>
      <c r="C1668" s="391" t="s">
        <v>279</v>
      </c>
      <c r="D1668" s="479">
        <v>26.72</v>
      </c>
      <c r="E1668" s="368"/>
      <c r="F1668" s="368"/>
    </row>
    <row r="1669" spans="1:6" ht="25.5" x14ac:dyDescent="0.2">
      <c r="A1669" s="391">
        <v>5934</v>
      </c>
      <c r="B1669" s="478" t="s">
        <v>444</v>
      </c>
      <c r="C1669" s="391" t="s">
        <v>419</v>
      </c>
      <c r="D1669" s="479">
        <v>109.31</v>
      </c>
      <c r="E1669" s="368"/>
      <c r="F1669" s="368"/>
    </row>
    <row r="1670" spans="1:6" ht="38.25" x14ac:dyDescent="0.2">
      <c r="A1670" s="391">
        <v>5932</v>
      </c>
      <c r="B1670" s="478" t="s">
        <v>305</v>
      </c>
      <c r="C1670" s="391" t="s">
        <v>279</v>
      </c>
      <c r="D1670" s="479">
        <v>279.33</v>
      </c>
      <c r="E1670" s="368"/>
      <c r="F1670" s="368"/>
    </row>
    <row r="1671" spans="1:6" ht="25.5" x14ac:dyDescent="0.2">
      <c r="A1671" s="391">
        <v>96159</v>
      </c>
      <c r="B1671" s="478" t="s">
        <v>550</v>
      </c>
      <c r="C1671" s="391" t="s">
        <v>419</v>
      </c>
      <c r="D1671" s="479">
        <v>94.44</v>
      </c>
      <c r="E1671" s="368"/>
      <c r="F1671" s="368"/>
    </row>
    <row r="1672" spans="1:6" ht="25.5" x14ac:dyDescent="0.2">
      <c r="A1672" s="391">
        <v>95133</v>
      </c>
      <c r="B1672" s="478" t="s">
        <v>391</v>
      </c>
      <c r="C1672" s="391" t="s">
        <v>279</v>
      </c>
      <c r="D1672" s="479">
        <v>187.21</v>
      </c>
      <c r="E1672" s="368"/>
      <c r="F1672" s="368"/>
    </row>
    <row r="1673" spans="1:6" ht="25.5" x14ac:dyDescent="0.2">
      <c r="A1673" s="391">
        <v>102986</v>
      </c>
      <c r="B1673" s="478" t="s">
        <v>47549</v>
      </c>
      <c r="C1673" s="391" t="s">
        <v>419</v>
      </c>
      <c r="D1673" s="479">
        <v>0</v>
      </c>
      <c r="E1673" s="368"/>
      <c r="F1673" s="368"/>
    </row>
    <row r="1674" spans="1:6" ht="25.5" x14ac:dyDescent="0.2">
      <c r="A1674" s="391">
        <v>102987</v>
      </c>
      <c r="B1674" s="478" t="s">
        <v>47550</v>
      </c>
      <c r="C1674" s="391" t="s">
        <v>279</v>
      </c>
      <c r="D1674" s="479">
        <v>0</v>
      </c>
      <c r="E1674" s="368"/>
      <c r="F1674" s="368"/>
    </row>
    <row r="1675" spans="1:6" ht="25.5" x14ac:dyDescent="0.2">
      <c r="A1675" s="391">
        <v>92961</v>
      </c>
      <c r="B1675" s="478" t="s">
        <v>515</v>
      </c>
      <c r="C1675" s="391" t="s">
        <v>419</v>
      </c>
      <c r="D1675" s="479">
        <v>5.38</v>
      </c>
      <c r="E1675" s="368"/>
      <c r="F1675" s="368"/>
    </row>
    <row r="1676" spans="1:6" ht="25.5" x14ac:dyDescent="0.2">
      <c r="A1676" s="391">
        <v>92960</v>
      </c>
      <c r="B1676" s="478" t="s">
        <v>376</v>
      </c>
      <c r="C1676" s="391" t="s">
        <v>279</v>
      </c>
      <c r="D1676" s="479">
        <v>19.989999999999998</v>
      </c>
      <c r="E1676" s="368"/>
      <c r="F1676" s="368"/>
    </row>
    <row r="1677" spans="1:6" ht="25.5" x14ac:dyDescent="0.2">
      <c r="A1677" s="391">
        <v>102863</v>
      </c>
      <c r="B1677" s="478" t="s">
        <v>40822</v>
      </c>
      <c r="C1677" s="391" t="s">
        <v>419</v>
      </c>
      <c r="D1677" s="479">
        <v>0</v>
      </c>
      <c r="E1677" s="368"/>
      <c r="F1677" s="368"/>
    </row>
    <row r="1678" spans="1:6" ht="25.5" x14ac:dyDescent="0.2">
      <c r="A1678" s="391">
        <v>102862</v>
      </c>
      <c r="B1678" s="478" t="s">
        <v>40823</v>
      </c>
      <c r="C1678" s="391" t="s">
        <v>279</v>
      </c>
      <c r="D1678" s="479">
        <v>0</v>
      </c>
      <c r="E1678" s="368"/>
      <c r="F1678" s="368"/>
    </row>
    <row r="1679" spans="1:6" ht="51" x14ac:dyDescent="0.2">
      <c r="A1679" s="391">
        <v>93409</v>
      </c>
      <c r="B1679" s="478" t="s">
        <v>47551</v>
      </c>
      <c r="C1679" s="391" t="s">
        <v>419</v>
      </c>
      <c r="D1679" s="479">
        <v>35.85</v>
      </c>
      <c r="E1679" s="368"/>
      <c r="F1679" s="368"/>
    </row>
    <row r="1680" spans="1:6" ht="51" x14ac:dyDescent="0.2">
      <c r="A1680" s="391">
        <v>93408</v>
      </c>
      <c r="B1680" s="478" t="s">
        <v>47552</v>
      </c>
      <c r="C1680" s="391" t="s">
        <v>279</v>
      </c>
      <c r="D1680" s="479">
        <v>94.6</v>
      </c>
      <c r="E1680" s="368"/>
      <c r="F1680" s="368"/>
    </row>
    <row r="1681" spans="1:6" ht="25.5" x14ac:dyDescent="0.2">
      <c r="A1681" s="391">
        <v>102941</v>
      </c>
      <c r="B1681" s="478" t="s">
        <v>40824</v>
      </c>
      <c r="C1681" s="391" t="s">
        <v>419</v>
      </c>
      <c r="D1681" s="479">
        <v>0</v>
      </c>
      <c r="E1681" s="368"/>
      <c r="F1681" s="368"/>
    </row>
    <row r="1682" spans="1:6" ht="25.5" x14ac:dyDescent="0.2">
      <c r="A1682" s="391">
        <v>102940</v>
      </c>
      <c r="B1682" s="478" t="s">
        <v>40825</v>
      </c>
      <c r="C1682" s="391" t="s">
        <v>279</v>
      </c>
      <c r="D1682" s="479">
        <v>0</v>
      </c>
      <c r="E1682" s="368"/>
      <c r="F1682" s="368"/>
    </row>
    <row r="1683" spans="1:6" ht="38.25" x14ac:dyDescent="0.2">
      <c r="A1683" s="391">
        <v>103164</v>
      </c>
      <c r="B1683" s="478" t="s">
        <v>40826</v>
      </c>
      <c r="C1683" s="391" t="s">
        <v>419</v>
      </c>
      <c r="D1683" s="479">
        <v>0</v>
      </c>
      <c r="E1683" s="368"/>
      <c r="F1683" s="368"/>
    </row>
    <row r="1684" spans="1:6" ht="38.25" x14ac:dyDescent="0.2">
      <c r="A1684" s="391">
        <v>103163</v>
      </c>
      <c r="B1684" s="478" t="s">
        <v>40827</v>
      </c>
      <c r="C1684" s="391" t="s">
        <v>279</v>
      </c>
      <c r="D1684" s="479">
        <v>0</v>
      </c>
      <c r="E1684" s="368"/>
      <c r="F1684" s="368"/>
    </row>
    <row r="1685" spans="1:6" ht="38.25" x14ac:dyDescent="0.2">
      <c r="A1685" s="391">
        <v>103158</v>
      </c>
      <c r="B1685" s="478" t="s">
        <v>40828</v>
      </c>
      <c r="C1685" s="391" t="s">
        <v>419</v>
      </c>
      <c r="D1685" s="479">
        <v>0</v>
      </c>
      <c r="E1685" s="368"/>
      <c r="F1685" s="368"/>
    </row>
    <row r="1686" spans="1:6" ht="38.25" x14ac:dyDescent="0.2">
      <c r="A1686" s="391">
        <v>103157</v>
      </c>
      <c r="B1686" s="478" t="s">
        <v>40829</v>
      </c>
      <c r="C1686" s="391" t="s">
        <v>279</v>
      </c>
      <c r="D1686" s="479">
        <v>0</v>
      </c>
      <c r="E1686" s="368"/>
      <c r="F1686" s="368"/>
    </row>
    <row r="1687" spans="1:6" ht="38.25" x14ac:dyDescent="0.2">
      <c r="A1687" s="391">
        <v>103176</v>
      </c>
      <c r="B1687" s="478" t="s">
        <v>40830</v>
      </c>
      <c r="C1687" s="391" t="s">
        <v>419</v>
      </c>
      <c r="D1687" s="479">
        <v>0</v>
      </c>
      <c r="E1687" s="368"/>
      <c r="F1687" s="368"/>
    </row>
    <row r="1688" spans="1:6" ht="38.25" x14ac:dyDescent="0.2">
      <c r="A1688" s="391">
        <v>103175</v>
      </c>
      <c r="B1688" s="478" t="s">
        <v>40831</v>
      </c>
      <c r="C1688" s="391" t="s">
        <v>279</v>
      </c>
      <c r="D1688" s="479">
        <v>0</v>
      </c>
      <c r="E1688" s="368"/>
      <c r="F1688" s="368"/>
    </row>
    <row r="1689" spans="1:6" ht="38.25" x14ac:dyDescent="0.2">
      <c r="A1689" s="391">
        <v>103182</v>
      </c>
      <c r="B1689" s="478" t="s">
        <v>40832</v>
      </c>
      <c r="C1689" s="391" t="s">
        <v>419</v>
      </c>
      <c r="D1689" s="479">
        <v>0</v>
      </c>
      <c r="E1689" s="368"/>
      <c r="F1689" s="368"/>
    </row>
    <row r="1690" spans="1:6" ht="38.25" x14ac:dyDescent="0.2">
      <c r="A1690" s="391">
        <v>103181</v>
      </c>
      <c r="B1690" s="478" t="s">
        <v>40833</v>
      </c>
      <c r="C1690" s="391" t="s">
        <v>279</v>
      </c>
      <c r="D1690" s="479">
        <v>0</v>
      </c>
      <c r="E1690" s="368"/>
      <c r="F1690" s="368"/>
    </row>
    <row r="1691" spans="1:6" ht="38.25" x14ac:dyDescent="0.2">
      <c r="A1691" s="391">
        <v>103170</v>
      </c>
      <c r="B1691" s="478" t="s">
        <v>40834</v>
      </c>
      <c r="C1691" s="391" t="s">
        <v>419</v>
      </c>
      <c r="D1691" s="479">
        <v>0</v>
      </c>
      <c r="E1691" s="368"/>
      <c r="F1691" s="368"/>
    </row>
    <row r="1692" spans="1:6" ht="38.25" x14ac:dyDescent="0.2">
      <c r="A1692" s="391">
        <v>103169</v>
      </c>
      <c r="B1692" s="478" t="s">
        <v>40835</v>
      </c>
      <c r="C1692" s="391" t="s">
        <v>279</v>
      </c>
      <c r="D1692" s="479">
        <v>0</v>
      </c>
      <c r="E1692" s="368"/>
      <c r="F1692" s="368"/>
    </row>
    <row r="1693" spans="1:6" ht="25.5" x14ac:dyDescent="0.2">
      <c r="A1693" s="391">
        <v>102869</v>
      </c>
      <c r="B1693" s="478" t="s">
        <v>40836</v>
      </c>
      <c r="C1693" s="391" t="s">
        <v>419</v>
      </c>
      <c r="D1693" s="479">
        <v>0</v>
      </c>
      <c r="E1693" s="368"/>
      <c r="F1693" s="368"/>
    </row>
    <row r="1694" spans="1:6" ht="25.5" x14ac:dyDescent="0.2">
      <c r="A1694" s="391">
        <v>102868</v>
      </c>
      <c r="B1694" s="478" t="s">
        <v>40837</v>
      </c>
      <c r="C1694" s="391" t="s">
        <v>279</v>
      </c>
      <c r="D1694" s="479">
        <v>0</v>
      </c>
      <c r="E1694" s="368"/>
      <c r="F1694" s="368"/>
    </row>
    <row r="1695" spans="1:6" ht="25.5" x14ac:dyDescent="0.2">
      <c r="A1695" s="391">
        <v>92113</v>
      </c>
      <c r="B1695" s="478" t="s">
        <v>509</v>
      </c>
      <c r="C1695" s="391" t="s">
        <v>419</v>
      </c>
      <c r="D1695" s="479">
        <v>1.1399999999999999</v>
      </c>
      <c r="E1695" s="368"/>
      <c r="F1695" s="368"/>
    </row>
    <row r="1696" spans="1:6" ht="25.5" x14ac:dyDescent="0.2">
      <c r="A1696" s="391">
        <v>92112</v>
      </c>
      <c r="B1696" s="478" t="s">
        <v>370</v>
      </c>
      <c r="C1696" s="391" t="s">
        <v>279</v>
      </c>
      <c r="D1696" s="479">
        <v>3.45</v>
      </c>
      <c r="E1696" s="368"/>
      <c r="F1696" s="368"/>
    </row>
    <row r="1697" spans="1:6" ht="51" x14ac:dyDescent="0.2">
      <c r="A1697" s="391">
        <v>90675</v>
      </c>
      <c r="B1697" s="478" t="s">
        <v>490</v>
      </c>
      <c r="C1697" s="391" t="s">
        <v>419</v>
      </c>
      <c r="D1697" s="479">
        <v>340.44</v>
      </c>
      <c r="E1697" s="368"/>
      <c r="F1697" s="368"/>
    </row>
    <row r="1698" spans="1:6" ht="51" x14ac:dyDescent="0.2">
      <c r="A1698" s="391">
        <v>90674</v>
      </c>
      <c r="B1698" s="478" t="s">
        <v>352</v>
      </c>
      <c r="C1698" s="391" t="s">
        <v>279</v>
      </c>
      <c r="D1698" s="479">
        <v>773.62</v>
      </c>
      <c r="E1698" s="368"/>
      <c r="F1698" s="368"/>
    </row>
    <row r="1699" spans="1:6" ht="51" x14ac:dyDescent="0.2">
      <c r="A1699" s="391">
        <v>93225</v>
      </c>
      <c r="B1699" s="478" t="s">
        <v>517</v>
      </c>
      <c r="C1699" s="391" t="s">
        <v>419</v>
      </c>
      <c r="D1699" s="479">
        <v>506.09</v>
      </c>
      <c r="E1699" s="368"/>
      <c r="F1699" s="368"/>
    </row>
    <row r="1700" spans="1:6" ht="51" x14ac:dyDescent="0.2">
      <c r="A1700" s="391">
        <v>93224</v>
      </c>
      <c r="B1700" s="478" t="s">
        <v>378</v>
      </c>
      <c r="C1700" s="391" t="s">
        <v>279</v>
      </c>
      <c r="D1700" s="479">
        <v>1141.52</v>
      </c>
      <c r="E1700" s="368"/>
      <c r="F1700" s="368"/>
    </row>
    <row r="1701" spans="1:6" ht="25.5" x14ac:dyDescent="0.2">
      <c r="A1701" s="391">
        <v>104696</v>
      </c>
      <c r="B1701" s="478" t="s">
        <v>40431</v>
      </c>
      <c r="C1701" s="391" t="s">
        <v>419</v>
      </c>
      <c r="D1701" s="479">
        <v>31.04</v>
      </c>
      <c r="E1701" s="368"/>
      <c r="F1701" s="368"/>
    </row>
    <row r="1702" spans="1:6" ht="25.5" x14ac:dyDescent="0.2">
      <c r="A1702" s="391">
        <v>104695</v>
      </c>
      <c r="B1702" s="478" t="s">
        <v>40421</v>
      </c>
      <c r="C1702" s="391" t="s">
        <v>279</v>
      </c>
      <c r="D1702" s="479">
        <v>34.21</v>
      </c>
      <c r="E1702" s="368"/>
      <c r="F1702" s="368"/>
    </row>
    <row r="1703" spans="1:6" ht="51" x14ac:dyDescent="0.2">
      <c r="A1703" s="391">
        <v>90681</v>
      </c>
      <c r="B1703" s="478" t="s">
        <v>491</v>
      </c>
      <c r="C1703" s="391" t="s">
        <v>419</v>
      </c>
      <c r="D1703" s="479">
        <v>171.64</v>
      </c>
      <c r="E1703" s="368"/>
      <c r="F1703" s="368"/>
    </row>
    <row r="1704" spans="1:6" ht="51" x14ac:dyDescent="0.2">
      <c r="A1704" s="391">
        <v>90680</v>
      </c>
      <c r="B1704" s="478" t="s">
        <v>353</v>
      </c>
      <c r="C1704" s="391" t="s">
        <v>279</v>
      </c>
      <c r="D1704" s="479">
        <v>407.92</v>
      </c>
      <c r="E1704" s="368"/>
      <c r="F1704" s="368"/>
    </row>
    <row r="1705" spans="1:6" ht="38.25" x14ac:dyDescent="0.2">
      <c r="A1705" s="391">
        <v>102875</v>
      </c>
      <c r="B1705" s="478" t="s">
        <v>40424</v>
      </c>
      <c r="C1705" s="391" t="s">
        <v>419</v>
      </c>
      <c r="D1705" s="479">
        <v>483.47</v>
      </c>
      <c r="E1705" s="368"/>
      <c r="F1705" s="368"/>
    </row>
    <row r="1706" spans="1:6" ht="38.25" x14ac:dyDescent="0.2">
      <c r="A1706" s="391">
        <v>102874</v>
      </c>
      <c r="B1706" s="478" t="s">
        <v>40414</v>
      </c>
      <c r="C1706" s="391" t="s">
        <v>279</v>
      </c>
      <c r="D1706" s="479">
        <v>1057.1300000000001</v>
      </c>
      <c r="E1706" s="368"/>
      <c r="F1706" s="368"/>
    </row>
    <row r="1707" spans="1:6" ht="38.25" x14ac:dyDescent="0.2">
      <c r="A1707" s="391">
        <v>102965</v>
      </c>
      <c r="B1707" s="478" t="s">
        <v>40426</v>
      </c>
      <c r="C1707" s="391" t="s">
        <v>419</v>
      </c>
      <c r="D1707" s="479">
        <v>249.99</v>
      </c>
      <c r="E1707" s="368"/>
      <c r="F1707" s="368"/>
    </row>
    <row r="1708" spans="1:6" ht="38.25" x14ac:dyDescent="0.2">
      <c r="A1708" s="391">
        <v>102964</v>
      </c>
      <c r="B1708" s="478" t="s">
        <v>40416</v>
      </c>
      <c r="C1708" s="391" t="s">
        <v>279</v>
      </c>
      <c r="D1708" s="479">
        <v>502.41</v>
      </c>
      <c r="E1708" s="368"/>
      <c r="F1708" s="368"/>
    </row>
    <row r="1709" spans="1:6" ht="25.5" x14ac:dyDescent="0.2">
      <c r="A1709" s="391">
        <v>95703</v>
      </c>
      <c r="B1709" s="478" t="s">
        <v>540</v>
      </c>
      <c r="C1709" s="391" t="s">
        <v>419</v>
      </c>
      <c r="D1709" s="479">
        <v>36.83</v>
      </c>
      <c r="E1709" s="368"/>
      <c r="F1709" s="368"/>
    </row>
    <row r="1710" spans="1:6" ht="25.5" x14ac:dyDescent="0.2">
      <c r="A1710" s="391">
        <v>95702</v>
      </c>
      <c r="B1710" s="478" t="s">
        <v>401</v>
      </c>
      <c r="C1710" s="391" t="s">
        <v>279</v>
      </c>
      <c r="D1710" s="479">
        <v>46.78</v>
      </c>
      <c r="E1710" s="368"/>
      <c r="F1710" s="368"/>
    </row>
    <row r="1711" spans="1:6" ht="25.5" x14ac:dyDescent="0.2">
      <c r="A1711" s="391">
        <v>90626</v>
      </c>
      <c r="B1711" s="478" t="s">
        <v>482</v>
      </c>
      <c r="C1711" s="391" t="s">
        <v>419</v>
      </c>
      <c r="D1711" s="479">
        <v>3.14</v>
      </c>
      <c r="E1711" s="368"/>
      <c r="F1711" s="368"/>
    </row>
    <row r="1712" spans="1:6" ht="25.5" x14ac:dyDescent="0.2">
      <c r="A1712" s="391">
        <v>90625</v>
      </c>
      <c r="B1712" s="478" t="s">
        <v>344</v>
      </c>
      <c r="C1712" s="391" t="s">
        <v>279</v>
      </c>
      <c r="D1712" s="479">
        <v>9.1999999999999993</v>
      </c>
      <c r="E1712" s="368"/>
      <c r="F1712" s="368"/>
    </row>
    <row r="1713" spans="1:6" ht="25.5" x14ac:dyDescent="0.2">
      <c r="A1713" s="391">
        <v>102881</v>
      </c>
      <c r="B1713" s="478" t="s">
        <v>40425</v>
      </c>
      <c r="C1713" s="391" t="s">
        <v>419</v>
      </c>
      <c r="D1713" s="479">
        <v>660.24</v>
      </c>
      <c r="E1713" s="368"/>
      <c r="F1713" s="368"/>
    </row>
    <row r="1714" spans="1:6" ht="25.5" x14ac:dyDescent="0.2">
      <c r="A1714" s="391">
        <v>102880</v>
      </c>
      <c r="B1714" s="478" t="s">
        <v>40415</v>
      </c>
      <c r="C1714" s="391" t="s">
        <v>279</v>
      </c>
      <c r="D1714" s="479">
        <v>1471.53</v>
      </c>
      <c r="E1714" s="368"/>
      <c r="F1714" s="368"/>
    </row>
    <row r="1715" spans="1:6" ht="38.25" x14ac:dyDescent="0.2">
      <c r="A1715" s="391">
        <v>103225</v>
      </c>
      <c r="B1715" s="478" t="s">
        <v>40428</v>
      </c>
      <c r="C1715" s="391" t="s">
        <v>419</v>
      </c>
      <c r="D1715" s="479">
        <v>222.63</v>
      </c>
      <c r="E1715" s="368"/>
      <c r="F1715" s="368"/>
    </row>
    <row r="1716" spans="1:6" ht="38.25" x14ac:dyDescent="0.2">
      <c r="A1716" s="391">
        <v>103224</v>
      </c>
      <c r="B1716" s="478" t="s">
        <v>40418</v>
      </c>
      <c r="C1716" s="391" t="s">
        <v>279</v>
      </c>
      <c r="D1716" s="479">
        <v>449.72</v>
      </c>
      <c r="E1716" s="368"/>
      <c r="F1716" s="368"/>
    </row>
    <row r="1717" spans="1:6" ht="38.25" x14ac:dyDescent="0.2">
      <c r="A1717" s="391">
        <v>103237</v>
      </c>
      <c r="B1717" s="478" t="s">
        <v>40430</v>
      </c>
      <c r="C1717" s="391" t="s">
        <v>419</v>
      </c>
      <c r="D1717" s="479">
        <v>634.70000000000005</v>
      </c>
      <c r="E1717" s="368"/>
      <c r="F1717" s="368"/>
    </row>
    <row r="1718" spans="1:6" ht="38.25" x14ac:dyDescent="0.2">
      <c r="A1718" s="391">
        <v>103236</v>
      </c>
      <c r="B1718" s="478" t="s">
        <v>40420</v>
      </c>
      <c r="C1718" s="391" t="s">
        <v>279</v>
      </c>
      <c r="D1718" s="479">
        <v>1368.88</v>
      </c>
      <c r="E1718" s="368"/>
      <c r="F1718" s="368"/>
    </row>
    <row r="1719" spans="1:6" ht="38.25" x14ac:dyDescent="0.2">
      <c r="A1719" s="391">
        <v>103231</v>
      </c>
      <c r="B1719" s="478" t="s">
        <v>40429</v>
      </c>
      <c r="C1719" s="391" t="s">
        <v>419</v>
      </c>
      <c r="D1719" s="479">
        <v>472.14</v>
      </c>
      <c r="E1719" s="368"/>
      <c r="F1719" s="368"/>
    </row>
    <row r="1720" spans="1:6" ht="38.25" x14ac:dyDescent="0.2">
      <c r="A1720" s="391">
        <v>103230</v>
      </c>
      <c r="B1720" s="478" t="s">
        <v>40419</v>
      </c>
      <c r="C1720" s="391" t="s">
        <v>279</v>
      </c>
      <c r="D1720" s="479">
        <v>1000.14</v>
      </c>
      <c r="E1720" s="368"/>
      <c r="F1720" s="368"/>
    </row>
    <row r="1721" spans="1:6" ht="38.25" x14ac:dyDescent="0.2">
      <c r="A1721" s="391">
        <v>95621</v>
      </c>
      <c r="B1721" s="478" t="s">
        <v>538</v>
      </c>
      <c r="C1721" s="391" t="s">
        <v>419</v>
      </c>
      <c r="D1721" s="479">
        <v>26.38</v>
      </c>
      <c r="E1721" s="368"/>
      <c r="F1721" s="368"/>
    </row>
    <row r="1722" spans="1:6" ht="38.25" x14ac:dyDescent="0.2">
      <c r="A1722" s="391">
        <v>95620</v>
      </c>
      <c r="B1722" s="478" t="s">
        <v>399</v>
      </c>
      <c r="C1722" s="391" t="s">
        <v>279</v>
      </c>
      <c r="D1722" s="479">
        <v>28.12</v>
      </c>
      <c r="E1722" s="368"/>
      <c r="F1722" s="368"/>
    </row>
    <row r="1723" spans="1:6" ht="25.5" x14ac:dyDescent="0.2">
      <c r="A1723" s="391">
        <v>102975</v>
      </c>
      <c r="B1723" s="478" t="s">
        <v>40427</v>
      </c>
      <c r="C1723" s="391" t="s">
        <v>419</v>
      </c>
      <c r="D1723" s="479">
        <v>148.04</v>
      </c>
      <c r="E1723" s="368"/>
      <c r="F1723" s="368"/>
    </row>
    <row r="1724" spans="1:6" ht="25.5" x14ac:dyDescent="0.2">
      <c r="A1724" s="391">
        <v>102976</v>
      </c>
      <c r="B1724" s="478" t="s">
        <v>40417</v>
      </c>
      <c r="C1724" s="391" t="s">
        <v>279</v>
      </c>
      <c r="D1724" s="479">
        <v>286.87</v>
      </c>
      <c r="E1724" s="368"/>
      <c r="F1724" s="368"/>
    </row>
    <row r="1725" spans="1:6" ht="25.5" x14ac:dyDescent="0.2">
      <c r="A1725" s="391">
        <v>90632</v>
      </c>
      <c r="B1725" s="478" t="s">
        <v>483</v>
      </c>
      <c r="C1725" s="391" t="s">
        <v>419</v>
      </c>
      <c r="D1725" s="479">
        <v>98.69</v>
      </c>
      <c r="E1725" s="368"/>
      <c r="F1725" s="368"/>
    </row>
    <row r="1726" spans="1:6" ht="25.5" x14ac:dyDescent="0.2">
      <c r="A1726" s="391">
        <v>90631</v>
      </c>
      <c r="B1726" s="478" t="s">
        <v>345</v>
      </c>
      <c r="C1726" s="391" t="s">
        <v>279</v>
      </c>
      <c r="D1726" s="479">
        <v>167.99</v>
      </c>
      <c r="E1726" s="368"/>
      <c r="F1726" s="368"/>
    </row>
    <row r="1727" spans="1:6" ht="25.5" x14ac:dyDescent="0.2">
      <c r="A1727" s="391">
        <v>95709</v>
      </c>
      <c r="B1727" s="478" t="s">
        <v>541</v>
      </c>
      <c r="C1727" s="391" t="s">
        <v>419</v>
      </c>
      <c r="D1727" s="479">
        <v>99.36</v>
      </c>
      <c r="E1727" s="368"/>
      <c r="F1727" s="368"/>
    </row>
    <row r="1728" spans="1:6" ht="25.5" x14ac:dyDescent="0.2">
      <c r="A1728" s="391">
        <v>95708</v>
      </c>
      <c r="B1728" s="478" t="s">
        <v>402</v>
      </c>
      <c r="C1728" s="391" t="s">
        <v>279</v>
      </c>
      <c r="D1728" s="479">
        <v>171.72</v>
      </c>
      <c r="E1728" s="368"/>
      <c r="F1728" s="368"/>
    </row>
    <row r="1729" spans="1:6" ht="25.5" x14ac:dyDescent="0.2">
      <c r="A1729" s="391">
        <v>91278</v>
      </c>
      <c r="B1729" s="478" t="s">
        <v>499</v>
      </c>
      <c r="C1729" s="391" t="s">
        <v>419</v>
      </c>
      <c r="D1729" s="479">
        <v>0.67</v>
      </c>
      <c r="E1729" s="368"/>
      <c r="F1729" s="368"/>
    </row>
    <row r="1730" spans="1:6" ht="25.5" x14ac:dyDescent="0.2">
      <c r="A1730" s="391">
        <v>91277</v>
      </c>
      <c r="B1730" s="478" t="s">
        <v>361</v>
      </c>
      <c r="C1730" s="391" t="s">
        <v>279</v>
      </c>
      <c r="D1730" s="479">
        <v>10.55</v>
      </c>
      <c r="E1730" s="368"/>
      <c r="F1730" s="368"/>
    </row>
    <row r="1731" spans="1:6" x14ac:dyDescent="0.2">
      <c r="A1731" s="391">
        <v>102887</v>
      </c>
      <c r="B1731" s="478" t="s">
        <v>40838</v>
      </c>
      <c r="C1731" s="391" t="s">
        <v>419</v>
      </c>
      <c r="D1731" s="479">
        <v>0</v>
      </c>
      <c r="E1731" s="368"/>
      <c r="F1731" s="368"/>
    </row>
    <row r="1732" spans="1:6" x14ac:dyDescent="0.2">
      <c r="A1732" s="391">
        <v>102886</v>
      </c>
      <c r="B1732" s="478" t="s">
        <v>40839</v>
      </c>
      <c r="C1732" s="391" t="s">
        <v>279</v>
      </c>
      <c r="D1732" s="479">
        <v>0</v>
      </c>
      <c r="E1732" s="368"/>
      <c r="F1732" s="368"/>
    </row>
    <row r="1733" spans="1:6" ht="25.5" x14ac:dyDescent="0.2">
      <c r="A1733" s="391">
        <v>95277</v>
      </c>
      <c r="B1733" s="478" t="s">
        <v>536</v>
      </c>
      <c r="C1733" s="391" t="s">
        <v>419</v>
      </c>
      <c r="D1733" s="479">
        <v>0.76</v>
      </c>
      <c r="E1733" s="368"/>
      <c r="F1733" s="368"/>
    </row>
    <row r="1734" spans="1:6" ht="25.5" x14ac:dyDescent="0.2">
      <c r="A1734" s="391">
        <v>95276</v>
      </c>
      <c r="B1734" s="478" t="s">
        <v>397</v>
      </c>
      <c r="C1734" s="391" t="s">
        <v>279</v>
      </c>
      <c r="D1734" s="479">
        <v>3.57</v>
      </c>
      <c r="E1734" s="368"/>
      <c r="F1734" s="368"/>
    </row>
    <row r="1735" spans="1:6" ht="25.5" x14ac:dyDescent="0.2">
      <c r="A1735" s="391">
        <v>88430</v>
      </c>
      <c r="B1735" s="478" t="s">
        <v>462</v>
      </c>
      <c r="C1735" s="391" t="s">
        <v>419</v>
      </c>
      <c r="D1735" s="479">
        <v>6.39</v>
      </c>
      <c r="E1735" s="368"/>
      <c r="F1735" s="368"/>
    </row>
    <row r="1736" spans="1:6" ht="25.5" x14ac:dyDescent="0.2">
      <c r="A1736" s="391">
        <v>88418</v>
      </c>
      <c r="B1736" s="478" t="s">
        <v>324</v>
      </c>
      <c r="C1736" s="391" t="s">
        <v>279</v>
      </c>
      <c r="D1736" s="479">
        <v>13.84</v>
      </c>
      <c r="E1736" s="368"/>
      <c r="F1736" s="368"/>
    </row>
    <row r="1737" spans="1:6" ht="25.5" x14ac:dyDescent="0.2">
      <c r="A1737" s="391">
        <v>88438</v>
      </c>
      <c r="B1737" s="478" t="s">
        <v>463</v>
      </c>
      <c r="C1737" s="391" t="s">
        <v>419</v>
      </c>
      <c r="D1737" s="479">
        <v>8.4700000000000006</v>
      </c>
      <c r="E1737" s="368"/>
      <c r="F1737" s="368"/>
    </row>
    <row r="1738" spans="1:6" ht="25.5" x14ac:dyDescent="0.2">
      <c r="A1738" s="391">
        <v>88433</v>
      </c>
      <c r="B1738" s="478" t="s">
        <v>325</v>
      </c>
      <c r="C1738" s="391" t="s">
        <v>279</v>
      </c>
      <c r="D1738" s="479">
        <v>18.04</v>
      </c>
      <c r="E1738" s="368"/>
      <c r="F1738" s="368"/>
    </row>
    <row r="1739" spans="1:6" ht="51" x14ac:dyDescent="0.2">
      <c r="A1739" s="391">
        <v>90669</v>
      </c>
      <c r="B1739" s="478" t="s">
        <v>489</v>
      </c>
      <c r="C1739" s="391" t="s">
        <v>419</v>
      </c>
      <c r="D1739" s="479">
        <v>8.4600000000000009</v>
      </c>
      <c r="E1739" s="368"/>
      <c r="F1739" s="368"/>
    </row>
    <row r="1740" spans="1:6" ht="51" x14ac:dyDescent="0.2">
      <c r="A1740" s="391">
        <v>90668</v>
      </c>
      <c r="B1740" s="478" t="s">
        <v>351</v>
      </c>
      <c r="C1740" s="391" t="s">
        <v>279</v>
      </c>
      <c r="D1740" s="479">
        <v>32.67</v>
      </c>
      <c r="E1740" s="368"/>
      <c r="F1740" s="368"/>
    </row>
    <row r="1741" spans="1:6" ht="25.5" x14ac:dyDescent="0.2">
      <c r="A1741" s="391">
        <v>102980</v>
      </c>
      <c r="B1741" s="478" t="s">
        <v>40840</v>
      </c>
      <c r="C1741" s="391" t="s">
        <v>419</v>
      </c>
      <c r="D1741" s="479">
        <v>0</v>
      </c>
      <c r="E1741" s="368"/>
      <c r="F1741" s="368"/>
    </row>
    <row r="1742" spans="1:6" ht="25.5" x14ac:dyDescent="0.2">
      <c r="A1742" s="391">
        <v>102981</v>
      </c>
      <c r="B1742" s="478" t="s">
        <v>40841</v>
      </c>
      <c r="C1742" s="391" t="s">
        <v>279</v>
      </c>
      <c r="D1742" s="479">
        <v>0</v>
      </c>
      <c r="E1742" s="368"/>
      <c r="F1742" s="368"/>
    </row>
    <row r="1743" spans="1:6" ht="25.5" x14ac:dyDescent="0.2">
      <c r="A1743" s="391">
        <v>5946</v>
      </c>
      <c r="B1743" s="478" t="s">
        <v>446</v>
      </c>
      <c r="C1743" s="391" t="s">
        <v>419</v>
      </c>
      <c r="D1743" s="479">
        <v>101.42</v>
      </c>
      <c r="E1743" s="368"/>
      <c r="F1743" s="368"/>
    </row>
    <row r="1744" spans="1:6" ht="38.25" x14ac:dyDescent="0.2">
      <c r="A1744" s="391">
        <v>5944</v>
      </c>
      <c r="B1744" s="478" t="s">
        <v>307</v>
      </c>
      <c r="C1744" s="391" t="s">
        <v>279</v>
      </c>
      <c r="D1744" s="479">
        <v>248.52</v>
      </c>
      <c r="E1744" s="368"/>
      <c r="F1744" s="368"/>
    </row>
    <row r="1745" spans="1:6" ht="25.5" x14ac:dyDescent="0.2">
      <c r="A1745" s="391">
        <v>5942</v>
      </c>
      <c r="B1745" s="478" t="s">
        <v>445</v>
      </c>
      <c r="C1745" s="391" t="s">
        <v>419</v>
      </c>
      <c r="D1745" s="479">
        <v>80.959999999999994</v>
      </c>
      <c r="E1745" s="368"/>
      <c r="F1745" s="368"/>
    </row>
    <row r="1746" spans="1:6" ht="38.25" x14ac:dyDescent="0.2">
      <c r="A1746" s="391">
        <v>5940</v>
      </c>
      <c r="B1746" s="478" t="s">
        <v>306</v>
      </c>
      <c r="C1746" s="391" t="s">
        <v>279</v>
      </c>
      <c r="D1746" s="479">
        <v>181.71</v>
      </c>
      <c r="E1746" s="368"/>
      <c r="F1746" s="368"/>
    </row>
    <row r="1747" spans="1:6" ht="25.5" x14ac:dyDescent="0.2">
      <c r="A1747" s="391">
        <v>102893</v>
      </c>
      <c r="B1747" s="478" t="s">
        <v>47553</v>
      </c>
      <c r="C1747" s="391" t="s">
        <v>419</v>
      </c>
      <c r="D1747" s="479">
        <v>0</v>
      </c>
      <c r="E1747" s="368"/>
      <c r="F1747" s="368"/>
    </row>
    <row r="1748" spans="1:6" ht="25.5" x14ac:dyDescent="0.2">
      <c r="A1748" s="391">
        <v>102892</v>
      </c>
      <c r="B1748" s="478" t="s">
        <v>47554</v>
      </c>
      <c r="C1748" s="391" t="s">
        <v>279</v>
      </c>
      <c r="D1748" s="479">
        <v>0</v>
      </c>
      <c r="E1748" s="368"/>
      <c r="F1748" s="368"/>
    </row>
    <row r="1749" spans="1:6" ht="25.5" x14ac:dyDescent="0.2">
      <c r="A1749" s="391">
        <v>89251</v>
      </c>
      <c r="B1749" s="478" t="s">
        <v>475</v>
      </c>
      <c r="C1749" s="391" t="s">
        <v>419</v>
      </c>
      <c r="D1749" s="479">
        <v>337.13</v>
      </c>
      <c r="E1749" s="368"/>
      <c r="F1749" s="368"/>
    </row>
    <row r="1750" spans="1:6" ht="25.5" x14ac:dyDescent="0.2">
      <c r="A1750" s="391">
        <v>89250</v>
      </c>
      <c r="B1750" s="478" t="s">
        <v>336</v>
      </c>
      <c r="C1750" s="391" t="s">
        <v>279</v>
      </c>
      <c r="D1750" s="479">
        <v>1160.33</v>
      </c>
      <c r="E1750" s="368"/>
      <c r="F1750" s="368"/>
    </row>
    <row r="1751" spans="1:6" ht="38.25" x14ac:dyDescent="0.2">
      <c r="A1751" s="391">
        <v>102959</v>
      </c>
      <c r="B1751" s="478" t="s">
        <v>47555</v>
      </c>
      <c r="C1751" s="391" t="s">
        <v>419</v>
      </c>
      <c r="D1751" s="479">
        <v>0</v>
      </c>
      <c r="E1751" s="368"/>
      <c r="F1751" s="368"/>
    </row>
    <row r="1752" spans="1:6" ht="38.25" x14ac:dyDescent="0.2">
      <c r="A1752" s="391">
        <v>102958</v>
      </c>
      <c r="B1752" s="478" t="s">
        <v>47556</v>
      </c>
      <c r="C1752" s="391" t="s">
        <v>279</v>
      </c>
      <c r="D1752" s="479">
        <v>0</v>
      </c>
      <c r="E1752" s="368"/>
      <c r="F1752" s="368"/>
    </row>
    <row r="1753" spans="1:6" ht="51" x14ac:dyDescent="0.2">
      <c r="A1753" s="391">
        <v>5681</v>
      </c>
      <c r="B1753" s="478" t="s">
        <v>421</v>
      </c>
      <c r="C1753" s="391" t="s">
        <v>419</v>
      </c>
      <c r="D1753" s="479">
        <v>59.67</v>
      </c>
      <c r="E1753" s="368"/>
      <c r="F1753" s="368"/>
    </row>
    <row r="1754" spans="1:6" ht="51" x14ac:dyDescent="0.2">
      <c r="A1754" s="391">
        <v>5680</v>
      </c>
      <c r="B1754" s="478" t="s">
        <v>281</v>
      </c>
      <c r="C1754" s="391" t="s">
        <v>279</v>
      </c>
      <c r="D1754" s="479">
        <v>137.27000000000001</v>
      </c>
      <c r="E1754" s="368"/>
      <c r="F1754" s="368"/>
    </row>
    <row r="1755" spans="1:6" ht="51" x14ac:dyDescent="0.2">
      <c r="A1755" s="391">
        <v>5877</v>
      </c>
      <c r="B1755" s="478" t="s">
        <v>435</v>
      </c>
      <c r="C1755" s="391" t="s">
        <v>419</v>
      </c>
      <c r="D1755" s="479">
        <v>62.16</v>
      </c>
      <c r="E1755" s="368"/>
      <c r="F1755" s="368"/>
    </row>
    <row r="1756" spans="1:6" ht="51" x14ac:dyDescent="0.2">
      <c r="A1756" s="391">
        <v>5875</v>
      </c>
      <c r="B1756" s="478" t="s">
        <v>296</v>
      </c>
      <c r="C1756" s="391" t="s">
        <v>279</v>
      </c>
      <c r="D1756" s="479">
        <v>137.91</v>
      </c>
      <c r="E1756" s="368"/>
      <c r="F1756" s="368"/>
    </row>
    <row r="1757" spans="1:6" ht="51" x14ac:dyDescent="0.2">
      <c r="A1757" s="391">
        <v>5679</v>
      </c>
      <c r="B1757" s="478" t="s">
        <v>420</v>
      </c>
      <c r="C1757" s="391" t="s">
        <v>419</v>
      </c>
      <c r="D1757" s="479">
        <v>63.32</v>
      </c>
      <c r="E1757" s="368"/>
      <c r="F1757" s="368"/>
    </row>
    <row r="1758" spans="1:6" ht="51" x14ac:dyDescent="0.2">
      <c r="A1758" s="391">
        <v>5678</v>
      </c>
      <c r="B1758" s="478" t="s">
        <v>280</v>
      </c>
      <c r="C1758" s="391" t="s">
        <v>279</v>
      </c>
      <c r="D1758" s="479">
        <v>150.05000000000001</v>
      </c>
      <c r="E1758" s="368"/>
      <c r="F1758" s="368"/>
    </row>
    <row r="1759" spans="1:6" ht="38.25" x14ac:dyDescent="0.2">
      <c r="A1759" s="391">
        <v>6880</v>
      </c>
      <c r="B1759" s="478" t="s">
        <v>451</v>
      </c>
      <c r="C1759" s="391" t="s">
        <v>419</v>
      </c>
      <c r="D1759" s="479">
        <v>93.53</v>
      </c>
      <c r="E1759" s="368"/>
      <c r="F1759" s="368"/>
    </row>
    <row r="1760" spans="1:6" ht="38.25" x14ac:dyDescent="0.2">
      <c r="A1760" s="391">
        <v>6879</v>
      </c>
      <c r="B1760" s="478" t="s">
        <v>310</v>
      </c>
      <c r="C1760" s="391" t="s">
        <v>279</v>
      </c>
      <c r="D1760" s="479">
        <v>224.5</v>
      </c>
      <c r="E1760" s="368"/>
      <c r="F1760" s="368"/>
    </row>
    <row r="1761" spans="1:6" ht="38.25" x14ac:dyDescent="0.2">
      <c r="A1761" s="391">
        <v>96464</v>
      </c>
      <c r="B1761" s="478" t="s">
        <v>40423</v>
      </c>
      <c r="C1761" s="391" t="s">
        <v>419</v>
      </c>
      <c r="D1761" s="479">
        <v>97.43</v>
      </c>
      <c r="E1761" s="368"/>
      <c r="F1761" s="368"/>
    </row>
    <row r="1762" spans="1:6" ht="38.25" x14ac:dyDescent="0.2">
      <c r="A1762" s="391">
        <v>96463</v>
      </c>
      <c r="B1762" s="478" t="s">
        <v>40413</v>
      </c>
      <c r="C1762" s="391" t="s">
        <v>279</v>
      </c>
      <c r="D1762" s="479">
        <v>231.62</v>
      </c>
      <c r="E1762" s="368"/>
      <c r="F1762" s="368"/>
    </row>
    <row r="1763" spans="1:6" ht="38.25" x14ac:dyDescent="0.2">
      <c r="A1763" s="391">
        <v>7050</v>
      </c>
      <c r="B1763" s="478" t="s">
        <v>454</v>
      </c>
      <c r="C1763" s="391" t="s">
        <v>419</v>
      </c>
      <c r="D1763" s="479">
        <v>86.42</v>
      </c>
      <c r="E1763" s="368"/>
      <c r="F1763" s="368"/>
    </row>
    <row r="1764" spans="1:6" ht="38.25" x14ac:dyDescent="0.2">
      <c r="A1764" s="391">
        <v>7049</v>
      </c>
      <c r="B1764" s="478" t="s">
        <v>313</v>
      </c>
      <c r="C1764" s="391" t="s">
        <v>279</v>
      </c>
      <c r="D1764" s="479">
        <v>236.62</v>
      </c>
      <c r="E1764" s="368"/>
      <c r="F1764" s="368"/>
    </row>
    <row r="1765" spans="1:6" ht="38.25" x14ac:dyDescent="0.2">
      <c r="A1765" s="391">
        <v>95632</v>
      </c>
      <c r="B1765" s="478" t="s">
        <v>539</v>
      </c>
      <c r="C1765" s="391" t="s">
        <v>419</v>
      </c>
      <c r="D1765" s="479">
        <v>90.8</v>
      </c>
      <c r="E1765" s="368"/>
      <c r="F1765" s="368"/>
    </row>
    <row r="1766" spans="1:6" ht="38.25" x14ac:dyDescent="0.2">
      <c r="A1766" s="391">
        <v>95631</v>
      </c>
      <c r="B1766" s="478" t="s">
        <v>400</v>
      </c>
      <c r="C1766" s="391" t="s">
        <v>279</v>
      </c>
      <c r="D1766" s="479">
        <v>245.4</v>
      </c>
      <c r="E1766" s="368"/>
      <c r="F1766" s="368"/>
    </row>
    <row r="1767" spans="1:6" ht="38.25" x14ac:dyDescent="0.2">
      <c r="A1767" s="391">
        <v>5685</v>
      </c>
      <c r="B1767" s="478" t="s">
        <v>422</v>
      </c>
      <c r="C1767" s="391" t="s">
        <v>419</v>
      </c>
      <c r="D1767" s="479">
        <v>70.64</v>
      </c>
      <c r="E1767" s="368"/>
      <c r="F1767" s="368"/>
    </row>
    <row r="1768" spans="1:6" ht="38.25" x14ac:dyDescent="0.2">
      <c r="A1768" s="391">
        <v>5684</v>
      </c>
      <c r="B1768" s="478" t="s">
        <v>282</v>
      </c>
      <c r="C1768" s="391" t="s">
        <v>279</v>
      </c>
      <c r="D1768" s="479">
        <v>171.29</v>
      </c>
      <c r="E1768" s="368"/>
      <c r="F1768" s="368"/>
    </row>
    <row r="1769" spans="1:6" ht="38.25" x14ac:dyDescent="0.2">
      <c r="A1769" s="391">
        <v>93244</v>
      </c>
      <c r="B1769" s="478" t="s">
        <v>519</v>
      </c>
      <c r="C1769" s="391" t="s">
        <v>419</v>
      </c>
      <c r="D1769" s="479">
        <v>72.319999999999993</v>
      </c>
      <c r="E1769" s="368"/>
      <c r="F1769" s="368"/>
    </row>
    <row r="1770" spans="1:6" ht="38.25" x14ac:dyDescent="0.2">
      <c r="A1770" s="391">
        <v>73436</v>
      </c>
      <c r="B1770" s="478" t="s">
        <v>316</v>
      </c>
      <c r="C1770" s="391" t="s">
        <v>279</v>
      </c>
      <c r="D1770" s="479">
        <v>174.57</v>
      </c>
      <c r="E1770" s="368"/>
      <c r="F1770" s="368"/>
    </row>
    <row r="1771" spans="1:6" ht="38.25" x14ac:dyDescent="0.2">
      <c r="A1771" s="391">
        <v>5881</v>
      </c>
      <c r="B1771" s="478" t="s">
        <v>436</v>
      </c>
      <c r="C1771" s="391" t="s">
        <v>419</v>
      </c>
      <c r="D1771" s="479">
        <v>85.54</v>
      </c>
      <c r="E1771" s="368"/>
      <c r="F1771" s="368"/>
    </row>
    <row r="1772" spans="1:6" ht="38.25" x14ac:dyDescent="0.2">
      <c r="A1772" s="391">
        <v>5879</v>
      </c>
      <c r="B1772" s="478" t="s">
        <v>297</v>
      </c>
      <c r="C1772" s="391" t="s">
        <v>279</v>
      </c>
      <c r="D1772" s="479">
        <v>153.03</v>
      </c>
      <c r="E1772" s="368"/>
      <c r="F1772" s="368"/>
    </row>
    <row r="1773" spans="1:6" ht="38.25" x14ac:dyDescent="0.2">
      <c r="A1773" s="391">
        <v>5865</v>
      </c>
      <c r="B1773" s="478" t="s">
        <v>433</v>
      </c>
      <c r="C1773" s="391" t="s">
        <v>419</v>
      </c>
      <c r="D1773" s="479">
        <v>12.26</v>
      </c>
      <c r="E1773" s="368"/>
      <c r="F1773" s="368"/>
    </row>
    <row r="1774" spans="1:6" ht="38.25" x14ac:dyDescent="0.2">
      <c r="A1774" s="391">
        <v>5863</v>
      </c>
      <c r="B1774" s="478" t="s">
        <v>294</v>
      </c>
      <c r="C1774" s="391" t="s">
        <v>279</v>
      </c>
      <c r="D1774" s="479">
        <v>24.36</v>
      </c>
      <c r="E1774" s="368"/>
      <c r="F1774" s="368"/>
    </row>
    <row r="1775" spans="1:6" ht="38.25" x14ac:dyDescent="0.2">
      <c r="A1775" s="391">
        <v>5869</v>
      </c>
      <c r="B1775" s="478" t="s">
        <v>434</v>
      </c>
      <c r="C1775" s="391" t="s">
        <v>419</v>
      </c>
      <c r="D1775" s="479">
        <v>79.91</v>
      </c>
      <c r="E1775" s="368"/>
      <c r="F1775" s="368"/>
    </row>
    <row r="1776" spans="1:6" ht="38.25" x14ac:dyDescent="0.2">
      <c r="A1776" s="391">
        <v>5867</v>
      </c>
      <c r="B1776" s="478" t="s">
        <v>295</v>
      </c>
      <c r="C1776" s="391" t="s">
        <v>279</v>
      </c>
      <c r="D1776" s="479">
        <v>172.47</v>
      </c>
      <c r="E1776" s="368"/>
      <c r="F1776" s="368"/>
    </row>
    <row r="1777" spans="1:6" ht="25.5" x14ac:dyDescent="0.2">
      <c r="A1777" s="391">
        <v>95271</v>
      </c>
      <c r="B1777" s="478" t="s">
        <v>535</v>
      </c>
      <c r="C1777" s="391" t="s">
        <v>419</v>
      </c>
      <c r="D1777" s="479">
        <v>0.77</v>
      </c>
      <c r="E1777" s="368"/>
      <c r="F1777" s="368"/>
    </row>
    <row r="1778" spans="1:6" ht="25.5" x14ac:dyDescent="0.2">
      <c r="A1778" s="391">
        <v>95270</v>
      </c>
      <c r="B1778" s="478" t="s">
        <v>396</v>
      </c>
      <c r="C1778" s="391" t="s">
        <v>279</v>
      </c>
      <c r="D1778" s="479">
        <v>10.6</v>
      </c>
      <c r="E1778" s="368"/>
      <c r="F1778" s="368"/>
    </row>
    <row r="1779" spans="1:6" ht="25.5" x14ac:dyDescent="0.2">
      <c r="A1779" s="391">
        <v>91693</v>
      </c>
      <c r="B1779" s="478" t="s">
        <v>506</v>
      </c>
      <c r="C1779" s="391" t="s">
        <v>419</v>
      </c>
      <c r="D1779" s="479">
        <v>30</v>
      </c>
      <c r="E1779" s="368"/>
      <c r="F1779" s="368"/>
    </row>
    <row r="1780" spans="1:6" ht="25.5" x14ac:dyDescent="0.2">
      <c r="A1780" s="391">
        <v>91692</v>
      </c>
      <c r="B1780" s="478" t="s">
        <v>367</v>
      </c>
      <c r="C1780" s="391" t="s">
        <v>279</v>
      </c>
      <c r="D1780" s="479">
        <v>31.34</v>
      </c>
      <c r="E1780" s="368"/>
      <c r="F1780" s="368"/>
    </row>
    <row r="1781" spans="1:6" ht="38.25" x14ac:dyDescent="0.2">
      <c r="A1781" s="391">
        <v>102929</v>
      </c>
      <c r="B1781" s="478" t="s">
        <v>40842</v>
      </c>
      <c r="C1781" s="391" t="s">
        <v>419</v>
      </c>
      <c r="D1781" s="479">
        <v>0</v>
      </c>
      <c r="E1781" s="368"/>
      <c r="F1781" s="368"/>
    </row>
    <row r="1782" spans="1:6" ht="38.25" x14ac:dyDescent="0.2">
      <c r="A1782" s="391">
        <v>102928</v>
      </c>
      <c r="B1782" s="478" t="s">
        <v>40843</v>
      </c>
      <c r="C1782" s="391" t="s">
        <v>279</v>
      </c>
      <c r="D1782" s="479">
        <v>0</v>
      </c>
      <c r="E1782" s="368"/>
      <c r="F1782" s="368"/>
    </row>
    <row r="1783" spans="1:6" ht="25.5" x14ac:dyDescent="0.2">
      <c r="A1783" s="391">
        <v>95140</v>
      </c>
      <c r="B1783" s="478" t="s">
        <v>531</v>
      </c>
      <c r="C1783" s="391" t="s">
        <v>419</v>
      </c>
      <c r="D1783" s="479">
        <v>0.05</v>
      </c>
      <c r="E1783" s="368"/>
      <c r="F1783" s="368"/>
    </row>
    <row r="1784" spans="1:6" ht="25.5" x14ac:dyDescent="0.2">
      <c r="A1784" s="391">
        <v>95139</v>
      </c>
      <c r="B1784" s="478" t="s">
        <v>392</v>
      </c>
      <c r="C1784" s="391" t="s">
        <v>279</v>
      </c>
      <c r="D1784" s="479">
        <v>0.08</v>
      </c>
      <c r="E1784" s="368"/>
      <c r="F1784" s="368"/>
    </row>
    <row r="1785" spans="1:6" ht="25.5" x14ac:dyDescent="0.2">
      <c r="A1785" s="391">
        <v>89027</v>
      </c>
      <c r="B1785" s="478" t="s">
        <v>468</v>
      </c>
      <c r="C1785" s="391" t="s">
        <v>419</v>
      </c>
      <c r="D1785" s="479">
        <v>5.14</v>
      </c>
      <c r="E1785" s="368"/>
      <c r="F1785" s="368"/>
    </row>
    <row r="1786" spans="1:6" ht="25.5" x14ac:dyDescent="0.2">
      <c r="A1786" s="391">
        <v>89028</v>
      </c>
      <c r="B1786" s="478" t="s">
        <v>330</v>
      </c>
      <c r="C1786" s="391" t="s">
        <v>279</v>
      </c>
      <c r="D1786" s="479">
        <v>191.08</v>
      </c>
      <c r="E1786" s="368"/>
      <c r="F1786" s="368"/>
    </row>
    <row r="1787" spans="1:6" ht="25.5" x14ac:dyDescent="0.2">
      <c r="A1787" s="391">
        <v>7031</v>
      </c>
      <c r="B1787" s="478" t="s">
        <v>452</v>
      </c>
      <c r="C1787" s="391" t="s">
        <v>419</v>
      </c>
      <c r="D1787" s="479">
        <v>6.33</v>
      </c>
      <c r="E1787" s="368"/>
      <c r="F1787" s="368"/>
    </row>
    <row r="1788" spans="1:6" ht="25.5" x14ac:dyDescent="0.2">
      <c r="A1788" s="391">
        <v>7030</v>
      </c>
      <c r="B1788" s="478" t="s">
        <v>311</v>
      </c>
      <c r="C1788" s="391" t="s">
        <v>279</v>
      </c>
      <c r="D1788" s="479">
        <v>283.95</v>
      </c>
      <c r="E1788" s="368"/>
      <c r="F1788" s="368"/>
    </row>
    <row r="1789" spans="1:6" ht="38.25" x14ac:dyDescent="0.2">
      <c r="A1789" s="391">
        <v>102947</v>
      </c>
      <c r="B1789" s="478" t="s">
        <v>40844</v>
      </c>
      <c r="C1789" s="391" t="s">
        <v>419</v>
      </c>
      <c r="D1789" s="479">
        <v>0</v>
      </c>
      <c r="E1789" s="368"/>
      <c r="F1789" s="368"/>
    </row>
    <row r="1790" spans="1:6" ht="38.25" x14ac:dyDescent="0.2">
      <c r="A1790" s="391">
        <v>102946</v>
      </c>
      <c r="B1790" s="478" t="s">
        <v>40845</v>
      </c>
      <c r="C1790" s="391" t="s">
        <v>279</v>
      </c>
      <c r="D1790" s="479">
        <v>0</v>
      </c>
      <c r="E1790" s="368"/>
      <c r="F1790" s="368"/>
    </row>
    <row r="1791" spans="1:6" ht="25.5" x14ac:dyDescent="0.2">
      <c r="A1791" s="391">
        <v>104092</v>
      </c>
      <c r="B1791" s="478" t="s">
        <v>555</v>
      </c>
      <c r="C1791" s="391" t="s">
        <v>419</v>
      </c>
      <c r="D1791" s="479">
        <v>0.09</v>
      </c>
      <c r="E1791" s="368"/>
      <c r="F1791" s="368"/>
    </row>
    <row r="1792" spans="1:6" ht="25.5" x14ac:dyDescent="0.2">
      <c r="A1792" s="391">
        <v>104091</v>
      </c>
      <c r="B1792" s="478" t="s">
        <v>416</v>
      </c>
      <c r="C1792" s="391" t="s">
        <v>279</v>
      </c>
      <c r="D1792" s="479">
        <v>0.81</v>
      </c>
      <c r="E1792" s="368"/>
      <c r="F1792" s="368"/>
    </row>
    <row r="1793" spans="1:6" ht="25.5" x14ac:dyDescent="0.2">
      <c r="A1793" s="391">
        <v>104098</v>
      </c>
      <c r="B1793" s="478" t="s">
        <v>556</v>
      </c>
      <c r="C1793" s="391" t="s">
        <v>419</v>
      </c>
      <c r="D1793" s="479">
        <v>0.14000000000000001</v>
      </c>
      <c r="E1793" s="368"/>
      <c r="F1793" s="368"/>
    </row>
    <row r="1794" spans="1:6" ht="25.5" x14ac:dyDescent="0.2">
      <c r="A1794" s="391">
        <v>104097</v>
      </c>
      <c r="B1794" s="478" t="s">
        <v>417</v>
      </c>
      <c r="C1794" s="391" t="s">
        <v>279</v>
      </c>
      <c r="D1794" s="479">
        <v>1.1499999999999999</v>
      </c>
      <c r="E1794" s="368"/>
      <c r="F1794" s="368"/>
    </row>
    <row r="1795" spans="1:6" ht="25.5" x14ac:dyDescent="0.2">
      <c r="A1795" s="391">
        <v>102905</v>
      </c>
      <c r="B1795" s="478" t="s">
        <v>47557</v>
      </c>
      <c r="C1795" s="391" t="s">
        <v>419</v>
      </c>
      <c r="D1795" s="479">
        <v>0</v>
      </c>
      <c r="E1795" s="368"/>
      <c r="F1795" s="368"/>
    </row>
    <row r="1796" spans="1:6" ht="25.5" x14ac:dyDescent="0.2">
      <c r="A1796" s="391">
        <v>102904</v>
      </c>
      <c r="B1796" s="478" t="s">
        <v>47558</v>
      </c>
      <c r="C1796" s="391" t="s">
        <v>279</v>
      </c>
      <c r="D1796" s="479">
        <v>0</v>
      </c>
      <c r="E1796" s="368"/>
      <c r="F1796" s="368"/>
    </row>
    <row r="1797" spans="1:6" ht="25.5" x14ac:dyDescent="0.2">
      <c r="A1797" s="391">
        <v>89031</v>
      </c>
      <c r="B1797" s="478" t="s">
        <v>469</v>
      </c>
      <c r="C1797" s="391" t="s">
        <v>419</v>
      </c>
      <c r="D1797" s="479">
        <v>78.22</v>
      </c>
      <c r="E1797" s="368"/>
      <c r="F1797" s="368"/>
    </row>
    <row r="1798" spans="1:6" ht="25.5" x14ac:dyDescent="0.2">
      <c r="A1798" s="391">
        <v>89032</v>
      </c>
      <c r="B1798" s="478" t="s">
        <v>331</v>
      </c>
      <c r="C1798" s="391" t="s">
        <v>279</v>
      </c>
      <c r="D1798" s="479">
        <v>204.44</v>
      </c>
      <c r="E1798" s="368"/>
      <c r="F1798" s="368"/>
    </row>
    <row r="1799" spans="1:6" ht="25.5" x14ac:dyDescent="0.2">
      <c r="A1799" s="391">
        <v>88844</v>
      </c>
      <c r="B1799" s="478" t="s">
        <v>465</v>
      </c>
      <c r="C1799" s="391" t="s">
        <v>419</v>
      </c>
      <c r="D1799" s="479">
        <v>80.48</v>
      </c>
      <c r="E1799" s="368"/>
      <c r="F1799" s="368"/>
    </row>
    <row r="1800" spans="1:6" ht="25.5" x14ac:dyDescent="0.2">
      <c r="A1800" s="391">
        <v>88843</v>
      </c>
      <c r="B1800" s="478" t="s">
        <v>327</v>
      </c>
      <c r="C1800" s="391" t="s">
        <v>279</v>
      </c>
      <c r="D1800" s="479">
        <v>226.12</v>
      </c>
      <c r="E1800" s="368"/>
      <c r="F1800" s="368"/>
    </row>
    <row r="1801" spans="1:6" ht="25.5" x14ac:dyDescent="0.2">
      <c r="A1801" s="391">
        <v>5853</v>
      </c>
      <c r="B1801" s="478" t="s">
        <v>431</v>
      </c>
      <c r="C1801" s="391" t="s">
        <v>419</v>
      </c>
      <c r="D1801" s="479">
        <v>92.57</v>
      </c>
      <c r="E1801" s="368"/>
      <c r="F1801" s="368"/>
    </row>
    <row r="1802" spans="1:6" ht="25.5" x14ac:dyDescent="0.2">
      <c r="A1802" s="391">
        <v>5851</v>
      </c>
      <c r="B1802" s="478" t="s">
        <v>292</v>
      </c>
      <c r="C1802" s="391" t="s">
        <v>279</v>
      </c>
      <c r="D1802" s="479">
        <v>269.75</v>
      </c>
      <c r="E1802" s="368"/>
      <c r="F1802" s="368"/>
    </row>
    <row r="1803" spans="1:6" ht="25.5" x14ac:dyDescent="0.2">
      <c r="A1803" s="391">
        <v>5849</v>
      </c>
      <c r="B1803" s="478" t="s">
        <v>430</v>
      </c>
      <c r="C1803" s="391" t="s">
        <v>419</v>
      </c>
      <c r="D1803" s="479">
        <v>92.18</v>
      </c>
      <c r="E1803" s="368"/>
      <c r="F1803" s="368"/>
    </row>
    <row r="1804" spans="1:6" ht="25.5" x14ac:dyDescent="0.2">
      <c r="A1804" s="391">
        <v>5847</v>
      </c>
      <c r="B1804" s="478" t="s">
        <v>291</v>
      </c>
      <c r="C1804" s="391" t="s">
        <v>279</v>
      </c>
      <c r="D1804" s="479">
        <v>282.13</v>
      </c>
      <c r="E1804" s="368"/>
      <c r="F1804" s="368"/>
    </row>
    <row r="1805" spans="1:6" ht="25.5" x14ac:dyDescent="0.2">
      <c r="A1805" s="391">
        <v>5857</v>
      </c>
      <c r="B1805" s="478" t="s">
        <v>432</v>
      </c>
      <c r="C1805" s="391" t="s">
        <v>419</v>
      </c>
      <c r="D1805" s="479">
        <v>235.28</v>
      </c>
      <c r="E1805" s="368"/>
      <c r="F1805" s="368"/>
    </row>
    <row r="1806" spans="1:6" ht="25.5" x14ac:dyDescent="0.2">
      <c r="A1806" s="391">
        <v>5855</v>
      </c>
      <c r="B1806" s="478" t="s">
        <v>293</v>
      </c>
      <c r="C1806" s="391" t="s">
        <v>279</v>
      </c>
      <c r="D1806" s="479">
        <v>720</v>
      </c>
      <c r="E1806" s="368"/>
      <c r="F1806" s="368"/>
    </row>
    <row r="1807" spans="1:6" ht="25.5" x14ac:dyDescent="0.2">
      <c r="A1807" s="391">
        <v>96021</v>
      </c>
      <c r="B1807" s="478" t="s">
        <v>545</v>
      </c>
      <c r="C1807" s="391" t="s">
        <v>419</v>
      </c>
      <c r="D1807" s="479">
        <v>58.66</v>
      </c>
      <c r="E1807" s="368"/>
      <c r="F1807" s="368"/>
    </row>
    <row r="1808" spans="1:6" ht="25.5" x14ac:dyDescent="0.2">
      <c r="A1808" s="391">
        <v>96020</v>
      </c>
      <c r="B1808" s="478" t="s">
        <v>406</v>
      </c>
      <c r="C1808" s="391" t="s">
        <v>279</v>
      </c>
      <c r="D1808" s="479">
        <v>185.96</v>
      </c>
      <c r="E1808" s="368"/>
      <c r="F1808" s="368"/>
    </row>
    <row r="1809" spans="1:6" ht="25.5" x14ac:dyDescent="0.2">
      <c r="A1809" s="391">
        <v>96014</v>
      </c>
      <c r="B1809" s="478" t="s">
        <v>544</v>
      </c>
      <c r="C1809" s="391" t="s">
        <v>419</v>
      </c>
      <c r="D1809" s="479">
        <v>58.93</v>
      </c>
      <c r="E1809" s="368"/>
      <c r="F1809" s="368"/>
    </row>
    <row r="1810" spans="1:6" ht="25.5" x14ac:dyDescent="0.2">
      <c r="A1810" s="391">
        <v>96013</v>
      </c>
      <c r="B1810" s="478" t="s">
        <v>405</v>
      </c>
      <c r="C1810" s="391" t="s">
        <v>279</v>
      </c>
      <c r="D1810" s="479">
        <v>186.46</v>
      </c>
      <c r="E1810" s="368"/>
      <c r="F1810" s="368"/>
    </row>
    <row r="1811" spans="1:6" ht="25.5" x14ac:dyDescent="0.2">
      <c r="A1811" s="391">
        <v>96029</v>
      </c>
      <c r="B1811" s="478" t="s">
        <v>546</v>
      </c>
      <c r="C1811" s="391" t="s">
        <v>419</v>
      </c>
      <c r="D1811" s="479">
        <v>52.12</v>
      </c>
      <c r="E1811" s="368"/>
      <c r="F1811" s="368"/>
    </row>
    <row r="1812" spans="1:6" ht="25.5" x14ac:dyDescent="0.2">
      <c r="A1812" s="391">
        <v>96028</v>
      </c>
      <c r="B1812" s="478" t="s">
        <v>407</v>
      </c>
      <c r="C1812" s="391" t="s">
        <v>279</v>
      </c>
      <c r="D1812" s="479">
        <v>142.71</v>
      </c>
      <c r="E1812" s="368"/>
      <c r="F1812" s="368"/>
    </row>
    <row r="1813" spans="1:6" ht="25.5" x14ac:dyDescent="0.2">
      <c r="A1813" s="391">
        <v>96155</v>
      </c>
      <c r="B1813" s="478" t="s">
        <v>548</v>
      </c>
      <c r="C1813" s="391" t="s">
        <v>419</v>
      </c>
      <c r="D1813" s="479">
        <v>52.39</v>
      </c>
      <c r="E1813" s="368"/>
      <c r="F1813" s="368"/>
    </row>
    <row r="1814" spans="1:6" ht="25.5" x14ac:dyDescent="0.2">
      <c r="A1814" s="391">
        <v>96157</v>
      </c>
      <c r="B1814" s="478" t="s">
        <v>409</v>
      </c>
      <c r="C1814" s="391" t="s">
        <v>279</v>
      </c>
      <c r="D1814" s="479">
        <v>143.21</v>
      </c>
      <c r="E1814" s="368"/>
      <c r="F1814" s="368"/>
    </row>
    <row r="1815" spans="1:6" ht="25.5" x14ac:dyDescent="0.2">
      <c r="A1815" s="391">
        <v>5845</v>
      </c>
      <c r="B1815" s="478" t="s">
        <v>429</v>
      </c>
      <c r="C1815" s="391" t="s">
        <v>419</v>
      </c>
      <c r="D1815" s="479">
        <v>54.32</v>
      </c>
      <c r="E1815" s="368"/>
      <c r="F1815" s="368"/>
    </row>
    <row r="1816" spans="1:6" ht="25.5" x14ac:dyDescent="0.2">
      <c r="A1816" s="391">
        <v>5843</v>
      </c>
      <c r="B1816" s="478" t="s">
        <v>290</v>
      </c>
      <c r="C1816" s="391" t="s">
        <v>279</v>
      </c>
      <c r="D1816" s="479">
        <v>177.85</v>
      </c>
      <c r="E1816" s="368"/>
      <c r="F1816" s="368"/>
    </row>
    <row r="1817" spans="1:6" ht="25.5" x14ac:dyDescent="0.2">
      <c r="A1817" s="391">
        <v>89036</v>
      </c>
      <c r="B1817" s="478" t="s">
        <v>470</v>
      </c>
      <c r="C1817" s="391" t="s">
        <v>419</v>
      </c>
      <c r="D1817" s="479">
        <v>47.75</v>
      </c>
      <c r="E1817" s="368"/>
      <c r="F1817" s="368"/>
    </row>
    <row r="1818" spans="1:6" ht="25.5" x14ac:dyDescent="0.2">
      <c r="A1818" s="391">
        <v>89035</v>
      </c>
      <c r="B1818" s="478" t="s">
        <v>332</v>
      </c>
      <c r="C1818" s="391" t="s">
        <v>279</v>
      </c>
      <c r="D1818" s="479">
        <v>134.57</v>
      </c>
      <c r="E1818" s="368"/>
      <c r="F1818" s="368"/>
    </row>
    <row r="1819" spans="1:6" x14ac:dyDescent="0.2">
      <c r="A1819" s="391">
        <v>102911</v>
      </c>
      <c r="B1819" s="478" t="s">
        <v>40846</v>
      </c>
      <c r="C1819" s="391" t="s">
        <v>419</v>
      </c>
      <c r="D1819" s="479">
        <v>0</v>
      </c>
      <c r="E1819" s="368"/>
      <c r="F1819" s="368"/>
    </row>
    <row r="1820" spans="1:6" x14ac:dyDescent="0.2">
      <c r="A1820" s="391">
        <v>102910</v>
      </c>
      <c r="B1820" s="478" t="s">
        <v>40847</v>
      </c>
      <c r="C1820" s="391" t="s">
        <v>279</v>
      </c>
      <c r="D1820" s="479">
        <v>0</v>
      </c>
      <c r="E1820" s="368"/>
      <c r="F1820" s="368"/>
    </row>
    <row r="1821" spans="1:6" ht="25.5" x14ac:dyDescent="0.2">
      <c r="A1821" s="391">
        <v>93440</v>
      </c>
      <c r="B1821" s="478" t="s">
        <v>528</v>
      </c>
      <c r="C1821" s="391" t="s">
        <v>419</v>
      </c>
      <c r="D1821" s="479">
        <v>140.01</v>
      </c>
      <c r="E1821" s="368"/>
      <c r="F1821" s="368"/>
    </row>
    <row r="1822" spans="1:6" ht="25.5" x14ac:dyDescent="0.2">
      <c r="A1822" s="391">
        <v>93439</v>
      </c>
      <c r="B1822" s="478" t="s">
        <v>388</v>
      </c>
      <c r="C1822" s="391" t="s">
        <v>279</v>
      </c>
      <c r="D1822" s="479">
        <v>269.14999999999998</v>
      </c>
      <c r="E1822" s="368"/>
      <c r="F1822" s="368"/>
    </row>
    <row r="1823" spans="1:6" ht="25.5" x14ac:dyDescent="0.2">
      <c r="A1823" s="391">
        <v>100648</v>
      </c>
      <c r="B1823" s="478" t="s">
        <v>554</v>
      </c>
      <c r="C1823" s="391" t="s">
        <v>419</v>
      </c>
      <c r="D1823" s="479">
        <v>603.03</v>
      </c>
      <c r="E1823" s="368"/>
      <c r="F1823" s="368"/>
    </row>
    <row r="1824" spans="1:6" ht="25.5" x14ac:dyDescent="0.2">
      <c r="A1824" s="391">
        <v>100647</v>
      </c>
      <c r="B1824" s="478" t="s">
        <v>414</v>
      </c>
      <c r="C1824" s="391" t="s">
        <v>279</v>
      </c>
      <c r="D1824" s="479">
        <v>6977.18</v>
      </c>
      <c r="E1824" s="368"/>
      <c r="F1824" s="368"/>
    </row>
    <row r="1825" spans="1:6" ht="25.5" x14ac:dyDescent="0.2">
      <c r="A1825" s="391">
        <v>5829</v>
      </c>
      <c r="B1825" s="478" t="s">
        <v>426</v>
      </c>
      <c r="C1825" s="391" t="s">
        <v>419</v>
      </c>
      <c r="D1825" s="479">
        <v>170.47</v>
      </c>
      <c r="E1825" s="368"/>
      <c r="F1825" s="368"/>
    </row>
    <row r="1826" spans="1:6" ht="25.5" x14ac:dyDescent="0.2">
      <c r="A1826" s="391">
        <v>5823</v>
      </c>
      <c r="B1826" s="478" t="s">
        <v>286</v>
      </c>
      <c r="C1826" s="391" t="s">
        <v>279</v>
      </c>
      <c r="D1826" s="479">
        <v>227.98</v>
      </c>
      <c r="E1826" s="368"/>
      <c r="F1826" s="368"/>
    </row>
    <row r="1827" spans="1:6" ht="38.25" x14ac:dyDescent="0.2">
      <c r="A1827" s="391">
        <v>5884</v>
      </c>
      <c r="B1827" s="478" t="s">
        <v>437</v>
      </c>
      <c r="C1827" s="391" t="s">
        <v>419</v>
      </c>
      <c r="D1827" s="479">
        <v>55.21</v>
      </c>
      <c r="E1827" s="368"/>
      <c r="F1827" s="368"/>
    </row>
    <row r="1828" spans="1:6" ht="38.25" x14ac:dyDescent="0.2">
      <c r="A1828" s="391">
        <v>5882</v>
      </c>
      <c r="B1828" s="478" t="s">
        <v>298</v>
      </c>
      <c r="C1828" s="391" t="s">
        <v>279</v>
      </c>
      <c r="D1828" s="479">
        <v>128.88999999999999</v>
      </c>
      <c r="E1828" s="368"/>
      <c r="F1828" s="368"/>
    </row>
    <row r="1829" spans="1:6" ht="25.5" x14ac:dyDescent="0.2">
      <c r="A1829" s="391">
        <v>100642</v>
      </c>
      <c r="B1829" s="478" t="s">
        <v>553</v>
      </c>
      <c r="C1829" s="391" t="s">
        <v>419</v>
      </c>
      <c r="D1829" s="479">
        <v>306.08</v>
      </c>
      <c r="E1829" s="368"/>
      <c r="F1829" s="368"/>
    </row>
    <row r="1830" spans="1:6" ht="25.5" x14ac:dyDescent="0.2">
      <c r="A1830" s="391">
        <v>100641</v>
      </c>
      <c r="B1830" s="478" t="s">
        <v>413</v>
      </c>
      <c r="C1830" s="391" t="s">
        <v>279</v>
      </c>
      <c r="D1830" s="479">
        <v>5124.6400000000003</v>
      </c>
      <c r="E1830" s="368"/>
      <c r="F1830" s="368"/>
    </row>
    <row r="1831" spans="1:6" ht="25.5" x14ac:dyDescent="0.2">
      <c r="A1831" s="391">
        <v>93434</v>
      </c>
      <c r="B1831" s="478" t="s">
        <v>527</v>
      </c>
      <c r="C1831" s="391" t="s">
        <v>419</v>
      </c>
      <c r="D1831" s="479">
        <v>343.78</v>
      </c>
      <c r="E1831" s="368"/>
      <c r="F1831" s="368"/>
    </row>
    <row r="1832" spans="1:6" ht="25.5" x14ac:dyDescent="0.2">
      <c r="A1832" s="391">
        <v>93433</v>
      </c>
      <c r="B1832" s="478" t="s">
        <v>387</v>
      </c>
      <c r="C1832" s="391" t="s">
        <v>279</v>
      </c>
      <c r="D1832" s="479">
        <v>2832.77</v>
      </c>
      <c r="E1832" s="368"/>
      <c r="F1832" s="368"/>
    </row>
    <row r="1833" spans="1:6" ht="25.5" x14ac:dyDescent="0.2">
      <c r="A1833" s="391">
        <v>95122</v>
      </c>
      <c r="B1833" s="478" t="s">
        <v>529</v>
      </c>
      <c r="C1833" s="391" t="s">
        <v>419</v>
      </c>
      <c r="D1833" s="479">
        <v>226.98</v>
      </c>
      <c r="E1833" s="368"/>
      <c r="F1833" s="368"/>
    </row>
    <row r="1834" spans="1:6" ht="25.5" x14ac:dyDescent="0.2">
      <c r="A1834" s="391">
        <v>95121</v>
      </c>
      <c r="B1834" s="478" t="s">
        <v>389</v>
      </c>
      <c r="C1834" s="391" t="s">
        <v>279</v>
      </c>
      <c r="D1834" s="479">
        <v>368.49</v>
      </c>
      <c r="E1834" s="368"/>
      <c r="F1834" s="368"/>
    </row>
    <row r="1835" spans="1:6" ht="25.5" x14ac:dyDescent="0.2">
      <c r="A1835" s="391">
        <v>103662</v>
      </c>
      <c r="B1835" s="478" t="s">
        <v>40848</v>
      </c>
      <c r="C1835" s="391" t="s">
        <v>419</v>
      </c>
      <c r="D1835" s="479">
        <v>0</v>
      </c>
      <c r="E1835" s="368"/>
      <c r="F1835" s="368"/>
    </row>
    <row r="1836" spans="1:6" ht="25.5" x14ac:dyDescent="0.2">
      <c r="A1836" s="391">
        <v>103661</v>
      </c>
      <c r="B1836" s="478" t="s">
        <v>40849</v>
      </c>
      <c r="C1836" s="391" t="s">
        <v>279</v>
      </c>
      <c r="D1836" s="479">
        <v>0</v>
      </c>
      <c r="E1836" s="368"/>
      <c r="F1836" s="368"/>
    </row>
    <row r="1837" spans="1:6" ht="25.5" x14ac:dyDescent="0.2">
      <c r="A1837" s="391">
        <v>5841</v>
      </c>
      <c r="B1837" s="478" t="s">
        <v>428</v>
      </c>
      <c r="C1837" s="391" t="s">
        <v>419</v>
      </c>
      <c r="D1837" s="479">
        <v>4.8499999999999996</v>
      </c>
      <c r="E1837" s="368"/>
      <c r="F1837" s="368"/>
    </row>
    <row r="1838" spans="1:6" ht="25.5" x14ac:dyDescent="0.2">
      <c r="A1838" s="391">
        <v>5839</v>
      </c>
      <c r="B1838" s="478" t="s">
        <v>289</v>
      </c>
      <c r="C1838" s="391" t="s">
        <v>279</v>
      </c>
      <c r="D1838" s="479">
        <v>9.65</v>
      </c>
      <c r="E1838" s="368"/>
      <c r="F1838" s="368"/>
    </row>
    <row r="1839" spans="1:6" ht="25.5" x14ac:dyDescent="0.2">
      <c r="A1839" s="391">
        <v>90587</v>
      </c>
      <c r="B1839" s="478" t="s">
        <v>481</v>
      </c>
      <c r="C1839" s="391" t="s">
        <v>419</v>
      </c>
      <c r="D1839" s="479">
        <v>0.54</v>
      </c>
      <c r="E1839" s="368"/>
      <c r="F1839" s="368"/>
    </row>
    <row r="1840" spans="1:6" ht="25.5" x14ac:dyDescent="0.2">
      <c r="A1840" s="391">
        <v>90586</v>
      </c>
      <c r="B1840" s="478" t="s">
        <v>343</v>
      </c>
      <c r="C1840" s="391" t="s">
        <v>279</v>
      </c>
      <c r="D1840" s="479">
        <v>1.35</v>
      </c>
      <c r="E1840" s="368"/>
      <c r="F1840" s="368"/>
    </row>
    <row r="1841" spans="1:6" ht="38.25" x14ac:dyDescent="0.2">
      <c r="A1841" s="391">
        <v>5837</v>
      </c>
      <c r="B1841" s="478" t="s">
        <v>427</v>
      </c>
      <c r="C1841" s="391" t="s">
        <v>419</v>
      </c>
      <c r="D1841" s="479">
        <v>140.16</v>
      </c>
      <c r="E1841" s="368"/>
      <c r="F1841" s="368"/>
    </row>
    <row r="1842" spans="1:6" ht="38.25" x14ac:dyDescent="0.2">
      <c r="A1842" s="391">
        <v>5835</v>
      </c>
      <c r="B1842" s="478" t="s">
        <v>288</v>
      </c>
      <c r="C1842" s="391" t="s">
        <v>279</v>
      </c>
      <c r="D1842" s="479">
        <v>369.45</v>
      </c>
      <c r="E1842" s="368"/>
      <c r="F1842" s="368"/>
    </row>
    <row r="1843" spans="1:6" ht="38.25" x14ac:dyDescent="0.2">
      <c r="A1843" s="391">
        <v>89257</v>
      </c>
      <c r="B1843" s="478" t="s">
        <v>337</v>
      </c>
      <c r="C1843" s="391" t="s">
        <v>279</v>
      </c>
      <c r="D1843" s="479">
        <v>320.08999999999997</v>
      </c>
      <c r="E1843" s="368"/>
      <c r="F1843" s="368"/>
    </row>
    <row r="1844" spans="1:6" ht="38.25" x14ac:dyDescent="0.2">
      <c r="A1844" s="391">
        <v>89258</v>
      </c>
      <c r="B1844" s="478" t="s">
        <v>476</v>
      </c>
      <c r="C1844" s="391" t="s">
        <v>419</v>
      </c>
      <c r="D1844" s="479">
        <v>119.66</v>
      </c>
      <c r="E1844" s="368"/>
      <c r="F1844" s="368"/>
    </row>
    <row r="1845" spans="1:6" ht="25.5" x14ac:dyDescent="0.2">
      <c r="A1845" s="391">
        <v>97621</v>
      </c>
      <c r="B1845" s="478" t="s">
        <v>5351</v>
      </c>
      <c r="C1845" s="391" t="s">
        <v>271</v>
      </c>
      <c r="D1845" s="479">
        <v>117.57</v>
      </c>
      <c r="E1845" s="368"/>
      <c r="F1845" s="368"/>
    </row>
    <row r="1846" spans="1:6" ht="25.5" x14ac:dyDescent="0.2">
      <c r="A1846" s="391">
        <v>97622</v>
      </c>
      <c r="B1846" s="478" t="s">
        <v>5352</v>
      </c>
      <c r="C1846" s="391" t="s">
        <v>271</v>
      </c>
      <c r="D1846" s="479">
        <v>57.3</v>
      </c>
      <c r="E1846" s="368"/>
      <c r="F1846" s="368"/>
    </row>
    <row r="1847" spans="1:6" ht="25.5" x14ac:dyDescent="0.2">
      <c r="A1847" s="391">
        <v>97623</v>
      </c>
      <c r="B1847" s="478" t="s">
        <v>5353</v>
      </c>
      <c r="C1847" s="391" t="s">
        <v>271</v>
      </c>
      <c r="D1847" s="479">
        <v>175.53</v>
      </c>
      <c r="E1847" s="368"/>
      <c r="F1847" s="368"/>
    </row>
    <row r="1848" spans="1:6" ht="25.5" x14ac:dyDescent="0.2">
      <c r="A1848" s="391">
        <v>97624</v>
      </c>
      <c r="B1848" s="478" t="s">
        <v>5354</v>
      </c>
      <c r="C1848" s="391" t="s">
        <v>271</v>
      </c>
      <c r="D1848" s="479">
        <v>107.73</v>
      </c>
      <c r="E1848" s="368"/>
      <c r="F1848" s="368"/>
    </row>
    <row r="1849" spans="1:6" ht="25.5" x14ac:dyDescent="0.2">
      <c r="A1849" s="391">
        <v>97625</v>
      </c>
      <c r="B1849" s="478" t="s">
        <v>5355</v>
      </c>
      <c r="C1849" s="391" t="s">
        <v>271</v>
      </c>
      <c r="D1849" s="479">
        <v>54.89</v>
      </c>
      <c r="E1849" s="368"/>
      <c r="F1849" s="368"/>
    </row>
    <row r="1850" spans="1:6" ht="25.5" x14ac:dyDescent="0.2">
      <c r="A1850" s="391">
        <v>104791</v>
      </c>
      <c r="B1850" s="478" t="s">
        <v>5397</v>
      </c>
      <c r="C1850" s="391" t="s">
        <v>255</v>
      </c>
      <c r="D1850" s="479">
        <v>6.25</v>
      </c>
      <c r="E1850" s="368"/>
      <c r="F1850" s="368"/>
    </row>
    <row r="1851" spans="1:6" ht="25.5" x14ac:dyDescent="0.2">
      <c r="A1851" s="391">
        <v>97631</v>
      </c>
      <c r="B1851" s="478" t="s">
        <v>5360</v>
      </c>
      <c r="C1851" s="391" t="s">
        <v>255</v>
      </c>
      <c r="D1851" s="479">
        <v>11.52</v>
      </c>
      <c r="E1851" s="368"/>
      <c r="F1851" s="368"/>
    </row>
    <row r="1852" spans="1:6" ht="38.25" x14ac:dyDescent="0.2">
      <c r="A1852" s="391">
        <v>97630</v>
      </c>
      <c r="B1852" s="478" t="s">
        <v>40850</v>
      </c>
      <c r="C1852" s="391" t="s">
        <v>271</v>
      </c>
      <c r="D1852" s="479">
        <v>0</v>
      </c>
      <c r="E1852" s="368"/>
      <c r="F1852" s="368"/>
    </row>
    <row r="1853" spans="1:6" ht="25.5" x14ac:dyDescent="0.2">
      <c r="A1853" s="391">
        <v>104796</v>
      </c>
      <c r="B1853" s="478" t="s">
        <v>5402</v>
      </c>
      <c r="C1853" s="391" t="s">
        <v>0</v>
      </c>
      <c r="D1853" s="479">
        <v>14.22</v>
      </c>
      <c r="E1853" s="368"/>
      <c r="F1853" s="368"/>
    </row>
    <row r="1854" spans="1:6" ht="25.5" x14ac:dyDescent="0.2">
      <c r="A1854" s="391">
        <v>97628</v>
      </c>
      <c r="B1854" s="478" t="s">
        <v>5358</v>
      </c>
      <c r="C1854" s="391" t="s">
        <v>271</v>
      </c>
      <c r="D1854" s="479">
        <v>268.20999999999998</v>
      </c>
      <c r="E1854" s="368"/>
      <c r="F1854" s="368"/>
    </row>
    <row r="1855" spans="1:6" ht="25.5" x14ac:dyDescent="0.2">
      <c r="A1855" s="391">
        <v>97629</v>
      </c>
      <c r="B1855" s="478" t="s">
        <v>5359</v>
      </c>
      <c r="C1855" s="391" t="s">
        <v>271</v>
      </c>
      <c r="D1855" s="479">
        <v>88.1</v>
      </c>
      <c r="E1855" s="368"/>
      <c r="F1855" s="368"/>
    </row>
    <row r="1856" spans="1:6" ht="25.5" x14ac:dyDescent="0.2">
      <c r="A1856" s="391">
        <v>97626</v>
      </c>
      <c r="B1856" s="478" t="s">
        <v>5356</v>
      </c>
      <c r="C1856" s="391" t="s">
        <v>271</v>
      </c>
      <c r="D1856" s="479">
        <v>575.89</v>
      </c>
      <c r="E1856" s="368"/>
      <c r="F1856" s="368"/>
    </row>
    <row r="1857" spans="1:6" ht="25.5" x14ac:dyDescent="0.2">
      <c r="A1857" s="391">
        <v>97627</v>
      </c>
      <c r="B1857" s="478" t="s">
        <v>5357</v>
      </c>
      <c r="C1857" s="391" t="s">
        <v>271</v>
      </c>
      <c r="D1857" s="479">
        <v>189.16</v>
      </c>
      <c r="E1857" s="368"/>
      <c r="F1857" s="368"/>
    </row>
    <row r="1858" spans="1:6" ht="25.5" x14ac:dyDescent="0.2">
      <c r="A1858" s="391">
        <v>104789</v>
      </c>
      <c r="B1858" s="478" t="s">
        <v>5395</v>
      </c>
      <c r="C1858" s="391" t="s">
        <v>271</v>
      </c>
      <c r="D1858" s="479">
        <v>201.67</v>
      </c>
      <c r="E1858" s="368"/>
      <c r="F1858" s="368"/>
    </row>
    <row r="1859" spans="1:6" ht="25.5" x14ac:dyDescent="0.2">
      <c r="A1859" s="391">
        <v>104790</v>
      </c>
      <c r="B1859" s="478" t="s">
        <v>5396</v>
      </c>
      <c r="C1859" s="391" t="s">
        <v>271</v>
      </c>
      <c r="D1859" s="479">
        <v>113</v>
      </c>
      <c r="E1859" s="368"/>
      <c r="F1859" s="368"/>
    </row>
    <row r="1860" spans="1:6" ht="25.5" x14ac:dyDescent="0.2">
      <c r="A1860" s="391">
        <v>97633</v>
      </c>
      <c r="B1860" s="478" t="s">
        <v>5362</v>
      </c>
      <c r="C1860" s="391" t="s">
        <v>255</v>
      </c>
      <c r="D1860" s="479">
        <v>23.01</v>
      </c>
      <c r="E1860" s="368"/>
      <c r="F1860" s="368"/>
    </row>
    <row r="1861" spans="1:6" ht="25.5" x14ac:dyDescent="0.2">
      <c r="A1861" s="391">
        <v>97634</v>
      </c>
      <c r="B1861" s="478" t="s">
        <v>5363</v>
      </c>
      <c r="C1861" s="391" t="s">
        <v>255</v>
      </c>
      <c r="D1861" s="479">
        <v>6.98</v>
      </c>
      <c r="E1861" s="368"/>
      <c r="F1861" s="368"/>
    </row>
    <row r="1862" spans="1:6" ht="25.5" x14ac:dyDescent="0.2">
      <c r="A1862" s="391">
        <v>97632</v>
      </c>
      <c r="B1862" s="478" t="s">
        <v>5361</v>
      </c>
      <c r="C1862" s="391" t="s">
        <v>0</v>
      </c>
      <c r="D1862" s="479">
        <v>2.63</v>
      </c>
      <c r="E1862" s="368"/>
      <c r="F1862" s="368"/>
    </row>
    <row r="1863" spans="1:6" ht="25.5" x14ac:dyDescent="0.2">
      <c r="A1863" s="391">
        <v>97636</v>
      </c>
      <c r="B1863" s="478" t="s">
        <v>5365</v>
      </c>
      <c r="C1863" s="391" t="s">
        <v>255</v>
      </c>
      <c r="D1863" s="479">
        <v>22.49</v>
      </c>
      <c r="E1863" s="368"/>
      <c r="F1863" s="368"/>
    </row>
    <row r="1864" spans="1:6" ht="25.5" x14ac:dyDescent="0.2">
      <c r="A1864" s="391">
        <v>104797</v>
      </c>
      <c r="B1864" s="478" t="s">
        <v>5403</v>
      </c>
      <c r="C1864" s="391" t="s">
        <v>0</v>
      </c>
      <c r="D1864" s="479">
        <v>17.78</v>
      </c>
      <c r="E1864" s="368"/>
      <c r="F1864" s="368"/>
    </row>
    <row r="1865" spans="1:6" ht="25.5" x14ac:dyDescent="0.2">
      <c r="A1865" s="391">
        <v>104803</v>
      </c>
      <c r="B1865" s="478" t="s">
        <v>5409</v>
      </c>
      <c r="C1865" s="391" t="s">
        <v>0</v>
      </c>
      <c r="D1865" s="479">
        <v>4.59</v>
      </c>
      <c r="E1865" s="368"/>
      <c r="F1865" s="368"/>
    </row>
    <row r="1866" spans="1:6" ht="25.5" x14ac:dyDescent="0.2">
      <c r="A1866" s="391">
        <v>97664</v>
      </c>
      <c r="B1866" s="478" t="s">
        <v>5392</v>
      </c>
      <c r="C1866" s="391" t="s">
        <v>26</v>
      </c>
      <c r="D1866" s="479">
        <v>1.58</v>
      </c>
      <c r="E1866" s="368"/>
      <c r="F1866" s="368"/>
    </row>
    <row r="1867" spans="1:6" ht="38.25" x14ac:dyDescent="0.2">
      <c r="A1867" s="391">
        <v>104801</v>
      </c>
      <c r="B1867" s="478" t="s">
        <v>5407</v>
      </c>
      <c r="C1867" s="391" t="s">
        <v>255</v>
      </c>
      <c r="D1867" s="479">
        <v>14.18</v>
      </c>
      <c r="E1867" s="368"/>
      <c r="F1867" s="368"/>
    </row>
    <row r="1868" spans="1:6" ht="25.5" x14ac:dyDescent="0.2">
      <c r="A1868" s="391">
        <v>97661</v>
      </c>
      <c r="B1868" s="478" t="s">
        <v>5389</v>
      </c>
      <c r="C1868" s="391" t="s">
        <v>0</v>
      </c>
      <c r="D1868" s="479">
        <v>0.72</v>
      </c>
      <c r="E1868" s="368"/>
      <c r="F1868" s="368"/>
    </row>
    <row r="1869" spans="1:6" ht="25.5" x14ac:dyDescent="0.2">
      <c r="A1869" s="391">
        <v>104794</v>
      </c>
      <c r="B1869" s="478" t="s">
        <v>5400</v>
      </c>
      <c r="C1869" s="391" t="s">
        <v>0</v>
      </c>
      <c r="D1869" s="479">
        <v>0.97</v>
      </c>
      <c r="E1869" s="368"/>
      <c r="F1869" s="368"/>
    </row>
    <row r="1870" spans="1:6" ht="25.5" x14ac:dyDescent="0.2">
      <c r="A1870" s="391">
        <v>104795</v>
      </c>
      <c r="B1870" s="478" t="s">
        <v>5401</v>
      </c>
      <c r="C1870" s="391" t="s">
        <v>0</v>
      </c>
      <c r="D1870" s="479">
        <v>1.36</v>
      </c>
      <c r="E1870" s="368"/>
      <c r="F1870" s="368"/>
    </row>
    <row r="1871" spans="1:6" ht="25.5" x14ac:dyDescent="0.2">
      <c r="A1871" s="391">
        <v>104792</v>
      </c>
      <c r="B1871" s="478" t="s">
        <v>5398</v>
      </c>
      <c r="C1871" s="391" t="s">
        <v>0</v>
      </c>
      <c r="D1871" s="479">
        <v>0.39</v>
      </c>
      <c r="E1871" s="368"/>
      <c r="F1871" s="368"/>
    </row>
    <row r="1872" spans="1:6" ht="25.5" x14ac:dyDescent="0.2">
      <c r="A1872" s="391">
        <v>104793</v>
      </c>
      <c r="B1872" s="478" t="s">
        <v>5399</v>
      </c>
      <c r="C1872" s="391" t="s">
        <v>0</v>
      </c>
      <c r="D1872" s="479">
        <v>0.54</v>
      </c>
      <c r="E1872" s="368"/>
      <c r="F1872" s="368"/>
    </row>
    <row r="1873" spans="1:6" ht="25.5" x14ac:dyDescent="0.2">
      <c r="A1873" s="391">
        <v>104800</v>
      </c>
      <c r="B1873" s="478" t="s">
        <v>5406</v>
      </c>
      <c r="C1873" s="391" t="s">
        <v>0</v>
      </c>
      <c r="D1873" s="479">
        <v>9.33</v>
      </c>
      <c r="E1873" s="368"/>
      <c r="F1873" s="368"/>
    </row>
    <row r="1874" spans="1:6" ht="25.5" x14ac:dyDescent="0.2">
      <c r="A1874" s="391">
        <v>97638</v>
      </c>
      <c r="B1874" s="478" t="s">
        <v>5367</v>
      </c>
      <c r="C1874" s="391" t="s">
        <v>255</v>
      </c>
      <c r="D1874" s="479">
        <v>8.3000000000000007</v>
      </c>
      <c r="E1874" s="368"/>
      <c r="F1874" s="368"/>
    </row>
    <row r="1875" spans="1:6" ht="25.5" x14ac:dyDescent="0.2">
      <c r="A1875" s="391">
        <v>97641</v>
      </c>
      <c r="B1875" s="478" t="s">
        <v>5370</v>
      </c>
      <c r="C1875" s="391" t="s">
        <v>255</v>
      </c>
      <c r="D1875" s="479">
        <v>2.96</v>
      </c>
      <c r="E1875" s="368"/>
      <c r="F1875" s="368"/>
    </row>
    <row r="1876" spans="1:6" ht="25.5" x14ac:dyDescent="0.2">
      <c r="A1876" s="391">
        <v>97640</v>
      </c>
      <c r="B1876" s="478" t="s">
        <v>5369</v>
      </c>
      <c r="C1876" s="391" t="s">
        <v>255</v>
      </c>
      <c r="D1876" s="479">
        <v>1.93</v>
      </c>
      <c r="E1876" s="368"/>
      <c r="F1876" s="368"/>
    </row>
    <row r="1877" spans="1:6" ht="25.5" x14ac:dyDescent="0.2">
      <c r="A1877" s="391">
        <v>97660</v>
      </c>
      <c r="B1877" s="478" t="s">
        <v>5388</v>
      </c>
      <c r="C1877" s="391" t="s">
        <v>26</v>
      </c>
      <c r="D1877" s="479">
        <v>0.66</v>
      </c>
      <c r="E1877" s="368"/>
      <c r="F1877" s="368"/>
    </row>
    <row r="1878" spans="1:6" ht="25.5" x14ac:dyDescent="0.2">
      <c r="A1878" s="391">
        <v>97645</v>
      </c>
      <c r="B1878" s="478" t="s">
        <v>5374</v>
      </c>
      <c r="C1878" s="391" t="s">
        <v>255</v>
      </c>
      <c r="D1878" s="479">
        <v>24.83</v>
      </c>
      <c r="E1878" s="368"/>
      <c r="F1878" s="368"/>
    </row>
    <row r="1879" spans="1:6" ht="25.5" x14ac:dyDescent="0.2">
      <c r="A1879" s="391">
        <v>97663</v>
      </c>
      <c r="B1879" s="478" t="s">
        <v>5391</v>
      </c>
      <c r="C1879" s="391" t="s">
        <v>26</v>
      </c>
      <c r="D1879" s="479">
        <v>12.7</v>
      </c>
      <c r="E1879" s="368"/>
      <c r="F1879" s="368"/>
    </row>
    <row r="1880" spans="1:6" ht="25.5" x14ac:dyDescent="0.2">
      <c r="A1880" s="391">
        <v>97665</v>
      </c>
      <c r="B1880" s="478" t="s">
        <v>5393</v>
      </c>
      <c r="C1880" s="391" t="s">
        <v>26</v>
      </c>
      <c r="D1880" s="479">
        <v>1.81</v>
      </c>
      <c r="E1880" s="368"/>
      <c r="F1880" s="368"/>
    </row>
    <row r="1881" spans="1:6" ht="25.5" x14ac:dyDescent="0.2">
      <c r="A1881" s="391">
        <v>97666</v>
      </c>
      <c r="B1881" s="478" t="s">
        <v>5394</v>
      </c>
      <c r="C1881" s="391" t="s">
        <v>26</v>
      </c>
      <c r="D1881" s="479">
        <v>9.26</v>
      </c>
      <c r="E1881" s="368"/>
      <c r="F1881" s="368"/>
    </row>
    <row r="1882" spans="1:6" ht="25.5" x14ac:dyDescent="0.2">
      <c r="A1882" s="391">
        <v>97635</v>
      </c>
      <c r="B1882" s="478" t="s">
        <v>5364</v>
      </c>
      <c r="C1882" s="391" t="s">
        <v>255</v>
      </c>
      <c r="D1882" s="479">
        <v>17.489999999999998</v>
      </c>
      <c r="E1882" s="368"/>
      <c r="F1882" s="368"/>
    </row>
    <row r="1883" spans="1:6" ht="25.5" x14ac:dyDescent="0.2">
      <c r="A1883" s="391">
        <v>97643</v>
      </c>
      <c r="B1883" s="478" t="s">
        <v>5372</v>
      </c>
      <c r="C1883" s="391" t="s">
        <v>255</v>
      </c>
      <c r="D1883" s="479">
        <v>25.45</v>
      </c>
      <c r="E1883" s="368"/>
      <c r="F1883" s="368"/>
    </row>
    <row r="1884" spans="1:6" ht="25.5" x14ac:dyDescent="0.2">
      <c r="A1884" s="391">
        <v>104799</v>
      </c>
      <c r="B1884" s="478" t="s">
        <v>5405</v>
      </c>
      <c r="C1884" s="391" t="s">
        <v>255</v>
      </c>
      <c r="D1884" s="479">
        <v>10.72</v>
      </c>
      <c r="E1884" s="368"/>
      <c r="F1884" s="368"/>
    </row>
    <row r="1885" spans="1:6" ht="25.5" x14ac:dyDescent="0.2">
      <c r="A1885" s="391">
        <v>97639</v>
      </c>
      <c r="B1885" s="478" t="s">
        <v>5368</v>
      </c>
      <c r="C1885" s="391" t="s">
        <v>255</v>
      </c>
      <c r="D1885" s="479">
        <v>20.76</v>
      </c>
      <c r="E1885" s="368"/>
      <c r="F1885" s="368"/>
    </row>
    <row r="1886" spans="1:6" ht="25.5" x14ac:dyDescent="0.2">
      <c r="A1886" s="391">
        <v>97644</v>
      </c>
      <c r="B1886" s="478" t="s">
        <v>5373</v>
      </c>
      <c r="C1886" s="391" t="s">
        <v>255</v>
      </c>
      <c r="D1886" s="479">
        <v>9.61</v>
      </c>
      <c r="E1886" s="368"/>
      <c r="F1886" s="368"/>
    </row>
    <row r="1887" spans="1:6" ht="25.5" x14ac:dyDescent="0.2">
      <c r="A1887" s="391">
        <v>97648</v>
      </c>
      <c r="B1887" s="478" t="s">
        <v>5376</v>
      </c>
      <c r="C1887" s="391" t="s">
        <v>255</v>
      </c>
      <c r="D1887" s="479">
        <v>2.0499999999999998</v>
      </c>
      <c r="E1887" s="368"/>
      <c r="F1887" s="368"/>
    </row>
    <row r="1888" spans="1:6" ht="38.25" x14ac:dyDescent="0.2">
      <c r="A1888" s="391">
        <v>104798</v>
      </c>
      <c r="B1888" s="478" t="s">
        <v>5404</v>
      </c>
      <c r="C1888" s="391" t="s">
        <v>26</v>
      </c>
      <c r="D1888" s="479">
        <v>13.66</v>
      </c>
      <c r="E1888" s="368"/>
      <c r="F1888" s="368"/>
    </row>
    <row r="1889" spans="1:6" ht="25.5" x14ac:dyDescent="0.2">
      <c r="A1889" s="391">
        <v>97637</v>
      </c>
      <c r="B1889" s="478" t="s">
        <v>5366</v>
      </c>
      <c r="C1889" s="391" t="s">
        <v>255</v>
      </c>
      <c r="D1889" s="479">
        <v>2.85</v>
      </c>
      <c r="E1889" s="368"/>
      <c r="F1889" s="368"/>
    </row>
    <row r="1890" spans="1:6" ht="38.25" x14ac:dyDescent="0.2">
      <c r="A1890" s="391">
        <v>104802</v>
      </c>
      <c r="B1890" s="478" t="s">
        <v>5408</v>
      </c>
      <c r="C1890" s="391" t="s">
        <v>255</v>
      </c>
      <c r="D1890" s="479">
        <v>9.44</v>
      </c>
      <c r="E1890" s="368"/>
      <c r="F1890" s="368"/>
    </row>
    <row r="1891" spans="1:6" ht="25.5" x14ac:dyDescent="0.2">
      <c r="A1891" s="391">
        <v>97647</v>
      </c>
      <c r="B1891" s="478" t="s">
        <v>5375</v>
      </c>
      <c r="C1891" s="391" t="s">
        <v>255</v>
      </c>
      <c r="D1891" s="479">
        <v>3.57</v>
      </c>
      <c r="E1891" s="368"/>
      <c r="F1891" s="368"/>
    </row>
    <row r="1892" spans="1:6" ht="25.5" x14ac:dyDescent="0.2">
      <c r="A1892" s="391">
        <v>97649</v>
      </c>
      <c r="B1892" s="478" t="s">
        <v>5377</v>
      </c>
      <c r="C1892" s="391" t="s">
        <v>255</v>
      </c>
      <c r="D1892" s="479">
        <v>4.57</v>
      </c>
      <c r="E1892" s="368"/>
      <c r="F1892" s="368"/>
    </row>
    <row r="1893" spans="1:6" ht="25.5" x14ac:dyDescent="0.2">
      <c r="A1893" s="391">
        <v>97652</v>
      </c>
      <c r="B1893" s="478" t="s">
        <v>5380</v>
      </c>
      <c r="C1893" s="391" t="s">
        <v>26</v>
      </c>
      <c r="D1893" s="479">
        <v>190.61</v>
      </c>
      <c r="E1893" s="368"/>
      <c r="F1893" s="368"/>
    </row>
    <row r="1894" spans="1:6" ht="25.5" x14ac:dyDescent="0.2">
      <c r="A1894" s="391">
        <v>97654</v>
      </c>
      <c r="B1894" s="478" t="s">
        <v>5382</v>
      </c>
      <c r="C1894" s="391" t="s">
        <v>26</v>
      </c>
      <c r="D1894" s="479">
        <v>183.26</v>
      </c>
      <c r="E1894" s="368"/>
      <c r="F1894" s="368"/>
    </row>
    <row r="1895" spans="1:6" ht="25.5" x14ac:dyDescent="0.2">
      <c r="A1895" s="391">
        <v>97651</v>
      </c>
      <c r="B1895" s="478" t="s">
        <v>5379</v>
      </c>
      <c r="C1895" s="391" t="s">
        <v>26</v>
      </c>
      <c r="D1895" s="479">
        <v>84.08</v>
      </c>
      <c r="E1895" s="368"/>
      <c r="F1895" s="368"/>
    </row>
    <row r="1896" spans="1:6" ht="25.5" x14ac:dyDescent="0.2">
      <c r="A1896" s="391">
        <v>97653</v>
      </c>
      <c r="B1896" s="478" t="s">
        <v>5381</v>
      </c>
      <c r="C1896" s="391" t="s">
        <v>26</v>
      </c>
      <c r="D1896" s="479">
        <v>148.38999999999999</v>
      </c>
      <c r="E1896" s="368"/>
      <c r="F1896" s="368"/>
    </row>
    <row r="1897" spans="1:6" ht="25.5" x14ac:dyDescent="0.2">
      <c r="A1897" s="391">
        <v>97657</v>
      </c>
      <c r="B1897" s="478" t="s">
        <v>5385</v>
      </c>
      <c r="C1897" s="391" t="s">
        <v>26</v>
      </c>
      <c r="D1897" s="479">
        <v>638.58000000000004</v>
      </c>
      <c r="E1897" s="368"/>
      <c r="F1897" s="368"/>
    </row>
    <row r="1898" spans="1:6" ht="25.5" x14ac:dyDescent="0.2">
      <c r="A1898" s="391">
        <v>97659</v>
      </c>
      <c r="B1898" s="478" t="s">
        <v>5387</v>
      </c>
      <c r="C1898" s="391" t="s">
        <v>26</v>
      </c>
      <c r="D1898" s="479">
        <v>306.97000000000003</v>
      </c>
      <c r="E1898" s="368"/>
      <c r="F1898" s="368"/>
    </row>
    <row r="1899" spans="1:6" ht="25.5" x14ac:dyDescent="0.2">
      <c r="A1899" s="391">
        <v>97656</v>
      </c>
      <c r="B1899" s="478" t="s">
        <v>5384</v>
      </c>
      <c r="C1899" s="391" t="s">
        <v>26</v>
      </c>
      <c r="D1899" s="479">
        <v>322.17</v>
      </c>
      <c r="E1899" s="368"/>
      <c r="F1899" s="368"/>
    </row>
    <row r="1900" spans="1:6" ht="25.5" x14ac:dyDescent="0.2">
      <c r="A1900" s="391">
        <v>97658</v>
      </c>
      <c r="B1900" s="478" t="s">
        <v>5386</v>
      </c>
      <c r="C1900" s="391" t="s">
        <v>26</v>
      </c>
      <c r="D1900" s="479">
        <v>223.94</v>
      </c>
      <c r="E1900" s="368"/>
      <c r="F1900" s="368"/>
    </row>
    <row r="1901" spans="1:6" ht="25.5" x14ac:dyDescent="0.2">
      <c r="A1901" s="391">
        <v>97650</v>
      </c>
      <c r="B1901" s="478" t="s">
        <v>5378</v>
      </c>
      <c r="C1901" s="391" t="s">
        <v>255</v>
      </c>
      <c r="D1901" s="479">
        <v>7.71</v>
      </c>
      <c r="E1901" s="368"/>
      <c r="F1901" s="368"/>
    </row>
    <row r="1902" spans="1:6" ht="25.5" x14ac:dyDescent="0.2">
      <c r="A1902" s="391">
        <v>97642</v>
      </c>
      <c r="B1902" s="478" t="s">
        <v>5371</v>
      </c>
      <c r="C1902" s="391" t="s">
        <v>255</v>
      </c>
      <c r="D1902" s="479">
        <v>2.77</v>
      </c>
      <c r="E1902" s="368"/>
      <c r="F1902" s="368"/>
    </row>
    <row r="1903" spans="1:6" ht="25.5" x14ac:dyDescent="0.2">
      <c r="A1903" s="391">
        <v>97655</v>
      </c>
      <c r="B1903" s="478" t="s">
        <v>5383</v>
      </c>
      <c r="C1903" s="391" t="s">
        <v>255</v>
      </c>
      <c r="D1903" s="479">
        <v>35.11</v>
      </c>
      <c r="E1903" s="368"/>
      <c r="F1903" s="368"/>
    </row>
    <row r="1904" spans="1:6" ht="25.5" x14ac:dyDescent="0.2">
      <c r="A1904" s="391">
        <v>97662</v>
      </c>
      <c r="B1904" s="478" t="s">
        <v>5390</v>
      </c>
      <c r="C1904" s="391" t="s">
        <v>0</v>
      </c>
      <c r="D1904" s="479">
        <v>0.51</v>
      </c>
      <c r="E1904" s="368"/>
      <c r="F1904" s="368"/>
    </row>
    <row r="1905" spans="1:6" ht="25.5" x14ac:dyDescent="0.2">
      <c r="A1905" s="391">
        <v>97646</v>
      </c>
      <c r="B1905" s="478" t="s">
        <v>40851</v>
      </c>
      <c r="C1905" s="391" t="s">
        <v>255</v>
      </c>
      <c r="D1905" s="479">
        <v>0</v>
      </c>
      <c r="E1905" s="368"/>
      <c r="F1905" s="368"/>
    </row>
    <row r="1906" spans="1:6" ht="25.5" x14ac:dyDescent="0.2">
      <c r="A1906" s="391">
        <v>92712</v>
      </c>
      <c r="B1906" s="478" t="s">
        <v>949</v>
      </c>
      <c r="C1906" s="391" t="s">
        <v>558</v>
      </c>
      <c r="D1906" s="479">
        <v>0.23</v>
      </c>
      <c r="E1906" s="368"/>
      <c r="F1906" s="368"/>
    </row>
    <row r="1907" spans="1:6" ht="25.5" x14ac:dyDescent="0.2">
      <c r="A1907" s="391">
        <v>92713</v>
      </c>
      <c r="B1907" s="478" t="s">
        <v>950</v>
      </c>
      <c r="C1907" s="391" t="s">
        <v>558</v>
      </c>
      <c r="D1907" s="479">
        <v>0.05</v>
      </c>
      <c r="E1907" s="368"/>
      <c r="F1907" s="368"/>
    </row>
    <row r="1908" spans="1:6" ht="25.5" x14ac:dyDescent="0.2">
      <c r="A1908" s="391">
        <v>92714</v>
      </c>
      <c r="B1908" s="478" t="s">
        <v>951</v>
      </c>
      <c r="C1908" s="391" t="s">
        <v>558</v>
      </c>
      <c r="D1908" s="479">
        <v>0.28000000000000003</v>
      </c>
      <c r="E1908" s="368"/>
      <c r="F1908" s="368"/>
    </row>
    <row r="1909" spans="1:6" ht="25.5" x14ac:dyDescent="0.2">
      <c r="A1909" s="391">
        <v>92715</v>
      </c>
      <c r="B1909" s="478" t="s">
        <v>952</v>
      </c>
      <c r="C1909" s="391" t="s">
        <v>558</v>
      </c>
      <c r="D1909" s="479">
        <v>94.25</v>
      </c>
      <c r="E1909" s="368"/>
      <c r="F1909" s="368"/>
    </row>
    <row r="1910" spans="1:6" ht="38.25" x14ac:dyDescent="0.2">
      <c r="A1910" s="391">
        <v>103663</v>
      </c>
      <c r="B1910" s="478" t="s">
        <v>40852</v>
      </c>
      <c r="C1910" s="391" t="s">
        <v>558</v>
      </c>
      <c r="D1910" s="479">
        <v>0</v>
      </c>
      <c r="E1910" s="368"/>
      <c r="F1910" s="368"/>
    </row>
    <row r="1911" spans="1:6" ht="38.25" x14ac:dyDescent="0.2">
      <c r="A1911" s="391">
        <v>104390</v>
      </c>
      <c r="B1911" s="478" t="s">
        <v>40853</v>
      </c>
      <c r="C1911" s="391" t="s">
        <v>558</v>
      </c>
      <c r="D1911" s="479">
        <v>0</v>
      </c>
      <c r="E1911" s="368"/>
      <c r="F1911" s="368"/>
    </row>
    <row r="1912" spans="1:6" ht="38.25" x14ac:dyDescent="0.2">
      <c r="A1912" s="391">
        <v>103664</v>
      </c>
      <c r="B1912" s="478" t="s">
        <v>40854</v>
      </c>
      <c r="C1912" s="391" t="s">
        <v>558</v>
      </c>
      <c r="D1912" s="479">
        <v>0</v>
      </c>
      <c r="E1912" s="368"/>
      <c r="F1912" s="368"/>
    </row>
    <row r="1913" spans="1:6" ht="38.25" x14ac:dyDescent="0.2">
      <c r="A1913" s="391">
        <v>104451</v>
      </c>
      <c r="B1913" s="478" t="s">
        <v>40855</v>
      </c>
      <c r="C1913" s="391" t="s">
        <v>558</v>
      </c>
      <c r="D1913" s="479">
        <v>0</v>
      </c>
      <c r="E1913" s="368"/>
      <c r="F1913" s="368"/>
    </row>
    <row r="1914" spans="1:6" ht="38.25" x14ac:dyDescent="0.2">
      <c r="A1914" s="391">
        <v>103666</v>
      </c>
      <c r="B1914" s="478" t="s">
        <v>1144</v>
      </c>
      <c r="C1914" s="391" t="s">
        <v>558</v>
      </c>
      <c r="D1914" s="479">
        <v>143.79</v>
      </c>
      <c r="E1914" s="368"/>
      <c r="F1914" s="368"/>
    </row>
    <row r="1915" spans="1:6" ht="25.5" x14ac:dyDescent="0.2">
      <c r="A1915" s="391">
        <v>89212</v>
      </c>
      <c r="B1915" s="478" t="s">
        <v>736</v>
      </c>
      <c r="C1915" s="391" t="s">
        <v>558</v>
      </c>
      <c r="D1915" s="479">
        <v>29.76</v>
      </c>
      <c r="E1915" s="368"/>
      <c r="F1915" s="368"/>
    </row>
    <row r="1916" spans="1:6" ht="25.5" x14ac:dyDescent="0.2">
      <c r="A1916" s="391">
        <v>89213</v>
      </c>
      <c r="B1916" s="478" t="s">
        <v>737</v>
      </c>
      <c r="C1916" s="391" t="s">
        <v>558</v>
      </c>
      <c r="D1916" s="479">
        <v>9.18</v>
      </c>
      <c r="E1916" s="368"/>
      <c r="F1916" s="368"/>
    </row>
    <row r="1917" spans="1:6" ht="25.5" x14ac:dyDescent="0.2">
      <c r="A1917" s="391">
        <v>89214</v>
      </c>
      <c r="B1917" s="478" t="s">
        <v>738</v>
      </c>
      <c r="C1917" s="391" t="s">
        <v>558</v>
      </c>
      <c r="D1917" s="479">
        <v>27.94</v>
      </c>
      <c r="E1917" s="368"/>
      <c r="F1917" s="368"/>
    </row>
    <row r="1918" spans="1:6" ht="25.5" x14ac:dyDescent="0.2">
      <c r="A1918" s="391">
        <v>89215</v>
      </c>
      <c r="B1918" s="478" t="s">
        <v>739</v>
      </c>
      <c r="C1918" s="391" t="s">
        <v>558</v>
      </c>
      <c r="D1918" s="479">
        <v>98.39</v>
      </c>
      <c r="E1918" s="368"/>
      <c r="F1918" s="368"/>
    </row>
    <row r="1919" spans="1:6" ht="38.25" x14ac:dyDescent="0.2">
      <c r="A1919" s="391">
        <v>87441</v>
      </c>
      <c r="B1919" s="478" t="s">
        <v>662</v>
      </c>
      <c r="C1919" s="391" t="s">
        <v>558</v>
      </c>
      <c r="D1919" s="479">
        <v>0.43</v>
      </c>
      <c r="E1919" s="368"/>
      <c r="F1919" s="368"/>
    </row>
    <row r="1920" spans="1:6" ht="25.5" x14ac:dyDescent="0.2">
      <c r="A1920" s="391">
        <v>87442</v>
      </c>
      <c r="B1920" s="478" t="s">
        <v>663</v>
      </c>
      <c r="C1920" s="391" t="s">
        <v>558</v>
      </c>
      <c r="D1920" s="479">
        <v>0.1</v>
      </c>
      <c r="E1920" s="368"/>
      <c r="F1920" s="368"/>
    </row>
    <row r="1921" spans="1:6" ht="38.25" x14ac:dyDescent="0.2">
      <c r="A1921" s="391">
        <v>87443</v>
      </c>
      <c r="B1921" s="478" t="s">
        <v>664</v>
      </c>
      <c r="C1921" s="391" t="s">
        <v>558</v>
      </c>
      <c r="D1921" s="479">
        <v>0.54</v>
      </c>
      <c r="E1921" s="368"/>
      <c r="F1921" s="368"/>
    </row>
    <row r="1922" spans="1:6" ht="38.25" x14ac:dyDescent="0.2">
      <c r="A1922" s="391">
        <v>87444</v>
      </c>
      <c r="B1922" s="478" t="s">
        <v>665</v>
      </c>
      <c r="C1922" s="391" t="s">
        <v>558</v>
      </c>
      <c r="D1922" s="479">
        <v>4.43</v>
      </c>
      <c r="E1922" s="368"/>
      <c r="F1922" s="368"/>
    </row>
    <row r="1923" spans="1:6" ht="38.25" x14ac:dyDescent="0.2">
      <c r="A1923" s="391">
        <v>93229</v>
      </c>
      <c r="B1923" s="478" t="s">
        <v>964</v>
      </c>
      <c r="C1923" s="391" t="s">
        <v>558</v>
      </c>
      <c r="D1923" s="479">
        <v>0.39</v>
      </c>
      <c r="E1923" s="368"/>
      <c r="F1923" s="368"/>
    </row>
    <row r="1924" spans="1:6" ht="25.5" x14ac:dyDescent="0.2">
      <c r="A1924" s="391">
        <v>93230</v>
      </c>
      <c r="B1924" s="478" t="s">
        <v>965</v>
      </c>
      <c r="C1924" s="391" t="s">
        <v>558</v>
      </c>
      <c r="D1924" s="479">
        <v>0.09</v>
      </c>
      <c r="E1924" s="368"/>
      <c r="F1924" s="368"/>
    </row>
    <row r="1925" spans="1:6" ht="38.25" x14ac:dyDescent="0.2">
      <c r="A1925" s="391">
        <v>93231</v>
      </c>
      <c r="B1925" s="478" t="s">
        <v>966</v>
      </c>
      <c r="C1925" s="391" t="s">
        <v>558</v>
      </c>
      <c r="D1925" s="479">
        <v>0.49</v>
      </c>
      <c r="E1925" s="368"/>
      <c r="F1925" s="368"/>
    </row>
    <row r="1926" spans="1:6" ht="38.25" x14ac:dyDescent="0.2">
      <c r="A1926" s="391">
        <v>93232</v>
      </c>
      <c r="B1926" s="478" t="s">
        <v>967</v>
      </c>
      <c r="C1926" s="391" t="s">
        <v>558</v>
      </c>
      <c r="D1926" s="479">
        <v>4.92</v>
      </c>
      <c r="E1926" s="368"/>
      <c r="F1926" s="368"/>
    </row>
    <row r="1927" spans="1:6" ht="25.5" x14ac:dyDescent="0.2">
      <c r="A1927" s="391">
        <v>102948</v>
      </c>
      <c r="B1927" s="478" t="s">
        <v>40856</v>
      </c>
      <c r="C1927" s="391" t="s">
        <v>558</v>
      </c>
      <c r="D1927" s="479">
        <v>0</v>
      </c>
      <c r="E1927" s="368"/>
      <c r="F1927" s="368"/>
    </row>
    <row r="1928" spans="1:6" ht="25.5" x14ac:dyDescent="0.2">
      <c r="A1928" s="391">
        <v>102949</v>
      </c>
      <c r="B1928" s="478" t="s">
        <v>40857</v>
      </c>
      <c r="C1928" s="391" t="s">
        <v>558</v>
      </c>
      <c r="D1928" s="479">
        <v>0</v>
      </c>
      <c r="E1928" s="368"/>
      <c r="F1928" s="368"/>
    </row>
    <row r="1929" spans="1:6" ht="25.5" x14ac:dyDescent="0.2">
      <c r="A1929" s="391">
        <v>102950</v>
      </c>
      <c r="B1929" s="478" t="s">
        <v>40858</v>
      </c>
      <c r="C1929" s="391" t="s">
        <v>558</v>
      </c>
      <c r="D1929" s="479">
        <v>0</v>
      </c>
      <c r="E1929" s="368"/>
      <c r="F1929" s="368"/>
    </row>
    <row r="1930" spans="1:6" ht="38.25" x14ac:dyDescent="0.2">
      <c r="A1930" s="391">
        <v>102951</v>
      </c>
      <c r="B1930" s="478" t="s">
        <v>1130</v>
      </c>
      <c r="C1930" s="391" t="s">
        <v>558</v>
      </c>
      <c r="D1930" s="479">
        <v>0.56999999999999995</v>
      </c>
      <c r="E1930" s="368"/>
      <c r="F1930" s="368"/>
    </row>
    <row r="1931" spans="1:6" ht="38.25" x14ac:dyDescent="0.2">
      <c r="A1931" s="391">
        <v>88826</v>
      </c>
      <c r="B1931" s="478" t="s">
        <v>688</v>
      </c>
      <c r="C1931" s="391" t="s">
        <v>558</v>
      </c>
      <c r="D1931" s="479">
        <v>0.31</v>
      </c>
      <c r="E1931" s="368"/>
      <c r="F1931" s="368"/>
    </row>
    <row r="1932" spans="1:6" ht="38.25" x14ac:dyDescent="0.2">
      <c r="A1932" s="391">
        <v>88827</v>
      </c>
      <c r="B1932" s="478" t="s">
        <v>689</v>
      </c>
      <c r="C1932" s="391" t="s">
        <v>558</v>
      </c>
      <c r="D1932" s="479">
        <v>7.0000000000000007E-2</v>
      </c>
      <c r="E1932" s="368"/>
      <c r="F1932" s="368"/>
    </row>
    <row r="1933" spans="1:6" ht="38.25" x14ac:dyDescent="0.2">
      <c r="A1933" s="391">
        <v>88828</v>
      </c>
      <c r="B1933" s="478" t="s">
        <v>690</v>
      </c>
      <c r="C1933" s="391" t="s">
        <v>558</v>
      </c>
      <c r="D1933" s="479">
        <v>0.34</v>
      </c>
      <c r="E1933" s="368"/>
      <c r="F1933" s="368"/>
    </row>
    <row r="1934" spans="1:6" ht="38.25" x14ac:dyDescent="0.2">
      <c r="A1934" s="391">
        <v>88829</v>
      </c>
      <c r="B1934" s="478" t="s">
        <v>691</v>
      </c>
      <c r="C1934" s="391" t="s">
        <v>558</v>
      </c>
      <c r="D1934" s="479">
        <v>1.1499999999999999</v>
      </c>
      <c r="E1934" s="368"/>
      <c r="F1934" s="368"/>
    </row>
    <row r="1935" spans="1:6" ht="38.25" x14ac:dyDescent="0.2">
      <c r="A1935" s="391">
        <v>89221</v>
      </c>
      <c r="B1935" s="478" t="s">
        <v>740</v>
      </c>
      <c r="C1935" s="391" t="s">
        <v>558</v>
      </c>
      <c r="D1935" s="479">
        <v>1.29</v>
      </c>
      <c r="E1935" s="368"/>
      <c r="F1935" s="368"/>
    </row>
    <row r="1936" spans="1:6" ht="38.25" x14ac:dyDescent="0.2">
      <c r="A1936" s="391">
        <v>89222</v>
      </c>
      <c r="B1936" s="478" t="s">
        <v>741</v>
      </c>
      <c r="C1936" s="391" t="s">
        <v>558</v>
      </c>
      <c r="D1936" s="479">
        <v>0.28999999999999998</v>
      </c>
      <c r="E1936" s="368"/>
      <c r="F1936" s="368"/>
    </row>
    <row r="1937" spans="1:6" ht="38.25" x14ac:dyDescent="0.2">
      <c r="A1937" s="391">
        <v>89223</v>
      </c>
      <c r="B1937" s="478" t="s">
        <v>742</v>
      </c>
      <c r="C1937" s="391" t="s">
        <v>558</v>
      </c>
      <c r="D1937" s="479">
        <v>1.41</v>
      </c>
      <c r="E1937" s="368"/>
      <c r="F1937" s="368"/>
    </row>
    <row r="1938" spans="1:6" ht="38.25" x14ac:dyDescent="0.2">
      <c r="A1938" s="391">
        <v>89224</v>
      </c>
      <c r="B1938" s="478" t="s">
        <v>743</v>
      </c>
      <c r="C1938" s="391" t="s">
        <v>558</v>
      </c>
      <c r="D1938" s="479">
        <v>2.2999999999999998</v>
      </c>
      <c r="E1938" s="368"/>
      <c r="F1938" s="368"/>
    </row>
    <row r="1939" spans="1:6" ht="38.25" x14ac:dyDescent="0.2">
      <c r="A1939" s="391">
        <v>89274</v>
      </c>
      <c r="B1939" s="478" t="s">
        <v>775</v>
      </c>
      <c r="C1939" s="391" t="s">
        <v>558</v>
      </c>
      <c r="D1939" s="479">
        <v>1.57</v>
      </c>
      <c r="E1939" s="368"/>
      <c r="F1939" s="368"/>
    </row>
    <row r="1940" spans="1:6" ht="25.5" x14ac:dyDescent="0.2">
      <c r="A1940" s="391">
        <v>89275</v>
      </c>
      <c r="B1940" s="478" t="s">
        <v>776</v>
      </c>
      <c r="C1940" s="391" t="s">
        <v>558</v>
      </c>
      <c r="D1940" s="479">
        <v>0.36</v>
      </c>
      <c r="E1940" s="368"/>
      <c r="F1940" s="368"/>
    </row>
    <row r="1941" spans="1:6" ht="38.25" x14ac:dyDescent="0.2">
      <c r="A1941" s="391">
        <v>89276</v>
      </c>
      <c r="B1941" s="478" t="s">
        <v>777</v>
      </c>
      <c r="C1941" s="391" t="s">
        <v>558</v>
      </c>
      <c r="D1941" s="479">
        <v>1.96</v>
      </c>
      <c r="E1941" s="368"/>
      <c r="F1941" s="368"/>
    </row>
    <row r="1942" spans="1:6" ht="38.25" x14ac:dyDescent="0.2">
      <c r="A1942" s="391">
        <v>89277</v>
      </c>
      <c r="B1942" s="478" t="s">
        <v>778</v>
      </c>
      <c r="C1942" s="391" t="s">
        <v>558</v>
      </c>
      <c r="D1942" s="479">
        <v>8.8699999999999992</v>
      </c>
      <c r="E1942" s="368"/>
      <c r="F1942" s="368"/>
    </row>
    <row r="1943" spans="1:6" ht="38.25" x14ac:dyDescent="0.2">
      <c r="A1943" s="391">
        <v>90646</v>
      </c>
      <c r="B1943" s="478" t="s">
        <v>811</v>
      </c>
      <c r="C1943" s="391" t="s">
        <v>558</v>
      </c>
      <c r="D1943" s="479">
        <v>0.91</v>
      </c>
      <c r="E1943" s="368"/>
      <c r="F1943" s="368"/>
    </row>
    <row r="1944" spans="1:6" ht="38.25" x14ac:dyDescent="0.2">
      <c r="A1944" s="391">
        <v>90647</v>
      </c>
      <c r="B1944" s="478" t="s">
        <v>812</v>
      </c>
      <c r="C1944" s="391" t="s">
        <v>558</v>
      </c>
      <c r="D1944" s="479">
        <v>0.21</v>
      </c>
      <c r="E1944" s="368"/>
      <c r="F1944" s="368"/>
    </row>
    <row r="1945" spans="1:6" ht="38.25" x14ac:dyDescent="0.2">
      <c r="A1945" s="391">
        <v>90648</v>
      </c>
      <c r="B1945" s="478" t="s">
        <v>813</v>
      </c>
      <c r="C1945" s="391" t="s">
        <v>558</v>
      </c>
      <c r="D1945" s="479">
        <v>1</v>
      </c>
      <c r="E1945" s="368"/>
      <c r="F1945" s="368"/>
    </row>
    <row r="1946" spans="1:6" ht="38.25" x14ac:dyDescent="0.2">
      <c r="A1946" s="391">
        <v>90649</v>
      </c>
      <c r="B1946" s="478" t="s">
        <v>814</v>
      </c>
      <c r="C1946" s="391" t="s">
        <v>558</v>
      </c>
      <c r="D1946" s="479">
        <v>8.93</v>
      </c>
      <c r="E1946" s="368"/>
      <c r="F1946" s="368"/>
    </row>
    <row r="1947" spans="1:6" ht="25.5" x14ac:dyDescent="0.2">
      <c r="A1947" s="391">
        <v>90652</v>
      </c>
      <c r="B1947" s="478" t="s">
        <v>815</v>
      </c>
      <c r="C1947" s="391" t="s">
        <v>558</v>
      </c>
      <c r="D1947" s="479">
        <v>3.88</v>
      </c>
      <c r="E1947" s="368"/>
      <c r="F1947" s="368"/>
    </row>
    <row r="1948" spans="1:6" ht="25.5" x14ac:dyDescent="0.2">
      <c r="A1948" s="391">
        <v>90653</v>
      </c>
      <c r="B1948" s="478" t="s">
        <v>816</v>
      </c>
      <c r="C1948" s="391" t="s">
        <v>558</v>
      </c>
      <c r="D1948" s="479">
        <v>0.89</v>
      </c>
      <c r="E1948" s="368"/>
      <c r="F1948" s="368"/>
    </row>
    <row r="1949" spans="1:6" ht="25.5" x14ac:dyDescent="0.2">
      <c r="A1949" s="391">
        <v>90654</v>
      </c>
      <c r="B1949" s="478" t="s">
        <v>817</v>
      </c>
      <c r="C1949" s="391" t="s">
        <v>558</v>
      </c>
      <c r="D1949" s="479">
        <v>4.24</v>
      </c>
      <c r="E1949" s="368"/>
      <c r="F1949" s="368"/>
    </row>
    <row r="1950" spans="1:6" ht="25.5" x14ac:dyDescent="0.2">
      <c r="A1950" s="391">
        <v>90655</v>
      </c>
      <c r="B1950" s="478" t="s">
        <v>818</v>
      </c>
      <c r="C1950" s="391" t="s">
        <v>558</v>
      </c>
      <c r="D1950" s="479">
        <v>5.88</v>
      </c>
      <c r="E1950" s="368"/>
      <c r="F1950" s="368"/>
    </row>
    <row r="1951" spans="1:6" ht="25.5" x14ac:dyDescent="0.2">
      <c r="A1951" s="391">
        <v>90658</v>
      </c>
      <c r="B1951" s="478" t="s">
        <v>819</v>
      </c>
      <c r="C1951" s="391" t="s">
        <v>558</v>
      </c>
      <c r="D1951" s="479">
        <v>4.1500000000000004</v>
      </c>
      <c r="E1951" s="368"/>
      <c r="F1951" s="368"/>
    </row>
    <row r="1952" spans="1:6" ht="25.5" x14ac:dyDescent="0.2">
      <c r="A1952" s="391">
        <v>90659</v>
      </c>
      <c r="B1952" s="478" t="s">
        <v>820</v>
      </c>
      <c r="C1952" s="391" t="s">
        <v>558</v>
      </c>
      <c r="D1952" s="479">
        <v>0.96</v>
      </c>
      <c r="E1952" s="368"/>
      <c r="F1952" s="368"/>
    </row>
    <row r="1953" spans="1:6" ht="25.5" x14ac:dyDescent="0.2">
      <c r="A1953" s="391">
        <v>90660</v>
      </c>
      <c r="B1953" s="478" t="s">
        <v>821</v>
      </c>
      <c r="C1953" s="391" t="s">
        <v>558</v>
      </c>
      <c r="D1953" s="479">
        <v>4.54</v>
      </c>
      <c r="E1953" s="368"/>
      <c r="F1953" s="368"/>
    </row>
    <row r="1954" spans="1:6" ht="25.5" x14ac:dyDescent="0.2">
      <c r="A1954" s="391">
        <v>90661</v>
      </c>
      <c r="B1954" s="478" t="s">
        <v>822</v>
      </c>
      <c r="C1954" s="391" t="s">
        <v>558</v>
      </c>
      <c r="D1954" s="479">
        <v>5.88</v>
      </c>
      <c r="E1954" s="368"/>
      <c r="F1954" s="368"/>
    </row>
    <row r="1955" spans="1:6" ht="38.25" x14ac:dyDescent="0.2">
      <c r="A1955" s="392">
        <v>89019</v>
      </c>
      <c r="B1955" s="480" t="s">
        <v>720</v>
      </c>
      <c r="C1955" s="392" t="s">
        <v>558</v>
      </c>
      <c r="D1955" s="481">
        <v>0.39</v>
      </c>
      <c r="E1955" s="369"/>
      <c r="F1955" s="369"/>
    </row>
    <row r="1956" spans="1:6" ht="38.25" x14ac:dyDescent="0.2">
      <c r="A1956" s="391">
        <v>89020</v>
      </c>
      <c r="B1956" s="478" t="s">
        <v>721</v>
      </c>
      <c r="C1956" s="391" t="s">
        <v>558</v>
      </c>
      <c r="D1956" s="479">
        <v>0.09</v>
      </c>
      <c r="E1956" s="368"/>
      <c r="F1956" s="368"/>
    </row>
    <row r="1957" spans="1:6" ht="38.25" x14ac:dyDescent="0.2">
      <c r="A1957" s="391">
        <v>5800</v>
      </c>
      <c r="B1957" s="478" t="s">
        <v>600</v>
      </c>
      <c r="C1957" s="391" t="s">
        <v>558</v>
      </c>
      <c r="D1957" s="479">
        <v>0.43</v>
      </c>
      <c r="E1957" s="368"/>
      <c r="F1957" s="368"/>
    </row>
    <row r="1958" spans="1:6" ht="38.25" x14ac:dyDescent="0.2">
      <c r="A1958" s="391">
        <v>53866</v>
      </c>
      <c r="B1958" s="478" t="s">
        <v>646</v>
      </c>
      <c r="C1958" s="391" t="s">
        <v>558</v>
      </c>
      <c r="D1958" s="479">
        <v>1.76</v>
      </c>
      <c r="E1958" s="368"/>
      <c r="F1958" s="368"/>
    </row>
    <row r="1959" spans="1:6" ht="25.5" x14ac:dyDescent="0.2">
      <c r="A1959" s="391">
        <v>90639</v>
      </c>
      <c r="B1959" s="478" t="s">
        <v>807</v>
      </c>
      <c r="C1959" s="391" t="s">
        <v>558</v>
      </c>
      <c r="D1959" s="479">
        <v>5.96</v>
      </c>
      <c r="E1959" s="368"/>
      <c r="F1959" s="368"/>
    </row>
    <row r="1960" spans="1:6" ht="25.5" x14ac:dyDescent="0.2">
      <c r="A1960" s="391">
        <v>90640</v>
      </c>
      <c r="B1960" s="478" t="s">
        <v>808</v>
      </c>
      <c r="C1960" s="391" t="s">
        <v>558</v>
      </c>
      <c r="D1960" s="479">
        <v>1.37</v>
      </c>
      <c r="E1960" s="368"/>
      <c r="F1960" s="368"/>
    </row>
    <row r="1961" spans="1:6" ht="25.5" x14ac:dyDescent="0.2">
      <c r="A1961" s="391">
        <v>90641</v>
      </c>
      <c r="B1961" s="478" t="s">
        <v>809</v>
      </c>
      <c r="C1961" s="391" t="s">
        <v>558</v>
      </c>
      <c r="D1961" s="479">
        <v>6.51</v>
      </c>
      <c r="E1961" s="368"/>
      <c r="F1961" s="368"/>
    </row>
    <row r="1962" spans="1:6" ht="38.25" x14ac:dyDescent="0.2">
      <c r="A1962" s="391">
        <v>90642</v>
      </c>
      <c r="B1962" s="478" t="s">
        <v>810</v>
      </c>
      <c r="C1962" s="391" t="s">
        <v>558</v>
      </c>
      <c r="D1962" s="479">
        <v>13.31</v>
      </c>
      <c r="E1962" s="368"/>
      <c r="F1962" s="368"/>
    </row>
    <row r="1963" spans="1:6" ht="25.5" x14ac:dyDescent="0.2">
      <c r="A1963" s="391">
        <v>102806</v>
      </c>
      <c r="B1963" s="478" t="s">
        <v>40859</v>
      </c>
      <c r="C1963" s="391" t="s">
        <v>558</v>
      </c>
      <c r="D1963" s="479">
        <v>0</v>
      </c>
      <c r="E1963" s="368"/>
      <c r="F1963" s="368"/>
    </row>
    <row r="1964" spans="1:6" ht="25.5" x14ac:dyDescent="0.2">
      <c r="A1964" s="391">
        <v>102807</v>
      </c>
      <c r="B1964" s="478" t="s">
        <v>40860</v>
      </c>
      <c r="C1964" s="391" t="s">
        <v>558</v>
      </c>
      <c r="D1964" s="479">
        <v>0</v>
      </c>
      <c r="E1964" s="368"/>
      <c r="F1964" s="368"/>
    </row>
    <row r="1965" spans="1:6" ht="25.5" x14ac:dyDescent="0.2">
      <c r="A1965" s="391">
        <v>102808</v>
      </c>
      <c r="B1965" s="478" t="s">
        <v>40861</v>
      </c>
      <c r="C1965" s="391" t="s">
        <v>558</v>
      </c>
      <c r="D1965" s="479">
        <v>0</v>
      </c>
      <c r="E1965" s="368"/>
      <c r="F1965" s="368"/>
    </row>
    <row r="1966" spans="1:6" ht="25.5" x14ac:dyDescent="0.2">
      <c r="A1966" s="391">
        <v>102809</v>
      </c>
      <c r="B1966" s="478" t="s">
        <v>1112</v>
      </c>
      <c r="C1966" s="391" t="s">
        <v>558</v>
      </c>
      <c r="D1966" s="479">
        <v>17.53</v>
      </c>
      <c r="E1966" s="368"/>
      <c r="F1966" s="368"/>
    </row>
    <row r="1967" spans="1:6" ht="25.5" x14ac:dyDescent="0.2">
      <c r="A1967" s="391">
        <v>92140</v>
      </c>
      <c r="B1967" s="478" t="s">
        <v>939</v>
      </c>
      <c r="C1967" s="391" t="s">
        <v>558</v>
      </c>
      <c r="D1967" s="479">
        <v>4.8899999999999997</v>
      </c>
      <c r="E1967" s="368"/>
      <c r="F1967" s="368"/>
    </row>
    <row r="1968" spans="1:6" ht="25.5" x14ac:dyDescent="0.2">
      <c r="A1968" s="391">
        <v>92142</v>
      </c>
      <c r="B1968" s="478" t="s">
        <v>941</v>
      </c>
      <c r="C1968" s="391" t="s">
        <v>558</v>
      </c>
      <c r="D1968" s="479">
        <v>0.61</v>
      </c>
      <c r="E1968" s="368"/>
      <c r="F1968" s="368"/>
    </row>
    <row r="1969" spans="1:6" ht="25.5" x14ac:dyDescent="0.2">
      <c r="A1969" s="391">
        <v>92141</v>
      </c>
      <c r="B1969" s="478" t="s">
        <v>940</v>
      </c>
      <c r="C1969" s="391" t="s">
        <v>558</v>
      </c>
      <c r="D1969" s="479">
        <v>1.5</v>
      </c>
      <c r="E1969" s="368"/>
      <c r="F1969" s="368"/>
    </row>
    <row r="1970" spans="1:6" ht="25.5" x14ac:dyDescent="0.2">
      <c r="A1970" s="391">
        <v>92143</v>
      </c>
      <c r="B1970" s="478" t="s">
        <v>942</v>
      </c>
      <c r="C1970" s="391" t="s">
        <v>558</v>
      </c>
      <c r="D1970" s="479">
        <v>6.11</v>
      </c>
      <c r="E1970" s="368"/>
      <c r="F1970" s="368"/>
    </row>
    <row r="1971" spans="1:6" ht="25.5" x14ac:dyDescent="0.2">
      <c r="A1971" s="391">
        <v>92144</v>
      </c>
      <c r="B1971" s="478" t="s">
        <v>943</v>
      </c>
      <c r="C1971" s="391" t="s">
        <v>558</v>
      </c>
      <c r="D1971" s="479">
        <v>42.81</v>
      </c>
      <c r="E1971" s="368"/>
      <c r="F1971" s="368"/>
    </row>
    <row r="1972" spans="1:6" ht="25.5" x14ac:dyDescent="0.2">
      <c r="A1972" s="391">
        <v>92133</v>
      </c>
      <c r="B1972" s="478" t="s">
        <v>934</v>
      </c>
      <c r="C1972" s="391" t="s">
        <v>558</v>
      </c>
      <c r="D1972" s="479">
        <v>13.35</v>
      </c>
      <c r="E1972" s="368"/>
      <c r="F1972" s="368"/>
    </row>
    <row r="1973" spans="1:6" ht="25.5" x14ac:dyDescent="0.2">
      <c r="A1973" s="391">
        <v>92135</v>
      </c>
      <c r="B1973" s="478" t="s">
        <v>936</v>
      </c>
      <c r="C1973" s="391" t="s">
        <v>558</v>
      </c>
      <c r="D1973" s="479">
        <v>1.66</v>
      </c>
      <c r="E1973" s="368"/>
      <c r="F1973" s="368"/>
    </row>
    <row r="1974" spans="1:6" ht="25.5" x14ac:dyDescent="0.2">
      <c r="A1974" s="391">
        <v>92134</v>
      </c>
      <c r="B1974" s="478" t="s">
        <v>935</v>
      </c>
      <c r="C1974" s="391" t="s">
        <v>558</v>
      </c>
      <c r="D1974" s="479">
        <v>4.1100000000000003</v>
      </c>
      <c r="E1974" s="368"/>
      <c r="F1974" s="368"/>
    </row>
    <row r="1975" spans="1:6" ht="25.5" x14ac:dyDescent="0.2">
      <c r="A1975" s="391">
        <v>92136</v>
      </c>
      <c r="B1975" s="478" t="s">
        <v>937</v>
      </c>
      <c r="C1975" s="391" t="s">
        <v>558</v>
      </c>
      <c r="D1975" s="479">
        <v>16.690000000000001</v>
      </c>
      <c r="E1975" s="368"/>
      <c r="F1975" s="368"/>
    </row>
    <row r="1976" spans="1:6" ht="25.5" x14ac:dyDescent="0.2">
      <c r="A1976" s="391">
        <v>92137</v>
      </c>
      <c r="B1976" s="478" t="s">
        <v>938</v>
      </c>
      <c r="C1976" s="391" t="s">
        <v>558</v>
      </c>
      <c r="D1976" s="479">
        <v>37.340000000000003</v>
      </c>
      <c r="E1976" s="368"/>
      <c r="F1976" s="368"/>
    </row>
    <row r="1977" spans="1:6" ht="51" x14ac:dyDescent="0.2">
      <c r="A1977" s="391">
        <v>91380</v>
      </c>
      <c r="B1977" s="478" t="s">
        <v>887</v>
      </c>
      <c r="C1977" s="391" t="s">
        <v>558</v>
      </c>
      <c r="D1977" s="479">
        <v>29.3</v>
      </c>
      <c r="E1977" s="368"/>
      <c r="F1977" s="368"/>
    </row>
    <row r="1978" spans="1:6" ht="51" x14ac:dyDescent="0.2">
      <c r="A1978" s="391">
        <v>91382</v>
      </c>
      <c r="B1978" s="478" t="s">
        <v>889</v>
      </c>
      <c r="C1978" s="391" t="s">
        <v>558</v>
      </c>
      <c r="D1978" s="479">
        <v>4.54</v>
      </c>
      <c r="E1978" s="368"/>
      <c r="F1978" s="368"/>
    </row>
    <row r="1979" spans="1:6" ht="38.25" x14ac:dyDescent="0.2">
      <c r="A1979" s="391">
        <v>91381</v>
      </c>
      <c r="B1979" s="478" t="s">
        <v>888</v>
      </c>
      <c r="C1979" s="391" t="s">
        <v>558</v>
      </c>
      <c r="D1979" s="479">
        <v>11.24</v>
      </c>
      <c r="E1979" s="368"/>
      <c r="F1979" s="368"/>
    </row>
    <row r="1980" spans="1:6" ht="51" x14ac:dyDescent="0.2">
      <c r="A1980" s="391">
        <v>91383</v>
      </c>
      <c r="B1980" s="478" t="s">
        <v>890</v>
      </c>
      <c r="C1980" s="391" t="s">
        <v>558</v>
      </c>
      <c r="D1980" s="479">
        <v>52.71</v>
      </c>
      <c r="E1980" s="368"/>
      <c r="F1980" s="368"/>
    </row>
    <row r="1981" spans="1:6" ht="51" x14ac:dyDescent="0.2">
      <c r="A1981" s="391">
        <v>91384</v>
      </c>
      <c r="B1981" s="478" t="s">
        <v>891</v>
      </c>
      <c r="C1981" s="391" t="s">
        <v>558</v>
      </c>
      <c r="D1981" s="479">
        <v>150.25</v>
      </c>
      <c r="E1981" s="368"/>
      <c r="F1981" s="368"/>
    </row>
    <row r="1982" spans="1:6" ht="38.25" x14ac:dyDescent="0.2">
      <c r="A1982" s="391">
        <v>96030</v>
      </c>
      <c r="B1982" s="478" t="s">
        <v>1078</v>
      </c>
      <c r="C1982" s="391" t="s">
        <v>558</v>
      </c>
      <c r="D1982" s="479">
        <v>36.03</v>
      </c>
      <c r="E1982" s="368"/>
      <c r="F1982" s="368"/>
    </row>
    <row r="1983" spans="1:6" ht="38.25" x14ac:dyDescent="0.2">
      <c r="A1983" s="391">
        <v>96032</v>
      </c>
      <c r="B1983" s="478" t="s">
        <v>1080</v>
      </c>
      <c r="C1983" s="391" t="s">
        <v>558</v>
      </c>
      <c r="D1983" s="479">
        <v>5.07</v>
      </c>
      <c r="E1983" s="368"/>
      <c r="F1983" s="368"/>
    </row>
    <row r="1984" spans="1:6" ht="38.25" x14ac:dyDescent="0.2">
      <c r="A1984" s="391">
        <v>96031</v>
      </c>
      <c r="B1984" s="478" t="s">
        <v>1079</v>
      </c>
      <c r="C1984" s="391" t="s">
        <v>558</v>
      </c>
      <c r="D1984" s="479">
        <v>12.62</v>
      </c>
      <c r="E1984" s="368"/>
      <c r="F1984" s="368"/>
    </row>
    <row r="1985" spans="1:6" ht="38.25" x14ac:dyDescent="0.2">
      <c r="A1985" s="391">
        <v>96033</v>
      </c>
      <c r="B1985" s="478" t="s">
        <v>1081</v>
      </c>
      <c r="C1985" s="391" t="s">
        <v>558</v>
      </c>
      <c r="D1985" s="479">
        <v>58.32</v>
      </c>
      <c r="E1985" s="368"/>
      <c r="F1985" s="368"/>
    </row>
    <row r="1986" spans="1:6" ht="38.25" x14ac:dyDescent="0.2">
      <c r="A1986" s="391">
        <v>96034</v>
      </c>
      <c r="B1986" s="478" t="s">
        <v>1082</v>
      </c>
      <c r="C1986" s="391" t="s">
        <v>558</v>
      </c>
      <c r="D1986" s="479">
        <v>150.25</v>
      </c>
      <c r="E1986" s="368"/>
      <c r="F1986" s="368"/>
    </row>
    <row r="1987" spans="1:6" ht="38.25" x14ac:dyDescent="0.2">
      <c r="A1987" s="391">
        <v>89870</v>
      </c>
      <c r="B1987" s="478" t="s">
        <v>781</v>
      </c>
      <c r="C1987" s="391" t="s">
        <v>558</v>
      </c>
      <c r="D1987" s="479">
        <v>39.71</v>
      </c>
      <c r="E1987" s="368"/>
      <c r="F1987" s="368"/>
    </row>
    <row r="1988" spans="1:6" ht="38.25" x14ac:dyDescent="0.2">
      <c r="A1988" s="391">
        <v>89872</v>
      </c>
      <c r="B1988" s="478" t="s">
        <v>783</v>
      </c>
      <c r="C1988" s="391" t="s">
        <v>558</v>
      </c>
      <c r="D1988" s="479">
        <v>5.62</v>
      </c>
      <c r="E1988" s="368"/>
      <c r="F1988" s="368"/>
    </row>
    <row r="1989" spans="1:6" ht="38.25" x14ac:dyDescent="0.2">
      <c r="A1989" s="391">
        <v>89871</v>
      </c>
      <c r="B1989" s="478" t="s">
        <v>782</v>
      </c>
      <c r="C1989" s="391" t="s">
        <v>558</v>
      </c>
      <c r="D1989" s="479">
        <v>13.93</v>
      </c>
      <c r="E1989" s="368"/>
      <c r="F1989" s="368"/>
    </row>
    <row r="1990" spans="1:6" ht="38.25" x14ac:dyDescent="0.2">
      <c r="A1990" s="391">
        <v>89873</v>
      </c>
      <c r="B1990" s="478" t="s">
        <v>784</v>
      </c>
      <c r="C1990" s="391" t="s">
        <v>558</v>
      </c>
      <c r="D1990" s="479">
        <v>67.819999999999993</v>
      </c>
      <c r="E1990" s="368"/>
      <c r="F1990" s="368"/>
    </row>
    <row r="1991" spans="1:6" ht="51" x14ac:dyDescent="0.2">
      <c r="A1991" s="391">
        <v>89874</v>
      </c>
      <c r="B1991" s="478" t="s">
        <v>785</v>
      </c>
      <c r="C1991" s="391" t="s">
        <v>558</v>
      </c>
      <c r="D1991" s="479">
        <v>186.83</v>
      </c>
      <c r="E1991" s="368"/>
      <c r="F1991" s="368"/>
    </row>
    <row r="1992" spans="1:6" ht="38.25" x14ac:dyDescent="0.2">
      <c r="A1992" s="391">
        <v>89878</v>
      </c>
      <c r="B1992" s="478" t="s">
        <v>786</v>
      </c>
      <c r="C1992" s="391" t="s">
        <v>558</v>
      </c>
      <c r="D1992" s="479">
        <v>42.54</v>
      </c>
      <c r="E1992" s="368"/>
      <c r="F1992" s="368"/>
    </row>
    <row r="1993" spans="1:6" ht="38.25" x14ac:dyDescent="0.2">
      <c r="A1993" s="391">
        <v>89880</v>
      </c>
      <c r="B1993" s="478" t="s">
        <v>788</v>
      </c>
      <c r="C1993" s="391" t="s">
        <v>558</v>
      </c>
      <c r="D1993" s="479">
        <v>5.92</v>
      </c>
      <c r="E1993" s="368"/>
      <c r="F1993" s="368"/>
    </row>
    <row r="1994" spans="1:6" ht="38.25" x14ac:dyDescent="0.2">
      <c r="A1994" s="391">
        <v>89879</v>
      </c>
      <c r="B1994" s="478" t="s">
        <v>787</v>
      </c>
      <c r="C1994" s="391" t="s">
        <v>558</v>
      </c>
      <c r="D1994" s="479">
        <v>14.66</v>
      </c>
      <c r="E1994" s="368"/>
      <c r="F1994" s="368"/>
    </row>
    <row r="1995" spans="1:6" ht="38.25" x14ac:dyDescent="0.2">
      <c r="A1995" s="391">
        <v>89881</v>
      </c>
      <c r="B1995" s="478" t="s">
        <v>789</v>
      </c>
      <c r="C1995" s="391" t="s">
        <v>558</v>
      </c>
      <c r="D1995" s="479">
        <v>71.95</v>
      </c>
      <c r="E1995" s="368"/>
      <c r="F1995" s="368"/>
    </row>
    <row r="1996" spans="1:6" ht="51" x14ac:dyDescent="0.2">
      <c r="A1996" s="391">
        <v>89882</v>
      </c>
      <c r="B1996" s="478" t="s">
        <v>790</v>
      </c>
      <c r="C1996" s="391" t="s">
        <v>558</v>
      </c>
      <c r="D1996" s="479">
        <v>215.56</v>
      </c>
      <c r="E1996" s="368"/>
      <c r="F1996" s="368"/>
    </row>
    <row r="1997" spans="1:6" ht="38.25" x14ac:dyDescent="0.2">
      <c r="A1997" s="391">
        <v>7058</v>
      </c>
      <c r="B1997" s="478" t="s">
        <v>616</v>
      </c>
      <c r="C1997" s="391" t="s">
        <v>558</v>
      </c>
      <c r="D1997" s="479">
        <v>23.04</v>
      </c>
      <c r="E1997" s="368"/>
      <c r="F1997" s="368"/>
    </row>
    <row r="1998" spans="1:6" ht="38.25" x14ac:dyDescent="0.2">
      <c r="A1998" s="391">
        <v>91402</v>
      </c>
      <c r="B1998" s="478" t="s">
        <v>898</v>
      </c>
      <c r="C1998" s="391" t="s">
        <v>558</v>
      </c>
      <c r="D1998" s="479">
        <v>3.58</v>
      </c>
      <c r="E1998" s="368"/>
      <c r="F1998" s="368"/>
    </row>
    <row r="1999" spans="1:6" ht="38.25" x14ac:dyDescent="0.2">
      <c r="A1999" s="391">
        <v>7059</v>
      </c>
      <c r="B1999" s="478" t="s">
        <v>617</v>
      </c>
      <c r="C1999" s="391" t="s">
        <v>558</v>
      </c>
      <c r="D1999" s="479">
        <v>8.86</v>
      </c>
      <c r="E1999" s="368"/>
      <c r="F1999" s="368"/>
    </row>
    <row r="2000" spans="1:6" ht="38.25" x14ac:dyDescent="0.2">
      <c r="A2000" s="391">
        <v>7060</v>
      </c>
      <c r="B2000" s="478" t="s">
        <v>618</v>
      </c>
      <c r="C2000" s="391" t="s">
        <v>558</v>
      </c>
      <c r="D2000" s="479">
        <v>41.52</v>
      </c>
      <c r="E2000" s="368"/>
      <c r="F2000" s="368"/>
    </row>
    <row r="2001" spans="1:6" ht="38.25" x14ac:dyDescent="0.2">
      <c r="A2001" s="391">
        <v>7061</v>
      </c>
      <c r="B2001" s="478" t="s">
        <v>619</v>
      </c>
      <c r="C2001" s="391" t="s">
        <v>558</v>
      </c>
      <c r="D2001" s="479">
        <v>86.35</v>
      </c>
      <c r="E2001" s="368"/>
      <c r="F2001" s="368"/>
    </row>
    <row r="2002" spans="1:6" ht="38.25" x14ac:dyDescent="0.2">
      <c r="A2002" s="391">
        <v>91367</v>
      </c>
      <c r="B2002" s="478" t="s">
        <v>881</v>
      </c>
      <c r="C2002" s="391" t="s">
        <v>558</v>
      </c>
      <c r="D2002" s="479">
        <v>22.27</v>
      </c>
      <c r="E2002" s="368"/>
      <c r="F2002" s="368"/>
    </row>
    <row r="2003" spans="1:6" ht="38.25" x14ac:dyDescent="0.2">
      <c r="A2003" s="391">
        <v>91369</v>
      </c>
      <c r="B2003" s="478" t="s">
        <v>883</v>
      </c>
      <c r="C2003" s="391" t="s">
        <v>558</v>
      </c>
      <c r="D2003" s="479">
        <v>3.45</v>
      </c>
      <c r="E2003" s="368"/>
      <c r="F2003" s="368"/>
    </row>
    <row r="2004" spans="1:6" ht="38.25" x14ac:dyDescent="0.2">
      <c r="A2004" s="391">
        <v>91368</v>
      </c>
      <c r="B2004" s="478" t="s">
        <v>882</v>
      </c>
      <c r="C2004" s="391" t="s">
        <v>558</v>
      </c>
      <c r="D2004" s="479">
        <v>8.5500000000000007</v>
      </c>
      <c r="E2004" s="368"/>
      <c r="F2004" s="368"/>
    </row>
    <row r="2005" spans="1:6" ht="38.25" x14ac:dyDescent="0.2">
      <c r="A2005" s="391">
        <v>5695</v>
      </c>
      <c r="B2005" s="478" t="s">
        <v>570</v>
      </c>
      <c r="C2005" s="391" t="s">
        <v>558</v>
      </c>
      <c r="D2005" s="479">
        <v>40.130000000000003</v>
      </c>
      <c r="E2005" s="368"/>
      <c r="F2005" s="368"/>
    </row>
    <row r="2006" spans="1:6" ht="38.25" x14ac:dyDescent="0.2">
      <c r="A2006" s="391">
        <v>53792</v>
      </c>
      <c r="B2006" s="478" t="s">
        <v>626</v>
      </c>
      <c r="C2006" s="391" t="s">
        <v>558</v>
      </c>
      <c r="D2006" s="479">
        <v>107.33</v>
      </c>
      <c r="E2006" s="368"/>
      <c r="F2006" s="368"/>
    </row>
    <row r="2007" spans="1:6" ht="51" x14ac:dyDescent="0.2">
      <c r="A2007" s="391">
        <v>92237</v>
      </c>
      <c r="B2007" s="478" t="s">
        <v>944</v>
      </c>
      <c r="C2007" s="391" t="s">
        <v>558</v>
      </c>
      <c r="D2007" s="479">
        <v>29.57</v>
      </c>
      <c r="E2007" s="368"/>
      <c r="F2007" s="368"/>
    </row>
    <row r="2008" spans="1:6" ht="51" x14ac:dyDescent="0.2">
      <c r="A2008" s="391">
        <v>92239</v>
      </c>
      <c r="B2008" s="478" t="s">
        <v>946</v>
      </c>
      <c r="C2008" s="391" t="s">
        <v>558</v>
      </c>
      <c r="D2008" s="479">
        <v>4.8099999999999996</v>
      </c>
      <c r="E2008" s="368"/>
      <c r="F2008" s="368"/>
    </row>
    <row r="2009" spans="1:6" ht="51" x14ac:dyDescent="0.2">
      <c r="A2009" s="391">
        <v>92238</v>
      </c>
      <c r="B2009" s="478" t="s">
        <v>945</v>
      </c>
      <c r="C2009" s="391" t="s">
        <v>558</v>
      </c>
      <c r="D2009" s="479">
        <v>11.9</v>
      </c>
      <c r="E2009" s="368"/>
      <c r="F2009" s="368"/>
    </row>
    <row r="2010" spans="1:6" ht="51" x14ac:dyDescent="0.2">
      <c r="A2010" s="391">
        <v>92240</v>
      </c>
      <c r="B2010" s="478" t="s">
        <v>947</v>
      </c>
      <c r="C2010" s="391" t="s">
        <v>558</v>
      </c>
      <c r="D2010" s="479">
        <v>53.06</v>
      </c>
      <c r="E2010" s="368"/>
      <c r="F2010" s="368"/>
    </row>
    <row r="2011" spans="1:6" ht="51" x14ac:dyDescent="0.2">
      <c r="A2011" s="391">
        <v>92241</v>
      </c>
      <c r="B2011" s="478" t="s">
        <v>948</v>
      </c>
      <c r="C2011" s="391" t="s">
        <v>558</v>
      </c>
      <c r="D2011" s="479">
        <v>292.58999999999997</v>
      </c>
      <c r="E2011" s="368"/>
      <c r="F2011" s="368"/>
    </row>
    <row r="2012" spans="1:6" ht="51" x14ac:dyDescent="0.2">
      <c r="A2012" s="391">
        <v>91640</v>
      </c>
      <c r="B2012" s="478" t="s">
        <v>910</v>
      </c>
      <c r="C2012" s="391" t="s">
        <v>558</v>
      </c>
      <c r="D2012" s="479">
        <v>40.6</v>
      </c>
      <c r="E2012" s="368"/>
      <c r="F2012" s="368"/>
    </row>
    <row r="2013" spans="1:6" ht="51" x14ac:dyDescent="0.2">
      <c r="A2013" s="391">
        <v>91642</v>
      </c>
      <c r="B2013" s="478" t="s">
        <v>912</v>
      </c>
      <c r="C2013" s="391" t="s">
        <v>558</v>
      </c>
      <c r="D2013" s="479">
        <v>6.62</v>
      </c>
      <c r="E2013" s="368"/>
      <c r="F2013" s="368"/>
    </row>
    <row r="2014" spans="1:6" ht="51" x14ac:dyDescent="0.2">
      <c r="A2014" s="391">
        <v>91641</v>
      </c>
      <c r="B2014" s="478" t="s">
        <v>911</v>
      </c>
      <c r="C2014" s="391" t="s">
        <v>558</v>
      </c>
      <c r="D2014" s="479">
        <v>16.39</v>
      </c>
      <c r="E2014" s="368"/>
      <c r="F2014" s="368"/>
    </row>
    <row r="2015" spans="1:6" ht="51" x14ac:dyDescent="0.2">
      <c r="A2015" s="391">
        <v>91643</v>
      </c>
      <c r="B2015" s="478" t="s">
        <v>913</v>
      </c>
      <c r="C2015" s="391" t="s">
        <v>558</v>
      </c>
      <c r="D2015" s="479">
        <v>73.19</v>
      </c>
      <c r="E2015" s="368"/>
      <c r="F2015" s="368"/>
    </row>
    <row r="2016" spans="1:6" ht="51" x14ac:dyDescent="0.2">
      <c r="A2016" s="391">
        <v>91644</v>
      </c>
      <c r="B2016" s="478" t="s">
        <v>914</v>
      </c>
      <c r="C2016" s="391" t="s">
        <v>558</v>
      </c>
      <c r="D2016" s="479">
        <v>319.14999999999998</v>
      </c>
      <c r="E2016" s="368"/>
      <c r="F2016" s="368"/>
    </row>
    <row r="2017" spans="1:6" ht="51" x14ac:dyDescent="0.2">
      <c r="A2017" s="391">
        <v>92105</v>
      </c>
      <c r="B2017" s="478" t="s">
        <v>926</v>
      </c>
      <c r="C2017" s="391" t="s">
        <v>558</v>
      </c>
      <c r="D2017" s="479">
        <v>203.89</v>
      </c>
      <c r="E2017" s="368"/>
      <c r="F2017" s="368"/>
    </row>
    <row r="2018" spans="1:6" ht="51" x14ac:dyDescent="0.2">
      <c r="A2018" s="391">
        <v>92101</v>
      </c>
      <c r="B2018" s="478" t="s">
        <v>922</v>
      </c>
      <c r="C2018" s="391" t="s">
        <v>558</v>
      </c>
      <c r="D2018" s="479">
        <v>44.89</v>
      </c>
      <c r="E2018" s="368"/>
      <c r="F2018" s="368"/>
    </row>
    <row r="2019" spans="1:6" ht="51" x14ac:dyDescent="0.2">
      <c r="A2019" s="391">
        <v>92103</v>
      </c>
      <c r="B2019" s="478" t="s">
        <v>924</v>
      </c>
      <c r="C2019" s="391" t="s">
        <v>558</v>
      </c>
      <c r="D2019" s="479">
        <v>5.7</v>
      </c>
      <c r="E2019" s="368"/>
      <c r="F2019" s="368"/>
    </row>
    <row r="2020" spans="1:6" ht="51" x14ac:dyDescent="0.2">
      <c r="A2020" s="391">
        <v>92102</v>
      </c>
      <c r="B2020" s="478" t="s">
        <v>923</v>
      </c>
      <c r="C2020" s="391" t="s">
        <v>558</v>
      </c>
      <c r="D2020" s="479">
        <v>14.08</v>
      </c>
      <c r="E2020" s="368"/>
      <c r="F2020" s="368"/>
    </row>
    <row r="2021" spans="1:6" ht="51" x14ac:dyDescent="0.2">
      <c r="A2021" s="391">
        <v>92104</v>
      </c>
      <c r="B2021" s="478" t="s">
        <v>925</v>
      </c>
      <c r="C2021" s="391" t="s">
        <v>558</v>
      </c>
      <c r="D2021" s="479">
        <v>70.900000000000006</v>
      </c>
      <c r="E2021" s="368"/>
      <c r="F2021" s="368"/>
    </row>
    <row r="2022" spans="1:6" ht="38.25" x14ac:dyDescent="0.2">
      <c r="A2022" s="391">
        <v>91396</v>
      </c>
      <c r="B2022" s="478" t="s">
        <v>895</v>
      </c>
      <c r="C2022" s="391" t="s">
        <v>558</v>
      </c>
      <c r="D2022" s="479">
        <v>29.18</v>
      </c>
      <c r="E2022" s="368"/>
      <c r="F2022" s="368"/>
    </row>
    <row r="2023" spans="1:6" ht="51" x14ac:dyDescent="0.2">
      <c r="A2023" s="391">
        <v>91398</v>
      </c>
      <c r="B2023" s="478" t="s">
        <v>897</v>
      </c>
      <c r="C2023" s="391" t="s">
        <v>558</v>
      </c>
      <c r="D2023" s="479">
        <v>4.55</v>
      </c>
      <c r="E2023" s="368"/>
      <c r="F2023" s="368"/>
    </row>
    <row r="2024" spans="1:6" ht="38.25" x14ac:dyDescent="0.2">
      <c r="A2024" s="391">
        <v>91397</v>
      </c>
      <c r="B2024" s="478" t="s">
        <v>896</v>
      </c>
      <c r="C2024" s="391" t="s">
        <v>558</v>
      </c>
      <c r="D2024" s="479">
        <v>11.28</v>
      </c>
      <c r="E2024" s="368"/>
      <c r="F2024" s="368"/>
    </row>
    <row r="2025" spans="1:6" ht="38.25" x14ac:dyDescent="0.2">
      <c r="A2025" s="391">
        <v>5763</v>
      </c>
      <c r="B2025" s="478" t="s">
        <v>594</v>
      </c>
      <c r="C2025" s="391" t="s">
        <v>558</v>
      </c>
      <c r="D2025" s="479">
        <v>51.77</v>
      </c>
      <c r="E2025" s="368"/>
      <c r="F2025" s="368"/>
    </row>
    <row r="2026" spans="1:6" ht="51" x14ac:dyDescent="0.2">
      <c r="A2026" s="391">
        <v>53831</v>
      </c>
      <c r="B2026" s="478" t="s">
        <v>637</v>
      </c>
      <c r="C2026" s="391" t="s">
        <v>558</v>
      </c>
      <c r="D2026" s="479">
        <v>203.89</v>
      </c>
      <c r="E2026" s="368"/>
      <c r="F2026" s="368"/>
    </row>
    <row r="2027" spans="1:6" ht="38.25" x14ac:dyDescent="0.2">
      <c r="A2027" s="391">
        <v>91359</v>
      </c>
      <c r="B2027" s="478" t="s">
        <v>878</v>
      </c>
      <c r="C2027" s="391" t="s">
        <v>558</v>
      </c>
      <c r="D2027" s="479">
        <v>21.04</v>
      </c>
      <c r="E2027" s="368"/>
      <c r="F2027" s="368"/>
    </row>
    <row r="2028" spans="1:6" ht="51" x14ac:dyDescent="0.2">
      <c r="A2028" s="391">
        <v>91361</v>
      </c>
      <c r="B2028" s="478" t="s">
        <v>880</v>
      </c>
      <c r="C2028" s="391" t="s">
        <v>558</v>
      </c>
      <c r="D2028" s="479">
        <v>3.25</v>
      </c>
      <c r="E2028" s="368"/>
      <c r="F2028" s="368"/>
    </row>
    <row r="2029" spans="1:6" ht="38.25" x14ac:dyDescent="0.2">
      <c r="A2029" s="391">
        <v>91360</v>
      </c>
      <c r="B2029" s="478" t="s">
        <v>879</v>
      </c>
      <c r="C2029" s="391" t="s">
        <v>558</v>
      </c>
      <c r="D2029" s="479">
        <v>8.0500000000000007</v>
      </c>
      <c r="E2029" s="368"/>
      <c r="F2029" s="368"/>
    </row>
    <row r="2030" spans="1:6" ht="38.25" x14ac:dyDescent="0.2">
      <c r="A2030" s="391">
        <v>53882</v>
      </c>
      <c r="B2030" s="478" t="s">
        <v>647</v>
      </c>
      <c r="C2030" s="391" t="s">
        <v>558</v>
      </c>
      <c r="D2030" s="479">
        <v>36.99</v>
      </c>
      <c r="E2030" s="368"/>
      <c r="F2030" s="368"/>
    </row>
    <row r="2031" spans="1:6" ht="51" x14ac:dyDescent="0.2">
      <c r="A2031" s="391">
        <v>5747</v>
      </c>
      <c r="B2031" s="478" t="s">
        <v>591</v>
      </c>
      <c r="C2031" s="391" t="s">
        <v>558</v>
      </c>
      <c r="D2031" s="479">
        <v>167.56</v>
      </c>
      <c r="E2031" s="368"/>
      <c r="F2031" s="368"/>
    </row>
    <row r="2032" spans="1:6" ht="38.25" x14ac:dyDescent="0.2">
      <c r="A2032" s="391">
        <v>104699</v>
      </c>
      <c r="B2032" s="478" t="s">
        <v>40862</v>
      </c>
      <c r="C2032" s="391" t="s">
        <v>558</v>
      </c>
      <c r="D2032" s="479">
        <v>0</v>
      </c>
      <c r="E2032" s="368"/>
      <c r="F2032" s="368"/>
    </row>
    <row r="2033" spans="1:6" ht="38.25" x14ac:dyDescent="0.2">
      <c r="A2033" s="391">
        <v>104702</v>
      </c>
      <c r="B2033" s="478" t="s">
        <v>40863</v>
      </c>
      <c r="C2033" s="391" t="s">
        <v>558</v>
      </c>
      <c r="D2033" s="479">
        <v>0</v>
      </c>
      <c r="E2033" s="368"/>
      <c r="F2033" s="368"/>
    </row>
    <row r="2034" spans="1:6" ht="38.25" x14ac:dyDescent="0.2">
      <c r="A2034" s="391">
        <v>104700</v>
      </c>
      <c r="B2034" s="478" t="s">
        <v>40864</v>
      </c>
      <c r="C2034" s="391" t="s">
        <v>558</v>
      </c>
      <c r="D2034" s="479">
        <v>0</v>
      </c>
      <c r="E2034" s="368"/>
      <c r="F2034" s="368"/>
    </row>
    <row r="2035" spans="1:6" ht="38.25" x14ac:dyDescent="0.2">
      <c r="A2035" s="391">
        <v>104701</v>
      </c>
      <c r="B2035" s="478" t="s">
        <v>40865</v>
      </c>
      <c r="C2035" s="391" t="s">
        <v>558</v>
      </c>
      <c r="D2035" s="479">
        <v>0</v>
      </c>
      <c r="E2035" s="368"/>
      <c r="F2035" s="368"/>
    </row>
    <row r="2036" spans="1:6" ht="38.25" x14ac:dyDescent="0.2">
      <c r="A2036" s="391">
        <v>104703</v>
      </c>
      <c r="B2036" s="478" t="s">
        <v>1158</v>
      </c>
      <c r="C2036" s="391" t="s">
        <v>558</v>
      </c>
      <c r="D2036" s="479">
        <v>98.01</v>
      </c>
      <c r="E2036" s="368"/>
      <c r="F2036" s="368"/>
    </row>
    <row r="2037" spans="1:6" ht="51" x14ac:dyDescent="0.2">
      <c r="A2037" s="391">
        <v>91390</v>
      </c>
      <c r="B2037" s="478" t="s">
        <v>892</v>
      </c>
      <c r="C2037" s="391" t="s">
        <v>558</v>
      </c>
      <c r="D2037" s="479">
        <v>19.32</v>
      </c>
      <c r="E2037" s="368"/>
      <c r="F2037" s="368"/>
    </row>
    <row r="2038" spans="1:6" ht="51" x14ac:dyDescent="0.2">
      <c r="A2038" s="391">
        <v>91392</v>
      </c>
      <c r="B2038" s="478" t="s">
        <v>894</v>
      </c>
      <c r="C2038" s="391" t="s">
        <v>558</v>
      </c>
      <c r="D2038" s="479">
        <v>3.1</v>
      </c>
      <c r="E2038" s="368"/>
      <c r="F2038" s="368"/>
    </row>
    <row r="2039" spans="1:6" ht="51" x14ac:dyDescent="0.2">
      <c r="A2039" s="391">
        <v>91391</v>
      </c>
      <c r="B2039" s="478" t="s">
        <v>893</v>
      </c>
      <c r="C2039" s="391" t="s">
        <v>558</v>
      </c>
      <c r="D2039" s="479">
        <v>7.69</v>
      </c>
      <c r="E2039" s="368"/>
      <c r="F2039" s="368"/>
    </row>
    <row r="2040" spans="1:6" ht="51" x14ac:dyDescent="0.2">
      <c r="A2040" s="391">
        <v>73335</v>
      </c>
      <c r="B2040" s="478" t="s">
        <v>655</v>
      </c>
      <c r="C2040" s="391" t="s">
        <v>558</v>
      </c>
      <c r="D2040" s="479">
        <v>35.200000000000003</v>
      </c>
      <c r="E2040" s="368"/>
      <c r="F2040" s="368"/>
    </row>
    <row r="2041" spans="1:6" ht="51" x14ac:dyDescent="0.2">
      <c r="A2041" s="391">
        <v>73340</v>
      </c>
      <c r="B2041" s="478" t="s">
        <v>656</v>
      </c>
      <c r="C2041" s="391" t="s">
        <v>558</v>
      </c>
      <c r="D2041" s="479">
        <v>164.01</v>
      </c>
      <c r="E2041" s="368"/>
      <c r="F2041" s="368"/>
    </row>
    <row r="2042" spans="1:6" ht="51" x14ac:dyDescent="0.2">
      <c r="A2042" s="391">
        <v>89264</v>
      </c>
      <c r="B2042" s="478" t="s">
        <v>767</v>
      </c>
      <c r="C2042" s="391" t="s">
        <v>558</v>
      </c>
      <c r="D2042" s="479">
        <v>21.17</v>
      </c>
      <c r="E2042" s="368"/>
      <c r="F2042" s="368"/>
    </row>
    <row r="2043" spans="1:6" ht="51" x14ac:dyDescent="0.2">
      <c r="A2043" s="391">
        <v>89266</v>
      </c>
      <c r="B2043" s="478" t="s">
        <v>769</v>
      </c>
      <c r="C2043" s="391" t="s">
        <v>558</v>
      </c>
      <c r="D2043" s="479">
        <v>3.4</v>
      </c>
      <c r="E2043" s="368"/>
      <c r="F2043" s="368"/>
    </row>
    <row r="2044" spans="1:6" ht="51" x14ac:dyDescent="0.2">
      <c r="A2044" s="391">
        <v>89265</v>
      </c>
      <c r="B2044" s="478" t="s">
        <v>768</v>
      </c>
      <c r="C2044" s="391" t="s">
        <v>558</v>
      </c>
      <c r="D2044" s="479">
        <v>8.43</v>
      </c>
      <c r="E2044" s="368"/>
      <c r="F2044" s="368"/>
    </row>
    <row r="2045" spans="1:6" ht="51" x14ac:dyDescent="0.2">
      <c r="A2045" s="391">
        <v>5705</v>
      </c>
      <c r="B2045" s="478" t="s">
        <v>572</v>
      </c>
      <c r="C2045" s="391" t="s">
        <v>558</v>
      </c>
      <c r="D2045" s="479">
        <v>38.6</v>
      </c>
      <c r="E2045" s="368"/>
      <c r="F2045" s="368"/>
    </row>
    <row r="2046" spans="1:6" ht="51" x14ac:dyDescent="0.2">
      <c r="A2046" s="391">
        <v>53797</v>
      </c>
      <c r="B2046" s="478" t="s">
        <v>628</v>
      </c>
      <c r="C2046" s="391" t="s">
        <v>558</v>
      </c>
      <c r="D2046" s="479">
        <v>123.43</v>
      </c>
      <c r="E2046" s="368"/>
      <c r="F2046" s="368"/>
    </row>
    <row r="2047" spans="1:6" ht="38.25" x14ac:dyDescent="0.2">
      <c r="A2047" s="391">
        <v>91354</v>
      </c>
      <c r="B2047" s="478" t="s">
        <v>875</v>
      </c>
      <c r="C2047" s="391" t="s">
        <v>558</v>
      </c>
      <c r="D2047" s="479">
        <v>17.670000000000002</v>
      </c>
      <c r="E2047" s="368"/>
      <c r="F2047" s="368"/>
    </row>
    <row r="2048" spans="1:6" ht="38.25" x14ac:dyDescent="0.2">
      <c r="A2048" s="391">
        <v>91356</v>
      </c>
      <c r="B2048" s="478" t="s">
        <v>877</v>
      </c>
      <c r="C2048" s="391" t="s">
        <v>558</v>
      </c>
      <c r="D2048" s="479">
        <v>2.93</v>
      </c>
      <c r="E2048" s="368"/>
      <c r="F2048" s="368"/>
    </row>
    <row r="2049" spans="1:6" ht="38.25" x14ac:dyDescent="0.2">
      <c r="A2049" s="391">
        <v>91355</v>
      </c>
      <c r="B2049" s="478" t="s">
        <v>876</v>
      </c>
      <c r="C2049" s="391" t="s">
        <v>558</v>
      </c>
      <c r="D2049" s="479">
        <v>7.26</v>
      </c>
      <c r="E2049" s="368"/>
      <c r="F2049" s="368"/>
    </row>
    <row r="2050" spans="1:6" ht="38.25" x14ac:dyDescent="0.2">
      <c r="A2050" s="391">
        <v>5751</v>
      </c>
      <c r="B2050" s="478" t="s">
        <v>592</v>
      </c>
      <c r="C2050" s="391" t="s">
        <v>558</v>
      </c>
      <c r="D2050" s="479">
        <v>33.130000000000003</v>
      </c>
      <c r="E2050" s="368"/>
      <c r="F2050" s="368"/>
    </row>
    <row r="2051" spans="1:6" ht="38.25" x14ac:dyDescent="0.2">
      <c r="A2051" s="391">
        <v>53827</v>
      </c>
      <c r="B2051" s="478" t="s">
        <v>635</v>
      </c>
      <c r="C2051" s="391" t="s">
        <v>558</v>
      </c>
      <c r="D2051" s="479">
        <v>120.84</v>
      </c>
      <c r="E2051" s="368"/>
      <c r="F2051" s="368"/>
    </row>
    <row r="2052" spans="1:6" ht="38.25" x14ac:dyDescent="0.2">
      <c r="A2052" s="391">
        <v>91375</v>
      </c>
      <c r="B2052" s="478" t="s">
        <v>884</v>
      </c>
      <c r="C2052" s="391" t="s">
        <v>558</v>
      </c>
      <c r="D2052" s="479">
        <v>19.399999999999999</v>
      </c>
      <c r="E2052" s="368"/>
      <c r="F2052" s="368"/>
    </row>
    <row r="2053" spans="1:6" ht="38.25" x14ac:dyDescent="0.2">
      <c r="A2053" s="391">
        <v>91377</v>
      </c>
      <c r="B2053" s="478" t="s">
        <v>886</v>
      </c>
      <c r="C2053" s="391" t="s">
        <v>558</v>
      </c>
      <c r="D2053" s="479">
        <v>3.22</v>
      </c>
      <c r="E2053" s="368"/>
      <c r="F2053" s="368"/>
    </row>
    <row r="2054" spans="1:6" ht="38.25" x14ac:dyDescent="0.2">
      <c r="A2054" s="391">
        <v>91376</v>
      </c>
      <c r="B2054" s="478" t="s">
        <v>885</v>
      </c>
      <c r="C2054" s="391" t="s">
        <v>558</v>
      </c>
      <c r="D2054" s="479">
        <v>7.97</v>
      </c>
      <c r="E2054" s="368"/>
      <c r="F2054" s="368"/>
    </row>
    <row r="2055" spans="1:6" ht="38.25" x14ac:dyDescent="0.2">
      <c r="A2055" s="391">
        <v>5754</v>
      </c>
      <c r="B2055" s="478" t="s">
        <v>593</v>
      </c>
      <c r="C2055" s="391" t="s">
        <v>558</v>
      </c>
      <c r="D2055" s="479">
        <v>36.380000000000003</v>
      </c>
      <c r="E2055" s="368"/>
      <c r="F2055" s="368"/>
    </row>
    <row r="2056" spans="1:6" ht="38.25" x14ac:dyDescent="0.2">
      <c r="A2056" s="391">
        <v>53829</v>
      </c>
      <c r="B2056" s="478" t="s">
        <v>636</v>
      </c>
      <c r="C2056" s="391" t="s">
        <v>558</v>
      </c>
      <c r="D2056" s="479">
        <v>123.43</v>
      </c>
      <c r="E2056" s="368"/>
      <c r="F2056" s="368"/>
    </row>
    <row r="2057" spans="1:6" ht="38.25" x14ac:dyDescent="0.2">
      <c r="A2057" s="391">
        <v>91026</v>
      </c>
      <c r="B2057" s="478" t="s">
        <v>862</v>
      </c>
      <c r="C2057" s="391" t="s">
        <v>558</v>
      </c>
      <c r="D2057" s="479">
        <v>24.84</v>
      </c>
      <c r="E2057" s="368"/>
      <c r="F2057" s="368"/>
    </row>
    <row r="2058" spans="1:6" ht="38.25" x14ac:dyDescent="0.2">
      <c r="A2058" s="391">
        <v>91028</v>
      </c>
      <c r="B2058" s="478" t="s">
        <v>864</v>
      </c>
      <c r="C2058" s="391" t="s">
        <v>558</v>
      </c>
      <c r="D2058" s="479">
        <v>4.0199999999999996</v>
      </c>
      <c r="E2058" s="368"/>
      <c r="F2058" s="368"/>
    </row>
    <row r="2059" spans="1:6" ht="38.25" x14ac:dyDescent="0.2">
      <c r="A2059" s="391">
        <v>91027</v>
      </c>
      <c r="B2059" s="478" t="s">
        <v>863</v>
      </c>
      <c r="C2059" s="391" t="s">
        <v>558</v>
      </c>
      <c r="D2059" s="479">
        <v>9.9600000000000009</v>
      </c>
      <c r="E2059" s="368"/>
      <c r="F2059" s="368"/>
    </row>
    <row r="2060" spans="1:6" ht="38.25" x14ac:dyDescent="0.2">
      <c r="A2060" s="391">
        <v>91029</v>
      </c>
      <c r="B2060" s="478" t="s">
        <v>865</v>
      </c>
      <c r="C2060" s="391" t="s">
        <v>558</v>
      </c>
      <c r="D2060" s="479">
        <v>45.55</v>
      </c>
      <c r="E2060" s="368"/>
      <c r="F2060" s="368"/>
    </row>
    <row r="2061" spans="1:6" ht="38.25" x14ac:dyDescent="0.2">
      <c r="A2061" s="391">
        <v>91030</v>
      </c>
      <c r="B2061" s="478" t="s">
        <v>866</v>
      </c>
      <c r="C2061" s="391" t="s">
        <v>558</v>
      </c>
      <c r="D2061" s="479">
        <v>155.44999999999999</v>
      </c>
      <c r="E2061" s="368"/>
      <c r="F2061" s="368"/>
    </row>
    <row r="2062" spans="1:6" ht="51" x14ac:dyDescent="0.2">
      <c r="A2062" s="391">
        <v>102812</v>
      </c>
      <c r="B2062" s="478" t="s">
        <v>40866</v>
      </c>
      <c r="C2062" s="391" t="s">
        <v>558</v>
      </c>
      <c r="D2062" s="479">
        <v>0</v>
      </c>
      <c r="E2062" s="368"/>
      <c r="F2062" s="368"/>
    </row>
    <row r="2063" spans="1:6" ht="38.25" x14ac:dyDescent="0.2">
      <c r="A2063" s="391">
        <v>102813</v>
      </c>
      <c r="B2063" s="478" t="s">
        <v>40867</v>
      </c>
      <c r="C2063" s="391" t="s">
        <v>558</v>
      </c>
      <c r="D2063" s="479">
        <v>0</v>
      </c>
      <c r="E2063" s="368"/>
      <c r="F2063" s="368"/>
    </row>
    <row r="2064" spans="1:6" ht="51" x14ac:dyDescent="0.2">
      <c r="A2064" s="391">
        <v>102814</v>
      </c>
      <c r="B2064" s="478" t="s">
        <v>40868</v>
      </c>
      <c r="C2064" s="391" t="s">
        <v>558</v>
      </c>
      <c r="D2064" s="479">
        <v>0</v>
      </c>
      <c r="E2064" s="368"/>
      <c r="F2064" s="368"/>
    </row>
    <row r="2065" spans="1:6" ht="51" x14ac:dyDescent="0.2">
      <c r="A2065" s="391">
        <v>102815</v>
      </c>
      <c r="B2065" s="478" t="s">
        <v>1113</v>
      </c>
      <c r="C2065" s="391" t="s">
        <v>558</v>
      </c>
      <c r="D2065" s="479">
        <v>3.12</v>
      </c>
      <c r="E2065" s="368"/>
      <c r="F2065" s="368"/>
    </row>
    <row r="2066" spans="1:6" ht="25.5" x14ac:dyDescent="0.2">
      <c r="A2066" s="391">
        <v>91529</v>
      </c>
      <c r="B2066" s="478" t="s">
        <v>901</v>
      </c>
      <c r="C2066" s="391" t="s">
        <v>558</v>
      </c>
      <c r="D2066" s="479">
        <v>0.79</v>
      </c>
      <c r="E2066" s="368"/>
      <c r="F2066" s="368"/>
    </row>
    <row r="2067" spans="1:6" ht="25.5" x14ac:dyDescent="0.2">
      <c r="A2067" s="391">
        <v>91530</v>
      </c>
      <c r="B2067" s="478" t="s">
        <v>902</v>
      </c>
      <c r="C2067" s="391" t="s">
        <v>558</v>
      </c>
      <c r="D2067" s="479">
        <v>0.21</v>
      </c>
      <c r="E2067" s="368"/>
      <c r="F2067" s="368"/>
    </row>
    <row r="2068" spans="1:6" ht="25.5" x14ac:dyDescent="0.2">
      <c r="A2068" s="391">
        <v>91531</v>
      </c>
      <c r="B2068" s="478" t="s">
        <v>903</v>
      </c>
      <c r="C2068" s="391" t="s">
        <v>558</v>
      </c>
      <c r="D2068" s="479">
        <v>0.99</v>
      </c>
      <c r="E2068" s="368"/>
      <c r="F2068" s="368"/>
    </row>
    <row r="2069" spans="1:6" ht="25.5" x14ac:dyDescent="0.2">
      <c r="A2069" s="391">
        <v>91532</v>
      </c>
      <c r="B2069" s="478" t="s">
        <v>904</v>
      </c>
      <c r="C2069" s="391" t="s">
        <v>558</v>
      </c>
      <c r="D2069" s="479">
        <v>6.59</v>
      </c>
      <c r="E2069" s="368"/>
      <c r="F2069" s="368"/>
    </row>
    <row r="2070" spans="1:6" ht="25.5" x14ac:dyDescent="0.2">
      <c r="A2070" s="391">
        <v>95260</v>
      </c>
      <c r="B2070" s="478" t="s">
        <v>1028</v>
      </c>
      <c r="C2070" s="391" t="s">
        <v>558</v>
      </c>
      <c r="D2070" s="479">
        <v>0.64</v>
      </c>
      <c r="E2070" s="368"/>
      <c r="F2070" s="368"/>
    </row>
    <row r="2071" spans="1:6" ht="25.5" x14ac:dyDescent="0.2">
      <c r="A2071" s="391">
        <v>95261</v>
      </c>
      <c r="B2071" s="478" t="s">
        <v>1029</v>
      </c>
      <c r="C2071" s="391" t="s">
        <v>558</v>
      </c>
      <c r="D2071" s="479">
        <v>0.17</v>
      </c>
      <c r="E2071" s="368"/>
      <c r="F2071" s="368"/>
    </row>
    <row r="2072" spans="1:6" ht="25.5" x14ac:dyDescent="0.2">
      <c r="A2072" s="391">
        <v>95262</v>
      </c>
      <c r="B2072" s="478" t="s">
        <v>1030</v>
      </c>
      <c r="C2072" s="391" t="s">
        <v>558</v>
      </c>
      <c r="D2072" s="479">
        <v>0.8</v>
      </c>
      <c r="E2072" s="368"/>
      <c r="F2072" s="368"/>
    </row>
    <row r="2073" spans="1:6" ht="25.5" x14ac:dyDescent="0.2">
      <c r="A2073" s="391">
        <v>95263</v>
      </c>
      <c r="B2073" s="478" t="s">
        <v>1031</v>
      </c>
      <c r="C2073" s="391" t="s">
        <v>558</v>
      </c>
      <c r="D2073" s="479">
        <v>4.99</v>
      </c>
      <c r="E2073" s="368"/>
      <c r="F2073" s="368"/>
    </row>
    <row r="2074" spans="1:6" ht="25.5" x14ac:dyDescent="0.2">
      <c r="A2074" s="391">
        <v>90968</v>
      </c>
      <c r="B2074" s="478" t="s">
        <v>849</v>
      </c>
      <c r="C2074" s="391" t="s">
        <v>558</v>
      </c>
      <c r="D2074" s="479">
        <v>6.66</v>
      </c>
      <c r="E2074" s="368"/>
      <c r="F2074" s="368"/>
    </row>
    <row r="2075" spans="1:6" ht="25.5" x14ac:dyDescent="0.2">
      <c r="A2075" s="391">
        <v>90969</v>
      </c>
      <c r="B2075" s="478" t="s">
        <v>850</v>
      </c>
      <c r="C2075" s="391" t="s">
        <v>558</v>
      </c>
      <c r="D2075" s="479">
        <v>1.78</v>
      </c>
      <c r="E2075" s="368"/>
      <c r="F2075" s="368"/>
    </row>
    <row r="2076" spans="1:6" ht="25.5" x14ac:dyDescent="0.2">
      <c r="A2076" s="391">
        <v>90970</v>
      </c>
      <c r="B2076" s="478" t="s">
        <v>851</v>
      </c>
      <c r="C2076" s="391" t="s">
        <v>558</v>
      </c>
      <c r="D2076" s="479">
        <v>8.34</v>
      </c>
      <c r="E2076" s="368"/>
      <c r="F2076" s="368"/>
    </row>
    <row r="2077" spans="1:6" ht="38.25" x14ac:dyDescent="0.2">
      <c r="A2077" s="391">
        <v>90971</v>
      </c>
      <c r="B2077" s="478" t="s">
        <v>852</v>
      </c>
      <c r="C2077" s="391" t="s">
        <v>558</v>
      </c>
      <c r="D2077" s="479">
        <v>64.22</v>
      </c>
      <c r="E2077" s="368"/>
      <c r="F2077" s="368"/>
    </row>
    <row r="2078" spans="1:6" ht="25.5" x14ac:dyDescent="0.2">
      <c r="A2078" s="391">
        <v>90992</v>
      </c>
      <c r="B2078" s="478" t="s">
        <v>857</v>
      </c>
      <c r="C2078" s="391" t="s">
        <v>558</v>
      </c>
      <c r="D2078" s="479">
        <v>7.9</v>
      </c>
      <c r="E2078" s="368"/>
      <c r="F2078" s="368"/>
    </row>
    <row r="2079" spans="1:6" ht="25.5" x14ac:dyDescent="0.2">
      <c r="A2079" s="391">
        <v>90993</v>
      </c>
      <c r="B2079" s="478" t="s">
        <v>858</v>
      </c>
      <c r="C2079" s="391" t="s">
        <v>558</v>
      </c>
      <c r="D2079" s="479">
        <v>2.12</v>
      </c>
      <c r="E2079" s="368"/>
      <c r="F2079" s="368"/>
    </row>
    <row r="2080" spans="1:6" ht="25.5" x14ac:dyDescent="0.2">
      <c r="A2080" s="391">
        <v>90994</v>
      </c>
      <c r="B2080" s="478" t="s">
        <v>859</v>
      </c>
      <c r="C2080" s="391" t="s">
        <v>558</v>
      </c>
      <c r="D2080" s="479">
        <v>9.89</v>
      </c>
      <c r="E2080" s="368"/>
      <c r="F2080" s="368"/>
    </row>
    <row r="2081" spans="1:6" ht="38.25" x14ac:dyDescent="0.2">
      <c r="A2081" s="391">
        <v>90995</v>
      </c>
      <c r="B2081" s="478" t="s">
        <v>860</v>
      </c>
      <c r="C2081" s="391" t="s">
        <v>558</v>
      </c>
      <c r="D2081" s="479">
        <v>87.23</v>
      </c>
      <c r="E2081" s="368"/>
      <c r="F2081" s="368"/>
    </row>
    <row r="2082" spans="1:6" ht="38.25" x14ac:dyDescent="0.2">
      <c r="A2082" s="391">
        <v>90957</v>
      </c>
      <c r="B2082" s="478" t="s">
        <v>843</v>
      </c>
      <c r="C2082" s="391" t="s">
        <v>558</v>
      </c>
      <c r="D2082" s="479">
        <v>4.97</v>
      </c>
      <c r="E2082" s="368"/>
      <c r="F2082" s="368"/>
    </row>
    <row r="2083" spans="1:6" ht="25.5" x14ac:dyDescent="0.2">
      <c r="A2083" s="391">
        <v>90958</v>
      </c>
      <c r="B2083" s="478" t="s">
        <v>844</v>
      </c>
      <c r="C2083" s="391" t="s">
        <v>558</v>
      </c>
      <c r="D2083" s="479">
        <v>1.33</v>
      </c>
      <c r="E2083" s="368"/>
      <c r="F2083" s="368"/>
    </row>
    <row r="2084" spans="1:6" ht="38.25" x14ac:dyDescent="0.2">
      <c r="A2084" s="391">
        <v>5797</v>
      </c>
      <c r="B2084" s="478" t="s">
        <v>599</v>
      </c>
      <c r="C2084" s="391" t="s">
        <v>558</v>
      </c>
      <c r="D2084" s="479">
        <v>6.22</v>
      </c>
      <c r="E2084" s="368"/>
      <c r="F2084" s="368"/>
    </row>
    <row r="2085" spans="1:6" ht="38.25" x14ac:dyDescent="0.2">
      <c r="A2085" s="391">
        <v>53865</v>
      </c>
      <c r="B2085" s="478" t="s">
        <v>645</v>
      </c>
      <c r="C2085" s="391" t="s">
        <v>558</v>
      </c>
      <c r="D2085" s="479">
        <v>49.95</v>
      </c>
      <c r="E2085" s="368"/>
      <c r="F2085" s="368"/>
    </row>
    <row r="2086" spans="1:6" ht="38.25" x14ac:dyDescent="0.2">
      <c r="A2086" s="391">
        <v>90975</v>
      </c>
      <c r="B2086" s="478" t="s">
        <v>853</v>
      </c>
      <c r="C2086" s="391" t="s">
        <v>558</v>
      </c>
      <c r="D2086" s="479">
        <v>16.920000000000002</v>
      </c>
      <c r="E2086" s="368"/>
      <c r="F2086" s="368"/>
    </row>
    <row r="2087" spans="1:6" ht="25.5" x14ac:dyDescent="0.2">
      <c r="A2087" s="391">
        <v>90976</v>
      </c>
      <c r="B2087" s="478" t="s">
        <v>854</v>
      </c>
      <c r="C2087" s="391" t="s">
        <v>558</v>
      </c>
      <c r="D2087" s="479">
        <v>4.54</v>
      </c>
      <c r="E2087" s="368"/>
      <c r="F2087" s="368"/>
    </row>
    <row r="2088" spans="1:6" ht="38.25" x14ac:dyDescent="0.2">
      <c r="A2088" s="391">
        <v>90977</v>
      </c>
      <c r="B2088" s="478" t="s">
        <v>855</v>
      </c>
      <c r="C2088" s="391" t="s">
        <v>558</v>
      </c>
      <c r="D2088" s="479">
        <v>21.17</v>
      </c>
      <c r="E2088" s="368"/>
      <c r="F2088" s="368"/>
    </row>
    <row r="2089" spans="1:6" ht="38.25" x14ac:dyDescent="0.2">
      <c r="A2089" s="391">
        <v>90978</v>
      </c>
      <c r="B2089" s="478" t="s">
        <v>856</v>
      </c>
      <c r="C2089" s="391" t="s">
        <v>558</v>
      </c>
      <c r="D2089" s="479">
        <v>166.61</v>
      </c>
      <c r="E2089" s="368"/>
      <c r="F2089" s="368"/>
    </row>
    <row r="2090" spans="1:6" ht="38.25" x14ac:dyDescent="0.2">
      <c r="A2090" s="391">
        <v>90960</v>
      </c>
      <c r="B2090" s="478" t="s">
        <v>845</v>
      </c>
      <c r="C2090" s="391" t="s">
        <v>558</v>
      </c>
      <c r="D2090" s="479">
        <v>6.64</v>
      </c>
      <c r="E2090" s="368"/>
      <c r="F2090" s="368"/>
    </row>
    <row r="2091" spans="1:6" ht="25.5" x14ac:dyDescent="0.2">
      <c r="A2091" s="391">
        <v>90961</v>
      </c>
      <c r="B2091" s="478" t="s">
        <v>846</v>
      </c>
      <c r="C2091" s="391" t="s">
        <v>558</v>
      </c>
      <c r="D2091" s="479">
        <v>1.78</v>
      </c>
      <c r="E2091" s="368"/>
      <c r="F2091" s="368"/>
    </row>
    <row r="2092" spans="1:6" ht="38.25" x14ac:dyDescent="0.2">
      <c r="A2092" s="391">
        <v>90962</v>
      </c>
      <c r="B2092" s="478" t="s">
        <v>847</v>
      </c>
      <c r="C2092" s="391" t="s">
        <v>558</v>
      </c>
      <c r="D2092" s="479">
        <v>8.31</v>
      </c>
      <c r="E2092" s="368"/>
      <c r="F2092" s="368"/>
    </row>
    <row r="2093" spans="1:6" ht="38.25" x14ac:dyDescent="0.2">
      <c r="A2093" s="391">
        <v>90963</v>
      </c>
      <c r="B2093" s="478" t="s">
        <v>848</v>
      </c>
      <c r="C2093" s="391" t="s">
        <v>558</v>
      </c>
      <c r="D2093" s="479">
        <v>15.85</v>
      </c>
      <c r="E2093" s="368"/>
      <c r="F2093" s="368"/>
    </row>
    <row r="2094" spans="1:6" ht="38.25" x14ac:dyDescent="0.2">
      <c r="A2094" s="391">
        <v>102966</v>
      </c>
      <c r="B2094" s="478" t="s">
        <v>47559</v>
      </c>
      <c r="C2094" s="391" t="s">
        <v>558</v>
      </c>
      <c r="D2094" s="479">
        <v>0</v>
      </c>
      <c r="E2094" s="368"/>
      <c r="F2094" s="368"/>
    </row>
    <row r="2095" spans="1:6" ht="38.25" x14ac:dyDescent="0.2">
      <c r="A2095" s="391">
        <v>102967</v>
      </c>
      <c r="B2095" s="478" t="s">
        <v>47560</v>
      </c>
      <c r="C2095" s="391" t="s">
        <v>558</v>
      </c>
      <c r="D2095" s="479">
        <v>0</v>
      </c>
      <c r="E2095" s="368"/>
      <c r="F2095" s="368"/>
    </row>
    <row r="2096" spans="1:6" ht="38.25" x14ac:dyDescent="0.2">
      <c r="A2096" s="391">
        <v>102968</v>
      </c>
      <c r="B2096" s="478" t="s">
        <v>47561</v>
      </c>
      <c r="C2096" s="391" t="s">
        <v>558</v>
      </c>
      <c r="D2096" s="479">
        <v>0</v>
      </c>
      <c r="E2096" s="368"/>
      <c r="F2096" s="368"/>
    </row>
    <row r="2097" spans="1:6" ht="38.25" x14ac:dyDescent="0.2">
      <c r="A2097" s="391">
        <v>102969</v>
      </c>
      <c r="B2097" s="478" t="s">
        <v>1132</v>
      </c>
      <c r="C2097" s="391" t="s">
        <v>558</v>
      </c>
      <c r="D2097" s="479">
        <v>0.13</v>
      </c>
      <c r="E2097" s="368"/>
      <c r="F2097" s="368"/>
    </row>
    <row r="2098" spans="1:6" ht="38.25" x14ac:dyDescent="0.2">
      <c r="A2098" s="391">
        <v>102818</v>
      </c>
      <c r="B2098" s="478" t="s">
        <v>47562</v>
      </c>
      <c r="C2098" s="391" t="s">
        <v>558</v>
      </c>
      <c r="D2098" s="479">
        <v>0</v>
      </c>
      <c r="E2098" s="368"/>
      <c r="F2098" s="368"/>
    </row>
    <row r="2099" spans="1:6" ht="38.25" x14ac:dyDescent="0.2">
      <c r="A2099" s="391">
        <v>102819</v>
      </c>
      <c r="B2099" s="478" t="s">
        <v>47563</v>
      </c>
      <c r="C2099" s="391" t="s">
        <v>558</v>
      </c>
      <c r="D2099" s="479">
        <v>0</v>
      </c>
      <c r="E2099" s="368"/>
      <c r="F2099" s="368"/>
    </row>
    <row r="2100" spans="1:6" ht="38.25" x14ac:dyDescent="0.2">
      <c r="A2100" s="391">
        <v>102820</v>
      </c>
      <c r="B2100" s="478" t="s">
        <v>47564</v>
      </c>
      <c r="C2100" s="391" t="s">
        <v>558</v>
      </c>
      <c r="D2100" s="479">
        <v>0</v>
      </c>
      <c r="E2100" s="368"/>
      <c r="F2100" s="368"/>
    </row>
    <row r="2101" spans="1:6" ht="38.25" x14ac:dyDescent="0.2">
      <c r="A2101" s="391">
        <v>102832</v>
      </c>
      <c r="B2101" s="478" t="s">
        <v>47565</v>
      </c>
      <c r="C2101" s="391" t="s">
        <v>558</v>
      </c>
      <c r="D2101" s="479">
        <v>7.82</v>
      </c>
      <c r="E2101" s="368"/>
      <c r="F2101" s="368"/>
    </row>
    <row r="2102" spans="1:6" ht="38.25" x14ac:dyDescent="0.2">
      <c r="A2102" s="391">
        <v>102823</v>
      </c>
      <c r="B2102" s="478" t="s">
        <v>40869</v>
      </c>
      <c r="C2102" s="391" t="s">
        <v>558</v>
      </c>
      <c r="D2102" s="479">
        <v>0</v>
      </c>
      <c r="E2102" s="368"/>
      <c r="F2102" s="368"/>
    </row>
    <row r="2103" spans="1:6" ht="25.5" x14ac:dyDescent="0.2">
      <c r="A2103" s="391">
        <v>102824</v>
      </c>
      <c r="B2103" s="478" t="s">
        <v>40870</v>
      </c>
      <c r="C2103" s="391" t="s">
        <v>558</v>
      </c>
      <c r="D2103" s="479">
        <v>0</v>
      </c>
      <c r="E2103" s="368"/>
      <c r="F2103" s="368"/>
    </row>
    <row r="2104" spans="1:6" ht="38.25" x14ac:dyDescent="0.2">
      <c r="A2104" s="391">
        <v>102825</v>
      </c>
      <c r="B2104" s="478" t="s">
        <v>40871</v>
      </c>
      <c r="C2104" s="391" t="s">
        <v>558</v>
      </c>
      <c r="D2104" s="479">
        <v>0</v>
      </c>
      <c r="E2104" s="368"/>
      <c r="F2104" s="368"/>
    </row>
    <row r="2105" spans="1:6" ht="38.25" x14ac:dyDescent="0.2">
      <c r="A2105" s="391">
        <v>102826</v>
      </c>
      <c r="B2105" s="478" t="s">
        <v>1114</v>
      </c>
      <c r="C2105" s="391" t="s">
        <v>558</v>
      </c>
      <c r="D2105" s="479">
        <v>5.86</v>
      </c>
      <c r="E2105" s="368"/>
      <c r="F2105" s="368"/>
    </row>
    <row r="2106" spans="1:6" ht="38.25" x14ac:dyDescent="0.2">
      <c r="A2106" s="391">
        <v>103934</v>
      </c>
      <c r="B2106" s="478" t="s">
        <v>47566</v>
      </c>
      <c r="C2106" s="391" t="s">
        <v>558</v>
      </c>
      <c r="D2106" s="479">
        <v>0</v>
      </c>
      <c r="E2106" s="368"/>
      <c r="F2106" s="368"/>
    </row>
    <row r="2107" spans="1:6" ht="38.25" x14ac:dyDescent="0.2">
      <c r="A2107" s="391">
        <v>103935</v>
      </c>
      <c r="B2107" s="478" t="s">
        <v>47567</v>
      </c>
      <c r="C2107" s="391" t="s">
        <v>558</v>
      </c>
      <c r="D2107" s="479">
        <v>0</v>
      </c>
      <c r="E2107" s="368"/>
      <c r="F2107" s="368"/>
    </row>
    <row r="2108" spans="1:6" ht="38.25" x14ac:dyDescent="0.2">
      <c r="A2108" s="391">
        <v>103936</v>
      </c>
      <c r="B2108" s="478" t="s">
        <v>47568</v>
      </c>
      <c r="C2108" s="391" t="s">
        <v>558</v>
      </c>
      <c r="D2108" s="479">
        <v>0</v>
      </c>
      <c r="E2108" s="368"/>
      <c r="F2108" s="368"/>
    </row>
    <row r="2109" spans="1:6" ht="38.25" x14ac:dyDescent="0.2">
      <c r="A2109" s="391">
        <v>103937</v>
      </c>
      <c r="B2109" s="478" t="s">
        <v>47569</v>
      </c>
      <c r="C2109" s="391" t="s">
        <v>558</v>
      </c>
      <c r="D2109" s="479">
        <v>1.4</v>
      </c>
      <c r="E2109" s="368"/>
      <c r="F2109" s="368"/>
    </row>
    <row r="2110" spans="1:6" ht="38.25" x14ac:dyDescent="0.2">
      <c r="A2110" s="391">
        <v>103940</v>
      </c>
      <c r="B2110" s="478" t="s">
        <v>47570</v>
      </c>
      <c r="C2110" s="391" t="s">
        <v>558</v>
      </c>
      <c r="D2110" s="479">
        <v>0</v>
      </c>
      <c r="E2110" s="368"/>
      <c r="F2110" s="368"/>
    </row>
    <row r="2111" spans="1:6" ht="38.25" x14ac:dyDescent="0.2">
      <c r="A2111" s="391">
        <v>103941</v>
      </c>
      <c r="B2111" s="478" t="s">
        <v>47571</v>
      </c>
      <c r="C2111" s="391" t="s">
        <v>558</v>
      </c>
      <c r="D2111" s="479">
        <v>0</v>
      </c>
      <c r="E2111" s="368"/>
      <c r="F2111" s="368"/>
    </row>
    <row r="2112" spans="1:6" ht="38.25" x14ac:dyDescent="0.2">
      <c r="A2112" s="391">
        <v>103942</v>
      </c>
      <c r="B2112" s="478" t="s">
        <v>47572</v>
      </c>
      <c r="C2112" s="391" t="s">
        <v>558</v>
      </c>
      <c r="D2112" s="479">
        <v>0</v>
      </c>
      <c r="E2112" s="368"/>
      <c r="F2112" s="368"/>
    </row>
    <row r="2113" spans="1:6" ht="38.25" x14ac:dyDescent="0.2">
      <c r="A2113" s="391">
        <v>103943</v>
      </c>
      <c r="B2113" s="478" t="s">
        <v>47573</v>
      </c>
      <c r="C2113" s="391" t="s">
        <v>558</v>
      </c>
      <c r="D2113" s="479">
        <v>1.4</v>
      </c>
      <c r="E2113" s="368"/>
      <c r="F2113" s="368"/>
    </row>
    <row r="2114" spans="1:6" ht="38.25" x14ac:dyDescent="0.2">
      <c r="A2114" s="391">
        <v>91279</v>
      </c>
      <c r="B2114" s="478" t="s">
        <v>871</v>
      </c>
      <c r="C2114" s="391" t="s">
        <v>558</v>
      </c>
      <c r="D2114" s="479">
        <v>1.07</v>
      </c>
      <c r="E2114" s="368"/>
      <c r="F2114" s="368"/>
    </row>
    <row r="2115" spans="1:6" ht="38.25" x14ac:dyDescent="0.2">
      <c r="A2115" s="391">
        <v>91280</v>
      </c>
      <c r="B2115" s="478" t="s">
        <v>872</v>
      </c>
      <c r="C2115" s="391" t="s">
        <v>558</v>
      </c>
      <c r="D2115" s="479">
        <v>0.24</v>
      </c>
      <c r="E2115" s="368"/>
      <c r="F2115" s="368"/>
    </row>
    <row r="2116" spans="1:6" ht="38.25" x14ac:dyDescent="0.2">
      <c r="A2116" s="391">
        <v>91281</v>
      </c>
      <c r="B2116" s="478" t="s">
        <v>873</v>
      </c>
      <c r="C2116" s="391" t="s">
        <v>558</v>
      </c>
      <c r="D2116" s="479">
        <v>1.34</v>
      </c>
      <c r="E2116" s="368"/>
      <c r="F2116" s="368"/>
    </row>
    <row r="2117" spans="1:6" ht="51" x14ac:dyDescent="0.2">
      <c r="A2117" s="391">
        <v>91282</v>
      </c>
      <c r="B2117" s="478" t="s">
        <v>874</v>
      </c>
      <c r="C2117" s="391" t="s">
        <v>558</v>
      </c>
      <c r="D2117" s="479">
        <v>9.2799999999999994</v>
      </c>
      <c r="E2117" s="368"/>
      <c r="F2117" s="368"/>
    </row>
    <row r="2118" spans="1:6" ht="25.5" x14ac:dyDescent="0.2">
      <c r="A2118" s="391">
        <v>95278</v>
      </c>
      <c r="B2118" s="478" t="s">
        <v>1040</v>
      </c>
      <c r="C2118" s="391" t="s">
        <v>558</v>
      </c>
      <c r="D2118" s="479">
        <v>0.76</v>
      </c>
      <c r="E2118" s="368"/>
      <c r="F2118" s="368"/>
    </row>
    <row r="2119" spans="1:6" ht="25.5" x14ac:dyDescent="0.2">
      <c r="A2119" s="391">
        <v>95279</v>
      </c>
      <c r="B2119" s="478" t="s">
        <v>1041</v>
      </c>
      <c r="C2119" s="391" t="s">
        <v>558</v>
      </c>
      <c r="D2119" s="479">
        <v>0.15</v>
      </c>
      <c r="E2119" s="368"/>
      <c r="F2119" s="368"/>
    </row>
    <row r="2120" spans="1:6" ht="25.5" x14ac:dyDescent="0.2">
      <c r="A2120" s="391">
        <v>95280</v>
      </c>
      <c r="B2120" s="478" t="s">
        <v>1042</v>
      </c>
      <c r="C2120" s="391" t="s">
        <v>558</v>
      </c>
      <c r="D2120" s="479">
        <v>0.74</v>
      </c>
      <c r="E2120" s="368"/>
      <c r="F2120" s="368"/>
    </row>
    <row r="2121" spans="1:6" ht="25.5" x14ac:dyDescent="0.2">
      <c r="A2121" s="391">
        <v>95281</v>
      </c>
      <c r="B2121" s="478" t="s">
        <v>47574</v>
      </c>
      <c r="C2121" s="391" t="s">
        <v>558</v>
      </c>
      <c r="D2121" s="479">
        <v>9.2100000000000009</v>
      </c>
      <c r="E2121" s="368"/>
      <c r="F2121" s="368"/>
    </row>
    <row r="2122" spans="1:6" ht="25.5" x14ac:dyDescent="0.2">
      <c r="A2122" s="391">
        <v>95124</v>
      </c>
      <c r="B2122" s="478" t="s">
        <v>1014</v>
      </c>
      <c r="C2122" s="391" t="s">
        <v>558</v>
      </c>
      <c r="D2122" s="479">
        <v>5.73</v>
      </c>
      <c r="E2122" s="368"/>
      <c r="F2122" s="368"/>
    </row>
    <row r="2123" spans="1:6" ht="25.5" x14ac:dyDescent="0.2">
      <c r="A2123" s="391">
        <v>95123</v>
      </c>
      <c r="B2123" s="478" t="s">
        <v>1013</v>
      </c>
      <c r="C2123" s="391" t="s">
        <v>558</v>
      </c>
      <c r="D2123" s="479">
        <v>18.579999999999998</v>
      </c>
      <c r="E2123" s="368"/>
      <c r="F2123" s="368"/>
    </row>
    <row r="2124" spans="1:6" ht="25.5" x14ac:dyDescent="0.2">
      <c r="A2124" s="391">
        <v>95125</v>
      </c>
      <c r="B2124" s="478" t="s">
        <v>1015</v>
      </c>
      <c r="C2124" s="391" t="s">
        <v>558</v>
      </c>
      <c r="D2124" s="479">
        <v>20.329999999999998</v>
      </c>
      <c r="E2124" s="368"/>
      <c r="F2124" s="368"/>
    </row>
    <row r="2125" spans="1:6" ht="25.5" x14ac:dyDescent="0.2">
      <c r="A2125" s="391">
        <v>95126</v>
      </c>
      <c r="B2125" s="478" t="s">
        <v>1016</v>
      </c>
      <c r="C2125" s="391" t="s">
        <v>558</v>
      </c>
      <c r="D2125" s="479">
        <v>156.02000000000001</v>
      </c>
      <c r="E2125" s="368"/>
      <c r="F2125" s="368"/>
    </row>
    <row r="2126" spans="1:6" ht="25.5" x14ac:dyDescent="0.2">
      <c r="A2126" s="391">
        <v>92040</v>
      </c>
      <c r="B2126" s="478" t="s">
        <v>919</v>
      </c>
      <c r="C2126" s="391" t="s">
        <v>558</v>
      </c>
      <c r="D2126" s="479">
        <v>6.73</v>
      </c>
      <c r="E2126" s="368"/>
      <c r="F2126" s="368"/>
    </row>
    <row r="2127" spans="1:6" ht="25.5" x14ac:dyDescent="0.2">
      <c r="A2127" s="391">
        <v>92041</v>
      </c>
      <c r="B2127" s="478" t="s">
        <v>920</v>
      </c>
      <c r="C2127" s="391" t="s">
        <v>558</v>
      </c>
      <c r="D2127" s="479">
        <v>1.38</v>
      </c>
      <c r="E2127" s="368"/>
      <c r="F2127" s="368"/>
    </row>
    <row r="2128" spans="1:6" ht="25.5" x14ac:dyDescent="0.2">
      <c r="A2128" s="391">
        <v>92042</v>
      </c>
      <c r="B2128" s="478" t="s">
        <v>921</v>
      </c>
      <c r="C2128" s="391" t="s">
        <v>558</v>
      </c>
      <c r="D2128" s="479">
        <v>5.61</v>
      </c>
      <c r="E2128" s="368"/>
      <c r="F2128" s="368"/>
    </row>
    <row r="2129" spans="1:6" x14ac:dyDescent="0.2">
      <c r="A2129" s="391">
        <v>102829</v>
      </c>
      <c r="B2129" s="478" t="s">
        <v>40872</v>
      </c>
      <c r="C2129" s="391" t="s">
        <v>558</v>
      </c>
      <c r="D2129" s="479">
        <v>0</v>
      </c>
      <c r="E2129" s="368"/>
      <c r="F2129" s="368"/>
    </row>
    <row r="2130" spans="1:6" x14ac:dyDescent="0.2">
      <c r="A2130" s="391">
        <v>102830</v>
      </c>
      <c r="B2130" s="478" t="s">
        <v>40873</v>
      </c>
      <c r="C2130" s="391" t="s">
        <v>558</v>
      </c>
      <c r="D2130" s="479">
        <v>0</v>
      </c>
      <c r="E2130" s="368"/>
      <c r="F2130" s="368"/>
    </row>
    <row r="2131" spans="1:6" x14ac:dyDescent="0.2">
      <c r="A2131" s="391">
        <v>102831</v>
      </c>
      <c r="B2131" s="478" t="s">
        <v>40874</v>
      </c>
      <c r="C2131" s="391" t="s">
        <v>558</v>
      </c>
      <c r="D2131" s="479">
        <v>0</v>
      </c>
      <c r="E2131" s="368"/>
      <c r="F2131" s="368"/>
    </row>
    <row r="2132" spans="1:6" x14ac:dyDescent="0.2">
      <c r="A2132" s="391">
        <v>92114</v>
      </c>
      <c r="B2132" s="478" t="s">
        <v>931</v>
      </c>
      <c r="C2132" s="391" t="s">
        <v>558</v>
      </c>
      <c r="D2132" s="479">
        <v>0.23</v>
      </c>
      <c r="E2132" s="368"/>
      <c r="F2132" s="368"/>
    </row>
    <row r="2133" spans="1:6" x14ac:dyDescent="0.2">
      <c r="A2133" s="391">
        <v>92115</v>
      </c>
      <c r="B2133" s="478" t="s">
        <v>932</v>
      </c>
      <c r="C2133" s="391" t="s">
        <v>558</v>
      </c>
      <c r="D2133" s="479">
        <v>0.04</v>
      </c>
      <c r="E2133" s="368"/>
      <c r="F2133" s="368"/>
    </row>
    <row r="2134" spans="1:6" x14ac:dyDescent="0.2">
      <c r="A2134" s="391">
        <v>92116</v>
      </c>
      <c r="B2134" s="478" t="s">
        <v>933</v>
      </c>
      <c r="C2134" s="391" t="s">
        <v>558</v>
      </c>
      <c r="D2134" s="479">
        <v>0.16</v>
      </c>
      <c r="E2134" s="368"/>
      <c r="F2134" s="368"/>
    </row>
    <row r="2135" spans="1:6" x14ac:dyDescent="0.2">
      <c r="A2135" s="391">
        <v>102912</v>
      </c>
      <c r="B2135" s="478" t="s">
        <v>40875</v>
      </c>
      <c r="C2135" s="391" t="s">
        <v>558</v>
      </c>
      <c r="D2135" s="479">
        <v>0</v>
      </c>
      <c r="E2135" s="368"/>
      <c r="F2135" s="368"/>
    </row>
    <row r="2136" spans="1:6" x14ac:dyDescent="0.2">
      <c r="A2136" s="391">
        <v>102913</v>
      </c>
      <c r="B2136" s="478" t="s">
        <v>40876</v>
      </c>
      <c r="C2136" s="391" t="s">
        <v>558</v>
      </c>
      <c r="D2136" s="479">
        <v>0</v>
      </c>
      <c r="E2136" s="368"/>
      <c r="F2136" s="368"/>
    </row>
    <row r="2137" spans="1:6" x14ac:dyDescent="0.2">
      <c r="A2137" s="391">
        <v>102914</v>
      </c>
      <c r="B2137" s="478" t="s">
        <v>40877</v>
      </c>
      <c r="C2137" s="391" t="s">
        <v>558</v>
      </c>
      <c r="D2137" s="479">
        <v>0</v>
      </c>
      <c r="E2137" s="368"/>
      <c r="F2137" s="368"/>
    </row>
    <row r="2138" spans="1:6" ht="25.5" x14ac:dyDescent="0.2">
      <c r="A2138" s="391">
        <v>102915</v>
      </c>
      <c r="B2138" s="478" t="s">
        <v>1125</v>
      </c>
      <c r="C2138" s="391" t="s">
        <v>558</v>
      </c>
      <c r="D2138" s="479">
        <v>0.56999999999999995</v>
      </c>
      <c r="E2138" s="368"/>
      <c r="F2138" s="368"/>
    </row>
    <row r="2139" spans="1:6" ht="51" x14ac:dyDescent="0.2">
      <c r="A2139" s="391">
        <v>95716</v>
      </c>
      <c r="B2139" s="478" t="s">
        <v>1058</v>
      </c>
      <c r="C2139" s="391" t="s">
        <v>558</v>
      </c>
      <c r="D2139" s="479">
        <v>65.91</v>
      </c>
      <c r="E2139" s="368"/>
      <c r="F2139" s="368"/>
    </row>
    <row r="2140" spans="1:6" ht="38.25" x14ac:dyDescent="0.2">
      <c r="A2140" s="391">
        <v>95717</v>
      </c>
      <c r="B2140" s="478" t="s">
        <v>1059</v>
      </c>
      <c r="C2140" s="391" t="s">
        <v>558</v>
      </c>
      <c r="D2140" s="479">
        <v>17.420000000000002</v>
      </c>
      <c r="E2140" s="368"/>
      <c r="F2140" s="368"/>
    </row>
    <row r="2141" spans="1:6" ht="51" x14ac:dyDescent="0.2">
      <c r="A2141" s="391">
        <v>95718</v>
      </c>
      <c r="B2141" s="478" t="s">
        <v>1060</v>
      </c>
      <c r="C2141" s="391" t="s">
        <v>558</v>
      </c>
      <c r="D2141" s="479">
        <v>82.39</v>
      </c>
      <c r="E2141" s="368"/>
      <c r="F2141" s="368"/>
    </row>
    <row r="2142" spans="1:6" ht="51" x14ac:dyDescent="0.2">
      <c r="A2142" s="391">
        <v>95719</v>
      </c>
      <c r="B2142" s="478" t="s">
        <v>1061</v>
      </c>
      <c r="C2142" s="391" t="s">
        <v>558</v>
      </c>
      <c r="D2142" s="479">
        <v>95.29</v>
      </c>
      <c r="E2142" s="368"/>
      <c r="F2142" s="368"/>
    </row>
    <row r="2143" spans="1:6" ht="38.25" x14ac:dyDescent="0.2">
      <c r="A2143" s="391">
        <v>104712</v>
      </c>
      <c r="B2143" s="478" t="s">
        <v>40465</v>
      </c>
      <c r="C2143" s="391" t="s">
        <v>558</v>
      </c>
      <c r="D2143" s="479">
        <v>61.95</v>
      </c>
      <c r="E2143" s="368"/>
      <c r="F2143" s="368"/>
    </row>
    <row r="2144" spans="1:6" ht="38.25" x14ac:dyDescent="0.2">
      <c r="A2144" s="391">
        <v>104713</v>
      </c>
      <c r="B2144" s="478" t="s">
        <v>40466</v>
      </c>
      <c r="C2144" s="391" t="s">
        <v>558</v>
      </c>
      <c r="D2144" s="479">
        <v>16.37</v>
      </c>
      <c r="E2144" s="368"/>
      <c r="F2144" s="368"/>
    </row>
    <row r="2145" spans="1:6" ht="38.25" x14ac:dyDescent="0.2">
      <c r="A2145" s="391">
        <v>104714</v>
      </c>
      <c r="B2145" s="478" t="s">
        <v>40467</v>
      </c>
      <c r="C2145" s="391" t="s">
        <v>558</v>
      </c>
      <c r="D2145" s="479">
        <v>77.430000000000007</v>
      </c>
      <c r="E2145" s="368"/>
      <c r="F2145" s="368"/>
    </row>
    <row r="2146" spans="1:6" ht="38.25" x14ac:dyDescent="0.2">
      <c r="A2146" s="391">
        <v>104715</v>
      </c>
      <c r="B2146" s="478" t="s">
        <v>47575</v>
      </c>
      <c r="C2146" s="391" t="s">
        <v>558</v>
      </c>
      <c r="D2146" s="479">
        <v>95.29</v>
      </c>
      <c r="E2146" s="368"/>
      <c r="F2146" s="368"/>
    </row>
    <row r="2147" spans="1:6" ht="38.25" x14ac:dyDescent="0.2">
      <c r="A2147" s="391">
        <v>102894</v>
      </c>
      <c r="B2147" s="478" t="s">
        <v>40878</v>
      </c>
      <c r="C2147" s="391" t="s">
        <v>558</v>
      </c>
      <c r="D2147" s="479">
        <v>0</v>
      </c>
      <c r="E2147" s="368"/>
      <c r="F2147" s="368"/>
    </row>
    <row r="2148" spans="1:6" ht="38.25" x14ac:dyDescent="0.2">
      <c r="A2148" s="391">
        <v>104161</v>
      </c>
      <c r="B2148" s="478" t="s">
        <v>40879</v>
      </c>
      <c r="C2148" s="391" t="s">
        <v>558</v>
      </c>
      <c r="D2148" s="479">
        <v>0</v>
      </c>
      <c r="E2148" s="368"/>
      <c r="F2148" s="368"/>
    </row>
    <row r="2149" spans="1:6" ht="38.25" x14ac:dyDescent="0.2">
      <c r="A2149" s="391">
        <v>102896</v>
      </c>
      <c r="B2149" s="478" t="s">
        <v>40880</v>
      </c>
      <c r="C2149" s="391" t="s">
        <v>558</v>
      </c>
      <c r="D2149" s="479">
        <v>0</v>
      </c>
      <c r="E2149" s="368"/>
      <c r="F2149" s="368"/>
    </row>
    <row r="2150" spans="1:6" ht="38.25" x14ac:dyDescent="0.2">
      <c r="A2150" s="391">
        <v>102897</v>
      </c>
      <c r="B2150" s="478" t="s">
        <v>1123</v>
      </c>
      <c r="C2150" s="391" t="s">
        <v>558</v>
      </c>
      <c r="D2150" s="479">
        <v>95.29</v>
      </c>
      <c r="E2150" s="368"/>
      <c r="F2150" s="368"/>
    </row>
    <row r="2151" spans="1:6" ht="25.5" x14ac:dyDescent="0.2">
      <c r="A2151" s="391">
        <v>5627</v>
      </c>
      <c r="B2151" s="478" t="s">
        <v>559</v>
      </c>
      <c r="C2151" s="391" t="s">
        <v>558</v>
      </c>
      <c r="D2151" s="479">
        <v>47.6</v>
      </c>
      <c r="E2151" s="368"/>
      <c r="F2151" s="368"/>
    </row>
    <row r="2152" spans="1:6" ht="25.5" x14ac:dyDescent="0.2">
      <c r="A2152" s="391">
        <v>5628</v>
      </c>
      <c r="B2152" s="478" t="s">
        <v>560</v>
      </c>
      <c r="C2152" s="391" t="s">
        <v>558</v>
      </c>
      <c r="D2152" s="479">
        <v>12.58</v>
      </c>
      <c r="E2152" s="368"/>
      <c r="F2152" s="368"/>
    </row>
    <row r="2153" spans="1:6" ht="25.5" x14ac:dyDescent="0.2">
      <c r="A2153" s="391">
        <v>5629</v>
      </c>
      <c r="B2153" s="478" t="s">
        <v>561</v>
      </c>
      <c r="C2153" s="391" t="s">
        <v>558</v>
      </c>
      <c r="D2153" s="479">
        <v>59.5</v>
      </c>
      <c r="E2153" s="368"/>
      <c r="F2153" s="368"/>
    </row>
    <row r="2154" spans="1:6" ht="38.25" x14ac:dyDescent="0.2">
      <c r="A2154" s="391">
        <v>5630</v>
      </c>
      <c r="B2154" s="478" t="s">
        <v>562</v>
      </c>
      <c r="C2154" s="391" t="s">
        <v>558</v>
      </c>
      <c r="D2154" s="479">
        <v>68.28</v>
      </c>
      <c r="E2154" s="368"/>
      <c r="F2154" s="368"/>
    </row>
    <row r="2155" spans="1:6" ht="25.5" x14ac:dyDescent="0.2">
      <c r="A2155" s="391">
        <v>88900</v>
      </c>
      <c r="B2155" s="478" t="s">
        <v>706</v>
      </c>
      <c r="C2155" s="391" t="s">
        <v>558</v>
      </c>
      <c r="D2155" s="479">
        <v>53.86</v>
      </c>
      <c r="E2155" s="368"/>
      <c r="F2155" s="368"/>
    </row>
    <row r="2156" spans="1:6" ht="25.5" x14ac:dyDescent="0.2">
      <c r="A2156" s="391">
        <v>88902</v>
      </c>
      <c r="B2156" s="478" t="s">
        <v>707</v>
      </c>
      <c r="C2156" s="391" t="s">
        <v>558</v>
      </c>
      <c r="D2156" s="479">
        <v>14.23</v>
      </c>
      <c r="E2156" s="368"/>
      <c r="F2156" s="368"/>
    </row>
    <row r="2157" spans="1:6" ht="25.5" x14ac:dyDescent="0.2">
      <c r="A2157" s="391">
        <v>88903</v>
      </c>
      <c r="B2157" s="478" t="s">
        <v>708</v>
      </c>
      <c r="C2157" s="391" t="s">
        <v>558</v>
      </c>
      <c r="D2157" s="479">
        <v>67.319999999999993</v>
      </c>
      <c r="E2157" s="368"/>
      <c r="F2157" s="368"/>
    </row>
    <row r="2158" spans="1:6" ht="38.25" x14ac:dyDescent="0.2">
      <c r="A2158" s="391">
        <v>88904</v>
      </c>
      <c r="B2158" s="478" t="s">
        <v>709</v>
      </c>
      <c r="C2158" s="391" t="s">
        <v>558</v>
      </c>
      <c r="D2158" s="479">
        <v>95.29</v>
      </c>
      <c r="E2158" s="368"/>
      <c r="F2158" s="368"/>
    </row>
    <row r="2159" spans="1:6" ht="38.25" x14ac:dyDescent="0.2">
      <c r="A2159" s="391">
        <v>88569</v>
      </c>
      <c r="B2159" s="478" t="s">
        <v>686</v>
      </c>
      <c r="C2159" s="391" t="s">
        <v>558</v>
      </c>
      <c r="D2159" s="479">
        <v>3.85</v>
      </c>
      <c r="E2159" s="368"/>
      <c r="F2159" s="368"/>
    </row>
    <row r="2160" spans="1:6" ht="25.5" x14ac:dyDescent="0.2">
      <c r="A2160" s="391">
        <v>88570</v>
      </c>
      <c r="B2160" s="478" t="s">
        <v>687</v>
      </c>
      <c r="C2160" s="391" t="s">
        <v>558</v>
      </c>
      <c r="D2160" s="479">
        <v>1.33</v>
      </c>
      <c r="E2160" s="368"/>
      <c r="F2160" s="368"/>
    </row>
    <row r="2161" spans="1:6" ht="38.25" x14ac:dyDescent="0.2">
      <c r="A2161" s="391">
        <v>5765</v>
      </c>
      <c r="B2161" s="478" t="s">
        <v>595</v>
      </c>
      <c r="C2161" s="391" t="s">
        <v>558</v>
      </c>
      <c r="D2161" s="479">
        <v>4.82</v>
      </c>
      <c r="E2161" s="368"/>
      <c r="F2161" s="368"/>
    </row>
    <row r="2162" spans="1:6" ht="38.25" x14ac:dyDescent="0.2">
      <c r="A2162" s="391">
        <v>5766</v>
      </c>
      <c r="B2162" s="478" t="s">
        <v>596</v>
      </c>
      <c r="C2162" s="391" t="s">
        <v>558</v>
      </c>
      <c r="D2162" s="479">
        <v>3.07</v>
      </c>
      <c r="E2162" s="368"/>
      <c r="F2162" s="368"/>
    </row>
    <row r="2163" spans="1:6" ht="51" x14ac:dyDescent="0.2">
      <c r="A2163" s="391">
        <v>91468</v>
      </c>
      <c r="B2163" s="478" t="s">
        <v>47576</v>
      </c>
      <c r="C2163" s="391" t="s">
        <v>558</v>
      </c>
      <c r="D2163" s="479">
        <v>25.85</v>
      </c>
      <c r="E2163" s="368"/>
      <c r="F2163" s="368"/>
    </row>
    <row r="2164" spans="1:6" ht="51" x14ac:dyDescent="0.2">
      <c r="A2164" s="391">
        <v>91484</v>
      </c>
      <c r="B2164" s="478" t="s">
        <v>47577</v>
      </c>
      <c r="C2164" s="391" t="s">
        <v>558</v>
      </c>
      <c r="D2164" s="479">
        <v>4.08</v>
      </c>
      <c r="E2164" s="368"/>
      <c r="F2164" s="368"/>
    </row>
    <row r="2165" spans="1:6" ht="51" x14ac:dyDescent="0.2">
      <c r="A2165" s="391">
        <v>91469</v>
      </c>
      <c r="B2165" s="478" t="s">
        <v>47578</v>
      </c>
      <c r="C2165" s="391" t="s">
        <v>558</v>
      </c>
      <c r="D2165" s="479">
        <v>10.1</v>
      </c>
      <c r="E2165" s="368"/>
      <c r="F2165" s="368"/>
    </row>
    <row r="2166" spans="1:6" ht="51" x14ac:dyDescent="0.2">
      <c r="A2166" s="391">
        <v>83361</v>
      </c>
      <c r="B2166" s="478" t="s">
        <v>47579</v>
      </c>
      <c r="C2166" s="391" t="s">
        <v>558</v>
      </c>
      <c r="D2166" s="479">
        <v>43.31</v>
      </c>
      <c r="E2166" s="368"/>
      <c r="F2166" s="368"/>
    </row>
    <row r="2167" spans="1:6" ht="51" x14ac:dyDescent="0.2">
      <c r="A2167" s="391">
        <v>91485</v>
      </c>
      <c r="B2167" s="478" t="s">
        <v>47580</v>
      </c>
      <c r="C2167" s="391" t="s">
        <v>558</v>
      </c>
      <c r="D2167" s="479">
        <v>164.01</v>
      </c>
      <c r="E2167" s="368"/>
      <c r="F2167" s="368"/>
    </row>
    <row r="2168" spans="1:6" ht="38.25" x14ac:dyDescent="0.2">
      <c r="A2168" s="391">
        <v>102835</v>
      </c>
      <c r="B2168" s="478" t="s">
        <v>47581</v>
      </c>
      <c r="C2168" s="391" t="s">
        <v>558</v>
      </c>
      <c r="D2168" s="479">
        <v>0</v>
      </c>
      <c r="E2168" s="368"/>
      <c r="F2168" s="368"/>
    </row>
    <row r="2169" spans="1:6" ht="38.25" x14ac:dyDescent="0.2">
      <c r="A2169" s="391">
        <v>102836</v>
      </c>
      <c r="B2169" s="478" t="s">
        <v>47582</v>
      </c>
      <c r="C2169" s="391" t="s">
        <v>558</v>
      </c>
      <c r="D2169" s="479">
        <v>0</v>
      </c>
      <c r="E2169" s="368"/>
      <c r="F2169" s="368"/>
    </row>
    <row r="2170" spans="1:6" ht="38.25" x14ac:dyDescent="0.2">
      <c r="A2170" s="391">
        <v>102837</v>
      </c>
      <c r="B2170" s="478" t="s">
        <v>47583</v>
      </c>
      <c r="C2170" s="391" t="s">
        <v>558</v>
      </c>
      <c r="D2170" s="479">
        <v>0</v>
      </c>
      <c r="E2170" s="368"/>
      <c r="F2170" s="368"/>
    </row>
    <row r="2171" spans="1:6" ht="25.5" x14ac:dyDescent="0.2">
      <c r="A2171" s="391">
        <v>89230</v>
      </c>
      <c r="B2171" s="478" t="s">
        <v>746</v>
      </c>
      <c r="C2171" s="391" t="s">
        <v>558</v>
      </c>
      <c r="D2171" s="479">
        <v>117.11</v>
      </c>
      <c r="E2171" s="368"/>
      <c r="F2171" s="368"/>
    </row>
    <row r="2172" spans="1:6" ht="25.5" x14ac:dyDescent="0.2">
      <c r="A2172" s="391">
        <v>89231</v>
      </c>
      <c r="B2172" s="478" t="s">
        <v>747</v>
      </c>
      <c r="C2172" s="391" t="s">
        <v>558</v>
      </c>
      <c r="D2172" s="479">
        <v>35.86</v>
      </c>
      <c r="E2172" s="368"/>
      <c r="F2172" s="368"/>
    </row>
    <row r="2173" spans="1:6" ht="25.5" x14ac:dyDescent="0.2">
      <c r="A2173" s="391">
        <v>89232</v>
      </c>
      <c r="B2173" s="478" t="s">
        <v>748</v>
      </c>
      <c r="C2173" s="391" t="s">
        <v>558</v>
      </c>
      <c r="D2173" s="479">
        <v>208.9</v>
      </c>
      <c r="E2173" s="368"/>
      <c r="F2173" s="368"/>
    </row>
    <row r="2174" spans="1:6" ht="25.5" x14ac:dyDescent="0.2">
      <c r="A2174" s="391">
        <v>89233</v>
      </c>
      <c r="B2174" s="478" t="s">
        <v>749</v>
      </c>
      <c r="C2174" s="391" t="s">
        <v>558</v>
      </c>
      <c r="D2174" s="479">
        <v>177.07</v>
      </c>
      <c r="E2174" s="368"/>
      <c r="F2174" s="368"/>
    </row>
    <row r="2175" spans="1:6" ht="25.5" x14ac:dyDescent="0.2">
      <c r="A2175" s="391">
        <v>89236</v>
      </c>
      <c r="B2175" s="478" t="s">
        <v>750</v>
      </c>
      <c r="C2175" s="391" t="s">
        <v>558</v>
      </c>
      <c r="D2175" s="479">
        <v>273.58</v>
      </c>
      <c r="E2175" s="368"/>
      <c r="F2175" s="368"/>
    </row>
    <row r="2176" spans="1:6" ht="25.5" x14ac:dyDescent="0.2">
      <c r="A2176" s="391">
        <v>89237</v>
      </c>
      <c r="B2176" s="478" t="s">
        <v>751</v>
      </c>
      <c r="C2176" s="391" t="s">
        <v>558</v>
      </c>
      <c r="D2176" s="479">
        <v>83.77</v>
      </c>
      <c r="E2176" s="368"/>
      <c r="F2176" s="368"/>
    </row>
    <row r="2177" spans="1:6" ht="25.5" x14ac:dyDescent="0.2">
      <c r="A2177" s="391">
        <v>89238</v>
      </c>
      <c r="B2177" s="478" t="s">
        <v>752</v>
      </c>
      <c r="C2177" s="391" t="s">
        <v>558</v>
      </c>
      <c r="D2177" s="479">
        <v>488</v>
      </c>
      <c r="E2177" s="368"/>
      <c r="F2177" s="368"/>
    </row>
    <row r="2178" spans="1:6" ht="25.5" x14ac:dyDescent="0.2">
      <c r="A2178" s="391">
        <v>89239</v>
      </c>
      <c r="B2178" s="478" t="s">
        <v>753</v>
      </c>
      <c r="C2178" s="391" t="s">
        <v>558</v>
      </c>
      <c r="D2178" s="479">
        <v>468.27</v>
      </c>
      <c r="E2178" s="368"/>
      <c r="F2178" s="368"/>
    </row>
    <row r="2179" spans="1:6" ht="51" x14ac:dyDescent="0.2">
      <c r="A2179" s="391">
        <v>102930</v>
      </c>
      <c r="B2179" s="478" t="s">
        <v>40881</v>
      </c>
      <c r="C2179" s="391" t="s">
        <v>558</v>
      </c>
      <c r="D2179" s="479">
        <v>0</v>
      </c>
      <c r="E2179" s="368"/>
      <c r="F2179" s="368"/>
    </row>
    <row r="2180" spans="1:6" ht="51" x14ac:dyDescent="0.2">
      <c r="A2180" s="391">
        <v>102931</v>
      </c>
      <c r="B2180" s="478" t="s">
        <v>40882</v>
      </c>
      <c r="C2180" s="391" t="s">
        <v>558</v>
      </c>
      <c r="D2180" s="479">
        <v>0</v>
      </c>
      <c r="E2180" s="368"/>
      <c r="F2180" s="368"/>
    </row>
    <row r="2181" spans="1:6" ht="51" x14ac:dyDescent="0.2">
      <c r="A2181" s="391">
        <v>102932</v>
      </c>
      <c r="B2181" s="478" t="s">
        <v>40883</v>
      </c>
      <c r="C2181" s="391" t="s">
        <v>558</v>
      </c>
      <c r="D2181" s="479">
        <v>0</v>
      </c>
      <c r="E2181" s="368"/>
      <c r="F2181" s="368"/>
    </row>
    <row r="2182" spans="1:6" ht="51" x14ac:dyDescent="0.2">
      <c r="A2182" s="391">
        <v>102933</v>
      </c>
      <c r="B2182" s="478" t="s">
        <v>1127</v>
      </c>
      <c r="C2182" s="391" t="s">
        <v>558</v>
      </c>
      <c r="D2182" s="479">
        <v>0.86</v>
      </c>
      <c r="E2182" s="368"/>
      <c r="F2182" s="368"/>
    </row>
    <row r="2183" spans="1:6" ht="25.5" x14ac:dyDescent="0.2">
      <c r="A2183" s="391">
        <v>93411</v>
      </c>
      <c r="B2183" s="478" t="s">
        <v>986</v>
      </c>
      <c r="C2183" s="391" t="s">
        <v>558</v>
      </c>
      <c r="D2183" s="479">
        <v>0.38</v>
      </c>
      <c r="E2183" s="368"/>
      <c r="F2183" s="368"/>
    </row>
    <row r="2184" spans="1:6" ht="25.5" x14ac:dyDescent="0.2">
      <c r="A2184" s="391">
        <v>93412</v>
      </c>
      <c r="B2184" s="478" t="s">
        <v>987</v>
      </c>
      <c r="C2184" s="391" t="s">
        <v>558</v>
      </c>
      <c r="D2184" s="479">
        <v>0.13</v>
      </c>
      <c r="E2184" s="368"/>
      <c r="F2184" s="368"/>
    </row>
    <row r="2185" spans="1:6" ht="25.5" x14ac:dyDescent="0.2">
      <c r="A2185" s="391">
        <v>93413</v>
      </c>
      <c r="B2185" s="478" t="s">
        <v>988</v>
      </c>
      <c r="C2185" s="391" t="s">
        <v>558</v>
      </c>
      <c r="D2185" s="479">
        <v>0.34</v>
      </c>
      <c r="E2185" s="368"/>
      <c r="F2185" s="368"/>
    </row>
    <row r="2186" spans="1:6" ht="25.5" x14ac:dyDescent="0.2">
      <c r="A2186" s="391">
        <v>93414</v>
      </c>
      <c r="B2186" s="478" t="s">
        <v>989</v>
      </c>
      <c r="C2186" s="391" t="s">
        <v>558</v>
      </c>
      <c r="D2186" s="479">
        <v>11.64</v>
      </c>
      <c r="E2186" s="368"/>
      <c r="F2186" s="368"/>
    </row>
    <row r="2187" spans="1:6" ht="25.5" x14ac:dyDescent="0.2">
      <c r="A2187" s="391">
        <v>88855</v>
      </c>
      <c r="B2187" s="478" t="s">
        <v>700</v>
      </c>
      <c r="C2187" s="391" t="s">
        <v>558</v>
      </c>
      <c r="D2187" s="479">
        <v>3.33</v>
      </c>
      <c r="E2187" s="368"/>
      <c r="F2187" s="368"/>
    </row>
    <row r="2188" spans="1:6" ht="25.5" x14ac:dyDescent="0.2">
      <c r="A2188" s="391">
        <v>88856</v>
      </c>
      <c r="B2188" s="478" t="s">
        <v>701</v>
      </c>
      <c r="C2188" s="391" t="s">
        <v>558</v>
      </c>
      <c r="D2188" s="479">
        <v>0.91</v>
      </c>
      <c r="E2188" s="368"/>
      <c r="F2188" s="368"/>
    </row>
    <row r="2189" spans="1:6" ht="25.5" x14ac:dyDescent="0.2">
      <c r="A2189" s="391">
        <v>5658</v>
      </c>
      <c r="B2189" s="478" t="s">
        <v>563</v>
      </c>
      <c r="C2189" s="391" t="s">
        <v>558</v>
      </c>
      <c r="D2189" s="479">
        <v>2.31</v>
      </c>
      <c r="E2189" s="368"/>
      <c r="F2189" s="368"/>
    </row>
    <row r="2190" spans="1:6" ht="25.5" x14ac:dyDescent="0.2">
      <c r="A2190" s="391">
        <v>53840</v>
      </c>
      <c r="B2190" s="478" t="s">
        <v>638</v>
      </c>
      <c r="C2190" s="391" t="s">
        <v>558</v>
      </c>
      <c r="D2190" s="479">
        <v>2.61</v>
      </c>
      <c r="E2190" s="368"/>
      <c r="F2190" s="368"/>
    </row>
    <row r="2191" spans="1:6" ht="25.5" x14ac:dyDescent="0.2">
      <c r="A2191" s="391">
        <v>87026</v>
      </c>
      <c r="B2191" s="478" t="s">
        <v>661</v>
      </c>
      <c r="C2191" s="391" t="s">
        <v>558</v>
      </c>
      <c r="D2191" s="479">
        <v>0.71</v>
      </c>
      <c r="E2191" s="368"/>
      <c r="F2191" s="368"/>
    </row>
    <row r="2192" spans="1:6" ht="25.5" x14ac:dyDescent="0.2">
      <c r="A2192" s="391">
        <v>53841</v>
      </c>
      <c r="B2192" s="478" t="s">
        <v>639</v>
      </c>
      <c r="C2192" s="391" t="s">
        <v>558</v>
      </c>
      <c r="D2192" s="479">
        <v>1.81</v>
      </c>
      <c r="E2192" s="368"/>
      <c r="F2192" s="368"/>
    </row>
    <row r="2193" spans="1:6" ht="25.5" x14ac:dyDescent="0.2">
      <c r="A2193" s="391">
        <v>95209</v>
      </c>
      <c r="B2193" s="478" t="s">
        <v>47584</v>
      </c>
      <c r="C2193" s="391" t="s">
        <v>558</v>
      </c>
      <c r="D2193" s="479">
        <v>12.42</v>
      </c>
      <c r="E2193" s="368"/>
      <c r="F2193" s="368"/>
    </row>
    <row r="2194" spans="1:6" ht="25.5" x14ac:dyDescent="0.2">
      <c r="A2194" s="391">
        <v>95210</v>
      </c>
      <c r="B2194" s="478" t="s">
        <v>47585</v>
      </c>
      <c r="C2194" s="391" t="s">
        <v>558</v>
      </c>
      <c r="D2194" s="479">
        <v>58.74</v>
      </c>
      <c r="E2194" s="368"/>
      <c r="F2194" s="368"/>
    </row>
    <row r="2195" spans="1:6" ht="25.5" x14ac:dyDescent="0.2">
      <c r="A2195" s="391">
        <v>95211</v>
      </c>
      <c r="B2195" s="478" t="s">
        <v>47586</v>
      </c>
      <c r="C2195" s="391" t="s">
        <v>558</v>
      </c>
      <c r="D2195" s="479">
        <v>8.6</v>
      </c>
      <c r="E2195" s="368"/>
      <c r="F2195" s="368"/>
    </row>
    <row r="2196" spans="1:6" ht="25.5" x14ac:dyDescent="0.2">
      <c r="A2196" s="391">
        <v>93267</v>
      </c>
      <c r="B2196" s="478" t="s">
        <v>47587</v>
      </c>
      <c r="C2196" s="391" t="s">
        <v>558</v>
      </c>
      <c r="D2196" s="479">
        <v>26.66</v>
      </c>
      <c r="E2196" s="368"/>
      <c r="F2196" s="368"/>
    </row>
    <row r="2197" spans="1:6" ht="25.5" x14ac:dyDescent="0.2">
      <c r="A2197" s="391">
        <v>93269</v>
      </c>
      <c r="B2197" s="478" t="s">
        <v>47588</v>
      </c>
      <c r="C2197" s="391" t="s">
        <v>558</v>
      </c>
      <c r="D2197" s="479">
        <v>10</v>
      </c>
      <c r="E2197" s="368"/>
      <c r="F2197" s="368"/>
    </row>
    <row r="2198" spans="1:6" ht="25.5" x14ac:dyDescent="0.2">
      <c r="A2198" s="391">
        <v>93270</v>
      </c>
      <c r="B2198" s="478" t="s">
        <v>47589</v>
      </c>
      <c r="C2198" s="391" t="s">
        <v>558</v>
      </c>
      <c r="D2198" s="479">
        <v>25.92</v>
      </c>
      <c r="E2198" s="368"/>
      <c r="F2198" s="368"/>
    </row>
    <row r="2199" spans="1:6" ht="25.5" x14ac:dyDescent="0.2">
      <c r="A2199" s="391">
        <v>93271</v>
      </c>
      <c r="B2199" s="478" t="s">
        <v>47590</v>
      </c>
      <c r="C2199" s="391" t="s">
        <v>558</v>
      </c>
      <c r="D2199" s="479">
        <v>8.6</v>
      </c>
      <c r="E2199" s="368"/>
      <c r="F2199" s="368"/>
    </row>
    <row r="2200" spans="1:6" ht="25.5" x14ac:dyDescent="0.2">
      <c r="A2200" s="391">
        <v>95208</v>
      </c>
      <c r="B2200" s="478" t="s">
        <v>47591</v>
      </c>
      <c r="C2200" s="391" t="s">
        <v>558</v>
      </c>
      <c r="D2200" s="479">
        <v>53.71</v>
      </c>
      <c r="E2200" s="368"/>
      <c r="F2200" s="368"/>
    </row>
    <row r="2201" spans="1:6" ht="25.5" x14ac:dyDescent="0.2">
      <c r="A2201" s="391">
        <v>83761</v>
      </c>
      <c r="B2201" s="478" t="s">
        <v>657</v>
      </c>
      <c r="C2201" s="391" t="s">
        <v>558</v>
      </c>
      <c r="D2201" s="479">
        <v>10.57</v>
      </c>
      <c r="E2201" s="368"/>
      <c r="F2201" s="368"/>
    </row>
    <row r="2202" spans="1:6" ht="25.5" x14ac:dyDescent="0.2">
      <c r="A2202" s="391">
        <v>83764</v>
      </c>
      <c r="B2202" s="478" t="s">
        <v>660</v>
      </c>
      <c r="C2202" s="391" t="s">
        <v>558</v>
      </c>
      <c r="D2202" s="479">
        <v>3.72</v>
      </c>
      <c r="E2202" s="368"/>
      <c r="F2202" s="368"/>
    </row>
    <row r="2203" spans="1:6" ht="25.5" x14ac:dyDescent="0.2">
      <c r="A2203" s="391">
        <v>83762</v>
      </c>
      <c r="B2203" s="478" t="s">
        <v>658</v>
      </c>
      <c r="C2203" s="391" t="s">
        <v>558</v>
      </c>
      <c r="D2203" s="479">
        <v>9.43</v>
      </c>
      <c r="E2203" s="368"/>
      <c r="F2203" s="368"/>
    </row>
    <row r="2204" spans="1:6" ht="38.25" x14ac:dyDescent="0.2">
      <c r="A2204" s="391">
        <v>83763</v>
      </c>
      <c r="B2204" s="478" t="s">
        <v>659</v>
      </c>
      <c r="C2204" s="391" t="s">
        <v>558</v>
      </c>
      <c r="D2204" s="479">
        <v>53.19</v>
      </c>
      <c r="E2204" s="368"/>
      <c r="F2204" s="368"/>
    </row>
    <row r="2205" spans="1:6" ht="25.5" x14ac:dyDescent="0.2">
      <c r="A2205" s="391">
        <v>95874</v>
      </c>
      <c r="B2205" s="478" t="s">
        <v>1065</v>
      </c>
      <c r="C2205" s="391" t="s">
        <v>558</v>
      </c>
      <c r="D2205" s="479">
        <v>11.29</v>
      </c>
      <c r="E2205" s="368"/>
      <c r="F2205" s="368"/>
    </row>
    <row r="2206" spans="1:6" ht="25.5" x14ac:dyDescent="0.2">
      <c r="A2206" s="391">
        <v>95869</v>
      </c>
      <c r="B2206" s="478" t="s">
        <v>1062</v>
      </c>
      <c r="C2206" s="391" t="s">
        <v>558</v>
      </c>
      <c r="D2206" s="479">
        <v>3.98</v>
      </c>
      <c r="E2206" s="368"/>
      <c r="F2206" s="368"/>
    </row>
    <row r="2207" spans="1:6" ht="25.5" x14ac:dyDescent="0.2">
      <c r="A2207" s="391">
        <v>95870</v>
      </c>
      <c r="B2207" s="478" t="s">
        <v>1063</v>
      </c>
      <c r="C2207" s="391" t="s">
        <v>558</v>
      </c>
      <c r="D2207" s="479">
        <v>10.07</v>
      </c>
      <c r="E2207" s="368"/>
      <c r="F2207" s="368"/>
    </row>
    <row r="2208" spans="1:6" ht="25.5" x14ac:dyDescent="0.2">
      <c r="A2208" s="391">
        <v>95871</v>
      </c>
      <c r="B2208" s="478" t="s">
        <v>1064</v>
      </c>
      <c r="C2208" s="391" t="s">
        <v>558</v>
      </c>
      <c r="D2208" s="479">
        <v>289.35000000000002</v>
      </c>
      <c r="E2208" s="368"/>
      <c r="F2208" s="368"/>
    </row>
    <row r="2209" spans="1:6" ht="38.25" x14ac:dyDescent="0.2">
      <c r="A2209" s="391">
        <v>104684</v>
      </c>
      <c r="B2209" s="478" t="s">
        <v>40884</v>
      </c>
      <c r="C2209" s="391" t="s">
        <v>558</v>
      </c>
      <c r="D2209" s="479">
        <v>0</v>
      </c>
      <c r="E2209" s="368"/>
      <c r="F2209" s="368"/>
    </row>
    <row r="2210" spans="1:6" ht="38.25" x14ac:dyDescent="0.2">
      <c r="A2210" s="391">
        <v>104685</v>
      </c>
      <c r="B2210" s="478" t="s">
        <v>40885</v>
      </c>
      <c r="C2210" s="391" t="s">
        <v>558</v>
      </c>
      <c r="D2210" s="479">
        <v>0</v>
      </c>
      <c r="E2210" s="368"/>
      <c r="F2210" s="368"/>
    </row>
    <row r="2211" spans="1:6" ht="38.25" x14ac:dyDescent="0.2">
      <c r="A2211" s="391">
        <v>104686</v>
      </c>
      <c r="B2211" s="478" t="s">
        <v>40886</v>
      </c>
      <c r="C2211" s="391" t="s">
        <v>558</v>
      </c>
      <c r="D2211" s="479">
        <v>0</v>
      </c>
      <c r="E2211" s="368"/>
      <c r="F2211" s="368"/>
    </row>
    <row r="2212" spans="1:6" ht="38.25" x14ac:dyDescent="0.2">
      <c r="A2212" s="391">
        <v>104687</v>
      </c>
      <c r="B2212" s="478" t="s">
        <v>1156</v>
      </c>
      <c r="C2212" s="391" t="s">
        <v>558</v>
      </c>
      <c r="D2212" s="479">
        <v>476.26</v>
      </c>
      <c r="E2212" s="368"/>
      <c r="F2212" s="368"/>
    </row>
    <row r="2213" spans="1:6" ht="25.5" x14ac:dyDescent="0.2">
      <c r="A2213" s="391">
        <v>73303</v>
      </c>
      <c r="B2213" s="478" t="s">
        <v>649</v>
      </c>
      <c r="C2213" s="391" t="s">
        <v>558</v>
      </c>
      <c r="D2213" s="479">
        <v>7.93</v>
      </c>
      <c r="E2213" s="368"/>
      <c r="F2213" s="368"/>
    </row>
    <row r="2214" spans="1:6" ht="25.5" x14ac:dyDescent="0.2">
      <c r="A2214" s="391">
        <v>93235</v>
      </c>
      <c r="B2214" s="478" t="s">
        <v>968</v>
      </c>
      <c r="C2214" s="391" t="s">
        <v>558</v>
      </c>
      <c r="D2214" s="479">
        <v>2.79</v>
      </c>
      <c r="E2214" s="368"/>
      <c r="F2214" s="368"/>
    </row>
    <row r="2215" spans="1:6" ht="25.5" x14ac:dyDescent="0.2">
      <c r="A2215" s="391">
        <v>73307</v>
      </c>
      <c r="B2215" s="478" t="s">
        <v>650</v>
      </c>
      <c r="C2215" s="391" t="s">
        <v>558</v>
      </c>
      <c r="D2215" s="479">
        <v>7.08</v>
      </c>
      <c r="E2215" s="368"/>
      <c r="F2215" s="368"/>
    </row>
    <row r="2216" spans="1:6" ht="25.5" x14ac:dyDescent="0.2">
      <c r="A2216" s="391">
        <v>73311</v>
      </c>
      <c r="B2216" s="478" t="s">
        <v>652</v>
      </c>
      <c r="C2216" s="391" t="s">
        <v>558</v>
      </c>
      <c r="D2216" s="479">
        <v>188.74</v>
      </c>
      <c r="E2216" s="368"/>
      <c r="F2216" s="368"/>
    </row>
    <row r="2217" spans="1:6" ht="25.5" x14ac:dyDescent="0.2">
      <c r="A2217" s="391">
        <v>93423</v>
      </c>
      <c r="B2217" s="478" t="s">
        <v>994</v>
      </c>
      <c r="C2217" s="391" t="s">
        <v>558</v>
      </c>
      <c r="D2217" s="479">
        <v>7.06</v>
      </c>
      <c r="E2217" s="368"/>
      <c r="F2217" s="368"/>
    </row>
    <row r="2218" spans="1:6" ht="25.5" x14ac:dyDescent="0.2">
      <c r="A2218" s="391">
        <v>93424</v>
      </c>
      <c r="B2218" s="478" t="s">
        <v>995</v>
      </c>
      <c r="C2218" s="391" t="s">
        <v>558</v>
      </c>
      <c r="D2218" s="479">
        <v>2.4900000000000002</v>
      </c>
      <c r="E2218" s="368"/>
      <c r="F2218" s="368"/>
    </row>
    <row r="2219" spans="1:6" ht="25.5" x14ac:dyDescent="0.2">
      <c r="A2219" s="391">
        <v>93425</v>
      </c>
      <c r="B2219" s="478" t="s">
        <v>996</v>
      </c>
      <c r="C2219" s="391" t="s">
        <v>558</v>
      </c>
      <c r="D2219" s="479">
        <v>6.3</v>
      </c>
      <c r="E2219" s="368"/>
      <c r="F2219" s="368"/>
    </row>
    <row r="2220" spans="1:6" ht="25.5" x14ac:dyDescent="0.2">
      <c r="A2220" s="391">
        <v>93426</v>
      </c>
      <c r="B2220" s="478" t="s">
        <v>997</v>
      </c>
      <c r="C2220" s="391" t="s">
        <v>558</v>
      </c>
      <c r="D2220" s="479">
        <v>169.84</v>
      </c>
      <c r="E2220" s="368"/>
      <c r="F2220" s="368"/>
    </row>
    <row r="2221" spans="1:6" ht="25.5" x14ac:dyDescent="0.2">
      <c r="A2221" s="391">
        <v>93417</v>
      </c>
      <c r="B2221" s="478" t="s">
        <v>990</v>
      </c>
      <c r="C2221" s="391" t="s">
        <v>558</v>
      </c>
      <c r="D2221" s="479">
        <v>4.99</v>
      </c>
      <c r="E2221" s="368"/>
      <c r="F2221" s="368"/>
    </row>
    <row r="2222" spans="1:6" ht="25.5" x14ac:dyDescent="0.2">
      <c r="A2222" s="391">
        <v>93418</v>
      </c>
      <c r="B2222" s="478" t="s">
        <v>991</v>
      </c>
      <c r="C2222" s="391" t="s">
        <v>558</v>
      </c>
      <c r="D2222" s="479">
        <v>1.76</v>
      </c>
      <c r="E2222" s="368"/>
      <c r="F2222" s="368"/>
    </row>
    <row r="2223" spans="1:6" ht="25.5" x14ac:dyDescent="0.2">
      <c r="A2223" s="391">
        <v>93419</v>
      </c>
      <c r="B2223" s="480" t="s">
        <v>992</v>
      </c>
      <c r="C2223" s="391" t="s">
        <v>558</v>
      </c>
      <c r="D2223" s="479">
        <v>4.45</v>
      </c>
      <c r="E2223" s="368"/>
      <c r="F2223" s="368"/>
    </row>
    <row r="2224" spans="1:6" ht="25.5" x14ac:dyDescent="0.2">
      <c r="A2224" s="391">
        <v>93420</v>
      </c>
      <c r="B2224" s="480" t="s">
        <v>993</v>
      </c>
      <c r="C2224" s="391" t="s">
        <v>558</v>
      </c>
      <c r="D2224" s="479">
        <v>71.069999999999993</v>
      </c>
      <c r="E2224" s="368"/>
      <c r="F2224" s="368"/>
    </row>
    <row r="2225" spans="1:6" ht="25.5" x14ac:dyDescent="0.2">
      <c r="A2225" s="391">
        <v>93277</v>
      </c>
      <c r="B2225" s="478" t="s">
        <v>972</v>
      </c>
      <c r="C2225" s="391" t="s">
        <v>558</v>
      </c>
      <c r="D2225" s="479">
        <v>0.34</v>
      </c>
      <c r="E2225" s="368"/>
      <c r="F2225" s="368"/>
    </row>
    <row r="2226" spans="1:6" ht="25.5" x14ac:dyDescent="0.2">
      <c r="A2226" s="391">
        <v>93278</v>
      </c>
      <c r="B2226" s="478" t="s">
        <v>973</v>
      </c>
      <c r="C2226" s="391" t="s">
        <v>558</v>
      </c>
      <c r="D2226" s="479">
        <v>0.08</v>
      </c>
      <c r="E2226" s="368"/>
      <c r="F2226" s="368"/>
    </row>
    <row r="2227" spans="1:6" ht="25.5" x14ac:dyDescent="0.2">
      <c r="A2227" s="391">
        <v>93279</v>
      </c>
      <c r="B2227" s="478" t="s">
        <v>974</v>
      </c>
      <c r="C2227" s="391" t="s">
        <v>558</v>
      </c>
      <c r="D2227" s="479">
        <v>0.32</v>
      </c>
      <c r="E2227" s="368"/>
      <c r="F2227" s="368"/>
    </row>
    <row r="2228" spans="1:6" ht="25.5" x14ac:dyDescent="0.2">
      <c r="A2228" s="391">
        <v>93280</v>
      </c>
      <c r="B2228" s="478" t="s">
        <v>975</v>
      </c>
      <c r="C2228" s="391" t="s">
        <v>558</v>
      </c>
      <c r="D2228" s="479">
        <v>0.71</v>
      </c>
      <c r="E2228" s="368"/>
      <c r="F2228" s="368"/>
    </row>
    <row r="2229" spans="1:6" ht="25.5" x14ac:dyDescent="0.2">
      <c r="A2229" s="391">
        <v>104909</v>
      </c>
      <c r="B2229" s="478" t="s">
        <v>40887</v>
      </c>
      <c r="C2229" s="391" t="s">
        <v>558</v>
      </c>
      <c r="D2229" s="479">
        <v>0</v>
      </c>
      <c r="E2229" s="368"/>
      <c r="F2229" s="368"/>
    </row>
    <row r="2230" spans="1:6" ht="25.5" x14ac:dyDescent="0.2">
      <c r="A2230" s="391">
        <v>104910</v>
      </c>
      <c r="B2230" s="478" t="s">
        <v>40888</v>
      </c>
      <c r="C2230" s="391" t="s">
        <v>558</v>
      </c>
      <c r="D2230" s="479">
        <v>0</v>
      </c>
      <c r="E2230" s="368"/>
      <c r="F2230" s="368"/>
    </row>
    <row r="2231" spans="1:6" ht="25.5" x14ac:dyDescent="0.2">
      <c r="A2231" s="391">
        <v>104911</v>
      </c>
      <c r="B2231" s="478" t="s">
        <v>40889</v>
      </c>
      <c r="C2231" s="391" t="s">
        <v>558</v>
      </c>
      <c r="D2231" s="479">
        <v>0</v>
      </c>
      <c r="E2231" s="368"/>
      <c r="F2231" s="368"/>
    </row>
    <row r="2232" spans="1:6" ht="25.5" x14ac:dyDescent="0.2">
      <c r="A2232" s="391">
        <v>104912</v>
      </c>
      <c r="B2232" s="478" t="s">
        <v>1161</v>
      </c>
      <c r="C2232" s="391" t="s">
        <v>558</v>
      </c>
      <c r="D2232" s="479">
        <v>35.19</v>
      </c>
      <c r="E2232" s="368"/>
      <c r="F2232" s="368"/>
    </row>
    <row r="2233" spans="1:6" ht="38.25" x14ac:dyDescent="0.2">
      <c r="A2233" s="391">
        <v>102840</v>
      </c>
      <c r="B2233" s="478" t="s">
        <v>40890</v>
      </c>
      <c r="C2233" s="391" t="s">
        <v>558</v>
      </c>
      <c r="D2233" s="479">
        <v>0</v>
      </c>
      <c r="E2233" s="368"/>
      <c r="F2233" s="368"/>
    </row>
    <row r="2234" spans="1:6" ht="25.5" x14ac:dyDescent="0.2">
      <c r="A2234" s="391">
        <v>102841</v>
      </c>
      <c r="B2234" s="478" t="s">
        <v>40891</v>
      </c>
      <c r="C2234" s="391" t="s">
        <v>558</v>
      </c>
      <c r="D2234" s="479">
        <v>0</v>
      </c>
      <c r="E2234" s="368"/>
      <c r="F2234" s="368"/>
    </row>
    <row r="2235" spans="1:6" ht="38.25" x14ac:dyDescent="0.2">
      <c r="A2235" s="391">
        <v>102842</v>
      </c>
      <c r="B2235" s="478" t="s">
        <v>40892</v>
      </c>
      <c r="C2235" s="391" t="s">
        <v>558</v>
      </c>
      <c r="D2235" s="479">
        <v>0</v>
      </c>
      <c r="E2235" s="368"/>
      <c r="F2235" s="368"/>
    </row>
    <row r="2236" spans="1:6" ht="38.25" x14ac:dyDescent="0.2">
      <c r="A2236" s="391">
        <v>102843</v>
      </c>
      <c r="B2236" s="478" t="s">
        <v>1115</v>
      </c>
      <c r="C2236" s="391" t="s">
        <v>558</v>
      </c>
      <c r="D2236" s="479">
        <v>142.65</v>
      </c>
      <c r="E2236" s="368"/>
      <c r="F2236" s="368"/>
    </row>
    <row r="2237" spans="1:6" ht="38.25" x14ac:dyDescent="0.2">
      <c r="A2237" s="391">
        <v>89267</v>
      </c>
      <c r="B2237" s="478" t="s">
        <v>770</v>
      </c>
      <c r="C2237" s="391" t="s">
        <v>558</v>
      </c>
      <c r="D2237" s="479">
        <v>51.81</v>
      </c>
      <c r="E2237" s="368"/>
      <c r="F2237" s="368"/>
    </row>
    <row r="2238" spans="1:6" ht="38.25" x14ac:dyDescent="0.2">
      <c r="A2238" s="391">
        <v>89269</v>
      </c>
      <c r="B2238" s="478" t="s">
        <v>772</v>
      </c>
      <c r="C2238" s="391" t="s">
        <v>558</v>
      </c>
      <c r="D2238" s="479">
        <v>7.38</v>
      </c>
      <c r="E2238" s="368"/>
      <c r="F2238" s="368"/>
    </row>
    <row r="2239" spans="1:6" ht="25.5" x14ac:dyDescent="0.2">
      <c r="A2239" s="391">
        <v>89268</v>
      </c>
      <c r="B2239" s="478" t="s">
        <v>771</v>
      </c>
      <c r="C2239" s="391" t="s">
        <v>558</v>
      </c>
      <c r="D2239" s="479">
        <v>18.260000000000002</v>
      </c>
      <c r="E2239" s="368"/>
      <c r="F2239" s="368"/>
    </row>
    <row r="2240" spans="1:6" ht="38.25" x14ac:dyDescent="0.2">
      <c r="A2240" s="391">
        <v>89270</v>
      </c>
      <c r="B2240" s="478" t="s">
        <v>773</v>
      </c>
      <c r="C2240" s="391" t="s">
        <v>558</v>
      </c>
      <c r="D2240" s="479">
        <v>83.29</v>
      </c>
      <c r="E2240" s="368"/>
      <c r="F2240" s="368"/>
    </row>
    <row r="2241" spans="1:6" ht="38.25" x14ac:dyDescent="0.2">
      <c r="A2241" s="391">
        <v>89271</v>
      </c>
      <c r="B2241" s="478" t="s">
        <v>774</v>
      </c>
      <c r="C2241" s="391" t="s">
        <v>558</v>
      </c>
      <c r="D2241" s="479">
        <v>30.74</v>
      </c>
      <c r="E2241" s="368"/>
      <c r="F2241" s="368"/>
    </row>
    <row r="2242" spans="1:6" ht="25.5" x14ac:dyDescent="0.2">
      <c r="A2242" s="391">
        <v>93283</v>
      </c>
      <c r="B2242" s="478" t="s">
        <v>976</v>
      </c>
      <c r="C2242" s="391" t="s">
        <v>558</v>
      </c>
      <c r="D2242" s="479">
        <v>99.64</v>
      </c>
      <c r="E2242" s="368"/>
      <c r="F2242" s="368"/>
    </row>
    <row r="2243" spans="1:6" ht="38.25" x14ac:dyDescent="0.2">
      <c r="A2243" s="391">
        <v>93296</v>
      </c>
      <c r="B2243" s="478" t="s">
        <v>980</v>
      </c>
      <c r="C2243" s="391" t="s">
        <v>558</v>
      </c>
      <c r="D2243" s="479">
        <v>14.19</v>
      </c>
      <c r="E2243" s="368"/>
      <c r="F2243" s="368"/>
    </row>
    <row r="2244" spans="1:6" ht="25.5" x14ac:dyDescent="0.2">
      <c r="A2244" s="391">
        <v>93284</v>
      </c>
      <c r="B2244" s="478" t="s">
        <v>977</v>
      </c>
      <c r="C2244" s="391" t="s">
        <v>558</v>
      </c>
      <c r="D2244" s="479">
        <v>35.119999999999997</v>
      </c>
      <c r="E2244" s="368"/>
      <c r="F2244" s="368"/>
    </row>
    <row r="2245" spans="1:6" ht="25.5" x14ac:dyDescent="0.2">
      <c r="A2245" s="391">
        <v>93285</v>
      </c>
      <c r="B2245" s="478" t="s">
        <v>978</v>
      </c>
      <c r="C2245" s="391" t="s">
        <v>558</v>
      </c>
      <c r="D2245" s="479">
        <v>160.16999999999999</v>
      </c>
      <c r="E2245" s="368"/>
      <c r="F2245" s="368"/>
    </row>
    <row r="2246" spans="1:6" ht="38.25" x14ac:dyDescent="0.2">
      <c r="A2246" s="391">
        <v>93286</v>
      </c>
      <c r="B2246" s="478" t="s">
        <v>979</v>
      </c>
      <c r="C2246" s="391" t="s">
        <v>558</v>
      </c>
      <c r="D2246" s="479">
        <v>11.96</v>
      </c>
      <c r="E2246" s="368"/>
      <c r="F2246" s="368"/>
    </row>
    <row r="2247" spans="1:6" ht="38.25" x14ac:dyDescent="0.2">
      <c r="A2247" s="391">
        <v>104706</v>
      </c>
      <c r="B2247" s="478" t="s">
        <v>40893</v>
      </c>
      <c r="C2247" s="391" t="s">
        <v>558</v>
      </c>
      <c r="D2247" s="479">
        <v>0</v>
      </c>
      <c r="E2247" s="368"/>
      <c r="F2247" s="368"/>
    </row>
    <row r="2248" spans="1:6" ht="38.25" x14ac:dyDescent="0.2">
      <c r="A2248" s="391">
        <v>104707</v>
      </c>
      <c r="B2248" s="478" t="s">
        <v>40894</v>
      </c>
      <c r="C2248" s="391" t="s">
        <v>558</v>
      </c>
      <c r="D2248" s="479">
        <v>0</v>
      </c>
      <c r="E2248" s="368"/>
      <c r="F2248" s="368"/>
    </row>
    <row r="2249" spans="1:6" ht="38.25" x14ac:dyDescent="0.2">
      <c r="A2249" s="391">
        <v>104708</v>
      </c>
      <c r="B2249" s="478" t="s">
        <v>40895</v>
      </c>
      <c r="C2249" s="391" t="s">
        <v>558</v>
      </c>
      <c r="D2249" s="479">
        <v>0</v>
      </c>
      <c r="E2249" s="368"/>
      <c r="F2249" s="368"/>
    </row>
    <row r="2250" spans="1:6" ht="51" x14ac:dyDescent="0.2">
      <c r="A2250" s="391">
        <v>104709</v>
      </c>
      <c r="B2250" s="478" t="s">
        <v>1159</v>
      </c>
      <c r="C2250" s="391" t="s">
        <v>558</v>
      </c>
      <c r="D2250" s="479">
        <v>1239.47</v>
      </c>
      <c r="E2250" s="368"/>
      <c r="F2250" s="368"/>
    </row>
    <row r="2251" spans="1:6" ht="38.25" x14ac:dyDescent="0.2">
      <c r="A2251" s="391">
        <v>104903</v>
      </c>
      <c r="B2251" s="478" t="s">
        <v>40896</v>
      </c>
      <c r="C2251" s="391" t="s">
        <v>558</v>
      </c>
      <c r="D2251" s="479">
        <v>0</v>
      </c>
      <c r="E2251" s="368"/>
      <c r="F2251" s="368"/>
    </row>
    <row r="2252" spans="1:6" ht="38.25" x14ac:dyDescent="0.2">
      <c r="A2252" s="391">
        <v>104904</v>
      </c>
      <c r="B2252" s="478" t="s">
        <v>40897</v>
      </c>
      <c r="C2252" s="391" t="s">
        <v>558</v>
      </c>
      <c r="D2252" s="479">
        <v>0</v>
      </c>
      <c r="E2252" s="368"/>
      <c r="F2252" s="368"/>
    </row>
    <row r="2253" spans="1:6" ht="38.25" x14ac:dyDescent="0.2">
      <c r="A2253" s="391">
        <v>104905</v>
      </c>
      <c r="B2253" s="478" t="s">
        <v>40898</v>
      </c>
      <c r="C2253" s="391" t="s">
        <v>558</v>
      </c>
      <c r="D2253" s="479">
        <v>0</v>
      </c>
      <c r="E2253" s="368"/>
      <c r="F2253" s="368"/>
    </row>
    <row r="2254" spans="1:6" ht="38.25" x14ac:dyDescent="0.2">
      <c r="A2254" s="391">
        <v>104906</v>
      </c>
      <c r="B2254" s="478" t="s">
        <v>1160</v>
      </c>
      <c r="C2254" s="391" t="s">
        <v>558</v>
      </c>
      <c r="D2254" s="479">
        <v>104.61</v>
      </c>
      <c r="E2254" s="368"/>
      <c r="F2254" s="368"/>
    </row>
    <row r="2255" spans="1:6" ht="25.5" x14ac:dyDescent="0.2">
      <c r="A2255" s="391">
        <v>102846</v>
      </c>
      <c r="B2255" s="478" t="s">
        <v>40899</v>
      </c>
      <c r="C2255" s="391" t="s">
        <v>558</v>
      </c>
      <c r="D2255" s="479">
        <v>0</v>
      </c>
      <c r="E2255" s="368"/>
      <c r="F2255" s="368"/>
    </row>
    <row r="2256" spans="1:6" ht="25.5" x14ac:dyDescent="0.2">
      <c r="A2256" s="391">
        <v>102847</v>
      </c>
      <c r="B2256" s="478" t="s">
        <v>40900</v>
      </c>
      <c r="C2256" s="391" t="s">
        <v>558</v>
      </c>
      <c r="D2256" s="479">
        <v>0</v>
      </c>
      <c r="E2256" s="368"/>
      <c r="F2256" s="368"/>
    </row>
    <row r="2257" spans="1:6" ht="25.5" x14ac:dyDescent="0.2">
      <c r="A2257" s="391">
        <v>102848</v>
      </c>
      <c r="B2257" s="478" t="s">
        <v>40901</v>
      </c>
      <c r="C2257" s="391" t="s">
        <v>558</v>
      </c>
      <c r="D2257" s="479">
        <v>0</v>
      </c>
      <c r="E2257" s="368"/>
      <c r="F2257" s="368"/>
    </row>
    <row r="2258" spans="1:6" ht="25.5" x14ac:dyDescent="0.2">
      <c r="A2258" s="391">
        <v>102849</v>
      </c>
      <c r="B2258" s="478" t="s">
        <v>1116</v>
      </c>
      <c r="C2258" s="391" t="s">
        <v>558</v>
      </c>
      <c r="D2258" s="479">
        <v>69.739999999999995</v>
      </c>
      <c r="E2258" s="368"/>
      <c r="F2258" s="368"/>
    </row>
    <row r="2259" spans="1:6" ht="25.5" x14ac:dyDescent="0.2">
      <c r="A2259" s="391">
        <v>102852</v>
      </c>
      <c r="B2259" s="478" t="s">
        <v>40902</v>
      </c>
      <c r="C2259" s="391" t="s">
        <v>558</v>
      </c>
      <c r="D2259" s="479">
        <v>0</v>
      </c>
      <c r="E2259" s="368"/>
      <c r="F2259" s="368"/>
    </row>
    <row r="2260" spans="1:6" ht="25.5" x14ac:dyDescent="0.2">
      <c r="A2260" s="391">
        <v>102853</v>
      </c>
      <c r="B2260" s="478" t="s">
        <v>40903</v>
      </c>
      <c r="C2260" s="391" t="s">
        <v>558</v>
      </c>
      <c r="D2260" s="479">
        <v>0</v>
      </c>
      <c r="E2260" s="368"/>
      <c r="F2260" s="368"/>
    </row>
    <row r="2261" spans="1:6" ht="25.5" x14ac:dyDescent="0.2">
      <c r="A2261" s="391">
        <v>102854</v>
      </c>
      <c r="B2261" s="478" t="s">
        <v>40904</v>
      </c>
      <c r="C2261" s="391" t="s">
        <v>558</v>
      </c>
      <c r="D2261" s="479">
        <v>0</v>
      </c>
      <c r="E2261" s="368"/>
      <c r="F2261" s="368"/>
    </row>
    <row r="2262" spans="1:6" ht="38.25" x14ac:dyDescent="0.2">
      <c r="A2262" s="391">
        <v>102855</v>
      </c>
      <c r="B2262" s="478" t="s">
        <v>1117</v>
      </c>
      <c r="C2262" s="391" t="s">
        <v>558</v>
      </c>
      <c r="D2262" s="479">
        <v>69.739999999999995</v>
      </c>
      <c r="E2262" s="368"/>
      <c r="F2262" s="368"/>
    </row>
    <row r="2263" spans="1:6" ht="51" x14ac:dyDescent="0.2">
      <c r="A2263" s="391">
        <v>93397</v>
      </c>
      <c r="B2263" s="478" t="s">
        <v>981</v>
      </c>
      <c r="C2263" s="391" t="s">
        <v>558</v>
      </c>
      <c r="D2263" s="479">
        <v>25.03</v>
      </c>
      <c r="E2263" s="368"/>
      <c r="F2263" s="368"/>
    </row>
    <row r="2264" spans="1:6" ht="51" x14ac:dyDescent="0.2">
      <c r="A2264" s="391">
        <v>93399</v>
      </c>
      <c r="B2264" s="478" t="s">
        <v>983</v>
      </c>
      <c r="C2264" s="391" t="s">
        <v>558</v>
      </c>
      <c r="D2264" s="479">
        <v>3.81</v>
      </c>
      <c r="E2264" s="368"/>
      <c r="F2264" s="368"/>
    </row>
    <row r="2265" spans="1:6" ht="38.25" x14ac:dyDescent="0.2">
      <c r="A2265" s="391">
        <v>93398</v>
      </c>
      <c r="B2265" s="478" t="s">
        <v>982</v>
      </c>
      <c r="C2265" s="391" t="s">
        <v>558</v>
      </c>
      <c r="D2265" s="479">
        <v>9.44</v>
      </c>
      <c r="E2265" s="368"/>
      <c r="F2265" s="368"/>
    </row>
    <row r="2266" spans="1:6" ht="51" x14ac:dyDescent="0.2">
      <c r="A2266" s="391">
        <v>93400</v>
      </c>
      <c r="B2266" s="478" t="s">
        <v>984</v>
      </c>
      <c r="C2266" s="391" t="s">
        <v>558</v>
      </c>
      <c r="D2266" s="479">
        <v>43.42</v>
      </c>
      <c r="E2266" s="368"/>
      <c r="F2266" s="368"/>
    </row>
    <row r="2267" spans="1:6" ht="51" x14ac:dyDescent="0.2">
      <c r="A2267" s="391">
        <v>93401</v>
      </c>
      <c r="B2267" s="478" t="s">
        <v>985</v>
      </c>
      <c r="C2267" s="391" t="s">
        <v>558</v>
      </c>
      <c r="D2267" s="479">
        <v>167.56</v>
      </c>
      <c r="E2267" s="368"/>
      <c r="F2267" s="368"/>
    </row>
    <row r="2268" spans="1:6" ht="51" x14ac:dyDescent="0.2">
      <c r="A2268" s="391">
        <v>89259</v>
      </c>
      <c r="B2268" s="478" t="s">
        <v>764</v>
      </c>
      <c r="C2268" s="391" t="s">
        <v>558</v>
      </c>
      <c r="D2268" s="479">
        <v>27.32</v>
      </c>
      <c r="E2268" s="368"/>
      <c r="F2268" s="368"/>
    </row>
    <row r="2269" spans="1:6" ht="51" x14ac:dyDescent="0.2">
      <c r="A2269" s="391">
        <v>91466</v>
      </c>
      <c r="B2269" s="478" t="s">
        <v>899</v>
      </c>
      <c r="C2269" s="391" t="s">
        <v>558</v>
      </c>
      <c r="D2269" s="479">
        <v>4.05</v>
      </c>
      <c r="E2269" s="368"/>
      <c r="F2269" s="368"/>
    </row>
    <row r="2270" spans="1:6" ht="38.25" x14ac:dyDescent="0.2">
      <c r="A2270" s="391">
        <v>89260</v>
      </c>
      <c r="B2270" s="478" t="s">
        <v>765</v>
      </c>
      <c r="C2270" s="391" t="s">
        <v>558</v>
      </c>
      <c r="D2270" s="479">
        <v>10.039999999999999</v>
      </c>
      <c r="E2270" s="368"/>
      <c r="F2270" s="368"/>
    </row>
    <row r="2271" spans="1:6" ht="51" x14ac:dyDescent="0.2">
      <c r="A2271" s="391">
        <v>89262</v>
      </c>
      <c r="B2271" s="478" t="s">
        <v>766</v>
      </c>
      <c r="C2271" s="391" t="s">
        <v>558</v>
      </c>
      <c r="D2271" s="479">
        <v>46.28</v>
      </c>
      <c r="E2271" s="368"/>
      <c r="F2271" s="368"/>
    </row>
    <row r="2272" spans="1:6" ht="51" x14ac:dyDescent="0.2">
      <c r="A2272" s="391">
        <v>91467</v>
      </c>
      <c r="B2272" s="478" t="s">
        <v>900</v>
      </c>
      <c r="C2272" s="391" t="s">
        <v>558</v>
      </c>
      <c r="D2272" s="479">
        <v>167.56</v>
      </c>
      <c r="E2272" s="368"/>
      <c r="F2272" s="368"/>
    </row>
    <row r="2273" spans="1:6" ht="51" x14ac:dyDescent="0.2">
      <c r="A2273" s="391">
        <v>105839</v>
      </c>
      <c r="B2273" s="478" t="s">
        <v>40905</v>
      </c>
      <c r="C2273" s="391" t="s">
        <v>558</v>
      </c>
      <c r="D2273" s="479">
        <v>0</v>
      </c>
      <c r="E2273" s="368"/>
      <c r="F2273" s="368"/>
    </row>
    <row r="2274" spans="1:6" ht="51" x14ac:dyDescent="0.2">
      <c r="A2274" s="391">
        <v>105842</v>
      </c>
      <c r="B2274" s="478" t="s">
        <v>40906</v>
      </c>
      <c r="C2274" s="391" t="s">
        <v>558</v>
      </c>
      <c r="D2274" s="479">
        <v>0</v>
      </c>
      <c r="E2274" s="368"/>
      <c r="F2274" s="368"/>
    </row>
    <row r="2275" spans="1:6" ht="51" x14ac:dyDescent="0.2">
      <c r="A2275" s="391">
        <v>105840</v>
      </c>
      <c r="B2275" s="478" t="s">
        <v>40907</v>
      </c>
      <c r="C2275" s="391" t="s">
        <v>558</v>
      </c>
      <c r="D2275" s="479">
        <v>0</v>
      </c>
      <c r="E2275" s="368"/>
      <c r="F2275" s="368"/>
    </row>
    <row r="2276" spans="1:6" ht="51" x14ac:dyDescent="0.2">
      <c r="A2276" s="391">
        <v>105841</v>
      </c>
      <c r="B2276" s="478" t="s">
        <v>40908</v>
      </c>
      <c r="C2276" s="391" t="s">
        <v>558</v>
      </c>
      <c r="D2276" s="479">
        <v>0</v>
      </c>
      <c r="E2276" s="368"/>
      <c r="F2276" s="368"/>
    </row>
    <row r="2277" spans="1:6" ht="51" x14ac:dyDescent="0.2">
      <c r="A2277" s="391">
        <v>105843</v>
      </c>
      <c r="B2277" s="478" t="s">
        <v>47172</v>
      </c>
      <c r="C2277" s="391" t="s">
        <v>558</v>
      </c>
      <c r="D2277" s="479">
        <v>88.18</v>
      </c>
      <c r="E2277" s="368"/>
      <c r="F2277" s="368"/>
    </row>
    <row r="2278" spans="1:6" ht="51" x14ac:dyDescent="0.2">
      <c r="A2278" s="391">
        <v>91629</v>
      </c>
      <c r="B2278" s="478" t="s">
        <v>905</v>
      </c>
      <c r="C2278" s="391" t="s">
        <v>558</v>
      </c>
      <c r="D2278" s="479">
        <v>21.64</v>
      </c>
      <c r="E2278" s="368"/>
      <c r="F2278" s="368"/>
    </row>
    <row r="2279" spans="1:6" ht="51" x14ac:dyDescent="0.2">
      <c r="A2279" s="391">
        <v>91631</v>
      </c>
      <c r="B2279" s="478" t="s">
        <v>907</v>
      </c>
      <c r="C2279" s="391" t="s">
        <v>558</v>
      </c>
      <c r="D2279" s="479">
        <v>3.25</v>
      </c>
      <c r="E2279" s="368"/>
      <c r="F2279" s="368"/>
    </row>
    <row r="2280" spans="1:6" ht="38.25" x14ac:dyDescent="0.2">
      <c r="A2280" s="391">
        <v>91630</v>
      </c>
      <c r="B2280" s="478" t="s">
        <v>906</v>
      </c>
      <c r="C2280" s="391" t="s">
        <v>558</v>
      </c>
      <c r="D2280" s="479">
        <v>8.0500000000000007</v>
      </c>
      <c r="E2280" s="368"/>
      <c r="F2280" s="368"/>
    </row>
    <row r="2281" spans="1:6" ht="51" x14ac:dyDescent="0.2">
      <c r="A2281" s="391">
        <v>91632</v>
      </c>
      <c r="B2281" s="480" t="s">
        <v>908</v>
      </c>
      <c r="C2281" s="391" t="s">
        <v>558</v>
      </c>
      <c r="D2281" s="479">
        <v>37.06</v>
      </c>
      <c r="E2281" s="368"/>
      <c r="F2281" s="368"/>
    </row>
    <row r="2282" spans="1:6" ht="51" x14ac:dyDescent="0.2">
      <c r="A2282" s="391">
        <v>91633</v>
      </c>
      <c r="B2282" s="478" t="s">
        <v>909</v>
      </c>
      <c r="C2282" s="391" t="s">
        <v>558</v>
      </c>
      <c r="D2282" s="479">
        <v>141.82</v>
      </c>
      <c r="E2282" s="368"/>
      <c r="F2282" s="368"/>
    </row>
    <row r="2283" spans="1:6" ht="51" x14ac:dyDescent="0.2">
      <c r="A2283" s="391">
        <v>105979</v>
      </c>
      <c r="B2283" s="478" t="s">
        <v>47592</v>
      </c>
      <c r="C2283" s="391" t="s">
        <v>558</v>
      </c>
      <c r="D2283" s="479">
        <v>43.75</v>
      </c>
      <c r="E2283" s="368"/>
      <c r="F2283" s="368"/>
    </row>
    <row r="2284" spans="1:6" ht="51" x14ac:dyDescent="0.2">
      <c r="A2284" s="391">
        <v>105982</v>
      </c>
      <c r="B2284" s="478" t="s">
        <v>47593</v>
      </c>
      <c r="C2284" s="391" t="s">
        <v>558</v>
      </c>
      <c r="D2284" s="479">
        <v>6.04</v>
      </c>
      <c r="E2284" s="368"/>
      <c r="F2284" s="368"/>
    </row>
    <row r="2285" spans="1:6" ht="51" x14ac:dyDescent="0.2">
      <c r="A2285" s="391">
        <v>105980</v>
      </c>
      <c r="B2285" s="478" t="s">
        <v>47594</v>
      </c>
      <c r="C2285" s="391" t="s">
        <v>558</v>
      </c>
      <c r="D2285" s="479">
        <v>14.93</v>
      </c>
      <c r="E2285" s="368"/>
      <c r="F2285" s="368"/>
    </row>
    <row r="2286" spans="1:6" ht="51" x14ac:dyDescent="0.2">
      <c r="A2286" s="391">
        <v>105981</v>
      </c>
      <c r="B2286" s="478" t="s">
        <v>47595</v>
      </c>
      <c r="C2286" s="391" t="s">
        <v>558</v>
      </c>
      <c r="D2286" s="479">
        <v>69.19</v>
      </c>
      <c r="E2286" s="368"/>
      <c r="F2286" s="368"/>
    </row>
    <row r="2287" spans="1:6" ht="51" x14ac:dyDescent="0.2">
      <c r="A2287" s="391">
        <v>105983</v>
      </c>
      <c r="B2287" s="478" t="s">
        <v>47596</v>
      </c>
      <c r="C2287" s="391" t="s">
        <v>558</v>
      </c>
      <c r="D2287" s="479">
        <v>167.24</v>
      </c>
      <c r="E2287" s="368"/>
      <c r="F2287" s="368"/>
    </row>
    <row r="2288" spans="1:6" ht="38.25" x14ac:dyDescent="0.2">
      <c r="A2288" s="391">
        <v>98760</v>
      </c>
      <c r="B2288" s="478" t="s">
        <v>1092</v>
      </c>
      <c r="C2288" s="391" t="s">
        <v>558</v>
      </c>
      <c r="D2288" s="479">
        <v>0.06</v>
      </c>
      <c r="E2288" s="368"/>
      <c r="F2288" s="368"/>
    </row>
    <row r="2289" spans="1:6" ht="38.25" x14ac:dyDescent="0.2">
      <c r="A2289" s="391">
        <v>98761</v>
      </c>
      <c r="B2289" s="478" t="s">
        <v>1093</v>
      </c>
      <c r="C2289" s="391" t="s">
        <v>558</v>
      </c>
      <c r="D2289" s="479">
        <v>0.01</v>
      </c>
      <c r="E2289" s="368"/>
      <c r="F2289" s="368"/>
    </row>
    <row r="2290" spans="1:6" ht="38.25" x14ac:dyDescent="0.2">
      <c r="A2290" s="391">
        <v>98762</v>
      </c>
      <c r="B2290" s="478" t="s">
        <v>1094</v>
      </c>
      <c r="C2290" s="391" t="s">
        <v>558</v>
      </c>
      <c r="D2290" s="479">
        <v>7.0000000000000007E-2</v>
      </c>
      <c r="E2290" s="368"/>
      <c r="F2290" s="368"/>
    </row>
    <row r="2291" spans="1:6" ht="38.25" x14ac:dyDescent="0.2">
      <c r="A2291" s="391">
        <v>98763</v>
      </c>
      <c r="B2291" s="478" t="s">
        <v>1095</v>
      </c>
      <c r="C2291" s="391" t="s">
        <v>558</v>
      </c>
      <c r="D2291" s="479">
        <v>4.22</v>
      </c>
      <c r="E2291" s="368"/>
      <c r="F2291" s="368"/>
    </row>
    <row r="2292" spans="1:6" ht="38.25" x14ac:dyDescent="0.2">
      <c r="A2292" s="391">
        <v>99829</v>
      </c>
      <c r="B2292" s="478" t="s">
        <v>1096</v>
      </c>
      <c r="C2292" s="391" t="s">
        <v>558</v>
      </c>
      <c r="D2292" s="479">
        <v>0.09</v>
      </c>
      <c r="E2292" s="368"/>
      <c r="F2292" s="368"/>
    </row>
    <row r="2293" spans="1:6" ht="38.25" x14ac:dyDescent="0.2">
      <c r="A2293" s="391">
        <v>99830</v>
      </c>
      <c r="B2293" s="478" t="s">
        <v>1097</v>
      </c>
      <c r="C2293" s="391" t="s">
        <v>558</v>
      </c>
      <c r="D2293" s="479">
        <v>0.01</v>
      </c>
      <c r="E2293" s="368"/>
      <c r="F2293" s="368"/>
    </row>
    <row r="2294" spans="1:6" ht="38.25" x14ac:dyDescent="0.2">
      <c r="A2294" s="391">
        <v>99831</v>
      </c>
      <c r="B2294" s="478" t="s">
        <v>1098</v>
      </c>
      <c r="C2294" s="391" t="s">
        <v>558</v>
      </c>
      <c r="D2294" s="479">
        <v>0.06</v>
      </c>
      <c r="E2294" s="368"/>
      <c r="F2294" s="368"/>
    </row>
    <row r="2295" spans="1:6" ht="38.25" x14ac:dyDescent="0.2">
      <c r="A2295" s="391">
        <v>99832</v>
      </c>
      <c r="B2295" s="478" t="s">
        <v>1099</v>
      </c>
      <c r="C2295" s="391" t="s">
        <v>558</v>
      </c>
      <c r="D2295" s="479">
        <v>4.0599999999999996</v>
      </c>
      <c r="E2295" s="368"/>
      <c r="F2295" s="368"/>
    </row>
    <row r="2296" spans="1:6" ht="38.25" x14ac:dyDescent="0.2">
      <c r="A2296" s="391">
        <v>104516</v>
      </c>
      <c r="B2296" s="478" t="s">
        <v>40909</v>
      </c>
      <c r="C2296" s="391" t="s">
        <v>558</v>
      </c>
      <c r="D2296" s="479">
        <v>0</v>
      </c>
      <c r="E2296" s="368"/>
      <c r="F2296" s="368"/>
    </row>
    <row r="2297" spans="1:6" ht="25.5" x14ac:dyDescent="0.2">
      <c r="A2297" s="391">
        <v>104517</v>
      </c>
      <c r="B2297" s="478" t="s">
        <v>40910</v>
      </c>
      <c r="C2297" s="391" t="s">
        <v>558</v>
      </c>
      <c r="D2297" s="479">
        <v>0</v>
      </c>
      <c r="E2297" s="368"/>
      <c r="F2297" s="368"/>
    </row>
    <row r="2298" spans="1:6" ht="38.25" x14ac:dyDescent="0.2">
      <c r="A2298" s="391">
        <v>104518</v>
      </c>
      <c r="B2298" s="478" t="s">
        <v>40911</v>
      </c>
      <c r="C2298" s="391" t="s">
        <v>558</v>
      </c>
      <c r="D2298" s="479">
        <v>0</v>
      </c>
      <c r="E2298" s="368"/>
      <c r="F2298" s="368"/>
    </row>
    <row r="2299" spans="1:6" ht="38.25" x14ac:dyDescent="0.2">
      <c r="A2299" s="391">
        <v>104519</v>
      </c>
      <c r="B2299" s="478" t="s">
        <v>1154</v>
      </c>
      <c r="C2299" s="391" t="s">
        <v>558</v>
      </c>
      <c r="D2299" s="479">
        <v>0.57999999999999996</v>
      </c>
      <c r="E2299" s="368"/>
      <c r="F2299" s="368"/>
    </row>
    <row r="2300" spans="1:6" ht="25.5" x14ac:dyDescent="0.2">
      <c r="A2300" s="391">
        <v>90682</v>
      </c>
      <c r="B2300" s="478" t="s">
        <v>835</v>
      </c>
      <c r="C2300" s="391" t="s">
        <v>558</v>
      </c>
      <c r="D2300" s="479">
        <v>39.68</v>
      </c>
      <c r="E2300" s="368"/>
      <c r="F2300" s="368"/>
    </row>
    <row r="2301" spans="1:6" ht="25.5" x14ac:dyDescent="0.2">
      <c r="A2301" s="391">
        <v>90683</v>
      </c>
      <c r="B2301" s="478" t="s">
        <v>836</v>
      </c>
      <c r="C2301" s="391" t="s">
        <v>558</v>
      </c>
      <c r="D2301" s="479">
        <v>9.17</v>
      </c>
      <c r="E2301" s="368"/>
      <c r="F2301" s="368"/>
    </row>
    <row r="2302" spans="1:6" ht="25.5" x14ac:dyDescent="0.2">
      <c r="A2302" s="391">
        <v>90684</v>
      </c>
      <c r="B2302" s="478" t="s">
        <v>837</v>
      </c>
      <c r="C2302" s="391" t="s">
        <v>558</v>
      </c>
      <c r="D2302" s="479">
        <v>43.4</v>
      </c>
      <c r="E2302" s="368"/>
      <c r="F2302" s="368"/>
    </row>
    <row r="2303" spans="1:6" ht="38.25" x14ac:dyDescent="0.2">
      <c r="A2303" s="391">
        <v>90685</v>
      </c>
      <c r="B2303" s="478" t="s">
        <v>838</v>
      </c>
      <c r="C2303" s="391" t="s">
        <v>558</v>
      </c>
      <c r="D2303" s="479">
        <v>60.29</v>
      </c>
      <c r="E2303" s="368"/>
      <c r="F2303" s="368"/>
    </row>
    <row r="2304" spans="1:6" ht="25.5" x14ac:dyDescent="0.2">
      <c r="A2304" s="391">
        <v>95114</v>
      </c>
      <c r="B2304" s="478" t="s">
        <v>1006</v>
      </c>
      <c r="C2304" s="391" t="s">
        <v>558</v>
      </c>
      <c r="D2304" s="479">
        <v>1.92</v>
      </c>
      <c r="E2304" s="368"/>
      <c r="F2304" s="368"/>
    </row>
    <row r="2305" spans="1:6" ht="25.5" x14ac:dyDescent="0.2">
      <c r="A2305" s="391">
        <v>95115</v>
      </c>
      <c r="B2305" s="478" t="s">
        <v>1007</v>
      </c>
      <c r="C2305" s="391" t="s">
        <v>558</v>
      </c>
      <c r="D2305" s="479">
        <v>0.44</v>
      </c>
      <c r="E2305" s="368"/>
      <c r="F2305" s="368"/>
    </row>
    <row r="2306" spans="1:6" ht="25.5" x14ac:dyDescent="0.2">
      <c r="A2306" s="391">
        <v>53863</v>
      </c>
      <c r="B2306" s="478" t="s">
        <v>644</v>
      </c>
      <c r="C2306" s="391" t="s">
        <v>558</v>
      </c>
      <c r="D2306" s="479">
        <v>2.4</v>
      </c>
      <c r="E2306" s="368"/>
      <c r="F2306" s="368"/>
    </row>
    <row r="2307" spans="1:6" ht="25.5" x14ac:dyDescent="0.2">
      <c r="A2307" s="391">
        <v>104652</v>
      </c>
      <c r="B2307" s="478" t="s">
        <v>40912</v>
      </c>
      <c r="C2307" s="391" t="s">
        <v>558</v>
      </c>
      <c r="D2307" s="479">
        <v>0</v>
      </c>
      <c r="E2307" s="368"/>
      <c r="F2307" s="368"/>
    </row>
    <row r="2308" spans="1:6" ht="25.5" x14ac:dyDescent="0.2">
      <c r="A2308" s="391">
        <v>104653</v>
      </c>
      <c r="B2308" s="478" t="s">
        <v>40913</v>
      </c>
      <c r="C2308" s="391" t="s">
        <v>558</v>
      </c>
      <c r="D2308" s="479">
        <v>0</v>
      </c>
      <c r="E2308" s="368"/>
      <c r="F2308" s="368"/>
    </row>
    <row r="2309" spans="1:6" ht="25.5" x14ac:dyDescent="0.2">
      <c r="A2309" s="391">
        <v>104654</v>
      </c>
      <c r="B2309" s="478" t="s">
        <v>40914</v>
      </c>
      <c r="C2309" s="391" t="s">
        <v>558</v>
      </c>
      <c r="D2309" s="479">
        <v>0</v>
      </c>
      <c r="E2309" s="368"/>
      <c r="F2309" s="368"/>
    </row>
    <row r="2310" spans="1:6" ht="25.5" x14ac:dyDescent="0.2">
      <c r="A2310" s="391">
        <v>104655</v>
      </c>
      <c r="B2310" s="478" t="s">
        <v>1155</v>
      </c>
      <c r="C2310" s="391" t="s">
        <v>558</v>
      </c>
      <c r="D2310" s="479">
        <v>0.62</v>
      </c>
      <c r="E2310" s="368"/>
      <c r="F2310" s="368"/>
    </row>
    <row r="2311" spans="1:6" ht="25.5" x14ac:dyDescent="0.2">
      <c r="A2311" s="391">
        <v>102270</v>
      </c>
      <c r="B2311" s="478" t="s">
        <v>1108</v>
      </c>
      <c r="C2311" s="391" t="s">
        <v>558</v>
      </c>
      <c r="D2311" s="479">
        <v>0.84</v>
      </c>
      <c r="E2311" s="368"/>
      <c r="F2311" s="368"/>
    </row>
    <row r="2312" spans="1:6" ht="25.5" x14ac:dyDescent="0.2">
      <c r="A2312" s="391">
        <v>102271</v>
      </c>
      <c r="B2312" s="478" t="s">
        <v>1109</v>
      </c>
      <c r="C2312" s="391" t="s">
        <v>558</v>
      </c>
      <c r="D2312" s="479">
        <v>0.19</v>
      </c>
      <c r="E2312" s="368"/>
      <c r="F2312" s="368"/>
    </row>
    <row r="2313" spans="1:6" ht="25.5" x14ac:dyDescent="0.2">
      <c r="A2313" s="391">
        <v>102272</v>
      </c>
      <c r="B2313" s="478" t="s">
        <v>1110</v>
      </c>
      <c r="C2313" s="391" t="s">
        <v>558</v>
      </c>
      <c r="D2313" s="479">
        <v>1.05</v>
      </c>
      <c r="E2313" s="368"/>
      <c r="F2313" s="368"/>
    </row>
    <row r="2314" spans="1:6" ht="25.5" x14ac:dyDescent="0.2">
      <c r="A2314" s="391">
        <v>102273</v>
      </c>
      <c r="B2314" s="478" t="s">
        <v>1111</v>
      </c>
      <c r="C2314" s="391" t="s">
        <v>558</v>
      </c>
      <c r="D2314" s="479">
        <v>1.56</v>
      </c>
      <c r="E2314" s="368"/>
      <c r="F2314" s="368"/>
    </row>
    <row r="2315" spans="1:6" ht="25.5" x14ac:dyDescent="0.2">
      <c r="A2315" s="391">
        <v>95255</v>
      </c>
      <c r="B2315" s="478" t="s">
        <v>1025</v>
      </c>
      <c r="C2315" s="391" t="s">
        <v>558</v>
      </c>
      <c r="D2315" s="479">
        <v>1.7</v>
      </c>
      <c r="E2315" s="368"/>
      <c r="F2315" s="368"/>
    </row>
    <row r="2316" spans="1:6" x14ac:dyDescent="0.2">
      <c r="A2316" s="391">
        <v>95256</v>
      </c>
      <c r="B2316" s="478" t="s">
        <v>1026</v>
      </c>
      <c r="C2316" s="391" t="s">
        <v>558</v>
      </c>
      <c r="D2316" s="479">
        <v>0.39</v>
      </c>
      <c r="E2316" s="368"/>
      <c r="F2316" s="368"/>
    </row>
    <row r="2317" spans="1:6" ht="25.5" x14ac:dyDescent="0.2">
      <c r="A2317" s="391">
        <v>95257</v>
      </c>
      <c r="B2317" s="478" t="s">
        <v>1027</v>
      </c>
      <c r="C2317" s="391" t="s">
        <v>558</v>
      </c>
      <c r="D2317" s="479">
        <v>2.13</v>
      </c>
      <c r="E2317" s="368"/>
      <c r="F2317" s="368"/>
    </row>
    <row r="2318" spans="1:6" ht="25.5" x14ac:dyDescent="0.2">
      <c r="A2318" s="391">
        <v>105913</v>
      </c>
      <c r="B2318" s="478" t="s">
        <v>47173</v>
      </c>
      <c r="C2318" s="391" t="s">
        <v>558</v>
      </c>
      <c r="D2318" s="479">
        <v>0</v>
      </c>
      <c r="E2318" s="368"/>
      <c r="F2318" s="368"/>
    </row>
    <row r="2319" spans="1:6" ht="25.5" x14ac:dyDescent="0.2">
      <c r="A2319" s="391">
        <v>105914</v>
      </c>
      <c r="B2319" s="478" t="s">
        <v>47174</v>
      </c>
      <c r="C2319" s="391" t="s">
        <v>558</v>
      </c>
      <c r="D2319" s="479">
        <v>0</v>
      </c>
      <c r="E2319" s="368"/>
      <c r="F2319" s="368"/>
    </row>
    <row r="2320" spans="1:6" ht="25.5" x14ac:dyDescent="0.2">
      <c r="A2320" s="391">
        <v>105915</v>
      </c>
      <c r="B2320" s="478" t="s">
        <v>47175</v>
      </c>
      <c r="C2320" s="391" t="s">
        <v>558</v>
      </c>
      <c r="D2320" s="479">
        <v>0</v>
      </c>
      <c r="E2320" s="368"/>
      <c r="F2320" s="368"/>
    </row>
    <row r="2321" spans="1:6" ht="25.5" x14ac:dyDescent="0.2">
      <c r="A2321" s="391">
        <v>92963</v>
      </c>
      <c r="B2321" s="478" t="s">
        <v>957</v>
      </c>
      <c r="C2321" s="391" t="s">
        <v>558</v>
      </c>
      <c r="D2321" s="479">
        <v>1.97</v>
      </c>
      <c r="E2321" s="368"/>
      <c r="F2321" s="368"/>
    </row>
    <row r="2322" spans="1:6" ht="25.5" x14ac:dyDescent="0.2">
      <c r="A2322" s="391">
        <v>92964</v>
      </c>
      <c r="B2322" s="478" t="s">
        <v>958</v>
      </c>
      <c r="C2322" s="391" t="s">
        <v>558</v>
      </c>
      <c r="D2322" s="479">
        <v>0.45</v>
      </c>
      <c r="E2322" s="368"/>
      <c r="F2322" s="368"/>
    </row>
    <row r="2323" spans="1:6" ht="25.5" x14ac:dyDescent="0.2">
      <c r="A2323" s="391">
        <v>92965</v>
      </c>
      <c r="B2323" s="478" t="s">
        <v>959</v>
      </c>
      <c r="C2323" s="391" t="s">
        <v>558</v>
      </c>
      <c r="D2323" s="479">
        <v>2.4700000000000002</v>
      </c>
      <c r="E2323" s="368"/>
      <c r="F2323" s="368"/>
    </row>
    <row r="2324" spans="1:6" ht="51" x14ac:dyDescent="0.2">
      <c r="A2324" s="391">
        <v>103792</v>
      </c>
      <c r="B2324" s="478" t="s">
        <v>1145</v>
      </c>
      <c r="C2324" s="391" t="s">
        <v>558</v>
      </c>
      <c r="D2324" s="479">
        <v>4.3</v>
      </c>
      <c r="E2324" s="368"/>
      <c r="F2324" s="368"/>
    </row>
    <row r="2325" spans="1:6" ht="51" x14ac:dyDescent="0.2">
      <c r="A2325" s="391">
        <v>103789</v>
      </c>
      <c r="B2325" s="478" t="s">
        <v>40915</v>
      </c>
      <c r="C2325" s="391" t="s">
        <v>558</v>
      </c>
      <c r="D2325" s="479">
        <v>0</v>
      </c>
      <c r="E2325" s="368"/>
      <c r="F2325" s="368"/>
    </row>
    <row r="2326" spans="1:6" ht="51" x14ac:dyDescent="0.2">
      <c r="A2326" s="391">
        <v>103790</v>
      </c>
      <c r="B2326" s="478" t="s">
        <v>40916</v>
      </c>
      <c r="C2326" s="391" t="s">
        <v>558</v>
      </c>
      <c r="D2326" s="479">
        <v>0</v>
      </c>
      <c r="E2326" s="368"/>
      <c r="F2326" s="368"/>
    </row>
    <row r="2327" spans="1:6" ht="51" x14ac:dyDescent="0.2">
      <c r="A2327" s="391">
        <v>103791</v>
      </c>
      <c r="B2327" s="478" t="s">
        <v>40917</v>
      </c>
      <c r="C2327" s="391" t="s">
        <v>558</v>
      </c>
      <c r="D2327" s="479">
        <v>0</v>
      </c>
      <c r="E2327" s="368"/>
      <c r="F2327" s="368"/>
    </row>
    <row r="2328" spans="1:6" ht="25.5" x14ac:dyDescent="0.2">
      <c r="A2328" s="391">
        <v>96054</v>
      </c>
      <c r="B2328" s="478" t="s">
        <v>1084</v>
      </c>
      <c r="C2328" s="391" t="s">
        <v>558</v>
      </c>
      <c r="D2328" s="479">
        <v>31.92</v>
      </c>
      <c r="E2328" s="368"/>
      <c r="F2328" s="368"/>
    </row>
    <row r="2329" spans="1:6" ht="25.5" x14ac:dyDescent="0.2">
      <c r="A2329" s="391">
        <v>96060</v>
      </c>
      <c r="B2329" s="478" t="s">
        <v>1088</v>
      </c>
      <c r="C2329" s="391" t="s">
        <v>558</v>
      </c>
      <c r="D2329" s="479">
        <v>6.55</v>
      </c>
      <c r="E2329" s="368"/>
      <c r="F2329" s="368"/>
    </row>
    <row r="2330" spans="1:6" ht="25.5" x14ac:dyDescent="0.2">
      <c r="A2330" s="391">
        <v>96061</v>
      </c>
      <c r="B2330" s="478" t="s">
        <v>1089</v>
      </c>
      <c r="C2330" s="391" t="s">
        <v>558</v>
      </c>
      <c r="D2330" s="479">
        <v>39.9</v>
      </c>
      <c r="E2330" s="368"/>
      <c r="F2330" s="368"/>
    </row>
    <row r="2331" spans="1:6" ht="38.25" x14ac:dyDescent="0.2">
      <c r="A2331" s="391">
        <v>96062</v>
      </c>
      <c r="B2331" s="478" t="s">
        <v>1090</v>
      </c>
      <c r="C2331" s="391" t="s">
        <v>558</v>
      </c>
      <c r="D2331" s="479">
        <v>42.22</v>
      </c>
      <c r="E2331" s="368"/>
      <c r="F2331" s="368"/>
    </row>
    <row r="2332" spans="1:6" ht="25.5" x14ac:dyDescent="0.2">
      <c r="A2332" s="391">
        <v>90688</v>
      </c>
      <c r="B2332" s="478" t="s">
        <v>839</v>
      </c>
      <c r="C2332" s="391" t="s">
        <v>558</v>
      </c>
      <c r="D2332" s="479">
        <v>28.08</v>
      </c>
      <c r="E2332" s="368"/>
      <c r="F2332" s="368"/>
    </row>
    <row r="2333" spans="1:6" ht="25.5" x14ac:dyDescent="0.2">
      <c r="A2333" s="391">
        <v>90689</v>
      </c>
      <c r="B2333" s="480" t="s">
        <v>840</v>
      </c>
      <c r="C2333" s="391" t="s">
        <v>558</v>
      </c>
      <c r="D2333" s="479">
        <v>5.54</v>
      </c>
      <c r="E2333" s="368"/>
      <c r="F2333" s="368"/>
    </row>
    <row r="2334" spans="1:6" ht="25.5" x14ac:dyDescent="0.2">
      <c r="A2334" s="392">
        <v>90690</v>
      </c>
      <c r="B2334" s="480" t="s">
        <v>841</v>
      </c>
      <c r="C2334" s="392" t="s">
        <v>558</v>
      </c>
      <c r="D2334" s="481">
        <v>35.1</v>
      </c>
      <c r="E2334" s="369"/>
      <c r="F2334" s="369"/>
    </row>
    <row r="2335" spans="1:6" ht="25.5" x14ac:dyDescent="0.2">
      <c r="A2335" s="391">
        <v>90691</v>
      </c>
      <c r="B2335" s="478" t="s">
        <v>842</v>
      </c>
      <c r="C2335" s="391" t="s">
        <v>558</v>
      </c>
      <c r="D2335" s="479">
        <v>42.22</v>
      </c>
      <c r="E2335" s="368"/>
      <c r="F2335" s="368"/>
    </row>
    <row r="2336" spans="1:6" ht="25.5" x14ac:dyDescent="0.2">
      <c r="A2336" s="391">
        <v>96241</v>
      </c>
      <c r="B2336" s="478" t="s">
        <v>40433</v>
      </c>
      <c r="C2336" s="391" t="s">
        <v>558</v>
      </c>
      <c r="D2336" s="479">
        <v>29.83</v>
      </c>
      <c r="E2336" s="368"/>
      <c r="F2336" s="368"/>
    </row>
    <row r="2337" spans="1:6" ht="25.5" x14ac:dyDescent="0.2">
      <c r="A2337" s="391">
        <v>96242</v>
      </c>
      <c r="B2337" s="478" t="s">
        <v>40434</v>
      </c>
      <c r="C2337" s="391" t="s">
        <v>558</v>
      </c>
      <c r="D2337" s="479">
        <v>7.88</v>
      </c>
      <c r="E2337" s="368"/>
      <c r="F2337" s="368"/>
    </row>
    <row r="2338" spans="1:6" ht="25.5" x14ac:dyDescent="0.2">
      <c r="A2338" s="391">
        <v>96243</v>
      </c>
      <c r="B2338" s="478" t="s">
        <v>40435</v>
      </c>
      <c r="C2338" s="391" t="s">
        <v>558</v>
      </c>
      <c r="D2338" s="479">
        <v>37.29</v>
      </c>
      <c r="E2338" s="368"/>
      <c r="F2338" s="368"/>
    </row>
    <row r="2339" spans="1:6" ht="25.5" x14ac:dyDescent="0.2">
      <c r="A2339" s="391">
        <v>96244</v>
      </c>
      <c r="B2339" s="480" t="s">
        <v>40436</v>
      </c>
      <c r="C2339" s="391" t="s">
        <v>558</v>
      </c>
      <c r="D2339" s="479">
        <v>18.440000000000001</v>
      </c>
      <c r="E2339" s="368"/>
      <c r="F2339" s="368"/>
    </row>
    <row r="2340" spans="1:6" ht="25.5" x14ac:dyDescent="0.2">
      <c r="A2340" s="391">
        <v>88400</v>
      </c>
      <c r="B2340" s="480" t="s">
        <v>674</v>
      </c>
      <c r="C2340" s="391" t="s">
        <v>558</v>
      </c>
      <c r="D2340" s="479">
        <v>0.79</v>
      </c>
      <c r="E2340" s="368"/>
      <c r="F2340" s="368"/>
    </row>
    <row r="2341" spans="1:6" ht="25.5" x14ac:dyDescent="0.2">
      <c r="A2341" s="391">
        <v>88401</v>
      </c>
      <c r="B2341" s="478" t="s">
        <v>675</v>
      </c>
      <c r="C2341" s="391" t="s">
        <v>558</v>
      </c>
      <c r="D2341" s="479">
        <v>0.18</v>
      </c>
      <c r="E2341" s="368"/>
      <c r="F2341" s="368"/>
    </row>
    <row r="2342" spans="1:6" ht="25.5" x14ac:dyDescent="0.2">
      <c r="A2342" s="391">
        <v>88402</v>
      </c>
      <c r="B2342" s="478" t="s">
        <v>676</v>
      </c>
      <c r="C2342" s="391" t="s">
        <v>558</v>
      </c>
      <c r="D2342" s="479">
        <v>0.87</v>
      </c>
      <c r="E2342" s="368"/>
      <c r="F2342" s="368"/>
    </row>
    <row r="2343" spans="1:6" ht="38.25" x14ac:dyDescent="0.2">
      <c r="A2343" s="391">
        <v>88403</v>
      </c>
      <c r="B2343" s="478" t="s">
        <v>677</v>
      </c>
      <c r="C2343" s="391" t="s">
        <v>558</v>
      </c>
      <c r="D2343" s="479">
        <v>1.72</v>
      </c>
      <c r="E2343" s="368"/>
      <c r="F2343" s="368"/>
    </row>
    <row r="2344" spans="1:6" ht="25.5" x14ac:dyDescent="0.2">
      <c r="A2344" s="391">
        <v>88387</v>
      </c>
      <c r="B2344" s="478" t="s">
        <v>666</v>
      </c>
      <c r="C2344" s="391" t="s">
        <v>558</v>
      </c>
      <c r="D2344" s="479">
        <v>0.84</v>
      </c>
      <c r="E2344" s="368"/>
      <c r="F2344" s="368"/>
    </row>
    <row r="2345" spans="1:6" ht="25.5" x14ac:dyDescent="0.2">
      <c r="A2345" s="391">
        <v>88389</v>
      </c>
      <c r="B2345" s="478" t="s">
        <v>667</v>
      </c>
      <c r="C2345" s="391" t="s">
        <v>558</v>
      </c>
      <c r="D2345" s="479">
        <v>0.19</v>
      </c>
      <c r="E2345" s="368"/>
      <c r="F2345" s="368"/>
    </row>
    <row r="2346" spans="1:6" ht="25.5" x14ac:dyDescent="0.2">
      <c r="A2346" s="391">
        <v>88390</v>
      </c>
      <c r="B2346" s="478" t="s">
        <v>668</v>
      </c>
      <c r="C2346" s="391" t="s">
        <v>558</v>
      </c>
      <c r="D2346" s="479">
        <v>0.92</v>
      </c>
      <c r="E2346" s="368"/>
      <c r="F2346" s="368"/>
    </row>
    <row r="2347" spans="1:6" ht="38.25" x14ac:dyDescent="0.2">
      <c r="A2347" s="391">
        <v>88391</v>
      </c>
      <c r="B2347" s="478" t="s">
        <v>669</v>
      </c>
      <c r="C2347" s="391" t="s">
        <v>558</v>
      </c>
      <c r="D2347" s="479">
        <v>2.87</v>
      </c>
      <c r="E2347" s="368"/>
      <c r="F2347" s="368"/>
    </row>
    <row r="2348" spans="1:6" ht="25.5" x14ac:dyDescent="0.2">
      <c r="A2348" s="391">
        <v>88394</v>
      </c>
      <c r="B2348" s="478" t="s">
        <v>670</v>
      </c>
      <c r="C2348" s="391" t="s">
        <v>558</v>
      </c>
      <c r="D2348" s="479">
        <v>1</v>
      </c>
      <c r="E2348" s="368"/>
      <c r="F2348" s="368"/>
    </row>
    <row r="2349" spans="1:6" ht="25.5" x14ac:dyDescent="0.2">
      <c r="A2349" s="391">
        <v>88395</v>
      </c>
      <c r="B2349" s="478" t="s">
        <v>671</v>
      </c>
      <c r="C2349" s="391" t="s">
        <v>558</v>
      </c>
      <c r="D2349" s="479">
        <v>0.23</v>
      </c>
      <c r="E2349" s="368"/>
      <c r="F2349" s="368"/>
    </row>
    <row r="2350" spans="1:6" ht="25.5" x14ac:dyDescent="0.2">
      <c r="A2350" s="391">
        <v>88396</v>
      </c>
      <c r="B2350" s="478" t="s">
        <v>672</v>
      </c>
      <c r="C2350" s="391" t="s">
        <v>558</v>
      </c>
      <c r="D2350" s="479">
        <v>1.0900000000000001</v>
      </c>
      <c r="E2350" s="368"/>
      <c r="F2350" s="368"/>
    </row>
    <row r="2351" spans="1:6" ht="38.25" x14ac:dyDescent="0.2">
      <c r="A2351" s="391">
        <v>88397</v>
      </c>
      <c r="B2351" s="478" t="s">
        <v>673</v>
      </c>
      <c r="C2351" s="391" t="s">
        <v>558</v>
      </c>
      <c r="D2351" s="479">
        <v>4.3099999999999996</v>
      </c>
      <c r="E2351" s="368"/>
      <c r="F2351" s="368"/>
    </row>
    <row r="2352" spans="1:6" ht="38.25" x14ac:dyDescent="0.2">
      <c r="A2352" s="391">
        <v>90633</v>
      </c>
      <c r="B2352" s="478" t="s">
        <v>803</v>
      </c>
      <c r="C2352" s="391" t="s">
        <v>558</v>
      </c>
      <c r="D2352" s="479">
        <v>3.99</v>
      </c>
      <c r="E2352" s="368"/>
      <c r="F2352" s="368"/>
    </row>
    <row r="2353" spans="1:6" ht="38.25" x14ac:dyDescent="0.2">
      <c r="A2353" s="391">
        <v>90634</v>
      </c>
      <c r="B2353" s="478" t="s">
        <v>804</v>
      </c>
      <c r="C2353" s="391" t="s">
        <v>558</v>
      </c>
      <c r="D2353" s="479">
        <v>0.92</v>
      </c>
      <c r="E2353" s="368"/>
      <c r="F2353" s="368"/>
    </row>
    <row r="2354" spans="1:6" ht="38.25" x14ac:dyDescent="0.2">
      <c r="A2354" s="391">
        <v>90635</v>
      </c>
      <c r="B2354" s="478" t="s">
        <v>805</v>
      </c>
      <c r="C2354" s="391" t="s">
        <v>558</v>
      </c>
      <c r="D2354" s="479">
        <v>4.3600000000000003</v>
      </c>
      <c r="E2354" s="368"/>
      <c r="F2354" s="368"/>
    </row>
    <row r="2355" spans="1:6" ht="38.25" x14ac:dyDescent="0.2">
      <c r="A2355" s="391">
        <v>90636</v>
      </c>
      <c r="B2355" s="478" t="s">
        <v>806</v>
      </c>
      <c r="C2355" s="391" t="s">
        <v>558</v>
      </c>
      <c r="D2355" s="479">
        <v>5.75</v>
      </c>
      <c r="E2355" s="368"/>
      <c r="F2355" s="368"/>
    </row>
    <row r="2356" spans="1:6" ht="38.25" x14ac:dyDescent="0.2">
      <c r="A2356" s="391">
        <v>103238</v>
      </c>
      <c r="B2356" s="478" t="s">
        <v>40918</v>
      </c>
      <c r="C2356" s="391" t="s">
        <v>558</v>
      </c>
      <c r="D2356" s="479">
        <v>0</v>
      </c>
      <c r="E2356" s="368"/>
      <c r="F2356" s="368"/>
    </row>
    <row r="2357" spans="1:6" ht="38.25" x14ac:dyDescent="0.2">
      <c r="A2357" s="391">
        <v>103239</v>
      </c>
      <c r="B2357" s="478" t="s">
        <v>40919</v>
      </c>
      <c r="C2357" s="391" t="s">
        <v>558</v>
      </c>
      <c r="D2357" s="479">
        <v>0</v>
      </c>
      <c r="E2357" s="368"/>
      <c r="F2357" s="368"/>
    </row>
    <row r="2358" spans="1:6" ht="38.25" x14ac:dyDescent="0.2">
      <c r="A2358" s="391">
        <v>103240</v>
      </c>
      <c r="B2358" s="478" t="s">
        <v>40920</v>
      </c>
      <c r="C2358" s="391" t="s">
        <v>558</v>
      </c>
      <c r="D2358" s="479">
        <v>0</v>
      </c>
      <c r="E2358" s="368"/>
      <c r="F2358" s="368"/>
    </row>
    <row r="2359" spans="1:6" ht="38.25" x14ac:dyDescent="0.2">
      <c r="A2359" s="391">
        <v>103241</v>
      </c>
      <c r="B2359" s="480" t="s">
        <v>1142</v>
      </c>
      <c r="C2359" s="391" t="s">
        <v>558</v>
      </c>
      <c r="D2359" s="479">
        <v>10.79</v>
      </c>
      <c r="E2359" s="368"/>
      <c r="F2359" s="368"/>
    </row>
    <row r="2360" spans="1:6" ht="38.25" x14ac:dyDescent="0.2">
      <c r="A2360" s="391">
        <v>88853</v>
      </c>
      <c r="B2360" s="480" t="s">
        <v>698</v>
      </c>
      <c r="C2360" s="391" t="s">
        <v>558</v>
      </c>
      <c r="D2360" s="479">
        <v>0.26</v>
      </c>
      <c r="E2360" s="368"/>
      <c r="F2360" s="368"/>
    </row>
    <row r="2361" spans="1:6" ht="38.25" x14ac:dyDescent="0.2">
      <c r="A2361" s="391">
        <v>88854</v>
      </c>
      <c r="B2361" s="480" t="s">
        <v>699</v>
      </c>
      <c r="C2361" s="391" t="s">
        <v>558</v>
      </c>
      <c r="D2361" s="479">
        <v>0.06</v>
      </c>
      <c r="E2361" s="368"/>
      <c r="F2361" s="368"/>
    </row>
    <row r="2362" spans="1:6" ht="38.25" x14ac:dyDescent="0.2">
      <c r="A2362" s="391">
        <v>5692</v>
      </c>
      <c r="B2362" s="478" t="s">
        <v>568</v>
      </c>
      <c r="C2362" s="391" t="s">
        <v>558</v>
      </c>
      <c r="D2362" s="479">
        <v>0.28000000000000003</v>
      </c>
      <c r="E2362" s="368"/>
      <c r="F2362" s="368"/>
    </row>
    <row r="2363" spans="1:6" ht="38.25" x14ac:dyDescent="0.2">
      <c r="A2363" s="391">
        <v>5693</v>
      </c>
      <c r="B2363" s="478" t="s">
        <v>569</v>
      </c>
      <c r="C2363" s="391" t="s">
        <v>558</v>
      </c>
      <c r="D2363" s="479">
        <v>22.01</v>
      </c>
      <c r="E2363" s="368"/>
      <c r="F2363" s="368"/>
    </row>
    <row r="2364" spans="1:6" ht="38.25" x14ac:dyDescent="0.2">
      <c r="A2364" s="391">
        <v>7044</v>
      </c>
      <c r="B2364" s="478" t="s">
        <v>608</v>
      </c>
      <c r="C2364" s="391" t="s">
        <v>558</v>
      </c>
      <c r="D2364" s="479">
        <v>0.32</v>
      </c>
      <c r="E2364" s="368"/>
      <c r="F2364" s="368"/>
    </row>
    <row r="2365" spans="1:6" ht="38.25" x14ac:dyDescent="0.2">
      <c r="A2365" s="391">
        <v>7045</v>
      </c>
      <c r="B2365" s="478" t="s">
        <v>609</v>
      </c>
      <c r="C2365" s="391" t="s">
        <v>558</v>
      </c>
      <c r="D2365" s="479">
        <v>7.0000000000000007E-2</v>
      </c>
      <c r="E2365" s="368"/>
      <c r="F2365" s="368"/>
    </row>
    <row r="2366" spans="1:6" ht="38.25" x14ac:dyDescent="0.2">
      <c r="A2366" s="391">
        <v>7046</v>
      </c>
      <c r="B2366" s="478" t="s">
        <v>610</v>
      </c>
      <c r="C2366" s="391" t="s">
        <v>558</v>
      </c>
      <c r="D2366" s="479">
        <v>0.35</v>
      </c>
      <c r="E2366" s="368"/>
      <c r="F2366" s="368"/>
    </row>
    <row r="2367" spans="1:6" ht="38.25" x14ac:dyDescent="0.2">
      <c r="A2367" s="391">
        <v>7047</v>
      </c>
      <c r="B2367" s="478" t="s">
        <v>611</v>
      </c>
      <c r="C2367" s="391" t="s">
        <v>558</v>
      </c>
      <c r="D2367" s="479">
        <v>25.98</v>
      </c>
      <c r="E2367" s="368"/>
      <c r="F2367" s="368"/>
    </row>
    <row r="2368" spans="1:6" ht="38.25" x14ac:dyDescent="0.2">
      <c r="A2368" s="391">
        <v>89228</v>
      </c>
      <c r="B2368" s="478" t="s">
        <v>744</v>
      </c>
      <c r="C2368" s="391" t="s">
        <v>558</v>
      </c>
      <c r="D2368" s="479">
        <v>50.6</v>
      </c>
      <c r="E2368" s="368"/>
      <c r="F2368" s="368"/>
    </row>
    <row r="2369" spans="1:6" ht="25.5" x14ac:dyDescent="0.2">
      <c r="A2369" s="391">
        <v>89229</v>
      </c>
      <c r="B2369" s="478" t="s">
        <v>745</v>
      </c>
      <c r="C2369" s="391" t="s">
        <v>558</v>
      </c>
      <c r="D2369" s="479">
        <v>17.829999999999998</v>
      </c>
      <c r="E2369" s="368"/>
      <c r="F2369" s="368"/>
    </row>
    <row r="2370" spans="1:6" ht="38.25" x14ac:dyDescent="0.2">
      <c r="A2370" s="391">
        <v>5779</v>
      </c>
      <c r="B2370" s="478" t="s">
        <v>597</v>
      </c>
      <c r="C2370" s="391" t="s">
        <v>558</v>
      </c>
      <c r="D2370" s="479">
        <v>81.33</v>
      </c>
      <c r="E2370" s="368"/>
      <c r="F2370" s="368"/>
    </row>
    <row r="2371" spans="1:6" ht="38.25" x14ac:dyDescent="0.2">
      <c r="A2371" s="391">
        <v>53849</v>
      </c>
      <c r="B2371" s="478" t="s">
        <v>640</v>
      </c>
      <c r="C2371" s="391" t="s">
        <v>558</v>
      </c>
      <c r="D2371" s="479">
        <v>88.69</v>
      </c>
      <c r="E2371" s="368"/>
      <c r="F2371" s="368"/>
    </row>
    <row r="2372" spans="1:6" ht="25.5" x14ac:dyDescent="0.2">
      <c r="A2372" s="391">
        <v>95129</v>
      </c>
      <c r="B2372" s="478" t="s">
        <v>1017</v>
      </c>
      <c r="C2372" s="391" t="s">
        <v>558</v>
      </c>
      <c r="D2372" s="479">
        <v>49.78</v>
      </c>
      <c r="E2372" s="368"/>
      <c r="F2372" s="368"/>
    </row>
    <row r="2373" spans="1:6" ht="25.5" x14ac:dyDescent="0.2">
      <c r="A2373" s="391">
        <v>95130</v>
      </c>
      <c r="B2373" s="478" t="s">
        <v>1018</v>
      </c>
      <c r="C2373" s="391" t="s">
        <v>558</v>
      </c>
      <c r="D2373" s="479">
        <v>18.05</v>
      </c>
      <c r="E2373" s="368"/>
      <c r="F2373" s="368"/>
    </row>
    <row r="2374" spans="1:6" ht="25.5" x14ac:dyDescent="0.2">
      <c r="A2374" s="391">
        <v>95131</v>
      </c>
      <c r="B2374" s="478" t="s">
        <v>1019</v>
      </c>
      <c r="C2374" s="391" t="s">
        <v>558</v>
      </c>
      <c r="D2374" s="479">
        <v>58.6</v>
      </c>
      <c r="E2374" s="368"/>
      <c r="F2374" s="368"/>
    </row>
    <row r="2375" spans="1:6" ht="25.5" x14ac:dyDescent="0.2">
      <c r="A2375" s="391">
        <v>95132</v>
      </c>
      <c r="B2375" s="478" t="s">
        <v>1020</v>
      </c>
      <c r="C2375" s="391" t="s">
        <v>558</v>
      </c>
      <c r="D2375" s="479">
        <v>34.17</v>
      </c>
      <c r="E2375" s="368"/>
      <c r="F2375" s="368"/>
    </row>
    <row r="2376" spans="1:6" ht="25.5" x14ac:dyDescent="0.2">
      <c r="A2376" s="391">
        <v>102982</v>
      </c>
      <c r="B2376" s="478" t="s">
        <v>40921</v>
      </c>
      <c r="C2376" s="391" t="s">
        <v>558</v>
      </c>
      <c r="D2376" s="479">
        <v>0</v>
      </c>
      <c r="E2376" s="368"/>
      <c r="F2376" s="368"/>
    </row>
    <row r="2377" spans="1:6" ht="25.5" x14ac:dyDescent="0.2">
      <c r="A2377" s="391">
        <v>102983</v>
      </c>
      <c r="B2377" s="478" t="s">
        <v>40922</v>
      </c>
      <c r="C2377" s="391" t="s">
        <v>558</v>
      </c>
      <c r="D2377" s="479">
        <v>0</v>
      </c>
      <c r="E2377" s="368"/>
      <c r="F2377" s="368"/>
    </row>
    <row r="2378" spans="1:6" ht="25.5" x14ac:dyDescent="0.2">
      <c r="A2378" s="391">
        <v>102984</v>
      </c>
      <c r="B2378" s="478" t="s">
        <v>40923</v>
      </c>
      <c r="C2378" s="391" t="s">
        <v>558</v>
      </c>
      <c r="D2378" s="479">
        <v>0</v>
      </c>
      <c r="E2378" s="368"/>
      <c r="F2378" s="368"/>
    </row>
    <row r="2379" spans="1:6" ht="38.25" x14ac:dyDescent="0.2">
      <c r="A2379" s="391">
        <v>102985</v>
      </c>
      <c r="B2379" s="478" t="s">
        <v>1133</v>
      </c>
      <c r="C2379" s="391" t="s">
        <v>558</v>
      </c>
      <c r="D2379" s="479">
        <v>15.85</v>
      </c>
      <c r="E2379" s="368"/>
      <c r="F2379" s="368"/>
    </row>
    <row r="2380" spans="1:6" ht="25.5" x14ac:dyDescent="0.2">
      <c r="A2380" s="391">
        <v>92956</v>
      </c>
      <c r="B2380" s="478" t="s">
        <v>953</v>
      </c>
      <c r="C2380" s="391" t="s">
        <v>558</v>
      </c>
      <c r="D2380" s="479">
        <v>4.37</v>
      </c>
      <c r="E2380" s="368"/>
      <c r="F2380" s="368"/>
    </row>
    <row r="2381" spans="1:6" ht="25.5" x14ac:dyDescent="0.2">
      <c r="A2381" s="391">
        <v>92957</v>
      </c>
      <c r="B2381" s="478" t="s">
        <v>954</v>
      </c>
      <c r="C2381" s="391" t="s">
        <v>558</v>
      </c>
      <c r="D2381" s="479">
        <v>1.01</v>
      </c>
      <c r="E2381" s="368"/>
      <c r="F2381" s="368"/>
    </row>
    <row r="2382" spans="1:6" ht="25.5" x14ac:dyDescent="0.2">
      <c r="A2382" s="391">
        <v>92958</v>
      </c>
      <c r="B2382" s="478" t="s">
        <v>955</v>
      </c>
      <c r="C2382" s="391" t="s">
        <v>558</v>
      </c>
      <c r="D2382" s="479">
        <v>4.79</v>
      </c>
      <c r="E2382" s="368"/>
      <c r="F2382" s="368"/>
    </row>
    <row r="2383" spans="1:6" ht="25.5" x14ac:dyDescent="0.2">
      <c r="A2383" s="391">
        <v>92959</v>
      </c>
      <c r="B2383" s="478" t="s">
        <v>956</v>
      </c>
      <c r="C2383" s="391" t="s">
        <v>558</v>
      </c>
      <c r="D2383" s="479">
        <v>9.82</v>
      </c>
      <c r="E2383" s="368"/>
      <c r="F2383" s="368"/>
    </row>
    <row r="2384" spans="1:6" ht="25.5" x14ac:dyDescent="0.2">
      <c r="A2384" s="391">
        <v>102858</v>
      </c>
      <c r="B2384" s="478" t="s">
        <v>40924</v>
      </c>
      <c r="C2384" s="391" t="s">
        <v>558</v>
      </c>
      <c r="D2384" s="479">
        <v>0</v>
      </c>
      <c r="E2384" s="368"/>
      <c r="F2384" s="368"/>
    </row>
    <row r="2385" spans="1:6" ht="25.5" x14ac:dyDescent="0.2">
      <c r="A2385" s="391">
        <v>102859</v>
      </c>
      <c r="B2385" s="478" t="s">
        <v>40925</v>
      </c>
      <c r="C2385" s="391" t="s">
        <v>558</v>
      </c>
      <c r="D2385" s="479">
        <v>0</v>
      </c>
      <c r="E2385" s="368"/>
      <c r="F2385" s="368"/>
    </row>
    <row r="2386" spans="1:6" ht="25.5" x14ac:dyDescent="0.2">
      <c r="A2386" s="391">
        <v>102860</v>
      </c>
      <c r="B2386" s="478" t="s">
        <v>40926</v>
      </c>
      <c r="C2386" s="391" t="s">
        <v>558</v>
      </c>
      <c r="D2386" s="479">
        <v>0</v>
      </c>
      <c r="E2386" s="368"/>
      <c r="F2386" s="368"/>
    </row>
    <row r="2387" spans="1:6" ht="25.5" x14ac:dyDescent="0.2">
      <c r="A2387" s="391">
        <v>102861</v>
      </c>
      <c r="B2387" s="478" t="s">
        <v>1118</v>
      </c>
      <c r="C2387" s="391" t="s">
        <v>558</v>
      </c>
      <c r="D2387" s="479">
        <v>1.1499999999999999</v>
      </c>
      <c r="E2387" s="368"/>
      <c r="F2387" s="368"/>
    </row>
    <row r="2388" spans="1:6" ht="51" x14ac:dyDescent="0.2">
      <c r="A2388" s="391">
        <v>93404</v>
      </c>
      <c r="B2388" s="478" t="s">
        <v>47597</v>
      </c>
      <c r="C2388" s="391" t="s">
        <v>558</v>
      </c>
      <c r="D2388" s="479">
        <v>7.33</v>
      </c>
      <c r="E2388" s="368"/>
      <c r="F2388" s="368"/>
    </row>
    <row r="2389" spans="1:6" ht="51" x14ac:dyDescent="0.2">
      <c r="A2389" s="391">
        <v>93405</v>
      </c>
      <c r="B2389" s="478" t="s">
        <v>47598</v>
      </c>
      <c r="C2389" s="391" t="s">
        <v>558</v>
      </c>
      <c r="D2389" s="479">
        <v>1.87</v>
      </c>
      <c r="E2389" s="368"/>
      <c r="F2389" s="368"/>
    </row>
    <row r="2390" spans="1:6" ht="51" x14ac:dyDescent="0.2">
      <c r="A2390" s="391">
        <v>93406</v>
      </c>
      <c r="B2390" s="478" t="s">
        <v>47599</v>
      </c>
      <c r="C2390" s="391" t="s">
        <v>558</v>
      </c>
      <c r="D2390" s="479">
        <v>8.8000000000000007</v>
      </c>
      <c r="E2390" s="368"/>
      <c r="F2390" s="368"/>
    </row>
    <row r="2391" spans="1:6" ht="51" x14ac:dyDescent="0.2">
      <c r="A2391" s="391">
        <v>93407</v>
      </c>
      <c r="B2391" s="478" t="s">
        <v>47600</v>
      </c>
      <c r="C2391" s="391" t="s">
        <v>558</v>
      </c>
      <c r="D2391" s="479">
        <v>49.95</v>
      </c>
      <c r="E2391" s="368"/>
      <c r="F2391" s="368"/>
    </row>
    <row r="2392" spans="1:6" ht="25.5" x14ac:dyDescent="0.2">
      <c r="A2392" s="391">
        <v>102936</v>
      </c>
      <c r="B2392" s="478" t="s">
        <v>40927</v>
      </c>
      <c r="C2392" s="391" t="s">
        <v>558</v>
      </c>
      <c r="D2392" s="479">
        <v>0</v>
      </c>
      <c r="E2392" s="368"/>
      <c r="F2392" s="368"/>
    </row>
    <row r="2393" spans="1:6" x14ac:dyDescent="0.2">
      <c r="A2393" s="391">
        <v>102937</v>
      </c>
      <c r="B2393" s="478" t="s">
        <v>40928</v>
      </c>
      <c r="C2393" s="391" t="s">
        <v>558</v>
      </c>
      <c r="D2393" s="479">
        <v>0</v>
      </c>
      <c r="E2393" s="368"/>
      <c r="F2393" s="368"/>
    </row>
    <row r="2394" spans="1:6" ht="25.5" x14ac:dyDescent="0.2">
      <c r="A2394" s="391">
        <v>102938</v>
      </c>
      <c r="B2394" s="478" t="s">
        <v>40929</v>
      </c>
      <c r="C2394" s="391" t="s">
        <v>558</v>
      </c>
      <c r="D2394" s="479">
        <v>0</v>
      </c>
      <c r="E2394" s="368"/>
      <c r="F2394" s="368"/>
    </row>
    <row r="2395" spans="1:6" ht="25.5" x14ac:dyDescent="0.2">
      <c r="A2395" s="391">
        <v>102939</v>
      </c>
      <c r="B2395" s="478" t="s">
        <v>1128</v>
      </c>
      <c r="C2395" s="391" t="s">
        <v>558</v>
      </c>
      <c r="D2395" s="479">
        <v>8.6</v>
      </c>
      <c r="E2395" s="368"/>
      <c r="F2395" s="368"/>
    </row>
    <row r="2396" spans="1:6" ht="38.25" x14ac:dyDescent="0.2">
      <c r="A2396" s="391">
        <v>103159</v>
      </c>
      <c r="B2396" s="478" t="s">
        <v>40930</v>
      </c>
      <c r="C2396" s="391" t="s">
        <v>558</v>
      </c>
      <c r="D2396" s="479">
        <v>0</v>
      </c>
      <c r="E2396" s="368"/>
      <c r="F2396" s="368"/>
    </row>
    <row r="2397" spans="1:6" ht="38.25" x14ac:dyDescent="0.2">
      <c r="A2397" s="391">
        <v>103160</v>
      </c>
      <c r="B2397" s="478" t="s">
        <v>40931</v>
      </c>
      <c r="C2397" s="391" t="s">
        <v>558</v>
      </c>
      <c r="D2397" s="479">
        <v>0</v>
      </c>
      <c r="E2397" s="368"/>
      <c r="F2397" s="368"/>
    </row>
    <row r="2398" spans="1:6" ht="38.25" x14ac:dyDescent="0.2">
      <c r="A2398" s="391">
        <v>103161</v>
      </c>
      <c r="B2398" s="478" t="s">
        <v>40932</v>
      </c>
      <c r="C2398" s="391" t="s">
        <v>558</v>
      </c>
      <c r="D2398" s="479">
        <v>0</v>
      </c>
      <c r="E2398" s="368"/>
      <c r="F2398" s="368"/>
    </row>
    <row r="2399" spans="1:6" ht="38.25" x14ac:dyDescent="0.2">
      <c r="A2399" s="391">
        <v>103162</v>
      </c>
      <c r="B2399" s="478" t="s">
        <v>1135</v>
      </c>
      <c r="C2399" s="391" t="s">
        <v>558</v>
      </c>
      <c r="D2399" s="479">
        <v>0.61</v>
      </c>
      <c r="E2399" s="368"/>
      <c r="F2399" s="368"/>
    </row>
    <row r="2400" spans="1:6" ht="38.25" x14ac:dyDescent="0.2">
      <c r="A2400" s="391">
        <v>103153</v>
      </c>
      <c r="B2400" s="478" t="s">
        <v>40933</v>
      </c>
      <c r="C2400" s="391" t="s">
        <v>558</v>
      </c>
      <c r="D2400" s="479">
        <v>0</v>
      </c>
      <c r="E2400" s="368"/>
      <c r="F2400" s="368"/>
    </row>
    <row r="2401" spans="1:6" ht="38.25" x14ac:dyDescent="0.2">
      <c r="A2401" s="391">
        <v>103154</v>
      </c>
      <c r="B2401" s="478" t="s">
        <v>40934</v>
      </c>
      <c r="C2401" s="391" t="s">
        <v>558</v>
      </c>
      <c r="D2401" s="479">
        <v>0</v>
      </c>
      <c r="E2401" s="368"/>
      <c r="F2401" s="368"/>
    </row>
    <row r="2402" spans="1:6" ht="38.25" x14ac:dyDescent="0.2">
      <c r="A2402" s="391">
        <v>103155</v>
      </c>
      <c r="B2402" s="478" t="s">
        <v>40935</v>
      </c>
      <c r="C2402" s="391" t="s">
        <v>558</v>
      </c>
      <c r="D2402" s="479">
        <v>0</v>
      </c>
      <c r="E2402" s="368"/>
      <c r="F2402" s="368"/>
    </row>
    <row r="2403" spans="1:6" ht="38.25" x14ac:dyDescent="0.2">
      <c r="A2403" s="391">
        <v>103156</v>
      </c>
      <c r="B2403" s="478" t="s">
        <v>1134</v>
      </c>
      <c r="C2403" s="391" t="s">
        <v>558</v>
      </c>
      <c r="D2403" s="479">
        <v>2.1800000000000002</v>
      </c>
      <c r="E2403" s="368"/>
      <c r="F2403" s="368"/>
    </row>
    <row r="2404" spans="1:6" ht="38.25" x14ac:dyDescent="0.2">
      <c r="A2404" s="391">
        <v>103171</v>
      </c>
      <c r="B2404" s="478" t="s">
        <v>40936</v>
      </c>
      <c r="C2404" s="391" t="s">
        <v>558</v>
      </c>
      <c r="D2404" s="479">
        <v>0</v>
      </c>
      <c r="E2404" s="368"/>
      <c r="F2404" s="368"/>
    </row>
    <row r="2405" spans="1:6" ht="38.25" x14ac:dyDescent="0.2">
      <c r="A2405" s="391">
        <v>103172</v>
      </c>
      <c r="B2405" s="478" t="s">
        <v>40937</v>
      </c>
      <c r="C2405" s="391" t="s">
        <v>558</v>
      </c>
      <c r="D2405" s="479">
        <v>0</v>
      </c>
      <c r="E2405" s="368"/>
      <c r="F2405" s="368"/>
    </row>
    <row r="2406" spans="1:6" ht="38.25" x14ac:dyDescent="0.2">
      <c r="A2406" s="391">
        <v>103173</v>
      </c>
      <c r="B2406" s="478" t="s">
        <v>40938</v>
      </c>
      <c r="C2406" s="391" t="s">
        <v>558</v>
      </c>
      <c r="D2406" s="479">
        <v>0</v>
      </c>
      <c r="E2406" s="368"/>
      <c r="F2406" s="368"/>
    </row>
    <row r="2407" spans="1:6" ht="38.25" x14ac:dyDescent="0.2">
      <c r="A2407" s="391">
        <v>103174</v>
      </c>
      <c r="B2407" s="478" t="s">
        <v>1137</v>
      </c>
      <c r="C2407" s="391" t="s">
        <v>558</v>
      </c>
      <c r="D2407" s="479">
        <v>1.74</v>
      </c>
      <c r="E2407" s="368"/>
      <c r="F2407" s="368"/>
    </row>
    <row r="2408" spans="1:6" ht="38.25" x14ac:dyDescent="0.2">
      <c r="A2408" s="391">
        <v>103177</v>
      </c>
      <c r="B2408" s="478" t="s">
        <v>40939</v>
      </c>
      <c r="C2408" s="391" t="s">
        <v>558</v>
      </c>
      <c r="D2408" s="479">
        <v>0</v>
      </c>
      <c r="E2408" s="368"/>
      <c r="F2408" s="368"/>
    </row>
    <row r="2409" spans="1:6" ht="38.25" x14ac:dyDescent="0.2">
      <c r="A2409" s="391">
        <v>103178</v>
      </c>
      <c r="B2409" s="478" t="s">
        <v>40940</v>
      </c>
      <c r="C2409" s="391" t="s">
        <v>558</v>
      </c>
      <c r="D2409" s="479">
        <v>0</v>
      </c>
      <c r="E2409" s="368"/>
      <c r="F2409" s="368"/>
    </row>
    <row r="2410" spans="1:6" ht="38.25" x14ac:dyDescent="0.2">
      <c r="A2410" s="391">
        <v>103179</v>
      </c>
      <c r="B2410" s="478" t="s">
        <v>40941</v>
      </c>
      <c r="C2410" s="391" t="s">
        <v>558</v>
      </c>
      <c r="D2410" s="479">
        <v>0</v>
      </c>
      <c r="E2410" s="368"/>
      <c r="F2410" s="368"/>
    </row>
    <row r="2411" spans="1:6" ht="38.25" x14ac:dyDescent="0.2">
      <c r="A2411" s="391">
        <v>103180</v>
      </c>
      <c r="B2411" s="478" t="s">
        <v>1138</v>
      </c>
      <c r="C2411" s="391" t="s">
        <v>558</v>
      </c>
      <c r="D2411" s="479">
        <v>4.0199999999999996</v>
      </c>
      <c r="E2411" s="368"/>
      <c r="F2411" s="368"/>
    </row>
    <row r="2412" spans="1:6" ht="38.25" x14ac:dyDescent="0.2">
      <c r="A2412" s="391">
        <v>103165</v>
      </c>
      <c r="B2412" s="478" t="s">
        <v>40942</v>
      </c>
      <c r="C2412" s="391" t="s">
        <v>558</v>
      </c>
      <c r="D2412" s="479">
        <v>0</v>
      </c>
      <c r="E2412" s="368"/>
      <c r="F2412" s="368"/>
    </row>
    <row r="2413" spans="1:6" ht="38.25" x14ac:dyDescent="0.2">
      <c r="A2413" s="391">
        <v>103166</v>
      </c>
      <c r="B2413" s="478" t="s">
        <v>40943</v>
      </c>
      <c r="C2413" s="391" t="s">
        <v>558</v>
      </c>
      <c r="D2413" s="479">
        <v>0</v>
      </c>
      <c r="E2413" s="368"/>
      <c r="F2413" s="368"/>
    </row>
    <row r="2414" spans="1:6" ht="38.25" x14ac:dyDescent="0.2">
      <c r="A2414" s="391">
        <v>103167</v>
      </c>
      <c r="B2414" s="478" t="s">
        <v>40944</v>
      </c>
      <c r="C2414" s="391" t="s">
        <v>558</v>
      </c>
      <c r="D2414" s="479">
        <v>0</v>
      </c>
      <c r="E2414" s="368"/>
      <c r="F2414" s="368"/>
    </row>
    <row r="2415" spans="1:6" ht="38.25" x14ac:dyDescent="0.2">
      <c r="A2415" s="391">
        <v>103168</v>
      </c>
      <c r="B2415" s="478" t="s">
        <v>1136</v>
      </c>
      <c r="C2415" s="391" t="s">
        <v>558</v>
      </c>
      <c r="D2415" s="479">
        <v>0.69</v>
      </c>
      <c r="E2415" s="368"/>
      <c r="F2415" s="368"/>
    </row>
    <row r="2416" spans="1:6" ht="25.5" x14ac:dyDescent="0.2">
      <c r="A2416" s="391">
        <v>102864</v>
      </c>
      <c r="B2416" s="478" t="s">
        <v>40945</v>
      </c>
      <c r="C2416" s="391" t="s">
        <v>558</v>
      </c>
      <c r="D2416" s="479">
        <v>0</v>
      </c>
      <c r="E2416" s="368"/>
      <c r="F2416" s="368"/>
    </row>
    <row r="2417" spans="1:6" ht="25.5" x14ac:dyDescent="0.2">
      <c r="A2417" s="391">
        <v>102865</v>
      </c>
      <c r="B2417" s="478" t="s">
        <v>40946</v>
      </c>
      <c r="C2417" s="391" t="s">
        <v>558</v>
      </c>
      <c r="D2417" s="479">
        <v>0</v>
      </c>
      <c r="E2417" s="368"/>
      <c r="F2417" s="368"/>
    </row>
    <row r="2418" spans="1:6" ht="25.5" x14ac:dyDescent="0.2">
      <c r="A2418" s="391">
        <v>102866</v>
      </c>
      <c r="B2418" s="478" t="s">
        <v>40947</v>
      </c>
      <c r="C2418" s="391" t="s">
        <v>558</v>
      </c>
      <c r="D2418" s="479">
        <v>0</v>
      </c>
      <c r="E2418" s="368"/>
      <c r="F2418" s="368"/>
    </row>
    <row r="2419" spans="1:6" ht="25.5" x14ac:dyDescent="0.2">
      <c r="A2419" s="391">
        <v>102867</v>
      </c>
      <c r="B2419" s="478" t="s">
        <v>1119</v>
      </c>
      <c r="C2419" s="391" t="s">
        <v>558</v>
      </c>
      <c r="D2419" s="479">
        <v>0.62</v>
      </c>
      <c r="E2419" s="368"/>
      <c r="F2419" s="368"/>
    </row>
    <row r="2420" spans="1:6" ht="25.5" x14ac:dyDescent="0.2">
      <c r="A2420" s="391">
        <v>92108</v>
      </c>
      <c r="B2420" s="478" t="s">
        <v>927</v>
      </c>
      <c r="C2420" s="391" t="s">
        <v>558</v>
      </c>
      <c r="D2420" s="479">
        <v>0.93</v>
      </c>
      <c r="E2420" s="368"/>
      <c r="F2420" s="368"/>
    </row>
    <row r="2421" spans="1:6" ht="25.5" x14ac:dyDescent="0.2">
      <c r="A2421" s="391">
        <v>92109</v>
      </c>
      <c r="B2421" s="478" t="s">
        <v>928</v>
      </c>
      <c r="C2421" s="391" t="s">
        <v>558</v>
      </c>
      <c r="D2421" s="479">
        <v>0.21</v>
      </c>
      <c r="E2421" s="368"/>
      <c r="F2421" s="368"/>
    </row>
    <row r="2422" spans="1:6" ht="25.5" x14ac:dyDescent="0.2">
      <c r="A2422" s="391">
        <v>92110</v>
      </c>
      <c r="B2422" s="478" t="s">
        <v>929</v>
      </c>
      <c r="C2422" s="391" t="s">
        <v>558</v>
      </c>
      <c r="D2422" s="479">
        <v>1.1599999999999999</v>
      </c>
      <c r="E2422" s="368"/>
      <c r="F2422" s="368"/>
    </row>
    <row r="2423" spans="1:6" ht="25.5" x14ac:dyDescent="0.2">
      <c r="A2423" s="391">
        <v>92111</v>
      </c>
      <c r="B2423" s="478" t="s">
        <v>930</v>
      </c>
      <c r="C2423" s="391" t="s">
        <v>558</v>
      </c>
      <c r="D2423" s="479">
        <v>1.1499999999999999</v>
      </c>
      <c r="E2423" s="368"/>
      <c r="F2423" s="368"/>
    </row>
    <row r="2424" spans="1:6" ht="51" x14ac:dyDescent="0.2">
      <c r="A2424" s="391">
        <v>90670</v>
      </c>
      <c r="B2424" s="478" t="s">
        <v>827</v>
      </c>
      <c r="C2424" s="391" t="s">
        <v>558</v>
      </c>
      <c r="D2424" s="479">
        <v>244.89</v>
      </c>
      <c r="E2424" s="368"/>
      <c r="F2424" s="368"/>
    </row>
    <row r="2425" spans="1:6" ht="51" x14ac:dyDescent="0.2">
      <c r="A2425" s="391">
        <v>90671</v>
      </c>
      <c r="B2425" s="478" t="s">
        <v>828</v>
      </c>
      <c r="C2425" s="391" t="s">
        <v>558</v>
      </c>
      <c r="D2425" s="479">
        <v>65.7</v>
      </c>
      <c r="E2425" s="368"/>
      <c r="F2425" s="368"/>
    </row>
    <row r="2426" spans="1:6" ht="51" x14ac:dyDescent="0.2">
      <c r="A2426" s="391">
        <v>90672</v>
      </c>
      <c r="B2426" s="478" t="s">
        <v>829</v>
      </c>
      <c r="C2426" s="391" t="s">
        <v>558</v>
      </c>
      <c r="D2426" s="479">
        <v>306.45</v>
      </c>
      <c r="E2426" s="368"/>
      <c r="F2426" s="368"/>
    </row>
    <row r="2427" spans="1:6" ht="51" x14ac:dyDescent="0.2">
      <c r="A2427" s="391">
        <v>90673</v>
      </c>
      <c r="B2427" s="478" t="s">
        <v>830</v>
      </c>
      <c r="C2427" s="391" t="s">
        <v>558</v>
      </c>
      <c r="D2427" s="479">
        <v>126.73</v>
      </c>
      <c r="E2427" s="368"/>
      <c r="F2427" s="368"/>
    </row>
    <row r="2428" spans="1:6" ht="51" x14ac:dyDescent="0.2">
      <c r="A2428" s="391">
        <v>93220</v>
      </c>
      <c r="B2428" s="478" t="s">
        <v>960</v>
      </c>
      <c r="C2428" s="391" t="s">
        <v>558</v>
      </c>
      <c r="D2428" s="479">
        <v>375.5</v>
      </c>
      <c r="E2428" s="368"/>
      <c r="F2428" s="368"/>
    </row>
    <row r="2429" spans="1:6" ht="51" x14ac:dyDescent="0.2">
      <c r="A2429" s="391">
        <v>93221</v>
      </c>
      <c r="B2429" s="478" t="s">
        <v>961</v>
      </c>
      <c r="C2429" s="391" t="s">
        <v>558</v>
      </c>
      <c r="D2429" s="479">
        <v>100.74</v>
      </c>
      <c r="E2429" s="368"/>
      <c r="F2429" s="368"/>
    </row>
    <row r="2430" spans="1:6" ht="51" x14ac:dyDescent="0.2">
      <c r="A2430" s="391">
        <v>93222</v>
      </c>
      <c r="B2430" s="478" t="s">
        <v>962</v>
      </c>
      <c r="C2430" s="391" t="s">
        <v>558</v>
      </c>
      <c r="D2430" s="479">
        <v>469.9</v>
      </c>
      <c r="E2430" s="368"/>
      <c r="F2430" s="368"/>
    </row>
    <row r="2431" spans="1:6" ht="51" x14ac:dyDescent="0.2">
      <c r="A2431" s="391">
        <v>93223</v>
      </c>
      <c r="B2431" s="478" t="s">
        <v>963</v>
      </c>
      <c r="C2431" s="391" t="s">
        <v>558</v>
      </c>
      <c r="D2431" s="479">
        <v>165.53</v>
      </c>
      <c r="E2431" s="368"/>
      <c r="F2431" s="368"/>
    </row>
    <row r="2432" spans="1:6" ht="25.5" x14ac:dyDescent="0.2">
      <c r="A2432" s="391">
        <v>104691</v>
      </c>
      <c r="B2432" s="478" t="s">
        <v>40462</v>
      </c>
      <c r="C2432" s="391" t="s">
        <v>558</v>
      </c>
      <c r="D2432" s="479">
        <v>0.97</v>
      </c>
      <c r="E2432" s="368"/>
      <c r="F2432" s="368"/>
    </row>
    <row r="2433" spans="1:6" ht="25.5" x14ac:dyDescent="0.2">
      <c r="A2433" s="391">
        <v>104692</v>
      </c>
      <c r="B2433" s="478" t="s">
        <v>40463</v>
      </c>
      <c r="C2433" s="391" t="s">
        <v>558</v>
      </c>
      <c r="D2433" s="479">
        <v>0.22</v>
      </c>
      <c r="E2433" s="368"/>
      <c r="F2433" s="368"/>
    </row>
    <row r="2434" spans="1:6" ht="25.5" x14ac:dyDescent="0.2">
      <c r="A2434" s="391">
        <v>104693</v>
      </c>
      <c r="B2434" s="478" t="s">
        <v>40464</v>
      </c>
      <c r="C2434" s="391" t="s">
        <v>558</v>
      </c>
      <c r="D2434" s="479">
        <v>1.22</v>
      </c>
      <c r="E2434" s="368"/>
      <c r="F2434" s="368"/>
    </row>
    <row r="2435" spans="1:6" ht="38.25" x14ac:dyDescent="0.2">
      <c r="A2435" s="391">
        <v>104694</v>
      </c>
      <c r="B2435" s="478" t="s">
        <v>1157</v>
      </c>
      <c r="C2435" s="391" t="s">
        <v>558</v>
      </c>
      <c r="D2435" s="479">
        <v>1.95</v>
      </c>
      <c r="E2435" s="368"/>
      <c r="F2435" s="368"/>
    </row>
    <row r="2436" spans="1:6" ht="51" x14ac:dyDescent="0.2">
      <c r="A2436" s="391">
        <v>90676</v>
      </c>
      <c r="B2436" s="478" t="s">
        <v>831</v>
      </c>
      <c r="C2436" s="391" t="s">
        <v>558</v>
      </c>
      <c r="D2436" s="479">
        <v>99.58</v>
      </c>
      <c r="E2436" s="368"/>
      <c r="F2436" s="368"/>
    </row>
    <row r="2437" spans="1:6" ht="51" x14ac:dyDescent="0.2">
      <c r="A2437" s="391">
        <v>91021</v>
      </c>
      <c r="B2437" s="478" t="s">
        <v>861</v>
      </c>
      <c r="C2437" s="391" t="s">
        <v>558</v>
      </c>
      <c r="D2437" s="479">
        <v>12.17</v>
      </c>
      <c r="E2437" s="368"/>
      <c r="F2437" s="368"/>
    </row>
    <row r="2438" spans="1:6" ht="51" x14ac:dyDescent="0.2">
      <c r="A2438" s="391">
        <v>90677</v>
      </c>
      <c r="B2438" s="478" t="s">
        <v>832</v>
      </c>
      <c r="C2438" s="391" t="s">
        <v>558</v>
      </c>
      <c r="D2438" s="479">
        <v>30.04</v>
      </c>
      <c r="E2438" s="368"/>
      <c r="F2438" s="368"/>
    </row>
    <row r="2439" spans="1:6" ht="51" x14ac:dyDescent="0.2">
      <c r="A2439" s="391">
        <v>90678</v>
      </c>
      <c r="B2439" s="478" t="s">
        <v>833</v>
      </c>
      <c r="C2439" s="391" t="s">
        <v>558</v>
      </c>
      <c r="D2439" s="479">
        <v>139.09</v>
      </c>
      <c r="E2439" s="368"/>
      <c r="F2439" s="368"/>
    </row>
    <row r="2440" spans="1:6" ht="51" x14ac:dyDescent="0.2">
      <c r="A2440" s="391">
        <v>90679</v>
      </c>
      <c r="B2440" s="478" t="s">
        <v>834</v>
      </c>
      <c r="C2440" s="391" t="s">
        <v>558</v>
      </c>
      <c r="D2440" s="479">
        <v>97.19</v>
      </c>
      <c r="E2440" s="368"/>
      <c r="F2440" s="368"/>
    </row>
    <row r="2441" spans="1:6" ht="38.25" x14ac:dyDescent="0.2">
      <c r="A2441" s="391">
        <v>102870</v>
      </c>
      <c r="B2441" s="478" t="s">
        <v>40441</v>
      </c>
      <c r="C2441" s="391" t="s">
        <v>558</v>
      </c>
      <c r="D2441" s="479">
        <v>357.14</v>
      </c>
      <c r="E2441" s="368"/>
      <c r="F2441" s="368"/>
    </row>
    <row r="2442" spans="1:6" ht="38.25" x14ac:dyDescent="0.2">
      <c r="A2442" s="391">
        <v>102871</v>
      </c>
      <c r="B2442" s="478" t="s">
        <v>40442</v>
      </c>
      <c r="C2442" s="391" t="s">
        <v>558</v>
      </c>
      <c r="D2442" s="479">
        <v>96.48</v>
      </c>
      <c r="E2442" s="368"/>
      <c r="F2442" s="368"/>
    </row>
    <row r="2443" spans="1:6" ht="38.25" x14ac:dyDescent="0.2">
      <c r="A2443" s="391">
        <v>102872</v>
      </c>
      <c r="B2443" s="478" t="s">
        <v>40443</v>
      </c>
      <c r="C2443" s="391" t="s">
        <v>558</v>
      </c>
      <c r="D2443" s="479">
        <v>446.93</v>
      </c>
      <c r="E2443" s="368"/>
      <c r="F2443" s="368"/>
    </row>
    <row r="2444" spans="1:6" ht="38.25" x14ac:dyDescent="0.2">
      <c r="A2444" s="391">
        <v>102873</v>
      </c>
      <c r="B2444" s="478" t="s">
        <v>1120</v>
      </c>
      <c r="C2444" s="391" t="s">
        <v>558</v>
      </c>
      <c r="D2444" s="479">
        <v>126.73</v>
      </c>
      <c r="E2444" s="368"/>
      <c r="F2444" s="368"/>
    </row>
    <row r="2445" spans="1:6" ht="38.25" x14ac:dyDescent="0.2">
      <c r="A2445" s="391">
        <v>102960</v>
      </c>
      <c r="B2445" s="478" t="s">
        <v>40447</v>
      </c>
      <c r="C2445" s="391" t="s">
        <v>558</v>
      </c>
      <c r="D2445" s="479">
        <v>173.32</v>
      </c>
      <c r="E2445" s="368"/>
      <c r="F2445" s="368"/>
    </row>
    <row r="2446" spans="1:6" ht="38.25" x14ac:dyDescent="0.2">
      <c r="A2446" s="391">
        <v>102961</v>
      </c>
      <c r="B2446" s="478" t="s">
        <v>40448</v>
      </c>
      <c r="C2446" s="391" t="s">
        <v>558</v>
      </c>
      <c r="D2446" s="479">
        <v>46.82</v>
      </c>
      <c r="E2446" s="368"/>
      <c r="F2446" s="368"/>
    </row>
    <row r="2447" spans="1:6" ht="38.25" x14ac:dyDescent="0.2">
      <c r="A2447" s="391">
        <v>102962</v>
      </c>
      <c r="B2447" s="478" t="s">
        <v>40449</v>
      </c>
      <c r="C2447" s="391" t="s">
        <v>558</v>
      </c>
      <c r="D2447" s="479">
        <v>162.59</v>
      </c>
      <c r="E2447" s="368"/>
      <c r="F2447" s="368"/>
    </row>
    <row r="2448" spans="1:6" ht="38.25" x14ac:dyDescent="0.2">
      <c r="A2448" s="391">
        <v>102963</v>
      </c>
      <c r="B2448" s="478" t="s">
        <v>1131</v>
      </c>
      <c r="C2448" s="391" t="s">
        <v>558</v>
      </c>
      <c r="D2448" s="479">
        <v>89.83</v>
      </c>
      <c r="E2448" s="368"/>
      <c r="F2448" s="368"/>
    </row>
    <row r="2449" spans="1:6" ht="25.5" x14ac:dyDescent="0.2">
      <c r="A2449" s="391">
        <v>95698</v>
      </c>
      <c r="B2449" s="478" t="s">
        <v>1050</v>
      </c>
      <c r="C2449" s="391" t="s">
        <v>558</v>
      </c>
      <c r="D2449" s="479">
        <v>5.67</v>
      </c>
      <c r="E2449" s="368"/>
      <c r="F2449" s="368"/>
    </row>
    <row r="2450" spans="1:6" ht="25.5" x14ac:dyDescent="0.2">
      <c r="A2450" s="391">
        <v>95699</v>
      </c>
      <c r="B2450" s="478" t="s">
        <v>1051</v>
      </c>
      <c r="C2450" s="391" t="s">
        <v>558</v>
      </c>
      <c r="D2450" s="479">
        <v>1.31</v>
      </c>
      <c r="E2450" s="368"/>
      <c r="F2450" s="368"/>
    </row>
    <row r="2451" spans="1:6" ht="25.5" x14ac:dyDescent="0.2">
      <c r="A2451" s="391">
        <v>95700</v>
      </c>
      <c r="B2451" s="478" t="s">
        <v>1052</v>
      </c>
      <c r="C2451" s="391" t="s">
        <v>558</v>
      </c>
      <c r="D2451" s="479">
        <v>7.08</v>
      </c>
      <c r="E2451" s="368"/>
      <c r="F2451" s="368"/>
    </row>
    <row r="2452" spans="1:6" ht="25.5" x14ac:dyDescent="0.2">
      <c r="A2452" s="391">
        <v>95701</v>
      </c>
      <c r="B2452" s="478" t="s">
        <v>1053</v>
      </c>
      <c r="C2452" s="391" t="s">
        <v>558</v>
      </c>
      <c r="D2452" s="479">
        <v>2.87</v>
      </c>
      <c r="E2452" s="368"/>
      <c r="F2452" s="368"/>
    </row>
    <row r="2453" spans="1:6" ht="25.5" x14ac:dyDescent="0.2">
      <c r="A2453" s="391">
        <v>90621</v>
      </c>
      <c r="B2453" s="478" t="s">
        <v>795</v>
      </c>
      <c r="C2453" s="391" t="s">
        <v>558</v>
      </c>
      <c r="D2453" s="479">
        <v>2.5499999999999998</v>
      </c>
      <c r="E2453" s="368"/>
      <c r="F2453" s="368"/>
    </row>
    <row r="2454" spans="1:6" ht="25.5" x14ac:dyDescent="0.2">
      <c r="A2454" s="391">
        <v>90622</v>
      </c>
      <c r="B2454" s="478" t="s">
        <v>796</v>
      </c>
      <c r="C2454" s="391" t="s">
        <v>558</v>
      </c>
      <c r="D2454" s="479">
        <v>0.59</v>
      </c>
      <c r="E2454" s="368"/>
      <c r="F2454" s="368"/>
    </row>
    <row r="2455" spans="1:6" ht="25.5" x14ac:dyDescent="0.2">
      <c r="A2455" s="391">
        <v>90623</v>
      </c>
      <c r="B2455" s="478" t="s">
        <v>797</v>
      </c>
      <c r="C2455" s="391" t="s">
        <v>558</v>
      </c>
      <c r="D2455" s="479">
        <v>3.19</v>
      </c>
      <c r="E2455" s="368"/>
      <c r="F2455" s="368"/>
    </row>
    <row r="2456" spans="1:6" ht="25.5" x14ac:dyDescent="0.2">
      <c r="A2456" s="391">
        <v>90624</v>
      </c>
      <c r="B2456" s="478" t="s">
        <v>798</v>
      </c>
      <c r="C2456" s="391" t="s">
        <v>558</v>
      </c>
      <c r="D2456" s="479">
        <v>2.87</v>
      </c>
      <c r="E2456" s="368"/>
      <c r="F2456" s="368"/>
    </row>
    <row r="2457" spans="1:6" ht="38.25" x14ac:dyDescent="0.2">
      <c r="A2457" s="391">
        <v>102876</v>
      </c>
      <c r="B2457" s="478" t="s">
        <v>40444</v>
      </c>
      <c r="C2457" s="391" t="s">
        <v>558</v>
      </c>
      <c r="D2457" s="479">
        <v>496.31</v>
      </c>
      <c r="E2457" s="368"/>
      <c r="F2457" s="368"/>
    </row>
    <row r="2458" spans="1:6" ht="25.5" x14ac:dyDescent="0.2">
      <c r="A2458" s="391">
        <v>102877</v>
      </c>
      <c r="B2458" s="478" t="s">
        <v>40445</v>
      </c>
      <c r="C2458" s="391" t="s">
        <v>558</v>
      </c>
      <c r="D2458" s="479">
        <v>134.08000000000001</v>
      </c>
      <c r="E2458" s="368"/>
      <c r="F2458" s="368"/>
    </row>
    <row r="2459" spans="1:6" ht="38.25" x14ac:dyDescent="0.2">
      <c r="A2459" s="391">
        <v>102878</v>
      </c>
      <c r="B2459" s="478" t="s">
        <v>40446</v>
      </c>
      <c r="C2459" s="391" t="s">
        <v>558</v>
      </c>
      <c r="D2459" s="479">
        <v>621.09</v>
      </c>
      <c r="E2459" s="368"/>
      <c r="F2459" s="368"/>
    </row>
    <row r="2460" spans="1:6" ht="38.25" x14ac:dyDescent="0.2">
      <c r="A2460" s="391">
        <v>102879</v>
      </c>
      <c r="B2460" s="478" t="s">
        <v>1121</v>
      </c>
      <c r="C2460" s="391" t="s">
        <v>558</v>
      </c>
      <c r="D2460" s="479">
        <v>190.2</v>
      </c>
      <c r="E2460" s="368"/>
      <c r="F2460" s="368"/>
    </row>
    <row r="2461" spans="1:6" ht="38.25" x14ac:dyDescent="0.2">
      <c r="A2461" s="391">
        <v>103220</v>
      </c>
      <c r="B2461" s="478" t="s">
        <v>40453</v>
      </c>
      <c r="C2461" s="391" t="s">
        <v>558</v>
      </c>
      <c r="D2461" s="479">
        <v>151.78</v>
      </c>
      <c r="E2461" s="368"/>
      <c r="F2461" s="368"/>
    </row>
    <row r="2462" spans="1:6" ht="38.25" x14ac:dyDescent="0.2">
      <c r="A2462" s="391">
        <v>103221</v>
      </c>
      <c r="B2462" s="478" t="s">
        <v>40454</v>
      </c>
      <c r="C2462" s="391" t="s">
        <v>558</v>
      </c>
      <c r="D2462" s="479">
        <v>41</v>
      </c>
      <c r="E2462" s="368"/>
      <c r="F2462" s="368"/>
    </row>
    <row r="2463" spans="1:6" ht="38.25" x14ac:dyDescent="0.2">
      <c r="A2463" s="391">
        <v>103222</v>
      </c>
      <c r="B2463" s="478" t="s">
        <v>40455</v>
      </c>
      <c r="C2463" s="391" t="s">
        <v>558</v>
      </c>
      <c r="D2463" s="479">
        <v>189.94</v>
      </c>
      <c r="E2463" s="368"/>
      <c r="F2463" s="368"/>
    </row>
    <row r="2464" spans="1:6" ht="38.25" x14ac:dyDescent="0.2">
      <c r="A2464" s="391">
        <v>103223</v>
      </c>
      <c r="B2464" s="478" t="s">
        <v>1139</v>
      </c>
      <c r="C2464" s="391" t="s">
        <v>558</v>
      </c>
      <c r="D2464" s="479">
        <v>37.15</v>
      </c>
      <c r="E2464" s="368"/>
      <c r="F2464" s="368"/>
    </row>
    <row r="2465" spans="1:6" ht="38.25" x14ac:dyDescent="0.2">
      <c r="A2465" s="391">
        <v>103232</v>
      </c>
      <c r="B2465" s="478" t="s">
        <v>40459</v>
      </c>
      <c r="C2465" s="391" t="s">
        <v>558</v>
      </c>
      <c r="D2465" s="479">
        <v>476.2</v>
      </c>
      <c r="E2465" s="368"/>
      <c r="F2465" s="368"/>
    </row>
    <row r="2466" spans="1:6" ht="38.25" x14ac:dyDescent="0.2">
      <c r="A2466" s="391">
        <v>103233</v>
      </c>
      <c r="B2466" s="478" t="s">
        <v>40460</v>
      </c>
      <c r="C2466" s="391" t="s">
        <v>558</v>
      </c>
      <c r="D2466" s="479">
        <v>128.65</v>
      </c>
      <c r="E2466" s="368"/>
      <c r="F2466" s="368"/>
    </row>
    <row r="2467" spans="1:6" ht="38.25" x14ac:dyDescent="0.2">
      <c r="A2467" s="391">
        <v>103234</v>
      </c>
      <c r="B2467" s="478" t="s">
        <v>40461</v>
      </c>
      <c r="C2467" s="391" t="s">
        <v>558</v>
      </c>
      <c r="D2467" s="479">
        <v>625.4</v>
      </c>
      <c r="E2467" s="368"/>
      <c r="F2467" s="368"/>
    </row>
    <row r="2468" spans="1:6" ht="38.25" x14ac:dyDescent="0.2">
      <c r="A2468" s="391">
        <v>103235</v>
      </c>
      <c r="B2468" s="478" t="s">
        <v>1141</v>
      </c>
      <c r="C2468" s="391" t="s">
        <v>558</v>
      </c>
      <c r="D2468" s="479">
        <v>108.78</v>
      </c>
      <c r="E2468" s="368"/>
      <c r="F2468" s="368"/>
    </row>
    <row r="2469" spans="1:6" ht="38.25" x14ac:dyDescent="0.2">
      <c r="A2469" s="391">
        <v>103228</v>
      </c>
      <c r="B2469" s="478" t="s">
        <v>40458</v>
      </c>
      <c r="C2469" s="391" t="s">
        <v>558</v>
      </c>
      <c r="D2469" s="479">
        <v>435.76</v>
      </c>
      <c r="E2469" s="368"/>
      <c r="F2469" s="368"/>
    </row>
    <row r="2470" spans="1:6" ht="38.25" x14ac:dyDescent="0.2">
      <c r="A2470" s="391">
        <v>103226</v>
      </c>
      <c r="B2470" s="478" t="s">
        <v>40456</v>
      </c>
      <c r="C2470" s="391" t="s">
        <v>558</v>
      </c>
      <c r="D2470" s="479">
        <v>348.22</v>
      </c>
      <c r="E2470" s="368"/>
      <c r="F2470" s="368"/>
    </row>
    <row r="2471" spans="1:6" ht="38.25" x14ac:dyDescent="0.2">
      <c r="A2471" s="391">
        <v>103227</v>
      </c>
      <c r="B2471" s="478" t="s">
        <v>40457</v>
      </c>
      <c r="C2471" s="391" t="s">
        <v>558</v>
      </c>
      <c r="D2471" s="479">
        <v>94.07</v>
      </c>
      <c r="E2471" s="368"/>
      <c r="F2471" s="368"/>
    </row>
    <row r="2472" spans="1:6" ht="38.25" x14ac:dyDescent="0.2">
      <c r="A2472" s="391">
        <v>103229</v>
      </c>
      <c r="B2472" s="478" t="s">
        <v>1140</v>
      </c>
      <c r="C2472" s="391" t="s">
        <v>558</v>
      </c>
      <c r="D2472" s="479">
        <v>92.24</v>
      </c>
      <c r="E2472" s="368"/>
      <c r="F2472" s="368"/>
    </row>
    <row r="2473" spans="1:6" ht="38.25" x14ac:dyDescent="0.2">
      <c r="A2473" s="391">
        <v>95617</v>
      </c>
      <c r="B2473" s="478" t="s">
        <v>1043</v>
      </c>
      <c r="C2473" s="391" t="s">
        <v>558</v>
      </c>
      <c r="D2473" s="479">
        <v>1.39</v>
      </c>
      <c r="E2473" s="368"/>
      <c r="F2473" s="368"/>
    </row>
    <row r="2474" spans="1:6" ht="38.25" x14ac:dyDescent="0.2">
      <c r="A2474" s="391">
        <v>95618</v>
      </c>
      <c r="B2474" s="478" t="s">
        <v>1044</v>
      </c>
      <c r="C2474" s="391" t="s">
        <v>558</v>
      </c>
      <c r="D2474" s="479">
        <v>0.32</v>
      </c>
      <c r="E2474" s="368"/>
      <c r="F2474" s="368"/>
    </row>
    <row r="2475" spans="1:6" ht="38.25" x14ac:dyDescent="0.2">
      <c r="A2475" s="391">
        <v>95619</v>
      </c>
      <c r="B2475" s="478" t="s">
        <v>1045</v>
      </c>
      <c r="C2475" s="391" t="s">
        <v>558</v>
      </c>
      <c r="D2475" s="479">
        <v>1.74</v>
      </c>
      <c r="E2475" s="368"/>
      <c r="F2475" s="368"/>
    </row>
    <row r="2476" spans="1:6" ht="25.5" x14ac:dyDescent="0.2">
      <c r="A2476" s="391">
        <v>102972</v>
      </c>
      <c r="B2476" s="478" t="s">
        <v>40450</v>
      </c>
      <c r="C2476" s="391" t="s">
        <v>558</v>
      </c>
      <c r="D2476" s="479">
        <v>92.51</v>
      </c>
      <c r="E2476" s="368"/>
      <c r="F2476" s="368"/>
    </row>
    <row r="2477" spans="1:6" ht="25.5" x14ac:dyDescent="0.2">
      <c r="A2477" s="391">
        <v>102973</v>
      </c>
      <c r="B2477" s="478" t="s">
        <v>40451</v>
      </c>
      <c r="C2477" s="391" t="s">
        <v>558</v>
      </c>
      <c r="D2477" s="479">
        <v>25.68</v>
      </c>
      <c r="E2477" s="368"/>
      <c r="F2477" s="368"/>
    </row>
    <row r="2478" spans="1:6" ht="25.5" x14ac:dyDescent="0.2">
      <c r="A2478" s="391">
        <v>102974</v>
      </c>
      <c r="B2478" s="478" t="s">
        <v>40452</v>
      </c>
      <c r="C2478" s="391" t="s">
        <v>558</v>
      </c>
      <c r="D2478" s="479">
        <v>86.78</v>
      </c>
      <c r="E2478" s="368"/>
      <c r="F2478" s="368"/>
    </row>
    <row r="2479" spans="1:6" ht="25.5" x14ac:dyDescent="0.2">
      <c r="A2479" s="391">
        <v>96301</v>
      </c>
      <c r="B2479" s="478" t="s">
        <v>1091</v>
      </c>
      <c r="C2479" s="391" t="s">
        <v>558</v>
      </c>
      <c r="D2479" s="479">
        <v>52.05</v>
      </c>
      <c r="E2479" s="368"/>
      <c r="F2479" s="368"/>
    </row>
    <row r="2480" spans="1:6" ht="25.5" x14ac:dyDescent="0.2">
      <c r="A2480" s="391">
        <v>90627</v>
      </c>
      <c r="B2480" s="478" t="s">
        <v>799</v>
      </c>
      <c r="C2480" s="391" t="s">
        <v>558</v>
      </c>
      <c r="D2480" s="479">
        <v>54.28</v>
      </c>
      <c r="E2480" s="368"/>
      <c r="F2480" s="368"/>
    </row>
    <row r="2481" spans="1:6" ht="25.5" x14ac:dyDescent="0.2">
      <c r="A2481" s="391">
        <v>90628</v>
      </c>
      <c r="B2481" s="478" t="s">
        <v>800</v>
      </c>
      <c r="C2481" s="391" t="s">
        <v>558</v>
      </c>
      <c r="D2481" s="479">
        <v>14.56</v>
      </c>
      <c r="E2481" s="368"/>
      <c r="F2481" s="368"/>
    </row>
    <row r="2482" spans="1:6" ht="25.5" x14ac:dyDescent="0.2">
      <c r="A2482" s="391">
        <v>90629</v>
      </c>
      <c r="B2482" s="478" t="s">
        <v>801</v>
      </c>
      <c r="C2482" s="391" t="s">
        <v>558</v>
      </c>
      <c r="D2482" s="479">
        <v>67.930000000000007</v>
      </c>
      <c r="E2482" s="368"/>
      <c r="F2482" s="368"/>
    </row>
    <row r="2483" spans="1:6" ht="38.25" x14ac:dyDescent="0.2">
      <c r="A2483" s="391">
        <v>90630</v>
      </c>
      <c r="B2483" s="478" t="s">
        <v>802</v>
      </c>
      <c r="C2483" s="391" t="s">
        <v>558</v>
      </c>
      <c r="D2483" s="479">
        <v>1.37</v>
      </c>
      <c r="E2483" s="368"/>
      <c r="F2483" s="368"/>
    </row>
    <row r="2484" spans="1:6" ht="25.5" x14ac:dyDescent="0.2">
      <c r="A2484" s="391">
        <v>95704</v>
      </c>
      <c r="B2484" s="478" t="s">
        <v>1054</v>
      </c>
      <c r="C2484" s="391" t="s">
        <v>558</v>
      </c>
      <c r="D2484" s="479">
        <v>54.81</v>
      </c>
      <c r="E2484" s="368"/>
      <c r="F2484" s="368"/>
    </row>
    <row r="2485" spans="1:6" ht="25.5" x14ac:dyDescent="0.2">
      <c r="A2485" s="391">
        <v>95705</v>
      </c>
      <c r="B2485" s="478" t="s">
        <v>1055</v>
      </c>
      <c r="C2485" s="391" t="s">
        <v>558</v>
      </c>
      <c r="D2485" s="479">
        <v>14.7</v>
      </c>
      <c r="E2485" s="368"/>
      <c r="F2485" s="368"/>
    </row>
    <row r="2486" spans="1:6" ht="25.5" x14ac:dyDescent="0.2">
      <c r="A2486" s="391">
        <v>95706</v>
      </c>
      <c r="B2486" s="478" t="s">
        <v>1056</v>
      </c>
      <c r="C2486" s="391" t="s">
        <v>558</v>
      </c>
      <c r="D2486" s="479">
        <v>68.59</v>
      </c>
      <c r="E2486" s="368"/>
      <c r="F2486" s="368"/>
    </row>
    <row r="2487" spans="1:6" ht="25.5" x14ac:dyDescent="0.2">
      <c r="A2487" s="391">
        <v>95707</v>
      </c>
      <c r="B2487" s="478" t="s">
        <v>1057</v>
      </c>
      <c r="C2487" s="391" t="s">
        <v>558</v>
      </c>
      <c r="D2487" s="479">
        <v>3.77</v>
      </c>
      <c r="E2487" s="368"/>
      <c r="F2487" s="368"/>
    </row>
    <row r="2488" spans="1:6" ht="38.25" x14ac:dyDescent="0.2">
      <c r="A2488" s="391">
        <v>91273</v>
      </c>
      <c r="B2488" s="478" t="s">
        <v>867</v>
      </c>
      <c r="C2488" s="391" t="s">
        <v>558</v>
      </c>
      <c r="D2488" s="479">
        <v>0.53</v>
      </c>
      <c r="E2488" s="368"/>
      <c r="F2488" s="368"/>
    </row>
    <row r="2489" spans="1:6" ht="25.5" x14ac:dyDescent="0.2">
      <c r="A2489" s="391">
        <v>91274</v>
      </c>
      <c r="B2489" s="478" t="s">
        <v>868</v>
      </c>
      <c r="C2489" s="391" t="s">
        <v>558</v>
      </c>
      <c r="D2489" s="479">
        <v>0.14000000000000001</v>
      </c>
      <c r="E2489" s="368"/>
      <c r="F2489" s="368"/>
    </row>
    <row r="2490" spans="1:6" ht="25.5" x14ac:dyDescent="0.2">
      <c r="A2490" s="391">
        <v>91275</v>
      </c>
      <c r="B2490" s="478" t="s">
        <v>869</v>
      </c>
      <c r="C2490" s="391" t="s">
        <v>558</v>
      </c>
      <c r="D2490" s="479">
        <v>0.67</v>
      </c>
      <c r="E2490" s="368"/>
      <c r="F2490" s="368"/>
    </row>
    <row r="2491" spans="1:6" ht="38.25" x14ac:dyDescent="0.2">
      <c r="A2491" s="391">
        <v>91276</v>
      </c>
      <c r="B2491" s="478" t="s">
        <v>870</v>
      </c>
      <c r="C2491" s="391" t="s">
        <v>558</v>
      </c>
      <c r="D2491" s="479">
        <v>9.2100000000000009</v>
      </c>
      <c r="E2491" s="368"/>
      <c r="F2491" s="368"/>
    </row>
    <row r="2492" spans="1:6" x14ac:dyDescent="0.2">
      <c r="A2492" s="391">
        <v>102882</v>
      </c>
      <c r="B2492" s="478" t="s">
        <v>40948</v>
      </c>
      <c r="C2492" s="391" t="s">
        <v>558</v>
      </c>
      <c r="D2492" s="479">
        <v>0</v>
      </c>
      <c r="E2492" s="368"/>
      <c r="F2492" s="368"/>
    </row>
    <row r="2493" spans="1:6" x14ac:dyDescent="0.2">
      <c r="A2493" s="391">
        <v>102883</v>
      </c>
      <c r="B2493" s="478" t="s">
        <v>40949</v>
      </c>
      <c r="C2493" s="391" t="s">
        <v>558</v>
      </c>
      <c r="D2493" s="479">
        <v>0</v>
      </c>
      <c r="E2493" s="368"/>
      <c r="F2493" s="368"/>
    </row>
    <row r="2494" spans="1:6" x14ac:dyDescent="0.2">
      <c r="A2494" s="391">
        <v>102884</v>
      </c>
      <c r="B2494" s="478" t="s">
        <v>40950</v>
      </c>
      <c r="C2494" s="391" t="s">
        <v>558</v>
      </c>
      <c r="D2494" s="479">
        <v>0</v>
      </c>
      <c r="E2494" s="368"/>
      <c r="F2494" s="368"/>
    </row>
    <row r="2495" spans="1:6" x14ac:dyDescent="0.2">
      <c r="A2495" s="391">
        <v>102885</v>
      </c>
      <c r="B2495" s="478" t="s">
        <v>1122</v>
      </c>
      <c r="C2495" s="391" t="s">
        <v>558</v>
      </c>
      <c r="D2495" s="479">
        <v>1.17</v>
      </c>
      <c r="E2495" s="368"/>
      <c r="F2495" s="368"/>
    </row>
    <row r="2496" spans="1:6" ht="25.5" x14ac:dyDescent="0.2">
      <c r="A2496" s="391">
        <v>95272</v>
      </c>
      <c r="B2496" s="478" t="s">
        <v>1036</v>
      </c>
      <c r="C2496" s="391" t="s">
        <v>558</v>
      </c>
      <c r="D2496" s="479">
        <v>0.62</v>
      </c>
      <c r="E2496" s="368"/>
      <c r="F2496" s="368"/>
    </row>
    <row r="2497" spans="1:6" ht="25.5" x14ac:dyDescent="0.2">
      <c r="A2497" s="391">
        <v>95273</v>
      </c>
      <c r="B2497" s="478" t="s">
        <v>1037</v>
      </c>
      <c r="C2497" s="391" t="s">
        <v>558</v>
      </c>
      <c r="D2497" s="479">
        <v>0.14000000000000001</v>
      </c>
      <c r="E2497" s="368"/>
      <c r="F2497" s="368"/>
    </row>
    <row r="2498" spans="1:6" ht="25.5" x14ac:dyDescent="0.2">
      <c r="A2498" s="391">
        <v>95274</v>
      </c>
      <c r="B2498" s="478" t="s">
        <v>1038</v>
      </c>
      <c r="C2498" s="391" t="s">
        <v>558</v>
      </c>
      <c r="D2498" s="479">
        <v>0.48</v>
      </c>
      <c r="E2498" s="368"/>
      <c r="F2498" s="368"/>
    </row>
    <row r="2499" spans="1:6" ht="25.5" x14ac:dyDescent="0.2">
      <c r="A2499" s="391">
        <v>95275</v>
      </c>
      <c r="B2499" s="478" t="s">
        <v>1039</v>
      </c>
      <c r="C2499" s="391" t="s">
        <v>558</v>
      </c>
      <c r="D2499" s="479">
        <v>2.33</v>
      </c>
      <c r="E2499" s="368"/>
      <c r="F2499" s="368"/>
    </row>
    <row r="2500" spans="1:6" ht="38.25" x14ac:dyDescent="0.2">
      <c r="A2500" s="391">
        <v>88419</v>
      </c>
      <c r="B2500" s="478" t="s">
        <v>678</v>
      </c>
      <c r="C2500" s="391" t="s">
        <v>558</v>
      </c>
      <c r="D2500" s="479">
        <v>5.19</v>
      </c>
      <c r="E2500" s="368"/>
      <c r="F2500" s="368"/>
    </row>
    <row r="2501" spans="1:6" ht="25.5" x14ac:dyDescent="0.2">
      <c r="A2501" s="391">
        <v>88422</v>
      </c>
      <c r="B2501" s="478" t="s">
        <v>679</v>
      </c>
      <c r="C2501" s="391" t="s">
        <v>558</v>
      </c>
      <c r="D2501" s="479">
        <v>1.2</v>
      </c>
      <c r="E2501" s="368"/>
      <c r="F2501" s="368"/>
    </row>
    <row r="2502" spans="1:6" ht="25.5" x14ac:dyDescent="0.2">
      <c r="A2502" s="391">
        <v>88425</v>
      </c>
      <c r="B2502" s="478" t="s">
        <v>680</v>
      </c>
      <c r="C2502" s="391" t="s">
        <v>558</v>
      </c>
      <c r="D2502" s="479">
        <v>6.48</v>
      </c>
      <c r="E2502" s="368"/>
      <c r="F2502" s="368"/>
    </row>
    <row r="2503" spans="1:6" ht="38.25" x14ac:dyDescent="0.2">
      <c r="A2503" s="391">
        <v>88427</v>
      </c>
      <c r="B2503" s="478" t="s">
        <v>681</v>
      </c>
      <c r="C2503" s="391" t="s">
        <v>558</v>
      </c>
      <c r="D2503" s="479">
        <v>0.97</v>
      </c>
      <c r="E2503" s="368"/>
      <c r="F2503" s="368"/>
    </row>
    <row r="2504" spans="1:6" ht="25.5" x14ac:dyDescent="0.2">
      <c r="A2504" s="391">
        <v>88434</v>
      </c>
      <c r="B2504" s="478" t="s">
        <v>682</v>
      </c>
      <c r="C2504" s="391" t="s">
        <v>558</v>
      </c>
      <c r="D2504" s="479">
        <v>6.88</v>
      </c>
      <c r="E2504" s="368"/>
      <c r="F2504" s="368"/>
    </row>
    <row r="2505" spans="1:6" ht="25.5" x14ac:dyDescent="0.2">
      <c r="A2505" s="391">
        <v>88435</v>
      </c>
      <c r="B2505" s="478" t="s">
        <v>683</v>
      </c>
      <c r="C2505" s="391" t="s">
        <v>558</v>
      </c>
      <c r="D2505" s="479">
        <v>1.59</v>
      </c>
      <c r="E2505" s="368"/>
      <c r="F2505" s="368"/>
    </row>
    <row r="2506" spans="1:6" ht="25.5" x14ac:dyDescent="0.2">
      <c r="A2506" s="391">
        <v>88436</v>
      </c>
      <c r="B2506" s="478" t="s">
        <v>684</v>
      </c>
      <c r="C2506" s="391" t="s">
        <v>558</v>
      </c>
      <c r="D2506" s="479">
        <v>8.6</v>
      </c>
      <c r="E2506" s="368"/>
      <c r="F2506" s="368"/>
    </row>
    <row r="2507" spans="1:6" ht="38.25" x14ac:dyDescent="0.2">
      <c r="A2507" s="391">
        <v>88437</v>
      </c>
      <c r="B2507" s="478" t="s">
        <v>685</v>
      </c>
      <c r="C2507" s="391" t="s">
        <v>558</v>
      </c>
      <c r="D2507" s="479">
        <v>0.97</v>
      </c>
      <c r="E2507" s="368"/>
      <c r="F2507" s="368"/>
    </row>
    <row r="2508" spans="1:6" ht="51" x14ac:dyDescent="0.2">
      <c r="A2508" s="391">
        <v>90664</v>
      </c>
      <c r="B2508" s="478" t="s">
        <v>823</v>
      </c>
      <c r="C2508" s="391" t="s">
        <v>558</v>
      </c>
      <c r="D2508" s="479">
        <v>6.68</v>
      </c>
      <c r="E2508" s="368"/>
      <c r="F2508" s="368"/>
    </row>
    <row r="2509" spans="1:6" ht="38.25" x14ac:dyDescent="0.2">
      <c r="A2509" s="391">
        <v>90665</v>
      </c>
      <c r="B2509" s="478" t="s">
        <v>824</v>
      </c>
      <c r="C2509" s="391" t="s">
        <v>558</v>
      </c>
      <c r="D2509" s="479">
        <v>1.78</v>
      </c>
      <c r="E2509" s="368"/>
      <c r="F2509" s="368"/>
    </row>
    <row r="2510" spans="1:6" ht="51" x14ac:dyDescent="0.2">
      <c r="A2510" s="391">
        <v>90666</v>
      </c>
      <c r="B2510" s="478" t="s">
        <v>825</v>
      </c>
      <c r="C2510" s="391" t="s">
        <v>558</v>
      </c>
      <c r="D2510" s="479">
        <v>8.36</v>
      </c>
      <c r="E2510" s="368"/>
      <c r="F2510" s="368"/>
    </row>
    <row r="2511" spans="1:6" ht="51" x14ac:dyDescent="0.2">
      <c r="A2511" s="391">
        <v>90667</v>
      </c>
      <c r="B2511" s="478" t="s">
        <v>826</v>
      </c>
      <c r="C2511" s="391" t="s">
        <v>558</v>
      </c>
      <c r="D2511" s="479">
        <v>15.85</v>
      </c>
      <c r="E2511" s="368"/>
      <c r="F2511" s="368"/>
    </row>
    <row r="2512" spans="1:6" ht="25.5" x14ac:dyDescent="0.2">
      <c r="A2512" s="391">
        <v>102977</v>
      </c>
      <c r="B2512" s="478" t="s">
        <v>40951</v>
      </c>
      <c r="C2512" s="391" t="s">
        <v>558</v>
      </c>
      <c r="D2512" s="479">
        <v>0</v>
      </c>
      <c r="E2512" s="368"/>
      <c r="F2512" s="368"/>
    </row>
    <row r="2513" spans="1:6" ht="25.5" x14ac:dyDescent="0.2">
      <c r="A2513" s="391">
        <v>102978</v>
      </c>
      <c r="B2513" s="478" t="s">
        <v>40952</v>
      </c>
      <c r="C2513" s="391" t="s">
        <v>558</v>
      </c>
      <c r="D2513" s="479">
        <v>0</v>
      </c>
      <c r="E2513" s="368"/>
      <c r="F2513" s="368"/>
    </row>
    <row r="2514" spans="1:6" ht="25.5" x14ac:dyDescent="0.2">
      <c r="A2514" s="391">
        <v>102979</v>
      </c>
      <c r="B2514" s="478" t="s">
        <v>40953</v>
      </c>
      <c r="C2514" s="391" t="s">
        <v>558</v>
      </c>
      <c r="D2514" s="479">
        <v>0</v>
      </c>
      <c r="E2514" s="368"/>
      <c r="F2514" s="368"/>
    </row>
    <row r="2515" spans="1:6" ht="25.5" x14ac:dyDescent="0.2">
      <c r="A2515" s="391">
        <v>95217</v>
      </c>
      <c r="B2515" s="478" t="s">
        <v>1024</v>
      </c>
      <c r="C2515" s="391" t="s">
        <v>558</v>
      </c>
      <c r="D2515" s="479">
        <v>0.56999999999999995</v>
      </c>
      <c r="E2515" s="368"/>
      <c r="F2515" s="368"/>
    </row>
    <row r="2516" spans="1:6" ht="38.25" x14ac:dyDescent="0.2">
      <c r="A2516" s="391">
        <v>89130</v>
      </c>
      <c r="B2516" s="478" t="s">
        <v>732</v>
      </c>
      <c r="C2516" s="391" t="s">
        <v>558</v>
      </c>
      <c r="D2516" s="479">
        <v>58.04</v>
      </c>
      <c r="E2516" s="368"/>
      <c r="F2516" s="368"/>
    </row>
    <row r="2517" spans="1:6" ht="25.5" x14ac:dyDescent="0.2">
      <c r="A2517" s="391">
        <v>89131</v>
      </c>
      <c r="B2517" s="478" t="s">
        <v>733</v>
      </c>
      <c r="C2517" s="391" t="s">
        <v>558</v>
      </c>
      <c r="D2517" s="479">
        <v>15.34</v>
      </c>
      <c r="E2517" s="368"/>
      <c r="F2517" s="368"/>
    </row>
    <row r="2518" spans="1:6" ht="38.25" x14ac:dyDescent="0.2">
      <c r="A2518" s="391">
        <v>53861</v>
      </c>
      <c r="B2518" s="478" t="s">
        <v>643</v>
      </c>
      <c r="C2518" s="391" t="s">
        <v>558</v>
      </c>
      <c r="D2518" s="479">
        <v>72.55</v>
      </c>
      <c r="E2518" s="368"/>
      <c r="F2518" s="368"/>
    </row>
    <row r="2519" spans="1:6" ht="38.25" x14ac:dyDescent="0.2">
      <c r="A2519" s="391">
        <v>5787</v>
      </c>
      <c r="B2519" s="478" t="s">
        <v>598</v>
      </c>
      <c r="C2519" s="391" t="s">
        <v>558</v>
      </c>
      <c r="D2519" s="479">
        <v>74.55</v>
      </c>
      <c r="E2519" s="368"/>
      <c r="F2519" s="368"/>
    </row>
    <row r="2520" spans="1:6" ht="38.25" x14ac:dyDescent="0.2">
      <c r="A2520" s="391">
        <v>89128</v>
      </c>
      <c r="B2520" s="478" t="s">
        <v>730</v>
      </c>
      <c r="C2520" s="391" t="s">
        <v>558</v>
      </c>
      <c r="D2520" s="479">
        <v>41.86</v>
      </c>
      <c r="E2520" s="368"/>
      <c r="F2520" s="368"/>
    </row>
    <row r="2521" spans="1:6" ht="25.5" x14ac:dyDescent="0.2">
      <c r="A2521" s="391">
        <v>89129</v>
      </c>
      <c r="B2521" s="478" t="s">
        <v>731</v>
      </c>
      <c r="C2521" s="391" t="s">
        <v>558</v>
      </c>
      <c r="D2521" s="479">
        <v>11.06</v>
      </c>
      <c r="E2521" s="368"/>
      <c r="F2521" s="368"/>
    </row>
    <row r="2522" spans="1:6" ht="38.25" x14ac:dyDescent="0.2">
      <c r="A2522" s="391">
        <v>53857</v>
      </c>
      <c r="B2522" s="478" t="s">
        <v>641</v>
      </c>
      <c r="C2522" s="391" t="s">
        <v>558</v>
      </c>
      <c r="D2522" s="479">
        <v>52.32</v>
      </c>
      <c r="E2522" s="368"/>
      <c r="F2522" s="368"/>
    </row>
    <row r="2523" spans="1:6" ht="38.25" x14ac:dyDescent="0.2">
      <c r="A2523" s="391">
        <v>53858</v>
      </c>
      <c r="B2523" s="478" t="s">
        <v>642</v>
      </c>
      <c r="C2523" s="391" t="s">
        <v>558</v>
      </c>
      <c r="D2523" s="479">
        <v>48.43</v>
      </c>
      <c r="E2523" s="368"/>
      <c r="F2523" s="368"/>
    </row>
    <row r="2524" spans="1:6" ht="25.5" x14ac:dyDescent="0.2">
      <c r="A2524" s="391">
        <v>102888</v>
      </c>
      <c r="B2524" s="478" t="s">
        <v>47601</v>
      </c>
      <c r="C2524" s="391" t="s">
        <v>558</v>
      </c>
      <c r="D2524" s="479">
        <v>0</v>
      </c>
      <c r="E2524" s="368"/>
      <c r="F2524" s="368"/>
    </row>
    <row r="2525" spans="1:6" ht="25.5" x14ac:dyDescent="0.2">
      <c r="A2525" s="391">
        <v>102889</v>
      </c>
      <c r="B2525" s="478" t="s">
        <v>47602</v>
      </c>
      <c r="C2525" s="391" t="s">
        <v>558</v>
      </c>
      <c r="D2525" s="479">
        <v>0</v>
      </c>
      <c r="E2525" s="368"/>
      <c r="F2525" s="368"/>
    </row>
    <row r="2526" spans="1:6" ht="25.5" x14ac:dyDescent="0.2">
      <c r="A2526" s="391">
        <v>102890</v>
      </c>
      <c r="B2526" s="478" t="s">
        <v>47603</v>
      </c>
      <c r="C2526" s="391" t="s">
        <v>558</v>
      </c>
      <c r="D2526" s="479">
        <v>0</v>
      </c>
      <c r="E2526" s="368"/>
      <c r="F2526" s="368"/>
    </row>
    <row r="2527" spans="1:6" ht="25.5" x14ac:dyDescent="0.2">
      <c r="A2527" s="391">
        <v>102891</v>
      </c>
      <c r="B2527" s="478" t="s">
        <v>47604</v>
      </c>
      <c r="C2527" s="391" t="s">
        <v>558</v>
      </c>
      <c r="D2527" s="479">
        <v>1.17</v>
      </c>
      <c r="E2527" s="368"/>
      <c r="F2527" s="368"/>
    </row>
    <row r="2528" spans="1:6" ht="25.5" x14ac:dyDescent="0.2">
      <c r="A2528" s="391">
        <v>89246</v>
      </c>
      <c r="B2528" s="478" t="s">
        <v>756</v>
      </c>
      <c r="C2528" s="391" t="s">
        <v>558</v>
      </c>
      <c r="D2528" s="479">
        <v>237.73</v>
      </c>
      <c r="E2528" s="368"/>
      <c r="F2528" s="368"/>
    </row>
    <row r="2529" spans="1:6" ht="25.5" x14ac:dyDescent="0.2">
      <c r="A2529" s="391">
        <v>89247</v>
      </c>
      <c r="B2529" s="478" t="s">
        <v>757</v>
      </c>
      <c r="C2529" s="391" t="s">
        <v>558</v>
      </c>
      <c r="D2529" s="479">
        <v>72.790000000000006</v>
      </c>
      <c r="E2529" s="368"/>
      <c r="F2529" s="368"/>
    </row>
    <row r="2530" spans="1:6" ht="25.5" x14ac:dyDescent="0.2">
      <c r="A2530" s="391">
        <v>89248</v>
      </c>
      <c r="B2530" s="478" t="s">
        <v>758</v>
      </c>
      <c r="C2530" s="391" t="s">
        <v>558</v>
      </c>
      <c r="D2530" s="479">
        <v>424.04</v>
      </c>
      <c r="E2530" s="368"/>
      <c r="F2530" s="368"/>
    </row>
    <row r="2531" spans="1:6" ht="25.5" x14ac:dyDescent="0.2">
      <c r="A2531" s="391">
        <v>89249</v>
      </c>
      <c r="B2531" s="478" t="s">
        <v>759</v>
      </c>
      <c r="C2531" s="391" t="s">
        <v>558</v>
      </c>
      <c r="D2531" s="479">
        <v>399.16</v>
      </c>
      <c r="E2531" s="368"/>
      <c r="F2531" s="368"/>
    </row>
    <row r="2532" spans="1:6" ht="38.25" x14ac:dyDescent="0.2">
      <c r="A2532" s="391">
        <v>102954</v>
      </c>
      <c r="B2532" s="478" t="s">
        <v>47605</v>
      </c>
      <c r="C2532" s="391" t="s">
        <v>558</v>
      </c>
      <c r="D2532" s="479">
        <v>0</v>
      </c>
      <c r="E2532" s="368"/>
      <c r="F2532" s="368"/>
    </row>
    <row r="2533" spans="1:6" ht="38.25" x14ac:dyDescent="0.2">
      <c r="A2533" s="391">
        <v>104727</v>
      </c>
      <c r="B2533" s="478" t="s">
        <v>40954</v>
      </c>
      <c r="C2533" s="391" t="s">
        <v>558</v>
      </c>
      <c r="D2533" s="479">
        <v>0</v>
      </c>
      <c r="E2533" s="368"/>
      <c r="F2533" s="368"/>
    </row>
    <row r="2534" spans="1:6" ht="38.25" x14ac:dyDescent="0.2">
      <c r="A2534" s="391">
        <v>102956</v>
      </c>
      <c r="B2534" s="478" t="s">
        <v>47606</v>
      </c>
      <c r="C2534" s="391" t="s">
        <v>558</v>
      </c>
      <c r="D2534" s="479">
        <v>0</v>
      </c>
      <c r="E2534" s="368"/>
      <c r="F2534" s="368"/>
    </row>
    <row r="2535" spans="1:6" ht="38.25" x14ac:dyDescent="0.2">
      <c r="A2535" s="391">
        <v>102957</v>
      </c>
      <c r="B2535" s="478" t="s">
        <v>47607</v>
      </c>
      <c r="C2535" s="391" t="s">
        <v>558</v>
      </c>
      <c r="D2535" s="479">
        <v>41.65</v>
      </c>
      <c r="E2535" s="368"/>
      <c r="F2535" s="368"/>
    </row>
    <row r="2536" spans="1:6" ht="51" x14ac:dyDescent="0.2">
      <c r="A2536" s="391">
        <v>88859</v>
      </c>
      <c r="B2536" s="478" t="s">
        <v>704</v>
      </c>
      <c r="C2536" s="391" t="s">
        <v>558</v>
      </c>
      <c r="D2536" s="479">
        <v>23.23</v>
      </c>
      <c r="E2536" s="368"/>
      <c r="F2536" s="368"/>
    </row>
    <row r="2537" spans="1:6" ht="51" x14ac:dyDescent="0.2">
      <c r="A2537" s="391">
        <v>88860</v>
      </c>
      <c r="B2537" s="478" t="s">
        <v>705</v>
      </c>
      <c r="C2537" s="391" t="s">
        <v>558</v>
      </c>
      <c r="D2537" s="479">
        <v>6.14</v>
      </c>
      <c r="E2537" s="368"/>
      <c r="F2537" s="368"/>
    </row>
    <row r="2538" spans="1:6" ht="51" x14ac:dyDescent="0.2">
      <c r="A2538" s="391">
        <v>5667</v>
      </c>
      <c r="B2538" s="478" t="s">
        <v>565</v>
      </c>
      <c r="C2538" s="391" t="s">
        <v>558</v>
      </c>
      <c r="D2538" s="479">
        <v>29.04</v>
      </c>
      <c r="E2538" s="368"/>
      <c r="F2538" s="368"/>
    </row>
    <row r="2539" spans="1:6" ht="51" x14ac:dyDescent="0.2">
      <c r="A2539" s="391">
        <v>5668</v>
      </c>
      <c r="B2539" s="478" t="s">
        <v>566</v>
      </c>
      <c r="C2539" s="391" t="s">
        <v>558</v>
      </c>
      <c r="D2539" s="479">
        <v>48.56</v>
      </c>
      <c r="E2539" s="368"/>
      <c r="F2539" s="368"/>
    </row>
    <row r="2540" spans="1:6" ht="51" x14ac:dyDescent="0.2">
      <c r="A2540" s="391">
        <v>89011</v>
      </c>
      <c r="B2540" s="478" t="s">
        <v>712</v>
      </c>
      <c r="C2540" s="391" t="s">
        <v>558</v>
      </c>
      <c r="D2540" s="479">
        <v>25.2</v>
      </c>
      <c r="E2540" s="368"/>
      <c r="F2540" s="368"/>
    </row>
    <row r="2541" spans="1:6" ht="51" x14ac:dyDescent="0.2">
      <c r="A2541" s="391">
        <v>89012</v>
      </c>
      <c r="B2541" s="478" t="s">
        <v>713</v>
      </c>
      <c r="C2541" s="391" t="s">
        <v>558</v>
      </c>
      <c r="D2541" s="479">
        <v>6.66</v>
      </c>
      <c r="E2541" s="368"/>
      <c r="F2541" s="368"/>
    </row>
    <row r="2542" spans="1:6" ht="51" x14ac:dyDescent="0.2">
      <c r="A2542" s="391">
        <v>5735</v>
      </c>
      <c r="B2542" s="478" t="s">
        <v>585</v>
      </c>
      <c r="C2542" s="391" t="s">
        <v>558</v>
      </c>
      <c r="D2542" s="479">
        <v>31.5</v>
      </c>
      <c r="E2542" s="368"/>
      <c r="F2542" s="368"/>
    </row>
    <row r="2543" spans="1:6" ht="51" x14ac:dyDescent="0.2">
      <c r="A2543" s="391">
        <v>5736</v>
      </c>
      <c r="B2543" s="478" t="s">
        <v>586</v>
      </c>
      <c r="C2543" s="391" t="s">
        <v>558</v>
      </c>
      <c r="D2543" s="479">
        <v>44.25</v>
      </c>
      <c r="E2543" s="368"/>
      <c r="F2543" s="368"/>
    </row>
    <row r="2544" spans="1:6" ht="51" x14ac:dyDescent="0.2">
      <c r="A2544" s="391">
        <v>88857</v>
      </c>
      <c r="B2544" s="478" t="s">
        <v>702</v>
      </c>
      <c r="C2544" s="391" t="s">
        <v>558</v>
      </c>
      <c r="D2544" s="479">
        <v>26.12</v>
      </c>
      <c r="E2544" s="368"/>
      <c r="F2544" s="368"/>
    </row>
    <row r="2545" spans="1:6" ht="51" x14ac:dyDescent="0.2">
      <c r="A2545" s="391">
        <v>88858</v>
      </c>
      <c r="B2545" s="478" t="s">
        <v>703</v>
      </c>
      <c r="C2545" s="391" t="s">
        <v>558</v>
      </c>
      <c r="D2545" s="479">
        <v>6.9</v>
      </c>
      <c r="E2545" s="368"/>
      <c r="F2545" s="368"/>
    </row>
    <row r="2546" spans="1:6" ht="51" x14ac:dyDescent="0.2">
      <c r="A2546" s="391">
        <v>5664</v>
      </c>
      <c r="B2546" s="478" t="s">
        <v>564</v>
      </c>
      <c r="C2546" s="391" t="s">
        <v>558</v>
      </c>
      <c r="D2546" s="479">
        <v>32.65</v>
      </c>
      <c r="E2546" s="368"/>
      <c r="F2546" s="368"/>
    </row>
    <row r="2547" spans="1:6" ht="51" x14ac:dyDescent="0.2">
      <c r="A2547" s="391">
        <v>53786</v>
      </c>
      <c r="B2547" s="478" t="s">
        <v>624</v>
      </c>
      <c r="C2547" s="391" t="s">
        <v>558</v>
      </c>
      <c r="D2547" s="479">
        <v>54.08</v>
      </c>
      <c r="E2547" s="368"/>
      <c r="F2547" s="368"/>
    </row>
    <row r="2548" spans="1:6" ht="38.25" x14ac:dyDescent="0.2">
      <c r="A2548" s="391">
        <v>7038</v>
      </c>
      <c r="B2548" s="478" t="s">
        <v>605</v>
      </c>
      <c r="C2548" s="391" t="s">
        <v>558</v>
      </c>
      <c r="D2548" s="479">
        <v>50.1</v>
      </c>
      <c r="E2548" s="368"/>
      <c r="F2548" s="368"/>
    </row>
    <row r="2549" spans="1:6" ht="38.25" x14ac:dyDescent="0.2">
      <c r="A2549" s="391">
        <v>7039</v>
      </c>
      <c r="B2549" s="478" t="s">
        <v>606</v>
      </c>
      <c r="C2549" s="391" t="s">
        <v>558</v>
      </c>
      <c r="D2549" s="479">
        <v>13.44</v>
      </c>
      <c r="E2549" s="368"/>
      <c r="F2549" s="368"/>
    </row>
    <row r="2550" spans="1:6" ht="38.25" x14ac:dyDescent="0.2">
      <c r="A2550" s="391">
        <v>7040</v>
      </c>
      <c r="B2550" s="478" t="s">
        <v>607</v>
      </c>
      <c r="C2550" s="391" t="s">
        <v>558</v>
      </c>
      <c r="D2550" s="479">
        <v>62.69</v>
      </c>
      <c r="E2550" s="368"/>
      <c r="F2550" s="368"/>
    </row>
    <row r="2551" spans="1:6" ht="38.25" x14ac:dyDescent="0.2">
      <c r="A2551" s="391">
        <v>55263</v>
      </c>
      <c r="B2551" s="478" t="s">
        <v>648</v>
      </c>
      <c r="C2551" s="391" t="s">
        <v>558</v>
      </c>
      <c r="D2551" s="479">
        <v>68.28</v>
      </c>
      <c r="E2551" s="368"/>
      <c r="F2551" s="368"/>
    </row>
    <row r="2552" spans="1:6" ht="38.25" x14ac:dyDescent="0.2">
      <c r="A2552" s="391">
        <v>96460</v>
      </c>
      <c r="B2552" s="478" t="s">
        <v>40440</v>
      </c>
      <c r="C2552" s="391" t="s">
        <v>558</v>
      </c>
      <c r="D2552" s="479">
        <v>53.18</v>
      </c>
      <c r="E2552" s="368"/>
      <c r="F2552" s="368"/>
    </row>
    <row r="2553" spans="1:6" ht="38.25" x14ac:dyDescent="0.2">
      <c r="A2553" s="391">
        <v>96459</v>
      </c>
      <c r="B2553" s="478" t="s">
        <v>40439</v>
      </c>
      <c r="C2553" s="391" t="s">
        <v>558</v>
      </c>
      <c r="D2553" s="479">
        <v>14.26</v>
      </c>
      <c r="E2553" s="368"/>
      <c r="F2553" s="368"/>
    </row>
    <row r="2554" spans="1:6" ht="38.25" x14ac:dyDescent="0.2">
      <c r="A2554" s="391">
        <v>96458</v>
      </c>
      <c r="B2554" s="478" t="s">
        <v>40438</v>
      </c>
      <c r="C2554" s="391" t="s">
        <v>558</v>
      </c>
      <c r="D2554" s="479">
        <v>66.55</v>
      </c>
      <c r="E2554" s="368"/>
      <c r="F2554" s="368"/>
    </row>
    <row r="2555" spans="1:6" ht="38.25" x14ac:dyDescent="0.2">
      <c r="A2555" s="391">
        <v>96457</v>
      </c>
      <c r="B2555" s="478" t="s">
        <v>40437</v>
      </c>
      <c r="C2555" s="391" t="s">
        <v>558</v>
      </c>
      <c r="D2555" s="479">
        <v>67.64</v>
      </c>
      <c r="E2555" s="368"/>
      <c r="F2555" s="368"/>
    </row>
    <row r="2556" spans="1:6" ht="38.25" x14ac:dyDescent="0.2">
      <c r="A2556" s="391">
        <v>7051</v>
      </c>
      <c r="B2556" s="478" t="s">
        <v>612</v>
      </c>
      <c r="C2556" s="391" t="s">
        <v>558</v>
      </c>
      <c r="D2556" s="479">
        <v>44.43</v>
      </c>
      <c r="E2556" s="368"/>
      <c r="F2556" s="368"/>
    </row>
    <row r="2557" spans="1:6" ht="38.25" x14ac:dyDescent="0.2">
      <c r="A2557" s="391">
        <v>7052</v>
      </c>
      <c r="B2557" s="478" t="s">
        <v>613</v>
      </c>
      <c r="C2557" s="391" t="s">
        <v>558</v>
      </c>
      <c r="D2557" s="479">
        <v>12</v>
      </c>
      <c r="E2557" s="368"/>
      <c r="F2557" s="368"/>
    </row>
    <row r="2558" spans="1:6" ht="38.25" x14ac:dyDescent="0.2">
      <c r="A2558" s="391">
        <v>7053</v>
      </c>
      <c r="B2558" s="478" t="s">
        <v>614</v>
      </c>
      <c r="C2558" s="391" t="s">
        <v>558</v>
      </c>
      <c r="D2558" s="479">
        <v>55.61</v>
      </c>
      <c r="E2558" s="368"/>
      <c r="F2558" s="368"/>
    </row>
    <row r="2559" spans="1:6" ht="38.25" x14ac:dyDescent="0.2">
      <c r="A2559" s="391">
        <v>7054</v>
      </c>
      <c r="B2559" s="478" t="s">
        <v>615</v>
      </c>
      <c r="C2559" s="391" t="s">
        <v>558</v>
      </c>
      <c r="D2559" s="479">
        <v>94.59</v>
      </c>
      <c r="E2559" s="368"/>
      <c r="F2559" s="368"/>
    </row>
    <row r="2560" spans="1:6" ht="38.25" x14ac:dyDescent="0.2">
      <c r="A2560" s="391">
        <v>95627</v>
      </c>
      <c r="B2560" s="478" t="s">
        <v>1046</v>
      </c>
      <c r="C2560" s="391" t="s">
        <v>558</v>
      </c>
      <c r="D2560" s="479">
        <v>47.95</v>
      </c>
      <c r="E2560" s="368"/>
      <c r="F2560" s="368"/>
    </row>
    <row r="2561" spans="1:6" ht="38.25" x14ac:dyDescent="0.2">
      <c r="A2561" s="391">
        <v>95628</v>
      </c>
      <c r="B2561" s="478" t="s">
        <v>1047</v>
      </c>
      <c r="C2561" s="391" t="s">
        <v>558</v>
      </c>
      <c r="D2561" s="479">
        <v>12.86</v>
      </c>
      <c r="E2561" s="368"/>
      <c r="F2561" s="368"/>
    </row>
    <row r="2562" spans="1:6" ht="38.25" x14ac:dyDescent="0.2">
      <c r="A2562" s="391">
        <v>95629</v>
      </c>
      <c r="B2562" s="478" t="s">
        <v>1048</v>
      </c>
      <c r="C2562" s="391" t="s">
        <v>558</v>
      </c>
      <c r="D2562" s="479">
        <v>60.01</v>
      </c>
      <c r="E2562" s="368"/>
      <c r="F2562" s="368"/>
    </row>
    <row r="2563" spans="1:6" ht="38.25" x14ac:dyDescent="0.2">
      <c r="A2563" s="391">
        <v>95630</v>
      </c>
      <c r="B2563" s="478" t="s">
        <v>1049</v>
      </c>
      <c r="C2563" s="391" t="s">
        <v>558</v>
      </c>
      <c r="D2563" s="479">
        <v>94.59</v>
      </c>
      <c r="E2563" s="368"/>
      <c r="F2563" s="368"/>
    </row>
    <row r="2564" spans="1:6" ht="38.25" x14ac:dyDescent="0.2">
      <c r="A2564" s="391">
        <v>89210</v>
      </c>
      <c r="B2564" s="478" t="s">
        <v>734</v>
      </c>
      <c r="C2564" s="391" t="s">
        <v>558</v>
      </c>
      <c r="D2564" s="479">
        <v>32.049999999999997</v>
      </c>
      <c r="E2564" s="368"/>
      <c r="F2564" s="368"/>
    </row>
    <row r="2565" spans="1:6" ht="38.25" x14ac:dyDescent="0.2">
      <c r="A2565" s="391">
        <v>89211</v>
      </c>
      <c r="B2565" s="478" t="s">
        <v>735</v>
      </c>
      <c r="C2565" s="391" t="s">
        <v>558</v>
      </c>
      <c r="D2565" s="479">
        <v>8.6</v>
      </c>
      <c r="E2565" s="368"/>
      <c r="F2565" s="368"/>
    </row>
    <row r="2566" spans="1:6" ht="38.25" x14ac:dyDescent="0.2">
      <c r="A2566" s="391">
        <v>5674</v>
      </c>
      <c r="B2566" s="478" t="s">
        <v>567</v>
      </c>
      <c r="C2566" s="391" t="s">
        <v>558</v>
      </c>
      <c r="D2566" s="479">
        <v>40.11</v>
      </c>
      <c r="E2566" s="368"/>
      <c r="F2566" s="368"/>
    </row>
    <row r="2567" spans="1:6" ht="38.25" x14ac:dyDescent="0.2">
      <c r="A2567" s="391">
        <v>53788</v>
      </c>
      <c r="B2567" s="478" t="s">
        <v>625</v>
      </c>
      <c r="C2567" s="391" t="s">
        <v>558</v>
      </c>
      <c r="D2567" s="479">
        <v>60.54</v>
      </c>
      <c r="E2567" s="368"/>
      <c r="F2567" s="368"/>
    </row>
    <row r="2568" spans="1:6" ht="38.25" x14ac:dyDescent="0.2">
      <c r="A2568" s="391">
        <v>73309</v>
      </c>
      <c r="B2568" s="478" t="s">
        <v>651</v>
      </c>
      <c r="C2568" s="391" t="s">
        <v>558</v>
      </c>
      <c r="D2568" s="479">
        <v>33.33</v>
      </c>
      <c r="E2568" s="368"/>
      <c r="F2568" s="368"/>
    </row>
    <row r="2569" spans="1:6" ht="38.25" x14ac:dyDescent="0.2">
      <c r="A2569" s="391">
        <v>73313</v>
      </c>
      <c r="B2569" s="478" t="s">
        <v>653</v>
      </c>
      <c r="C2569" s="391" t="s">
        <v>558</v>
      </c>
      <c r="D2569" s="479">
        <v>9</v>
      </c>
      <c r="E2569" s="368"/>
      <c r="F2569" s="368"/>
    </row>
    <row r="2570" spans="1:6" ht="38.25" x14ac:dyDescent="0.2">
      <c r="A2570" s="391">
        <v>5089</v>
      </c>
      <c r="B2570" s="478" t="s">
        <v>557</v>
      </c>
      <c r="C2570" s="391" t="s">
        <v>558</v>
      </c>
      <c r="D2570" s="479">
        <v>41.71</v>
      </c>
      <c r="E2570" s="368"/>
      <c r="F2570" s="368"/>
    </row>
    <row r="2571" spans="1:6" ht="38.25" x14ac:dyDescent="0.2">
      <c r="A2571" s="391">
        <v>73315</v>
      </c>
      <c r="B2571" s="478" t="s">
        <v>654</v>
      </c>
      <c r="C2571" s="391" t="s">
        <v>558</v>
      </c>
      <c r="D2571" s="479">
        <v>60.54</v>
      </c>
      <c r="E2571" s="368"/>
      <c r="F2571" s="368"/>
    </row>
    <row r="2572" spans="1:6" ht="38.25" x14ac:dyDescent="0.2">
      <c r="A2572" s="391">
        <v>5738</v>
      </c>
      <c r="B2572" s="478" t="s">
        <v>587</v>
      </c>
      <c r="C2572" s="391" t="s">
        <v>558</v>
      </c>
      <c r="D2572" s="479">
        <v>43.8</v>
      </c>
      <c r="E2572" s="368"/>
      <c r="F2572" s="368"/>
    </row>
    <row r="2573" spans="1:6" ht="38.25" x14ac:dyDescent="0.2">
      <c r="A2573" s="391">
        <v>93239</v>
      </c>
      <c r="B2573" s="478" t="s">
        <v>970</v>
      </c>
      <c r="C2573" s="391" t="s">
        <v>558</v>
      </c>
      <c r="D2573" s="479">
        <v>11.75</v>
      </c>
      <c r="E2573" s="368"/>
      <c r="F2573" s="368"/>
    </row>
    <row r="2574" spans="1:6" ht="38.25" x14ac:dyDescent="0.2">
      <c r="A2574" s="391">
        <v>5739</v>
      </c>
      <c r="B2574" s="478" t="s">
        <v>588</v>
      </c>
      <c r="C2574" s="391" t="s">
        <v>558</v>
      </c>
      <c r="D2574" s="479">
        <v>54.81</v>
      </c>
      <c r="E2574" s="368"/>
      <c r="F2574" s="368"/>
    </row>
    <row r="2575" spans="1:6" ht="38.25" x14ac:dyDescent="0.2">
      <c r="A2575" s="391">
        <v>93240</v>
      </c>
      <c r="B2575" s="478" t="s">
        <v>971</v>
      </c>
      <c r="C2575" s="391" t="s">
        <v>558</v>
      </c>
      <c r="D2575" s="479">
        <v>12.68</v>
      </c>
      <c r="E2575" s="368"/>
      <c r="F2575" s="368"/>
    </row>
    <row r="2576" spans="1:6" ht="38.25" x14ac:dyDescent="0.2">
      <c r="A2576" s="391">
        <v>53818</v>
      </c>
      <c r="B2576" s="478" t="s">
        <v>634</v>
      </c>
      <c r="C2576" s="391" t="s">
        <v>558</v>
      </c>
      <c r="D2576" s="479">
        <v>9.67</v>
      </c>
      <c r="E2576" s="368"/>
      <c r="F2576" s="368"/>
    </row>
    <row r="2577" spans="1:6" ht="38.25" x14ac:dyDescent="0.2">
      <c r="A2577" s="391">
        <v>93238</v>
      </c>
      <c r="B2577" s="478" t="s">
        <v>969</v>
      </c>
      <c r="C2577" s="391" t="s">
        <v>558</v>
      </c>
      <c r="D2577" s="479">
        <v>2.59</v>
      </c>
      <c r="E2577" s="368"/>
      <c r="F2577" s="368"/>
    </row>
    <row r="2578" spans="1:6" ht="38.25" x14ac:dyDescent="0.2">
      <c r="A2578" s="391">
        <v>5727</v>
      </c>
      <c r="B2578" s="478" t="s">
        <v>582</v>
      </c>
      <c r="C2578" s="391" t="s">
        <v>558</v>
      </c>
      <c r="D2578" s="479">
        <v>12.1</v>
      </c>
      <c r="E2578" s="368"/>
      <c r="F2578" s="368"/>
    </row>
    <row r="2579" spans="1:6" ht="38.25" x14ac:dyDescent="0.2">
      <c r="A2579" s="391">
        <v>89280</v>
      </c>
      <c r="B2579" s="478" t="s">
        <v>779</v>
      </c>
      <c r="C2579" s="391" t="s">
        <v>558</v>
      </c>
      <c r="D2579" s="479">
        <v>39.36</v>
      </c>
      <c r="E2579" s="368"/>
      <c r="F2579" s="368"/>
    </row>
    <row r="2580" spans="1:6" ht="38.25" x14ac:dyDescent="0.2">
      <c r="A2580" s="391">
        <v>89281</v>
      </c>
      <c r="B2580" s="478" t="s">
        <v>780</v>
      </c>
      <c r="C2580" s="391" t="s">
        <v>558</v>
      </c>
      <c r="D2580" s="479">
        <v>10.56</v>
      </c>
      <c r="E2580" s="368"/>
      <c r="F2580" s="368"/>
    </row>
    <row r="2581" spans="1:6" ht="38.25" x14ac:dyDescent="0.2">
      <c r="A2581" s="391">
        <v>5729</v>
      </c>
      <c r="B2581" s="478" t="s">
        <v>583</v>
      </c>
      <c r="C2581" s="391" t="s">
        <v>558</v>
      </c>
      <c r="D2581" s="479">
        <v>49.26</v>
      </c>
      <c r="E2581" s="368"/>
      <c r="F2581" s="368"/>
    </row>
    <row r="2582" spans="1:6" ht="38.25" x14ac:dyDescent="0.2">
      <c r="A2582" s="391">
        <v>5730</v>
      </c>
      <c r="B2582" s="478" t="s">
        <v>584</v>
      </c>
      <c r="C2582" s="391" t="s">
        <v>558</v>
      </c>
      <c r="D2582" s="479">
        <v>43.3</v>
      </c>
      <c r="E2582" s="368"/>
      <c r="F2582" s="368"/>
    </row>
    <row r="2583" spans="1:6" ht="25.5" x14ac:dyDescent="0.2">
      <c r="A2583" s="391">
        <v>95266</v>
      </c>
      <c r="B2583" s="478" t="s">
        <v>1032</v>
      </c>
      <c r="C2583" s="391" t="s">
        <v>558</v>
      </c>
      <c r="D2583" s="479">
        <v>0.64</v>
      </c>
      <c r="E2583" s="368"/>
      <c r="F2583" s="368"/>
    </row>
    <row r="2584" spans="1:6" ht="25.5" x14ac:dyDescent="0.2">
      <c r="A2584" s="391">
        <v>95267</v>
      </c>
      <c r="B2584" s="478" t="s">
        <v>1033</v>
      </c>
      <c r="C2584" s="391" t="s">
        <v>558</v>
      </c>
      <c r="D2584" s="479">
        <v>0.13</v>
      </c>
      <c r="E2584" s="368"/>
      <c r="F2584" s="368"/>
    </row>
    <row r="2585" spans="1:6" ht="25.5" x14ac:dyDescent="0.2">
      <c r="A2585" s="391">
        <v>95268</v>
      </c>
      <c r="B2585" s="478" t="s">
        <v>1034</v>
      </c>
      <c r="C2585" s="391" t="s">
        <v>558</v>
      </c>
      <c r="D2585" s="479">
        <v>0.62</v>
      </c>
      <c r="E2585" s="368"/>
      <c r="F2585" s="368"/>
    </row>
    <row r="2586" spans="1:6" ht="38.25" x14ac:dyDescent="0.2">
      <c r="A2586" s="391">
        <v>95269</v>
      </c>
      <c r="B2586" s="478" t="s">
        <v>1035</v>
      </c>
      <c r="C2586" s="391" t="s">
        <v>558</v>
      </c>
      <c r="D2586" s="479">
        <v>9.2100000000000009</v>
      </c>
      <c r="E2586" s="368"/>
      <c r="F2586" s="368"/>
    </row>
    <row r="2587" spans="1:6" ht="25.5" x14ac:dyDescent="0.2">
      <c r="A2587" s="391">
        <v>91688</v>
      </c>
      <c r="B2587" s="478" t="s">
        <v>915</v>
      </c>
      <c r="C2587" s="391" t="s">
        <v>558</v>
      </c>
      <c r="D2587" s="479">
        <v>0.13</v>
      </c>
      <c r="E2587" s="368"/>
      <c r="F2587" s="368"/>
    </row>
    <row r="2588" spans="1:6" ht="25.5" x14ac:dyDescent="0.2">
      <c r="A2588" s="392">
        <v>91689</v>
      </c>
      <c r="B2588" s="480" t="s">
        <v>916</v>
      </c>
      <c r="C2588" s="392" t="s">
        <v>558</v>
      </c>
      <c r="D2588" s="481">
        <v>0.02</v>
      </c>
      <c r="E2588" s="369"/>
      <c r="F2588" s="369"/>
    </row>
    <row r="2589" spans="1:6" ht="25.5" x14ac:dyDescent="0.2">
      <c r="A2589" s="391">
        <v>91690</v>
      </c>
      <c r="B2589" s="478" t="s">
        <v>917</v>
      </c>
      <c r="C2589" s="391" t="s">
        <v>558</v>
      </c>
      <c r="D2589" s="479">
        <v>0.09</v>
      </c>
      <c r="E2589" s="368"/>
      <c r="F2589" s="368"/>
    </row>
    <row r="2590" spans="1:6" ht="25.5" x14ac:dyDescent="0.2">
      <c r="A2590" s="391">
        <v>91691</v>
      </c>
      <c r="B2590" s="478" t="s">
        <v>918</v>
      </c>
      <c r="C2590" s="391" t="s">
        <v>558</v>
      </c>
      <c r="D2590" s="479">
        <v>1.25</v>
      </c>
      <c r="E2590" s="368"/>
      <c r="F2590" s="368"/>
    </row>
    <row r="2591" spans="1:6" ht="38.25" x14ac:dyDescent="0.2">
      <c r="A2591" s="391">
        <v>102924</v>
      </c>
      <c r="B2591" s="478" t="s">
        <v>40955</v>
      </c>
      <c r="C2591" s="391" t="s">
        <v>558</v>
      </c>
      <c r="D2591" s="479">
        <v>0</v>
      </c>
      <c r="E2591" s="368"/>
      <c r="F2591" s="368"/>
    </row>
    <row r="2592" spans="1:6" ht="38.25" x14ac:dyDescent="0.2">
      <c r="A2592" s="391">
        <v>102925</v>
      </c>
      <c r="B2592" s="478" t="s">
        <v>40956</v>
      </c>
      <c r="C2592" s="391" t="s">
        <v>558</v>
      </c>
      <c r="D2592" s="479">
        <v>0</v>
      </c>
      <c r="E2592" s="368"/>
      <c r="F2592" s="368"/>
    </row>
    <row r="2593" spans="1:6" ht="38.25" x14ac:dyDescent="0.2">
      <c r="A2593" s="391">
        <v>102926</v>
      </c>
      <c r="B2593" s="478" t="s">
        <v>40957</v>
      </c>
      <c r="C2593" s="391" t="s">
        <v>558</v>
      </c>
      <c r="D2593" s="479">
        <v>0</v>
      </c>
      <c r="E2593" s="368"/>
      <c r="F2593" s="368"/>
    </row>
    <row r="2594" spans="1:6" ht="38.25" x14ac:dyDescent="0.2">
      <c r="A2594" s="391">
        <v>102927</v>
      </c>
      <c r="B2594" s="478" t="s">
        <v>1126</v>
      </c>
      <c r="C2594" s="391" t="s">
        <v>558</v>
      </c>
      <c r="D2594" s="479">
        <v>0.86</v>
      </c>
      <c r="E2594" s="368"/>
      <c r="F2594" s="368"/>
    </row>
    <row r="2595" spans="1:6" ht="25.5" x14ac:dyDescent="0.2">
      <c r="A2595" s="391">
        <v>95136</v>
      </c>
      <c r="B2595" s="478" t="s">
        <v>1021</v>
      </c>
      <c r="C2595" s="391" t="s">
        <v>558</v>
      </c>
      <c r="D2595" s="479">
        <v>0.04</v>
      </c>
      <c r="E2595" s="368"/>
      <c r="F2595" s="368"/>
    </row>
    <row r="2596" spans="1:6" ht="25.5" x14ac:dyDescent="0.2">
      <c r="A2596" s="391">
        <v>95137</v>
      </c>
      <c r="B2596" s="478" t="s">
        <v>1022</v>
      </c>
      <c r="C2596" s="391" t="s">
        <v>558</v>
      </c>
      <c r="D2596" s="479">
        <v>0.01</v>
      </c>
      <c r="E2596" s="368"/>
      <c r="F2596" s="368"/>
    </row>
    <row r="2597" spans="1:6" ht="25.5" x14ac:dyDescent="0.2">
      <c r="A2597" s="391">
        <v>95138</v>
      </c>
      <c r="B2597" s="478" t="s">
        <v>1023</v>
      </c>
      <c r="C2597" s="391" t="s">
        <v>558</v>
      </c>
      <c r="D2597" s="479">
        <v>0.03</v>
      </c>
      <c r="E2597" s="368"/>
      <c r="F2597" s="368"/>
    </row>
    <row r="2598" spans="1:6" ht="25.5" x14ac:dyDescent="0.2">
      <c r="A2598" s="391">
        <v>89023</v>
      </c>
      <c r="B2598" s="478" t="s">
        <v>722</v>
      </c>
      <c r="C2598" s="391" t="s">
        <v>558</v>
      </c>
      <c r="D2598" s="479">
        <v>3.82</v>
      </c>
      <c r="E2598" s="368"/>
      <c r="F2598" s="368"/>
    </row>
    <row r="2599" spans="1:6" ht="25.5" x14ac:dyDescent="0.2">
      <c r="A2599" s="391">
        <v>89024</v>
      </c>
      <c r="B2599" s="478" t="s">
        <v>723</v>
      </c>
      <c r="C2599" s="391" t="s">
        <v>558</v>
      </c>
      <c r="D2599" s="479">
        <v>1.32</v>
      </c>
      <c r="E2599" s="368"/>
      <c r="F2599" s="368"/>
    </row>
    <row r="2600" spans="1:6" ht="25.5" x14ac:dyDescent="0.2">
      <c r="A2600" s="391">
        <v>89025</v>
      </c>
      <c r="B2600" s="478" t="s">
        <v>724</v>
      </c>
      <c r="C2600" s="391" t="s">
        <v>558</v>
      </c>
      <c r="D2600" s="479">
        <v>4.78</v>
      </c>
      <c r="E2600" s="368"/>
      <c r="F2600" s="368"/>
    </row>
    <row r="2601" spans="1:6" ht="25.5" x14ac:dyDescent="0.2">
      <c r="A2601" s="391">
        <v>89026</v>
      </c>
      <c r="B2601" s="478" t="s">
        <v>725</v>
      </c>
      <c r="C2601" s="391" t="s">
        <v>558</v>
      </c>
      <c r="D2601" s="479">
        <v>181.16</v>
      </c>
      <c r="E2601" s="368"/>
      <c r="F2601" s="368"/>
    </row>
    <row r="2602" spans="1:6" ht="25.5" x14ac:dyDescent="0.2">
      <c r="A2602" s="391">
        <v>7032</v>
      </c>
      <c r="B2602" s="478" t="s">
        <v>601</v>
      </c>
      <c r="C2602" s="391" t="s">
        <v>558</v>
      </c>
      <c r="D2602" s="479">
        <v>4.7</v>
      </c>
      <c r="E2602" s="368"/>
      <c r="F2602" s="368"/>
    </row>
    <row r="2603" spans="1:6" ht="25.5" x14ac:dyDescent="0.2">
      <c r="A2603" s="391">
        <v>7033</v>
      </c>
      <c r="B2603" s="478" t="s">
        <v>602</v>
      </c>
      <c r="C2603" s="391" t="s">
        <v>558</v>
      </c>
      <c r="D2603" s="479">
        <v>1.63</v>
      </c>
      <c r="E2603" s="368"/>
      <c r="F2603" s="368"/>
    </row>
    <row r="2604" spans="1:6" ht="25.5" x14ac:dyDescent="0.2">
      <c r="A2604" s="391">
        <v>7034</v>
      </c>
      <c r="B2604" s="478" t="s">
        <v>603</v>
      </c>
      <c r="C2604" s="391" t="s">
        <v>558</v>
      </c>
      <c r="D2604" s="479">
        <v>5.88</v>
      </c>
      <c r="E2604" s="368"/>
      <c r="F2604" s="368"/>
    </row>
    <row r="2605" spans="1:6" ht="25.5" x14ac:dyDescent="0.2">
      <c r="A2605" s="391">
        <v>7035</v>
      </c>
      <c r="B2605" s="478" t="s">
        <v>604</v>
      </c>
      <c r="C2605" s="391" t="s">
        <v>558</v>
      </c>
      <c r="D2605" s="479">
        <v>271.74</v>
      </c>
      <c r="E2605" s="368"/>
      <c r="F2605" s="368"/>
    </row>
    <row r="2606" spans="1:6" ht="38.25" x14ac:dyDescent="0.2">
      <c r="A2606" s="391">
        <v>102942</v>
      </c>
      <c r="B2606" s="478" t="s">
        <v>40958</v>
      </c>
      <c r="C2606" s="391" t="s">
        <v>558</v>
      </c>
      <c r="D2606" s="479">
        <v>0</v>
      </c>
      <c r="E2606" s="368"/>
      <c r="F2606" s="368"/>
    </row>
    <row r="2607" spans="1:6" ht="38.25" x14ac:dyDescent="0.2">
      <c r="A2607" s="391">
        <v>102943</v>
      </c>
      <c r="B2607" s="478" t="s">
        <v>40959</v>
      </c>
      <c r="C2607" s="391" t="s">
        <v>558</v>
      </c>
      <c r="D2607" s="479">
        <v>0</v>
      </c>
      <c r="E2607" s="368"/>
      <c r="F2607" s="368"/>
    </row>
    <row r="2608" spans="1:6" ht="38.25" x14ac:dyDescent="0.2">
      <c r="A2608" s="391">
        <v>102944</v>
      </c>
      <c r="B2608" s="478" t="s">
        <v>40960</v>
      </c>
      <c r="C2608" s="391" t="s">
        <v>558</v>
      </c>
      <c r="D2608" s="479">
        <v>0</v>
      </c>
      <c r="E2608" s="368"/>
      <c r="F2608" s="368"/>
    </row>
    <row r="2609" spans="1:6" ht="38.25" x14ac:dyDescent="0.2">
      <c r="A2609" s="391">
        <v>102945</v>
      </c>
      <c r="B2609" s="478" t="s">
        <v>1129</v>
      </c>
      <c r="C2609" s="391" t="s">
        <v>558</v>
      </c>
      <c r="D2609" s="479">
        <v>0.01</v>
      </c>
      <c r="E2609" s="368"/>
      <c r="F2609" s="368"/>
    </row>
    <row r="2610" spans="1:6" ht="25.5" x14ac:dyDescent="0.2">
      <c r="A2610" s="391">
        <v>104087</v>
      </c>
      <c r="B2610" s="478" t="s">
        <v>1146</v>
      </c>
      <c r="C2610" s="391" t="s">
        <v>558</v>
      </c>
      <c r="D2610" s="479">
        <v>0.08</v>
      </c>
      <c r="E2610" s="368"/>
      <c r="F2610" s="368"/>
    </row>
    <row r="2611" spans="1:6" ht="25.5" x14ac:dyDescent="0.2">
      <c r="A2611" s="391">
        <v>104088</v>
      </c>
      <c r="B2611" s="478" t="s">
        <v>1147</v>
      </c>
      <c r="C2611" s="391" t="s">
        <v>558</v>
      </c>
      <c r="D2611" s="479">
        <v>0.01</v>
      </c>
      <c r="E2611" s="368"/>
      <c r="F2611" s="368"/>
    </row>
    <row r="2612" spans="1:6" ht="25.5" x14ac:dyDescent="0.2">
      <c r="A2612" s="391">
        <v>104089</v>
      </c>
      <c r="B2612" s="478" t="s">
        <v>1148</v>
      </c>
      <c r="C2612" s="391" t="s">
        <v>558</v>
      </c>
      <c r="D2612" s="479">
        <v>0.1</v>
      </c>
      <c r="E2612" s="368"/>
      <c r="F2612" s="368"/>
    </row>
    <row r="2613" spans="1:6" ht="38.25" x14ac:dyDescent="0.2">
      <c r="A2613" s="391">
        <v>104090</v>
      </c>
      <c r="B2613" s="478" t="s">
        <v>1149</v>
      </c>
      <c r="C2613" s="391" t="s">
        <v>558</v>
      </c>
      <c r="D2613" s="479">
        <v>0.62</v>
      </c>
      <c r="E2613" s="368"/>
      <c r="F2613" s="368"/>
    </row>
    <row r="2614" spans="1:6" ht="25.5" x14ac:dyDescent="0.2">
      <c r="A2614" s="391">
        <v>104093</v>
      </c>
      <c r="B2614" s="478" t="s">
        <v>1150</v>
      </c>
      <c r="C2614" s="391" t="s">
        <v>558</v>
      </c>
      <c r="D2614" s="479">
        <v>0.12</v>
      </c>
      <c r="E2614" s="368"/>
      <c r="F2614" s="368"/>
    </row>
    <row r="2615" spans="1:6" ht="25.5" x14ac:dyDescent="0.2">
      <c r="A2615" s="391">
        <v>104094</v>
      </c>
      <c r="B2615" s="478" t="s">
        <v>1151</v>
      </c>
      <c r="C2615" s="391" t="s">
        <v>558</v>
      </c>
      <c r="D2615" s="479">
        <v>0.02</v>
      </c>
      <c r="E2615" s="368"/>
      <c r="F2615" s="368"/>
    </row>
    <row r="2616" spans="1:6" ht="25.5" x14ac:dyDescent="0.2">
      <c r="A2616" s="391">
        <v>104095</v>
      </c>
      <c r="B2616" s="478" t="s">
        <v>1152</v>
      </c>
      <c r="C2616" s="391" t="s">
        <v>558</v>
      </c>
      <c r="D2616" s="479">
        <v>0.15</v>
      </c>
      <c r="E2616" s="368"/>
      <c r="F2616" s="368"/>
    </row>
    <row r="2617" spans="1:6" ht="38.25" x14ac:dyDescent="0.2">
      <c r="A2617" s="391">
        <v>104096</v>
      </c>
      <c r="B2617" s="478" t="s">
        <v>1153</v>
      </c>
      <c r="C2617" s="391" t="s">
        <v>558</v>
      </c>
      <c r="D2617" s="479">
        <v>0.86</v>
      </c>
      <c r="E2617" s="368"/>
      <c r="F2617" s="368"/>
    </row>
    <row r="2618" spans="1:6" ht="25.5" x14ac:dyDescent="0.2">
      <c r="A2618" s="391">
        <v>102900</v>
      </c>
      <c r="B2618" s="478" t="s">
        <v>47608</v>
      </c>
      <c r="C2618" s="391" t="s">
        <v>558</v>
      </c>
      <c r="D2618" s="479">
        <v>0</v>
      </c>
      <c r="E2618" s="368"/>
      <c r="F2618" s="368"/>
    </row>
    <row r="2619" spans="1:6" ht="25.5" x14ac:dyDescent="0.2">
      <c r="A2619" s="391">
        <v>102901</v>
      </c>
      <c r="B2619" s="478" t="s">
        <v>47609</v>
      </c>
      <c r="C2619" s="391" t="s">
        <v>558</v>
      </c>
      <c r="D2619" s="479">
        <v>0</v>
      </c>
      <c r="E2619" s="368"/>
      <c r="F2619" s="368"/>
    </row>
    <row r="2620" spans="1:6" ht="25.5" x14ac:dyDescent="0.2">
      <c r="A2620" s="391">
        <v>102902</v>
      </c>
      <c r="B2620" s="478" t="s">
        <v>47610</v>
      </c>
      <c r="C2620" s="391" t="s">
        <v>558</v>
      </c>
      <c r="D2620" s="479">
        <v>0</v>
      </c>
      <c r="E2620" s="368"/>
      <c r="F2620" s="368"/>
    </row>
    <row r="2621" spans="1:6" ht="25.5" x14ac:dyDescent="0.2">
      <c r="A2621" s="391">
        <v>102903</v>
      </c>
      <c r="B2621" s="478" t="s">
        <v>47611</v>
      </c>
      <c r="C2621" s="391" t="s">
        <v>558</v>
      </c>
      <c r="D2621" s="479">
        <v>12.36</v>
      </c>
      <c r="E2621" s="368"/>
      <c r="F2621" s="368"/>
    </row>
    <row r="2622" spans="1:6" ht="25.5" x14ac:dyDescent="0.2">
      <c r="A2622" s="391">
        <v>89029</v>
      </c>
      <c r="B2622" s="478" t="s">
        <v>726</v>
      </c>
      <c r="C2622" s="391" t="s">
        <v>558</v>
      </c>
      <c r="D2622" s="479">
        <v>33.58</v>
      </c>
      <c r="E2622" s="368"/>
      <c r="F2622" s="368"/>
    </row>
    <row r="2623" spans="1:6" ht="25.5" x14ac:dyDescent="0.2">
      <c r="A2623" s="391">
        <v>89030</v>
      </c>
      <c r="B2623" s="478" t="s">
        <v>727</v>
      </c>
      <c r="C2623" s="391" t="s">
        <v>558</v>
      </c>
      <c r="D2623" s="479">
        <v>14.79</v>
      </c>
      <c r="E2623" s="368"/>
      <c r="F2623" s="368"/>
    </row>
    <row r="2624" spans="1:6" ht="25.5" x14ac:dyDescent="0.2">
      <c r="A2624" s="391">
        <v>5724</v>
      </c>
      <c r="B2624" s="478" t="s">
        <v>581</v>
      </c>
      <c r="C2624" s="391" t="s">
        <v>558</v>
      </c>
      <c r="D2624" s="479">
        <v>60.04</v>
      </c>
      <c r="E2624" s="368"/>
      <c r="F2624" s="368"/>
    </row>
    <row r="2625" spans="1:6" ht="25.5" x14ac:dyDescent="0.2">
      <c r="A2625" s="391">
        <v>53817</v>
      </c>
      <c r="B2625" s="478" t="s">
        <v>633</v>
      </c>
      <c r="C2625" s="391" t="s">
        <v>558</v>
      </c>
      <c r="D2625" s="479">
        <v>66.180000000000007</v>
      </c>
      <c r="E2625" s="368"/>
      <c r="F2625" s="368"/>
    </row>
    <row r="2626" spans="1:6" ht="25.5" x14ac:dyDescent="0.2">
      <c r="A2626" s="391">
        <v>88839</v>
      </c>
      <c r="B2626" s="478" t="s">
        <v>692</v>
      </c>
      <c r="C2626" s="391" t="s">
        <v>558</v>
      </c>
      <c r="D2626" s="479">
        <v>35.15</v>
      </c>
      <c r="E2626" s="368"/>
      <c r="F2626" s="368"/>
    </row>
    <row r="2627" spans="1:6" ht="25.5" x14ac:dyDescent="0.2">
      <c r="A2627" s="391">
        <v>88840</v>
      </c>
      <c r="B2627" s="478" t="s">
        <v>693</v>
      </c>
      <c r="C2627" s="391" t="s">
        <v>558</v>
      </c>
      <c r="D2627" s="479">
        <v>15.48</v>
      </c>
      <c r="E2627" s="368"/>
      <c r="F2627" s="368"/>
    </row>
    <row r="2628" spans="1:6" ht="25.5" x14ac:dyDescent="0.2">
      <c r="A2628" s="391">
        <v>88841</v>
      </c>
      <c r="B2628" s="478" t="s">
        <v>694</v>
      </c>
      <c r="C2628" s="391" t="s">
        <v>558</v>
      </c>
      <c r="D2628" s="479">
        <v>62.84</v>
      </c>
      <c r="E2628" s="368"/>
      <c r="F2628" s="368"/>
    </row>
    <row r="2629" spans="1:6" ht="25.5" x14ac:dyDescent="0.2">
      <c r="A2629" s="391">
        <v>88842</v>
      </c>
      <c r="B2629" s="478" t="s">
        <v>695</v>
      </c>
      <c r="C2629" s="391" t="s">
        <v>558</v>
      </c>
      <c r="D2629" s="479">
        <v>82.8</v>
      </c>
      <c r="E2629" s="368"/>
      <c r="F2629" s="368"/>
    </row>
    <row r="2630" spans="1:6" ht="25.5" x14ac:dyDescent="0.2">
      <c r="A2630" s="391">
        <v>89009</v>
      </c>
      <c r="B2630" s="478" t="s">
        <v>710</v>
      </c>
      <c r="C2630" s="391" t="s">
        <v>558</v>
      </c>
      <c r="D2630" s="479">
        <v>43.54</v>
      </c>
      <c r="E2630" s="368"/>
      <c r="F2630" s="368"/>
    </row>
    <row r="2631" spans="1:6" ht="25.5" x14ac:dyDescent="0.2">
      <c r="A2631" s="391">
        <v>89010</v>
      </c>
      <c r="B2631" s="478" t="s">
        <v>711</v>
      </c>
      <c r="C2631" s="391" t="s">
        <v>558</v>
      </c>
      <c r="D2631" s="479">
        <v>19.18</v>
      </c>
      <c r="E2631" s="368"/>
      <c r="F2631" s="368"/>
    </row>
    <row r="2632" spans="1:6" ht="25.5" x14ac:dyDescent="0.2">
      <c r="A2632" s="391">
        <v>53810</v>
      </c>
      <c r="B2632" s="478" t="s">
        <v>631</v>
      </c>
      <c r="C2632" s="391" t="s">
        <v>558</v>
      </c>
      <c r="D2632" s="479">
        <v>77.84</v>
      </c>
      <c r="E2632" s="368"/>
      <c r="F2632" s="368"/>
    </row>
    <row r="2633" spans="1:6" ht="38.25" x14ac:dyDescent="0.2">
      <c r="A2633" s="391">
        <v>5721</v>
      </c>
      <c r="B2633" s="478" t="s">
        <v>579</v>
      </c>
      <c r="C2633" s="391" t="s">
        <v>558</v>
      </c>
      <c r="D2633" s="479">
        <v>99.34</v>
      </c>
      <c r="E2633" s="368"/>
      <c r="F2633" s="368"/>
    </row>
    <row r="2634" spans="1:6" ht="25.5" x14ac:dyDescent="0.2">
      <c r="A2634" s="391">
        <v>89017</v>
      </c>
      <c r="B2634" s="478" t="s">
        <v>718</v>
      </c>
      <c r="C2634" s="391" t="s">
        <v>558</v>
      </c>
      <c r="D2634" s="479">
        <v>43.27</v>
      </c>
      <c r="E2634" s="368"/>
      <c r="F2634" s="368"/>
    </row>
    <row r="2635" spans="1:6" ht="25.5" x14ac:dyDescent="0.2">
      <c r="A2635" s="391">
        <v>89018</v>
      </c>
      <c r="B2635" s="478" t="s">
        <v>719</v>
      </c>
      <c r="C2635" s="391" t="s">
        <v>558</v>
      </c>
      <c r="D2635" s="479">
        <v>19.059999999999999</v>
      </c>
      <c r="E2635" s="368"/>
      <c r="F2635" s="368"/>
    </row>
    <row r="2636" spans="1:6" ht="25.5" x14ac:dyDescent="0.2">
      <c r="A2636" s="391">
        <v>53806</v>
      </c>
      <c r="B2636" s="478" t="s">
        <v>630</v>
      </c>
      <c r="C2636" s="391" t="s">
        <v>558</v>
      </c>
      <c r="D2636" s="479">
        <v>77.36</v>
      </c>
      <c r="E2636" s="368"/>
      <c r="F2636" s="368"/>
    </row>
    <row r="2637" spans="1:6" ht="25.5" x14ac:dyDescent="0.2">
      <c r="A2637" s="391">
        <v>5718</v>
      </c>
      <c r="B2637" s="478" t="s">
        <v>578</v>
      </c>
      <c r="C2637" s="391" t="s">
        <v>558</v>
      </c>
      <c r="D2637" s="479">
        <v>112.59</v>
      </c>
      <c r="E2637" s="368"/>
      <c r="F2637" s="368"/>
    </row>
    <row r="2638" spans="1:6" ht="25.5" x14ac:dyDescent="0.2">
      <c r="A2638" s="391">
        <v>89013</v>
      </c>
      <c r="B2638" s="478" t="s">
        <v>714</v>
      </c>
      <c r="C2638" s="391" t="s">
        <v>558</v>
      </c>
      <c r="D2638" s="479">
        <v>142.61000000000001</v>
      </c>
      <c r="E2638" s="368"/>
      <c r="F2638" s="368"/>
    </row>
    <row r="2639" spans="1:6" ht="25.5" x14ac:dyDescent="0.2">
      <c r="A2639" s="391">
        <v>89014</v>
      </c>
      <c r="B2639" s="478" t="s">
        <v>715</v>
      </c>
      <c r="C2639" s="391" t="s">
        <v>558</v>
      </c>
      <c r="D2639" s="479">
        <v>62.82</v>
      </c>
      <c r="E2639" s="368"/>
      <c r="F2639" s="368"/>
    </row>
    <row r="2640" spans="1:6" ht="25.5" x14ac:dyDescent="0.2">
      <c r="A2640" s="391">
        <v>53814</v>
      </c>
      <c r="B2640" s="478" t="s">
        <v>632</v>
      </c>
      <c r="C2640" s="391" t="s">
        <v>558</v>
      </c>
      <c r="D2640" s="479">
        <v>254.96</v>
      </c>
      <c r="E2640" s="368"/>
      <c r="F2640" s="368"/>
    </row>
    <row r="2641" spans="1:6" ht="25.5" x14ac:dyDescent="0.2">
      <c r="A2641" s="391">
        <v>5722</v>
      </c>
      <c r="B2641" s="478" t="s">
        <v>580</v>
      </c>
      <c r="C2641" s="391" t="s">
        <v>558</v>
      </c>
      <c r="D2641" s="479">
        <v>229.76</v>
      </c>
      <c r="E2641" s="368"/>
      <c r="F2641" s="368"/>
    </row>
    <row r="2642" spans="1:6" ht="25.5" x14ac:dyDescent="0.2">
      <c r="A2642" s="391">
        <v>96015</v>
      </c>
      <c r="B2642" s="478" t="s">
        <v>1070</v>
      </c>
      <c r="C2642" s="391" t="s">
        <v>558</v>
      </c>
      <c r="D2642" s="479">
        <v>22.72</v>
      </c>
      <c r="E2642" s="368"/>
      <c r="F2642" s="368"/>
    </row>
    <row r="2643" spans="1:6" ht="25.5" x14ac:dyDescent="0.2">
      <c r="A2643" s="391">
        <v>96016</v>
      </c>
      <c r="B2643" s="478" t="s">
        <v>1071</v>
      </c>
      <c r="C2643" s="391" t="s">
        <v>558</v>
      </c>
      <c r="D2643" s="479">
        <v>6.09</v>
      </c>
      <c r="E2643" s="368"/>
      <c r="F2643" s="368"/>
    </row>
    <row r="2644" spans="1:6" ht="25.5" x14ac:dyDescent="0.2">
      <c r="A2644" s="391">
        <v>96018</v>
      </c>
      <c r="B2644" s="478" t="s">
        <v>1072</v>
      </c>
      <c r="C2644" s="391" t="s">
        <v>558</v>
      </c>
      <c r="D2644" s="479">
        <v>24.85</v>
      </c>
      <c r="E2644" s="368"/>
      <c r="F2644" s="368"/>
    </row>
    <row r="2645" spans="1:6" ht="25.5" x14ac:dyDescent="0.2">
      <c r="A2645" s="391">
        <v>96019</v>
      </c>
      <c r="B2645" s="478" t="s">
        <v>1073</v>
      </c>
      <c r="C2645" s="391" t="s">
        <v>558</v>
      </c>
      <c r="D2645" s="479">
        <v>102.45</v>
      </c>
      <c r="E2645" s="368"/>
      <c r="F2645" s="368"/>
    </row>
    <row r="2646" spans="1:6" ht="25.5" x14ac:dyDescent="0.2">
      <c r="A2646" s="391">
        <v>96008</v>
      </c>
      <c r="B2646" s="478" t="s">
        <v>1066</v>
      </c>
      <c r="C2646" s="391" t="s">
        <v>558</v>
      </c>
      <c r="D2646" s="479">
        <v>22.93</v>
      </c>
      <c r="E2646" s="368"/>
      <c r="F2646" s="368"/>
    </row>
    <row r="2647" spans="1:6" ht="25.5" x14ac:dyDescent="0.2">
      <c r="A2647" s="391">
        <v>96009</v>
      </c>
      <c r="B2647" s="478" t="s">
        <v>1067</v>
      </c>
      <c r="C2647" s="391" t="s">
        <v>558</v>
      </c>
      <c r="D2647" s="479">
        <v>6.15</v>
      </c>
      <c r="E2647" s="368"/>
      <c r="F2647" s="368"/>
    </row>
    <row r="2648" spans="1:6" ht="25.5" x14ac:dyDescent="0.2">
      <c r="A2648" s="391">
        <v>96011</v>
      </c>
      <c r="B2648" s="478" t="s">
        <v>1068</v>
      </c>
      <c r="C2648" s="391" t="s">
        <v>558</v>
      </c>
      <c r="D2648" s="479">
        <v>25.08</v>
      </c>
      <c r="E2648" s="368"/>
      <c r="F2648" s="368"/>
    </row>
    <row r="2649" spans="1:6" ht="25.5" x14ac:dyDescent="0.2">
      <c r="A2649" s="391">
        <v>96012</v>
      </c>
      <c r="B2649" s="478" t="s">
        <v>1069</v>
      </c>
      <c r="C2649" s="391" t="s">
        <v>558</v>
      </c>
      <c r="D2649" s="479">
        <v>102.45</v>
      </c>
      <c r="E2649" s="368"/>
      <c r="F2649" s="368"/>
    </row>
    <row r="2650" spans="1:6" ht="25.5" x14ac:dyDescent="0.2">
      <c r="A2650" s="391">
        <v>96023</v>
      </c>
      <c r="B2650" s="478" t="s">
        <v>1074</v>
      </c>
      <c r="C2650" s="391" t="s">
        <v>558</v>
      </c>
      <c r="D2650" s="479">
        <v>17.57</v>
      </c>
      <c r="E2650" s="368"/>
      <c r="F2650" s="368"/>
    </row>
    <row r="2651" spans="1:6" ht="25.5" x14ac:dyDescent="0.2">
      <c r="A2651" s="391">
        <v>96024</v>
      </c>
      <c r="B2651" s="478" t="s">
        <v>1075</v>
      </c>
      <c r="C2651" s="391" t="s">
        <v>558</v>
      </c>
      <c r="D2651" s="479">
        <v>4.7</v>
      </c>
      <c r="E2651" s="368"/>
      <c r="F2651" s="368"/>
    </row>
    <row r="2652" spans="1:6" ht="25.5" x14ac:dyDescent="0.2">
      <c r="A2652" s="391">
        <v>96026</v>
      </c>
      <c r="B2652" s="478" t="s">
        <v>1076</v>
      </c>
      <c r="C2652" s="391" t="s">
        <v>558</v>
      </c>
      <c r="D2652" s="479">
        <v>19.21</v>
      </c>
      <c r="E2652" s="368"/>
      <c r="F2652" s="368"/>
    </row>
    <row r="2653" spans="1:6" ht="25.5" x14ac:dyDescent="0.2">
      <c r="A2653" s="391">
        <v>96027</v>
      </c>
      <c r="B2653" s="478" t="s">
        <v>1077</v>
      </c>
      <c r="C2653" s="391" t="s">
        <v>558</v>
      </c>
      <c r="D2653" s="479">
        <v>71.38</v>
      </c>
      <c r="E2653" s="368"/>
      <c r="F2653" s="368"/>
    </row>
    <row r="2654" spans="1:6" ht="25.5" x14ac:dyDescent="0.2">
      <c r="A2654" s="391">
        <v>96053</v>
      </c>
      <c r="B2654" s="478" t="s">
        <v>1083</v>
      </c>
      <c r="C2654" s="391" t="s">
        <v>558</v>
      </c>
      <c r="D2654" s="479">
        <v>17.78</v>
      </c>
      <c r="E2654" s="368"/>
      <c r="F2654" s="368"/>
    </row>
    <row r="2655" spans="1:6" ht="25.5" x14ac:dyDescent="0.2">
      <c r="A2655" s="391">
        <v>96055</v>
      </c>
      <c r="B2655" s="478" t="s">
        <v>1085</v>
      </c>
      <c r="C2655" s="391" t="s">
        <v>558</v>
      </c>
      <c r="D2655" s="479">
        <v>4.76</v>
      </c>
      <c r="E2655" s="368"/>
      <c r="F2655" s="368"/>
    </row>
    <row r="2656" spans="1:6" ht="25.5" x14ac:dyDescent="0.2">
      <c r="A2656" s="391">
        <v>96056</v>
      </c>
      <c r="B2656" s="478" t="s">
        <v>1086</v>
      </c>
      <c r="C2656" s="391" t="s">
        <v>558</v>
      </c>
      <c r="D2656" s="479">
        <v>19.440000000000001</v>
      </c>
      <c r="E2656" s="368"/>
      <c r="F2656" s="368"/>
    </row>
    <row r="2657" spans="1:6" ht="25.5" x14ac:dyDescent="0.2">
      <c r="A2657" s="391">
        <v>96057</v>
      </c>
      <c r="B2657" s="478" t="s">
        <v>1087</v>
      </c>
      <c r="C2657" s="391" t="s">
        <v>558</v>
      </c>
      <c r="D2657" s="479">
        <v>71.38</v>
      </c>
      <c r="E2657" s="368"/>
      <c r="F2657" s="368"/>
    </row>
    <row r="2658" spans="1:6" ht="25.5" x14ac:dyDescent="0.2">
      <c r="A2658" s="391">
        <v>7063</v>
      </c>
      <c r="B2658" s="478" t="s">
        <v>620</v>
      </c>
      <c r="C2658" s="391" t="s">
        <v>558</v>
      </c>
      <c r="D2658" s="479">
        <v>19.27</v>
      </c>
      <c r="E2658" s="368"/>
      <c r="F2658" s="368"/>
    </row>
    <row r="2659" spans="1:6" ht="25.5" x14ac:dyDescent="0.2">
      <c r="A2659" s="391">
        <v>7064</v>
      </c>
      <c r="B2659" s="478" t="s">
        <v>621</v>
      </c>
      <c r="C2659" s="391" t="s">
        <v>558</v>
      </c>
      <c r="D2659" s="479">
        <v>5.2</v>
      </c>
      <c r="E2659" s="368"/>
      <c r="F2659" s="368"/>
    </row>
    <row r="2660" spans="1:6" ht="25.5" x14ac:dyDescent="0.2">
      <c r="A2660" s="391">
        <v>7065</v>
      </c>
      <c r="B2660" s="478" t="s">
        <v>622</v>
      </c>
      <c r="C2660" s="391" t="s">
        <v>558</v>
      </c>
      <c r="D2660" s="479">
        <v>21.08</v>
      </c>
      <c r="E2660" s="368"/>
      <c r="F2660" s="368"/>
    </row>
    <row r="2661" spans="1:6" ht="25.5" x14ac:dyDescent="0.2">
      <c r="A2661" s="391">
        <v>7066</v>
      </c>
      <c r="B2661" s="478" t="s">
        <v>623</v>
      </c>
      <c r="C2661" s="391" t="s">
        <v>558</v>
      </c>
      <c r="D2661" s="479">
        <v>102.45</v>
      </c>
      <c r="E2661" s="368"/>
      <c r="F2661" s="368"/>
    </row>
    <row r="2662" spans="1:6" ht="25.5" x14ac:dyDescent="0.2">
      <c r="A2662" s="391">
        <v>89033</v>
      </c>
      <c r="B2662" s="478" t="s">
        <v>728</v>
      </c>
      <c r="C2662" s="391" t="s">
        <v>558</v>
      </c>
      <c r="D2662" s="479">
        <v>14.12</v>
      </c>
      <c r="E2662" s="368"/>
      <c r="F2662" s="368"/>
    </row>
    <row r="2663" spans="1:6" ht="25.5" x14ac:dyDescent="0.2">
      <c r="A2663" s="391">
        <v>89034</v>
      </c>
      <c r="B2663" s="478" t="s">
        <v>729</v>
      </c>
      <c r="C2663" s="391" t="s">
        <v>558</v>
      </c>
      <c r="D2663" s="479">
        <v>3.78</v>
      </c>
      <c r="E2663" s="368"/>
      <c r="F2663" s="368"/>
    </row>
    <row r="2664" spans="1:6" ht="25.5" x14ac:dyDescent="0.2">
      <c r="A2664" s="391">
        <v>5714</v>
      </c>
      <c r="B2664" s="478" t="s">
        <v>576</v>
      </c>
      <c r="C2664" s="391" t="s">
        <v>558</v>
      </c>
      <c r="D2664" s="479">
        <v>15.44</v>
      </c>
      <c r="E2664" s="368"/>
      <c r="F2664" s="368"/>
    </row>
    <row r="2665" spans="1:6" ht="25.5" x14ac:dyDescent="0.2">
      <c r="A2665" s="391">
        <v>5715</v>
      </c>
      <c r="B2665" s="478" t="s">
        <v>577</v>
      </c>
      <c r="C2665" s="391" t="s">
        <v>558</v>
      </c>
      <c r="D2665" s="479">
        <v>71.38</v>
      </c>
      <c r="E2665" s="368"/>
      <c r="F2665" s="368"/>
    </row>
    <row r="2666" spans="1:6" x14ac:dyDescent="0.2">
      <c r="A2666" s="391">
        <v>102906</v>
      </c>
      <c r="B2666" s="478" t="s">
        <v>40961</v>
      </c>
      <c r="C2666" s="391" t="s">
        <v>558</v>
      </c>
      <c r="D2666" s="479">
        <v>0</v>
      </c>
      <c r="E2666" s="368"/>
      <c r="F2666" s="368"/>
    </row>
    <row r="2667" spans="1:6" x14ac:dyDescent="0.2">
      <c r="A2667" s="391">
        <v>102907</v>
      </c>
      <c r="B2667" s="478" t="s">
        <v>40962</v>
      </c>
      <c r="C2667" s="391" t="s">
        <v>558</v>
      </c>
      <c r="D2667" s="479">
        <v>0</v>
      </c>
      <c r="E2667" s="368"/>
      <c r="F2667" s="368"/>
    </row>
    <row r="2668" spans="1:6" x14ac:dyDescent="0.2">
      <c r="A2668" s="391">
        <v>102908</v>
      </c>
      <c r="B2668" s="478" t="s">
        <v>40963</v>
      </c>
      <c r="C2668" s="391" t="s">
        <v>558</v>
      </c>
      <c r="D2668" s="479">
        <v>0</v>
      </c>
      <c r="E2668" s="368"/>
      <c r="F2668" s="368"/>
    </row>
    <row r="2669" spans="1:6" ht="25.5" x14ac:dyDescent="0.2">
      <c r="A2669" s="391">
        <v>102909</v>
      </c>
      <c r="B2669" s="478" t="s">
        <v>1124</v>
      </c>
      <c r="C2669" s="391" t="s">
        <v>558</v>
      </c>
      <c r="D2669" s="479">
        <v>3.75</v>
      </c>
      <c r="E2669" s="368"/>
      <c r="F2669" s="368"/>
    </row>
    <row r="2670" spans="1:6" ht="25.5" x14ac:dyDescent="0.2">
      <c r="A2670" s="391">
        <v>93435</v>
      </c>
      <c r="B2670" s="478" t="s">
        <v>1002</v>
      </c>
      <c r="C2670" s="391" t="s">
        <v>558</v>
      </c>
      <c r="D2670" s="479">
        <v>9.27</v>
      </c>
      <c r="E2670" s="368"/>
      <c r="F2670" s="368"/>
    </row>
    <row r="2671" spans="1:6" ht="25.5" x14ac:dyDescent="0.2">
      <c r="A2671" s="391">
        <v>93436</v>
      </c>
      <c r="B2671" s="478" t="s">
        <v>1003</v>
      </c>
      <c r="C2671" s="391" t="s">
        <v>558</v>
      </c>
      <c r="D2671" s="479">
        <v>2.86</v>
      </c>
      <c r="E2671" s="368"/>
      <c r="F2671" s="368"/>
    </row>
    <row r="2672" spans="1:6" ht="25.5" x14ac:dyDescent="0.2">
      <c r="A2672" s="391">
        <v>93437</v>
      </c>
      <c r="B2672" s="478" t="s">
        <v>1004</v>
      </c>
      <c r="C2672" s="391" t="s">
        <v>558</v>
      </c>
      <c r="D2672" s="479">
        <v>10.14</v>
      </c>
      <c r="E2672" s="368"/>
      <c r="F2672" s="368"/>
    </row>
    <row r="2673" spans="1:6" ht="25.5" x14ac:dyDescent="0.2">
      <c r="A2673" s="391">
        <v>93438</v>
      </c>
      <c r="B2673" s="478" t="s">
        <v>1005</v>
      </c>
      <c r="C2673" s="391" t="s">
        <v>558</v>
      </c>
      <c r="D2673" s="479">
        <v>119</v>
      </c>
      <c r="E2673" s="368"/>
      <c r="F2673" s="368"/>
    </row>
    <row r="2674" spans="1:6" ht="25.5" x14ac:dyDescent="0.2">
      <c r="A2674" s="391">
        <v>100643</v>
      </c>
      <c r="B2674" s="478" t="s">
        <v>1104</v>
      </c>
      <c r="C2674" s="391" t="s">
        <v>558</v>
      </c>
      <c r="D2674" s="479">
        <v>415.64</v>
      </c>
      <c r="E2674" s="368"/>
      <c r="F2674" s="368"/>
    </row>
    <row r="2675" spans="1:6" ht="25.5" x14ac:dyDescent="0.2">
      <c r="A2675" s="391">
        <v>100644</v>
      </c>
      <c r="B2675" s="478" t="s">
        <v>1105</v>
      </c>
      <c r="C2675" s="391" t="s">
        <v>558</v>
      </c>
      <c r="D2675" s="479">
        <v>146.51</v>
      </c>
      <c r="E2675" s="368"/>
      <c r="F2675" s="368"/>
    </row>
    <row r="2676" spans="1:6" ht="25.5" x14ac:dyDescent="0.2">
      <c r="A2676" s="391">
        <v>100645</v>
      </c>
      <c r="B2676" s="478" t="s">
        <v>1106</v>
      </c>
      <c r="C2676" s="391" t="s">
        <v>558</v>
      </c>
      <c r="D2676" s="479">
        <v>668.15</v>
      </c>
      <c r="E2676" s="368"/>
      <c r="F2676" s="368"/>
    </row>
    <row r="2677" spans="1:6" ht="25.5" x14ac:dyDescent="0.2">
      <c r="A2677" s="391">
        <v>100646</v>
      </c>
      <c r="B2677" s="478" t="s">
        <v>1107</v>
      </c>
      <c r="C2677" s="391" t="s">
        <v>558</v>
      </c>
      <c r="D2677" s="479">
        <v>5706</v>
      </c>
      <c r="E2677" s="368"/>
      <c r="F2677" s="368"/>
    </row>
    <row r="2678" spans="1:6" ht="25.5" x14ac:dyDescent="0.2">
      <c r="A2678" s="391">
        <v>95116</v>
      </c>
      <c r="B2678" s="478" t="s">
        <v>1008</v>
      </c>
      <c r="C2678" s="391" t="s">
        <v>558</v>
      </c>
      <c r="D2678" s="479">
        <v>32.549999999999997</v>
      </c>
      <c r="E2678" s="368"/>
      <c r="F2678" s="368"/>
    </row>
    <row r="2679" spans="1:6" ht="25.5" x14ac:dyDescent="0.2">
      <c r="A2679" s="391">
        <v>95117</v>
      </c>
      <c r="B2679" s="478" t="s">
        <v>1009</v>
      </c>
      <c r="C2679" s="391" t="s">
        <v>558</v>
      </c>
      <c r="D2679" s="479">
        <v>10.039999999999999</v>
      </c>
      <c r="E2679" s="368"/>
      <c r="F2679" s="368"/>
    </row>
    <row r="2680" spans="1:6" ht="25.5" x14ac:dyDescent="0.2">
      <c r="A2680" s="391">
        <v>53794</v>
      </c>
      <c r="B2680" s="478" t="s">
        <v>627</v>
      </c>
      <c r="C2680" s="391" t="s">
        <v>558</v>
      </c>
      <c r="D2680" s="479">
        <v>35.619999999999997</v>
      </c>
      <c r="E2680" s="368"/>
      <c r="F2680" s="368"/>
    </row>
    <row r="2681" spans="1:6" ht="25.5" x14ac:dyDescent="0.2">
      <c r="A2681" s="391">
        <v>5703</v>
      </c>
      <c r="B2681" s="478" t="s">
        <v>571</v>
      </c>
      <c r="C2681" s="391" t="s">
        <v>558</v>
      </c>
      <c r="D2681" s="479">
        <v>21.89</v>
      </c>
      <c r="E2681" s="368"/>
      <c r="F2681" s="368"/>
    </row>
    <row r="2682" spans="1:6" ht="38.25" x14ac:dyDescent="0.2">
      <c r="A2682" s="391">
        <v>88847</v>
      </c>
      <c r="B2682" s="478" t="s">
        <v>696</v>
      </c>
      <c r="C2682" s="391" t="s">
        <v>558</v>
      </c>
      <c r="D2682" s="479">
        <v>23.71</v>
      </c>
      <c r="E2682" s="368"/>
      <c r="F2682" s="368"/>
    </row>
    <row r="2683" spans="1:6" ht="38.25" x14ac:dyDescent="0.2">
      <c r="A2683" s="391">
        <v>88848</v>
      </c>
      <c r="B2683" s="478" t="s">
        <v>697</v>
      </c>
      <c r="C2683" s="391" t="s">
        <v>558</v>
      </c>
      <c r="D2683" s="479">
        <v>9.75</v>
      </c>
      <c r="E2683" s="368"/>
      <c r="F2683" s="368"/>
    </row>
    <row r="2684" spans="1:6" ht="38.25" x14ac:dyDescent="0.2">
      <c r="A2684" s="391">
        <v>5741</v>
      </c>
      <c r="B2684" s="478" t="s">
        <v>589</v>
      </c>
      <c r="C2684" s="391" t="s">
        <v>558</v>
      </c>
      <c r="D2684" s="479">
        <v>44.46</v>
      </c>
      <c r="E2684" s="368"/>
      <c r="F2684" s="368"/>
    </row>
    <row r="2685" spans="1:6" ht="51" x14ac:dyDescent="0.2">
      <c r="A2685" s="391">
        <v>5742</v>
      </c>
      <c r="B2685" s="478" t="s">
        <v>590</v>
      </c>
      <c r="C2685" s="391" t="s">
        <v>558</v>
      </c>
      <c r="D2685" s="479">
        <v>29.22</v>
      </c>
      <c r="E2685" s="368"/>
      <c r="F2685" s="368"/>
    </row>
    <row r="2686" spans="1:6" ht="25.5" x14ac:dyDescent="0.2">
      <c r="A2686" s="391">
        <v>100637</v>
      </c>
      <c r="B2686" s="478" t="s">
        <v>1100</v>
      </c>
      <c r="C2686" s="391" t="s">
        <v>558</v>
      </c>
      <c r="D2686" s="479">
        <v>202.85</v>
      </c>
      <c r="E2686" s="368"/>
      <c r="F2686" s="368"/>
    </row>
    <row r="2687" spans="1:6" ht="25.5" x14ac:dyDescent="0.2">
      <c r="A2687" s="391">
        <v>100638</v>
      </c>
      <c r="B2687" s="478" t="s">
        <v>1101</v>
      </c>
      <c r="C2687" s="391" t="s">
        <v>558</v>
      </c>
      <c r="D2687" s="479">
        <v>62.35</v>
      </c>
      <c r="E2687" s="368"/>
      <c r="F2687" s="368"/>
    </row>
    <row r="2688" spans="1:6" ht="25.5" x14ac:dyDescent="0.2">
      <c r="A2688" s="391">
        <v>100639</v>
      </c>
      <c r="B2688" s="478" t="s">
        <v>1102</v>
      </c>
      <c r="C2688" s="391" t="s">
        <v>558</v>
      </c>
      <c r="D2688" s="479">
        <v>253.76</v>
      </c>
      <c r="E2688" s="368"/>
      <c r="F2688" s="368"/>
    </row>
    <row r="2689" spans="1:6" ht="25.5" x14ac:dyDescent="0.2">
      <c r="A2689" s="391">
        <v>100640</v>
      </c>
      <c r="B2689" s="478" t="s">
        <v>1103</v>
      </c>
      <c r="C2689" s="391" t="s">
        <v>558</v>
      </c>
      <c r="D2689" s="479">
        <v>4564.8</v>
      </c>
      <c r="E2689" s="368"/>
      <c r="F2689" s="368"/>
    </row>
    <row r="2690" spans="1:6" ht="25.5" x14ac:dyDescent="0.2">
      <c r="A2690" s="391">
        <v>93429</v>
      </c>
      <c r="B2690" s="478" t="s">
        <v>998</v>
      </c>
      <c r="C2690" s="391" t="s">
        <v>558</v>
      </c>
      <c r="D2690" s="479">
        <v>165.14</v>
      </c>
      <c r="E2690" s="368"/>
      <c r="F2690" s="368"/>
    </row>
    <row r="2691" spans="1:6" ht="25.5" x14ac:dyDescent="0.2">
      <c r="A2691" s="391">
        <v>93430</v>
      </c>
      <c r="B2691" s="478" t="s">
        <v>999</v>
      </c>
      <c r="C2691" s="391" t="s">
        <v>558</v>
      </c>
      <c r="D2691" s="479">
        <v>50.76</v>
      </c>
      <c r="E2691" s="368"/>
      <c r="F2691" s="368"/>
    </row>
    <row r="2692" spans="1:6" ht="25.5" x14ac:dyDescent="0.2">
      <c r="A2692" s="391">
        <v>93431</v>
      </c>
      <c r="B2692" s="478" t="s">
        <v>1000</v>
      </c>
      <c r="C2692" s="391" t="s">
        <v>558</v>
      </c>
      <c r="D2692" s="479">
        <v>206.59</v>
      </c>
      <c r="E2692" s="368"/>
      <c r="F2692" s="368"/>
    </row>
    <row r="2693" spans="1:6" ht="25.5" x14ac:dyDescent="0.2">
      <c r="A2693" s="391">
        <v>93432</v>
      </c>
      <c r="B2693" s="478" t="s">
        <v>1001</v>
      </c>
      <c r="C2693" s="391" t="s">
        <v>558</v>
      </c>
      <c r="D2693" s="479">
        <v>2282.4</v>
      </c>
      <c r="E2693" s="368"/>
      <c r="F2693" s="368"/>
    </row>
    <row r="2694" spans="1:6" ht="25.5" x14ac:dyDescent="0.2">
      <c r="A2694" s="391">
        <v>95118</v>
      </c>
      <c r="B2694" s="478" t="s">
        <v>1010</v>
      </c>
      <c r="C2694" s="391" t="s">
        <v>558</v>
      </c>
      <c r="D2694" s="479">
        <v>75.739999999999995</v>
      </c>
      <c r="E2694" s="368"/>
      <c r="F2694" s="368"/>
    </row>
    <row r="2695" spans="1:6" ht="25.5" x14ac:dyDescent="0.2">
      <c r="A2695" s="391">
        <v>95119</v>
      </c>
      <c r="B2695" s="478" t="s">
        <v>1011</v>
      </c>
      <c r="C2695" s="391" t="s">
        <v>558</v>
      </c>
      <c r="D2695" s="479">
        <v>23.36</v>
      </c>
      <c r="E2695" s="368"/>
      <c r="F2695" s="368"/>
    </row>
    <row r="2696" spans="1:6" ht="25.5" x14ac:dyDescent="0.2">
      <c r="A2696" s="391">
        <v>5707</v>
      </c>
      <c r="B2696" s="478" t="s">
        <v>573</v>
      </c>
      <c r="C2696" s="391" t="s">
        <v>558</v>
      </c>
      <c r="D2696" s="479">
        <v>82.86</v>
      </c>
      <c r="E2696" s="368"/>
      <c r="F2696" s="368"/>
    </row>
    <row r="2697" spans="1:6" ht="25.5" x14ac:dyDescent="0.2">
      <c r="A2697" s="391">
        <v>95120</v>
      </c>
      <c r="B2697" s="478" t="s">
        <v>1012</v>
      </c>
      <c r="C2697" s="391" t="s">
        <v>558</v>
      </c>
      <c r="D2697" s="479">
        <v>58.65</v>
      </c>
      <c r="E2697" s="368"/>
      <c r="F2697" s="368"/>
    </row>
    <row r="2698" spans="1:6" ht="25.5" x14ac:dyDescent="0.2">
      <c r="A2698" s="391">
        <v>103657</v>
      </c>
      <c r="B2698" s="478" t="s">
        <v>40964</v>
      </c>
      <c r="C2698" s="391" t="s">
        <v>558</v>
      </c>
      <c r="D2698" s="479">
        <v>0</v>
      </c>
      <c r="E2698" s="368"/>
      <c r="F2698" s="368"/>
    </row>
    <row r="2699" spans="1:6" ht="25.5" x14ac:dyDescent="0.2">
      <c r="A2699" s="391">
        <v>103658</v>
      </c>
      <c r="B2699" s="478" t="s">
        <v>40965</v>
      </c>
      <c r="C2699" s="391" t="s">
        <v>558</v>
      </c>
      <c r="D2699" s="479">
        <v>0</v>
      </c>
      <c r="E2699" s="368"/>
      <c r="F2699" s="368"/>
    </row>
    <row r="2700" spans="1:6" ht="25.5" x14ac:dyDescent="0.2">
      <c r="A2700" s="391">
        <v>103659</v>
      </c>
      <c r="B2700" s="478" t="s">
        <v>40966</v>
      </c>
      <c r="C2700" s="391" t="s">
        <v>558</v>
      </c>
      <c r="D2700" s="479">
        <v>0</v>
      </c>
      <c r="E2700" s="368"/>
      <c r="F2700" s="368"/>
    </row>
    <row r="2701" spans="1:6" ht="25.5" x14ac:dyDescent="0.2">
      <c r="A2701" s="391">
        <v>103660</v>
      </c>
      <c r="B2701" s="478" t="s">
        <v>1143</v>
      </c>
      <c r="C2701" s="391" t="s">
        <v>558</v>
      </c>
      <c r="D2701" s="479">
        <v>12.41</v>
      </c>
      <c r="E2701" s="368"/>
      <c r="F2701" s="368"/>
    </row>
    <row r="2702" spans="1:6" ht="25.5" x14ac:dyDescent="0.2">
      <c r="A2702" s="391">
        <v>89015</v>
      </c>
      <c r="B2702" s="478" t="s">
        <v>716</v>
      </c>
      <c r="C2702" s="391" t="s">
        <v>558</v>
      </c>
      <c r="D2702" s="479">
        <v>3.84</v>
      </c>
      <c r="E2702" s="368"/>
      <c r="F2702" s="368"/>
    </row>
    <row r="2703" spans="1:6" ht="25.5" x14ac:dyDescent="0.2">
      <c r="A2703" s="391">
        <v>89016</v>
      </c>
      <c r="B2703" s="478" t="s">
        <v>717</v>
      </c>
      <c r="C2703" s="391" t="s">
        <v>558</v>
      </c>
      <c r="D2703" s="479">
        <v>1.01</v>
      </c>
      <c r="E2703" s="368"/>
      <c r="F2703" s="368"/>
    </row>
    <row r="2704" spans="1:6" ht="25.5" x14ac:dyDescent="0.2">
      <c r="A2704" s="392">
        <v>53804</v>
      </c>
      <c r="B2704" s="480" t="s">
        <v>629</v>
      </c>
      <c r="C2704" s="392" t="s">
        <v>558</v>
      </c>
      <c r="D2704" s="481">
        <v>4.8</v>
      </c>
      <c r="E2704" s="369"/>
      <c r="F2704" s="369"/>
    </row>
    <row r="2705" spans="1:6" ht="25.5" x14ac:dyDescent="0.2">
      <c r="A2705" s="391">
        <v>90582</v>
      </c>
      <c r="B2705" s="478" t="s">
        <v>791</v>
      </c>
      <c r="C2705" s="391" t="s">
        <v>558</v>
      </c>
      <c r="D2705" s="479">
        <v>0.44</v>
      </c>
      <c r="E2705" s="368"/>
      <c r="F2705" s="368"/>
    </row>
    <row r="2706" spans="1:6" ht="25.5" x14ac:dyDescent="0.2">
      <c r="A2706" s="391">
        <v>90583</v>
      </c>
      <c r="B2706" s="478" t="s">
        <v>792</v>
      </c>
      <c r="C2706" s="391" t="s">
        <v>558</v>
      </c>
      <c r="D2706" s="479">
        <v>0.1</v>
      </c>
      <c r="E2706" s="368"/>
      <c r="F2706" s="368"/>
    </row>
    <row r="2707" spans="1:6" ht="25.5" x14ac:dyDescent="0.2">
      <c r="A2707" s="391">
        <v>90584</v>
      </c>
      <c r="B2707" s="478" t="s">
        <v>793</v>
      </c>
      <c r="C2707" s="391" t="s">
        <v>558</v>
      </c>
      <c r="D2707" s="479">
        <v>0.34</v>
      </c>
      <c r="E2707" s="368"/>
      <c r="F2707" s="368"/>
    </row>
    <row r="2708" spans="1:6" ht="25.5" x14ac:dyDescent="0.2">
      <c r="A2708" s="391">
        <v>90585</v>
      </c>
      <c r="B2708" s="478" t="s">
        <v>794</v>
      </c>
      <c r="C2708" s="391" t="s">
        <v>558</v>
      </c>
      <c r="D2708" s="479">
        <v>0.47</v>
      </c>
      <c r="E2708" s="368"/>
      <c r="F2708" s="368"/>
    </row>
    <row r="2709" spans="1:6" ht="38.25" x14ac:dyDescent="0.2">
      <c r="A2709" s="391">
        <v>89240</v>
      </c>
      <c r="B2709" s="478" t="s">
        <v>754</v>
      </c>
      <c r="C2709" s="391" t="s">
        <v>558</v>
      </c>
      <c r="D2709" s="479">
        <v>83.96</v>
      </c>
      <c r="E2709" s="368"/>
      <c r="F2709" s="368"/>
    </row>
    <row r="2710" spans="1:6" ht="38.25" x14ac:dyDescent="0.2">
      <c r="A2710" s="391">
        <v>89241</v>
      </c>
      <c r="B2710" s="478" t="s">
        <v>755</v>
      </c>
      <c r="C2710" s="391" t="s">
        <v>558</v>
      </c>
      <c r="D2710" s="479">
        <v>29.59</v>
      </c>
      <c r="E2710" s="368"/>
      <c r="F2710" s="368"/>
    </row>
    <row r="2711" spans="1:6" ht="38.25" x14ac:dyDescent="0.2">
      <c r="A2711" s="391">
        <v>5710</v>
      </c>
      <c r="B2711" s="478" t="s">
        <v>574</v>
      </c>
      <c r="C2711" s="391" t="s">
        <v>558</v>
      </c>
      <c r="D2711" s="479">
        <v>134.96</v>
      </c>
      <c r="E2711" s="368"/>
      <c r="F2711" s="368"/>
    </row>
    <row r="2712" spans="1:6" ht="38.25" x14ac:dyDescent="0.2">
      <c r="A2712" s="391">
        <v>5711</v>
      </c>
      <c r="B2712" s="478" t="s">
        <v>575</v>
      </c>
      <c r="C2712" s="391" t="s">
        <v>558</v>
      </c>
      <c r="D2712" s="479">
        <v>94.33</v>
      </c>
      <c r="E2712" s="368"/>
      <c r="F2712" s="368"/>
    </row>
    <row r="2713" spans="1:6" ht="38.25" x14ac:dyDescent="0.2">
      <c r="A2713" s="391">
        <v>89253</v>
      </c>
      <c r="B2713" s="478" t="s">
        <v>760</v>
      </c>
      <c r="C2713" s="391" t="s">
        <v>558</v>
      </c>
      <c r="D2713" s="479">
        <v>68.8</v>
      </c>
      <c r="E2713" s="368"/>
      <c r="F2713" s="368"/>
    </row>
    <row r="2714" spans="1:6" ht="38.25" x14ac:dyDescent="0.2">
      <c r="A2714" s="391">
        <v>89254</v>
      </c>
      <c r="B2714" s="478" t="s">
        <v>761</v>
      </c>
      <c r="C2714" s="391" t="s">
        <v>558</v>
      </c>
      <c r="D2714" s="479">
        <v>24.25</v>
      </c>
      <c r="E2714" s="368"/>
      <c r="F2714" s="368"/>
    </row>
    <row r="2715" spans="1:6" ht="38.25" x14ac:dyDescent="0.2">
      <c r="A2715" s="391">
        <v>89255</v>
      </c>
      <c r="B2715" s="478" t="s">
        <v>762</v>
      </c>
      <c r="C2715" s="391" t="s">
        <v>558</v>
      </c>
      <c r="D2715" s="479">
        <v>110.6</v>
      </c>
      <c r="E2715" s="368"/>
      <c r="F2715" s="368"/>
    </row>
    <row r="2716" spans="1:6" ht="38.25" x14ac:dyDescent="0.2">
      <c r="A2716" s="391">
        <v>89256</v>
      </c>
      <c r="B2716" s="478" t="s">
        <v>763</v>
      </c>
      <c r="C2716" s="391" t="s">
        <v>558</v>
      </c>
      <c r="D2716" s="479">
        <v>89.83</v>
      </c>
      <c r="E2716" s="368"/>
      <c r="F2716" s="368"/>
    </row>
    <row r="2717" spans="1:6" ht="25.5" x14ac:dyDescent="0.2">
      <c r="A2717" s="391">
        <v>103797</v>
      </c>
      <c r="B2717" s="478" t="s">
        <v>2205</v>
      </c>
      <c r="C2717" s="391" t="s">
        <v>1284</v>
      </c>
      <c r="D2717" s="479">
        <v>15.93</v>
      </c>
      <c r="E2717" s="368"/>
      <c r="F2717" s="368"/>
    </row>
    <row r="2718" spans="1:6" ht="51" x14ac:dyDescent="0.2">
      <c r="A2718" s="391">
        <v>103930</v>
      </c>
      <c r="B2718" s="478" t="s">
        <v>2214</v>
      </c>
      <c r="C2718" s="391" t="s">
        <v>271</v>
      </c>
      <c r="D2718" s="479">
        <v>836.79</v>
      </c>
      <c r="E2718" s="368"/>
      <c r="F2718" s="368"/>
    </row>
    <row r="2719" spans="1:6" ht="51" x14ac:dyDescent="0.2">
      <c r="A2719" s="391">
        <v>103931</v>
      </c>
      <c r="B2719" s="478" t="s">
        <v>2215</v>
      </c>
      <c r="C2719" s="391" t="s">
        <v>271</v>
      </c>
      <c r="D2719" s="479">
        <v>595.83000000000004</v>
      </c>
      <c r="E2719" s="368"/>
      <c r="F2719" s="368"/>
    </row>
    <row r="2720" spans="1:6" ht="51" x14ac:dyDescent="0.2">
      <c r="A2720" s="391">
        <v>103932</v>
      </c>
      <c r="B2720" s="478" t="s">
        <v>2216</v>
      </c>
      <c r="C2720" s="391" t="s">
        <v>271</v>
      </c>
      <c r="D2720" s="479">
        <v>560.52</v>
      </c>
      <c r="E2720" s="368"/>
      <c r="F2720" s="368"/>
    </row>
    <row r="2721" spans="1:6" ht="38.25" x14ac:dyDescent="0.2">
      <c r="A2721" s="391">
        <v>103929</v>
      </c>
      <c r="B2721" s="478" t="s">
        <v>2213</v>
      </c>
      <c r="C2721" s="391" t="s">
        <v>271</v>
      </c>
      <c r="D2721" s="479">
        <v>1383.81</v>
      </c>
      <c r="E2721" s="368"/>
      <c r="F2721" s="368"/>
    </row>
    <row r="2722" spans="1:6" ht="38.25" x14ac:dyDescent="0.2">
      <c r="A2722" s="391">
        <v>103928</v>
      </c>
      <c r="B2722" s="478" t="s">
        <v>2212</v>
      </c>
      <c r="C2722" s="391" t="s">
        <v>271</v>
      </c>
      <c r="D2722" s="479">
        <v>518.88</v>
      </c>
      <c r="E2722" s="368"/>
      <c r="F2722" s="368"/>
    </row>
    <row r="2723" spans="1:6" ht="38.25" x14ac:dyDescent="0.2">
      <c r="A2723" s="391">
        <v>103798</v>
      </c>
      <c r="B2723" s="478" t="s">
        <v>2206</v>
      </c>
      <c r="C2723" s="391" t="s">
        <v>271</v>
      </c>
      <c r="D2723" s="479">
        <v>634.72</v>
      </c>
      <c r="E2723" s="368"/>
      <c r="F2723" s="368"/>
    </row>
    <row r="2724" spans="1:6" ht="38.25" x14ac:dyDescent="0.2">
      <c r="A2724" s="391">
        <v>103801</v>
      </c>
      <c r="B2724" s="478" t="s">
        <v>2209</v>
      </c>
      <c r="C2724" s="391" t="s">
        <v>271</v>
      </c>
      <c r="D2724" s="479">
        <v>656.64</v>
      </c>
      <c r="E2724" s="368"/>
      <c r="F2724" s="368"/>
    </row>
    <row r="2725" spans="1:6" ht="38.25" x14ac:dyDescent="0.2">
      <c r="A2725" s="391">
        <v>103933</v>
      </c>
      <c r="B2725" s="478" t="s">
        <v>2217</v>
      </c>
      <c r="C2725" s="391" t="s">
        <v>271</v>
      </c>
      <c r="D2725" s="479">
        <v>1612.4</v>
      </c>
      <c r="E2725" s="368"/>
      <c r="F2725" s="368"/>
    </row>
    <row r="2726" spans="1:6" ht="51" x14ac:dyDescent="0.2">
      <c r="A2726" s="391">
        <v>103925</v>
      </c>
      <c r="B2726" s="478" t="s">
        <v>2210</v>
      </c>
      <c r="C2726" s="391" t="s">
        <v>271</v>
      </c>
      <c r="D2726" s="479">
        <v>1714.63</v>
      </c>
      <c r="E2726" s="368"/>
      <c r="F2726" s="368"/>
    </row>
    <row r="2727" spans="1:6" ht="51" x14ac:dyDescent="0.2">
      <c r="A2727" s="391">
        <v>103926</v>
      </c>
      <c r="B2727" s="478" t="s">
        <v>2211</v>
      </c>
      <c r="C2727" s="391" t="s">
        <v>271</v>
      </c>
      <c r="D2727" s="479">
        <v>1378.6</v>
      </c>
      <c r="E2727" s="368"/>
      <c r="F2727" s="368"/>
    </row>
    <row r="2728" spans="1:6" ht="25.5" x14ac:dyDescent="0.2">
      <c r="A2728" s="391">
        <v>103796</v>
      </c>
      <c r="B2728" s="478" t="s">
        <v>2204</v>
      </c>
      <c r="C2728" s="391" t="s">
        <v>255</v>
      </c>
      <c r="D2728" s="479">
        <v>72.709999999999994</v>
      </c>
      <c r="E2728" s="368"/>
      <c r="F2728" s="368"/>
    </row>
    <row r="2729" spans="1:6" ht="38.25" x14ac:dyDescent="0.2">
      <c r="A2729" s="391">
        <v>103795</v>
      </c>
      <c r="B2729" s="478" t="s">
        <v>2203</v>
      </c>
      <c r="C2729" s="391" t="s">
        <v>255</v>
      </c>
      <c r="D2729" s="479">
        <v>91.16</v>
      </c>
      <c r="E2729" s="368"/>
      <c r="F2729" s="368"/>
    </row>
    <row r="2730" spans="1:6" ht="38.25" x14ac:dyDescent="0.2">
      <c r="A2730" s="391">
        <v>103800</v>
      </c>
      <c r="B2730" s="478" t="s">
        <v>2208</v>
      </c>
      <c r="C2730" s="391" t="s">
        <v>271</v>
      </c>
      <c r="D2730" s="479">
        <v>518.88</v>
      </c>
      <c r="E2730" s="368"/>
      <c r="F2730" s="368"/>
    </row>
    <row r="2731" spans="1:6" ht="51" x14ac:dyDescent="0.2">
      <c r="A2731" s="391">
        <v>103799</v>
      </c>
      <c r="B2731" s="478" t="s">
        <v>2207</v>
      </c>
      <c r="C2731" s="391" t="s">
        <v>271</v>
      </c>
      <c r="D2731" s="479">
        <v>434.54</v>
      </c>
      <c r="E2731" s="368"/>
      <c r="F2731" s="368"/>
    </row>
    <row r="2732" spans="1:6" ht="25.5" x14ac:dyDescent="0.2">
      <c r="A2732" s="391">
        <v>104950</v>
      </c>
      <c r="B2732" s="478" t="s">
        <v>40967</v>
      </c>
      <c r="C2732" s="391" t="s">
        <v>271</v>
      </c>
      <c r="D2732" s="479">
        <v>0</v>
      </c>
      <c r="E2732" s="368"/>
      <c r="F2732" s="368"/>
    </row>
    <row r="2733" spans="1:6" ht="38.25" x14ac:dyDescent="0.2">
      <c r="A2733" s="391">
        <v>104948</v>
      </c>
      <c r="B2733" s="478" t="s">
        <v>4279</v>
      </c>
      <c r="C2733" s="391" t="s">
        <v>271</v>
      </c>
      <c r="D2733" s="479">
        <v>5.23</v>
      </c>
      <c r="E2733" s="368"/>
      <c r="F2733" s="368"/>
    </row>
    <row r="2734" spans="1:6" ht="38.25" x14ac:dyDescent="0.2">
      <c r="A2734" s="391">
        <v>104949</v>
      </c>
      <c r="B2734" s="478" t="s">
        <v>40502</v>
      </c>
      <c r="C2734" s="391" t="s">
        <v>271</v>
      </c>
      <c r="D2734" s="479">
        <v>9.85</v>
      </c>
      <c r="E2734" s="368"/>
      <c r="F2734" s="368"/>
    </row>
    <row r="2735" spans="1:6" ht="38.25" x14ac:dyDescent="0.2">
      <c r="A2735" s="391">
        <v>104947</v>
      </c>
      <c r="B2735" s="478" t="s">
        <v>4278</v>
      </c>
      <c r="C2735" s="391" t="s">
        <v>271</v>
      </c>
      <c r="D2735" s="479">
        <v>11.86</v>
      </c>
      <c r="E2735" s="368"/>
      <c r="F2735" s="368"/>
    </row>
    <row r="2736" spans="1:6" ht="25.5" x14ac:dyDescent="0.2">
      <c r="A2736" s="391">
        <v>104325</v>
      </c>
      <c r="B2736" s="478" t="s">
        <v>40968</v>
      </c>
      <c r="C2736" s="391" t="s">
        <v>26</v>
      </c>
      <c r="D2736" s="479">
        <v>0</v>
      </c>
      <c r="E2736" s="368"/>
      <c r="F2736" s="368"/>
    </row>
    <row r="2737" spans="1:6" ht="25.5" x14ac:dyDescent="0.2">
      <c r="A2737" s="391">
        <v>104318</v>
      </c>
      <c r="B2737" s="478" t="s">
        <v>3830</v>
      </c>
      <c r="C2737" s="391" t="s">
        <v>26</v>
      </c>
      <c r="D2737" s="479">
        <v>7.03</v>
      </c>
      <c r="E2737" s="368"/>
      <c r="F2737" s="368"/>
    </row>
    <row r="2738" spans="1:6" ht="25.5" x14ac:dyDescent="0.2">
      <c r="A2738" s="391">
        <v>89867</v>
      </c>
      <c r="B2738" s="478" t="s">
        <v>3219</v>
      </c>
      <c r="C2738" s="391" t="s">
        <v>26</v>
      </c>
      <c r="D2738" s="479">
        <v>7.9</v>
      </c>
      <c r="E2738" s="368"/>
      <c r="F2738" s="368"/>
    </row>
    <row r="2739" spans="1:6" ht="25.5" x14ac:dyDescent="0.2">
      <c r="A2739" s="391">
        <v>104320</v>
      </c>
      <c r="B2739" s="478" t="s">
        <v>3832</v>
      </c>
      <c r="C2739" s="391" t="s">
        <v>26</v>
      </c>
      <c r="D2739" s="479">
        <v>11.26</v>
      </c>
      <c r="E2739" s="368"/>
      <c r="F2739" s="368"/>
    </row>
    <row r="2740" spans="1:6" ht="25.5" x14ac:dyDescent="0.2">
      <c r="A2740" s="391">
        <v>104317</v>
      </c>
      <c r="B2740" s="478" t="s">
        <v>3829</v>
      </c>
      <c r="C2740" s="391" t="s">
        <v>26</v>
      </c>
      <c r="D2740" s="479">
        <v>6.5</v>
      </c>
      <c r="E2740" s="368"/>
      <c r="F2740" s="368"/>
    </row>
    <row r="2741" spans="1:6" ht="25.5" x14ac:dyDescent="0.2">
      <c r="A2741" s="391">
        <v>89866</v>
      </c>
      <c r="B2741" s="478" t="s">
        <v>3218</v>
      </c>
      <c r="C2741" s="391" t="s">
        <v>26</v>
      </c>
      <c r="D2741" s="479">
        <v>7.13</v>
      </c>
      <c r="E2741" s="368"/>
      <c r="F2741" s="368"/>
    </row>
    <row r="2742" spans="1:6" ht="25.5" x14ac:dyDescent="0.2">
      <c r="A2742" s="391">
        <v>104319</v>
      </c>
      <c r="B2742" s="478" t="s">
        <v>3831</v>
      </c>
      <c r="C2742" s="391" t="s">
        <v>26</v>
      </c>
      <c r="D2742" s="479">
        <v>9.5500000000000007</v>
      </c>
      <c r="E2742" s="368"/>
      <c r="F2742" s="368"/>
    </row>
    <row r="2743" spans="1:6" ht="25.5" x14ac:dyDescent="0.2">
      <c r="A2743" s="391">
        <v>104321</v>
      </c>
      <c r="B2743" s="478" t="s">
        <v>3833</v>
      </c>
      <c r="C2743" s="391" t="s">
        <v>26</v>
      </c>
      <c r="D2743" s="479">
        <v>4.9800000000000004</v>
      </c>
      <c r="E2743" s="368"/>
      <c r="F2743" s="368"/>
    </row>
    <row r="2744" spans="1:6" ht="25.5" x14ac:dyDescent="0.2">
      <c r="A2744" s="391">
        <v>89868</v>
      </c>
      <c r="B2744" s="478" t="s">
        <v>3220</v>
      </c>
      <c r="C2744" s="391" t="s">
        <v>26</v>
      </c>
      <c r="D2744" s="479">
        <v>5.43</v>
      </c>
      <c r="E2744" s="368"/>
      <c r="F2744" s="368"/>
    </row>
    <row r="2745" spans="1:6" ht="25.5" x14ac:dyDescent="0.2">
      <c r="A2745" s="391">
        <v>104322</v>
      </c>
      <c r="B2745" s="478" t="s">
        <v>3834</v>
      </c>
      <c r="C2745" s="391" t="s">
        <v>26</v>
      </c>
      <c r="D2745" s="479">
        <v>7.22</v>
      </c>
      <c r="E2745" s="368"/>
      <c r="F2745" s="368"/>
    </row>
    <row r="2746" spans="1:6" ht="25.5" x14ac:dyDescent="0.2">
      <c r="A2746" s="391">
        <v>104323</v>
      </c>
      <c r="B2746" s="478" t="s">
        <v>3835</v>
      </c>
      <c r="C2746" s="391" t="s">
        <v>26</v>
      </c>
      <c r="D2746" s="479">
        <v>9.08</v>
      </c>
      <c r="E2746" s="368"/>
      <c r="F2746" s="368"/>
    </row>
    <row r="2747" spans="1:6" ht="25.5" x14ac:dyDescent="0.2">
      <c r="A2747" s="391">
        <v>89869</v>
      </c>
      <c r="B2747" s="478" t="s">
        <v>3221</v>
      </c>
      <c r="C2747" s="391" t="s">
        <v>26</v>
      </c>
      <c r="D2747" s="479">
        <v>9.91</v>
      </c>
      <c r="E2747" s="368"/>
      <c r="F2747" s="368"/>
    </row>
    <row r="2748" spans="1:6" ht="25.5" x14ac:dyDescent="0.2">
      <c r="A2748" s="391">
        <v>104324</v>
      </c>
      <c r="B2748" s="478" t="s">
        <v>3836</v>
      </c>
      <c r="C2748" s="391" t="s">
        <v>26</v>
      </c>
      <c r="D2748" s="479">
        <v>13.51</v>
      </c>
      <c r="E2748" s="368"/>
      <c r="F2748" s="368"/>
    </row>
    <row r="2749" spans="1:6" ht="25.5" x14ac:dyDescent="0.2">
      <c r="A2749" s="391">
        <v>104315</v>
      </c>
      <c r="B2749" s="478" t="s">
        <v>39517</v>
      </c>
      <c r="C2749" s="391" t="s">
        <v>0</v>
      </c>
      <c r="D2749" s="479">
        <v>15.63</v>
      </c>
      <c r="E2749" s="368"/>
      <c r="F2749" s="368"/>
    </row>
    <row r="2750" spans="1:6" ht="25.5" x14ac:dyDescent="0.2">
      <c r="A2750" s="391">
        <v>89865</v>
      </c>
      <c r="B2750" s="478" t="s">
        <v>39507</v>
      </c>
      <c r="C2750" s="391" t="s">
        <v>0</v>
      </c>
      <c r="D2750" s="479">
        <v>16.739999999999998</v>
      </c>
      <c r="E2750" s="368"/>
      <c r="F2750" s="368"/>
    </row>
    <row r="2751" spans="1:6" ht="25.5" x14ac:dyDescent="0.2">
      <c r="A2751" s="391">
        <v>104316</v>
      </c>
      <c r="B2751" s="478" t="s">
        <v>39518</v>
      </c>
      <c r="C2751" s="391" t="s">
        <v>0</v>
      </c>
      <c r="D2751" s="479">
        <v>22.62</v>
      </c>
      <c r="E2751" s="368"/>
      <c r="F2751" s="368"/>
    </row>
    <row r="2752" spans="1:6" x14ac:dyDescent="0.2">
      <c r="A2752" s="391">
        <v>102724</v>
      </c>
      <c r="B2752" s="478" t="s">
        <v>1337</v>
      </c>
      <c r="C2752" s="391" t="s">
        <v>26</v>
      </c>
      <c r="D2752" s="479">
        <v>29.9</v>
      </c>
      <c r="E2752" s="368"/>
      <c r="F2752" s="368"/>
    </row>
    <row r="2753" spans="1:6" x14ac:dyDescent="0.2">
      <c r="A2753" s="391">
        <v>102726</v>
      </c>
      <c r="B2753" s="478" t="s">
        <v>1339</v>
      </c>
      <c r="C2753" s="391" t="s">
        <v>26</v>
      </c>
      <c r="D2753" s="479">
        <v>27.31</v>
      </c>
      <c r="E2753" s="368"/>
      <c r="F2753" s="368"/>
    </row>
    <row r="2754" spans="1:6" x14ac:dyDescent="0.2">
      <c r="A2754" s="391">
        <v>102725</v>
      </c>
      <c r="B2754" s="478" t="s">
        <v>1338</v>
      </c>
      <c r="C2754" s="391" t="s">
        <v>26</v>
      </c>
      <c r="D2754" s="479">
        <v>29.3</v>
      </c>
      <c r="E2754" s="368"/>
      <c r="F2754" s="368"/>
    </row>
    <row r="2755" spans="1:6" ht="38.25" x14ac:dyDescent="0.2">
      <c r="A2755" s="391">
        <v>102722</v>
      </c>
      <c r="B2755" s="478" t="s">
        <v>1335</v>
      </c>
      <c r="C2755" s="391" t="s">
        <v>0</v>
      </c>
      <c r="D2755" s="479">
        <v>54.39</v>
      </c>
      <c r="E2755" s="368"/>
      <c r="F2755" s="368"/>
    </row>
    <row r="2756" spans="1:6" ht="38.25" x14ac:dyDescent="0.2">
      <c r="A2756" s="391">
        <v>102721</v>
      </c>
      <c r="B2756" s="478" t="s">
        <v>40969</v>
      </c>
      <c r="C2756" s="391" t="s">
        <v>0</v>
      </c>
      <c r="D2756" s="479">
        <v>0</v>
      </c>
      <c r="E2756" s="368"/>
      <c r="F2756" s="368"/>
    </row>
    <row r="2757" spans="1:6" ht="38.25" x14ac:dyDescent="0.2">
      <c r="A2757" s="391">
        <v>102723</v>
      </c>
      <c r="B2757" s="478" t="s">
        <v>1336</v>
      </c>
      <c r="C2757" s="391" t="s">
        <v>0</v>
      </c>
      <c r="D2757" s="479">
        <v>107.91</v>
      </c>
      <c r="E2757" s="368"/>
      <c r="F2757" s="368"/>
    </row>
    <row r="2758" spans="1:6" ht="38.25" x14ac:dyDescent="0.2">
      <c r="A2758" s="391">
        <v>102690</v>
      </c>
      <c r="B2758" s="478" t="s">
        <v>1318</v>
      </c>
      <c r="C2758" s="391" t="s">
        <v>0</v>
      </c>
      <c r="D2758" s="479">
        <v>66.62</v>
      </c>
      <c r="E2758" s="368"/>
      <c r="F2758" s="368"/>
    </row>
    <row r="2759" spans="1:6" ht="38.25" x14ac:dyDescent="0.2">
      <c r="A2759" s="391">
        <v>102688</v>
      </c>
      <c r="B2759" s="478" t="s">
        <v>1316</v>
      </c>
      <c r="C2759" s="391" t="s">
        <v>0</v>
      </c>
      <c r="D2759" s="479">
        <v>46.84</v>
      </c>
      <c r="E2759" s="368"/>
      <c r="F2759" s="368"/>
    </row>
    <row r="2760" spans="1:6" ht="38.25" x14ac:dyDescent="0.2">
      <c r="A2760" s="391">
        <v>102689</v>
      </c>
      <c r="B2760" s="478" t="s">
        <v>1317</v>
      </c>
      <c r="C2760" s="391" t="s">
        <v>0</v>
      </c>
      <c r="D2760" s="479">
        <v>101.53</v>
      </c>
      <c r="E2760" s="368"/>
      <c r="F2760" s="368"/>
    </row>
    <row r="2761" spans="1:6" ht="38.25" x14ac:dyDescent="0.2">
      <c r="A2761" s="391">
        <v>102693</v>
      </c>
      <c r="B2761" s="478" t="s">
        <v>1319</v>
      </c>
      <c r="C2761" s="391" t="s">
        <v>0</v>
      </c>
      <c r="D2761" s="479">
        <v>121.31</v>
      </c>
      <c r="E2761" s="368"/>
      <c r="F2761" s="368"/>
    </row>
    <row r="2762" spans="1:6" ht="38.25" x14ac:dyDescent="0.2">
      <c r="A2762" s="391">
        <v>102694</v>
      </c>
      <c r="B2762" s="478" t="s">
        <v>1320</v>
      </c>
      <c r="C2762" s="391" t="s">
        <v>0</v>
      </c>
      <c r="D2762" s="479">
        <v>90.23</v>
      </c>
      <c r="E2762" s="368"/>
      <c r="F2762" s="368"/>
    </row>
    <row r="2763" spans="1:6" ht="38.25" x14ac:dyDescent="0.2">
      <c r="A2763" s="391">
        <v>102697</v>
      </c>
      <c r="B2763" s="478" t="s">
        <v>1322</v>
      </c>
      <c r="C2763" s="391" t="s">
        <v>0</v>
      </c>
      <c r="D2763" s="479">
        <v>114.87</v>
      </c>
      <c r="E2763" s="368"/>
      <c r="F2763" s="368"/>
    </row>
    <row r="2764" spans="1:6" ht="38.25" x14ac:dyDescent="0.2">
      <c r="A2764" s="391">
        <v>102696</v>
      </c>
      <c r="B2764" s="478" t="s">
        <v>1321</v>
      </c>
      <c r="C2764" s="391" t="s">
        <v>0</v>
      </c>
      <c r="D2764" s="479">
        <v>144.81</v>
      </c>
      <c r="E2764" s="368"/>
      <c r="F2764" s="368"/>
    </row>
    <row r="2765" spans="1:6" ht="38.25" x14ac:dyDescent="0.2">
      <c r="A2765" s="391">
        <v>102703</v>
      </c>
      <c r="B2765" s="478" t="s">
        <v>1323</v>
      </c>
      <c r="C2765" s="391" t="s">
        <v>0</v>
      </c>
      <c r="D2765" s="479">
        <v>169.46</v>
      </c>
      <c r="E2765" s="368"/>
      <c r="F2765" s="368"/>
    </row>
    <row r="2766" spans="1:6" ht="25.5" x14ac:dyDescent="0.2">
      <c r="A2766" s="391">
        <v>102678</v>
      </c>
      <c r="B2766" s="478" t="s">
        <v>1308</v>
      </c>
      <c r="C2766" s="391" t="s">
        <v>0</v>
      </c>
      <c r="D2766" s="479">
        <v>143.55000000000001</v>
      </c>
      <c r="E2766" s="368"/>
      <c r="F2766" s="368"/>
    </row>
    <row r="2767" spans="1:6" ht="25.5" x14ac:dyDescent="0.2">
      <c r="A2767" s="391">
        <v>102679</v>
      </c>
      <c r="B2767" s="478" t="s">
        <v>1309</v>
      </c>
      <c r="C2767" s="391" t="s">
        <v>0</v>
      </c>
      <c r="D2767" s="479">
        <v>158.32</v>
      </c>
      <c r="E2767" s="368"/>
      <c r="F2767" s="368"/>
    </row>
    <row r="2768" spans="1:6" ht="38.25" x14ac:dyDescent="0.2">
      <c r="A2768" s="391">
        <v>102673</v>
      </c>
      <c r="B2768" s="478" t="s">
        <v>1304</v>
      </c>
      <c r="C2768" s="391" t="s">
        <v>0</v>
      </c>
      <c r="D2768" s="479">
        <v>183.45</v>
      </c>
      <c r="E2768" s="368"/>
      <c r="F2768" s="368"/>
    </row>
    <row r="2769" spans="1:6" ht="25.5" x14ac:dyDescent="0.2">
      <c r="A2769" s="391">
        <v>102677</v>
      </c>
      <c r="B2769" s="478" t="s">
        <v>1307</v>
      </c>
      <c r="C2769" s="391" t="s">
        <v>0</v>
      </c>
      <c r="D2769" s="479">
        <v>175.65</v>
      </c>
      <c r="E2769" s="368"/>
      <c r="F2769" s="368"/>
    </row>
    <row r="2770" spans="1:6" ht="38.25" x14ac:dyDescent="0.2">
      <c r="A2770" s="391">
        <v>102683</v>
      </c>
      <c r="B2770" s="478" t="s">
        <v>1312</v>
      </c>
      <c r="C2770" s="391" t="s">
        <v>0</v>
      </c>
      <c r="D2770" s="479">
        <v>199.75</v>
      </c>
      <c r="E2770" s="368"/>
      <c r="F2770" s="368"/>
    </row>
    <row r="2771" spans="1:6" ht="38.25" x14ac:dyDescent="0.2">
      <c r="A2771" s="391">
        <v>102687</v>
      </c>
      <c r="B2771" s="478" t="s">
        <v>1315</v>
      </c>
      <c r="C2771" s="391" t="s">
        <v>0</v>
      </c>
      <c r="D2771" s="479">
        <v>209.68</v>
      </c>
      <c r="E2771" s="368"/>
      <c r="F2771" s="368"/>
    </row>
    <row r="2772" spans="1:6" ht="38.25" x14ac:dyDescent="0.2">
      <c r="A2772" s="391">
        <v>102670</v>
      </c>
      <c r="B2772" s="478" t="s">
        <v>1302</v>
      </c>
      <c r="C2772" s="391" t="s">
        <v>0</v>
      </c>
      <c r="D2772" s="479">
        <v>124.38</v>
      </c>
      <c r="E2772" s="368"/>
      <c r="F2772" s="368"/>
    </row>
    <row r="2773" spans="1:6" ht="25.5" x14ac:dyDescent="0.2">
      <c r="A2773" s="391">
        <v>102674</v>
      </c>
      <c r="B2773" s="478" t="s">
        <v>1305</v>
      </c>
      <c r="C2773" s="391" t="s">
        <v>0</v>
      </c>
      <c r="D2773" s="479">
        <v>137.56</v>
      </c>
      <c r="E2773" s="368"/>
      <c r="F2773" s="368"/>
    </row>
    <row r="2774" spans="1:6" ht="38.25" x14ac:dyDescent="0.2">
      <c r="A2774" s="391">
        <v>102680</v>
      </c>
      <c r="B2774" s="478" t="s">
        <v>1310</v>
      </c>
      <c r="C2774" s="391" t="s">
        <v>0</v>
      </c>
      <c r="D2774" s="479">
        <v>156.51</v>
      </c>
      <c r="E2774" s="368"/>
      <c r="F2774" s="368"/>
    </row>
    <row r="2775" spans="1:6" ht="38.25" x14ac:dyDescent="0.2">
      <c r="A2775" s="391">
        <v>102684</v>
      </c>
      <c r="B2775" s="478" t="s">
        <v>1313</v>
      </c>
      <c r="C2775" s="391" t="s">
        <v>0</v>
      </c>
      <c r="D2775" s="479">
        <v>171.26</v>
      </c>
      <c r="E2775" s="368"/>
      <c r="F2775" s="368"/>
    </row>
    <row r="2776" spans="1:6" ht="38.25" x14ac:dyDescent="0.2">
      <c r="A2776" s="391">
        <v>102672</v>
      </c>
      <c r="B2776" s="478" t="s">
        <v>1303</v>
      </c>
      <c r="C2776" s="391" t="s">
        <v>0</v>
      </c>
      <c r="D2776" s="479">
        <v>195.35</v>
      </c>
      <c r="E2776" s="368"/>
      <c r="F2776" s="368"/>
    </row>
    <row r="2777" spans="1:6" ht="25.5" x14ac:dyDescent="0.2">
      <c r="A2777" s="391">
        <v>102676</v>
      </c>
      <c r="B2777" s="478" t="s">
        <v>1306</v>
      </c>
      <c r="C2777" s="391" t="s">
        <v>0</v>
      </c>
      <c r="D2777" s="479">
        <v>198.38</v>
      </c>
      <c r="E2777" s="368"/>
      <c r="F2777" s="368"/>
    </row>
    <row r="2778" spans="1:6" ht="38.25" x14ac:dyDescent="0.2">
      <c r="A2778" s="391">
        <v>102681</v>
      </c>
      <c r="B2778" s="478" t="s">
        <v>1311</v>
      </c>
      <c r="C2778" s="391" t="s">
        <v>0</v>
      </c>
      <c r="D2778" s="479">
        <v>217.34</v>
      </c>
      <c r="E2778" s="368"/>
      <c r="F2778" s="368"/>
    </row>
    <row r="2779" spans="1:6" ht="38.25" x14ac:dyDescent="0.2">
      <c r="A2779" s="391">
        <v>102685</v>
      </c>
      <c r="B2779" s="478" t="s">
        <v>1314</v>
      </c>
      <c r="C2779" s="391" t="s">
        <v>0</v>
      </c>
      <c r="D2779" s="479">
        <v>232.1</v>
      </c>
      <c r="E2779" s="368"/>
      <c r="F2779" s="368"/>
    </row>
    <row r="2780" spans="1:6" ht="25.5" x14ac:dyDescent="0.2">
      <c r="A2780" s="391">
        <v>102664</v>
      </c>
      <c r="B2780" s="478" t="s">
        <v>1297</v>
      </c>
      <c r="C2780" s="391" t="s">
        <v>0</v>
      </c>
      <c r="D2780" s="479">
        <v>48.73</v>
      </c>
      <c r="E2780" s="368"/>
      <c r="F2780" s="368"/>
    </row>
    <row r="2781" spans="1:6" ht="25.5" x14ac:dyDescent="0.2">
      <c r="A2781" s="391">
        <v>102665</v>
      </c>
      <c r="B2781" s="478" t="s">
        <v>1298</v>
      </c>
      <c r="C2781" s="391" t="s">
        <v>0</v>
      </c>
      <c r="D2781" s="479">
        <v>26.87</v>
      </c>
      <c r="E2781" s="368"/>
      <c r="F2781" s="368"/>
    </row>
    <row r="2782" spans="1:6" ht="25.5" x14ac:dyDescent="0.2">
      <c r="A2782" s="391">
        <v>102663</v>
      </c>
      <c r="B2782" s="478" t="s">
        <v>1296</v>
      </c>
      <c r="C2782" s="391" t="s">
        <v>0</v>
      </c>
      <c r="D2782" s="479">
        <v>72.650000000000006</v>
      </c>
      <c r="E2782" s="368"/>
      <c r="F2782" s="368"/>
    </row>
    <row r="2783" spans="1:6" ht="38.25" x14ac:dyDescent="0.2">
      <c r="A2783" s="391">
        <v>102669</v>
      </c>
      <c r="B2783" s="478" t="s">
        <v>1301</v>
      </c>
      <c r="C2783" s="391" t="s">
        <v>0</v>
      </c>
      <c r="D2783" s="479">
        <v>92.77</v>
      </c>
      <c r="E2783" s="368"/>
      <c r="F2783" s="368"/>
    </row>
    <row r="2784" spans="1:6" ht="25.5" x14ac:dyDescent="0.2">
      <c r="A2784" s="391">
        <v>102661</v>
      </c>
      <c r="B2784" s="478" t="s">
        <v>1294</v>
      </c>
      <c r="C2784" s="391" t="s">
        <v>0</v>
      </c>
      <c r="D2784" s="479">
        <v>40.659999999999997</v>
      </c>
      <c r="E2784" s="368"/>
      <c r="F2784" s="368"/>
    </row>
    <row r="2785" spans="1:6" ht="38.25" x14ac:dyDescent="0.2">
      <c r="A2785" s="391">
        <v>102666</v>
      </c>
      <c r="B2785" s="478" t="s">
        <v>1299</v>
      </c>
      <c r="C2785" s="391" t="s">
        <v>0</v>
      </c>
      <c r="D2785" s="479">
        <v>60.44</v>
      </c>
      <c r="E2785" s="368"/>
      <c r="F2785" s="368"/>
    </row>
    <row r="2786" spans="1:6" ht="38.25" x14ac:dyDescent="0.2">
      <c r="A2786" s="391">
        <v>102662</v>
      </c>
      <c r="B2786" s="478" t="s">
        <v>1295</v>
      </c>
      <c r="C2786" s="391" t="s">
        <v>0</v>
      </c>
      <c r="D2786" s="479">
        <v>97.94</v>
      </c>
      <c r="E2786" s="368"/>
      <c r="F2786" s="368"/>
    </row>
    <row r="2787" spans="1:6" ht="38.25" x14ac:dyDescent="0.2">
      <c r="A2787" s="391">
        <v>102668</v>
      </c>
      <c r="B2787" s="478" t="s">
        <v>1300</v>
      </c>
      <c r="C2787" s="391" t="s">
        <v>0</v>
      </c>
      <c r="D2787" s="479">
        <v>117.71</v>
      </c>
      <c r="E2787" s="368"/>
      <c r="F2787" s="368"/>
    </row>
    <row r="2788" spans="1:6" x14ac:dyDescent="0.2">
      <c r="A2788" s="391">
        <v>102718</v>
      </c>
      <c r="B2788" s="478" t="s">
        <v>1333</v>
      </c>
      <c r="C2788" s="391" t="s">
        <v>271</v>
      </c>
      <c r="D2788" s="479">
        <v>173.51</v>
      </c>
      <c r="E2788" s="368"/>
      <c r="F2788" s="368"/>
    </row>
    <row r="2789" spans="1:6" x14ac:dyDescent="0.2">
      <c r="A2789" s="391">
        <v>102716</v>
      </c>
      <c r="B2789" s="478" t="s">
        <v>1331</v>
      </c>
      <c r="C2789" s="391" t="s">
        <v>271</v>
      </c>
      <c r="D2789" s="479">
        <v>164.2</v>
      </c>
      <c r="E2789" s="368"/>
      <c r="F2789" s="368"/>
    </row>
    <row r="2790" spans="1:6" x14ac:dyDescent="0.2">
      <c r="A2790" s="391">
        <v>102719</v>
      </c>
      <c r="B2790" s="480" t="s">
        <v>1334</v>
      </c>
      <c r="C2790" s="391" t="s">
        <v>271</v>
      </c>
      <c r="D2790" s="479">
        <v>159.78</v>
      </c>
      <c r="E2790" s="368"/>
      <c r="F2790" s="368"/>
    </row>
    <row r="2791" spans="1:6" x14ac:dyDescent="0.2">
      <c r="A2791" s="391">
        <v>102717</v>
      </c>
      <c r="B2791" s="478" t="s">
        <v>1332</v>
      </c>
      <c r="C2791" s="391" t="s">
        <v>271</v>
      </c>
      <c r="D2791" s="479">
        <v>150.47</v>
      </c>
      <c r="E2791" s="368"/>
      <c r="F2791" s="368"/>
    </row>
    <row r="2792" spans="1:6" ht="25.5" x14ac:dyDescent="0.2">
      <c r="A2792" s="391">
        <v>102720</v>
      </c>
      <c r="B2792" s="478" t="s">
        <v>40970</v>
      </c>
      <c r="C2792" s="391" t="s">
        <v>255</v>
      </c>
      <c r="D2792" s="479">
        <v>0</v>
      </c>
      <c r="E2792" s="368"/>
      <c r="F2792" s="368"/>
    </row>
    <row r="2793" spans="1:6" ht="25.5" x14ac:dyDescent="0.2">
      <c r="A2793" s="391">
        <v>102713</v>
      </c>
      <c r="B2793" s="478" t="s">
        <v>1329</v>
      </c>
      <c r="C2793" s="391" t="s">
        <v>255</v>
      </c>
      <c r="D2793" s="479">
        <v>11.71</v>
      </c>
      <c r="E2793" s="368"/>
      <c r="F2793" s="368"/>
    </row>
    <row r="2794" spans="1:6" ht="25.5" x14ac:dyDescent="0.2">
      <c r="A2794" s="391">
        <v>102715</v>
      </c>
      <c r="B2794" s="478" t="s">
        <v>1330</v>
      </c>
      <c r="C2794" s="391" t="s">
        <v>255</v>
      </c>
      <c r="D2794" s="479">
        <v>23.15</v>
      </c>
      <c r="E2794" s="368"/>
      <c r="F2794" s="368"/>
    </row>
    <row r="2795" spans="1:6" ht="25.5" x14ac:dyDescent="0.2">
      <c r="A2795" s="391">
        <v>103653</v>
      </c>
      <c r="B2795" s="478" t="s">
        <v>1340</v>
      </c>
      <c r="C2795" s="391" t="s">
        <v>255</v>
      </c>
      <c r="D2795" s="479">
        <v>27.64</v>
      </c>
      <c r="E2795" s="368"/>
      <c r="F2795" s="368"/>
    </row>
    <row r="2796" spans="1:6" ht="25.5" x14ac:dyDescent="0.2">
      <c r="A2796" s="391">
        <v>102712</v>
      </c>
      <c r="B2796" s="480" t="s">
        <v>1328</v>
      </c>
      <c r="C2796" s="391" t="s">
        <v>255</v>
      </c>
      <c r="D2796" s="479">
        <v>8.5299999999999994</v>
      </c>
      <c r="E2796" s="368"/>
      <c r="F2796" s="368"/>
    </row>
    <row r="2797" spans="1:6" ht="25.5" x14ac:dyDescent="0.2">
      <c r="A2797" s="391">
        <v>102711</v>
      </c>
      <c r="B2797" s="478" t="s">
        <v>47612</v>
      </c>
      <c r="C2797" s="391" t="s">
        <v>26</v>
      </c>
      <c r="D2797" s="479">
        <v>80.150000000000006</v>
      </c>
      <c r="E2797" s="368"/>
      <c r="F2797" s="368"/>
    </row>
    <row r="2798" spans="1:6" ht="25.5" x14ac:dyDescent="0.2">
      <c r="A2798" s="391">
        <v>102710</v>
      </c>
      <c r="B2798" s="478" t="s">
        <v>1327</v>
      </c>
      <c r="C2798" s="391" t="s">
        <v>26</v>
      </c>
      <c r="D2798" s="479">
        <v>61</v>
      </c>
      <c r="E2798" s="368"/>
      <c r="F2798" s="368"/>
    </row>
    <row r="2799" spans="1:6" ht="25.5" x14ac:dyDescent="0.2">
      <c r="A2799" s="391">
        <v>102709</v>
      </c>
      <c r="B2799" s="478" t="s">
        <v>47613</v>
      </c>
      <c r="C2799" s="391" t="s">
        <v>26</v>
      </c>
      <c r="D2799" s="479">
        <v>0</v>
      </c>
      <c r="E2799" s="368"/>
      <c r="F2799" s="368"/>
    </row>
    <row r="2800" spans="1:6" ht="25.5" x14ac:dyDescent="0.2">
      <c r="A2800" s="391">
        <v>102708</v>
      </c>
      <c r="B2800" s="478" t="s">
        <v>47614</v>
      </c>
      <c r="C2800" s="391" t="s">
        <v>26</v>
      </c>
      <c r="D2800" s="479">
        <v>24.64</v>
      </c>
      <c r="E2800" s="368"/>
      <c r="F2800" s="368"/>
    </row>
    <row r="2801" spans="1:6" ht="25.5" x14ac:dyDescent="0.2">
      <c r="A2801" s="391">
        <v>102707</v>
      </c>
      <c r="B2801" s="478" t="s">
        <v>1326</v>
      </c>
      <c r="C2801" s="391" t="s">
        <v>0</v>
      </c>
      <c r="D2801" s="479">
        <v>49.05</v>
      </c>
      <c r="E2801" s="368"/>
      <c r="F2801" s="368"/>
    </row>
    <row r="2802" spans="1:6" ht="25.5" x14ac:dyDescent="0.2">
      <c r="A2802" s="391">
        <v>102704</v>
      </c>
      <c r="B2802" s="478" t="s">
        <v>1324</v>
      </c>
      <c r="C2802" s="391" t="s">
        <v>0</v>
      </c>
      <c r="D2802" s="479">
        <v>12.61</v>
      </c>
      <c r="E2802" s="368"/>
      <c r="F2802" s="368"/>
    </row>
    <row r="2803" spans="1:6" ht="25.5" x14ac:dyDescent="0.2">
      <c r="A2803" s="391">
        <v>102705</v>
      </c>
      <c r="B2803" s="478" t="s">
        <v>1325</v>
      </c>
      <c r="C2803" s="391" t="s">
        <v>0</v>
      </c>
      <c r="D2803" s="479">
        <v>66.13</v>
      </c>
      <c r="E2803" s="368"/>
      <c r="F2803" s="368"/>
    </row>
    <row r="2804" spans="1:6" ht="25.5" x14ac:dyDescent="0.2">
      <c r="A2804" s="391">
        <v>98333</v>
      </c>
      <c r="B2804" s="478" t="s">
        <v>40971</v>
      </c>
      <c r="C2804" s="391" t="s">
        <v>255</v>
      </c>
      <c r="D2804" s="479">
        <v>0</v>
      </c>
      <c r="E2804" s="368"/>
      <c r="F2804" s="368"/>
    </row>
    <row r="2805" spans="1:6" ht="25.5" x14ac:dyDescent="0.2">
      <c r="A2805" s="391">
        <v>98332</v>
      </c>
      <c r="B2805" s="478" t="s">
        <v>40972</v>
      </c>
      <c r="C2805" s="391" t="s">
        <v>255</v>
      </c>
      <c r="D2805" s="479">
        <v>0</v>
      </c>
      <c r="E2805" s="368"/>
      <c r="F2805" s="368"/>
    </row>
    <row r="2806" spans="1:6" ht="25.5" x14ac:dyDescent="0.2">
      <c r="A2806" s="391">
        <v>98331</v>
      </c>
      <c r="B2806" s="478" t="s">
        <v>40973</v>
      </c>
      <c r="C2806" s="391" t="s">
        <v>255</v>
      </c>
      <c r="D2806" s="479">
        <v>0</v>
      </c>
      <c r="E2806" s="368"/>
      <c r="F2806" s="368"/>
    </row>
    <row r="2807" spans="1:6" ht="25.5" x14ac:dyDescent="0.2">
      <c r="A2807" s="391">
        <v>98327</v>
      </c>
      <c r="B2807" s="478" t="s">
        <v>40974</v>
      </c>
      <c r="C2807" s="391" t="s">
        <v>255</v>
      </c>
      <c r="D2807" s="479">
        <v>0</v>
      </c>
      <c r="E2807" s="368"/>
      <c r="F2807" s="368"/>
    </row>
    <row r="2808" spans="1:6" ht="25.5" x14ac:dyDescent="0.2">
      <c r="A2808" s="391">
        <v>98326</v>
      </c>
      <c r="B2808" s="478" t="s">
        <v>40975</v>
      </c>
      <c r="C2808" s="391" t="s">
        <v>255</v>
      </c>
      <c r="D2808" s="479">
        <v>0</v>
      </c>
      <c r="E2808" s="368"/>
      <c r="F2808" s="368"/>
    </row>
    <row r="2809" spans="1:6" ht="25.5" x14ac:dyDescent="0.2">
      <c r="A2809" s="391">
        <v>98325</v>
      </c>
      <c r="B2809" s="478" t="s">
        <v>40976</v>
      </c>
      <c r="C2809" s="391" t="s">
        <v>255</v>
      </c>
      <c r="D2809" s="479">
        <v>0</v>
      </c>
      <c r="E2809" s="368"/>
      <c r="F2809" s="368"/>
    </row>
    <row r="2810" spans="1:6" ht="25.5" x14ac:dyDescent="0.2">
      <c r="A2810" s="391">
        <v>98370</v>
      </c>
      <c r="B2810" s="478" t="s">
        <v>40977</v>
      </c>
      <c r="C2810" s="391" t="s">
        <v>255</v>
      </c>
      <c r="D2810" s="479">
        <v>0</v>
      </c>
      <c r="E2810" s="368"/>
      <c r="F2810" s="368"/>
    </row>
    <row r="2811" spans="1:6" ht="25.5" x14ac:dyDescent="0.2">
      <c r="A2811" s="391">
        <v>98389</v>
      </c>
      <c r="B2811" s="478" t="s">
        <v>40978</v>
      </c>
      <c r="C2811" s="391" t="s">
        <v>26</v>
      </c>
      <c r="D2811" s="479">
        <v>0</v>
      </c>
      <c r="E2811" s="368"/>
      <c r="F2811" s="368"/>
    </row>
    <row r="2812" spans="1:6" ht="25.5" x14ac:dyDescent="0.2">
      <c r="A2812" s="392">
        <v>98390</v>
      </c>
      <c r="B2812" s="480" t="s">
        <v>40979</v>
      </c>
      <c r="C2812" s="392" t="s">
        <v>26</v>
      </c>
      <c r="D2812" s="481">
        <v>0</v>
      </c>
      <c r="E2812" s="369"/>
      <c r="F2812" s="369"/>
    </row>
    <row r="2813" spans="1:6" ht="25.5" x14ac:dyDescent="0.2">
      <c r="A2813" s="391">
        <v>98391</v>
      </c>
      <c r="B2813" s="478" t="s">
        <v>40980</v>
      </c>
      <c r="C2813" s="391" t="s">
        <v>26</v>
      </c>
      <c r="D2813" s="479">
        <v>0</v>
      </c>
      <c r="E2813" s="368"/>
      <c r="F2813" s="368"/>
    </row>
    <row r="2814" spans="1:6" ht="25.5" x14ac:dyDescent="0.2">
      <c r="A2814" s="391">
        <v>98392</v>
      </c>
      <c r="B2814" s="478" t="s">
        <v>40981</v>
      </c>
      <c r="C2814" s="391" t="s">
        <v>26</v>
      </c>
      <c r="D2814" s="479">
        <v>0</v>
      </c>
      <c r="E2814" s="368"/>
      <c r="F2814" s="368"/>
    </row>
    <row r="2815" spans="1:6" ht="25.5" x14ac:dyDescent="0.2">
      <c r="A2815" s="391">
        <v>98393</v>
      </c>
      <c r="B2815" s="478" t="s">
        <v>40982</v>
      </c>
      <c r="C2815" s="391" t="s">
        <v>26</v>
      </c>
      <c r="D2815" s="479">
        <v>0</v>
      </c>
      <c r="E2815" s="368"/>
      <c r="F2815" s="368"/>
    </row>
    <row r="2816" spans="1:6" ht="25.5" x14ac:dyDescent="0.2">
      <c r="A2816" s="391">
        <v>98394</v>
      </c>
      <c r="B2816" s="478" t="s">
        <v>40983</v>
      </c>
      <c r="C2816" s="391" t="s">
        <v>26</v>
      </c>
      <c r="D2816" s="479">
        <v>0</v>
      </c>
      <c r="E2816" s="368"/>
      <c r="F2816" s="368"/>
    </row>
    <row r="2817" spans="1:6" ht="25.5" x14ac:dyDescent="0.2">
      <c r="A2817" s="391">
        <v>98395</v>
      </c>
      <c r="B2817" s="478" t="s">
        <v>40984</v>
      </c>
      <c r="C2817" s="391" t="s">
        <v>26</v>
      </c>
      <c r="D2817" s="479">
        <v>0</v>
      </c>
      <c r="E2817" s="368"/>
      <c r="F2817" s="368"/>
    </row>
    <row r="2818" spans="1:6" ht="25.5" x14ac:dyDescent="0.2">
      <c r="A2818" s="391">
        <v>98396</v>
      </c>
      <c r="B2818" s="478" t="s">
        <v>40985</v>
      </c>
      <c r="C2818" s="391" t="s">
        <v>26</v>
      </c>
      <c r="D2818" s="479">
        <v>0</v>
      </c>
      <c r="E2818" s="368"/>
      <c r="F2818" s="368"/>
    </row>
    <row r="2819" spans="1:6" ht="38.25" x14ac:dyDescent="0.2">
      <c r="A2819" s="391">
        <v>98369</v>
      </c>
      <c r="B2819" s="478" t="s">
        <v>40986</v>
      </c>
      <c r="C2819" s="391" t="s">
        <v>255</v>
      </c>
      <c r="D2819" s="479">
        <v>0</v>
      </c>
      <c r="E2819" s="368"/>
      <c r="F2819" s="368"/>
    </row>
    <row r="2820" spans="1:6" ht="38.25" x14ac:dyDescent="0.2">
      <c r="A2820" s="392">
        <v>98360</v>
      </c>
      <c r="B2820" s="480" t="s">
        <v>40987</v>
      </c>
      <c r="C2820" s="392" t="s">
        <v>255</v>
      </c>
      <c r="D2820" s="481">
        <v>0</v>
      </c>
      <c r="E2820" s="369"/>
      <c r="F2820" s="369"/>
    </row>
    <row r="2821" spans="1:6" ht="38.25" x14ac:dyDescent="0.2">
      <c r="A2821" s="391">
        <v>98368</v>
      </c>
      <c r="B2821" s="478" t="s">
        <v>40988</v>
      </c>
      <c r="C2821" s="391" t="s">
        <v>255</v>
      </c>
      <c r="D2821" s="479">
        <v>0</v>
      </c>
      <c r="E2821" s="368"/>
      <c r="F2821" s="368"/>
    </row>
    <row r="2822" spans="1:6" ht="38.25" x14ac:dyDescent="0.2">
      <c r="A2822" s="391">
        <v>98359</v>
      </c>
      <c r="B2822" s="478" t="s">
        <v>40989</v>
      </c>
      <c r="C2822" s="391" t="s">
        <v>255</v>
      </c>
      <c r="D2822" s="479">
        <v>0</v>
      </c>
      <c r="E2822" s="368"/>
      <c r="F2822" s="368"/>
    </row>
    <row r="2823" spans="1:6" ht="38.25" x14ac:dyDescent="0.2">
      <c r="A2823" s="391">
        <v>98367</v>
      </c>
      <c r="B2823" s="478" t="s">
        <v>40990</v>
      </c>
      <c r="C2823" s="391" t="s">
        <v>255</v>
      </c>
      <c r="D2823" s="479">
        <v>0</v>
      </c>
      <c r="E2823" s="368"/>
      <c r="F2823" s="368"/>
    </row>
    <row r="2824" spans="1:6" ht="38.25" x14ac:dyDescent="0.2">
      <c r="A2824" s="391">
        <v>98358</v>
      </c>
      <c r="B2824" s="478" t="s">
        <v>40991</v>
      </c>
      <c r="C2824" s="391" t="s">
        <v>255</v>
      </c>
      <c r="D2824" s="479">
        <v>0</v>
      </c>
      <c r="E2824" s="368"/>
      <c r="F2824" s="368"/>
    </row>
    <row r="2825" spans="1:6" ht="38.25" x14ac:dyDescent="0.2">
      <c r="A2825" s="391">
        <v>98352</v>
      </c>
      <c r="B2825" s="478" t="s">
        <v>40992</v>
      </c>
      <c r="C2825" s="391" t="s">
        <v>255</v>
      </c>
      <c r="D2825" s="479">
        <v>0</v>
      </c>
      <c r="E2825" s="368"/>
      <c r="F2825" s="368"/>
    </row>
    <row r="2826" spans="1:6" ht="38.25" x14ac:dyDescent="0.2">
      <c r="A2826" s="391">
        <v>98343</v>
      </c>
      <c r="B2826" s="478" t="s">
        <v>40993</v>
      </c>
      <c r="C2826" s="391" t="s">
        <v>255</v>
      </c>
      <c r="D2826" s="479">
        <v>0</v>
      </c>
      <c r="E2826" s="368"/>
      <c r="F2826" s="368"/>
    </row>
    <row r="2827" spans="1:6" ht="38.25" x14ac:dyDescent="0.2">
      <c r="A2827" s="391">
        <v>98351</v>
      </c>
      <c r="B2827" s="478" t="s">
        <v>40994</v>
      </c>
      <c r="C2827" s="391" t="s">
        <v>255</v>
      </c>
      <c r="D2827" s="479">
        <v>0</v>
      </c>
      <c r="E2827" s="368"/>
      <c r="F2827" s="368"/>
    </row>
    <row r="2828" spans="1:6" ht="38.25" x14ac:dyDescent="0.2">
      <c r="A2828" s="391">
        <v>98342</v>
      </c>
      <c r="B2828" s="478" t="s">
        <v>40995</v>
      </c>
      <c r="C2828" s="391" t="s">
        <v>255</v>
      </c>
      <c r="D2828" s="479">
        <v>0</v>
      </c>
      <c r="E2828" s="368"/>
      <c r="F2828" s="368"/>
    </row>
    <row r="2829" spans="1:6" ht="38.25" x14ac:dyDescent="0.2">
      <c r="A2829" s="391">
        <v>98350</v>
      </c>
      <c r="B2829" s="478" t="s">
        <v>40996</v>
      </c>
      <c r="C2829" s="391" t="s">
        <v>255</v>
      </c>
      <c r="D2829" s="479">
        <v>0</v>
      </c>
      <c r="E2829" s="368"/>
      <c r="F2829" s="368"/>
    </row>
    <row r="2830" spans="1:6" ht="38.25" x14ac:dyDescent="0.2">
      <c r="A2830" s="391">
        <v>98341</v>
      </c>
      <c r="B2830" s="478" t="s">
        <v>40997</v>
      </c>
      <c r="C2830" s="391" t="s">
        <v>255</v>
      </c>
      <c r="D2830" s="479">
        <v>0</v>
      </c>
      <c r="E2830" s="368"/>
      <c r="F2830" s="368"/>
    </row>
    <row r="2831" spans="1:6" ht="25.5" x14ac:dyDescent="0.2">
      <c r="A2831" s="391">
        <v>98381</v>
      </c>
      <c r="B2831" s="478" t="s">
        <v>40998</v>
      </c>
      <c r="C2831" s="391" t="s">
        <v>0</v>
      </c>
      <c r="D2831" s="479">
        <v>0</v>
      </c>
      <c r="E2831" s="368"/>
      <c r="F2831" s="368"/>
    </row>
    <row r="2832" spans="1:6" ht="25.5" x14ac:dyDescent="0.2">
      <c r="A2832" s="391">
        <v>98382</v>
      </c>
      <c r="B2832" s="478" t="s">
        <v>40999</v>
      </c>
      <c r="C2832" s="391" t="s">
        <v>0</v>
      </c>
      <c r="D2832" s="479">
        <v>0</v>
      </c>
      <c r="E2832" s="368"/>
      <c r="F2832" s="368"/>
    </row>
    <row r="2833" spans="1:6" ht="25.5" x14ac:dyDescent="0.2">
      <c r="A2833" s="391">
        <v>98383</v>
      </c>
      <c r="B2833" s="478" t="s">
        <v>41000</v>
      </c>
      <c r="C2833" s="391" t="s">
        <v>0</v>
      </c>
      <c r="D2833" s="479">
        <v>0</v>
      </c>
      <c r="E2833" s="368"/>
      <c r="F2833" s="368"/>
    </row>
    <row r="2834" spans="1:6" ht="25.5" x14ac:dyDescent="0.2">
      <c r="A2834" s="391">
        <v>98384</v>
      </c>
      <c r="B2834" s="478" t="s">
        <v>41001</v>
      </c>
      <c r="C2834" s="391" t="s">
        <v>0</v>
      </c>
      <c r="D2834" s="479">
        <v>0</v>
      </c>
      <c r="E2834" s="368"/>
      <c r="F2834" s="368"/>
    </row>
    <row r="2835" spans="1:6" ht="25.5" x14ac:dyDescent="0.2">
      <c r="A2835" s="391">
        <v>98385</v>
      </c>
      <c r="B2835" s="478" t="s">
        <v>41002</v>
      </c>
      <c r="C2835" s="391" t="s">
        <v>0</v>
      </c>
      <c r="D2835" s="479">
        <v>0</v>
      </c>
      <c r="E2835" s="368"/>
      <c r="F2835" s="368"/>
    </row>
    <row r="2836" spans="1:6" ht="25.5" x14ac:dyDescent="0.2">
      <c r="A2836" s="391">
        <v>98386</v>
      </c>
      <c r="B2836" s="478" t="s">
        <v>41003</v>
      </c>
      <c r="C2836" s="391" t="s">
        <v>0</v>
      </c>
      <c r="D2836" s="479">
        <v>0</v>
      </c>
      <c r="E2836" s="368"/>
      <c r="F2836" s="368"/>
    </row>
    <row r="2837" spans="1:6" ht="25.5" x14ac:dyDescent="0.2">
      <c r="A2837" s="391">
        <v>98387</v>
      </c>
      <c r="B2837" s="478" t="s">
        <v>41004</v>
      </c>
      <c r="C2837" s="391" t="s">
        <v>0</v>
      </c>
      <c r="D2837" s="479">
        <v>0</v>
      </c>
      <c r="E2837" s="368"/>
      <c r="F2837" s="368"/>
    </row>
    <row r="2838" spans="1:6" ht="25.5" x14ac:dyDescent="0.2">
      <c r="A2838" s="391">
        <v>98388</v>
      </c>
      <c r="B2838" s="478" t="s">
        <v>41005</v>
      </c>
      <c r="C2838" s="391" t="s">
        <v>0</v>
      </c>
      <c r="D2838" s="479">
        <v>0</v>
      </c>
      <c r="E2838" s="368"/>
      <c r="F2838" s="368"/>
    </row>
    <row r="2839" spans="1:6" ht="38.25" x14ac:dyDescent="0.2">
      <c r="A2839" s="391">
        <v>98346</v>
      </c>
      <c r="B2839" s="478" t="s">
        <v>41006</v>
      </c>
      <c r="C2839" s="391" t="s">
        <v>255</v>
      </c>
      <c r="D2839" s="479">
        <v>0</v>
      </c>
      <c r="E2839" s="368"/>
      <c r="F2839" s="368"/>
    </row>
    <row r="2840" spans="1:6" ht="38.25" x14ac:dyDescent="0.2">
      <c r="A2840" s="391">
        <v>98363</v>
      </c>
      <c r="B2840" s="478" t="s">
        <v>41007</v>
      </c>
      <c r="C2840" s="391" t="s">
        <v>255</v>
      </c>
      <c r="D2840" s="479">
        <v>0</v>
      </c>
      <c r="E2840" s="368"/>
      <c r="F2840" s="368"/>
    </row>
    <row r="2841" spans="1:6" ht="38.25" x14ac:dyDescent="0.2">
      <c r="A2841" s="391">
        <v>98354</v>
      </c>
      <c r="B2841" s="478" t="s">
        <v>41008</v>
      </c>
      <c r="C2841" s="391" t="s">
        <v>255</v>
      </c>
      <c r="D2841" s="479">
        <v>0</v>
      </c>
      <c r="E2841" s="368"/>
      <c r="F2841" s="368"/>
    </row>
    <row r="2842" spans="1:6" ht="38.25" x14ac:dyDescent="0.2">
      <c r="A2842" s="391">
        <v>98337</v>
      </c>
      <c r="B2842" s="478" t="s">
        <v>41009</v>
      </c>
      <c r="C2842" s="391" t="s">
        <v>255</v>
      </c>
      <c r="D2842" s="479">
        <v>0</v>
      </c>
      <c r="E2842" s="368"/>
      <c r="F2842" s="368"/>
    </row>
    <row r="2843" spans="1:6" ht="38.25" x14ac:dyDescent="0.2">
      <c r="A2843" s="391">
        <v>98345</v>
      </c>
      <c r="B2843" s="478" t="s">
        <v>41010</v>
      </c>
      <c r="C2843" s="391" t="s">
        <v>255</v>
      </c>
      <c r="D2843" s="479">
        <v>0</v>
      </c>
      <c r="E2843" s="368"/>
      <c r="F2843" s="368"/>
    </row>
    <row r="2844" spans="1:6" ht="38.25" x14ac:dyDescent="0.2">
      <c r="A2844" s="391">
        <v>98362</v>
      </c>
      <c r="B2844" s="478" t="s">
        <v>41011</v>
      </c>
      <c r="C2844" s="391" t="s">
        <v>255</v>
      </c>
      <c r="D2844" s="479">
        <v>0</v>
      </c>
      <c r="E2844" s="368"/>
      <c r="F2844" s="368"/>
    </row>
    <row r="2845" spans="1:6" ht="38.25" x14ac:dyDescent="0.2">
      <c r="A2845" s="391">
        <v>98403</v>
      </c>
      <c r="B2845" s="478" t="s">
        <v>41012</v>
      </c>
      <c r="C2845" s="391" t="s">
        <v>255</v>
      </c>
      <c r="D2845" s="479">
        <v>0</v>
      </c>
      <c r="E2845" s="368"/>
      <c r="F2845" s="368"/>
    </row>
    <row r="2846" spans="1:6" ht="38.25" x14ac:dyDescent="0.2">
      <c r="A2846" s="391">
        <v>98335</v>
      </c>
      <c r="B2846" s="478" t="s">
        <v>41013</v>
      </c>
      <c r="C2846" s="391" t="s">
        <v>255</v>
      </c>
      <c r="D2846" s="479">
        <v>0</v>
      </c>
      <c r="E2846" s="368"/>
      <c r="F2846" s="368"/>
    </row>
    <row r="2847" spans="1:6" ht="38.25" x14ac:dyDescent="0.2">
      <c r="A2847" s="391">
        <v>98344</v>
      </c>
      <c r="B2847" s="478" t="s">
        <v>41014</v>
      </c>
      <c r="C2847" s="391" t="s">
        <v>255</v>
      </c>
      <c r="D2847" s="479">
        <v>0</v>
      </c>
      <c r="E2847" s="368"/>
      <c r="F2847" s="368"/>
    </row>
    <row r="2848" spans="1:6" ht="38.25" x14ac:dyDescent="0.2">
      <c r="A2848" s="391">
        <v>98361</v>
      </c>
      <c r="B2848" s="478" t="s">
        <v>41015</v>
      </c>
      <c r="C2848" s="391" t="s">
        <v>255</v>
      </c>
      <c r="D2848" s="479">
        <v>0</v>
      </c>
      <c r="E2848" s="368"/>
      <c r="F2848" s="368"/>
    </row>
    <row r="2849" spans="1:6" ht="38.25" x14ac:dyDescent="0.2">
      <c r="A2849" s="391">
        <v>98353</v>
      </c>
      <c r="B2849" s="478" t="s">
        <v>41016</v>
      </c>
      <c r="C2849" s="391" t="s">
        <v>255</v>
      </c>
      <c r="D2849" s="479">
        <v>0</v>
      </c>
      <c r="E2849" s="368"/>
      <c r="F2849" s="368"/>
    </row>
    <row r="2850" spans="1:6" ht="38.25" x14ac:dyDescent="0.2">
      <c r="A2850" s="391">
        <v>98334</v>
      </c>
      <c r="B2850" s="478" t="s">
        <v>41017</v>
      </c>
      <c r="C2850" s="391" t="s">
        <v>255</v>
      </c>
      <c r="D2850" s="479">
        <v>0</v>
      </c>
      <c r="E2850" s="368"/>
      <c r="F2850" s="368"/>
    </row>
    <row r="2851" spans="1:6" ht="25.5" x14ac:dyDescent="0.2">
      <c r="A2851" s="391">
        <v>98371</v>
      </c>
      <c r="B2851" s="478" t="s">
        <v>41018</v>
      </c>
      <c r="C2851" s="391" t="s">
        <v>255</v>
      </c>
      <c r="D2851" s="479">
        <v>0</v>
      </c>
      <c r="E2851" s="368"/>
      <c r="F2851" s="368"/>
    </row>
    <row r="2852" spans="1:6" x14ac:dyDescent="0.2">
      <c r="A2852" s="391">
        <v>98397</v>
      </c>
      <c r="B2852" s="478" t="s">
        <v>2749</v>
      </c>
      <c r="C2852" s="391" t="s">
        <v>255</v>
      </c>
      <c r="D2852" s="479">
        <v>11.49</v>
      </c>
      <c r="E2852" s="368"/>
      <c r="F2852" s="368"/>
    </row>
    <row r="2853" spans="1:6" ht="38.25" x14ac:dyDescent="0.2">
      <c r="A2853" s="391">
        <v>97280</v>
      </c>
      <c r="B2853" s="478" t="s">
        <v>41019</v>
      </c>
      <c r="C2853" s="391" t="s">
        <v>26</v>
      </c>
      <c r="D2853" s="479">
        <v>0</v>
      </c>
      <c r="E2853" s="368"/>
      <c r="F2853" s="368"/>
    </row>
    <row r="2854" spans="1:6" ht="38.25" x14ac:dyDescent="0.2">
      <c r="A2854" s="391">
        <v>97275</v>
      </c>
      <c r="B2854" s="478" t="s">
        <v>41020</v>
      </c>
      <c r="C2854" s="391" t="s">
        <v>26</v>
      </c>
      <c r="D2854" s="479">
        <v>0</v>
      </c>
      <c r="E2854" s="368"/>
      <c r="F2854" s="368"/>
    </row>
    <row r="2855" spans="1:6" ht="38.25" x14ac:dyDescent="0.2">
      <c r="A2855" s="391">
        <v>97279</v>
      </c>
      <c r="B2855" s="478" t="s">
        <v>41021</v>
      </c>
      <c r="C2855" s="391" t="s">
        <v>26</v>
      </c>
      <c r="D2855" s="479">
        <v>0</v>
      </c>
      <c r="E2855" s="368"/>
      <c r="F2855" s="368"/>
    </row>
    <row r="2856" spans="1:6" ht="38.25" x14ac:dyDescent="0.2">
      <c r="A2856" s="391">
        <v>97285</v>
      </c>
      <c r="B2856" s="478" t="s">
        <v>41022</v>
      </c>
      <c r="C2856" s="391" t="s">
        <v>26</v>
      </c>
      <c r="D2856" s="479">
        <v>0</v>
      </c>
      <c r="E2856" s="368"/>
      <c r="F2856" s="368"/>
    </row>
    <row r="2857" spans="1:6" ht="38.25" x14ac:dyDescent="0.2">
      <c r="A2857" s="391">
        <v>97286</v>
      </c>
      <c r="B2857" s="478" t="s">
        <v>41023</v>
      </c>
      <c r="C2857" s="391" t="s">
        <v>26</v>
      </c>
      <c r="D2857" s="479">
        <v>0</v>
      </c>
      <c r="E2857" s="368"/>
      <c r="F2857" s="368"/>
    </row>
    <row r="2858" spans="1:6" ht="38.25" x14ac:dyDescent="0.2">
      <c r="A2858" s="391">
        <v>97291</v>
      </c>
      <c r="B2858" s="478" t="s">
        <v>41024</v>
      </c>
      <c r="C2858" s="391" t="s">
        <v>26</v>
      </c>
      <c r="D2858" s="479">
        <v>0</v>
      </c>
      <c r="E2858" s="368"/>
      <c r="F2858" s="368"/>
    </row>
    <row r="2859" spans="1:6" ht="38.25" x14ac:dyDescent="0.2">
      <c r="A2859" s="391">
        <v>97292</v>
      </c>
      <c r="B2859" s="478" t="s">
        <v>41025</v>
      </c>
      <c r="C2859" s="391" t="s">
        <v>26</v>
      </c>
      <c r="D2859" s="479">
        <v>0</v>
      </c>
      <c r="E2859" s="368"/>
      <c r="F2859" s="368"/>
    </row>
    <row r="2860" spans="1:6" ht="38.25" x14ac:dyDescent="0.2">
      <c r="A2860" s="391">
        <v>97297</v>
      </c>
      <c r="B2860" s="478" t="s">
        <v>41026</v>
      </c>
      <c r="C2860" s="391" t="s">
        <v>26</v>
      </c>
      <c r="D2860" s="479">
        <v>0</v>
      </c>
      <c r="E2860" s="368"/>
      <c r="F2860" s="368"/>
    </row>
    <row r="2861" spans="1:6" ht="38.25" x14ac:dyDescent="0.2">
      <c r="A2861" s="391">
        <v>97298</v>
      </c>
      <c r="B2861" s="478" t="s">
        <v>41027</v>
      </c>
      <c r="C2861" s="391" t="s">
        <v>26</v>
      </c>
      <c r="D2861" s="479">
        <v>0</v>
      </c>
      <c r="E2861" s="368"/>
      <c r="F2861" s="368"/>
    </row>
    <row r="2862" spans="1:6" ht="38.25" x14ac:dyDescent="0.2">
      <c r="A2862" s="391">
        <v>97303</v>
      </c>
      <c r="B2862" s="478" t="s">
        <v>41028</v>
      </c>
      <c r="C2862" s="391" t="s">
        <v>26</v>
      </c>
      <c r="D2862" s="479">
        <v>0</v>
      </c>
      <c r="E2862" s="368"/>
      <c r="F2862" s="368"/>
    </row>
    <row r="2863" spans="1:6" ht="38.25" x14ac:dyDescent="0.2">
      <c r="A2863" s="391">
        <v>97304</v>
      </c>
      <c r="B2863" s="478" t="s">
        <v>41029</v>
      </c>
      <c r="C2863" s="391" t="s">
        <v>26</v>
      </c>
      <c r="D2863" s="479">
        <v>0</v>
      </c>
      <c r="E2863" s="368"/>
      <c r="F2863" s="368"/>
    </row>
    <row r="2864" spans="1:6" ht="38.25" x14ac:dyDescent="0.2">
      <c r="A2864" s="391">
        <v>97309</v>
      </c>
      <c r="B2864" s="478" t="s">
        <v>41030</v>
      </c>
      <c r="C2864" s="391" t="s">
        <v>26</v>
      </c>
      <c r="D2864" s="479">
        <v>0</v>
      </c>
      <c r="E2864" s="368"/>
      <c r="F2864" s="368"/>
    </row>
    <row r="2865" spans="1:6" ht="38.25" x14ac:dyDescent="0.2">
      <c r="A2865" s="391">
        <v>97310</v>
      </c>
      <c r="B2865" s="478" t="s">
        <v>41031</v>
      </c>
      <c r="C2865" s="391" t="s">
        <v>26</v>
      </c>
      <c r="D2865" s="479">
        <v>0</v>
      </c>
      <c r="E2865" s="368"/>
      <c r="F2865" s="368"/>
    </row>
    <row r="2866" spans="1:6" ht="38.25" x14ac:dyDescent="0.2">
      <c r="A2866" s="391">
        <v>97282</v>
      </c>
      <c r="B2866" s="478" t="s">
        <v>41032</v>
      </c>
      <c r="C2866" s="391" t="s">
        <v>26</v>
      </c>
      <c r="D2866" s="479">
        <v>0</v>
      </c>
      <c r="E2866" s="368"/>
      <c r="F2866" s="368"/>
    </row>
    <row r="2867" spans="1:6" ht="38.25" x14ac:dyDescent="0.2">
      <c r="A2867" s="391">
        <v>97276</v>
      </c>
      <c r="B2867" s="478" t="s">
        <v>41033</v>
      </c>
      <c r="C2867" s="391" t="s">
        <v>26</v>
      </c>
      <c r="D2867" s="479">
        <v>0</v>
      </c>
      <c r="E2867" s="368"/>
      <c r="F2867" s="368"/>
    </row>
    <row r="2868" spans="1:6" ht="38.25" x14ac:dyDescent="0.2">
      <c r="A2868" s="391">
        <v>97281</v>
      </c>
      <c r="B2868" s="478" t="s">
        <v>41034</v>
      </c>
      <c r="C2868" s="391" t="s">
        <v>26</v>
      </c>
      <c r="D2868" s="479">
        <v>0</v>
      </c>
      <c r="E2868" s="368"/>
      <c r="F2868" s="368"/>
    </row>
    <row r="2869" spans="1:6" ht="38.25" x14ac:dyDescent="0.2">
      <c r="A2869" s="391">
        <v>97287</v>
      </c>
      <c r="B2869" s="478" t="s">
        <v>41035</v>
      </c>
      <c r="C2869" s="391" t="s">
        <v>26</v>
      </c>
      <c r="D2869" s="479">
        <v>0</v>
      </c>
      <c r="E2869" s="368"/>
      <c r="F2869" s="368"/>
    </row>
    <row r="2870" spans="1:6" ht="38.25" x14ac:dyDescent="0.2">
      <c r="A2870" s="391">
        <v>97288</v>
      </c>
      <c r="B2870" s="478" t="s">
        <v>41036</v>
      </c>
      <c r="C2870" s="391" t="s">
        <v>26</v>
      </c>
      <c r="D2870" s="479">
        <v>0</v>
      </c>
      <c r="E2870" s="368"/>
      <c r="F2870" s="368"/>
    </row>
    <row r="2871" spans="1:6" ht="38.25" x14ac:dyDescent="0.2">
      <c r="A2871" s="391">
        <v>97293</v>
      </c>
      <c r="B2871" s="478" t="s">
        <v>41037</v>
      </c>
      <c r="C2871" s="391" t="s">
        <v>26</v>
      </c>
      <c r="D2871" s="479">
        <v>0</v>
      </c>
      <c r="E2871" s="368"/>
      <c r="F2871" s="368"/>
    </row>
    <row r="2872" spans="1:6" ht="38.25" x14ac:dyDescent="0.2">
      <c r="A2872" s="391">
        <v>97294</v>
      </c>
      <c r="B2872" s="478" t="s">
        <v>41038</v>
      </c>
      <c r="C2872" s="391" t="s">
        <v>26</v>
      </c>
      <c r="D2872" s="479">
        <v>0</v>
      </c>
      <c r="E2872" s="368"/>
      <c r="F2872" s="368"/>
    </row>
    <row r="2873" spans="1:6" ht="38.25" x14ac:dyDescent="0.2">
      <c r="A2873" s="391">
        <v>97299</v>
      </c>
      <c r="B2873" s="478" t="s">
        <v>41039</v>
      </c>
      <c r="C2873" s="391" t="s">
        <v>26</v>
      </c>
      <c r="D2873" s="479">
        <v>0</v>
      </c>
      <c r="E2873" s="368"/>
      <c r="F2873" s="368"/>
    </row>
    <row r="2874" spans="1:6" ht="38.25" x14ac:dyDescent="0.2">
      <c r="A2874" s="391">
        <v>97300</v>
      </c>
      <c r="B2874" s="478" t="s">
        <v>41040</v>
      </c>
      <c r="C2874" s="391" t="s">
        <v>26</v>
      </c>
      <c r="D2874" s="479">
        <v>0</v>
      </c>
      <c r="E2874" s="368"/>
      <c r="F2874" s="368"/>
    </row>
    <row r="2875" spans="1:6" ht="38.25" x14ac:dyDescent="0.2">
      <c r="A2875" s="391">
        <v>97305</v>
      </c>
      <c r="B2875" s="478" t="s">
        <v>41041</v>
      </c>
      <c r="C2875" s="391" t="s">
        <v>26</v>
      </c>
      <c r="D2875" s="479">
        <v>0</v>
      </c>
      <c r="E2875" s="368"/>
      <c r="F2875" s="368"/>
    </row>
    <row r="2876" spans="1:6" ht="38.25" x14ac:dyDescent="0.2">
      <c r="A2876" s="391">
        <v>97306</v>
      </c>
      <c r="B2876" s="478" t="s">
        <v>41042</v>
      </c>
      <c r="C2876" s="391" t="s">
        <v>26</v>
      </c>
      <c r="D2876" s="479">
        <v>0</v>
      </c>
      <c r="E2876" s="368"/>
      <c r="F2876" s="368"/>
    </row>
    <row r="2877" spans="1:6" ht="38.25" x14ac:dyDescent="0.2">
      <c r="A2877" s="391">
        <v>97311</v>
      </c>
      <c r="B2877" s="478" t="s">
        <v>41043</v>
      </c>
      <c r="C2877" s="391" t="s">
        <v>26</v>
      </c>
      <c r="D2877" s="479">
        <v>0</v>
      </c>
      <c r="E2877" s="368"/>
      <c r="F2877" s="368"/>
    </row>
    <row r="2878" spans="1:6" ht="38.25" x14ac:dyDescent="0.2">
      <c r="A2878" s="391">
        <v>97312</v>
      </c>
      <c r="B2878" s="478" t="s">
        <v>41044</v>
      </c>
      <c r="C2878" s="391" t="s">
        <v>26</v>
      </c>
      <c r="D2878" s="479">
        <v>0</v>
      </c>
      <c r="E2878" s="368"/>
      <c r="F2878" s="368"/>
    </row>
    <row r="2879" spans="1:6" ht="38.25" x14ac:dyDescent="0.2">
      <c r="A2879" s="391">
        <v>97278</v>
      </c>
      <c r="B2879" s="478" t="s">
        <v>41045</v>
      </c>
      <c r="C2879" s="391" t="s">
        <v>26</v>
      </c>
      <c r="D2879" s="479">
        <v>0</v>
      </c>
      <c r="E2879" s="368"/>
      <c r="F2879" s="368"/>
    </row>
    <row r="2880" spans="1:6" ht="38.25" x14ac:dyDescent="0.2">
      <c r="A2880" s="391">
        <v>97274</v>
      </c>
      <c r="B2880" s="478" t="s">
        <v>41046</v>
      </c>
      <c r="C2880" s="391" t="s">
        <v>26</v>
      </c>
      <c r="D2880" s="479">
        <v>0</v>
      </c>
      <c r="E2880" s="368"/>
      <c r="F2880" s="368"/>
    </row>
    <row r="2881" spans="1:6" ht="38.25" x14ac:dyDescent="0.2">
      <c r="A2881" s="391">
        <v>97283</v>
      </c>
      <c r="B2881" s="478" t="s">
        <v>41047</v>
      </c>
      <c r="C2881" s="391" t="s">
        <v>26</v>
      </c>
      <c r="D2881" s="479">
        <v>0</v>
      </c>
      <c r="E2881" s="368"/>
      <c r="F2881" s="368"/>
    </row>
    <row r="2882" spans="1:6" ht="38.25" x14ac:dyDescent="0.2">
      <c r="A2882" s="391">
        <v>97284</v>
      </c>
      <c r="B2882" s="478" t="s">
        <v>41048</v>
      </c>
      <c r="C2882" s="391" t="s">
        <v>26</v>
      </c>
      <c r="D2882" s="479">
        <v>0</v>
      </c>
      <c r="E2882" s="368"/>
      <c r="F2882" s="368"/>
    </row>
    <row r="2883" spans="1:6" ht="38.25" x14ac:dyDescent="0.2">
      <c r="A2883" s="391">
        <v>97289</v>
      </c>
      <c r="B2883" s="478" t="s">
        <v>41049</v>
      </c>
      <c r="C2883" s="391" t="s">
        <v>26</v>
      </c>
      <c r="D2883" s="479">
        <v>0</v>
      </c>
      <c r="E2883" s="368"/>
      <c r="F2883" s="368"/>
    </row>
    <row r="2884" spans="1:6" ht="38.25" x14ac:dyDescent="0.2">
      <c r="A2884" s="391">
        <v>97290</v>
      </c>
      <c r="B2884" s="478" t="s">
        <v>41050</v>
      </c>
      <c r="C2884" s="391" t="s">
        <v>26</v>
      </c>
      <c r="D2884" s="479">
        <v>0</v>
      </c>
      <c r="E2884" s="368"/>
      <c r="F2884" s="368"/>
    </row>
    <row r="2885" spans="1:6" ht="38.25" x14ac:dyDescent="0.2">
      <c r="A2885" s="391">
        <v>97295</v>
      </c>
      <c r="B2885" s="478" t="s">
        <v>41051</v>
      </c>
      <c r="C2885" s="391" t="s">
        <v>26</v>
      </c>
      <c r="D2885" s="479">
        <v>0</v>
      </c>
      <c r="E2885" s="368"/>
      <c r="F2885" s="368"/>
    </row>
    <row r="2886" spans="1:6" ht="38.25" x14ac:dyDescent="0.2">
      <c r="A2886" s="391">
        <v>97296</v>
      </c>
      <c r="B2886" s="478" t="s">
        <v>41052</v>
      </c>
      <c r="C2886" s="391" t="s">
        <v>26</v>
      </c>
      <c r="D2886" s="479">
        <v>0</v>
      </c>
      <c r="E2886" s="368"/>
      <c r="F2886" s="368"/>
    </row>
    <row r="2887" spans="1:6" ht="38.25" x14ac:dyDescent="0.2">
      <c r="A2887" s="391">
        <v>97301</v>
      </c>
      <c r="B2887" s="478" t="s">
        <v>41053</v>
      </c>
      <c r="C2887" s="391" t="s">
        <v>26</v>
      </c>
      <c r="D2887" s="479">
        <v>0</v>
      </c>
      <c r="E2887" s="368"/>
      <c r="F2887" s="368"/>
    </row>
    <row r="2888" spans="1:6" ht="38.25" x14ac:dyDescent="0.2">
      <c r="A2888" s="391">
        <v>97302</v>
      </c>
      <c r="B2888" s="478" t="s">
        <v>41054</v>
      </c>
      <c r="C2888" s="391" t="s">
        <v>26</v>
      </c>
      <c r="D2888" s="479">
        <v>0</v>
      </c>
      <c r="E2888" s="368"/>
      <c r="F2888" s="368"/>
    </row>
    <row r="2889" spans="1:6" ht="38.25" x14ac:dyDescent="0.2">
      <c r="A2889" s="391">
        <v>97307</v>
      </c>
      <c r="B2889" s="478" t="s">
        <v>41055</v>
      </c>
      <c r="C2889" s="391" t="s">
        <v>26</v>
      </c>
      <c r="D2889" s="479">
        <v>0</v>
      </c>
      <c r="E2889" s="368"/>
      <c r="F2889" s="368"/>
    </row>
    <row r="2890" spans="1:6" ht="38.25" x14ac:dyDescent="0.2">
      <c r="A2890" s="391">
        <v>97277</v>
      </c>
      <c r="B2890" s="478" t="s">
        <v>41056</v>
      </c>
      <c r="C2890" s="391" t="s">
        <v>26</v>
      </c>
      <c r="D2890" s="479">
        <v>0</v>
      </c>
      <c r="E2890" s="368"/>
      <c r="F2890" s="368"/>
    </row>
    <row r="2891" spans="1:6" ht="38.25" x14ac:dyDescent="0.2">
      <c r="A2891" s="391">
        <v>97308</v>
      </c>
      <c r="B2891" s="478" t="s">
        <v>41057</v>
      </c>
      <c r="C2891" s="391" t="s">
        <v>26</v>
      </c>
      <c r="D2891" s="479">
        <v>0</v>
      </c>
      <c r="E2891" s="368"/>
      <c r="F2891" s="368"/>
    </row>
    <row r="2892" spans="1:6" ht="38.25" x14ac:dyDescent="0.2">
      <c r="A2892" s="391">
        <v>97238</v>
      </c>
      <c r="B2892" s="478" t="s">
        <v>47615</v>
      </c>
      <c r="C2892" s="391" t="s">
        <v>0</v>
      </c>
      <c r="D2892" s="479">
        <v>0</v>
      </c>
      <c r="E2892" s="368"/>
      <c r="F2892" s="368"/>
    </row>
    <row r="2893" spans="1:6" ht="38.25" x14ac:dyDescent="0.2">
      <c r="A2893" s="391">
        <v>97239</v>
      </c>
      <c r="B2893" s="478" t="s">
        <v>41058</v>
      </c>
      <c r="C2893" s="391" t="s">
        <v>0</v>
      </c>
      <c r="D2893" s="479">
        <v>0</v>
      </c>
      <c r="E2893" s="368"/>
      <c r="F2893" s="368"/>
    </row>
    <row r="2894" spans="1:6" ht="38.25" x14ac:dyDescent="0.2">
      <c r="A2894" s="391">
        <v>97240</v>
      </c>
      <c r="B2894" s="478" t="s">
        <v>41059</v>
      </c>
      <c r="C2894" s="391" t="s">
        <v>0</v>
      </c>
      <c r="D2894" s="479">
        <v>0</v>
      </c>
      <c r="E2894" s="368"/>
      <c r="F2894" s="368"/>
    </row>
    <row r="2895" spans="1:6" ht="38.25" x14ac:dyDescent="0.2">
      <c r="A2895" s="391">
        <v>97241</v>
      </c>
      <c r="B2895" s="478" t="s">
        <v>41060</v>
      </c>
      <c r="C2895" s="391" t="s">
        <v>0</v>
      </c>
      <c r="D2895" s="479">
        <v>0</v>
      </c>
      <c r="E2895" s="368"/>
      <c r="F2895" s="368"/>
    </row>
    <row r="2896" spans="1:6" ht="38.25" x14ac:dyDescent="0.2">
      <c r="A2896" s="391">
        <v>97242</v>
      </c>
      <c r="B2896" s="478" t="s">
        <v>41061</v>
      </c>
      <c r="C2896" s="391" t="s">
        <v>0</v>
      </c>
      <c r="D2896" s="479">
        <v>0</v>
      </c>
      <c r="E2896" s="368"/>
      <c r="F2896" s="368"/>
    </row>
    <row r="2897" spans="1:6" ht="38.25" x14ac:dyDescent="0.2">
      <c r="A2897" s="391">
        <v>97243</v>
      </c>
      <c r="B2897" s="478" t="s">
        <v>41062</v>
      </c>
      <c r="C2897" s="391" t="s">
        <v>0</v>
      </c>
      <c r="D2897" s="479">
        <v>0</v>
      </c>
      <c r="E2897" s="368"/>
      <c r="F2897" s="368"/>
    </row>
    <row r="2898" spans="1:6" ht="38.25" x14ac:dyDescent="0.2">
      <c r="A2898" s="391">
        <v>97244</v>
      </c>
      <c r="B2898" s="478" t="s">
        <v>41063</v>
      </c>
      <c r="C2898" s="391" t="s">
        <v>0</v>
      </c>
      <c r="D2898" s="479">
        <v>0</v>
      </c>
      <c r="E2898" s="368"/>
      <c r="F2898" s="368"/>
    </row>
    <row r="2899" spans="1:6" ht="38.25" x14ac:dyDescent="0.2">
      <c r="A2899" s="391">
        <v>97245</v>
      </c>
      <c r="B2899" s="478" t="s">
        <v>41064</v>
      </c>
      <c r="C2899" s="391" t="s">
        <v>0</v>
      </c>
      <c r="D2899" s="479">
        <v>0</v>
      </c>
      <c r="E2899" s="368"/>
      <c r="F2899" s="368"/>
    </row>
    <row r="2900" spans="1:6" ht="38.25" x14ac:dyDescent="0.2">
      <c r="A2900" s="391">
        <v>97236</v>
      </c>
      <c r="B2900" s="478" t="s">
        <v>41065</v>
      </c>
      <c r="C2900" s="391" t="s">
        <v>0</v>
      </c>
      <c r="D2900" s="479">
        <v>0</v>
      </c>
      <c r="E2900" s="368"/>
      <c r="F2900" s="368"/>
    </row>
    <row r="2901" spans="1:6" ht="38.25" x14ac:dyDescent="0.2">
      <c r="A2901" s="391">
        <v>97246</v>
      </c>
      <c r="B2901" s="478" t="s">
        <v>41066</v>
      </c>
      <c r="C2901" s="391" t="s">
        <v>0</v>
      </c>
      <c r="D2901" s="479">
        <v>0</v>
      </c>
      <c r="E2901" s="368"/>
      <c r="F2901" s="368"/>
    </row>
    <row r="2902" spans="1:6" ht="38.25" x14ac:dyDescent="0.2">
      <c r="A2902" s="391">
        <v>97247</v>
      </c>
      <c r="B2902" s="478" t="s">
        <v>41067</v>
      </c>
      <c r="C2902" s="391" t="s">
        <v>0</v>
      </c>
      <c r="D2902" s="479">
        <v>0</v>
      </c>
      <c r="E2902" s="368"/>
      <c r="F2902" s="368"/>
    </row>
    <row r="2903" spans="1:6" ht="38.25" x14ac:dyDescent="0.2">
      <c r="A2903" s="391">
        <v>97237</v>
      </c>
      <c r="B2903" s="478" t="s">
        <v>41068</v>
      </c>
      <c r="C2903" s="391" t="s">
        <v>0</v>
      </c>
      <c r="D2903" s="479">
        <v>0</v>
      </c>
      <c r="E2903" s="368"/>
      <c r="F2903" s="368"/>
    </row>
    <row r="2904" spans="1:6" ht="38.25" x14ac:dyDescent="0.2">
      <c r="A2904" s="391">
        <v>97248</v>
      </c>
      <c r="B2904" s="478" t="s">
        <v>41069</v>
      </c>
      <c r="C2904" s="391" t="s">
        <v>0</v>
      </c>
      <c r="D2904" s="479">
        <v>0</v>
      </c>
      <c r="E2904" s="368"/>
      <c r="F2904" s="368"/>
    </row>
    <row r="2905" spans="1:6" ht="25.5" x14ac:dyDescent="0.2">
      <c r="A2905" s="391">
        <v>97251</v>
      </c>
      <c r="B2905" s="478" t="s">
        <v>41070</v>
      </c>
      <c r="C2905" s="391" t="s">
        <v>26</v>
      </c>
      <c r="D2905" s="479">
        <v>0</v>
      </c>
      <c r="E2905" s="368"/>
      <c r="F2905" s="368"/>
    </row>
    <row r="2906" spans="1:6" ht="25.5" x14ac:dyDescent="0.2">
      <c r="A2906" s="391">
        <v>97254</v>
      </c>
      <c r="B2906" s="478" t="s">
        <v>41071</v>
      </c>
      <c r="C2906" s="391" t="s">
        <v>26</v>
      </c>
      <c r="D2906" s="479">
        <v>0</v>
      </c>
      <c r="E2906" s="368"/>
      <c r="F2906" s="368"/>
    </row>
    <row r="2907" spans="1:6" ht="25.5" x14ac:dyDescent="0.2">
      <c r="A2907" s="391">
        <v>97255</v>
      </c>
      <c r="B2907" s="478" t="s">
        <v>41072</v>
      </c>
      <c r="C2907" s="391" t="s">
        <v>26</v>
      </c>
      <c r="D2907" s="479">
        <v>0</v>
      </c>
      <c r="E2907" s="368"/>
      <c r="F2907" s="368"/>
    </row>
    <row r="2908" spans="1:6" ht="25.5" x14ac:dyDescent="0.2">
      <c r="A2908" s="391">
        <v>97249</v>
      </c>
      <c r="B2908" s="478" t="s">
        <v>41073</v>
      </c>
      <c r="C2908" s="391" t="s">
        <v>26</v>
      </c>
      <c r="D2908" s="479">
        <v>0</v>
      </c>
      <c r="E2908" s="368"/>
      <c r="F2908" s="368"/>
    </row>
    <row r="2909" spans="1:6" ht="25.5" x14ac:dyDescent="0.2">
      <c r="A2909" s="391">
        <v>97250</v>
      </c>
      <c r="B2909" s="480" t="s">
        <v>41074</v>
      </c>
      <c r="C2909" s="391" t="s">
        <v>26</v>
      </c>
      <c r="D2909" s="479">
        <v>0</v>
      </c>
      <c r="E2909" s="368"/>
      <c r="F2909" s="368"/>
    </row>
    <row r="2910" spans="1:6" ht="38.25" x14ac:dyDescent="0.2">
      <c r="A2910" s="391">
        <v>97258</v>
      </c>
      <c r="B2910" s="478" t="s">
        <v>41075</v>
      </c>
      <c r="C2910" s="391" t="s">
        <v>26</v>
      </c>
      <c r="D2910" s="479">
        <v>0</v>
      </c>
      <c r="E2910" s="368"/>
      <c r="F2910" s="368"/>
    </row>
    <row r="2911" spans="1:6" ht="38.25" x14ac:dyDescent="0.2">
      <c r="A2911" s="391">
        <v>97259</v>
      </c>
      <c r="B2911" s="478" t="s">
        <v>41076</v>
      </c>
      <c r="C2911" s="391" t="s">
        <v>26</v>
      </c>
      <c r="D2911" s="479">
        <v>0</v>
      </c>
      <c r="E2911" s="368"/>
      <c r="F2911" s="368"/>
    </row>
    <row r="2912" spans="1:6" ht="38.25" x14ac:dyDescent="0.2">
      <c r="A2912" s="391">
        <v>97262</v>
      </c>
      <c r="B2912" s="478" t="s">
        <v>41077</v>
      </c>
      <c r="C2912" s="391" t="s">
        <v>26</v>
      </c>
      <c r="D2912" s="479">
        <v>0</v>
      </c>
      <c r="E2912" s="368"/>
      <c r="F2912" s="368"/>
    </row>
    <row r="2913" spans="1:6" ht="38.25" x14ac:dyDescent="0.2">
      <c r="A2913" s="391">
        <v>97263</v>
      </c>
      <c r="B2913" s="480" t="s">
        <v>41078</v>
      </c>
      <c r="C2913" s="391" t="s">
        <v>26</v>
      </c>
      <c r="D2913" s="479">
        <v>0</v>
      </c>
      <c r="E2913" s="368"/>
      <c r="F2913" s="368"/>
    </row>
    <row r="2914" spans="1:6" ht="38.25" x14ac:dyDescent="0.2">
      <c r="A2914" s="391">
        <v>97266</v>
      </c>
      <c r="B2914" s="480" t="s">
        <v>41079</v>
      </c>
      <c r="C2914" s="391" t="s">
        <v>26</v>
      </c>
      <c r="D2914" s="479">
        <v>0</v>
      </c>
      <c r="E2914" s="368"/>
      <c r="F2914" s="368"/>
    </row>
    <row r="2915" spans="1:6" ht="38.25" x14ac:dyDescent="0.2">
      <c r="A2915" s="391">
        <v>97267</v>
      </c>
      <c r="B2915" s="478" t="s">
        <v>41080</v>
      </c>
      <c r="C2915" s="391" t="s">
        <v>26</v>
      </c>
      <c r="D2915" s="479">
        <v>0</v>
      </c>
      <c r="E2915" s="368"/>
      <c r="F2915" s="368"/>
    </row>
    <row r="2916" spans="1:6" ht="38.25" x14ac:dyDescent="0.2">
      <c r="A2916" s="391">
        <v>97270</v>
      </c>
      <c r="B2916" s="478" t="s">
        <v>41081</v>
      </c>
      <c r="C2916" s="391" t="s">
        <v>26</v>
      </c>
      <c r="D2916" s="479">
        <v>0</v>
      </c>
      <c r="E2916" s="368"/>
      <c r="F2916" s="368"/>
    </row>
    <row r="2917" spans="1:6" ht="38.25" x14ac:dyDescent="0.2">
      <c r="A2917" s="391">
        <v>97271</v>
      </c>
      <c r="B2917" s="478" t="s">
        <v>41082</v>
      </c>
      <c r="C2917" s="391" t="s">
        <v>26</v>
      </c>
      <c r="D2917" s="479">
        <v>0</v>
      </c>
      <c r="E2917" s="368"/>
      <c r="F2917" s="368"/>
    </row>
    <row r="2918" spans="1:6" ht="25.5" x14ac:dyDescent="0.2">
      <c r="A2918" s="391">
        <v>97252</v>
      </c>
      <c r="B2918" s="478" t="s">
        <v>41083</v>
      </c>
      <c r="C2918" s="391" t="s">
        <v>26</v>
      </c>
      <c r="D2918" s="479">
        <v>0</v>
      </c>
      <c r="E2918" s="368"/>
      <c r="F2918" s="368"/>
    </row>
    <row r="2919" spans="1:6" ht="25.5" x14ac:dyDescent="0.2">
      <c r="A2919" s="391">
        <v>97257</v>
      </c>
      <c r="B2919" s="478" t="s">
        <v>41084</v>
      </c>
      <c r="C2919" s="391" t="s">
        <v>26</v>
      </c>
      <c r="D2919" s="479">
        <v>0</v>
      </c>
      <c r="E2919" s="368"/>
      <c r="F2919" s="368"/>
    </row>
    <row r="2920" spans="1:6" ht="25.5" x14ac:dyDescent="0.2">
      <c r="A2920" s="391">
        <v>97256</v>
      </c>
      <c r="B2920" s="478" t="s">
        <v>41085</v>
      </c>
      <c r="C2920" s="391" t="s">
        <v>26</v>
      </c>
      <c r="D2920" s="479">
        <v>0</v>
      </c>
      <c r="E2920" s="368"/>
      <c r="F2920" s="368"/>
    </row>
    <row r="2921" spans="1:6" ht="25.5" x14ac:dyDescent="0.2">
      <c r="A2921" s="391">
        <v>97253</v>
      </c>
      <c r="B2921" s="478" t="s">
        <v>41086</v>
      </c>
      <c r="C2921" s="391" t="s">
        <v>26</v>
      </c>
      <c r="D2921" s="479">
        <v>0</v>
      </c>
      <c r="E2921" s="368"/>
      <c r="F2921" s="368"/>
    </row>
    <row r="2922" spans="1:6" ht="38.25" x14ac:dyDescent="0.2">
      <c r="A2922" s="391">
        <v>97261</v>
      </c>
      <c r="B2922" s="478" t="s">
        <v>41087</v>
      </c>
      <c r="C2922" s="391" t="s">
        <v>26</v>
      </c>
      <c r="D2922" s="479">
        <v>0</v>
      </c>
      <c r="E2922" s="368"/>
      <c r="F2922" s="368"/>
    </row>
    <row r="2923" spans="1:6" ht="38.25" x14ac:dyDescent="0.2">
      <c r="A2923" s="391">
        <v>97260</v>
      </c>
      <c r="B2923" s="478" t="s">
        <v>41088</v>
      </c>
      <c r="C2923" s="391" t="s">
        <v>26</v>
      </c>
      <c r="D2923" s="479">
        <v>0</v>
      </c>
      <c r="E2923" s="368"/>
      <c r="F2923" s="368"/>
    </row>
    <row r="2924" spans="1:6" ht="38.25" x14ac:dyDescent="0.2">
      <c r="A2924" s="391">
        <v>97265</v>
      </c>
      <c r="B2924" s="478" t="s">
        <v>41089</v>
      </c>
      <c r="C2924" s="391" t="s">
        <v>26</v>
      </c>
      <c r="D2924" s="479">
        <v>0</v>
      </c>
      <c r="E2924" s="368"/>
      <c r="F2924" s="368"/>
    </row>
    <row r="2925" spans="1:6" ht="38.25" x14ac:dyDescent="0.2">
      <c r="A2925" s="392">
        <v>97264</v>
      </c>
      <c r="B2925" s="480" t="s">
        <v>41090</v>
      </c>
      <c r="C2925" s="392" t="s">
        <v>26</v>
      </c>
      <c r="D2925" s="481">
        <v>0</v>
      </c>
      <c r="E2925" s="369"/>
      <c r="F2925" s="369"/>
    </row>
    <row r="2926" spans="1:6" ht="38.25" x14ac:dyDescent="0.2">
      <c r="A2926" s="391">
        <v>97269</v>
      </c>
      <c r="B2926" s="478" t="s">
        <v>41091</v>
      </c>
      <c r="C2926" s="391" t="s">
        <v>26</v>
      </c>
      <c r="D2926" s="479">
        <v>0</v>
      </c>
      <c r="E2926" s="368"/>
      <c r="F2926" s="368"/>
    </row>
    <row r="2927" spans="1:6" ht="38.25" x14ac:dyDescent="0.2">
      <c r="A2927" s="391">
        <v>97268</v>
      </c>
      <c r="B2927" s="478" t="s">
        <v>41092</v>
      </c>
      <c r="C2927" s="391" t="s">
        <v>26</v>
      </c>
      <c r="D2927" s="479">
        <v>0</v>
      </c>
      <c r="E2927" s="368"/>
      <c r="F2927" s="368"/>
    </row>
    <row r="2928" spans="1:6" ht="38.25" x14ac:dyDescent="0.2">
      <c r="A2928" s="391">
        <v>97273</v>
      </c>
      <c r="B2928" s="478" t="s">
        <v>41093</v>
      </c>
      <c r="C2928" s="391" t="s">
        <v>26</v>
      </c>
      <c r="D2928" s="479">
        <v>0</v>
      </c>
      <c r="E2928" s="368"/>
      <c r="F2928" s="368"/>
    </row>
    <row r="2929" spans="1:6" ht="38.25" x14ac:dyDescent="0.2">
      <c r="A2929" s="391">
        <v>97272</v>
      </c>
      <c r="B2929" s="478" t="s">
        <v>41094</v>
      </c>
      <c r="C2929" s="391" t="s">
        <v>26</v>
      </c>
      <c r="D2929" s="479">
        <v>0</v>
      </c>
      <c r="E2929" s="368"/>
      <c r="F2929" s="368"/>
    </row>
    <row r="2930" spans="1:6" ht="38.25" x14ac:dyDescent="0.2">
      <c r="A2930" s="391">
        <v>97315</v>
      </c>
      <c r="B2930" s="478" t="s">
        <v>41095</v>
      </c>
      <c r="C2930" s="391" t="s">
        <v>26</v>
      </c>
      <c r="D2930" s="479">
        <v>0</v>
      </c>
      <c r="E2930" s="368"/>
      <c r="F2930" s="368"/>
    </row>
    <row r="2931" spans="1:6" ht="38.25" x14ac:dyDescent="0.2">
      <c r="A2931" s="391">
        <v>97316</v>
      </c>
      <c r="B2931" s="478" t="s">
        <v>41096</v>
      </c>
      <c r="C2931" s="391" t="s">
        <v>26</v>
      </c>
      <c r="D2931" s="479">
        <v>0</v>
      </c>
      <c r="E2931" s="368"/>
      <c r="F2931" s="368"/>
    </row>
    <row r="2932" spans="1:6" ht="38.25" x14ac:dyDescent="0.2">
      <c r="A2932" s="391">
        <v>97317</v>
      </c>
      <c r="B2932" s="478" t="s">
        <v>41097</v>
      </c>
      <c r="C2932" s="391" t="s">
        <v>26</v>
      </c>
      <c r="D2932" s="479">
        <v>0</v>
      </c>
      <c r="E2932" s="368"/>
      <c r="F2932" s="368"/>
    </row>
    <row r="2933" spans="1:6" ht="38.25" x14ac:dyDescent="0.2">
      <c r="A2933" s="391">
        <v>97318</v>
      </c>
      <c r="B2933" s="478" t="s">
        <v>41098</v>
      </c>
      <c r="C2933" s="391" t="s">
        <v>26</v>
      </c>
      <c r="D2933" s="479">
        <v>0</v>
      </c>
      <c r="E2933" s="368"/>
      <c r="F2933" s="368"/>
    </row>
    <row r="2934" spans="1:6" ht="38.25" x14ac:dyDescent="0.2">
      <c r="A2934" s="391">
        <v>97319</v>
      </c>
      <c r="B2934" s="478" t="s">
        <v>41099</v>
      </c>
      <c r="C2934" s="391" t="s">
        <v>26</v>
      </c>
      <c r="D2934" s="479">
        <v>0</v>
      </c>
      <c r="E2934" s="368"/>
      <c r="F2934" s="368"/>
    </row>
    <row r="2935" spans="1:6" ht="38.25" x14ac:dyDescent="0.2">
      <c r="A2935" s="391">
        <v>97320</v>
      </c>
      <c r="B2935" s="478" t="s">
        <v>41100</v>
      </c>
      <c r="C2935" s="391" t="s">
        <v>26</v>
      </c>
      <c r="D2935" s="479">
        <v>0</v>
      </c>
      <c r="E2935" s="368"/>
      <c r="F2935" s="368"/>
    </row>
    <row r="2936" spans="1:6" ht="38.25" x14ac:dyDescent="0.2">
      <c r="A2936" s="391">
        <v>97321</v>
      </c>
      <c r="B2936" s="478" t="s">
        <v>41101</v>
      </c>
      <c r="C2936" s="391" t="s">
        <v>26</v>
      </c>
      <c r="D2936" s="479">
        <v>0</v>
      </c>
      <c r="E2936" s="368"/>
      <c r="F2936" s="368"/>
    </row>
    <row r="2937" spans="1:6" ht="38.25" x14ac:dyDescent="0.2">
      <c r="A2937" s="391">
        <v>97322</v>
      </c>
      <c r="B2937" s="478" t="s">
        <v>41102</v>
      </c>
      <c r="C2937" s="391" t="s">
        <v>26</v>
      </c>
      <c r="D2937" s="479">
        <v>0</v>
      </c>
      <c r="E2937" s="368"/>
      <c r="F2937" s="368"/>
    </row>
    <row r="2938" spans="1:6" ht="38.25" x14ac:dyDescent="0.2">
      <c r="A2938" s="391">
        <v>97313</v>
      </c>
      <c r="B2938" s="478" t="s">
        <v>41103</v>
      </c>
      <c r="C2938" s="391" t="s">
        <v>26</v>
      </c>
      <c r="D2938" s="479">
        <v>0</v>
      </c>
      <c r="E2938" s="368"/>
      <c r="F2938" s="368"/>
    </row>
    <row r="2939" spans="1:6" ht="38.25" x14ac:dyDescent="0.2">
      <c r="A2939" s="391">
        <v>97323</v>
      </c>
      <c r="B2939" s="478" t="s">
        <v>41104</v>
      </c>
      <c r="C2939" s="391" t="s">
        <v>26</v>
      </c>
      <c r="D2939" s="479">
        <v>0</v>
      </c>
      <c r="E2939" s="368"/>
      <c r="F2939" s="368"/>
    </row>
    <row r="2940" spans="1:6" ht="38.25" x14ac:dyDescent="0.2">
      <c r="A2940" s="391">
        <v>97324</v>
      </c>
      <c r="B2940" s="478" t="s">
        <v>41105</v>
      </c>
      <c r="C2940" s="391" t="s">
        <v>26</v>
      </c>
      <c r="D2940" s="479">
        <v>0</v>
      </c>
      <c r="E2940" s="368"/>
      <c r="F2940" s="368"/>
    </row>
    <row r="2941" spans="1:6" ht="38.25" x14ac:dyDescent="0.2">
      <c r="A2941" s="391">
        <v>97314</v>
      </c>
      <c r="B2941" s="478" t="s">
        <v>41106</v>
      </c>
      <c r="C2941" s="391" t="s">
        <v>26</v>
      </c>
      <c r="D2941" s="479">
        <v>0</v>
      </c>
      <c r="E2941" s="368"/>
      <c r="F2941" s="368"/>
    </row>
    <row r="2942" spans="1:6" ht="38.25" x14ac:dyDescent="0.2">
      <c r="A2942" s="391">
        <v>97325</v>
      </c>
      <c r="B2942" s="478" t="s">
        <v>41107</v>
      </c>
      <c r="C2942" s="391" t="s">
        <v>26</v>
      </c>
      <c r="D2942" s="479">
        <v>0</v>
      </c>
      <c r="E2942" s="368"/>
      <c r="F2942" s="368"/>
    </row>
    <row r="2943" spans="1:6" ht="51" x14ac:dyDescent="0.2">
      <c r="A2943" s="391">
        <v>103517</v>
      </c>
      <c r="B2943" s="478" t="s">
        <v>4222</v>
      </c>
      <c r="C2943" s="391" t="s">
        <v>26</v>
      </c>
      <c r="D2943" s="479">
        <v>3109.55</v>
      </c>
      <c r="E2943" s="368"/>
      <c r="F2943" s="368"/>
    </row>
    <row r="2944" spans="1:6" ht="38.25" x14ac:dyDescent="0.2">
      <c r="A2944" s="391">
        <v>103518</v>
      </c>
      <c r="B2944" s="478" t="s">
        <v>41108</v>
      </c>
      <c r="C2944" s="391" t="s">
        <v>26</v>
      </c>
      <c r="D2944" s="479">
        <v>0</v>
      </c>
      <c r="E2944" s="368"/>
      <c r="F2944" s="368"/>
    </row>
    <row r="2945" spans="1:6" ht="38.25" x14ac:dyDescent="0.2">
      <c r="A2945" s="391">
        <v>103519</v>
      </c>
      <c r="B2945" s="478" t="s">
        <v>4223</v>
      </c>
      <c r="C2945" s="391" t="s">
        <v>26</v>
      </c>
      <c r="D2945" s="479">
        <v>11.17</v>
      </c>
      <c r="E2945" s="368"/>
      <c r="F2945" s="368"/>
    </row>
    <row r="2946" spans="1:6" ht="25.5" x14ac:dyDescent="0.2">
      <c r="A2946" s="391">
        <v>103515</v>
      </c>
      <c r="B2946" s="478" t="s">
        <v>41109</v>
      </c>
      <c r="C2946" s="391" t="s">
        <v>26</v>
      </c>
      <c r="D2946" s="479">
        <v>0</v>
      </c>
      <c r="E2946" s="368"/>
      <c r="F2946" s="368"/>
    </row>
    <row r="2947" spans="1:6" ht="25.5" x14ac:dyDescent="0.2">
      <c r="A2947" s="391">
        <v>103502</v>
      </c>
      <c r="B2947" s="478" t="s">
        <v>41110</v>
      </c>
      <c r="C2947" s="391" t="s">
        <v>0</v>
      </c>
      <c r="D2947" s="479">
        <v>0</v>
      </c>
      <c r="E2947" s="368"/>
      <c r="F2947" s="368"/>
    </row>
    <row r="2948" spans="1:6" ht="25.5" x14ac:dyDescent="0.2">
      <c r="A2948" s="391">
        <v>103504</v>
      </c>
      <c r="B2948" s="478" t="s">
        <v>41111</v>
      </c>
      <c r="C2948" s="391" t="s">
        <v>0</v>
      </c>
      <c r="D2948" s="479">
        <v>0</v>
      </c>
      <c r="E2948" s="368"/>
      <c r="F2948" s="368"/>
    </row>
    <row r="2949" spans="1:6" ht="25.5" x14ac:dyDescent="0.2">
      <c r="A2949" s="391">
        <v>103503</v>
      </c>
      <c r="B2949" s="478" t="s">
        <v>41112</v>
      </c>
      <c r="C2949" s="391" t="s">
        <v>0</v>
      </c>
      <c r="D2949" s="479">
        <v>0</v>
      </c>
      <c r="E2949" s="368"/>
      <c r="F2949" s="368"/>
    </row>
    <row r="2950" spans="1:6" ht="25.5" x14ac:dyDescent="0.2">
      <c r="A2950" s="391">
        <v>103505</v>
      </c>
      <c r="B2950" s="478" t="s">
        <v>41113</v>
      </c>
      <c r="C2950" s="391" t="s">
        <v>0</v>
      </c>
      <c r="D2950" s="479">
        <v>0</v>
      </c>
      <c r="E2950" s="368"/>
      <c r="F2950" s="368"/>
    </row>
    <row r="2951" spans="1:6" ht="25.5" x14ac:dyDescent="0.2">
      <c r="A2951" s="391">
        <v>103499</v>
      </c>
      <c r="B2951" s="478" t="s">
        <v>41114</v>
      </c>
      <c r="C2951" s="391" t="s">
        <v>26</v>
      </c>
      <c r="D2951" s="479">
        <v>0</v>
      </c>
      <c r="E2951" s="368"/>
      <c r="F2951" s="368"/>
    </row>
    <row r="2952" spans="1:6" ht="25.5" x14ac:dyDescent="0.2">
      <c r="A2952" s="391">
        <v>103501</v>
      </c>
      <c r="B2952" s="478" t="s">
        <v>41115</v>
      </c>
      <c r="C2952" s="391" t="s">
        <v>26</v>
      </c>
      <c r="D2952" s="479">
        <v>0</v>
      </c>
      <c r="E2952" s="368"/>
      <c r="F2952" s="368"/>
    </row>
    <row r="2953" spans="1:6" ht="25.5" x14ac:dyDescent="0.2">
      <c r="A2953" s="391">
        <v>103500</v>
      </c>
      <c r="B2953" s="478" t="s">
        <v>41116</v>
      </c>
      <c r="C2953" s="391" t="s">
        <v>26</v>
      </c>
      <c r="D2953" s="479">
        <v>0</v>
      </c>
      <c r="E2953" s="368"/>
      <c r="F2953" s="368"/>
    </row>
    <row r="2954" spans="1:6" ht="38.25" x14ac:dyDescent="0.2">
      <c r="A2954" s="391">
        <v>103496</v>
      </c>
      <c r="B2954" s="478" t="s">
        <v>41117</v>
      </c>
      <c r="C2954" s="391" t="s">
        <v>26</v>
      </c>
      <c r="D2954" s="479">
        <v>0</v>
      </c>
      <c r="E2954" s="368"/>
      <c r="F2954" s="368"/>
    </row>
    <row r="2955" spans="1:6" ht="38.25" x14ac:dyDescent="0.2">
      <c r="A2955" s="391">
        <v>103498</v>
      </c>
      <c r="B2955" s="478" t="s">
        <v>41118</v>
      </c>
      <c r="C2955" s="391" t="s">
        <v>26</v>
      </c>
      <c r="D2955" s="479">
        <v>0</v>
      </c>
      <c r="E2955" s="368"/>
      <c r="F2955" s="368"/>
    </row>
    <row r="2956" spans="1:6" ht="38.25" x14ac:dyDescent="0.2">
      <c r="A2956" s="391">
        <v>103497</v>
      </c>
      <c r="B2956" s="478" t="s">
        <v>41119</v>
      </c>
      <c r="C2956" s="391" t="s">
        <v>26</v>
      </c>
      <c r="D2956" s="479">
        <v>0</v>
      </c>
      <c r="E2956" s="368"/>
      <c r="F2956" s="368"/>
    </row>
    <row r="2957" spans="1:6" ht="25.5" x14ac:dyDescent="0.2">
      <c r="A2957" s="391">
        <v>103516</v>
      </c>
      <c r="B2957" s="478" t="s">
        <v>41120</v>
      </c>
      <c r="C2957" s="391" t="s">
        <v>26</v>
      </c>
      <c r="D2957" s="479">
        <v>0</v>
      </c>
      <c r="E2957" s="368"/>
      <c r="F2957" s="368"/>
    </row>
    <row r="2958" spans="1:6" x14ac:dyDescent="0.2">
      <c r="A2958" s="391">
        <v>103506</v>
      </c>
      <c r="B2958" s="478" t="s">
        <v>41121</v>
      </c>
      <c r="C2958" s="391" t="s">
        <v>26</v>
      </c>
      <c r="D2958" s="479">
        <v>0</v>
      </c>
      <c r="E2958" s="368"/>
      <c r="F2958" s="368"/>
    </row>
    <row r="2959" spans="1:6" ht="25.5" x14ac:dyDescent="0.2">
      <c r="A2959" s="391">
        <v>103507</v>
      </c>
      <c r="B2959" s="478" t="s">
        <v>41122</v>
      </c>
      <c r="C2959" s="391" t="s">
        <v>26</v>
      </c>
      <c r="D2959" s="479">
        <v>0</v>
      </c>
      <c r="E2959" s="368"/>
      <c r="F2959" s="368"/>
    </row>
    <row r="2960" spans="1:6" ht="25.5" x14ac:dyDescent="0.2">
      <c r="A2960" s="391">
        <v>103493</v>
      </c>
      <c r="B2960" s="478" t="s">
        <v>41123</v>
      </c>
      <c r="C2960" s="391" t="s">
        <v>26</v>
      </c>
      <c r="D2960" s="479">
        <v>0</v>
      </c>
      <c r="E2960" s="368"/>
      <c r="F2960" s="368"/>
    </row>
    <row r="2961" spans="1:6" ht="25.5" x14ac:dyDescent="0.2">
      <c r="A2961" s="391">
        <v>103495</v>
      </c>
      <c r="B2961" s="478" t="s">
        <v>41124</v>
      </c>
      <c r="C2961" s="391" t="s">
        <v>26</v>
      </c>
      <c r="D2961" s="479">
        <v>0</v>
      </c>
      <c r="E2961" s="368"/>
      <c r="F2961" s="368"/>
    </row>
    <row r="2962" spans="1:6" ht="25.5" x14ac:dyDescent="0.2">
      <c r="A2962" s="391">
        <v>103494</v>
      </c>
      <c r="B2962" s="478" t="s">
        <v>41125</v>
      </c>
      <c r="C2962" s="391" t="s">
        <v>26</v>
      </c>
      <c r="D2962" s="479">
        <v>0</v>
      </c>
      <c r="E2962" s="368"/>
      <c r="F2962" s="368"/>
    </row>
    <row r="2963" spans="1:6" ht="25.5" x14ac:dyDescent="0.2">
      <c r="A2963" s="391">
        <v>103513</v>
      </c>
      <c r="B2963" s="478" t="s">
        <v>41126</v>
      </c>
      <c r="C2963" s="391" t="s">
        <v>26</v>
      </c>
      <c r="D2963" s="479">
        <v>0</v>
      </c>
      <c r="E2963" s="368"/>
      <c r="F2963" s="368"/>
    </row>
    <row r="2964" spans="1:6" ht="38.25" x14ac:dyDescent="0.2">
      <c r="A2964" s="391">
        <v>103523</v>
      </c>
      <c r="B2964" s="478" t="s">
        <v>4227</v>
      </c>
      <c r="C2964" s="391" t="s">
        <v>26</v>
      </c>
      <c r="D2964" s="479">
        <v>10419.58</v>
      </c>
      <c r="E2964" s="368"/>
      <c r="F2964" s="368"/>
    </row>
    <row r="2965" spans="1:6" ht="25.5" x14ac:dyDescent="0.2">
      <c r="A2965" s="391">
        <v>103509</v>
      </c>
      <c r="B2965" s="478" t="s">
        <v>41127</v>
      </c>
      <c r="C2965" s="391" t="s">
        <v>26</v>
      </c>
      <c r="D2965" s="479">
        <v>0</v>
      </c>
      <c r="E2965" s="368"/>
      <c r="F2965" s="368"/>
    </row>
    <row r="2966" spans="1:6" ht="25.5" x14ac:dyDescent="0.2">
      <c r="A2966" s="391">
        <v>103514</v>
      </c>
      <c r="B2966" s="478" t="s">
        <v>41128</v>
      </c>
      <c r="C2966" s="391" t="s">
        <v>26</v>
      </c>
      <c r="D2966" s="479">
        <v>0</v>
      </c>
      <c r="E2966" s="368"/>
      <c r="F2966" s="368"/>
    </row>
    <row r="2967" spans="1:6" ht="25.5" x14ac:dyDescent="0.2">
      <c r="A2967" s="391">
        <v>103510</v>
      </c>
      <c r="B2967" s="478" t="s">
        <v>41129</v>
      </c>
      <c r="C2967" s="391" t="s">
        <v>26</v>
      </c>
      <c r="D2967" s="479">
        <v>0</v>
      </c>
      <c r="E2967" s="368"/>
      <c r="F2967" s="368"/>
    </row>
    <row r="2968" spans="1:6" ht="38.25" x14ac:dyDescent="0.2">
      <c r="A2968" s="391">
        <v>103520</v>
      </c>
      <c r="B2968" s="478" t="s">
        <v>4224</v>
      </c>
      <c r="C2968" s="391" t="s">
        <v>26</v>
      </c>
      <c r="D2968" s="479">
        <v>5115.5200000000004</v>
      </c>
      <c r="E2968" s="368"/>
      <c r="F2968" s="368"/>
    </row>
    <row r="2969" spans="1:6" ht="25.5" x14ac:dyDescent="0.2">
      <c r="A2969" s="391">
        <v>103511</v>
      </c>
      <c r="B2969" s="478" t="s">
        <v>41130</v>
      </c>
      <c r="C2969" s="391" t="s">
        <v>26</v>
      </c>
      <c r="D2969" s="479">
        <v>0</v>
      </c>
      <c r="E2969" s="368"/>
      <c r="F2969" s="368"/>
    </row>
    <row r="2970" spans="1:6" ht="38.25" x14ac:dyDescent="0.2">
      <c r="A2970" s="391">
        <v>103521</v>
      </c>
      <c r="B2970" s="478" t="s">
        <v>4225</v>
      </c>
      <c r="C2970" s="391" t="s">
        <v>26</v>
      </c>
      <c r="D2970" s="479">
        <v>6792.62</v>
      </c>
      <c r="E2970" s="368"/>
      <c r="F2970" s="368"/>
    </row>
    <row r="2971" spans="1:6" ht="25.5" x14ac:dyDescent="0.2">
      <c r="A2971" s="391">
        <v>103512</v>
      </c>
      <c r="B2971" s="478" t="s">
        <v>41131</v>
      </c>
      <c r="C2971" s="391" t="s">
        <v>26</v>
      </c>
      <c r="D2971" s="479">
        <v>0</v>
      </c>
      <c r="E2971" s="368"/>
      <c r="F2971" s="368"/>
    </row>
    <row r="2972" spans="1:6" ht="38.25" x14ac:dyDescent="0.2">
      <c r="A2972" s="391">
        <v>103522</v>
      </c>
      <c r="B2972" s="478" t="s">
        <v>4226</v>
      </c>
      <c r="C2972" s="391" t="s">
        <v>26</v>
      </c>
      <c r="D2972" s="479">
        <v>6964</v>
      </c>
      <c r="E2972" s="368"/>
      <c r="F2972" s="368"/>
    </row>
    <row r="2973" spans="1:6" ht="25.5" x14ac:dyDescent="0.2">
      <c r="A2973" s="391">
        <v>103508</v>
      </c>
      <c r="B2973" s="478" t="s">
        <v>41132</v>
      </c>
      <c r="C2973" s="391" t="s">
        <v>26</v>
      </c>
      <c r="D2973" s="479">
        <v>0</v>
      </c>
      <c r="E2973" s="368"/>
      <c r="F2973" s="368"/>
    </row>
    <row r="2974" spans="1:6" ht="25.5" x14ac:dyDescent="0.2">
      <c r="A2974" s="391">
        <v>103524</v>
      </c>
      <c r="B2974" s="478" t="s">
        <v>41133</v>
      </c>
      <c r="C2974" s="391" t="s">
        <v>26</v>
      </c>
      <c r="D2974" s="479">
        <v>0</v>
      </c>
      <c r="E2974" s="368"/>
      <c r="F2974" s="368"/>
    </row>
    <row r="2975" spans="1:6" ht="25.5" x14ac:dyDescent="0.2">
      <c r="A2975" s="391">
        <v>103526</v>
      </c>
      <c r="B2975" s="478" t="s">
        <v>41134</v>
      </c>
      <c r="C2975" s="391" t="s">
        <v>26</v>
      </c>
      <c r="D2975" s="479">
        <v>0</v>
      </c>
      <c r="E2975" s="368"/>
      <c r="F2975" s="368"/>
    </row>
    <row r="2976" spans="1:6" ht="25.5" x14ac:dyDescent="0.2">
      <c r="A2976" s="391">
        <v>103525</v>
      </c>
      <c r="B2976" s="478" t="s">
        <v>41135</v>
      </c>
      <c r="C2976" s="391" t="s">
        <v>26</v>
      </c>
      <c r="D2976" s="479">
        <v>0</v>
      </c>
      <c r="E2976" s="368"/>
      <c r="F2976" s="368"/>
    </row>
    <row r="2977" spans="1:6" x14ac:dyDescent="0.2">
      <c r="A2977" s="391">
        <v>97062</v>
      </c>
      <c r="B2977" s="478" t="s">
        <v>5338</v>
      </c>
      <c r="C2977" s="391" t="s">
        <v>255</v>
      </c>
      <c r="D2977" s="479">
        <v>5.56</v>
      </c>
      <c r="E2977" s="368"/>
      <c r="F2977" s="368"/>
    </row>
    <row r="2978" spans="1:6" x14ac:dyDescent="0.2">
      <c r="A2978" s="391">
        <v>97061</v>
      </c>
      <c r="B2978" s="478" t="s">
        <v>41136</v>
      </c>
      <c r="C2978" s="391" t="s">
        <v>255</v>
      </c>
      <c r="D2978" s="479">
        <v>0</v>
      </c>
      <c r="E2978" s="368"/>
      <c r="F2978" s="368"/>
    </row>
    <row r="2979" spans="1:6" ht="25.5" x14ac:dyDescent="0.2">
      <c r="A2979" s="391">
        <v>104988</v>
      </c>
      <c r="B2979" s="478" t="s">
        <v>41137</v>
      </c>
      <c r="C2979" s="391" t="s">
        <v>255</v>
      </c>
      <c r="D2979" s="479">
        <v>0</v>
      </c>
      <c r="E2979" s="368"/>
      <c r="F2979" s="368"/>
    </row>
    <row r="2980" spans="1:6" ht="25.5" x14ac:dyDescent="0.2">
      <c r="A2980" s="391">
        <v>104979</v>
      </c>
      <c r="B2980" s="478" t="s">
        <v>41138</v>
      </c>
      <c r="C2980" s="391" t="s">
        <v>255</v>
      </c>
      <c r="D2980" s="479">
        <v>0</v>
      </c>
      <c r="E2980" s="368"/>
      <c r="F2980" s="368"/>
    </row>
    <row r="2981" spans="1:6" ht="25.5" x14ac:dyDescent="0.2">
      <c r="A2981" s="391">
        <v>97040</v>
      </c>
      <c r="B2981" s="478" t="s">
        <v>5334</v>
      </c>
      <c r="C2981" s="391" t="s">
        <v>255</v>
      </c>
      <c r="D2981" s="479">
        <v>20.03</v>
      </c>
      <c r="E2981" s="368"/>
      <c r="F2981" s="368"/>
    </row>
    <row r="2982" spans="1:6" ht="25.5" x14ac:dyDescent="0.2">
      <c r="A2982" s="391">
        <v>97041</v>
      </c>
      <c r="B2982" s="478" t="s">
        <v>39074</v>
      </c>
      <c r="C2982" s="391" t="s">
        <v>255</v>
      </c>
      <c r="D2982" s="479">
        <v>186.93</v>
      </c>
      <c r="E2982" s="368"/>
      <c r="F2982" s="368"/>
    </row>
    <row r="2983" spans="1:6" ht="25.5" x14ac:dyDescent="0.2">
      <c r="A2983" s="391">
        <v>97039</v>
      </c>
      <c r="B2983" s="478" t="s">
        <v>5333</v>
      </c>
      <c r="C2983" s="391" t="s">
        <v>255</v>
      </c>
      <c r="D2983" s="479">
        <v>90.42</v>
      </c>
      <c r="E2983" s="368"/>
      <c r="F2983" s="368"/>
    </row>
    <row r="2984" spans="1:6" x14ac:dyDescent="0.2">
      <c r="A2984" s="391">
        <v>102655</v>
      </c>
      <c r="B2984" s="478" t="s">
        <v>41139</v>
      </c>
      <c r="C2984" s="391" t="s">
        <v>0</v>
      </c>
      <c r="D2984" s="479">
        <v>0</v>
      </c>
      <c r="E2984" s="368"/>
      <c r="F2984" s="368"/>
    </row>
    <row r="2985" spans="1:6" ht="38.25" x14ac:dyDescent="0.2">
      <c r="A2985" s="391">
        <v>104987</v>
      </c>
      <c r="B2985" s="478" t="s">
        <v>41140</v>
      </c>
      <c r="C2985" s="391" t="s">
        <v>0</v>
      </c>
      <c r="D2985" s="479">
        <v>0</v>
      </c>
      <c r="E2985" s="368"/>
      <c r="F2985" s="368"/>
    </row>
    <row r="2986" spans="1:6" ht="38.25" x14ac:dyDescent="0.2">
      <c r="A2986" s="391">
        <v>104986</v>
      </c>
      <c r="B2986" s="478" t="s">
        <v>41141</v>
      </c>
      <c r="C2986" s="391" t="s">
        <v>0</v>
      </c>
      <c r="D2986" s="479">
        <v>0</v>
      </c>
      <c r="E2986" s="368"/>
      <c r="F2986" s="368"/>
    </row>
    <row r="2987" spans="1:6" ht="38.25" x14ac:dyDescent="0.2">
      <c r="A2987" s="391">
        <v>104984</v>
      </c>
      <c r="B2987" s="478" t="s">
        <v>41142</v>
      </c>
      <c r="C2987" s="391" t="s">
        <v>0</v>
      </c>
      <c r="D2987" s="479">
        <v>0</v>
      </c>
      <c r="E2987" s="368"/>
      <c r="F2987" s="368"/>
    </row>
    <row r="2988" spans="1:6" ht="38.25" x14ac:dyDescent="0.2">
      <c r="A2988" s="391">
        <v>104985</v>
      </c>
      <c r="B2988" s="478" t="s">
        <v>41143</v>
      </c>
      <c r="C2988" s="391" t="s">
        <v>0</v>
      </c>
      <c r="D2988" s="479">
        <v>0</v>
      </c>
      <c r="E2988" s="368"/>
      <c r="F2988" s="368"/>
    </row>
    <row r="2989" spans="1:6" ht="38.25" x14ac:dyDescent="0.2">
      <c r="A2989" s="391">
        <v>97026</v>
      </c>
      <c r="B2989" s="478" t="s">
        <v>41144</v>
      </c>
      <c r="C2989" s="391" t="s">
        <v>0</v>
      </c>
      <c r="D2989" s="479">
        <v>0</v>
      </c>
      <c r="E2989" s="368"/>
      <c r="F2989" s="368"/>
    </row>
    <row r="2990" spans="1:6" ht="38.25" x14ac:dyDescent="0.2">
      <c r="A2990" s="391">
        <v>97025</v>
      </c>
      <c r="B2990" s="478" t="s">
        <v>41145</v>
      </c>
      <c r="C2990" s="391" t="s">
        <v>0</v>
      </c>
      <c r="D2990" s="479">
        <v>0</v>
      </c>
      <c r="E2990" s="368"/>
      <c r="F2990" s="368"/>
    </row>
    <row r="2991" spans="1:6" ht="51" x14ac:dyDescent="0.2">
      <c r="A2991" s="391">
        <v>97032</v>
      </c>
      <c r="B2991" s="478" t="s">
        <v>5330</v>
      </c>
      <c r="C2991" s="391" t="s">
        <v>0</v>
      </c>
      <c r="D2991" s="479">
        <v>61.82</v>
      </c>
      <c r="E2991" s="368"/>
      <c r="F2991" s="368"/>
    </row>
    <row r="2992" spans="1:6" ht="51" x14ac:dyDescent="0.2">
      <c r="A2992" s="391">
        <v>97031</v>
      </c>
      <c r="B2992" s="478" t="s">
        <v>5329</v>
      </c>
      <c r="C2992" s="391" t="s">
        <v>0</v>
      </c>
      <c r="D2992" s="479">
        <v>103.21</v>
      </c>
      <c r="E2992" s="368"/>
      <c r="F2992" s="368"/>
    </row>
    <row r="2993" spans="1:6" ht="38.25" x14ac:dyDescent="0.2">
      <c r="A2993" s="391">
        <v>97036</v>
      </c>
      <c r="B2993" s="478" t="s">
        <v>41146</v>
      </c>
      <c r="C2993" s="391" t="s">
        <v>0</v>
      </c>
      <c r="D2993" s="479">
        <v>0</v>
      </c>
      <c r="E2993" s="368"/>
      <c r="F2993" s="368"/>
    </row>
    <row r="2994" spans="1:6" ht="38.25" x14ac:dyDescent="0.2">
      <c r="A2994" s="391">
        <v>97035</v>
      </c>
      <c r="B2994" s="478" t="s">
        <v>41147</v>
      </c>
      <c r="C2994" s="391" t="s">
        <v>0</v>
      </c>
      <c r="D2994" s="479">
        <v>0</v>
      </c>
      <c r="E2994" s="368"/>
      <c r="F2994" s="368"/>
    </row>
    <row r="2995" spans="1:6" ht="51" x14ac:dyDescent="0.2">
      <c r="A2995" s="391">
        <v>97034</v>
      </c>
      <c r="B2995" s="478" t="s">
        <v>5332</v>
      </c>
      <c r="C2995" s="391" t="s">
        <v>0</v>
      </c>
      <c r="D2995" s="479">
        <v>57.43</v>
      </c>
      <c r="E2995" s="368"/>
      <c r="F2995" s="368"/>
    </row>
    <row r="2996" spans="1:6" ht="51" x14ac:dyDescent="0.2">
      <c r="A2996" s="391">
        <v>97033</v>
      </c>
      <c r="B2996" s="478" t="s">
        <v>5331</v>
      </c>
      <c r="C2996" s="391" t="s">
        <v>0</v>
      </c>
      <c r="D2996" s="479">
        <v>89.59</v>
      </c>
      <c r="E2996" s="368"/>
      <c r="F2996" s="368"/>
    </row>
    <row r="2997" spans="1:6" ht="51" x14ac:dyDescent="0.2">
      <c r="A2997" s="391">
        <v>97030</v>
      </c>
      <c r="B2997" s="478" t="s">
        <v>41148</v>
      </c>
      <c r="C2997" s="391" t="s">
        <v>0</v>
      </c>
      <c r="D2997" s="479">
        <v>0</v>
      </c>
      <c r="E2997" s="368"/>
      <c r="F2997" s="368"/>
    </row>
    <row r="2998" spans="1:6" ht="51" x14ac:dyDescent="0.2">
      <c r="A2998" s="391">
        <v>97029</v>
      </c>
      <c r="B2998" s="478" t="s">
        <v>41149</v>
      </c>
      <c r="C2998" s="391" t="s">
        <v>0</v>
      </c>
      <c r="D2998" s="479">
        <v>0</v>
      </c>
      <c r="E2998" s="368"/>
      <c r="F2998" s="368"/>
    </row>
    <row r="2999" spans="1:6" ht="51" x14ac:dyDescent="0.2">
      <c r="A2999" s="391">
        <v>97028</v>
      </c>
      <c r="B2999" s="478" t="s">
        <v>41150</v>
      </c>
      <c r="C2999" s="391" t="s">
        <v>0</v>
      </c>
      <c r="D2999" s="479">
        <v>0</v>
      </c>
      <c r="E2999" s="368"/>
      <c r="F2999" s="368"/>
    </row>
    <row r="3000" spans="1:6" ht="51" x14ac:dyDescent="0.2">
      <c r="A3000" s="391">
        <v>97027</v>
      </c>
      <c r="B3000" s="478" t="s">
        <v>41151</v>
      </c>
      <c r="C3000" s="391" t="s">
        <v>0</v>
      </c>
      <c r="D3000" s="479">
        <v>0</v>
      </c>
      <c r="E3000" s="368"/>
      <c r="F3000" s="368"/>
    </row>
    <row r="3001" spans="1:6" ht="38.25" x14ac:dyDescent="0.2">
      <c r="A3001" s="391">
        <v>97038</v>
      </c>
      <c r="B3001" s="478" t="s">
        <v>41152</v>
      </c>
      <c r="C3001" s="391" t="s">
        <v>0</v>
      </c>
      <c r="D3001" s="479">
        <v>0</v>
      </c>
      <c r="E3001" s="368"/>
      <c r="F3001" s="368"/>
    </row>
    <row r="3002" spans="1:6" ht="51" x14ac:dyDescent="0.2">
      <c r="A3002" s="391">
        <v>97037</v>
      </c>
      <c r="B3002" s="478" t="s">
        <v>41153</v>
      </c>
      <c r="C3002" s="391" t="s">
        <v>0</v>
      </c>
      <c r="D3002" s="479">
        <v>0</v>
      </c>
      <c r="E3002" s="368"/>
      <c r="F3002" s="368"/>
    </row>
    <row r="3003" spans="1:6" ht="38.25" x14ac:dyDescent="0.2">
      <c r="A3003" s="391">
        <v>97014</v>
      </c>
      <c r="B3003" s="478" t="s">
        <v>5324</v>
      </c>
      <c r="C3003" s="391" t="s">
        <v>0</v>
      </c>
      <c r="D3003" s="479">
        <v>66.900000000000006</v>
      </c>
      <c r="E3003" s="368"/>
      <c r="F3003" s="368"/>
    </row>
    <row r="3004" spans="1:6" ht="38.25" x14ac:dyDescent="0.2">
      <c r="A3004" s="391">
        <v>97015</v>
      </c>
      <c r="B3004" s="478" t="s">
        <v>5325</v>
      </c>
      <c r="C3004" s="391" t="s">
        <v>0</v>
      </c>
      <c r="D3004" s="479">
        <v>54.88</v>
      </c>
      <c r="E3004" s="368"/>
      <c r="F3004" s="368"/>
    </row>
    <row r="3005" spans="1:6" ht="38.25" x14ac:dyDescent="0.2">
      <c r="A3005" s="391">
        <v>97013</v>
      </c>
      <c r="B3005" s="478" t="s">
        <v>5323</v>
      </c>
      <c r="C3005" s="391" t="s">
        <v>0</v>
      </c>
      <c r="D3005" s="479">
        <v>90.97</v>
      </c>
      <c r="E3005" s="368"/>
      <c r="F3005" s="368"/>
    </row>
    <row r="3006" spans="1:6" ht="38.25" x14ac:dyDescent="0.2">
      <c r="A3006" s="391">
        <v>97017</v>
      </c>
      <c r="B3006" s="478" t="s">
        <v>5327</v>
      </c>
      <c r="C3006" s="391" t="s">
        <v>0</v>
      </c>
      <c r="D3006" s="479">
        <v>47.93</v>
      </c>
      <c r="E3006" s="368"/>
      <c r="F3006" s="368"/>
    </row>
    <row r="3007" spans="1:6" ht="38.25" x14ac:dyDescent="0.2">
      <c r="A3007" s="391">
        <v>97018</v>
      </c>
      <c r="B3007" s="478" t="s">
        <v>5328</v>
      </c>
      <c r="C3007" s="391" t="s">
        <v>0</v>
      </c>
      <c r="D3007" s="479">
        <v>39.64</v>
      </c>
      <c r="E3007" s="368"/>
      <c r="F3007" s="368"/>
    </row>
    <row r="3008" spans="1:6" ht="38.25" x14ac:dyDescent="0.2">
      <c r="A3008" s="391">
        <v>97016</v>
      </c>
      <c r="B3008" s="478" t="s">
        <v>5326</v>
      </c>
      <c r="C3008" s="391" t="s">
        <v>0</v>
      </c>
      <c r="D3008" s="479">
        <v>64.64</v>
      </c>
      <c r="E3008" s="368"/>
      <c r="F3008" s="368"/>
    </row>
    <row r="3009" spans="1:6" ht="38.25" x14ac:dyDescent="0.2">
      <c r="A3009" s="391">
        <v>97024</v>
      </c>
      <c r="B3009" s="478" t="s">
        <v>41154</v>
      </c>
      <c r="C3009" s="391" t="s">
        <v>0</v>
      </c>
      <c r="D3009" s="479">
        <v>0</v>
      </c>
      <c r="E3009" s="368"/>
      <c r="F3009" s="368"/>
    </row>
    <row r="3010" spans="1:6" ht="38.25" x14ac:dyDescent="0.2">
      <c r="A3010" s="391">
        <v>97023</v>
      </c>
      <c r="B3010" s="478" t="s">
        <v>41155</v>
      </c>
      <c r="C3010" s="391" t="s">
        <v>0</v>
      </c>
      <c r="D3010" s="479">
        <v>0</v>
      </c>
      <c r="E3010" s="368"/>
      <c r="F3010" s="368"/>
    </row>
    <row r="3011" spans="1:6" ht="38.25" x14ac:dyDescent="0.2">
      <c r="A3011" s="391">
        <v>105804</v>
      </c>
      <c r="B3011" s="478" t="s">
        <v>41156</v>
      </c>
      <c r="C3011" s="391" t="s">
        <v>0</v>
      </c>
      <c r="D3011" s="479">
        <v>0</v>
      </c>
      <c r="E3011" s="368"/>
      <c r="F3011" s="368"/>
    </row>
    <row r="3012" spans="1:6" ht="38.25" x14ac:dyDescent="0.2">
      <c r="A3012" s="391">
        <v>104990</v>
      </c>
      <c r="B3012" s="478" t="s">
        <v>39778</v>
      </c>
      <c r="C3012" s="391" t="s">
        <v>0</v>
      </c>
      <c r="D3012" s="479">
        <v>12.66</v>
      </c>
      <c r="E3012" s="368"/>
      <c r="F3012" s="368"/>
    </row>
    <row r="3013" spans="1:6" ht="25.5" x14ac:dyDescent="0.2">
      <c r="A3013" s="391">
        <v>97052</v>
      </c>
      <c r="B3013" s="478" t="s">
        <v>41157</v>
      </c>
      <c r="C3013" s="391" t="s">
        <v>26</v>
      </c>
      <c r="D3013" s="479">
        <v>0</v>
      </c>
      <c r="E3013" s="368"/>
      <c r="F3013" s="368"/>
    </row>
    <row r="3014" spans="1:6" x14ac:dyDescent="0.2">
      <c r="A3014" s="391">
        <v>97054</v>
      </c>
      <c r="B3014" s="478" t="s">
        <v>5337</v>
      </c>
      <c r="C3014" s="391" t="s">
        <v>26</v>
      </c>
      <c r="D3014" s="479">
        <v>28.39</v>
      </c>
      <c r="E3014" s="368"/>
      <c r="F3014" s="368"/>
    </row>
    <row r="3015" spans="1:6" ht="25.5" x14ac:dyDescent="0.2">
      <c r="A3015" s="391">
        <v>104981</v>
      </c>
      <c r="B3015" s="478" t="s">
        <v>41158</v>
      </c>
      <c r="C3015" s="391" t="s">
        <v>0</v>
      </c>
      <c r="D3015" s="479">
        <v>0</v>
      </c>
      <c r="E3015" s="368"/>
      <c r="F3015" s="368"/>
    </row>
    <row r="3016" spans="1:6" ht="25.5" x14ac:dyDescent="0.2">
      <c r="A3016" s="391">
        <v>104980</v>
      </c>
      <c r="B3016" s="478" t="s">
        <v>41159</v>
      </c>
      <c r="C3016" s="391" t="s">
        <v>0</v>
      </c>
      <c r="D3016" s="479">
        <v>0</v>
      </c>
      <c r="E3016" s="368"/>
      <c r="F3016" s="368"/>
    </row>
    <row r="3017" spans="1:6" ht="25.5" x14ac:dyDescent="0.2">
      <c r="A3017" s="391">
        <v>97042</v>
      </c>
      <c r="B3017" s="478" t="s">
        <v>41160</v>
      </c>
      <c r="C3017" s="391" t="s">
        <v>0</v>
      </c>
      <c r="D3017" s="479">
        <v>0</v>
      </c>
      <c r="E3017" s="368"/>
      <c r="F3017" s="368"/>
    </row>
    <row r="3018" spans="1:6" ht="38.25" x14ac:dyDescent="0.2">
      <c r="A3018" s="391">
        <v>97045</v>
      </c>
      <c r="B3018" s="478" t="s">
        <v>41161</v>
      </c>
      <c r="C3018" s="391" t="s">
        <v>0</v>
      </c>
      <c r="D3018" s="479">
        <v>0</v>
      </c>
      <c r="E3018" s="368"/>
      <c r="F3018" s="368"/>
    </row>
    <row r="3019" spans="1:6" ht="25.5" x14ac:dyDescent="0.2">
      <c r="A3019" s="391">
        <v>97044</v>
      </c>
      <c r="B3019" s="478" t="s">
        <v>41162</v>
      </c>
      <c r="C3019" s="391" t="s">
        <v>0</v>
      </c>
      <c r="D3019" s="479">
        <v>0</v>
      </c>
      <c r="E3019" s="368"/>
      <c r="F3019" s="368"/>
    </row>
    <row r="3020" spans="1:6" ht="25.5" x14ac:dyDescent="0.2">
      <c r="A3020" s="391">
        <v>97043</v>
      </c>
      <c r="B3020" s="478" t="s">
        <v>41163</v>
      </c>
      <c r="C3020" s="391" t="s">
        <v>0</v>
      </c>
      <c r="D3020" s="479">
        <v>0</v>
      </c>
      <c r="E3020" s="368"/>
      <c r="F3020" s="368"/>
    </row>
    <row r="3021" spans="1:6" ht="38.25" x14ac:dyDescent="0.2">
      <c r="A3021" s="391">
        <v>97063</v>
      </c>
      <c r="B3021" s="478" t="s">
        <v>5339</v>
      </c>
      <c r="C3021" s="391" t="s">
        <v>255</v>
      </c>
      <c r="D3021" s="479">
        <v>17.510000000000002</v>
      </c>
      <c r="E3021" s="368"/>
      <c r="F3021" s="368"/>
    </row>
    <row r="3022" spans="1:6" ht="25.5" x14ac:dyDescent="0.2">
      <c r="A3022" s="391">
        <v>97065</v>
      </c>
      <c r="B3022" s="478" t="s">
        <v>5340</v>
      </c>
      <c r="C3022" s="391" t="s">
        <v>271</v>
      </c>
      <c r="D3022" s="479">
        <v>11.81</v>
      </c>
      <c r="E3022" s="368"/>
      <c r="F3022" s="368"/>
    </row>
    <row r="3023" spans="1:6" ht="25.5" x14ac:dyDescent="0.2">
      <c r="A3023" s="391">
        <v>97064</v>
      </c>
      <c r="B3023" s="478" t="s">
        <v>39075</v>
      </c>
      <c r="C3023" s="391" t="s">
        <v>0</v>
      </c>
      <c r="D3023" s="479">
        <v>24.58</v>
      </c>
      <c r="E3023" s="368"/>
      <c r="F3023" s="368"/>
    </row>
    <row r="3024" spans="1:6" ht="25.5" x14ac:dyDescent="0.2">
      <c r="A3024" s="391">
        <v>97049</v>
      </c>
      <c r="B3024" s="478" t="s">
        <v>41164</v>
      </c>
      <c r="C3024" s="391" t="s">
        <v>255</v>
      </c>
      <c r="D3024" s="479">
        <v>0</v>
      </c>
      <c r="E3024" s="368"/>
      <c r="F3024" s="368"/>
    </row>
    <row r="3025" spans="1:6" ht="38.25" x14ac:dyDescent="0.2">
      <c r="A3025" s="391">
        <v>96997</v>
      </c>
      <c r="B3025" s="478" t="s">
        <v>41165</v>
      </c>
      <c r="C3025" s="391" t="s">
        <v>0</v>
      </c>
      <c r="D3025" s="479">
        <v>0</v>
      </c>
      <c r="E3025" s="368"/>
      <c r="F3025" s="368"/>
    </row>
    <row r="3026" spans="1:6" ht="38.25" x14ac:dyDescent="0.2">
      <c r="A3026" s="391">
        <v>96999</v>
      </c>
      <c r="B3026" s="478" t="s">
        <v>41166</v>
      </c>
      <c r="C3026" s="391" t="s">
        <v>0</v>
      </c>
      <c r="D3026" s="479">
        <v>0</v>
      </c>
      <c r="E3026" s="368"/>
      <c r="F3026" s="368"/>
    </row>
    <row r="3027" spans="1:6" ht="38.25" x14ac:dyDescent="0.2">
      <c r="A3027" s="391">
        <v>96996</v>
      </c>
      <c r="B3027" s="478" t="s">
        <v>41167</v>
      </c>
      <c r="C3027" s="391" t="s">
        <v>0</v>
      </c>
      <c r="D3027" s="479">
        <v>0</v>
      </c>
      <c r="E3027" s="368"/>
      <c r="F3027" s="368"/>
    </row>
    <row r="3028" spans="1:6" ht="38.25" x14ac:dyDescent="0.2">
      <c r="A3028" s="391">
        <v>96998</v>
      </c>
      <c r="B3028" s="478" t="s">
        <v>41168</v>
      </c>
      <c r="C3028" s="391" t="s">
        <v>0</v>
      </c>
      <c r="D3028" s="479">
        <v>0</v>
      </c>
      <c r="E3028" s="368"/>
      <c r="F3028" s="368"/>
    </row>
    <row r="3029" spans="1:6" ht="38.25" x14ac:dyDescent="0.2">
      <c r="A3029" s="391">
        <v>97067</v>
      </c>
      <c r="B3029" s="478" t="s">
        <v>5342</v>
      </c>
      <c r="C3029" s="391" t="s">
        <v>0</v>
      </c>
      <c r="D3029" s="479">
        <v>667.85</v>
      </c>
      <c r="E3029" s="368"/>
      <c r="F3029" s="368"/>
    </row>
    <row r="3030" spans="1:6" ht="38.25" x14ac:dyDescent="0.2">
      <c r="A3030" s="391">
        <v>97001</v>
      </c>
      <c r="B3030" s="478" t="s">
        <v>41169</v>
      </c>
      <c r="C3030" s="391" t="s">
        <v>0</v>
      </c>
      <c r="D3030" s="479">
        <v>0</v>
      </c>
      <c r="E3030" s="368"/>
      <c r="F3030" s="368"/>
    </row>
    <row r="3031" spans="1:6" ht="38.25" x14ac:dyDescent="0.2">
      <c r="A3031" s="391">
        <v>97003</v>
      </c>
      <c r="B3031" s="478" t="s">
        <v>41170</v>
      </c>
      <c r="C3031" s="391" t="s">
        <v>0</v>
      </c>
      <c r="D3031" s="479">
        <v>0</v>
      </c>
      <c r="E3031" s="368"/>
      <c r="F3031" s="368"/>
    </row>
    <row r="3032" spans="1:6" ht="38.25" x14ac:dyDescent="0.2">
      <c r="A3032" s="391">
        <v>97005</v>
      </c>
      <c r="B3032" s="478" t="s">
        <v>41171</v>
      </c>
      <c r="C3032" s="391" t="s">
        <v>0</v>
      </c>
      <c r="D3032" s="479">
        <v>0</v>
      </c>
      <c r="E3032" s="368"/>
      <c r="F3032" s="368"/>
    </row>
    <row r="3033" spans="1:6" ht="38.25" x14ac:dyDescent="0.2">
      <c r="A3033" s="391">
        <v>97000</v>
      </c>
      <c r="B3033" s="478" t="s">
        <v>41172</v>
      </c>
      <c r="C3033" s="391" t="s">
        <v>0</v>
      </c>
      <c r="D3033" s="479">
        <v>0</v>
      </c>
      <c r="E3033" s="368"/>
      <c r="F3033" s="368"/>
    </row>
    <row r="3034" spans="1:6" ht="38.25" x14ac:dyDescent="0.2">
      <c r="A3034" s="391">
        <v>97002</v>
      </c>
      <c r="B3034" s="478" t="s">
        <v>41173</v>
      </c>
      <c r="C3034" s="391" t="s">
        <v>0</v>
      </c>
      <c r="D3034" s="479">
        <v>0</v>
      </c>
      <c r="E3034" s="368"/>
      <c r="F3034" s="368"/>
    </row>
    <row r="3035" spans="1:6" ht="38.25" x14ac:dyDescent="0.2">
      <c r="A3035" s="391">
        <v>97004</v>
      </c>
      <c r="B3035" s="478" t="s">
        <v>41174</v>
      </c>
      <c r="C3035" s="391" t="s">
        <v>0</v>
      </c>
      <c r="D3035" s="479">
        <v>0</v>
      </c>
      <c r="E3035" s="368"/>
      <c r="F3035" s="368"/>
    </row>
    <row r="3036" spans="1:6" ht="38.25" x14ac:dyDescent="0.2">
      <c r="A3036" s="391">
        <v>97007</v>
      </c>
      <c r="B3036" s="478" t="s">
        <v>41175</v>
      </c>
      <c r="C3036" s="391" t="s">
        <v>0</v>
      </c>
      <c r="D3036" s="479">
        <v>0</v>
      </c>
      <c r="E3036" s="368"/>
      <c r="F3036" s="368"/>
    </row>
    <row r="3037" spans="1:6" ht="38.25" x14ac:dyDescent="0.2">
      <c r="A3037" s="391">
        <v>97009</v>
      </c>
      <c r="B3037" s="478" t="s">
        <v>41176</v>
      </c>
      <c r="C3037" s="391" t="s">
        <v>0</v>
      </c>
      <c r="D3037" s="479">
        <v>0</v>
      </c>
      <c r="E3037" s="368"/>
      <c r="F3037" s="368"/>
    </row>
    <row r="3038" spans="1:6" ht="38.25" x14ac:dyDescent="0.2">
      <c r="A3038" s="391">
        <v>97006</v>
      </c>
      <c r="B3038" s="478" t="s">
        <v>41177</v>
      </c>
      <c r="C3038" s="391" t="s">
        <v>0</v>
      </c>
      <c r="D3038" s="479">
        <v>0</v>
      </c>
      <c r="E3038" s="368"/>
      <c r="F3038" s="368"/>
    </row>
    <row r="3039" spans="1:6" ht="38.25" x14ac:dyDescent="0.2">
      <c r="A3039" s="391">
        <v>97008</v>
      </c>
      <c r="B3039" s="478" t="s">
        <v>41178</v>
      </c>
      <c r="C3039" s="391" t="s">
        <v>0</v>
      </c>
      <c r="D3039" s="479">
        <v>0</v>
      </c>
      <c r="E3039" s="368"/>
      <c r="F3039" s="368"/>
    </row>
    <row r="3040" spans="1:6" ht="25.5" x14ac:dyDescent="0.2">
      <c r="A3040" s="391">
        <v>97048</v>
      </c>
      <c r="B3040" s="478" t="s">
        <v>5336</v>
      </c>
      <c r="C3040" s="391" t="s">
        <v>255</v>
      </c>
      <c r="D3040" s="479">
        <v>0.09</v>
      </c>
      <c r="E3040" s="368"/>
      <c r="F3040" s="368"/>
    </row>
    <row r="3041" spans="1:6" ht="25.5" x14ac:dyDescent="0.2">
      <c r="A3041" s="391">
        <v>97047</v>
      </c>
      <c r="B3041" s="478" t="s">
        <v>5335</v>
      </c>
      <c r="C3041" s="391" t="s">
        <v>255</v>
      </c>
      <c r="D3041" s="479">
        <v>0.13</v>
      </c>
      <c r="E3041" s="368"/>
      <c r="F3041" s="368"/>
    </row>
    <row r="3042" spans="1:6" ht="25.5" x14ac:dyDescent="0.2">
      <c r="A3042" s="391">
        <v>97046</v>
      </c>
      <c r="B3042" s="478" t="s">
        <v>40560</v>
      </c>
      <c r="C3042" s="391" t="s">
        <v>255</v>
      </c>
      <c r="D3042" s="479">
        <v>0.34</v>
      </c>
      <c r="E3042" s="368"/>
      <c r="F3042" s="368"/>
    </row>
    <row r="3043" spans="1:6" ht="25.5" x14ac:dyDescent="0.2">
      <c r="A3043" s="391">
        <v>104989</v>
      </c>
      <c r="B3043" s="478" t="s">
        <v>39777</v>
      </c>
      <c r="C3043" s="391" t="s">
        <v>26</v>
      </c>
      <c r="D3043" s="479">
        <v>41.81</v>
      </c>
      <c r="E3043" s="368"/>
      <c r="F3043" s="368"/>
    </row>
    <row r="3044" spans="1:6" ht="25.5" x14ac:dyDescent="0.2">
      <c r="A3044" s="391">
        <v>97066</v>
      </c>
      <c r="B3044" s="478" t="s">
        <v>5341</v>
      </c>
      <c r="C3044" s="391" t="s">
        <v>255</v>
      </c>
      <c r="D3044" s="479">
        <v>346.28</v>
      </c>
      <c r="E3044" s="368"/>
      <c r="F3044" s="368"/>
    </row>
    <row r="3045" spans="1:6" x14ac:dyDescent="0.2">
      <c r="A3045" s="391">
        <v>104982</v>
      </c>
      <c r="B3045" s="478" t="s">
        <v>41179</v>
      </c>
      <c r="C3045" s="391" t="s">
        <v>0</v>
      </c>
      <c r="D3045" s="479">
        <v>0</v>
      </c>
      <c r="E3045" s="368"/>
      <c r="F3045" s="368"/>
    </row>
    <row r="3046" spans="1:6" ht="25.5" x14ac:dyDescent="0.2">
      <c r="A3046" s="391">
        <v>97060</v>
      </c>
      <c r="B3046" s="478" t="s">
        <v>41180</v>
      </c>
      <c r="C3046" s="391" t="s">
        <v>0</v>
      </c>
      <c r="D3046" s="479">
        <v>0</v>
      </c>
      <c r="E3046" s="368"/>
      <c r="F3046" s="368"/>
    </row>
    <row r="3047" spans="1:6" ht="25.5" x14ac:dyDescent="0.2">
      <c r="A3047" s="391">
        <v>97059</v>
      </c>
      <c r="B3047" s="478" t="s">
        <v>41181</v>
      </c>
      <c r="C3047" s="391" t="s">
        <v>0</v>
      </c>
      <c r="D3047" s="479">
        <v>0</v>
      </c>
      <c r="E3047" s="368"/>
      <c r="F3047" s="368"/>
    </row>
    <row r="3048" spans="1:6" ht="25.5" x14ac:dyDescent="0.2">
      <c r="A3048" s="391">
        <v>97058</v>
      </c>
      <c r="B3048" s="478" t="s">
        <v>41182</v>
      </c>
      <c r="C3048" s="391" t="s">
        <v>0</v>
      </c>
      <c r="D3048" s="479">
        <v>0</v>
      </c>
      <c r="E3048" s="368"/>
      <c r="F3048" s="368"/>
    </row>
    <row r="3049" spans="1:6" ht="25.5" x14ac:dyDescent="0.2">
      <c r="A3049" s="391">
        <v>97056</v>
      </c>
      <c r="B3049" s="478" t="s">
        <v>41183</v>
      </c>
      <c r="C3049" s="391" t="s">
        <v>0</v>
      </c>
      <c r="D3049" s="479">
        <v>0</v>
      </c>
      <c r="E3049" s="368"/>
      <c r="F3049" s="368"/>
    </row>
    <row r="3050" spans="1:6" ht="25.5" x14ac:dyDescent="0.2">
      <c r="A3050" s="391">
        <v>97057</v>
      </c>
      <c r="B3050" s="478" t="s">
        <v>41184</v>
      </c>
      <c r="C3050" s="391" t="s">
        <v>0</v>
      </c>
      <c r="D3050" s="479">
        <v>0</v>
      </c>
      <c r="E3050" s="368"/>
      <c r="F3050" s="368"/>
    </row>
    <row r="3051" spans="1:6" ht="25.5" x14ac:dyDescent="0.2">
      <c r="A3051" s="391">
        <v>97055</v>
      </c>
      <c r="B3051" s="478" t="s">
        <v>41185</v>
      </c>
      <c r="C3051" s="391" t="s">
        <v>0</v>
      </c>
      <c r="D3051" s="479">
        <v>0</v>
      </c>
      <c r="E3051" s="368"/>
      <c r="F3051" s="368"/>
    </row>
    <row r="3052" spans="1:6" ht="25.5" x14ac:dyDescent="0.2">
      <c r="A3052" s="391">
        <v>102656</v>
      </c>
      <c r="B3052" s="478" t="s">
        <v>41186</v>
      </c>
      <c r="C3052" s="391" t="s">
        <v>0</v>
      </c>
      <c r="D3052" s="479">
        <v>0</v>
      </c>
      <c r="E3052" s="368"/>
      <c r="F3052" s="368"/>
    </row>
    <row r="3053" spans="1:6" x14ac:dyDescent="0.2">
      <c r="A3053" s="391">
        <v>104983</v>
      </c>
      <c r="B3053" s="478" t="s">
        <v>41187</v>
      </c>
      <c r="C3053" s="391" t="s">
        <v>26</v>
      </c>
      <c r="D3053" s="479">
        <v>0</v>
      </c>
      <c r="E3053" s="368"/>
      <c r="F3053" s="368"/>
    </row>
    <row r="3054" spans="1:6" ht="25.5" x14ac:dyDescent="0.2">
      <c r="A3054" s="391">
        <v>97050</v>
      </c>
      <c r="B3054" s="478" t="s">
        <v>41188</v>
      </c>
      <c r="C3054" s="391" t="s">
        <v>255</v>
      </c>
      <c r="D3054" s="479">
        <v>0</v>
      </c>
      <c r="E3054" s="368"/>
      <c r="F3054" s="368"/>
    </row>
    <row r="3055" spans="1:6" ht="25.5" x14ac:dyDescent="0.2">
      <c r="A3055" s="391">
        <v>95946</v>
      </c>
      <c r="B3055" s="478" t="s">
        <v>2066</v>
      </c>
      <c r="C3055" s="391" t="s">
        <v>1284</v>
      </c>
      <c r="D3055" s="479">
        <v>12.57</v>
      </c>
      <c r="E3055" s="368"/>
      <c r="F3055" s="368"/>
    </row>
    <row r="3056" spans="1:6" ht="25.5" x14ac:dyDescent="0.2">
      <c r="A3056" s="391">
        <v>95947</v>
      </c>
      <c r="B3056" s="478" t="s">
        <v>2067</v>
      </c>
      <c r="C3056" s="391" t="s">
        <v>1284</v>
      </c>
      <c r="D3056" s="479">
        <v>9.6300000000000008</v>
      </c>
      <c r="E3056" s="368"/>
      <c r="F3056" s="368"/>
    </row>
    <row r="3057" spans="1:6" ht="25.5" x14ac:dyDescent="0.2">
      <c r="A3057" s="391">
        <v>95948</v>
      </c>
      <c r="B3057" s="478" t="s">
        <v>2068</v>
      </c>
      <c r="C3057" s="391" t="s">
        <v>1284</v>
      </c>
      <c r="D3057" s="479">
        <v>8.4600000000000009</v>
      </c>
      <c r="E3057" s="368"/>
      <c r="F3057" s="368"/>
    </row>
    <row r="3058" spans="1:6" ht="25.5" x14ac:dyDescent="0.2">
      <c r="A3058" s="391">
        <v>95944</v>
      </c>
      <c r="B3058" s="478" t="s">
        <v>2064</v>
      </c>
      <c r="C3058" s="391" t="s">
        <v>1284</v>
      </c>
      <c r="D3058" s="479">
        <v>19.68</v>
      </c>
      <c r="E3058" s="368"/>
      <c r="F3058" s="368"/>
    </row>
    <row r="3059" spans="1:6" ht="25.5" x14ac:dyDescent="0.2">
      <c r="A3059" s="391">
        <v>95945</v>
      </c>
      <c r="B3059" s="478" t="s">
        <v>2065</v>
      </c>
      <c r="C3059" s="391" t="s">
        <v>1284</v>
      </c>
      <c r="D3059" s="479">
        <v>15.85</v>
      </c>
      <c r="E3059" s="368"/>
      <c r="F3059" s="368"/>
    </row>
    <row r="3060" spans="1:6" ht="25.5" x14ac:dyDescent="0.2">
      <c r="A3060" s="391">
        <v>95943</v>
      </c>
      <c r="B3060" s="478" t="s">
        <v>2063</v>
      </c>
      <c r="C3060" s="391" t="s">
        <v>1284</v>
      </c>
      <c r="D3060" s="479">
        <v>21.72</v>
      </c>
      <c r="E3060" s="368"/>
      <c r="F3060" s="368"/>
    </row>
    <row r="3061" spans="1:6" ht="38.25" x14ac:dyDescent="0.2">
      <c r="A3061" s="391">
        <v>102077</v>
      </c>
      <c r="B3061" s="478" t="s">
        <v>47176</v>
      </c>
      <c r="C3061" s="391" t="s">
        <v>271</v>
      </c>
      <c r="D3061" s="479">
        <v>5213.18</v>
      </c>
      <c r="E3061" s="368"/>
      <c r="F3061" s="368"/>
    </row>
    <row r="3062" spans="1:6" ht="38.25" x14ac:dyDescent="0.2">
      <c r="A3062" s="391">
        <v>102073</v>
      </c>
      <c r="B3062" s="478" t="s">
        <v>47177</v>
      </c>
      <c r="C3062" s="391" t="s">
        <v>271</v>
      </c>
      <c r="D3062" s="479">
        <v>3852.03</v>
      </c>
      <c r="E3062" s="368"/>
      <c r="F3062" s="368"/>
    </row>
    <row r="3063" spans="1:6" ht="38.25" x14ac:dyDescent="0.2">
      <c r="A3063" s="391">
        <v>102079</v>
      </c>
      <c r="B3063" s="478" t="s">
        <v>47616</v>
      </c>
      <c r="C3063" s="391" t="s">
        <v>271</v>
      </c>
      <c r="D3063" s="479">
        <v>5126.0200000000004</v>
      </c>
      <c r="E3063" s="368"/>
      <c r="F3063" s="368"/>
    </row>
    <row r="3064" spans="1:6" ht="38.25" x14ac:dyDescent="0.2">
      <c r="A3064" s="391">
        <v>102075</v>
      </c>
      <c r="B3064" s="478" t="s">
        <v>47617</v>
      </c>
      <c r="C3064" s="391" t="s">
        <v>271</v>
      </c>
      <c r="D3064" s="479">
        <v>4711.45</v>
      </c>
      <c r="E3064" s="368"/>
      <c r="F3064" s="368"/>
    </row>
    <row r="3065" spans="1:6" ht="38.25" x14ac:dyDescent="0.2">
      <c r="A3065" s="391">
        <v>102078</v>
      </c>
      <c r="B3065" s="478" t="s">
        <v>47618</v>
      </c>
      <c r="C3065" s="391" t="s">
        <v>271</v>
      </c>
      <c r="D3065" s="479">
        <v>5386.29</v>
      </c>
      <c r="E3065" s="368"/>
      <c r="F3065" s="368"/>
    </row>
    <row r="3066" spans="1:6" ht="38.25" x14ac:dyDescent="0.2">
      <c r="A3066" s="391">
        <v>102074</v>
      </c>
      <c r="B3066" s="478" t="s">
        <v>47619</v>
      </c>
      <c r="C3066" s="391" t="s">
        <v>271</v>
      </c>
      <c r="D3066" s="479">
        <v>4561.4799999999996</v>
      </c>
      <c r="E3066" s="368"/>
      <c r="F3066" s="368"/>
    </row>
    <row r="3067" spans="1:6" ht="38.25" x14ac:dyDescent="0.2">
      <c r="A3067" s="391">
        <v>102080</v>
      </c>
      <c r="B3067" s="478" t="s">
        <v>47620</v>
      </c>
      <c r="C3067" s="391" t="s">
        <v>271</v>
      </c>
      <c r="D3067" s="479">
        <v>4470.4399999999996</v>
      </c>
      <c r="E3067" s="368"/>
      <c r="F3067" s="368"/>
    </row>
    <row r="3068" spans="1:6" ht="38.25" x14ac:dyDescent="0.2">
      <c r="A3068" s="391">
        <v>102076</v>
      </c>
      <c r="B3068" s="478" t="s">
        <v>47621</v>
      </c>
      <c r="C3068" s="391" t="s">
        <v>271</v>
      </c>
      <c r="D3068" s="479">
        <v>4869.8</v>
      </c>
      <c r="E3068" s="368"/>
      <c r="F3068" s="368"/>
    </row>
    <row r="3069" spans="1:6" ht="25.5" x14ac:dyDescent="0.2">
      <c r="A3069" s="391">
        <v>102084</v>
      </c>
      <c r="B3069" s="478" t="s">
        <v>41189</v>
      </c>
      <c r="C3069" s="391" t="s">
        <v>0</v>
      </c>
      <c r="D3069" s="479">
        <v>0</v>
      </c>
      <c r="E3069" s="368"/>
      <c r="F3069" s="368"/>
    </row>
    <row r="3070" spans="1:6" ht="38.25" x14ac:dyDescent="0.2">
      <c r="A3070" s="391">
        <v>102082</v>
      </c>
      <c r="B3070" s="478" t="s">
        <v>41190</v>
      </c>
      <c r="C3070" s="391" t="s">
        <v>0</v>
      </c>
      <c r="D3070" s="479">
        <v>0</v>
      </c>
      <c r="E3070" s="368"/>
      <c r="F3070" s="368"/>
    </row>
    <row r="3071" spans="1:6" ht="25.5" x14ac:dyDescent="0.2">
      <c r="A3071" s="391">
        <v>102081</v>
      </c>
      <c r="B3071" s="478" t="s">
        <v>41191</v>
      </c>
      <c r="C3071" s="391" t="s">
        <v>0</v>
      </c>
      <c r="D3071" s="479">
        <v>0</v>
      </c>
      <c r="E3071" s="368"/>
      <c r="F3071" s="368"/>
    </row>
    <row r="3072" spans="1:6" ht="38.25" x14ac:dyDescent="0.2">
      <c r="A3072" s="391">
        <v>102092</v>
      </c>
      <c r="B3072" s="478" t="s">
        <v>41192</v>
      </c>
      <c r="C3072" s="391" t="s">
        <v>0</v>
      </c>
      <c r="D3072" s="479">
        <v>0</v>
      </c>
      <c r="E3072" s="368"/>
      <c r="F3072" s="368"/>
    </row>
    <row r="3073" spans="1:6" ht="38.25" x14ac:dyDescent="0.2">
      <c r="A3073" s="391">
        <v>102089</v>
      </c>
      <c r="B3073" s="478" t="s">
        <v>1989</v>
      </c>
      <c r="C3073" s="391" t="s">
        <v>255</v>
      </c>
      <c r="D3073" s="479">
        <v>219.55</v>
      </c>
      <c r="E3073" s="368"/>
      <c r="F3073" s="368"/>
    </row>
    <row r="3074" spans="1:6" ht="38.25" x14ac:dyDescent="0.2">
      <c r="A3074" s="391">
        <v>102090</v>
      </c>
      <c r="B3074" s="478" t="s">
        <v>1990</v>
      </c>
      <c r="C3074" s="391" t="s">
        <v>255</v>
      </c>
      <c r="D3074" s="479">
        <v>163.16</v>
      </c>
      <c r="E3074" s="368"/>
      <c r="F3074" s="368"/>
    </row>
    <row r="3075" spans="1:6" ht="38.25" x14ac:dyDescent="0.2">
      <c r="A3075" s="391">
        <v>102086</v>
      </c>
      <c r="B3075" s="478" t="s">
        <v>1987</v>
      </c>
      <c r="C3075" s="391" t="s">
        <v>255</v>
      </c>
      <c r="D3075" s="479">
        <v>240.86</v>
      </c>
      <c r="E3075" s="368"/>
      <c r="F3075" s="368"/>
    </row>
    <row r="3076" spans="1:6" ht="38.25" x14ac:dyDescent="0.2">
      <c r="A3076" s="391">
        <v>102087</v>
      </c>
      <c r="B3076" s="478" t="s">
        <v>1988</v>
      </c>
      <c r="C3076" s="391" t="s">
        <v>255</v>
      </c>
      <c r="D3076" s="479">
        <v>191.15</v>
      </c>
      <c r="E3076" s="368"/>
      <c r="F3076" s="368"/>
    </row>
    <row r="3077" spans="1:6" ht="25.5" x14ac:dyDescent="0.2">
      <c r="A3077" s="391">
        <v>102091</v>
      </c>
      <c r="B3077" s="478" t="s">
        <v>38787</v>
      </c>
      <c r="C3077" s="391" t="s">
        <v>255</v>
      </c>
      <c r="D3077" s="479">
        <v>282.14</v>
      </c>
      <c r="E3077" s="368"/>
      <c r="F3077" s="368"/>
    </row>
    <row r="3078" spans="1:6" ht="25.5" x14ac:dyDescent="0.2">
      <c r="A3078" s="391">
        <v>102088</v>
      </c>
      <c r="B3078" s="478" t="s">
        <v>38786</v>
      </c>
      <c r="C3078" s="391" t="s">
        <v>255</v>
      </c>
      <c r="D3078" s="479">
        <v>245.61</v>
      </c>
      <c r="E3078" s="368"/>
      <c r="F3078" s="368"/>
    </row>
    <row r="3079" spans="1:6" ht="25.5" x14ac:dyDescent="0.2">
      <c r="A3079" s="391">
        <v>101997</v>
      </c>
      <c r="B3079" s="478" t="s">
        <v>1935</v>
      </c>
      <c r="C3079" s="391" t="s">
        <v>255</v>
      </c>
      <c r="D3079" s="479">
        <v>230.52</v>
      </c>
      <c r="E3079" s="368"/>
      <c r="F3079" s="368"/>
    </row>
    <row r="3080" spans="1:6" ht="25.5" x14ac:dyDescent="0.2">
      <c r="A3080" s="391">
        <v>101998</v>
      </c>
      <c r="B3080" s="478" t="s">
        <v>1936</v>
      </c>
      <c r="C3080" s="391" t="s">
        <v>255</v>
      </c>
      <c r="D3080" s="479">
        <v>170.94</v>
      </c>
      <c r="E3080" s="368"/>
      <c r="F3080" s="368"/>
    </row>
    <row r="3081" spans="1:6" ht="25.5" x14ac:dyDescent="0.2">
      <c r="A3081" s="391">
        <v>101999</v>
      </c>
      <c r="B3081" s="478" t="s">
        <v>1937</v>
      </c>
      <c r="C3081" s="391" t="s">
        <v>255</v>
      </c>
      <c r="D3081" s="479">
        <v>332.72</v>
      </c>
      <c r="E3081" s="368"/>
      <c r="F3081" s="368"/>
    </row>
    <row r="3082" spans="1:6" ht="25.5" x14ac:dyDescent="0.2">
      <c r="A3082" s="391">
        <v>101994</v>
      </c>
      <c r="B3082" s="478" t="s">
        <v>1932</v>
      </c>
      <c r="C3082" s="391" t="s">
        <v>255</v>
      </c>
      <c r="D3082" s="479">
        <v>251.06</v>
      </c>
      <c r="E3082" s="368"/>
      <c r="F3082" s="368"/>
    </row>
    <row r="3083" spans="1:6" ht="25.5" x14ac:dyDescent="0.2">
      <c r="A3083" s="391">
        <v>101995</v>
      </c>
      <c r="B3083" s="478" t="s">
        <v>1933</v>
      </c>
      <c r="C3083" s="391" t="s">
        <v>255</v>
      </c>
      <c r="D3083" s="479">
        <v>197.91</v>
      </c>
      <c r="E3083" s="368"/>
      <c r="F3083" s="368"/>
    </row>
    <row r="3084" spans="1:6" ht="25.5" x14ac:dyDescent="0.2">
      <c r="A3084" s="391">
        <v>101996</v>
      </c>
      <c r="B3084" s="478" t="s">
        <v>1934</v>
      </c>
      <c r="C3084" s="391" t="s">
        <v>255</v>
      </c>
      <c r="D3084" s="479">
        <v>263.52</v>
      </c>
      <c r="E3084" s="368"/>
      <c r="F3084" s="368"/>
    </row>
    <row r="3085" spans="1:6" ht="38.25" x14ac:dyDescent="0.2">
      <c r="A3085" s="391">
        <v>101991</v>
      </c>
      <c r="B3085" s="478" t="s">
        <v>1929</v>
      </c>
      <c r="C3085" s="391" t="s">
        <v>255</v>
      </c>
      <c r="D3085" s="479">
        <v>231.47</v>
      </c>
      <c r="E3085" s="368"/>
      <c r="F3085" s="368"/>
    </row>
    <row r="3086" spans="1:6" ht="38.25" x14ac:dyDescent="0.2">
      <c r="A3086" s="391">
        <v>101992</v>
      </c>
      <c r="B3086" s="478" t="s">
        <v>1930</v>
      </c>
      <c r="C3086" s="391" t="s">
        <v>255</v>
      </c>
      <c r="D3086" s="479">
        <v>173.2</v>
      </c>
      <c r="E3086" s="368"/>
      <c r="F3086" s="368"/>
    </row>
    <row r="3087" spans="1:6" ht="25.5" x14ac:dyDescent="0.2">
      <c r="A3087" s="391">
        <v>101993</v>
      </c>
      <c r="B3087" s="478" t="s">
        <v>1931</v>
      </c>
      <c r="C3087" s="391" t="s">
        <v>255</v>
      </c>
      <c r="D3087" s="479">
        <v>310.8</v>
      </c>
      <c r="E3087" s="368"/>
      <c r="F3087" s="368"/>
    </row>
    <row r="3088" spans="1:6" ht="25.5" x14ac:dyDescent="0.2">
      <c r="A3088" s="391">
        <v>101988</v>
      </c>
      <c r="B3088" s="478" t="s">
        <v>1926</v>
      </c>
      <c r="C3088" s="391" t="s">
        <v>255</v>
      </c>
      <c r="D3088" s="479">
        <v>236.4</v>
      </c>
      <c r="E3088" s="368"/>
      <c r="F3088" s="368"/>
    </row>
    <row r="3089" spans="1:6" ht="25.5" x14ac:dyDescent="0.2">
      <c r="A3089" s="391">
        <v>101989</v>
      </c>
      <c r="B3089" s="478" t="s">
        <v>1927</v>
      </c>
      <c r="C3089" s="391" t="s">
        <v>255</v>
      </c>
      <c r="D3089" s="479">
        <v>189.06</v>
      </c>
      <c r="E3089" s="368"/>
      <c r="F3089" s="368"/>
    </row>
    <row r="3090" spans="1:6" ht="25.5" x14ac:dyDescent="0.2">
      <c r="A3090" s="391">
        <v>101990</v>
      </c>
      <c r="B3090" s="478" t="s">
        <v>1928</v>
      </c>
      <c r="C3090" s="391" t="s">
        <v>255</v>
      </c>
      <c r="D3090" s="479">
        <v>245.33</v>
      </c>
      <c r="E3090" s="368"/>
      <c r="F3090" s="368"/>
    </row>
    <row r="3091" spans="1:6" ht="38.25" x14ac:dyDescent="0.2">
      <c r="A3091" s="391">
        <v>101985</v>
      </c>
      <c r="B3091" s="478" t="s">
        <v>1923</v>
      </c>
      <c r="C3091" s="391" t="s">
        <v>255</v>
      </c>
      <c r="D3091" s="479">
        <v>231.64</v>
      </c>
      <c r="E3091" s="368"/>
      <c r="F3091" s="368"/>
    </row>
    <row r="3092" spans="1:6" ht="38.25" x14ac:dyDescent="0.2">
      <c r="A3092" s="391">
        <v>101986</v>
      </c>
      <c r="B3092" s="478" t="s">
        <v>1924</v>
      </c>
      <c r="C3092" s="391" t="s">
        <v>255</v>
      </c>
      <c r="D3092" s="479">
        <v>170.69</v>
      </c>
      <c r="E3092" s="368"/>
      <c r="F3092" s="368"/>
    </row>
    <row r="3093" spans="1:6" ht="25.5" x14ac:dyDescent="0.2">
      <c r="A3093" s="391">
        <v>101987</v>
      </c>
      <c r="B3093" s="478" t="s">
        <v>1925</v>
      </c>
      <c r="C3093" s="391" t="s">
        <v>255</v>
      </c>
      <c r="D3093" s="479">
        <v>265.36</v>
      </c>
      <c r="E3093" s="368"/>
      <c r="F3093" s="368"/>
    </row>
    <row r="3094" spans="1:6" ht="38.25" x14ac:dyDescent="0.2">
      <c r="A3094" s="391">
        <v>101969</v>
      </c>
      <c r="B3094" s="478" t="s">
        <v>1914</v>
      </c>
      <c r="C3094" s="391" t="s">
        <v>255</v>
      </c>
      <c r="D3094" s="479">
        <v>228.11</v>
      </c>
      <c r="E3094" s="368"/>
      <c r="F3094" s="368"/>
    </row>
    <row r="3095" spans="1:6" ht="38.25" x14ac:dyDescent="0.2">
      <c r="A3095" s="391">
        <v>101971</v>
      </c>
      <c r="B3095" s="478" t="s">
        <v>1915</v>
      </c>
      <c r="C3095" s="391" t="s">
        <v>255</v>
      </c>
      <c r="D3095" s="479">
        <v>180.16</v>
      </c>
      <c r="E3095" s="368"/>
      <c r="F3095" s="368"/>
    </row>
    <row r="3096" spans="1:6" ht="25.5" x14ac:dyDescent="0.2">
      <c r="A3096" s="391">
        <v>101973</v>
      </c>
      <c r="B3096" s="478" t="s">
        <v>1916</v>
      </c>
      <c r="C3096" s="391" t="s">
        <v>255</v>
      </c>
      <c r="D3096" s="479">
        <v>228.2</v>
      </c>
      <c r="E3096" s="368"/>
      <c r="F3096" s="368"/>
    </row>
    <row r="3097" spans="1:6" ht="38.25" x14ac:dyDescent="0.2">
      <c r="A3097" s="391">
        <v>102072</v>
      </c>
      <c r="B3097" s="478" t="s">
        <v>1986</v>
      </c>
      <c r="C3097" s="391" t="s">
        <v>255</v>
      </c>
      <c r="D3097" s="479">
        <v>193.71</v>
      </c>
      <c r="E3097" s="368"/>
      <c r="F3097" s="368"/>
    </row>
    <row r="3098" spans="1:6" ht="38.25" x14ac:dyDescent="0.2">
      <c r="A3098" s="391">
        <v>102070</v>
      </c>
      <c r="B3098" s="478" t="s">
        <v>1984</v>
      </c>
      <c r="C3098" s="391" t="s">
        <v>255</v>
      </c>
      <c r="D3098" s="479">
        <v>230.14</v>
      </c>
      <c r="E3098" s="368"/>
      <c r="F3098" s="368"/>
    </row>
    <row r="3099" spans="1:6" ht="38.25" x14ac:dyDescent="0.2">
      <c r="A3099" s="391">
        <v>102071</v>
      </c>
      <c r="B3099" s="478" t="s">
        <v>1985</v>
      </c>
      <c r="C3099" s="391" t="s">
        <v>255</v>
      </c>
      <c r="D3099" s="479">
        <v>201.51</v>
      </c>
      <c r="E3099" s="368"/>
      <c r="F3099" s="368"/>
    </row>
    <row r="3100" spans="1:6" ht="38.25" x14ac:dyDescent="0.2">
      <c r="A3100" s="391">
        <v>102068</v>
      </c>
      <c r="B3100" s="478" t="s">
        <v>1982</v>
      </c>
      <c r="C3100" s="391" t="s">
        <v>255</v>
      </c>
      <c r="D3100" s="479">
        <v>283.70999999999998</v>
      </c>
      <c r="E3100" s="368"/>
      <c r="F3100" s="368"/>
    </row>
    <row r="3101" spans="1:6" ht="38.25" x14ac:dyDescent="0.2">
      <c r="A3101" s="391">
        <v>102069</v>
      </c>
      <c r="B3101" s="478" t="s">
        <v>1983</v>
      </c>
      <c r="C3101" s="391" t="s">
        <v>255</v>
      </c>
      <c r="D3101" s="479">
        <v>264.64</v>
      </c>
      <c r="E3101" s="368"/>
      <c r="F3101" s="368"/>
    </row>
    <row r="3102" spans="1:6" ht="38.25" x14ac:dyDescent="0.2">
      <c r="A3102" s="391">
        <v>102066</v>
      </c>
      <c r="B3102" s="478" t="s">
        <v>1980</v>
      </c>
      <c r="C3102" s="391" t="s">
        <v>255</v>
      </c>
      <c r="D3102" s="479">
        <v>513.45000000000005</v>
      </c>
      <c r="E3102" s="368"/>
      <c r="F3102" s="368"/>
    </row>
    <row r="3103" spans="1:6" ht="38.25" x14ac:dyDescent="0.2">
      <c r="A3103" s="391">
        <v>102067</v>
      </c>
      <c r="B3103" s="478" t="s">
        <v>1981</v>
      </c>
      <c r="C3103" s="391" t="s">
        <v>255</v>
      </c>
      <c r="D3103" s="479">
        <v>441.23</v>
      </c>
      <c r="E3103" s="368"/>
      <c r="F3103" s="368"/>
    </row>
    <row r="3104" spans="1:6" ht="38.25" x14ac:dyDescent="0.2">
      <c r="A3104" s="391">
        <v>102065</v>
      </c>
      <c r="B3104" s="478" t="s">
        <v>1979</v>
      </c>
      <c r="C3104" s="391" t="s">
        <v>255</v>
      </c>
      <c r="D3104" s="479">
        <v>201.56</v>
      </c>
      <c r="E3104" s="368"/>
      <c r="F3104" s="368"/>
    </row>
    <row r="3105" spans="1:6" ht="38.25" x14ac:dyDescent="0.2">
      <c r="A3105" s="391">
        <v>102063</v>
      </c>
      <c r="B3105" s="478" t="s">
        <v>1977</v>
      </c>
      <c r="C3105" s="391" t="s">
        <v>255</v>
      </c>
      <c r="D3105" s="479">
        <v>249.68</v>
      </c>
      <c r="E3105" s="368"/>
      <c r="F3105" s="368"/>
    </row>
    <row r="3106" spans="1:6" ht="38.25" x14ac:dyDescent="0.2">
      <c r="A3106" s="391">
        <v>102064</v>
      </c>
      <c r="B3106" s="478" t="s">
        <v>1978</v>
      </c>
      <c r="C3106" s="391" t="s">
        <v>255</v>
      </c>
      <c r="D3106" s="479">
        <v>218.7</v>
      </c>
      <c r="E3106" s="368"/>
      <c r="F3106" s="368"/>
    </row>
    <row r="3107" spans="1:6" ht="38.25" x14ac:dyDescent="0.2">
      <c r="A3107" s="391">
        <v>102061</v>
      </c>
      <c r="B3107" s="478" t="s">
        <v>1975</v>
      </c>
      <c r="C3107" s="391" t="s">
        <v>255</v>
      </c>
      <c r="D3107" s="479">
        <v>314</v>
      </c>
      <c r="E3107" s="368"/>
      <c r="F3107" s="368"/>
    </row>
    <row r="3108" spans="1:6" ht="38.25" x14ac:dyDescent="0.2">
      <c r="A3108" s="391">
        <v>102062</v>
      </c>
      <c r="B3108" s="478" t="s">
        <v>1976</v>
      </c>
      <c r="C3108" s="391" t="s">
        <v>255</v>
      </c>
      <c r="D3108" s="479">
        <v>294.89</v>
      </c>
      <c r="E3108" s="368"/>
      <c r="F3108" s="368"/>
    </row>
    <row r="3109" spans="1:6" ht="38.25" x14ac:dyDescent="0.2">
      <c r="A3109" s="391">
        <v>102059</v>
      </c>
      <c r="B3109" s="478" t="s">
        <v>1973</v>
      </c>
      <c r="C3109" s="391" t="s">
        <v>255</v>
      </c>
      <c r="D3109" s="479">
        <v>497.46</v>
      </c>
      <c r="E3109" s="368"/>
      <c r="F3109" s="368"/>
    </row>
    <row r="3110" spans="1:6" ht="38.25" x14ac:dyDescent="0.2">
      <c r="A3110" s="391">
        <v>102060</v>
      </c>
      <c r="B3110" s="478" t="s">
        <v>1974</v>
      </c>
      <c r="C3110" s="391" t="s">
        <v>255</v>
      </c>
      <c r="D3110" s="479">
        <v>419.58</v>
      </c>
      <c r="E3110" s="368"/>
      <c r="F3110" s="368"/>
    </row>
    <row r="3111" spans="1:6" ht="38.25" x14ac:dyDescent="0.2">
      <c r="A3111" s="391">
        <v>102052</v>
      </c>
      <c r="B3111" s="478" t="s">
        <v>1972</v>
      </c>
      <c r="C3111" s="391" t="s">
        <v>255</v>
      </c>
      <c r="D3111" s="479">
        <v>193.64</v>
      </c>
      <c r="E3111" s="368"/>
      <c r="F3111" s="368"/>
    </row>
    <row r="3112" spans="1:6" ht="38.25" x14ac:dyDescent="0.2">
      <c r="A3112" s="391">
        <v>102050</v>
      </c>
      <c r="B3112" s="478" t="s">
        <v>1970</v>
      </c>
      <c r="C3112" s="391" t="s">
        <v>255</v>
      </c>
      <c r="D3112" s="479">
        <v>241.36</v>
      </c>
      <c r="E3112" s="368"/>
      <c r="F3112" s="368"/>
    </row>
    <row r="3113" spans="1:6" ht="38.25" x14ac:dyDescent="0.2">
      <c r="A3113" s="391">
        <v>102051</v>
      </c>
      <c r="B3113" s="478" t="s">
        <v>1971</v>
      </c>
      <c r="C3113" s="391" t="s">
        <v>255</v>
      </c>
      <c r="D3113" s="479">
        <v>210.67</v>
      </c>
      <c r="E3113" s="368"/>
      <c r="F3113" s="368"/>
    </row>
    <row r="3114" spans="1:6" ht="38.25" x14ac:dyDescent="0.2">
      <c r="A3114" s="391">
        <v>102048</v>
      </c>
      <c r="B3114" s="478" t="s">
        <v>1968</v>
      </c>
      <c r="C3114" s="391" t="s">
        <v>255</v>
      </c>
      <c r="D3114" s="479">
        <v>305.89999999999998</v>
      </c>
      <c r="E3114" s="368"/>
      <c r="F3114" s="368"/>
    </row>
    <row r="3115" spans="1:6" ht="38.25" x14ac:dyDescent="0.2">
      <c r="A3115" s="391">
        <v>102049</v>
      </c>
      <c r="B3115" s="478" t="s">
        <v>1969</v>
      </c>
      <c r="C3115" s="391" t="s">
        <v>255</v>
      </c>
      <c r="D3115" s="479">
        <v>277.43</v>
      </c>
      <c r="E3115" s="368"/>
      <c r="F3115" s="368"/>
    </row>
    <row r="3116" spans="1:6" ht="25.5" x14ac:dyDescent="0.2">
      <c r="A3116" s="391">
        <v>102046</v>
      </c>
      <c r="B3116" s="478" t="s">
        <v>1966</v>
      </c>
      <c r="C3116" s="391" t="s">
        <v>255</v>
      </c>
      <c r="D3116" s="479">
        <v>574.23</v>
      </c>
      <c r="E3116" s="368"/>
      <c r="F3116" s="368"/>
    </row>
    <row r="3117" spans="1:6" ht="25.5" x14ac:dyDescent="0.2">
      <c r="A3117" s="391">
        <v>102047</v>
      </c>
      <c r="B3117" s="478" t="s">
        <v>1967</v>
      </c>
      <c r="C3117" s="391" t="s">
        <v>255</v>
      </c>
      <c r="D3117" s="479">
        <v>491.07</v>
      </c>
      <c r="E3117" s="368"/>
      <c r="F3117" s="368"/>
    </row>
    <row r="3118" spans="1:6" ht="38.25" x14ac:dyDescent="0.2">
      <c r="A3118" s="391">
        <v>102045</v>
      </c>
      <c r="B3118" s="478" t="s">
        <v>1965</v>
      </c>
      <c r="C3118" s="391" t="s">
        <v>255</v>
      </c>
      <c r="D3118" s="479">
        <v>212.77</v>
      </c>
      <c r="E3118" s="368"/>
      <c r="F3118" s="368"/>
    </row>
    <row r="3119" spans="1:6" ht="38.25" x14ac:dyDescent="0.2">
      <c r="A3119" s="391">
        <v>102043</v>
      </c>
      <c r="B3119" s="478" t="s">
        <v>1963</v>
      </c>
      <c r="C3119" s="391" t="s">
        <v>255</v>
      </c>
      <c r="D3119" s="479">
        <v>261.47000000000003</v>
      </c>
      <c r="E3119" s="368"/>
      <c r="F3119" s="368"/>
    </row>
    <row r="3120" spans="1:6" ht="38.25" x14ac:dyDescent="0.2">
      <c r="A3120" s="391">
        <v>102044</v>
      </c>
      <c r="B3120" s="478" t="s">
        <v>1964</v>
      </c>
      <c r="C3120" s="391" t="s">
        <v>255</v>
      </c>
      <c r="D3120" s="479">
        <v>231.03</v>
      </c>
      <c r="E3120" s="368"/>
      <c r="F3120" s="368"/>
    </row>
    <row r="3121" spans="1:6" ht="38.25" x14ac:dyDescent="0.2">
      <c r="A3121" s="391">
        <v>102041</v>
      </c>
      <c r="B3121" s="478" t="s">
        <v>1961</v>
      </c>
      <c r="C3121" s="391" t="s">
        <v>255</v>
      </c>
      <c r="D3121" s="479">
        <v>335.61</v>
      </c>
      <c r="E3121" s="368"/>
      <c r="F3121" s="368"/>
    </row>
    <row r="3122" spans="1:6" ht="38.25" x14ac:dyDescent="0.2">
      <c r="A3122" s="391">
        <v>102042</v>
      </c>
      <c r="B3122" s="478" t="s">
        <v>1962</v>
      </c>
      <c r="C3122" s="391" t="s">
        <v>255</v>
      </c>
      <c r="D3122" s="479">
        <v>307.88</v>
      </c>
      <c r="E3122" s="368"/>
      <c r="F3122" s="368"/>
    </row>
    <row r="3123" spans="1:6" ht="25.5" x14ac:dyDescent="0.2">
      <c r="A3123" s="391">
        <v>102039</v>
      </c>
      <c r="B3123" s="478" t="s">
        <v>1959</v>
      </c>
      <c r="C3123" s="391" t="s">
        <v>255</v>
      </c>
      <c r="D3123" s="479">
        <v>531.91</v>
      </c>
      <c r="E3123" s="368"/>
      <c r="F3123" s="368"/>
    </row>
    <row r="3124" spans="1:6" ht="25.5" x14ac:dyDescent="0.2">
      <c r="A3124" s="391">
        <v>102040</v>
      </c>
      <c r="B3124" s="478" t="s">
        <v>1960</v>
      </c>
      <c r="C3124" s="391" t="s">
        <v>255</v>
      </c>
      <c r="D3124" s="479">
        <v>444.6</v>
      </c>
      <c r="E3124" s="368"/>
      <c r="F3124" s="368"/>
    </row>
    <row r="3125" spans="1:6" ht="38.25" x14ac:dyDescent="0.2">
      <c r="A3125" s="391">
        <v>102038</v>
      </c>
      <c r="B3125" s="478" t="s">
        <v>1958</v>
      </c>
      <c r="C3125" s="391" t="s">
        <v>255</v>
      </c>
      <c r="D3125" s="479">
        <v>204.35</v>
      </c>
      <c r="E3125" s="368"/>
      <c r="F3125" s="368"/>
    </row>
    <row r="3126" spans="1:6" ht="38.25" x14ac:dyDescent="0.2">
      <c r="A3126" s="391">
        <v>102036</v>
      </c>
      <c r="B3126" s="478" t="s">
        <v>1956</v>
      </c>
      <c r="C3126" s="391" t="s">
        <v>255</v>
      </c>
      <c r="D3126" s="479">
        <v>252.23</v>
      </c>
      <c r="E3126" s="368"/>
      <c r="F3126" s="368"/>
    </row>
    <row r="3127" spans="1:6" ht="38.25" x14ac:dyDescent="0.2">
      <c r="A3127" s="391">
        <v>102037</v>
      </c>
      <c r="B3127" s="478" t="s">
        <v>1957</v>
      </c>
      <c r="C3127" s="391" t="s">
        <v>255</v>
      </c>
      <c r="D3127" s="479">
        <v>221.44</v>
      </c>
      <c r="E3127" s="368"/>
      <c r="F3127" s="368"/>
    </row>
    <row r="3128" spans="1:6" ht="38.25" x14ac:dyDescent="0.2">
      <c r="A3128" s="391">
        <v>102016</v>
      </c>
      <c r="B3128" s="478" t="s">
        <v>1954</v>
      </c>
      <c r="C3128" s="391" t="s">
        <v>255</v>
      </c>
      <c r="D3128" s="479">
        <v>315.20999999999998</v>
      </c>
      <c r="E3128" s="368"/>
      <c r="F3128" s="368"/>
    </row>
    <row r="3129" spans="1:6" ht="38.25" x14ac:dyDescent="0.2">
      <c r="A3129" s="391">
        <v>102017</v>
      </c>
      <c r="B3129" s="478" t="s">
        <v>1955</v>
      </c>
      <c r="C3129" s="391" t="s">
        <v>255</v>
      </c>
      <c r="D3129" s="479">
        <v>290.94</v>
      </c>
      <c r="E3129" s="368"/>
      <c r="F3129" s="368"/>
    </row>
    <row r="3130" spans="1:6" ht="25.5" x14ac:dyDescent="0.2">
      <c r="A3130" s="391">
        <v>102014</v>
      </c>
      <c r="B3130" s="478" t="s">
        <v>1952</v>
      </c>
      <c r="C3130" s="391" t="s">
        <v>255</v>
      </c>
      <c r="D3130" s="479">
        <v>565.13</v>
      </c>
      <c r="E3130" s="368"/>
      <c r="F3130" s="368"/>
    </row>
    <row r="3131" spans="1:6" ht="25.5" x14ac:dyDescent="0.2">
      <c r="A3131" s="391">
        <v>102015</v>
      </c>
      <c r="B3131" s="478" t="s">
        <v>1953</v>
      </c>
      <c r="C3131" s="391" t="s">
        <v>255</v>
      </c>
      <c r="D3131" s="479">
        <v>474.91</v>
      </c>
      <c r="E3131" s="368"/>
      <c r="F3131" s="368"/>
    </row>
    <row r="3132" spans="1:6" ht="38.25" x14ac:dyDescent="0.2">
      <c r="A3132" s="391">
        <v>102013</v>
      </c>
      <c r="B3132" s="478" t="s">
        <v>1951</v>
      </c>
      <c r="C3132" s="391" t="s">
        <v>255</v>
      </c>
      <c r="D3132" s="479">
        <v>213.93</v>
      </c>
      <c r="E3132" s="368"/>
      <c r="F3132" s="368"/>
    </row>
    <row r="3133" spans="1:6" ht="38.25" x14ac:dyDescent="0.2">
      <c r="A3133" s="391">
        <v>102011</v>
      </c>
      <c r="B3133" s="478" t="s">
        <v>1949</v>
      </c>
      <c r="C3133" s="391" t="s">
        <v>255</v>
      </c>
      <c r="D3133" s="479">
        <v>262.64999999999998</v>
      </c>
      <c r="E3133" s="368"/>
      <c r="F3133" s="368"/>
    </row>
    <row r="3134" spans="1:6" ht="38.25" x14ac:dyDescent="0.2">
      <c r="A3134" s="391">
        <v>102012</v>
      </c>
      <c r="B3134" s="478" t="s">
        <v>1950</v>
      </c>
      <c r="C3134" s="391" t="s">
        <v>255</v>
      </c>
      <c r="D3134" s="479">
        <v>231.32</v>
      </c>
      <c r="E3134" s="368"/>
      <c r="F3134" s="368"/>
    </row>
    <row r="3135" spans="1:6" ht="38.25" x14ac:dyDescent="0.2">
      <c r="A3135" s="391">
        <v>102009</v>
      </c>
      <c r="B3135" s="478" t="s">
        <v>1947</v>
      </c>
      <c r="C3135" s="391" t="s">
        <v>255</v>
      </c>
      <c r="D3135" s="479">
        <v>334.49</v>
      </c>
      <c r="E3135" s="368"/>
      <c r="F3135" s="368"/>
    </row>
    <row r="3136" spans="1:6" ht="38.25" x14ac:dyDescent="0.2">
      <c r="A3136" s="391">
        <v>102010</v>
      </c>
      <c r="B3136" s="478" t="s">
        <v>1948</v>
      </c>
      <c r="C3136" s="391" t="s">
        <v>255</v>
      </c>
      <c r="D3136" s="479">
        <v>310.2</v>
      </c>
      <c r="E3136" s="368"/>
      <c r="F3136" s="368"/>
    </row>
    <row r="3137" spans="1:6" ht="25.5" x14ac:dyDescent="0.2">
      <c r="A3137" s="391">
        <v>102007</v>
      </c>
      <c r="B3137" s="478" t="s">
        <v>1945</v>
      </c>
      <c r="C3137" s="391" t="s">
        <v>255</v>
      </c>
      <c r="D3137" s="479">
        <v>508.02</v>
      </c>
      <c r="E3137" s="368"/>
      <c r="F3137" s="368"/>
    </row>
    <row r="3138" spans="1:6" ht="25.5" x14ac:dyDescent="0.2">
      <c r="A3138" s="391">
        <v>102008</v>
      </c>
      <c r="B3138" s="478" t="s">
        <v>1946</v>
      </c>
      <c r="C3138" s="391" t="s">
        <v>255</v>
      </c>
      <c r="D3138" s="479">
        <v>426.05</v>
      </c>
      <c r="E3138" s="368"/>
      <c r="F3138" s="368"/>
    </row>
    <row r="3139" spans="1:6" ht="38.25" x14ac:dyDescent="0.2">
      <c r="A3139" s="391">
        <v>102006</v>
      </c>
      <c r="B3139" s="478" t="s">
        <v>1944</v>
      </c>
      <c r="C3139" s="391" t="s">
        <v>255</v>
      </c>
      <c r="D3139" s="479">
        <v>209.06</v>
      </c>
      <c r="E3139" s="368"/>
      <c r="F3139" s="368"/>
    </row>
    <row r="3140" spans="1:6" ht="38.25" x14ac:dyDescent="0.2">
      <c r="A3140" s="391">
        <v>102004</v>
      </c>
      <c r="B3140" s="478" t="s">
        <v>1942</v>
      </c>
      <c r="C3140" s="391" t="s">
        <v>255</v>
      </c>
      <c r="D3140" s="479">
        <v>259.29000000000002</v>
      </c>
      <c r="E3140" s="368"/>
      <c r="F3140" s="368"/>
    </row>
    <row r="3141" spans="1:6" ht="38.25" x14ac:dyDescent="0.2">
      <c r="A3141" s="391">
        <v>102005</v>
      </c>
      <c r="B3141" s="478" t="s">
        <v>1943</v>
      </c>
      <c r="C3141" s="391" t="s">
        <v>255</v>
      </c>
      <c r="D3141" s="479">
        <v>228.48</v>
      </c>
      <c r="E3141" s="368"/>
      <c r="F3141" s="368"/>
    </row>
    <row r="3142" spans="1:6" ht="38.25" x14ac:dyDescent="0.2">
      <c r="A3142" s="391">
        <v>102002</v>
      </c>
      <c r="B3142" s="478" t="s">
        <v>1940</v>
      </c>
      <c r="C3142" s="391" t="s">
        <v>255</v>
      </c>
      <c r="D3142" s="479">
        <v>317.94</v>
      </c>
      <c r="E3142" s="368"/>
      <c r="F3142" s="368"/>
    </row>
    <row r="3143" spans="1:6" ht="38.25" x14ac:dyDescent="0.2">
      <c r="A3143" s="391">
        <v>102003</v>
      </c>
      <c r="B3143" s="478" t="s">
        <v>1941</v>
      </c>
      <c r="C3143" s="391" t="s">
        <v>255</v>
      </c>
      <c r="D3143" s="479">
        <v>296.10000000000002</v>
      </c>
      <c r="E3143" s="368"/>
      <c r="F3143" s="368"/>
    </row>
    <row r="3144" spans="1:6" ht="25.5" x14ac:dyDescent="0.2">
      <c r="A3144" s="391">
        <v>102000</v>
      </c>
      <c r="B3144" s="478" t="s">
        <v>1938</v>
      </c>
      <c r="C3144" s="391" t="s">
        <v>255</v>
      </c>
      <c r="D3144" s="479">
        <v>520.08000000000004</v>
      </c>
      <c r="E3144" s="368"/>
      <c r="F3144" s="368"/>
    </row>
    <row r="3145" spans="1:6" ht="25.5" x14ac:dyDescent="0.2">
      <c r="A3145" s="391">
        <v>102001</v>
      </c>
      <c r="B3145" s="478" t="s">
        <v>1939</v>
      </c>
      <c r="C3145" s="391" t="s">
        <v>255</v>
      </c>
      <c r="D3145" s="479">
        <v>449.53</v>
      </c>
      <c r="E3145" s="368"/>
      <c r="F3145" s="368"/>
    </row>
    <row r="3146" spans="1:6" ht="38.25" x14ac:dyDescent="0.2">
      <c r="A3146" s="391">
        <v>101983</v>
      </c>
      <c r="B3146" s="478" t="s">
        <v>1922</v>
      </c>
      <c r="C3146" s="391" t="s">
        <v>255</v>
      </c>
      <c r="D3146" s="479">
        <v>217.44</v>
      </c>
      <c r="E3146" s="368"/>
      <c r="F3146" s="368"/>
    </row>
    <row r="3147" spans="1:6" ht="38.25" x14ac:dyDescent="0.2">
      <c r="A3147" s="391">
        <v>101981</v>
      </c>
      <c r="B3147" s="478" t="s">
        <v>1920</v>
      </c>
      <c r="C3147" s="391" t="s">
        <v>255</v>
      </c>
      <c r="D3147" s="479">
        <v>267.02999999999997</v>
      </c>
      <c r="E3147" s="368"/>
      <c r="F3147" s="368"/>
    </row>
    <row r="3148" spans="1:6" ht="38.25" x14ac:dyDescent="0.2">
      <c r="A3148" s="391">
        <v>101982</v>
      </c>
      <c r="B3148" s="478" t="s">
        <v>1921</v>
      </c>
      <c r="C3148" s="391" t="s">
        <v>255</v>
      </c>
      <c r="D3148" s="479">
        <v>236.6</v>
      </c>
      <c r="E3148" s="368"/>
      <c r="F3148" s="368"/>
    </row>
    <row r="3149" spans="1:6" ht="38.25" x14ac:dyDescent="0.2">
      <c r="A3149" s="391">
        <v>101977</v>
      </c>
      <c r="B3149" s="478" t="s">
        <v>1918</v>
      </c>
      <c r="C3149" s="391" t="s">
        <v>255</v>
      </c>
      <c r="D3149" s="479">
        <v>333.12</v>
      </c>
      <c r="E3149" s="368"/>
      <c r="F3149" s="368"/>
    </row>
    <row r="3150" spans="1:6" ht="38.25" x14ac:dyDescent="0.2">
      <c r="A3150" s="391">
        <v>101980</v>
      </c>
      <c r="B3150" s="478" t="s">
        <v>1919</v>
      </c>
      <c r="C3150" s="391" t="s">
        <v>255</v>
      </c>
      <c r="D3150" s="479">
        <v>312.14999999999998</v>
      </c>
      <c r="E3150" s="368"/>
      <c r="F3150" s="368"/>
    </row>
    <row r="3151" spans="1:6" ht="25.5" x14ac:dyDescent="0.2">
      <c r="A3151" s="391">
        <v>101974</v>
      </c>
      <c r="B3151" s="478" t="s">
        <v>1917</v>
      </c>
      <c r="C3151" s="391" t="s">
        <v>255</v>
      </c>
      <c r="D3151" s="479">
        <v>516.9</v>
      </c>
      <c r="E3151" s="368"/>
      <c r="F3151" s="368"/>
    </row>
    <row r="3152" spans="1:6" ht="25.5" x14ac:dyDescent="0.2">
      <c r="A3152" s="391">
        <v>101975</v>
      </c>
      <c r="B3152" s="478" t="s">
        <v>47622</v>
      </c>
      <c r="C3152" s="391" t="s">
        <v>255</v>
      </c>
      <c r="D3152" s="479">
        <v>441.58</v>
      </c>
      <c r="E3152" s="368"/>
      <c r="F3152" s="368"/>
    </row>
    <row r="3153" spans="1:6" ht="25.5" x14ac:dyDescent="0.2">
      <c r="A3153" s="391">
        <v>101114</v>
      </c>
      <c r="B3153" s="478" t="s">
        <v>4289</v>
      </c>
      <c r="C3153" s="391" t="s">
        <v>271</v>
      </c>
      <c r="D3153" s="479">
        <v>4.54</v>
      </c>
      <c r="E3153" s="368"/>
      <c r="F3153" s="368"/>
    </row>
    <row r="3154" spans="1:6" ht="25.5" x14ac:dyDescent="0.2">
      <c r="A3154" s="391">
        <v>101118</v>
      </c>
      <c r="B3154" s="478" t="s">
        <v>4293</v>
      </c>
      <c r="C3154" s="391" t="s">
        <v>271</v>
      </c>
      <c r="D3154" s="479">
        <v>3.91</v>
      </c>
      <c r="E3154" s="368"/>
      <c r="F3154" s="368"/>
    </row>
    <row r="3155" spans="1:6" ht="25.5" x14ac:dyDescent="0.2">
      <c r="A3155" s="391">
        <v>101115</v>
      </c>
      <c r="B3155" s="478" t="s">
        <v>4290</v>
      </c>
      <c r="C3155" s="391" t="s">
        <v>271</v>
      </c>
      <c r="D3155" s="479">
        <v>3.83</v>
      </c>
      <c r="E3155" s="368"/>
      <c r="F3155" s="368"/>
    </row>
    <row r="3156" spans="1:6" ht="25.5" x14ac:dyDescent="0.2">
      <c r="A3156" s="391">
        <v>101116</v>
      </c>
      <c r="B3156" s="478" t="s">
        <v>4291</v>
      </c>
      <c r="C3156" s="391" t="s">
        <v>271</v>
      </c>
      <c r="D3156" s="479">
        <v>2.38</v>
      </c>
      <c r="E3156" s="368"/>
      <c r="F3156" s="368"/>
    </row>
    <row r="3157" spans="1:6" ht="25.5" x14ac:dyDescent="0.2">
      <c r="A3157" s="391">
        <v>101117</v>
      </c>
      <c r="B3157" s="478" t="s">
        <v>4292</v>
      </c>
      <c r="C3157" s="391" t="s">
        <v>271</v>
      </c>
      <c r="D3157" s="479">
        <v>3.39</v>
      </c>
      <c r="E3157" s="368"/>
      <c r="F3157" s="368"/>
    </row>
    <row r="3158" spans="1:6" ht="25.5" x14ac:dyDescent="0.2">
      <c r="A3158" s="391">
        <v>101124</v>
      </c>
      <c r="B3158" s="478" t="s">
        <v>4299</v>
      </c>
      <c r="C3158" s="391" t="s">
        <v>271</v>
      </c>
      <c r="D3158" s="479">
        <v>15.61</v>
      </c>
      <c r="E3158" s="368"/>
      <c r="F3158" s="368"/>
    </row>
    <row r="3159" spans="1:6" ht="25.5" x14ac:dyDescent="0.2">
      <c r="A3159" s="391">
        <v>101128</v>
      </c>
      <c r="B3159" s="478" t="s">
        <v>4303</v>
      </c>
      <c r="C3159" s="391" t="s">
        <v>271</v>
      </c>
      <c r="D3159" s="479">
        <v>14.98</v>
      </c>
      <c r="E3159" s="368"/>
      <c r="F3159" s="368"/>
    </row>
    <row r="3160" spans="1:6" ht="25.5" x14ac:dyDescent="0.2">
      <c r="A3160" s="391">
        <v>101125</v>
      </c>
      <c r="B3160" s="478" t="s">
        <v>4300</v>
      </c>
      <c r="C3160" s="391" t="s">
        <v>271</v>
      </c>
      <c r="D3160" s="479">
        <v>14.9</v>
      </c>
      <c r="E3160" s="368"/>
      <c r="F3160" s="368"/>
    </row>
    <row r="3161" spans="1:6" ht="25.5" x14ac:dyDescent="0.2">
      <c r="A3161" s="391">
        <v>101126</v>
      </c>
      <c r="B3161" s="478" t="s">
        <v>4301</v>
      </c>
      <c r="C3161" s="391" t="s">
        <v>271</v>
      </c>
      <c r="D3161" s="479">
        <v>13.45</v>
      </c>
      <c r="E3161" s="368"/>
      <c r="F3161" s="368"/>
    </row>
    <row r="3162" spans="1:6" ht="25.5" x14ac:dyDescent="0.2">
      <c r="A3162" s="391">
        <v>101127</v>
      </c>
      <c r="B3162" s="478" t="s">
        <v>4302</v>
      </c>
      <c r="C3162" s="391" t="s">
        <v>271</v>
      </c>
      <c r="D3162" s="479">
        <v>14.46</v>
      </c>
      <c r="E3162" s="368"/>
      <c r="F3162" s="368"/>
    </row>
    <row r="3163" spans="1:6" ht="38.25" x14ac:dyDescent="0.2">
      <c r="A3163" s="391">
        <v>101134</v>
      </c>
      <c r="B3163" s="478" t="s">
        <v>4309</v>
      </c>
      <c r="C3163" s="391" t="s">
        <v>271</v>
      </c>
      <c r="D3163" s="479">
        <v>16.3</v>
      </c>
      <c r="E3163" s="368"/>
      <c r="F3163" s="368"/>
    </row>
    <row r="3164" spans="1:6" ht="38.25" x14ac:dyDescent="0.2">
      <c r="A3164" s="391">
        <v>101144</v>
      </c>
      <c r="B3164" s="478" t="s">
        <v>4318</v>
      </c>
      <c r="C3164" s="391" t="s">
        <v>271</v>
      </c>
      <c r="D3164" s="479">
        <v>16.329999999999998</v>
      </c>
      <c r="E3164" s="368"/>
      <c r="F3164" s="368"/>
    </row>
    <row r="3165" spans="1:6" ht="38.25" x14ac:dyDescent="0.2">
      <c r="A3165" s="391">
        <v>101138</v>
      </c>
      <c r="B3165" s="478" t="s">
        <v>4313</v>
      </c>
      <c r="C3165" s="391" t="s">
        <v>271</v>
      </c>
      <c r="D3165" s="479">
        <v>15.67</v>
      </c>
      <c r="E3165" s="368"/>
      <c r="F3165" s="368"/>
    </row>
    <row r="3166" spans="1:6" ht="38.25" x14ac:dyDescent="0.2">
      <c r="A3166" s="391">
        <v>101148</v>
      </c>
      <c r="B3166" s="478" t="s">
        <v>4322</v>
      </c>
      <c r="C3166" s="391" t="s">
        <v>271</v>
      </c>
      <c r="D3166" s="479">
        <v>15.7</v>
      </c>
      <c r="E3166" s="368"/>
      <c r="F3166" s="368"/>
    </row>
    <row r="3167" spans="1:6" ht="38.25" x14ac:dyDescent="0.2">
      <c r="A3167" s="391">
        <v>101135</v>
      </c>
      <c r="B3167" s="478" t="s">
        <v>4310</v>
      </c>
      <c r="C3167" s="391" t="s">
        <v>271</v>
      </c>
      <c r="D3167" s="479">
        <v>15.59</v>
      </c>
      <c r="E3167" s="368"/>
      <c r="F3167" s="368"/>
    </row>
    <row r="3168" spans="1:6" ht="38.25" x14ac:dyDescent="0.2">
      <c r="A3168" s="391">
        <v>101145</v>
      </c>
      <c r="B3168" s="478" t="s">
        <v>4319</v>
      </c>
      <c r="C3168" s="391" t="s">
        <v>271</v>
      </c>
      <c r="D3168" s="479">
        <v>15.62</v>
      </c>
      <c r="E3168" s="368"/>
      <c r="F3168" s="368"/>
    </row>
    <row r="3169" spans="1:6" ht="38.25" x14ac:dyDescent="0.2">
      <c r="A3169" s="391">
        <v>101136</v>
      </c>
      <c r="B3169" s="478" t="s">
        <v>4311</v>
      </c>
      <c r="C3169" s="391" t="s">
        <v>271</v>
      </c>
      <c r="D3169" s="479">
        <v>14.14</v>
      </c>
      <c r="E3169" s="368"/>
      <c r="F3169" s="368"/>
    </row>
    <row r="3170" spans="1:6" ht="38.25" x14ac:dyDescent="0.2">
      <c r="A3170" s="391">
        <v>101146</v>
      </c>
      <c r="B3170" s="478" t="s">
        <v>4320</v>
      </c>
      <c r="C3170" s="391" t="s">
        <v>271</v>
      </c>
      <c r="D3170" s="479">
        <v>14.17</v>
      </c>
      <c r="E3170" s="368"/>
      <c r="F3170" s="368"/>
    </row>
    <row r="3171" spans="1:6" ht="38.25" x14ac:dyDescent="0.2">
      <c r="A3171" s="391">
        <v>101137</v>
      </c>
      <c r="B3171" s="478" t="s">
        <v>4312</v>
      </c>
      <c r="C3171" s="391" t="s">
        <v>271</v>
      </c>
      <c r="D3171" s="479">
        <v>15.15</v>
      </c>
      <c r="E3171" s="368"/>
      <c r="F3171" s="368"/>
    </row>
    <row r="3172" spans="1:6" ht="38.25" x14ac:dyDescent="0.2">
      <c r="A3172" s="391">
        <v>101147</v>
      </c>
      <c r="B3172" s="478" t="s">
        <v>4321</v>
      </c>
      <c r="C3172" s="391" t="s">
        <v>271</v>
      </c>
      <c r="D3172" s="479">
        <v>15.18</v>
      </c>
      <c r="E3172" s="368"/>
      <c r="F3172" s="368"/>
    </row>
    <row r="3173" spans="1:6" ht="25.5" x14ac:dyDescent="0.2">
      <c r="A3173" s="391">
        <v>101119</v>
      </c>
      <c r="B3173" s="478" t="s">
        <v>4294</v>
      </c>
      <c r="C3173" s="391" t="s">
        <v>271</v>
      </c>
      <c r="D3173" s="479">
        <v>8.65</v>
      </c>
      <c r="E3173" s="368"/>
      <c r="F3173" s="368"/>
    </row>
    <row r="3174" spans="1:6" ht="25.5" x14ac:dyDescent="0.2">
      <c r="A3174" s="391">
        <v>101123</v>
      </c>
      <c r="B3174" s="478" t="s">
        <v>4298</v>
      </c>
      <c r="C3174" s="391" t="s">
        <v>271</v>
      </c>
      <c r="D3174" s="479">
        <v>7.47</v>
      </c>
      <c r="E3174" s="368"/>
      <c r="F3174" s="368"/>
    </row>
    <row r="3175" spans="1:6" ht="25.5" x14ac:dyDescent="0.2">
      <c r="A3175" s="391">
        <v>101120</v>
      </c>
      <c r="B3175" s="478" t="s">
        <v>4295</v>
      </c>
      <c r="C3175" s="391" t="s">
        <v>271</v>
      </c>
      <c r="D3175" s="479">
        <v>7.31</v>
      </c>
      <c r="E3175" s="368"/>
      <c r="F3175" s="368"/>
    </row>
    <row r="3176" spans="1:6" ht="25.5" x14ac:dyDescent="0.2">
      <c r="A3176" s="391">
        <v>101121</v>
      </c>
      <c r="B3176" s="478" t="s">
        <v>4296</v>
      </c>
      <c r="C3176" s="391" t="s">
        <v>271</v>
      </c>
      <c r="D3176" s="479">
        <v>4.57</v>
      </c>
      <c r="E3176" s="368"/>
      <c r="F3176" s="368"/>
    </row>
    <row r="3177" spans="1:6" ht="25.5" x14ac:dyDescent="0.2">
      <c r="A3177" s="391">
        <v>101122</v>
      </c>
      <c r="B3177" s="478" t="s">
        <v>4297</v>
      </c>
      <c r="C3177" s="391" t="s">
        <v>271</v>
      </c>
      <c r="D3177" s="479">
        <v>6.49</v>
      </c>
      <c r="E3177" s="368"/>
      <c r="F3177" s="368"/>
    </row>
    <row r="3178" spans="1:6" ht="38.25" x14ac:dyDescent="0.2">
      <c r="A3178" s="391">
        <v>101129</v>
      </c>
      <c r="B3178" s="478" t="s">
        <v>4304</v>
      </c>
      <c r="C3178" s="391" t="s">
        <v>271</v>
      </c>
      <c r="D3178" s="479">
        <v>20.16</v>
      </c>
      <c r="E3178" s="368"/>
      <c r="F3178" s="368"/>
    </row>
    <row r="3179" spans="1:6" ht="38.25" x14ac:dyDescent="0.2">
      <c r="A3179" s="391">
        <v>101133</v>
      </c>
      <c r="B3179" s="478" t="s">
        <v>4308</v>
      </c>
      <c r="C3179" s="391" t="s">
        <v>271</v>
      </c>
      <c r="D3179" s="479">
        <v>18.98</v>
      </c>
      <c r="E3179" s="368"/>
      <c r="F3179" s="368"/>
    </row>
    <row r="3180" spans="1:6" ht="38.25" x14ac:dyDescent="0.2">
      <c r="A3180" s="391">
        <v>101130</v>
      </c>
      <c r="B3180" s="478" t="s">
        <v>4305</v>
      </c>
      <c r="C3180" s="391" t="s">
        <v>271</v>
      </c>
      <c r="D3180" s="479">
        <v>18.82</v>
      </c>
      <c r="E3180" s="368"/>
      <c r="F3180" s="368"/>
    </row>
    <row r="3181" spans="1:6" ht="38.25" x14ac:dyDescent="0.2">
      <c r="A3181" s="391">
        <v>101131</v>
      </c>
      <c r="B3181" s="478" t="s">
        <v>4306</v>
      </c>
      <c r="C3181" s="391" t="s">
        <v>271</v>
      </c>
      <c r="D3181" s="479">
        <v>16.079999999999998</v>
      </c>
      <c r="E3181" s="368"/>
      <c r="F3181" s="368"/>
    </row>
    <row r="3182" spans="1:6" ht="38.25" x14ac:dyDescent="0.2">
      <c r="A3182" s="391">
        <v>101132</v>
      </c>
      <c r="B3182" s="478" t="s">
        <v>4307</v>
      </c>
      <c r="C3182" s="391" t="s">
        <v>271</v>
      </c>
      <c r="D3182" s="479">
        <v>18</v>
      </c>
      <c r="E3182" s="368"/>
      <c r="F3182" s="368"/>
    </row>
    <row r="3183" spans="1:6" ht="51" x14ac:dyDescent="0.2">
      <c r="A3183" s="391">
        <v>101139</v>
      </c>
      <c r="B3183" s="478" t="s">
        <v>47623</v>
      </c>
      <c r="C3183" s="391" t="s">
        <v>271</v>
      </c>
      <c r="D3183" s="479">
        <v>20.88</v>
      </c>
      <c r="E3183" s="368"/>
      <c r="F3183" s="368"/>
    </row>
    <row r="3184" spans="1:6" ht="51" x14ac:dyDescent="0.2">
      <c r="A3184" s="391">
        <v>101149</v>
      </c>
      <c r="B3184" s="478" t="s">
        <v>4323</v>
      </c>
      <c r="C3184" s="391" t="s">
        <v>271</v>
      </c>
      <c r="D3184" s="479">
        <v>20.92</v>
      </c>
      <c r="E3184" s="368"/>
      <c r="F3184" s="368"/>
    </row>
    <row r="3185" spans="1:6" ht="51" x14ac:dyDescent="0.2">
      <c r="A3185" s="391">
        <v>101143</v>
      </c>
      <c r="B3185" s="478" t="s">
        <v>4317</v>
      </c>
      <c r="C3185" s="391" t="s">
        <v>271</v>
      </c>
      <c r="D3185" s="479">
        <v>19.7</v>
      </c>
      <c r="E3185" s="368"/>
      <c r="F3185" s="368"/>
    </row>
    <row r="3186" spans="1:6" ht="51" x14ac:dyDescent="0.2">
      <c r="A3186" s="391">
        <v>101153</v>
      </c>
      <c r="B3186" s="478" t="s">
        <v>4327</v>
      </c>
      <c r="C3186" s="391" t="s">
        <v>271</v>
      </c>
      <c r="D3186" s="479">
        <v>19.739999999999998</v>
      </c>
      <c r="E3186" s="368"/>
      <c r="F3186" s="368"/>
    </row>
    <row r="3187" spans="1:6" ht="51" x14ac:dyDescent="0.2">
      <c r="A3187" s="391">
        <v>101140</v>
      </c>
      <c r="B3187" s="478" t="s">
        <v>4314</v>
      </c>
      <c r="C3187" s="391" t="s">
        <v>271</v>
      </c>
      <c r="D3187" s="479">
        <v>19.54</v>
      </c>
      <c r="E3187" s="368"/>
      <c r="F3187" s="368"/>
    </row>
    <row r="3188" spans="1:6" ht="51" x14ac:dyDescent="0.2">
      <c r="A3188" s="391">
        <v>101150</v>
      </c>
      <c r="B3188" s="478" t="s">
        <v>4324</v>
      </c>
      <c r="C3188" s="391" t="s">
        <v>271</v>
      </c>
      <c r="D3188" s="479">
        <v>19.579999999999998</v>
      </c>
      <c r="E3188" s="368"/>
      <c r="F3188" s="368"/>
    </row>
    <row r="3189" spans="1:6" ht="51" x14ac:dyDescent="0.2">
      <c r="A3189" s="391">
        <v>101141</v>
      </c>
      <c r="B3189" s="478" t="s">
        <v>4315</v>
      </c>
      <c r="C3189" s="391" t="s">
        <v>271</v>
      </c>
      <c r="D3189" s="479">
        <v>16.8</v>
      </c>
      <c r="E3189" s="368"/>
      <c r="F3189" s="368"/>
    </row>
    <row r="3190" spans="1:6" ht="51" x14ac:dyDescent="0.2">
      <c r="A3190" s="391">
        <v>101151</v>
      </c>
      <c r="B3190" s="478" t="s">
        <v>4325</v>
      </c>
      <c r="C3190" s="391" t="s">
        <v>271</v>
      </c>
      <c r="D3190" s="479">
        <v>16.84</v>
      </c>
      <c r="E3190" s="368"/>
      <c r="F3190" s="368"/>
    </row>
    <row r="3191" spans="1:6" ht="51" x14ac:dyDescent="0.2">
      <c r="A3191" s="391">
        <v>101142</v>
      </c>
      <c r="B3191" s="478" t="s">
        <v>4316</v>
      </c>
      <c r="C3191" s="391" t="s">
        <v>271</v>
      </c>
      <c r="D3191" s="479">
        <v>18.72</v>
      </c>
      <c r="E3191" s="368"/>
      <c r="F3191" s="368"/>
    </row>
    <row r="3192" spans="1:6" ht="51" x14ac:dyDescent="0.2">
      <c r="A3192" s="391">
        <v>101152</v>
      </c>
      <c r="B3192" s="478" t="s">
        <v>4326</v>
      </c>
      <c r="C3192" s="391" t="s">
        <v>271</v>
      </c>
      <c r="D3192" s="479">
        <v>18.760000000000002</v>
      </c>
      <c r="E3192" s="368"/>
      <c r="F3192" s="368"/>
    </row>
    <row r="3193" spans="1:6" ht="51" x14ac:dyDescent="0.2">
      <c r="A3193" s="391">
        <v>101207</v>
      </c>
      <c r="B3193" s="478" t="s">
        <v>4328</v>
      </c>
      <c r="C3193" s="391" t="s">
        <v>271</v>
      </c>
      <c r="D3193" s="479">
        <v>11.33</v>
      </c>
      <c r="E3193" s="368"/>
      <c r="F3193" s="368"/>
    </row>
    <row r="3194" spans="1:6" ht="51" x14ac:dyDescent="0.2">
      <c r="A3194" s="391">
        <v>101206</v>
      </c>
      <c r="B3194" s="478" t="s">
        <v>47624</v>
      </c>
      <c r="C3194" s="391" t="s">
        <v>271</v>
      </c>
      <c r="D3194" s="479">
        <v>13.1</v>
      </c>
      <c r="E3194" s="368"/>
      <c r="F3194" s="368"/>
    </row>
    <row r="3195" spans="1:6" ht="51" x14ac:dyDescent="0.2">
      <c r="A3195" s="391">
        <v>101210</v>
      </c>
      <c r="B3195" s="478" t="s">
        <v>47625</v>
      </c>
      <c r="C3195" s="391" t="s">
        <v>271</v>
      </c>
      <c r="D3195" s="479">
        <v>18.350000000000001</v>
      </c>
      <c r="E3195" s="368"/>
      <c r="F3195" s="368"/>
    </row>
    <row r="3196" spans="1:6" ht="51" x14ac:dyDescent="0.2">
      <c r="A3196" s="391">
        <v>101211</v>
      </c>
      <c r="B3196" s="478" t="s">
        <v>47626</v>
      </c>
      <c r="C3196" s="391" t="s">
        <v>271</v>
      </c>
      <c r="D3196" s="479">
        <v>19.690000000000001</v>
      </c>
      <c r="E3196" s="368"/>
      <c r="F3196" s="368"/>
    </row>
    <row r="3197" spans="1:6" ht="51" x14ac:dyDescent="0.2">
      <c r="A3197" s="391">
        <v>101215</v>
      </c>
      <c r="B3197" s="478" t="s">
        <v>47627</v>
      </c>
      <c r="C3197" s="391" t="s">
        <v>271</v>
      </c>
      <c r="D3197" s="479">
        <v>17.64</v>
      </c>
      <c r="E3197" s="368"/>
      <c r="F3197" s="368"/>
    </row>
    <row r="3198" spans="1:6" ht="51" x14ac:dyDescent="0.2">
      <c r="A3198" s="391">
        <v>101216</v>
      </c>
      <c r="B3198" s="478" t="s">
        <v>47628</v>
      </c>
      <c r="C3198" s="391" t="s">
        <v>271</v>
      </c>
      <c r="D3198" s="479">
        <v>18.5</v>
      </c>
      <c r="E3198" s="368"/>
      <c r="F3198" s="368"/>
    </row>
    <row r="3199" spans="1:6" ht="51" x14ac:dyDescent="0.2">
      <c r="A3199" s="391">
        <v>101212</v>
      </c>
      <c r="B3199" s="478" t="s">
        <v>47629</v>
      </c>
      <c r="C3199" s="391" t="s">
        <v>271</v>
      </c>
      <c r="D3199" s="479">
        <v>22.99</v>
      </c>
      <c r="E3199" s="368"/>
      <c r="F3199" s="368"/>
    </row>
    <row r="3200" spans="1:6" ht="51" x14ac:dyDescent="0.2">
      <c r="A3200" s="391">
        <v>101217</v>
      </c>
      <c r="B3200" s="478" t="s">
        <v>47630</v>
      </c>
      <c r="C3200" s="391" t="s">
        <v>271</v>
      </c>
      <c r="D3200" s="479">
        <v>21.55</v>
      </c>
      <c r="E3200" s="368"/>
      <c r="F3200" s="368"/>
    </row>
    <row r="3201" spans="1:6" ht="51" x14ac:dyDescent="0.2">
      <c r="A3201" s="391">
        <v>101218</v>
      </c>
      <c r="B3201" s="478" t="s">
        <v>47631</v>
      </c>
      <c r="C3201" s="391" t="s">
        <v>271</v>
      </c>
      <c r="D3201" s="479">
        <v>22.81</v>
      </c>
      <c r="E3201" s="368"/>
      <c r="F3201" s="368"/>
    </row>
    <row r="3202" spans="1:6" ht="51" x14ac:dyDescent="0.2">
      <c r="A3202" s="391">
        <v>101213</v>
      </c>
      <c r="B3202" s="478" t="s">
        <v>47632</v>
      </c>
      <c r="C3202" s="391" t="s">
        <v>271</v>
      </c>
      <c r="D3202" s="479">
        <v>25.71</v>
      </c>
      <c r="E3202" s="368"/>
      <c r="F3202" s="368"/>
    </row>
    <row r="3203" spans="1:6" ht="51" x14ac:dyDescent="0.2">
      <c r="A3203" s="391">
        <v>101219</v>
      </c>
      <c r="B3203" s="478" t="s">
        <v>47633</v>
      </c>
      <c r="C3203" s="391" t="s">
        <v>271</v>
      </c>
      <c r="D3203" s="479">
        <v>27.68</v>
      </c>
      <c r="E3203" s="368"/>
      <c r="F3203" s="368"/>
    </row>
    <row r="3204" spans="1:6" ht="51" x14ac:dyDescent="0.2">
      <c r="A3204" s="391">
        <v>101214</v>
      </c>
      <c r="B3204" s="478" t="s">
        <v>47634</v>
      </c>
      <c r="C3204" s="391" t="s">
        <v>271</v>
      </c>
      <c r="D3204" s="479">
        <v>31.1</v>
      </c>
      <c r="E3204" s="368"/>
      <c r="F3204" s="368"/>
    </row>
    <row r="3205" spans="1:6" ht="51" x14ac:dyDescent="0.2">
      <c r="A3205" s="391">
        <v>101254</v>
      </c>
      <c r="B3205" s="478" t="s">
        <v>47635</v>
      </c>
      <c r="C3205" s="391" t="s">
        <v>271</v>
      </c>
      <c r="D3205" s="479">
        <v>13.25</v>
      </c>
      <c r="E3205" s="368"/>
      <c r="F3205" s="368"/>
    </row>
    <row r="3206" spans="1:6" ht="51" x14ac:dyDescent="0.2">
      <c r="A3206" s="391">
        <v>101256</v>
      </c>
      <c r="B3206" s="478" t="s">
        <v>47636</v>
      </c>
      <c r="C3206" s="391" t="s">
        <v>271</v>
      </c>
      <c r="D3206" s="479">
        <v>20.46</v>
      </c>
      <c r="E3206" s="368"/>
      <c r="F3206" s="368"/>
    </row>
    <row r="3207" spans="1:6" ht="51" x14ac:dyDescent="0.2">
      <c r="A3207" s="391">
        <v>101257</v>
      </c>
      <c r="B3207" s="478" t="s">
        <v>47637</v>
      </c>
      <c r="C3207" s="391" t="s">
        <v>271</v>
      </c>
      <c r="D3207" s="479">
        <v>21.58</v>
      </c>
      <c r="E3207" s="368"/>
      <c r="F3207" s="368"/>
    </row>
    <row r="3208" spans="1:6" ht="51" x14ac:dyDescent="0.2">
      <c r="A3208" s="391">
        <v>101258</v>
      </c>
      <c r="B3208" s="478" t="s">
        <v>47638</v>
      </c>
      <c r="C3208" s="391" t="s">
        <v>271</v>
      </c>
      <c r="D3208" s="479">
        <v>25.04</v>
      </c>
      <c r="E3208" s="368"/>
      <c r="F3208" s="368"/>
    </row>
    <row r="3209" spans="1:6" ht="51" x14ac:dyDescent="0.2">
      <c r="A3209" s="391">
        <v>101259</v>
      </c>
      <c r="B3209" s="478" t="s">
        <v>47639</v>
      </c>
      <c r="C3209" s="391" t="s">
        <v>271</v>
      </c>
      <c r="D3209" s="479">
        <v>27.82</v>
      </c>
      <c r="E3209" s="368"/>
      <c r="F3209" s="368"/>
    </row>
    <row r="3210" spans="1:6" ht="51" x14ac:dyDescent="0.2">
      <c r="A3210" s="391">
        <v>101260</v>
      </c>
      <c r="B3210" s="478" t="s">
        <v>47640</v>
      </c>
      <c r="C3210" s="391" t="s">
        <v>271</v>
      </c>
      <c r="D3210" s="479">
        <v>34.799999999999997</v>
      </c>
      <c r="E3210" s="368"/>
      <c r="F3210" s="368"/>
    </row>
    <row r="3211" spans="1:6" ht="51" x14ac:dyDescent="0.2">
      <c r="A3211" s="391">
        <v>101208</v>
      </c>
      <c r="B3211" s="478" t="s">
        <v>47641</v>
      </c>
      <c r="C3211" s="391" t="s">
        <v>271</v>
      </c>
      <c r="D3211" s="479">
        <v>11.09</v>
      </c>
      <c r="E3211" s="368"/>
      <c r="F3211" s="368"/>
    </row>
    <row r="3212" spans="1:6" ht="51" x14ac:dyDescent="0.2">
      <c r="A3212" s="391">
        <v>101209</v>
      </c>
      <c r="B3212" s="478" t="s">
        <v>47642</v>
      </c>
      <c r="C3212" s="391" t="s">
        <v>271</v>
      </c>
      <c r="D3212" s="479">
        <v>10.3</v>
      </c>
      <c r="E3212" s="368"/>
      <c r="F3212" s="368"/>
    </row>
    <row r="3213" spans="1:6" ht="51" x14ac:dyDescent="0.2">
      <c r="A3213" s="391">
        <v>101220</v>
      </c>
      <c r="B3213" s="478" t="s">
        <v>47643</v>
      </c>
      <c r="C3213" s="391" t="s">
        <v>271</v>
      </c>
      <c r="D3213" s="479">
        <v>17.329999999999998</v>
      </c>
      <c r="E3213" s="368"/>
      <c r="F3213" s="368"/>
    </row>
    <row r="3214" spans="1:6" ht="51" x14ac:dyDescent="0.2">
      <c r="A3214" s="391">
        <v>101221</v>
      </c>
      <c r="B3214" s="478" t="s">
        <v>47644</v>
      </c>
      <c r="C3214" s="391" t="s">
        <v>271</v>
      </c>
      <c r="D3214" s="479">
        <v>18.32</v>
      </c>
      <c r="E3214" s="368"/>
      <c r="F3214" s="368"/>
    </row>
    <row r="3215" spans="1:6" ht="51" x14ac:dyDescent="0.2">
      <c r="A3215" s="391">
        <v>101225</v>
      </c>
      <c r="B3215" s="478" t="s">
        <v>47645</v>
      </c>
      <c r="C3215" s="391" t="s">
        <v>271</v>
      </c>
      <c r="D3215" s="479">
        <v>15.92</v>
      </c>
      <c r="E3215" s="368"/>
      <c r="F3215" s="368"/>
    </row>
    <row r="3216" spans="1:6" ht="51" x14ac:dyDescent="0.2">
      <c r="A3216" s="391">
        <v>101226</v>
      </c>
      <c r="B3216" s="478" t="s">
        <v>47646</v>
      </c>
      <c r="C3216" s="391" t="s">
        <v>271</v>
      </c>
      <c r="D3216" s="479">
        <v>16.78</v>
      </c>
      <c r="E3216" s="368"/>
      <c r="F3216" s="368"/>
    </row>
    <row r="3217" spans="1:6" ht="51" x14ac:dyDescent="0.2">
      <c r="A3217" s="391">
        <v>101222</v>
      </c>
      <c r="B3217" s="478" t="s">
        <v>47647</v>
      </c>
      <c r="C3217" s="391" t="s">
        <v>271</v>
      </c>
      <c r="D3217" s="479">
        <v>21.31</v>
      </c>
      <c r="E3217" s="368"/>
      <c r="F3217" s="368"/>
    </row>
    <row r="3218" spans="1:6" ht="51" x14ac:dyDescent="0.2">
      <c r="A3218" s="391">
        <v>101227</v>
      </c>
      <c r="B3218" s="478" t="s">
        <v>47648</v>
      </c>
      <c r="C3218" s="391" t="s">
        <v>271</v>
      </c>
      <c r="D3218" s="479">
        <v>19.46</v>
      </c>
      <c r="E3218" s="368"/>
      <c r="F3218" s="368"/>
    </row>
    <row r="3219" spans="1:6" ht="51" x14ac:dyDescent="0.2">
      <c r="A3219" s="391">
        <v>101228</v>
      </c>
      <c r="B3219" s="478" t="s">
        <v>47649</v>
      </c>
      <c r="C3219" s="391" t="s">
        <v>271</v>
      </c>
      <c r="D3219" s="479">
        <v>20.77</v>
      </c>
      <c r="E3219" s="368"/>
      <c r="F3219" s="368"/>
    </row>
    <row r="3220" spans="1:6" ht="51" x14ac:dyDescent="0.2">
      <c r="A3220" s="391">
        <v>101223</v>
      </c>
      <c r="B3220" s="478" t="s">
        <v>47650</v>
      </c>
      <c r="C3220" s="391" t="s">
        <v>271</v>
      </c>
      <c r="D3220" s="479">
        <v>23.71</v>
      </c>
      <c r="E3220" s="368"/>
      <c r="F3220" s="368"/>
    </row>
    <row r="3221" spans="1:6" ht="51" x14ac:dyDescent="0.2">
      <c r="A3221" s="391">
        <v>101229</v>
      </c>
      <c r="B3221" s="478" t="s">
        <v>47651</v>
      </c>
      <c r="C3221" s="391" t="s">
        <v>271</v>
      </c>
      <c r="D3221" s="479">
        <v>26.2</v>
      </c>
      <c r="E3221" s="368"/>
      <c r="F3221" s="368"/>
    </row>
    <row r="3222" spans="1:6" ht="51" x14ac:dyDescent="0.2">
      <c r="A3222" s="391">
        <v>101224</v>
      </c>
      <c r="B3222" s="478" t="s">
        <v>47652</v>
      </c>
      <c r="C3222" s="391" t="s">
        <v>271</v>
      </c>
      <c r="D3222" s="479">
        <v>29.75</v>
      </c>
      <c r="E3222" s="368"/>
      <c r="F3222" s="368"/>
    </row>
    <row r="3223" spans="1:6" ht="51" x14ac:dyDescent="0.2">
      <c r="A3223" s="391">
        <v>101265</v>
      </c>
      <c r="B3223" s="478" t="s">
        <v>47653</v>
      </c>
      <c r="C3223" s="391" t="s">
        <v>271</v>
      </c>
      <c r="D3223" s="479">
        <v>32.76</v>
      </c>
      <c r="E3223" s="368"/>
      <c r="F3223" s="368"/>
    </row>
    <row r="3224" spans="1:6" ht="51" x14ac:dyDescent="0.2">
      <c r="A3224" s="391">
        <v>101255</v>
      </c>
      <c r="B3224" s="478" t="s">
        <v>47654</v>
      </c>
      <c r="C3224" s="391" t="s">
        <v>271</v>
      </c>
      <c r="D3224" s="479">
        <v>11.73</v>
      </c>
      <c r="E3224" s="368"/>
      <c r="F3224" s="368"/>
    </row>
    <row r="3225" spans="1:6" ht="51" x14ac:dyDescent="0.2">
      <c r="A3225" s="391">
        <v>101261</v>
      </c>
      <c r="B3225" s="478" t="s">
        <v>47655</v>
      </c>
      <c r="C3225" s="391" t="s">
        <v>271</v>
      </c>
      <c r="D3225" s="479">
        <v>19.41</v>
      </c>
      <c r="E3225" s="368"/>
      <c r="F3225" s="368"/>
    </row>
    <row r="3226" spans="1:6" ht="51" x14ac:dyDescent="0.2">
      <c r="A3226" s="391">
        <v>101262</v>
      </c>
      <c r="B3226" s="478" t="s">
        <v>47656</v>
      </c>
      <c r="C3226" s="391" t="s">
        <v>271</v>
      </c>
      <c r="D3226" s="479">
        <v>20.5</v>
      </c>
      <c r="E3226" s="368"/>
      <c r="F3226" s="368"/>
    </row>
    <row r="3227" spans="1:6" ht="51" x14ac:dyDescent="0.2">
      <c r="A3227" s="391">
        <v>101263</v>
      </c>
      <c r="B3227" s="478" t="s">
        <v>47657</v>
      </c>
      <c r="C3227" s="391" t="s">
        <v>271</v>
      </c>
      <c r="D3227" s="479">
        <v>23.71</v>
      </c>
      <c r="E3227" s="368"/>
      <c r="F3227" s="368"/>
    </row>
    <row r="3228" spans="1:6" ht="51" x14ac:dyDescent="0.2">
      <c r="A3228" s="391">
        <v>101264</v>
      </c>
      <c r="B3228" s="478" t="s">
        <v>47658</v>
      </c>
      <c r="C3228" s="391" t="s">
        <v>271</v>
      </c>
      <c r="D3228" s="479">
        <v>26.28</v>
      </c>
      <c r="E3228" s="368"/>
      <c r="F3228" s="368"/>
    </row>
    <row r="3229" spans="1:6" ht="51" x14ac:dyDescent="0.2">
      <c r="A3229" s="391">
        <v>101230</v>
      </c>
      <c r="B3229" s="478" t="s">
        <v>4329</v>
      </c>
      <c r="C3229" s="391" t="s">
        <v>271</v>
      </c>
      <c r="D3229" s="479">
        <v>11.55</v>
      </c>
      <c r="E3229" s="368"/>
      <c r="F3229" s="368"/>
    </row>
    <row r="3230" spans="1:6" ht="51" x14ac:dyDescent="0.2">
      <c r="A3230" s="391">
        <v>101231</v>
      </c>
      <c r="B3230" s="478" t="s">
        <v>4330</v>
      </c>
      <c r="C3230" s="391" t="s">
        <v>271</v>
      </c>
      <c r="D3230" s="479">
        <v>10.99</v>
      </c>
      <c r="E3230" s="368"/>
      <c r="F3230" s="368"/>
    </row>
    <row r="3231" spans="1:6" ht="51" x14ac:dyDescent="0.2">
      <c r="A3231" s="391">
        <v>101272</v>
      </c>
      <c r="B3231" s="478" t="s">
        <v>4359</v>
      </c>
      <c r="C3231" s="391" t="s">
        <v>271</v>
      </c>
      <c r="D3231" s="479">
        <v>33.24</v>
      </c>
      <c r="E3231" s="368"/>
      <c r="F3231" s="368"/>
    </row>
    <row r="3232" spans="1:6" ht="51" x14ac:dyDescent="0.2">
      <c r="A3232" s="391">
        <v>101266</v>
      </c>
      <c r="B3232" s="478" t="s">
        <v>4353</v>
      </c>
      <c r="C3232" s="391" t="s">
        <v>271</v>
      </c>
      <c r="D3232" s="479">
        <v>11.78</v>
      </c>
      <c r="E3232" s="368"/>
      <c r="F3232" s="368"/>
    </row>
    <row r="3233" spans="1:6" ht="51" x14ac:dyDescent="0.2">
      <c r="A3233" s="391">
        <v>101239</v>
      </c>
      <c r="B3233" s="478" t="s">
        <v>4338</v>
      </c>
      <c r="C3233" s="391" t="s">
        <v>271</v>
      </c>
      <c r="D3233" s="479">
        <v>15.81</v>
      </c>
      <c r="E3233" s="368"/>
      <c r="F3233" s="368"/>
    </row>
    <row r="3234" spans="1:6" ht="51" x14ac:dyDescent="0.2">
      <c r="A3234" s="391">
        <v>101240</v>
      </c>
      <c r="B3234" s="478" t="s">
        <v>4339</v>
      </c>
      <c r="C3234" s="391" t="s">
        <v>271</v>
      </c>
      <c r="D3234" s="479">
        <v>16.7</v>
      </c>
      <c r="E3234" s="368"/>
      <c r="F3234" s="368"/>
    </row>
    <row r="3235" spans="1:6" ht="51" x14ac:dyDescent="0.2">
      <c r="A3235" s="391">
        <v>101268</v>
      </c>
      <c r="B3235" s="478" t="s">
        <v>4355</v>
      </c>
      <c r="C3235" s="391" t="s">
        <v>271</v>
      </c>
      <c r="D3235" s="479">
        <v>18.61</v>
      </c>
      <c r="E3235" s="368"/>
      <c r="F3235" s="368"/>
    </row>
    <row r="3236" spans="1:6" ht="51" x14ac:dyDescent="0.2">
      <c r="A3236" s="391">
        <v>101234</v>
      </c>
      <c r="B3236" s="478" t="s">
        <v>4333</v>
      </c>
      <c r="C3236" s="391" t="s">
        <v>271</v>
      </c>
      <c r="D3236" s="479">
        <v>18</v>
      </c>
      <c r="E3236" s="368"/>
      <c r="F3236" s="368"/>
    </row>
    <row r="3237" spans="1:6" ht="51" x14ac:dyDescent="0.2">
      <c r="A3237" s="391">
        <v>101235</v>
      </c>
      <c r="B3237" s="478" t="s">
        <v>4334</v>
      </c>
      <c r="C3237" s="391" t="s">
        <v>271</v>
      </c>
      <c r="D3237" s="479">
        <v>18.96</v>
      </c>
      <c r="E3237" s="368"/>
      <c r="F3237" s="368"/>
    </row>
    <row r="3238" spans="1:6" ht="51" x14ac:dyDescent="0.2">
      <c r="A3238" s="391">
        <v>101241</v>
      </c>
      <c r="B3238" s="478" t="s">
        <v>4340</v>
      </c>
      <c r="C3238" s="391" t="s">
        <v>271</v>
      </c>
      <c r="D3238" s="479">
        <v>19.53</v>
      </c>
      <c r="E3238" s="368"/>
      <c r="F3238" s="368"/>
    </row>
    <row r="3239" spans="1:6" ht="51" x14ac:dyDescent="0.2">
      <c r="A3239" s="391">
        <v>101269</v>
      </c>
      <c r="B3239" s="478" t="s">
        <v>4356</v>
      </c>
      <c r="C3239" s="391" t="s">
        <v>271</v>
      </c>
      <c r="D3239" s="479">
        <v>20.72</v>
      </c>
      <c r="E3239" s="368"/>
      <c r="F3239" s="368"/>
    </row>
    <row r="3240" spans="1:6" ht="51" x14ac:dyDescent="0.2">
      <c r="A3240" s="391">
        <v>101236</v>
      </c>
      <c r="B3240" s="478" t="s">
        <v>4335</v>
      </c>
      <c r="C3240" s="391" t="s">
        <v>271</v>
      </c>
      <c r="D3240" s="479">
        <v>22.1</v>
      </c>
      <c r="E3240" s="368"/>
      <c r="F3240" s="368"/>
    </row>
    <row r="3241" spans="1:6" ht="51" x14ac:dyDescent="0.2">
      <c r="A3241" s="391">
        <v>101237</v>
      </c>
      <c r="B3241" s="478" t="s">
        <v>4336</v>
      </c>
      <c r="C3241" s="391" t="s">
        <v>271</v>
      </c>
      <c r="D3241" s="479">
        <v>23.55</v>
      </c>
      <c r="E3241" s="368"/>
      <c r="F3241" s="368"/>
    </row>
    <row r="3242" spans="1:6" ht="51" x14ac:dyDescent="0.2">
      <c r="A3242" s="391">
        <v>101242</v>
      </c>
      <c r="B3242" s="478" t="s">
        <v>4341</v>
      </c>
      <c r="C3242" s="391" t="s">
        <v>271</v>
      </c>
      <c r="D3242" s="479">
        <v>21.83</v>
      </c>
      <c r="E3242" s="368"/>
      <c r="F3242" s="368"/>
    </row>
    <row r="3243" spans="1:6" ht="51" x14ac:dyDescent="0.2">
      <c r="A3243" s="391">
        <v>101270</v>
      </c>
      <c r="B3243" s="478" t="s">
        <v>4357</v>
      </c>
      <c r="C3243" s="391" t="s">
        <v>271</v>
      </c>
      <c r="D3243" s="479">
        <v>24.01</v>
      </c>
      <c r="E3243" s="368"/>
      <c r="F3243" s="368"/>
    </row>
    <row r="3244" spans="1:6" ht="51" x14ac:dyDescent="0.2">
      <c r="A3244" s="391">
        <v>101243</v>
      </c>
      <c r="B3244" s="478" t="s">
        <v>4342</v>
      </c>
      <c r="C3244" s="391" t="s">
        <v>271</v>
      </c>
      <c r="D3244" s="479">
        <v>26.48</v>
      </c>
      <c r="E3244" s="368"/>
      <c r="F3244" s="368"/>
    </row>
    <row r="3245" spans="1:6" ht="51" x14ac:dyDescent="0.2">
      <c r="A3245" s="391">
        <v>101271</v>
      </c>
      <c r="B3245" s="478" t="s">
        <v>4358</v>
      </c>
      <c r="C3245" s="391" t="s">
        <v>271</v>
      </c>
      <c r="D3245" s="479">
        <v>26.63</v>
      </c>
      <c r="E3245" s="368"/>
      <c r="F3245" s="368"/>
    </row>
    <row r="3246" spans="1:6" ht="51" x14ac:dyDescent="0.2">
      <c r="A3246" s="391">
        <v>101238</v>
      </c>
      <c r="B3246" s="478" t="s">
        <v>4337</v>
      </c>
      <c r="C3246" s="391" t="s">
        <v>271</v>
      </c>
      <c r="D3246" s="479">
        <v>29.8</v>
      </c>
      <c r="E3246" s="368"/>
      <c r="F3246" s="368"/>
    </row>
    <row r="3247" spans="1:6" ht="51" x14ac:dyDescent="0.2">
      <c r="A3247" s="391">
        <v>101232</v>
      </c>
      <c r="B3247" s="478" t="s">
        <v>4331</v>
      </c>
      <c r="C3247" s="391" t="s">
        <v>271</v>
      </c>
      <c r="D3247" s="479">
        <v>9.9</v>
      </c>
      <c r="E3247" s="368"/>
      <c r="F3247" s="368"/>
    </row>
    <row r="3248" spans="1:6" ht="51" x14ac:dyDescent="0.2">
      <c r="A3248" s="391">
        <v>101233</v>
      </c>
      <c r="B3248" s="478" t="s">
        <v>4332</v>
      </c>
      <c r="C3248" s="391" t="s">
        <v>271</v>
      </c>
      <c r="D3248" s="479">
        <v>9.14</v>
      </c>
      <c r="E3248" s="368"/>
      <c r="F3248" s="368"/>
    </row>
    <row r="3249" spans="1:6" ht="51" x14ac:dyDescent="0.2">
      <c r="A3249" s="391">
        <v>101248</v>
      </c>
      <c r="B3249" s="478" t="s">
        <v>4347</v>
      </c>
      <c r="C3249" s="391" t="s">
        <v>271</v>
      </c>
      <c r="D3249" s="479">
        <v>28.49</v>
      </c>
      <c r="E3249" s="368"/>
      <c r="F3249" s="368"/>
    </row>
    <row r="3250" spans="1:6" ht="51" x14ac:dyDescent="0.2">
      <c r="A3250" s="391">
        <v>101277</v>
      </c>
      <c r="B3250" s="478" t="s">
        <v>4364</v>
      </c>
      <c r="C3250" s="391" t="s">
        <v>271</v>
      </c>
      <c r="D3250" s="479">
        <v>32.21</v>
      </c>
      <c r="E3250" s="368"/>
      <c r="F3250" s="368"/>
    </row>
    <row r="3251" spans="1:6" ht="51" x14ac:dyDescent="0.2">
      <c r="A3251" s="391">
        <v>101267</v>
      </c>
      <c r="B3251" s="478" t="s">
        <v>4354</v>
      </c>
      <c r="C3251" s="391" t="s">
        <v>271</v>
      </c>
      <c r="D3251" s="479">
        <v>11.35</v>
      </c>
      <c r="E3251" s="368"/>
      <c r="F3251" s="368"/>
    </row>
    <row r="3252" spans="1:6" ht="51" x14ac:dyDescent="0.2">
      <c r="A3252" s="391">
        <v>101249</v>
      </c>
      <c r="B3252" s="478" t="s">
        <v>4348</v>
      </c>
      <c r="C3252" s="391" t="s">
        <v>271</v>
      </c>
      <c r="D3252" s="479">
        <v>14.49</v>
      </c>
      <c r="E3252" s="368"/>
      <c r="F3252" s="368"/>
    </row>
    <row r="3253" spans="1:6" ht="51" x14ac:dyDescent="0.2">
      <c r="A3253" s="391">
        <v>101273</v>
      </c>
      <c r="B3253" s="478" t="s">
        <v>4360</v>
      </c>
      <c r="C3253" s="391" t="s">
        <v>271</v>
      </c>
      <c r="D3253" s="479">
        <v>17.809999999999999</v>
      </c>
      <c r="E3253" s="368"/>
      <c r="F3253" s="368"/>
    </row>
    <row r="3254" spans="1:6" ht="51" x14ac:dyDescent="0.2">
      <c r="A3254" s="391">
        <v>101245</v>
      </c>
      <c r="B3254" s="478" t="s">
        <v>4344</v>
      </c>
      <c r="C3254" s="391" t="s">
        <v>271</v>
      </c>
      <c r="D3254" s="479">
        <v>17.63</v>
      </c>
      <c r="E3254" s="368"/>
      <c r="F3254" s="368"/>
    </row>
    <row r="3255" spans="1:6" ht="51" x14ac:dyDescent="0.2">
      <c r="A3255" s="391">
        <v>101250</v>
      </c>
      <c r="B3255" s="478" t="s">
        <v>4349</v>
      </c>
      <c r="C3255" s="391" t="s">
        <v>271</v>
      </c>
      <c r="D3255" s="479">
        <v>16.100000000000001</v>
      </c>
      <c r="E3255" s="368"/>
      <c r="F3255" s="368"/>
    </row>
    <row r="3256" spans="1:6" ht="51" x14ac:dyDescent="0.2">
      <c r="A3256" s="391">
        <v>101251</v>
      </c>
      <c r="B3256" s="478" t="s">
        <v>4350</v>
      </c>
      <c r="C3256" s="391" t="s">
        <v>271</v>
      </c>
      <c r="D3256" s="479">
        <v>18.32</v>
      </c>
      <c r="E3256" s="368"/>
      <c r="F3256" s="368"/>
    </row>
    <row r="3257" spans="1:6" ht="51" x14ac:dyDescent="0.2">
      <c r="A3257" s="391">
        <v>101274</v>
      </c>
      <c r="B3257" s="478" t="s">
        <v>4361</v>
      </c>
      <c r="C3257" s="391" t="s">
        <v>271</v>
      </c>
      <c r="D3257" s="479">
        <v>19.690000000000001</v>
      </c>
      <c r="E3257" s="368"/>
      <c r="F3257" s="368"/>
    </row>
    <row r="3258" spans="1:6" ht="51" x14ac:dyDescent="0.2">
      <c r="A3258" s="391">
        <v>101246</v>
      </c>
      <c r="B3258" s="478" t="s">
        <v>4345</v>
      </c>
      <c r="C3258" s="391" t="s">
        <v>271</v>
      </c>
      <c r="D3258" s="479">
        <v>20.49</v>
      </c>
      <c r="E3258" s="368"/>
      <c r="F3258" s="368"/>
    </row>
    <row r="3259" spans="1:6" ht="51" x14ac:dyDescent="0.2">
      <c r="A3259" s="391">
        <v>101252</v>
      </c>
      <c r="B3259" s="478" t="s">
        <v>4351</v>
      </c>
      <c r="C3259" s="391" t="s">
        <v>271</v>
      </c>
      <c r="D3259" s="479">
        <v>19.91</v>
      </c>
      <c r="E3259" s="368"/>
      <c r="F3259" s="368"/>
    </row>
    <row r="3260" spans="1:6" ht="51" x14ac:dyDescent="0.2">
      <c r="A3260" s="391">
        <v>101275</v>
      </c>
      <c r="B3260" s="478" t="s">
        <v>4362</v>
      </c>
      <c r="C3260" s="391" t="s">
        <v>271</v>
      </c>
      <c r="D3260" s="479">
        <v>22.81</v>
      </c>
      <c r="E3260" s="368"/>
      <c r="F3260" s="368"/>
    </row>
    <row r="3261" spans="1:6" ht="51" x14ac:dyDescent="0.2">
      <c r="A3261" s="391">
        <v>101247</v>
      </c>
      <c r="B3261" s="478" t="s">
        <v>4346</v>
      </c>
      <c r="C3261" s="391" t="s">
        <v>271</v>
      </c>
      <c r="D3261" s="479">
        <v>22.75</v>
      </c>
      <c r="E3261" s="368"/>
      <c r="F3261" s="368"/>
    </row>
    <row r="3262" spans="1:6" ht="51" x14ac:dyDescent="0.2">
      <c r="A3262" s="391">
        <v>101276</v>
      </c>
      <c r="B3262" s="478" t="s">
        <v>4363</v>
      </c>
      <c r="C3262" s="391" t="s">
        <v>271</v>
      </c>
      <c r="D3262" s="479">
        <v>25.21</v>
      </c>
      <c r="E3262" s="368"/>
      <c r="F3262" s="368"/>
    </row>
    <row r="3263" spans="1:6" ht="51" x14ac:dyDescent="0.2">
      <c r="A3263" s="391">
        <v>101253</v>
      </c>
      <c r="B3263" s="478" t="s">
        <v>4352</v>
      </c>
      <c r="C3263" s="391" t="s">
        <v>271</v>
      </c>
      <c r="D3263" s="479">
        <v>25.09</v>
      </c>
      <c r="E3263" s="368"/>
      <c r="F3263" s="368"/>
    </row>
    <row r="3264" spans="1:6" ht="51" x14ac:dyDescent="0.2">
      <c r="A3264" s="391">
        <v>101244</v>
      </c>
      <c r="B3264" s="478" t="s">
        <v>4343</v>
      </c>
      <c r="C3264" s="391" t="s">
        <v>271</v>
      </c>
      <c r="D3264" s="479">
        <v>16.649999999999999</v>
      </c>
      <c r="E3264" s="368"/>
      <c r="F3264" s="368"/>
    </row>
    <row r="3265" spans="1:6" x14ac:dyDescent="0.2">
      <c r="A3265" s="391">
        <v>93358</v>
      </c>
      <c r="B3265" s="478" t="s">
        <v>39547</v>
      </c>
      <c r="C3265" s="391" t="s">
        <v>271</v>
      </c>
      <c r="D3265" s="479">
        <v>86.03</v>
      </c>
      <c r="E3265" s="368"/>
      <c r="F3265" s="368"/>
    </row>
    <row r="3266" spans="1:6" ht="51" x14ac:dyDescent="0.2">
      <c r="A3266" s="391">
        <v>90082</v>
      </c>
      <c r="B3266" s="478" t="s">
        <v>39529</v>
      </c>
      <c r="C3266" s="391" t="s">
        <v>271</v>
      </c>
      <c r="D3266" s="479">
        <v>9.68</v>
      </c>
      <c r="E3266" s="368"/>
      <c r="F3266" s="368"/>
    </row>
    <row r="3267" spans="1:6" ht="51" x14ac:dyDescent="0.2">
      <c r="A3267" s="391">
        <v>90091</v>
      </c>
      <c r="B3267" s="478" t="s">
        <v>39534</v>
      </c>
      <c r="C3267" s="391" t="s">
        <v>271</v>
      </c>
      <c r="D3267" s="479">
        <v>6.1</v>
      </c>
      <c r="E3267" s="368"/>
      <c r="F3267" s="368"/>
    </row>
    <row r="3268" spans="1:6" ht="51" x14ac:dyDescent="0.2">
      <c r="A3268" s="391">
        <v>102307</v>
      </c>
      <c r="B3268" s="478" t="s">
        <v>39579</v>
      </c>
      <c r="C3268" s="391" t="s">
        <v>271</v>
      </c>
      <c r="D3268" s="479">
        <v>12.11</v>
      </c>
      <c r="E3268" s="368"/>
      <c r="F3268" s="368"/>
    </row>
    <row r="3269" spans="1:6" ht="51" x14ac:dyDescent="0.2">
      <c r="A3269" s="391">
        <v>102315</v>
      </c>
      <c r="B3269" s="478" t="s">
        <v>39587</v>
      </c>
      <c r="C3269" s="391" t="s">
        <v>271</v>
      </c>
      <c r="D3269" s="479">
        <v>7.62</v>
      </c>
      <c r="E3269" s="368"/>
      <c r="F3269" s="368"/>
    </row>
    <row r="3270" spans="1:6" ht="51" x14ac:dyDescent="0.2">
      <c r="A3270" s="391">
        <v>102283</v>
      </c>
      <c r="B3270" s="478" t="s">
        <v>39555</v>
      </c>
      <c r="C3270" s="391" t="s">
        <v>271</v>
      </c>
      <c r="D3270" s="479">
        <v>12.68</v>
      </c>
      <c r="E3270" s="368"/>
      <c r="F3270" s="368"/>
    </row>
    <row r="3271" spans="1:6" ht="51" x14ac:dyDescent="0.2">
      <c r="A3271" s="391">
        <v>102291</v>
      </c>
      <c r="B3271" s="478" t="s">
        <v>39563</v>
      </c>
      <c r="C3271" s="391" t="s">
        <v>271</v>
      </c>
      <c r="D3271" s="479">
        <v>7.98</v>
      </c>
      <c r="E3271" s="368"/>
      <c r="F3271" s="368"/>
    </row>
    <row r="3272" spans="1:6" ht="51" x14ac:dyDescent="0.2">
      <c r="A3272" s="391">
        <v>102276</v>
      </c>
      <c r="B3272" s="478" t="s">
        <v>39548</v>
      </c>
      <c r="C3272" s="391" t="s">
        <v>271</v>
      </c>
      <c r="D3272" s="479">
        <v>10.9</v>
      </c>
      <c r="E3272" s="368"/>
      <c r="F3272" s="368"/>
    </row>
    <row r="3273" spans="1:6" ht="51" x14ac:dyDescent="0.2">
      <c r="A3273" s="391">
        <v>102306</v>
      </c>
      <c r="B3273" s="478" t="s">
        <v>39578</v>
      </c>
      <c r="C3273" s="391" t="s">
        <v>271</v>
      </c>
      <c r="D3273" s="479">
        <v>13.63</v>
      </c>
      <c r="E3273" s="368"/>
      <c r="F3273" s="368"/>
    </row>
    <row r="3274" spans="1:6" ht="51" x14ac:dyDescent="0.2">
      <c r="A3274" s="391">
        <v>102279</v>
      </c>
      <c r="B3274" s="478" t="s">
        <v>39551</v>
      </c>
      <c r="C3274" s="391" t="s">
        <v>271</v>
      </c>
      <c r="D3274" s="479">
        <v>6.87</v>
      </c>
      <c r="E3274" s="368"/>
      <c r="F3274" s="368"/>
    </row>
    <row r="3275" spans="1:6" ht="51" x14ac:dyDescent="0.2">
      <c r="A3275" s="391">
        <v>102282</v>
      </c>
      <c r="B3275" s="478" t="s">
        <v>39554</v>
      </c>
      <c r="C3275" s="391" t="s">
        <v>271</v>
      </c>
      <c r="D3275" s="479">
        <v>14.27</v>
      </c>
      <c r="E3275" s="368"/>
      <c r="F3275" s="368"/>
    </row>
    <row r="3276" spans="1:6" ht="51" x14ac:dyDescent="0.2">
      <c r="A3276" s="391">
        <v>102290</v>
      </c>
      <c r="B3276" s="478" t="s">
        <v>39562</v>
      </c>
      <c r="C3276" s="391" t="s">
        <v>271</v>
      </c>
      <c r="D3276" s="479">
        <v>8.99</v>
      </c>
      <c r="E3276" s="368"/>
      <c r="F3276" s="368"/>
    </row>
    <row r="3277" spans="1:6" ht="51" x14ac:dyDescent="0.2">
      <c r="A3277" s="391">
        <v>90100</v>
      </c>
      <c r="B3277" s="478" t="s">
        <v>39540</v>
      </c>
      <c r="C3277" s="391" t="s">
        <v>271</v>
      </c>
      <c r="D3277" s="479">
        <v>13.02</v>
      </c>
      <c r="E3277" s="368"/>
      <c r="F3277" s="368"/>
    </row>
    <row r="3278" spans="1:6" ht="51" x14ac:dyDescent="0.2">
      <c r="A3278" s="391">
        <v>102323</v>
      </c>
      <c r="B3278" s="478" t="s">
        <v>39595</v>
      </c>
      <c r="C3278" s="391" t="s">
        <v>271</v>
      </c>
      <c r="D3278" s="479">
        <v>16.28</v>
      </c>
      <c r="E3278" s="368"/>
      <c r="F3278" s="368"/>
    </row>
    <row r="3279" spans="1:6" ht="51" x14ac:dyDescent="0.2">
      <c r="A3279" s="391">
        <v>102327</v>
      </c>
      <c r="B3279" s="478" t="s">
        <v>39599</v>
      </c>
      <c r="C3279" s="391" t="s">
        <v>271</v>
      </c>
      <c r="D3279" s="479">
        <v>10.26</v>
      </c>
      <c r="E3279" s="368"/>
      <c r="F3279" s="368"/>
    </row>
    <row r="3280" spans="1:6" ht="51" x14ac:dyDescent="0.2">
      <c r="A3280" s="391">
        <v>102299</v>
      </c>
      <c r="B3280" s="478" t="s">
        <v>39571</v>
      </c>
      <c r="C3280" s="391" t="s">
        <v>271</v>
      </c>
      <c r="D3280" s="479">
        <v>17.04</v>
      </c>
      <c r="E3280" s="368"/>
      <c r="F3280" s="368"/>
    </row>
    <row r="3281" spans="1:6" ht="51" x14ac:dyDescent="0.2">
      <c r="A3281" s="391">
        <v>102303</v>
      </c>
      <c r="B3281" s="478" t="s">
        <v>39575</v>
      </c>
      <c r="C3281" s="391" t="s">
        <v>271</v>
      </c>
      <c r="D3281" s="479">
        <v>10.73</v>
      </c>
      <c r="E3281" s="368"/>
      <c r="F3281" s="368"/>
    </row>
    <row r="3282" spans="1:6" ht="51" x14ac:dyDescent="0.2">
      <c r="A3282" s="391">
        <v>90099</v>
      </c>
      <c r="B3282" s="478" t="s">
        <v>39539</v>
      </c>
      <c r="C3282" s="391" t="s">
        <v>271</v>
      </c>
      <c r="D3282" s="479">
        <v>15.19</v>
      </c>
      <c r="E3282" s="368"/>
      <c r="F3282" s="368"/>
    </row>
    <row r="3283" spans="1:6" ht="51" x14ac:dyDescent="0.2">
      <c r="A3283" s="391">
        <v>102322</v>
      </c>
      <c r="B3283" s="478" t="s">
        <v>39594</v>
      </c>
      <c r="C3283" s="391" t="s">
        <v>271</v>
      </c>
      <c r="D3283" s="479">
        <v>19</v>
      </c>
      <c r="E3283" s="368"/>
      <c r="F3283" s="368"/>
    </row>
    <row r="3284" spans="1:6" ht="51" x14ac:dyDescent="0.2">
      <c r="A3284" s="391">
        <v>102298</v>
      </c>
      <c r="B3284" s="478" t="s">
        <v>39570</v>
      </c>
      <c r="C3284" s="391" t="s">
        <v>271</v>
      </c>
      <c r="D3284" s="479">
        <v>19.89</v>
      </c>
      <c r="E3284" s="368"/>
      <c r="F3284" s="368"/>
    </row>
    <row r="3285" spans="1:6" ht="51" x14ac:dyDescent="0.2">
      <c r="A3285" s="391">
        <v>102302</v>
      </c>
      <c r="B3285" s="478" t="s">
        <v>39574</v>
      </c>
      <c r="C3285" s="391" t="s">
        <v>271</v>
      </c>
      <c r="D3285" s="479">
        <v>12.52</v>
      </c>
      <c r="E3285" s="368"/>
      <c r="F3285" s="368"/>
    </row>
    <row r="3286" spans="1:6" ht="51" x14ac:dyDescent="0.2">
      <c r="A3286" s="391">
        <v>102326</v>
      </c>
      <c r="B3286" s="478" t="s">
        <v>39598</v>
      </c>
      <c r="C3286" s="391" t="s">
        <v>271</v>
      </c>
      <c r="D3286" s="479">
        <v>11.97</v>
      </c>
      <c r="E3286" s="368"/>
      <c r="F3286" s="368"/>
    </row>
    <row r="3287" spans="1:6" ht="51" x14ac:dyDescent="0.2">
      <c r="A3287" s="391">
        <v>102314</v>
      </c>
      <c r="B3287" s="478" t="s">
        <v>39586</v>
      </c>
      <c r="C3287" s="391" t="s">
        <v>271</v>
      </c>
      <c r="D3287" s="479">
        <v>8.58</v>
      </c>
      <c r="E3287" s="368"/>
      <c r="F3287" s="368"/>
    </row>
    <row r="3288" spans="1:6" ht="51" x14ac:dyDescent="0.2">
      <c r="A3288" s="391">
        <v>102312</v>
      </c>
      <c r="B3288" s="478" t="s">
        <v>39584</v>
      </c>
      <c r="C3288" s="391" t="s">
        <v>271</v>
      </c>
      <c r="D3288" s="479">
        <v>10.97</v>
      </c>
      <c r="E3288" s="368"/>
      <c r="F3288" s="368"/>
    </row>
    <row r="3289" spans="1:6" ht="51" x14ac:dyDescent="0.2">
      <c r="A3289" s="391">
        <v>102288</v>
      </c>
      <c r="B3289" s="478" t="s">
        <v>39560</v>
      </c>
      <c r="C3289" s="391" t="s">
        <v>271</v>
      </c>
      <c r="D3289" s="479">
        <v>11.47</v>
      </c>
      <c r="E3289" s="368"/>
      <c r="F3289" s="368"/>
    </row>
    <row r="3290" spans="1:6" ht="51" x14ac:dyDescent="0.2">
      <c r="A3290" s="391">
        <v>90087</v>
      </c>
      <c r="B3290" s="478" t="s">
        <v>39532</v>
      </c>
      <c r="C3290" s="391" t="s">
        <v>271</v>
      </c>
      <c r="D3290" s="479">
        <v>8.77</v>
      </c>
      <c r="E3290" s="368"/>
      <c r="F3290" s="368"/>
    </row>
    <row r="3291" spans="1:6" ht="51" x14ac:dyDescent="0.2">
      <c r="A3291" s="391">
        <v>102308</v>
      </c>
      <c r="B3291" s="478" t="s">
        <v>39580</v>
      </c>
      <c r="C3291" s="391" t="s">
        <v>271</v>
      </c>
      <c r="D3291" s="479">
        <v>11.72</v>
      </c>
      <c r="E3291" s="368"/>
      <c r="F3291" s="368"/>
    </row>
    <row r="3292" spans="1:6" ht="51" x14ac:dyDescent="0.2">
      <c r="A3292" s="391">
        <v>90084</v>
      </c>
      <c r="B3292" s="478" t="s">
        <v>39530</v>
      </c>
      <c r="C3292" s="391" t="s">
        <v>271</v>
      </c>
      <c r="D3292" s="479">
        <v>9.3800000000000008</v>
      </c>
      <c r="E3292" s="368"/>
      <c r="F3292" s="368"/>
    </row>
    <row r="3293" spans="1:6" ht="51" x14ac:dyDescent="0.2">
      <c r="A3293" s="391">
        <v>102284</v>
      </c>
      <c r="B3293" s="478" t="s">
        <v>39556</v>
      </c>
      <c r="C3293" s="391" t="s">
        <v>271</v>
      </c>
      <c r="D3293" s="479">
        <v>12.27</v>
      </c>
      <c r="E3293" s="368"/>
      <c r="F3293" s="368"/>
    </row>
    <row r="3294" spans="1:6" ht="51" x14ac:dyDescent="0.2">
      <c r="A3294" s="391">
        <v>102325</v>
      </c>
      <c r="B3294" s="478" t="s">
        <v>39597</v>
      </c>
      <c r="C3294" s="391" t="s">
        <v>271</v>
      </c>
      <c r="D3294" s="479">
        <v>14.73</v>
      </c>
      <c r="E3294" s="368"/>
      <c r="F3294" s="368"/>
    </row>
    <row r="3295" spans="1:6" ht="51" x14ac:dyDescent="0.2">
      <c r="A3295" s="391">
        <v>102329</v>
      </c>
      <c r="B3295" s="478" t="s">
        <v>39601</v>
      </c>
      <c r="C3295" s="391" t="s">
        <v>271</v>
      </c>
      <c r="D3295" s="479">
        <v>9.27</v>
      </c>
      <c r="E3295" s="368"/>
      <c r="F3295" s="368"/>
    </row>
    <row r="3296" spans="1:6" ht="51" x14ac:dyDescent="0.2">
      <c r="A3296" s="391">
        <v>102301</v>
      </c>
      <c r="B3296" s="478" t="s">
        <v>39573</v>
      </c>
      <c r="C3296" s="391" t="s">
        <v>271</v>
      </c>
      <c r="D3296" s="479">
        <v>15.41</v>
      </c>
      <c r="E3296" s="368"/>
      <c r="F3296" s="368"/>
    </row>
    <row r="3297" spans="1:6" ht="51" x14ac:dyDescent="0.2">
      <c r="A3297" s="391">
        <v>102305</v>
      </c>
      <c r="B3297" s="478" t="s">
        <v>39577</v>
      </c>
      <c r="C3297" s="391" t="s">
        <v>271</v>
      </c>
      <c r="D3297" s="479">
        <v>9.7200000000000006</v>
      </c>
      <c r="E3297" s="368"/>
      <c r="F3297" s="368"/>
    </row>
    <row r="3298" spans="1:6" ht="51" x14ac:dyDescent="0.2">
      <c r="A3298" s="391">
        <v>90101</v>
      </c>
      <c r="B3298" s="478" t="s">
        <v>39541</v>
      </c>
      <c r="C3298" s="391" t="s">
        <v>271</v>
      </c>
      <c r="D3298" s="479">
        <v>12.86</v>
      </c>
      <c r="E3298" s="368"/>
      <c r="F3298" s="368"/>
    </row>
    <row r="3299" spans="1:6" ht="51" x14ac:dyDescent="0.2">
      <c r="A3299" s="391">
        <v>102324</v>
      </c>
      <c r="B3299" s="478" t="s">
        <v>39596</v>
      </c>
      <c r="C3299" s="391" t="s">
        <v>271</v>
      </c>
      <c r="D3299" s="479">
        <v>16.09</v>
      </c>
      <c r="E3299" s="368"/>
      <c r="F3299" s="368"/>
    </row>
    <row r="3300" spans="1:6" ht="51" x14ac:dyDescent="0.2">
      <c r="A3300" s="391">
        <v>102300</v>
      </c>
      <c r="B3300" s="478" t="s">
        <v>39572</v>
      </c>
      <c r="C3300" s="391" t="s">
        <v>271</v>
      </c>
      <c r="D3300" s="479">
        <v>16.84</v>
      </c>
      <c r="E3300" s="368"/>
      <c r="F3300" s="368"/>
    </row>
    <row r="3301" spans="1:6" ht="51" x14ac:dyDescent="0.2">
      <c r="A3301" s="391">
        <v>90102</v>
      </c>
      <c r="B3301" s="478" t="s">
        <v>39542</v>
      </c>
      <c r="C3301" s="391" t="s">
        <v>271</v>
      </c>
      <c r="D3301" s="479">
        <v>11.78</v>
      </c>
      <c r="E3301" s="368"/>
      <c r="F3301" s="368"/>
    </row>
    <row r="3302" spans="1:6" ht="51" x14ac:dyDescent="0.2">
      <c r="A3302" s="391">
        <v>102328</v>
      </c>
      <c r="B3302" s="478" t="s">
        <v>39600</v>
      </c>
      <c r="C3302" s="391" t="s">
        <v>271</v>
      </c>
      <c r="D3302" s="479">
        <v>10.130000000000001</v>
      </c>
      <c r="E3302" s="368"/>
      <c r="F3302" s="368"/>
    </row>
    <row r="3303" spans="1:6" ht="51" x14ac:dyDescent="0.2">
      <c r="A3303" s="391">
        <v>102304</v>
      </c>
      <c r="B3303" s="478" t="s">
        <v>39576</v>
      </c>
      <c r="C3303" s="391" t="s">
        <v>271</v>
      </c>
      <c r="D3303" s="479">
        <v>10.61</v>
      </c>
      <c r="E3303" s="368"/>
      <c r="F3303" s="368"/>
    </row>
    <row r="3304" spans="1:6" ht="51" x14ac:dyDescent="0.2">
      <c r="A3304" s="391">
        <v>102295</v>
      </c>
      <c r="B3304" s="478" t="s">
        <v>39567</v>
      </c>
      <c r="C3304" s="391" t="s">
        <v>271</v>
      </c>
      <c r="D3304" s="479">
        <v>7.51</v>
      </c>
      <c r="E3304" s="368"/>
      <c r="F3304" s="368"/>
    </row>
    <row r="3305" spans="1:6" ht="51" x14ac:dyDescent="0.2">
      <c r="A3305" s="391">
        <v>102281</v>
      </c>
      <c r="B3305" s="478" t="s">
        <v>39553</v>
      </c>
      <c r="C3305" s="391" t="s">
        <v>271</v>
      </c>
      <c r="D3305" s="479">
        <v>5.75</v>
      </c>
      <c r="E3305" s="368"/>
      <c r="F3305" s="368"/>
    </row>
    <row r="3306" spans="1:6" ht="51" x14ac:dyDescent="0.2">
      <c r="A3306" s="391">
        <v>102311</v>
      </c>
      <c r="B3306" s="478" t="s">
        <v>39583</v>
      </c>
      <c r="C3306" s="391" t="s">
        <v>271</v>
      </c>
      <c r="D3306" s="479">
        <v>11.4</v>
      </c>
      <c r="E3306" s="368"/>
      <c r="F3306" s="368"/>
    </row>
    <row r="3307" spans="1:6" ht="51" x14ac:dyDescent="0.2">
      <c r="A3307" s="391">
        <v>102319</v>
      </c>
      <c r="B3307" s="478" t="s">
        <v>39591</v>
      </c>
      <c r="C3307" s="391" t="s">
        <v>271</v>
      </c>
      <c r="D3307" s="479">
        <v>7.18</v>
      </c>
      <c r="E3307" s="368"/>
      <c r="F3307" s="368"/>
    </row>
    <row r="3308" spans="1:6" ht="51" x14ac:dyDescent="0.2">
      <c r="A3308" s="391">
        <v>102287</v>
      </c>
      <c r="B3308" s="478" t="s">
        <v>39559</v>
      </c>
      <c r="C3308" s="391" t="s">
        <v>271</v>
      </c>
      <c r="D3308" s="479">
        <v>11.94</v>
      </c>
      <c r="E3308" s="368"/>
      <c r="F3308" s="368"/>
    </row>
    <row r="3309" spans="1:6" ht="51" x14ac:dyDescent="0.2">
      <c r="A3309" s="391">
        <v>102316</v>
      </c>
      <c r="B3309" s="478" t="s">
        <v>39588</v>
      </c>
      <c r="C3309" s="391" t="s">
        <v>271</v>
      </c>
      <c r="D3309" s="479">
        <v>7.38</v>
      </c>
      <c r="E3309" s="368"/>
      <c r="F3309" s="368"/>
    </row>
    <row r="3310" spans="1:6" ht="51" x14ac:dyDescent="0.2">
      <c r="A3310" s="391">
        <v>102292</v>
      </c>
      <c r="B3310" s="478" t="s">
        <v>39564</v>
      </c>
      <c r="C3310" s="391" t="s">
        <v>271</v>
      </c>
      <c r="D3310" s="479">
        <v>7.73</v>
      </c>
      <c r="E3310" s="368"/>
      <c r="F3310" s="368"/>
    </row>
    <row r="3311" spans="1:6" ht="51" x14ac:dyDescent="0.2">
      <c r="A3311" s="391">
        <v>90092</v>
      </c>
      <c r="B3311" s="478" t="s">
        <v>39535</v>
      </c>
      <c r="C3311" s="391" t="s">
        <v>271</v>
      </c>
      <c r="D3311" s="479">
        <v>5.91</v>
      </c>
      <c r="E3311" s="368"/>
      <c r="F3311" s="368"/>
    </row>
    <row r="3312" spans="1:6" ht="51" x14ac:dyDescent="0.2">
      <c r="A3312" s="391">
        <v>102278</v>
      </c>
      <c r="B3312" s="478" t="s">
        <v>39550</v>
      </c>
      <c r="C3312" s="391" t="s">
        <v>271</v>
      </c>
      <c r="D3312" s="479">
        <v>9.1199999999999992</v>
      </c>
      <c r="E3312" s="368"/>
      <c r="F3312" s="368"/>
    </row>
    <row r="3313" spans="1:6" ht="51" x14ac:dyDescent="0.2">
      <c r="A3313" s="391">
        <v>90094</v>
      </c>
      <c r="B3313" s="478" t="s">
        <v>39536</v>
      </c>
      <c r="C3313" s="391" t="s">
        <v>271</v>
      </c>
      <c r="D3313" s="479">
        <v>5.59</v>
      </c>
      <c r="E3313" s="368"/>
      <c r="F3313" s="368"/>
    </row>
    <row r="3314" spans="1:6" ht="51" x14ac:dyDescent="0.2">
      <c r="A3314" s="391">
        <v>102309</v>
      </c>
      <c r="B3314" s="478" t="s">
        <v>39581</v>
      </c>
      <c r="C3314" s="391" t="s">
        <v>271</v>
      </c>
      <c r="D3314" s="479">
        <v>11.09</v>
      </c>
      <c r="E3314" s="368"/>
      <c r="F3314" s="368"/>
    </row>
    <row r="3315" spans="1:6" ht="51" x14ac:dyDescent="0.2">
      <c r="A3315" s="391">
        <v>102285</v>
      </c>
      <c r="B3315" s="478" t="s">
        <v>39557</v>
      </c>
      <c r="C3315" s="391" t="s">
        <v>271</v>
      </c>
      <c r="D3315" s="479">
        <v>11.61</v>
      </c>
      <c r="E3315" s="368"/>
      <c r="F3315" s="368"/>
    </row>
    <row r="3316" spans="1:6" ht="51" x14ac:dyDescent="0.2">
      <c r="A3316" s="391">
        <v>90095</v>
      </c>
      <c r="B3316" s="478" t="s">
        <v>39537</v>
      </c>
      <c r="C3316" s="391" t="s">
        <v>271</v>
      </c>
      <c r="D3316" s="479">
        <v>5.52</v>
      </c>
      <c r="E3316" s="368"/>
      <c r="F3316" s="368"/>
    </row>
    <row r="3317" spans="1:6" ht="51" x14ac:dyDescent="0.2">
      <c r="A3317" s="391">
        <v>102320</v>
      </c>
      <c r="B3317" s="478" t="s">
        <v>39592</v>
      </c>
      <c r="C3317" s="391" t="s">
        <v>271</v>
      </c>
      <c r="D3317" s="479">
        <v>6.91</v>
      </c>
      <c r="E3317" s="368"/>
      <c r="F3317" s="368"/>
    </row>
    <row r="3318" spans="1:6" ht="51" x14ac:dyDescent="0.2">
      <c r="A3318" s="391">
        <v>102296</v>
      </c>
      <c r="B3318" s="478" t="s">
        <v>39568</v>
      </c>
      <c r="C3318" s="391" t="s">
        <v>271</v>
      </c>
      <c r="D3318" s="479">
        <v>7.22</v>
      </c>
      <c r="E3318" s="368"/>
      <c r="F3318" s="368"/>
    </row>
    <row r="3319" spans="1:6" ht="51" x14ac:dyDescent="0.2">
      <c r="A3319" s="391">
        <v>90086</v>
      </c>
      <c r="B3319" s="478" t="s">
        <v>39531</v>
      </c>
      <c r="C3319" s="391" t="s">
        <v>271</v>
      </c>
      <c r="D3319" s="479">
        <v>8.8699999999999992</v>
      </c>
      <c r="E3319" s="368"/>
      <c r="F3319" s="368"/>
    </row>
    <row r="3320" spans="1:6" ht="51" x14ac:dyDescent="0.2">
      <c r="A3320" s="391">
        <v>102277</v>
      </c>
      <c r="B3320" s="478" t="s">
        <v>39549</v>
      </c>
      <c r="C3320" s="391" t="s">
        <v>271</v>
      </c>
      <c r="D3320" s="479">
        <v>8.6199999999999992</v>
      </c>
      <c r="E3320" s="368"/>
      <c r="F3320" s="368"/>
    </row>
    <row r="3321" spans="1:6" ht="51" x14ac:dyDescent="0.2">
      <c r="A3321" s="391">
        <v>102286</v>
      </c>
      <c r="B3321" s="478" t="s">
        <v>39558</v>
      </c>
      <c r="C3321" s="391" t="s">
        <v>271</v>
      </c>
      <c r="D3321" s="479">
        <v>11.27</v>
      </c>
      <c r="E3321" s="368"/>
      <c r="F3321" s="368"/>
    </row>
    <row r="3322" spans="1:6" ht="51" x14ac:dyDescent="0.2">
      <c r="A3322" s="391">
        <v>90098</v>
      </c>
      <c r="B3322" s="478" t="s">
        <v>39538</v>
      </c>
      <c r="C3322" s="391" t="s">
        <v>271</v>
      </c>
      <c r="D3322" s="479">
        <v>5.41</v>
      </c>
      <c r="E3322" s="368"/>
      <c r="F3322" s="368"/>
    </row>
    <row r="3323" spans="1:6" ht="51" x14ac:dyDescent="0.2">
      <c r="A3323" s="391">
        <v>102313</v>
      </c>
      <c r="B3323" s="478" t="s">
        <v>39585</v>
      </c>
      <c r="C3323" s="391" t="s">
        <v>271</v>
      </c>
      <c r="D3323" s="479">
        <v>10.74</v>
      </c>
      <c r="E3323" s="368"/>
      <c r="F3323" s="368"/>
    </row>
    <row r="3324" spans="1:6" ht="51" x14ac:dyDescent="0.2">
      <c r="A3324" s="391">
        <v>102321</v>
      </c>
      <c r="B3324" s="478" t="s">
        <v>39593</v>
      </c>
      <c r="C3324" s="391" t="s">
        <v>271</v>
      </c>
      <c r="D3324" s="479">
        <v>6.76</v>
      </c>
      <c r="E3324" s="368"/>
      <c r="F3324" s="368"/>
    </row>
    <row r="3325" spans="1:6" ht="51" x14ac:dyDescent="0.2">
      <c r="A3325" s="391">
        <v>102289</v>
      </c>
      <c r="B3325" s="478" t="s">
        <v>39561</v>
      </c>
      <c r="C3325" s="391" t="s">
        <v>271</v>
      </c>
      <c r="D3325" s="479">
        <v>11.25</v>
      </c>
      <c r="E3325" s="368"/>
      <c r="F3325" s="368"/>
    </row>
    <row r="3326" spans="1:6" ht="51" x14ac:dyDescent="0.2">
      <c r="A3326" s="391">
        <v>102297</v>
      </c>
      <c r="B3326" s="478" t="s">
        <v>39569</v>
      </c>
      <c r="C3326" s="391" t="s">
        <v>271</v>
      </c>
      <c r="D3326" s="479">
        <v>7.08</v>
      </c>
      <c r="E3326" s="368"/>
      <c r="F3326" s="368"/>
    </row>
    <row r="3327" spans="1:6" ht="51" x14ac:dyDescent="0.2">
      <c r="A3327" s="391">
        <v>102280</v>
      </c>
      <c r="B3327" s="478" t="s">
        <v>39552</v>
      </c>
      <c r="C3327" s="391" t="s">
        <v>271</v>
      </c>
      <c r="D3327" s="479">
        <v>5.43</v>
      </c>
      <c r="E3327" s="368"/>
      <c r="F3327" s="368"/>
    </row>
    <row r="3328" spans="1:6" ht="51" x14ac:dyDescent="0.2">
      <c r="A3328" s="391">
        <v>102294</v>
      </c>
      <c r="B3328" s="478" t="s">
        <v>39566</v>
      </c>
      <c r="C3328" s="391" t="s">
        <v>271</v>
      </c>
      <c r="D3328" s="479">
        <v>7.1</v>
      </c>
      <c r="E3328" s="368"/>
      <c r="F3328" s="368"/>
    </row>
    <row r="3329" spans="1:6" ht="51" x14ac:dyDescent="0.2">
      <c r="A3329" s="391">
        <v>90090</v>
      </c>
      <c r="B3329" s="478" t="s">
        <v>39533</v>
      </c>
      <c r="C3329" s="391" t="s">
        <v>271</v>
      </c>
      <c r="D3329" s="479">
        <v>8.59</v>
      </c>
      <c r="E3329" s="368"/>
      <c r="F3329" s="368"/>
    </row>
    <row r="3330" spans="1:6" ht="51" x14ac:dyDescent="0.2">
      <c r="A3330" s="391">
        <v>102317</v>
      </c>
      <c r="B3330" s="478" t="s">
        <v>39589</v>
      </c>
      <c r="C3330" s="391" t="s">
        <v>271</v>
      </c>
      <c r="D3330" s="479">
        <v>6.98</v>
      </c>
      <c r="E3330" s="368"/>
      <c r="F3330" s="368"/>
    </row>
    <row r="3331" spans="1:6" ht="51" x14ac:dyDescent="0.2">
      <c r="A3331" s="391">
        <v>102293</v>
      </c>
      <c r="B3331" s="478" t="s">
        <v>39565</v>
      </c>
      <c r="C3331" s="391" t="s">
        <v>271</v>
      </c>
      <c r="D3331" s="479">
        <v>7.3</v>
      </c>
      <c r="E3331" s="368"/>
      <c r="F3331" s="368"/>
    </row>
    <row r="3332" spans="1:6" ht="51" x14ac:dyDescent="0.2">
      <c r="A3332" s="391">
        <v>102310</v>
      </c>
      <c r="B3332" s="478" t="s">
        <v>39582</v>
      </c>
      <c r="C3332" s="391" t="s">
        <v>271</v>
      </c>
      <c r="D3332" s="479">
        <v>10.77</v>
      </c>
      <c r="E3332" s="368"/>
      <c r="F3332" s="368"/>
    </row>
    <row r="3333" spans="1:6" ht="51" x14ac:dyDescent="0.2">
      <c r="A3333" s="391">
        <v>102318</v>
      </c>
      <c r="B3333" s="478" t="s">
        <v>39590</v>
      </c>
      <c r="C3333" s="391" t="s">
        <v>271</v>
      </c>
      <c r="D3333" s="479">
        <v>6.78</v>
      </c>
      <c r="E3333" s="368"/>
      <c r="F3333" s="368"/>
    </row>
    <row r="3334" spans="1:6" ht="51" x14ac:dyDescent="0.2">
      <c r="A3334" s="391">
        <v>90106</v>
      </c>
      <c r="B3334" s="478" t="s">
        <v>39544</v>
      </c>
      <c r="C3334" s="391" t="s">
        <v>271</v>
      </c>
      <c r="D3334" s="479">
        <v>8.2100000000000009</v>
      </c>
      <c r="E3334" s="368"/>
      <c r="F3334" s="368"/>
    </row>
    <row r="3335" spans="1:6" ht="51" x14ac:dyDescent="0.2">
      <c r="A3335" s="391">
        <v>90105</v>
      </c>
      <c r="B3335" s="478" t="s">
        <v>39543</v>
      </c>
      <c r="C3335" s="391" t="s">
        <v>271</v>
      </c>
      <c r="D3335" s="479">
        <v>9.01</v>
      </c>
      <c r="E3335" s="368"/>
      <c r="F3335" s="368"/>
    </row>
    <row r="3336" spans="1:6" ht="51" x14ac:dyDescent="0.2">
      <c r="A3336" s="391">
        <v>90108</v>
      </c>
      <c r="B3336" s="478" t="s">
        <v>39546</v>
      </c>
      <c r="C3336" s="391" t="s">
        <v>271</v>
      </c>
      <c r="D3336" s="479">
        <v>7.42</v>
      </c>
      <c r="E3336" s="368"/>
      <c r="F3336" s="368"/>
    </row>
    <row r="3337" spans="1:6" ht="51" x14ac:dyDescent="0.2">
      <c r="A3337" s="391">
        <v>90107</v>
      </c>
      <c r="B3337" s="478" t="s">
        <v>39545</v>
      </c>
      <c r="C3337" s="391" t="s">
        <v>271</v>
      </c>
      <c r="D3337" s="479">
        <v>8.11</v>
      </c>
      <c r="E3337" s="368"/>
      <c r="F3337" s="368"/>
    </row>
    <row r="3338" spans="1:6" ht="38.25" x14ac:dyDescent="0.2">
      <c r="A3338" s="391">
        <v>102354</v>
      </c>
      <c r="B3338" s="478" t="s">
        <v>4365</v>
      </c>
      <c r="C3338" s="391" t="s">
        <v>271</v>
      </c>
      <c r="D3338" s="479">
        <v>162.31</v>
      </c>
      <c r="E3338" s="368"/>
      <c r="F3338" s="368"/>
    </row>
    <row r="3339" spans="1:6" ht="38.25" x14ac:dyDescent="0.2">
      <c r="A3339" s="391">
        <v>102355</v>
      </c>
      <c r="B3339" s="478" t="s">
        <v>47659</v>
      </c>
      <c r="C3339" s="391" t="s">
        <v>271</v>
      </c>
      <c r="D3339" s="479">
        <v>190.35</v>
      </c>
      <c r="E3339" s="368"/>
      <c r="F3339" s="368"/>
    </row>
    <row r="3340" spans="1:6" ht="25.5" x14ac:dyDescent="0.2">
      <c r="A3340" s="391">
        <v>102356</v>
      </c>
      <c r="B3340" s="478" t="s">
        <v>41193</v>
      </c>
      <c r="C3340" s="391" t="s">
        <v>271</v>
      </c>
      <c r="D3340" s="479">
        <v>0</v>
      </c>
      <c r="E3340" s="368"/>
      <c r="F3340" s="368"/>
    </row>
    <row r="3341" spans="1:6" ht="38.25" x14ac:dyDescent="0.2">
      <c r="A3341" s="391">
        <v>102357</v>
      </c>
      <c r="B3341" s="478" t="s">
        <v>41194</v>
      </c>
      <c r="C3341" s="391" t="s">
        <v>271</v>
      </c>
      <c r="D3341" s="479">
        <v>0</v>
      </c>
      <c r="E3341" s="368"/>
      <c r="F3341" s="368"/>
    </row>
    <row r="3342" spans="1:6" ht="25.5" x14ac:dyDescent="0.2">
      <c r="A3342" s="391">
        <v>102358</v>
      </c>
      <c r="B3342" s="478" t="s">
        <v>41195</v>
      </c>
      <c r="C3342" s="391" t="s">
        <v>271</v>
      </c>
      <c r="D3342" s="479">
        <v>0</v>
      </c>
      <c r="E3342" s="368"/>
      <c r="F3342" s="368"/>
    </row>
    <row r="3343" spans="1:6" ht="38.25" x14ac:dyDescent="0.2">
      <c r="A3343" s="391">
        <v>102359</v>
      </c>
      <c r="B3343" s="478" t="s">
        <v>47660</v>
      </c>
      <c r="C3343" s="391" t="s">
        <v>271</v>
      </c>
      <c r="D3343" s="479">
        <v>0</v>
      </c>
      <c r="E3343" s="368"/>
      <c r="F3343" s="368"/>
    </row>
    <row r="3344" spans="1:6" ht="51" x14ac:dyDescent="0.2">
      <c r="A3344" s="391">
        <v>102348</v>
      </c>
      <c r="B3344" s="478" t="s">
        <v>41196</v>
      </c>
      <c r="C3344" s="391" t="s">
        <v>271</v>
      </c>
      <c r="D3344" s="479">
        <v>0</v>
      </c>
      <c r="E3344" s="368"/>
      <c r="F3344" s="368"/>
    </row>
    <row r="3345" spans="1:6" ht="51" x14ac:dyDescent="0.2">
      <c r="A3345" s="391">
        <v>102346</v>
      </c>
      <c r="B3345" s="478" t="s">
        <v>41197</v>
      </c>
      <c r="C3345" s="391" t="s">
        <v>271</v>
      </c>
      <c r="D3345" s="479">
        <v>0</v>
      </c>
      <c r="E3345" s="368"/>
      <c r="F3345" s="368"/>
    </row>
    <row r="3346" spans="1:6" ht="51" x14ac:dyDescent="0.2">
      <c r="A3346" s="391">
        <v>102347</v>
      </c>
      <c r="B3346" s="478" t="s">
        <v>41198</v>
      </c>
      <c r="C3346" s="391" t="s">
        <v>271</v>
      </c>
      <c r="D3346" s="479">
        <v>0</v>
      </c>
      <c r="E3346" s="368"/>
      <c r="F3346" s="368"/>
    </row>
    <row r="3347" spans="1:6" ht="38.25" x14ac:dyDescent="0.2">
      <c r="A3347" s="391">
        <v>102350</v>
      </c>
      <c r="B3347" s="478" t="s">
        <v>41199</v>
      </c>
      <c r="C3347" s="391" t="s">
        <v>271</v>
      </c>
      <c r="D3347" s="479">
        <v>0</v>
      </c>
      <c r="E3347" s="368"/>
      <c r="F3347" s="368"/>
    </row>
    <row r="3348" spans="1:6" ht="38.25" x14ac:dyDescent="0.2">
      <c r="A3348" s="391">
        <v>102351</v>
      </c>
      <c r="B3348" s="478" t="s">
        <v>41200</v>
      </c>
      <c r="C3348" s="391" t="s">
        <v>271</v>
      </c>
      <c r="D3348" s="479">
        <v>0</v>
      </c>
      <c r="E3348" s="368"/>
      <c r="F3348" s="368"/>
    </row>
    <row r="3349" spans="1:6" ht="51" x14ac:dyDescent="0.2">
      <c r="A3349" s="391">
        <v>102352</v>
      </c>
      <c r="B3349" s="478" t="s">
        <v>41201</v>
      </c>
      <c r="C3349" s="391" t="s">
        <v>271</v>
      </c>
      <c r="D3349" s="479">
        <v>0</v>
      </c>
      <c r="E3349" s="368"/>
      <c r="F3349" s="368"/>
    </row>
    <row r="3350" spans="1:6" ht="38.25" x14ac:dyDescent="0.2">
      <c r="A3350" s="391">
        <v>102353</v>
      </c>
      <c r="B3350" s="478" t="s">
        <v>41202</v>
      </c>
      <c r="C3350" s="391" t="s">
        <v>271</v>
      </c>
      <c r="D3350" s="479">
        <v>0</v>
      </c>
      <c r="E3350" s="368"/>
      <c r="F3350" s="368"/>
    </row>
    <row r="3351" spans="1:6" ht="38.25" x14ac:dyDescent="0.2">
      <c r="A3351" s="391">
        <v>102349</v>
      </c>
      <c r="B3351" s="478" t="s">
        <v>41203</v>
      </c>
      <c r="C3351" s="391" t="s">
        <v>271</v>
      </c>
      <c r="D3351" s="479">
        <v>0</v>
      </c>
      <c r="E3351" s="368"/>
      <c r="F3351" s="368"/>
    </row>
    <row r="3352" spans="1:6" ht="38.25" x14ac:dyDescent="0.2">
      <c r="A3352" s="391">
        <v>102360</v>
      </c>
      <c r="B3352" s="478" t="s">
        <v>4366</v>
      </c>
      <c r="C3352" s="391" t="s">
        <v>271</v>
      </c>
      <c r="D3352" s="479">
        <v>24.85</v>
      </c>
      <c r="E3352" s="368"/>
      <c r="F3352" s="368"/>
    </row>
    <row r="3353" spans="1:6" ht="38.25" x14ac:dyDescent="0.2">
      <c r="A3353" s="391">
        <v>102361</v>
      </c>
      <c r="B3353" s="478" t="s">
        <v>4367</v>
      </c>
      <c r="C3353" s="391" t="s">
        <v>271</v>
      </c>
      <c r="D3353" s="479">
        <v>36.909999999999997</v>
      </c>
      <c r="E3353" s="368"/>
      <c r="F3353" s="368"/>
    </row>
    <row r="3354" spans="1:6" ht="38.25" x14ac:dyDescent="0.2">
      <c r="A3354" s="391">
        <v>101595</v>
      </c>
      <c r="B3354" s="478" t="s">
        <v>41204</v>
      </c>
      <c r="C3354" s="391" t="s">
        <v>255</v>
      </c>
      <c r="D3354" s="479">
        <v>0</v>
      </c>
      <c r="E3354" s="368"/>
      <c r="F3354" s="368"/>
    </row>
    <row r="3355" spans="1:6" ht="38.25" x14ac:dyDescent="0.2">
      <c r="A3355" s="391">
        <v>101601</v>
      </c>
      <c r="B3355" s="478" t="s">
        <v>1574</v>
      </c>
      <c r="C3355" s="391" t="s">
        <v>255</v>
      </c>
      <c r="D3355" s="479">
        <v>26.34</v>
      </c>
      <c r="E3355" s="368"/>
      <c r="F3355" s="368"/>
    </row>
    <row r="3356" spans="1:6" ht="38.25" x14ac:dyDescent="0.2">
      <c r="A3356" s="391">
        <v>101594</v>
      </c>
      <c r="B3356" s="478" t="s">
        <v>41205</v>
      </c>
      <c r="C3356" s="391" t="s">
        <v>255</v>
      </c>
      <c r="D3356" s="479">
        <v>0</v>
      </c>
      <c r="E3356" s="368"/>
      <c r="F3356" s="368"/>
    </row>
    <row r="3357" spans="1:6" ht="25.5" x14ac:dyDescent="0.2">
      <c r="A3357" s="391">
        <v>101600</v>
      </c>
      <c r="B3357" s="478" t="s">
        <v>1573</v>
      </c>
      <c r="C3357" s="391" t="s">
        <v>255</v>
      </c>
      <c r="D3357" s="479">
        <v>17.79</v>
      </c>
      <c r="E3357" s="368"/>
      <c r="F3357" s="368"/>
    </row>
    <row r="3358" spans="1:6" ht="38.25" x14ac:dyDescent="0.2">
      <c r="A3358" s="391">
        <v>101597</v>
      </c>
      <c r="B3358" s="478" t="s">
        <v>41206</v>
      </c>
      <c r="C3358" s="391" t="s">
        <v>255</v>
      </c>
      <c r="D3358" s="479">
        <v>0</v>
      </c>
      <c r="E3358" s="368"/>
      <c r="F3358" s="368"/>
    </row>
    <row r="3359" spans="1:6" ht="38.25" x14ac:dyDescent="0.2">
      <c r="A3359" s="391">
        <v>101603</v>
      </c>
      <c r="B3359" s="478" t="s">
        <v>1576</v>
      </c>
      <c r="C3359" s="391" t="s">
        <v>255</v>
      </c>
      <c r="D3359" s="479">
        <v>21.73</v>
      </c>
      <c r="E3359" s="368"/>
      <c r="F3359" s="368"/>
    </row>
    <row r="3360" spans="1:6" ht="38.25" x14ac:dyDescent="0.2">
      <c r="A3360" s="391">
        <v>101596</v>
      </c>
      <c r="B3360" s="478" t="s">
        <v>41207</v>
      </c>
      <c r="C3360" s="391" t="s">
        <v>255</v>
      </c>
      <c r="D3360" s="479">
        <v>0</v>
      </c>
      <c r="E3360" s="368"/>
      <c r="F3360" s="368"/>
    </row>
    <row r="3361" spans="1:6" ht="25.5" x14ac:dyDescent="0.2">
      <c r="A3361" s="391">
        <v>101602</v>
      </c>
      <c r="B3361" s="478" t="s">
        <v>1575</v>
      </c>
      <c r="C3361" s="391" t="s">
        <v>255</v>
      </c>
      <c r="D3361" s="479">
        <v>13.19</v>
      </c>
      <c r="E3361" s="368"/>
      <c r="F3361" s="368"/>
    </row>
    <row r="3362" spans="1:6" ht="38.25" x14ac:dyDescent="0.2">
      <c r="A3362" s="391">
        <v>101599</v>
      </c>
      <c r="B3362" s="478" t="s">
        <v>41208</v>
      </c>
      <c r="C3362" s="391" t="s">
        <v>255</v>
      </c>
      <c r="D3362" s="479">
        <v>0</v>
      </c>
      <c r="E3362" s="368"/>
      <c r="F3362" s="368"/>
    </row>
    <row r="3363" spans="1:6" ht="38.25" x14ac:dyDescent="0.2">
      <c r="A3363" s="391">
        <v>101605</v>
      </c>
      <c r="B3363" s="478" t="s">
        <v>1578</v>
      </c>
      <c r="C3363" s="391" t="s">
        <v>255</v>
      </c>
      <c r="D3363" s="479">
        <v>17.170000000000002</v>
      </c>
      <c r="E3363" s="368"/>
      <c r="F3363" s="368"/>
    </row>
    <row r="3364" spans="1:6" ht="38.25" x14ac:dyDescent="0.2">
      <c r="A3364" s="391">
        <v>101598</v>
      </c>
      <c r="B3364" s="478" t="s">
        <v>41209</v>
      </c>
      <c r="C3364" s="391" t="s">
        <v>255</v>
      </c>
      <c r="D3364" s="479">
        <v>0</v>
      </c>
      <c r="E3364" s="368"/>
      <c r="F3364" s="368"/>
    </row>
    <row r="3365" spans="1:6" ht="25.5" x14ac:dyDescent="0.2">
      <c r="A3365" s="391">
        <v>101604</v>
      </c>
      <c r="B3365" s="478" t="s">
        <v>1577</v>
      </c>
      <c r="C3365" s="391" t="s">
        <v>255</v>
      </c>
      <c r="D3365" s="479">
        <v>8.6199999999999992</v>
      </c>
      <c r="E3365" s="368"/>
      <c r="F3365" s="368"/>
    </row>
    <row r="3366" spans="1:6" ht="25.5" x14ac:dyDescent="0.2">
      <c r="A3366" s="391">
        <v>101588</v>
      </c>
      <c r="B3366" s="478" t="s">
        <v>1567</v>
      </c>
      <c r="C3366" s="391" t="s">
        <v>255</v>
      </c>
      <c r="D3366" s="479">
        <v>95.03</v>
      </c>
      <c r="E3366" s="368"/>
      <c r="F3366" s="368"/>
    </row>
    <row r="3367" spans="1:6" ht="38.25" x14ac:dyDescent="0.2">
      <c r="A3367" s="391">
        <v>101591</v>
      </c>
      <c r="B3367" s="478" t="s">
        <v>1570</v>
      </c>
      <c r="C3367" s="391" t="s">
        <v>255</v>
      </c>
      <c r="D3367" s="479">
        <v>115.47</v>
      </c>
      <c r="E3367" s="368"/>
      <c r="F3367" s="368"/>
    </row>
    <row r="3368" spans="1:6" ht="25.5" x14ac:dyDescent="0.2">
      <c r="A3368" s="391">
        <v>101590</v>
      </c>
      <c r="B3368" s="478" t="s">
        <v>1569</v>
      </c>
      <c r="C3368" s="391" t="s">
        <v>255</v>
      </c>
      <c r="D3368" s="479">
        <v>71.98</v>
      </c>
      <c r="E3368" s="368"/>
      <c r="F3368" s="368"/>
    </row>
    <row r="3369" spans="1:6" ht="38.25" x14ac:dyDescent="0.2">
      <c r="A3369" s="391">
        <v>101593</v>
      </c>
      <c r="B3369" s="478" t="s">
        <v>1572</v>
      </c>
      <c r="C3369" s="391" t="s">
        <v>255</v>
      </c>
      <c r="D3369" s="479">
        <v>94.32</v>
      </c>
      <c r="E3369" s="368"/>
      <c r="F3369" s="368"/>
    </row>
    <row r="3370" spans="1:6" ht="25.5" x14ac:dyDescent="0.2">
      <c r="A3370" s="391">
        <v>101592</v>
      </c>
      <c r="B3370" s="478" t="s">
        <v>1571</v>
      </c>
      <c r="C3370" s="391" t="s">
        <v>255</v>
      </c>
      <c r="D3370" s="479">
        <v>50.67</v>
      </c>
      <c r="E3370" s="368"/>
      <c r="F3370" s="368"/>
    </row>
    <row r="3371" spans="1:6" ht="25.5" x14ac:dyDescent="0.2">
      <c r="A3371" s="391">
        <v>101583</v>
      </c>
      <c r="B3371" s="478" t="s">
        <v>1562</v>
      </c>
      <c r="C3371" s="391" t="s">
        <v>255</v>
      </c>
      <c r="D3371" s="479">
        <v>86.66</v>
      </c>
      <c r="E3371" s="368"/>
      <c r="F3371" s="368"/>
    </row>
    <row r="3372" spans="1:6" ht="25.5" x14ac:dyDescent="0.2">
      <c r="A3372" s="391">
        <v>101582</v>
      </c>
      <c r="B3372" s="478" t="s">
        <v>1561</v>
      </c>
      <c r="C3372" s="391" t="s">
        <v>255</v>
      </c>
      <c r="D3372" s="479">
        <v>69.83</v>
      </c>
      <c r="E3372" s="368"/>
      <c r="F3372" s="368"/>
    </row>
    <row r="3373" spans="1:6" ht="25.5" x14ac:dyDescent="0.2">
      <c r="A3373" s="391">
        <v>101585</v>
      </c>
      <c r="B3373" s="478" t="s">
        <v>1564</v>
      </c>
      <c r="C3373" s="391" t="s">
        <v>255</v>
      </c>
      <c r="D3373" s="479">
        <v>74.3</v>
      </c>
      <c r="E3373" s="368"/>
      <c r="F3373" s="368"/>
    </row>
    <row r="3374" spans="1:6" ht="25.5" x14ac:dyDescent="0.2">
      <c r="A3374" s="391">
        <v>101584</v>
      </c>
      <c r="B3374" s="478" t="s">
        <v>1563</v>
      </c>
      <c r="C3374" s="391" t="s">
        <v>255</v>
      </c>
      <c r="D3374" s="479">
        <v>57.47</v>
      </c>
      <c r="E3374" s="368"/>
      <c r="F3374" s="368"/>
    </row>
    <row r="3375" spans="1:6" ht="25.5" x14ac:dyDescent="0.2">
      <c r="A3375" s="391">
        <v>101587</v>
      </c>
      <c r="B3375" s="478" t="s">
        <v>1566</v>
      </c>
      <c r="C3375" s="391" t="s">
        <v>255</v>
      </c>
      <c r="D3375" s="479">
        <v>66.819999999999993</v>
      </c>
      <c r="E3375" s="368"/>
      <c r="F3375" s="368"/>
    </row>
    <row r="3376" spans="1:6" ht="25.5" x14ac:dyDescent="0.2">
      <c r="A3376" s="391">
        <v>101586</v>
      </c>
      <c r="B3376" s="478" t="s">
        <v>1565</v>
      </c>
      <c r="C3376" s="391" t="s">
        <v>255</v>
      </c>
      <c r="D3376" s="479">
        <v>49.81</v>
      </c>
      <c r="E3376" s="368"/>
      <c r="F3376" s="368"/>
    </row>
    <row r="3377" spans="1:6" ht="25.5" x14ac:dyDescent="0.2">
      <c r="A3377" s="391">
        <v>101577</v>
      </c>
      <c r="B3377" s="478" t="s">
        <v>1556</v>
      </c>
      <c r="C3377" s="391" t="s">
        <v>255</v>
      </c>
      <c r="D3377" s="479">
        <v>53.36</v>
      </c>
      <c r="E3377" s="368"/>
      <c r="F3377" s="368"/>
    </row>
    <row r="3378" spans="1:6" ht="25.5" x14ac:dyDescent="0.2">
      <c r="A3378" s="391">
        <v>101576</v>
      </c>
      <c r="B3378" s="478" t="s">
        <v>1555</v>
      </c>
      <c r="C3378" s="391" t="s">
        <v>255</v>
      </c>
      <c r="D3378" s="479">
        <v>42.53</v>
      </c>
      <c r="E3378" s="368"/>
      <c r="F3378" s="368"/>
    </row>
    <row r="3379" spans="1:6" ht="25.5" x14ac:dyDescent="0.2">
      <c r="A3379" s="391">
        <v>101579</v>
      </c>
      <c r="B3379" s="478" t="s">
        <v>1558</v>
      </c>
      <c r="C3379" s="391" t="s">
        <v>255</v>
      </c>
      <c r="D3379" s="479">
        <v>46.04</v>
      </c>
      <c r="E3379" s="368"/>
      <c r="F3379" s="368"/>
    </row>
    <row r="3380" spans="1:6" ht="25.5" x14ac:dyDescent="0.2">
      <c r="A3380" s="391">
        <v>101578</v>
      </c>
      <c r="B3380" s="478" t="s">
        <v>1557</v>
      </c>
      <c r="C3380" s="391" t="s">
        <v>255</v>
      </c>
      <c r="D3380" s="479">
        <v>35.21</v>
      </c>
      <c r="E3380" s="368"/>
      <c r="F3380" s="368"/>
    </row>
    <row r="3381" spans="1:6" ht="25.5" x14ac:dyDescent="0.2">
      <c r="A3381" s="391">
        <v>101581</v>
      </c>
      <c r="B3381" s="478" t="s">
        <v>1560</v>
      </c>
      <c r="C3381" s="391" t="s">
        <v>255</v>
      </c>
      <c r="D3381" s="479">
        <v>42.29</v>
      </c>
      <c r="E3381" s="368"/>
      <c r="F3381" s="368"/>
    </row>
    <row r="3382" spans="1:6" ht="25.5" x14ac:dyDescent="0.2">
      <c r="A3382" s="391">
        <v>101580</v>
      </c>
      <c r="B3382" s="478" t="s">
        <v>1559</v>
      </c>
      <c r="C3382" s="391" t="s">
        <v>255</v>
      </c>
      <c r="D3382" s="479">
        <v>31.27</v>
      </c>
      <c r="E3382" s="368"/>
      <c r="F3382" s="368"/>
    </row>
    <row r="3383" spans="1:6" ht="25.5" x14ac:dyDescent="0.2">
      <c r="A3383" s="391">
        <v>101606</v>
      </c>
      <c r="B3383" s="478" t="s">
        <v>41210</v>
      </c>
      <c r="C3383" s="391" t="s">
        <v>255</v>
      </c>
      <c r="D3383" s="479">
        <v>0</v>
      </c>
      <c r="E3383" s="368"/>
      <c r="F3383" s="368"/>
    </row>
    <row r="3384" spans="1:6" ht="25.5" x14ac:dyDescent="0.2">
      <c r="A3384" s="391">
        <v>101607</v>
      </c>
      <c r="B3384" s="478" t="s">
        <v>41211</v>
      </c>
      <c r="C3384" s="391" t="s">
        <v>255</v>
      </c>
      <c r="D3384" s="479">
        <v>0</v>
      </c>
      <c r="E3384" s="368"/>
      <c r="F3384" s="368"/>
    </row>
    <row r="3385" spans="1:6" ht="25.5" x14ac:dyDescent="0.2">
      <c r="A3385" s="391">
        <v>101608</v>
      </c>
      <c r="B3385" s="478" t="s">
        <v>41212</v>
      </c>
      <c r="C3385" s="391" t="s">
        <v>255</v>
      </c>
      <c r="D3385" s="479">
        <v>0</v>
      </c>
      <c r="E3385" s="368"/>
      <c r="F3385" s="368"/>
    </row>
    <row r="3386" spans="1:6" ht="25.5" x14ac:dyDescent="0.2">
      <c r="A3386" s="391">
        <v>101571</v>
      </c>
      <c r="B3386" s="478" t="s">
        <v>1550</v>
      </c>
      <c r="C3386" s="391" t="s">
        <v>255</v>
      </c>
      <c r="D3386" s="479">
        <v>32.15</v>
      </c>
      <c r="E3386" s="368"/>
      <c r="F3386" s="368"/>
    </row>
    <row r="3387" spans="1:6" ht="25.5" x14ac:dyDescent="0.2">
      <c r="A3387" s="391">
        <v>101570</v>
      </c>
      <c r="B3387" s="478" t="s">
        <v>1549</v>
      </c>
      <c r="C3387" s="391" t="s">
        <v>255</v>
      </c>
      <c r="D3387" s="479">
        <v>23.66</v>
      </c>
      <c r="E3387" s="368"/>
      <c r="F3387" s="368"/>
    </row>
    <row r="3388" spans="1:6" ht="25.5" x14ac:dyDescent="0.2">
      <c r="A3388" s="391">
        <v>101573</v>
      </c>
      <c r="B3388" s="478" t="s">
        <v>1552</v>
      </c>
      <c r="C3388" s="391" t="s">
        <v>255</v>
      </c>
      <c r="D3388" s="479">
        <v>27.1</v>
      </c>
      <c r="E3388" s="368"/>
      <c r="F3388" s="368"/>
    </row>
    <row r="3389" spans="1:6" ht="25.5" x14ac:dyDescent="0.2">
      <c r="A3389" s="391">
        <v>101572</v>
      </c>
      <c r="B3389" s="478" t="s">
        <v>1551</v>
      </c>
      <c r="C3389" s="391" t="s">
        <v>255</v>
      </c>
      <c r="D3389" s="479">
        <v>18.61</v>
      </c>
      <c r="E3389" s="368"/>
      <c r="F3389" s="368"/>
    </row>
    <row r="3390" spans="1:6" ht="25.5" x14ac:dyDescent="0.2">
      <c r="A3390" s="391">
        <v>101575</v>
      </c>
      <c r="B3390" s="478" t="s">
        <v>1554</v>
      </c>
      <c r="C3390" s="391" t="s">
        <v>255</v>
      </c>
      <c r="D3390" s="479">
        <v>23.01</v>
      </c>
      <c r="E3390" s="368"/>
      <c r="F3390" s="368"/>
    </row>
    <row r="3391" spans="1:6" ht="25.5" x14ac:dyDescent="0.2">
      <c r="A3391" s="391">
        <v>101574</v>
      </c>
      <c r="B3391" s="478" t="s">
        <v>1553</v>
      </c>
      <c r="C3391" s="391" t="s">
        <v>255</v>
      </c>
      <c r="D3391" s="479">
        <v>14.33</v>
      </c>
      <c r="E3391" s="368"/>
      <c r="F3391" s="368"/>
    </row>
    <row r="3392" spans="1:6" ht="38.25" x14ac:dyDescent="0.2">
      <c r="A3392" s="391">
        <v>101589</v>
      </c>
      <c r="B3392" s="478" t="s">
        <v>1568</v>
      </c>
      <c r="C3392" s="391" t="s">
        <v>255</v>
      </c>
      <c r="D3392" s="479">
        <v>138.53</v>
      </c>
      <c r="E3392" s="368"/>
      <c r="F3392" s="368"/>
    </row>
    <row r="3393" spans="1:6" ht="25.5" x14ac:dyDescent="0.2">
      <c r="A3393" s="391">
        <v>101610</v>
      </c>
      <c r="B3393" s="478" t="s">
        <v>47661</v>
      </c>
      <c r="C3393" s="391" t="s">
        <v>26</v>
      </c>
      <c r="D3393" s="479">
        <v>0</v>
      </c>
      <c r="E3393" s="368"/>
      <c r="F3393" s="368"/>
    </row>
    <row r="3394" spans="1:6" ht="25.5" x14ac:dyDescent="0.2">
      <c r="A3394" s="391">
        <v>101613</v>
      </c>
      <c r="B3394" s="478" t="s">
        <v>41213</v>
      </c>
      <c r="C3394" s="391" t="s">
        <v>26</v>
      </c>
      <c r="D3394" s="479">
        <v>0</v>
      </c>
      <c r="E3394" s="368"/>
      <c r="F3394" s="368"/>
    </row>
    <row r="3395" spans="1:6" ht="25.5" x14ac:dyDescent="0.2">
      <c r="A3395" s="391">
        <v>101611</v>
      </c>
      <c r="B3395" s="478" t="s">
        <v>41214</v>
      </c>
      <c r="C3395" s="391" t="s">
        <v>26</v>
      </c>
      <c r="D3395" s="479">
        <v>0</v>
      </c>
      <c r="E3395" s="368"/>
      <c r="F3395" s="368"/>
    </row>
    <row r="3396" spans="1:6" ht="25.5" x14ac:dyDescent="0.2">
      <c r="A3396" s="391">
        <v>101614</v>
      </c>
      <c r="B3396" s="478" t="s">
        <v>41215</v>
      </c>
      <c r="C3396" s="391" t="s">
        <v>26</v>
      </c>
      <c r="D3396" s="479">
        <v>0</v>
      </c>
      <c r="E3396" s="368"/>
      <c r="F3396" s="368"/>
    </row>
    <row r="3397" spans="1:6" ht="25.5" x14ac:dyDescent="0.2">
      <c r="A3397" s="391">
        <v>101612</v>
      </c>
      <c r="B3397" s="478" t="s">
        <v>41216</v>
      </c>
      <c r="C3397" s="391" t="s">
        <v>26</v>
      </c>
      <c r="D3397" s="479">
        <v>0</v>
      </c>
      <c r="E3397" s="368"/>
      <c r="F3397" s="368"/>
    </row>
    <row r="3398" spans="1:6" ht="25.5" x14ac:dyDescent="0.2">
      <c r="A3398" s="391">
        <v>101615</v>
      </c>
      <c r="B3398" s="478" t="s">
        <v>47662</v>
      </c>
      <c r="C3398" s="391" t="s">
        <v>26</v>
      </c>
      <c r="D3398" s="479">
        <v>0</v>
      </c>
      <c r="E3398" s="368"/>
      <c r="F3398" s="368"/>
    </row>
    <row r="3399" spans="1:6" ht="25.5" x14ac:dyDescent="0.2">
      <c r="A3399" s="391">
        <v>101617</v>
      </c>
      <c r="B3399" s="478" t="s">
        <v>4403</v>
      </c>
      <c r="C3399" s="391" t="s">
        <v>255</v>
      </c>
      <c r="D3399" s="479">
        <v>3.11</v>
      </c>
      <c r="E3399" s="368"/>
      <c r="F3399" s="368"/>
    </row>
    <row r="3400" spans="1:6" ht="25.5" x14ac:dyDescent="0.2">
      <c r="A3400" s="391">
        <v>101620</v>
      </c>
      <c r="B3400" s="478" t="s">
        <v>4406</v>
      </c>
      <c r="C3400" s="391" t="s">
        <v>271</v>
      </c>
      <c r="D3400" s="479">
        <v>237.25</v>
      </c>
      <c r="E3400" s="368"/>
      <c r="F3400" s="368"/>
    </row>
    <row r="3401" spans="1:6" ht="38.25" x14ac:dyDescent="0.2">
      <c r="A3401" s="391">
        <v>101625</v>
      </c>
      <c r="B3401" s="478" t="s">
        <v>4411</v>
      </c>
      <c r="C3401" s="391" t="s">
        <v>271</v>
      </c>
      <c r="D3401" s="479">
        <v>194.89</v>
      </c>
      <c r="E3401" s="368"/>
      <c r="F3401" s="368"/>
    </row>
    <row r="3402" spans="1:6" ht="25.5" x14ac:dyDescent="0.2">
      <c r="A3402" s="391">
        <v>101621</v>
      </c>
      <c r="B3402" s="478" t="s">
        <v>4407</v>
      </c>
      <c r="C3402" s="391" t="s">
        <v>271</v>
      </c>
      <c r="D3402" s="479">
        <v>272.08999999999997</v>
      </c>
      <c r="E3402" s="368"/>
      <c r="F3402" s="368"/>
    </row>
    <row r="3403" spans="1:6" ht="38.25" x14ac:dyDescent="0.2">
      <c r="A3403" s="391">
        <v>101624</v>
      </c>
      <c r="B3403" s="478" t="s">
        <v>4410</v>
      </c>
      <c r="C3403" s="391" t="s">
        <v>271</v>
      </c>
      <c r="D3403" s="479">
        <v>217.52</v>
      </c>
      <c r="E3403" s="368"/>
      <c r="F3403" s="368"/>
    </row>
    <row r="3404" spans="1:6" ht="25.5" x14ac:dyDescent="0.2">
      <c r="A3404" s="391">
        <v>101616</v>
      </c>
      <c r="B3404" s="478" t="s">
        <v>4402</v>
      </c>
      <c r="C3404" s="391" t="s">
        <v>255</v>
      </c>
      <c r="D3404" s="479">
        <v>6.31</v>
      </c>
      <c r="E3404" s="368"/>
      <c r="F3404" s="368"/>
    </row>
    <row r="3405" spans="1:6" ht="25.5" x14ac:dyDescent="0.2">
      <c r="A3405" s="391">
        <v>101618</v>
      </c>
      <c r="B3405" s="478" t="s">
        <v>4404</v>
      </c>
      <c r="C3405" s="391" t="s">
        <v>271</v>
      </c>
      <c r="D3405" s="479">
        <v>262.81</v>
      </c>
      <c r="E3405" s="368"/>
      <c r="F3405" s="368"/>
    </row>
    <row r="3406" spans="1:6" ht="25.5" x14ac:dyDescent="0.2">
      <c r="A3406" s="391">
        <v>101622</v>
      </c>
      <c r="B3406" s="478" t="s">
        <v>4408</v>
      </c>
      <c r="C3406" s="391" t="s">
        <v>271</v>
      </c>
      <c r="D3406" s="479">
        <v>235.21</v>
      </c>
      <c r="E3406" s="368"/>
      <c r="F3406" s="368"/>
    </row>
    <row r="3407" spans="1:6" ht="25.5" x14ac:dyDescent="0.2">
      <c r="A3407" s="391">
        <v>101619</v>
      </c>
      <c r="B3407" s="478" t="s">
        <v>4405</v>
      </c>
      <c r="C3407" s="391" t="s">
        <v>271</v>
      </c>
      <c r="D3407" s="479">
        <v>297.64999999999998</v>
      </c>
      <c r="E3407" s="368"/>
      <c r="F3407" s="368"/>
    </row>
    <row r="3408" spans="1:6" ht="25.5" x14ac:dyDescent="0.2">
      <c r="A3408" s="391">
        <v>101623</v>
      </c>
      <c r="B3408" s="478" t="s">
        <v>4409</v>
      </c>
      <c r="C3408" s="391" t="s">
        <v>271</v>
      </c>
      <c r="D3408" s="479">
        <v>263.62</v>
      </c>
      <c r="E3408" s="368"/>
      <c r="F3408" s="368"/>
    </row>
    <row r="3409" spans="1:6" x14ac:dyDescent="0.2">
      <c r="A3409" s="391">
        <v>104482</v>
      </c>
      <c r="B3409" s="478" t="s">
        <v>1289</v>
      </c>
      <c r="C3409" s="391" t="s">
        <v>558</v>
      </c>
      <c r="D3409" s="479">
        <v>28.33</v>
      </c>
      <c r="E3409" s="368"/>
      <c r="F3409" s="368"/>
    </row>
    <row r="3410" spans="1:6" ht="38.25" x14ac:dyDescent="0.2">
      <c r="A3410" s="391">
        <v>104189</v>
      </c>
      <c r="B3410" s="478" t="s">
        <v>1292</v>
      </c>
      <c r="C3410" s="391" t="s">
        <v>271</v>
      </c>
      <c r="D3410" s="479">
        <v>177.41</v>
      </c>
      <c r="E3410" s="368"/>
      <c r="F3410" s="368"/>
    </row>
    <row r="3411" spans="1:6" ht="38.25" x14ac:dyDescent="0.2">
      <c r="A3411" s="391">
        <v>104465</v>
      </c>
      <c r="B3411" s="478" t="s">
        <v>41217</v>
      </c>
      <c r="C3411" s="391" t="s">
        <v>0</v>
      </c>
      <c r="D3411" s="479">
        <v>0</v>
      </c>
      <c r="E3411" s="368"/>
      <c r="F3411" s="368"/>
    </row>
    <row r="3412" spans="1:6" ht="38.25" x14ac:dyDescent="0.2">
      <c r="A3412" s="391">
        <v>104188</v>
      </c>
      <c r="B3412" s="478" t="s">
        <v>41218</v>
      </c>
      <c r="C3412" s="391" t="s">
        <v>0</v>
      </c>
      <c r="D3412" s="479">
        <v>0</v>
      </c>
      <c r="E3412" s="368"/>
      <c r="F3412" s="368"/>
    </row>
    <row r="3413" spans="1:6" ht="38.25" x14ac:dyDescent="0.2">
      <c r="A3413" s="391">
        <v>104185</v>
      </c>
      <c r="B3413" s="478" t="s">
        <v>1291</v>
      </c>
      <c r="C3413" s="391" t="s">
        <v>26</v>
      </c>
      <c r="D3413" s="479">
        <v>23.96</v>
      </c>
      <c r="E3413" s="368"/>
      <c r="F3413" s="368"/>
    </row>
    <row r="3414" spans="1:6" ht="38.25" x14ac:dyDescent="0.2">
      <c r="A3414" s="391">
        <v>104182</v>
      </c>
      <c r="B3414" s="478" t="s">
        <v>41219</v>
      </c>
      <c r="C3414" s="391" t="s">
        <v>0</v>
      </c>
      <c r="D3414" s="479">
        <v>0</v>
      </c>
      <c r="E3414" s="368"/>
      <c r="F3414" s="368"/>
    </row>
    <row r="3415" spans="1:6" ht="38.25" x14ac:dyDescent="0.2">
      <c r="A3415" s="391">
        <v>104184</v>
      </c>
      <c r="B3415" s="478" t="s">
        <v>1290</v>
      </c>
      <c r="C3415" s="391" t="s">
        <v>26</v>
      </c>
      <c r="D3415" s="479">
        <v>28.59</v>
      </c>
      <c r="E3415" s="368"/>
      <c r="F3415" s="368"/>
    </row>
    <row r="3416" spans="1:6" ht="38.25" x14ac:dyDescent="0.2">
      <c r="A3416" s="391">
        <v>104190</v>
      </c>
      <c r="B3416" s="478" t="s">
        <v>1293</v>
      </c>
      <c r="C3416" s="391" t="s">
        <v>26</v>
      </c>
      <c r="D3416" s="479">
        <v>651.11</v>
      </c>
      <c r="E3416" s="368"/>
      <c r="F3416" s="368"/>
    </row>
    <row r="3417" spans="1:6" ht="38.25" x14ac:dyDescent="0.2">
      <c r="A3417" s="391">
        <v>104463</v>
      </c>
      <c r="B3417" s="478" t="s">
        <v>41220</v>
      </c>
      <c r="C3417" s="391" t="s">
        <v>26</v>
      </c>
      <c r="D3417" s="479">
        <v>0</v>
      </c>
      <c r="E3417" s="368"/>
      <c r="F3417" s="368"/>
    </row>
    <row r="3418" spans="1:6" ht="38.25" x14ac:dyDescent="0.2">
      <c r="A3418" s="391">
        <v>104464</v>
      </c>
      <c r="B3418" s="478" t="s">
        <v>41221</v>
      </c>
      <c r="C3418" s="391" t="s">
        <v>26</v>
      </c>
      <c r="D3418" s="479">
        <v>0</v>
      </c>
      <c r="E3418" s="368"/>
      <c r="F3418" s="368"/>
    </row>
    <row r="3419" spans="1:6" ht="38.25" x14ac:dyDescent="0.2">
      <c r="A3419" s="391">
        <v>104183</v>
      </c>
      <c r="B3419" s="478" t="s">
        <v>41222</v>
      </c>
      <c r="C3419" s="391" t="s">
        <v>0</v>
      </c>
      <c r="D3419" s="479">
        <v>224.42</v>
      </c>
      <c r="E3419" s="368"/>
      <c r="F3419" s="368"/>
    </row>
    <row r="3420" spans="1:6" ht="38.25" x14ac:dyDescent="0.2">
      <c r="A3420" s="391">
        <v>104187</v>
      </c>
      <c r="B3420" s="478" t="s">
        <v>40469</v>
      </c>
      <c r="C3420" s="391" t="s">
        <v>0</v>
      </c>
      <c r="D3420" s="479">
        <v>1591.87</v>
      </c>
      <c r="E3420" s="368"/>
      <c r="F3420" s="368"/>
    </row>
    <row r="3421" spans="1:6" ht="38.25" x14ac:dyDescent="0.2">
      <c r="A3421" s="391">
        <v>104186</v>
      </c>
      <c r="B3421" s="478" t="s">
        <v>40468</v>
      </c>
      <c r="C3421" s="391" t="s">
        <v>0</v>
      </c>
      <c r="D3421" s="479">
        <v>281.01</v>
      </c>
      <c r="E3421" s="368"/>
      <c r="F3421" s="368"/>
    </row>
    <row r="3422" spans="1:6" ht="38.25" x14ac:dyDescent="0.2">
      <c r="A3422" s="391">
        <v>104180</v>
      </c>
      <c r="B3422" s="478" t="s">
        <v>41223</v>
      </c>
      <c r="C3422" s="391" t="s">
        <v>0</v>
      </c>
      <c r="D3422" s="479">
        <v>0</v>
      </c>
      <c r="E3422" s="368"/>
      <c r="F3422" s="368"/>
    </row>
    <row r="3423" spans="1:6" ht="38.25" x14ac:dyDescent="0.2">
      <c r="A3423" s="391">
        <v>104181</v>
      </c>
      <c r="B3423" s="478" t="s">
        <v>41224</v>
      </c>
      <c r="C3423" s="391" t="s">
        <v>0</v>
      </c>
      <c r="D3423" s="479">
        <v>0</v>
      </c>
      <c r="E3423" s="368"/>
      <c r="F3423" s="368"/>
    </row>
    <row r="3424" spans="1:6" ht="51" x14ac:dyDescent="0.2">
      <c r="A3424" s="391">
        <v>100674</v>
      </c>
      <c r="B3424" s="478" t="s">
        <v>47178</v>
      </c>
      <c r="C3424" s="391" t="s">
        <v>255</v>
      </c>
      <c r="D3424" s="479">
        <v>893.45</v>
      </c>
      <c r="E3424" s="368"/>
      <c r="F3424" s="368"/>
    </row>
    <row r="3425" spans="1:6" ht="51" x14ac:dyDescent="0.2">
      <c r="A3425" s="391">
        <v>100664</v>
      </c>
      <c r="B3425" s="478" t="s">
        <v>47179</v>
      </c>
      <c r="C3425" s="391" t="s">
        <v>255</v>
      </c>
      <c r="D3425" s="479">
        <v>0</v>
      </c>
      <c r="E3425" s="368"/>
      <c r="F3425" s="368"/>
    </row>
    <row r="3426" spans="1:6" ht="25.5" x14ac:dyDescent="0.2">
      <c r="A3426" s="391">
        <v>94589</v>
      </c>
      <c r="B3426" s="478" t="s">
        <v>40483</v>
      </c>
      <c r="C3426" s="391" t="s">
        <v>0</v>
      </c>
      <c r="D3426" s="479">
        <v>21.4</v>
      </c>
      <c r="E3426" s="368"/>
      <c r="F3426" s="368"/>
    </row>
    <row r="3427" spans="1:6" ht="25.5" x14ac:dyDescent="0.2">
      <c r="A3427" s="391">
        <v>94590</v>
      </c>
      <c r="B3427" s="478" t="s">
        <v>40484</v>
      </c>
      <c r="C3427" s="391" t="s">
        <v>0</v>
      </c>
      <c r="D3427" s="479">
        <v>29.43</v>
      </c>
      <c r="E3427" s="368"/>
      <c r="F3427" s="368"/>
    </row>
    <row r="3428" spans="1:6" ht="25.5" x14ac:dyDescent="0.2">
      <c r="A3428" s="391">
        <v>94587</v>
      </c>
      <c r="B3428" s="478" t="s">
        <v>40481</v>
      </c>
      <c r="C3428" s="391" t="s">
        <v>0</v>
      </c>
      <c r="D3428" s="479">
        <v>64.069999999999993</v>
      </c>
      <c r="E3428" s="368"/>
      <c r="F3428" s="368"/>
    </row>
    <row r="3429" spans="1:6" ht="25.5" x14ac:dyDescent="0.2">
      <c r="A3429" s="391">
        <v>94588</v>
      </c>
      <c r="B3429" s="478" t="s">
        <v>40482</v>
      </c>
      <c r="C3429" s="391" t="s">
        <v>0</v>
      </c>
      <c r="D3429" s="479">
        <v>76.239999999999995</v>
      </c>
      <c r="E3429" s="368"/>
      <c r="F3429" s="368"/>
    </row>
    <row r="3430" spans="1:6" x14ac:dyDescent="0.2">
      <c r="A3430" s="391">
        <v>105812</v>
      </c>
      <c r="B3430" s="478" t="s">
        <v>47180</v>
      </c>
      <c r="C3430" s="391" t="s">
        <v>0</v>
      </c>
      <c r="D3430" s="479">
        <v>35.79</v>
      </c>
      <c r="E3430" s="368"/>
      <c r="F3430" s="368"/>
    </row>
    <row r="3431" spans="1:6" ht="63.75" x14ac:dyDescent="0.2">
      <c r="A3431" s="391">
        <v>94571</v>
      </c>
      <c r="B3431" s="478" t="s">
        <v>47181</v>
      </c>
      <c r="C3431" s="391" t="s">
        <v>255</v>
      </c>
      <c r="D3431" s="479">
        <v>0</v>
      </c>
      <c r="E3431" s="368"/>
      <c r="F3431" s="368"/>
    </row>
    <row r="3432" spans="1:6" ht="63.75" x14ac:dyDescent="0.2">
      <c r="A3432" s="391">
        <v>94570</v>
      </c>
      <c r="B3432" s="478" t="s">
        <v>47182</v>
      </c>
      <c r="C3432" s="391" t="s">
        <v>255</v>
      </c>
      <c r="D3432" s="479">
        <v>411.1</v>
      </c>
      <c r="E3432" s="368"/>
      <c r="F3432" s="368"/>
    </row>
    <row r="3433" spans="1:6" ht="63.75" x14ac:dyDescent="0.2">
      <c r="A3433" s="391">
        <v>105811</v>
      </c>
      <c r="B3433" s="478" t="s">
        <v>47183</v>
      </c>
      <c r="C3433" s="391" t="s">
        <v>255</v>
      </c>
      <c r="D3433" s="479">
        <v>0</v>
      </c>
      <c r="E3433" s="368"/>
      <c r="F3433" s="368"/>
    </row>
    <row r="3434" spans="1:6" ht="63.75" x14ac:dyDescent="0.2">
      <c r="A3434" s="391">
        <v>94572</v>
      </c>
      <c r="B3434" s="478" t="s">
        <v>47184</v>
      </c>
      <c r="C3434" s="391" t="s">
        <v>255</v>
      </c>
      <c r="D3434" s="479">
        <v>587.94000000000005</v>
      </c>
      <c r="E3434" s="368"/>
      <c r="F3434" s="368"/>
    </row>
    <row r="3435" spans="1:6" ht="63.75" x14ac:dyDescent="0.2">
      <c r="A3435" s="391">
        <v>94573</v>
      </c>
      <c r="B3435" s="478" t="s">
        <v>47185</v>
      </c>
      <c r="C3435" s="391" t="s">
        <v>255</v>
      </c>
      <c r="D3435" s="479">
        <v>458.22</v>
      </c>
      <c r="E3435" s="368"/>
      <c r="F3435" s="368"/>
    </row>
    <row r="3436" spans="1:6" ht="63.75" x14ac:dyDescent="0.2">
      <c r="A3436" s="391">
        <v>105809</v>
      </c>
      <c r="B3436" s="478" t="s">
        <v>47186</v>
      </c>
      <c r="C3436" s="391" t="s">
        <v>255</v>
      </c>
      <c r="D3436" s="479">
        <v>0</v>
      </c>
      <c r="E3436" s="368"/>
      <c r="F3436" s="368"/>
    </row>
    <row r="3437" spans="1:6" ht="51" x14ac:dyDescent="0.2">
      <c r="A3437" s="391">
        <v>94569</v>
      </c>
      <c r="B3437" s="478" t="s">
        <v>47187</v>
      </c>
      <c r="C3437" s="391" t="s">
        <v>255</v>
      </c>
      <c r="D3437" s="479">
        <v>773.65</v>
      </c>
      <c r="E3437" s="368"/>
      <c r="F3437" s="368"/>
    </row>
    <row r="3438" spans="1:6" ht="51" x14ac:dyDescent="0.2">
      <c r="A3438" s="391">
        <v>105810</v>
      </c>
      <c r="B3438" s="478" t="s">
        <v>47188</v>
      </c>
      <c r="C3438" s="391" t="s">
        <v>255</v>
      </c>
      <c r="D3438" s="479">
        <v>0</v>
      </c>
      <c r="E3438" s="368"/>
      <c r="F3438" s="368"/>
    </row>
    <row r="3439" spans="1:6" ht="63.75" x14ac:dyDescent="0.2">
      <c r="A3439" s="391">
        <v>94561</v>
      </c>
      <c r="B3439" s="478" t="s">
        <v>47189</v>
      </c>
      <c r="C3439" s="391" t="s">
        <v>255</v>
      </c>
      <c r="D3439" s="479">
        <v>0</v>
      </c>
      <c r="E3439" s="368"/>
      <c r="F3439" s="368"/>
    </row>
    <row r="3440" spans="1:6" ht="63.75" x14ac:dyDescent="0.2">
      <c r="A3440" s="391">
        <v>94562</v>
      </c>
      <c r="B3440" s="478" t="s">
        <v>47190</v>
      </c>
      <c r="C3440" s="391" t="s">
        <v>255</v>
      </c>
      <c r="D3440" s="479">
        <v>624.26</v>
      </c>
      <c r="E3440" s="368"/>
      <c r="F3440" s="368"/>
    </row>
    <row r="3441" spans="1:6" ht="51" x14ac:dyDescent="0.2">
      <c r="A3441" s="391">
        <v>105813</v>
      </c>
      <c r="B3441" s="478" t="s">
        <v>47191</v>
      </c>
      <c r="C3441" s="391" t="s">
        <v>255</v>
      </c>
      <c r="D3441" s="479">
        <v>1043.1300000000001</v>
      </c>
      <c r="E3441" s="368"/>
      <c r="F3441" s="368"/>
    </row>
    <row r="3442" spans="1:6" ht="63.75" x14ac:dyDescent="0.2">
      <c r="A3442" s="391">
        <v>94559</v>
      </c>
      <c r="B3442" s="478" t="s">
        <v>47192</v>
      </c>
      <c r="C3442" s="391" t="s">
        <v>255</v>
      </c>
      <c r="D3442" s="479">
        <v>720.05</v>
      </c>
      <c r="E3442" s="368"/>
      <c r="F3442" s="368"/>
    </row>
    <row r="3443" spans="1:6" ht="76.5" x14ac:dyDescent="0.2">
      <c r="A3443" s="391">
        <v>100668</v>
      </c>
      <c r="B3443" s="478" t="s">
        <v>47193</v>
      </c>
      <c r="C3443" s="391" t="s">
        <v>255</v>
      </c>
      <c r="D3443" s="479">
        <v>840.5</v>
      </c>
      <c r="E3443" s="368"/>
      <c r="F3443" s="368"/>
    </row>
    <row r="3444" spans="1:6" ht="76.5" x14ac:dyDescent="0.2">
      <c r="A3444" s="391">
        <v>100670</v>
      </c>
      <c r="B3444" s="478" t="s">
        <v>47194</v>
      </c>
      <c r="C3444" s="391" t="s">
        <v>255</v>
      </c>
      <c r="D3444" s="479">
        <v>580.16999999999996</v>
      </c>
      <c r="E3444" s="368"/>
      <c r="F3444" s="368"/>
    </row>
    <row r="3445" spans="1:6" ht="76.5" x14ac:dyDescent="0.2">
      <c r="A3445" s="391">
        <v>100665</v>
      </c>
      <c r="B3445" s="478" t="s">
        <v>47195</v>
      </c>
      <c r="C3445" s="391" t="s">
        <v>255</v>
      </c>
      <c r="D3445" s="479">
        <v>503.5</v>
      </c>
      <c r="E3445" s="368"/>
      <c r="F3445" s="368"/>
    </row>
    <row r="3446" spans="1:6" ht="76.5" x14ac:dyDescent="0.2">
      <c r="A3446" s="391">
        <v>100924</v>
      </c>
      <c r="B3446" s="478" t="s">
        <v>47196</v>
      </c>
      <c r="C3446" s="391" t="s">
        <v>255</v>
      </c>
      <c r="D3446" s="479">
        <v>0</v>
      </c>
      <c r="E3446" s="368"/>
      <c r="F3446" s="368"/>
    </row>
    <row r="3447" spans="1:6" ht="76.5" x14ac:dyDescent="0.2">
      <c r="A3447" s="391">
        <v>100671</v>
      </c>
      <c r="B3447" s="478" t="s">
        <v>47197</v>
      </c>
      <c r="C3447" s="391" t="s">
        <v>255</v>
      </c>
      <c r="D3447" s="479">
        <v>700.67</v>
      </c>
      <c r="E3447" s="368"/>
      <c r="F3447" s="368"/>
    </row>
    <row r="3448" spans="1:6" ht="76.5" x14ac:dyDescent="0.2">
      <c r="A3448" s="391">
        <v>100667</v>
      </c>
      <c r="B3448" s="478" t="s">
        <v>47198</v>
      </c>
      <c r="C3448" s="391" t="s">
        <v>255</v>
      </c>
      <c r="D3448" s="479">
        <v>622.13</v>
      </c>
      <c r="E3448" s="368"/>
      <c r="F3448" s="368"/>
    </row>
    <row r="3449" spans="1:6" ht="63.75" x14ac:dyDescent="0.2">
      <c r="A3449" s="391">
        <v>100669</v>
      </c>
      <c r="B3449" s="478" t="s">
        <v>47199</v>
      </c>
      <c r="C3449" s="391" t="s">
        <v>255</v>
      </c>
      <c r="D3449" s="479">
        <v>660</v>
      </c>
      <c r="E3449" s="368"/>
      <c r="F3449" s="368"/>
    </row>
    <row r="3450" spans="1:6" ht="76.5" x14ac:dyDescent="0.2">
      <c r="A3450" s="391">
        <v>100672</v>
      </c>
      <c r="B3450" s="478" t="s">
        <v>47200</v>
      </c>
      <c r="C3450" s="391" t="s">
        <v>255</v>
      </c>
      <c r="D3450" s="479">
        <v>480.66</v>
      </c>
      <c r="E3450" s="368"/>
      <c r="F3450" s="368"/>
    </row>
    <row r="3451" spans="1:6" ht="76.5" x14ac:dyDescent="0.2">
      <c r="A3451" s="391">
        <v>100666</v>
      </c>
      <c r="B3451" s="478" t="s">
        <v>47201</v>
      </c>
      <c r="C3451" s="391" t="s">
        <v>255</v>
      </c>
      <c r="D3451" s="479">
        <v>419.59</v>
      </c>
      <c r="E3451" s="368"/>
      <c r="F3451" s="368"/>
    </row>
    <row r="3452" spans="1:6" ht="63.75" x14ac:dyDescent="0.2">
      <c r="A3452" s="391">
        <v>100663</v>
      </c>
      <c r="B3452" s="478" t="s">
        <v>47202</v>
      </c>
      <c r="C3452" s="391" t="s">
        <v>255</v>
      </c>
      <c r="D3452" s="479">
        <v>0</v>
      </c>
      <c r="E3452" s="368"/>
      <c r="F3452" s="368"/>
    </row>
    <row r="3453" spans="1:6" ht="63.75" x14ac:dyDescent="0.2">
      <c r="A3453" s="391">
        <v>100662</v>
      </c>
      <c r="B3453" s="478" t="s">
        <v>47203</v>
      </c>
      <c r="C3453" s="391" t="s">
        <v>255</v>
      </c>
      <c r="D3453" s="479">
        <v>0</v>
      </c>
      <c r="E3453" s="368"/>
      <c r="F3453" s="368"/>
    </row>
    <row r="3454" spans="1:6" ht="51" x14ac:dyDescent="0.2">
      <c r="A3454" s="391">
        <v>100661</v>
      </c>
      <c r="B3454" s="478" t="s">
        <v>47204</v>
      </c>
      <c r="C3454" s="391" t="s">
        <v>255</v>
      </c>
      <c r="D3454" s="479">
        <v>0</v>
      </c>
      <c r="E3454" s="368"/>
      <c r="F3454" s="368"/>
    </row>
    <row r="3455" spans="1:6" ht="25.5" x14ac:dyDescent="0.2">
      <c r="A3455" s="391">
        <v>100659</v>
      </c>
      <c r="B3455" s="478" t="s">
        <v>1657</v>
      </c>
      <c r="C3455" s="391" t="s">
        <v>0</v>
      </c>
      <c r="D3455" s="479">
        <v>11.82</v>
      </c>
      <c r="E3455" s="368"/>
      <c r="F3455" s="368"/>
    </row>
    <row r="3456" spans="1:6" ht="25.5" x14ac:dyDescent="0.2">
      <c r="A3456" s="391">
        <v>100660</v>
      </c>
      <c r="B3456" s="478" t="s">
        <v>1658</v>
      </c>
      <c r="C3456" s="391" t="s">
        <v>0</v>
      </c>
      <c r="D3456" s="479">
        <v>8.09</v>
      </c>
      <c r="E3456" s="368"/>
      <c r="F3456" s="368"/>
    </row>
    <row r="3457" spans="1:6" ht="38.25" x14ac:dyDescent="0.2">
      <c r="A3457" s="391">
        <v>100711</v>
      </c>
      <c r="B3457" s="478" t="s">
        <v>41225</v>
      </c>
      <c r="C3457" s="391" t="s">
        <v>0</v>
      </c>
      <c r="D3457" s="479">
        <v>0</v>
      </c>
      <c r="E3457" s="368"/>
      <c r="F3457" s="368"/>
    </row>
    <row r="3458" spans="1:6" ht="25.5" x14ac:dyDescent="0.2">
      <c r="A3458" s="391">
        <v>100676</v>
      </c>
      <c r="B3458" s="478" t="s">
        <v>1660</v>
      </c>
      <c r="C3458" s="391" t="s">
        <v>26</v>
      </c>
      <c r="D3458" s="479">
        <v>199.55</v>
      </c>
      <c r="E3458" s="368"/>
      <c r="F3458" s="368"/>
    </row>
    <row r="3459" spans="1:6" ht="25.5" x14ac:dyDescent="0.2">
      <c r="A3459" s="391">
        <v>90806</v>
      </c>
      <c r="B3459" s="478" t="s">
        <v>1591</v>
      </c>
      <c r="C3459" s="391" t="s">
        <v>26</v>
      </c>
      <c r="D3459" s="479">
        <v>411.18</v>
      </c>
      <c r="E3459" s="368"/>
      <c r="F3459" s="368"/>
    </row>
    <row r="3460" spans="1:6" ht="25.5" x14ac:dyDescent="0.2">
      <c r="A3460" s="391">
        <v>91292</v>
      </c>
      <c r="B3460" s="478" t="s">
        <v>1621</v>
      </c>
      <c r="C3460" s="391" t="s">
        <v>26</v>
      </c>
      <c r="D3460" s="479">
        <v>328.23</v>
      </c>
      <c r="E3460" s="368"/>
      <c r="F3460" s="368"/>
    </row>
    <row r="3461" spans="1:6" ht="25.5" x14ac:dyDescent="0.2">
      <c r="A3461" s="391">
        <v>90801</v>
      </c>
      <c r="B3461" s="478" t="s">
        <v>1590</v>
      </c>
      <c r="C3461" s="391" t="s">
        <v>26</v>
      </c>
      <c r="D3461" s="479">
        <v>319.56</v>
      </c>
      <c r="E3461" s="368"/>
      <c r="F3461" s="368"/>
    </row>
    <row r="3462" spans="1:6" ht="25.5" x14ac:dyDescent="0.2">
      <c r="A3462" s="391">
        <v>91287</v>
      </c>
      <c r="B3462" s="478" t="s">
        <v>1620</v>
      </c>
      <c r="C3462" s="391" t="s">
        <v>26</v>
      </c>
      <c r="D3462" s="479">
        <v>236.61</v>
      </c>
      <c r="E3462" s="368"/>
      <c r="F3462" s="368"/>
    </row>
    <row r="3463" spans="1:6" x14ac:dyDescent="0.2">
      <c r="A3463" s="391">
        <v>100706</v>
      </c>
      <c r="B3463" s="478" t="s">
        <v>1704</v>
      </c>
      <c r="C3463" s="391" t="s">
        <v>26</v>
      </c>
      <c r="D3463" s="479">
        <v>72.31</v>
      </c>
      <c r="E3463" s="368"/>
      <c r="F3463" s="368"/>
    </row>
    <row r="3464" spans="1:6" ht="25.5" x14ac:dyDescent="0.2">
      <c r="A3464" s="391">
        <v>100709</v>
      </c>
      <c r="B3464" s="478" t="s">
        <v>1707</v>
      </c>
      <c r="C3464" s="391" t="s">
        <v>26</v>
      </c>
      <c r="D3464" s="479">
        <v>51.11</v>
      </c>
      <c r="E3464" s="368"/>
      <c r="F3464" s="368"/>
    </row>
    <row r="3465" spans="1:6" x14ac:dyDescent="0.2">
      <c r="A3465" s="391">
        <v>100710</v>
      </c>
      <c r="B3465" s="478" t="s">
        <v>1708</v>
      </c>
      <c r="C3465" s="391" t="s">
        <v>26</v>
      </c>
      <c r="D3465" s="479">
        <v>137.78</v>
      </c>
      <c r="E3465" s="368"/>
      <c r="F3465" s="368"/>
    </row>
    <row r="3466" spans="1:6" ht="38.25" x14ac:dyDescent="0.2">
      <c r="A3466" s="391">
        <v>90830</v>
      </c>
      <c r="B3466" s="478" t="s">
        <v>1598</v>
      </c>
      <c r="C3466" s="391" t="s">
        <v>26</v>
      </c>
      <c r="D3466" s="479">
        <v>163.32</v>
      </c>
      <c r="E3466" s="368"/>
      <c r="F3466" s="368"/>
    </row>
    <row r="3467" spans="1:6" ht="38.25" x14ac:dyDescent="0.2">
      <c r="A3467" s="391">
        <v>91304</v>
      </c>
      <c r="B3467" s="478" t="s">
        <v>1627</v>
      </c>
      <c r="C3467" s="391" t="s">
        <v>26</v>
      </c>
      <c r="D3467" s="479">
        <v>100.7</v>
      </c>
      <c r="E3467" s="368"/>
      <c r="F3467" s="368"/>
    </row>
    <row r="3468" spans="1:6" ht="38.25" x14ac:dyDescent="0.2">
      <c r="A3468" s="391">
        <v>90831</v>
      </c>
      <c r="B3468" s="478" t="s">
        <v>1599</v>
      </c>
      <c r="C3468" s="391" t="s">
        <v>26</v>
      </c>
      <c r="D3468" s="479">
        <v>142.84</v>
      </c>
      <c r="E3468" s="368"/>
      <c r="F3468" s="368"/>
    </row>
    <row r="3469" spans="1:6" ht="38.25" x14ac:dyDescent="0.2">
      <c r="A3469" s="391">
        <v>91305</v>
      </c>
      <c r="B3469" s="478" t="s">
        <v>1628</v>
      </c>
      <c r="C3469" s="391" t="s">
        <v>26</v>
      </c>
      <c r="D3469" s="479">
        <v>99.76</v>
      </c>
      <c r="E3469" s="368"/>
      <c r="F3469" s="368"/>
    </row>
    <row r="3470" spans="1:6" ht="38.25" x14ac:dyDescent="0.2">
      <c r="A3470" s="391">
        <v>91306</v>
      </c>
      <c r="B3470" s="478" t="s">
        <v>1629</v>
      </c>
      <c r="C3470" s="391" t="s">
        <v>26</v>
      </c>
      <c r="D3470" s="479">
        <v>142.84</v>
      </c>
      <c r="E3470" s="368"/>
      <c r="F3470" s="368"/>
    </row>
    <row r="3471" spans="1:6" ht="38.25" x14ac:dyDescent="0.2">
      <c r="A3471" s="391">
        <v>91307</v>
      </c>
      <c r="B3471" s="478" t="s">
        <v>1630</v>
      </c>
      <c r="C3471" s="391" t="s">
        <v>26</v>
      </c>
      <c r="D3471" s="479">
        <v>85.22</v>
      </c>
      <c r="E3471" s="368"/>
      <c r="F3471" s="368"/>
    </row>
    <row r="3472" spans="1:6" x14ac:dyDescent="0.2">
      <c r="A3472" s="391">
        <v>100707</v>
      </c>
      <c r="B3472" s="478" t="s">
        <v>1705</v>
      </c>
      <c r="C3472" s="391" t="s">
        <v>26</v>
      </c>
      <c r="D3472" s="479">
        <v>150.44999999999999</v>
      </c>
      <c r="E3472" s="368"/>
      <c r="F3472" s="368"/>
    </row>
    <row r="3473" spans="1:6" x14ac:dyDescent="0.2">
      <c r="A3473" s="391">
        <v>100708</v>
      </c>
      <c r="B3473" s="478" t="s">
        <v>1706</v>
      </c>
      <c r="C3473" s="391" t="s">
        <v>26</v>
      </c>
      <c r="D3473" s="479">
        <v>188.58</v>
      </c>
      <c r="E3473" s="368"/>
      <c r="F3473" s="368"/>
    </row>
    <row r="3474" spans="1:6" ht="51" x14ac:dyDescent="0.2">
      <c r="A3474" s="391">
        <v>91328</v>
      </c>
      <c r="B3474" s="478" t="s">
        <v>1647</v>
      </c>
      <c r="C3474" s="391" t="s">
        <v>26</v>
      </c>
      <c r="D3474" s="479">
        <v>932.85</v>
      </c>
      <c r="E3474" s="368"/>
      <c r="F3474" s="368"/>
    </row>
    <row r="3475" spans="1:6" ht="51" x14ac:dyDescent="0.2">
      <c r="A3475" s="391">
        <v>100687</v>
      </c>
      <c r="B3475" s="478" t="s">
        <v>1670</v>
      </c>
      <c r="C3475" s="391" t="s">
        <v>26</v>
      </c>
      <c r="D3475" s="479">
        <v>1075.69</v>
      </c>
      <c r="E3475" s="368"/>
      <c r="F3475" s="368"/>
    </row>
    <row r="3476" spans="1:6" ht="51" x14ac:dyDescent="0.2">
      <c r="A3476" s="391">
        <v>100681</v>
      </c>
      <c r="B3476" s="478" t="s">
        <v>1664</v>
      </c>
      <c r="C3476" s="391" t="s">
        <v>26</v>
      </c>
      <c r="D3476" s="479">
        <v>1106.3399999999999</v>
      </c>
      <c r="E3476" s="368"/>
      <c r="F3476" s="368"/>
    </row>
    <row r="3477" spans="1:6" ht="51" x14ac:dyDescent="0.2">
      <c r="A3477" s="391">
        <v>91330</v>
      </c>
      <c r="B3477" s="478" t="s">
        <v>1649</v>
      </c>
      <c r="C3477" s="391" t="s">
        <v>26</v>
      </c>
      <c r="D3477" s="479">
        <v>963.5</v>
      </c>
      <c r="E3477" s="368"/>
      <c r="F3477" s="368"/>
    </row>
    <row r="3478" spans="1:6" ht="51" x14ac:dyDescent="0.2">
      <c r="A3478" s="391">
        <v>100689</v>
      </c>
      <c r="B3478" s="478" t="s">
        <v>1672</v>
      </c>
      <c r="C3478" s="391" t="s">
        <v>26</v>
      </c>
      <c r="D3478" s="479">
        <v>1171.97</v>
      </c>
      <c r="E3478" s="368"/>
      <c r="F3478" s="368"/>
    </row>
    <row r="3479" spans="1:6" ht="51" x14ac:dyDescent="0.2">
      <c r="A3479" s="391">
        <v>91332</v>
      </c>
      <c r="B3479" s="478" t="s">
        <v>1651</v>
      </c>
      <c r="C3479" s="391" t="s">
        <v>26</v>
      </c>
      <c r="D3479" s="479">
        <v>1008.65</v>
      </c>
      <c r="E3479" s="368"/>
      <c r="F3479" s="368"/>
    </row>
    <row r="3480" spans="1:6" ht="51" x14ac:dyDescent="0.2">
      <c r="A3480" s="391">
        <v>100688</v>
      </c>
      <c r="B3480" s="478" t="s">
        <v>1671</v>
      </c>
      <c r="C3480" s="391" t="s">
        <v>26</v>
      </c>
      <c r="D3480" s="479">
        <v>913.85</v>
      </c>
      <c r="E3480" s="368"/>
      <c r="F3480" s="368"/>
    </row>
    <row r="3481" spans="1:6" ht="51" x14ac:dyDescent="0.2">
      <c r="A3481" s="391">
        <v>91329</v>
      </c>
      <c r="B3481" s="478" t="s">
        <v>1648</v>
      </c>
      <c r="C3481" s="391" t="s">
        <v>26</v>
      </c>
      <c r="D3481" s="479">
        <v>814.09</v>
      </c>
      <c r="E3481" s="368"/>
      <c r="F3481" s="368"/>
    </row>
    <row r="3482" spans="1:6" ht="51" x14ac:dyDescent="0.2">
      <c r="A3482" s="391">
        <v>100682</v>
      </c>
      <c r="B3482" s="478" t="s">
        <v>1665</v>
      </c>
      <c r="C3482" s="391" t="s">
        <v>26</v>
      </c>
      <c r="D3482" s="479">
        <v>929.22</v>
      </c>
      <c r="E3482" s="368"/>
      <c r="F3482" s="368"/>
    </row>
    <row r="3483" spans="1:6" ht="51" x14ac:dyDescent="0.2">
      <c r="A3483" s="391">
        <v>91331</v>
      </c>
      <c r="B3483" s="478" t="s">
        <v>1650</v>
      </c>
      <c r="C3483" s="391" t="s">
        <v>26</v>
      </c>
      <c r="D3483" s="479">
        <v>844</v>
      </c>
      <c r="E3483" s="368"/>
      <c r="F3483" s="368"/>
    </row>
    <row r="3484" spans="1:6" ht="51" x14ac:dyDescent="0.2">
      <c r="A3484" s="391">
        <v>100690</v>
      </c>
      <c r="B3484" s="478" t="s">
        <v>1673</v>
      </c>
      <c r="C3484" s="391" t="s">
        <v>26</v>
      </c>
      <c r="D3484" s="479">
        <v>989.1</v>
      </c>
      <c r="E3484" s="368"/>
      <c r="F3484" s="368"/>
    </row>
    <row r="3485" spans="1:6" ht="51" x14ac:dyDescent="0.2">
      <c r="A3485" s="391">
        <v>91333</v>
      </c>
      <c r="B3485" s="478" t="s">
        <v>1652</v>
      </c>
      <c r="C3485" s="391" t="s">
        <v>26</v>
      </c>
      <c r="D3485" s="479">
        <v>888.4</v>
      </c>
      <c r="E3485" s="368"/>
      <c r="F3485" s="368"/>
    </row>
    <row r="3486" spans="1:6" ht="51" x14ac:dyDescent="0.2">
      <c r="A3486" s="391">
        <v>90841</v>
      </c>
      <c r="B3486" s="478" t="s">
        <v>1600</v>
      </c>
      <c r="C3486" s="391" t="s">
        <v>26</v>
      </c>
      <c r="D3486" s="479">
        <v>1050.8800000000001</v>
      </c>
      <c r="E3486" s="368"/>
      <c r="F3486" s="368"/>
    </row>
    <row r="3487" spans="1:6" ht="51" x14ac:dyDescent="0.2">
      <c r="A3487" s="391">
        <v>90847</v>
      </c>
      <c r="B3487" s="478" t="s">
        <v>1606</v>
      </c>
      <c r="C3487" s="391" t="s">
        <v>26</v>
      </c>
      <c r="D3487" s="479">
        <v>908.04</v>
      </c>
      <c r="E3487" s="368"/>
      <c r="F3487" s="368"/>
    </row>
    <row r="3488" spans="1:6" ht="51" x14ac:dyDescent="0.2">
      <c r="A3488" s="391">
        <v>90842</v>
      </c>
      <c r="B3488" s="478" t="s">
        <v>1601</v>
      </c>
      <c r="C3488" s="391" t="s">
        <v>26</v>
      </c>
      <c r="D3488" s="479">
        <v>1060.24</v>
      </c>
      <c r="E3488" s="368"/>
      <c r="F3488" s="368"/>
    </row>
    <row r="3489" spans="1:6" ht="51" x14ac:dyDescent="0.2">
      <c r="A3489" s="391">
        <v>90848</v>
      </c>
      <c r="B3489" s="478" t="s">
        <v>1607</v>
      </c>
      <c r="C3489" s="391" t="s">
        <v>26</v>
      </c>
      <c r="D3489" s="479">
        <v>917.4</v>
      </c>
      <c r="E3489" s="368"/>
      <c r="F3489" s="368"/>
    </row>
    <row r="3490" spans="1:6" ht="51" x14ac:dyDescent="0.2">
      <c r="A3490" s="391">
        <v>90843</v>
      </c>
      <c r="B3490" s="478" t="s">
        <v>1602</v>
      </c>
      <c r="C3490" s="391" t="s">
        <v>26</v>
      </c>
      <c r="D3490" s="479">
        <v>1110.3</v>
      </c>
      <c r="E3490" s="368"/>
      <c r="F3490" s="368"/>
    </row>
    <row r="3491" spans="1:6" ht="51" x14ac:dyDescent="0.2">
      <c r="A3491" s="391">
        <v>90849</v>
      </c>
      <c r="B3491" s="478" t="s">
        <v>1608</v>
      </c>
      <c r="C3491" s="391" t="s">
        <v>26</v>
      </c>
      <c r="D3491" s="479">
        <v>946.98</v>
      </c>
      <c r="E3491" s="368"/>
      <c r="F3491" s="368"/>
    </row>
    <row r="3492" spans="1:6" ht="51" x14ac:dyDescent="0.2">
      <c r="A3492" s="391">
        <v>90844</v>
      </c>
      <c r="B3492" s="478" t="s">
        <v>1603</v>
      </c>
      <c r="C3492" s="391" t="s">
        <v>26</v>
      </c>
      <c r="D3492" s="479">
        <v>1206.3</v>
      </c>
      <c r="E3492" s="368"/>
      <c r="F3492" s="368"/>
    </row>
    <row r="3493" spans="1:6" ht="51" x14ac:dyDescent="0.2">
      <c r="A3493" s="391">
        <v>90850</v>
      </c>
      <c r="B3493" s="478" t="s">
        <v>1609</v>
      </c>
      <c r="C3493" s="391" t="s">
        <v>26</v>
      </c>
      <c r="D3493" s="479">
        <v>1042.98</v>
      </c>
      <c r="E3493" s="368"/>
      <c r="F3493" s="368"/>
    </row>
    <row r="3494" spans="1:6" ht="51" x14ac:dyDescent="0.2">
      <c r="A3494" s="391">
        <v>91312</v>
      </c>
      <c r="B3494" s="478" t="s">
        <v>1631</v>
      </c>
      <c r="C3494" s="391" t="s">
        <v>26</v>
      </c>
      <c r="D3494" s="479">
        <v>889.04</v>
      </c>
      <c r="E3494" s="368"/>
      <c r="F3494" s="368"/>
    </row>
    <row r="3495" spans="1:6" ht="51" x14ac:dyDescent="0.2">
      <c r="A3495" s="391">
        <v>91318</v>
      </c>
      <c r="B3495" s="478" t="s">
        <v>1637</v>
      </c>
      <c r="C3495" s="391" t="s">
        <v>26</v>
      </c>
      <c r="D3495" s="479">
        <v>789.28</v>
      </c>
      <c r="E3495" s="368"/>
      <c r="F3495" s="368"/>
    </row>
    <row r="3496" spans="1:6" ht="51" x14ac:dyDescent="0.2">
      <c r="A3496" s="391">
        <v>91313</v>
      </c>
      <c r="B3496" s="484" t="s">
        <v>1632</v>
      </c>
      <c r="C3496" s="391" t="s">
        <v>26</v>
      </c>
      <c r="D3496" s="479">
        <v>883.12</v>
      </c>
      <c r="E3496" s="368"/>
      <c r="F3496" s="368"/>
    </row>
    <row r="3497" spans="1:6" ht="51" x14ac:dyDescent="0.2">
      <c r="A3497" s="391">
        <v>91319</v>
      </c>
      <c r="B3497" s="478" t="s">
        <v>1638</v>
      </c>
      <c r="C3497" s="391" t="s">
        <v>26</v>
      </c>
      <c r="D3497" s="479">
        <v>797.9</v>
      </c>
      <c r="E3497" s="368"/>
      <c r="F3497" s="368"/>
    </row>
    <row r="3498" spans="1:6" ht="51" x14ac:dyDescent="0.2">
      <c r="A3498" s="391">
        <v>91314</v>
      </c>
      <c r="B3498" s="478" t="s">
        <v>1633</v>
      </c>
      <c r="C3498" s="391" t="s">
        <v>26</v>
      </c>
      <c r="D3498" s="479">
        <v>927.43</v>
      </c>
      <c r="E3498" s="368"/>
      <c r="F3498" s="368"/>
    </row>
    <row r="3499" spans="1:6" ht="51" x14ac:dyDescent="0.2">
      <c r="A3499" s="391">
        <v>91320</v>
      </c>
      <c r="B3499" s="478" t="s">
        <v>1639</v>
      </c>
      <c r="C3499" s="391" t="s">
        <v>26</v>
      </c>
      <c r="D3499" s="479">
        <v>826.73</v>
      </c>
      <c r="E3499" s="368"/>
      <c r="F3499" s="368"/>
    </row>
    <row r="3500" spans="1:6" ht="51" x14ac:dyDescent="0.2">
      <c r="A3500" s="391">
        <v>91315</v>
      </c>
      <c r="B3500" s="478" t="s">
        <v>1634</v>
      </c>
      <c r="C3500" s="391" t="s">
        <v>26</v>
      </c>
      <c r="D3500" s="479">
        <v>1022.68</v>
      </c>
      <c r="E3500" s="368"/>
      <c r="F3500" s="368"/>
    </row>
    <row r="3501" spans="1:6" ht="51" x14ac:dyDescent="0.2">
      <c r="A3501" s="391">
        <v>91321</v>
      </c>
      <c r="B3501" s="478" t="s">
        <v>1640</v>
      </c>
      <c r="C3501" s="391" t="s">
        <v>26</v>
      </c>
      <c r="D3501" s="479">
        <v>921.98</v>
      </c>
      <c r="E3501" s="368"/>
      <c r="F3501" s="368"/>
    </row>
    <row r="3502" spans="1:6" ht="51" x14ac:dyDescent="0.2">
      <c r="A3502" s="391">
        <v>90845</v>
      </c>
      <c r="B3502" s="478" t="s">
        <v>1604</v>
      </c>
      <c r="C3502" s="391" t="s">
        <v>26</v>
      </c>
      <c r="D3502" s="479">
        <v>1419.1</v>
      </c>
      <c r="E3502" s="368"/>
      <c r="F3502" s="368"/>
    </row>
    <row r="3503" spans="1:6" ht="51" x14ac:dyDescent="0.2">
      <c r="A3503" s="391">
        <v>90851</v>
      </c>
      <c r="B3503" s="478" t="s">
        <v>1610</v>
      </c>
      <c r="C3503" s="391" t="s">
        <v>26</v>
      </c>
      <c r="D3503" s="479">
        <v>1255.78</v>
      </c>
      <c r="E3503" s="368"/>
      <c r="F3503" s="368"/>
    </row>
    <row r="3504" spans="1:6" ht="51" x14ac:dyDescent="0.2">
      <c r="A3504" s="391">
        <v>90846</v>
      </c>
      <c r="B3504" s="484" t="s">
        <v>1605</v>
      </c>
      <c r="C3504" s="391" t="s">
        <v>26</v>
      </c>
      <c r="D3504" s="479">
        <v>1502.79</v>
      </c>
      <c r="E3504" s="368"/>
      <c r="F3504" s="368"/>
    </row>
    <row r="3505" spans="1:6" ht="51" x14ac:dyDescent="0.2">
      <c r="A3505" s="391">
        <v>90852</v>
      </c>
      <c r="B3505" s="478" t="s">
        <v>1611</v>
      </c>
      <c r="C3505" s="391" t="s">
        <v>26</v>
      </c>
      <c r="D3505" s="479">
        <v>1339.47</v>
      </c>
      <c r="E3505" s="368"/>
      <c r="F3505" s="368"/>
    </row>
    <row r="3506" spans="1:6" ht="51" x14ac:dyDescent="0.2">
      <c r="A3506" s="391">
        <v>91316</v>
      </c>
      <c r="B3506" s="478" t="s">
        <v>1635</v>
      </c>
      <c r="C3506" s="391" t="s">
        <v>26</v>
      </c>
      <c r="D3506" s="479">
        <v>1236.23</v>
      </c>
      <c r="E3506" s="368"/>
      <c r="F3506" s="368"/>
    </row>
    <row r="3507" spans="1:6" ht="51" x14ac:dyDescent="0.2">
      <c r="A3507" s="391">
        <v>91322</v>
      </c>
      <c r="B3507" s="478" t="s">
        <v>1641</v>
      </c>
      <c r="C3507" s="391" t="s">
        <v>26</v>
      </c>
      <c r="D3507" s="479">
        <v>1135.53</v>
      </c>
      <c r="E3507" s="368"/>
      <c r="F3507" s="368"/>
    </row>
    <row r="3508" spans="1:6" ht="51" x14ac:dyDescent="0.2">
      <c r="A3508" s="391">
        <v>91317</v>
      </c>
      <c r="B3508" s="480" t="s">
        <v>1636</v>
      </c>
      <c r="C3508" s="391" t="s">
        <v>26</v>
      </c>
      <c r="D3508" s="479">
        <v>1319.17</v>
      </c>
      <c r="E3508" s="368"/>
      <c r="F3508" s="368"/>
    </row>
    <row r="3509" spans="1:6" ht="51" x14ac:dyDescent="0.2">
      <c r="A3509" s="391">
        <v>91323</v>
      </c>
      <c r="B3509" s="478" t="s">
        <v>1642</v>
      </c>
      <c r="C3509" s="391" t="s">
        <v>26</v>
      </c>
      <c r="D3509" s="479">
        <v>1218.47</v>
      </c>
      <c r="E3509" s="368"/>
      <c r="F3509" s="368"/>
    </row>
    <row r="3510" spans="1:6" ht="51" x14ac:dyDescent="0.2">
      <c r="A3510" s="392">
        <v>100678</v>
      </c>
      <c r="B3510" s="480" t="s">
        <v>1661</v>
      </c>
      <c r="C3510" s="392" t="s">
        <v>26</v>
      </c>
      <c r="D3510" s="481">
        <v>1064.18</v>
      </c>
      <c r="E3510" s="369"/>
      <c r="F3510" s="369"/>
    </row>
    <row r="3511" spans="1:6" ht="51" x14ac:dyDescent="0.2">
      <c r="A3511" s="392">
        <v>91013</v>
      </c>
      <c r="B3511" s="480" t="s">
        <v>1616</v>
      </c>
      <c r="C3511" s="392" t="s">
        <v>26</v>
      </c>
      <c r="D3511" s="481">
        <v>921.34</v>
      </c>
      <c r="E3511" s="369"/>
      <c r="F3511" s="369"/>
    </row>
    <row r="3512" spans="1:6" ht="51" x14ac:dyDescent="0.2">
      <c r="A3512" s="391">
        <v>100680</v>
      </c>
      <c r="B3512" s="478" t="s">
        <v>1663</v>
      </c>
      <c r="C3512" s="391" t="s">
        <v>26</v>
      </c>
      <c r="D3512" s="479">
        <v>1074.17</v>
      </c>
      <c r="E3512" s="368"/>
      <c r="F3512" s="368"/>
    </row>
    <row r="3513" spans="1:6" ht="51" x14ac:dyDescent="0.2">
      <c r="A3513" s="391">
        <v>91014</v>
      </c>
      <c r="B3513" s="478" t="s">
        <v>1617</v>
      </c>
      <c r="C3513" s="391" t="s">
        <v>26</v>
      </c>
      <c r="D3513" s="479">
        <v>931.33</v>
      </c>
      <c r="E3513" s="368"/>
      <c r="F3513" s="368"/>
    </row>
    <row r="3514" spans="1:6" ht="51" x14ac:dyDescent="0.2">
      <c r="A3514" s="391">
        <v>100683</v>
      </c>
      <c r="B3514" s="478" t="s">
        <v>1666</v>
      </c>
      <c r="C3514" s="391" t="s">
        <v>26</v>
      </c>
      <c r="D3514" s="479">
        <v>1164.3</v>
      </c>
      <c r="E3514" s="368"/>
      <c r="F3514" s="368"/>
    </row>
    <row r="3515" spans="1:6" ht="51" x14ac:dyDescent="0.2">
      <c r="A3515" s="391">
        <v>91015</v>
      </c>
      <c r="B3515" s="478" t="s">
        <v>1618</v>
      </c>
      <c r="C3515" s="391" t="s">
        <v>26</v>
      </c>
      <c r="D3515" s="479">
        <v>1000.98</v>
      </c>
      <c r="E3515" s="368"/>
      <c r="F3515" s="368"/>
    </row>
    <row r="3516" spans="1:6" ht="51" x14ac:dyDescent="0.2">
      <c r="A3516" s="391">
        <v>100685</v>
      </c>
      <c r="B3516" s="478" t="s">
        <v>1668</v>
      </c>
      <c r="C3516" s="391" t="s">
        <v>26</v>
      </c>
      <c r="D3516" s="479">
        <v>1218.08</v>
      </c>
      <c r="E3516" s="368"/>
      <c r="F3516" s="368"/>
    </row>
    <row r="3517" spans="1:6" ht="51" x14ac:dyDescent="0.2">
      <c r="A3517" s="391">
        <v>91016</v>
      </c>
      <c r="B3517" s="478" t="s">
        <v>1619</v>
      </c>
      <c r="C3517" s="391" t="s">
        <v>26</v>
      </c>
      <c r="D3517" s="479">
        <v>1054.76</v>
      </c>
      <c r="E3517" s="368"/>
      <c r="F3517" s="368"/>
    </row>
    <row r="3518" spans="1:6" ht="51" x14ac:dyDescent="0.2">
      <c r="A3518" s="391">
        <v>100679</v>
      </c>
      <c r="B3518" s="478" t="s">
        <v>1662</v>
      </c>
      <c r="C3518" s="391" t="s">
        <v>26</v>
      </c>
      <c r="D3518" s="479">
        <v>902.34</v>
      </c>
      <c r="E3518" s="368"/>
      <c r="F3518" s="368"/>
    </row>
    <row r="3519" spans="1:6" ht="51" x14ac:dyDescent="0.2">
      <c r="A3519" s="391">
        <v>91324</v>
      </c>
      <c r="B3519" s="478" t="s">
        <v>1643</v>
      </c>
      <c r="C3519" s="391" t="s">
        <v>26</v>
      </c>
      <c r="D3519" s="479">
        <v>802.58</v>
      </c>
      <c r="E3519" s="368"/>
      <c r="F3519" s="368"/>
    </row>
    <row r="3520" spans="1:6" ht="51" x14ac:dyDescent="0.2">
      <c r="A3520" s="391">
        <v>100712</v>
      </c>
      <c r="B3520" s="478" t="s">
        <v>1684</v>
      </c>
      <c r="C3520" s="391" t="s">
        <v>26</v>
      </c>
      <c r="D3520" s="479">
        <v>897.05</v>
      </c>
      <c r="E3520" s="368"/>
      <c r="F3520" s="368"/>
    </row>
    <row r="3521" spans="1:6" ht="51" x14ac:dyDescent="0.2">
      <c r="A3521" s="391">
        <v>91325</v>
      </c>
      <c r="B3521" s="478" t="s">
        <v>1644</v>
      </c>
      <c r="C3521" s="391" t="s">
        <v>26</v>
      </c>
      <c r="D3521" s="479">
        <v>811.83</v>
      </c>
      <c r="E3521" s="368"/>
      <c r="F3521" s="368"/>
    </row>
    <row r="3522" spans="1:6" ht="51" x14ac:dyDescent="0.2">
      <c r="A3522" s="391">
        <v>100684</v>
      </c>
      <c r="B3522" s="478" t="s">
        <v>1667</v>
      </c>
      <c r="C3522" s="391" t="s">
        <v>26</v>
      </c>
      <c r="D3522" s="479">
        <v>981.43</v>
      </c>
      <c r="E3522" s="368"/>
      <c r="F3522" s="368"/>
    </row>
    <row r="3523" spans="1:6" ht="51" x14ac:dyDescent="0.2">
      <c r="A3523" s="391">
        <v>91326</v>
      </c>
      <c r="B3523" s="478" t="s">
        <v>1645</v>
      </c>
      <c r="C3523" s="391" t="s">
        <v>26</v>
      </c>
      <c r="D3523" s="479">
        <v>880.73</v>
      </c>
      <c r="E3523" s="368"/>
      <c r="F3523" s="368"/>
    </row>
    <row r="3524" spans="1:6" ht="51" x14ac:dyDescent="0.2">
      <c r="A3524" s="391">
        <v>91327</v>
      </c>
      <c r="B3524" s="478" t="s">
        <v>1646</v>
      </c>
      <c r="C3524" s="391" t="s">
        <v>26</v>
      </c>
      <c r="D3524" s="479">
        <v>933.76</v>
      </c>
      <c r="E3524" s="368"/>
      <c r="F3524" s="368"/>
    </row>
    <row r="3525" spans="1:6" ht="51" x14ac:dyDescent="0.2">
      <c r="A3525" s="391">
        <v>100686</v>
      </c>
      <c r="B3525" s="478" t="s">
        <v>1669</v>
      </c>
      <c r="C3525" s="391" t="s">
        <v>26</v>
      </c>
      <c r="D3525" s="479">
        <v>1034.46</v>
      </c>
      <c r="E3525" s="368"/>
      <c r="F3525" s="368"/>
    </row>
    <row r="3526" spans="1:6" ht="51" x14ac:dyDescent="0.2">
      <c r="A3526" s="391">
        <v>100693</v>
      </c>
      <c r="B3526" s="478" t="s">
        <v>1676</v>
      </c>
      <c r="C3526" s="391" t="s">
        <v>26</v>
      </c>
      <c r="D3526" s="479">
        <v>2242.2399999999998</v>
      </c>
      <c r="E3526" s="368"/>
      <c r="F3526" s="368"/>
    </row>
    <row r="3527" spans="1:6" ht="51" x14ac:dyDescent="0.2">
      <c r="A3527" s="391">
        <v>91336</v>
      </c>
      <c r="B3527" s="478" t="s">
        <v>1655</v>
      </c>
      <c r="C3527" s="391" t="s">
        <v>26</v>
      </c>
      <c r="D3527" s="479">
        <v>2078.92</v>
      </c>
      <c r="E3527" s="368"/>
      <c r="F3527" s="368"/>
    </row>
    <row r="3528" spans="1:6" ht="51" x14ac:dyDescent="0.2">
      <c r="A3528" s="391">
        <v>100694</v>
      </c>
      <c r="B3528" s="478" t="s">
        <v>1677</v>
      </c>
      <c r="C3528" s="391" t="s">
        <v>26</v>
      </c>
      <c r="D3528" s="479">
        <v>2059.37</v>
      </c>
      <c r="E3528" s="368"/>
      <c r="F3528" s="368"/>
    </row>
    <row r="3529" spans="1:6" ht="51" x14ac:dyDescent="0.2">
      <c r="A3529" s="391">
        <v>91337</v>
      </c>
      <c r="B3529" s="478" t="s">
        <v>1656</v>
      </c>
      <c r="C3529" s="391" t="s">
        <v>26</v>
      </c>
      <c r="D3529" s="479">
        <v>1958.67</v>
      </c>
      <c r="E3529" s="368"/>
      <c r="F3529" s="368"/>
    </row>
    <row r="3530" spans="1:6" ht="51" x14ac:dyDescent="0.2">
      <c r="A3530" s="391">
        <v>100691</v>
      </c>
      <c r="B3530" s="478" t="s">
        <v>1674</v>
      </c>
      <c r="C3530" s="391" t="s">
        <v>26</v>
      </c>
      <c r="D3530" s="479">
        <v>1800.89</v>
      </c>
      <c r="E3530" s="368"/>
      <c r="F3530" s="368"/>
    </row>
    <row r="3531" spans="1:6" ht="51" x14ac:dyDescent="0.2">
      <c r="A3531" s="391">
        <v>100692</v>
      </c>
      <c r="B3531" s="478" t="s">
        <v>1675</v>
      </c>
      <c r="C3531" s="391" t="s">
        <v>26</v>
      </c>
      <c r="D3531" s="479">
        <v>1618.02</v>
      </c>
      <c r="E3531" s="368"/>
      <c r="F3531" s="368"/>
    </row>
    <row r="3532" spans="1:6" ht="51" x14ac:dyDescent="0.2">
      <c r="A3532" s="391">
        <v>91334</v>
      </c>
      <c r="B3532" s="478" t="s">
        <v>1653</v>
      </c>
      <c r="C3532" s="391" t="s">
        <v>26</v>
      </c>
      <c r="D3532" s="479">
        <v>1637.57</v>
      </c>
      <c r="E3532" s="368"/>
      <c r="F3532" s="368"/>
    </row>
    <row r="3533" spans="1:6" ht="51" x14ac:dyDescent="0.2">
      <c r="A3533" s="391">
        <v>91335</v>
      </c>
      <c r="B3533" s="478" t="s">
        <v>1654</v>
      </c>
      <c r="C3533" s="391" t="s">
        <v>26</v>
      </c>
      <c r="D3533" s="479">
        <v>1517.32</v>
      </c>
      <c r="E3533" s="368"/>
      <c r="F3533" s="368"/>
    </row>
    <row r="3534" spans="1:6" ht="51" x14ac:dyDescent="0.2">
      <c r="A3534" s="391">
        <v>90788</v>
      </c>
      <c r="B3534" s="478" t="s">
        <v>1579</v>
      </c>
      <c r="C3534" s="391" t="s">
        <v>26</v>
      </c>
      <c r="D3534" s="479">
        <v>974.17</v>
      </c>
      <c r="E3534" s="368"/>
      <c r="F3534" s="368"/>
    </row>
    <row r="3535" spans="1:6" ht="51" x14ac:dyDescent="0.2">
      <c r="A3535" s="391">
        <v>90789</v>
      </c>
      <c r="B3535" s="478" t="s">
        <v>1580</v>
      </c>
      <c r="C3535" s="391" t="s">
        <v>26</v>
      </c>
      <c r="D3535" s="479">
        <v>975.93</v>
      </c>
      <c r="E3535" s="368"/>
      <c r="F3535" s="368"/>
    </row>
    <row r="3536" spans="1:6" ht="51" x14ac:dyDescent="0.2">
      <c r="A3536" s="391">
        <v>90790</v>
      </c>
      <c r="B3536" s="478" t="s">
        <v>1581</v>
      </c>
      <c r="C3536" s="391" t="s">
        <v>26</v>
      </c>
      <c r="D3536" s="479">
        <v>1006.4</v>
      </c>
      <c r="E3536" s="368"/>
      <c r="F3536" s="368"/>
    </row>
    <row r="3537" spans="1:6" ht="51" x14ac:dyDescent="0.2">
      <c r="A3537" s="391">
        <v>100675</v>
      </c>
      <c r="B3537" s="478" t="s">
        <v>1659</v>
      </c>
      <c r="C3537" s="391" t="s">
        <v>26</v>
      </c>
      <c r="D3537" s="479">
        <v>1111</v>
      </c>
      <c r="E3537" s="368"/>
      <c r="F3537" s="368"/>
    </row>
    <row r="3538" spans="1:6" ht="38.25" x14ac:dyDescent="0.2">
      <c r="A3538" s="391">
        <v>90794</v>
      </c>
      <c r="B3538" s="478" t="s">
        <v>1584</v>
      </c>
      <c r="C3538" s="391" t="s">
        <v>26</v>
      </c>
      <c r="D3538" s="479">
        <v>831.47</v>
      </c>
      <c r="E3538" s="368"/>
      <c r="F3538" s="368"/>
    </row>
    <row r="3539" spans="1:6" ht="38.25" x14ac:dyDescent="0.2">
      <c r="A3539" s="391">
        <v>90795</v>
      </c>
      <c r="B3539" s="478" t="s">
        <v>1585</v>
      </c>
      <c r="C3539" s="391" t="s">
        <v>26</v>
      </c>
      <c r="D3539" s="479">
        <v>838.92</v>
      </c>
      <c r="E3539" s="368"/>
      <c r="F3539" s="368"/>
    </row>
    <row r="3540" spans="1:6" ht="38.25" x14ac:dyDescent="0.2">
      <c r="A3540" s="391">
        <v>90796</v>
      </c>
      <c r="B3540" s="478" t="s">
        <v>1586</v>
      </c>
      <c r="C3540" s="391" t="s">
        <v>26</v>
      </c>
      <c r="D3540" s="479">
        <v>846.37</v>
      </c>
      <c r="E3540" s="368"/>
      <c r="F3540" s="368"/>
    </row>
    <row r="3541" spans="1:6" ht="38.25" x14ac:dyDescent="0.2">
      <c r="A3541" s="391">
        <v>90797</v>
      </c>
      <c r="B3541" s="478" t="s">
        <v>1587</v>
      </c>
      <c r="C3541" s="391" t="s">
        <v>26</v>
      </c>
      <c r="D3541" s="479">
        <v>853.82</v>
      </c>
      <c r="E3541" s="368"/>
      <c r="F3541" s="368"/>
    </row>
    <row r="3542" spans="1:6" ht="38.25" x14ac:dyDescent="0.2">
      <c r="A3542" s="391">
        <v>90791</v>
      </c>
      <c r="B3542" s="478" t="s">
        <v>1582</v>
      </c>
      <c r="C3542" s="391" t="s">
        <v>26</v>
      </c>
      <c r="D3542" s="479">
        <v>1178.99</v>
      </c>
      <c r="E3542" s="368"/>
      <c r="F3542" s="368"/>
    </row>
    <row r="3543" spans="1:6" ht="38.25" x14ac:dyDescent="0.2">
      <c r="A3543" s="391">
        <v>90793</v>
      </c>
      <c r="B3543" s="478" t="s">
        <v>1583</v>
      </c>
      <c r="C3543" s="391" t="s">
        <v>26</v>
      </c>
      <c r="D3543" s="479">
        <v>1245.78</v>
      </c>
      <c r="E3543" s="368"/>
      <c r="F3543" s="368"/>
    </row>
    <row r="3544" spans="1:6" ht="38.25" x14ac:dyDescent="0.2">
      <c r="A3544" s="391">
        <v>90798</v>
      </c>
      <c r="B3544" s="478" t="s">
        <v>1588</v>
      </c>
      <c r="C3544" s="391" t="s">
        <v>26</v>
      </c>
      <c r="D3544" s="479">
        <v>1244.04</v>
      </c>
      <c r="E3544" s="368"/>
      <c r="F3544" s="368"/>
    </row>
    <row r="3545" spans="1:6" ht="38.25" x14ac:dyDescent="0.2">
      <c r="A3545" s="391">
        <v>90799</v>
      </c>
      <c r="B3545" s="478" t="s">
        <v>1589</v>
      </c>
      <c r="C3545" s="391" t="s">
        <v>26</v>
      </c>
      <c r="D3545" s="479">
        <v>1283.2</v>
      </c>
      <c r="E3545" s="368"/>
      <c r="F3545" s="368"/>
    </row>
    <row r="3546" spans="1:6" ht="25.5" x14ac:dyDescent="0.2">
      <c r="A3546" s="391">
        <v>100704</v>
      </c>
      <c r="B3546" s="478" t="s">
        <v>1702</v>
      </c>
      <c r="C3546" s="391" t="s">
        <v>26</v>
      </c>
      <c r="D3546" s="479">
        <v>71.12</v>
      </c>
      <c r="E3546" s="368"/>
      <c r="F3546" s="368"/>
    </row>
    <row r="3547" spans="1:6" x14ac:dyDescent="0.2">
      <c r="A3547" s="391">
        <v>90838</v>
      </c>
      <c r="B3547" s="478" t="s">
        <v>1692</v>
      </c>
      <c r="C3547" s="391" t="s">
        <v>26</v>
      </c>
      <c r="D3547" s="479">
        <v>1827.34</v>
      </c>
      <c r="E3547" s="368"/>
      <c r="F3547" s="368"/>
    </row>
    <row r="3548" spans="1:6" ht="25.5" x14ac:dyDescent="0.2">
      <c r="A3548" s="391">
        <v>91338</v>
      </c>
      <c r="B3548" s="478" t="s">
        <v>1693</v>
      </c>
      <c r="C3548" s="391" t="s">
        <v>255</v>
      </c>
      <c r="D3548" s="479">
        <v>824.8</v>
      </c>
      <c r="E3548" s="368"/>
      <c r="F3548" s="368"/>
    </row>
    <row r="3549" spans="1:6" ht="38.25" x14ac:dyDescent="0.2">
      <c r="A3549" s="391">
        <v>94805</v>
      </c>
      <c r="B3549" s="478" t="s">
        <v>1695</v>
      </c>
      <c r="C3549" s="391" t="s">
        <v>26</v>
      </c>
      <c r="D3549" s="479">
        <v>767.15</v>
      </c>
      <c r="E3549" s="368"/>
      <c r="F3549" s="368"/>
    </row>
    <row r="3550" spans="1:6" ht="25.5" x14ac:dyDescent="0.2">
      <c r="A3550" s="391">
        <v>100702</v>
      </c>
      <c r="B3550" s="478" t="s">
        <v>1698</v>
      </c>
      <c r="C3550" s="391" t="s">
        <v>255</v>
      </c>
      <c r="D3550" s="479">
        <v>438.74</v>
      </c>
      <c r="E3550" s="368"/>
      <c r="F3550" s="368"/>
    </row>
    <row r="3551" spans="1:6" ht="25.5" x14ac:dyDescent="0.2">
      <c r="A3551" s="391">
        <v>100701</v>
      </c>
      <c r="B3551" s="478" t="s">
        <v>1685</v>
      </c>
      <c r="C3551" s="391" t="s">
        <v>255</v>
      </c>
      <c r="D3551" s="479">
        <v>731.86</v>
      </c>
      <c r="E3551" s="368"/>
      <c r="F3551" s="368"/>
    </row>
    <row r="3552" spans="1:6" ht="25.5" x14ac:dyDescent="0.2">
      <c r="A3552" s="391">
        <v>100700</v>
      </c>
      <c r="B3552" s="478" t="s">
        <v>1683</v>
      </c>
      <c r="C3552" s="391" t="s">
        <v>26</v>
      </c>
      <c r="D3552" s="479">
        <v>938.46</v>
      </c>
      <c r="E3552" s="368"/>
      <c r="F3552" s="368"/>
    </row>
    <row r="3553" spans="1:6" ht="38.25" x14ac:dyDescent="0.2">
      <c r="A3553" s="391">
        <v>91295</v>
      </c>
      <c r="B3553" s="478" t="s">
        <v>1622</v>
      </c>
      <c r="C3553" s="391" t="s">
        <v>26</v>
      </c>
      <c r="D3553" s="479">
        <v>408.2</v>
      </c>
      <c r="E3553" s="368"/>
      <c r="F3553" s="368"/>
    </row>
    <row r="3554" spans="1:6" ht="38.25" x14ac:dyDescent="0.2">
      <c r="A3554" s="391">
        <v>91296</v>
      </c>
      <c r="B3554" s="478" t="s">
        <v>1623</v>
      </c>
      <c r="C3554" s="391" t="s">
        <v>26</v>
      </c>
      <c r="D3554" s="479">
        <v>436.49</v>
      </c>
      <c r="E3554" s="368"/>
      <c r="F3554" s="368"/>
    </row>
    <row r="3555" spans="1:6" ht="38.25" x14ac:dyDescent="0.2">
      <c r="A3555" s="391">
        <v>91297</v>
      </c>
      <c r="B3555" s="478" t="s">
        <v>1624</v>
      </c>
      <c r="C3555" s="391" t="s">
        <v>26</v>
      </c>
      <c r="D3555" s="479">
        <v>479.27</v>
      </c>
      <c r="E3555" s="368"/>
      <c r="F3555" s="368"/>
    </row>
    <row r="3556" spans="1:6" ht="38.25" x14ac:dyDescent="0.2">
      <c r="A3556" s="391">
        <v>90820</v>
      </c>
      <c r="B3556" s="478" t="s">
        <v>1592</v>
      </c>
      <c r="C3556" s="391" t="s">
        <v>26</v>
      </c>
      <c r="D3556" s="479">
        <v>383.39</v>
      </c>
      <c r="E3556" s="368"/>
      <c r="F3556" s="368"/>
    </row>
    <row r="3557" spans="1:6" ht="38.25" x14ac:dyDescent="0.2">
      <c r="A3557" s="391">
        <v>90821</v>
      </c>
      <c r="B3557" s="478" t="s">
        <v>1593</v>
      </c>
      <c r="C3557" s="391" t="s">
        <v>26</v>
      </c>
      <c r="D3557" s="479">
        <v>390.39</v>
      </c>
      <c r="E3557" s="368"/>
      <c r="F3557" s="368"/>
    </row>
    <row r="3558" spans="1:6" ht="38.25" x14ac:dyDescent="0.2">
      <c r="A3558" s="391">
        <v>90822</v>
      </c>
      <c r="B3558" s="478" t="s">
        <v>1594</v>
      </c>
      <c r="C3558" s="391" t="s">
        <v>26</v>
      </c>
      <c r="D3558" s="479">
        <v>417.6</v>
      </c>
      <c r="E3558" s="368"/>
      <c r="F3558" s="368"/>
    </row>
    <row r="3559" spans="1:6" ht="38.25" x14ac:dyDescent="0.2">
      <c r="A3559" s="391">
        <v>90823</v>
      </c>
      <c r="B3559" s="478" t="s">
        <v>1595</v>
      </c>
      <c r="C3559" s="391" t="s">
        <v>26</v>
      </c>
      <c r="D3559" s="479">
        <v>511.24</v>
      </c>
      <c r="E3559" s="368"/>
      <c r="F3559" s="368"/>
    </row>
    <row r="3560" spans="1:6" ht="38.25" x14ac:dyDescent="0.2">
      <c r="A3560" s="391">
        <v>90824</v>
      </c>
      <c r="B3560" s="478" t="s">
        <v>1596</v>
      </c>
      <c r="C3560" s="391" t="s">
        <v>26</v>
      </c>
      <c r="D3560" s="479">
        <v>726.4</v>
      </c>
      <c r="E3560" s="368"/>
      <c r="F3560" s="368"/>
    </row>
    <row r="3561" spans="1:6" ht="38.25" x14ac:dyDescent="0.2">
      <c r="A3561" s="391">
        <v>91009</v>
      </c>
      <c r="B3561" s="478" t="s">
        <v>1612</v>
      </c>
      <c r="C3561" s="391" t="s">
        <v>26</v>
      </c>
      <c r="D3561" s="479">
        <v>396.69</v>
      </c>
      <c r="E3561" s="368"/>
      <c r="F3561" s="368"/>
    </row>
    <row r="3562" spans="1:6" ht="38.25" x14ac:dyDescent="0.2">
      <c r="A3562" s="391">
        <v>91010</v>
      </c>
      <c r="B3562" s="478" t="s">
        <v>1613</v>
      </c>
      <c r="C3562" s="391" t="s">
        <v>26</v>
      </c>
      <c r="D3562" s="479">
        <v>404.32</v>
      </c>
      <c r="E3562" s="368"/>
      <c r="F3562" s="368"/>
    </row>
    <row r="3563" spans="1:6" ht="38.25" x14ac:dyDescent="0.2">
      <c r="A3563" s="391">
        <v>91011</v>
      </c>
      <c r="B3563" s="478" t="s">
        <v>1614</v>
      </c>
      <c r="C3563" s="391" t="s">
        <v>26</v>
      </c>
      <c r="D3563" s="479">
        <v>471.6</v>
      </c>
      <c r="E3563" s="368"/>
      <c r="F3563" s="368"/>
    </row>
    <row r="3564" spans="1:6" ht="38.25" x14ac:dyDescent="0.2">
      <c r="A3564" s="391">
        <v>91012</v>
      </c>
      <c r="B3564" s="478" t="s">
        <v>1615</v>
      </c>
      <c r="C3564" s="391" t="s">
        <v>26</v>
      </c>
      <c r="D3564" s="479">
        <v>523.02</v>
      </c>
      <c r="E3564" s="368"/>
      <c r="F3564" s="368"/>
    </row>
    <row r="3565" spans="1:6" ht="25.5" x14ac:dyDescent="0.2">
      <c r="A3565" s="391">
        <v>91298</v>
      </c>
      <c r="B3565" s="478" t="s">
        <v>1625</v>
      </c>
      <c r="C3565" s="391" t="s">
        <v>26</v>
      </c>
      <c r="D3565" s="479">
        <v>1108.19</v>
      </c>
      <c r="E3565" s="368"/>
      <c r="F3565" s="368"/>
    </row>
    <row r="3566" spans="1:6" ht="38.25" x14ac:dyDescent="0.2">
      <c r="A3566" s="391">
        <v>90825</v>
      </c>
      <c r="B3566" s="478" t="s">
        <v>1597</v>
      </c>
      <c r="C3566" s="391" t="s">
        <v>26</v>
      </c>
      <c r="D3566" s="479">
        <v>807.73</v>
      </c>
      <c r="E3566" s="368"/>
      <c r="F3566" s="368"/>
    </row>
    <row r="3567" spans="1:6" ht="38.25" x14ac:dyDescent="0.2">
      <c r="A3567" s="391">
        <v>91299</v>
      </c>
      <c r="B3567" s="478" t="s">
        <v>1626</v>
      </c>
      <c r="C3567" s="391" t="s">
        <v>26</v>
      </c>
      <c r="D3567" s="479">
        <v>1549.54</v>
      </c>
      <c r="E3567" s="368"/>
      <c r="F3567" s="368"/>
    </row>
    <row r="3568" spans="1:6" ht="25.5" x14ac:dyDescent="0.2">
      <c r="A3568" s="391">
        <v>91341</v>
      </c>
      <c r="B3568" s="478" t="s">
        <v>1694</v>
      </c>
      <c r="C3568" s="391" t="s">
        <v>255</v>
      </c>
      <c r="D3568" s="479">
        <v>658.68</v>
      </c>
      <c r="E3568" s="368"/>
      <c r="F3568" s="368"/>
    </row>
    <row r="3569" spans="1:6" ht="38.25" x14ac:dyDescent="0.2">
      <c r="A3569" s="391">
        <v>94806</v>
      </c>
      <c r="B3569" s="478" t="s">
        <v>1696</v>
      </c>
      <c r="C3569" s="391" t="s">
        <v>26</v>
      </c>
      <c r="D3569" s="479">
        <v>859.06</v>
      </c>
      <c r="E3569" s="368"/>
      <c r="F3569" s="368"/>
    </row>
    <row r="3570" spans="1:6" ht="25.5" x14ac:dyDescent="0.2">
      <c r="A3570" s="391">
        <v>94807</v>
      </c>
      <c r="B3570" s="478" t="s">
        <v>1697</v>
      </c>
      <c r="C3570" s="391" t="s">
        <v>26</v>
      </c>
      <c r="D3570" s="479">
        <v>782.57</v>
      </c>
      <c r="E3570" s="368"/>
      <c r="F3570" s="368"/>
    </row>
    <row r="3571" spans="1:6" x14ac:dyDescent="0.2">
      <c r="A3571" s="391">
        <v>100703</v>
      </c>
      <c r="B3571" s="478" t="s">
        <v>1701</v>
      </c>
      <c r="C3571" s="391" t="s">
        <v>26</v>
      </c>
      <c r="D3571" s="479">
        <v>33.46</v>
      </c>
      <c r="E3571" s="368"/>
      <c r="F3571" s="368"/>
    </row>
    <row r="3572" spans="1:6" ht="25.5" x14ac:dyDescent="0.2">
      <c r="A3572" s="391">
        <v>100695</v>
      </c>
      <c r="B3572" s="478" t="s">
        <v>1678</v>
      </c>
      <c r="C3572" s="391" t="s">
        <v>26</v>
      </c>
      <c r="D3572" s="479">
        <v>59.49</v>
      </c>
      <c r="E3572" s="368"/>
      <c r="F3572" s="368"/>
    </row>
    <row r="3573" spans="1:6" ht="25.5" x14ac:dyDescent="0.2">
      <c r="A3573" s="391">
        <v>100696</v>
      </c>
      <c r="B3573" s="478" t="s">
        <v>1679</v>
      </c>
      <c r="C3573" s="391" t="s">
        <v>26</v>
      </c>
      <c r="D3573" s="479">
        <v>66.23</v>
      </c>
      <c r="E3573" s="368"/>
      <c r="F3573" s="368"/>
    </row>
    <row r="3574" spans="1:6" ht="25.5" x14ac:dyDescent="0.2">
      <c r="A3574" s="391">
        <v>100697</v>
      </c>
      <c r="B3574" s="478" t="s">
        <v>1680</v>
      </c>
      <c r="C3574" s="391" t="s">
        <v>26</v>
      </c>
      <c r="D3574" s="479">
        <v>73.02</v>
      </c>
      <c r="E3574" s="368"/>
      <c r="F3574" s="368"/>
    </row>
    <row r="3575" spans="1:6" ht="25.5" x14ac:dyDescent="0.2">
      <c r="A3575" s="391">
        <v>100698</v>
      </c>
      <c r="B3575" s="478" t="s">
        <v>1681</v>
      </c>
      <c r="C3575" s="391" t="s">
        <v>26</v>
      </c>
      <c r="D3575" s="479">
        <v>79.78</v>
      </c>
      <c r="E3575" s="368"/>
      <c r="F3575" s="368"/>
    </row>
    <row r="3576" spans="1:6" ht="38.25" x14ac:dyDescent="0.2">
      <c r="A3576" s="391">
        <v>100699</v>
      </c>
      <c r="B3576" s="478" t="s">
        <v>1682</v>
      </c>
      <c r="C3576" s="391" t="s">
        <v>26</v>
      </c>
      <c r="D3576" s="479">
        <v>94.95</v>
      </c>
      <c r="E3576" s="368"/>
      <c r="F3576" s="368"/>
    </row>
    <row r="3577" spans="1:6" x14ac:dyDescent="0.2">
      <c r="A3577" s="391">
        <v>100705</v>
      </c>
      <c r="B3577" s="478" t="s">
        <v>1703</v>
      </c>
      <c r="C3577" s="391" t="s">
        <v>26</v>
      </c>
      <c r="D3577" s="479">
        <v>81.55</v>
      </c>
      <c r="E3577" s="368"/>
      <c r="F3577" s="368"/>
    </row>
    <row r="3578" spans="1:6" ht="25.5" x14ac:dyDescent="0.2">
      <c r="A3578" s="391">
        <v>101173</v>
      </c>
      <c r="B3578" s="478" t="s">
        <v>1759</v>
      </c>
      <c r="C3578" s="391" t="s">
        <v>0</v>
      </c>
      <c r="D3578" s="479">
        <v>60.59</v>
      </c>
      <c r="E3578" s="368"/>
      <c r="F3578" s="368"/>
    </row>
    <row r="3579" spans="1:6" ht="25.5" x14ac:dyDescent="0.2">
      <c r="A3579" s="391">
        <v>101174</v>
      </c>
      <c r="B3579" s="478" t="s">
        <v>1760</v>
      </c>
      <c r="C3579" s="391" t="s">
        <v>0</v>
      </c>
      <c r="D3579" s="479">
        <v>85.22</v>
      </c>
      <c r="E3579" s="368"/>
      <c r="F3579" s="368"/>
    </row>
    <row r="3580" spans="1:6" ht="25.5" x14ac:dyDescent="0.2">
      <c r="A3580" s="391">
        <v>101175</v>
      </c>
      <c r="B3580" s="478" t="s">
        <v>1761</v>
      </c>
      <c r="C3580" s="391" t="s">
        <v>0</v>
      </c>
      <c r="D3580" s="479">
        <v>116.43</v>
      </c>
      <c r="E3580" s="368"/>
      <c r="F3580" s="368"/>
    </row>
    <row r="3581" spans="1:6" ht="25.5" x14ac:dyDescent="0.2">
      <c r="A3581" s="391">
        <v>101176</v>
      </c>
      <c r="B3581" s="478" t="s">
        <v>47205</v>
      </c>
      <c r="C3581" s="391" t="s">
        <v>0</v>
      </c>
      <c r="D3581" s="479">
        <v>143.53</v>
      </c>
      <c r="E3581" s="368"/>
      <c r="F3581" s="368"/>
    </row>
    <row r="3582" spans="1:6" ht="38.25" x14ac:dyDescent="0.2">
      <c r="A3582" s="391">
        <v>101183</v>
      </c>
      <c r="B3582" s="478" t="s">
        <v>47206</v>
      </c>
      <c r="C3582" s="391" t="s">
        <v>0</v>
      </c>
      <c r="D3582" s="479">
        <v>0</v>
      </c>
      <c r="E3582" s="368"/>
      <c r="F3582" s="368"/>
    </row>
    <row r="3583" spans="1:6" ht="38.25" x14ac:dyDescent="0.2">
      <c r="A3583" s="391">
        <v>101184</v>
      </c>
      <c r="B3583" s="478" t="s">
        <v>47207</v>
      </c>
      <c r="C3583" s="391" t="s">
        <v>0</v>
      </c>
      <c r="D3583" s="479">
        <v>0</v>
      </c>
      <c r="E3583" s="368"/>
      <c r="F3583" s="368"/>
    </row>
    <row r="3584" spans="1:6" ht="25.5" x14ac:dyDescent="0.2">
      <c r="A3584" s="391">
        <v>101182</v>
      </c>
      <c r="B3584" s="478" t="s">
        <v>47208</v>
      </c>
      <c r="C3584" s="391" t="s">
        <v>0</v>
      </c>
      <c r="D3584" s="479">
        <v>0</v>
      </c>
      <c r="E3584" s="368"/>
      <c r="F3584" s="368"/>
    </row>
    <row r="3585" spans="1:6" ht="25.5" x14ac:dyDescent="0.2">
      <c r="A3585" s="391">
        <v>101185</v>
      </c>
      <c r="B3585" s="478" t="s">
        <v>47209</v>
      </c>
      <c r="C3585" s="391" t="s">
        <v>0</v>
      </c>
      <c r="D3585" s="479">
        <v>0</v>
      </c>
      <c r="E3585" s="368"/>
      <c r="F3585" s="368"/>
    </row>
    <row r="3586" spans="1:6" ht="25.5" x14ac:dyDescent="0.2">
      <c r="A3586" s="391">
        <v>101186</v>
      </c>
      <c r="B3586" s="478" t="s">
        <v>47210</v>
      </c>
      <c r="C3586" s="391" t="s">
        <v>0</v>
      </c>
      <c r="D3586" s="479">
        <v>0</v>
      </c>
      <c r="E3586" s="368"/>
      <c r="F3586" s="368"/>
    </row>
    <row r="3587" spans="1:6" ht="25.5" x14ac:dyDescent="0.2">
      <c r="A3587" s="391">
        <v>101187</v>
      </c>
      <c r="B3587" s="478" t="s">
        <v>47211</v>
      </c>
      <c r="C3587" s="391" t="s">
        <v>0</v>
      </c>
      <c r="D3587" s="479">
        <v>0</v>
      </c>
      <c r="E3587" s="368"/>
      <c r="F3587" s="368"/>
    </row>
    <row r="3588" spans="1:6" ht="25.5" x14ac:dyDescent="0.2">
      <c r="A3588" s="391">
        <v>101177</v>
      </c>
      <c r="B3588" s="478" t="s">
        <v>41226</v>
      </c>
      <c r="C3588" s="391" t="s">
        <v>0</v>
      </c>
      <c r="D3588" s="479">
        <v>0</v>
      </c>
      <c r="E3588" s="368"/>
      <c r="F3588" s="368"/>
    </row>
    <row r="3589" spans="1:6" ht="25.5" x14ac:dyDescent="0.2">
      <c r="A3589" s="391">
        <v>101178</v>
      </c>
      <c r="B3589" s="478" t="s">
        <v>41227</v>
      </c>
      <c r="C3589" s="391" t="s">
        <v>0</v>
      </c>
      <c r="D3589" s="479">
        <v>0</v>
      </c>
      <c r="E3589" s="368"/>
      <c r="F3589" s="368"/>
    </row>
    <row r="3590" spans="1:6" ht="25.5" x14ac:dyDescent="0.2">
      <c r="A3590" s="391">
        <v>101180</v>
      </c>
      <c r="B3590" s="478" t="s">
        <v>47212</v>
      </c>
      <c r="C3590" s="391" t="s">
        <v>0</v>
      </c>
      <c r="D3590" s="479">
        <v>0</v>
      </c>
      <c r="E3590" s="368"/>
      <c r="F3590" s="368"/>
    </row>
    <row r="3591" spans="1:6" ht="25.5" x14ac:dyDescent="0.2">
      <c r="A3591" s="391">
        <v>101179</v>
      </c>
      <c r="B3591" s="478" t="s">
        <v>41228</v>
      </c>
      <c r="C3591" s="391" t="s">
        <v>0</v>
      </c>
      <c r="D3591" s="479">
        <v>0</v>
      </c>
      <c r="E3591" s="368"/>
      <c r="F3591" s="368"/>
    </row>
    <row r="3592" spans="1:6" ht="25.5" x14ac:dyDescent="0.2">
      <c r="A3592" s="391">
        <v>101181</v>
      </c>
      <c r="B3592" s="478" t="s">
        <v>47213</v>
      </c>
      <c r="C3592" s="391" t="s">
        <v>0</v>
      </c>
      <c r="D3592" s="479">
        <v>0</v>
      </c>
      <c r="E3592" s="368"/>
      <c r="F3592" s="368"/>
    </row>
    <row r="3593" spans="1:6" ht="38.25" x14ac:dyDescent="0.2">
      <c r="A3593" s="391">
        <v>100899</v>
      </c>
      <c r="B3593" s="478" t="s">
        <v>47214</v>
      </c>
      <c r="C3593" s="391" t="s">
        <v>0</v>
      </c>
      <c r="D3593" s="479">
        <v>85.4</v>
      </c>
      <c r="E3593" s="368"/>
      <c r="F3593" s="368"/>
    </row>
    <row r="3594" spans="1:6" ht="38.25" x14ac:dyDescent="0.2">
      <c r="A3594" s="391">
        <v>100896</v>
      </c>
      <c r="B3594" s="478" t="s">
        <v>47215</v>
      </c>
      <c r="C3594" s="391" t="s">
        <v>0</v>
      </c>
      <c r="D3594" s="479">
        <v>60.68</v>
      </c>
      <c r="E3594" s="368"/>
      <c r="F3594" s="368"/>
    </row>
    <row r="3595" spans="1:6" ht="38.25" x14ac:dyDescent="0.2">
      <c r="A3595" s="391">
        <v>100897</v>
      </c>
      <c r="B3595" s="478" t="s">
        <v>47216</v>
      </c>
      <c r="C3595" s="391" t="s">
        <v>0</v>
      </c>
      <c r="D3595" s="479">
        <v>117.85</v>
      </c>
      <c r="E3595" s="368"/>
      <c r="F3595" s="368"/>
    </row>
    <row r="3596" spans="1:6" ht="38.25" x14ac:dyDescent="0.2">
      <c r="A3596" s="391">
        <v>100900</v>
      </c>
      <c r="B3596" s="478" t="s">
        <v>47217</v>
      </c>
      <c r="C3596" s="391" t="s">
        <v>0</v>
      </c>
      <c r="D3596" s="479">
        <v>260.41000000000003</v>
      </c>
      <c r="E3596" s="368"/>
      <c r="F3596" s="368"/>
    </row>
    <row r="3597" spans="1:6" ht="38.25" x14ac:dyDescent="0.2">
      <c r="A3597" s="391">
        <v>100898</v>
      </c>
      <c r="B3597" s="478" t="s">
        <v>47218</v>
      </c>
      <c r="C3597" s="391" t="s">
        <v>0</v>
      </c>
      <c r="D3597" s="479">
        <v>226.57</v>
      </c>
      <c r="E3597" s="368"/>
      <c r="F3597" s="368"/>
    </row>
    <row r="3598" spans="1:6" ht="25.5" x14ac:dyDescent="0.2">
      <c r="A3598" s="391">
        <v>100892</v>
      </c>
      <c r="B3598" s="478" t="s">
        <v>1756</v>
      </c>
      <c r="C3598" s="391" t="s">
        <v>1284</v>
      </c>
      <c r="D3598" s="479">
        <v>12.44</v>
      </c>
      <c r="E3598" s="368"/>
      <c r="F3598" s="368"/>
    </row>
    <row r="3599" spans="1:6" ht="25.5" x14ac:dyDescent="0.2">
      <c r="A3599" s="391">
        <v>100893</v>
      </c>
      <c r="B3599" s="478" t="s">
        <v>1757</v>
      </c>
      <c r="C3599" s="391" t="s">
        <v>1284</v>
      </c>
      <c r="D3599" s="479">
        <v>12.27</v>
      </c>
      <c r="E3599" s="368"/>
      <c r="F3599" s="368"/>
    </row>
    <row r="3600" spans="1:6" ht="25.5" x14ac:dyDescent="0.2">
      <c r="A3600" s="391">
        <v>100894</v>
      </c>
      <c r="B3600" s="478" t="s">
        <v>1758</v>
      </c>
      <c r="C3600" s="391" t="s">
        <v>1284</v>
      </c>
      <c r="D3600" s="479">
        <v>12.15</v>
      </c>
      <c r="E3600" s="368"/>
      <c r="F3600" s="368"/>
    </row>
    <row r="3601" spans="1:6" ht="25.5" x14ac:dyDescent="0.2">
      <c r="A3601" s="391">
        <v>100889</v>
      </c>
      <c r="B3601" s="478" t="s">
        <v>1754</v>
      </c>
      <c r="C3601" s="391" t="s">
        <v>1284</v>
      </c>
      <c r="D3601" s="479">
        <v>11.99</v>
      </c>
      <c r="E3601" s="368"/>
      <c r="F3601" s="368"/>
    </row>
    <row r="3602" spans="1:6" ht="25.5" x14ac:dyDescent="0.2">
      <c r="A3602" s="391">
        <v>100891</v>
      </c>
      <c r="B3602" s="478" t="s">
        <v>41229</v>
      </c>
      <c r="C3602" s="391" t="s">
        <v>1284</v>
      </c>
      <c r="D3602" s="479">
        <v>0</v>
      </c>
      <c r="E3602" s="368"/>
      <c r="F3602" s="368"/>
    </row>
    <row r="3603" spans="1:6" ht="25.5" x14ac:dyDescent="0.2">
      <c r="A3603" s="391">
        <v>100890</v>
      </c>
      <c r="B3603" s="478" t="s">
        <v>1755</v>
      </c>
      <c r="C3603" s="391" t="s">
        <v>1284</v>
      </c>
      <c r="D3603" s="479">
        <v>11.81</v>
      </c>
      <c r="E3603" s="368"/>
      <c r="F3603" s="368"/>
    </row>
    <row r="3604" spans="1:6" ht="38.25" x14ac:dyDescent="0.2">
      <c r="A3604" s="391">
        <v>100658</v>
      </c>
      <c r="B3604" s="478" t="s">
        <v>1753</v>
      </c>
      <c r="C3604" s="391" t="s">
        <v>0</v>
      </c>
      <c r="D3604" s="479">
        <v>364.77</v>
      </c>
      <c r="E3604" s="368"/>
      <c r="F3604" s="368"/>
    </row>
    <row r="3605" spans="1:6" ht="38.25" x14ac:dyDescent="0.2">
      <c r="A3605" s="391">
        <v>100657</v>
      </c>
      <c r="B3605" s="478" t="s">
        <v>1752</v>
      </c>
      <c r="C3605" s="391" t="s">
        <v>0</v>
      </c>
      <c r="D3605" s="479">
        <v>157.25</v>
      </c>
      <c r="E3605" s="368"/>
      <c r="F3605" s="368"/>
    </row>
    <row r="3606" spans="1:6" ht="38.25" x14ac:dyDescent="0.2">
      <c r="A3606" s="391">
        <v>100656</v>
      </c>
      <c r="B3606" s="478" t="s">
        <v>1751</v>
      </c>
      <c r="C3606" s="391" t="s">
        <v>0</v>
      </c>
      <c r="D3606" s="479">
        <v>121.36</v>
      </c>
      <c r="E3606" s="368"/>
      <c r="F3606" s="368"/>
    </row>
    <row r="3607" spans="1:6" ht="25.5" x14ac:dyDescent="0.2">
      <c r="A3607" s="391">
        <v>102649</v>
      </c>
      <c r="B3607" s="478" t="s">
        <v>47219</v>
      </c>
      <c r="C3607" s="391" t="s">
        <v>0</v>
      </c>
      <c r="D3607" s="479">
        <v>0</v>
      </c>
      <c r="E3607" s="368"/>
      <c r="F3607" s="368"/>
    </row>
    <row r="3608" spans="1:6" ht="25.5" x14ac:dyDescent="0.2">
      <c r="A3608" s="391">
        <v>102645</v>
      </c>
      <c r="B3608" s="478" t="s">
        <v>47220</v>
      </c>
      <c r="C3608" s="391" t="s">
        <v>0</v>
      </c>
      <c r="D3608" s="479">
        <v>0</v>
      </c>
      <c r="E3608" s="368"/>
      <c r="F3608" s="368"/>
    </row>
    <row r="3609" spans="1:6" ht="25.5" x14ac:dyDescent="0.2">
      <c r="A3609" s="391">
        <v>102650</v>
      </c>
      <c r="B3609" s="478" t="s">
        <v>47221</v>
      </c>
      <c r="C3609" s="391" t="s">
        <v>0</v>
      </c>
      <c r="D3609" s="479">
        <v>0</v>
      </c>
      <c r="E3609" s="368"/>
      <c r="F3609" s="368"/>
    </row>
    <row r="3610" spans="1:6" ht="25.5" x14ac:dyDescent="0.2">
      <c r="A3610" s="391">
        <v>102646</v>
      </c>
      <c r="B3610" s="478" t="s">
        <v>47222</v>
      </c>
      <c r="C3610" s="391" t="s">
        <v>0</v>
      </c>
      <c r="D3610" s="479">
        <v>0</v>
      </c>
      <c r="E3610" s="368"/>
      <c r="F3610" s="368"/>
    </row>
    <row r="3611" spans="1:6" ht="25.5" x14ac:dyDescent="0.2">
      <c r="A3611" s="391">
        <v>102651</v>
      </c>
      <c r="B3611" s="478" t="s">
        <v>47223</v>
      </c>
      <c r="C3611" s="391" t="s">
        <v>0</v>
      </c>
      <c r="D3611" s="479">
        <v>0</v>
      </c>
      <c r="E3611" s="368"/>
      <c r="F3611" s="368"/>
    </row>
    <row r="3612" spans="1:6" ht="25.5" x14ac:dyDescent="0.2">
      <c r="A3612" s="391">
        <v>102647</v>
      </c>
      <c r="B3612" s="478" t="s">
        <v>47224</v>
      </c>
      <c r="C3612" s="391" t="s">
        <v>0</v>
      </c>
      <c r="D3612" s="479">
        <v>0</v>
      </c>
      <c r="E3612" s="368"/>
      <c r="F3612" s="368"/>
    </row>
    <row r="3613" spans="1:6" ht="25.5" x14ac:dyDescent="0.2">
      <c r="A3613" s="391">
        <v>102652</v>
      </c>
      <c r="B3613" s="478" t="s">
        <v>47225</v>
      </c>
      <c r="C3613" s="391" t="s">
        <v>0</v>
      </c>
      <c r="D3613" s="479">
        <v>0</v>
      </c>
      <c r="E3613" s="368"/>
      <c r="F3613" s="368"/>
    </row>
    <row r="3614" spans="1:6" ht="25.5" x14ac:dyDescent="0.2">
      <c r="A3614" s="391">
        <v>102648</v>
      </c>
      <c r="B3614" s="478" t="s">
        <v>47226</v>
      </c>
      <c r="C3614" s="391" t="s">
        <v>0</v>
      </c>
      <c r="D3614" s="479">
        <v>0</v>
      </c>
      <c r="E3614" s="368"/>
      <c r="F3614" s="368"/>
    </row>
    <row r="3615" spans="1:6" ht="38.25" x14ac:dyDescent="0.2">
      <c r="A3615" s="391">
        <v>100651</v>
      </c>
      <c r="B3615" s="478" t="s">
        <v>47227</v>
      </c>
      <c r="C3615" s="391" t="s">
        <v>0</v>
      </c>
      <c r="D3615" s="479">
        <v>138.97999999999999</v>
      </c>
      <c r="E3615" s="368"/>
      <c r="F3615" s="368"/>
    </row>
    <row r="3616" spans="1:6" ht="38.25" x14ac:dyDescent="0.2">
      <c r="A3616" s="391">
        <v>100652</v>
      </c>
      <c r="B3616" s="478" t="s">
        <v>47663</v>
      </c>
      <c r="C3616" s="391" t="s">
        <v>0</v>
      </c>
      <c r="D3616" s="479">
        <v>262.62</v>
      </c>
      <c r="E3616" s="368"/>
      <c r="F3616" s="368"/>
    </row>
    <row r="3617" spans="1:6" ht="38.25" x14ac:dyDescent="0.2">
      <c r="A3617" s="391">
        <v>100653</v>
      </c>
      <c r="B3617" s="478" t="s">
        <v>47228</v>
      </c>
      <c r="C3617" s="391" t="s">
        <v>0</v>
      </c>
      <c r="D3617" s="479">
        <v>433.92</v>
      </c>
      <c r="E3617" s="368"/>
      <c r="F3617" s="368"/>
    </row>
    <row r="3618" spans="1:6" ht="38.25" x14ac:dyDescent="0.2">
      <c r="A3618" s="391">
        <v>100654</v>
      </c>
      <c r="B3618" s="478" t="s">
        <v>47229</v>
      </c>
      <c r="C3618" s="391" t="s">
        <v>0</v>
      </c>
      <c r="D3618" s="479">
        <v>579.53</v>
      </c>
      <c r="E3618" s="368"/>
      <c r="F3618" s="368"/>
    </row>
    <row r="3619" spans="1:6" ht="38.25" x14ac:dyDescent="0.2">
      <c r="A3619" s="391">
        <v>100655</v>
      </c>
      <c r="B3619" s="478" t="s">
        <v>47230</v>
      </c>
      <c r="C3619" s="391" t="s">
        <v>0</v>
      </c>
      <c r="D3619" s="479">
        <v>672.98</v>
      </c>
      <c r="E3619" s="368"/>
      <c r="F3619" s="368"/>
    </row>
    <row r="3620" spans="1:6" ht="38.25" x14ac:dyDescent="0.2">
      <c r="A3620" s="391">
        <v>100364</v>
      </c>
      <c r="B3620" s="478" t="s">
        <v>1270</v>
      </c>
      <c r="C3620" s="391" t="s">
        <v>26</v>
      </c>
      <c r="D3620" s="479">
        <v>3220.23</v>
      </c>
      <c r="E3620" s="368"/>
      <c r="F3620" s="368"/>
    </row>
    <row r="3621" spans="1:6" ht="38.25" x14ac:dyDescent="0.2">
      <c r="A3621" s="391">
        <v>100374</v>
      </c>
      <c r="B3621" s="478" t="s">
        <v>1280</v>
      </c>
      <c r="C3621" s="391" t="s">
        <v>26</v>
      </c>
      <c r="D3621" s="479">
        <v>2994.2</v>
      </c>
      <c r="E3621" s="368"/>
      <c r="F3621" s="368"/>
    </row>
    <row r="3622" spans="1:6" ht="38.25" x14ac:dyDescent="0.2">
      <c r="A3622" s="391">
        <v>100365</v>
      </c>
      <c r="B3622" s="478" t="s">
        <v>1271</v>
      </c>
      <c r="C3622" s="391" t="s">
        <v>26</v>
      </c>
      <c r="D3622" s="479">
        <v>3697.95</v>
      </c>
      <c r="E3622" s="368"/>
      <c r="F3622" s="368"/>
    </row>
    <row r="3623" spans="1:6" ht="38.25" x14ac:dyDescent="0.2">
      <c r="A3623" s="391">
        <v>100375</v>
      </c>
      <c r="B3623" s="478" t="s">
        <v>1281</v>
      </c>
      <c r="C3623" s="391" t="s">
        <v>26</v>
      </c>
      <c r="D3623" s="479">
        <v>3360.04</v>
      </c>
      <c r="E3623" s="368"/>
      <c r="F3623" s="368"/>
    </row>
    <row r="3624" spans="1:6" ht="38.25" x14ac:dyDescent="0.2">
      <c r="A3624" s="391">
        <v>100366</v>
      </c>
      <c r="B3624" s="478" t="s">
        <v>1272</v>
      </c>
      <c r="C3624" s="391" t="s">
        <v>26</v>
      </c>
      <c r="D3624" s="479">
        <v>3957.43</v>
      </c>
      <c r="E3624" s="368"/>
      <c r="F3624" s="368"/>
    </row>
    <row r="3625" spans="1:6" ht="38.25" x14ac:dyDescent="0.2">
      <c r="A3625" s="391">
        <v>100376</v>
      </c>
      <c r="B3625" s="478" t="s">
        <v>1282</v>
      </c>
      <c r="C3625" s="391" t="s">
        <v>26</v>
      </c>
      <c r="D3625" s="479">
        <v>3284.16</v>
      </c>
      <c r="E3625" s="368"/>
      <c r="F3625" s="368"/>
    </row>
    <row r="3626" spans="1:6" ht="38.25" x14ac:dyDescent="0.2">
      <c r="A3626" s="391">
        <v>100357</v>
      </c>
      <c r="B3626" s="478" t="s">
        <v>1263</v>
      </c>
      <c r="C3626" s="391" t="s">
        <v>26</v>
      </c>
      <c r="D3626" s="479">
        <v>1098.51</v>
      </c>
      <c r="E3626" s="368"/>
      <c r="F3626" s="368"/>
    </row>
    <row r="3627" spans="1:6" ht="38.25" x14ac:dyDescent="0.2">
      <c r="A3627" s="391">
        <v>100367</v>
      </c>
      <c r="B3627" s="478" t="s">
        <v>1273</v>
      </c>
      <c r="C3627" s="391" t="s">
        <v>26</v>
      </c>
      <c r="D3627" s="479">
        <v>1067.8399999999999</v>
      </c>
      <c r="E3627" s="368"/>
      <c r="F3627" s="368"/>
    </row>
    <row r="3628" spans="1:6" ht="38.25" x14ac:dyDescent="0.2">
      <c r="A3628" s="391">
        <v>100358</v>
      </c>
      <c r="B3628" s="478" t="s">
        <v>1264</v>
      </c>
      <c r="C3628" s="391" t="s">
        <v>26</v>
      </c>
      <c r="D3628" s="479">
        <v>1484.85</v>
      </c>
      <c r="E3628" s="368"/>
      <c r="F3628" s="368"/>
    </row>
    <row r="3629" spans="1:6" ht="38.25" x14ac:dyDescent="0.2">
      <c r="A3629" s="391">
        <v>100368</v>
      </c>
      <c r="B3629" s="478" t="s">
        <v>1274</v>
      </c>
      <c r="C3629" s="391" t="s">
        <v>26</v>
      </c>
      <c r="D3629" s="479">
        <v>1447.01</v>
      </c>
      <c r="E3629" s="368"/>
      <c r="F3629" s="368"/>
    </row>
    <row r="3630" spans="1:6" ht="38.25" x14ac:dyDescent="0.2">
      <c r="A3630" s="391">
        <v>100359</v>
      </c>
      <c r="B3630" s="478" t="s">
        <v>1265</v>
      </c>
      <c r="C3630" s="391" t="s">
        <v>26</v>
      </c>
      <c r="D3630" s="479">
        <v>1563.61</v>
      </c>
      <c r="E3630" s="368"/>
      <c r="F3630" s="368"/>
    </row>
    <row r="3631" spans="1:6" ht="38.25" x14ac:dyDescent="0.2">
      <c r="A3631" s="391">
        <v>100369</v>
      </c>
      <c r="B3631" s="478" t="s">
        <v>1275</v>
      </c>
      <c r="C3631" s="391" t="s">
        <v>26</v>
      </c>
      <c r="D3631" s="479">
        <v>1525.78</v>
      </c>
      <c r="E3631" s="368"/>
      <c r="F3631" s="368"/>
    </row>
    <row r="3632" spans="1:6" ht="38.25" x14ac:dyDescent="0.2">
      <c r="A3632" s="391">
        <v>100360</v>
      </c>
      <c r="B3632" s="478" t="s">
        <v>1266</v>
      </c>
      <c r="C3632" s="391" t="s">
        <v>26</v>
      </c>
      <c r="D3632" s="479">
        <v>1735.58</v>
      </c>
      <c r="E3632" s="368"/>
      <c r="F3632" s="368"/>
    </row>
    <row r="3633" spans="1:6" ht="38.25" x14ac:dyDescent="0.2">
      <c r="A3633" s="391">
        <v>100370</v>
      </c>
      <c r="B3633" s="478" t="s">
        <v>1276</v>
      </c>
      <c r="C3633" s="391" t="s">
        <v>26</v>
      </c>
      <c r="D3633" s="479">
        <v>1814.96</v>
      </c>
      <c r="E3633" s="368"/>
      <c r="F3633" s="368"/>
    </row>
    <row r="3634" spans="1:6" ht="38.25" x14ac:dyDescent="0.2">
      <c r="A3634" s="391">
        <v>100361</v>
      </c>
      <c r="B3634" s="478" t="s">
        <v>1267</v>
      </c>
      <c r="C3634" s="391" t="s">
        <v>26</v>
      </c>
      <c r="D3634" s="479">
        <v>2155.92</v>
      </c>
      <c r="E3634" s="368"/>
      <c r="F3634" s="368"/>
    </row>
    <row r="3635" spans="1:6" ht="38.25" x14ac:dyDescent="0.2">
      <c r="A3635" s="391">
        <v>100371</v>
      </c>
      <c r="B3635" s="478" t="s">
        <v>1277</v>
      </c>
      <c r="C3635" s="391" t="s">
        <v>26</v>
      </c>
      <c r="D3635" s="479">
        <v>2055.0300000000002</v>
      </c>
      <c r="E3635" s="368"/>
      <c r="F3635" s="368"/>
    </row>
    <row r="3636" spans="1:6" ht="38.25" x14ac:dyDescent="0.2">
      <c r="A3636" s="391">
        <v>100362</v>
      </c>
      <c r="B3636" s="478" t="s">
        <v>1268</v>
      </c>
      <c r="C3636" s="391" t="s">
        <v>26</v>
      </c>
      <c r="D3636" s="479">
        <v>2871.21</v>
      </c>
      <c r="E3636" s="368"/>
      <c r="F3636" s="368"/>
    </row>
    <row r="3637" spans="1:6" ht="38.25" x14ac:dyDescent="0.2">
      <c r="A3637" s="391">
        <v>100372</v>
      </c>
      <c r="B3637" s="478" t="s">
        <v>1278</v>
      </c>
      <c r="C3637" s="391" t="s">
        <v>26</v>
      </c>
      <c r="D3637" s="479">
        <v>2698.36</v>
      </c>
      <c r="E3637" s="368"/>
      <c r="F3637" s="368"/>
    </row>
    <row r="3638" spans="1:6" ht="38.25" x14ac:dyDescent="0.2">
      <c r="A3638" s="391">
        <v>100363</v>
      </c>
      <c r="B3638" s="478" t="s">
        <v>1269</v>
      </c>
      <c r="C3638" s="391" t="s">
        <v>26</v>
      </c>
      <c r="D3638" s="479">
        <v>2966.27</v>
      </c>
      <c r="E3638" s="368"/>
      <c r="F3638" s="368"/>
    </row>
    <row r="3639" spans="1:6" ht="38.25" x14ac:dyDescent="0.2">
      <c r="A3639" s="391">
        <v>100373</v>
      </c>
      <c r="B3639" s="478" t="s">
        <v>1279</v>
      </c>
      <c r="C3639" s="391" t="s">
        <v>26</v>
      </c>
      <c r="D3639" s="479">
        <v>2793.91</v>
      </c>
      <c r="E3639" s="368"/>
      <c r="F3639" s="368"/>
    </row>
    <row r="3640" spans="1:6" ht="51" x14ac:dyDescent="0.2">
      <c r="A3640" s="391">
        <v>100381</v>
      </c>
      <c r="B3640" s="478" t="s">
        <v>1194</v>
      </c>
      <c r="C3640" s="391" t="s">
        <v>255</v>
      </c>
      <c r="D3640" s="479">
        <v>57.59</v>
      </c>
      <c r="E3640" s="368"/>
      <c r="F3640" s="368"/>
    </row>
    <row r="3641" spans="1:6" ht="51" x14ac:dyDescent="0.2">
      <c r="A3641" s="391">
        <v>100380</v>
      </c>
      <c r="B3641" s="478" t="s">
        <v>1193</v>
      </c>
      <c r="C3641" s="391" t="s">
        <v>255</v>
      </c>
      <c r="D3641" s="479">
        <v>51.39</v>
      </c>
      <c r="E3641" s="368"/>
      <c r="F3641" s="368"/>
    </row>
    <row r="3642" spans="1:6" ht="51" x14ac:dyDescent="0.2">
      <c r="A3642" s="391">
        <v>100379</v>
      </c>
      <c r="B3642" s="478" t="s">
        <v>1192</v>
      </c>
      <c r="C3642" s="391" t="s">
        <v>255</v>
      </c>
      <c r="D3642" s="479">
        <v>38.770000000000003</v>
      </c>
      <c r="E3642" s="368"/>
      <c r="F3642" s="368"/>
    </row>
    <row r="3643" spans="1:6" ht="51" x14ac:dyDescent="0.2">
      <c r="A3643" s="391">
        <v>100384</v>
      </c>
      <c r="B3643" s="478" t="s">
        <v>1196</v>
      </c>
      <c r="C3643" s="391" t="s">
        <v>255</v>
      </c>
      <c r="D3643" s="479">
        <v>27.87</v>
      </c>
      <c r="E3643" s="368"/>
      <c r="F3643" s="368"/>
    </row>
    <row r="3644" spans="1:6" ht="51" x14ac:dyDescent="0.2">
      <c r="A3644" s="391">
        <v>100383</v>
      </c>
      <c r="B3644" s="478" t="s">
        <v>1195</v>
      </c>
      <c r="C3644" s="391" t="s">
        <v>255</v>
      </c>
      <c r="D3644" s="479">
        <v>26.56</v>
      </c>
      <c r="E3644" s="368"/>
      <c r="F3644" s="368"/>
    </row>
    <row r="3645" spans="1:6" ht="51" x14ac:dyDescent="0.2">
      <c r="A3645" s="391">
        <v>100382</v>
      </c>
      <c r="B3645" s="478" t="s">
        <v>1286</v>
      </c>
      <c r="C3645" s="391" t="s">
        <v>255</v>
      </c>
      <c r="D3645" s="479">
        <v>24.49</v>
      </c>
      <c r="E3645" s="368"/>
      <c r="F3645" s="368"/>
    </row>
    <row r="3646" spans="1:6" ht="51" x14ac:dyDescent="0.2">
      <c r="A3646" s="391">
        <v>100387</v>
      </c>
      <c r="B3646" s="478" t="s">
        <v>1199</v>
      </c>
      <c r="C3646" s="391" t="s">
        <v>255</v>
      </c>
      <c r="D3646" s="479">
        <v>55.2</v>
      </c>
      <c r="E3646" s="368"/>
      <c r="F3646" s="368"/>
    </row>
    <row r="3647" spans="1:6" ht="38.25" x14ac:dyDescent="0.2">
      <c r="A3647" s="391">
        <v>100386</v>
      </c>
      <c r="B3647" s="478" t="s">
        <v>1198</v>
      </c>
      <c r="C3647" s="391" t="s">
        <v>255</v>
      </c>
      <c r="D3647" s="479">
        <v>44.86</v>
      </c>
      <c r="E3647" s="368"/>
      <c r="F3647" s="368"/>
    </row>
    <row r="3648" spans="1:6" ht="51" x14ac:dyDescent="0.2">
      <c r="A3648" s="391">
        <v>100385</v>
      </c>
      <c r="B3648" s="478" t="s">
        <v>1197</v>
      </c>
      <c r="C3648" s="391" t="s">
        <v>255</v>
      </c>
      <c r="D3648" s="479">
        <v>34.83</v>
      </c>
      <c r="E3648" s="368"/>
      <c r="F3648" s="368"/>
    </row>
    <row r="3649" spans="1:6" ht="38.25" x14ac:dyDescent="0.2">
      <c r="A3649" s="391">
        <v>100377</v>
      </c>
      <c r="B3649" s="478" t="s">
        <v>1283</v>
      </c>
      <c r="C3649" s="391" t="s">
        <v>1284</v>
      </c>
      <c r="D3649" s="479">
        <v>11.6</v>
      </c>
      <c r="E3649" s="368"/>
      <c r="F3649" s="368"/>
    </row>
    <row r="3650" spans="1:6" ht="25.5" x14ac:dyDescent="0.2">
      <c r="A3650" s="391">
        <v>100378</v>
      </c>
      <c r="B3650" s="478" t="s">
        <v>1285</v>
      </c>
      <c r="C3650" s="391" t="s">
        <v>1284</v>
      </c>
      <c r="D3650" s="479">
        <v>10.66</v>
      </c>
      <c r="E3650" s="368"/>
      <c r="F3650" s="368"/>
    </row>
    <row r="3651" spans="1:6" ht="25.5" x14ac:dyDescent="0.2">
      <c r="A3651" s="391">
        <v>92596</v>
      </c>
      <c r="B3651" s="478" t="s">
        <v>38754</v>
      </c>
      <c r="C3651" s="391" t="s">
        <v>26</v>
      </c>
      <c r="D3651" s="479">
        <v>1874.93</v>
      </c>
      <c r="E3651" s="368"/>
      <c r="F3651" s="368"/>
    </row>
    <row r="3652" spans="1:6" ht="38.25" x14ac:dyDescent="0.2">
      <c r="A3652" s="391">
        <v>92616</v>
      </c>
      <c r="B3652" s="478" t="s">
        <v>38764</v>
      </c>
      <c r="C3652" s="391" t="s">
        <v>26</v>
      </c>
      <c r="D3652" s="479">
        <v>1786.87</v>
      </c>
      <c r="E3652" s="368"/>
      <c r="F3652" s="368"/>
    </row>
    <row r="3653" spans="1:6" ht="25.5" x14ac:dyDescent="0.2">
      <c r="A3653" s="391">
        <v>92598</v>
      </c>
      <c r="B3653" s="478" t="s">
        <v>38755</v>
      </c>
      <c r="C3653" s="391" t="s">
        <v>26</v>
      </c>
      <c r="D3653" s="479">
        <v>1990.98</v>
      </c>
      <c r="E3653" s="368"/>
      <c r="F3653" s="368"/>
    </row>
    <row r="3654" spans="1:6" ht="38.25" x14ac:dyDescent="0.2">
      <c r="A3654" s="391">
        <v>92618</v>
      </c>
      <c r="B3654" s="478" t="s">
        <v>38765</v>
      </c>
      <c r="C3654" s="391" t="s">
        <v>26</v>
      </c>
      <c r="D3654" s="479">
        <v>1902.92</v>
      </c>
      <c r="E3654" s="368"/>
      <c r="F3654" s="368"/>
    </row>
    <row r="3655" spans="1:6" ht="25.5" x14ac:dyDescent="0.2">
      <c r="A3655" s="391">
        <v>92600</v>
      </c>
      <c r="B3655" s="478" t="s">
        <v>38756</v>
      </c>
      <c r="C3655" s="391" t="s">
        <v>26</v>
      </c>
      <c r="D3655" s="479">
        <v>2136.39</v>
      </c>
      <c r="E3655" s="368"/>
      <c r="F3655" s="368"/>
    </row>
    <row r="3656" spans="1:6" ht="38.25" x14ac:dyDescent="0.2">
      <c r="A3656" s="392">
        <v>92620</v>
      </c>
      <c r="B3656" s="480" t="s">
        <v>38766</v>
      </c>
      <c r="C3656" s="392" t="s">
        <v>26</v>
      </c>
      <c r="D3656" s="481">
        <v>2018.97</v>
      </c>
      <c r="E3656" s="368"/>
      <c r="F3656" s="368"/>
    </row>
    <row r="3657" spans="1:6" ht="25.5" x14ac:dyDescent="0.2">
      <c r="A3657" s="391">
        <v>92582</v>
      </c>
      <c r="B3657" s="478" t="s">
        <v>38747</v>
      </c>
      <c r="C3657" s="391" t="s">
        <v>26</v>
      </c>
      <c r="D3657" s="479">
        <v>704.03</v>
      </c>
      <c r="E3657" s="368"/>
      <c r="F3657" s="368"/>
    </row>
    <row r="3658" spans="1:6" ht="38.25" x14ac:dyDescent="0.2">
      <c r="A3658" s="391">
        <v>92602</v>
      </c>
      <c r="B3658" s="478" t="s">
        <v>38757</v>
      </c>
      <c r="C3658" s="391" t="s">
        <v>26</v>
      </c>
      <c r="D3658" s="479">
        <v>704.03</v>
      </c>
      <c r="E3658" s="368"/>
      <c r="F3658" s="368"/>
    </row>
    <row r="3659" spans="1:6" ht="25.5" x14ac:dyDescent="0.2">
      <c r="A3659" s="391">
        <v>92584</v>
      </c>
      <c r="B3659" s="478" t="s">
        <v>38748</v>
      </c>
      <c r="C3659" s="391" t="s">
        <v>26</v>
      </c>
      <c r="D3659" s="479">
        <v>820.09</v>
      </c>
      <c r="E3659" s="368"/>
      <c r="F3659" s="368"/>
    </row>
    <row r="3660" spans="1:6" ht="38.25" x14ac:dyDescent="0.2">
      <c r="A3660" s="391">
        <v>92604</v>
      </c>
      <c r="B3660" s="478" t="s">
        <v>38758</v>
      </c>
      <c r="C3660" s="391" t="s">
        <v>26</v>
      </c>
      <c r="D3660" s="479">
        <v>790.73</v>
      </c>
      <c r="E3660" s="368"/>
      <c r="F3660" s="368"/>
    </row>
    <row r="3661" spans="1:6" ht="25.5" x14ac:dyDescent="0.2">
      <c r="A3661" s="391">
        <v>92586</v>
      </c>
      <c r="B3661" s="478" t="s">
        <v>38749</v>
      </c>
      <c r="C3661" s="391" t="s">
        <v>26</v>
      </c>
      <c r="D3661" s="479">
        <v>936.14</v>
      </c>
      <c r="E3661" s="368"/>
      <c r="F3661" s="368"/>
    </row>
    <row r="3662" spans="1:6" ht="38.25" x14ac:dyDescent="0.2">
      <c r="A3662" s="391">
        <v>92606</v>
      </c>
      <c r="B3662" s="478" t="s">
        <v>38759</v>
      </c>
      <c r="C3662" s="391" t="s">
        <v>26</v>
      </c>
      <c r="D3662" s="479">
        <v>906.79</v>
      </c>
      <c r="E3662" s="368"/>
      <c r="F3662" s="368"/>
    </row>
    <row r="3663" spans="1:6" ht="25.5" x14ac:dyDescent="0.2">
      <c r="A3663" s="391">
        <v>92588</v>
      </c>
      <c r="B3663" s="478" t="s">
        <v>38750</v>
      </c>
      <c r="C3663" s="391" t="s">
        <v>26</v>
      </c>
      <c r="D3663" s="479">
        <v>1180.6199999999999</v>
      </c>
      <c r="E3663" s="368"/>
      <c r="F3663" s="368"/>
    </row>
    <row r="3664" spans="1:6" ht="38.25" x14ac:dyDescent="0.2">
      <c r="A3664" s="391">
        <v>92608</v>
      </c>
      <c r="B3664" s="478" t="s">
        <v>38760</v>
      </c>
      <c r="C3664" s="391" t="s">
        <v>26</v>
      </c>
      <c r="D3664" s="479">
        <v>1121.9100000000001</v>
      </c>
      <c r="E3664" s="368"/>
      <c r="F3664" s="368"/>
    </row>
    <row r="3665" spans="1:6" ht="25.5" x14ac:dyDescent="0.2">
      <c r="A3665" s="391">
        <v>92590</v>
      </c>
      <c r="B3665" s="478" t="s">
        <v>38751</v>
      </c>
      <c r="C3665" s="391" t="s">
        <v>26</v>
      </c>
      <c r="D3665" s="479">
        <v>1296.67</v>
      </c>
      <c r="E3665" s="368"/>
      <c r="F3665" s="368"/>
    </row>
    <row r="3666" spans="1:6" ht="38.25" x14ac:dyDescent="0.2">
      <c r="A3666" s="391">
        <v>92610</v>
      </c>
      <c r="B3666" s="478" t="s">
        <v>38761</v>
      </c>
      <c r="C3666" s="391" t="s">
        <v>26</v>
      </c>
      <c r="D3666" s="479">
        <v>1237.97</v>
      </c>
      <c r="E3666" s="368"/>
      <c r="F3666" s="368"/>
    </row>
    <row r="3667" spans="1:6" ht="25.5" x14ac:dyDescent="0.2">
      <c r="A3667" s="391">
        <v>92592</v>
      </c>
      <c r="B3667" s="478" t="s">
        <v>38752</v>
      </c>
      <c r="C3667" s="391" t="s">
        <v>26</v>
      </c>
      <c r="D3667" s="479">
        <v>1454.86</v>
      </c>
      <c r="E3667" s="368"/>
      <c r="F3667" s="368"/>
    </row>
    <row r="3668" spans="1:6" ht="38.25" x14ac:dyDescent="0.2">
      <c r="A3668" s="391">
        <v>92612</v>
      </c>
      <c r="B3668" s="478" t="s">
        <v>38762</v>
      </c>
      <c r="C3668" s="391" t="s">
        <v>26</v>
      </c>
      <c r="D3668" s="479">
        <v>1396.15</v>
      </c>
      <c r="E3668" s="368"/>
      <c r="F3668" s="368"/>
    </row>
    <row r="3669" spans="1:6" ht="25.5" x14ac:dyDescent="0.2">
      <c r="A3669" s="391">
        <v>92594</v>
      </c>
      <c r="B3669" s="478" t="s">
        <v>38753</v>
      </c>
      <c r="C3669" s="391" t="s">
        <v>26</v>
      </c>
      <c r="D3669" s="479">
        <v>1686.16</v>
      </c>
      <c r="E3669" s="368"/>
      <c r="F3669" s="368"/>
    </row>
    <row r="3670" spans="1:6" ht="38.25" x14ac:dyDescent="0.2">
      <c r="A3670" s="391">
        <v>92614</v>
      </c>
      <c r="B3670" s="478" t="s">
        <v>38763</v>
      </c>
      <c r="C3670" s="391" t="s">
        <v>26</v>
      </c>
      <c r="D3670" s="479">
        <v>1568.75</v>
      </c>
      <c r="E3670" s="368"/>
      <c r="F3670" s="368"/>
    </row>
    <row r="3671" spans="1:6" ht="38.25" x14ac:dyDescent="0.2">
      <c r="A3671" s="391">
        <v>92552</v>
      </c>
      <c r="B3671" s="478" t="s">
        <v>1179</v>
      </c>
      <c r="C3671" s="391" t="s">
        <v>26</v>
      </c>
      <c r="D3671" s="479">
        <v>2662.36</v>
      </c>
      <c r="E3671" s="368"/>
      <c r="F3671" s="368"/>
    </row>
    <row r="3672" spans="1:6" ht="38.25" x14ac:dyDescent="0.2">
      <c r="A3672" s="391">
        <v>92562</v>
      </c>
      <c r="B3672" s="478" t="s">
        <v>1189</v>
      </c>
      <c r="C3672" s="391" t="s">
        <v>26</v>
      </c>
      <c r="D3672" s="479">
        <v>2597.66</v>
      </c>
      <c r="E3672" s="368"/>
      <c r="F3672" s="368"/>
    </row>
    <row r="3673" spans="1:6" ht="38.25" x14ac:dyDescent="0.2">
      <c r="A3673" s="391">
        <v>92553</v>
      </c>
      <c r="B3673" s="478" t="s">
        <v>1180</v>
      </c>
      <c r="C3673" s="391" t="s">
        <v>26</v>
      </c>
      <c r="D3673" s="479">
        <v>3051.38</v>
      </c>
      <c r="E3673" s="368"/>
      <c r="F3673" s="368"/>
    </row>
    <row r="3674" spans="1:6" ht="38.25" x14ac:dyDescent="0.2">
      <c r="A3674" s="391">
        <v>92563</v>
      </c>
      <c r="B3674" s="478" t="s">
        <v>1190</v>
      </c>
      <c r="C3674" s="391" t="s">
        <v>26</v>
      </c>
      <c r="D3674" s="479">
        <v>2975.72</v>
      </c>
      <c r="E3674" s="368"/>
      <c r="F3674" s="368"/>
    </row>
    <row r="3675" spans="1:6" ht="38.25" x14ac:dyDescent="0.2">
      <c r="A3675" s="391">
        <v>92554</v>
      </c>
      <c r="B3675" s="478" t="s">
        <v>1181</v>
      </c>
      <c r="C3675" s="391" t="s">
        <v>26</v>
      </c>
      <c r="D3675" s="479">
        <v>3164.99</v>
      </c>
      <c r="E3675" s="368"/>
      <c r="F3675" s="368"/>
    </row>
    <row r="3676" spans="1:6" ht="38.25" x14ac:dyDescent="0.2">
      <c r="A3676" s="391">
        <v>92564</v>
      </c>
      <c r="B3676" s="478" t="s">
        <v>1191</v>
      </c>
      <c r="C3676" s="391" t="s">
        <v>26</v>
      </c>
      <c r="D3676" s="479">
        <v>3072.32</v>
      </c>
      <c r="E3676" s="368"/>
      <c r="F3676" s="368"/>
    </row>
    <row r="3677" spans="1:6" ht="38.25" x14ac:dyDescent="0.2">
      <c r="A3677" s="391">
        <v>92545</v>
      </c>
      <c r="B3677" s="478" t="s">
        <v>1172</v>
      </c>
      <c r="C3677" s="391" t="s">
        <v>26</v>
      </c>
      <c r="D3677" s="479">
        <v>1054.47</v>
      </c>
      <c r="E3677" s="368"/>
      <c r="F3677" s="368"/>
    </row>
    <row r="3678" spans="1:6" ht="38.25" x14ac:dyDescent="0.2">
      <c r="A3678" s="391">
        <v>92555</v>
      </c>
      <c r="B3678" s="478" t="s">
        <v>1182</v>
      </c>
      <c r="C3678" s="391" t="s">
        <v>26</v>
      </c>
      <c r="D3678" s="479">
        <v>1039.1400000000001</v>
      </c>
      <c r="E3678" s="368"/>
      <c r="F3678" s="368"/>
    </row>
    <row r="3679" spans="1:6" ht="38.25" x14ac:dyDescent="0.2">
      <c r="A3679" s="391">
        <v>92546</v>
      </c>
      <c r="B3679" s="478" t="s">
        <v>1173</v>
      </c>
      <c r="C3679" s="391" t="s">
        <v>26</v>
      </c>
      <c r="D3679" s="479">
        <v>1296.55</v>
      </c>
      <c r="E3679" s="368"/>
      <c r="F3679" s="368"/>
    </row>
    <row r="3680" spans="1:6" ht="38.25" x14ac:dyDescent="0.2">
      <c r="A3680" s="391">
        <v>92556</v>
      </c>
      <c r="B3680" s="478" t="s">
        <v>1183</v>
      </c>
      <c r="C3680" s="391" t="s">
        <v>26</v>
      </c>
      <c r="D3680" s="479">
        <v>1269.69</v>
      </c>
      <c r="E3680" s="368"/>
      <c r="F3680" s="368"/>
    </row>
    <row r="3681" spans="1:6" ht="38.25" x14ac:dyDescent="0.2">
      <c r="A3681" s="391">
        <v>92547</v>
      </c>
      <c r="B3681" s="478" t="s">
        <v>1174</v>
      </c>
      <c r="C3681" s="391" t="s">
        <v>26</v>
      </c>
      <c r="D3681" s="479">
        <v>1373.28</v>
      </c>
      <c r="E3681" s="368"/>
      <c r="F3681" s="368"/>
    </row>
    <row r="3682" spans="1:6" ht="38.25" x14ac:dyDescent="0.2">
      <c r="A3682" s="391">
        <v>92557</v>
      </c>
      <c r="B3682" s="478" t="s">
        <v>1184</v>
      </c>
      <c r="C3682" s="391" t="s">
        <v>26</v>
      </c>
      <c r="D3682" s="479">
        <v>1346.41</v>
      </c>
      <c r="E3682" s="368"/>
      <c r="F3682" s="368"/>
    </row>
    <row r="3683" spans="1:6" ht="38.25" x14ac:dyDescent="0.2">
      <c r="A3683" s="391">
        <v>92548</v>
      </c>
      <c r="B3683" s="478" t="s">
        <v>1175</v>
      </c>
      <c r="C3683" s="391" t="s">
        <v>26</v>
      </c>
      <c r="D3683" s="479">
        <v>1528.94</v>
      </c>
      <c r="E3683" s="368"/>
      <c r="F3683" s="368"/>
    </row>
    <row r="3684" spans="1:6" ht="38.25" x14ac:dyDescent="0.2">
      <c r="A3684" s="391">
        <v>92558</v>
      </c>
      <c r="B3684" s="478" t="s">
        <v>1185</v>
      </c>
      <c r="C3684" s="391" t="s">
        <v>26</v>
      </c>
      <c r="D3684" s="479">
        <v>1513.6</v>
      </c>
      <c r="E3684" s="368"/>
      <c r="F3684" s="368"/>
    </row>
    <row r="3685" spans="1:6" ht="38.25" x14ac:dyDescent="0.2">
      <c r="A3685" s="391">
        <v>92549</v>
      </c>
      <c r="B3685" s="478" t="s">
        <v>1176</v>
      </c>
      <c r="C3685" s="391" t="s">
        <v>26</v>
      </c>
      <c r="D3685" s="479">
        <v>1909.42</v>
      </c>
      <c r="E3685" s="368"/>
      <c r="F3685" s="368"/>
    </row>
    <row r="3686" spans="1:6" ht="38.25" x14ac:dyDescent="0.2">
      <c r="A3686" s="391">
        <v>92559</v>
      </c>
      <c r="B3686" s="478" t="s">
        <v>1186</v>
      </c>
      <c r="C3686" s="391" t="s">
        <v>26</v>
      </c>
      <c r="D3686" s="479">
        <v>1880.87</v>
      </c>
      <c r="E3686" s="368"/>
      <c r="F3686" s="368"/>
    </row>
    <row r="3687" spans="1:6" ht="38.25" x14ac:dyDescent="0.2">
      <c r="A3687" s="391">
        <v>92550</v>
      </c>
      <c r="B3687" s="478" t="s">
        <v>1177</v>
      </c>
      <c r="C3687" s="391" t="s">
        <v>26</v>
      </c>
      <c r="D3687" s="479">
        <v>2349.79</v>
      </c>
      <c r="E3687" s="368"/>
      <c r="F3687" s="368"/>
    </row>
    <row r="3688" spans="1:6" ht="38.25" x14ac:dyDescent="0.2">
      <c r="A3688" s="391">
        <v>92560</v>
      </c>
      <c r="B3688" s="478" t="s">
        <v>1187</v>
      </c>
      <c r="C3688" s="391" t="s">
        <v>26</v>
      </c>
      <c r="D3688" s="479">
        <v>2310.9</v>
      </c>
      <c r="E3688" s="368"/>
      <c r="F3688" s="368"/>
    </row>
    <row r="3689" spans="1:6" ht="38.25" x14ac:dyDescent="0.2">
      <c r="A3689" s="391">
        <v>92551</v>
      </c>
      <c r="B3689" s="478" t="s">
        <v>1178</v>
      </c>
      <c r="C3689" s="391" t="s">
        <v>26</v>
      </c>
      <c r="D3689" s="479">
        <v>2448.7800000000002</v>
      </c>
      <c r="E3689" s="368"/>
      <c r="F3689" s="368"/>
    </row>
    <row r="3690" spans="1:6" ht="38.25" x14ac:dyDescent="0.2">
      <c r="A3690" s="391">
        <v>92561</v>
      </c>
      <c r="B3690" s="478" t="s">
        <v>1188</v>
      </c>
      <c r="C3690" s="391" t="s">
        <v>26</v>
      </c>
      <c r="D3690" s="479">
        <v>2410.94</v>
      </c>
      <c r="E3690" s="368"/>
      <c r="F3690" s="368"/>
    </row>
    <row r="3691" spans="1:6" ht="38.25" x14ac:dyDescent="0.2">
      <c r="A3691" s="391">
        <v>92262</v>
      </c>
      <c r="B3691" s="478" t="s">
        <v>1165</v>
      </c>
      <c r="C3691" s="391" t="s">
        <v>26</v>
      </c>
      <c r="D3691" s="479">
        <v>714.2</v>
      </c>
      <c r="E3691" s="368"/>
      <c r="F3691" s="368"/>
    </row>
    <row r="3692" spans="1:6" ht="38.25" x14ac:dyDescent="0.2">
      <c r="A3692" s="391">
        <v>92259</v>
      </c>
      <c r="B3692" s="478" t="s">
        <v>1162</v>
      </c>
      <c r="C3692" s="391" t="s">
        <v>26</v>
      </c>
      <c r="D3692" s="479">
        <v>489.68</v>
      </c>
      <c r="E3692" s="368"/>
      <c r="F3692" s="368"/>
    </row>
    <row r="3693" spans="1:6" ht="38.25" x14ac:dyDescent="0.2">
      <c r="A3693" s="391">
        <v>92260</v>
      </c>
      <c r="B3693" s="478" t="s">
        <v>1163</v>
      </c>
      <c r="C3693" s="391" t="s">
        <v>26</v>
      </c>
      <c r="D3693" s="479">
        <v>553.28</v>
      </c>
      <c r="E3693" s="368"/>
      <c r="F3693" s="368"/>
    </row>
    <row r="3694" spans="1:6" ht="38.25" x14ac:dyDescent="0.2">
      <c r="A3694" s="391">
        <v>92261</v>
      </c>
      <c r="B3694" s="478" t="s">
        <v>1164</v>
      </c>
      <c r="C3694" s="391" t="s">
        <v>26</v>
      </c>
      <c r="D3694" s="479">
        <v>614.94000000000005</v>
      </c>
      <c r="E3694" s="368"/>
      <c r="F3694" s="368"/>
    </row>
    <row r="3695" spans="1:6" ht="25.5" x14ac:dyDescent="0.2">
      <c r="A3695" s="391">
        <v>92258</v>
      </c>
      <c r="B3695" s="478" t="s">
        <v>1248</v>
      </c>
      <c r="C3695" s="391" t="s">
        <v>26</v>
      </c>
      <c r="D3695" s="479">
        <v>353.84</v>
      </c>
      <c r="E3695" s="368"/>
      <c r="F3695" s="368"/>
    </row>
    <row r="3696" spans="1:6" ht="25.5" x14ac:dyDescent="0.2">
      <c r="A3696" s="391">
        <v>92255</v>
      </c>
      <c r="B3696" s="478" t="s">
        <v>1245</v>
      </c>
      <c r="C3696" s="391" t="s">
        <v>26</v>
      </c>
      <c r="D3696" s="479">
        <v>201.41</v>
      </c>
      <c r="E3696" s="368"/>
      <c r="F3696" s="368"/>
    </row>
    <row r="3697" spans="1:6" ht="25.5" x14ac:dyDescent="0.2">
      <c r="A3697" s="391">
        <v>92256</v>
      </c>
      <c r="B3697" s="478" t="s">
        <v>1246</v>
      </c>
      <c r="C3697" s="391" t="s">
        <v>26</v>
      </c>
      <c r="D3697" s="479">
        <v>243.96</v>
      </c>
      <c r="E3697" s="368"/>
      <c r="F3697" s="368"/>
    </row>
    <row r="3698" spans="1:6" ht="25.5" x14ac:dyDescent="0.2">
      <c r="A3698" s="391">
        <v>92257</v>
      </c>
      <c r="B3698" s="478" t="s">
        <v>1247</v>
      </c>
      <c r="C3698" s="391" t="s">
        <v>26</v>
      </c>
      <c r="D3698" s="479">
        <v>286.08999999999997</v>
      </c>
      <c r="E3698" s="368"/>
      <c r="F3698" s="368"/>
    </row>
    <row r="3699" spans="1:6" ht="25.5" x14ac:dyDescent="0.2">
      <c r="A3699" s="391">
        <v>100393</v>
      </c>
      <c r="B3699" s="478" t="s">
        <v>1205</v>
      </c>
      <c r="C3699" s="391" t="s">
        <v>255</v>
      </c>
      <c r="D3699" s="479">
        <v>20.23</v>
      </c>
      <c r="E3699" s="368"/>
      <c r="F3699" s="368"/>
    </row>
    <row r="3700" spans="1:6" ht="38.25" x14ac:dyDescent="0.2">
      <c r="A3700" s="391">
        <v>100389</v>
      </c>
      <c r="B3700" s="478" t="s">
        <v>1201</v>
      </c>
      <c r="C3700" s="391" t="s">
        <v>255</v>
      </c>
      <c r="D3700" s="479">
        <v>17.62</v>
      </c>
      <c r="E3700" s="368"/>
      <c r="F3700" s="368"/>
    </row>
    <row r="3701" spans="1:6" ht="38.25" x14ac:dyDescent="0.2">
      <c r="A3701" s="391">
        <v>100395</v>
      </c>
      <c r="B3701" s="478" t="s">
        <v>1207</v>
      </c>
      <c r="C3701" s="391" t="s">
        <v>255</v>
      </c>
      <c r="D3701" s="479">
        <v>24.02</v>
      </c>
      <c r="E3701" s="368"/>
      <c r="F3701" s="368"/>
    </row>
    <row r="3702" spans="1:6" ht="38.25" x14ac:dyDescent="0.2">
      <c r="A3702" s="391">
        <v>100391</v>
      </c>
      <c r="B3702" s="478" t="s">
        <v>1203</v>
      </c>
      <c r="C3702" s="391" t="s">
        <v>255</v>
      </c>
      <c r="D3702" s="479">
        <v>20.11</v>
      </c>
      <c r="E3702" s="368"/>
      <c r="F3702" s="368"/>
    </row>
    <row r="3703" spans="1:6" ht="25.5" x14ac:dyDescent="0.2">
      <c r="A3703" s="391">
        <v>100392</v>
      </c>
      <c r="B3703" s="478" t="s">
        <v>1204</v>
      </c>
      <c r="C3703" s="391" t="s">
        <v>255</v>
      </c>
      <c r="D3703" s="479">
        <v>15.82</v>
      </c>
      <c r="E3703" s="368"/>
      <c r="F3703" s="368"/>
    </row>
    <row r="3704" spans="1:6" ht="38.25" x14ac:dyDescent="0.2">
      <c r="A3704" s="391">
        <v>100388</v>
      </c>
      <c r="B3704" s="478" t="s">
        <v>1200</v>
      </c>
      <c r="C3704" s="391" t="s">
        <v>255</v>
      </c>
      <c r="D3704" s="479">
        <v>20.14</v>
      </c>
      <c r="E3704" s="368"/>
      <c r="F3704" s="368"/>
    </row>
    <row r="3705" spans="1:6" ht="25.5" x14ac:dyDescent="0.2">
      <c r="A3705" s="391">
        <v>100394</v>
      </c>
      <c r="B3705" s="478" t="s">
        <v>1206</v>
      </c>
      <c r="C3705" s="391" t="s">
        <v>255</v>
      </c>
      <c r="D3705" s="479">
        <v>18.79</v>
      </c>
      <c r="E3705" s="368"/>
      <c r="F3705" s="368"/>
    </row>
    <row r="3706" spans="1:6" ht="38.25" x14ac:dyDescent="0.2">
      <c r="A3706" s="391">
        <v>100390</v>
      </c>
      <c r="B3706" s="478" t="s">
        <v>1202</v>
      </c>
      <c r="C3706" s="391" t="s">
        <v>255</v>
      </c>
      <c r="D3706" s="479">
        <v>23.92</v>
      </c>
      <c r="E3706" s="368"/>
      <c r="F3706" s="368"/>
    </row>
    <row r="3707" spans="1:6" ht="38.25" x14ac:dyDescent="0.2">
      <c r="A3707" s="391">
        <v>92575</v>
      </c>
      <c r="B3707" s="478" t="s">
        <v>1256</v>
      </c>
      <c r="C3707" s="391" t="s">
        <v>255</v>
      </c>
      <c r="D3707" s="479">
        <v>63.52</v>
      </c>
      <c r="E3707" s="368"/>
      <c r="F3707" s="368"/>
    </row>
    <row r="3708" spans="1:6" ht="38.25" x14ac:dyDescent="0.2">
      <c r="A3708" s="391">
        <v>92569</v>
      </c>
      <c r="B3708" s="478" t="s">
        <v>1250</v>
      </c>
      <c r="C3708" s="391" t="s">
        <v>255</v>
      </c>
      <c r="D3708" s="479">
        <v>69.31</v>
      </c>
      <c r="E3708" s="368"/>
      <c r="F3708" s="368"/>
    </row>
    <row r="3709" spans="1:6" ht="38.25" x14ac:dyDescent="0.2">
      <c r="A3709" s="391">
        <v>92578</v>
      </c>
      <c r="B3709" s="478" t="s">
        <v>1259</v>
      </c>
      <c r="C3709" s="391" t="s">
        <v>255</v>
      </c>
      <c r="D3709" s="479">
        <v>68.36</v>
      </c>
      <c r="E3709" s="368"/>
      <c r="F3709" s="368"/>
    </row>
    <row r="3710" spans="1:6" ht="38.25" x14ac:dyDescent="0.2">
      <c r="A3710" s="391">
        <v>92572</v>
      </c>
      <c r="B3710" s="478" t="s">
        <v>1253</v>
      </c>
      <c r="C3710" s="391" t="s">
        <v>255</v>
      </c>
      <c r="D3710" s="479">
        <v>79.510000000000005</v>
      </c>
      <c r="E3710" s="368"/>
      <c r="F3710" s="368"/>
    </row>
    <row r="3711" spans="1:6" ht="38.25" x14ac:dyDescent="0.2">
      <c r="A3711" s="391">
        <v>92576</v>
      </c>
      <c r="B3711" s="478" t="s">
        <v>1257</v>
      </c>
      <c r="C3711" s="391" t="s">
        <v>255</v>
      </c>
      <c r="D3711" s="479">
        <v>34.979999999999997</v>
      </c>
      <c r="E3711" s="368"/>
      <c r="F3711" s="368"/>
    </row>
    <row r="3712" spans="1:6" ht="38.25" x14ac:dyDescent="0.2">
      <c r="A3712" s="391">
        <v>92570</v>
      </c>
      <c r="B3712" s="478" t="s">
        <v>1251</v>
      </c>
      <c r="C3712" s="391" t="s">
        <v>255</v>
      </c>
      <c r="D3712" s="479">
        <v>44.1</v>
      </c>
      <c r="E3712" s="368"/>
      <c r="F3712" s="368"/>
    </row>
    <row r="3713" spans="1:6" ht="38.25" x14ac:dyDescent="0.2">
      <c r="A3713" s="391">
        <v>92579</v>
      </c>
      <c r="B3713" s="478" t="s">
        <v>1260</v>
      </c>
      <c r="C3713" s="391" t="s">
        <v>255</v>
      </c>
      <c r="D3713" s="479">
        <v>37.79</v>
      </c>
      <c r="E3713" s="368"/>
      <c r="F3713" s="368"/>
    </row>
    <row r="3714" spans="1:6" ht="38.25" x14ac:dyDescent="0.2">
      <c r="A3714" s="391">
        <v>92573</v>
      </c>
      <c r="B3714" s="478" t="s">
        <v>1254</v>
      </c>
      <c r="C3714" s="391" t="s">
        <v>255</v>
      </c>
      <c r="D3714" s="479">
        <v>47.61</v>
      </c>
      <c r="E3714" s="368"/>
      <c r="F3714" s="368"/>
    </row>
    <row r="3715" spans="1:6" ht="38.25" x14ac:dyDescent="0.2">
      <c r="A3715" s="391">
        <v>92574</v>
      </c>
      <c r="B3715" s="478" t="s">
        <v>1255</v>
      </c>
      <c r="C3715" s="391" t="s">
        <v>255</v>
      </c>
      <c r="D3715" s="479">
        <v>126.22</v>
      </c>
      <c r="E3715" s="368"/>
      <c r="F3715" s="368"/>
    </row>
    <row r="3716" spans="1:6" ht="38.25" x14ac:dyDescent="0.2">
      <c r="A3716" s="391">
        <v>92568</v>
      </c>
      <c r="B3716" s="478" t="s">
        <v>1249</v>
      </c>
      <c r="C3716" s="391" t="s">
        <v>255</v>
      </c>
      <c r="D3716" s="479">
        <v>124.13</v>
      </c>
      <c r="E3716" s="368"/>
      <c r="F3716" s="368"/>
    </row>
    <row r="3717" spans="1:6" ht="38.25" x14ac:dyDescent="0.2">
      <c r="A3717" s="391">
        <v>92577</v>
      </c>
      <c r="B3717" s="478" t="s">
        <v>1258</v>
      </c>
      <c r="C3717" s="391" t="s">
        <v>255</v>
      </c>
      <c r="D3717" s="479">
        <v>134.87</v>
      </c>
      <c r="E3717" s="368"/>
      <c r="F3717" s="368"/>
    </row>
    <row r="3718" spans="1:6" ht="38.25" x14ac:dyDescent="0.2">
      <c r="A3718" s="391">
        <v>92571</v>
      </c>
      <c r="B3718" s="478" t="s">
        <v>1252</v>
      </c>
      <c r="C3718" s="391" t="s">
        <v>255</v>
      </c>
      <c r="D3718" s="479">
        <v>132.38</v>
      </c>
      <c r="E3718" s="368"/>
      <c r="F3718" s="368"/>
    </row>
    <row r="3719" spans="1:6" ht="38.25" x14ac:dyDescent="0.2">
      <c r="A3719" s="391">
        <v>92581</v>
      </c>
      <c r="B3719" s="478" t="s">
        <v>1262</v>
      </c>
      <c r="C3719" s="391" t="s">
        <v>255</v>
      </c>
      <c r="D3719" s="479">
        <v>48.95</v>
      </c>
      <c r="E3719" s="368"/>
      <c r="F3719" s="368"/>
    </row>
    <row r="3720" spans="1:6" ht="38.25" x14ac:dyDescent="0.2">
      <c r="A3720" s="391">
        <v>104314</v>
      </c>
      <c r="B3720" s="478" t="s">
        <v>1287</v>
      </c>
      <c r="C3720" s="391" t="s">
        <v>1284</v>
      </c>
      <c r="D3720" s="479">
        <v>10.84</v>
      </c>
      <c r="E3720" s="368"/>
      <c r="F3720" s="368"/>
    </row>
    <row r="3721" spans="1:6" ht="38.25" x14ac:dyDescent="0.2">
      <c r="A3721" s="391">
        <v>92580</v>
      </c>
      <c r="B3721" s="478" t="s">
        <v>1261</v>
      </c>
      <c r="C3721" s="391" t="s">
        <v>255</v>
      </c>
      <c r="D3721" s="479">
        <v>47.01</v>
      </c>
      <c r="E3721" s="368"/>
      <c r="F3721" s="368"/>
    </row>
    <row r="3722" spans="1:6" ht="38.25" x14ac:dyDescent="0.2">
      <c r="A3722" s="391">
        <v>92541</v>
      </c>
      <c r="B3722" s="478" t="s">
        <v>1168</v>
      </c>
      <c r="C3722" s="391" t="s">
        <v>255</v>
      </c>
      <c r="D3722" s="479">
        <v>87.98</v>
      </c>
      <c r="E3722" s="368"/>
      <c r="F3722" s="368"/>
    </row>
    <row r="3723" spans="1:6" ht="38.25" x14ac:dyDescent="0.2">
      <c r="A3723" s="391">
        <v>92539</v>
      </c>
      <c r="B3723" s="478" t="s">
        <v>1166</v>
      </c>
      <c r="C3723" s="391" t="s">
        <v>255</v>
      </c>
      <c r="D3723" s="479">
        <v>81.44</v>
      </c>
      <c r="E3723" s="368"/>
      <c r="F3723" s="368"/>
    </row>
    <row r="3724" spans="1:6" ht="38.25" x14ac:dyDescent="0.2">
      <c r="A3724" s="391">
        <v>92542</v>
      </c>
      <c r="B3724" s="478" t="s">
        <v>1169</v>
      </c>
      <c r="C3724" s="391" t="s">
        <v>255</v>
      </c>
      <c r="D3724" s="479">
        <v>106.58</v>
      </c>
      <c r="E3724" s="368"/>
      <c r="F3724" s="368"/>
    </row>
    <row r="3725" spans="1:6" ht="38.25" x14ac:dyDescent="0.2">
      <c r="A3725" s="391">
        <v>92540</v>
      </c>
      <c r="B3725" s="478" t="s">
        <v>1167</v>
      </c>
      <c r="C3725" s="391" t="s">
        <v>255</v>
      </c>
      <c r="D3725" s="479">
        <v>91</v>
      </c>
      <c r="E3725" s="368"/>
      <c r="F3725" s="368"/>
    </row>
    <row r="3726" spans="1:6" ht="38.25" x14ac:dyDescent="0.2">
      <c r="A3726" s="391">
        <v>92544</v>
      </c>
      <c r="B3726" s="478" t="s">
        <v>1171</v>
      </c>
      <c r="C3726" s="391" t="s">
        <v>255</v>
      </c>
      <c r="D3726" s="479">
        <v>19.71</v>
      </c>
      <c r="E3726" s="368"/>
      <c r="F3726" s="368"/>
    </row>
    <row r="3727" spans="1:6" ht="38.25" x14ac:dyDescent="0.2">
      <c r="A3727" s="391">
        <v>92543</v>
      </c>
      <c r="B3727" s="478" t="s">
        <v>1170</v>
      </c>
      <c r="C3727" s="391" t="s">
        <v>255</v>
      </c>
      <c r="D3727" s="479">
        <v>24.74</v>
      </c>
      <c r="E3727" s="368"/>
      <c r="F3727" s="368"/>
    </row>
    <row r="3728" spans="1:6" ht="25.5" x14ac:dyDescent="0.2">
      <c r="A3728" s="391">
        <v>97725</v>
      </c>
      <c r="B3728" s="478" t="s">
        <v>41230</v>
      </c>
      <c r="C3728" s="391" t="s">
        <v>271</v>
      </c>
      <c r="D3728" s="479">
        <v>0</v>
      </c>
      <c r="E3728" s="368"/>
      <c r="F3728" s="368"/>
    </row>
    <row r="3729" spans="1:6" ht="25.5" x14ac:dyDescent="0.2">
      <c r="A3729" s="391">
        <v>97721</v>
      </c>
      <c r="B3729" s="478" t="s">
        <v>41231</v>
      </c>
      <c r="C3729" s="391" t="s">
        <v>271</v>
      </c>
      <c r="D3729" s="479">
        <v>0</v>
      </c>
      <c r="E3729" s="368"/>
      <c r="F3729" s="368"/>
    </row>
    <row r="3730" spans="1:6" ht="25.5" x14ac:dyDescent="0.2">
      <c r="A3730" s="391">
        <v>97722</v>
      </c>
      <c r="B3730" s="478" t="s">
        <v>41232</v>
      </c>
      <c r="C3730" s="391" t="s">
        <v>271</v>
      </c>
      <c r="D3730" s="479">
        <v>0</v>
      </c>
      <c r="E3730" s="368"/>
      <c r="F3730" s="368"/>
    </row>
    <row r="3731" spans="1:6" ht="25.5" x14ac:dyDescent="0.2">
      <c r="A3731" s="391">
        <v>97724</v>
      </c>
      <c r="B3731" s="478" t="s">
        <v>41233</v>
      </c>
      <c r="C3731" s="391" t="s">
        <v>271</v>
      </c>
      <c r="D3731" s="479">
        <v>0</v>
      </c>
      <c r="E3731" s="368"/>
      <c r="F3731" s="368"/>
    </row>
    <row r="3732" spans="1:6" ht="25.5" x14ac:dyDescent="0.2">
      <c r="A3732" s="391">
        <v>97719</v>
      </c>
      <c r="B3732" s="478" t="s">
        <v>41234</v>
      </c>
      <c r="C3732" s="391" t="s">
        <v>271</v>
      </c>
      <c r="D3732" s="479">
        <v>0</v>
      </c>
      <c r="E3732" s="368"/>
      <c r="F3732" s="368"/>
    </row>
    <row r="3733" spans="1:6" ht="25.5" x14ac:dyDescent="0.2">
      <c r="A3733" s="391">
        <v>97723</v>
      </c>
      <c r="B3733" s="478" t="s">
        <v>41235</v>
      </c>
      <c r="C3733" s="391" t="s">
        <v>271</v>
      </c>
      <c r="D3733" s="479">
        <v>0</v>
      </c>
      <c r="E3733" s="368"/>
      <c r="F3733" s="368"/>
    </row>
    <row r="3734" spans="1:6" ht="25.5" x14ac:dyDescent="0.2">
      <c r="A3734" s="391">
        <v>104946</v>
      </c>
      <c r="B3734" s="478" t="s">
        <v>41236</v>
      </c>
      <c r="C3734" s="391" t="s">
        <v>271</v>
      </c>
      <c r="D3734" s="479">
        <v>0</v>
      </c>
      <c r="E3734" s="368"/>
      <c r="F3734" s="368"/>
    </row>
    <row r="3735" spans="1:6" ht="25.5" x14ac:dyDescent="0.2">
      <c r="A3735" s="391">
        <v>104944</v>
      </c>
      <c r="B3735" s="478" t="s">
        <v>41237</v>
      </c>
      <c r="C3735" s="391" t="s">
        <v>271</v>
      </c>
      <c r="D3735" s="479">
        <v>0</v>
      </c>
      <c r="E3735" s="368"/>
      <c r="F3735" s="368"/>
    </row>
    <row r="3736" spans="1:6" ht="25.5" x14ac:dyDescent="0.2">
      <c r="A3736" s="391">
        <v>104945</v>
      </c>
      <c r="B3736" s="478" t="s">
        <v>41238</v>
      </c>
      <c r="C3736" s="391" t="s">
        <v>271</v>
      </c>
      <c r="D3736" s="479">
        <v>0</v>
      </c>
      <c r="E3736" s="368"/>
      <c r="F3736" s="368"/>
    </row>
    <row r="3737" spans="1:6" ht="25.5" x14ac:dyDescent="0.2">
      <c r="A3737" s="391">
        <v>97720</v>
      </c>
      <c r="B3737" s="478" t="s">
        <v>41239</v>
      </c>
      <c r="C3737" s="391" t="s">
        <v>271</v>
      </c>
      <c r="D3737" s="479">
        <v>0</v>
      </c>
      <c r="E3737" s="368"/>
      <c r="F3737" s="368"/>
    </row>
    <row r="3738" spans="1:6" ht="25.5" x14ac:dyDescent="0.2">
      <c r="A3738" s="391">
        <v>97740</v>
      </c>
      <c r="B3738" s="478" t="s">
        <v>2196</v>
      </c>
      <c r="C3738" s="391" t="s">
        <v>271</v>
      </c>
      <c r="D3738" s="479">
        <v>2079.58</v>
      </c>
      <c r="E3738" s="368"/>
      <c r="F3738" s="368"/>
    </row>
    <row r="3739" spans="1:6" ht="25.5" x14ac:dyDescent="0.2">
      <c r="A3739" s="391">
        <v>97738</v>
      </c>
      <c r="B3739" s="478" t="s">
        <v>38790</v>
      </c>
      <c r="C3739" s="391" t="s">
        <v>271</v>
      </c>
      <c r="D3739" s="479">
        <v>3987.14</v>
      </c>
      <c r="E3739" s="368"/>
      <c r="F3739" s="368"/>
    </row>
    <row r="3740" spans="1:6" ht="25.5" x14ac:dyDescent="0.2">
      <c r="A3740" s="391">
        <v>97739</v>
      </c>
      <c r="B3740" s="478" t="s">
        <v>2195</v>
      </c>
      <c r="C3740" s="391" t="s">
        <v>271</v>
      </c>
      <c r="D3740" s="479">
        <v>2898.7</v>
      </c>
      <c r="E3740" s="368"/>
      <c r="F3740" s="368"/>
    </row>
    <row r="3741" spans="1:6" ht="25.5" x14ac:dyDescent="0.2">
      <c r="A3741" s="391">
        <v>97736</v>
      </c>
      <c r="B3741" s="478" t="s">
        <v>2194</v>
      </c>
      <c r="C3741" s="391" t="s">
        <v>271</v>
      </c>
      <c r="D3741" s="479">
        <v>1474.67</v>
      </c>
      <c r="E3741" s="368"/>
      <c r="F3741" s="368"/>
    </row>
    <row r="3742" spans="1:6" ht="25.5" x14ac:dyDescent="0.2">
      <c r="A3742" s="391">
        <v>97734</v>
      </c>
      <c r="B3742" s="478" t="s">
        <v>2192</v>
      </c>
      <c r="C3742" s="391" t="s">
        <v>271</v>
      </c>
      <c r="D3742" s="479">
        <v>2930.77</v>
      </c>
      <c r="E3742" s="368"/>
      <c r="F3742" s="368"/>
    </row>
    <row r="3743" spans="1:6" ht="25.5" x14ac:dyDescent="0.2">
      <c r="A3743" s="391">
        <v>97735</v>
      </c>
      <c r="B3743" s="478" t="s">
        <v>2193</v>
      </c>
      <c r="C3743" s="391" t="s">
        <v>271</v>
      </c>
      <c r="D3743" s="479">
        <v>2401.77</v>
      </c>
      <c r="E3743" s="368"/>
      <c r="F3743" s="368"/>
    </row>
    <row r="3744" spans="1:6" ht="25.5" x14ac:dyDescent="0.2">
      <c r="A3744" s="391">
        <v>97737</v>
      </c>
      <c r="B3744" s="478" t="s">
        <v>39480</v>
      </c>
      <c r="C3744" s="391" t="s">
        <v>271</v>
      </c>
      <c r="D3744" s="479">
        <v>3165.68</v>
      </c>
      <c r="E3744" s="368"/>
      <c r="F3744" s="368"/>
    </row>
    <row r="3745" spans="1:6" ht="25.5" x14ac:dyDescent="0.2">
      <c r="A3745" s="391">
        <v>97733</v>
      </c>
      <c r="B3745" s="478" t="s">
        <v>2191</v>
      </c>
      <c r="C3745" s="391" t="s">
        <v>271</v>
      </c>
      <c r="D3745" s="479">
        <v>3341.1</v>
      </c>
      <c r="E3745" s="368"/>
      <c r="F3745" s="368"/>
    </row>
    <row r="3746" spans="1:6" ht="25.5" x14ac:dyDescent="0.2">
      <c r="A3746" s="391">
        <v>98616</v>
      </c>
      <c r="B3746" s="478" t="s">
        <v>47231</v>
      </c>
      <c r="C3746" s="391" t="s">
        <v>255</v>
      </c>
      <c r="D3746" s="479">
        <v>256.54000000000002</v>
      </c>
      <c r="E3746" s="368"/>
      <c r="F3746" s="368"/>
    </row>
    <row r="3747" spans="1:6" ht="25.5" x14ac:dyDescent="0.2">
      <c r="A3747" s="391">
        <v>98619</v>
      </c>
      <c r="B3747" s="478" t="s">
        <v>47232</v>
      </c>
      <c r="C3747" s="391" t="s">
        <v>255</v>
      </c>
      <c r="D3747" s="479">
        <v>278.99</v>
      </c>
      <c r="E3747" s="368"/>
      <c r="F3747" s="368"/>
    </row>
    <row r="3748" spans="1:6" ht="25.5" x14ac:dyDescent="0.2">
      <c r="A3748" s="391">
        <v>98622</v>
      </c>
      <c r="B3748" s="478" t="s">
        <v>47233</v>
      </c>
      <c r="C3748" s="391" t="s">
        <v>255</v>
      </c>
      <c r="D3748" s="479">
        <v>435.51</v>
      </c>
      <c r="E3748" s="368"/>
      <c r="F3748" s="368"/>
    </row>
    <row r="3749" spans="1:6" ht="25.5" x14ac:dyDescent="0.2">
      <c r="A3749" s="391">
        <v>98625</v>
      </c>
      <c r="B3749" s="478" t="s">
        <v>47234</v>
      </c>
      <c r="C3749" s="391" t="s">
        <v>255</v>
      </c>
      <c r="D3749" s="479">
        <v>457</v>
      </c>
      <c r="E3749" s="368"/>
      <c r="F3749" s="368"/>
    </row>
    <row r="3750" spans="1:6" ht="25.5" x14ac:dyDescent="0.2">
      <c r="A3750" s="391">
        <v>105918</v>
      </c>
      <c r="B3750" s="478" t="s">
        <v>47235</v>
      </c>
      <c r="C3750" s="391" t="s">
        <v>255</v>
      </c>
      <c r="D3750" s="479">
        <v>0</v>
      </c>
      <c r="E3750" s="368"/>
      <c r="F3750" s="368"/>
    </row>
    <row r="3751" spans="1:6" ht="25.5" x14ac:dyDescent="0.2">
      <c r="A3751" s="391">
        <v>98631</v>
      </c>
      <c r="B3751" s="478" t="s">
        <v>47236</v>
      </c>
      <c r="C3751" s="391" t="s">
        <v>255</v>
      </c>
      <c r="D3751" s="479">
        <v>0</v>
      </c>
      <c r="E3751" s="368"/>
      <c r="F3751" s="368"/>
    </row>
    <row r="3752" spans="1:6" ht="25.5" x14ac:dyDescent="0.2">
      <c r="A3752" s="391">
        <v>98637</v>
      </c>
      <c r="B3752" s="478" t="s">
        <v>47237</v>
      </c>
      <c r="C3752" s="391" t="s">
        <v>271</v>
      </c>
      <c r="D3752" s="479">
        <v>0</v>
      </c>
      <c r="E3752" s="368"/>
      <c r="F3752" s="368"/>
    </row>
    <row r="3753" spans="1:6" ht="25.5" x14ac:dyDescent="0.2">
      <c r="A3753" s="391">
        <v>98641</v>
      </c>
      <c r="B3753" s="478" t="s">
        <v>47238</v>
      </c>
      <c r="C3753" s="391" t="s">
        <v>271</v>
      </c>
      <c r="D3753" s="479">
        <v>0</v>
      </c>
      <c r="E3753" s="368"/>
      <c r="F3753" s="368"/>
    </row>
    <row r="3754" spans="1:6" ht="25.5" x14ac:dyDescent="0.2">
      <c r="A3754" s="391">
        <v>98645</v>
      </c>
      <c r="B3754" s="478" t="s">
        <v>47239</v>
      </c>
      <c r="C3754" s="391" t="s">
        <v>271</v>
      </c>
      <c r="D3754" s="479">
        <v>0</v>
      </c>
      <c r="E3754" s="368"/>
      <c r="F3754" s="368"/>
    </row>
    <row r="3755" spans="1:6" ht="25.5" x14ac:dyDescent="0.2">
      <c r="A3755" s="391">
        <v>98649</v>
      </c>
      <c r="B3755" s="478" t="s">
        <v>47240</v>
      </c>
      <c r="C3755" s="391" t="s">
        <v>271</v>
      </c>
      <c r="D3755" s="479">
        <v>0</v>
      </c>
      <c r="E3755" s="368"/>
      <c r="F3755" s="368"/>
    </row>
    <row r="3756" spans="1:6" ht="25.5" x14ac:dyDescent="0.2">
      <c r="A3756" s="391">
        <v>98653</v>
      </c>
      <c r="B3756" s="478" t="s">
        <v>47241</v>
      </c>
      <c r="C3756" s="391" t="s">
        <v>271</v>
      </c>
      <c r="D3756" s="479">
        <v>0</v>
      </c>
      <c r="E3756" s="368"/>
      <c r="F3756" s="368"/>
    </row>
    <row r="3757" spans="1:6" ht="25.5" x14ac:dyDescent="0.2">
      <c r="A3757" s="391">
        <v>98657</v>
      </c>
      <c r="B3757" s="478" t="s">
        <v>47242</v>
      </c>
      <c r="C3757" s="391" t="s">
        <v>0</v>
      </c>
      <c r="D3757" s="479">
        <v>711.77</v>
      </c>
      <c r="E3757" s="368"/>
      <c r="F3757" s="368"/>
    </row>
    <row r="3758" spans="1:6" ht="25.5" x14ac:dyDescent="0.2">
      <c r="A3758" s="391">
        <v>100344</v>
      </c>
      <c r="B3758" s="478" t="s">
        <v>40474</v>
      </c>
      <c r="C3758" s="391" t="s">
        <v>1284</v>
      </c>
      <c r="D3758" s="479">
        <v>12.22</v>
      </c>
      <c r="E3758" s="368"/>
      <c r="F3758" s="368"/>
    </row>
    <row r="3759" spans="1:6" ht="25.5" x14ac:dyDescent="0.2">
      <c r="A3759" s="391">
        <v>100345</v>
      </c>
      <c r="B3759" s="478" t="s">
        <v>40475</v>
      </c>
      <c r="C3759" s="391" t="s">
        <v>1284</v>
      </c>
      <c r="D3759" s="479">
        <v>9.57</v>
      </c>
      <c r="E3759" s="368"/>
      <c r="F3759" s="368"/>
    </row>
    <row r="3760" spans="1:6" ht="25.5" x14ac:dyDescent="0.2">
      <c r="A3760" s="391">
        <v>100346</v>
      </c>
      <c r="B3760" s="478" t="s">
        <v>40476</v>
      </c>
      <c r="C3760" s="391" t="s">
        <v>1284</v>
      </c>
      <c r="D3760" s="479">
        <v>9.17</v>
      </c>
      <c r="E3760" s="368"/>
      <c r="F3760" s="368"/>
    </row>
    <row r="3761" spans="1:6" ht="25.5" x14ac:dyDescent="0.2">
      <c r="A3761" s="391">
        <v>100347</v>
      </c>
      <c r="B3761" s="478" t="s">
        <v>40477</v>
      </c>
      <c r="C3761" s="391" t="s">
        <v>1284</v>
      </c>
      <c r="D3761" s="479">
        <v>10.34</v>
      </c>
      <c r="E3761" s="368"/>
      <c r="F3761" s="368"/>
    </row>
    <row r="3762" spans="1:6" ht="25.5" x14ac:dyDescent="0.2">
      <c r="A3762" s="391">
        <v>100348</v>
      </c>
      <c r="B3762" s="478" t="s">
        <v>40478</v>
      </c>
      <c r="C3762" s="391" t="s">
        <v>1284</v>
      </c>
      <c r="D3762" s="479">
        <v>10.17</v>
      </c>
      <c r="E3762" s="368"/>
      <c r="F3762" s="368"/>
    </row>
    <row r="3763" spans="1:6" ht="25.5" x14ac:dyDescent="0.2">
      <c r="A3763" s="391">
        <v>100342</v>
      </c>
      <c r="B3763" s="478" t="s">
        <v>40472</v>
      </c>
      <c r="C3763" s="391" t="s">
        <v>1284</v>
      </c>
      <c r="D3763" s="479">
        <v>16.62</v>
      </c>
      <c r="E3763" s="368"/>
      <c r="F3763" s="368"/>
    </row>
    <row r="3764" spans="1:6" ht="25.5" x14ac:dyDescent="0.2">
      <c r="A3764" s="391">
        <v>100343</v>
      </c>
      <c r="B3764" s="478" t="s">
        <v>40473</v>
      </c>
      <c r="C3764" s="391" t="s">
        <v>1284</v>
      </c>
      <c r="D3764" s="479">
        <v>14.79</v>
      </c>
      <c r="E3764" s="368"/>
      <c r="F3764" s="368"/>
    </row>
    <row r="3765" spans="1:6" ht="25.5" x14ac:dyDescent="0.2">
      <c r="A3765" s="391">
        <v>100349</v>
      </c>
      <c r="B3765" s="478" t="s">
        <v>40479</v>
      </c>
      <c r="C3765" s="391" t="s">
        <v>271</v>
      </c>
      <c r="D3765" s="479">
        <v>636.74</v>
      </c>
      <c r="E3765" s="368"/>
      <c r="F3765" s="368"/>
    </row>
    <row r="3766" spans="1:6" ht="38.25" x14ac:dyDescent="0.2">
      <c r="A3766" s="391">
        <v>100336</v>
      </c>
      <c r="B3766" s="478" t="s">
        <v>41240</v>
      </c>
      <c r="C3766" s="391" t="s">
        <v>255</v>
      </c>
      <c r="D3766" s="479">
        <v>0</v>
      </c>
      <c r="E3766" s="368"/>
      <c r="F3766" s="368"/>
    </row>
    <row r="3767" spans="1:6" ht="38.25" x14ac:dyDescent="0.2">
      <c r="A3767" s="391">
        <v>100337</v>
      </c>
      <c r="B3767" s="478" t="s">
        <v>41241</v>
      </c>
      <c r="C3767" s="391" t="s">
        <v>255</v>
      </c>
      <c r="D3767" s="479">
        <v>0</v>
      </c>
      <c r="E3767" s="368"/>
      <c r="F3767" s="368"/>
    </row>
    <row r="3768" spans="1:6" ht="38.25" x14ac:dyDescent="0.2">
      <c r="A3768" s="391">
        <v>100339</v>
      </c>
      <c r="B3768" s="478" t="s">
        <v>41242</v>
      </c>
      <c r="C3768" s="391" t="s">
        <v>255</v>
      </c>
      <c r="D3768" s="479">
        <v>0</v>
      </c>
      <c r="E3768" s="368"/>
      <c r="F3768" s="368"/>
    </row>
    <row r="3769" spans="1:6" ht="38.25" x14ac:dyDescent="0.2">
      <c r="A3769" s="391">
        <v>100340</v>
      </c>
      <c r="B3769" s="478" t="s">
        <v>41243</v>
      </c>
      <c r="C3769" s="391" t="s">
        <v>255</v>
      </c>
      <c r="D3769" s="479">
        <v>0</v>
      </c>
      <c r="E3769" s="368"/>
      <c r="F3769" s="368"/>
    </row>
    <row r="3770" spans="1:6" ht="25.5" x14ac:dyDescent="0.2">
      <c r="A3770" s="391">
        <v>105805</v>
      </c>
      <c r="B3770" s="478" t="s">
        <v>41244</v>
      </c>
      <c r="C3770" s="391" t="s">
        <v>255</v>
      </c>
      <c r="D3770" s="479">
        <v>0</v>
      </c>
      <c r="E3770" s="368"/>
      <c r="F3770" s="368"/>
    </row>
    <row r="3771" spans="1:6" ht="25.5" x14ac:dyDescent="0.2">
      <c r="A3771" s="391">
        <v>105806</v>
      </c>
      <c r="B3771" s="478" t="s">
        <v>41245</v>
      </c>
      <c r="C3771" s="391" t="s">
        <v>255</v>
      </c>
      <c r="D3771" s="479">
        <v>0</v>
      </c>
      <c r="E3771" s="368"/>
      <c r="F3771" s="368"/>
    </row>
    <row r="3772" spans="1:6" ht="25.5" x14ac:dyDescent="0.2">
      <c r="A3772" s="391">
        <v>105807</v>
      </c>
      <c r="B3772" s="478" t="s">
        <v>41246</v>
      </c>
      <c r="C3772" s="391" t="s">
        <v>255</v>
      </c>
      <c r="D3772" s="479">
        <v>0</v>
      </c>
      <c r="E3772" s="368"/>
      <c r="F3772" s="368"/>
    </row>
    <row r="3773" spans="1:6" ht="25.5" x14ac:dyDescent="0.2">
      <c r="A3773" s="391">
        <v>105808</v>
      </c>
      <c r="B3773" s="478" t="s">
        <v>41247</v>
      </c>
      <c r="C3773" s="391" t="s">
        <v>255</v>
      </c>
      <c r="D3773" s="479">
        <v>0</v>
      </c>
      <c r="E3773" s="368"/>
      <c r="F3773" s="368"/>
    </row>
    <row r="3774" spans="1:6" ht="38.25" x14ac:dyDescent="0.2">
      <c r="A3774" s="391">
        <v>100341</v>
      </c>
      <c r="B3774" s="478" t="s">
        <v>40471</v>
      </c>
      <c r="C3774" s="391" t="s">
        <v>255</v>
      </c>
      <c r="D3774" s="479">
        <v>42.37</v>
      </c>
      <c r="E3774" s="368"/>
      <c r="F3774" s="368"/>
    </row>
    <row r="3775" spans="1:6" ht="38.25" x14ac:dyDescent="0.2">
      <c r="A3775" s="391">
        <v>100351</v>
      </c>
      <c r="B3775" s="478" t="s">
        <v>47243</v>
      </c>
      <c r="C3775" s="391" t="s">
        <v>255</v>
      </c>
      <c r="D3775" s="479">
        <v>0</v>
      </c>
      <c r="E3775" s="368"/>
      <c r="F3775" s="368"/>
    </row>
    <row r="3776" spans="1:6" ht="38.25" x14ac:dyDescent="0.2">
      <c r="A3776" s="391">
        <v>100353</v>
      </c>
      <c r="B3776" s="478" t="s">
        <v>47244</v>
      </c>
      <c r="C3776" s="391" t="s">
        <v>255</v>
      </c>
      <c r="D3776" s="479">
        <v>0</v>
      </c>
      <c r="E3776" s="368"/>
      <c r="F3776" s="368"/>
    </row>
    <row r="3777" spans="1:6" ht="25.5" x14ac:dyDescent="0.2">
      <c r="A3777" s="391">
        <v>100350</v>
      </c>
      <c r="B3777" s="478" t="s">
        <v>41248</v>
      </c>
      <c r="C3777" s="391" t="s">
        <v>255</v>
      </c>
      <c r="D3777" s="479">
        <v>0</v>
      </c>
      <c r="E3777" s="368"/>
      <c r="F3777" s="368"/>
    </row>
    <row r="3778" spans="1:6" ht="38.25" x14ac:dyDescent="0.2">
      <c r="A3778" s="391">
        <v>105043</v>
      </c>
      <c r="B3778" s="478" t="s">
        <v>41249</v>
      </c>
      <c r="C3778" s="391" t="s">
        <v>0</v>
      </c>
      <c r="D3778" s="479">
        <v>0</v>
      </c>
      <c r="E3778" s="368"/>
      <c r="F3778" s="368"/>
    </row>
    <row r="3779" spans="1:6" ht="38.25" x14ac:dyDescent="0.2">
      <c r="A3779" s="391">
        <v>105047</v>
      </c>
      <c r="B3779" s="478" t="s">
        <v>41250</v>
      </c>
      <c r="C3779" s="391" t="s">
        <v>0</v>
      </c>
      <c r="D3779" s="479">
        <v>0</v>
      </c>
      <c r="E3779" s="368"/>
      <c r="F3779" s="368"/>
    </row>
    <row r="3780" spans="1:6" ht="38.25" x14ac:dyDescent="0.2">
      <c r="A3780" s="391">
        <v>105044</v>
      </c>
      <c r="B3780" s="478" t="s">
        <v>41251</v>
      </c>
      <c r="C3780" s="391" t="s">
        <v>0</v>
      </c>
      <c r="D3780" s="479">
        <v>0</v>
      </c>
      <c r="E3780" s="368"/>
      <c r="F3780" s="368"/>
    </row>
    <row r="3781" spans="1:6" ht="38.25" x14ac:dyDescent="0.2">
      <c r="A3781" s="391">
        <v>105094</v>
      </c>
      <c r="B3781" s="478" t="s">
        <v>41252</v>
      </c>
      <c r="C3781" s="391" t="s">
        <v>0</v>
      </c>
      <c r="D3781" s="479">
        <v>0</v>
      </c>
      <c r="E3781" s="368"/>
      <c r="F3781" s="368"/>
    </row>
    <row r="3782" spans="1:6" ht="38.25" x14ac:dyDescent="0.2">
      <c r="A3782" s="391">
        <v>105096</v>
      </c>
      <c r="B3782" s="478" t="s">
        <v>41253</v>
      </c>
      <c r="C3782" s="391" t="s">
        <v>0</v>
      </c>
      <c r="D3782" s="479">
        <v>0</v>
      </c>
      <c r="E3782" s="368"/>
      <c r="F3782" s="368"/>
    </row>
    <row r="3783" spans="1:6" ht="38.25" x14ac:dyDescent="0.2">
      <c r="A3783" s="392">
        <v>105048</v>
      </c>
      <c r="B3783" s="480" t="s">
        <v>41254</v>
      </c>
      <c r="C3783" s="392" t="s">
        <v>0</v>
      </c>
      <c r="D3783" s="481">
        <v>0</v>
      </c>
      <c r="E3783" s="368"/>
      <c r="F3783" s="368"/>
    </row>
    <row r="3784" spans="1:6" ht="38.25" x14ac:dyDescent="0.2">
      <c r="A3784" s="391">
        <v>105097</v>
      </c>
      <c r="B3784" s="478" t="s">
        <v>41255</v>
      </c>
      <c r="C3784" s="391" t="s">
        <v>0</v>
      </c>
      <c r="D3784" s="479">
        <v>0</v>
      </c>
      <c r="E3784" s="368"/>
      <c r="F3784" s="368"/>
    </row>
    <row r="3785" spans="1:6" ht="38.25" x14ac:dyDescent="0.2">
      <c r="A3785" s="393">
        <v>105049</v>
      </c>
      <c r="B3785" s="485" t="s">
        <v>41256</v>
      </c>
      <c r="C3785" s="393" t="s">
        <v>0</v>
      </c>
      <c r="D3785" s="486">
        <v>0</v>
      </c>
      <c r="E3785" s="368"/>
      <c r="F3785" s="368"/>
    </row>
    <row r="3786" spans="1:6" ht="38.25" x14ac:dyDescent="0.2">
      <c r="A3786" s="391">
        <v>105051</v>
      </c>
      <c r="B3786" s="478" t="s">
        <v>41257</v>
      </c>
      <c r="C3786" s="391" t="s">
        <v>0</v>
      </c>
      <c r="D3786" s="479">
        <v>0</v>
      </c>
      <c r="E3786" s="368"/>
      <c r="F3786" s="368"/>
    </row>
    <row r="3787" spans="1:6" ht="38.25" x14ac:dyDescent="0.2">
      <c r="A3787" s="391">
        <v>105054</v>
      </c>
      <c r="B3787" s="478" t="s">
        <v>41258</v>
      </c>
      <c r="C3787" s="391" t="s">
        <v>0</v>
      </c>
      <c r="D3787" s="479">
        <v>0</v>
      </c>
      <c r="E3787" s="368"/>
      <c r="F3787" s="368"/>
    </row>
    <row r="3788" spans="1:6" ht="38.25" x14ac:dyDescent="0.2">
      <c r="A3788" s="391">
        <v>105052</v>
      </c>
      <c r="B3788" s="478" t="s">
        <v>41259</v>
      </c>
      <c r="C3788" s="391" t="s">
        <v>0</v>
      </c>
      <c r="D3788" s="479">
        <v>0</v>
      </c>
      <c r="E3788" s="368"/>
      <c r="F3788" s="368"/>
    </row>
    <row r="3789" spans="1:6" ht="38.25" x14ac:dyDescent="0.2">
      <c r="A3789" s="391">
        <v>105055</v>
      </c>
      <c r="B3789" s="478" t="s">
        <v>41260</v>
      </c>
      <c r="C3789" s="391" t="s">
        <v>0</v>
      </c>
      <c r="D3789" s="479">
        <v>0</v>
      </c>
      <c r="E3789" s="368"/>
      <c r="F3789" s="368"/>
    </row>
    <row r="3790" spans="1:6" ht="38.25" x14ac:dyDescent="0.2">
      <c r="A3790" s="391">
        <v>105065</v>
      </c>
      <c r="B3790" s="478" t="s">
        <v>41261</v>
      </c>
      <c r="C3790" s="391" t="s">
        <v>0</v>
      </c>
      <c r="D3790" s="479">
        <v>0</v>
      </c>
      <c r="E3790" s="368"/>
      <c r="F3790" s="368"/>
    </row>
    <row r="3791" spans="1:6" ht="38.25" x14ac:dyDescent="0.2">
      <c r="A3791" s="391">
        <v>105059</v>
      </c>
      <c r="B3791" s="478" t="s">
        <v>41262</v>
      </c>
      <c r="C3791" s="391" t="s">
        <v>0</v>
      </c>
      <c r="D3791" s="479">
        <v>0</v>
      </c>
      <c r="E3791" s="368"/>
      <c r="F3791" s="368"/>
    </row>
    <row r="3792" spans="1:6" ht="38.25" x14ac:dyDescent="0.2">
      <c r="A3792" s="391">
        <v>105057</v>
      </c>
      <c r="B3792" s="478" t="s">
        <v>41263</v>
      </c>
      <c r="C3792" s="391" t="s">
        <v>0</v>
      </c>
      <c r="D3792" s="479">
        <v>0</v>
      </c>
      <c r="E3792" s="368"/>
      <c r="F3792" s="368"/>
    </row>
    <row r="3793" spans="1:6" ht="38.25" x14ac:dyDescent="0.2">
      <c r="A3793" s="391">
        <v>105060</v>
      </c>
      <c r="B3793" s="478" t="s">
        <v>41264</v>
      </c>
      <c r="C3793" s="391" t="s">
        <v>0</v>
      </c>
      <c r="D3793" s="479">
        <v>0</v>
      </c>
      <c r="E3793" s="368"/>
      <c r="F3793" s="368"/>
    </row>
    <row r="3794" spans="1:6" ht="38.25" x14ac:dyDescent="0.2">
      <c r="A3794" s="391">
        <v>105042</v>
      </c>
      <c r="B3794" s="478" t="s">
        <v>2219</v>
      </c>
      <c r="C3794" s="391" t="s">
        <v>0</v>
      </c>
      <c r="D3794" s="479">
        <v>64.5</v>
      </c>
      <c r="E3794" s="368"/>
      <c r="F3794" s="368"/>
    </row>
    <row r="3795" spans="1:6" ht="38.25" x14ac:dyDescent="0.2">
      <c r="A3795" s="391">
        <v>105046</v>
      </c>
      <c r="B3795" s="478" t="s">
        <v>2221</v>
      </c>
      <c r="C3795" s="391" t="s">
        <v>0</v>
      </c>
      <c r="D3795" s="479">
        <v>54.6</v>
      </c>
      <c r="E3795" s="368"/>
      <c r="F3795" s="368"/>
    </row>
    <row r="3796" spans="1:6" ht="38.25" x14ac:dyDescent="0.2">
      <c r="A3796" s="391">
        <v>105095</v>
      </c>
      <c r="B3796" s="478" t="s">
        <v>2246</v>
      </c>
      <c r="C3796" s="391" t="s">
        <v>0</v>
      </c>
      <c r="D3796" s="479">
        <v>97.25</v>
      </c>
      <c r="E3796" s="368"/>
      <c r="F3796" s="368"/>
    </row>
    <row r="3797" spans="1:6" ht="38.25" x14ac:dyDescent="0.2">
      <c r="A3797" s="391">
        <v>105098</v>
      </c>
      <c r="B3797" s="478" t="s">
        <v>2247</v>
      </c>
      <c r="C3797" s="391" t="s">
        <v>0</v>
      </c>
      <c r="D3797" s="479">
        <v>87.38</v>
      </c>
      <c r="E3797" s="368"/>
      <c r="F3797" s="368"/>
    </row>
    <row r="3798" spans="1:6" ht="38.25" x14ac:dyDescent="0.2">
      <c r="A3798" s="391">
        <v>105050</v>
      </c>
      <c r="B3798" s="478" t="s">
        <v>2222</v>
      </c>
      <c r="C3798" s="391" t="s">
        <v>0</v>
      </c>
      <c r="D3798" s="479">
        <v>204.37</v>
      </c>
      <c r="E3798" s="368"/>
      <c r="F3798" s="368"/>
    </row>
    <row r="3799" spans="1:6" ht="38.25" x14ac:dyDescent="0.2">
      <c r="A3799" s="391">
        <v>105053</v>
      </c>
      <c r="B3799" s="478" t="s">
        <v>2223</v>
      </c>
      <c r="C3799" s="391" t="s">
        <v>0</v>
      </c>
      <c r="D3799" s="479">
        <v>194.62</v>
      </c>
      <c r="E3799" s="368"/>
      <c r="F3799" s="368"/>
    </row>
    <row r="3800" spans="1:6" ht="38.25" x14ac:dyDescent="0.2">
      <c r="A3800" s="391">
        <v>105056</v>
      </c>
      <c r="B3800" s="478" t="s">
        <v>2224</v>
      </c>
      <c r="C3800" s="391" t="s">
        <v>0</v>
      </c>
      <c r="D3800" s="479">
        <v>283.17</v>
      </c>
      <c r="E3800" s="368"/>
      <c r="F3800" s="368"/>
    </row>
    <row r="3801" spans="1:6" ht="38.25" x14ac:dyDescent="0.2">
      <c r="A3801" s="391">
        <v>105058</v>
      </c>
      <c r="B3801" s="478" t="s">
        <v>2225</v>
      </c>
      <c r="C3801" s="391" t="s">
        <v>0</v>
      </c>
      <c r="D3801" s="479">
        <v>274.08</v>
      </c>
      <c r="E3801" s="368"/>
      <c r="F3801" s="368"/>
    </row>
    <row r="3802" spans="1:6" ht="38.25" x14ac:dyDescent="0.2">
      <c r="A3802" s="391">
        <v>105062</v>
      </c>
      <c r="B3802" s="478" t="s">
        <v>41265</v>
      </c>
      <c r="C3802" s="391" t="s">
        <v>0</v>
      </c>
      <c r="D3802" s="479">
        <v>0</v>
      </c>
      <c r="E3802" s="368"/>
      <c r="F3802" s="368"/>
    </row>
    <row r="3803" spans="1:6" ht="38.25" x14ac:dyDescent="0.2">
      <c r="A3803" s="391">
        <v>105066</v>
      </c>
      <c r="B3803" s="478" t="s">
        <v>41266</v>
      </c>
      <c r="C3803" s="391" t="s">
        <v>0</v>
      </c>
      <c r="D3803" s="479">
        <v>0</v>
      </c>
      <c r="E3803" s="368"/>
      <c r="F3803" s="368"/>
    </row>
    <row r="3804" spans="1:6" ht="38.25" x14ac:dyDescent="0.2">
      <c r="A3804" s="391">
        <v>105063</v>
      </c>
      <c r="B3804" s="478" t="s">
        <v>41267</v>
      </c>
      <c r="C3804" s="391" t="s">
        <v>0</v>
      </c>
      <c r="D3804" s="479">
        <v>0</v>
      </c>
      <c r="E3804" s="368"/>
      <c r="F3804" s="368"/>
    </row>
    <row r="3805" spans="1:6" ht="38.25" x14ac:dyDescent="0.2">
      <c r="A3805" s="391">
        <v>105067</v>
      </c>
      <c r="B3805" s="478" t="s">
        <v>41268</v>
      </c>
      <c r="C3805" s="391" t="s">
        <v>0</v>
      </c>
      <c r="D3805" s="479">
        <v>0</v>
      </c>
      <c r="E3805" s="368"/>
      <c r="F3805" s="368"/>
    </row>
    <row r="3806" spans="1:6" ht="38.25" x14ac:dyDescent="0.2">
      <c r="A3806" s="391">
        <v>105069</v>
      </c>
      <c r="B3806" s="478" t="s">
        <v>41269</v>
      </c>
      <c r="C3806" s="391" t="s">
        <v>0</v>
      </c>
      <c r="D3806" s="479">
        <v>0</v>
      </c>
      <c r="E3806" s="368"/>
      <c r="F3806" s="368"/>
    </row>
    <row r="3807" spans="1:6" ht="38.25" x14ac:dyDescent="0.2">
      <c r="A3807" s="391">
        <v>105072</v>
      </c>
      <c r="B3807" s="478" t="s">
        <v>41270</v>
      </c>
      <c r="C3807" s="391" t="s">
        <v>0</v>
      </c>
      <c r="D3807" s="479">
        <v>0</v>
      </c>
      <c r="E3807" s="368"/>
      <c r="F3807" s="368"/>
    </row>
    <row r="3808" spans="1:6" ht="38.25" x14ac:dyDescent="0.2">
      <c r="A3808" s="391">
        <v>105070</v>
      </c>
      <c r="B3808" s="478" t="s">
        <v>41271</v>
      </c>
      <c r="C3808" s="391" t="s">
        <v>0</v>
      </c>
      <c r="D3808" s="479">
        <v>0</v>
      </c>
      <c r="E3808" s="368"/>
      <c r="F3808" s="368"/>
    </row>
    <row r="3809" spans="1:6" ht="38.25" x14ac:dyDescent="0.2">
      <c r="A3809" s="391">
        <v>105073</v>
      </c>
      <c r="B3809" s="478" t="s">
        <v>41272</v>
      </c>
      <c r="C3809" s="391" t="s">
        <v>0</v>
      </c>
      <c r="D3809" s="479">
        <v>0</v>
      </c>
      <c r="E3809" s="368"/>
      <c r="F3809" s="368"/>
    </row>
    <row r="3810" spans="1:6" ht="38.25" x14ac:dyDescent="0.2">
      <c r="A3810" s="391">
        <v>105075</v>
      </c>
      <c r="B3810" s="478" t="s">
        <v>41273</v>
      </c>
      <c r="C3810" s="391" t="s">
        <v>0</v>
      </c>
      <c r="D3810" s="479">
        <v>0</v>
      </c>
      <c r="E3810" s="368"/>
      <c r="F3810" s="368"/>
    </row>
    <row r="3811" spans="1:6" ht="38.25" x14ac:dyDescent="0.2">
      <c r="A3811" s="391">
        <v>105078</v>
      </c>
      <c r="B3811" s="478" t="s">
        <v>41274</v>
      </c>
      <c r="C3811" s="391" t="s">
        <v>0</v>
      </c>
      <c r="D3811" s="479">
        <v>0</v>
      </c>
      <c r="E3811" s="368"/>
      <c r="F3811" s="368"/>
    </row>
    <row r="3812" spans="1:6" ht="38.25" x14ac:dyDescent="0.2">
      <c r="A3812" s="391">
        <v>105076</v>
      </c>
      <c r="B3812" s="478" t="s">
        <v>41275</v>
      </c>
      <c r="C3812" s="391" t="s">
        <v>0</v>
      </c>
      <c r="D3812" s="479">
        <v>0</v>
      </c>
      <c r="E3812" s="368"/>
      <c r="F3812" s="368"/>
    </row>
    <row r="3813" spans="1:6" ht="38.25" x14ac:dyDescent="0.2">
      <c r="A3813" s="391">
        <v>105079</v>
      </c>
      <c r="B3813" s="478" t="s">
        <v>41276</v>
      </c>
      <c r="C3813" s="391" t="s">
        <v>0</v>
      </c>
      <c r="D3813" s="479">
        <v>0</v>
      </c>
      <c r="E3813" s="368"/>
      <c r="F3813" s="368"/>
    </row>
    <row r="3814" spans="1:6" ht="38.25" x14ac:dyDescent="0.2">
      <c r="A3814" s="391">
        <v>105061</v>
      </c>
      <c r="B3814" s="478" t="s">
        <v>2226</v>
      </c>
      <c r="C3814" s="391" t="s">
        <v>0</v>
      </c>
      <c r="D3814" s="479">
        <v>98.15</v>
      </c>
      <c r="E3814" s="368"/>
      <c r="F3814" s="368"/>
    </row>
    <row r="3815" spans="1:6" ht="38.25" x14ac:dyDescent="0.2">
      <c r="A3815" s="429">
        <v>105064</v>
      </c>
      <c r="B3815" s="484" t="s">
        <v>2227</v>
      </c>
      <c r="C3815" s="429" t="s">
        <v>0</v>
      </c>
      <c r="D3815" s="487">
        <v>85.52</v>
      </c>
      <c r="E3815" s="368"/>
      <c r="F3815" s="368"/>
    </row>
    <row r="3816" spans="1:6" ht="38.25" x14ac:dyDescent="0.2">
      <c r="A3816" s="391">
        <v>105068</v>
      </c>
      <c r="B3816" s="478" t="s">
        <v>2228</v>
      </c>
      <c r="C3816" s="391" t="s">
        <v>0</v>
      </c>
      <c r="D3816" s="479">
        <v>165.86</v>
      </c>
      <c r="E3816" s="368"/>
      <c r="F3816" s="368"/>
    </row>
    <row r="3817" spans="1:6" ht="38.25" x14ac:dyDescent="0.2">
      <c r="A3817" s="391">
        <v>105071</v>
      </c>
      <c r="B3817" s="478" t="s">
        <v>2229</v>
      </c>
      <c r="C3817" s="391" t="s">
        <v>0</v>
      </c>
      <c r="D3817" s="479">
        <v>153.26</v>
      </c>
      <c r="E3817" s="368"/>
      <c r="F3817" s="368"/>
    </row>
    <row r="3818" spans="1:6" ht="38.25" x14ac:dyDescent="0.2">
      <c r="A3818" s="391">
        <v>105074</v>
      </c>
      <c r="B3818" s="478" t="s">
        <v>2230</v>
      </c>
      <c r="C3818" s="391" t="s">
        <v>0</v>
      </c>
      <c r="D3818" s="479">
        <v>260.64</v>
      </c>
      <c r="E3818" s="368"/>
      <c r="F3818" s="368"/>
    </row>
    <row r="3819" spans="1:6" ht="38.25" x14ac:dyDescent="0.2">
      <c r="A3819" s="391">
        <v>105077</v>
      </c>
      <c r="B3819" s="478" t="s">
        <v>2231</v>
      </c>
      <c r="C3819" s="391" t="s">
        <v>0</v>
      </c>
      <c r="D3819" s="479">
        <v>248.09</v>
      </c>
      <c r="E3819" s="368"/>
      <c r="F3819" s="368"/>
    </row>
    <row r="3820" spans="1:6" ht="25.5" x14ac:dyDescent="0.2">
      <c r="A3820" s="391">
        <v>105090</v>
      </c>
      <c r="B3820" s="478" t="s">
        <v>2242</v>
      </c>
      <c r="C3820" s="391" t="s">
        <v>255</v>
      </c>
      <c r="D3820" s="479">
        <v>552.73</v>
      </c>
      <c r="E3820" s="368"/>
      <c r="F3820" s="368"/>
    </row>
    <row r="3821" spans="1:6" ht="25.5" x14ac:dyDescent="0.2">
      <c r="A3821" s="391">
        <v>105099</v>
      </c>
      <c r="B3821" s="478" t="s">
        <v>2248</v>
      </c>
      <c r="C3821" s="391" t="s">
        <v>0</v>
      </c>
      <c r="D3821" s="479">
        <v>83.93</v>
      </c>
      <c r="E3821" s="368"/>
      <c r="F3821" s="368"/>
    </row>
    <row r="3822" spans="1:6" ht="25.5" x14ac:dyDescent="0.2">
      <c r="A3822" s="391">
        <v>105100</v>
      </c>
      <c r="B3822" s="478" t="s">
        <v>2249</v>
      </c>
      <c r="C3822" s="391" t="s">
        <v>0</v>
      </c>
      <c r="D3822" s="479">
        <v>119.34</v>
      </c>
      <c r="E3822" s="368"/>
      <c r="F3822" s="368"/>
    </row>
    <row r="3823" spans="1:6" ht="25.5" x14ac:dyDescent="0.2">
      <c r="A3823" s="391">
        <v>105101</v>
      </c>
      <c r="B3823" s="478" t="s">
        <v>2250</v>
      </c>
      <c r="C3823" s="391" t="s">
        <v>0</v>
      </c>
      <c r="D3823" s="479">
        <v>231.98</v>
      </c>
      <c r="E3823" s="368"/>
      <c r="F3823" s="368"/>
    </row>
    <row r="3824" spans="1:6" ht="25.5" x14ac:dyDescent="0.2">
      <c r="A3824" s="391">
        <v>105102</v>
      </c>
      <c r="B3824" s="478" t="s">
        <v>2251</v>
      </c>
      <c r="C3824" s="391" t="s">
        <v>0</v>
      </c>
      <c r="D3824" s="479">
        <v>317.95999999999998</v>
      </c>
      <c r="E3824" s="368"/>
      <c r="F3824" s="368"/>
    </row>
    <row r="3825" spans="1:6" ht="25.5" x14ac:dyDescent="0.2">
      <c r="A3825" s="391">
        <v>105080</v>
      </c>
      <c r="B3825" s="478" t="s">
        <v>2232</v>
      </c>
      <c r="C3825" s="391" t="s">
        <v>0</v>
      </c>
      <c r="D3825" s="479">
        <v>69.78</v>
      </c>
      <c r="E3825" s="368"/>
      <c r="F3825" s="368"/>
    </row>
    <row r="3826" spans="1:6" ht="25.5" x14ac:dyDescent="0.2">
      <c r="A3826" s="391">
        <v>105081</v>
      </c>
      <c r="B3826" s="478" t="s">
        <v>2233</v>
      </c>
      <c r="C3826" s="391" t="s">
        <v>0</v>
      </c>
      <c r="D3826" s="479">
        <v>80.39</v>
      </c>
      <c r="E3826" s="368"/>
      <c r="F3826" s="368"/>
    </row>
    <row r="3827" spans="1:6" ht="25.5" x14ac:dyDescent="0.2">
      <c r="A3827" s="391">
        <v>105091</v>
      </c>
      <c r="B3827" s="478" t="s">
        <v>2243</v>
      </c>
      <c r="C3827" s="391" t="s">
        <v>0</v>
      </c>
      <c r="D3827" s="479">
        <v>138.84</v>
      </c>
      <c r="E3827" s="368"/>
      <c r="F3827" s="368"/>
    </row>
    <row r="3828" spans="1:6" ht="25.5" x14ac:dyDescent="0.2">
      <c r="A3828" s="391">
        <v>105089</v>
      </c>
      <c r="B3828" s="478" t="s">
        <v>2241</v>
      </c>
      <c r="C3828" s="391" t="s">
        <v>0</v>
      </c>
      <c r="D3828" s="479">
        <v>174.61</v>
      </c>
      <c r="E3828" s="368"/>
      <c r="F3828" s="368"/>
    </row>
    <row r="3829" spans="1:6" ht="25.5" x14ac:dyDescent="0.2">
      <c r="A3829" s="391">
        <v>105082</v>
      </c>
      <c r="B3829" s="478" t="s">
        <v>2234</v>
      </c>
      <c r="C3829" s="391" t="s">
        <v>0</v>
      </c>
      <c r="D3829" s="479">
        <v>72.67</v>
      </c>
      <c r="E3829" s="368"/>
      <c r="F3829" s="368"/>
    </row>
    <row r="3830" spans="1:6" ht="25.5" x14ac:dyDescent="0.2">
      <c r="A3830" s="391">
        <v>105083</v>
      </c>
      <c r="B3830" s="478" t="s">
        <v>2235</v>
      </c>
      <c r="C3830" s="391" t="s">
        <v>0</v>
      </c>
      <c r="D3830" s="479">
        <v>81.709999999999994</v>
      </c>
      <c r="E3830" s="368"/>
      <c r="F3830" s="368"/>
    </row>
    <row r="3831" spans="1:6" ht="25.5" x14ac:dyDescent="0.2">
      <c r="A3831" s="391">
        <v>105084</v>
      </c>
      <c r="B3831" s="478" t="s">
        <v>2236</v>
      </c>
      <c r="C3831" s="391" t="s">
        <v>0</v>
      </c>
      <c r="D3831" s="479">
        <v>101.06</v>
      </c>
      <c r="E3831" s="368"/>
      <c r="F3831" s="368"/>
    </row>
    <row r="3832" spans="1:6" ht="25.5" x14ac:dyDescent="0.2">
      <c r="A3832" s="391">
        <v>105086</v>
      </c>
      <c r="B3832" s="478" t="s">
        <v>2238</v>
      </c>
      <c r="C3832" s="391" t="s">
        <v>0</v>
      </c>
      <c r="D3832" s="479">
        <v>93.89</v>
      </c>
      <c r="E3832" s="368"/>
      <c r="F3832" s="368"/>
    </row>
    <row r="3833" spans="1:6" ht="25.5" x14ac:dyDescent="0.2">
      <c r="A3833" s="391">
        <v>105087</v>
      </c>
      <c r="B3833" s="478" t="s">
        <v>2239</v>
      </c>
      <c r="C3833" s="391" t="s">
        <v>0</v>
      </c>
      <c r="D3833" s="479">
        <v>105.2</v>
      </c>
      <c r="E3833" s="368"/>
      <c r="F3833" s="368"/>
    </row>
    <row r="3834" spans="1:6" ht="25.5" x14ac:dyDescent="0.2">
      <c r="A3834" s="391">
        <v>105088</v>
      </c>
      <c r="B3834" s="478" t="s">
        <v>2240</v>
      </c>
      <c r="C3834" s="391" t="s">
        <v>0</v>
      </c>
      <c r="D3834" s="479">
        <v>189.12</v>
      </c>
      <c r="E3834" s="368"/>
      <c r="F3834" s="368"/>
    </row>
    <row r="3835" spans="1:6" ht="25.5" x14ac:dyDescent="0.2">
      <c r="A3835" s="391">
        <v>105092</v>
      </c>
      <c r="B3835" s="478" t="s">
        <v>2244</v>
      </c>
      <c r="C3835" s="391" t="s">
        <v>0</v>
      </c>
      <c r="D3835" s="479">
        <v>150.94</v>
      </c>
      <c r="E3835" s="368"/>
      <c r="F3835" s="368"/>
    </row>
    <row r="3836" spans="1:6" ht="25.5" x14ac:dyDescent="0.2">
      <c r="A3836" s="391">
        <v>105085</v>
      </c>
      <c r="B3836" s="478" t="s">
        <v>2237</v>
      </c>
      <c r="C3836" s="391" t="s">
        <v>0</v>
      </c>
      <c r="D3836" s="479">
        <v>105.54</v>
      </c>
      <c r="E3836" s="368"/>
      <c r="F3836" s="368"/>
    </row>
    <row r="3837" spans="1:6" ht="25.5" x14ac:dyDescent="0.2">
      <c r="A3837" s="391">
        <v>105093</v>
      </c>
      <c r="B3837" s="478" t="s">
        <v>2245</v>
      </c>
      <c r="C3837" s="391" t="s">
        <v>0</v>
      </c>
      <c r="D3837" s="479">
        <v>152.85</v>
      </c>
      <c r="E3837" s="368"/>
      <c r="F3837" s="368"/>
    </row>
    <row r="3838" spans="1:6" ht="25.5" x14ac:dyDescent="0.2">
      <c r="A3838" s="391">
        <v>105041</v>
      </c>
      <c r="B3838" s="478" t="s">
        <v>2218</v>
      </c>
      <c r="C3838" s="391" t="s">
        <v>0</v>
      </c>
      <c r="D3838" s="479">
        <v>63.39</v>
      </c>
      <c r="E3838" s="368"/>
      <c r="F3838" s="368"/>
    </row>
    <row r="3839" spans="1:6" ht="25.5" x14ac:dyDescent="0.2">
      <c r="A3839" s="391">
        <v>105045</v>
      </c>
      <c r="B3839" s="478" t="s">
        <v>2220</v>
      </c>
      <c r="C3839" s="391" t="s">
        <v>0</v>
      </c>
      <c r="D3839" s="479">
        <v>73.5</v>
      </c>
      <c r="E3839" s="368"/>
      <c r="F3839" s="368"/>
    </row>
    <row r="3840" spans="1:6" ht="38.25" x14ac:dyDescent="0.2">
      <c r="A3840" s="391">
        <v>93961</v>
      </c>
      <c r="B3840" s="478" t="s">
        <v>39465</v>
      </c>
      <c r="C3840" s="391" t="s">
        <v>0</v>
      </c>
      <c r="D3840" s="479">
        <v>245.56</v>
      </c>
      <c r="E3840" s="368"/>
      <c r="F3840" s="368"/>
    </row>
    <row r="3841" spans="1:6" ht="38.25" x14ac:dyDescent="0.2">
      <c r="A3841" s="391">
        <v>93971</v>
      </c>
      <c r="B3841" s="478" t="s">
        <v>40470</v>
      </c>
      <c r="C3841" s="391" t="s">
        <v>0</v>
      </c>
      <c r="D3841" s="479">
        <v>205.21</v>
      </c>
      <c r="E3841" s="368"/>
      <c r="F3841" s="368"/>
    </row>
    <row r="3842" spans="1:6" ht="38.25" x14ac:dyDescent="0.2">
      <c r="A3842" s="391">
        <v>93959</v>
      </c>
      <c r="B3842" s="478" t="s">
        <v>39464</v>
      </c>
      <c r="C3842" s="391" t="s">
        <v>0</v>
      </c>
      <c r="D3842" s="479">
        <v>273.23</v>
      </c>
      <c r="E3842" s="368"/>
      <c r="F3842" s="368"/>
    </row>
    <row r="3843" spans="1:6" ht="38.25" x14ac:dyDescent="0.2">
      <c r="A3843" s="391">
        <v>93969</v>
      </c>
      <c r="B3843" s="478" t="s">
        <v>39467</v>
      </c>
      <c r="C3843" s="391" t="s">
        <v>0</v>
      </c>
      <c r="D3843" s="479">
        <v>227.46</v>
      </c>
      <c r="E3843" s="368"/>
      <c r="F3843" s="368"/>
    </row>
    <row r="3844" spans="1:6" ht="38.25" x14ac:dyDescent="0.2">
      <c r="A3844" s="391">
        <v>93957</v>
      </c>
      <c r="B3844" s="478" t="s">
        <v>39463</v>
      </c>
      <c r="C3844" s="391" t="s">
        <v>0</v>
      </c>
      <c r="D3844" s="479">
        <v>338.89</v>
      </c>
      <c r="E3844" s="368"/>
      <c r="F3844" s="368"/>
    </row>
    <row r="3845" spans="1:6" ht="38.25" x14ac:dyDescent="0.2">
      <c r="A3845" s="391">
        <v>93967</v>
      </c>
      <c r="B3845" s="478" t="s">
        <v>39466</v>
      </c>
      <c r="C3845" s="391" t="s">
        <v>0</v>
      </c>
      <c r="D3845" s="479">
        <v>282.10000000000002</v>
      </c>
      <c r="E3845" s="368"/>
      <c r="F3845" s="368"/>
    </row>
    <row r="3846" spans="1:6" ht="25.5" x14ac:dyDescent="0.2">
      <c r="A3846" s="391">
        <v>104878</v>
      </c>
      <c r="B3846" s="478" t="s">
        <v>1359</v>
      </c>
      <c r="C3846" s="391" t="s">
        <v>26</v>
      </c>
      <c r="D3846" s="479">
        <v>2322.67</v>
      </c>
      <c r="E3846" s="368"/>
      <c r="F3846" s="368"/>
    </row>
    <row r="3847" spans="1:6" ht="25.5" x14ac:dyDescent="0.2">
      <c r="A3847" s="391">
        <v>104877</v>
      </c>
      <c r="B3847" s="478" t="s">
        <v>1358</v>
      </c>
      <c r="C3847" s="391" t="s">
        <v>26</v>
      </c>
      <c r="D3847" s="479">
        <v>620.27</v>
      </c>
      <c r="E3847" s="368"/>
      <c r="F3847" s="368"/>
    </row>
    <row r="3848" spans="1:6" ht="51" x14ac:dyDescent="0.2">
      <c r="A3848" s="391">
        <v>104841</v>
      </c>
      <c r="B3848" s="478" t="s">
        <v>1342</v>
      </c>
      <c r="C3848" s="391" t="s">
        <v>0</v>
      </c>
      <c r="D3848" s="479">
        <v>84.09</v>
      </c>
      <c r="E3848" s="368"/>
      <c r="F3848" s="368"/>
    </row>
    <row r="3849" spans="1:6" ht="51" x14ac:dyDescent="0.2">
      <c r="A3849" s="391">
        <v>104849</v>
      </c>
      <c r="B3849" s="478" t="s">
        <v>1350</v>
      </c>
      <c r="C3849" s="391" t="s">
        <v>0</v>
      </c>
      <c r="D3849" s="479">
        <v>57.1</v>
      </c>
      <c r="E3849" s="368"/>
      <c r="F3849" s="368"/>
    </row>
    <row r="3850" spans="1:6" ht="38.25" x14ac:dyDescent="0.2">
      <c r="A3850" s="391">
        <v>104887</v>
      </c>
      <c r="B3850" s="478" t="s">
        <v>1363</v>
      </c>
      <c r="C3850" s="391" t="s">
        <v>0</v>
      </c>
      <c r="D3850" s="479">
        <v>44.53</v>
      </c>
      <c r="E3850" s="368"/>
      <c r="F3850" s="368"/>
    </row>
    <row r="3851" spans="1:6" ht="51" x14ac:dyDescent="0.2">
      <c r="A3851" s="391">
        <v>104844</v>
      </c>
      <c r="B3851" s="478" t="s">
        <v>1345</v>
      </c>
      <c r="C3851" s="391" t="s">
        <v>0</v>
      </c>
      <c r="D3851" s="479">
        <v>92.88</v>
      </c>
      <c r="E3851" s="368"/>
      <c r="F3851" s="368"/>
    </row>
    <row r="3852" spans="1:6" ht="51" x14ac:dyDescent="0.2">
      <c r="A3852" s="391">
        <v>104852</v>
      </c>
      <c r="B3852" s="478" t="s">
        <v>1353</v>
      </c>
      <c r="C3852" s="391" t="s">
        <v>0</v>
      </c>
      <c r="D3852" s="479">
        <v>62.9</v>
      </c>
      <c r="E3852" s="368"/>
      <c r="F3852" s="368"/>
    </row>
    <row r="3853" spans="1:6" ht="51" x14ac:dyDescent="0.2">
      <c r="A3853" s="391">
        <v>104846</v>
      </c>
      <c r="B3853" s="478" t="s">
        <v>1347</v>
      </c>
      <c r="C3853" s="391" t="s">
        <v>0</v>
      </c>
      <c r="D3853" s="479">
        <v>105.9</v>
      </c>
      <c r="E3853" s="368"/>
      <c r="F3853" s="368"/>
    </row>
    <row r="3854" spans="1:6" ht="51" x14ac:dyDescent="0.2">
      <c r="A3854" s="391">
        <v>104854</v>
      </c>
      <c r="B3854" s="478" t="s">
        <v>1355</v>
      </c>
      <c r="C3854" s="391" t="s">
        <v>0</v>
      </c>
      <c r="D3854" s="479">
        <v>71.5</v>
      </c>
      <c r="E3854" s="368"/>
      <c r="F3854" s="368"/>
    </row>
    <row r="3855" spans="1:6" ht="38.25" x14ac:dyDescent="0.2">
      <c r="A3855" s="391">
        <v>104890</v>
      </c>
      <c r="B3855" s="478" t="s">
        <v>1366</v>
      </c>
      <c r="C3855" s="391" t="s">
        <v>0</v>
      </c>
      <c r="D3855" s="479">
        <v>51.12</v>
      </c>
      <c r="E3855" s="368"/>
      <c r="F3855" s="368"/>
    </row>
    <row r="3856" spans="1:6" ht="51" x14ac:dyDescent="0.2">
      <c r="A3856" s="391">
        <v>104842</v>
      </c>
      <c r="B3856" s="478" t="s">
        <v>1343</v>
      </c>
      <c r="C3856" s="391" t="s">
        <v>0</v>
      </c>
      <c r="D3856" s="479">
        <v>71.81</v>
      </c>
      <c r="E3856" s="368"/>
      <c r="F3856" s="368"/>
    </row>
    <row r="3857" spans="1:6" ht="51" x14ac:dyDescent="0.2">
      <c r="A3857" s="391">
        <v>104850</v>
      </c>
      <c r="B3857" s="478" t="s">
        <v>1351</v>
      </c>
      <c r="C3857" s="391" t="s">
        <v>0</v>
      </c>
      <c r="D3857" s="479">
        <v>50.84</v>
      </c>
      <c r="E3857" s="368"/>
      <c r="F3857" s="368"/>
    </row>
    <row r="3858" spans="1:6" ht="38.25" x14ac:dyDescent="0.2">
      <c r="A3858" s="391">
        <v>104888</v>
      </c>
      <c r="B3858" s="478" t="s">
        <v>1364</v>
      </c>
      <c r="C3858" s="391" t="s">
        <v>0</v>
      </c>
      <c r="D3858" s="479">
        <v>40.39</v>
      </c>
      <c r="E3858" s="368"/>
      <c r="F3858" s="368"/>
    </row>
    <row r="3859" spans="1:6" ht="51" x14ac:dyDescent="0.2">
      <c r="A3859" s="391">
        <v>104879</v>
      </c>
      <c r="B3859" s="478" t="s">
        <v>1360</v>
      </c>
      <c r="C3859" s="391" t="s">
        <v>0</v>
      </c>
      <c r="D3859" s="479">
        <v>79.14</v>
      </c>
      <c r="E3859" s="368"/>
      <c r="F3859" s="368"/>
    </row>
    <row r="3860" spans="1:6" ht="51" x14ac:dyDescent="0.2">
      <c r="A3860" s="391">
        <v>104853</v>
      </c>
      <c r="B3860" s="478" t="s">
        <v>1354</v>
      </c>
      <c r="C3860" s="391" t="s">
        <v>0</v>
      </c>
      <c r="D3860" s="479">
        <v>55.7</v>
      </c>
      <c r="E3860" s="368"/>
      <c r="F3860" s="368"/>
    </row>
    <row r="3861" spans="1:6" ht="51" x14ac:dyDescent="0.2">
      <c r="A3861" s="391">
        <v>104847</v>
      </c>
      <c r="B3861" s="478" t="s">
        <v>1348</v>
      </c>
      <c r="C3861" s="391" t="s">
        <v>0</v>
      </c>
      <c r="D3861" s="479">
        <v>89.98</v>
      </c>
      <c r="E3861" s="368"/>
      <c r="F3861" s="368"/>
    </row>
    <row r="3862" spans="1:6" ht="51" x14ac:dyDescent="0.2">
      <c r="A3862" s="391">
        <v>104855</v>
      </c>
      <c r="B3862" s="478" t="s">
        <v>1356</v>
      </c>
      <c r="C3862" s="391" t="s">
        <v>0</v>
      </c>
      <c r="D3862" s="479">
        <v>62.86</v>
      </c>
      <c r="E3862" s="368"/>
      <c r="F3862" s="368"/>
    </row>
    <row r="3863" spans="1:6" ht="38.25" x14ac:dyDescent="0.2">
      <c r="A3863" s="391">
        <v>104891</v>
      </c>
      <c r="B3863" s="478" t="s">
        <v>1367</v>
      </c>
      <c r="C3863" s="391" t="s">
        <v>0</v>
      </c>
      <c r="D3863" s="479">
        <v>45.94</v>
      </c>
      <c r="E3863" s="368"/>
      <c r="F3863" s="368"/>
    </row>
    <row r="3864" spans="1:6" ht="51" x14ac:dyDescent="0.2">
      <c r="A3864" s="391">
        <v>104892</v>
      </c>
      <c r="B3864" s="478" t="s">
        <v>1368</v>
      </c>
      <c r="C3864" s="391" t="s">
        <v>0</v>
      </c>
      <c r="D3864" s="479">
        <v>104.61</v>
      </c>
      <c r="E3864" s="368"/>
      <c r="F3864" s="368"/>
    </row>
    <row r="3865" spans="1:6" ht="51" x14ac:dyDescent="0.2">
      <c r="A3865" s="391">
        <v>104848</v>
      </c>
      <c r="B3865" s="478" t="s">
        <v>1349</v>
      </c>
      <c r="C3865" s="391" t="s">
        <v>0</v>
      </c>
      <c r="D3865" s="479">
        <v>66.44</v>
      </c>
      <c r="E3865" s="368"/>
      <c r="F3865" s="368"/>
    </row>
    <row r="3866" spans="1:6" ht="38.25" x14ac:dyDescent="0.2">
      <c r="A3866" s="391">
        <v>104886</v>
      </c>
      <c r="B3866" s="478" t="s">
        <v>1362</v>
      </c>
      <c r="C3866" s="391" t="s">
        <v>0</v>
      </c>
      <c r="D3866" s="479">
        <v>50.65</v>
      </c>
      <c r="E3866" s="368"/>
      <c r="F3866" s="368"/>
    </row>
    <row r="3867" spans="1:6" ht="51" x14ac:dyDescent="0.2">
      <c r="A3867" s="391">
        <v>104843</v>
      </c>
      <c r="B3867" s="478" t="s">
        <v>1344</v>
      </c>
      <c r="C3867" s="391" t="s">
        <v>0</v>
      </c>
      <c r="D3867" s="479">
        <v>115.55</v>
      </c>
      <c r="E3867" s="368"/>
      <c r="F3867" s="368"/>
    </row>
    <row r="3868" spans="1:6" ht="51" x14ac:dyDescent="0.2">
      <c r="A3868" s="391">
        <v>104851</v>
      </c>
      <c r="B3868" s="478" t="s">
        <v>1352</v>
      </c>
      <c r="C3868" s="391" t="s">
        <v>0</v>
      </c>
      <c r="D3868" s="479">
        <v>73.67</v>
      </c>
      <c r="E3868" s="368"/>
      <c r="F3868" s="368"/>
    </row>
    <row r="3869" spans="1:6" ht="51" x14ac:dyDescent="0.2">
      <c r="A3869" s="391">
        <v>104845</v>
      </c>
      <c r="B3869" s="478" t="s">
        <v>1346</v>
      </c>
      <c r="C3869" s="391" t="s">
        <v>0</v>
      </c>
      <c r="D3869" s="479">
        <v>131.76</v>
      </c>
      <c r="E3869" s="368"/>
      <c r="F3869" s="368"/>
    </row>
    <row r="3870" spans="1:6" ht="51" x14ac:dyDescent="0.2">
      <c r="A3870" s="391">
        <v>104880</v>
      </c>
      <c r="B3870" s="478" t="s">
        <v>1361</v>
      </c>
      <c r="C3870" s="391" t="s">
        <v>0</v>
      </c>
      <c r="D3870" s="479">
        <v>84.37</v>
      </c>
      <c r="E3870" s="368"/>
      <c r="F3870" s="368"/>
    </row>
    <row r="3871" spans="1:6" ht="38.25" x14ac:dyDescent="0.2">
      <c r="A3871" s="391">
        <v>104889</v>
      </c>
      <c r="B3871" s="478" t="s">
        <v>1365</v>
      </c>
      <c r="C3871" s="391" t="s">
        <v>0</v>
      </c>
      <c r="D3871" s="479">
        <v>58.84</v>
      </c>
      <c r="E3871" s="368"/>
      <c r="F3871" s="368"/>
    </row>
    <row r="3872" spans="1:6" ht="25.5" x14ac:dyDescent="0.2">
      <c r="A3872" s="391">
        <v>95108</v>
      </c>
      <c r="B3872" s="478" t="s">
        <v>1341</v>
      </c>
      <c r="C3872" s="391" t="s">
        <v>26</v>
      </c>
      <c r="D3872" s="479">
        <v>36.83</v>
      </c>
      <c r="E3872" s="368"/>
      <c r="F3872" s="368"/>
    </row>
    <row r="3873" spans="1:6" ht="38.25" x14ac:dyDescent="0.2">
      <c r="A3873" s="391">
        <v>104857</v>
      </c>
      <c r="B3873" s="478" t="s">
        <v>41277</v>
      </c>
      <c r="C3873" s="391" t="s">
        <v>0</v>
      </c>
      <c r="D3873" s="479">
        <v>0</v>
      </c>
      <c r="E3873" s="368"/>
      <c r="F3873" s="368"/>
    </row>
    <row r="3874" spans="1:6" ht="38.25" x14ac:dyDescent="0.2">
      <c r="A3874" s="391">
        <v>104859</v>
      </c>
      <c r="B3874" s="478" t="s">
        <v>41278</v>
      </c>
      <c r="C3874" s="391" t="s">
        <v>0</v>
      </c>
      <c r="D3874" s="479">
        <v>0</v>
      </c>
      <c r="E3874" s="368"/>
      <c r="F3874" s="368"/>
    </row>
    <row r="3875" spans="1:6" ht="38.25" x14ac:dyDescent="0.2">
      <c r="A3875" s="391">
        <v>104861</v>
      </c>
      <c r="B3875" s="478" t="s">
        <v>41279</v>
      </c>
      <c r="C3875" s="391" t="s">
        <v>0</v>
      </c>
      <c r="D3875" s="479">
        <v>0</v>
      </c>
      <c r="E3875" s="368"/>
      <c r="F3875" s="368"/>
    </row>
    <row r="3876" spans="1:6" ht="51" x14ac:dyDescent="0.2">
      <c r="A3876" s="391">
        <v>104856</v>
      </c>
      <c r="B3876" s="478" t="s">
        <v>41280</v>
      </c>
      <c r="C3876" s="391" t="s">
        <v>0</v>
      </c>
      <c r="D3876" s="479">
        <v>0</v>
      </c>
      <c r="E3876" s="368"/>
      <c r="F3876" s="368"/>
    </row>
    <row r="3877" spans="1:6" ht="51" x14ac:dyDescent="0.2">
      <c r="A3877" s="391">
        <v>104858</v>
      </c>
      <c r="B3877" s="478" t="s">
        <v>41281</v>
      </c>
      <c r="C3877" s="391" t="s">
        <v>0</v>
      </c>
      <c r="D3877" s="479">
        <v>0</v>
      </c>
      <c r="E3877" s="368"/>
      <c r="F3877" s="368"/>
    </row>
    <row r="3878" spans="1:6" ht="51" x14ac:dyDescent="0.2">
      <c r="A3878" s="391">
        <v>104860</v>
      </c>
      <c r="B3878" s="478" t="s">
        <v>41282</v>
      </c>
      <c r="C3878" s="391" t="s">
        <v>0</v>
      </c>
      <c r="D3878" s="479">
        <v>0</v>
      </c>
      <c r="E3878" s="368"/>
      <c r="F3878" s="368"/>
    </row>
    <row r="3879" spans="1:6" ht="38.25" x14ac:dyDescent="0.2">
      <c r="A3879" s="391">
        <v>104871</v>
      </c>
      <c r="B3879" s="478" t="s">
        <v>41283</v>
      </c>
      <c r="C3879" s="391" t="s">
        <v>0</v>
      </c>
      <c r="D3879" s="479">
        <v>0</v>
      </c>
      <c r="E3879" s="368"/>
      <c r="F3879" s="368"/>
    </row>
    <row r="3880" spans="1:6" ht="38.25" x14ac:dyDescent="0.2">
      <c r="A3880" s="391">
        <v>104883</v>
      </c>
      <c r="B3880" s="478" t="s">
        <v>41284</v>
      </c>
      <c r="C3880" s="391" t="s">
        <v>0</v>
      </c>
      <c r="D3880" s="479">
        <v>0</v>
      </c>
      <c r="E3880" s="368"/>
      <c r="F3880" s="368"/>
    </row>
    <row r="3881" spans="1:6" ht="38.25" x14ac:dyDescent="0.2">
      <c r="A3881" s="391">
        <v>104865</v>
      </c>
      <c r="B3881" s="478" t="s">
        <v>41285</v>
      </c>
      <c r="C3881" s="391" t="s">
        <v>0</v>
      </c>
      <c r="D3881" s="479">
        <v>0</v>
      </c>
      <c r="E3881" s="368"/>
      <c r="F3881" s="368"/>
    </row>
    <row r="3882" spans="1:6" ht="38.25" x14ac:dyDescent="0.2">
      <c r="A3882" s="391">
        <v>104872</v>
      </c>
      <c r="B3882" s="478" t="s">
        <v>41286</v>
      </c>
      <c r="C3882" s="391" t="s">
        <v>0</v>
      </c>
      <c r="D3882" s="479">
        <v>0</v>
      </c>
      <c r="E3882" s="368"/>
      <c r="F3882" s="368"/>
    </row>
    <row r="3883" spans="1:6" ht="38.25" x14ac:dyDescent="0.2">
      <c r="A3883" s="391">
        <v>104884</v>
      </c>
      <c r="B3883" s="478" t="s">
        <v>41287</v>
      </c>
      <c r="C3883" s="391" t="s">
        <v>0</v>
      </c>
      <c r="D3883" s="479">
        <v>0</v>
      </c>
      <c r="E3883" s="368"/>
      <c r="F3883" s="368"/>
    </row>
    <row r="3884" spans="1:6" ht="38.25" x14ac:dyDescent="0.2">
      <c r="A3884" s="391">
        <v>104866</v>
      </c>
      <c r="B3884" s="478" t="s">
        <v>41288</v>
      </c>
      <c r="C3884" s="391" t="s">
        <v>0</v>
      </c>
      <c r="D3884" s="479">
        <v>0</v>
      </c>
      <c r="E3884" s="368"/>
      <c r="F3884" s="368"/>
    </row>
    <row r="3885" spans="1:6" ht="38.25" x14ac:dyDescent="0.2">
      <c r="A3885" s="391">
        <v>104873</v>
      </c>
      <c r="B3885" s="478" t="s">
        <v>41289</v>
      </c>
      <c r="C3885" s="391" t="s">
        <v>0</v>
      </c>
      <c r="D3885" s="479">
        <v>0</v>
      </c>
      <c r="E3885" s="368"/>
      <c r="F3885" s="368"/>
    </row>
    <row r="3886" spans="1:6" ht="38.25" x14ac:dyDescent="0.2">
      <c r="A3886" s="391">
        <v>104885</v>
      </c>
      <c r="B3886" s="478" t="s">
        <v>41290</v>
      </c>
      <c r="C3886" s="391" t="s">
        <v>0</v>
      </c>
      <c r="D3886" s="479">
        <v>0</v>
      </c>
      <c r="E3886" s="368"/>
      <c r="F3886" s="368"/>
    </row>
    <row r="3887" spans="1:6" ht="38.25" x14ac:dyDescent="0.2">
      <c r="A3887" s="391">
        <v>104867</v>
      </c>
      <c r="B3887" s="478" t="s">
        <v>41291</v>
      </c>
      <c r="C3887" s="391" t="s">
        <v>0</v>
      </c>
      <c r="D3887" s="479">
        <v>0</v>
      </c>
      <c r="E3887" s="368"/>
      <c r="F3887" s="368"/>
    </row>
    <row r="3888" spans="1:6" ht="38.25" x14ac:dyDescent="0.2">
      <c r="A3888" s="391">
        <v>104868</v>
      </c>
      <c r="B3888" s="478" t="s">
        <v>41292</v>
      </c>
      <c r="C3888" s="391" t="s">
        <v>0</v>
      </c>
      <c r="D3888" s="479">
        <v>0</v>
      </c>
      <c r="E3888" s="368"/>
      <c r="F3888" s="368"/>
    </row>
    <row r="3889" spans="1:6" ht="38.25" x14ac:dyDescent="0.2">
      <c r="A3889" s="391">
        <v>104874</v>
      </c>
      <c r="B3889" s="478" t="s">
        <v>41293</v>
      </c>
      <c r="C3889" s="391" t="s">
        <v>0</v>
      </c>
      <c r="D3889" s="479">
        <v>0</v>
      </c>
      <c r="E3889" s="368"/>
      <c r="F3889" s="368"/>
    </row>
    <row r="3890" spans="1:6" ht="38.25" x14ac:dyDescent="0.2">
      <c r="A3890" s="391">
        <v>104862</v>
      </c>
      <c r="B3890" s="478" t="s">
        <v>41294</v>
      </c>
      <c r="C3890" s="391" t="s">
        <v>0</v>
      </c>
      <c r="D3890" s="479">
        <v>0</v>
      </c>
      <c r="E3890" s="368"/>
      <c r="F3890" s="368"/>
    </row>
    <row r="3891" spans="1:6" ht="38.25" x14ac:dyDescent="0.2">
      <c r="A3891" s="391">
        <v>104869</v>
      </c>
      <c r="B3891" s="478" t="s">
        <v>41295</v>
      </c>
      <c r="C3891" s="391" t="s">
        <v>0</v>
      </c>
      <c r="D3891" s="479">
        <v>0</v>
      </c>
      <c r="E3891" s="368"/>
      <c r="F3891" s="368"/>
    </row>
    <row r="3892" spans="1:6" ht="38.25" x14ac:dyDescent="0.2">
      <c r="A3892" s="391">
        <v>104881</v>
      </c>
      <c r="B3892" s="478" t="s">
        <v>41296</v>
      </c>
      <c r="C3892" s="391" t="s">
        <v>0</v>
      </c>
      <c r="D3892" s="479">
        <v>0</v>
      </c>
      <c r="E3892" s="368"/>
      <c r="F3892" s="368"/>
    </row>
    <row r="3893" spans="1:6" ht="38.25" x14ac:dyDescent="0.2">
      <c r="A3893" s="391">
        <v>104863</v>
      </c>
      <c r="B3893" s="478" t="s">
        <v>41297</v>
      </c>
      <c r="C3893" s="391" t="s">
        <v>0</v>
      </c>
      <c r="D3893" s="479">
        <v>0</v>
      </c>
      <c r="E3893" s="368"/>
      <c r="F3893" s="368"/>
    </row>
    <row r="3894" spans="1:6" ht="38.25" x14ac:dyDescent="0.2">
      <c r="A3894" s="391">
        <v>104870</v>
      </c>
      <c r="B3894" s="478" t="s">
        <v>41298</v>
      </c>
      <c r="C3894" s="391" t="s">
        <v>0</v>
      </c>
      <c r="D3894" s="479">
        <v>0</v>
      </c>
      <c r="E3894" s="368"/>
      <c r="F3894" s="368"/>
    </row>
    <row r="3895" spans="1:6" ht="38.25" x14ac:dyDescent="0.2">
      <c r="A3895" s="391">
        <v>104882</v>
      </c>
      <c r="B3895" s="478" t="s">
        <v>41299</v>
      </c>
      <c r="C3895" s="391" t="s">
        <v>0</v>
      </c>
      <c r="D3895" s="479">
        <v>0</v>
      </c>
      <c r="E3895" s="368"/>
      <c r="F3895" s="368"/>
    </row>
    <row r="3896" spans="1:6" ht="38.25" x14ac:dyDescent="0.2">
      <c r="A3896" s="391">
        <v>104864</v>
      </c>
      <c r="B3896" s="478" t="s">
        <v>41300</v>
      </c>
      <c r="C3896" s="391" t="s">
        <v>0</v>
      </c>
      <c r="D3896" s="479">
        <v>0</v>
      </c>
      <c r="E3896" s="368"/>
      <c r="F3896" s="368"/>
    </row>
    <row r="3897" spans="1:6" ht="25.5" x14ac:dyDescent="0.2">
      <c r="A3897" s="391">
        <v>104876</v>
      </c>
      <c r="B3897" s="478" t="s">
        <v>1357</v>
      </c>
      <c r="C3897" s="391" t="s">
        <v>26</v>
      </c>
      <c r="D3897" s="479">
        <v>24.03</v>
      </c>
      <c r="E3897" s="368"/>
      <c r="F3897" s="368"/>
    </row>
    <row r="3898" spans="1:6" ht="25.5" x14ac:dyDescent="0.2">
      <c r="A3898" s="391">
        <v>104875</v>
      </c>
      <c r="B3898" s="478" t="s">
        <v>40480</v>
      </c>
      <c r="C3898" s="391" t="s">
        <v>0</v>
      </c>
      <c r="D3898" s="479">
        <v>123.83</v>
      </c>
      <c r="E3898" s="368"/>
      <c r="F3898" s="368"/>
    </row>
    <row r="3899" spans="1:6" ht="25.5" x14ac:dyDescent="0.2">
      <c r="A3899" s="391">
        <v>105942</v>
      </c>
      <c r="B3899" s="478" t="s">
        <v>47664</v>
      </c>
      <c r="C3899" s="391" t="s">
        <v>0</v>
      </c>
      <c r="D3899" s="479">
        <v>0</v>
      </c>
      <c r="E3899" s="368"/>
      <c r="F3899" s="368"/>
    </row>
    <row r="3900" spans="1:6" ht="25.5" x14ac:dyDescent="0.2">
      <c r="A3900" s="391">
        <v>105943</v>
      </c>
      <c r="B3900" s="478" t="s">
        <v>47665</v>
      </c>
      <c r="C3900" s="391" t="s">
        <v>0</v>
      </c>
      <c r="D3900" s="479">
        <v>0</v>
      </c>
      <c r="E3900" s="368"/>
      <c r="F3900" s="368"/>
    </row>
    <row r="3901" spans="1:6" ht="38.25" x14ac:dyDescent="0.2">
      <c r="A3901" s="391">
        <v>105941</v>
      </c>
      <c r="B3901" s="478" t="s">
        <v>47666</v>
      </c>
      <c r="C3901" s="391" t="s">
        <v>255</v>
      </c>
      <c r="D3901" s="479">
        <v>0</v>
      </c>
      <c r="E3901" s="368"/>
      <c r="F3901" s="368"/>
    </row>
    <row r="3902" spans="1:6" ht="38.25" x14ac:dyDescent="0.2">
      <c r="A3902" s="391">
        <v>105940</v>
      </c>
      <c r="B3902" s="478" t="s">
        <v>47667</v>
      </c>
      <c r="C3902" s="391" t="s">
        <v>255</v>
      </c>
      <c r="D3902" s="479">
        <v>0</v>
      </c>
      <c r="E3902" s="368"/>
      <c r="F3902" s="368"/>
    </row>
    <row r="3903" spans="1:6" ht="38.25" x14ac:dyDescent="0.2">
      <c r="A3903" s="391">
        <v>105938</v>
      </c>
      <c r="B3903" s="478" t="s">
        <v>47668</v>
      </c>
      <c r="C3903" s="391" t="s">
        <v>255</v>
      </c>
      <c r="D3903" s="479">
        <v>0</v>
      </c>
      <c r="E3903" s="368"/>
      <c r="F3903" s="368"/>
    </row>
    <row r="3904" spans="1:6" ht="38.25" x14ac:dyDescent="0.2">
      <c r="A3904" s="391">
        <v>105939</v>
      </c>
      <c r="B3904" s="478" t="s">
        <v>47669</v>
      </c>
      <c r="C3904" s="391" t="s">
        <v>255</v>
      </c>
      <c r="D3904" s="479">
        <v>0</v>
      </c>
      <c r="E3904" s="368"/>
      <c r="F3904" s="368"/>
    </row>
    <row r="3905" spans="1:6" x14ac:dyDescent="0.2">
      <c r="A3905" s="391">
        <v>96120</v>
      </c>
      <c r="B3905" s="478" t="s">
        <v>5051</v>
      </c>
      <c r="C3905" s="391" t="s">
        <v>0</v>
      </c>
      <c r="D3905" s="479">
        <v>3</v>
      </c>
      <c r="E3905" s="368"/>
      <c r="F3905" s="368"/>
    </row>
    <row r="3906" spans="1:6" ht="25.5" x14ac:dyDescent="0.2">
      <c r="A3906" s="391">
        <v>96123</v>
      </c>
      <c r="B3906" s="478" t="s">
        <v>5052</v>
      </c>
      <c r="C3906" s="391" t="s">
        <v>0</v>
      </c>
      <c r="D3906" s="479">
        <v>32</v>
      </c>
      <c r="E3906" s="368"/>
      <c r="F3906" s="368"/>
    </row>
    <row r="3907" spans="1:6" x14ac:dyDescent="0.2">
      <c r="A3907" s="391">
        <v>96122</v>
      </c>
      <c r="B3907" s="478" t="s">
        <v>5045</v>
      </c>
      <c r="C3907" s="391" t="s">
        <v>0</v>
      </c>
      <c r="D3907" s="479">
        <v>45.79</v>
      </c>
      <c r="E3907" s="368"/>
      <c r="F3907" s="368"/>
    </row>
    <row r="3908" spans="1:6" ht="25.5" x14ac:dyDescent="0.2">
      <c r="A3908" s="391">
        <v>96121</v>
      </c>
      <c r="B3908" s="478" t="s">
        <v>5056</v>
      </c>
      <c r="C3908" s="391" t="s">
        <v>0</v>
      </c>
      <c r="D3908" s="479">
        <v>12.66</v>
      </c>
      <c r="E3908" s="368"/>
      <c r="F3908" s="368"/>
    </row>
    <row r="3909" spans="1:6" ht="25.5" x14ac:dyDescent="0.2">
      <c r="A3909" s="391">
        <v>99054</v>
      </c>
      <c r="B3909" s="478" t="s">
        <v>5053</v>
      </c>
      <c r="C3909" s="391" t="s">
        <v>255</v>
      </c>
      <c r="D3909" s="479">
        <v>58.51</v>
      </c>
      <c r="E3909" s="368"/>
      <c r="F3909" s="368"/>
    </row>
    <row r="3910" spans="1:6" ht="25.5" x14ac:dyDescent="0.2">
      <c r="A3910" s="391">
        <v>96110</v>
      </c>
      <c r="B3910" s="478" t="s">
        <v>5048</v>
      </c>
      <c r="C3910" s="391" t="s">
        <v>255</v>
      </c>
      <c r="D3910" s="479">
        <v>77.959999999999994</v>
      </c>
      <c r="E3910" s="368"/>
      <c r="F3910" s="368"/>
    </row>
    <row r="3911" spans="1:6" ht="25.5" x14ac:dyDescent="0.2">
      <c r="A3911" s="391">
        <v>96114</v>
      </c>
      <c r="B3911" s="478" t="s">
        <v>5050</v>
      </c>
      <c r="C3911" s="391" t="s">
        <v>255</v>
      </c>
      <c r="D3911" s="479">
        <v>80.7</v>
      </c>
      <c r="E3911" s="368"/>
      <c r="F3911" s="368"/>
    </row>
    <row r="3912" spans="1:6" ht="25.5" x14ac:dyDescent="0.2">
      <c r="A3912" s="391">
        <v>104757</v>
      </c>
      <c r="B3912" s="478" t="s">
        <v>41301</v>
      </c>
      <c r="C3912" s="391" t="s">
        <v>255</v>
      </c>
      <c r="D3912" s="479">
        <v>0</v>
      </c>
      <c r="E3912" s="368"/>
      <c r="F3912" s="368"/>
    </row>
    <row r="3913" spans="1:6" ht="25.5" x14ac:dyDescent="0.2">
      <c r="A3913" s="391">
        <v>104756</v>
      </c>
      <c r="B3913" s="478" t="s">
        <v>5046</v>
      </c>
      <c r="C3913" s="391" t="s">
        <v>255</v>
      </c>
      <c r="D3913" s="479">
        <v>193.74</v>
      </c>
      <c r="E3913" s="368"/>
      <c r="F3913" s="368"/>
    </row>
    <row r="3914" spans="1:6" ht="25.5" x14ac:dyDescent="0.2">
      <c r="A3914" s="391">
        <v>96112</v>
      </c>
      <c r="B3914" s="478" t="s">
        <v>5044</v>
      </c>
      <c r="C3914" s="391" t="s">
        <v>255</v>
      </c>
      <c r="D3914" s="479">
        <v>141.6</v>
      </c>
      <c r="E3914" s="368"/>
      <c r="F3914" s="368"/>
    </row>
    <row r="3915" spans="1:6" x14ac:dyDescent="0.2">
      <c r="A3915" s="391">
        <v>96113</v>
      </c>
      <c r="B3915" s="478" t="s">
        <v>5049</v>
      </c>
      <c r="C3915" s="391" t="s">
        <v>255</v>
      </c>
      <c r="D3915" s="479">
        <v>46.32</v>
      </c>
      <c r="E3915" s="368"/>
      <c r="F3915" s="368"/>
    </row>
    <row r="3916" spans="1:6" ht="25.5" x14ac:dyDescent="0.2">
      <c r="A3916" s="391">
        <v>96109</v>
      </c>
      <c r="B3916" s="478" t="s">
        <v>5047</v>
      </c>
      <c r="C3916" s="391" t="s">
        <v>255</v>
      </c>
      <c r="D3916" s="479">
        <v>51.25</v>
      </c>
      <c r="E3916" s="368"/>
      <c r="F3916" s="368"/>
    </row>
    <row r="3917" spans="1:6" ht="25.5" x14ac:dyDescent="0.2">
      <c r="A3917" s="391">
        <v>96116</v>
      </c>
      <c r="B3917" s="478" t="s">
        <v>5055</v>
      </c>
      <c r="C3917" s="391" t="s">
        <v>255</v>
      </c>
      <c r="D3917" s="479">
        <v>74.09</v>
      </c>
      <c r="E3917" s="368"/>
      <c r="F3917" s="368"/>
    </row>
    <row r="3918" spans="1:6" ht="25.5" x14ac:dyDescent="0.2">
      <c r="A3918" s="391">
        <v>96111</v>
      </c>
      <c r="B3918" s="478" t="s">
        <v>5054</v>
      </c>
      <c r="C3918" s="391" t="s">
        <v>255</v>
      </c>
      <c r="D3918" s="479">
        <v>69.59</v>
      </c>
      <c r="E3918" s="368"/>
      <c r="F3918" s="368"/>
    </row>
    <row r="3919" spans="1:6" ht="25.5" x14ac:dyDescent="0.2">
      <c r="A3919" s="391">
        <v>96486</v>
      </c>
      <c r="B3919" s="478" t="s">
        <v>5058</v>
      </c>
      <c r="C3919" s="391" t="s">
        <v>255</v>
      </c>
      <c r="D3919" s="479">
        <v>85.55</v>
      </c>
      <c r="E3919" s="368"/>
      <c r="F3919" s="368"/>
    </row>
    <row r="3920" spans="1:6" ht="25.5" x14ac:dyDescent="0.2">
      <c r="A3920" s="391">
        <v>96485</v>
      </c>
      <c r="B3920" s="478" t="s">
        <v>5057</v>
      </c>
      <c r="C3920" s="391" t="s">
        <v>255</v>
      </c>
      <c r="D3920" s="479">
        <v>81.05</v>
      </c>
      <c r="E3920" s="368"/>
      <c r="F3920" s="368"/>
    </row>
    <row r="3921" spans="1:6" ht="25.5" x14ac:dyDescent="0.2">
      <c r="A3921" s="391">
        <v>97557</v>
      </c>
      <c r="B3921" s="478" t="s">
        <v>41302</v>
      </c>
      <c r="C3921" s="391" t="s">
        <v>255</v>
      </c>
      <c r="D3921" s="479">
        <v>0</v>
      </c>
      <c r="E3921" s="368"/>
      <c r="F3921" s="368"/>
    </row>
    <row r="3922" spans="1:6" ht="38.25" x14ac:dyDescent="0.2">
      <c r="A3922" s="391">
        <v>101807</v>
      </c>
      <c r="B3922" s="478" t="s">
        <v>1461</v>
      </c>
      <c r="C3922" s="391" t="s">
        <v>26</v>
      </c>
      <c r="D3922" s="479">
        <v>501.54</v>
      </c>
      <c r="E3922" s="368"/>
      <c r="F3922" s="368"/>
    </row>
    <row r="3923" spans="1:6" ht="38.25" x14ac:dyDescent="0.2">
      <c r="A3923" s="391">
        <v>101806</v>
      </c>
      <c r="B3923" s="478" t="s">
        <v>1460</v>
      </c>
      <c r="C3923" s="391" t="s">
        <v>26</v>
      </c>
      <c r="D3923" s="479">
        <v>535.03</v>
      </c>
      <c r="E3923" s="368"/>
      <c r="F3923" s="368"/>
    </row>
    <row r="3924" spans="1:6" ht="38.25" x14ac:dyDescent="0.2">
      <c r="A3924" s="391">
        <v>101808</v>
      </c>
      <c r="B3924" s="478" t="s">
        <v>1462</v>
      </c>
      <c r="C3924" s="391" t="s">
        <v>26</v>
      </c>
      <c r="D3924" s="479">
        <v>604.13</v>
      </c>
      <c r="E3924" s="368"/>
      <c r="F3924" s="368"/>
    </row>
    <row r="3925" spans="1:6" ht="38.25" x14ac:dyDescent="0.2">
      <c r="A3925" s="391">
        <v>98058</v>
      </c>
      <c r="B3925" s="478" t="s">
        <v>47245</v>
      </c>
      <c r="C3925" s="391" t="s">
        <v>26</v>
      </c>
      <c r="D3925" s="479">
        <v>1907.66</v>
      </c>
      <c r="E3925" s="368"/>
      <c r="F3925" s="368"/>
    </row>
    <row r="3926" spans="1:6" ht="38.25" x14ac:dyDescent="0.2">
      <c r="A3926" s="391">
        <v>98059</v>
      </c>
      <c r="B3926" s="478" t="s">
        <v>47246</v>
      </c>
      <c r="C3926" s="391" t="s">
        <v>26</v>
      </c>
      <c r="D3926" s="479">
        <v>4135.28</v>
      </c>
      <c r="E3926" s="368"/>
      <c r="F3926" s="368"/>
    </row>
    <row r="3927" spans="1:6" ht="38.25" x14ac:dyDescent="0.2">
      <c r="A3927" s="391">
        <v>98060</v>
      </c>
      <c r="B3927" s="478" t="s">
        <v>47247</v>
      </c>
      <c r="C3927" s="391" t="s">
        <v>26</v>
      </c>
      <c r="D3927" s="479">
        <v>5758.68</v>
      </c>
      <c r="E3927" s="368"/>
      <c r="F3927" s="368"/>
    </row>
    <row r="3928" spans="1:6" ht="38.25" x14ac:dyDescent="0.2">
      <c r="A3928" s="391">
        <v>98061</v>
      </c>
      <c r="B3928" s="478" t="s">
        <v>47248</v>
      </c>
      <c r="C3928" s="391" t="s">
        <v>26</v>
      </c>
      <c r="D3928" s="479">
        <v>8033.81</v>
      </c>
      <c r="E3928" s="368"/>
      <c r="F3928" s="368"/>
    </row>
    <row r="3929" spans="1:6" ht="38.25" x14ac:dyDescent="0.2">
      <c r="A3929" s="391">
        <v>98088</v>
      </c>
      <c r="B3929" s="478" t="s">
        <v>4036</v>
      </c>
      <c r="C3929" s="391" t="s">
        <v>26</v>
      </c>
      <c r="D3929" s="479">
        <v>3196.35</v>
      </c>
      <c r="E3929" s="368"/>
      <c r="F3929" s="368"/>
    </row>
    <row r="3930" spans="1:6" ht="38.25" x14ac:dyDescent="0.2">
      <c r="A3930" s="391">
        <v>98089</v>
      </c>
      <c r="B3930" s="478" t="s">
        <v>4037</v>
      </c>
      <c r="C3930" s="391" t="s">
        <v>26</v>
      </c>
      <c r="D3930" s="479">
        <v>5057.7</v>
      </c>
      <c r="E3930" s="368"/>
      <c r="F3930" s="368"/>
    </row>
    <row r="3931" spans="1:6" ht="38.25" x14ac:dyDescent="0.2">
      <c r="A3931" s="391">
        <v>98090</v>
      </c>
      <c r="B3931" s="478" t="s">
        <v>4038</v>
      </c>
      <c r="C3931" s="391" t="s">
        <v>26</v>
      </c>
      <c r="D3931" s="479">
        <v>7953.4</v>
      </c>
      <c r="E3931" s="368"/>
      <c r="F3931" s="368"/>
    </row>
    <row r="3932" spans="1:6" ht="38.25" x14ac:dyDescent="0.2">
      <c r="A3932" s="391">
        <v>98091</v>
      </c>
      <c r="B3932" s="478" t="s">
        <v>4039</v>
      </c>
      <c r="C3932" s="391" t="s">
        <v>26</v>
      </c>
      <c r="D3932" s="479">
        <v>10394.59</v>
      </c>
      <c r="E3932" s="368"/>
      <c r="F3932" s="368"/>
    </row>
    <row r="3933" spans="1:6" ht="38.25" x14ac:dyDescent="0.2">
      <c r="A3933" s="391">
        <v>98092</v>
      </c>
      <c r="B3933" s="478" t="s">
        <v>4040</v>
      </c>
      <c r="C3933" s="391" t="s">
        <v>26</v>
      </c>
      <c r="D3933" s="479">
        <v>12076.76</v>
      </c>
      <c r="E3933" s="368"/>
      <c r="F3933" s="368"/>
    </row>
    <row r="3934" spans="1:6" ht="38.25" x14ac:dyDescent="0.2">
      <c r="A3934" s="391">
        <v>98093</v>
      </c>
      <c r="B3934" s="478" t="s">
        <v>4041</v>
      </c>
      <c r="C3934" s="391" t="s">
        <v>26</v>
      </c>
      <c r="D3934" s="479">
        <v>14259.24</v>
      </c>
      <c r="E3934" s="368"/>
      <c r="F3934" s="368"/>
    </row>
    <row r="3935" spans="1:6" ht="38.25" x14ac:dyDescent="0.2">
      <c r="A3935" s="391">
        <v>98072</v>
      </c>
      <c r="B3935" s="478" t="s">
        <v>4020</v>
      </c>
      <c r="C3935" s="391" t="s">
        <v>26</v>
      </c>
      <c r="D3935" s="479">
        <v>3799.7</v>
      </c>
      <c r="E3935" s="368"/>
      <c r="F3935" s="368"/>
    </row>
    <row r="3936" spans="1:6" ht="38.25" x14ac:dyDescent="0.2">
      <c r="A3936" s="391">
        <v>98073</v>
      </c>
      <c r="B3936" s="478" t="s">
        <v>4021</v>
      </c>
      <c r="C3936" s="391" t="s">
        <v>26</v>
      </c>
      <c r="D3936" s="479">
        <v>5985.24</v>
      </c>
      <c r="E3936" s="368"/>
      <c r="F3936" s="368"/>
    </row>
    <row r="3937" spans="1:6" ht="38.25" x14ac:dyDescent="0.2">
      <c r="A3937" s="391">
        <v>98074</v>
      </c>
      <c r="B3937" s="478" t="s">
        <v>4022</v>
      </c>
      <c r="C3937" s="391" t="s">
        <v>26</v>
      </c>
      <c r="D3937" s="479">
        <v>9351.31</v>
      </c>
      <c r="E3937" s="368"/>
      <c r="F3937" s="368"/>
    </row>
    <row r="3938" spans="1:6" ht="38.25" x14ac:dyDescent="0.2">
      <c r="A3938" s="391">
        <v>98075</v>
      </c>
      <c r="B3938" s="478" t="s">
        <v>4023</v>
      </c>
      <c r="C3938" s="391" t="s">
        <v>26</v>
      </c>
      <c r="D3938" s="479">
        <v>12190.04</v>
      </c>
      <c r="E3938" s="368"/>
      <c r="F3938" s="368"/>
    </row>
    <row r="3939" spans="1:6" ht="38.25" x14ac:dyDescent="0.2">
      <c r="A3939" s="391">
        <v>98076</v>
      </c>
      <c r="B3939" s="478" t="s">
        <v>4024</v>
      </c>
      <c r="C3939" s="391" t="s">
        <v>26</v>
      </c>
      <c r="D3939" s="479">
        <v>14083.97</v>
      </c>
      <c r="E3939" s="368"/>
      <c r="F3939" s="368"/>
    </row>
    <row r="3940" spans="1:6" ht="38.25" x14ac:dyDescent="0.2">
      <c r="A3940" s="391">
        <v>98077</v>
      </c>
      <c r="B3940" s="478" t="s">
        <v>4025</v>
      </c>
      <c r="C3940" s="391" t="s">
        <v>26</v>
      </c>
      <c r="D3940" s="479">
        <v>16602.060000000001</v>
      </c>
      <c r="E3940" s="368"/>
      <c r="F3940" s="368"/>
    </row>
    <row r="3941" spans="1:6" ht="38.25" x14ac:dyDescent="0.2">
      <c r="A3941" s="391">
        <v>98062</v>
      </c>
      <c r="B3941" s="478" t="s">
        <v>47249</v>
      </c>
      <c r="C3941" s="391" t="s">
        <v>26</v>
      </c>
      <c r="D3941" s="479">
        <v>3353.33</v>
      </c>
      <c r="E3941" s="368"/>
      <c r="F3941" s="368"/>
    </row>
    <row r="3942" spans="1:6" ht="38.25" x14ac:dyDescent="0.2">
      <c r="A3942" s="391">
        <v>98063</v>
      </c>
      <c r="B3942" s="478" t="s">
        <v>47250</v>
      </c>
      <c r="C3942" s="391" t="s">
        <v>26</v>
      </c>
      <c r="D3942" s="479">
        <v>5127.29</v>
      </c>
      <c r="E3942" s="368"/>
      <c r="F3942" s="368"/>
    </row>
    <row r="3943" spans="1:6" ht="38.25" x14ac:dyDescent="0.2">
      <c r="A3943" s="391">
        <v>98064</v>
      </c>
      <c r="B3943" s="478" t="s">
        <v>47251</v>
      </c>
      <c r="C3943" s="391" t="s">
        <v>26</v>
      </c>
      <c r="D3943" s="479">
        <v>5955.61</v>
      </c>
      <c r="E3943" s="368"/>
      <c r="F3943" s="368"/>
    </row>
    <row r="3944" spans="1:6" ht="38.25" x14ac:dyDescent="0.2">
      <c r="A3944" s="391">
        <v>98065</v>
      </c>
      <c r="B3944" s="478" t="s">
        <v>47252</v>
      </c>
      <c r="C3944" s="391" t="s">
        <v>26</v>
      </c>
      <c r="D3944" s="479">
        <v>8285.36</v>
      </c>
      <c r="E3944" s="368"/>
      <c r="F3944" s="368"/>
    </row>
    <row r="3945" spans="1:6" ht="38.25" x14ac:dyDescent="0.2">
      <c r="A3945" s="391">
        <v>98094</v>
      </c>
      <c r="B3945" s="478" t="s">
        <v>4042</v>
      </c>
      <c r="C3945" s="391" t="s">
        <v>26</v>
      </c>
      <c r="D3945" s="479">
        <v>2697.53</v>
      </c>
      <c r="E3945" s="368"/>
      <c r="F3945" s="368"/>
    </row>
    <row r="3946" spans="1:6" ht="38.25" x14ac:dyDescent="0.2">
      <c r="A3946" s="391">
        <v>98099</v>
      </c>
      <c r="B3946" s="478" t="s">
        <v>4043</v>
      </c>
      <c r="C3946" s="391" t="s">
        <v>26</v>
      </c>
      <c r="D3946" s="479">
        <v>4611.87</v>
      </c>
      <c r="E3946" s="368"/>
      <c r="F3946" s="368"/>
    </row>
    <row r="3947" spans="1:6" ht="38.25" x14ac:dyDescent="0.2">
      <c r="A3947" s="391">
        <v>98100</v>
      </c>
      <c r="B3947" s="478" t="s">
        <v>4044</v>
      </c>
      <c r="C3947" s="391" t="s">
        <v>26</v>
      </c>
      <c r="D3947" s="479">
        <v>6039.82</v>
      </c>
      <c r="E3947" s="368"/>
      <c r="F3947" s="368"/>
    </row>
    <row r="3948" spans="1:6" ht="38.25" x14ac:dyDescent="0.2">
      <c r="A3948" s="391">
        <v>98101</v>
      </c>
      <c r="B3948" s="478" t="s">
        <v>4045</v>
      </c>
      <c r="C3948" s="391" t="s">
        <v>26</v>
      </c>
      <c r="D3948" s="479">
        <v>8927.98</v>
      </c>
      <c r="E3948" s="368"/>
      <c r="F3948" s="368"/>
    </row>
    <row r="3949" spans="1:6" ht="38.25" x14ac:dyDescent="0.2">
      <c r="A3949" s="391">
        <v>98078</v>
      </c>
      <c r="B3949" s="478" t="s">
        <v>4026</v>
      </c>
      <c r="C3949" s="391" t="s">
        <v>26</v>
      </c>
      <c r="D3949" s="479">
        <v>4114.6899999999996</v>
      </c>
      <c r="E3949" s="368"/>
      <c r="F3949" s="368"/>
    </row>
    <row r="3950" spans="1:6" ht="38.25" x14ac:dyDescent="0.2">
      <c r="A3950" s="391">
        <v>98079</v>
      </c>
      <c r="B3950" s="478" t="s">
        <v>4027</v>
      </c>
      <c r="C3950" s="391" t="s">
        <v>26</v>
      </c>
      <c r="D3950" s="479">
        <v>7225.81</v>
      </c>
      <c r="E3950" s="368"/>
      <c r="F3950" s="368"/>
    </row>
    <row r="3951" spans="1:6" ht="38.25" x14ac:dyDescent="0.2">
      <c r="A3951" s="391">
        <v>98080</v>
      </c>
      <c r="B3951" s="478" t="s">
        <v>4028</v>
      </c>
      <c r="C3951" s="391" t="s">
        <v>26</v>
      </c>
      <c r="D3951" s="479">
        <v>9318.7099999999991</v>
      </c>
      <c r="E3951" s="368"/>
      <c r="F3951" s="368"/>
    </row>
    <row r="3952" spans="1:6" ht="38.25" x14ac:dyDescent="0.2">
      <c r="A3952" s="391">
        <v>98081</v>
      </c>
      <c r="B3952" s="478" t="s">
        <v>4029</v>
      </c>
      <c r="C3952" s="391" t="s">
        <v>26</v>
      </c>
      <c r="D3952" s="479">
        <v>13826.43</v>
      </c>
      <c r="E3952" s="368"/>
      <c r="F3952" s="368"/>
    </row>
    <row r="3953" spans="1:6" ht="38.25" x14ac:dyDescent="0.2">
      <c r="A3953" s="391">
        <v>98052</v>
      </c>
      <c r="B3953" s="478" t="s">
        <v>47253</v>
      </c>
      <c r="C3953" s="391" t="s">
        <v>26</v>
      </c>
      <c r="D3953" s="479">
        <v>2260.62</v>
      </c>
      <c r="E3953" s="368"/>
      <c r="F3953" s="368"/>
    </row>
    <row r="3954" spans="1:6" ht="38.25" x14ac:dyDescent="0.2">
      <c r="A3954" s="391">
        <v>98053</v>
      </c>
      <c r="B3954" s="478" t="s">
        <v>47254</v>
      </c>
      <c r="C3954" s="391" t="s">
        <v>26</v>
      </c>
      <c r="D3954" s="479">
        <v>3114.28</v>
      </c>
      <c r="E3954" s="368"/>
      <c r="F3954" s="368"/>
    </row>
    <row r="3955" spans="1:6" ht="38.25" x14ac:dyDescent="0.2">
      <c r="A3955" s="391">
        <v>98054</v>
      </c>
      <c r="B3955" s="478" t="s">
        <v>47255</v>
      </c>
      <c r="C3955" s="391" t="s">
        <v>26</v>
      </c>
      <c r="D3955" s="479">
        <v>5100.9399999999996</v>
      </c>
      <c r="E3955" s="368"/>
      <c r="F3955" s="368"/>
    </row>
    <row r="3956" spans="1:6" ht="38.25" x14ac:dyDescent="0.2">
      <c r="A3956" s="391">
        <v>98055</v>
      </c>
      <c r="B3956" s="478" t="s">
        <v>47256</v>
      </c>
      <c r="C3956" s="391" t="s">
        <v>26</v>
      </c>
      <c r="D3956" s="479">
        <v>6928.05</v>
      </c>
      <c r="E3956" s="368"/>
      <c r="F3956" s="368"/>
    </row>
    <row r="3957" spans="1:6" ht="38.25" x14ac:dyDescent="0.2">
      <c r="A3957" s="391">
        <v>98056</v>
      </c>
      <c r="B3957" s="478" t="s">
        <v>47257</v>
      </c>
      <c r="C3957" s="391" t="s">
        <v>26</v>
      </c>
      <c r="D3957" s="479">
        <v>8115.63</v>
      </c>
      <c r="E3957" s="368"/>
      <c r="F3957" s="368"/>
    </row>
    <row r="3958" spans="1:6" ht="38.25" x14ac:dyDescent="0.2">
      <c r="A3958" s="391">
        <v>98057</v>
      </c>
      <c r="B3958" s="478" t="s">
        <v>47258</v>
      </c>
      <c r="C3958" s="391" t="s">
        <v>26</v>
      </c>
      <c r="D3958" s="479">
        <v>9639.36</v>
      </c>
      <c r="E3958" s="368"/>
      <c r="F3958" s="368"/>
    </row>
    <row r="3959" spans="1:6" ht="38.25" x14ac:dyDescent="0.2">
      <c r="A3959" s="391">
        <v>98082</v>
      </c>
      <c r="B3959" s="478" t="s">
        <v>4030</v>
      </c>
      <c r="C3959" s="391" t="s">
        <v>26</v>
      </c>
      <c r="D3959" s="479">
        <v>3689.75</v>
      </c>
      <c r="E3959" s="368"/>
      <c r="F3959" s="368"/>
    </row>
    <row r="3960" spans="1:6" ht="38.25" x14ac:dyDescent="0.2">
      <c r="A3960" s="391">
        <v>98083</v>
      </c>
      <c r="B3960" s="478" t="s">
        <v>4031</v>
      </c>
      <c r="C3960" s="391" t="s">
        <v>26</v>
      </c>
      <c r="D3960" s="479">
        <v>4864.49</v>
      </c>
      <c r="E3960" s="368"/>
      <c r="F3960" s="368"/>
    </row>
    <row r="3961" spans="1:6" ht="38.25" x14ac:dyDescent="0.2">
      <c r="A3961" s="391">
        <v>98084</v>
      </c>
      <c r="B3961" s="478" t="s">
        <v>4032</v>
      </c>
      <c r="C3961" s="391" t="s">
        <v>26</v>
      </c>
      <c r="D3961" s="479">
        <v>6817.55</v>
      </c>
      <c r="E3961" s="368"/>
      <c r="F3961" s="368"/>
    </row>
    <row r="3962" spans="1:6" ht="38.25" x14ac:dyDescent="0.2">
      <c r="A3962" s="391">
        <v>98085</v>
      </c>
      <c r="B3962" s="478" t="s">
        <v>4033</v>
      </c>
      <c r="C3962" s="391" t="s">
        <v>26</v>
      </c>
      <c r="D3962" s="479">
        <v>9236.59</v>
      </c>
      <c r="E3962" s="368"/>
      <c r="F3962" s="368"/>
    </row>
    <row r="3963" spans="1:6" ht="38.25" x14ac:dyDescent="0.2">
      <c r="A3963" s="391">
        <v>98087</v>
      </c>
      <c r="B3963" s="478" t="s">
        <v>4035</v>
      </c>
      <c r="C3963" s="391" t="s">
        <v>26</v>
      </c>
      <c r="D3963" s="479">
        <v>11136.81</v>
      </c>
      <c r="E3963" s="368"/>
      <c r="F3963" s="368"/>
    </row>
    <row r="3964" spans="1:6" ht="38.25" x14ac:dyDescent="0.2">
      <c r="A3964" s="391">
        <v>98086</v>
      </c>
      <c r="B3964" s="478" t="s">
        <v>4034</v>
      </c>
      <c r="C3964" s="391" t="s">
        <v>26</v>
      </c>
      <c r="D3964" s="479">
        <v>10428.35</v>
      </c>
      <c r="E3964" s="368"/>
      <c r="F3964" s="368"/>
    </row>
    <row r="3965" spans="1:6" ht="38.25" x14ac:dyDescent="0.2">
      <c r="A3965" s="391">
        <v>98066</v>
      </c>
      <c r="B3965" s="478" t="s">
        <v>4014</v>
      </c>
      <c r="C3965" s="391" t="s">
        <v>26</v>
      </c>
      <c r="D3965" s="479">
        <v>4493.53</v>
      </c>
      <c r="E3965" s="368"/>
      <c r="F3965" s="368"/>
    </row>
    <row r="3966" spans="1:6" ht="38.25" x14ac:dyDescent="0.2">
      <c r="A3966" s="391">
        <v>98067</v>
      </c>
      <c r="B3966" s="478" t="s">
        <v>4015</v>
      </c>
      <c r="C3966" s="391" t="s">
        <v>26</v>
      </c>
      <c r="D3966" s="479">
        <v>5984.58</v>
      </c>
      <c r="E3966" s="368"/>
      <c r="F3966" s="368"/>
    </row>
    <row r="3967" spans="1:6" ht="38.25" x14ac:dyDescent="0.2">
      <c r="A3967" s="391">
        <v>98068</v>
      </c>
      <c r="B3967" s="478" t="s">
        <v>4016</v>
      </c>
      <c r="C3967" s="391" t="s">
        <v>26</v>
      </c>
      <c r="D3967" s="479">
        <v>8450.7099999999991</v>
      </c>
      <c r="E3967" s="368"/>
      <c r="F3967" s="368"/>
    </row>
    <row r="3968" spans="1:6" ht="38.25" x14ac:dyDescent="0.2">
      <c r="A3968" s="391">
        <v>98069</v>
      </c>
      <c r="B3968" s="478" t="s">
        <v>4017</v>
      </c>
      <c r="C3968" s="391" t="s">
        <v>26</v>
      </c>
      <c r="D3968" s="479">
        <v>11379.71</v>
      </c>
      <c r="E3968" s="368"/>
      <c r="F3968" s="368"/>
    </row>
    <row r="3969" spans="1:6" ht="38.25" x14ac:dyDescent="0.2">
      <c r="A3969" s="391">
        <v>98071</v>
      </c>
      <c r="B3969" s="478" t="s">
        <v>4019</v>
      </c>
      <c r="C3969" s="391" t="s">
        <v>26</v>
      </c>
      <c r="D3969" s="479">
        <v>14129.07</v>
      </c>
      <c r="E3969" s="368"/>
      <c r="F3969" s="368"/>
    </row>
    <row r="3970" spans="1:6" ht="38.25" x14ac:dyDescent="0.2">
      <c r="A3970" s="391">
        <v>98070</v>
      </c>
      <c r="B3970" s="478" t="s">
        <v>4018</v>
      </c>
      <c r="C3970" s="391" t="s">
        <v>26</v>
      </c>
      <c r="D3970" s="479">
        <v>12984.36</v>
      </c>
      <c r="E3970" s="368"/>
      <c r="F3970" s="368"/>
    </row>
    <row r="3971" spans="1:6" ht="25.5" x14ac:dyDescent="0.2">
      <c r="A3971" s="391">
        <v>104915</v>
      </c>
      <c r="B3971" s="478" t="s">
        <v>2085</v>
      </c>
      <c r="C3971" s="391" t="s">
        <v>1284</v>
      </c>
      <c r="D3971" s="479">
        <v>10.050000000000001</v>
      </c>
      <c r="E3971" s="368"/>
      <c r="F3971" s="368"/>
    </row>
    <row r="3972" spans="1:6" ht="25.5" x14ac:dyDescent="0.2">
      <c r="A3972" s="391">
        <v>96546</v>
      </c>
      <c r="B3972" s="478" t="s">
        <v>2071</v>
      </c>
      <c r="C3972" s="391" t="s">
        <v>1284</v>
      </c>
      <c r="D3972" s="479">
        <v>13.83</v>
      </c>
      <c r="E3972" s="368"/>
      <c r="F3972" s="368"/>
    </row>
    <row r="3973" spans="1:6" ht="25.5" x14ac:dyDescent="0.2">
      <c r="A3973" s="391">
        <v>96544</v>
      </c>
      <c r="B3973" s="478" t="s">
        <v>2069</v>
      </c>
      <c r="C3973" s="391" t="s">
        <v>1284</v>
      </c>
      <c r="D3973" s="479">
        <v>17.600000000000001</v>
      </c>
      <c r="E3973" s="368"/>
      <c r="F3973" s="368"/>
    </row>
    <row r="3974" spans="1:6" x14ac:dyDescent="0.2">
      <c r="A3974" s="391">
        <v>96545</v>
      </c>
      <c r="B3974" s="478" t="s">
        <v>2070</v>
      </c>
      <c r="C3974" s="391" t="s">
        <v>1284</v>
      </c>
      <c r="D3974" s="479">
        <v>15.85</v>
      </c>
      <c r="E3974" s="368"/>
      <c r="F3974" s="368"/>
    </row>
    <row r="3975" spans="1:6" x14ac:dyDescent="0.2">
      <c r="A3975" s="391">
        <v>96543</v>
      </c>
      <c r="B3975" s="478" t="s">
        <v>1910</v>
      </c>
      <c r="C3975" s="391" t="s">
        <v>1284</v>
      </c>
      <c r="D3975" s="479">
        <v>19.579999999999998</v>
      </c>
      <c r="E3975" s="368"/>
      <c r="F3975" s="368"/>
    </row>
    <row r="3976" spans="1:6" ht="25.5" x14ac:dyDescent="0.2">
      <c r="A3976" s="391">
        <v>104922</v>
      </c>
      <c r="B3976" s="478" t="s">
        <v>2091</v>
      </c>
      <c r="C3976" s="391" t="s">
        <v>1284</v>
      </c>
      <c r="D3976" s="479">
        <v>11.04</v>
      </c>
      <c r="E3976" s="368"/>
      <c r="F3976" s="368"/>
    </row>
    <row r="3977" spans="1:6" ht="25.5" x14ac:dyDescent="0.2">
      <c r="A3977" s="391">
        <v>104920</v>
      </c>
      <c r="B3977" s="478" t="s">
        <v>2089</v>
      </c>
      <c r="C3977" s="391" t="s">
        <v>1284</v>
      </c>
      <c r="D3977" s="479">
        <v>10.64</v>
      </c>
      <c r="E3977" s="368"/>
      <c r="F3977" s="368"/>
    </row>
    <row r="3978" spans="1:6" ht="25.5" x14ac:dyDescent="0.2">
      <c r="A3978" s="391">
        <v>104921</v>
      </c>
      <c r="B3978" s="478" t="s">
        <v>2090</v>
      </c>
      <c r="C3978" s="391" t="s">
        <v>1284</v>
      </c>
      <c r="D3978" s="479">
        <v>10.02</v>
      </c>
      <c r="E3978" s="368"/>
      <c r="F3978" s="368"/>
    </row>
    <row r="3979" spans="1:6" ht="25.5" x14ac:dyDescent="0.2">
      <c r="A3979" s="391">
        <v>104919</v>
      </c>
      <c r="B3979" s="478" t="s">
        <v>2088</v>
      </c>
      <c r="C3979" s="391" t="s">
        <v>1284</v>
      </c>
      <c r="D3979" s="479">
        <v>12.57</v>
      </c>
      <c r="E3979" s="368"/>
      <c r="F3979" s="368"/>
    </row>
    <row r="3980" spans="1:6" ht="25.5" x14ac:dyDescent="0.2">
      <c r="A3980" s="391">
        <v>104917</v>
      </c>
      <c r="B3980" s="478" t="s">
        <v>2086</v>
      </c>
      <c r="C3980" s="391" t="s">
        <v>1284</v>
      </c>
      <c r="D3980" s="479">
        <v>15.24</v>
      </c>
      <c r="E3980" s="368"/>
      <c r="F3980" s="368"/>
    </row>
    <row r="3981" spans="1:6" ht="25.5" x14ac:dyDescent="0.2">
      <c r="A3981" s="391">
        <v>104918</v>
      </c>
      <c r="B3981" s="478" t="s">
        <v>2087</v>
      </c>
      <c r="C3981" s="391" t="s">
        <v>1284</v>
      </c>
      <c r="D3981" s="479">
        <v>14.12</v>
      </c>
      <c r="E3981" s="368"/>
      <c r="F3981" s="368"/>
    </row>
    <row r="3982" spans="1:6" ht="25.5" x14ac:dyDescent="0.2">
      <c r="A3982" s="391">
        <v>104916</v>
      </c>
      <c r="B3982" s="478" t="s">
        <v>2153</v>
      </c>
      <c r="C3982" s="391" t="s">
        <v>1284</v>
      </c>
      <c r="D3982" s="479">
        <v>16.45</v>
      </c>
      <c r="E3982" s="368"/>
      <c r="F3982" s="368"/>
    </row>
    <row r="3983" spans="1:6" ht="38.25" x14ac:dyDescent="0.2">
      <c r="A3983" s="391">
        <v>96557</v>
      </c>
      <c r="B3983" s="478" t="s">
        <v>2119</v>
      </c>
      <c r="C3983" s="391" t="s">
        <v>271</v>
      </c>
      <c r="D3983" s="479">
        <v>697.91</v>
      </c>
      <c r="E3983" s="368"/>
      <c r="F3983" s="368"/>
    </row>
    <row r="3984" spans="1:6" ht="38.25" x14ac:dyDescent="0.2">
      <c r="A3984" s="391">
        <v>96555</v>
      </c>
      <c r="B3984" s="478" t="s">
        <v>2117</v>
      </c>
      <c r="C3984" s="391" t="s">
        <v>271</v>
      </c>
      <c r="D3984" s="479">
        <v>727.51</v>
      </c>
      <c r="E3984" s="368"/>
      <c r="F3984" s="368"/>
    </row>
    <row r="3985" spans="1:6" ht="25.5" x14ac:dyDescent="0.2">
      <c r="A3985" s="391">
        <v>104924</v>
      </c>
      <c r="B3985" s="478" t="s">
        <v>2155</v>
      </c>
      <c r="C3985" s="391" t="s">
        <v>271</v>
      </c>
      <c r="D3985" s="479">
        <v>720.81</v>
      </c>
      <c r="E3985" s="368"/>
      <c r="F3985" s="368"/>
    </row>
    <row r="3986" spans="1:6" ht="25.5" x14ac:dyDescent="0.2">
      <c r="A3986" s="391">
        <v>104923</v>
      </c>
      <c r="B3986" s="478" t="s">
        <v>2154</v>
      </c>
      <c r="C3986" s="391" t="s">
        <v>271</v>
      </c>
      <c r="D3986" s="479">
        <v>782.22</v>
      </c>
      <c r="E3986" s="368"/>
      <c r="F3986" s="368"/>
    </row>
    <row r="3987" spans="1:6" ht="25.5" x14ac:dyDescent="0.2">
      <c r="A3987" s="391">
        <v>96558</v>
      </c>
      <c r="B3987" s="478" t="s">
        <v>2120</v>
      </c>
      <c r="C3987" s="391" t="s">
        <v>271</v>
      </c>
      <c r="D3987" s="479">
        <v>729.65</v>
      </c>
      <c r="E3987" s="368"/>
      <c r="F3987" s="368"/>
    </row>
    <row r="3988" spans="1:6" ht="25.5" x14ac:dyDescent="0.2">
      <c r="A3988" s="391">
        <v>96556</v>
      </c>
      <c r="B3988" s="478" t="s">
        <v>2118</v>
      </c>
      <c r="C3988" s="391" t="s">
        <v>271</v>
      </c>
      <c r="D3988" s="479">
        <v>877</v>
      </c>
      <c r="E3988" s="368"/>
      <c r="F3988" s="368"/>
    </row>
    <row r="3989" spans="1:6" ht="25.5" x14ac:dyDescent="0.2">
      <c r="A3989" s="391">
        <v>96523</v>
      </c>
      <c r="B3989" s="478" t="s">
        <v>4283</v>
      </c>
      <c r="C3989" s="391" t="s">
        <v>271</v>
      </c>
      <c r="D3989" s="479">
        <v>94.05</v>
      </c>
      <c r="E3989" s="368"/>
      <c r="F3989" s="368"/>
    </row>
    <row r="3990" spans="1:6" ht="25.5" x14ac:dyDescent="0.2">
      <c r="A3990" s="391">
        <v>96522</v>
      </c>
      <c r="B3990" s="478" t="s">
        <v>4282</v>
      </c>
      <c r="C3990" s="391" t="s">
        <v>271</v>
      </c>
      <c r="D3990" s="479">
        <v>141.99</v>
      </c>
      <c r="E3990" s="368"/>
      <c r="F3990" s="368"/>
    </row>
    <row r="3991" spans="1:6" ht="25.5" x14ac:dyDescent="0.2">
      <c r="A3991" s="391">
        <v>96527</v>
      </c>
      <c r="B3991" s="478" t="s">
        <v>4287</v>
      </c>
      <c r="C3991" s="391" t="s">
        <v>271</v>
      </c>
      <c r="D3991" s="479">
        <v>103.53</v>
      </c>
      <c r="E3991" s="368"/>
      <c r="F3991" s="368"/>
    </row>
    <row r="3992" spans="1:6" ht="25.5" x14ac:dyDescent="0.2">
      <c r="A3992" s="391">
        <v>96526</v>
      </c>
      <c r="B3992" s="478" t="s">
        <v>4286</v>
      </c>
      <c r="C3992" s="391" t="s">
        <v>271</v>
      </c>
      <c r="D3992" s="479">
        <v>202.86</v>
      </c>
      <c r="E3992" s="368"/>
      <c r="F3992" s="368"/>
    </row>
    <row r="3993" spans="1:6" ht="38.25" x14ac:dyDescent="0.2">
      <c r="A3993" s="391">
        <v>96521</v>
      </c>
      <c r="B3993" s="478" t="s">
        <v>4281</v>
      </c>
      <c r="C3993" s="391" t="s">
        <v>271</v>
      </c>
      <c r="D3993" s="479">
        <v>41.31</v>
      </c>
      <c r="E3993" s="368"/>
      <c r="F3993" s="368"/>
    </row>
    <row r="3994" spans="1:6" ht="38.25" x14ac:dyDescent="0.2">
      <c r="A3994" s="391">
        <v>96520</v>
      </c>
      <c r="B3994" s="478" t="s">
        <v>4280</v>
      </c>
      <c r="C3994" s="391" t="s">
        <v>271</v>
      </c>
      <c r="D3994" s="479">
        <v>90.84</v>
      </c>
      <c r="E3994" s="368"/>
      <c r="F3994" s="368"/>
    </row>
    <row r="3995" spans="1:6" ht="38.25" x14ac:dyDescent="0.2">
      <c r="A3995" s="391">
        <v>96525</v>
      </c>
      <c r="B3995" s="478" t="s">
        <v>4285</v>
      </c>
      <c r="C3995" s="391" t="s">
        <v>271</v>
      </c>
      <c r="D3995" s="479">
        <v>57</v>
      </c>
      <c r="E3995" s="368"/>
      <c r="F3995" s="368"/>
    </row>
    <row r="3996" spans="1:6" ht="38.25" x14ac:dyDescent="0.2">
      <c r="A3996" s="391">
        <v>96524</v>
      </c>
      <c r="B3996" s="478" t="s">
        <v>4284</v>
      </c>
      <c r="C3996" s="391" t="s">
        <v>271</v>
      </c>
      <c r="D3996" s="479">
        <v>153.76</v>
      </c>
      <c r="E3996" s="368"/>
      <c r="F3996" s="368"/>
    </row>
    <row r="3997" spans="1:6" ht="38.25" x14ac:dyDescent="0.2">
      <c r="A3997" s="391">
        <v>96537</v>
      </c>
      <c r="B3997" s="478" t="s">
        <v>1904</v>
      </c>
      <c r="C3997" s="391" t="s">
        <v>255</v>
      </c>
      <c r="D3997" s="479">
        <v>201.56</v>
      </c>
      <c r="E3997" s="368"/>
      <c r="F3997" s="368"/>
    </row>
    <row r="3998" spans="1:6" ht="38.25" x14ac:dyDescent="0.2">
      <c r="A3998" s="391">
        <v>96540</v>
      </c>
      <c r="B3998" s="478" t="s">
        <v>1907</v>
      </c>
      <c r="C3998" s="391" t="s">
        <v>255</v>
      </c>
      <c r="D3998" s="479">
        <v>137.6</v>
      </c>
      <c r="E3998" s="368"/>
      <c r="F3998" s="368"/>
    </row>
    <row r="3999" spans="1:6" ht="25.5" x14ac:dyDescent="0.2">
      <c r="A3999" s="391">
        <v>96528</v>
      </c>
      <c r="B3999" s="478" t="s">
        <v>4288</v>
      </c>
      <c r="C3999" s="391" t="s">
        <v>255</v>
      </c>
      <c r="D3999" s="479">
        <v>188.54</v>
      </c>
      <c r="E3999" s="368"/>
      <c r="F3999" s="368"/>
    </row>
    <row r="4000" spans="1:6" ht="25.5" x14ac:dyDescent="0.2">
      <c r="A4000" s="391">
        <v>96531</v>
      </c>
      <c r="B4000" s="478" t="s">
        <v>1898</v>
      </c>
      <c r="C4000" s="391" t="s">
        <v>255</v>
      </c>
      <c r="D4000" s="479">
        <v>120.18</v>
      </c>
      <c r="E4000" s="368"/>
      <c r="F4000" s="368"/>
    </row>
    <row r="4001" spans="1:6" ht="25.5" x14ac:dyDescent="0.2">
      <c r="A4001" s="391">
        <v>96534</v>
      </c>
      <c r="B4001" s="478" t="s">
        <v>1901</v>
      </c>
      <c r="C4001" s="391" t="s">
        <v>255</v>
      </c>
      <c r="D4001" s="479">
        <v>84.61</v>
      </c>
      <c r="E4001" s="368"/>
      <c r="F4001" s="368"/>
    </row>
    <row r="4002" spans="1:6" ht="38.25" x14ac:dyDescent="0.2">
      <c r="A4002" s="391">
        <v>104928</v>
      </c>
      <c r="B4002" s="478" t="s">
        <v>1998</v>
      </c>
      <c r="C4002" s="391" t="s">
        <v>255</v>
      </c>
      <c r="D4002" s="479">
        <v>158.26</v>
      </c>
      <c r="E4002" s="368"/>
      <c r="F4002" s="368"/>
    </row>
    <row r="4003" spans="1:6" ht="38.25" x14ac:dyDescent="0.2">
      <c r="A4003" s="391">
        <v>104929</v>
      </c>
      <c r="B4003" s="478" t="s">
        <v>1999</v>
      </c>
      <c r="C4003" s="391" t="s">
        <v>255</v>
      </c>
      <c r="D4003" s="479">
        <v>95.07</v>
      </c>
      <c r="E4003" s="368"/>
      <c r="F4003" s="368"/>
    </row>
    <row r="4004" spans="1:6" ht="25.5" x14ac:dyDescent="0.2">
      <c r="A4004" s="391">
        <v>104925</v>
      </c>
      <c r="B4004" s="478" t="s">
        <v>1995</v>
      </c>
      <c r="C4004" s="391" t="s">
        <v>255</v>
      </c>
      <c r="D4004" s="479">
        <v>194.79</v>
      </c>
      <c r="E4004" s="368"/>
      <c r="F4004" s="368"/>
    </row>
    <row r="4005" spans="1:6" ht="25.5" x14ac:dyDescent="0.2">
      <c r="A4005" s="391">
        <v>104926</v>
      </c>
      <c r="B4005" s="478" t="s">
        <v>1996</v>
      </c>
      <c r="C4005" s="391" t="s">
        <v>255</v>
      </c>
      <c r="D4005" s="479">
        <v>119.46</v>
      </c>
      <c r="E4005" s="368"/>
      <c r="F4005" s="368"/>
    </row>
    <row r="4006" spans="1:6" ht="25.5" x14ac:dyDescent="0.2">
      <c r="A4006" s="391">
        <v>104927</v>
      </c>
      <c r="B4006" s="478" t="s">
        <v>1997</v>
      </c>
      <c r="C4006" s="391" t="s">
        <v>255</v>
      </c>
      <c r="D4006" s="479">
        <v>80.290000000000006</v>
      </c>
      <c r="E4006" s="368"/>
      <c r="F4006" s="368"/>
    </row>
    <row r="4007" spans="1:6" ht="38.25" x14ac:dyDescent="0.2">
      <c r="A4007" s="391">
        <v>96538</v>
      </c>
      <c r="B4007" s="478" t="s">
        <v>1905</v>
      </c>
      <c r="C4007" s="391" t="s">
        <v>255</v>
      </c>
      <c r="D4007" s="479">
        <v>256.37</v>
      </c>
      <c r="E4007" s="368"/>
      <c r="F4007" s="368"/>
    </row>
    <row r="4008" spans="1:6" ht="38.25" x14ac:dyDescent="0.2">
      <c r="A4008" s="391">
        <v>96541</v>
      </c>
      <c r="B4008" s="478" t="s">
        <v>1908</v>
      </c>
      <c r="C4008" s="391" t="s">
        <v>255</v>
      </c>
      <c r="D4008" s="479">
        <v>183.48</v>
      </c>
      <c r="E4008" s="368"/>
      <c r="F4008" s="368"/>
    </row>
    <row r="4009" spans="1:6" ht="25.5" x14ac:dyDescent="0.2">
      <c r="A4009" s="391">
        <v>96529</v>
      </c>
      <c r="B4009" s="478" t="s">
        <v>1896</v>
      </c>
      <c r="C4009" s="391" t="s">
        <v>255</v>
      </c>
      <c r="D4009" s="479">
        <v>292.93</v>
      </c>
      <c r="E4009" s="368"/>
      <c r="F4009" s="368"/>
    </row>
    <row r="4010" spans="1:6" ht="25.5" x14ac:dyDescent="0.2">
      <c r="A4010" s="391">
        <v>96532</v>
      </c>
      <c r="B4010" s="478" t="s">
        <v>1899</v>
      </c>
      <c r="C4010" s="391" t="s">
        <v>255</v>
      </c>
      <c r="D4010" s="479">
        <v>191.06</v>
      </c>
      <c r="E4010" s="368"/>
      <c r="F4010" s="368"/>
    </row>
    <row r="4011" spans="1:6" ht="25.5" x14ac:dyDescent="0.2">
      <c r="A4011" s="391">
        <v>96535</v>
      </c>
      <c r="B4011" s="478" t="s">
        <v>1902</v>
      </c>
      <c r="C4011" s="391" t="s">
        <v>255</v>
      </c>
      <c r="D4011" s="479">
        <v>138.06</v>
      </c>
      <c r="E4011" s="368"/>
      <c r="F4011" s="368"/>
    </row>
    <row r="4012" spans="1:6" ht="38.25" x14ac:dyDescent="0.2">
      <c r="A4012" s="391">
        <v>96539</v>
      </c>
      <c r="B4012" s="478" t="s">
        <v>1906</v>
      </c>
      <c r="C4012" s="391" t="s">
        <v>255</v>
      </c>
      <c r="D4012" s="479">
        <v>138.97999999999999</v>
      </c>
      <c r="E4012" s="368"/>
      <c r="F4012" s="368"/>
    </row>
    <row r="4013" spans="1:6" ht="38.25" x14ac:dyDescent="0.2">
      <c r="A4013" s="391">
        <v>96542</v>
      </c>
      <c r="B4013" s="478" t="s">
        <v>1909</v>
      </c>
      <c r="C4013" s="391" t="s">
        <v>255</v>
      </c>
      <c r="D4013" s="479">
        <v>99.91</v>
      </c>
      <c r="E4013" s="368"/>
      <c r="F4013" s="368"/>
    </row>
    <row r="4014" spans="1:6" ht="25.5" x14ac:dyDescent="0.2">
      <c r="A4014" s="391">
        <v>96530</v>
      </c>
      <c r="B4014" s="478" t="s">
        <v>1897</v>
      </c>
      <c r="C4014" s="391" t="s">
        <v>255</v>
      </c>
      <c r="D4014" s="479">
        <v>172.16</v>
      </c>
      <c r="E4014" s="368"/>
      <c r="F4014" s="368"/>
    </row>
    <row r="4015" spans="1:6" ht="25.5" x14ac:dyDescent="0.2">
      <c r="A4015" s="391">
        <v>96533</v>
      </c>
      <c r="B4015" s="478" t="s">
        <v>1900</v>
      </c>
      <c r="C4015" s="391" t="s">
        <v>255</v>
      </c>
      <c r="D4015" s="479">
        <v>107.48</v>
      </c>
      <c r="E4015" s="368"/>
      <c r="F4015" s="368"/>
    </row>
    <row r="4016" spans="1:6" ht="25.5" x14ac:dyDescent="0.2">
      <c r="A4016" s="391">
        <v>96536</v>
      </c>
      <c r="B4016" s="478" t="s">
        <v>1903</v>
      </c>
      <c r="C4016" s="391" t="s">
        <v>255</v>
      </c>
      <c r="D4016" s="479">
        <v>73.78</v>
      </c>
      <c r="E4016" s="368"/>
      <c r="F4016" s="368"/>
    </row>
    <row r="4017" spans="1:6" ht="38.25" x14ac:dyDescent="0.2">
      <c r="A4017" s="391">
        <v>105518</v>
      </c>
      <c r="B4017" s="478" t="s">
        <v>41303</v>
      </c>
      <c r="C4017" s="391" t="s">
        <v>255</v>
      </c>
      <c r="D4017" s="479">
        <v>0</v>
      </c>
      <c r="E4017" s="368"/>
      <c r="F4017" s="368"/>
    </row>
    <row r="4018" spans="1:6" ht="38.25" x14ac:dyDescent="0.2">
      <c r="A4018" s="391">
        <v>105517</v>
      </c>
      <c r="B4018" s="478" t="s">
        <v>41304</v>
      </c>
      <c r="C4018" s="391" t="s">
        <v>255</v>
      </c>
      <c r="D4018" s="479">
        <v>0</v>
      </c>
      <c r="E4018" s="368"/>
      <c r="F4018" s="368"/>
    </row>
    <row r="4019" spans="1:6" ht="38.25" x14ac:dyDescent="0.2">
      <c r="A4019" s="391">
        <v>105520</v>
      </c>
      <c r="B4019" s="478" t="s">
        <v>41305</v>
      </c>
      <c r="C4019" s="391" t="s">
        <v>255</v>
      </c>
      <c r="D4019" s="479">
        <v>0</v>
      </c>
      <c r="E4019" s="368"/>
      <c r="F4019" s="368"/>
    </row>
    <row r="4020" spans="1:6" ht="38.25" x14ac:dyDescent="0.2">
      <c r="A4020" s="391">
        <v>105519</v>
      </c>
      <c r="B4020" s="478" t="s">
        <v>41306</v>
      </c>
      <c r="C4020" s="391" t="s">
        <v>255</v>
      </c>
      <c r="D4020" s="479">
        <v>0</v>
      </c>
      <c r="E4020" s="368"/>
      <c r="F4020" s="368"/>
    </row>
    <row r="4021" spans="1:6" ht="25.5" x14ac:dyDescent="0.2">
      <c r="A4021" s="391">
        <v>101793</v>
      </c>
      <c r="B4021" s="478" t="s">
        <v>1913</v>
      </c>
      <c r="C4021" s="391" t="s">
        <v>271</v>
      </c>
      <c r="D4021" s="479">
        <v>30.55</v>
      </c>
      <c r="E4021" s="368"/>
      <c r="F4021" s="368"/>
    </row>
    <row r="4022" spans="1:6" ht="25.5" x14ac:dyDescent="0.2">
      <c r="A4022" s="391">
        <v>101792</v>
      </c>
      <c r="B4022" s="478" t="s">
        <v>1912</v>
      </c>
      <c r="C4022" s="391" t="s">
        <v>271</v>
      </c>
      <c r="D4022" s="479">
        <v>19.04</v>
      </c>
      <c r="E4022" s="368"/>
      <c r="F4022" s="368"/>
    </row>
    <row r="4023" spans="1:6" x14ac:dyDescent="0.2">
      <c r="A4023" s="391">
        <v>92272</v>
      </c>
      <c r="B4023" s="478" t="s">
        <v>1812</v>
      </c>
      <c r="C4023" s="391" t="s">
        <v>0</v>
      </c>
      <c r="D4023" s="479">
        <v>46.52</v>
      </c>
      <c r="E4023" s="368"/>
      <c r="F4023" s="368"/>
    </row>
    <row r="4024" spans="1:6" ht="25.5" x14ac:dyDescent="0.2">
      <c r="A4024" s="391">
        <v>101791</v>
      </c>
      <c r="B4024" s="478" t="s">
        <v>1911</v>
      </c>
      <c r="C4024" s="391" t="s">
        <v>0</v>
      </c>
      <c r="D4024" s="479">
        <v>35.19</v>
      </c>
      <c r="E4024" s="368"/>
      <c r="F4024" s="368"/>
    </row>
    <row r="4025" spans="1:6" ht="25.5" x14ac:dyDescent="0.2">
      <c r="A4025" s="391">
        <v>92273</v>
      </c>
      <c r="B4025" s="478" t="s">
        <v>1813</v>
      </c>
      <c r="C4025" s="391" t="s">
        <v>0</v>
      </c>
      <c r="D4025" s="479">
        <v>19.32</v>
      </c>
      <c r="E4025" s="368"/>
      <c r="F4025" s="368"/>
    </row>
    <row r="4026" spans="1:6" ht="25.5" x14ac:dyDescent="0.2">
      <c r="A4026" s="391">
        <v>92268</v>
      </c>
      <c r="B4026" s="478" t="s">
        <v>1808</v>
      </c>
      <c r="C4026" s="391" t="s">
        <v>255</v>
      </c>
      <c r="D4026" s="479">
        <v>103.66</v>
      </c>
      <c r="E4026" s="368"/>
      <c r="F4026" s="368"/>
    </row>
    <row r="4027" spans="1:6" ht="25.5" x14ac:dyDescent="0.2">
      <c r="A4027" s="391">
        <v>92267</v>
      </c>
      <c r="B4027" s="478" t="s">
        <v>1807</v>
      </c>
      <c r="C4027" s="391" t="s">
        <v>255</v>
      </c>
      <c r="D4027" s="479">
        <v>61.64</v>
      </c>
      <c r="E4027" s="368"/>
      <c r="F4027" s="368"/>
    </row>
    <row r="4028" spans="1:6" ht="25.5" x14ac:dyDescent="0.2">
      <c r="A4028" s="391">
        <v>92271</v>
      </c>
      <c r="B4028" s="478" t="s">
        <v>1811</v>
      </c>
      <c r="C4028" s="391" t="s">
        <v>255</v>
      </c>
      <c r="D4028" s="479">
        <v>115.79</v>
      </c>
      <c r="E4028" s="368"/>
      <c r="F4028" s="368"/>
    </row>
    <row r="4029" spans="1:6" ht="25.5" x14ac:dyDescent="0.2">
      <c r="A4029" s="391">
        <v>92264</v>
      </c>
      <c r="B4029" s="478" t="s">
        <v>1804</v>
      </c>
      <c r="C4029" s="391" t="s">
        <v>255</v>
      </c>
      <c r="D4029" s="479">
        <v>243.6</v>
      </c>
      <c r="E4029" s="368"/>
      <c r="F4029" s="368"/>
    </row>
    <row r="4030" spans="1:6" ht="25.5" x14ac:dyDescent="0.2">
      <c r="A4030" s="391">
        <v>92263</v>
      </c>
      <c r="B4030" s="478" t="s">
        <v>1803</v>
      </c>
      <c r="C4030" s="391" t="s">
        <v>255</v>
      </c>
      <c r="D4030" s="479">
        <v>190.14</v>
      </c>
      <c r="E4030" s="368"/>
      <c r="F4030" s="368"/>
    </row>
    <row r="4031" spans="1:6" ht="25.5" x14ac:dyDescent="0.2">
      <c r="A4031" s="391">
        <v>92269</v>
      </c>
      <c r="B4031" s="478" t="s">
        <v>1809</v>
      </c>
      <c r="C4031" s="391" t="s">
        <v>255</v>
      </c>
      <c r="D4031" s="479">
        <v>170</v>
      </c>
      <c r="E4031" s="368"/>
      <c r="F4031" s="368"/>
    </row>
    <row r="4032" spans="1:6" ht="25.5" x14ac:dyDescent="0.2">
      <c r="A4032" s="391">
        <v>92270</v>
      </c>
      <c r="B4032" s="478" t="s">
        <v>1810</v>
      </c>
      <c r="C4032" s="391" t="s">
        <v>255</v>
      </c>
      <c r="D4032" s="479">
        <v>185.3</v>
      </c>
      <c r="E4032" s="368"/>
      <c r="F4032" s="368"/>
    </row>
    <row r="4033" spans="1:6" ht="25.5" x14ac:dyDescent="0.2">
      <c r="A4033" s="391">
        <v>92266</v>
      </c>
      <c r="B4033" s="478" t="s">
        <v>1806</v>
      </c>
      <c r="C4033" s="391" t="s">
        <v>255</v>
      </c>
      <c r="D4033" s="479">
        <v>181.44</v>
      </c>
      <c r="E4033" s="368"/>
      <c r="F4033" s="368"/>
    </row>
    <row r="4034" spans="1:6" ht="25.5" x14ac:dyDescent="0.2">
      <c r="A4034" s="391">
        <v>92265</v>
      </c>
      <c r="B4034" s="478" t="s">
        <v>1805</v>
      </c>
      <c r="C4034" s="391" t="s">
        <v>255</v>
      </c>
      <c r="D4034" s="479">
        <v>135.58000000000001</v>
      </c>
      <c r="E4034" s="368"/>
      <c r="F4034" s="368"/>
    </row>
    <row r="4035" spans="1:6" ht="38.25" x14ac:dyDescent="0.2">
      <c r="A4035" s="391">
        <v>92524</v>
      </c>
      <c r="B4035" s="478" t="s">
        <v>1888</v>
      </c>
      <c r="C4035" s="391" t="s">
        <v>255</v>
      </c>
      <c r="D4035" s="479">
        <v>78.19</v>
      </c>
      <c r="E4035" s="368"/>
      <c r="F4035" s="368"/>
    </row>
    <row r="4036" spans="1:6" ht="38.25" x14ac:dyDescent="0.2">
      <c r="A4036" s="391">
        <v>92528</v>
      </c>
      <c r="B4036" s="478" t="s">
        <v>1890</v>
      </c>
      <c r="C4036" s="391" t="s">
        <v>255</v>
      </c>
      <c r="D4036" s="479">
        <v>74.7</v>
      </c>
      <c r="E4036" s="368"/>
      <c r="F4036" s="368"/>
    </row>
    <row r="4037" spans="1:6" ht="38.25" x14ac:dyDescent="0.2">
      <c r="A4037" s="391">
        <v>92532</v>
      </c>
      <c r="B4037" s="478" t="s">
        <v>1892</v>
      </c>
      <c r="C4037" s="391" t="s">
        <v>255</v>
      </c>
      <c r="D4037" s="479">
        <v>71.72</v>
      </c>
      <c r="E4037" s="368"/>
      <c r="F4037" s="368"/>
    </row>
    <row r="4038" spans="1:6" ht="38.25" x14ac:dyDescent="0.2">
      <c r="A4038" s="391">
        <v>92536</v>
      </c>
      <c r="B4038" s="478" t="s">
        <v>1894</v>
      </c>
      <c r="C4038" s="391" t="s">
        <v>255</v>
      </c>
      <c r="D4038" s="479">
        <v>65.900000000000006</v>
      </c>
      <c r="E4038" s="368"/>
      <c r="F4038" s="368"/>
    </row>
    <row r="4039" spans="1:6" ht="25.5" x14ac:dyDescent="0.2">
      <c r="A4039" s="391">
        <v>92508</v>
      </c>
      <c r="B4039" s="478" t="s">
        <v>1880</v>
      </c>
      <c r="C4039" s="391" t="s">
        <v>255</v>
      </c>
      <c r="D4039" s="479">
        <v>109.54</v>
      </c>
      <c r="E4039" s="368"/>
      <c r="F4039" s="368"/>
    </row>
    <row r="4040" spans="1:6" ht="25.5" x14ac:dyDescent="0.2">
      <c r="A4040" s="391">
        <v>92512</v>
      </c>
      <c r="B4040" s="478" t="s">
        <v>1882</v>
      </c>
      <c r="C4040" s="391" t="s">
        <v>255</v>
      </c>
      <c r="D4040" s="479">
        <v>92.25</v>
      </c>
      <c r="E4040" s="368"/>
      <c r="F4040" s="368"/>
    </row>
    <row r="4041" spans="1:6" ht="25.5" x14ac:dyDescent="0.2">
      <c r="A4041" s="391">
        <v>92515</v>
      </c>
      <c r="B4041" s="478" t="s">
        <v>1884</v>
      </c>
      <c r="C4041" s="391" t="s">
        <v>255</v>
      </c>
      <c r="D4041" s="479">
        <v>83.79</v>
      </c>
      <c r="E4041" s="368"/>
      <c r="F4041" s="368"/>
    </row>
    <row r="4042" spans="1:6" ht="25.5" x14ac:dyDescent="0.2">
      <c r="A4042" s="391">
        <v>92520</v>
      </c>
      <c r="B4042" s="478" t="s">
        <v>1886</v>
      </c>
      <c r="C4042" s="391" t="s">
        <v>255</v>
      </c>
      <c r="D4042" s="479">
        <v>78.33</v>
      </c>
      <c r="E4042" s="368"/>
      <c r="F4042" s="368"/>
    </row>
    <row r="4043" spans="1:6" ht="38.25" x14ac:dyDescent="0.2">
      <c r="A4043" s="391">
        <v>92526</v>
      </c>
      <c r="B4043" s="478" t="s">
        <v>1889</v>
      </c>
      <c r="C4043" s="391" t="s">
        <v>255</v>
      </c>
      <c r="D4043" s="479">
        <v>43.68</v>
      </c>
      <c r="E4043" s="368"/>
      <c r="F4043" s="368"/>
    </row>
    <row r="4044" spans="1:6" ht="38.25" x14ac:dyDescent="0.2">
      <c r="A4044" s="391">
        <v>92530</v>
      </c>
      <c r="B4044" s="478" t="s">
        <v>1891</v>
      </c>
      <c r="C4044" s="391" t="s">
        <v>255</v>
      </c>
      <c r="D4044" s="479">
        <v>41.06</v>
      </c>
      <c r="E4044" s="368"/>
      <c r="F4044" s="368"/>
    </row>
    <row r="4045" spans="1:6" ht="38.25" x14ac:dyDescent="0.2">
      <c r="A4045" s="391">
        <v>92534</v>
      </c>
      <c r="B4045" s="478" t="s">
        <v>1893</v>
      </c>
      <c r="C4045" s="391" t="s">
        <v>255</v>
      </c>
      <c r="D4045" s="479">
        <v>38.85</v>
      </c>
      <c r="E4045" s="368"/>
      <c r="F4045" s="368"/>
    </row>
    <row r="4046" spans="1:6" ht="38.25" x14ac:dyDescent="0.2">
      <c r="A4046" s="391">
        <v>92538</v>
      </c>
      <c r="B4046" s="478" t="s">
        <v>1895</v>
      </c>
      <c r="C4046" s="391" t="s">
        <v>255</v>
      </c>
      <c r="D4046" s="479">
        <v>34.42</v>
      </c>
      <c r="E4046" s="368"/>
      <c r="F4046" s="368"/>
    </row>
    <row r="4047" spans="1:6" ht="38.25" x14ac:dyDescent="0.2">
      <c r="A4047" s="391">
        <v>103760</v>
      </c>
      <c r="B4047" s="478" t="s">
        <v>1991</v>
      </c>
      <c r="C4047" s="391" t="s">
        <v>255</v>
      </c>
      <c r="D4047" s="479">
        <v>126.88</v>
      </c>
      <c r="E4047" s="368"/>
      <c r="F4047" s="368"/>
    </row>
    <row r="4048" spans="1:6" ht="38.25" x14ac:dyDescent="0.2">
      <c r="A4048" s="391">
        <v>103761</v>
      </c>
      <c r="B4048" s="478" t="s">
        <v>1992</v>
      </c>
      <c r="C4048" s="391" t="s">
        <v>255</v>
      </c>
      <c r="D4048" s="479">
        <v>85.78</v>
      </c>
      <c r="E4048" s="368"/>
      <c r="F4048" s="368"/>
    </row>
    <row r="4049" spans="1:6" ht="38.25" x14ac:dyDescent="0.2">
      <c r="A4049" s="391">
        <v>103762</v>
      </c>
      <c r="B4049" s="478" t="s">
        <v>1993</v>
      </c>
      <c r="C4049" s="391" t="s">
        <v>255</v>
      </c>
      <c r="D4049" s="479">
        <v>72.87</v>
      </c>
      <c r="E4049" s="368"/>
      <c r="F4049" s="368"/>
    </row>
    <row r="4050" spans="1:6" ht="38.25" x14ac:dyDescent="0.2">
      <c r="A4050" s="391">
        <v>103763</v>
      </c>
      <c r="B4050" s="478" t="s">
        <v>1994</v>
      </c>
      <c r="C4050" s="391" t="s">
        <v>255</v>
      </c>
      <c r="D4050" s="479">
        <v>64.11</v>
      </c>
      <c r="E4050" s="368"/>
      <c r="F4050" s="368"/>
    </row>
    <row r="4051" spans="1:6" ht="38.25" x14ac:dyDescent="0.2">
      <c r="A4051" s="391">
        <v>92510</v>
      </c>
      <c r="B4051" s="478" t="s">
        <v>1881</v>
      </c>
      <c r="C4051" s="391" t="s">
        <v>255</v>
      </c>
      <c r="D4051" s="479">
        <v>70.89</v>
      </c>
      <c r="E4051" s="368"/>
      <c r="F4051" s="368"/>
    </row>
    <row r="4052" spans="1:6" ht="38.25" x14ac:dyDescent="0.2">
      <c r="A4052" s="391">
        <v>92514</v>
      </c>
      <c r="B4052" s="478" t="s">
        <v>1883</v>
      </c>
      <c r="C4052" s="391" t="s">
        <v>255</v>
      </c>
      <c r="D4052" s="479">
        <v>54.73</v>
      </c>
      <c r="E4052" s="368"/>
      <c r="F4052" s="368"/>
    </row>
    <row r="4053" spans="1:6" ht="38.25" x14ac:dyDescent="0.2">
      <c r="A4053" s="391">
        <v>92518</v>
      </c>
      <c r="B4053" s="478" t="s">
        <v>1885</v>
      </c>
      <c r="C4053" s="391" t="s">
        <v>255</v>
      </c>
      <c r="D4053" s="479">
        <v>47.36</v>
      </c>
      <c r="E4053" s="368"/>
      <c r="F4053" s="368"/>
    </row>
    <row r="4054" spans="1:6" ht="38.25" x14ac:dyDescent="0.2">
      <c r="A4054" s="391">
        <v>92522</v>
      </c>
      <c r="B4054" s="478" t="s">
        <v>1887</v>
      </c>
      <c r="C4054" s="391" t="s">
        <v>255</v>
      </c>
      <c r="D4054" s="479">
        <v>42.9</v>
      </c>
      <c r="E4054" s="368"/>
      <c r="F4054" s="368"/>
    </row>
    <row r="4055" spans="1:6" ht="25.5" x14ac:dyDescent="0.2">
      <c r="A4055" s="391">
        <v>92482</v>
      </c>
      <c r="B4055" s="478" t="s">
        <v>1867</v>
      </c>
      <c r="C4055" s="391" t="s">
        <v>255</v>
      </c>
      <c r="D4055" s="479">
        <v>346.39</v>
      </c>
      <c r="E4055" s="368"/>
      <c r="F4055" s="368"/>
    </row>
    <row r="4056" spans="1:6" ht="25.5" x14ac:dyDescent="0.2">
      <c r="A4056" s="391">
        <v>92484</v>
      </c>
      <c r="B4056" s="478" t="s">
        <v>1868</v>
      </c>
      <c r="C4056" s="391" t="s">
        <v>255</v>
      </c>
      <c r="D4056" s="479">
        <v>238.28</v>
      </c>
      <c r="E4056" s="368"/>
      <c r="F4056" s="368"/>
    </row>
    <row r="4057" spans="1:6" ht="25.5" x14ac:dyDescent="0.2">
      <c r="A4057" s="391">
        <v>92486</v>
      </c>
      <c r="B4057" s="478" t="s">
        <v>1869</v>
      </c>
      <c r="C4057" s="391" t="s">
        <v>255</v>
      </c>
      <c r="D4057" s="479">
        <v>169.51</v>
      </c>
      <c r="E4057" s="368"/>
      <c r="F4057" s="368"/>
    </row>
    <row r="4058" spans="1:6" ht="38.25" x14ac:dyDescent="0.2">
      <c r="A4058" s="391">
        <v>92492</v>
      </c>
      <c r="B4058" s="478" t="s">
        <v>1872</v>
      </c>
      <c r="C4058" s="391" t="s">
        <v>255</v>
      </c>
      <c r="D4058" s="479">
        <v>103.11</v>
      </c>
      <c r="E4058" s="368"/>
      <c r="F4058" s="368"/>
    </row>
    <row r="4059" spans="1:6" ht="38.25" x14ac:dyDescent="0.2">
      <c r="A4059" s="391">
        <v>92496</v>
      </c>
      <c r="B4059" s="478" t="s">
        <v>1874</v>
      </c>
      <c r="C4059" s="391" t="s">
        <v>255</v>
      </c>
      <c r="D4059" s="479">
        <v>98.29</v>
      </c>
      <c r="E4059" s="368"/>
      <c r="F4059" s="368"/>
    </row>
    <row r="4060" spans="1:6" ht="38.25" x14ac:dyDescent="0.2">
      <c r="A4060" s="391">
        <v>92500</v>
      </c>
      <c r="B4060" s="478" t="s">
        <v>1876</v>
      </c>
      <c r="C4060" s="391" t="s">
        <v>255</v>
      </c>
      <c r="D4060" s="479">
        <v>94.52</v>
      </c>
      <c r="E4060" s="368"/>
      <c r="F4060" s="368"/>
    </row>
    <row r="4061" spans="1:6" ht="38.25" x14ac:dyDescent="0.2">
      <c r="A4061" s="391">
        <v>92504</v>
      </c>
      <c r="B4061" s="478" t="s">
        <v>1878</v>
      </c>
      <c r="C4061" s="391" t="s">
        <v>255</v>
      </c>
      <c r="D4061" s="479">
        <v>87.61</v>
      </c>
      <c r="E4061" s="368"/>
      <c r="F4061" s="368"/>
    </row>
    <row r="4062" spans="1:6" ht="38.25" x14ac:dyDescent="0.2">
      <c r="A4062" s="391">
        <v>92488</v>
      </c>
      <c r="B4062" s="478" t="s">
        <v>1870</v>
      </c>
      <c r="C4062" s="391" t="s">
        <v>255</v>
      </c>
      <c r="D4062" s="479">
        <v>108.93</v>
      </c>
      <c r="E4062" s="368"/>
      <c r="F4062" s="368"/>
    </row>
    <row r="4063" spans="1:6" ht="38.25" x14ac:dyDescent="0.2">
      <c r="A4063" s="391">
        <v>92494</v>
      </c>
      <c r="B4063" s="478" t="s">
        <v>1873</v>
      </c>
      <c r="C4063" s="391" t="s">
        <v>255</v>
      </c>
      <c r="D4063" s="479">
        <v>67.349999999999994</v>
      </c>
      <c r="E4063" s="368"/>
      <c r="F4063" s="368"/>
    </row>
    <row r="4064" spans="1:6" ht="38.25" x14ac:dyDescent="0.2">
      <c r="A4064" s="391">
        <v>92498</v>
      </c>
      <c r="B4064" s="478" t="s">
        <v>1875</v>
      </c>
      <c r="C4064" s="391" t="s">
        <v>255</v>
      </c>
      <c r="D4064" s="479">
        <v>63.45</v>
      </c>
      <c r="E4064" s="368"/>
      <c r="F4064" s="368"/>
    </row>
    <row r="4065" spans="1:6" ht="38.25" x14ac:dyDescent="0.2">
      <c r="A4065" s="391">
        <v>92502</v>
      </c>
      <c r="B4065" s="478" t="s">
        <v>1877</v>
      </c>
      <c r="C4065" s="391" t="s">
        <v>255</v>
      </c>
      <c r="D4065" s="479">
        <v>60.57</v>
      </c>
      <c r="E4065" s="368"/>
      <c r="F4065" s="368"/>
    </row>
    <row r="4066" spans="1:6" ht="38.25" x14ac:dyDescent="0.2">
      <c r="A4066" s="391">
        <v>92506</v>
      </c>
      <c r="B4066" s="478" t="s">
        <v>1879</v>
      </c>
      <c r="C4066" s="391" t="s">
        <v>255</v>
      </c>
      <c r="D4066" s="479">
        <v>55.19</v>
      </c>
      <c r="E4066" s="368"/>
      <c r="F4066" s="368"/>
    </row>
    <row r="4067" spans="1:6" ht="38.25" x14ac:dyDescent="0.2">
      <c r="A4067" s="391">
        <v>92490</v>
      </c>
      <c r="B4067" s="478" t="s">
        <v>1871</v>
      </c>
      <c r="C4067" s="391" t="s">
        <v>255</v>
      </c>
      <c r="D4067" s="479">
        <v>72.12</v>
      </c>
      <c r="E4067" s="368"/>
      <c r="F4067" s="368"/>
    </row>
    <row r="4068" spans="1:6" ht="38.25" x14ac:dyDescent="0.2">
      <c r="A4068" s="391">
        <v>92433</v>
      </c>
      <c r="B4068" s="478" t="s">
        <v>1826</v>
      </c>
      <c r="C4068" s="391" t="s">
        <v>255</v>
      </c>
      <c r="D4068" s="479">
        <v>77.34</v>
      </c>
      <c r="E4068" s="368"/>
      <c r="F4068" s="368"/>
    </row>
    <row r="4069" spans="1:6" ht="38.25" x14ac:dyDescent="0.2">
      <c r="A4069" s="391">
        <v>92437</v>
      </c>
      <c r="B4069" s="478" t="s">
        <v>1828</v>
      </c>
      <c r="C4069" s="391" t="s">
        <v>255</v>
      </c>
      <c r="D4069" s="479">
        <v>73.52</v>
      </c>
      <c r="E4069" s="368"/>
      <c r="F4069" s="368"/>
    </row>
    <row r="4070" spans="1:6" ht="38.25" x14ac:dyDescent="0.2">
      <c r="A4070" s="391">
        <v>92441</v>
      </c>
      <c r="B4070" s="478" t="s">
        <v>1830</v>
      </c>
      <c r="C4070" s="391" t="s">
        <v>255</v>
      </c>
      <c r="D4070" s="479">
        <v>70.760000000000005</v>
      </c>
      <c r="E4070" s="368"/>
      <c r="F4070" s="368"/>
    </row>
    <row r="4071" spans="1:6" ht="38.25" x14ac:dyDescent="0.2">
      <c r="A4071" s="391">
        <v>92445</v>
      </c>
      <c r="B4071" s="478" t="s">
        <v>1832</v>
      </c>
      <c r="C4071" s="391" t="s">
        <v>255</v>
      </c>
      <c r="D4071" s="479">
        <v>65.03</v>
      </c>
      <c r="E4071" s="368"/>
      <c r="F4071" s="368"/>
    </row>
    <row r="4072" spans="1:6" ht="38.25" x14ac:dyDescent="0.2">
      <c r="A4072" s="391">
        <v>92417</v>
      </c>
      <c r="B4072" s="478" t="s">
        <v>1818</v>
      </c>
      <c r="C4072" s="391" t="s">
        <v>255</v>
      </c>
      <c r="D4072" s="479">
        <v>175.16</v>
      </c>
      <c r="E4072" s="368"/>
      <c r="F4072" s="368"/>
    </row>
    <row r="4073" spans="1:6" ht="38.25" x14ac:dyDescent="0.2">
      <c r="A4073" s="391">
        <v>92421</v>
      </c>
      <c r="B4073" s="478" t="s">
        <v>1820</v>
      </c>
      <c r="C4073" s="391" t="s">
        <v>255</v>
      </c>
      <c r="D4073" s="479">
        <v>112.17</v>
      </c>
      <c r="E4073" s="368"/>
      <c r="F4073" s="368"/>
    </row>
    <row r="4074" spans="1:6" ht="38.25" x14ac:dyDescent="0.2">
      <c r="A4074" s="391">
        <v>92425</v>
      </c>
      <c r="B4074" s="478" t="s">
        <v>1822</v>
      </c>
      <c r="C4074" s="391" t="s">
        <v>255</v>
      </c>
      <c r="D4074" s="479">
        <v>92.17</v>
      </c>
      <c r="E4074" s="368"/>
      <c r="F4074" s="368"/>
    </row>
    <row r="4075" spans="1:6" ht="38.25" x14ac:dyDescent="0.2">
      <c r="A4075" s="391">
        <v>92429</v>
      </c>
      <c r="B4075" s="478" t="s">
        <v>1824</v>
      </c>
      <c r="C4075" s="391" t="s">
        <v>255</v>
      </c>
      <c r="D4075" s="479">
        <v>82.08</v>
      </c>
      <c r="E4075" s="368"/>
      <c r="F4075" s="368"/>
    </row>
    <row r="4076" spans="1:6" ht="38.25" x14ac:dyDescent="0.2">
      <c r="A4076" s="391">
        <v>92431</v>
      </c>
      <c r="B4076" s="478" t="s">
        <v>1825</v>
      </c>
      <c r="C4076" s="391" t="s">
        <v>255</v>
      </c>
      <c r="D4076" s="479">
        <v>64.23</v>
      </c>
      <c r="E4076" s="368"/>
      <c r="F4076" s="368"/>
    </row>
    <row r="4077" spans="1:6" ht="38.25" x14ac:dyDescent="0.2">
      <c r="A4077" s="391">
        <v>92435</v>
      </c>
      <c r="B4077" s="478" t="s">
        <v>1827</v>
      </c>
      <c r="C4077" s="391" t="s">
        <v>255</v>
      </c>
      <c r="D4077" s="479">
        <v>60.85</v>
      </c>
      <c r="E4077" s="368"/>
      <c r="F4077" s="368"/>
    </row>
    <row r="4078" spans="1:6" ht="38.25" x14ac:dyDescent="0.2">
      <c r="A4078" s="391">
        <v>92439</v>
      </c>
      <c r="B4078" s="478" t="s">
        <v>1829</v>
      </c>
      <c r="C4078" s="391" t="s">
        <v>255</v>
      </c>
      <c r="D4078" s="479">
        <v>58.4</v>
      </c>
      <c r="E4078" s="368"/>
      <c r="F4078" s="368"/>
    </row>
    <row r="4079" spans="1:6" ht="38.25" x14ac:dyDescent="0.2">
      <c r="A4079" s="391">
        <v>92443</v>
      </c>
      <c r="B4079" s="478" t="s">
        <v>1831</v>
      </c>
      <c r="C4079" s="391" t="s">
        <v>255</v>
      </c>
      <c r="D4079" s="479">
        <v>53.11</v>
      </c>
      <c r="E4079" s="368"/>
      <c r="F4079" s="368"/>
    </row>
    <row r="4080" spans="1:6" ht="38.25" x14ac:dyDescent="0.2">
      <c r="A4080" s="391">
        <v>92415</v>
      </c>
      <c r="B4080" s="478" t="s">
        <v>1817</v>
      </c>
      <c r="C4080" s="391" t="s">
        <v>255</v>
      </c>
      <c r="D4080" s="479">
        <v>152.79</v>
      </c>
      <c r="E4080" s="368"/>
      <c r="F4080" s="368"/>
    </row>
    <row r="4081" spans="1:6" ht="38.25" x14ac:dyDescent="0.2">
      <c r="A4081" s="391">
        <v>92419</v>
      </c>
      <c r="B4081" s="478" t="s">
        <v>1819</v>
      </c>
      <c r="C4081" s="391" t="s">
        <v>255</v>
      </c>
      <c r="D4081" s="479">
        <v>95.02</v>
      </c>
      <c r="E4081" s="368"/>
      <c r="F4081" s="368"/>
    </row>
    <row r="4082" spans="1:6" ht="38.25" x14ac:dyDescent="0.2">
      <c r="A4082" s="391">
        <v>92423</v>
      </c>
      <c r="B4082" s="478" t="s">
        <v>1821</v>
      </c>
      <c r="C4082" s="391" t="s">
        <v>255</v>
      </c>
      <c r="D4082" s="479">
        <v>77.25</v>
      </c>
      <c r="E4082" s="368"/>
      <c r="F4082" s="368"/>
    </row>
    <row r="4083" spans="1:6" ht="38.25" x14ac:dyDescent="0.2">
      <c r="A4083" s="391">
        <v>92427</v>
      </c>
      <c r="B4083" s="478" t="s">
        <v>1823</v>
      </c>
      <c r="C4083" s="391" t="s">
        <v>255</v>
      </c>
      <c r="D4083" s="479">
        <v>68.27</v>
      </c>
      <c r="E4083" s="368"/>
      <c r="F4083" s="368"/>
    </row>
    <row r="4084" spans="1:6" ht="38.25" x14ac:dyDescent="0.2">
      <c r="A4084" s="391">
        <v>92409</v>
      </c>
      <c r="B4084" s="478" t="s">
        <v>1814</v>
      </c>
      <c r="C4084" s="391" t="s">
        <v>255</v>
      </c>
      <c r="D4084" s="479">
        <v>266.91000000000003</v>
      </c>
      <c r="E4084" s="368"/>
      <c r="F4084" s="368"/>
    </row>
    <row r="4085" spans="1:6" ht="38.25" x14ac:dyDescent="0.2">
      <c r="A4085" s="391">
        <v>92411</v>
      </c>
      <c r="B4085" s="478" t="s">
        <v>1815</v>
      </c>
      <c r="C4085" s="391" t="s">
        <v>255</v>
      </c>
      <c r="D4085" s="479">
        <v>172.7</v>
      </c>
      <c r="E4085" s="368"/>
      <c r="F4085" s="368"/>
    </row>
    <row r="4086" spans="1:6" ht="38.25" x14ac:dyDescent="0.2">
      <c r="A4086" s="391">
        <v>92413</v>
      </c>
      <c r="B4086" s="478" t="s">
        <v>1816</v>
      </c>
      <c r="C4086" s="391" t="s">
        <v>255</v>
      </c>
      <c r="D4086" s="479">
        <v>110.41</v>
      </c>
      <c r="E4086" s="368"/>
      <c r="F4086" s="368"/>
    </row>
    <row r="4087" spans="1:6" ht="38.25" x14ac:dyDescent="0.2">
      <c r="A4087" s="391">
        <v>92465</v>
      </c>
      <c r="B4087" s="478" t="s">
        <v>1851</v>
      </c>
      <c r="C4087" s="391" t="s">
        <v>255</v>
      </c>
      <c r="D4087" s="479">
        <v>174.41</v>
      </c>
      <c r="E4087" s="368"/>
      <c r="F4087" s="368"/>
    </row>
    <row r="4088" spans="1:6" ht="38.25" x14ac:dyDescent="0.2">
      <c r="A4088" s="391">
        <v>92469</v>
      </c>
      <c r="B4088" s="478" t="s">
        <v>1855</v>
      </c>
      <c r="C4088" s="391" t="s">
        <v>255</v>
      </c>
      <c r="D4088" s="479">
        <v>158.56</v>
      </c>
      <c r="E4088" s="368"/>
      <c r="F4088" s="368"/>
    </row>
    <row r="4089" spans="1:6" ht="38.25" x14ac:dyDescent="0.2">
      <c r="A4089" s="391">
        <v>92473</v>
      </c>
      <c r="B4089" s="478" t="s">
        <v>1859</v>
      </c>
      <c r="C4089" s="391" t="s">
        <v>255</v>
      </c>
      <c r="D4089" s="479">
        <v>145.81</v>
      </c>
      <c r="E4089" s="368"/>
      <c r="F4089" s="368"/>
    </row>
    <row r="4090" spans="1:6" ht="38.25" x14ac:dyDescent="0.2">
      <c r="A4090" s="391">
        <v>92477</v>
      </c>
      <c r="B4090" s="478" t="s">
        <v>1863</v>
      </c>
      <c r="C4090" s="391" t="s">
        <v>255</v>
      </c>
      <c r="D4090" s="479">
        <v>118.27</v>
      </c>
      <c r="E4090" s="368"/>
      <c r="F4090" s="368"/>
    </row>
    <row r="4091" spans="1:6" ht="38.25" x14ac:dyDescent="0.2">
      <c r="A4091" s="391">
        <v>92449</v>
      </c>
      <c r="B4091" s="478" t="s">
        <v>1836</v>
      </c>
      <c r="C4091" s="391" t="s">
        <v>255</v>
      </c>
      <c r="D4091" s="479">
        <v>319.97000000000003</v>
      </c>
      <c r="E4091" s="368"/>
      <c r="F4091" s="368"/>
    </row>
    <row r="4092" spans="1:6" ht="38.25" x14ac:dyDescent="0.2">
      <c r="A4092" s="391">
        <v>92453</v>
      </c>
      <c r="B4092" s="478" t="s">
        <v>1840</v>
      </c>
      <c r="C4092" s="391" t="s">
        <v>255</v>
      </c>
      <c r="D4092" s="479">
        <v>274.89999999999998</v>
      </c>
      <c r="E4092" s="368"/>
      <c r="F4092" s="368"/>
    </row>
    <row r="4093" spans="1:6" ht="38.25" x14ac:dyDescent="0.2">
      <c r="A4093" s="391">
        <v>92457</v>
      </c>
      <c r="B4093" s="478" t="s">
        <v>1844</v>
      </c>
      <c r="C4093" s="391" t="s">
        <v>255</v>
      </c>
      <c r="D4093" s="479">
        <v>238.89</v>
      </c>
      <c r="E4093" s="368"/>
      <c r="F4093" s="368"/>
    </row>
    <row r="4094" spans="1:6" ht="38.25" x14ac:dyDescent="0.2">
      <c r="A4094" s="391">
        <v>92461</v>
      </c>
      <c r="B4094" s="478" t="s">
        <v>1847</v>
      </c>
      <c r="C4094" s="391" t="s">
        <v>255</v>
      </c>
      <c r="D4094" s="479">
        <v>220.92</v>
      </c>
      <c r="E4094" s="368"/>
      <c r="F4094" s="368"/>
    </row>
    <row r="4095" spans="1:6" ht="38.25" x14ac:dyDescent="0.2">
      <c r="A4095" s="391">
        <v>92467</v>
      </c>
      <c r="B4095" s="478" t="s">
        <v>1853</v>
      </c>
      <c r="C4095" s="391" t="s">
        <v>255</v>
      </c>
      <c r="D4095" s="479">
        <v>110.91</v>
      </c>
      <c r="E4095" s="368"/>
      <c r="F4095" s="368"/>
    </row>
    <row r="4096" spans="1:6" ht="38.25" x14ac:dyDescent="0.2">
      <c r="A4096" s="391">
        <v>92471</v>
      </c>
      <c r="B4096" s="478" t="s">
        <v>1857</v>
      </c>
      <c r="C4096" s="391" t="s">
        <v>255</v>
      </c>
      <c r="D4096" s="479">
        <v>100.96</v>
      </c>
      <c r="E4096" s="368"/>
      <c r="F4096" s="368"/>
    </row>
    <row r="4097" spans="1:6" ht="38.25" x14ac:dyDescent="0.2">
      <c r="A4097" s="391">
        <v>92475</v>
      </c>
      <c r="B4097" s="478" t="s">
        <v>1861</v>
      </c>
      <c r="C4097" s="391" t="s">
        <v>255</v>
      </c>
      <c r="D4097" s="479">
        <v>92.92</v>
      </c>
      <c r="E4097" s="368"/>
      <c r="F4097" s="368"/>
    </row>
    <row r="4098" spans="1:6" ht="38.25" x14ac:dyDescent="0.2">
      <c r="A4098" s="391">
        <v>92479</v>
      </c>
      <c r="B4098" s="478" t="s">
        <v>1865</v>
      </c>
      <c r="C4098" s="391" t="s">
        <v>255</v>
      </c>
      <c r="D4098" s="479">
        <v>75.59</v>
      </c>
      <c r="E4098" s="368"/>
      <c r="F4098" s="368"/>
    </row>
    <row r="4099" spans="1:6" ht="38.25" x14ac:dyDescent="0.2">
      <c r="A4099" s="391">
        <v>92451</v>
      </c>
      <c r="B4099" s="478" t="s">
        <v>1838</v>
      </c>
      <c r="C4099" s="391" t="s">
        <v>255</v>
      </c>
      <c r="D4099" s="479">
        <v>214.4</v>
      </c>
      <c r="E4099" s="368"/>
      <c r="F4099" s="368"/>
    </row>
    <row r="4100" spans="1:6" ht="38.25" x14ac:dyDescent="0.2">
      <c r="A4100" s="391">
        <v>92455</v>
      </c>
      <c r="B4100" s="478" t="s">
        <v>1842</v>
      </c>
      <c r="C4100" s="391" t="s">
        <v>255</v>
      </c>
      <c r="D4100" s="479">
        <v>176.02</v>
      </c>
      <c r="E4100" s="368"/>
      <c r="F4100" s="368"/>
    </row>
    <row r="4101" spans="1:6" ht="38.25" x14ac:dyDescent="0.2">
      <c r="A4101" s="391">
        <v>92459</v>
      </c>
      <c r="B4101" s="478" t="s">
        <v>1845</v>
      </c>
      <c r="C4101" s="391" t="s">
        <v>255</v>
      </c>
      <c r="D4101" s="479">
        <v>149.44999999999999</v>
      </c>
      <c r="E4101" s="368"/>
      <c r="F4101" s="368"/>
    </row>
    <row r="4102" spans="1:6" ht="38.25" x14ac:dyDescent="0.2">
      <c r="A4102" s="391">
        <v>92463</v>
      </c>
      <c r="B4102" s="478" t="s">
        <v>1849</v>
      </c>
      <c r="C4102" s="391" t="s">
        <v>255</v>
      </c>
      <c r="D4102" s="479">
        <v>135.72999999999999</v>
      </c>
      <c r="E4102" s="368"/>
      <c r="F4102" s="368"/>
    </row>
    <row r="4103" spans="1:6" ht="38.25" x14ac:dyDescent="0.2">
      <c r="A4103" s="391">
        <v>92446</v>
      </c>
      <c r="B4103" s="478" t="s">
        <v>1833</v>
      </c>
      <c r="C4103" s="391" t="s">
        <v>255</v>
      </c>
      <c r="D4103" s="479">
        <v>317.70999999999998</v>
      </c>
      <c r="E4103" s="368"/>
      <c r="F4103" s="368"/>
    </row>
    <row r="4104" spans="1:6" ht="38.25" x14ac:dyDescent="0.2">
      <c r="A4104" s="391">
        <v>92447</v>
      </c>
      <c r="B4104" s="478" t="s">
        <v>1834</v>
      </c>
      <c r="C4104" s="391" t="s">
        <v>255</v>
      </c>
      <c r="D4104" s="479">
        <v>220.49</v>
      </c>
      <c r="E4104" s="368"/>
      <c r="F4104" s="368"/>
    </row>
    <row r="4105" spans="1:6" ht="38.25" x14ac:dyDescent="0.2">
      <c r="A4105" s="391">
        <v>92448</v>
      </c>
      <c r="B4105" s="478" t="s">
        <v>1835</v>
      </c>
      <c r="C4105" s="391" t="s">
        <v>255</v>
      </c>
      <c r="D4105" s="479">
        <v>173.75</v>
      </c>
      <c r="E4105" s="368"/>
      <c r="F4105" s="368"/>
    </row>
    <row r="4106" spans="1:6" ht="38.25" x14ac:dyDescent="0.2">
      <c r="A4106" s="391">
        <v>92466</v>
      </c>
      <c r="B4106" s="478" t="s">
        <v>1852</v>
      </c>
      <c r="C4106" s="391" t="s">
        <v>255</v>
      </c>
      <c r="D4106" s="479">
        <v>251.25</v>
      </c>
      <c r="E4106" s="368"/>
      <c r="F4106" s="368"/>
    </row>
    <row r="4107" spans="1:6" ht="38.25" x14ac:dyDescent="0.2">
      <c r="A4107" s="391">
        <v>92470</v>
      </c>
      <c r="B4107" s="478" t="s">
        <v>1856</v>
      </c>
      <c r="C4107" s="391" t="s">
        <v>255</v>
      </c>
      <c r="D4107" s="479">
        <v>244.17</v>
      </c>
      <c r="E4107" s="368"/>
      <c r="F4107" s="368"/>
    </row>
    <row r="4108" spans="1:6" ht="38.25" x14ac:dyDescent="0.2">
      <c r="A4108" s="391">
        <v>92474</v>
      </c>
      <c r="B4108" s="478" t="s">
        <v>1860</v>
      </c>
      <c r="C4108" s="391" t="s">
        <v>255</v>
      </c>
      <c r="D4108" s="479">
        <v>238.12</v>
      </c>
      <c r="E4108" s="368"/>
      <c r="F4108" s="368"/>
    </row>
    <row r="4109" spans="1:6" ht="38.25" x14ac:dyDescent="0.2">
      <c r="A4109" s="391">
        <v>92478</v>
      </c>
      <c r="B4109" s="478" t="s">
        <v>1864</v>
      </c>
      <c r="C4109" s="391" t="s">
        <v>255</v>
      </c>
      <c r="D4109" s="479">
        <v>226.06</v>
      </c>
      <c r="E4109" s="368"/>
      <c r="F4109" s="368"/>
    </row>
    <row r="4110" spans="1:6" ht="38.25" x14ac:dyDescent="0.2">
      <c r="A4110" s="391">
        <v>92450</v>
      </c>
      <c r="B4110" s="478" t="s">
        <v>1837</v>
      </c>
      <c r="C4110" s="391" t="s">
        <v>255</v>
      </c>
      <c r="D4110" s="479">
        <v>325.81</v>
      </c>
      <c r="E4110" s="368"/>
      <c r="F4110" s="368"/>
    </row>
    <row r="4111" spans="1:6" ht="38.25" x14ac:dyDescent="0.2">
      <c r="A4111" s="391">
        <v>92454</v>
      </c>
      <c r="B4111" s="478" t="s">
        <v>1841</v>
      </c>
      <c r="C4111" s="391" t="s">
        <v>255</v>
      </c>
      <c r="D4111" s="479">
        <v>291.61</v>
      </c>
      <c r="E4111" s="368"/>
      <c r="F4111" s="368"/>
    </row>
    <row r="4112" spans="1:6" ht="38.25" x14ac:dyDescent="0.2">
      <c r="A4112" s="391">
        <v>92458</v>
      </c>
      <c r="B4112" s="478" t="s">
        <v>38783</v>
      </c>
      <c r="C4112" s="391" t="s">
        <v>255</v>
      </c>
      <c r="D4112" s="479">
        <v>270.64999999999998</v>
      </c>
      <c r="E4112" s="368"/>
      <c r="F4112" s="368"/>
    </row>
    <row r="4113" spans="1:6" ht="38.25" x14ac:dyDescent="0.2">
      <c r="A4113" s="391">
        <v>92462</v>
      </c>
      <c r="B4113" s="478" t="s">
        <v>1848</v>
      </c>
      <c r="C4113" s="391" t="s">
        <v>255</v>
      </c>
      <c r="D4113" s="479">
        <v>257.68</v>
      </c>
      <c r="E4113" s="368"/>
      <c r="F4113" s="368"/>
    </row>
    <row r="4114" spans="1:6" ht="38.25" x14ac:dyDescent="0.2">
      <c r="A4114" s="391">
        <v>92468</v>
      </c>
      <c r="B4114" s="478" t="s">
        <v>1854</v>
      </c>
      <c r="C4114" s="391" t="s">
        <v>255</v>
      </c>
      <c r="D4114" s="479">
        <v>119.06</v>
      </c>
      <c r="E4114" s="368"/>
      <c r="F4114" s="368"/>
    </row>
    <row r="4115" spans="1:6" ht="38.25" x14ac:dyDescent="0.2">
      <c r="A4115" s="391">
        <v>92472</v>
      </c>
      <c r="B4115" s="478" t="s">
        <v>1858</v>
      </c>
      <c r="C4115" s="391" t="s">
        <v>255</v>
      </c>
      <c r="D4115" s="479">
        <v>112.73</v>
      </c>
      <c r="E4115" s="368"/>
      <c r="F4115" s="368"/>
    </row>
    <row r="4116" spans="1:6" ht="38.25" x14ac:dyDescent="0.2">
      <c r="A4116" s="391">
        <v>92476</v>
      </c>
      <c r="B4116" s="478" t="s">
        <v>1862</v>
      </c>
      <c r="C4116" s="391" t="s">
        <v>255</v>
      </c>
      <c r="D4116" s="479">
        <v>107.38</v>
      </c>
      <c r="E4116" s="368"/>
      <c r="F4116" s="368"/>
    </row>
    <row r="4117" spans="1:6" ht="38.25" x14ac:dyDescent="0.2">
      <c r="A4117" s="391">
        <v>92480</v>
      </c>
      <c r="B4117" s="478" t="s">
        <v>1866</v>
      </c>
      <c r="C4117" s="391" t="s">
        <v>255</v>
      </c>
      <c r="D4117" s="479">
        <v>96.58</v>
      </c>
      <c r="E4117" s="368"/>
      <c r="F4117" s="368"/>
    </row>
    <row r="4118" spans="1:6" ht="38.25" x14ac:dyDescent="0.2">
      <c r="A4118" s="391">
        <v>92452</v>
      </c>
      <c r="B4118" s="478" t="s">
        <v>1839</v>
      </c>
      <c r="C4118" s="391" t="s">
        <v>255</v>
      </c>
      <c r="D4118" s="479">
        <v>194.66</v>
      </c>
      <c r="E4118" s="368"/>
      <c r="F4118" s="368"/>
    </row>
    <row r="4119" spans="1:6" ht="38.25" x14ac:dyDescent="0.2">
      <c r="A4119" s="391">
        <v>92456</v>
      </c>
      <c r="B4119" s="478" t="s">
        <v>1843</v>
      </c>
      <c r="C4119" s="391" t="s">
        <v>255</v>
      </c>
      <c r="D4119" s="479">
        <v>159.44999999999999</v>
      </c>
      <c r="E4119" s="368"/>
      <c r="F4119" s="368"/>
    </row>
    <row r="4120" spans="1:6" ht="38.25" x14ac:dyDescent="0.2">
      <c r="A4120" s="391">
        <v>92460</v>
      </c>
      <c r="B4120" s="478" t="s">
        <v>1846</v>
      </c>
      <c r="C4120" s="391" t="s">
        <v>255</v>
      </c>
      <c r="D4120" s="479">
        <v>132.58000000000001</v>
      </c>
      <c r="E4120" s="368"/>
      <c r="F4120" s="368"/>
    </row>
    <row r="4121" spans="1:6" ht="38.25" x14ac:dyDescent="0.2">
      <c r="A4121" s="391">
        <v>92464</v>
      </c>
      <c r="B4121" s="478" t="s">
        <v>1850</v>
      </c>
      <c r="C4121" s="391" t="s">
        <v>255</v>
      </c>
      <c r="D4121" s="479">
        <v>125.43</v>
      </c>
      <c r="E4121" s="368"/>
      <c r="F4121" s="368"/>
    </row>
    <row r="4122" spans="1:6" ht="25.5" x14ac:dyDescent="0.2">
      <c r="A4122" s="391">
        <v>105403</v>
      </c>
      <c r="B4122" s="478" t="s">
        <v>38788</v>
      </c>
      <c r="C4122" s="391" t="s">
        <v>255</v>
      </c>
      <c r="D4122" s="479">
        <v>221.87</v>
      </c>
      <c r="E4122" s="368"/>
      <c r="F4122" s="368"/>
    </row>
    <row r="4123" spans="1:6" ht="25.5" x14ac:dyDescent="0.2">
      <c r="A4123" s="391">
        <v>96252</v>
      </c>
      <c r="B4123" s="478" t="s">
        <v>38784</v>
      </c>
      <c r="C4123" s="391" t="s">
        <v>255</v>
      </c>
      <c r="D4123" s="479">
        <v>184.05</v>
      </c>
      <c r="E4123" s="368"/>
      <c r="F4123" s="368"/>
    </row>
    <row r="4124" spans="1:6" ht="25.5" x14ac:dyDescent="0.2">
      <c r="A4124" s="391">
        <v>96254</v>
      </c>
      <c r="B4124" s="478" t="s">
        <v>41307</v>
      </c>
      <c r="C4124" s="391" t="s">
        <v>0</v>
      </c>
      <c r="D4124" s="479">
        <v>0</v>
      </c>
      <c r="E4124" s="368"/>
      <c r="F4124" s="368"/>
    </row>
    <row r="4125" spans="1:6" ht="25.5" x14ac:dyDescent="0.2">
      <c r="A4125" s="391">
        <v>96253</v>
      </c>
      <c r="B4125" s="478" t="s">
        <v>41308</v>
      </c>
      <c r="C4125" s="391" t="s">
        <v>0</v>
      </c>
      <c r="D4125" s="479">
        <v>0</v>
      </c>
      <c r="E4125" s="368"/>
      <c r="F4125" s="368"/>
    </row>
    <row r="4126" spans="1:6" ht="25.5" x14ac:dyDescent="0.2">
      <c r="A4126" s="391">
        <v>105406</v>
      </c>
      <c r="B4126" s="478" t="s">
        <v>38789</v>
      </c>
      <c r="C4126" s="391" t="s">
        <v>255</v>
      </c>
      <c r="D4126" s="479">
        <v>212.21</v>
      </c>
      <c r="E4126" s="368"/>
      <c r="F4126" s="368"/>
    </row>
    <row r="4127" spans="1:6" ht="25.5" x14ac:dyDescent="0.2">
      <c r="A4127" s="391">
        <v>96264</v>
      </c>
      <c r="B4127" s="478" t="s">
        <v>41309</v>
      </c>
      <c r="C4127" s="391" t="s">
        <v>255</v>
      </c>
      <c r="D4127" s="479">
        <v>0</v>
      </c>
      <c r="E4127" s="368"/>
      <c r="F4127" s="368"/>
    </row>
    <row r="4128" spans="1:6" ht="25.5" x14ac:dyDescent="0.2">
      <c r="A4128" s="391">
        <v>105405</v>
      </c>
      <c r="B4128" s="478" t="s">
        <v>41310</v>
      </c>
      <c r="C4128" s="391" t="s">
        <v>255</v>
      </c>
      <c r="D4128" s="479">
        <v>0</v>
      </c>
      <c r="E4128" s="368"/>
      <c r="F4128" s="368"/>
    </row>
    <row r="4129" spans="1:6" ht="25.5" x14ac:dyDescent="0.2">
      <c r="A4129" s="391">
        <v>96258</v>
      </c>
      <c r="B4129" s="478" t="s">
        <v>38785</v>
      </c>
      <c r="C4129" s="391" t="s">
        <v>255</v>
      </c>
      <c r="D4129" s="479">
        <v>155.66</v>
      </c>
      <c r="E4129" s="368"/>
      <c r="F4129" s="368"/>
    </row>
    <row r="4130" spans="1:6" ht="25.5" x14ac:dyDescent="0.2">
      <c r="A4130" s="391">
        <v>96262</v>
      </c>
      <c r="B4130" s="478" t="s">
        <v>41311</v>
      </c>
      <c r="C4130" s="391" t="s">
        <v>255</v>
      </c>
      <c r="D4130" s="479">
        <v>0</v>
      </c>
      <c r="E4130" s="368"/>
      <c r="F4130" s="368"/>
    </row>
    <row r="4131" spans="1:6" ht="25.5" x14ac:dyDescent="0.2">
      <c r="A4131" s="391">
        <v>105404</v>
      </c>
      <c r="B4131" s="478" t="s">
        <v>41312</v>
      </c>
      <c r="C4131" s="391" t="s">
        <v>255</v>
      </c>
      <c r="D4131" s="479">
        <v>0</v>
      </c>
      <c r="E4131" s="368"/>
      <c r="F4131" s="368"/>
    </row>
    <row r="4132" spans="1:6" ht="38.25" x14ac:dyDescent="0.2">
      <c r="A4132" s="391">
        <v>92751</v>
      </c>
      <c r="B4132" s="478" t="s">
        <v>38775</v>
      </c>
      <c r="C4132" s="391" t="s">
        <v>271</v>
      </c>
      <c r="D4132" s="479">
        <v>1591.95</v>
      </c>
      <c r="E4132" s="368"/>
      <c r="F4132" s="368"/>
    </row>
    <row r="4133" spans="1:6" ht="38.25" x14ac:dyDescent="0.2">
      <c r="A4133" s="391">
        <v>92752</v>
      </c>
      <c r="B4133" s="478" t="s">
        <v>38776</v>
      </c>
      <c r="C4133" s="391" t="s">
        <v>271</v>
      </c>
      <c r="D4133" s="479">
        <v>1875.14</v>
      </c>
      <c r="E4133" s="368"/>
      <c r="F4133" s="368"/>
    </row>
    <row r="4134" spans="1:6" ht="38.25" x14ac:dyDescent="0.2">
      <c r="A4134" s="391">
        <v>92750</v>
      </c>
      <c r="B4134" s="478" t="s">
        <v>38774</v>
      </c>
      <c r="C4134" s="391" t="s">
        <v>271</v>
      </c>
      <c r="D4134" s="479">
        <v>1306.32</v>
      </c>
      <c r="E4134" s="368"/>
      <c r="F4134" s="368"/>
    </row>
    <row r="4135" spans="1:6" ht="38.25" x14ac:dyDescent="0.2">
      <c r="A4135" s="391">
        <v>92749</v>
      </c>
      <c r="B4135" s="478" t="s">
        <v>38773</v>
      </c>
      <c r="C4135" s="391" t="s">
        <v>271</v>
      </c>
      <c r="D4135" s="479">
        <v>817.6</v>
      </c>
      <c r="E4135" s="368"/>
      <c r="F4135" s="368"/>
    </row>
    <row r="4136" spans="1:6" ht="51" x14ac:dyDescent="0.2">
      <c r="A4136" s="391">
        <v>92745</v>
      </c>
      <c r="B4136" s="478" t="s">
        <v>38769</v>
      </c>
      <c r="C4136" s="391" t="s">
        <v>271</v>
      </c>
      <c r="D4136" s="479">
        <v>711.25</v>
      </c>
      <c r="E4136" s="368"/>
      <c r="F4136" s="368"/>
    </row>
    <row r="4137" spans="1:6" ht="51" x14ac:dyDescent="0.2">
      <c r="A4137" s="391">
        <v>92747</v>
      </c>
      <c r="B4137" s="478" t="s">
        <v>38771</v>
      </c>
      <c r="C4137" s="391" t="s">
        <v>271</v>
      </c>
      <c r="D4137" s="479">
        <v>782.9</v>
      </c>
      <c r="E4137" s="368"/>
      <c r="F4137" s="368"/>
    </row>
    <row r="4138" spans="1:6" ht="38.25" x14ac:dyDescent="0.2">
      <c r="A4138" s="391">
        <v>92743</v>
      </c>
      <c r="B4138" s="478" t="s">
        <v>38767</v>
      </c>
      <c r="C4138" s="391" t="s">
        <v>271</v>
      </c>
      <c r="D4138" s="479">
        <v>598.48</v>
      </c>
      <c r="E4138" s="368"/>
      <c r="F4138" s="368"/>
    </row>
    <row r="4139" spans="1:6" ht="51" x14ac:dyDescent="0.2">
      <c r="A4139" s="391">
        <v>92746</v>
      </c>
      <c r="B4139" s="478" t="s">
        <v>38770</v>
      </c>
      <c r="C4139" s="391" t="s">
        <v>271</v>
      </c>
      <c r="D4139" s="479">
        <v>632.86</v>
      </c>
      <c r="E4139" s="368"/>
      <c r="F4139" s="368"/>
    </row>
    <row r="4140" spans="1:6" ht="51" x14ac:dyDescent="0.2">
      <c r="A4140" s="391">
        <v>92748</v>
      </c>
      <c r="B4140" s="478" t="s">
        <v>38772</v>
      </c>
      <c r="C4140" s="391" t="s">
        <v>271</v>
      </c>
      <c r="D4140" s="479">
        <v>691</v>
      </c>
      <c r="E4140" s="368"/>
      <c r="F4140" s="368"/>
    </row>
    <row r="4141" spans="1:6" ht="38.25" x14ac:dyDescent="0.2">
      <c r="A4141" s="391">
        <v>92744</v>
      </c>
      <c r="B4141" s="478" t="s">
        <v>38768</v>
      </c>
      <c r="C4141" s="391" t="s">
        <v>271</v>
      </c>
      <c r="D4141" s="479">
        <v>537.65</v>
      </c>
      <c r="E4141" s="368"/>
      <c r="F4141" s="368"/>
    </row>
    <row r="4142" spans="1:6" ht="51" x14ac:dyDescent="0.2">
      <c r="A4142" s="391">
        <v>92754</v>
      </c>
      <c r="B4142" s="478" t="s">
        <v>38778</v>
      </c>
      <c r="C4142" s="391" t="s">
        <v>271</v>
      </c>
      <c r="D4142" s="479">
        <v>529.99</v>
      </c>
      <c r="E4142" s="368"/>
      <c r="F4142" s="368"/>
    </row>
    <row r="4143" spans="1:6" ht="51" x14ac:dyDescent="0.2">
      <c r="A4143" s="391">
        <v>92753</v>
      </c>
      <c r="B4143" s="478" t="s">
        <v>38777</v>
      </c>
      <c r="C4143" s="391" t="s">
        <v>271</v>
      </c>
      <c r="D4143" s="479">
        <v>537.47</v>
      </c>
      <c r="E4143" s="368"/>
      <c r="F4143" s="368"/>
    </row>
    <row r="4144" spans="1:6" ht="38.25" x14ac:dyDescent="0.2">
      <c r="A4144" s="391">
        <v>92755</v>
      </c>
      <c r="B4144" s="478" t="s">
        <v>38779</v>
      </c>
      <c r="C4144" s="391" t="s">
        <v>255</v>
      </c>
      <c r="D4144" s="479">
        <v>209.7</v>
      </c>
      <c r="E4144" s="368"/>
      <c r="F4144" s="368"/>
    </row>
    <row r="4145" spans="1:6" ht="38.25" x14ac:dyDescent="0.2">
      <c r="A4145" s="391">
        <v>92756</v>
      </c>
      <c r="B4145" s="478" t="s">
        <v>38780</v>
      </c>
      <c r="C4145" s="391" t="s">
        <v>255</v>
      </c>
      <c r="D4145" s="479">
        <v>243.38</v>
      </c>
      <c r="E4145" s="368"/>
      <c r="F4145" s="368"/>
    </row>
    <row r="4146" spans="1:6" ht="38.25" x14ac:dyDescent="0.2">
      <c r="A4146" s="391">
        <v>92757</v>
      </c>
      <c r="B4146" s="478" t="s">
        <v>38781</v>
      </c>
      <c r="C4146" s="391" t="s">
        <v>255</v>
      </c>
      <c r="D4146" s="479">
        <v>283.52</v>
      </c>
      <c r="E4146" s="368"/>
      <c r="F4146" s="368"/>
    </row>
    <row r="4147" spans="1:6" ht="38.25" x14ac:dyDescent="0.2">
      <c r="A4147" s="391">
        <v>92758</v>
      </c>
      <c r="B4147" s="478" t="s">
        <v>38782</v>
      </c>
      <c r="C4147" s="391" t="s">
        <v>271</v>
      </c>
      <c r="D4147" s="479">
        <v>573.98</v>
      </c>
      <c r="E4147" s="368"/>
      <c r="F4147" s="368"/>
    </row>
    <row r="4148" spans="1:6" ht="51" x14ac:dyDescent="0.2">
      <c r="A4148" s="391">
        <v>104500</v>
      </c>
      <c r="B4148" s="478" t="s">
        <v>47670</v>
      </c>
      <c r="C4148" s="391" t="s">
        <v>0</v>
      </c>
      <c r="D4148" s="479">
        <v>0</v>
      </c>
      <c r="E4148" s="368"/>
      <c r="F4148" s="368"/>
    </row>
    <row r="4149" spans="1:6" ht="51" x14ac:dyDescent="0.2">
      <c r="A4149" s="391">
        <v>104503</v>
      </c>
      <c r="B4149" s="478" t="s">
        <v>47671</v>
      </c>
      <c r="C4149" s="391" t="s">
        <v>0</v>
      </c>
      <c r="D4149" s="479">
        <v>0</v>
      </c>
      <c r="E4149" s="368"/>
      <c r="F4149" s="368"/>
    </row>
    <row r="4150" spans="1:6" ht="51" x14ac:dyDescent="0.2">
      <c r="A4150" s="391">
        <v>104504</v>
      </c>
      <c r="B4150" s="478" t="s">
        <v>47672</v>
      </c>
      <c r="C4150" s="391" t="s">
        <v>0</v>
      </c>
      <c r="D4150" s="479">
        <v>0</v>
      </c>
      <c r="E4150" s="368"/>
      <c r="F4150" s="368"/>
    </row>
    <row r="4151" spans="1:6" ht="51" x14ac:dyDescent="0.2">
      <c r="A4151" s="391">
        <v>104507</v>
      </c>
      <c r="B4151" s="478" t="s">
        <v>47673</v>
      </c>
      <c r="C4151" s="391" t="s">
        <v>0</v>
      </c>
      <c r="D4151" s="479">
        <v>0</v>
      </c>
      <c r="E4151" s="368"/>
      <c r="F4151" s="368"/>
    </row>
    <row r="4152" spans="1:6" ht="51" x14ac:dyDescent="0.2">
      <c r="A4152" s="391">
        <v>104508</v>
      </c>
      <c r="B4152" s="478" t="s">
        <v>47674</v>
      </c>
      <c r="C4152" s="391" t="s">
        <v>0</v>
      </c>
      <c r="D4152" s="479">
        <v>0</v>
      </c>
      <c r="E4152" s="368"/>
      <c r="F4152" s="368"/>
    </row>
    <row r="4153" spans="1:6" ht="51" x14ac:dyDescent="0.2">
      <c r="A4153" s="391">
        <v>104509</v>
      </c>
      <c r="B4153" s="478" t="s">
        <v>47675</v>
      </c>
      <c r="C4153" s="391" t="s">
        <v>0</v>
      </c>
      <c r="D4153" s="479">
        <v>0</v>
      </c>
      <c r="E4153" s="368"/>
      <c r="F4153" s="368"/>
    </row>
    <row r="4154" spans="1:6" ht="51" x14ac:dyDescent="0.2">
      <c r="A4154" s="391">
        <v>104512</v>
      </c>
      <c r="B4154" s="478" t="s">
        <v>47676</v>
      </c>
      <c r="C4154" s="391" t="s">
        <v>0</v>
      </c>
      <c r="D4154" s="479">
        <v>0</v>
      </c>
      <c r="E4154" s="368"/>
      <c r="F4154" s="368"/>
    </row>
    <row r="4155" spans="1:6" ht="51" x14ac:dyDescent="0.2">
      <c r="A4155" s="391">
        <v>104513</v>
      </c>
      <c r="B4155" s="478" t="s">
        <v>47677</v>
      </c>
      <c r="C4155" s="391" t="s">
        <v>0</v>
      </c>
      <c r="D4155" s="479">
        <v>0</v>
      </c>
      <c r="E4155" s="368"/>
      <c r="F4155" s="368"/>
    </row>
    <row r="4156" spans="1:6" ht="51" x14ac:dyDescent="0.2">
      <c r="A4156" s="391">
        <v>104514</v>
      </c>
      <c r="B4156" s="478" t="s">
        <v>47678</v>
      </c>
      <c r="C4156" s="391" t="s">
        <v>0</v>
      </c>
      <c r="D4156" s="479">
        <v>0</v>
      </c>
      <c r="E4156" s="368"/>
      <c r="F4156" s="368"/>
    </row>
    <row r="4157" spans="1:6" ht="51" x14ac:dyDescent="0.2">
      <c r="A4157" s="391">
        <v>104501</v>
      </c>
      <c r="B4157" s="478" t="s">
        <v>47679</v>
      </c>
      <c r="C4157" s="391" t="s">
        <v>0</v>
      </c>
      <c r="D4157" s="479">
        <v>0</v>
      </c>
      <c r="E4157" s="368"/>
      <c r="F4157" s="368"/>
    </row>
    <row r="4158" spans="1:6" ht="51" x14ac:dyDescent="0.2">
      <c r="A4158" s="391">
        <v>104502</v>
      </c>
      <c r="B4158" s="478" t="s">
        <v>47680</v>
      </c>
      <c r="C4158" s="391" t="s">
        <v>0</v>
      </c>
      <c r="D4158" s="479">
        <v>0</v>
      </c>
      <c r="E4158" s="368"/>
      <c r="F4158" s="368"/>
    </row>
    <row r="4159" spans="1:6" ht="51" x14ac:dyDescent="0.2">
      <c r="A4159" s="391">
        <v>104505</v>
      </c>
      <c r="B4159" s="478" t="s">
        <v>47681</v>
      </c>
      <c r="C4159" s="391" t="s">
        <v>0</v>
      </c>
      <c r="D4159" s="479">
        <v>0</v>
      </c>
      <c r="E4159" s="368"/>
      <c r="F4159" s="368"/>
    </row>
    <row r="4160" spans="1:6" ht="51" x14ac:dyDescent="0.2">
      <c r="A4160" s="391">
        <v>104506</v>
      </c>
      <c r="B4160" s="478" t="s">
        <v>47682</v>
      </c>
      <c r="C4160" s="391" t="s">
        <v>0</v>
      </c>
      <c r="D4160" s="479">
        <v>0</v>
      </c>
      <c r="E4160" s="368"/>
      <c r="F4160" s="368"/>
    </row>
    <row r="4161" spans="1:6" ht="51" x14ac:dyDescent="0.2">
      <c r="A4161" s="391">
        <v>104510</v>
      </c>
      <c r="B4161" s="478" t="s">
        <v>47683</v>
      </c>
      <c r="C4161" s="391" t="s">
        <v>0</v>
      </c>
      <c r="D4161" s="479">
        <v>0</v>
      </c>
      <c r="E4161" s="368"/>
      <c r="F4161" s="368"/>
    </row>
    <row r="4162" spans="1:6" ht="51" x14ac:dyDescent="0.2">
      <c r="A4162" s="391">
        <v>104511</v>
      </c>
      <c r="B4162" s="478" t="s">
        <v>47684</v>
      </c>
      <c r="C4162" s="391" t="s">
        <v>0</v>
      </c>
      <c r="D4162" s="479">
        <v>0</v>
      </c>
      <c r="E4162" s="368"/>
      <c r="F4162" s="368"/>
    </row>
    <row r="4163" spans="1:6" ht="51" x14ac:dyDescent="0.2">
      <c r="A4163" s="391">
        <v>104491</v>
      </c>
      <c r="B4163" s="478" t="s">
        <v>47685</v>
      </c>
      <c r="C4163" s="391" t="s">
        <v>0</v>
      </c>
      <c r="D4163" s="479">
        <v>4548.3500000000004</v>
      </c>
      <c r="E4163" s="368"/>
      <c r="F4163" s="368"/>
    </row>
    <row r="4164" spans="1:6" ht="51" x14ac:dyDescent="0.2">
      <c r="A4164" s="391">
        <v>104492</v>
      </c>
      <c r="B4164" s="478" t="s">
        <v>47686</v>
      </c>
      <c r="C4164" s="391" t="s">
        <v>0</v>
      </c>
      <c r="D4164" s="479">
        <v>5687.99</v>
      </c>
      <c r="E4164" s="368"/>
      <c r="F4164" s="368"/>
    </row>
    <row r="4165" spans="1:6" ht="51" x14ac:dyDescent="0.2">
      <c r="A4165" s="391">
        <v>104493</v>
      </c>
      <c r="B4165" s="478" t="s">
        <v>47687</v>
      </c>
      <c r="C4165" s="391" t="s">
        <v>0</v>
      </c>
      <c r="D4165" s="479">
        <v>0</v>
      </c>
      <c r="E4165" s="368"/>
      <c r="F4165" s="368"/>
    </row>
    <row r="4166" spans="1:6" ht="51" x14ac:dyDescent="0.2">
      <c r="A4166" s="391">
        <v>104494</v>
      </c>
      <c r="B4166" s="478" t="s">
        <v>47688</v>
      </c>
      <c r="C4166" s="391" t="s">
        <v>0</v>
      </c>
      <c r="D4166" s="479">
        <v>7687.02</v>
      </c>
      <c r="E4166" s="368"/>
      <c r="F4166" s="368"/>
    </row>
    <row r="4167" spans="1:6" ht="51" x14ac:dyDescent="0.2">
      <c r="A4167" s="391">
        <v>104495</v>
      </c>
      <c r="B4167" s="478" t="s">
        <v>47689</v>
      </c>
      <c r="C4167" s="391" t="s">
        <v>0</v>
      </c>
      <c r="D4167" s="479">
        <v>0</v>
      </c>
      <c r="E4167" s="368"/>
      <c r="F4167" s="368"/>
    </row>
    <row r="4168" spans="1:6" ht="51" x14ac:dyDescent="0.2">
      <c r="A4168" s="391">
        <v>104496</v>
      </c>
      <c r="B4168" s="478" t="s">
        <v>47690</v>
      </c>
      <c r="C4168" s="391" t="s">
        <v>0</v>
      </c>
      <c r="D4168" s="479">
        <v>0</v>
      </c>
      <c r="E4168" s="368"/>
      <c r="F4168" s="368"/>
    </row>
    <row r="4169" spans="1:6" ht="51" x14ac:dyDescent="0.2">
      <c r="A4169" s="391">
        <v>104497</v>
      </c>
      <c r="B4169" s="478" t="s">
        <v>47691</v>
      </c>
      <c r="C4169" s="391" t="s">
        <v>0</v>
      </c>
      <c r="D4169" s="479">
        <v>9208.9699999999993</v>
      </c>
      <c r="E4169" s="368"/>
      <c r="F4169" s="368"/>
    </row>
    <row r="4170" spans="1:6" ht="51" x14ac:dyDescent="0.2">
      <c r="A4170" s="391">
        <v>104498</v>
      </c>
      <c r="B4170" s="478" t="s">
        <v>47692</v>
      </c>
      <c r="C4170" s="391" t="s">
        <v>0</v>
      </c>
      <c r="D4170" s="479">
        <v>0</v>
      </c>
      <c r="E4170" s="368"/>
      <c r="F4170" s="368"/>
    </row>
    <row r="4171" spans="1:6" ht="51" x14ac:dyDescent="0.2">
      <c r="A4171" s="391">
        <v>104499</v>
      </c>
      <c r="B4171" s="478" t="s">
        <v>47693</v>
      </c>
      <c r="C4171" s="391" t="s">
        <v>0</v>
      </c>
      <c r="D4171" s="479">
        <v>0</v>
      </c>
      <c r="E4171" s="368"/>
      <c r="F4171" s="368"/>
    </row>
    <row r="4172" spans="1:6" ht="25.5" x14ac:dyDescent="0.2">
      <c r="A4172" s="391">
        <v>104515</v>
      </c>
      <c r="B4172" s="478" t="s">
        <v>1472</v>
      </c>
      <c r="C4172" s="391" t="s">
        <v>255</v>
      </c>
      <c r="D4172" s="479">
        <v>23.87</v>
      </c>
      <c r="E4172" s="368"/>
      <c r="F4172" s="368"/>
    </row>
    <row r="4173" spans="1:6" ht="25.5" x14ac:dyDescent="0.2">
      <c r="A4173" s="391">
        <v>87430</v>
      </c>
      <c r="B4173" s="478" t="s">
        <v>4864</v>
      </c>
      <c r="C4173" s="391" t="s">
        <v>255</v>
      </c>
      <c r="D4173" s="479">
        <v>19.04</v>
      </c>
      <c r="E4173" s="368"/>
      <c r="F4173" s="368"/>
    </row>
    <row r="4174" spans="1:6" ht="25.5" x14ac:dyDescent="0.2">
      <c r="A4174" s="391">
        <v>87433</v>
      </c>
      <c r="B4174" s="478" t="s">
        <v>4865</v>
      </c>
      <c r="C4174" s="391" t="s">
        <v>255</v>
      </c>
      <c r="D4174" s="479">
        <v>27.72</v>
      </c>
      <c r="E4174" s="368"/>
      <c r="F4174" s="368"/>
    </row>
    <row r="4175" spans="1:6" ht="25.5" x14ac:dyDescent="0.2">
      <c r="A4175" s="391">
        <v>87436</v>
      </c>
      <c r="B4175" s="478" t="s">
        <v>4866</v>
      </c>
      <c r="C4175" s="391" t="s">
        <v>255</v>
      </c>
      <c r="D4175" s="479">
        <v>31.37</v>
      </c>
      <c r="E4175" s="368"/>
      <c r="F4175" s="368"/>
    </row>
    <row r="4176" spans="1:6" ht="25.5" x14ac:dyDescent="0.2">
      <c r="A4176" s="391">
        <v>87439</v>
      </c>
      <c r="B4176" s="478" t="s">
        <v>4867</v>
      </c>
      <c r="C4176" s="391" t="s">
        <v>255</v>
      </c>
      <c r="D4176" s="479">
        <v>38.51</v>
      </c>
      <c r="E4176" s="368"/>
      <c r="F4176" s="368"/>
    </row>
    <row r="4177" spans="1:6" ht="25.5" x14ac:dyDescent="0.2">
      <c r="A4177" s="391">
        <v>104633</v>
      </c>
      <c r="B4177" s="478" t="s">
        <v>5002</v>
      </c>
      <c r="C4177" s="391" t="s">
        <v>255</v>
      </c>
      <c r="D4177" s="479">
        <v>26.15</v>
      </c>
      <c r="E4177" s="368"/>
      <c r="F4177" s="368"/>
    </row>
    <row r="4178" spans="1:6" ht="25.5" x14ac:dyDescent="0.2">
      <c r="A4178" s="391">
        <v>104634</v>
      </c>
      <c r="B4178" s="478" t="s">
        <v>5003</v>
      </c>
      <c r="C4178" s="391" t="s">
        <v>255</v>
      </c>
      <c r="D4178" s="479">
        <v>38.71</v>
      </c>
      <c r="E4178" s="368"/>
      <c r="F4178" s="368"/>
    </row>
    <row r="4179" spans="1:6" ht="25.5" x14ac:dyDescent="0.2">
      <c r="A4179" s="391">
        <v>87418</v>
      </c>
      <c r="B4179" s="478" t="s">
        <v>4860</v>
      </c>
      <c r="C4179" s="391" t="s">
        <v>255</v>
      </c>
      <c r="D4179" s="479">
        <v>19.13</v>
      </c>
      <c r="E4179" s="368"/>
      <c r="F4179" s="368"/>
    </row>
    <row r="4180" spans="1:6" ht="25.5" x14ac:dyDescent="0.2">
      <c r="A4180" s="391">
        <v>87421</v>
      </c>
      <c r="B4180" s="478" t="s">
        <v>4861</v>
      </c>
      <c r="C4180" s="391" t="s">
        <v>255</v>
      </c>
      <c r="D4180" s="479">
        <v>29.36</v>
      </c>
      <c r="E4180" s="368"/>
      <c r="F4180" s="368"/>
    </row>
    <row r="4181" spans="1:6" ht="38.25" x14ac:dyDescent="0.2">
      <c r="A4181" s="391">
        <v>104628</v>
      </c>
      <c r="B4181" s="478" t="s">
        <v>4997</v>
      </c>
      <c r="C4181" s="391" t="s">
        <v>255</v>
      </c>
      <c r="D4181" s="479">
        <v>29.59</v>
      </c>
      <c r="E4181" s="368"/>
      <c r="F4181" s="368"/>
    </row>
    <row r="4182" spans="1:6" ht="38.25" x14ac:dyDescent="0.2">
      <c r="A4182" s="391">
        <v>104631</v>
      </c>
      <c r="B4182" s="478" t="s">
        <v>5000</v>
      </c>
      <c r="C4182" s="391" t="s">
        <v>255</v>
      </c>
      <c r="D4182" s="479">
        <v>40.56</v>
      </c>
      <c r="E4182" s="368"/>
      <c r="F4182" s="368"/>
    </row>
    <row r="4183" spans="1:6" ht="38.25" x14ac:dyDescent="0.2">
      <c r="A4183" s="391">
        <v>104627</v>
      </c>
      <c r="B4183" s="478" t="s">
        <v>4996</v>
      </c>
      <c r="C4183" s="391" t="s">
        <v>255</v>
      </c>
      <c r="D4183" s="479">
        <v>19.11</v>
      </c>
      <c r="E4183" s="368"/>
      <c r="F4183" s="368"/>
    </row>
    <row r="4184" spans="1:6" ht="38.25" x14ac:dyDescent="0.2">
      <c r="A4184" s="391">
        <v>104630</v>
      </c>
      <c r="B4184" s="478" t="s">
        <v>4999</v>
      </c>
      <c r="C4184" s="391" t="s">
        <v>255</v>
      </c>
      <c r="D4184" s="479">
        <v>30.08</v>
      </c>
      <c r="E4184" s="368"/>
      <c r="F4184" s="368"/>
    </row>
    <row r="4185" spans="1:6" ht="38.25" x14ac:dyDescent="0.2">
      <c r="A4185" s="391">
        <v>104629</v>
      </c>
      <c r="B4185" s="478" t="s">
        <v>4998</v>
      </c>
      <c r="C4185" s="391" t="s">
        <v>255</v>
      </c>
      <c r="D4185" s="479">
        <v>35.61</v>
      </c>
      <c r="E4185" s="368"/>
      <c r="F4185" s="368"/>
    </row>
    <row r="4186" spans="1:6" ht="38.25" x14ac:dyDescent="0.2">
      <c r="A4186" s="391">
        <v>104632</v>
      </c>
      <c r="B4186" s="478" t="s">
        <v>5001</v>
      </c>
      <c r="C4186" s="391" t="s">
        <v>255</v>
      </c>
      <c r="D4186" s="479">
        <v>46.58</v>
      </c>
      <c r="E4186" s="368"/>
      <c r="F4186" s="368"/>
    </row>
    <row r="4187" spans="1:6" ht="25.5" x14ac:dyDescent="0.2">
      <c r="A4187" s="391">
        <v>87412</v>
      </c>
      <c r="B4187" s="478" t="s">
        <v>4855</v>
      </c>
      <c r="C4187" s="391" t="s">
        <v>255</v>
      </c>
      <c r="D4187" s="479">
        <v>24.64</v>
      </c>
      <c r="E4187" s="368"/>
      <c r="F4187" s="368"/>
    </row>
    <row r="4188" spans="1:6" ht="25.5" x14ac:dyDescent="0.2">
      <c r="A4188" s="391">
        <v>87415</v>
      </c>
      <c r="B4188" s="478" t="s">
        <v>4858</v>
      </c>
      <c r="C4188" s="391" t="s">
        <v>255</v>
      </c>
      <c r="D4188" s="479">
        <v>34.5</v>
      </c>
      <c r="E4188" s="368"/>
      <c r="F4188" s="368"/>
    </row>
    <row r="4189" spans="1:6" ht="25.5" x14ac:dyDescent="0.2">
      <c r="A4189" s="391">
        <v>87411</v>
      </c>
      <c r="B4189" s="478" t="s">
        <v>4854</v>
      </c>
      <c r="C4189" s="391" t="s">
        <v>255</v>
      </c>
      <c r="D4189" s="479">
        <v>16.559999999999999</v>
      </c>
      <c r="E4189" s="368"/>
      <c r="F4189" s="368"/>
    </row>
    <row r="4190" spans="1:6" ht="25.5" x14ac:dyDescent="0.2">
      <c r="A4190" s="391">
        <v>87414</v>
      </c>
      <c r="B4190" s="478" t="s">
        <v>4857</v>
      </c>
      <c r="C4190" s="391" t="s">
        <v>255</v>
      </c>
      <c r="D4190" s="479">
        <v>26.43</v>
      </c>
      <c r="E4190" s="368"/>
      <c r="F4190" s="368"/>
    </row>
    <row r="4191" spans="1:6" ht="25.5" x14ac:dyDescent="0.2">
      <c r="A4191" s="391">
        <v>87413</v>
      </c>
      <c r="B4191" s="478" t="s">
        <v>4856</v>
      </c>
      <c r="C4191" s="391" t="s">
        <v>255</v>
      </c>
      <c r="D4191" s="479">
        <v>29.28</v>
      </c>
      <c r="E4191" s="368"/>
      <c r="F4191" s="368"/>
    </row>
    <row r="4192" spans="1:6" ht="25.5" x14ac:dyDescent="0.2">
      <c r="A4192" s="391">
        <v>87416</v>
      </c>
      <c r="B4192" s="478" t="s">
        <v>4859</v>
      </c>
      <c r="C4192" s="391" t="s">
        <v>255</v>
      </c>
      <c r="D4192" s="479">
        <v>39.14</v>
      </c>
      <c r="E4192" s="368"/>
      <c r="F4192" s="368"/>
    </row>
    <row r="4193" spans="1:6" ht="25.5" x14ac:dyDescent="0.2">
      <c r="A4193" s="391">
        <v>104635</v>
      </c>
      <c r="B4193" s="478" t="s">
        <v>5004</v>
      </c>
      <c r="C4193" s="391" t="s">
        <v>255</v>
      </c>
      <c r="D4193" s="479">
        <v>53.29</v>
      </c>
      <c r="E4193" s="368"/>
      <c r="F4193" s="368"/>
    </row>
    <row r="4194" spans="1:6" ht="25.5" x14ac:dyDescent="0.2">
      <c r="A4194" s="391">
        <v>104636</v>
      </c>
      <c r="B4194" s="478" t="s">
        <v>5005</v>
      </c>
      <c r="C4194" s="391" t="s">
        <v>255</v>
      </c>
      <c r="D4194" s="479">
        <v>62.04</v>
      </c>
      <c r="E4194" s="368"/>
      <c r="F4194" s="368"/>
    </row>
    <row r="4195" spans="1:6" ht="25.5" x14ac:dyDescent="0.2">
      <c r="A4195" s="391">
        <v>87424</v>
      </c>
      <c r="B4195" s="478" t="s">
        <v>4862</v>
      </c>
      <c r="C4195" s="391" t="s">
        <v>255</v>
      </c>
      <c r="D4195" s="479">
        <v>38.369999999999997</v>
      </c>
      <c r="E4195" s="368"/>
      <c r="F4195" s="368"/>
    </row>
    <row r="4196" spans="1:6" ht="25.5" x14ac:dyDescent="0.2">
      <c r="A4196" s="391">
        <v>87427</v>
      </c>
      <c r="B4196" s="478" t="s">
        <v>4863</v>
      </c>
      <c r="C4196" s="391" t="s">
        <v>255</v>
      </c>
      <c r="D4196" s="479">
        <v>45.5</v>
      </c>
      <c r="E4196" s="368"/>
      <c r="F4196" s="368"/>
    </row>
    <row r="4197" spans="1:6" ht="25.5" x14ac:dyDescent="0.2">
      <c r="A4197" s="391">
        <v>89998</v>
      </c>
      <c r="B4197" s="478" t="s">
        <v>2002</v>
      </c>
      <c r="C4197" s="391" t="s">
        <v>1284</v>
      </c>
      <c r="D4197" s="479">
        <v>10.130000000000001</v>
      </c>
      <c r="E4197" s="368"/>
      <c r="F4197" s="368"/>
    </row>
    <row r="4198" spans="1:6" ht="25.5" x14ac:dyDescent="0.2">
      <c r="A4198" s="391">
        <v>102920</v>
      </c>
      <c r="B4198" s="478" t="s">
        <v>2072</v>
      </c>
      <c r="C4198" s="391" t="s">
        <v>1284</v>
      </c>
      <c r="D4198" s="479">
        <v>8.31</v>
      </c>
      <c r="E4198" s="368"/>
      <c r="F4198" s="368"/>
    </row>
    <row r="4199" spans="1:6" ht="25.5" x14ac:dyDescent="0.2">
      <c r="A4199" s="391">
        <v>102923</v>
      </c>
      <c r="B4199" s="478" t="s">
        <v>2075</v>
      </c>
      <c r="C4199" s="391" t="s">
        <v>1284</v>
      </c>
      <c r="D4199" s="479">
        <v>7.79</v>
      </c>
      <c r="E4199" s="368"/>
      <c r="F4199" s="368"/>
    </row>
    <row r="4200" spans="1:6" ht="25.5" x14ac:dyDescent="0.2">
      <c r="A4200" s="391">
        <v>90000</v>
      </c>
      <c r="B4200" s="478" t="s">
        <v>2004</v>
      </c>
      <c r="C4200" s="391" t="s">
        <v>1284</v>
      </c>
      <c r="D4200" s="479">
        <v>12.9</v>
      </c>
      <c r="E4200" s="368"/>
      <c r="F4200" s="368"/>
    </row>
    <row r="4201" spans="1:6" ht="25.5" x14ac:dyDescent="0.2">
      <c r="A4201" s="391">
        <v>103088</v>
      </c>
      <c r="B4201" s="478" t="s">
        <v>2076</v>
      </c>
      <c r="C4201" s="391" t="s">
        <v>1284</v>
      </c>
      <c r="D4201" s="479">
        <v>10.08</v>
      </c>
      <c r="E4201" s="368"/>
      <c r="F4201" s="368"/>
    </row>
    <row r="4202" spans="1:6" ht="25.5" x14ac:dyDescent="0.2">
      <c r="A4202" s="391">
        <v>102922</v>
      </c>
      <c r="B4202" s="478" t="s">
        <v>2074</v>
      </c>
      <c r="C4202" s="391" t="s">
        <v>1284</v>
      </c>
      <c r="D4202" s="479">
        <v>8.8800000000000008</v>
      </c>
      <c r="E4202" s="368"/>
      <c r="F4202" s="368"/>
    </row>
    <row r="4203" spans="1:6" ht="25.5" x14ac:dyDescent="0.2">
      <c r="A4203" s="391">
        <v>89999</v>
      </c>
      <c r="B4203" s="478" t="s">
        <v>2003</v>
      </c>
      <c r="C4203" s="391" t="s">
        <v>1284</v>
      </c>
      <c r="D4203" s="479">
        <v>16.100000000000001</v>
      </c>
      <c r="E4203" s="368"/>
      <c r="F4203" s="368"/>
    </row>
    <row r="4204" spans="1:6" ht="25.5" x14ac:dyDescent="0.2">
      <c r="A4204" s="391">
        <v>89996</v>
      </c>
      <c r="B4204" s="478" t="s">
        <v>2000</v>
      </c>
      <c r="C4204" s="391" t="s">
        <v>1284</v>
      </c>
      <c r="D4204" s="479">
        <v>10.66</v>
      </c>
      <c r="E4204" s="368"/>
      <c r="F4204" s="368"/>
    </row>
    <row r="4205" spans="1:6" ht="25.5" x14ac:dyDescent="0.2">
      <c r="A4205" s="391">
        <v>89997</v>
      </c>
      <c r="B4205" s="478" t="s">
        <v>2001</v>
      </c>
      <c r="C4205" s="391" t="s">
        <v>1284</v>
      </c>
      <c r="D4205" s="479">
        <v>8.65</v>
      </c>
      <c r="E4205" s="368"/>
      <c r="F4205" s="368"/>
    </row>
    <row r="4206" spans="1:6" ht="25.5" x14ac:dyDescent="0.2">
      <c r="A4206" s="391">
        <v>102921</v>
      </c>
      <c r="B4206" s="478" t="s">
        <v>2073</v>
      </c>
      <c r="C4206" s="391" t="s">
        <v>1284</v>
      </c>
      <c r="D4206" s="479">
        <v>8</v>
      </c>
      <c r="E4206" s="368"/>
      <c r="F4206" s="368"/>
    </row>
    <row r="4207" spans="1:6" ht="38.25" x14ac:dyDescent="0.2">
      <c r="A4207" s="391">
        <v>90278</v>
      </c>
      <c r="B4207" s="478" t="s">
        <v>2095</v>
      </c>
      <c r="C4207" s="391" t="s">
        <v>271</v>
      </c>
      <c r="D4207" s="479">
        <v>525.16999999999996</v>
      </c>
      <c r="E4207" s="368"/>
      <c r="F4207" s="368"/>
    </row>
    <row r="4208" spans="1:6" ht="38.25" x14ac:dyDescent="0.2">
      <c r="A4208" s="391">
        <v>90282</v>
      </c>
      <c r="B4208" s="478" t="s">
        <v>2099</v>
      </c>
      <c r="C4208" s="391" t="s">
        <v>271</v>
      </c>
      <c r="D4208" s="479">
        <v>512.78</v>
      </c>
      <c r="E4208" s="368"/>
      <c r="F4208" s="368"/>
    </row>
    <row r="4209" spans="1:6" ht="38.25" x14ac:dyDescent="0.2">
      <c r="A4209" s="391">
        <v>90279</v>
      </c>
      <c r="B4209" s="478" t="s">
        <v>2096</v>
      </c>
      <c r="C4209" s="391" t="s">
        <v>271</v>
      </c>
      <c r="D4209" s="479">
        <v>575.91999999999996</v>
      </c>
      <c r="E4209" s="368"/>
      <c r="F4209" s="368"/>
    </row>
    <row r="4210" spans="1:6" ht="38.25" x14ac:dyDescent="0.2">
      <c r="A4210" s="391">
        <v>90283</v>
      </c>
      <c r="B4210" s="478" t="s">
        <v>2100</v>
      </c>
      <c r="C4210" s="391" t="s">
        <v>271</v>
      </c>
      <c r="D4210" s="479">
        <v>563.6</v>
      </c>
      <c r="E4210" s="368"/>
      <c r="F4210" s="368"/>
    </row>
    <row r="4211" spans="1:6" ht="38.25" x14ac:dyDescent="0.2">
      <c r="A4211" s="391">
        <v>90280</v>
      </c>
      <c r="B4211" s="478" t="s">
        <v>2097</v>
      </c>
      <c r="C4211" s="391" t="s">
        <v>271</v>
      </c>
      <c r="D4211" s="479">
        <v>631.94000000000005</v>
      </c>
      <c r="E4211" s="368"/>
      <c r="F4211" s="368"/>
    </row>
    <row r="4212" spans="1:6" ht="38.25" x14ac:dyDescent="0.2">
      <c r="A4212" s="391">
        <v>90284</v>
      </c>
      <c r="B4212" s="478" t="s">
        <v>2101</v>
      </c>
      <c r="C4212" s="391" t="s">
        <v>271</v>
      </c>
      <c r="D4212" s="479">
        <v>624.48</v>
      </c>
      <c r="E4212" s="368"/>
      <c r="F4212" s="368"/>
    </row>
    <row r="4213" spans="1:6" ht="38.25" x14ac:dyDescent="0.2">
      <c r="A4213" s="391">
        <v>90281</v>
      </c>
      <c r="B4213" s="478" t="s">
        <v>2098</v>
      </c>
      <c r="C4213" s="391" t="s">
        <v>271</v>
      </c>
      <c r="D4213" s="479">
        <v>726.7</v>
      </c>
      <c r="E4213" s="368"/>
      <c r="F4213" s="368"/>
    </row>
    <row r="4214" spans="1:6" ht="38.25" x14ac:dyDescent="0.2">
      <c r="A4214" s="391">
        <v>90285</v>
      </c>
      <c r="B4214" s="478" t="s">
        <v>2102</v>
      </c>
      <c r="C4214" s="391" t="s">
        <v>271</v>
      </c>
      <c r="D4214" s="479">
        <v>725.8</v>
      </c>
      <c r="E4214" s="368"/>
      <c r="F4214" s="368"/>
    </row>
    <row r="4215" spans="1:6" ht="25.5" x14ac:dyDescent="0.2">
      <c r="A4215" s="391">
        <v>89994</v>
      </c>
      <c r="B4215" s="478" t="s">
        <v>2093</v>
      </c>
      <c r="C4215" s="391" t="s">
        <v>271</v>
      </c>
      <c r="D4215" s="479">
        <v>893.87</v>
      </c>
      <c r="E4215" s="368"/>
      <c r="F4215" s="368"/>
    </row>
    <row r="4216" spans="1:6" ht="25.5" x14ac:dyDescent="0.2">
      <c r="A4216" s="391">
        <v>89995</v>
      </c>
      <c r="B4216" s="478" t="s">
        <v>2094</v>
      </c>
      <c r="C4216" s="391" t="s">
        <v>271</v>
      </c>
      <c r="D4216" s="479">
        <v>1000.39</v>
      </c>
      <c r="E4216" s="368"/>
      <c r="F4216" s="368"/>
    </row>
    <row r="4217" spans="1:6" x14ac:dyDescent="0.2">
      <c r="A4217" s="391">
        <v>89993</v>
      </c>
      <c r="B4217" s="478" t="s">
        <v>2092</v>
      </c>
      <c r="C4217" s="391" t="s">
        <v>271</v>
      </c>
      <c r="D4217" s="479">
        <v>1037</v>
      </c>
      <c r="E4217" s="368"/>
      <c r="F4217" s="368"/>
    </row>
    <row r="4218" spans="1:6" x14ac:dyDescent="0.2">
      <c r="A4218" s="391">
        <v>99860</v>
      </c>
      <c r="B4218" s="478" t="s">
        <v>41313</v>
      </c>
      <c r="C4218" s="391" t="s">
        <v>0</v>
      </c>
      <c r="D4218" s="479">
        <v>0</v>
      </c>
      <c r="E4218" s="368"/>
      <c r="F4218" s="368"/>
    </row>
    <row r="4219" spans="1:6" ht="25.5" x14ac:dyDescent="0.2">
      <c r="A4219" s="391">
        <v>99858</v>
      </c>
      <c r="B4219" s="478" t="s">
        <v>41314</v>
      </c>
      <c r="C4219" s="391" t="s">
        <v>0</v>
      </c>
      <c r="D4219" s="479">
        <v>0</v>
      </c>
      <c r="E4219" s="368"/>
      <c r="F4219" s="368"/>
    </row>
    <row r="4220" spans="1:6" x14ac:dyDescent="0.2">
      <c r="A4220" s="391">
        <v>99859</v>
      </c>
      <c r="B4220" s="478" t="s">
        <v>41315</v>
      </c>
      <c r="C4220" s="391" t="s">
        <v>0</v>
      </c>
      <c r="D4220" s="479">
        <v>0</v>
      </c>
      <c r="E4220" s="368"/>
      <c r="F4220" s="368"/>
    </row>
    <row r="4221" spans="1:6" ht="25.5" x14ac:dyDescent="0.2">
      <c r="A4221" s="391">
        <v>99857</v>
      </c>
      <c r="B4221" s="478" t="s">
        <v>1689</v>
      </c>
      <c r="C4221" s="391" t="s">
        <v>0</v>
      </c>
      <c r="D4221" s="479">
        <v>88.68</v>
      </c>
      <c r="E4221" s="368"/>
      <c r="F4221" s="368"/>
    </row>
    <row r="4222" spans="1:6" ht="25.5" x14ac:dyDescent="0.2">
      <c r="A4222" s="391">
        <v>99855</v>
      </c>
      <c r="B4222" s="478" t="s">
        <v>1688</v>
      </c>
      <c r="C4222" s="391" t="s">
        <v>0</v>
      </c>
      <c r="D4222" s="479">
        <v>104.98</v>
      </c>
      <c r="E4222" s="368"/>
      <c r="F4222" s="368"/>
    </row>
    <row r="4223" spans="1:6" x14ac:dyDescent="0.2">
      <c r="A4223" s="391">
        <v>99856</v>
      </c>
      <c r="B4223" s="478" t="s">
        <v>41316</v>
      </c>
      <c r="C4223" s="391" t="s">
        <v>0</v>
      </c>
      <c r="D4223" s="479">
        <v>0</v>
      </c>
      <c r="E4223" s="368"/>
      <c r="F4223" s="368"/>
    </row>
    <row r="4224" spans="1:6" ht="25.5" x14ac:dyDescent="0.2">
      <c r="A4224" s="391">
        <v>99862</v>
      </c>
      <c r="B4224" s="478" t="s">
        <v>1691</v>
      </c>
      <c r="C4224" s="391" t="s">
        <v>255</v>
      </c>
      <c r="D4224" s="479">
        <v>597.03</v>
      </c>
      <c r="E4224" s="368"/>
      <c r="F4224" s="368"/>
    </row>
    <row r="4225" spans="1:6" ht="25.5" x14ac:dyDescent="0.2">
      <c r="A4225" s="391">
        <v>99861</v>
      </c>
      <c r="B4225" s="478" t="s">
        <v>1690</v>
      </c>
      <c r="C4225" s="391" t="s">
        <v>255</v>
      </c>
      <c r="D4225" s="479">
        <v>604.6</v>
      </c>
      <c r="E4225" s="368"/>
      <c r="F4225" s="368"/>
    </row>
    <row r="4226" spans="1:6" ht="51" x14ac:dyDescent="0.2">
      <c r="A4226" s="391">
        <v>99839</v>
      </c>
      <c r="B4226" s="478" t="s">
        <v>47694</v>
      </c>
      <c r="C4226" s="391" t="s">
        <v>0</v>
      </c>
      <c r="D4226" s="479">
        <v>486.43</v>
      </c>
      <c r="E4226" s="368"/>
      <c r="F4226" s="368"/>
    </row>
    <row r="4227" spans="1:6" ht="51" x14ac:dyDescent="0.2">
      <c r="A4227" s="391">
        <v>99849</v>
      </c>
      <c r="B4227" s="478" t="s">
        <v>41317</v>
      </c>
      <c r="C4227" s="391" t="s">
        <v>0</v>
      </c>
      <c r="D4227" s="479">
        <v>0</v>
      </c>
      <c r="E4227" s="368"/>
      <c r="F4227" s="368"/>
    </row>
    <row r="4228" spans="1:6" ht="51" x14ac:dyDescent="0.2">
      <c r="A4228" s="391">
        <v>99853</v>
      </c>
      <c r="B4228" s="478" t="s">
        <v>41318</v>
      </c>
      <c r="C4228" s="391" t="s">
        <v>0</v>
      </c>
      <c r="D4228" s="479">
        <v>0</v>
      </c>
      <c r="E4228" s="368"/>
      <c r="F4228" s="368"/>
    </row>
    <row r="4229" spans="1:6" ht="51" x14ac:dyDescent="0.2">
      <c r="A4229" s="391">
        <v>99847</v>
      </c>
      <c r="B4229" s="478" t="s">
        <v>41319</v>
      </c>
      <c r="C4229" s="391" t="s">
        <v>0</v>
      </c>
      <c r="D4229" s="479">
        <v>0</v>
      </c>
      <c r="E4229" s="368"/>
      <c r="F4229" s="368"/>
    </row>
    <row r="4230" spans="1:6" ht="51" x14ac:dyDescent="0.2">
      <c r="A4230" s="391">
        <v>99851</v>
      </c>
      <c r="B4230" s="478" t="s">
        <v>41320</v>
      </c>
      <c r="C4230" s="391" t="s">
        <v>0</v>
      </c>
      <c r="D4230" s="479">
        <v>0</v>
      </c>
      <c r="E4230" s="368"/>
      <c r="F4230" s="368"/>
    </row>
    <row r="4231" spans="1:6" ht="51" x14ac:dyDescent="0.2">
      <c r="A4231" s="391">
        <v>99850</v>
      </c>
      <c r="B4231" s="478" t="s">
        <v>41321</v>
      </c>
      <c r="C4231" s="391" t="s">
        <v>0</v>
      </c>
      <c r="D4231" s="479">
        <v>0</v>
      </c>
      <c r="E4231" s="368"/>
      <c r="F4231" s="368"/>
    </row>
    <row r="4232" spans="1:6" ht="51" x14ac:dyDescent="0.2">
      <c r="A4232" s="391">
        <v>99854</v>
      </c>
      <c r="B4232" s="478" t="s">
        <v>41322</v>
      </c>
      <c r="C4232" s="391" t="s">
        <v>0</v>
      </c>
      <c r="D4232" s="479">
        <v>0</v>
      </c>
      <c r="E4232" s="368"/>
      <c r="F4232" s="368"/>
    </row>
    <row r="4233" spans="1:6" ht="51" x14ac:dyDescent="0.2">
      <c r="A4233" s="391">
        <v>99848</v>
      </c>
      <c r="B4233" s="478" t="s">
        <v>41323</v>
      </c>
      <c r="C4233" s="391" t="s">
        <v>0</v>
      </c>
      <c r="D4233" s="479">
        <v>0</v>
      </c>
      <c r="E4233" s="368"/>
      <c r="F4233" s="368"/>
    </row>
    <row r="4234" spans="1:6" ht="51" x14ac:dyDescent="0.2">
      <c r="A4234" s="391">
        <v>99852</v>
      </c>
      <c r="B4234" s="478" t="s">
        <v>41324</v>
      </c>
      <c r="C4234" s="391" t="s">
        <v>0</v>
      </c>
      <c r="D4234" s="479">
        <v>0</v>
      </c>
      <c r="E4234" s="368"/>
      <c r="F4234" s="368"/>
    </row>
    <row r="4235" spans="1:6" ht="51" x14ac:dyDescent="0.2">
      <c r="A4235" s="391">
        <v>99844</v>
      </c>
      <c r="B4235" s="478" t="s">
        <v>41325</v>
      </c>
      <c r="C4235" s="391" t="s">
        <v>0</v>
      </c>
      <c r="D4235" s="479">
        <v>0</v>
      </c>
      <c r="E4235" s="368"/>
      <c r="F4235" s="368"/>
    </row>
    <row r="4236" spans="1:6" ht="51" x14ac:dyDescent="0.2">
      <c r="A4236" s="391">
        <v>99842</v>
      </c>
      <c r="B4236" s="478" t="s">
        <v>41326</v>
      </c>
      <c r="C4236" s="391" t="s">
        <v>0</v>
      </c>
      <c r="D4236" s="479">
        <v>0</v>
      </c>
      <c r="E4236" s="368"/>
      <c r="F4236" s="368"/>
    </row>
    <row r="4237" spans="1:6" ht="51" x14ac:dyDescent="0.2">
      <c r="A4237" s="391">
        <v>99837</v>
      </c>
      <c r="B4237" s="478" t="s">
        <v>1686</v>
      </c>
      <c r="C4237" s="391" t="s">
        <v>0</v>
      </c>
      <c r="D4237" s="479">
        <v>582.39</v>
      </c>
      <c r="E4237" s="368"/>
      <c r="F4237" s="368"/>
    </row>
    <row r="4238" spans="1:6" ht="51" x14ac:dyDescent="0.2">
      <c r="A4238" s="391">
        <v>99840</v>
      </c>
      <c r="B4238" s="478" t="s">
        <v>41327</v>
      </c>
      <c r="C4238" s="391" t="s">
        <v>0</v>
      </c>
      <c r="D4238" s="479">
        <v>0</v>
      </c>
      <c r="E4238" s="368"/>
      <c r="F4238" s="368"/>
    </row>
    <row r="4239" spans="1:6" ht="51" x14ac:dyDescent="0.2">
      <c r="A4239" s="391">
        <v>99845</v>
      </c>
      <c r="B4239" s="478" t="s">
        <v>47695</v>
      </c>
      <c r="C4239" s="391" t="s">
        <v>0</v>
      </c>
      <c r="D4239" s="479">
        <v>0</v>
      </c>
      <c r="E4239" s="368"/>
      <c r="F4239" s="368"/>
    </row>
    <row r="4240" spans="1:6" ht="51" x14ac:dyDescent="0.2">
      <c r="A4240" s="391">
        <v>99843</v>
      </c>
      <c r="B4240" s="478" t="s">
        <v>41328</v>
      </c>
      <c r="C4240" s="391" t="s">
        <v>0</v>
      </c>
      <c r="D4240" s="479">
        <v>0</v>
      </c>
      <c r="E4240" s="368"/>
      <c r="F4240" s="368"/>
    </row>
    <row r="4241" spans="1:6" ht="51" x14ac:dyDescent="0.2">
      <c r="A4241" s="391">
        <v>99838</v>
      </c>
      <c r="B4241" s="478" t="s">
        <v>41329</v>
      </c>
      <c r="C4241" s="391" t="s">
        <v>0</v>
      </c>
      <c r="D4241" s="479">
        <v>0</v>
      </c>
      <c r="E4241" s="368"/>
      <c r="F4241" s="368"/>
    </row>
    <row r="4242" spans="1:6" ht="25.5" x14ac:dyDescent="0.2">
      <c r="A4242" s="391">
        <v>99846</v>
      </c>
      <c r="B4242" s="478" t="s">
        <v>41330</v>
      </c>
      <c r="C4242" s="391" t="s">
        <v>0</v>
      </c>
      <c r="D4242" s="479">
        <v>0</v>
      </c>
      <c r="E4242" s="368"/>
      <c r="F4242" s="368"/>
    </row>
    <row r="4243" spans="1:6" ht="25.5" x14ac:dyDescent="0.2">
      <c r="A4243" s="391">
        <v>99841</v>
      </c>
      <c r="B4243" s="478" t="s">
        <v>1687</v>
      </c>
      <c r="C4243" s="391" t="s">
        <v>0</v>
      </c>
      <c r="D4243" s="479">
        <v>1248.92</v>
      </c>
      <c r="E4243" s="368"/>
      <c r="F4243" s="368"/>
    </row>
    <row r="4244" spans="1:6" ht="38.25" x14ac:dyDescent="0.2">
      <c r="A4244" s="391">
        <v>94276</v>
      </c>
      <c r="B4244" s="478" t="s">
        <v>1466</v>
      </c>
      <c r="C4244" s="391" t="s">
        <v>0</v>
      </c>
      <c r="D4244" s="479">
        <v>42.03</v>
      </c>
      <c r="E4244" s="368"/>
      <c r="F4244" s="368"/>
    </row>
    <row r="4245" spans="1:6" ht="38.25" x14ac:dyDescent="0.2">
      <c r="A4245" s="391">
        <v>94274</v>
      </c>
      <c r="B4245" s="478" t="s">
        <v>1464</v>
      </c>
      <c r="C4245" s="391" t="s">
        <v>0</v>
      </c>
      <c r="D4245" s="479">
        <v>45.98</v>
      </c>
      <c r="E4245" s="368"/>
      <c r="F4245" s="368"/>
    </row>
    <row r="4246" spans="1:6" ht="51" x14ac:dyDescent="0.2">
      <c r="A4246" s="391">
        <v>94280</v>
      </c>
      <c r="B4246" s="478" t="s">
        <v>1470</v>
      </c>
      <c r="C4246" s="391" t="s">
        <v>0</v>
      </c>
      <c r="D4246" s="479">
        <v>44.32</v>
      </c>
      <c r="E4246" s="368"/>
      <c r="F4246" s="368"/>
    </row>
    <row r="4247" spans="1:6" ht="38.25" x14ac:dyDescent="0.2">
      <c r="A4247" s="391">
        <v>94278</v>
      </c>
      <c r="B4247" s="478" t="s">
        <v>1468</v>
      </c>
      <c r="C4247" s="391" t="s">
        <v>0</v>
      </c>
      <c r="D4247" s="479">
        <v>37.42</v>
      </c>
      <c r="E4247" s="368"/>
      <c r="F4247" s="368"/>
    </row>
    <row r="4248" spans="1:6" ht="38.25" x14ac:dyDescent="0.2">
      <c r="A4248" s="391">
        <v>94275</v>
      </c>
      <c r="B4248" s="478" t="s">
        <v>1465</v>
      </c>
      <c r="C4248" s="391" t="s">
        <v>0</v>
      </c>
      <c r="D4248" s="479">
        <v>39.28</v>
      </c>
      <c r="E4248" s="368"/>
      <c r="F4248" s="368"/>
    </row>
    <row r="4249" spans="1:6" ht="38.25" x14ac:dyDescent="0.2">
      <c r="A4249" s="391">
        <v>94273</v>
      </c>
      <c r="B4249" s="478" t="s">
        <v>1463</v>
      </c>
      <c r="C4249" s="391" t="s">
        <v>0</v>
      </c>
      <c r="D4249" s="479">
        <v>43.23</v>
      </c>
      <c r="E4249" s="368"/>
      <c r="F4249" s="368"/>
    </row>
    <row r="4250" spans="1:6" ht="51" x14ac:dyDescent="0.2">
      <c r="A4250" s="391">
        <v>94279</v>
      </c>
      <c r="B4250" s="478" t="s">
        <v>1469</v>
      </c>
      <c r="C4250" s="391" t="s">
        <v>0</v>
      </c>
      <c r="D4250" s="479">
        <v>41.58</v>
      </c>
      <c r="E4250" s="368"/>
      <c r="F4250" s="368"/>
    </row>
    <row r="4251" spans="1:6" ht="38.25" x14ac:dyDescent="0.2">
      <c r="A4251" s="391">
        <v>94277</v>
      </c>
      <c r="B4251" s="478" t="s">
        <v>1467</v>
      </c>
      <c r="C4251" s="391" t="s">
        <v>0</v>
      </c>
      <c r="D4251" s="479">
        <v>34.67</v>
      </c>
      <c r="E4251" s="368"/>
      <c r="F4251" s="368"/>
    </row>
    <row r="4252" spans="1:6" ht="51" x14ac:dyDescent="0.2">
      <c r="A4252" s="391">
        <v>104930</v>
      </c>
      <c r="B4252" s="478" t="s">
        <v>41331</v>
      </c>
      <c r="C4252" s="391" t="s">
        <v>0</v>
      </c>
      <c r="D4252" s="479">
        <v>0</v>
      </c>
      <c r="E4252" s="368"/>
      <c r="F4252" s="368"/>
    </row>
    <row r="4253" spans="1:6" ht="51" x14ac:dyDescent="0.2">
      <c r="A4253" s="391">
        <v>104931</v>
      </c>
      <c r="B4253" s="478" t="s">
        <v>41332</v>
      </c>
      <c r="C4253" s="391" t="s">
        <v>0</v>
      </c>
      <c r="D4253" s="479">
        <v>0</v>
      </c>
      <c r="E4253" s="368"/>
      <c r="F4253" s="368"/>
    </row>
    <row r="4254" spans="1:6" ht="25.5" x14ac:dyDescent="0.2">
      <c r="A4254" s="391">
        <v>94294</v>
      </c>
      <c r="B4254" s="478" t="s">
        <v>1471</v>
      </c>
      <c r="C4254" s="391" t="s">
        <v>0</v>
      </c>
      <c r="D4254" s="479">
        <v>8.17</v>
      </c>
      <c r="E4254" s="368"/>
      <c r="F4254" s="368"/>
    </row>
    <row r="4255" spans="1:6" ht="25.5" x14ac:dyDescent="0.2">
      <c r="A4255" s="391">
        <v>94288</v>
      </c>
      <c r="B4255" s="478" t="s">
        <v>47696</v>
      </c>
      <c r="C4255" s="391" t="s">
        <v>0</v>
      </c>
      <c r="D4255" s="479">
        <v>39.42</v>
      </c>
      <c r="E4255" s="368"/>
      <c r="F4255" s="368"/>
    </row>
    <row r="4256" spans="1:6" ht="25.5" x14ac:dyDescent="0.2">
      <c r="A4256" s="391">
        <v>94282</v>
      </c>
      <c r="B4256" s="478" t="s">
        <v>47697</v>
      </c>
      <c r="C4256" s="391" t="s">
        <v>0</v>
      </c>
      <c r="D4256" s="479">
        <v>50.86</v>
      </c>
      <c r="E4256" s="368"/>
      <c r="F4256" s="368"/>
    </row>
    <row r="4257" spans="1:6" ht="25.5" x14ac:dyDescent="0.2">
      <c r="A4257" s="391">
        <v>94290</v>
      </c>
      <c r="B4257" s="478" t="s">
        <v>47698</v>
      </c>
      <c r="C4257" s="391" t="s">
        <v>0</v>
      </c>
      <c r="D4257" s="479">
        <v>49.3</v>
      </c>
      <c r="E4257" s="368"/>
      <c r="F4257" s="368"/>
    </row>
    <row r="4258" spans="1:6" ht="25.5" x14ac:dyDescent="0.2">
      <c r="A4258" s="391">
        <v>94284</v>
      </c>
      <c r="B4258" s="478" t="s">
        <v>47699</v>
      </c>
      <c r="C4258" s="391" t="s">
        <v>0</v>
      </c>
      <c r="D4258" s="479">
        <v>66.36</v>
      </c>
      <c r="E4258" s="368"/>
      <c r="F4258" s="368"/>
    </row>
    <row r="4259" spans="1:6" ht="25.5" x14ac:dyDescent="0.2">
      <c r="A4259" s="391">
        <v>94292</v>
      </c>
      <c r="B4259" s="478" t="s">
        <v>47700</v>
      </c>
      <c r="C4259" s="391" t="s">
        <v>0</v>
      </c>
      <c r="D4259" s="479">
        <v>59.64</v>
      </c>
      <c r="E4259" s="368"/>
      <c r="F4259" s="368"/>
    </row>
    <row r="4260" spans="1:6" ht="25.5" x14ac:dyDescent="0.2">
      <c r="A4260" s="391">
        <v>94286</v>
      </c>
      <c r="B4260" s="478" t="s">
        <v>47701</v>
      </c>
      <c r="C4260" s="391" t="s">
        <v>0</v>
      </c>
      <c r="D4260" s="479">
        <v>84.11</v>
      </c>
      <c r="E4260" s="368"/>
      <c r="F4260" s="368"/>
    </row>
    <row r="4261" spans="1:6" ht="25.5" x14ac:dyDescent="0.2">
      <c r="A4261" s="391">
        <v>94287</v>
      </c>
      <c r="B4261" s="478" t="s">
        <v>47702</v>
      </c>
      <c r="C4261" s="391" t="s">
        <v>0</v>
      </c>
      <c r="D4261" s="479">
        <v>32.97</v>
      </c>
      <c r="E4261" s="368"/>
      <c r="F4261" s="368"/>
    </row>
    <row r="4262" spans="1:6" ht="25.5" x14ac:dyDescent="0.2">
      <c r="A4262" s="430">
        <v>94281</v>
      </c>
      <c r="B4262" s="482" t="s">
        <v>47703</v>
      </c>
      <c r="C4262" s="430" t="s">
        <v>0</v>
      </c>
      <c r="D4262" s="483">
        <v>43.61</v>
      </c>
      <c r="E4262" s="368"/>
      <c r="F4262" s="368"/>
    </row>
    <row r="4263" spans="1:6" ht="25.5" x14ac:dyDescent="0.2">
      <c r="A4263" s="391">
        <v>94289</v>
      </c>
      <c r="B4263" s="478" t="s">
        <v>47704</v>
      </c>
      <c r="C4263" s="391" t="s">
        <v>0</v>
      </c>
      <c r="D4263" s="479">
        <v>42.85</v>
      </c>
      <c r="E4263" s="368"/>
      <c r="F4263" s="368"/>
    </row>
    <row r="4264" spans="1:6" ht="25.5" x14ac:dyDescent="0.2">
      <c r="A4264" s="391">
        <v>94283</v>
      </c>
      <c r="B4264" s="478" t="s">
        <v>47705</v>
      </c>
      <c r="C4264" s="391" t="s">
        <v>0</v>
      </c>
      <c r="D4264" s="479">
        <v>59.1</v>
      </c>
      <c r="E4264" s="368"/>
      <c r="F4264" s="368"/>
    </row>
    <row r="4265" spans="1:6" ht="25.5" x14ac:dyDescent="0.2">
      <c r="A4265" s="391">
        <v>94291</v>
      </c>
      <c r="B4265" s="478" t="s">
        <v>47706</v>
      </c>
      <c r="C4265" s="391" t="s">
        <v>0</v>
      </c>
      <c r="D4265" s="479">
        <v>53.19</v>
      </c>
      <c r="E4265" s="368"/>
      <c r="F4265" s="368"/>
    </row>
    <row r="4266" spans="1:6" ht="25.5" x14ac:dyDescent="0.2">
      <c r="A4266" s="391">
        <v>94285</v>
      </c>
      <c r="B4266" s="478" t="s">
        <v>47707</v>
      </c>
      <c r="C4266" s="391" t="s">
        <v>0</v>
      </c>
      <c r="D4266" s="479">
        <v>76.849999999999994</v>
      </c>
      <c r="E4266" s="368"/>
      <c r="F4266" s="368"/>
    </row>
    <row r="4267" spans="1:6" ht="25.5" x14ac:dyDescent="0.2">
      <c r="A4267" s="391">
        <v>94293</v>
      </c>
      <c r="B4267" s="478" t="s">
        <v>47708</v>
      </c>
      <c r="C4267" s="391" t="s">
        <v>0</v>
      </c>
      <c r="D4267" s="479">
        <v>173.11</v>
      </c>
      <c r="E4267" s="368"/>
      <c r="F4267" s="368"/>
    </row>
    <row r="4268" spans="1:6" ht="25.5" x14ac:dyDescent="0.2">
      <c r="A4268" s="391">
        <v>94264</v>
      </c>
      <c r="B4268" s="478" t="s">
        <v>47709</v>
      </c>
      <c r="C4268" s="391" t="s">
        <v>0</v>
      </c>
      <c r="D4268" s="479">
        <v>38.28</v>
      </c>
      <c r="E4268" s="368"/>
      <c r="F4268" s="368"/>
    </row>
    <row r="4269" spans="1:6" ht="25.5" x14ac:dyDescent="0.2">
      <c r="A4269" s="391">
        <v>94266</v>
      </c>
      <c r="B4269" s="478" t="s">
        <v>47710</v>
      </c>
      <c r="C4269" s="391" t="s">
        <v>0</v>
      </c>
      <c r="D4269" s="479">
        <v>51.06</v>
      </c>
      <c r="E4269" s="368"/>
      <c r="F4269" s="368"/>
    </row>
    <row r="4270" spans="1:6" ht="25.5" x14ac:dyDescent="0.2">
      <c r="A4270" s="391">
        <v>94263</v>
      </c>
      <c r="B4270" s="478" t="s">
        <v>47711</v>
      </c>
      <c r="C4270" s="391" t="s">
        <v>0</v>
      </c>
      <c r="D4270" s="479">
        <v>33.770000000000003</v>
      </c>
      <c r="E4270" s="368"/>
      <c r="F4270" s="368"/>
    </row>
    <row r="4271" spans="1:6" ht="25.5" x14ac:dyDescent="0.2">
      <c r="A4271" s="391">
        <v>94265</v>
      </c>
      <c r="B4271" s="478" t="s">
        <v>47712</v>
      </c>
      <c r="C4271" s="391" t="s">
        <v>0</v>
      </c>
      <c r="D4271" s="479">
        <v>45.89</v>
      </c>
      <c r="E4271" s="368"/>
      <c r="F4271" s="368"/>
    </row>
    <row r="4272" spans="1:6" ht="38.25" x14ac:dyDescent="0.2">
      <c r="A4272" s="391">
        <v>94268</v>
      </c>
      <c r="B4272" s="478" t="s">
        <v>47713</v>
      </c>
      <c r="C4272" s="391" t="s">
        <v>0</v>
      </c>
      <c r="D4272" s="479">
        <v>61.03</v>
      </c>
      <c r="E4272" s="368"/>
      <c r="F4272" s="368"/>
    </row>
    <row r="4273" spans="1:6" ht="38.25" x14ac:dyDescent="0.2">
      <c r="A4273" s="391">
        <v>94270</v>
      </c>
      <c r="B4273" s="478" t="s">
        <v>47714</v>
      </c>
      <c r="C4273" s="391" t="s">
        <v>0</v>
      </c>
      <c r="D4273" s="479">
        <v>87.33</v>
      </c>
      <c r="E4273" s="368"/>
      <c r="F4273" s="368"/>
    </row>
    <row r="4274" spans="1:6" ht="38.25" x14ac:dyDescent="0.2">
      <c r="A4274" s="391">
        <v>94272</v>
      </c>
      <c r="B4274" s="482" t="s">
        <v>47715</v>
      </c>
      <c r="C4274" s="391" t="s">
        <v>0</v>
      </c>
      <c r="D4274" s="479">
        <v>107.52</v>
      </c>
      <c r="E4274" s="368"/>
      <c r="F4274" s="368"/>
    </row>
    <row r="4275" spans="1:6" ht="38.25" x14ac:dyDescent="0.2">
      <c r="A4275" s="391">
        <v>94267</v>
      </c>
      <c r="B4275" s="478" t="s">
        <v>47716</v>
      </c>
      <c r="C4275" s="391" t="s">
        <v>0</v>
      </c>
      <c r="D4275" s="479">
        <v>55.35</v>
      </c>
      <c r="E4275" s="368"/>
      <c r="F4275" s="368"/>
    </row>
    <row r="4276" spans="1:6" ht="38.25" x14ac:dyDescent="0.2">
      <c r="A4276" s="391">
        <v>94269</v>
      </c>
      <c r="B4276" s="478" t="s">
        <v>47717</v>
      </c>
      <c r="C4276" s="391" t="s">
        <v>0</v>
      </c>
      <c r="D4276" s="479">
        <v>79.430000000000007</v>
      </c>
      <c r="E4276" s="368"/>
      <c r="F4276" s="368"/>
    </row>
    <row r="4277" spans="1:6" ht="38.25" x14ac:dyDescent="0.2">
      <c r="A4277" s="391">
        <v>94271</v>
      </c>
      <c r="B4277" s="478" t="s">
        <v>47718</v>
      </c>
      <c r="C4277" s="391" t="s">
        <v>0</v>
      </c>
      <c r="D4277" s="479">
        <v>96.95</v>
      </c>
      <c r="E4277" s="368"/>
      <c r="F4277" s="368"/>
    </row>
    <row r="4278" spans="1:6" ht="25.5" x14ac:dyDescent="0.2">
      <c r="A4278" s="391">
        <v>105555</v>
      </c>
      <c r="B4278" s="478" t="s">
        <v>41333</v>
      </c>
      <c r="C4278" s="391" t="s">
        <v>26</v>
      </c>
      <c r="D4278" s="479">
        <v>0</v>
      </c>
      <c r="E4278" s="368"/>
      <c r="F4278" s="368"/>
    </row>
    <row r="4279" spans="1:6" ht="25.5" x14ac:dyDescent="0.2">
      <c r="A4279" s="391">
        <v>97603</v>
      </c>
      <c r="B4279" s="478" t="s">
        <v>41334</v>
      </c>
      <c r="C4279" s="391" t="s">
        <v>26</v>
      </c>
      <c r="D4279" s="479">
        <v>0</v>
      </c>
      <c r="E4279" s="368"/>
      <c r="F4279" s="368"/>
    </row>
    <row r="4280" spans="1:6" ht="25.5" x14ac:dyDescent="0.2">
      <c r="A4280" s="391">
        <v>97602</v>
      </c>
      <c r="B4280" s="478" t="s">
        <v>41335</v>
      </c>
      <c r="C4280" s="391" t="s">
        <v>26</v>
      </c>
      <c r="D4280" s="479">
        <v>0</v>
      </c>
      <c r="E4280" s="368"/>
      <c r="F4280" s="368"/>
    </row>
    <row r="4281" spans="1:6" ht="25.5" x14ac:dyDescent="0.2">
      <c r="A4281" s="391">
        <v>97604</v>
      </c>
      <c r="B4281" s="478" t="s">
        <v>41336</v>
      </c>
      <c r="C4281" s="391" t="s">
        <v>26</v>
      </c>
      <c r="D4281" s="479">
        <v>0</v>
      </c>
      <c r="E4281" s="368"/>
      <c r="F4281" s="368"/>
    </row>
    <row r="4282" spans="1:6" x14ac:dyDescent="0.2">
      <c r="A4282" s="391">
        <v>105553</v>
      </c>
      <c r="B4282" s="478" t="s">
        <v>41337</v>
      </c>
      <c r="C4282" s="391" t="s">
        <v>26</v>
      </c>
      <c r="D4282" s="479">
        <v>0</v>
      </c>
      <c r="E4282" s="368"/>
      <c r="F4282" s="368"/>
    </row>
    <row r="4283" spans="1:6" ht="25.5" x14ac:dyDescent="0.2">
      <c r="A4283" s="391">
        <v>105552</v>
      </c>
      <c r="B4283" s="480" t="s">
        <v>41338</v>
      </c>
      <c r="C4283" s="391" t="s">
        <v>26</v>
      </c>
      <c r="D4283" s="479">
        <v>0</v>
      </c>
      <c r="E4283" s="368"/>
      <c r="F4283" s="368"/>
    </row>
    <row r="4284" spans="1:6" x14ac:dyDescent="0.2">
      <c r="A4284" s="391">
        <v>105550</v>
      </c>
      <c r="B4284" s="478" t="s">
        <v>41339</v>
      </c>
      <c r="C4284" s="391" t="s">
        <v>26</v>
      </c>
      <c r="D4284" s="479">
        <v>0</v>
      </c>
      <c r="E4284" s="368"/>
      <c r="F4284" s="368"/>
    </row>
    <row r="4285" spans="1:6" x14ac:dyDescent="0.2">
      <c r="A4285" s="391">
        <v>105551</v>
      </c>
      <c r="B4285" s="480" t="s">
        <v>41340</v>
      </c>
      <c r="C4285" s="391" t="s">
        <v>26</v>
      </c>
      <c r="D4285" s="479">
        <v>0</v>
      </c>
      <c r="E4285" s="368"/>
      <c r="F4285" s="368"/>
    </row>
    <row r="4286" spans="1:6" x14ac:dyDescent="0.2">
      <c r="A4286" s="391">
        <v>105549</v>
      </c>
      <c r="B4286" s="478" t="s">
        <v>41341</v>
      </c>
      <c r="C4286" s="391" t="s">
        <v>26</v>
      </c>
      <c r="D4286" s="479">
        <v>0</v>
      </c>
      <c r="E4286" s="368"/>
      <c r="F4286" s="368"/>
    </row>
    <row r="4287" spans="1:6" x14ac:dyDescent="0.2">
      <c r="A4287" s="391">
        <v>105547</v>
      </c>
      <c r="B4287" s="478" t="s">
        <v>41342</v>
      </c>
      <c r="C4287" s="391" t="s">
        <v>0</v>
      </c>
      <c r="D4287" s="479">
        <v>0</v>
      </c>
      <c r="E4287" s="368"/>
      <c r="F4287" s="368"/>
    </row>
    <row r="4288" spans="1:6" ht="25.5" x14ac:dyDescent="0.2">
      <c r="A4288" s="391">
        <v>97605</v>
      </c>
      <c r="B4288" s="478" t="s">
        <v>39492</v>
      </c>
      <c r="C4288" s="391" t="s">
        <v>26</v>
      </c>
      <c r="D4288" s="479">
        <v>82.43</v>
      </c>
      <c r="E4288" s="368"/>
      <c r="F4288" s="368"/>
    </row>
    <row r="4289" spans="1:6" ht="25.5" x14ac:dyDescent="0.2">
      <c r="A4289" s="391">
        <v>97607</v>
      </c>
      <c r="B4289" s="478" t="s">
        <v>39493</v>
      </c>
      <c r="C4289" s="391" t="s">
        <v>26</v>
      </c>
      <c r="D4289" s="479">
        <v>104.62</v>
      </c>
      <c r="E4289" s="368"/>
      <c r="F4289" s="368"/>
    </row>
    <row r="4290" spans="1:6" ht="25.5" x14ac:dyDescent="0.2">
      <c r="A4290" s="391">
        <v>97599</v>
      </c>
      <c r="B4290" s="478" t="s">
        <v>39485</v>
      </c>
      <c r="C4290" s="391" t="s">
        <v>26</v>
      </c>
      <c r="D4290" s="479">
        <v>17.399999999999999</v>
      </c>
      <c r="E4290" s="368"/>
      <c r="F4290" s="368"/>
    </row>
    <row r="4291" spans="1:6" ht="25.5" x14ac:dyDescent="0.2">
      <c r="A4291" s="392">
        <v>105542</v>
      </c>
      <c r="B4291" s="480" t="s">
        <v>41343</v>
      </c>
      <c r="C4291" s="392" t="s">
        <v>26</v>
      </c>
      <c r="D4291" s="481">
        <v>0</v>
      </c>
      <c r="E4291" s="368"/>
      <c r="F4291" s="368"/>
    </row>
    <row r="4292" spans="1:6" ht="25.5" x14ac:dyDescent="0.2">
      <c r="A4292" s="391">
        <v>105543</v>
      </c>
      <c r="B4292" s="478" t="s">
        <v>41344</v>
      </c>
      <c r="C4292" s="391" t="s">
        <v>26</v>
      </c>
      <c r="D4292" s="479">
        <v>0</v>
      </c>
      <c r="E4292" s="368"/>
      <c r="F4292" s="368"/>
    </row>
    <row r="4293" spans="1:6" ht="25.5" x14ac:dyDescent="0.2">
      <c r="A4293" s="391">
        <v>105544</v>
      </c>
      <c r="B4293" s="478" t="s">
        <v>41345</v>
      </c>
      <c r="C4293" s="391" t="s">
        <v>26</v>
      </c>
      <c r="D4293" s="479">
        <v>0</v>
      </c>
      <c r="E4293" s="368"/>
      <c r="F4293" s="368"/>
    </row>
    <row r="4294" spans="1:6" ht="25.5" x14ac:dyDescent="0.2">
      <c r="A4294" s="391">
        <v>100913</v>
      </c>
      <c r="B4294" s="478" t="s">
        <v>41346</v>
      </c>
      <c r="C4294" s="391" t="s">
        <v>26</v>
      </c>
      <c r="D4294" s="479">
        <v>0</v>
      </c>
      <c r="E4294" s="368"/>
      <c r="F4294" s="368"/>
    </row>
    <row r="4295" spans="1:6" ht="25.5" x14ac:dyDescent="0.2">
      <c r="A4295" s="391">
        <v>100916</v>
      </c>
      <c r="B4295" s="478" t="s">
        <v>41347</v>
      </c>
      <c r="C4295" s="391" t="s">
        <v>26</v>
      </c>
      <c r="D4295" s="479">
        <v>0</v>
      </c>
      <c r="E4295" s="368"/>
      <c r="F4295" s="368"/>
    </row>
    <row r="4296" spans="1:6" ht="25.5" x14ac:dyDescent="0.2">
      <c r="A4296" s="391">
        <v>100918</v>
      </c>
      <c r="B4296" s="478" t="s">
        <v>41348</v>
      </c>
      <c r="C4296" s="391" t="s">
        <v>26</v>
      </c>
      <c r="D4296" s="479">
        <v>0</v>
      </c>
      <c r="E4296" s="368"/>
      <c r="F4296" s="368"/>
    </row>
    <row r="4297" spans="1:6" ht="25.5" x14ac:dyDescent="0.2">
      <c r="A4297" s="391">
        <v>100914</v>
      </c>
      <c r="B4297" s="478" t="s">
        <v>41349</v>
      </c>
      <c r="C4297" s="391" t="s">
        <v>26</v>
      </c>
      <c r="D4297" s="479">
        <v>0</v>
      </c>
      <c r="E4297" s="368"/>
      <c r="F4297" s="368"/>
    </row>
    <row r="4298" spans="1:6" ht="38.25" x14ac:dyDescent="0.2">
      <c r="A4298" s="391">
        <v>100917</v>
      </c>
      <c r="B4298" s="478" t="s">
        <v>41350</v>
      </c>
      <c r="C4298" s="391" t="s">
        <v>26</v>
      </c>
      <c r="D4298" s="479">
        <v>0</v>
      </c>
      <c r="E4298" s="368"/>
      <c r="F4298" s="368"/>
    </row>
    <row r="4299" spans="1:6" ht="25.5" x14ac:dyDescent="0.2">
      <c r="A4299" s="391">
        <v>100907</v>
      </c>
      <c r="B4299" s="478" t="s">
        <v>41351</v>
      </c>
      <c r="C4299" s="391" t="s">
        <v>26</v>
      </c>
      <c r="D4299" s="479">
        <v>0</v>
      </c>
      <c r="E4299" s="368"/>
      <c r="F4299" s="368"/>
    </row>
    <row r="4300" spans="1:6" ht="25.5" x14ac:dyDescent="0.2">
      <c r="A4300" s="391">
        <v>102467</v>
      </c>
      <c r="B4300" s="478" t="s">
        <v>41352</v>
      </c>
      <c r="C4300" s="391" t="s">
        <v>26</v>
      </c>
      <c r="D4300" s="479">
        <v>0</v>
      </c>
      <c r="E4300" s="368"/>
      <c r="F4300" s="368"/>
    </row>
    <row r="4301" spans="1:6" ht="25.5" x14ac:dyDescent="0.2">
      <c r="A4301" s="391">
        <v>100910</v>
      </c>
      <c r="B4301" s="478" t="s">
        <v>41353</v>
      </c>
      <c r="C4301" s="391" t="s">
        <v>26</v>
      </c>
      <c r="D4301" s="479">
        <v>0</v>
      </c>
      <c r="E4301" s="368"/>
      <c r="F4301" s="368"/>
    </row>
    <row r="4302" spans="1:6" ht="25.5" x14ac:dyDescent="0.2">
      <c r="A4302" s="391">
        <v>105541</v>
      </c>
      <c r="B4302" s="478" t="s">
        <v>41354</v>
      </c>
      <c r="C4302" s="391" t="s">
        <v>26</v>
      </c>
      <c r="D4302" s="479">
        <v>0</v>
      </c>
      <c r="E4302" s="368"/>
      <c r="F4302" s="368"/>
    </row>
    <row r="4303" spans="1:6" ht="25.5" x14ac:dyDescent="0.2">
      <c r="A4303" s="391">
        <v>100908</v>
      </c>
      <c r="B4303" s="478" t="s">
        <v>41355</v>
      </c>
      <c r="C4303" s="391" t="s">
        <v>26</v>
      </c>
      <c r="D4303" s="479">
        <v>0</v>
      </c>
      <c r="E4303" s="368"/>
      <c r="F4303" s="368"/>
    </row>
    <row r="4304" spans="1:6" ht="38.25" x14ac:dyDescent="0.2">
      <c r="A4304" s="391">
        <v>100911</v>
      </c>
      <c r="B4304" s="478" t="s">
        <v>41356</v>
      </c>
      <c r="C4304" s="391" t="s">
        <v>26</v>
      </c>
      <c r="D4304" s="479">
        <v>0</v>
      </c>
      <c r="E4304" s="368"/>
      <c r="F4304" s="368"/>
    </row>
    <row r="4305" spans="1:6" ht="25.5" x14ac:dyDescent="0.2">
      <c r="A4305" s="391">
        <v>103782</v>
      </c>
      <c r="B4305" s="478" t="s">
        <v>39490</v>
      </c>
      <c r="C4305" s="391" t="s">
        <v>26</v>
      </c>
      <c r="D4305" s="479">
        <v>27.03</v>
      </c>
      <c r="E4305" s="368"/>
      <c r="F4305" s="368"/>
    </row>
    <row r="4306" spans="1:6" ht="25.5" x14ac:dyDescent="0.2">
      <c r="A4306" s="391">
        <v>103786</v>
      </c>
      <c r="B4306" s="478" t="s">
        <v>41357</v>
      </c>
      <c r="C4306" s="391" t="s">
        <v>26</v>
      </c>
      <c r="D4306" s="479">
        <v>0</v>
      </c>
      <c r="E4306" s="368"/>
      <c r="F4306" s="368"/>
    </row>
    <row r="4307" spans="1:6" ht="25.5" x14ac:dyDescent="0.2">
      <c r="A4307" s="391">
        <v>103787</v>
      </c>
      <c r="B4307" s="478" t="s">
        <v>41358</v>
      </c>
      <c r="C4307" s="391" t="s">
        <v>26</v>
      </c>
      <c r="D4307" s="479">
        <v>0</v>
      </c>
      <c r="E4307" s="368"/>
      <c r="F4307" s="368"/>
    </row>
    <row r="4308" spans="1:6" ht="25.5" x14ac:dyDescent="0.2">
      <c r="A4308" s="391">
        <v>103788</v>
      </c>
      <c r="B4308" s="478" t="s">
        <v>41359</v>
      </c>
      <c r="C4308" s="391" t="s">
        <v>26</v>
      </c>
      <c r="D4308" s="479">
        <v>0</v>
      </c>
      <c r="E4308" s="368"/>
      <c r="F4308" s="368"/>
    </row>
    <row r="4309" spans="1:6" ht="25.5" x14ac:dyDescent="0.2">
      <c r="A4309" s="391">
        <v>103783</v>
      </c>
      <c r="B4309" s="478" t="s">
        <v>41360</v>
      </c>
      <c r="C4309" s="391" t="s">
        <v>26</v>
      </c>
      <c r="D4309" s="479">
        <v>0</v>
      </c>
      <c r="E4309" s="368"/>
      <c r="F4309" s="368"/>
    </row>
    <row r="4310" spans="1:6" ht="25.5" x14ac:dyDescent="0.2">
      <c r="A4310" s="391">
        <v>103784</v>
      </c>
      <c r="B4310" s="478" t="s">
        <v>41361</v>
      </c>
      <c r="C4310" s="391" t="s">
        <v>26</v>
      </c>
      <c r="D4310" s="479">
        <v>0</v>
      </c>
      <c r="E4310" s="368"/>
      <c r="F4310" s="368"/>
    </row>
    <row r="4311" spans="1:6" ht="25.5" x14ac:dyDescent="0.2">
      <c r="A4311" s="391">
        <v>103785</v>
      </c>
      <c r="B4311" s="478" t="s">
        <v>41362</v>
      </c>
      <c r="C4311" s="391" t="s">
        <v>26</v>
      </c>
      <c r="D4311" s="479">
        <v>0</v>
      </c>
      <c r="E4311" s="368"/>
      <c r="F4311" s="368"/>
    </row>
    <row r="4312" spans="1:6" ht="25.5" x14ac:dyDescent="0.2">
      <c r="A4312" s="391">
        <v>105546</v>
      </c>
      <c r="B4312" s="478" t="s">
        <v>41363</v>
      </c>
      <c r="C4312" s="391" t="s">
        <v>26</v>
      </c>
      <c r="D4312" s="479">
        <v>0</v>
      </c>
      <c r="E4312" s="368"/>
      <c r="F4312" s="368"/>
    </row>
    <row r="4313" spans="1:6" ht="25.5" x14ac:dyDescent="0.2">
      <c r="A4313" s="391">
        <v>105545</v>
      </c>
      <c r="B4313" s="478" t="s">
        <v>41364</v>
      </c>
      <c r="C4313" s="391" t="s">
        <v>26</v>
      </c>
      <c r="D4313" s="479">
        <v>0</v>
      </c>
      <c r="E4313" s="368"/>
      <c r="F4313" s="368"/>
    </row>
    <row r="4314" spans="1:6" ht="25.5" x14ac:dyDescent="0.2">
      <c r="A4314" s="391">
        <v>97610</v>
      </c>
      <c r="B4314" s="478" t="s">
        <v>39487</v>
      </c>
      <c r="C4314" s="391" t="s">
        <v>26</v>
      </c>
      <c r="D4314" s="479">
        <v>12.42</v>
      </c>
      <c r="E4314" s="368"/>
      <c r="F4314" s="368"/>
    </row>
    <row r="4315" spans="1:6" ht="25.5" x14ac:dyDescent="0.2">
      <c r="A4315" s="391">
        <v>97609</v>
      </c>
      <c r="B4315" s="478" t="s">
        <v>39486</v>
      </c>
      <c r="C4315" s="391" t="s">
        <v>26</v>
      </c>
      <c r="D4315" s="479">
        <v>11.83</v>
      </c>
      <c r="E4315" s="368"/>
      <c r="F4315" s="368"/>
    </row>
    <row r="4316" spans="1:6" ht="25.5" x14ac:dyDescent="0.2">
      <c r="A4316" s="391">
        <v>105554</v>
      </c>
      <c r="B4316" s="478" t="s">
        <v>39491</v>
      </c>
      <c r="C4316" s="391" t="s">
        <v>26</v>
      </c>
      <c r="D4316" s="479">
        <v>14.27</v>
      </c>
      <c r="E4316" s="368"/>
      <c r="F4316" s="368"/>
    </row>
    <row r="4317" spans="1:6" ht="25.5" x14ac:dyDescent="0.2">
      <c r="A4317" s="391">
        <v>100903</v>
      </c>
      <c r="B4317" s="478" t="s">
        <v>39489</v>
      </c>
      <c r="C4317" s="391" t="s">
        <v>26</v>
      </c>
      <c r="D4317" s="479">
        <v>27.04</v>
      </c>
      <c r="E4317" s="368"/>
      <c r="F4317" s="368"/>
    </row>
    <row r="4318" spans="1:6" ht="25.5" x14ac:dyDescent="0.2">
      <c r="A4318" s="391">
        <v>100902</v>
      </c>
      <c r="B4318" s="478" t="s">
        <v>39488</v>
      </c>
      <c r="C4318" s="391" t="s">
        <v>26</v>
      </c>
      <c r="D4318" s="479">
        <v>24.43</v>
      </c>
      <c r="E4318" s="368"/>
      <c r="F4318" s="368"/>
    </row>
    <row r="4319" spans="1:6" x14ac:dyDescent="0.2">
      <c r="A4319" s="391">
        <v>105548</v>
      </c>
      <c r="B4319" s="478" t="s">
        <v>41365</v>
      </c>
      <c r="C4319" s="391" t="s">
        <v>0</v>
      </c>
      <c r="D4319" s="479">
        <v>0</v>
      </c>
      <c r="E4319" s="368"/>
      <c r="F4319" s="368"/>
    </row>
    <row r="4320" spans="1:6" ht="25.5" x14ac:dyDescent="0.2">
      <c r="A4320" s="391">
        <v>97595</v>
      </c>
      <c r="B4320" s="478" t="s">
        <v>39481</v>
      </c>
      <c r="C4320" s="391" t="s">
        <v>26</v>
      </c>
      <c r="D4320" s="479">
        <v>100.03</v>
      </c>
      <c r="E4320" s="368"/>
      <c r="F4320" s="368"/>
    </row>
    <row r="4321" spans="1:6" ht="25.5" x14ac:dyDescent="0.2">
      <c r="A4321" s="391">
        <v>97597</v>
      </c>
      <c r="B4321" s="478" t="s">
        <v>39483</v>
      </c>
      <c r="C4321" s="391" t="s">
        <v>26</v>
      </c>
      <c r="D4321" s="479">
        <v>70.44</v>
      </c>
      <c r="E4321" s="368"/>
      <c r="F4321" s="368"/>
    </row>
    <row r="4322" spans="1:6" ht="25.5" x14ac:dyDescent="0.2">
      <c r="A4322" s="391">
        <v>97596</v>
      </c>
      <c r="B4322" s="478" t="s">
        <v>39482</v>
      </c>
      <c r="C4322" s="391" t="s">
        <v>26</v>
      </c>
      <c r="D4322" s="479">
        <v>70.14</v>
      </c>
      <c r="E4322" s="368"/>
      <c r="F4322" s="368"/>
    </row>
    <row r="4323" spans="1:6" ht="25.5" x14ac:dyDescent="0.2">
      <c r="A4323" s="391">
        <v>97598</v>
      </c>
      <c r="B4323" s="478" t="s">
        <v>39484</v>
      </c>
      <c r="C4323" s="391" t="s">
        <v>26</v>
      </c>
      <c r="D4323" s="479">
        <v>66.62</v>
      </c>
      <c r="E4323" s="368"/>
      <c r="F4323" s="368"/>
    </row>
    <row r="4324" spans="1:6" ht="25.5" x14ac:dyDescent="0.2">
      <c r="A4324" s="391">
        <v>98549</v>
      </c>
      <c r="B4324" s="478" t="s">
        <v>41366</v>
      </c>
      <c r="C4324" s="391" t="s">
        <v>255</v>
      </c>
      <c r="D4324" s="479">
        <v>0</v>
      </c>
      <c r="E4324" s="368"/>
      <c r="F4324" s="368"/>
    </row>
    <row r="4325" spans="1:6" ht="25.5" x14ac:dyDescent="0.2">
      <c r="A4325" s="391">
        <v>98562</v>
      </c>
      <c r="B4325" s="478" t="s">
        <v>2252</v>
      </c>
      <c r="C4325" s="391" t="s">
        <v>255</v>
      </c>
      <c r="D4325" s="479">
        <v>48.95</v>
      </c>
      <c r="E4325" s="368"/>
      <c r="F4325" s="368"/>
    </row>
    <row r="4326" spans="1:6" ht="25.5" x14ac:dyDescent="0.2">
      <c r="A4326" s="391">
        <v>98555</v>
      </c>
      <c r="B4326" s="478" t="s">
        <v>2253</v>
      </c>
      <c r="C4326" s="391" t="s">
        <v>255</v>
      </c>
      <c r="D4326" s="479">
        <v>32.590000000000003</v>
      </c>
      <c r="E4326" s="368"/>
      <c r="F4326" s="368"/>
    </row>
    <row r="4327" spans="1:6" ht="38.25" x14ac:dyDescent="0.2">
      <c r="A4327" s="391">
        <v>98556</v>
      </c>
      <c r="B4327" s="478" t="s">
        <v>38791</v>
      </c>
      <c r="C4327" s="391" t="s">
        <v>255</v>
      </c>
      <c r="D4327" s="479">
        <v>58.65</v>
      </c>
      <c r="E4327" s="368"/>
      <c r="F4327" s="368"/>
    </row>
    <row r="4328" spans="1:6" ht="25.5" x14ac:dyDescent="0.2">
      <c r="A4328" s="391">
        <v>98557</v>
      </c>
      <c r="B4328" s="478" t="s">
        <v>2260</v>
      </c>
      <c r="C4328" s="391" t="s">
        <v>255</v>
      </c>
      <c r="D4328" s="479">
        <v>44.41</v>
      </c>
      <c r="E4328" s="368"/>
      <c r="F4328" s="368"/>
    </row>
    <row r="4329" spans="1:6" ht="25.5" x14ac:dyDescent="0.2">
      <c r="A4329" s="391">
        <v>98548</v>
      </c>
      <c r="B4329" s="478" t="s">
        <v>41367</v>
      </c>
      <c r="C4329" s="391" t="s">
        <v>255</v>
      </c>
      <c r="D4329" s="479">
        <v>0</v>
      </c>
      <c r="E4329" s="368"/>
      <c r="F4329" s="368"/>
    </row>
    <row r="4330" spans="1:6" ht="25.5" x14ac:dyDescent="0.2">
      <c r="A4330" s="391">
        <v>98547</v>
      </c>
      <c r="B4330" s="478" t="s">
        <v>2257</v>
      </c>
      <c r="C4330" s="391" t="s">
        <v>255</v>
      </c>
      <c r="D4330" s="479">
        <v>195.49</v>
      </c>
      <c r="E4330" s="368"/>
      <c r="F4330" s="368"/>
    </row>
    <row r="4331" spans="1:6" ht="25.5" x14ac:dyDescent="0.2">
      <c r="A4331" s="391">
        <v>98546</v>
      </c>
      <c r="B4331" s="478" t="s">
        <v>2256</v>
      </c>
      <c r="C4331" s="391" t="s">
        <v>255</v>
      </c>
      <c r="D4331" s="479">
        <v>115.85</v>
      </c>
      <c r="E4331" s="368"/>
      <c r="F4331" s="368"/>
    </row>
    <row r="4332" spans="1:6" ht="25.5" x14ac:dyDescent="0.2">
      <c r="A4332" s="391">
        <v>98552</v>
      </c>
      <c r="B4332" s="478" t="s">
        <v>41368</v>
      </c>
      <c r="C4332" s="391" t="s">
        <v>255</v>
      </c>
      <c r="D4332" s="479">
        <v>0</v>
      </c>
      <c r="E4332" s="368"/>
      <c r="F4332" s="368"/>
    </row>
    <row r="4333" spans="1:6" ht="25.5" x14ac:dyDescent="0.2">
      <c r="A4333" s="391">
        <v>98553</v>
      </c>
      <c r="B4333" s="478" t="s">
        <v>2258</v>
      </c>
      <c r="C4333" s="391" t="s">
        <v>255</v>
      </c>
      <c r="D4333" s="479">
        <v>190.95</v>
      </c>
      <c r="E4333" s="368"/>
      <c r="F4333" s="368"/>
    </row>
    <row r="4334" spans="1:6" ht="25.5" x14ac:dyDescent="0.2">
      <c r="A4334" s="391">
        <v>98554</v>
      </c>
      <c r="B4334" s="478" t="s">
        <v>2259</v>
      </c>
      <c r="C4334" s="391" t="s">
        <v>255</v>
      </c>
      <c r="D4334" s="479">
        <v>50.67</v>
      </c>
      <c r="E4334" s="368"/>
      <c r="F4334" s="368"/>
    </row>
    <row r="4335" spans="1:6" ht="25.5" x14ac:dyDescent="0.2">
      <c r="A4335" s="391">
        <v>98565</v>
      </c>
      <c r="B4335" s="478" t="s">
        <v>2263</v>
      </c>
      <c r="C4335" s="391" t="s">
        <v>255</v>
      </c>
      <c r="D4335" s="479">
        <v>52.67</v>
      </c>
      <c r="E4335" s="368"/>
      <c r="F4335" s="368"/>
    </row>
    <row r="4336" spans="1:6" ht="25.5" x14ac:dyDescent="0.2">
      <c r="A4336" s="391">
        <v>98567</v>
      </c>
      <c r="B4336" s="478" t="s">
        <v>2265</v>
      </c>
      <c r="C4336" s="391" t="s">
        <v>255</v>
      </c>
      <c r="D4336" s="479">
        <v>67.58</v>
      </c>
      <c r="E4336" s="368"/>
      <c r="F4336" s="368"/>
    </row>
    <row r="4337" spans="1:6" ht="25.5" x14ac:dyDescent="0.2">
      <c r="A4337" s="391">
        <v>98569</v>
      </c>
      <c r="B4337" s="478" t="s">
        <v>2267</v>
      </c>
      <c r="C4337" s="391" t="s">
        <v>255</v>
      </c>
      <c r="D4337" s="479">
        <v>83.29</v>
      </c>
      <c r="E4337" s="368"/>
      <c r="F4337" s="368"/>
    </row>
    <row r="4338" spans="1:6" ht="25.5" x14ac:dyDescent="0.2">
      <c r="A4338" s="391">
        <v>98571</v>
      </c>
      <c r="B4338" s="478" t="s">
        <v>2269</v>
      </c>
      <c r="C4338" s="391" t="s">
        <v>255</v>
      </c>
      <c r="D4338" s="479">
        <v>43.6</v>
      </c>
      <c r="E4338" s="368"/>
      <c r="F4338" s="368"/>
    </row>
    <row r="4339" spans="1:6" ht="25.5" x14ac:dyDescent="0.2">
      <c r="A4339" s="391">
        <v>98572</v>
      </c>
      <c r="B4339" s="478" t="s">
        <v>2270</v>
      </c>
      <c r="C4339" s="391" t="s">
        <v>255</v>
      </c>
      <c r="D4339" s="479">
        <v>53.52</v>
      </c>
      <c r="E4339" s="368"/>
      <c r="F4339" s="368"/>
    </row>
    <row r="4340" spans="1:6" ht="25.5" x14ac:dyDescent="0.2">
      <c r="A4340" s="391">
        <v>98563</v>
      </c>
      <c r="B4340" s="478" t="s">
        <v>2261</v>
      </c>
      <c r="C4340" s="391" t="s">
        <v>255</v>
      </c>
      <c r="D4340" s="479">
        <v>36.97</v>
      </c>
      <c r="E4340" s="368"/>
      <c r="F4340" s="368"/>
    </row>
    <row r="4341" spans="1:6" ht="25.5" x14ac:dyDescent="0.2">
      <c r="A4341" s="391">
        <v>98564</v>
      </c>
      <c r="B4341" s="478" t="s">
        <v>2262</v>
      </c>
      <c r="C4341" s="391" t="s">
        <v>255</v>
      </c>
      <c r="D4341" s="479">
        <v>50.53</v>
      </c>
      <c r="E4341" s="368"/>
      <c r="F4341" s="368"/>
    </row>
    <row r="4342" spans="1:6" ht="25.5" x14ac:dyDescent="0.2">
      <c r="A4342" s="391">
        <v>98566</v>
      </c>
      <c r="B4342" s="478" t="s">
        <v>2264</v>
      </c>
      <c r="C4342" s="391" t="s">
        <v>255</v>
      </c>
      <c r="D4342" s="479">
        <v>66.25</v>
      </c>
      <c r="E4342" s="368"/>
      <c r="F4342" s="368"/>
    </row>
    <row r="4343" spans="1:6" ht="25.5" x14ac:dyDescent="0.2">
      <c r="A4343" s="391">
        <v>98568</v>
      </c>
      <c r="B4343" s="478" t="s">
        <v>2266</v>
      </c>
      <c r="C4343" s="391" t="s">
        <v>255</v>
      </c>
      <c r="D4343" s="479">
        <v>81.14</v>
      </c>
      <c r="E4343" s="368"/>
      <c r="F4343" s="368"/>
    </row>
    <row r="4344" spans="1:6" ht="25.5" x14ac:dyDescent="0.2">
      <c r="A4344" s="391">
        <v>98570</v>
      </c>
      <c r="B4344" s="478" t="s">
        <v>2268</v>
      </c>
      <c r="C4344" s="391" t="s">
        <v>255</v>
      </c>
      <c r="D4344" s="479">
        <v>96.86</v>
      </c>
      <c r="E4344" s="368"/>
      <c r="F4344" s="368"/>
    </row>
    <row r="4345" spans="1:6" ht="25.5" x14ac:dyDescent="0.2">
      <c r="A4345" s="391">
        <v>98573</v>
      </c>
      <c r="B4345" s="478" t="s">
        <v>2271</v>
      </c>
      <c r="C4345" s="391" t="s">
        <v>255</v>
      </c>
      <c r="D4345" s="479">
        <v>66.52</v>
      </c>
      <c r="E4345" s="368"/>
      <c r="F4345" s="368"/>
    </row>
    <row r="4346" spans="1:6" ht="25.5" x14ac:dyDescent="0.2">
      <c r="A4346" s="391">
        <v>98576</v>
      </c>
      <c r="B4346" s="478" t="s">
        <v>2159</v>
      </c>
      <c r="C4346" s="391" t="s">
        <v>0</v>
      </c>
      <c r="D4346" s="479">
        <v>22.03</v>
      </c>
      <c r="E4346" s="368"/>
      <c r="F4346" s="368"/>
    </row>
    <row r="4347" spans="1:6" ht="38.25" x14ac:dyDescent="0.2">
      <c r="A4347" s="391">
        <v>98575</v>
      </c>
      <c r="B4347" s="478" t="s">
        <v>2158</v>
      </c>
      <c r="C4347" s="391" t="s">
        <v>0</v>
      </c>
      <c r="D4347" s="479">
        <v>72.39</v>
      </c>
      <c r="E4347" s="368"/>
      <c r="F4347" s="368"/>
    </row>
    <row r="4348" spans="1:6" ht="25.5" x14ac:dyDescent="0.2">
      <c r="A4348" s="391">
        <v>98577</v>
      </c>
      <c r="B4348" s="478" t="s">
        <v>2160</v>
      </c>
      <c r="C4348" s="391" t="s">
        <v>0</v>
      </c>
      <c r="D4348" s="479">
        <v>47.29</v>
      </c>
      <c r="E4348" s="368"/>
      <c r="F4348" s="368"/>
    </row>
    <row r="4349" spans="1:6" ht="38.25" x14ac:dyDescent="0.2">
      <c r="A4349" s="391">
        <v>98558</v>
      </c>
      <c r="B4349" s="478" t="s">
        <v>2254</v>
      </c>
      <c r="C4349" s="391" t="s">
        <v>26</v>
      </c>
      <c r="D4349" s="479">
        <v>9.65</v>
      </c>
      <c r="E4349" s="368"/>
      <c r="F4349" s="368"/>
    </row>
    <row r="4350" spans="1:6" ht="25.5" x14ac:dyDescent="0.2">
      <c r="A4350" s="391">
        <v>98550</v>
      </c>
      <c r="B4350" s="478" t="s">
        <v>41369</v>
      </c>
      <c r="C4350" s="391" t="s">
        <v>255</v>
      </c>
      <c r="D4350" s="479">
        <v>0</v>
      </c>
      <c r="E4350" s="368"/>
      <c r="F4350" s="368"/>
    </row>
    <row r="4351" spans="1:6" ht="25.5" x14ac:dyDescent="0.2">
      <c r="A4351" s="391">
        <v>98551</v>
      </c>
      <c r="B4351" s="478" t="s">
        <v>41370</v>
      </c>
      <c r="C4351" s="391" t="s">
        <v>0</v>
      </c>
      <c r="D4351" s="479">
        <v>0</v>
      </c>
      <c r="E4351" s="368"/>
      <c r="F4351" s="368"/>
    </row>
    <row r="4352" spans="1:6" x14ac:dyDescent="0.2">
      <c r="A4352" s="391">
        <v>98559</v>
      </c>
      <c r="B4352" s="478" t="s">
        <v>2255</v>
      </c>
      <c r="C4352" s="391" t="s">
        <v>0</v>
      </c>
      <c r="D4352" s="479">
        <v>4.71</v>
      </c>
      <c r="E4352" s="368"/>
      <c r="F4352" s="368"/>
    </row>
    <row r="4353" spans="1:6" ht="25.5" x14ac:dyDescent="0.2">
      <c r="A4353" s="391">
        <v>91925</v>
      </c>
      <c r="B4353" s="478" t="s">
        <v>2355</v>
      </c>
      <c r="C4353" s="391" t="s">
        <v>0</v>
      </c>
      <c r="D4353" s="479">
        <v>3.71</v>
      </c>
      <c r="E4353" s="368"/>
      <c r="F4353" s="368"/>
    </row>
    <row r="4354" spans="1:6" ht="25.5" x14ac:dyDescent="0.2">
      <c r="A4354" s="391">
        <v>91924</v>
      </c>
      <c r="B4354" s="478" t="s">
        <v>2354</v>
      </c>
      <c r="C4354" s="391" t="s">
        <v>0</v>
      </c>
      <c r="D4354" s="479">
        <v>3.05</v>
      </c>
      <c r="E4354" s="368"/>
      <c r="F4354" s="368"/>
    </row>
    <row r="4355" spans="1:6" ht="25.5" x14ac:dyDescent="0.2">
      <c r="A4355" s="391">
        <v>91933</v>
      </c>
      <c r="B4355" s="478" t="s">
        <v>2361</v>
      </c>
      <c r="C4355" s="391" t="s">
        <v>0</v>
      </c>
      <c r="D4355" s="479">
        <v>16.79</v>
      </c>
      <c r="E4355" s="368"/>
      <c r="F4355" s="368"/>
    </row>
    <row r="4356" spans="1:6" ht="25.5" x14ac:dyDescent="0.2">
      <c r="A4356" s="391">
        <v>91932</v>
      </c>
      <c r="B4356" s="478" t="s">
        <v>2360</v>
      </c>
      <c r="C4356" s="391" t="s">
        <v>0</v>
      </c>
      <c r="D4356" s="479">
        <v>17.420000000000002</v>
      </c>
      <c r="E4356" s="368"/>
      <c r="F4356" s="368"/>
    </row>
    <row r="4357" spans="1:6" ht="25.5" x14ac:dyDescent="0.2">
      <c r="A4357" s="391">
        <v>91935</v>
      </c>
      <c r="B4357" s="478" t="s">
        <v>2363</v>
      </c>
      <c r="C4357" s="391" t="s">
        <v>0</v>
      </c>
      <c r="D4357" s="479">
        <v>26.37</v>
      </c>
      <c r="E4357" s="368"/>
      <c r="F4357" s="368"/>
    </row>
    <row r="4358" spans="1:6" ht="25.5" x14ac:dyDescent="0.2">
      <c r="A4358" s="391">
        <v>91934</v>
      </c>
      <c r="B4358" s="478" t="s">
        <v>2362</v>
      </c>
      <c r="C4358" s="391" t="s">
        <v>0</v>
      </c>
      <c r="D4358" s="479">
        <v>25.15</v>
      </c>
      <c r="E4358" s="368"/>
      <c r="F4358" s="368"/>
    </row>
    <row r="4359" spans="1:6" ht="25.5" x14ac:dyDescent="0.2">
      <c r="A4359" s="391">
        <v>91927</v>
      </c>
      <c r="B4359" s="478" t="s">
        <v>2356</v>
      </c>
      <c r="C4359" s="391" t="s">
        <v>0</v>
      </c>
      <c r="D4359" s="479">
        <v>5.0199999999999996</v>
      </c>
      <c r="E4359" s="368"/>
      <c r="F4359" s="368"/>
    </row>
    <row r="4360" spans="1:6" ht="25.5" x14ac:dyDescent="0.2">
      <c r="A4360" s="391">
        <v>91926</v>
      </c>
      <c r="B4360" s="478" t="s">
        <v>22</v>
      </c>
      <c r="C4360" s="391" t="s">
        <v>0</v>
      </c>
      <c r="D4360" s="479">
        <v>4.46</v>
      </c>
      <c r="E4360" s="368"/>
      <c r="F4360" s="368"/>
    </row>
    <row r="4361" spans="1:6" ht="25.5" x14ac:dyDescent="0.2">
      <c r="A4361" s="391">
        <v>91929</v>
      </c>
      <c r="B4361" s="482" t="s">
        <v>2357</v>
      </c>
      <c r="C4361" s="391" t="s">
        <v>0</v>
      </c>
      <c r="D4361" s="479">
        <v>7.41</v>
      </c>
      <c r="E4361" s="368"/>
      <c r="F4361" s="368"/>
    </row>
    <row r="4362" spans="1:6" ht="25.5" x14ac:dyDescent="0.2">
      <c r="A4362" s="391">
        <v>91928</v>
      </c>
      <c r="B4362" s="478" t="s">
        <v>46</v>
      </c>
      <c r="C4362" s="391" t="s">
        <v>0</v>
      </c>
      <c r="D4362" s="479">
        <v>6.92</v>
      </c>
      <c r="E4362" s="368"/>
      <c r="F4362" s="368"/>
    </row>
    <row r="4363" spans="1:6" ht="25.5" x14ac:dyDescent="0.2">
      <c r="A4363" s="391">
        <v>91931</v>
      </c>
      <c r="B4363" s="482" t="s">
        <v>2359</v>
      </c>
      <c r="C4363" s="391" t="s">
        <v>0</v>
      </c>
      <c r="D4363" s="479">
        <v>10.48</v>
      </c>
      <c r="E4363" s="368"/>
      <c r="F4363" s="368"/>
    </row>
    <row r="4364" spans="1:6" ht="25.5" x14ac:dyDescent="0.2">
      <c r="A4364" s="391">
        <v>91930</v>
      </c>
      <c r="B4364" s="478" t="s">
        <v>2358</v>
      </c>
      <c r="C4364" s="391" t="s">
        <v>0</v>
      </c>
      <c r="D4364" s="479">
        <v>9.69</v>
      </c>
      <c r="E4364" s="368"/>
      <c r="F4364" s="368"/>
    </row>
    <row r="4365" spans="1:6" ht="38.25" x14ac:dyDescent="0.2">
      <c r="A4365" s="391">
        <v>104620</v>
      </c>
      <c r="B4365" s="478" t="s">
        <v>41371</v>
      </c>
      <c r="C4365" s="391" t="s">
        <v>26</v>
      </c>
      <c r="D4365" s="479">
        <v>0</v>
      </c>
      <c r="E4365" s="368"/>
      <c r="F4365" s="368"/>
    </row>
    <row r="4366" spans="1:6" ht="38.25" x14ac:dyDescent="0.2">
      <c r="A4366" s="391">
        <v>104624</v>
      </c>
      <c r="B4366" s="478" t="s">
        <v>41372</v>
      </c>
      <c r="C4366" s="391" t="s">
        <v>26</v>
      </c>
      <c r="D4366" s="479">
        <v>0</v>
      </c>
      <c r="E4366" s="368"/>
      <c r="F4366" s="368"/>
    </row>
    <row r="4367" spans="1:6" ht="38.25" x14ac:dyDescent="0.2">
      <c r="A4367" s="391">
        <v>104622</v>
      </c>
      <c r="B4367" s="478" t="s">
        <v>41373</v>
      </c>
      <c r="C4367" s="391" t="s">
        <v>26</v>
      </c>
      <c r="D4367" s="479">
        <v>0</v>
      </c>
      <c r="E4367" s="368"/>
      <c r="F4367" s="368"/>
    </row>
    <row r="4368" spans="1:6" ht="38.25" x14ac:dyDescent="0.2">
      <c r="A4368" s="391">
        <v>104621</v>
      </c>
      <c r="B4368" s="478" t="s">
        <v>41374</v>
      </c>
      <c r="C4368" s="391" t="s">
        <v>26</v>
      </c>
      <c r="D4368" s="479">
        <v>0</v>
      </c>
      <c r="E4368" s="368"/>
      <c r="F4368" s="368"/>
    </row>
    <row r="4369" spans="1:6" ht="38.25" x14ac:dyDescent="0.2">
      <c r="A4369" s="391">
        <v>104625</v>
      </c>
      <c r="B4369" s="478" t="s">
        <v>41375</v>
      </c>
      <c r="C4369" s="391" t="s">
        <v>26</v>
      </c>
      <c r="D4369" s="479">
        <v>0</v>
      </c>
      <c r="E4369" s="368"/>
      <c r="F4369" s="368"/>
    </row>
    <row r="4370" spans="1:6" ht="38.25" x14ac:dyDescent="0.2">
      <c r="A4370" s="391">
        <v>104623</v>
      </c>
      <c r="B4370" s="478" t="s">
        <v>41376</v>
      </c>
      <c r="C4370" s="391" t="s">
        <v>26</v>
      </c>
      <c r="D4370" s="479">
        <v>0</v>
      </c>
      <c r="E4370" s="368"/>
      <c r="F4370" s="368"/>
    </row>
    <row r="4371" spans="1:6" ht="25.5" x14ac:dyDescent="0.2">
      <c r="A4371" s="391">
        <v>91937</v>
      </c>
      <c r="B4371" s="478" t="s">
        <v>2384</v>
      </c>
      <c r="C4371" s="391" t="s">
        <v>26</v>
      </c>
      <c r="D4371" s="479">
        <v>14.4</v>
      </c>
      <c r="E4371" s="368"/>
      <c r="F4371" s="368"/>
    </row>
    <row r="4372" spans="1:6" ht="25.5" x14ac:dyDescent="0.2">
      <c r="A4372" s="391">
        <v>92865</v>
      </c>
      <c r="B4372" s="478" t="s">
        <v>2390</v>
      </c>
      <c r="C4372" s="391" t="s">
        <v>26</v>
      </c>
      <c r="D4372" s="479">
        <v>14.24</v>
      </c>
      <c r="E4372" s="368"/>
      <c r="F4372" s="368"/>
    </row>
    <row r="4373" spans="1:6" ht="25.5" x14ac:dyDescent="0.2">
      <c r="A4373" s="391">
        <v>91936</v>
      </c>
      <c r="B4373" s="478" t="s">
        <v>2383</v>
      </c>
      <c r="C4373" s="391" t="s">
        <v>26</v>
      </c>
      <c r="D4373" s="479">
        <v>15.82</v>
      </c>
      <c r="E4373" s="368"/>
      <c r="F4373" s="368"/>
    </row>
    <row r="4374" spans="1:6" ht="25.5" x14ac:dyDescent="0.2">
      <c r="A4374" s="391">
        <v>92867</v>
      </c>
      <c r="B4374" s="478" t="s">
        <v>2392</v>
      </c>
      <c r="C4374" s="391" t="s">
        <v>26</v>
      </c>
      <c r="D4374" s="479">
        <v>29.82</v>
      </c>
      <c r="E4374" s="368"/>
      <c r="F4374" s="368"/>
    </row>
    <row r="4375" spans="1:6" ht="25.5" x14ac:dyDescent="0.2">
      <c r="A4375" s="391">
        <v>91939</v>
      </c>
      <c r="B4375" s="478" t="s">
        <v>2385</v>
      </c>
      <c r="C4375" s="391" t="s">
        <v>26</v>
      </c>
      <c r="D4375" s="479">
        <v>30.17</v>
      </c>
      <c r="E4375" s="368"/>
      <c r="F4375" s="368"/>
    </row>
    <row r="4376" spans="1:6" ht="25.5" x14ac:dyDescent="0.2">
      <c r="A4376" s="391">
        <v>92869</v>
      </c>
      <c r="B4376" s="478" t="s">
        <v>2394</v>
      </c>
      <c r="C4376" s="391" t="s">
        <v>26</v>
      </c>
      <c r="D4376" s="479">
        <v>10.3</v>
      </c>
      <c r="E4376" s="368"/>
      <c r="F4376" s="368"/>
    </row>
    <row r="4377" spans="1:6" ht="25.5" x14ac:dyDescent="0.2">
      <c r="A4377" s="391">
        <v>91941</v>
      </c>
      <c r="B4377" s="478" t="s">
        <v>2387</v>
      </c>
      <c r="C4377" s="391" t="s">
        <v>26</v>
      </c>
      <c r="D4377" s="479">
        <v>10.65</v>
      </c>
      <c r="E4377" s="368"/>
      <c r="F4377" s="368"/>
    </row>
    <row r="4378" spans="1:6" ht="25.5" x14ac:dyDescent="0.2">
      <c r="A4378" s="391">
        <v>92868</v>
      </c>
      <c r="B4378" s="478" t="s">
        <v>2393</v>
      </c>
      <c r="C4378" s="391" t="s">
        <v>26</v>
      </c>
      <c r="D4378" s="479">
        <v>16.72</v>
      </c>
      <c r="E4378" s="368"/>
      <c r="F4378" s="368"/>
    </row>
    <row r="4379" spans="1:6" ht="25.5" x14ac:dyDescent="0.2">
      <c r="A4379" s="391">
        <v>91940</v>
      </c>
      <c r="B4379" s="478" t="s">
        <v>2386</v>
      </c>
      <c r="C4379" s="391" t="s">
        <v>26</v>
      </c>
      <c r="D4379" s="479">
        <v>17.07</v>
      </c>
      <c r="E4379" s="368"/>
      <c r="F4379" s="368"/>
    </row>
    <row r="4380" spans="1:6" ht="25.5" x14ac:dyDescent="0.2">
      <c r="A4380" s="391">
        <v>92870</v>
      </c>
      <c r="B4380" s="478" t="s">
        <v>2395</v>
      </c>
      <c r="C4380" s="391" t="s">
        <v>26</v>
      </c>
      <c r="D4380" s="479">
        <v>32.57</v>
      </c>
      <c r="E4380" s="368"/>
      <c r="F4380" s="368"/>
    </row>
    <row r="4381" spans="1:6" ht="25.5" x14ac:dyDescent="0.2">
      <c r="A4381" s="391">
        <v>91942</v>
      </c>
      <c r="B4381" s="478" t="s">
        <v>34</v>
      </c>
      <c r="C4381" s="391" t="s">
        <v>26</v>
      </c>
      <c r="D4381" s="479">
        <v>33.08</v>
      </c>
      <c r="E4381" s="368"/>
      <c r="F4381" s="368"/>
    </row>
    <row r="4382" spans="1:6" ht="25.5" x14ac:dyDescent="0.2">
      <c r="A4382" s="391">
        <v>92872</v>
      </c>
      <c r="B4382" s="478" t="s">
        <v>2397</v>
      </c>
      <c r="C4382" s="391" t="s">
        <v>26</v>
      </c>
      <c r="D4382" s="479">
        <v>12.36</v>
      </c>
      <c r="E4382" s="368"/>
      <c r="F4382" s="368"/>
    </row>
    <row r="4383" spans="1:6" ht="25.5" x14ac:dyDescent="0.2">
      <c r="A4383" s="391">
        <v>91944</v>
      </c>
      <c r="B4383" s="478" t="s">
        <v>2389</v>
      </c>
      <c r="C4383" s="391" t="s">
        <v>26</v>
      </c>
      <c r="D4383" s="479">
        <v>12.87</v>
      </c>
      <c r="E4383" s="368"/>
      <c r="F4383" s="368"/>
    </row>
    <row r="4384" spans="1:6" ht="25.5" x14ac:dyDescent="0.2">
      <c r="A4384" s="391">
        <v>92871</v>
      </c>
      <c r="B4384" s="478" t="s">
        <v>2396</v>
      </c>
      <c r="C4384" s="391" t="s">
        <v>26</v>
      </c>
      <c r="D4384" s="479">
        <v>19.03</v>
      </c>
      <c r="E4384" s="368"/>
      <c r="F4384" s="368"/>
    </row>
    <row r="4385" spans="1:6" ht="25.5" x14ac:dyDescent="0.2">
      <c r="A4385" s="391">
        <v>91943</v>
      </c>
      <c r="B4385" s="478" t="s">
        <v>2388</v>
      </c>
      <c r="C4385" s="391" t="s">
        <v>26</v>
      </c>
      <c r="D4385" s="479">
        <v>19.54</v>
      </c>
      <c r="E4385" s="368"/>
      <c r="F4385" s="368"/>
    </row>
    <row r="4386" spans="1:6" ht="25.5" x14ac:dyDescent="0.2">
      <c r="A4386" s="391">
        <v>92866</v>
      </c>
      <c r="B4386" s="478" t="s">
        <v>2391</v>
      </c>
      <c r="C4386" s="391" t="s">
        <v>26</v>
      </c>
      <c r="D4386" s="479">
        <v>12.59</v>
      </c>
      <c r="E4386" s="368"/>
      <c r="F4386" s="368"/>
    </row>
    <row r="4387" spans="1:6" ht="25.5" x14ac:dyDescent="0.2">
      <c r="A4387" s="391">
        <v>91987</v>
      </c>
      <c r="B4387" s="478" t="s">
        <v>2533</v>
      </c>
      <c r="C4387" s="391" t="s">
        <v>26</v>
      </c>
      <c r="D4387" s="479">
        <v>46.2</v>
      </c>
      <c r="E4387" s="368"/>
      <c r="F4387" s="368"/>
    </row>
    <row r="4388" spans="1:6" ht="25.5" x14ac:dyDescent="0.2">
      <c r="A4388" s="391">
        <v>91986</v>
      </c>
      <c r="B4388" s="478" t="s">
        <v>2532</v>
      </c>
      <c r="C4388" s="391" t="s">
        <v>26</v>
      </c>
      <c r="D4388" s="479">
        <v>35.58</v>
      </c>
      <c r="E4388" s="368"/>
      <c r="F4388" s="368"/>
    </row>
    <row r="4389" spans="1:6" ht="38.25" x14ac:dyDescent="0.2">
      <c r="A4389" s="391">
        <v>97559</v>
      </c>
      <c r="B4389" s="478" t="s">
        <v>2350</v>
      </c>
      <c r="C4389" s="391" t="s">
        <v>26</v>
      </c>
      <c r="D4389" s="479">
        <v>12.3</v>
      </c>
      <c r="E4389" s="368"/>
      <c r="F4389" s="368"/>
    </row>
    <row r="4390" spans="1:6" ht="38.25" x14ac:dyDescent="0.2">
      <c r="A4390" s="391">
        <v>97562</v>
      </c>
      <c r="B4390" s="478" t="s">
        <v>2351</v>
      </c>
      <c r="C4390" s="391" t="s">
        <v>26</v>
      </c>
      <c r="D4390" s="479">
        <v>10.08</v>
      </c>
      <c r="E4390" s="368"/>
      <c r="F4390" s="368"/>
    </row>
    <row r="4391" spans="1:6" ht="38.25" x14ac:dyDescent="0.2">
      <c r="A4391" s="391">
        <v>97564</v>
      </c>
      <c r="B4391" s="478" t="s">
        <v>2352</v>
      </c>
      <c r="C4391" s="391" t="s">
        <v>26</v>
      </c>
      <c r="D4391" s="479">
        <v>16.79</v>
      </c>
      <c r="E4391" s="368"/>
      <c r="F4391" s="368"/>
    </row>
    <row r="4392" spans="1:6" ht="38.25" x14ac:dyDescent="0.2">
      <c r="A4392" s="391">
        <v>91889</v>
      </c>
      <c r="B4392" s="478" t="s">
        <v>2317</v>
      </c>
      <c r="C4392" s="391" t="s">
        <v>26</v>
      </c>
      <c r="D4392" s="479">
        <v>11.01</v>
      </c>
      <c r="E4392" s="368"/>
      <c r="F4392" s="368"/>
    </row>
    <row r="4393" spans="1:6" ht="38.25" x14ac:dyDescent="0.2">
      <c r="A4393" s="391">
        <v>91901</v>
      </c>
      <c r="B4393" s="478" t="s">
        <v>2325</v>
      </c>
      <c r="C4393" s="391" t="s">
        <v>26</v>
      </c>
      <c r="D4393" s="479">
        <v>8.7799999999999994</v>
      </c>
      <c r="E4393" s="368"/>
      <c r="F4393" s="368"/>
    </row>
    <row r="4394" spans="1:6" ht="38.25" x14ac:dyDescent="0.2">
      <c r="A4394" s="391">
        <v>91913</v>
      </c>
      <c r="B4394" s="478" t="s">
        <v>2333</v>
      </c>
      <c r="C4394" s="391" t="s">
        <v>26</v>
      </c>
      <c r="D4394" s="479">
        <v>15.55</v>
      </c>
      <c r="E4394" s="368"/>
      <c r="F4394" s="368"/>
    </row>
    <row r="4395" spans="1:6" ht="38.25" x14ac:dyDescent="0.2">
      <c r="A4395" s="391">
        <v>91892</v>
      </c>
      <c r="B4395" s="478" t="s">
        <v>2319</v>
      </c>
      <c r="C4395" s="391" t="s">
        <v>26</v>
      </c>
      <c r="D4395" s="479">
        <v>13.94</v>
      </c>
      <c r="E4395" s="368"/>
      <c r="F4395" s="368"/>
    </row>
    <row r="4396" spans="1:6" ht="38.25" x14ac:dyDescent="0.2">
      <c r="A4396" s="391">
        <v>91904</v>
      </c>
      <c r="B4396" s="478" t="s">
        <v>2327</v>
      </c>
      <c r="C4396" s="391" t="s">
        <v>26</v>
      </c>
      <c r="D4396" s="479">
        <v>11.72</v>
      </c>
      <c r="E4396" s="368"/>
      <c r="F4396" s="368"/>
    </row>
    <row r="4397" spans="1:6" ht="38.25" x14ac:dyDescent="0.2">
      <c r="A4397" s="391">
        <v>91916</v>
      </c>
      <c r="B4397" s="478" t="s">
        <v>2335</v>
      </c>
      <c r="C4397" s="391" t="s">
        <v>26</v>
      </c>
      <c r="D4397" s="479">
        <v>18.43</v>
      </c>
      <c r="E4397" s="368"/>
      <c r="F4397" s="368"/>
    </row>
    <row r="4398" spans="1:6" ht="38.25" x14ac:dyDescent="0.2">
      <c r="A4398" s="391">
        <v>91895</v>
      </c>
      <c r="B4398" s="478" t="s">
        <v>2321</v>
      </c>
      <c r="C4398" s="391" t="s">
        <v>26</v>
      </c>
      <c r="D4398" s="479">
        <v>16.75</v>
      </c>
      <c r="E4398" s="368"/>
      <c r="F4398" s="368"/>
    </row>
    <row r="4399" spans="1:6" ht="38.25" x14ac:dyDescent="0.2">
      <c r="A4399" s="391">
        <v>91907</v>
      </c>
      <c r="B4399" s="478" t="s">
        <v>2329</v>
      </c>
      <c r="C4399" s="391" t="s">
        <v>26</v>
      </c>
      <c r="D4399" s="479">
        <v>14.53</v>
      </c>
      <c r="E4399" s="368"/>
      <c r="F4399" s="368"/>
    </row>
    <row r="4400" spans="1:6" ht="38.25" x14ac:dyDescent="0.2">
      <c r="A4400" s="391">
        <v>91919</v>
      </c>
      <c r="B4400" s="478" t="s">
        <v>2337</v>
      </c>
      <c r="C4400" s="391" t="s">
        <v>26</v>
      </c>
      <c r="D4400" s="479">
        <v>21.19</v>
      </c>
      <c r="E4400" s="368"/>
      <c r="F4400" s="368"/>
    </row>
    <row r="4401" spans="1:6" ht="38.25" x14ac:dyDescent="0.2">
      <c r="A4401" s="391">
        <v>91898</v>
      </c>
      <c r="B4401" s="478" t="s">
        <v>2323</v>
      </c>
      <c r="C4401" s="391" t="s">
        <v>26</v>
      </c>
      <c r="D4401" s="479">
        <v>19.18</v>
      </c>
      <c r="E4401" s="368"/>
      <c r="F4401" s="368"/>
    </row>
    <row r="4402" spans="1:6" ht="38.25" x14ac:dyDescent="0.2">
      <c r="A4402" s="391">
        <v>91910</v>
      </c>
      <c r="B4402" s="478" t="s">
        <v>2331</v>
      </c>
      <c r="C4402" s="391" t="s">
        <v>26</v>
      </c>
      <c r="D4402" s="479">
        <v>17</v>
      </c>
      <c r="E4402" s="368"/>
      <c r="F4402" s="368"/>
    </row>
    <row r="4403" spans="1:6" ht="38.25" x14ac:dyDescent="0.2">
      <c r="A4403" s="391">
        <v>91922</v>
      </c>
      <c r="B4403" s="478" t="s">
        <v>2339</v>
      </c>
      <c r="C4403" s="391" t="s">
        <v>26</v>
      </c>
      <c r="D4403" s="479">
        <v>23.57</v>
      </c>
      <c r="E4403" s="368"/>
      <c r="F4403" s="368"/>
    </row>
    <row r="4404" spans="1:6" ht="38.25" x14ac:dyDescent="0.2">
      <c r="A4404" s="391">
        <v>91887</v>
      </c>
      <c r="B4404" s="478" t="s">
        <v>2316</v>
      </c>
      <c r="C4404" s="391" t="s">
        <v>26</v>
      </c>
      <c r="D4404" s="479">
        <v>11.23</v>
      </c>
      <c r="E4404" s="368"/>
      <c r="F4404" s="368"/>
    </row>
    <row r="4405" spans="1:6" ht="38.25" x14ac:dyDescent="0.2">
      <c r="A4405" s="429">
        <v>91899</v>
      </c>
      <c r="B4405" s="484" t="s">
        <v>2324</v>
      </c>
      <c r="C4405" s="429" t="s">
        <v>26</v>
      </c>
      <c r="D4405" s="487">
        <v>9</v>
      </c>
      <c r="E4405" s="368"/>
      <c r="F4405" s="368"/>
    </row>
    <row r="4406" spans="1:6" ht="38.25" x14ac:dyDescent="0.2">
      <c r="A4406" s="391">
        <v>91911</v>
      </c>
      <c r="B4406" s="478" t="s">
        <v>2332</v>
      </c>
      <c r="C4406" s="391" t="s">
        <v>26</v>
      </c>
      <c r="D4406" s="479">
        <v>15.77</v>
      </c>
      <c r="E4406" s="368"/>
      <c r="F4406" s="368"/>
    </row>
    <row r="4407" spans="1:6" ht="38.25" x14ac:dyDescent="0.2">
      <c r="A4407" s="429">
        <v>91890</v>
      </c>
      <c r="B4407" s="484" t="s">
        <v>2318</v>
      </c>
      <c r="C4407" s="429" t="s">
        <v>26</v>
      </c>
      <c r="D4407" s="487">
        <v>12.46</v>
      </c>
      <c r="E4407" s="368"/>
      <c r="F4407" s="368"/>
    </row>
    <row r="4408" spans="1:6" ht="38.25" x14ac:dyDescent="0.2">
      <c r="A4408" s="391">
        <v>91902</v>
      </c>
      <c r="B4408" s="478" t="s">
        <v>2326</v>
      </c>
      <c r="C4408" s="391" t="s">
        <v>26</v>
      </c>
      <c r="D4408" s="479">
        <v>10.24</v>
      </c>
      <c r="E4408" s="368"/>
      <c r="F4408" s="368"/>
    </row>
    <row r="4409" spans="1:6" ht="38.25" x14ac:dyDescent="0.2">
      <c r="A4409" s="391">
        <v>91914</v>
      </c>
      <c r="B4409" s="478" t="s">
        <v>2334</v>
      </c>
      <c r="C4409" s="391" t="s">
        <v>26</v>
      </c>
      <c r="D4409" s="479">
        <v>16.95</v>
      </c>
      <c r="E4409" s="368"/>
      <c r="F4409" s="368"/>
    </row>
    <row r="4410" spans="1:6" ht="38.25" x14ac:dyDescent="0.2">
      <c r="A4410" s="391">
        <v>91893</v>
      </c>
      <c r="B4410" s="478" t="s">
        <v>2320</v>
      </c>
      <c r="C4410" s="391" t="s">
        <v>26</v>
      </c>
      <c r="D4410" s="479">
        <v>15.25</v>
      </c>
      <c r="E4410" s="368"/>
      <c r="F4410" s="368"/>
    </row>
    <row r="4411" spans="1:6" ht="38.25" x14ac:dyDescent="0.2">
      <c r="A4411" s="391">
        <v>91905</v>
      </c>
      <c r="B4411" s="478" t="s">
        <v>2328</v>
      </c>
      <c r="C4411" s="391" t="s">
        <v>26</v>
      </c>
      <c r="D4411" s="479">
        <v>13.03</v>
      </c>
      <c r="E4411" s="368"/>
      <c r="F4411" s="368"/>
    </row>
    <row r="4412" spans="1:6" ht="38.25" x14ac:dyDescent="0.2">
      <c r="A4412" s="391">
        <v>91917</v>
      </c>
      <c r="B4412" s="478" t="s">
        <v>2336</v>
      </c>
      <c r="C4412" s="391" t="s">
        <v>26</v>
      </c>
      <c r="D4412" s="479">
        <v>19.690000000000001</v>
      </c>
      <c r="E4412" s="368"/>
      <c r="F4412" s="368"/>
    </row>
    <row r="4413" spans="1:6" ht="38.25" x14ac:dyDescent="0.2">
      <c r="A4413" s="391">
        <v>91896</v>
      </c>
      <c r="B4413" s="478" t="s">
        <v>2322</v>
      </c>
      <c r="C4413" s="391" t="s">
        <v>26</v>
      </c>
      <c r="D4413" s="479">
        <v>17.57</v>
      </c>
      <c r="E4413" s="368"/>
      <c r="F4413" s="368"/>
    </row>
    <row r="4414" spans="1:6" ht="38.25" x14ac:dyDescent="0.2">
      <c r="A4414" s="391">
        <v>91908</v>
      </c>
      <c r="B4414" s="478" t="s">
        <v>2330</v>
      </c>
      <c r="C4414" s="391" t="s">
        <v>26</v>
      </c>
      <c r="D4414" s="479">
        <v>15.39</v>
      </c>
      <c r="E4414" s="368"/>
      <c r="F4414" s="368"/>
    </row>
    <row r="4415" spans="1:6" ht="38.25" x14ac:dyDescent="0.2">
      <c r="A4415" s="391">
        <v>91920</v>
      </c>
      <c r="B4415" s="478" t="s">
        <v>2338</v>
      </c>
      <c r="C4415" s="391" t="s">
        <v>26</v>
      </c>
      <c r="D4415" s="479">
        <v>21.96</v>
      </c>
      <c r="E4415" s="368"/>
      <c r="F4415" s="368"/>
    </row>
    <row r="4416" spans="1:6" ht="25.5" x14ac:dyDescent="0.2">
      <c r="A4416" s="391">
        <v>91983</v>
      </c>
      <c r="B4416" s="478" t="s">
        <v>2529</v>
      </c>
      <c r="C4416" s="391" t="s">
        <v>26</v>
      </c>
      <c r="D4416" s="479">
        <v>94.41</v>
      </c>
      <c r="E4416" s="368"/>
      <c r="F4416" s="368"/>
    </row>
    <row r="4417" spans="1:6" ht="25.5" x14ac:dyDescent="0.2">
      <c r="A4417" s="391">
        <v>91982</v>
      </c>
      <c r="B4417" s="478" t="s">
        <v>2528</v>
      </c>
      <c r="C4417" s="391" t="s">
        <v>26</v>
      </c>
      <c r="D4417" s="479">
        <v>83.79</v>
      </c>
      <c r="E4417" s="368"/>
      <c r="F4417" s="368"/>
    </row>
    <row r="4418" spans="1:6" ht="38.25" x14ac:dyDescent="0.2">
      <c r="A4418" s="391">
        <v>91833</v>
      </c>
      <c r="B4418" s="478" t="s">
        <v>47259</v>
      </c>
      <c r="C4418" s="391" t="s">
        <v>0</v>
      </c>
      <c r="D4418" s="479">
        <v>19.43</v>
      </c>
      <c r="E4418" s="368"/>
      <c r="F4418" s="368"/>
    </row>
    <row r="4419" spans="1:6" ht="38.25" x14ac:dyDescent="0.2">
      <c r="A4419" s="429">
        <v>91843</v>
      </c>
      <c r="B4419" s="484" t="s">
        <v>2272</v>
      </c>
      <c r="C4419" s="429" t="s">
        <v>0</v>
      </c>
      <c r="D4419" s="487">
        <v>6.01</v>
      </c>
      <c r="E4419" s="368"/>
      <c r="F4419" s="368"/>
    </row>
    <row r="4420" spans="1:6" ht="38.25" x14ac:dyDescent="0.2">
      <c r="A4420" s="429">
        <v>91853</v>
      </c>
      <c r="B4420" s="484" t="s">
        <v>2279</v>
      </c>
      <c r="C4420" s="429" t="s">
        <v>0</v>
      </c>
      <c r="D4420" s="487">
        <v>8.9499999999999993</v>
      </c>
      <c r="E4420" s="368"/>
      <c r="F4420" s="368"/>
    </row>
    <row r="4421" spans="1:6" ht="38.25" x14ac:dyDescent="0.2">
      <c r="A4421" s="429">
        <v>91835</v>
      </c>
      <c r="B4421" s="484" t="s">
        <v>47260</v>
      </c>
      <c r="C4421" s="429" t="s">
        <v>0</v>
      </c>
      <c r="D4421" s="487">
        <v>21.01</v>
      </c>
      <c r="E4421" s="368"/>
      <c r="F4421" s="368"/>
    </row>
    <row r="4422" spans="1:6" ht="38.25" x14ac:dyDescent="0.2">
      <c r="A4422" s="391">
        <v>91845</v>
      </c>
      <c r="B4422" s="478" t="s">
        <v>2273</v>
      </c>
      <c r="C4422" s="391" t="s">
        <v>0</v>
      </c>
      <c r="D4422" s="479">
        <v>7.53</v>
      </c>
      <c r="E4422" s="368"/>
      <c r="F4422" s="368"/>
    </row>
    <row r="4423" spans="1:6" ht="38.25" x14ac:dyDescent="0.2">
      <c r="A4423" s="391">
        <v>91855</v>
      </c>
      <c r="B4423" s="478" t="s">
        <v>2281</v>
      </c>
      <c r="C4423" s="391" t="s">
        <v>0</v>
      </c>
      <c r="D4423" s="479">
        <v>10.41</v>
      </c>
      <c r="E4423" s="368"/>
      <c r="F4423" s="368"/>
    </row>
    <row r="4424" spans="1:6" ht="38.25" x14ac:dyDescent="0.2">
      <c r="A4424" s="391">
        <v>91837</v>
      </c>
      <c r="B4424" s="478" t="s">
        <v>47261</v>
      </c>
      <c r="C4424" s="391" t="s">
        <v>0</v>
      </c>
      <c r="D4424" s="479">
        <v>25.37</v>
      </c>
      <c r="E4424" s="368"/>
      <c r="F4424" s="368"/>
    </row>
    <row r="4425" spans="1:6" ht="38.25" x14ac:dyDescent="0.2">
      <c r="A4425" s="391">
        <v>91847</v>
      </c>
      <c r="B4425" s="478" t="s">
        <v>2274</v>
      </c>
      <c r="C4425" s="391" t="s">
        <v>0</v>
      </c>
      <c r="D4425" s="479">
        <v>11.96</v>
      </c>
      <c r="E4425" s="368"/>
      <c r="F4425" s="368"/>
    </row>
    <row r="4426" spans="1:6" ht="38.25" x14ac:dyDescent="0.2">
      <c r="A4426" s="391">
        <v>91857</v>
      </c>
      <c r="B4426" s="478" t="s">
        <v>2283</v>
      </c>
      <c r="C4426" s="391" t="s">
        <v>0</v>
      </c>
      <c r="D4426" s="479">
        <v>14.53</v>
      </c>
      <c r="E4426" s="368"/>
      <c r="F4426" s="368"/>
    </row>
    <row r="4427" spans="1:6" ht="25.5" x14ac:dyDescent="0.2">
      <c r="A4427" s="391">
        <v>91838</v>
      </c>
      <c r="B4427" s="478" t="s">
        <v>47262</v>
      </c>
      <c r="C4427" s="391" t="s">
        <v>0</v>
      </c>
      <c r="D4427" s="479">
        <v>0</v>
      </c>
      <c r="E4427" s="368"/>
      <c r="F4427" s="368"/>
    </row>
    <row r="4428" spans="1:6" ht="25.5" x14ac:dyDescent="0.2">
      <c r="A4428" s="391">
        <v>91848</v>
      </c>
      <c r="B4428" s="478" t="s">
        <v>41377</v>
      </c>
      <c r="C4428" s="391" t="s">
        <v>0</v>
      </c>
      <c r="D4428" s="479">
        <v>0</v>
      </c>
      <c r="E4428" s="368"/>
      <c r="F4428" s="368"/>
    </row>
    <row r="4429" spans="1:6" ht="38.25" x14ac:dyDescent="0.2">
      <c r="A4429" s="391">
        <v>91858</v>
      </c>
      <c r="B4429" s="478" t="s">
        <v>41378</v>
      </c>
      <c r="C4429" s="391" t="s">
        <v>0</v>
      </c>
      <c r="D4429" s="479">
        <v>0</v>
      </c>
      <c r="E4429" s="368"/>
      <c r="F4429" s="368"/>
    </row>
    <row r="4430" spans="1:6" ht="25.5" x14ac:dyDescent="0.2">
      <c r="A4430" s="391">
        <v>91840</v>
      </c>
      <c r="B4430" s="478" t="s">
        <v>47263</v>
      </c>
      <c r="C4430" s="391" t="s">
        <v>0</v>
      </c>
      <c r="D4430" s="479">
        <v>22.81</v>
      </c>
      <c r="E4430" s="368"/>
      <c r="F4430" s="368"/>
    </row>
    <row r="4431" spans="1:6" ht="25.5" x14ac:dyDescent="0.2">
      <c r="A4431" s="391">
        <v>91850</v>
      </c>
      <c r="B4431" s="478" t="s">
        <v>2276</v>
      </c>
      <c r="C4431" s="391" t="s">
        <v>0</v>
      </c>
      <c r="D4431" s="479">
        <v>9.36</v>
      </c>
      <c r="E4431" s="368"/>
      <c r="F4431" s="368"/>
    </row>
    <row r="4432" spans="1:6" ht="38.25" x14ac:dyDescent="0.2">
      <c r="A4432" s="391">
        <v>91860</v>
      </c>
      <c r="B4432" s="478" t="s">
        <v>2285</v>
      </c>
      <c r="C4432" s="391" t="s">
        <v>0</v>
      </c>
      <c r="D4432" s="479">
        <v>12.2</v>
      </c>
      <c r="E4432" s="368"/>
      <c r="F4432" s="368"/>
    </row>
    <row r="4433" spans="1:6" ht="25.5" x14ac:dyDescent="0.2">
      <c r="A4433" s="391">
        <v>91831</v>
      </c>
      <c r="B4433" s="478" t="s">
        <v>47264</v>
      </c>
      <c r="C4433" s="391" t="s">
        <v>0</v>
      </c>
      <c r="D4433" s="479">
        <v>18.89</v>
      </c>
      <c r="E4433" s="368"/>
      <c r="F4433" s="368"/>
    </row>
    <row r="4434" spans="1:6" ht="38.25" x14ac:dyDescent="0.2">
      <c r="A4434" s="391">
        <v>91852</v>
      </c>
      <c r="B4434" s="478" t="s">
        <v>2278</v>
      </c>
      <c r="C4434" s="391" t="s">
        <v>0</v>
      </c>
      <c r="D4434" s="479">
        <v>8.4499999999999993</v>
      </c>
      <c r="E4434" s="368"/>
      <c r="F4434" s="368"/>
    </row>
    <row r="4435" spans="1:6" ht="25.5" x14ac:dyDescent="0.2">
      <c r="A4435" s="391">
        <v>91834</v>
      </c>
      <c r="B4435" s="478" t="s">
        <v>47265</v>
      </c>
      <c r="C4435" s="391" t="s">
        <v>0</v>
      </c>
      <c r="D4435" s="479">
        <v>19.649999999999999</v>
      </c>
      <c r="E4435" s="368"/>
      <c r="F4435" s="368"/>
    </row>
    <row r="4436" spans="1:6" ht="38.25" x14ac:dyDescent="0.2">
      <c r="A4436" s="391">
        <v>91854</v>
      </c>
      <c r="B4436" s="478" t="s">
        <v>2280</v>
      </c>
      <c r="C4436" s="391" t="s">
        <v>0</v>
      </c>
      <c r="D4436" s="479">
        <v>9.14</v>
      </c>
      <c r="E4436" s="368"/>
      <c r="F4436" s="368"/>
    </row>
    <row r="4437" spans="1:6" ht="25.5" x14ac:dyDescent="0.2">
      <c r="A4437" s="391">
        <v>91836</v>
      </c>
      <c r="B4437" s="478" t="s">
        <v>47266</v>
      </c>
      <c r="C4437" s="391" t="s">
        <v>0</v>
      </c>
      <c r="D4437" s="479">
        <v>22.2</v>
      </c>
      <c r="E4437" s="368"/>
      <c r="F4437" s="368"/>
    </row>
    <row r="4438" spans="1:6" ht="38.25" x14ac:dyDescent="0.2">
      <c r="A4438" s="391">
        <v>91856</v>
      </c>
      <c r="B4438" s="478" t="s">
        <v>2282</v>
      </c>
      <c r="C4438" s="391" t="s">
        <v>0</v>
      </c>
      <c r="D4438" s="479">
        <v>11.6</v>
      </c>
      <c r="E4438" s="368"/>
      <c r="F4438" s="368"/>
    </row>
    <row r="4439" spans="1:6" ht="25.5" x14ac:dyDescent="0.2">
      <c r="A4439" s="391">
        <v>91839</v>
      </c>
      <c r="B4439" s="478" t="s">
        <v>47267</v>
      </c>
      <c r="C4439" s="391" t="s">
        <v>0</v>
      </c>
      <c r="D4439" s="479">
        <v>20.49</v>
      </c>
      <c r="E4439" s="368"/>
      <c r="F4439" s="368"/>
    </row>
    <row r="4440" spans="1:6" ht="25.5" x14ac:dyDescent="0.2">
      <c r="A4440" s="391">
        <v>91849</v>
      </c>
      <c r="B4440" s="478" t="s">
        <v>2275</v>
      </c>
      <c r="C4440" s="391" t="s">
        <v>0</v>
      </c>
      <c r="D4440" s="479">
        <v>7.08</v>
      </c>
      <c r="E4440" s="368"/>
      <c r="F4440" s="368"/>
    </row>
    <row r="4441" spans="1:6" ht="25.5" x14ac:dyDescent="0.2">
      <c r="A4441" s="391">
        <v>91859</v>
      </c>
      <c r="B4441" s="478" t="s">
        <v>2284</v>
      </c>
      <c r="C4441" s="391" t="s">
        <v>0</v>
      </c>
      <c r="D4441" s="479">
        <v>10.029999999999999</v>
      </c>
      <c r="E4441" s="368"/>
      <c r="F4441" s="368"/>
    </row>
    <row r="4442" spans="1:6" ht="25.5" x14ac:dyDescent="0.2">
      <c r="A4442" s="391">
        <v>91841</v>
      </c>
      <c r="B4442" s="478" t="s">
        <v>47268</v>
      </c>
      <c r="C4442" s="391" t="s">
        <v>0</v>
      </c>
      <c r="D4442" s="479">
        <v>22.18</v>
      </c>
      <c r="E4442" s="368"/>
      <c r="F4442" s="368"/>
    </row>
    <row r="4443" spans="1:6" ht="25.5" x14ac:dyDescent="0.2">
      <c r="A4443" s="391">
        <v>91851</v>
      </c>
      <c r="B4443" s="478" t="s">
        <v>2277</v>
      </c>
      <c r="C4443" s="391" t="s">
        <v>0</v>
      </c>
      <c r="D4443" s="479">
        <v>8.73</v>
      </c>
      <c r="E4443" s="368"/>
      <c r="F4443" s="368"/>
    </row>
    <row r="4444" spans="1:6" ht="38.25" x14ac:dyDescent="0.2">
      <c r="A4444" s="391">
        <v>91861</v>
      </c>
      <c r="B4444" s="478" t="s">
        <v>2286</v>
      </c>
      <c r="C4444" s="391" t="s">
        <v>0</v>
      </c>
      <c r="D4444" s="479">
        <v>11.62</v>
      </c>
      <c r="E4444" s="368"/>
      <c r="F4444" s="368"/>
    </row>
    <row r="4445" spans="1:6" ht="25.5" x14ac:dyDescent="0.2">
      <c r="A4445" s="391">
        <v>91862</v>
      </c>
      <c r="B4445" s="478" t="s">
        <v>2287</v>
      </c>
      <c r="C4445" s="391" t="s">
        <v>0</v>
      </c>
      <c r="D4445" s="479">
        <v>8.9499999999999993</v>
      </c>
      <c r="E4445" s="368"/>
      <c r="F4445" s="368"/>
    </row>
    <row r="4446" spans="1:6" ht="25.5" x14ac:dyDescent="0.2">
      <c r="A4446" s="391">
        <v>91866</v>
      </c>
      <c r="B4446" s="478" t="s">
        <v>2289</v>
      </c>
      <c r="C4446" s="391" t="s">
        <v>0</v>
      </c>
      <c r="D4446" s="479">
        <v>7.71</v>
      </c>
      <c r="E4446" s="368"/>
      <c r="F4446" s="368"/>
    </row>
    <row r="4447" spans="1:6" ht="38.25" x14ac:dyDescent="0.2">
      <c r="A4447" s="391">
        <v>91870</v>
      </c>
      <c r="B4447" s="478" t="s">
        <v>2293</v>
      </c>
      <c r="C4447" s="391" t="s">
        <v>0</v>
      </c>
      <c r="D4447" s="479">
        <v>11.89</v>
      </c>
      <c r="E4447" s="368"/>
      <c r="F4447" s="368"/>
    </row>
    <row r="4448" spans="1:6" ht="25.5" x14ac:dyDescent="0.2">
      <c r="A4448" s="391">
        <v>91863</v>
      </c>
      <c r="B4448" s="478" t="s">
        <v>14</v>
      </c>
      <c r="C4448" s="391" t="s">
        <v>0</v>
      </c>
      <c r="D4448" s="479">
        <v>10.55</v>
      </c>
      <c r="E4448" s="368"/>
      <c r="F4448" s="368"/>
    </row>
    <row r="4449" spans="1:6" ht="25.5" x14ac:dyDescent="0.2">
      <c r="A4449" s="391">
        <v>91867</v>
      </c>
      <c r="B4449" s="478" t="s">
        <v>2290</v>
      </c>
      <c r="C4449" s="391" t="s">
        <v>0</v>
      </c>
      <c r="D4449" s="479">
        <v>9.31</v>
      </c>
      <c r="E4449" s="368"/>
      <c r="F4449" s="368"/>
    </row>
    <row r="4450" spans="1:6" ht="38.25" x14ac:dyDescent="0.2">
      <c r="A4450" s="391">
        <v>91871</v>
      </c>
      <c r="B4450" s="478" t="s">
        <v>16</v>
      </c>
      <c r="C4450" s="391" t="s">
        <v>0</v>
      </c>
      <c r="D4450" s="479">
        <v>13.48</v>
      </c>
      <c r="E4450" s="368"/>
      <c r="F4450" s="368"/>
    </row>
    <row r="4451" spans="1:6" ht="25.5" x14ac:dyDescent="0.2">
      <c r="A4451" s="391">
        <v>91864</v>
      </c>
      <c r="B4451" s="478" t="s">
        <v>17</v>
      </c>
      <c r="C4451" s="391" t="s">
        <v>0</v>
      </c>
      <c r="D4451" s="479">
        <v>14.12</v>
      </c>
      <c r="E4451" s="368"/>
      <c r="F4451" s="368"/>
    </row>
    <row r="4452" spans="1:6" ht="25.5" x14ac:dyDescent="0.2">
      <c r="A4452" s="391">
        <v>91868</v>
      </c>
      <c r="B4452" s="478" t="s">
        <v>2291</v>
      </c>
      <c r="C4452" s="391" t="s">
        <v>0</v>
      </c>
      <c r="D4452" s="479">
        <v>12.89</v>
      </c>
      <c r="E4452" s="368"/>
      <c r="F4452" s="368"/>
    </row>
    <row r="4453" spans="1:6" ht="38.25" x14ac:dyDescent="0.2">
      <c r="A4453" s="391">
        <v>91872</v>
      </c>
      <c r="B4453" s="478" t="s">
        <v>18</v>
      </c>
      <c r="C4453" s="391" t="s">
        <v>0</v>
      </c>
      <c r="D4453" s="479">
        <v>17.059999999999999</v>
      </c>
      <c r="E4453" s="368"/>
      <c r="F4453" s="368"/>
    </row>
    <row r="4454" spans="1:6" ht="25.5" x14ac:dyDescent="0.2">
      <c r="A4454" s="391">
        <v>91865</v>
      </c>
      <c r="B4454" s="478" t="s">
        <v>2288</v>
      </c>
      <c r="C4454" s="391" t="s">
        <v>0</v>
      </c>
      <c r="D4454" s="479">
        <v>17.649999999999999</v>
      </c>
      <c r="E4454" s="368"/>
      <c r="F4454" s="368"/>
    </row>
    <row r="4455" spans="1:6" ht="25.5" x14ac:dyDescent="0.2">
      <c r="A4455" s="391">
        <v>91869</v>
      </c>
      <c r="B4455" s="478" t="s">
        <v>2292</v>
      </c>
      <c r="C4455" s="391" t="s">
        <v>0</v>
      </c>
      <c r="D4455" s="479">
        <v>16.36</v>
      </c>
      <c r="E4455" s="368"/>
      <c r="F4455" s="368"/>
    </row>
    <row r="4456" spans="1:6" ht="38.25" x14ac:dyDescent="0.2">
      <c r="A4456" s="391">
        <v>91873</v>
      </c>
      <c r="B4456" s="478" t="s">
        <v>2294</v>
      </c>
      <c r="C4456" s="391" t="s">
        <v>0</v>
      </c>
      <c r="D4456" s="479">
        <v>20.53</v>
      </c>
      <c r="E4456" s="368"/>
      <c r="F4456" s="368"/>
    </row>
    <row r="4457" spans="1:6" ht="25.5" x14ac:dyDescent="0.2">
      <c r="A4457" s="391">
        <v>91981</v>
      </c>
      <c r="B4457" s="478" t="s">
        <v>2527</v>
      </c>
      <c r="C4457" s="391" t="s">
        <v>26</v>
      </c>
      <c r="D4457" s="479">
        <v>47.7</v>
      </c>
      <c r="E4457" s="368"/>
      <c r="F4457" s="368"/>
    </row>
    <row r="4458" spans="1:6" ht="25.5" x14ac:dyDescent="0.2">
      <c r="A4458" s="391">
        <v>91980</v>
      </c>
      <c r="B4458" s="478" t="s">
        <v>2526</v>
      </c>
      <c r="C4458" s="391" t="s">
        <v>26</v>
      </c>
      <c r="D4458" s="479">
        <v>37.08</v>
      </c>
      <c r="E4458" s="368"/>
      <c r="F4458" s="368"/>
    </row>
    <row r="4459" spans="1:6" ht="25.5" x14ac:dyDescent="0.2">
      <c r="A4459" s="391">
        <v>91979</v>
      </c>
      <c r="B4459" s="478" t="s">
        <v>2525</v>
      </c>
      <c r="C4459" s="391" t="s">
        <v>26</v>
      </c>
      <c r="D4459" s="479">
        <v>48.83</v>
      </c>
      <c r="E4459" s="368"/>
      <c r="F4459" s="368"/>
    </row>
    <row r="4460" spans="1:6" ht="25.5" x14ac:dyDescent="0.2">
      <c r="A4460" s="391">
        <v>91978</v>
      </c>
      <c r="B4460" s="478" t="s">
        <v>2524</v>
      </c>
      <c r="C4460" s="391" t="s">
        <v>26</v>
      </c>
      <c r="D4460" s="479">
        <v>38.21</v>
      </c>
      <c r="E4460" s="368"/>
      <c r="F4460" s="368"/>
    </row>
    <row r="4461" spans="1:6" ht="25.5" x14ac:dyDescent="0.2">
      <c r="A4461" s="391">
        <v>92029</v>
      </c>
      <c r="B4461" s="478" t="s">
        <v>2572</v>
      </c>
      <c r="C4461" s="391" t="s">
        <v>26</v>
      </c>
      <c r="D4461" s="479">
        <v>55.32</v>
      </c>
      <c r="E4461" s="368"/>
      <c r="F4461" s="368"/>
    </row>
    <row r="4462" spans="1:6" ht="25.5" x14ac:dyDescent="0.2">
      <c r="A4462" s="391">
        <v>92028</v>
      </c>
      <c r="B4462" s="478" t="s">
        <v>2571</v>
      </c>
      <c r="C4462" s="391" t="s">
        <v>26</v>
      </c>
      <c r="D4462" s="479">
        <v>44.7</v>
      </c>
      <c r="E4462" s="368"/>
      <c r="F4462" s="368"/>
    </row>
    <row r="4463" spans="1:6" ht="25.5" x14ac:dyDescent="0.2">
      <c r="A4463" s="391">
        <v>92031</v>
      </c>
      <c r="B4463" s="478" t="s">
        <v>2574</v>
      </c>
      <c r="C4463" s="391" t="s">
        <v>26</v>
      </c>
      <c r="D4463" s="479">
        <v>75.510000000000005</v>
      </c>
      <c r="E4463" s="368"/>
      <c r="F4463" s="368"/>
    </row>
    <row r="4464" spans="1:6" ht="25.5" x14ac:dyDescent="0.2">
      <c r="A4464" s="391">
        <v>92030</v>
      </c>
      <c r="B4464" s="478" t="s">
        <v>2573</v>
      </c>
      <c r="C4464" s="391" t="s">
        <v>26</v>
      </c>
      <c r="D4464" s="479">
        <v>64.89</v>
      </c>
      <c r="E4464" s="368"/>
      <c r="F4464" s="368"/>
    </row>
    <row r="4465" spans="1:6" ht="25.5" x14ac:dyDescent="0.2">
      <c r="A4465" s="391">
        <v>91955</v>
      </c>
      <c r="B4465" s="478" t="s">
        <v>2502</v>
      </c>
      <c r="C4465" s="391" t="s">
        <v>26</v>
      </c>
      <c r="D4465" s="479">
        <v>35.06</v>
      </c>
      <c r="E4465" s="368"/>
      <c r="F4465" s="368"/>
    </row>
    <row r="4466" spans="1:6" ht="25.5" x14ac:dyDescent="0.2">
      <c r="A4466" s="391">
        <v>91954</v>
      </c>
      <c r="B4466" s="478" t="s">
        <v>2501</v>
      </c>
      <c r="C4466" s="391" t="s">
        <v>26</v>
      </c>
      <c r="D4466" s="479">
        <v>24.44</v>
      </c>
      <c r="E4466" s="368"/>
      <c r="F4466" s="368"/>
    </row>
    <row r="4467" spans="1:6" ht="25.5" x14ac:dyDescent="0.2">
      <c r="A4467" s="391">
        <v>92033</v>
      </c>
      <c r="B4467" s="478" t="s">
        <v>2576</v>
      </c>
      <c r="C4467" s="391" t="s">
        <v>26</v>
      </c>
      <c r="D4467" s="479">
        <v>76.569999999999993</v>
      </c>
      <c r="E4467" s="368"/>
      <c r="F4467" s="368"/>
    </row>
    <row r="4468" spans="1:6" ht="25.5" x14ac:dyDescent="0.2">
      <c r="A4468" s="391">
        <v>92032</v>
      </c>
      <c r="B4468" s="478" t="s">
        <v>2575</v>
      </c>
      <c r="C4468" s="391" t="s">
        <v>26</v>
      </c>
      <c r="D4468" s="479">
        <v>65.95</v>
      </c>
      <c r="E4468" s="368"/>
      <c r="F4468" s="368"/>
    </row>
    <row r="4469" spans="1:6" ht="25.5" x14ac:dyDescent="0.2">
      <c r="A4469" s="391">
        <v>91961</v>
      </c>
      <c r="B4469" s="482" t="s">
        <v>2508</v>
      </c>
      <c r="C4469" s="391" t="s">
        <v>26</v>
      </c>
      <c r="D4469" s="479">
        <v>56.38</v>
      </c>
      <c r="E4469" s="368"/>
      <c r="F4469" s="368"/>
    </row>
    <row r="4470" spans="1:6" ht="25.5" x14ac:dyDescent="0.2">
      <c r="A4470" s="391">
        <v>91960</v>
      </c>
      <c r="B4470" s="478" t="s">
        <v>2507</v>
      </c>
      <c r="C4470" s="391" t="s">
        <v>26</v>
      </c>
      <c r="D4470" s="479">
        <v>45.76</v>
      </c>
      <c r="E4470" s="368"/>
      <c r="F4470" s="368"/>
    </row>
    <row r="4471" spans="1:6" ht="25.5" x14ac:dyDescent="0.2">
      <c r="A4471" s="391">
        <v>91969</v>
      </c>
      <c r="B4471" s="478" t="s">
        <v>2515</v>
      </c>
      <c r="C4471" s="391" t="s">
        <v>26</v>
      </c>
      <c r="D4471" s="479">
        <v>77.63</v>
      </c>
      <c r="E4471" s="368"/>
      <c r="F4471" s="368"/>
    </row>
    <row r="4472" spans="1:6" ht="25.5" x14ac:dyDescent="0.2">
      <c r="A4472" s="391">
        <v>91968</v>
      </c>
      <c r="B4472" s="478" t="s">
        <v>2514</v>
      </c>
      <c r="C4472" s="391" t="s">
        <v>26</v>
      </c>
      <c r="D4472" s="479">
        <v>67.010000000000005</v>
      </c>
      <c r="E4472" s="368"/>
      <c r="F4472" s="368"/>
    </row>
    <row r="4473" spans="1:6" ht="25.5" x14ac:dyDescent="0.2">
      <c r="A4473" s="391">
        <v>91985</v>
      </c>
      <c r="B4473" s="478" t="s">
        <v>2531</v>
      </c>
      <c r="C4473" s="391" t="s">
        <v>26</v>
      </c>
      <c r="D4473" s="479">
        <v>27.75</v>
      </c>
      <c r="E4473" s="368"/>
      <c r="F4473" s="368"/>
    </row>
    <row r="4474" spans="1:6" ht="25.5" x14ac:dyDescent="0.2">
      <c r="A4474" s="391">
        <v>91984</v>
      </c>
      <c r="B4474" s="478" t="s">
        <v>2530</v>
      </c>
      <c r="C4474" s="391" t="s">
        <v>26</v>
      </c>
      <c r="D4474" s="479">
        <v>17.13</v>
      </c>
      <c r="E4474" s="368"/>
      <c r="F4474" s="368"/>
    </row>
    <row r="4475" spans="1:6" ht="25.5" x14ac:dyDescent="0.2">
      <c r="A4475" s="391">
        <v>91989</v>
      </c>
      <c r="B4475" s="478" t="s">
        <v>2535</v>
      </c>
      <c r="C4475" s="391" t="s">
        <v>26</v>
      </c>
      <c r="D4475" s="479">
        <v>31.57</v>
      </c>
      <c r="E4475" s="368"/>
      <c r="F4475" s="368"/>
    </row>
    <row r="4476" spans="1:6" ht="25.5" x14ac:dyDescent="0.2">
      <c r="A4476" s="391">
        <v>91988</v>
      </c>
      <c r="B4476" s="478" t="s">
        <v>2534</v>
      </c>
      <c r="C4476" s="391" t="s">
        <v>26</v>
      </c>
      <c r="D4476" s="479">
        <v>20.95</v>
      </c>
      <c r="E4476" s="368"/>
      <c r="F4476" s="368"/>
    </row>
    <row r="4477" spans="1:6" ht="25.5" x14ac:dyDescent="0.2">
      <c r="A4477" s="391">
        <v>92023</v>
      </c>
      <c r="B4477" s="478" t="s">
        <v>2567</v>
      </c>
      <c r="C4477" s="391" t="s">
        <v>26</v>
      </c>
      <c r="D4477" s="479">
        <v>49.01</v>
      </c>
      <c r="E4477" s="368"/>
      <c r="F4477" s="368"/>
    </row>
    <row r="4478" spans="1:6" ht="25.5" x14ac:dyDescent="0.2">
      <c r="A4478" s="391">
        <v>92022</v>
      </c>
      <c r="B4478" s="478" t="s">
        <v>2566</v>
      </c>
      <c r="C4478" s="391" t="s">
        <v>26</v>
      </c>
      <c r="D4478" s="479">
        <v>38.39</v>
      </c>
      <c r="E4478" s="368"/>
      <c r="F4478" s="368"/>
    </row>
    <row r="4479" spans="1:6" ht="25.5" x14ac:dyDescent="0.2">
      <c r="A4479" s="430">
        <v>92025</v>
      </c>
      <c r="B4479" s="482" t="s">
        <v>2569</v>
      </c>
      <c r="C4479" s="430" t="s">
        <v>26</v>
      </c>
      <c r="D4479" s="483">
        <v>69.260000000000005</v>
      </c>
      <c r="E4479" s="368"/>
      <c r="F4479" s="368"/>
    </row>
    <row r="4480" spans="1:6" ht="25.5" x14ac:dyDescent="0.2">
      <c r="A4480" s="391">
        <v>92024</v>
      </c>
      <c r="B4480" s="478" t="s">
        <v>2568</v>
      </c>
      <c r="C4480" s="391" t="s">
        <v>26</v>
      </c>
      <c r="D4480" s="479">
        <v>58.64</v>
      </c>
      <c r="E4480" s="368"/>
      <c r="F4480" s="368"/>
    </row>
    <row r="4481" spans="1:6" ht="38.25" x14ac:dyDescent="0.2">
      <c r="A4481" s="391">
        <v>91957</v>
      </c>
      <c r="B4481" s="478" t="s">
        <v>2504</v>
      </c>
      <c r="C4481" s="391" t="s">
        <v>26</v>
      </c>
      <c r="D4481" s="479">
        <v>50.07</v>
      </c>
      <c r="E4481" s="368"/>
      <c r="F4481" s="368"/>
    </row>
    <row r="4482" spans="1:6" ht="38.25" x14ac:dyDescent="0.2">
      <c r="A4482" s="391">
        <v>91956</v>
      </c>
      <c r="B4482" s="478" t="s">
        <v>2503</v>
      </c>
      <c r="C4482" s="391" t="s">
        <v>26</v>
      </c>
      <c r="D4482" s="479">
        <v>39.450000000000003</v>
      </c>
      <c r="E4482" s="368"/>
      <c r="F4482" s="368"/>
    </row>
    <row r="4483" spans="1:6" ht="38.25" x14ac:dyDescent="0.2">
      <c r="A4483" s="391">
        <v>91963</v>
      </c>
      <c r="B4483" s="478" t="s">
        <v>2510</v>
      </c>
      <c r="C4483" s="391" t="s">
        <v>26</v>
      </c>
      <c r="D4483" s="479">
        <v>71.38</v>
      </c>
      <c r="E4483" s="368"/>
      <c r="F4483" s="368"/>
    </row>
    <row r="4484" spans="1:6" ht="38.25" x14ac:dyDescent="0.2">
      <c r="A4484" s="391">
        <v>91962</v>
      </c>
      <c r="B4484" s="478" t="s">
        <v>2509</v>
      </c>
      <c r="C4484" s="391" t="s">
        <v>26</v>
      </c>
      <c r="D4484" s="479">
        <v>60.76</v>
      </c>
      <c r="E4484" s="368"/>
      <c r="F4484" s="368"/>
    </row>
    <row r="4485" spans="1:6" ht="25.5" x14ac:dyDescent="0.2">
      <c r="A4485" s="391">
        <v>91953</v>
      </c>
      <c r="B4485" s="478" t="s">
        <v>33</v>
      </c>
      <c r="C4485" s="391" t="s">
        <v>26</v>
      </c>
      <c r="D4485" s="479">
        <v>28.8</v>
      </c>
      <c r="E4485" s="368"/>
      <c r="F4485" s="368"/>
    </row>
    <row r="4486" spans="1:6" ht="25.5" x14ac:dyDescent="0.2">
      <c r="A4486" s="391">
        <v>91952</v>
      </c>
      <c r="B4486" s="478" t="s">
        <v>2500</v>
      </c>
      <c r="C4486" s="391" t="s">
        <v>26</v>
      </c>
      <c r="D4486" s="479">
        <v>18.18</v>
      </c>
      <c r="E4486" s="368"/>
      <c r="F4486" s="368"/>
    </row>
    <row r="4487" spans="1:6" ht="38.25" x14ac:dyDescent="0.2">
      <c r="A4487" s="391">
        <v>92035</v>
      </c>
      <c r="B4487" s="478" t="s">
        <v>2578</v>
      </c>
      <c r="C4487" s="391" t="s">
        <v>26</v>
      </c>
      <c r="D4487" s="479">
        <v>70.319999999999993</v>
      </c>
      <c r="E4487" s="368"/>
      <c r="F4487" s="368"/>
    </row>
    <row r="4488" spans="1:6" ht="38.25" x14ac:dyDescent="0.2">
      <c r="A4488" s="391">
        <v>92034</v>
      </c>
      <c r="B4488" s="478" t="s">
        <v>2577</v>
      </c>
      <c r="C4488" s="391" t="s">
        <v>26</v>
      </c>
      <c r="D4488" s="479">
        <v>59.7</v>
      </c>
      <c r="E4488" s="368"/>
      <c r="F4488" s="368"/>
    </row>
    <row r="4489" spans="1:6" ht="25.5" x14ac:dyDescent="0.2">
      <c r="A4489" s="391">
        <v>92027</v>
      </c>
      <c r="B4489" s="478" t="s">
        <v>32</v>
      </c>
      <c r="C4489" s="391" t="s">
        <v>26</v>
      </c>
      <c r="D4489" s="479">
        <v>64.069999999999993</v>
      </c>
      <c r="E4489" s="368"/>
      <c r="F4489" s="368"/>
    </row>
    <row r="4490" spans="1:6" ht="25.5" x14ac:dyDescent="0.2">
      <c r="A4490" s="391">
        <v>92026</v>
      </c>
      <c r="B4490" s="478" t="s">
        <v>2570</v>
      </c>
      <c r="C4490" s="391" t="s">
        <v>26</v>
      </c>
      <c r="D4490" s="479">
        <v>53.45</v>
      </c>
      <c r="E4490" s="368"/>
      <c r="F4490" s="368"/>
    </row>
    <row r="4491" spans="1:6" ht="38.25" x14ac:dyDescent="0.2">
      <c r="A4491" s="391">
        <v>91965</v>
      </c>
      <c r="B4491" s="478" t="s">
        <v>2512</v>
      </c>
      <c r="C4491" s="391" t="s">
        <v>26</v>
      </c>
      <c r="D4491" s="479">
        <v>65.13</v>
      </c>
      <c r="E4491" s="368"/>
      <c r="F4491" s="368"/>
    </row>
    <row r="4492" spans="1:6" ht="38.25" x14ac:dyDescent="0.2">
      <c r="A4492" s="391">
        <v>91964</v>
      </c>
      <c r="B4492" s="478" t="s">
        <v>2511</v>
      </c>
      <c r="C4492" s="391" t="s">
        <v>26</v>
      </c>
      <c r="D4492" s="479">
        <v>54.51</v>
      </c>
      <c r="E4492" s="368"/>
      <c r="F4492" s="368"/>
    </row>
    <row r="4493" spans="1:6" ht="38.25" x14ac:dyDescent="0.2">
      <c r="A4493" s="391">
        <v>91973</v>
      </c>
      <c r="B4493" s="478" t="s">
        <v>2519</v>
      </c>
      <c r="C4493" s="391" t="s">
        <v>26</v>
      </c>
      <c r="D4493" s="479">
        <v>91.69</v>
      </c>
      <c r="E4493" s="368"/>
      <c r="F4493" s="368"/>
    </row>
    <row r="4494" spans="1:6" ht="38.25" x14ac:dyDescent="0.2">
      <c r="A4494" s="391">
        <v>91972</v>
      </c>
      <c r="B4494" s="478" t="s">
        <v>2518</v>
      </c>
      <c r="C4494" s="391" t="s">
        <v>26</v>
      </c>
      <c r="D4494" s="479">
        <v>76.22</v>
      </c>
      <c r="E4494" s="368"/>
      <c r="F4494" s="368"/>
    </row>
    <row r="4495" spans="1:6" ht="25.5" x14ac:dyDescent="0.2">
      <c r="A4495" s="391">
        <v>91959</v>
      </c>
      <c r="B4495" s="478" t="s">
        <v>2506</v>
      </c>
      <c r="C4495" s="391" t="s">
        <v>26</v>
      </c>
      <c r="D4495" s="479">
        <v>43.86</v>
      </c>
      <c r="E4495" s="368"/>
      <c r="F4495" s="368"/>
    </row>
    <row r="4496" spans="1:6" ht="25.5" x14ac:dyDescent="0.2">
      <c r="A4496" s="391">
        <v>91958</v>
      </c>
      <c r="B4496" s="478" t="s">
        <v>2505</v>
      </c>
      <c r="C4496" s="391" t="s">
        <v>26</v>
      </c>
      <c r="D4496" s="479">
        <v>33.24</v>
      </c>
      <c r="E4496" s="368"/>
      <c r="F4496" s="368"/>
    </row>
    <row r="4497" spans="1:6" ht="38.25" x14ac:dyDescent="0.2">
      <c r="A4497" s="391">
        <v>91971</v>
      </c>
      <c r="B4497" s="478" t="s">
        <v>2517</v>
      </c>
      <c r="C4497" s="391" t="s">
        <v>26</v>
      </c>
      <c r="D4497" s="479">
        <v>85.39</v>
      </c>
      <c r="E4497" s="368"/>
      <c r="F4497" s="368"/>
    </row>
    <row r="4498" spans="1:6" ht="38.25" x14ac:dyDescent="0.2">
      <c r="A4498" s="391">
        <v>91970</v>
      </c>
      <c r="B4498" s="478" t="s">
        <v>2516</v>
      </c>
      <c r="C4498" s="391" t="s">
        <v>26</v>
      </c>
      <c r="D4498" s="479">
        <v>69.92</v>
      </c>
      <c r="E4498" s="368"/>
      <c r="F4498" s="368"/>
    </row>
    <row r="4499" spans="1:6" ht="25.5" x14ac:dyDescent="0.2">
      <c r="A4499" s="391">
        <v>91967</v>
      </c>
      <c r="B4499" s="478" t="s">
        <v>31</v>
      </c>
      <c r="C4499" s="391" t="s">
        <v>26</v>
      </c>
      <c r="D4499" s="479">
        <v>58.93</v>
      </c>
      <c r="E4499" s="368"/>
      <c r="F4499" s="368"/>
    </row>
    <row r="4500" spans="1:6" ht="25.5" x14ac:dyDescent="0.2">
      <c r="A4500" s="391">
        <v>91966</v>
      </c>
      <c r="B4500" s="478" t="s">
        <v>2513</v>
      </c>
      <c r="C4500" s="391" t="s">
        <v>26</v>
      </c>
      <c r="D4500" s="479">
        <v>48.31</v>
      </c>
      <c r="E4500" s="368"/>
      <c r="F4500" s="368"/>
    </row>
    <row r="4501" spans="1:6" ht="25.5" x14ac:dyDescent="0.2">
      <c r="A4501" s="391">
        <v>91975</v>
      </c>
      <c r="B4501" s="478" t="s">
        <v>2521</v>
      </c>
      <c r="C4501" s="391" t="s">
        <v>26</v>
      </c>
      <c r="D4501" s="479">
        <v>79.13</v>
      </c>
      <c r="E4501" s="368"/>
      <c r="F4501" s="368"/>
    </row>
    <row r="4502" spans="1:6" ht="25.5" x14ac:dyDescent="0.2">
      <c r="A4502" s="391">
        <v>91974</v>
      </c>
      <c r="B4502" s="478" t="s">
        <v>2520</v>
      </c>
      <c r="C4502" s="391" t="s">
        <v>26</v>
      </c>
      <c r="D4502" s="479">
        <v>63.66</v>
      </c>
      <c r="E4502" s="368"/>
      <c r="F4502" s="368"/>
    </row>
    <row r="4503" spans="1:6" ht="25.5" x14ac:dyDescent="0.2">
      <c r="A4503" s="391">
        <v>91977</v>
      </c>
      <c r="B4503" s="478" t="s">
        <v>2523</v>
      </c>
      <c r="C4503" s="391" t="s">
        <v>26</v>
      </c>
      <c r="D4503" s="479">
        <v>109.31</v>
      </c>
      <c r="E4503" s="368"/>
      <c r="F4503" s="368"/>
    </row>
    <row r="4504" spans="1:6" ht="25.5" x14ac:dyDescent="0.2">
      <c r="A4504" s="391">
        <v>91976</v>
      </c>
      <c r="B4504" s="478" t="s">
        <v>2522</v>
      </c>
      <c r="C4504" s="391" t="s">
        <v>26</v>
      </c>
      <c r="D4504" s="479">
        <v>93.84</v>
      </c>
      <c r="E4504" s="368"/>
      <c r="F4504" s="368"/>
    </row>
    <row r="4505" spans="1:6" ht="25.5" x14ac:dyDescent="0.2">
      <c r="A4505" s="391">
        <v>91874</v>
      </c>
      <c r="B4505" s="478" t="s">
        <v>2304</v>
      </c>
      <c r="C4505" s="391" t="s">
        <v>26</v>
      </c>
      <c r="D4505" s="479">
        <v>6.7</v>
      </c>
      <c r="E4505" s="368"/>
      <c r="F4505" s="368"/>
    </row>
    <row r="4506" spans="1:6" ht="25.5" x14ac:dyDescent="0.2">
      <c r="A4506" s="391">
        <v>91878</v>
      </c>
      <c r="B4506" s="478" t="s">
        <v>2308</v>
      </c>
      <c r="C4506" s="391" t="s">
        <v>26</v>
      </c>
      <c r="D4506" s="479">
        <v>5.24</v>
      </c>
      <c r="E4506" s="368"/>
      <c r="F4506" s="368"/>
    </row>
    <row r="4507" spans="1:6" ht="38.25" x14ac:dyDescent="0.2">
      <c r="A4507" s="391">
        <v>91882</v>
      </c>
      <c r="B4507" s="478" t="s">
        <v>2312</v>
      </c>
      <c r="C4507" s="391" t="s">
        <v>26</v>
      </c>
      <c r="D4507" s="479">
        <v>9.74</v>
      </c>
      <c r="E4507" s="368"/>
      <c r="F4507" s="368"/>
    </row>
    <row r="4508" spans="1:6" ht="25.5" x14ac:dyDescent="0.2">
      <c r="A4508" s="391">
        <v>91875</v>
      </c>
      <c r="B4508" s="478" t="s">
        <v>2305</v>
      </c>
      <c r="C4508" s="391" t="s">
        <v>26</v>
      </c>
      <c r="D4508" s="479">
        <v>7.81</v>
      </c>
      <c r="E4508" s="368"/>
      <c r="F4508" s="368"/>
    </row>
    <row r="4509" spans="1:6" ht="25.5" x14ac:dyDescent="0.2">
      <c r="A4509" s="391">
        <v>91879</v>
      </c>
      <c r="B4509" s="478" t="s">
        <v>2309</v>
      </c>
      <c r="C4509" s="391" t="s">
        <v>26</v>
      </c>
      <c r="D4509" s="479">
        <v>6.33</v>
      </c>
      <c r="E4509" s="368"/>
      <c r="F4509" s="368"/>
    </row>
    <row r="4510" spans="1:6" ht="38.25" x14ac:dyDescent="0.2">
      <c r="A4510" s="391">
        <v>91884</v>
      </c>
      <c r="B4510" s="478" t="s">
        <v>2313</v>
      </c>
      <c r="C4510" s="391" t="s">
        <v>26</v>
      </c>
      <c r="D4510" s="479">
        <v>10.84</v>
      </c>
      <c r="E4510" s="368"/>
      <c r="F4510" s="368"/>
    </row>
    <row r="4511" spans="1:6" ht="25.5" x14ac:dyDescent="0.2">
      <c r="A4511" s="430">
        <v>91876</v>
      </c>
      <c r="B4511" s="482" t="s">
        <v>2306</v>
      </c>
      <c r="C4511" s="430" t="s">
        <v>26</v>
      </c>
      <c r="D4511" s="483">
        <v>9.32</v>
      </c>
      <c r="E4511" s="368"/>
      <c r="F4511" s="368"/>
    </row>
    <row r="4512" spans="1:6" ht="25.5" x14ac:dyDescent="0.2">
      <c r="A4512" s="391">
        <v>91880</v>
      </c>
      <c r="B4512" s="478" t="s">
        <v>2310</v>
      </c>
      <c r="C4512" s="391" t="s">
        <v>26</v>
      </c>
      <c r="D4512" s="479">
        <v>7.86</v>
      </c>
      <c r="E4512" s="368"/>
      <c r="F4512" s="368"/>
    </row>
    <row r="4513" spans="1:6" ht="38.25" x14ac:dyDescent="0.2">
      <c r="A4513" s="391">
        <v>91885</v>
      </c>
      <c r="B4513" s="478" t="s">
        <v>2314</v>
      </c>
      <c r="C4513" s="391" t="s">
        <v>26</v>
      </c>
      <c r="D4513" s="479">
        <v>12.31</v>
      </c>
      <c r="E4513" s="368"/>
      <c r="F4513" s="368"/>
    </row>
    <row r="4514" spans="1:6" ht="25.5" x14ac:dyDescent="0.2">
      <c r="A4514" s="391">
        <v>91877</v>
      </c>
      <c r="B4514" s="478" t="s">
        <v>2307</v>
      </c>
      <c r="C4514" s="391" t="s">
        <v>26</v>
      </c>
      <c r="D4514" s="479">
        <v>11.32</v>
      </c>
      <c r="E4514" s="368"/>
      <c r="F4514" s="368"/>
    </row>
    <row r="4515" spans="1:6" ht="25.5" x14ac:dyDescent="0.2">
      <c r="A4515" s="391">
        <v>91881</v>
      </c>
      <c r="B4515" s="478" t="s">
        <v>2311</v>
      </c>
      <c r="C4515" s="391" t="s">
        <v>26</v>
      </c>
      <c r="D4515" s="479">
        <v>9.86</v>
      </c>
      <c r="E4515" s="368"/>
      <c r="F4515" s="368"/>
    </row>
    <row r="4516" spans="1:6" ht="38.25" x14ac:dyDescent="0.2">
      <c r="A4516" s="391">
        <v>91886</v>
      </c>
      <c r="B4516" s="478" t="s">
        <v>2315</v>
      </c>
      <c r="C4516" s="391" t="s">
        <v>26</v>
      </c>
      <c r="D4516" s="479">
        <v>14.26</v>
      </c>
      <c r="E4516" s="368"/>
      <c r="F4516" s="368"/>
    </row>
    <row r="4517" spans="1:6" ht="25.5" x14ac:dyDescent="0.2">
      <c r="A4517" s="391">
        <v>91945</v>
      </c>
      <c r="B4517" s="478" t="s">
        <v>2494</v>
      </c>
      <c r="C4517" s="391" t="s">
        <v>26</v>
      </c>
      <c r="D4517" s="479">
        <v>13.6</v>
      </c>
      <c r="E4517" s="368"/>
      <c r="F4517" s="368"/>
    </row>
    <row r="4518" spans="1:6" ht="25.5" x14ac:dyDescent="0.2">
      <c r="A4518" s="391">
        <v>91947</v>
      </c>
      <c r="B4518" s="478" t="s">
        <v>2496</v>
      </c>
      <c r="C4518" s="391" t="s">
        <v>26</v>
      </c>
      <c r="D4518" s="479">
        <v>8.75</v>
      </c>
      <c r="E4518" s="368"/>
      <c r="F4518" s="368"/>
    </row>
    <row r="4519" spans="1:6" ht="25.5" x14ac:dyDescent="0.2">
      <c r="A4519" s="391">
        <v>91946</v>
      </c>
      <c r="B4519" s="478" t="s">
        <v>2495</v>
      </c>
      <c r="C4519" s="391" t="s">
        <v>26</v>
      </c>
      <c r="D4519" s="479">
        <v>10.62</v>
      </c>
      <c r="E4519" s="368"/>
      <c r="F4519" s="368"/>
    </row>
    <row r="4520" spans="1:6" ht="25.5" x14ac:dyDescent="0.2">
      <c r="A4520" s="391">
        <v>91949</v>
      </c>
      <c r="B4520" s="478" t="s">
        <v>2497</v>
      </c>
      <c r="C4520" s="391" t="s">
        <v>26</v>
      </c>
      <c r="D4520" s="479">
        <v>19.11</v>
      </c>
      <c r="E4520" s="368"/>
      <c r="F4520" s="368"/>
    </row>
    <row r="4521" spans="1:6" ht="25.5" x14ac:dyDescent="0.2">
      <c r="A4521" s="391">
        <v>91951</v>
      </c>
      <c r="B4521" s="478" t="s">
        <v>2499</v>
      </c>
      <c r="C4521" s="391" t="s">
        <v>26</v>
      </c>
      <c r="D4521" s="479">
        <v>13.3</v>
      </c>
      <c r="E4521" s="368"/>
      <c r="F4521" s="368"/>
    </row>
    <row r="4522" spans="1:6" ht="25.5" x14ac:dyDescent="0.2">
      <c r="A4522" s="391">
        <v>91950</v>
      </c>
      <c r="B4522" s="478" t="s">
        <v>2498</v>
      </c>
      <c r="C4522" s="391" t="s">
        <v>26</v>
      </c>
      <c r="D4522" s="479">
        <v>15.47</v>
      </c>
      <c r="E4522" s="368"/>
      <c r="F4522" s="368"/>
    </row>
    <row r="4523" spans="1:6" ht="25.5" x14ac:dyDescent="0.2">
      <c r="A4523" s="391">
        <v>91992</v>
      </c>
      <c r="B4523" s="478" t="s">
        <v>30</v>
      </c>
      <c r="C4523" s="391" t="s">
        <v>26</v>
      </c>
      <c r="D4523" s="479">
        <v>43.8</v>
      </c>
      <c r="E4523" s="368"/>
      <c r="F4523" s="368"/>
    </row>
    <row r="4524" spans="1:6" ht="25.5" x14ac:dyDescent="0.2">
      <c r="A4524" s="391">
        <v>91990</v>
      </c>
      <c r="B4524" s="478" t="s">
        <v>2536</v>
      </c>
      <c r="C4524" s="391" t="s">
        <v>26</v>
      </c>
      <c r="D4524" s="479">
        <v>33.18</v>
      </c>
      <c r="E4524" s="368"/>
      <c r="F4524" s="368"/>
    </row>
    <row r="4525" spans="1:6" ht="25.5" x14ac:dyDescent="0.2">
      <c r="A4525" s="391">
        <v>91993</v>
      </c>
      <c r="B4525" s="478" t="s">
        <v>2538</v>
      </c>
      <c r="C4525" s="391" t="s">
        <v>26</v>
      </c>
      <c r="D4525" s="479">
        <v>45.86</v>
      </c>
      <c r="E4525" s="368"/>
      <c r="F4525" s="368"/>
    </row>
    <row r="4526" spans="1:6" ht="25.5" x14ac:dyDescent="0.2">
      <c r="A4526" s="391">
        <v>91991</v>
      </c>
      <c r="B4526" s="478" t="s">
        <v>2537</v>
      </c>
      <c r="C4526" s="391" t="s">
        <v>26</v>
      </c>
      <c r="D4526" s="479">
        <v>35.24</v>
      </c>
      <c r="E4526" s="368"/>
      <c r="F4526" s="368"/>
    </row>
    <row r="4527" spans="1:6" ht="25.5" x14ac:dyDescent="0.2">
      <c r="A4527" s="430">
        <v>92000</v>
      </c>
      <c r="B4527" s="482" t="s">
        <v>2545</v>
      </c>
      <c r="C4527" s="430" t="s">
        <v>26</v>
      </c>
      <c r="D4527" s="483">
        <v>30.2</v>
      </c>
      <c r="E4527" s="368"/>
      <c r="F4527" s="368"/>
    </row>
    <row r="4528" spans="1:6" ht="25.5" x14ac:dyDescent="0.2">
      <c r="A4528" s="391">
        <v>91998</v>
      </c>
      <c r="B4528" s="478" t="s">
        <v>2543</v>
      </c>
      <c r="C4528" s="391" t="s">
        <v>26</v>
      </c>
      <c r="D4528" s="479">
        <v>19.579999999999998</v>
      </c>
      <c r="E4528" s="368"/>
      <c r="F4528" s="368"/>
    </row>
    <row r="4529" spans="1:6" ht="25.5" x14ac:dyDescent="0.2">
      <c r="A4529" s="391">
        <v>92001</v>
      </c>
      <c r="B4529" s="478" t="s">
        <v>2546</v>
      </c>
      <c r="C4529" s="391" t="s">
        <v>26</v>
      </c>
      <c r="D4529" s="479">
        <v>32.26</v>
      </c>
      <c r="E4529" s="368"/>
      <c r="F4529" s="368"/>
    </row>
    <row r="4530" spans="1:6" ht="25.5" x14ac:dyDescent="0.2">
      <c r="A4530" s="391">
        <v>91999</v>
      </c>
      <c r="B4530" s="478" t="s">
        <v>2544</v>
      </c>
      <c r="C4530" s="391" t="s">
        <v>26</v>
      </c>
      <c r="D4530" s="479">
        <v>21.64</v>
      </c>
      <c r="E4530" s="368"/>
      <c r="F4530" s="368"/>
    </row>
    <row r="4531" spans="1:6" ht="25.5" x14ac:dyDescent="0.2">
      <c r="A4531" s="430">
        <v>92008</v>
      </c>
      <c r="B4531" s="482" t="s">
        <v>2552</v>
      </c>
      <c r="C4531" s="430" t="s">
        <v>26</v>
      </c>
      <c r="D4531" s="483">
        <v>46.62</v>
      </c>
      <c r="E4531" s="368"/>
      <c r="F4531" s="368"/>
    </row>
    <row r="4532" spans="1:6" ht="25.5" x14ac:dyDescent="0.2">
      <c r="A4532" s="391">
        <v>92006</v>
      </c>
      <c r="B4532" s="478" t="s">
        <v>2550</v>
      </c>
      <c r="C4532" s="391" t="s">
        <v>26</v>
      </c>
      <c r="D4532" s="479">
        <v>36</v>
      </c>
      <c r="E4532" s="368"/>
      <c r="F4532" s="368"/>
    </row>
    <row r="4533" spans="1:6" ht="25.5" x14ac:dyDescent="0.2">
      <c r="A4533" s="391">
        <v>92009</v>
      </c>
      <c r="B4533" s="478" t="s">
        <v>2553</v>
      </c>
      <c r="C4533" s="391" t="s">
        <v>26</v>
      </c>
      <c r="D4533" s="479">
        <v>50.74</v>
      </c>
      <c r="E4533" s="368"/>
      <c r="F4533" s="368"/>
    </row>
    <row r="4534" spans="1:6" ht="25.5" x14ac:dyDescent="0.2">
      <c r="A4534" s="391">
        <v>92007</v>
      </c>
      <c r="B4534" s="478" t="s">
        <v>2551</v>
      </c>
      <c r="C4534" s="391" t="s">
        <v>26</v>
      </c>
      <c r="D4534" s="479">
        <v>40.119999999999997</v>
      </c>
      <c r="E4534" s="368"/>
      <c r="F4534" s="368"/>
    </row>
    <row r="4535" spans="1:6" ht="25.5" x14ac:dyDescent="0.2">
      <c r="A4535" s="391">
        <v>92016</v>
      </c>
      <c r="B4535" s="478" t="s">
        <v>2560</v>
      </c>
      <c r="C4535" s="391" t="s">
        <v>26</v>
      </c>
      <c r="D4535" s="479">
        <v>63.04</v>
      </c>
      <c r="E4535" s="368"/>
      <c r="F4535" s="368"/>
    </row>
    <row r="4536" spans="1:6" ht="25.5" x14ac:dyDescent="0.2">
      <c r="A4536" s="391">
        <v>92014</v>
      </c>
      <c r="B4536" s="478" t="s">
        <v>2558</v>
      </c>
      <c r="C4536" s="391" t="s">
        <v>26</v>
      </c>
      <c r="D4536" s="479">
        <v>52.42</v>
      </c>
      <c r="E4536" s="368"/>
      <c r="F4536" s="368"/>
    </row>
    <row r="4537" spans="1:6" ht="25.5" x14ac:dyDescent="0.2">
      <c r="A4537" s="391">
        <v>92017</v>
      </c>
      <c r="B4537" s="478" t="s">
        <v>2561</v>
      </c>
      <c r="C4537" s="391" t="s">
        <v>26</v>
      </c>
      <c r="D4537" s="479">
        <v>69.22</v>
      </c>
      <c r="E4537" s="368"/>
      <c r="F4537" s="368"/>
    </row>
    <row r="4538" spans="1:6" ht="25.5" x14ac:dyDescent="0.2">
      <c r="A4538" s="391">
        <v>92015</v>
      </c>
      <c r="B4538" s="478" t="s">
        <v>2559</v>
      </c>
      <c r="C4538" s="391" t="s">
        <v>26</v>
      </c>
      <c r="D4538" s="479">
        <v>58.6</v>
      </c>
      <c r="E4538" s="368"/>
      <c r="F4538" s="368"/>
    </row>
    <row r="4539" spans="1:6" ht="25.5" x14ac:dyDescent="0.2">
      <c r="A4539" s="391">
        <v>92019</v>
      </c>
      <c r="B4539" s="478" t="s">
        <v>2563</v>
      </c>
      <c r="C4539" s="391" t="s">
        <v>26</v>
      </c>
      <c r="D4539" s="479">
        <v>84.86</v>
      </c>
      <c r="E4539" s="368"/>
      <c r="F4539" s="368"/>
    </row>
    <row r="4540" spans="1:6" ht="25.5" x14ac:dyDescent="0.2">
      <c r="A4540" s="391">
        <v>92018</v>
      </c>
      <c r="B4540" s="478" t="s">
        <v>2562</v>
      </c>
      <c r="C4540" s="391" t="s">
        <v>26</v>
      </c>
      <c r="D4540" s="479">
        <v>69.39</v>
      </c>
      <c r="E4540" s="368"/>
      <c r="F4540" s="368"/>
    </row>
    <row r="4541" spans="1:6" ht="25.5" x14ac:dyDescent="0.2">
      <c r="A4541" s="391">
        <v>92021</v>
      </c>
      <c r="B4541" s="478" t="s">
        <v>2565</v>
      </c>
      <c r="C4541" s="391" t="s">
        <v>26</v>
      </c>
      <c r="D4541" s="479">
        <v>117.94</v>
      </c>
      <c r="E4541" s="368"/>
      <c r="F4541" s="368"/>
    </row>
    <row r="4542" spans="1:6" ht="25.5" x14ac:dyDescent="0.2">
      <c r="A4542" s="391">
        <v>92020</v>
      </c>
      <c r="B4542" s="478" t="s">
        <v>2564</v>
      </c>
      <c r="C4542" s="391" t="s">
        <v>26</v>
      </c>
      <c r="D4542" s="479">
        <v>102.47</v>
      </c>
      <c r="E4542" s="368"/>
      <c r="F4542" s="368"/>
    </row>
    <row r="4543" spans="1:6" ht="25.5" x14ac:dyDescent="0.2">
      <c r="A4543" s="391">
        <v>91996</v>
      </c>
      <c r="B4543" s="478" t="s">
        <v>2541</v>
      </c>
      <c r="C4543" s="391" t="s">
        <v>26</v>
      </c>
      <c r="D4543" s="479">
        <v>34</v>
      </c>
      <c r="E4543" s="368"/>
      <c r="F4543" s="368"/>
    </row>
    <row r="4544" spans="1:6" ht="25.5" x14ac:dyDescent="0.2">
      <c r="A4544" s="391">
        <v>91994</v>
      </c>
      <c r="B4544" s="478" t="s">
        <v>2539</v>
      </c>
      <c r="C4544" s="391" t="s">
        <v>26</v>
      </c>
      <c r="D4544" s="479">
        <v>23.38</v>
      </c>
      <c r="E4544" s="368"/>
      <c r="F4544" s="368"/>
    </row>
    <row r="4545" spans="1:6" ht="25.5" x14ac:dyDescent="0.2">
      <c r="A4545" s="391">
        <v>91997</v>
      </c>
      <c r="B4545" s="478" t="s">
        <v>2542</v>
      </c>
      <c r="C4545" s="391" t="s">
        <v>26</v>
      </c>
      <c r="D4545" s="479">
        <v>36.06</v>
      </c>
      <c r="E4545" s="368"/>
      <c r="F4545" s="368"/>
    </row>
    <row r="4546" spans="1:6" ht="25.5" x14ac:dyDescent="0.2">
      <c r="A4546" s="391">
        <v>91995</v>
      </c>
      <c r="B4546" s="478" t="s">
        <v>2540</v>
      </c>
      <c r="C4546" s="391" t="s">
        <v>26</v>
      </c>
      <c r="D4546" s="479">
        <v>25.44</v>
      </c>
      <c r="E4546" s="368"/>
      <c r="F4546" s="368"/>
    </row>
    <row r="4547" spans="1:6" ht="25.5" x14ac:dyDescent="0.2">
      <c r="A4547" s="391">
        <v>92004</v>
      </c>
      <c r="B4547" s="478" t="s">
        <v>29</v>
      </c>
      <c r="C4547" s="391" t="s">
        <v>26</v>
      </c>
      <c r="D4547" s="479">
        <v>54.26</v>
      </c>
      <c r="E4547" s="368"/>
      <c r="F4547" s="368"/>
    </row>
    <row r="4548" spans="1:6" ht="25.5" x14ac:dyDescent="0.2">
      <c r="A4548" s="391">
        <v>92002</v>
      </c>
      <c r="B4548" s="478" t="s">
        <v>2547</v>
      </c>
      <c r="C4548" s="391" t="s">
        <v>26</v>
      </c>
      <c r="D4548" s="479">
        <v>43.64</v>
      </c>
      <c r="E4548" s="368"/>
      <c r="F4548" s="368"/>
    </row>
    <row r="4549" spans="1:6" ht="25.5" x14ac:dyDescent="0.2">
      <c r="A4549" s="391">
        <v>92005</v>
      </c>
      <c r="B4549" s="478" t="s">
        <v>2549</v>
      </c>
      <c r="C4549" s="391" t="s">
        <v>26</v>
      </c>
      <c r="D4549" s="479">
        <v>58.38</v>
      </c>
      <c r="E4549" s="368"/>
      <c r="F4549" s="368"/>
    </row>
    <row r="4550" spans="1:6" ht="25.5" x14ac:dyDescent="0.2">
      <c r="A4550" s="391">
        <v>92003</v>
      </c>
      <c r="B4550" s="478" t="s">
        <v>2548</v>
      </c>
      <c r="C4550" s="391" t="s">
        <v>26</v>
      </c>
      <c r="D4550" s="479">
        <v>47.76</v>
      </c>
      <c r="E4550" s="368"/>
      <c r="F4550" s="368"/>
    </row>
    <row r="4551" spans="1:6" ht="25.5" x14ac:dyDescent="0.2">
      <c r="A4551" s="391">
        <v>92012</v>
      </c>
      <c r="B4551" s="478" t="s">
        <v>2556</v>
      </c>
      <c r="C4551" s="391" t="s">
        <v>26</v>
      </c>
      <c r="D4551" s="479">
        <v>74.45</v>
      </c>
      <c r="E4551" s="368"/>
      <c r="F4551" s="368"/>
    </row>
    <row r="4552" spans="1:6" ht="25.5" x14ac:dyDescent="0.2">
      <c r="A4552" s="391">
        <v>92010</v>
      </c>
      <c r="B4552" s="478" t="s">
        <v>2554</v>
      </c>
      <c r="C4552" s="391" t="s">
        <v>26</v>
      </c>
      <c r="D4552" s="479">
        <v>63.83</v>
      </c>
      <c r="E4552" s="368"/>
      <c r="F4552" s="368"/>
    </row>
    <row r="4553" spans="1:6" ht="25.5" x14ac:dyDescent="0.2">
      <c r="A4553" s="391">
        <v>92013</v>
      </c>
      <c r="B4553" s="478" t="s">
        <v>2557</v>
      </c>
      <c r="C4553" s="391" t="s">
        <v>26</v>
      </c>
      <c r="D4553" s="479">
        <v>80.63</v>
      </c>
      <c r="E4553" s="368"/>
      <c r="F4553" s="368"/>
    </row>
    <row r="4554" spans="1:6" ht="25.5" x14ac:dyDescent="0.2">
      <c r="A4554" s="391">
        <v>92011</v>
      </c>
      <c r="B4554" s="478" t="s">
        <v>2555</v>
      </c>
      <c r="C4554" s="391" t="s">
        <v>26</v>
      </c>
      <c r="D4554" s="479">
        <v>70.010000000000005</v>
      </c>
      <c r="E4554" s="368"/>
      <c r="F4554" s="368"/>
    </row>
    <row r="4555" spans="1:6" ht="25.5" x14ac:dyDescent="0.2">
      <c r="A4555" s="391">
        <v>95777</v>
      </c>
      <c r="B4555" s="478" t="s">
        <v>2398</v>
      </c>
      <c r="C4555" s="391" t="s">
        <v>26</v>
      </c>
      <c r="D4555" s="479">
        <v>26.29</v>
      </c>
      <c r="E4555" s="368"/>
      <c r="F4555" s="368"/>
    </row>
    <row r="4556" spans="1:6" ht="25.5" x14ac:dyDescent="0.2">
      <c r="A4556" s="391">
        <v>95780</v>
      </c>
      <c r="B4556" s="478" t="s">
        <v>2401</v>
      </c>
      <c r="C4556" s="391" t="s">
        <v>26</v>
      </c>
      <c r="D4556" s="479">
        <v>31.49</v>
      </c>
      <c r="E4556" s="368"/>
      <c r="F4556" s="368"/>
    </row>
    <row r="4557" spans="1:6" ht="25.5" x14ac:dyDescent="0.2">
      <c r="A4557" s="391">
        <v>95783</v>
      </c>
      <c r="B4557" s="478" t="s">
        <v>41379</v>
      </c>
      <c r="C4557" s="391" t="s">
        <v>26</v>
      </c>
      <c r="D4557" s="479">
        <v>0</v>
      </c>
      <c r="E4557" s="368"/>
      <c r="F4557" s="368"/>
    </row>
    <row r="4558" spans="1:6" ht="25.5" x14ac:dyDescent="0.2">
      <c r="A4558" s="391">
        <v>95778</v>
      </c>
      <c r="B4558" s="478" t="s">
        <v>2399</v>
      </c>
      <c r="C4558" s="391" t="s">
        <v>26</v>
      </c>
      <c r="D4558" s="479">
        <v>29.28</v>
      </c>
      <c r="E4558" s="368"/>
      <c r="F4558" s="368"/>
    </row>
    <row r="4559" spans="1:6" ht="25.5" x14ac:dyDescent="0.2">
      <c r="A4559" s="391">
        <v>95781</v>
      </c>
      <c r="B4559" s="478" t="s">
        <v>2402</v>
      </c>
      <c r="C4559" s="391" t="s">
        <v>26</v>
      </c>
      <c r="D4559" s="479">
        <v>35.54</v>
      </c>
      <c r="E4559" s="368"/>
      <c r="F4559" s="368"/>
    </row>
    <row r="4560" spans="1:6" ht="25.5" x14ac:dyDescent="0.2">
      <c r="A4560" s="391">
        <v>95784</v>
      </c>
      <c r="B4560" s="478" t="s">
        <v>41380</v>
      </c>
      <c r="C4560" s="391" t="s">
        <v>26</v>
      </c>
      <c r="D4560" s="479">
        <v>0</v>
      </c>
      <c r="E4560" s="368"/>
      <c r="F4560" s="368"/>
    </row>
    <row r="4561" spans="1:6" ht="25.5" x14ac:dyDescent="0.2">
      <c r="A4561" s="391">
        <v>95782</v>
      </c>
      <c r="B4561" s="478" t="s">
        <v>2403</v>
      </c>
      <c r="C4561" s="391" t="s">
        <v>26</v>
      </c>
      <c r="D4561" s="479">
        <v>33.76</v>
      </c>
      <c r="E4561" s="368"/>
      <c r="F4561" s="368"/>
    </row>
    <row r="4562" spans="1:6" ht="25.5" x14ac:dyDescent="0.2">
      <c r="A4562" s="391">
        <v>95779</v>
      </c>
      <c r="B4562" s="478" t="s">
        <v>2400</v>
      </c>
      <c r="C4562" s="391" t="s">
        <v>26</v>
      </c>
      <c r="D4562" s="479">
        <v>24.3</v>
      </c>
      <c r="E4562" s="368"/>
      <c r="F4562" s="368"/>
    </row>
    <row r="4563" spans="1:6" ht="25.5" x14ac:dyDescent="0.2">
      <c r="A4563" s="391">
        <v>95785</v>
      </c>
      <c r="B4563" s="478" t="s">
        <v>2404</v>
      </c>
      <c r="C4563" s="391" t="s">
        <v>26</v>
      </c>
      <c r="D4563" s="479">
        <v>40.090000000000003</v>
      </c>
      <c r="E4563" s="368"/>
      <c r="F4563" s="368"/>
    </row>
    <row r="4564" spans="1:6" ht="25.5" x14ac:dyDescent="0.2">
      <c r="A4564" s="391">
        <v>95792</v>
      </c>
      <c r="B4564" s="478" t="s">
        <v>41381</v>
      </c>
      <c r="C4564" s="391" t="s">
        <v>26</v>
      </c>
      <c r="D4564" s="479">
        <v>0</v>
      </c>
      <c r="E4564" s="368"/>
      <c r="F4564" s="368"/>
    </row>
    <row r="4565" spans="1:6" ht="25.5" x14ac:dyDescent="0.2">
      <c r="A4565" s="391">
        <v>95793</v>
      </c>
      <c r="B4565" s="478" t="s">
        <v>41382</v>
      </c>
      <c r="C4565" s="391" t="s">
        <v>26</v>
      </c>
      <c r="D4565" s="479">
        <v>0</v>
      </c>
      <c r="E4565" s="368"/>
      <c r="F4565" s="368"/>
    </row>
    <row r="4566" spans="1:6" ht="25.5" x14ac:dyDescent="0.2">
      <c r="A4566" s="391">
        <v>95794</v>
      </c>
      <c r="B4566" s="478" t="s">
        <v>41383</v>
      </c>
      <c r="C4566" s="391" t="s">
        <v>26</v>
      </c>
      <c r="D4566" s="479">
        <v>0</v>
      </c>
      <c r="E4566" s="368"/>
      <c r="F4566" s="368"/>
    </row>
    <row r="4567" spans="1:6" ht="25.5" x14ac:dyDescent="0.2">
      <c r="A4567" s="391">
        <v>95786</v>
      </c>
      <c r="B4567" s="478" t="s">
        <v>41384</v>
      </c>
      <c r="C4567" s="391" t="s">
        <v>26</v>
      </c>
      <c r="D4567" s="479">
        <v>0</v>
      </c>
      <c r="E4567" s="368"/>
      <c r="F4567" s="368"/>
    </row>
    <row r="4568" spans="1:6" ht="25.5" x14ac:dyDescent="0.2">
      <c r="A4568" s="391">
        <v>95788</v>
      </c>
      <c r="B4568" s="478" t="s">
        <v>41385</v>
      </c>
      <c r="C4568" s="391" t="s">
        <v>26</v>
      </c>
      <c r="D4568" s="479">
        <v>0</v>
      </c>
      <c r="E4568" s="368"/>
      <c r="F4568" s="368"/>
    </row>
    <row r="4569" spans="1:6" ht="25.5" x14ac:dyDescent="0.2">
      <c r="A4569" s="391">
        <v>95790</v>
      </c>
      <c r="B4569" s="478" t="s">
        <v>41386</v>
      </c>
      <c r="C4569" s="391" t="s">
        <v>26</v>
      </c>
      <c r="D4569" s="479">
        <v>0</v>
      </c>
      <c r="E4569" s="368"/>
      <c r="F4569" s="368"/>
    </row>
    <row r="4570" spans="1:6" ht="25.5" x14ac:dyDescent="0.2">
      <c r="A4570" s="391">
        <v>95787</v>
      </c>
      <c r="B4570" s="478" t="s">
        <v>2405</v>
      </c>
      <c r="C4570" s="391" t="s">
        <v>26</v>
      </c>
      <c r="D4570" s="479">
        <v>29.01</v>
      </c>
      <c r="E4570" s="368"/>
      <c r="F4570" s="368"/>
    </row>
    <row r="4571" spans="1:6" ht="25.5" x14ac:dyDescent="0.2">
      <c r="A4571" s="391">
        <v>95789</v>
      </c>
      <c r="B4571" s="478" t="s">
        <v>2406</v>
      </c>
      <c r="C4571" s="391" t="s">
        <v>26</v>
      </c>
      <c r="D4571" s="479">
        <v>39.92</v>
      </c>
      <c r="E4571" s="368"/>
      <c r="F4571" s="368"/>
    </row>
    <row r="4572" spans="1:6" ht="25.5" x14ac:dyDescent="0.2">
      <c r="A4572" s="391">
        <v>95791</v>
      </c>
      <c r="B4572" s="478" t="s">
        <v>2407</v>
      </c>
      <c r="C4572" s="391" t="s">
        <v>26</v>
      </c>
      <c r="D4572" s="479">
        <v>55.94</v>
      </c>
      <c r="E4572" s="368"/>
      <c r="F4572" s="368"/>
    </row>
    <row r="4573" spans="1:6" ht="25.5" x14ac:dyDescent="0.2">
      <c r="A4573" s="391">
        <v>95795</v>
      </c>
      <c r="B4573" s="478" t="s">
        <v>2408</v>
      </c>
      <c r="C4573" s="391" t="s">
        <v>26</v>
      </c>
      <c r="D4573" s="479">
        <v>33.07</v>
      </c>
      <c r="E4573" s="368"/>
      <c r="F4573" s="368"/>
    </row>
    <row r="4574" spans="1:6" ht="25.5" x14ac:dyDescent="0.2">
      <c r="A4574" s="391">
        <v>95796</v>
      </c>
      <c r="B4574" s="478" t="s">
        <v>2409</v>
      </c>
      <c r="C4574" s="391" t="s">
        <v>26</v>
      </c>
      <c r="D4574" s="479">
        <v>46.9</v>
      </c>
      <c r="E4574" s="368"/>
      <c r="F4574" s="368"/>
    </row>
    <row r="4575" spans="1:6" ht="25.5" x14ac:dyDescent="0.2">
      <c r="A4575" s="391">
        <v>95797</v>
      </c>
      <c r="B4575" s="478" t="s">
        <v>2410</v>
      </c>
      <c r="C4575" s="391" t="s">
        <v>26</v>
      </c>
      <c r="D4575" s="479">
        <v>65.180000000000007</v>
      </c>
      <c r="E4575" s="368"/>
      <c r="F4575" s="368"/>
    </row>
    <row r="4576" spans="1:6" ht="25.5" x14ac:dyDescent="0.2">
      <c r="A4576" s="391">
        <v>95798</v>
      </c>
      <c r="B4576" s="478" t="s">
        <v>41387</v>
      </c>
      <c r="C4576" s="391" t="s">
        <v>26</v>
      </c>
      <c r="D4576" s="479">
        <v>0</v>
      </c>
      <c r="E4576" s="368"/>
      <c r="F4576" s="368"/>
    </row>
    <row r="4577" spans="1:6" ht="25.5" x14ac:dyDescent="0.2">
      <c r="A4577" s="391">
        <v>95799</v>
      </c>
      <c r="B4577" s="478" t="s">
        <v>41388</v>
      </c>
      <c r="C4577" s="391" t="s">
        <v>26</v>
      </c>
      <c r="D4577" s="479">
        <v>0</v>
      </c>
      <c r="E4577" s="368"/>
      <c r="F4577" s="368"/>
    </row>
    <row r="4578" spans="1:6" ht="25.5" x14ac:dyDescent="0.2">
      <c r="A4578" s="391">
        <v>95800</v>
      </c>
      <c r="B4578" s="478" t="s">
        <v>41389</v>
      </c>
      <c r="C4578" s="391" t="s">
        <v>26</v>
      </c>
      <c r="D4578" s="479">
        <v>0</v>
      </c>
      <c r="E4578" s="368"/>
      <c r="F4578" s="368"/>
    </row>
    <row r="4579" spans="1:6" ht="25.5" x14ac:dyDescent="0.2">
      <c r="A4579" s="391">
        <v>95801</v>
      </c>
      <c r="B4579" s="478" t="s">
        <v>2411</v>
      </c>
      <c r="C4579" s="391" t="s">
        <v>26</v>
      </c>
      <c r="D4579" s="479">
        <v>39.83</v>
      </c>
      <c r="E4579" s="368"/>
      <c r="F4579" s="368"/>
    </row>
    <row r="4580" spans="1:6" ht="25.5" x14ac:dyDescent="0.2">
      <c r="A4580" s="391">
        <v>95802</v>
      </c>
      <c r="B4580" s="478" t="s">
        <v>2412</v>
      </c>
      <c r="C4580" s="391" t="s">
        <v>26</v>
      </c>
      <c r="D4580" s="479">
        <v>49.3</v>
      </c>
      <c r="E4580" s="368"/>
      <c r="F4580" s="368"/>
    </row>
    <row r="4581" spans="1:6" ht="25.5" x14ac:dyDescent="0.2">
      <c r="A4581" s="391">
        <v>95803</v>
      </c>
      <c r="B4581" s="478" t="s">
        <v>2413</v>
      </c>
      <c r="C4581" s="391" t="s">
        <v>26</v>
      </c>
      <c r="D4581" s="479">
        <v>72.33</v>
      </c>
      <c r="E4581" s="368"/>
      <c r="F4581" s="368"/>
    </row>
    <row r="4582" spans="1:6" ht="25.5" x14ac:dyDescent="0.2">
      <c r="A4582" s="391">
        <v>95804</v>
      </c>
      <c r="B4582" s="478" t="s">
        <v>2414</v>
      </c>
      <c r="C4582" s="391" t="s">
        <v>26</v>
      </c>
      <c r="D4582" s="479">
        <v>18.95</v>
      </c>
      <c r="E4582" s="368"/>
      <c r="F4582" s="368"/>
    </row>
    <row r="4583" spans="1:6" ht="25.5" x14ac:dyDescent="0.2">
      <c r="A4583" s="391">
        <v>95805</v>
      </c>
      <c r="B4583" s="478" t="s">
        <v>2415</v>
      </c>
      <c r="C4583" s="391" t="s">
        <v>26</v>
      </c>
      <c r="D4583" s="479">
        <v>20.21</v>
      </c>
      <c r="E4583" s="368"/>
      <c r="F4583" s="368"/>
    </row>
    <row r="4584" spans="1:6" ht="25.5" x14ac:dyDescent="0.2">
      <c r="A4584" s="391">
        <v>95806</v>
      </c>
      <c r="B4584" s="478" t="s">
        <v>2416</v>
      </c>
      <c r="C4584" s="391" t="s">
        <v>26</v>
      </c>
      <c r="D4584" s="479">
        <v>22.32</v>
      </c>
      <c r="E4584" s="368"/>
      <c r="F4584" s="368"/>
    </row>
    <row r="4585" spans="1:6" ht="25.5" x14ac:dyDescent="0.2">
      <c r="A4585" s="391">
        <v>104401</v>
      </c>
      <c r="B4585" s="478" t="s">
        <v>2447</v>
      </c>
      <c r="C4585" s="391" t="s">
        <v>26</v>
      </c>
      <c r="D4585" s="479">
        <v>21.09</v>
      </c>
      <c r="E4585" s="368"/>
      <c r="F4585" s="368"/>
    </row>
    <row r="4586" spans="1:6" ht="25.5" x14ac:dyDescent="0.2">
      <c r="A4586" s="391">
        <v>104402</v>
      </c>
      <c r="B4586" s="478" t="s">
        <v>2448</v>
      </c>
      <c r="C4586" s="391" t="s">
        <v>26</v>
      </c>
      <c r="D4586" s="479">
        <v>22.7</v>
      </c>
      <c r="E4586" s="368"/>
      <c r="F4586" s="368"/>
    </row>
    <row r="4587" spans="1:6" ht="25.5" x14ac:dyDescent="0.2">
      <c r="A4587" s="391">
        <v>104403</v>
      </c>
      <c r="B4587" s="478" t="s">
        <v>2449</v>
      </c>
      <c r="C4587" s="391" t="s">
        <v>26</v>
      </c>
      <c r="D4587" s="479">
        <v>28.11</v>
      </c>
      <c r="E4587" s="368"/>
      <c r="F4587" s="368"/>
    </row>
    <row r="4588" spans="1:6" ht="25.5" x14ac:dyDescent="0.2">
      <c r="A4588" s="391">
        <v>104395</v>
      </c>
      <c r="B4588" s="478" t="s">
        <v>2353</v>
      </c>
      <c r="C4588" s="391" t="s">
        <v>26</v>
      </c>
      <c r="D4588" s="479">
        <v>18.61</v>
      </c>
      <c r="E4588" s="368"/>
      <c r="F4588" s="368"/>
    </row>
    <row r="4589" spans="1:6" ht="25.5" x14ac:dyDescent="0.2">
      <c r="A4589" s="391">
        <v>104396</v>
      </c>
      <c r="B4589" s="478" t="s">
        <v>2442</v>
      </c>
      <c r="C4589" s="391" t="s">
        <v>26</v>
      </c>
      <c r="D4589" s="479">
        <v>19.3</v>
      </c>
      <c r="E4589" s="368"/>
      <c r="F4589" s="368"/>
    </row>
    <row r="4590" spans="1:6" ht="25.5" x14ac:dyDescent="0.2">
      <c r="A4590" s="391">
        <v>104397</v>
      </c>
      <c r="B4590" s="478" t="s">
        <v>2443</v>
      </c>
      <c r="C4590" s="391" t="s">
        <v>26</v>
      </c>
      <c r="D4590" s="479">
        <v>22.75</v>
      </c>
      <c r="E4590" s="368"/>
      <c r="F4590" s="368"/>
    </row>
    <row r="4591" spans="1:6" ht="25.5" x14ac:dyDescent="0.2">
      <c r="A4591" s="391">
        <v>95810</v>
      </c>
      <c r="B4591" s="478" t="s">
        <v>2420</v>
      </c>
      <c r="C4591" s="391" t="s">
        <v>26</v>
      </c>
      <c r="D4591" s="479">
        <v>12.4</v>
      </c>
      <c r="E4591" s="368"/>
      <c r="F4591" s="368"/>
    </row>
    <row r="4592" spans="1:6" ht="25.5" x14ac:dyDescent="0.2">
      <c r="A4592" s="391">
        <v>95811</v>
      </c>
      <c r="B4592" s="478" t="s">
        <v>2421</v>
      </c>
      <c r="C4592" s="391" t="s">
        <v>26</v>
      </c>
      <c r="D4592" s="479">
        <v>16.18</v>
      </c>
      <c r="E4592" s="368"/>
      <c r="F4592" s="368"/>
    </row>
    <row r="4593" spans="1:6" ht="25.5" x14ac:dyDescent="0.2">
      <c r="A4593" s="391">
        <v>95812</v>
      </c>
      <c r="B4593" s="478" t="s">
        <v>2422</v>
      </c>
      <c r="C4593" s="391" t="s">
        <v>26</v>
      </c>
      <c r="D4593" s="479">
        <v>22.82</v>
      </c>
      <c r="E4593" s="368"/>
      <c r="F4593" s="368"/>
    </row>
    <row r="4594" spans="1:6" ht="25.5" x14ac:dyDescent="0.2">
      <c r="A4594" s="391">
        <v>95807</v>
      </c>
      <c r="B4594" s="478" t="s">
        <v>2417</v>
      </c>
      <c r="C4594" s="391" t="s">
        <v>26</v>
      </c>
      <c r="D4594" s="479">
        <v>22.5</v>
      </c>
      <c r="E4594" s="368"/>
      <c r="F4594" s="368"/>
    </row>
    <row r="4595" spans="1:6" ht="25.5" x14ac:dyDescent="0.2">
      <c r="A4595" s="391">
        <v>95808</v>
      </c>
      <c r="B4595" s="478" t="s">
        <v>2418</v>
      </c>
      <c r="C4595" s="391" t="s">
        <v>26</v>
      </c>
      <c r="D4595" s="479">
        <v>26.27</v>
      </c>
      <c r="E4595" s="368"/>
      <c r="F4595" s="368"/>
    </row>
    <row r="4596" spans="1:6" ht="25.5" x14ac:dyDescent="0.2">
      <c r="A4596" s="391">
        <v>95809</v>
      </c>
      <c r="B4596" s="478" t="s">
        <v>2419</v>
      </c>
      <c r="C4596" s="391" t="s">
        <v>26</v>
      </c>
      <c r="D4596" s="479">
        <v>32.909999999999997</v>
      </c>
      <c r="E4596" s="368"/>
      <c r="F4596" s="368"/>
    </row>
    <row r="4597" spans="1:6" ht="25.5" x14ac:dyDescent="0.2">
      <c r="A4597" s="391">
        <v>104398</v>
      </c>
      <c r="B4597" s="478" t="s">
        <v>2444</v>
      </c>
      <c r="C4597" s="391" t="s">
        <v>26</v>
      </c>
      <c r="D4597" s="479">
        <v>22.48</v>
      </c>
      <c r="E4597" s="368"/>
      <c r="F4597" s="368"/>
    </row>
    <row r="4598" spans="1:6" ht="25.5" x14ac:dyDescent="0.2">
      <c r="A4598" s="391">
        <v>104399</v>
      </c>
      <c r="B4598" s="478" t="s">
        <v>2445</v>
      </c>
      <c r="C4598" s="391" t="s">
        <v>26</v>
      </c>
      <c r="D4598" s="479">
        <v>25.34</v>
      </c>
      <c r="E4598" s="368"/>
      <c r="F4598" s="368"/>
    </row>
    <row r="4599" spans="1:6" ht="25.5" x14ac:dyDescent="0.2">
      <c r="A4599" s="391">
        <v>104400</v>
      </c>
      <c r="B4599" s="478" t="s">
        <v>2446</v>
      </c>
      <c r="C4599" s="391" t="s">
        <v>26</v>
      </c>
      <c r="D4599" s="479">
        <v>32.51</v>
      </c>
      <c r="E4599" s="368"/>
      <c r="F4599" s="368"/>
    </row>
    <row r="4600" spans="1:6" ht="25.5" x14ac:dyDescent="0.2">
      <c r="A4600" s="391">
        <v>104404</v>
      </c>
      <c r="B4600" s="478" t="s">
        <v>2450</v>
      </c>
      <c r="C4600" s="391" t="s">
        <v>26</v>
      </c>
      <c r="D4600" s="479">
        <v>29.48</v>
      </c>
      <c r="E4600" s="368"/>
      <c r="F4600" s="368"/>
    </row>
    <row r="4601" spans="1:6" ht="25.5" x14ac:dyDescent="0.2">
      <c r="A4601" s="391">
        <v>104405</v>
      </c>
      <c r="B4601" s="478" t="s">
        <v>2451</v>
      </c>
      <c r="C4601" s="391" t="s">
        <v>26</v>
      </c>
      <c r="D4601" s="479">
        <v>39.72</v>
      </c>
      <c r="E4601" s="368"/>
      <c r="F4601" s="368"/>
    </row>
    <row r="4602" spans="1:6" ht="25.5" x14ac:dyDescent="0.2">
      <c r="A4602" s="391">
        <v>95813</v>
      </c>
      <c r="B4602" s="478" t="s">
        <v>2423</v>
      </c>
      <c r="C4602" s="391" t="s">
        <v>26</v>
      </c>
      <c r="D4602" s="479">
        <v>14.64</v>
      </c>
      <c r="E4602" s="368"/>
      <c r="F4602" s="368"/>
    </row>
    <row r="4603" spans="1:6" ht="25.5" x14ac:dyDescent="0.2">
      <c r="A4603" s="391">
        <v>95814</v>
      </c>
      <c r="B4603" s="478" t="s">
        <v>2424</v>
      </c>
      <c r="C4603" s="391" t="s">
        <v>26</v>
      </c>
      <c r="D4603" s="479">
        <v>19.670000000000002</v>
      </c>
      <c r="E4603" s="368"/>
      <c r="F4603" s="368"/>
    </row>
    <row r="4604" spans="1:6" ht="25.5" x14ac:dyDescent="0.2">
      <c r="A4604" s="391">
        <v>95815</v>
      </c>
      <c r="B4604" s="478" t="s">
        <v>2425</v>
      </c>
      <c r="C4604" s="391" t="s">
        <v>26</v>
      </c>
      <c r="D4604" s="479">
        <v>29.62</v>
      </c>
      <c r="E4604" s="368"/>
      <c r="F4604" s="368"/>
    </row>
    <row r="4605" spans="1:6" ht="25.5" x14ac:dyDescent="0.2">
      <c r="A4605" s="391">
        <v>95816</v>
      </c>
      <c r="B4605" s="478" t="s">
        <v>2426</v>
      </c>
      <c r="C4605" s="391" t="s">
        <v>26</v>
      </c>
      <c r="D4605" s="479">
        <v>27.14</v>
      </c>
      <c r="E4605" s="368"/>
      <c r="F4605" s="368"/>
    </row>
    <row r="4606" spans="1:6" ht="25.5" x14ac:dyDescent="0.2">
      <c r="A4606" s="391">
        <v>95817</v>
      </c>
      <c r="B4606" s="478" t="s">
        <v>2427</v>
      </c>
      <c r="C4606" s="391" t="s">
        <v>26</v>
      </c>
      <c r="D4606" s="479">
        <v>33.1</v>
      </c>
      <c r="E4606" s="368"/>
      <c r="F4606" s="368"/>
    </row>
    <row r="4607" spans="1:6" ht="25.5" x14ac:dyDescent="0.2">
      <c r="A4607" s="391">
        <v>95818</v>
      </c>
      <c r="B4607" s="478" t="s">
        <v>2428</v>
      </c>
      <c r="C4607" s="391" t="s">
        <v>26</v>
      </c>
      <c r="D4607" s="479">
        <v>45.84</v>
      </c>
      <c r="E4607" s="368"/>
      <c r="F4607" s="368"/>
    </row>
    <row r="4608" spans="1:6" ht="25.5" x14ac:dyDescent="0.2">
      <c r="A4608" s="391">
        <v>104391</v>
      </c>
      <c r="B4608" s="478" t="s">
        <v>41390</v>
      </c>
      <c r="C4608" s="391" t="s">
        <v>26</v>
      </c>
      <c r="D4608" s="479">
        <v>0</v>
      </c>
      <c r="E4608" s="368"/>
      <c r="F4608" s="368"/>
    </row>
    <row r="4609" spans="1:6" ht="25.5" x14ac:dyDescent="0.2">
      <c r="A4609" s="391">
        <v>104392</v>
      </c>
      <c r="B4609" s="478" t="s">
        <v>41391</v>
      </c>
      <c r="C4609" s="391" t="s">
        <v>26</v>
      </c>
      <c r="D4609" s="479">
        <v>0</v>
      </c>
      <c r="E4609" s="368"/>
      <c r="F4609" s="368"/>
    </row>
    <row r="4610" spans="1:6" ht="25.5" x14ac:dyDescent="0.2">
      <c r="A4610" s="391">
        <v>104393</v>
      </c>
      <c r="B4610" s="478" t="s">
        <v>41392</v>
      </c>
      <c r="C4610" s="391" t="s">
        <v>26</v>
      </c>
      <c r="D4610" s="479">
        <v>0</v>
      </c>
      <c r="E4610" s="368"/>
      <c r="F4610" s="368"/>
    </row>
    <row r="4611" spans="1:6" ht="25.5" x14ac:dyDescent="0.2">
      <c r="A4611" s="391">
        <v>104394</v>
      </c>
      <c r="B4611" s="478" t="s">
        <v>41393</v>
      </c>
      <c r="C4611" s="391" t="s">
        <v>26</v>
      </c>
      <c r="D4611" s="479">
        <v>0</v>
      </c>
      <c r="E4611" s="368"/>
      <c r="F4611" s="368"/>
    </row>
    <row r="4612" spans="1:6" ht="25.5" x14ac:dyDescent="0.2">
      <c r="A4612" s="391">
        <v>95761</v>
      </c>
      <c r="B4612" s="478" t="s">
        <v>41394</v>
      </c>
      <c r="C4612" s="391" t="s">
        <v>26</v>
      </c>
      <c r="D4612" s="479">
        <v>0</v>
      </c>
      <c r="E4612" s="368"/>
      <c r="F4612" s="368"/>
    </row>
    <row r="4613" spans="1:6" ht="25.5" x14ac:dyDescent="0.2">
      <c r="A4613" s="391">
        <v>95763</v>
      </c>
      <c r="B4613" s="478" t="s">
        <v>41395</v>
      </c>
      <c r="C4613" s="391" t="s">
        <v>26</v>
      </c>
      <c r="D4613" s="479">
        <v>0</v>
      </c>
      <c r="E4613" s="368"/>
      <c r="F4613" s="368"/>
    </row>
    <row r="4614" spans="1:6" ht="25.5" x14ac:dyDescent="0.2">
      <c r="A4614" s="391">
        <v>95765</v>
      </c>
      <c r="B4614" s="478" t="s">
        <v>41396</v>
      </c>
      <c r="C4614" s="391" t="s">
        <v>26</v>
      </c>
      <c r="D4614" s="479">
        <v>0</v>
      </c>
      <c r="E4614" s="368"/>
      <c r="F4614" s="368"/>
    </row>
    <row r="4615" spans="1:6" ht="25.5" x14ac:dyDescent="0.2">
      <c r="A4615" s="391">
        <v>95767</v>
      </c>
      <c r="B4615" s="478" t="s">
        <v>41397</v>
      </c>
      <c r="C4615" s="391" t="s">
        <v>26</v>
      </c>
      <c r="D4615" s="479">
        <v>0</v>
      </c>
      <c r="E4615" s="368"/>
      <c r="F4615" s="368"/>
    </row>
    <row r="4616" spans="1:6" ht="25.5" x14ac:dyDescent="0.2">
      <c r="A4616" s="391">
        <v>95762</v>
      </c>
      <c r="B4616" s="478" t="s">
        <v>41398</v>
      </c>
      <c r="C4616" s="391" t="s">
        <v>26</v>
      </c>
      <c r="D4616" s="479">
        <v>0</v>
      </c>
      <c r="E4616" s="368"/>
      <c r="F4616" s="368"/>
    </row>
    <row r="4617" spans="1:6" ht="25.5" x14ac:dyDescent="0.2">
      <c r="A4617" s="391">
        <v>95764</v>
      </c>
      <c r="B4617" s="478" t="s">
        <v>41399</v>
      </c>
      <c r="C4617" s="391" t="s">
        <v>26</v>
      </c>
      <c r="D4617" s="479">
        <v>0</v>
      </c>
      <c r="E4617" s="368"/>
      <c r="F4617" s="368"/>
    </row>
    <row r="4618" spans="1:6" ht="25.5" x14ac:dyDescent="0.2">
      <c r="A4618" s="391">
        <v>95766</v>
      </c>
      <c r="B4618" s="478" t="s">
        <v>41400</v>
      </c>
      <c r="C4618" s="391" t="s">
        <v>26</v>
      </c>
      <c r="D4618" s="479">
        <v>0</v>
      </c>
      <c r="E4618" s="368"/>
      <c r="F4618" s="368"/>
    </row>
    <row r="4619" spans="1:6" ht="25.5" x14ac:dyDescent="0.2">
      <c r="A4619" s="391">
        <v>95768</v>
      </c>
      <c r="B4619" s="478" t="s">
        <v>41401</v>
      </c>
      <c r="C4619" s="391" t="s">
        <v>26</v>
      </c>
      <c r="D4619" s="479">
        <v>0</v>
      </c>
      <c r="E4619" s="368"/>
      <c r="F4619" s="368"/>
    </row>
    <row r="4620" spans="1:6" ht="25.5" x14ac:dyDescent="0.2">
      <c r="A4620" s="391">
        <v>95739</v>
      </c>
      <c r="B4620" s="478" t="s">
        <v>41402</v>
      </c>
      <c r="C4620" s="391" t="s">
        <v>26</v>
      </c>
      <c r="D4620" s="479">
        <v>0</v>
      </c>
      <c r="E4620" s="368"/>
      <c r="F4620" s="368"/>
    </row>
    <row r="4621" spans="1:6" ht="25.5" x14ac:dyDescent="0.2">
      <c r="A4621" s="391">
        <v>95740</v>
      </c>
      <c r="B4621" s="478" t="s">
        <v>41403</v>
      </c>
      <c r="C4621" s="391" t="s">
        <v>26</v>
      </c>
      <c r="D4621" s="479">
        <v>0</v>
      </c>
      <c r="E4621" s="368"/>
      <c r="F4621" s="368"/>
    </row>
    <row r="4622" spans="1:6" ht="25.5" x14ac:dyDescent="0.2">
      <c r="A4622" s="391">
        <v>95741</v>
      </c>
      <c r="B4622" s="478" t="s">
        <v>41404</v>
      </c>
      <c r="C4622" s="391" t="s">
        <v>26</v>
      </c>
      <c r="D4622" s="479">
        <v>0</v>
      </c>
      <c r="E4622" s="368"/>
      <c r="F4622" s="368"/>
    </row>
    <row r="4623" spans="1:6" ht="25.5" x14ac:dyDescent="0.2">
      <c r="A4623" s="391">
        <v>104409</v>
      </c>
      <c r="B4623" s="478" t="s">
        <v>47269</v>
      </c>
      <c r="C4623" s="391" t="s">
        <v>0</v>
      </c>
      <c r="D4623" s="479">
        <v>0</v>
      </c>
      <c r="E4623" s="368"/>
      <c r="F4623" s="368"/>
    </row>
    <row r="4624" spans="1:6" ht="25.5" x14ac:dyDescent="0.2">
      <c r="A4624" s="391">
        <v>104408</v>
      </c>
      <c r="B4624" s="478" t="s">
        <v>47270</v>
      </c>
      <c r="C4624" s="391" t="s">
        <v>0</v>
      </c>
      <c r="D4624" s="479">
        <v>0</v>
      </c>
      <c r="E4624" s="368"/>
      <c r="F4624" s="368"/>
    </row>
    <row r="4625" spans="1:6" ht="25.5" x14ac:dyDescent="0.2">
      <c r="A4625" s="391">
        <v>104407</v>
      </c>
      <c r="B4625" s="478" t="s">
        <v>47271</v>
      </c>
      <c r="C4625" s="391" t="s">
        <v>0</v>
      </c>
      <c r="D4625" s="479">
        <v>0</v>
      </c>
      <c r="E4625" s="368"/>
      <c r="F4625" s="368"/>
    </row>
    <row r="4626" spans="1:6" ht="25.5" x14ac:dyDescent="0.2">
      <c r="A4626" s="391">
        <v>104406</v>
      </c>
      <c r="B4626" s="478" t="s">
        <v>47272</v>
      </c>
      <c r="C4626" s="391" t="s">
        <v>0</v>
      </c>
      <c r="D4626" s="479">
        <v>0</v>
      </c>
      <c r="E4626" s="368"/>
      <c r="F4626" s="368"/>
    </row>
    <row r="4627" spans="1:6" ht="25.5" x14ac:dyDescent="0.2">
      <c r="A4627" s="391">
        <v>95726</v>
      </c>
      <c r="B4627" s="478" t="s">
        <v>47273</v>
      </c>
      <c r="C4627" s="391" t="s">
        <v>0</v>
      </c>
      <c r="D4627" s="479">
        <v>17.899999999999999</v>
      </c>
      <c r="E4627" s="368"/>
      <c r="F4627" s="368"/>
    </row>
    <row r="4628" spans="1:6" ht="25.5" x14ac:dyDescent="0.2">
      <c r="A4628" s="391">
        <v>95727</v>
      </c>
      <c r="B4628" s="478" t="s">
        <v>47274</v>
      </c>
      <c r="C4628" s="391" t="s">
        <v>0</v>
      </c>
      <c r="D4628" s="479">
        <v>21.4</v>
      </c>
      <c r="E4628" s="368"/>
      <c r="F4628" s="368"/>
    </row>
    <row r="4629" spans="1:6" ht="25.5" x14ac:dyDescent="0.2">
      <c r="A4629" s="391">
        <v>95728</v>
      </c>
      <c r="B4629" s="478" t="s">
        <v>47275</v>
      </c>
      <c r="C4629" s="391" t="s">
        <v>0</v>
      </c>
      <c r="D4629" s="479">
        <v>26.98</v>
      </c>
      <c r="E4629" s="368"/>
      <c r="F4629" s="368"/>
    </row>
    <row r="4630" spans="1:6" ht="25.5" x14ac:dyDescent="0.2">
      <c r="A4630" s="391">
        <v>104452</v>
      </c>
      <c r="B4630" s="478" t="s">
        <v>41405</v>
      </c>
      <c r="C4630" s="391" t="s">
        <v>26</v>
      </c>
      <c r="D4630" s="479">
        <v>0</v>
      </c>
      <c r="E4630" s="368"/>
      <c r="F4630" s="368"/>
    </row>
    <row r="4631" spans="1:6" ht="25.5" x14ac:dyDescent="0.2">
      <c r="A4631" s="391">
        <v>104448</v>
      </c>
      <c r="B4631" s="478" t="s">
        <v>41406</v>
      </c>
      <c r="C4631" s="391" t="s">
        <v>26</v>
      </c>
      <c r="D4631" s="479">
        <v>0</v>
      </c>
      <c r="E4631" s="368"/>
      <c r="F4631" s="368"/>
    </row>
    <row r="4632" spans="1:6" ht="25.5" x14ac:dyDescent="0.2">
      <c r="A4632" s="391">
        <v>104449</v>
      </c>
      <c r="B4632" s="478" t="s">
        <v>41407</v>
      </c>
      <c r="C4632" s="391" t="s">
        <v>26</v>
      </c>
      <c r="D4632" s="479">
        <v>0</v>
      </c>
      <c r="E4632" s="368"/>
      <c r="F4632" s="368"/>
    </row>
    <row r="4633" spans="1:6" ht="25.5" x14ac:dyDescent="0.2">
      <c r="A4633" s="391">
        <v>104450</v>
      </c>
      <c r="B4633" s="478" t="s">
        <v>41408</v>
      </c>
      <c r="C4633" s="391" t="s">
        <v>26</v>
      </c>
      <c r="D4633" s="479">
        <v>0</v>
      </c>
      <c r="E4633" s="368"/>
      <c r="F4633" s="368"/>
    </row>
    <row r="4634" spans="1:6" ht="25.5" x14ac:dyDescent="0.2">
      <c r="A4634" s="391">
        <v>104445</v>
      </c>
      <c r="B4634" s="478" t="s">
        <v>41409</v>
      </c>
      <c r="C4634" s="391" t="s">
        <v>26</v>
      </c>
      <c r="D4634" s="479">
        <v>0</v>
      </c>
      <c r="E4634" s="368"/>
      <c r="F4634" s="368"/>
    </row>
    <row r="4635" spans="1:6" ht="25.5" x14ac:dyDescent="0.2">
      <c r="A4635" s="391">
        <v>104446</v>
      </c>
      <c r="B4635" s="478" t="s">
        <v>41410</v>
      </c>
      <c r="C4635" s="391" t="s">
        <v>26</v>
      </c>
      <c r="D4635" s="479">
        <v>0</v>
      </c>
      <c r="E4635" s="368"/>
      <c r="F4635" s="368"/>
    </row>
    <row r="4636" spans="1:6" ht="25.5" x14ac:dyDescent="0.2">
      <c r="A4636" s="391">
        <v>104447</v>
      </c>
      <c r="B4636" s="478" t="s">
        <v>41411</v>
      </c>
      <c r="C4636" s="391" t="s">
        <v>26</v>
      </c>
      <c r="D4636" s="479">
        <v>0</v>
      </c>
      <c r="E4636" s="368"/>
      <c r="F4636" s="368"/>
    </row>
    <row r="4637" spans="1:6" ht="25.5" x14ac:dyDescent="0.2">
      <c r="A4637" s="391">
        <v>92980</v>
      </c>
      <c r="B4637" s="478" t="s">
        <v>2365</v>
      </c>
      <c r="C4637" s="391" t="s">
        <v>0</v>
      </c>
      <c r="D4637" s="479">
        <v>11.15</v>
      </c>
      <c r="E4637" s="368"/>
      <c r="F4637" s="368"/>
    </row>
    <row r="4638" spans="1:6" ht="25.5" x14ac:dyDescent="0.2">
      <c r="A4638" s="391">
        <v>92979</v>
      </c>
      <c r="B4638" s="478" t="s">
        <v>2364</v>
      </c>
      <c r="C4638" s="391" t="s">
        <v>0</v>
      </c>
      <c r="D4638" s="479">
        <v>11.67</v>
      </c>
      <c r="E4638" s="368"/>
      <c r="F4638" s="368"/>
    </row>
    <row r="4639" spans="1:6" ht="25.5" x14ac:dyDescent="0.2">
      <c r="A4639" s="391">
        <v>92982</v>
      </c>
      <c r="B4639" s="478" t="s">
        <v>2367</v>
      </c>
      <c r="C4639" s="391" t="s">
        <v>0</v>
      </c>
      <c r="D4639" s="479">
        <v>17.68</v>
      </c>
      <c r="E4639" s="368"/>
      <c r="F4639" s="368"/>
    </row>
    <row r="4640" spans="1:6" ht="25.5" x14ac:dyDescent="0.2">
      <c r="A4640" s="391">
        <v>92981</v>
      </c>
      <c r="B4640" s="478" t="s">
        <v>2366</v>
      </c>
      <c r="C4640" s="391" t="s">
        <v>0</v>
      </c>
      <c r="D4640" s="479">
        <v>16.68</v>
      </c>
      <c r="E4640" s="368"/>
      <c r="F4640" s="368"/>
    </row>
    <row r="4641" spans="1:6" ht="25.5" x14ac:dyDescent="0.2">
      <c r="A4641" s="391">
        <v>101885</v>
      </c>
      <c r="B4641" s="478" t="s">
        <v>2378</v>
      </c>
      <c r="C4641" s="391" t="s">
        <v>0</v>
      </c>
      <c r="D4641" s="479">
        <v>10.89</v>
      </c>
      <c r="E4641" s="368"/>
      <c r="F4641" s="368"/>
    </row>
    <row r="4642" spans="1:6" ht="25.5" x14ac:dyDescent="0.2">
      <c r="A4642" s="391">
        <v>101884</v>
      </c>
      <c r="B4642" s="478" t="s">
        <v>2377</v>
      </c>
      <c r="C4642" s="391" t="s">
        <v>0</v>
      </c>
      <c r="D4642" s="479">
        <v>11.41</v>
      </c>
      <c r="E4642" s="368"/>
      <c r="F4642" s="368"/>
    </row>
    <row r="4643" spans="1:6" ht="25.5" x14ac:dyDescent="0.2">
      <c r="A4643" s="391">
        <v>101887</v>
      </c>
      <c r="B4643" s="478" t="s">
        <v>2380</v>
      </c>
      <c r="C4643" s="391" t="s">
        <v>0</v>
      </c>
      <c r="D4643" s="479">
        <v>17.38</v>
      </c>
      <c r="E4643" s="368"/>
      <c r="F4643" s="368"/>
    </row>
    <row r="4644" spans="1:6" ht="25.5" x14ac:dyDescent="0.2">
      <c r="A4644" s="391">
        <v>101886</v>
      </c>
      <c r="B4644" s="478" t="s">
        <v>2379</v>
      </c>
      <c r="C4644" s="391" t="s">
        <v>0</v>
      </c>
      <c r="D4644" s="479">
        <v>16.38</v>
      </c>
      <c r="E4644" s="368"/>
      <c r="F4644" s="368"/>
    </row>
    <row r="4645" spans="1:6" ht="25.5" x14ac:dyDescent="0.2">
      <c r="A4645" s="391">
        <v>101889</v>
      </c>
      <c r="B4645" s="478" t="s">
        <v>2382</v>
      </c>
      <c r="C4645" s="391" t="s">
        <v>0</v>
      </c>
      <c r="D4645" s="479">
        <v>26.99</v>
      </c>
      <c r="E4645" s="368"/>
      <c r="F4645" s="368"/>
    </row>
    <row r="4646" spans="1:6" ht="25.5" x14ac:dyDescent="0.2">
      <c r="A4646" s="391">
        <v>101888</v>
      </c>
      <c r="B4646" s="478" t="s">
        <v>2381</v>
      </c>
      <c r="C4646" s="391" t="s">
        <v>0</v>
      </c>
      <c r="D4646" s="479">
        <v>25.67</v>
      </c>
      <c r="E4646" s="368"/>
      <c r="F4646" s="368"/>
    </row>
    <row r="4647" spans="1:6" ht="25.5" x14ac:dyDescent="0.2">
      <c r="A4647" s="391">
        <v>101938</v>
      </c>
      <c r="B4647" s="478" t="s">
        <v>2492</v>
      </c>
      <c r="C4647" s="391" t="s">
        <v>26</v>
      </c>
      <c r="D4647" s="479">
        <v>95.2</v>
      </c>
      <c r="E4647" s="368"/>
      <c r="F4647" s="368"/>
    </row>
    <row r="4648" spans="1:6" ht="25.5" x14ac:dyDescent="0.2">
      <c r="A4648" s="391">
        <v>101904</v>
      </c>
      <c r="B4648" s="478" t="s">
        <v>2491</v>
      </c>
      <c r="C4648" s="391" t="s">
        <v>26</v>
      </c>
      <c r="D4648" s="479">
        <v>1623.04</v>
      </c>
      <c r="E4648" s="368"/>
      <c r="F4648" s="368"/>
    </row>
    <row r="4649" spans="1:6" ht="25.5" x14ac:dyDescent="0.2">
      <c r="A4649" s="391">
        <v>101901</v>
      </c>
      <c r="B4649" s="478" t="s">
        <v>2488</v>
      </c>
      <c r="C4649" s="391" t="s">
        <v>26</v>
      </c>
      <c r="D4649" s="479">
        <v>170.59</v>
      </c>
      <c r="E4649" s="368"/>
      <c r="F4649" s="368"/>
    </row>
    <row r="4650" spans="1:6" ht="25.5" x14ac:dyDescent="0.2">
      <c r="A4650" s="391">
        <v>101902</v>
      </c>
      <c r="B4650" s="478" t="s">
        <v>2489</v>
      </c>
      <c r="C4650" s="391" t="s">
        <v>26</v>
      </c>
      <c r="D4650" s="479">
        <v>210.61</v>
      </c>
      <c r="E4650" s="368"/>
      <c r="F4650" s="368"/>
    </row>
    <row r="4651" spans="1:6" ht="25.5" x14ac:dyDescent="0.2">
      <c r="A4651" s="391">
        <v>101903</v>
      </c>
      <c r="B4651" s="478" t="s">
        <v>2490</v>
      </c>
      <c r="C4651" s="391" t="s">
        <v>26</v>
      </c>
      <c r="D4651" s="479">
        <v>439.71</v>
      </c>
      <c r="E4651" s="368"/>
      <c r="F4651" s="368"/>
    </row>
    <row r="4652" spans="1:6" ht="25.5" x14ac:dyDescent="0.2">
      <c r="A4652" s="391">
        <v>97400</v>
      </c>
      <c r="B4652" s="478" t="s">
        <v>41412</v>
      </c>
      <c r="C4652" s="391" t="s">
        <v>26</v>
      </c>
      <c r="D4652" s="479">
        <v>0</v>
      </c>
      <c r="E4652" s="368"/>
      <c r="F4652" s="368"/>
    </row>
    <row r="4653" spans="1:6" ht="25.5" x14ac:dyDescent="0.2">
      <c r="A4653" s="391">
        <v>97401</v>
      </c>
      <c r="B4653" s="478" t="s">
        <v>41413</v>
      </c>
      <c r="C4653" s="391" t="s">
        <v>26</v>
      </c>
      <c r="D4653" s="479">
        <v>0</v>
      </c>
      <c r="E4653" s="368"/>
      <c r="F4653" s="368"/>
    </row>
    <row r="4654" spans="1:6" ht="25.5" x14ac:dyDescent="0.2">
      <c r="A4654" s="391">
        <v>97403</v>
      </c>
      <c r="B4654" s="478" t="s">
        <v>41414</v>
      </c>
      <c r="C4654" s="391" t="s">
        <v>26</v>
      </c>
      <c r="D4654" s="479">
        <v>0</v>
      </c>
      <c r="E4654" s="368"/>
      <c r="F4654" s="368"/>
    </row>
    <row r="4655" spans="1:6" ht="25.5" x14ac:dyDescent="0.2">
      <c r="A4655" s="391">
        <v>97404</v>
      </c>
      <c r="B4655" s="478" t="s">
        <v>41415</v>
      </c>
      <c r="C4655" s="391" t="s">
        <v>26</v>
      </c>
      <c r="D4655" s="479">
        <v>0</v>
      </c>
      <c r="E4655" s="368"/>
      <c r="F4655" s="368"/>
    </row>
    <row r="4656" spans="1:6" ht="25.5" x14ac:dyDescent="0.2">
      <c r="A4656" s="391">
        <v>97406</v>
      </c>
      <c r="B4656" s="478" t="s">
        <v>41416</v>
      </c>
      <c r="C4656" s="391" t="s">
        <v>26</v>
      </c>
      <c r="D4656" s="479">
        <v>0</v>
      </c>
      <c r="E4656" s="368"/>
      <c r="F4656" s="368"/>
    </row>
    <row r="4657" spans="1:6" ht="25.5" x14ac:dyDescent="0.2">
      <c r="A4657" s="391">
        <v>97393</v>
      </c>
      <c r="B4657" s="478" t="s">
        <v>41417</v>
      </c>
      <c r="C4657" s="391" t="s">
        <v>26</v>
      </c>
      <c r="D4657" s="479">
        <v>0</v>
      </c>
      <c r="E4657" s="368"/>
      <c r="F4657" s="368"/>
    </row>
    <row r="4658" spans="1:6" ht="25.5" x14ac:dyDescent="0.2">
      <c r="A4658" s="391">
        <v>97407</v>
      </c>
      <c r="B4658" s="478" t="s">
        <v>41418</v>
      </c>
      <c r="C4658" s="391" t="s">
        <v>26</v>
      </c>
      <c r="D4658" s="479">
        <v>0</v>
      </c>
      <c r="E4658" s="368"/>
      <c r="F4658" s="368"/>
    </row>
    <row r="4659" spans="1:6" ht="25.5" x14ac:dyDescent="0.2">
      <c r="A4659" s="391">
        <v>97408</v>
      </c>
      <c r="B4659" s="478" t="s">
        <v>41419</v>
      </c>
      <c r="C4659" s="391" t="s">
        <v>26</v>
      </c>
      <c r="D4659" s="479">
        <v>0</v>
      </c>
      <c r="E4659" s="368"/>
      <c r="F4659" s="368"/>
    </row>
    <row r="4660" spans="1:6" ht="25.5" x14ac:dyDescent="0.2">
      <c r="A4660" s="391">
        <v>97394</v>
      </c>
      <c r="B4660" s="478" t="s">
        <v>41420</v>
      </c>
      <c r="C4660" s="391" t="s">
        <v>26</v>
      </c>
      <c r="D4660" s="479">
        <v>0</v>
      </c>
      <c r="E4660" s="368"/>
      <c r="F4660" s="368"/>
    </row>
    <row r="4661" spans="1:6" ht="25.5" x14ac:dyDescent="0.2">
      <c r="A4661" s="391">
        <v>97395</v>
      </c>
      <c r="B4661" s="478" t="s">
        <v>41421</v>
      </c>
      <c r="C4661" s="391" t="s">
        <v>26</v>
      </c>
      <c r="D4661" s="479">
        <v>0</v>
      </c>
      <c r="E4661" s="368"/>
      <c r="F4661" s="368"/>
    </row>
    <row r="4662" spans="1:6" ht="25.5" x14ac:dyDescent="0.2">
      <c r="A4662" s="391">
        <v>97398</v>
      </c>
      <c r="B4662" s="478" t="s">
        <v>41422</v>
      </c>
      <c r="C4662" s="391" t="s">
        <v>26</v>
      </c>
      <c r="D4662" s="479">
        <v>0</v>
      </c>
      <c r="E4662" s="368"/>
      <c r="F4662" s="368"/>
    </row>
    <row r="4663" spans="1:6" ht="25.5" x14ac:dyDescent="0.2">
      <c r="A4663" s="391">
        <v>97399</v>
      </c>
      <c r="B4663" s="478" t="s">
        <v>41423</v>
      </c>
      <c r="C4663" s="391" t="s">
        <v>26</v>
      </c>
      <c r="D4663" s="479">
        <v>0</v>
      </c>
      <c r="E4663" s="368"/>
      <c r="F4663" s="368"/>
    </row>
    <row r="4664" spans="1:6" ht="25.5" x14ac:dyDescent="0.2">
      <c r="A4664" s="391">
        <v>97414</v>
      </c>
      <c r="B4664" s="478" t="s">
        <v>41424</v>
      </c>
      <c r="C4664" s="391" t="s">
        <v>26</v>
      </c>
      <c r="D4664" s="479">
        <v>0</v>
      </c>
      <c r="E4664" s="368"/>
      <c r="F4664" s="368"/>
    </row>
    <row r="4665" spans="1:6" ht="25.5" x14ac:dyDescent="0.2">
      <c r="A4665" s="391">
        <v>97415</v>
      </c>
      <c r="B4665" s="478" t="s">
        <v>41425</v>
      </c>
      <c r="C4665" s="391" t="s">
        <v>26</v>
      </c>
      <c r="D4665" s="479">
        <v>0</v>
      </c>
      <c r="E4665" s="368"/>
      <c r="F4665" s="368"/>
    </row>
    <row r="4666" spans="1:6" ht="25.5" x14ac:dyDescent="0.2">
      <c r="A4666" s="391">
        <v>97416</v>
      </c>
      <c r="B4666" s="478" t="s">
        <v>41426</v>
      </c>
      <c r="C4666" s="391" t="s">
        <v>26</v>
      </c>
      <c r="D4666" s="479">
        <v>0</v>
      </c>
      <c r="E4666" s="368"/>
      <c r="F4666" s="368"/>
    </row>
    <row r="4667" spans="1:6" ht="25.5" x14ac:dyDescent="0.2">
      <c r="A4667" s="391">
        <v>97417</v>
      </c>
      <c r="B4667" s="478" t="s">
        <v>41427</v>
      </c>
      <c r="C4667" s="391" t="s">
        <v>26</v>
      </c>
      <c r="D4667" s="479">
        <v>0</v>
      </c>
      <c r="E4667" s="368"/>
      <c r="F4667" s="368"/>
    </row>
    <row r="4668" spans="1:6" ht="25.5" x14ac:dyDescent="0.2">
      <c r="A4668" s="391">
        <v>97418</v>
      </c>
      <c r="B4668" s="478" t="s">
        <v>41428</v>
      </c>
      <c r="C4668" s="391" t="s">
        <v>26</v>
      </c>
      <c r="D4668" s="479">
        <v>0</v>
      </c>
      <c r="E4668" s="368"/>
      <c r="F4668" s="368"/>
    </row>
    <row r="4669" spans="1:6" ht="25.5" x14ac:dyDescent="0.2">
      <c r="A4669" s="391">
        <v>97409</v>
      </c>
      <c r="B4669" s="478" t="s">
        <v>41429</v>
      </c>
      <c r="C4669" s="391" t="s">
        <v>26</v>
      </c>
      <c r="D4669" s="479">
        <v>0</v>
      </c>
      <c r="E4669" s="368"/>
      <c r="F4669" s="368"/>
    </row>
    <row r="4670" spans="1:6" ht="25.5" x14ac:dyDescent="0.2">
      <c r="A4670" s="391">
        <v>97419</v>
      </c>
      <c r="B4670" s="478" t="s">
        <v>41430</v>
      </c>
      <c r="C4670" s="391" t="s">
        <v>26</v>
      </c>
      <c r="D4670" s="479">
        <v>0</v>
      </c>
      <c r="E4670" s="368"/>
      <c r="F4670" s="368"/>
    </row>
    <row r="4671" spans="1:6" ht="25.5" x14ac:dyDescent="0.2">
      <c r="A4671" s="392">
        <v>97420</v>
      </c>
      <c r="B4671" s="480" t="s">
        <v>41431</v>
      </c>
      <c r="C4671" s="392" t="s">
        <v>26</v>
      </c>
      <c r="D4671" s="481">
        <v>0</v>
      </c>
      <c r="E4671" s="368"/>
      <c r="F4671" s="368"/>
    </row>
    <row r="4672" spans="1:6" ht="25.5" x14ac:dyDescent="0.2">
      <c r="A4672" s="392">
        <v>97410</v>
      </c>
      <c r="B4672" s="480" t="s">
        <v>41432</v>
      </c>
      <c r="C4672" s="392" t="s">
        <v>26</v>
      </c>
      <c r="D4672" s="481">
        <v>0</v>
      </c>
      <c r="E4672" s="368"/>
      <c r="F4672" s="368"/>
    </row>
    <row r="4673" spans="1:6" ht="25.5" x14ac:dyDescent="0.2">
      <c r="A4673" s="391">
        <v>97411</v>
      </c>
      <c r="B4673" s="478" t="s">
        <v>41433</v>
      </c>
      <c r="C4673" s="391" t="s">
        <v>26</v>
      </c>
      <c r="D4673" s="479">
        <v>0</v>
      </c>
      <c r="E4673" s="368"/>
      <c r="F4673" s="368"/>
    </row>
    <row r="4674" spans="1:6" ht="25.5" x14ac:dyDescent="0.2">
      <c r="A4674" s="391">
        <v>97412</v>
      </c>
      <c r="B4674" s="478" t="s">
        <v>41434</v>
      </c>
      <c r="C4674" s="391" t="s">
        <v>26</v>
      </c>
      <c r="D4674" s="479">
        <v>0</v>
      </c>
      <c r="E4674" s="368"/>
      <c r="F4674" s="368"/>
    </row>
    <row r="4675" spans="1:6" ht="25.5" x14ac:dyDescent="0.2">
      <c r="A4675" s="391">
        <v>97413</v>
      </c>
      <c r="B4675" s="478" t="s">
        <v>41435</v>
      </c>
      <c r="C4675" s="391" t="s">
        <v>26</v>
      </c>
      <c r="D4675" s="479">
        <v>0</v>
      </c>
      <c r="E4675" s="368"/>
      <c r="F4675" s="368"/>
    </row>
    <row r="4676" spans="1:6" ht="25.5" x14ac:dyDescent="0.2">
      <c r="A4676" s="391">
        <v>101900</v>
      </c>
      <c r="B4676" s="478" t="s">
        <v>47719</v>
      </c>
      <c r="C4676" s="391" t="s">
        <v>26</v>
      </c>
      <c r="D4676" s="479">
        <v>4546.16</v>
      </c>
      <c r="E4676" s="368"/>
      <c r="F4676" s="368"/>
    </row>
    <row r="4677" spans="1:6" ht="25.5" x14ac:dyDescent="0.2">
      <c r="A4677" s="391">
        <v>93660</v>
      </c>
      <c r="B4677" s="478" t="s">
        <v>2458</v>
      </c>
      <c r="C4677" s="391" t="s">
        <v>26</v>
      </c>
      <c r="D4677" s="479">
        <v>57.16</v>
      </c>
      <c r="E4677" s="368"/>
      <c r="F4677" s="368"/>
    </row>
    <row r="4678" spans="1:6" ht="25.5" x14ac:dyDescent="0.2">
      <c r="A4678" s="391">
        <v>93661</v>
      </c>
      <c r="B4678" s="478" t="s">
        <v>2459</v>
      </c>
      <c r="C4678" s="391" t="s">
        <v>26</v>
      </c>
      <c r="D4678" s="479">
        <v>58.42</v>
      </c>
      <c r="E4678" s="368"/>
      <c r="F4678" s="368"/>
    </row>
    <row r="4679" spans="1:6" ht="25.5" x14ac:dyDescent="0.2">
      <c r="A4679" s="391">
        <v>93662</v>
      </c>
      <c r="B4679" s="478" t="s">
        <v>2460</v>
      </c>
      <c r="C4679" s="391" t="s">
        <v>26</v>
      </c>
      <c r="D4679" s="479">
        <v>60.92</v>
      </c>
      <c r="E4679" s="368"/>
      <c r="F4679" s="368"/>
    </row>
    <row r="4680" spans="1:6" ht="25.5" x14ac:dyDescent="0.2">
      <c r="A4680" s="391">
        <v>93663</v>
      </c>
      <c r="B4680" s="480" t="s">
        <v>2461</v>
      </c>
      <c r="C4680" s="391" t="s">
        <v>26</v>
      </c>
      <c r="D4680" s="479">
        <v>60.92</v>
      </c>
      <c r="E4680" s="368"/>
      <c r="F4680" s="368"/>
    </row>
    <row r="4681" spans="1:6" ht="25.5" x14ac:dyDescent="0.2">
      <c r="A4681" s="391">
        <v>93664</v>
      </c>
      <c r="B4681" s="480" t="s">
        <v>2462</v>
      </c>
      <c r="C4681" s="391" t="s">
        <v>26</v>
      </c>
      <c r="D4681" s="479">
        <v>63.94</v>
      </c>
      <c r="E4681" s="368"/>
      <c r="F4681" s="368"/>
    </row>
    <row r="4682" spans="1:6" ht="25.5" x14ac:dyDescent="0.2">
      <c r="A4682" s="391">
        <v>93665</v>
      </c>
      <c r="B4682" s="480" t="s">
        <v>2463</v>
      </c>
      <c r="C4682" s="391" t="s">
        <v>26</v>
      </c>
      <c r="D4682" s="479">
        <v>67.87</v>
      </c>
      <c r="E4682" s="368"/>
      <c r="F4682" s="368"/>
    </row>
    <row r="4683" spans="1:6" ht="25.5" x14ac:dyDescent="0.2">
      <c r="A4683" s="391">
        <v>93666</v>
      </c>
      <c r="B4683" s="480" t="s">
        <v>2464</v>
      </c>
      <c r="C4683" s="391" t="s">
        <v>26</v>
      </c>
      <c r="D4683" s="479">
        <v>73.98</v>
      </c>
      <c r="E4683" s="368"/>
      <c r="F4683" s="368"/>
    </row>
    <row r="4684" spans="1:6" ht="25.5" x14ac:dyDescent="0.2">
      <c r="A4684" s="391">
        <v>93674</v>
      </c>
      <c r="B4684" s="480" t="s">
        <v>41436</v>
      </c>
      <c r="C4684" s="391" t="s">
        <v>26</v>
      </c>
      <c r="D4684" s="479">
        <v>0</v>
      </c>
      <c r="E4684" s="368"/>
      <c r="F4684" s="368"/>
    </row>
    <row r="4685" spans="1:6" ht="25.5" x14ac:dyDescent="0.2">
      <c r="A4685" s="391">
        <v>93675</v>
      </c>
      <c r="B4685" s="478" t="s">
        <v>41437</v>
      </c>
      <c r="C4685" s="391" t="s">
        <v>26</v>
      </c>
      <c r="D4685" s="479">
        <v>0</v>
      </c>
      <c r="E4685" s="368"/>
      <c r="F4685" s="368"/>
    </row>
    <row r="4686" spans="1:6" ht="25.5" x14ac:dyDescent="0.2">
      <c r="A4686" s="391">
        <v>101892</v>
      </c>
      <c r="B4686" s="478" t="s">
        <v>2485</v>
      </c>
      <c r="C4686" s="391" t="s">
        <v>26</v>
      </c>
      <c r="D4686" s="479">
        <v>72.06</v>
      </c>
      <c r="E4686" s="368"/>
      <c r="F4686" s="368"/>
    </row>
    <row r="4687" spans="1:6" ht="25.5" x14ac:dyDescent="0.2">
      <c r="A4687" s="391">
        <v>93653</v>
      </c>
      <c r="B4687" s="482" t="s">
        <v>2452</v>
      </c>
      <c r="C4687" s="391" t="s">
        <v>26</v>
      </c>
      <c r="D4687" s="479">
        <v>11.79</v>
      </c>
      <c r="E4687" s="368"/>
      <c r="F4687" s="368"/>
    </row>
    <row r="4688" spans="1:6" ht="25.5" x14ac:dyDescent="0.2">
      <c r="A4688" s="391">
        <v>93654</v>
      </c>
      <c r="B4688" s="478" t="s">
        <v>38</v>
      </c>
      <c r="C4688" s="391" t="s">
        <v>26</v>
      </c>
      <c r="D4688" s="479">
        <v>12.41</v>
      </c>
      <c r="E4688" s="368"/>
      <c r="F4688" s="368"/>
    </row>
    <row r="4689" spans="1:6" ht="25.5" x14ac:dyDescent="0.2">
      <c r="A4689" s="391">
        <v>93655</v>
      </c>
      <c r="B4689" s="478" t="s">
        <v>2453</v>
      </c>
      <c r="C4689" s="391" t="s">
        <v>26</v>
      </c>
      <c r="D4689" s="479">
        <v>13.67</v>
      </c>
      <c r="E4689" s="368"/>
      <c r="F4689" s="368"/>
    </row>
    <row r="4690" spans="1:6" ht="25.5" x14ac:dyDescent="0.2">
      <c r="A4690" s="391">
        <v>93656</v>
      </c>
      <c r="B4690" s="478" t="s">
        <v>2454</v>
      </c>
      <c r="C4690" s="391" t="s">
        <v>26</v>
      </c>
      <c r="D4690" s="479">
        <v>13.67</v>
      </c>
      <c r="E4690" s="368"/>
      <c r="F4690" s="368"/>
    </row>
    <row r="4691" spans="1:6" ht="25.5" x14ac:dyDescent="0.2">
      <c r="A4691" s="391">
        <v>93657</v>
      </c>
      <c r="B4691" s="478" t="s">
        <v>2455</v>
      </c>
      <c r="C4691" s="391" t="s">
        <v>26</v>
      </c>
      <c r="D4691" s="479">
        <v>15.17</v>
      </c>
      <c r="E4691" s="368"/>
      <c r="F4691" s="368"/>
    </row>
    <row r="4692" spans="1:6" ht="25.5" x14ac:dyDescent="0.2">
      <c r="A4692" s="391">
        <v>93658</v>
      </c>
      <c r="B4692" s="478" t="s">
        <v>2456</v>
      </c>
      <c r="C4692" s="391" t="s">
        <v>26</v>
      </c>
      <c r="D4692" s="479">
        <v>21.88</v>
      </c>
      <c r="E4692" s="368"/>
      <c r="F4692" s="368"/>
    </row>
    <row r="4693" spans="1:6" ht="25.5" x14ac:dyDescent="0.2">
      <c r="A4693" s="391">
        <v>93659</v>
      </c>
      <c r="B4693" s="482" t="s">
        <v>2457</v>
      </c>
      <c r="C4693" s="391" t="s">
        <v>26</v>
      </c>
      <c r="D4693" s="479">
        <v>24.94</v>
      </c>
      <c r="E4693" s="368"/>
      <c r="F4693" s="368"/>
    </row>
    <row r="4694" spans="1:6" ht="25.5" x14ac:dyDescent="0.2">
      <c r="A4694" s="391">
        <v>101890</v>
      </c>
      <c r="B4694" s="478" t="s">
        <v>2483</v>
      </c>
      <c r="C4694" s="391" t="s">
        <v>26</v>
      </c>
      <c r="D4694" s="479">
        <v>16.329999999999998</v>
      </c>
      <c r="E4694" s="368"/>
      <c r="F4694" s="368"/>
    </row>
    <row r="4695" spans="1:6" ht="25.5" x14ac:dyDescent="0.2">
      <c r="A4695" s="391">
        <v>101891</v>
      </c>
      <c r="B4695" s="482" t="s">
        <v>2484</v>
      </c>
      <c r="C4695" s="391" t="s">
        <v>26</v>
      </c>
      <c r="D4695" s="479">
        <v>28.08</v>
      </c>
      <c r="E4695" s="368"/>
      <c r="F4695" s="368"/>
    </row>
    <row r="4696" spans="1:6" ht="25.5" x14ac:dyDescent="0.2">
      <c r="A4696" s="391">
        <v>101895</v>
      </c>
      <c r="B4696" s="478" t="s">
        <v>47720</v>
      </c>
      <c r="C4696" s="391" t="s">
        <v>26</v>
      </c>
      <c r="D4696" s="479">
        <v>428.05</v>
      </c>
      <c r="E4696" s="368"/>
      <c r="F4696" s="368"/>
    </row>
    <row r="4697" spans="1:6" ht="25.5" x14ac:dyDescent="0.2">
      <c r="A4697" s="391">
        <v>101896</v>
      </c>
      <c r="B4697" s="478" t="s">
        <v>47721</v>
      </c>
      <c r="C4697" s="391" t="s">
        <v>26</v>
      </c>
      <c r="D4697" s="479">
        <v>640.99</v>
      </c>
      <c r="E4697" s="368"/>
      <c r="F4697" s="368"/>
    </row>
    <row r="4698" spans="1:6" ht="25.5" x14ac:dyDescent="0.2">
      <c r="A4698" s="391">
        <v>101897</v>
      </c>
      <c r="B4698" s="478" t="s">
        <v>47722</v>
      </c>
      <c r="C4698" s="391" t="s">
        <v>26</v>
      </c>
      <c r="D4698" s="479">
        <v>1021.48</v>
      </c>
      <c r="E4698" s="368"/>
      <c r="F4698" s="368"/>
    </row>
    <row r="4699" spans="1:6" ht="25.5" x14ac:dyDescent="0.2">
      <c r="A4699" s="391">
        <v>101898</v>
      </c>
      <c r="B4699" s="478" t="s">
        <v>47723</v>
      </c>
      <c r="C4699" s="391" t="s">
        <v>26</v>
      </c>
      <c r="D4699" s="479">
        <v>1364.74</v>
      </c>
      <c r="E4699" s="368"/>
      <c r="F4699" s="368"/>
    </row>
    <row r="4700" spans="1:6" ht="25.5" x14ac:dyDescent="0.2">
      <c r="A4700" s="391">
        <v>101899</v>
      </c>
      <c r="B4700" s="478" t="s">
        <v>47724</v>
      </c>
      <c r="C4700" s="391" t="s">
        <v>26</v>
      </c>
      <c r="D4700" s="479">
        <v>2181.23</v>
      </c>
      <c r="E4700" s="368"/>
      <c r="F4700" s="368"/>
    </row>
    <row r="4701" spans="1:6" ht="25.5" x14ac:dyDescent="0.2">
      <c r="A4701" s="391">
        <v>93676</v>
      </c>
      <c r="B4701" s="478" t="s">
        <v>41438</v>
      </c>
      <c r="C4701" s="391" t="s">
        <v>26</v>
      </c>
      <c r="D4701" s="479">
        <v>0</v>
      </c>
      <c r="E4701" s="368"/>
      <c r="F4701" s="368"/>
    </row>
    <row r="4702" spans="1:6" ht="25.5" x14ac:dyDescent="0.2">
      <c r="A4702" s="391">
        <v>97711</v>
      </c>
      <c r="B4702" s="478" t="s">
        <v>41439</v>
      </c>
      <c r="C4702" s="391" t="s">
        <v>26</v>
      </c>
      <c r="D4702" s="479">
        <v>0</v>
      </c>
      <c r="E4702" s="368"/>
      <c r="F4702" s="368"/>
    </row>
    <row r="4703" spans="1:6" ht="25.5" x14ac:dyDescent="0.2">
      <c r="A4703" s="391">
        <v>93667</v>
      </c>
      <c r="B4703" s="478" t="s">
        <v>2465</v>
      </c>
      <c r="C4703" s="391" t="s">
        <v>26</v>
      </c>
      <c r="D4703" s="479">
        <v>71.58</v>
      </c>
      <c r="E4703" s="368"/>
      <c r="F4703" s="368"/>
    </row>
    <row r="4704" spans="1:6" ht="25.5" x14ac:dyDescent="0.2">
      <c r="A4704" s="391">
        <v>93668</v>
      </c>
      <c r="B4704" s="478" t="s">
        <v>2466</v>
      </c>
      <c r="C4704" s="391" t="s">
        <v>26</v>
      </c>
      <c r="D4704" s="479">
        <v>73.459999999999994</v>
      </c>
      <c r="E4704" s="368"/>
      <c r="F4704" s="368"/>
    </row>
    <row r="4705" spans="1:6" ht="25.5" x14ac:dyDescent="0.2">
      <c r="A4705" s="391">
        <v>93669</v>
      </c>
      <c r="B4705" s="478" t="s">
        <v>2467</v>
      </c>
      <c r="C4705" s="391" t="s">
        <v>26</v>
      </c>
      <c r="D4705" s="479">
        <v>77.22</v>
      </c>
      <c r="E4705" s="368"/>
      <c r="F4705" s="368"/>
    </row>
    <row r="4706" spans="1:6" ht="25.5" x14ac:dyDescent="0.2">
      <c r="A4706" s="391">
        <v>93670</v>
      </c>
      <c r="B4706" s="478" t="s">
        <v>2468</v>
      </c>
      <c r="C4706" s="391" t="s">
        <v>26</v>
      </c>
      <c r="D4706" s="479">
        <v>77.22</v>
      </c>
      <c r="E4706" s="368"/>
      <c r="F4706" s="368"/>
    </row>
    <row r="4707" spans="1:6" ht="25.5" x14ac:dyDescent="0.2">
      <c r="A4707" s="391">
        <v>93671</v>
      </c>
      <c r="B4707" s="478" t="s">
        <v>2469</v>
      </c>
      <c r="C4707" s="391" t="s">
        <v>26</v>
      </c>
      <c r="D4707" s="479">
        <v>81.739999999999995</v>
      </c>
      <c r="E4707" s="368"/>
      <c r="F4707" s="368"/>
    </row>
    <row r="4708" spans="1:6" ht="25.5" x14ac:dyDescent="0.2">
      <c r="A4708" s="391">
        <v>93672</v>
      </c>
      <c r="B4708" s="478" t="s">
        <v>2470</v>
      </c>
      <c r="C4708" s="391" t="s">
        <v>26</v>
      </c>
      <c r="D4708" s="479">
        <v>88.82</v>
      </c>
      <c r="E4708" s="368"/>
      <c r="F4708" s="368"/>
    </row>
    <row r="4709" spans="1:6" ht="25.5" x14ac:dyDescent="0.2">
      <c r="A4709" s="391">
        <v>93673</v>
      </c>
      <c r="B4709" s="478" t="s">
        <v>2471</v>
      </c>
      <c r="C4709" s="391" t="s">
        <v>26</v>
      </c>
      <c r="D4709" s="479">
        <v>98</v>
      </c>
      <c r="E4709" s="368"/>
      <c r="F4709" s="368"/>
    </row>
    <row r="4710" spans="1:6" ht="25.5" x14ac:dyDescent="0.2">
      <c r="A4710" s="391">
        <v>101893</v>
      </c>
      <c r="B4710" s="478" t="s">
        <v>2486</v>
      </c>
      <c r="C4710" s="391" t="s">
        <v>26</v>
      </c>
      <c r="D4710" s="479">
        <v>92.25</v>
      </c>
      <c r="E4710" s="368"/>
      <c r="F4710" s="368"/>
    </row>
    <row r="4711" spans="1:6" ht="25.5" x14ac:dyDescent="0.2">
      <c r="A4711" s="391">
        <v>101894</v>
      </c>
      <c r="B4711" s="478" t="s">
        <v>2487</v>
      </c>
      <c r="C4711" s="391" t="s">
        <v>26</v>
      </c>
      <c r="D4711" s="479">
        <v>158.22999999999999</v>
      </c>
      <c r="E4711" s="368"/>
      <c r="F4711" s="368"/>
    </row>
    <row r="4712" spans="1:6" ht="25.5" x14ac:dyDescent="0.2">
      <c r="A4712" s="391">
        <v>97421</v>
      </c>
      <c r="B4712" s="478" t="s">
        <v>41440</v>
      </c>
      <c r="C4712" s="391" t="s">
        <v>26</v>
      </c>
      <c r="D4712" s="479">
        <v>0</v>
      </c>
      <c r="E4712" s="368"/>
      <c r="F4712" s="368"/>
    </row>
    <row r="4713" spans="1:6" ht="25.5" x14ac:dyDescent="0.2">
      <c r="A4713" s="391">
        <v>97373</v>
      </c>
      <c r="B4713" s="478" t="s">
        <v>41441</v>
      </c>
      <c r="C4713" s="391" t="s">
        <v>0</v>
      </c>
      <c r="D4713" s="479">
        <v>0</v>
      </c>
      <c r="E4713" s="368"/>
      <c r="F4713" s="368"/>
    </row>
    <row r="4714" spans="1:6" ht="25.5" x14ac:dyDescent="0.2">
      <c r="A4714" s="391">
        <v>97374</v>
      </c>
      <c r="B4714" s="478" t="s">
        <v>41442</v>
      </c>
      <c r="C4714" s="391" t="s">
        <v>0</v>
      </c>
      <c r="D4714" s="479">
        <v>0</v>
      </c>
      <c r="E4714" s="368"/>
      <c r="F4714" s="368"/>
    </row>
    <row r="4715" spans="1:6" ht="25.5" x14ac:dyDescent="0.2">
      <c r="A4715" s="391">
        <v>97375</v>
      </c>
      <c r="B4715" s="478" t="s">
        <v>41443</v>
      </c>
      <c r="C4715" s="391" t="s">
        <v>0</v>
      </c>
      <c r="D4715" s="479">
        <v>0</v>
      </c>
      <c r="E4715" s="368"/>
      <c r="F4715" s="368"/>
    </row>
    <row r="4716" spans="1:6" ht="25.5" x14ac:dyDescent="0.2">
      <c r="A4716" s="391">
        <v>97376</v>
      </c>
      <c r="B4716" s="478" t="s">
        <v>41444</v>
      </c>
      <c r="C4716" s="391" t="s">
        <v>0</v>
      </c>
      <c r="D4716" s="479">
        <v>0</v>
      </c>
      <c r="E4716" s="368"/>
      <c r="F4716" s="368"/>
    </row>
    <row r="4717" spans="1:6" ht="25.5" x14ac:dyDescent="0.2">
      <c r="A4717" s="391">
        <v>97377</v>
      </c>
      <c r="B4717" s="478" t="s">
        <v>41445</v>
      </c>
      <c r="C4717" s="391" t="s">
        <v>0</v>
      </c>
      <c r="D4717" s="479">
        <v>0</v>
      </c>
      <c r="E4717" s="368"/>
      <c r="F4717" s="368"/>
    </row>
    <row r="4718" spans="1:6" ht="25.5" x14ac:dyDescent="0.2">
      <c r="A4718" s="391">
        <v>97368</v>
      </c>
      <c r="B4718" s="478" t="s">
        <v>41446</v>
      </c>
      <c r="C4718" s="391" t="s">
        <v>0</v>
      </c>
      <c r="D4718" s="479">
        <v>0</v>
      </c>
      <c r="E4718" s="368"/>
      <c r="F4718" s="368"/>
    </row>
    <row r="4719" spans="1:6" ht="25.5" x14ac:dyDescent="0.2">
      <c r="A4719" s="391">
        <v>97369</v>
      </c>
      <c r="B4719" s="478" t="s">
        <v>41447</v>
      </c>
      <c r="C4719" s="391" t="s">
        <v>0</v>
      </c>
      <c r="D4719" s="479">
        <v>0</v>
      </c>
      <c r="E4719" s="368"/>
      <c r="F4719" s="368"/>
    </row>
    <row r="4720" spans="1:6" ht="25.5" x14ac:dyDescent="0.2">
      <c r="A4720" s="391">
        <v>97370</v>
      </c>
      <c r="B4720" s="478" t="s">
        <v>41448</v>
      </c>
      <c r="C4720" s="391" t="s">
        <v>0</v>
      </c>
      <c r="D4720" s="479">
        <v>0</v>
      </c>
      <c r="E4720" s="368"/>
      <c r="F4720" s="368"/>
    </row>
    <row r="4721" spans="1:6" ht="25.5" x14ac:dyDescent="0.2">
      <c r="A4721" s="391">
        <v>97371</v>
      </c>
      <c r="B4721" s="478" t="s">
        <v>41449</v>
      </c>
      <c r="C4721" s="391" t="s">
        <v>0</v>
      </c>
      <c r="D4721" s="479">
        <v>0</v>
      </c>
      <c r="E4721" s="368"/>
      <c r="F4721" s="368"/>
    </row>
    <row r="4722" spans="1:6" ht="25.5" x14ac:dyDescent="0.2">
      <c r="A4722" s="391">
        <v>97372</v>
      </c>
      <c r="B4722" s="478" t="s">
        <v>41450</v>
      </c>
      <c r="C4722" s="391" t="s">
        <v>0</v>
      </c>
      <c r="D4722" s="479">
        <v>0</v>
      </c>
      <c r="E4722" s="368"/>
      <c r="F4722" s="368"/>
    </row>
    <row r="4723" spans="1:6" ht="38.25" x14ac:dyDescent="0.2">
      <c r="A4723" s="391">
        <v>101875</v>
      </c>
      <c r="B4723" s="478" t="s">
        <v>2476</v>
      </c>
      <c r="C4723" s="391" t="s">
        <v>26</v>
      </c>
      <c r="D4723" s="479">
        <v>357.55</v>
      </c>
      <c r="E4723" s="368"/>
      <c r="F4723" s="368"/>
    </row>
    <row r="4724" spans="1:6" ht="38.25" x14ac:dyDescent="0.2">
      <c r="A4724" s="391">
        <v>101883</v>
      </c>
      <c r="B4724" s="478" t="s">
        <v>43</v>
      </c>
      <c r="C4724" s="391" t="s">
        <v>26</v>
      </c>
      <c r="D4724" s="479">
        <v>491.79</v>
      </c>
      <c r="E4724" s="368"/>
      <c r="F4724" s="368"/>
    </row>
    <row r="4725" spans="1:6" ht="38.25" x14ac:dyDescent="0.2">
      <c r="A4725" s="391">
        <v>101879</v>
      </c>
      <c r="B4725" s="478" t="s">
        <v>37</v>
      </c>
      <c r="C4725" s="391" t="s">
        <v>26</v>
      </c>
      <c r="D4725" s="479">
        <v>515.74</v>
      </c>
      <c r="E4725" s="368"/>
      <c r="F4725" s="368"/>
    </row>
    <row r="4726" spans="1:6" ht="38.25" x14ac:dyDescent="0.2">
      <c r="A4726" s="391">
        <v>101880</v>
      </c>
      <c r="B4726" s="478" t="s">
        <v>2480</v>
      </c>
      <c r="C4726" s="391" t="s">
        <v>26</v>
      </c>
      <c r="D4726" s="479">
        <v>594.44000000000005</v>
      </c>
      <c r="E4726" s="368"/>
      <c r="F4726" s="368"/>
    </row>
    <row r="4727" spans="1:6" ht="38.25" x14ac:dyDescent="0.2">
      <c r="A4727" s="391">
        <v>101882</v>
      </c>
      <c r="B4727" s="478" t="s">
        <v>2482</v>
      </c>
      <c r="C4727" s="391" t="s">
        <v>26</v>
      </c>
      <c r="D4727" s="479">
        <v>1204.27</v>
      </c>
      <c r="E4727" s="368"/>
      <c r="F4727" s="368"/>
    </row>
    <row r="4728" spans="1:6" ht="38.25" x14ac:dyDescent="0.2">
      <c r="A4728" s="391">
        <v>101881</v>
      </c>
      <c r="B4728" s="478" t="s">
        <v>2481</v>
      </c>
      <c r="C4728" s="391" t="s">
        <v>26</v>
      </c>
      <c r="D4728" s="479">
        <v>850.84</v>
      </c>
      <c r="E4728" s="368"/>
      <c r="F4728" s="368"/>
    </row>
    <row r="4729" spans="1:6" ht="38.25" x14ac:dyDescent="0.2">
      <c r="A4729" s="391">
        <v>101878</v>
      </c>
      <c r="B4729" s="478" t="s">
        <v>2479</v>
      </c>
      <c r="C4729" s="391" t="s">
        <v>26</v>
      </c>
      <c r="D4729" s="479">
        <v>498.25</v>
      </c>
      <c r="E4729" s="368"/>
      <c r="F4729" s="368"/>
    </row>
    <row r="4730" spans="1:6" ht="38.25" x14ac:dyDescent="0.2">
      <c r="A4730" s="391">
        <v>101877</v>
      </c>
      <c r="B4730" s="478" t="s">
        <v>2478</v>
      </c>
      <c r="C4730" s="391" t="s">
        <v>26</v>
      </c>
      <c r="D4730" s="479">
        <v>49.61</v>
      </c>
      <c r="E4730" s="368"/>
      <c r="F4730" s="368"/>
    </row>
    <row r="4731" spans="1:6" ht="38.25" x14ac:dyDescent="0.2">
      <c r="A4731" s="391">
        <v>101876</v>
      </c>
      <c r="B4731" s="478" t="s">
        <v>2477</v>
      </c>
      <c r="C4731" s="391" t="s">
        <v>26</v>
      </c>
      <c r="D4731" s="479">
        <v>70.89</v>
      </c>
      <c r="E4731" s="368"/>
      <c r="F4731" s="368"/>
    </row>
    <row r="4732" spans="1:6" ht="25.5" x14ac:dyDescent="0.2">
      <c r="A4732" s="391">
        <v>101873</v>
      </c>
      <c r="B4732" s="478" t="s">
        <v>41451</v>
      </c>
      <c r="C4732" s="391" t="s">
        <v>26</v>
      </c>
      <c r="D4732" s="479">
        <v>0</v>
      </c>
      <c r="E4732" s="368"/>
      <c r="F4732" s="368"/>
    </row>
    <row r="4733" spans="1:6" ht="25.5" x14ac:dyDescent="0.2">
      <c r="A4733" s="391">
        <v>101874</v>
      </c>
      <c r="B4733" s="478" t="s">
        <v>41452</v>
      </c>
      <c r="C4733" s="391" t="s">
        <v>26</v>
      </c>
      <c r="D4733" s="479">
        <v>0</v>
      </c>
      <c r="E4733" s="368"/>
      <c r="F4733" s="368"/>
    </row>
    <row r="4734" spans="1:6" ht="25.5" x14ac:dyDescent="0.2">
      <c r="A4734" s="391">
        <v>101871</v>
      </c>
      <c r="B4734" s="478" t="s">
        <v>41453</v>
      </c>
      <c r="C4734" s="391" t="s">
        <v>26</v>
      </c>
      <c r="D4734" s="479">
        <v>0</v>
      </c>
      <c r="E4734" s="368"/>
      <c r="F4734" s="368"/>
    </row>
    <row r="4735" spans="1:6" ht="25.5" x14ac:dyDescent="0.2">
      <c r="A4735" s="391">
        <v>101872</v>
      </c>
      <c r="B4735" s="478" t="s">
        <v>41454</v>
      </c>
      <c r="C4735" s="391" t="s">
        <v>26</v>
      </c>
      <c r="D4735" s="479">
        <v>0</v>
      </c>
      <c r="E4735" s="368"/>
      <c r="F4735" s="368"/>
    </row>
    <row r="4736" spans="1:6" ht="25.5" x14ac:dyDescent="0.2">
      <c r="A4736" s="391">
        <v>97360</v>
      </c>
      <c r="B4736" s="478" t="s">
        <v>2473</v>
      </c>
      <c r="C4736" s="391" t="s">
        <v>26</v>
      </c>
      <c r="D4736" s="479">
        <v>5802.39</v>
      </c>
      <c r="E4736" s="368"/>
      <c r="F4736" s="368"/>
    </row>
    <row r="4737" spans="1:6" ht="25.5" x14ac:dyDescent="0.2">
      <c r="A4737" s="391">
        <v>97361</v>
      </c>
      <c r="B4737" s="478" t="s">
        <v>2474</v>
      </c>
      <c r="C4737" s="391" t="s">
        <v>26</v>
      </c>
      <c r="D4737" s="479">
        <v>7736.53</v>
      </c>
      <c r="E4737" s="368"/>
      <c r="F4737" s="368"/>
    </row>
    <row r="4738" spans="1:6" ht="25.5" x14ac:dyDescent="0.2">
      <c r="A4738" s="391">
        <v>97359</v>
      </c>
      <c r="B4738" s="478" t="s">
        <v>2472</v>
      </c>
      <c r="C4738" s="391" t="s">
        <v>26</v>
      </c>
      <c r="D4738" s="479">
        <v>3018.26</v>
      </c>
      <c r="E4738" s="368"/>
      <c r="F4738" s="368"/>
    </row>
    <row r="4739" spans="1:6" ht="25.5" x14ac:dyDescent="0.2">
      <c r="A4739" s="391">
        <v>101946</v>
      </c>
      <c r="B4739" s="478" t="s">
        <v>2493</v>
      </c>
      <c r="C4739" s="391" t="s">
        <v>26</v>
      </c>
      <c r="D4739" s="479">
        <v>147.27000000000001</v>
      </c>
      <c r="E4739" s="368"/>
      <c r="F4739" s="368"/>
    </row>
    <row r="4740" spans="1:6" ht="25.5" x14ac:dyDescent="0.2">
      <c r="A4740" s="391">
        <v>97362</v>
      </c>
      <c r="B4740" s="478" t="s">
        <v>2475</v>
      </c>
      <c r="C4740" s="391" t="s">
        <v>26</v>
      </c>
      <c r="D4740" s="479">
        <v>1646.02</v>
      </c>
      <c r="E4740" s="368"/>
      <c r="F4740" s="368"/>
    </row>
    <row r="4741" spans="1:6" ht="25.5" x14ac:dyDescent="0.2">
      <c r="A4741" s="391">
        <v>101553</v>
      </c>
      <c r="B4741" s="478" t="s">
        <v>47725</v>
      </c>
      <c r="C4741" s="391" t="s">
        <v>26</v>
      </c>
      <c r="D4741" s="479">
        <v>14.26</v>
      </c>
      <c r="E4741" s="368"/>
      <c r="F4741" s="368"/>
    </row>
    <row r="4742" spans="1:6" ht="25.5" x14ac:dyDescent="0.2">
      <c r="A4742" s="391">
        <v>101554</v>
      </c>
      <c r="B4742" s="478" t="s">
        <v>47726</v>
      </c>
      <c r="C4742" s="391" t="s">
        <v>26</v>
      </c>
      <c r="D4742" s="479">
        <v>10.46</v>
      </c>
      <c r="E4742" s="368"/>
      <c r="F4742" s="368"/>
    </row>
    <row r="4743" spans="1:6" ht="25.5" x14ac:dyDescent="0.2">
      <c r="A4743" s="391">
        <v>101555</v>
      </c>
      <c r="B4743" s="478" t="s">
        <v>47727</v>
      </c>
      <c r="C4743" s="391" t="s">
        <v>26</v>
      </c>
      <c r="D4743" s="479">
        <v>7</v>
      </c>
      <c r="E4743" s="368"/>
      <c r="F4743" s="368"/>
    </row>
    <row r="4744" spans="1:6" ht="25.5" x14ac:dyDescent="0.2">
      <c r="A4744" s="391">
        <v>101556</v>
      </c>
      <c r="B4744" s="478" t="s">
        <v>47728</v>
      </c>
      <c r="C4744" s="391" t="s">
        <v>26</v>
      </c>
      <c r="D4744" s="479">
        <v>6.45</v>
      </c>
      <c r="E4744" s="368"/>
      <c r="F4744" s="368"/>
    </row>
    <row r="4745" spans="1:6" ht="25.5" x14ac:dyDescent="0.2">
      <c r="A4745" s="391">
        <v>101537</v>
      </c>
      <c r="B4745" s="478" t="s">
        <v>2619</v>
      </c>
      <c r="C4745" s="391" t="s">
        <v>26</v>
      </c>
      <c r="D4745" s="479">
        <v>89.54</v>
      </c>
      <c r="E4745" s="368"/>
      <c r="F4745" s="368"/>
    </row>
    <row r="4746" spans="1:6" ht="25.5" x14ac:dyDescent="0.2">
      <c r="A4746" s="391">
        <v>101538</v>
      </c>
      <c r="B4746" s="478" t="s">
        <v>2620</v>
      </c>
      <c r="C4746" s="391" t="s">
        <v>26</v>
      </c>
      <c r="D4746" s="479">
        <v>41.78</v>
      </c>
      <c r="E4746" s="368"/>
      <c r="F4746" s="368"/>
    </row>
    <row r="4747" spans="1:6" ht="25.5" x14ac:dyDescent="0.2">
      <c r="A4747" s="391">
        <v>101542</v>
      </c>
      <c r="B4747" s="478" t="s">
        <v>2624</v>
      </c>
      <c r="C4747" s="391" t="s">
        <v>26</v>
      </c>
      <c r="D4747" s="479">
        <v>32.090000000000003</v>
      </c>
      <c r="E4747" s="368"/>
      <c r="F4747" s="368"/>
    </row>
    <row r="4748" spans="1:6" ht="25.5" x14ac:dyDescent="0.2">
      <c r="A4748" s="391">
        <v>101539</v>
      </c>
      <c r="B4748" s="478" t="s">
        <v>2621</v>
      </c>
      <c r="C4748" s="391" t="s">
        <v>26</v>
      </c>
      <c r="D4748" s="479">
        <v>70.19</v>
      </c>
      <c r="E4748" s="368"/>
      <c r="F4748" s="368"/>
    </row>
    <row r="4749" spans="1:6" ht="25.5" x14ac:dyDescent="0.2">
      <c r="A4749" s="391">
        <v>101543</v>
      </c>
      <c r="B4749" s="478" t="s">
        <v>2625</v>
      </c>
      <c r="C4749" s="391" t="s">
        <v>26</v>
      </c>
      <c r="D4749" s="479">
        <v>57.72</v>
      </c>
      <c r="E4749" s="368"/>
      <c r="F4749" s="368"/>
    </row>
    <row r="4750" spans="1:6" ht="25.5" x14ac:dyDescent="0.2">
      <c r="A4750" s="391">
        <v>101540</v>
      </c>
      <c r="B4750" s="478" t="s">
        <v>2622</v>
      </c>
      <c r="C4750" s="391" t="s">
        <v>26</v>
      </c>
      <c r="D4750" s="479">
        <v>117.19</v>
      </c>
      <c r="E4750" s="368"/>
      <c r="F4750" s="368"/>
    </row>
    <row r="4751" spans="1:6" ht="25.5" x14ac:dyDescent="0.2">
      <c r="A4751" s="391">
        <v>101544</v>
      </c>
      <c r="B4751" s="478" t="s">
        <v>2626</v>
      </c>
      <c r="C4751" s="391" t="s">
        <v>26</v>
      </c>
      <c r="D4751" s="479">
        <v>91.75</v>
      </c>
      <c r="E4751" s="368"/>
      <c r="F4751" s="368"/>
    </row>
    <row r="4752" spans="1:6" ht="25.5" x14ac:dyDescent="0.2">
      <c r="A4752" s="391">
        <v>101541</v>
      </c>
      <c r="B4752" s="478" t="s">
        <v>2623</v>
      </c>
      <c r="C4752" s="391" t="s">
        <v>26</v>
      </c>
      <c r="D4752" s="479">
        <v>153.13</v>
      </c>
      <c r="E4752" s="368"/>
      <c r="F4752" s="368"/>
    </row>
    <row r="4753" spans="1:6" ht="25.5" x14ac:dyDescent="0.2">
      <c r="A4753" s="391">
        <v>101545</v>
      </c>
      <c r="B4753" s="478" t="s">
        <v>2627</v>
      </c>
      <c r="C4753" s="391" t="s">
        <v>26</v>
      </c>
      <c r="D4753" s="479">
        <v>132.09</v>
      </c>
      <c r="E4753" s="368"/>
      <c r="F4753" s="368"/>
    </row>
    <row r="4754" spans="1:6" ht="38.25" x14ac:dyDescent="0.2">
      <c r="A4754" s="391">
        <v>101560</v>
      </c>
      <c r="B4754" s="478" t="s">
        <v>2632</v>
      </c>
      <c r="C4754" s="391" t="s">
        <v>0</v>
      </c>
      <c r="D4754" s="479">
        <v>10.88</v>
      </c>
      <c r="E4754" s="368"/>
      <c r="F4754" s="368"/>
    </row>
    <row r="4755" spans="1:6" ht="38.25" x14ac:dyDescent="0.2">
      <c r="A4755" s="391">
        <v>101568</v>
      </c>
      <c r="B4755" s="478" t="s">
        <v>2638</v>
      </c>
      <c r="C4755" s="391" t="s">
        <v>0</v>
      </c>
      <c r="D4755" s="479">
        <v>132.65</v>
      </c>
      <c r="E4755" s="368"/>
      <c r="F4755" s="368"/>
    </row>
    <row r="4756" spans="1:6" ht="38.25" x14ac:dyDescent="0.2">
      <c r="A4756" s="391">
        <v>101561</v>
      </c>
      <c r="B4756" s="478" t="s">
        <v>47</v>
      </c>
      <c r="C4756" s="391" t="s">
        <v>0</v>
      </c>
      <c r="D4756" s="479">
        <v>17.29</v>
      </c>
      <c r="E4756" s="368"/>
      <c r="F4756" s="368"/>
    </row>
    <row r="4757" spans="1:6" ht="38.25" x14ac:dyDescent="0.2">
      <c r="A4757" s="391">
        <v>101562</v>
      </c>
      <c r="B4757" s="478" t="s">
        <v>2633</v>
      </c>
      <c r="C4757" s="391" t="s">
        <v>0</v>
      </c>
      <c r="D4757" s="479">
        <v>26.77</v>
      </c>
      <c r="E4757" s="368"/>
      <c r="F4757" s="368"/>
    </row>
    <row r="4758" spans="1:6" ht="38.25" x14ac:dyDescent="0.2">
      <c r="A4758" s="391">
        <v>101563</v>
      </c>
      <c r="B4758" s="478" t="s">
        <v>2634</v>
      </c>
      <c r="C4758" s="391" t="s">
        <v>0</v>
      </c>
      <c r="D4758" s="479">
        <v>37.82</v>
      </c>
      <c r="E4758" s="368"/>
      <c r="F4758" s="368"/>
    </row>
    <row r="4759" spans="1:6" ht="38.25" x14ac:dyDescent="0.2">
      <c r="A4759" s="391">
        <v>101564</v>
      </c>
      <c r="B4759" s="478" t="s">
        <v>2635</v>
      </c>
      <c r="C4759" s="391" t="s">
        <v>0</v>
      </c>
      <c r="D4759" s="479">
        <v>55.89</v>
      </c>
      <c r="E4759" s="368"/>
      <c r="F4759" s="368"/>
    </row>
    <row r="4760" spans="1:6" ht="38.25" x14ac:dyDescent="0.2">
      <c r="A4760" s="391">
        <v>101565</v>
      </c>
      <c r="B4760" s="478" t="s">
        <v>2636</v>
      </c>
      <c r="C4760" s="391" t="s">
        <v>0</v>
      </c>
      <c r="D4760" s="479">
        <v>78.14</v>
      </c>
      <c r="E4760" s="368"/>
      <c r="F4760" s="368"/>
    </row>
    <row r="4761" spans="1:6" ht="38.25" x14ac:dyDescent="0.2">
      <c r="A4761" s="391">
        <v>101567</v>
      </c>
      <c r="B4761" s="478" t="s">
        <v>2637</v>
      </c>
      <c r="C4761" s="391" t="s">
        <v>0</v>
      </c>
      <c r="D4761" s="479">
        <v>101.44</v>
      </c>
      <c r="E4761" s="368"/>
      <c r="F4761" s="368"/>
    </row>
    <row r="4762" spans="1:6" ht="25.5" x14ac:dyDescent="0.2">
      <c r="A4762" s="391">
        <v>101551</v>
      </c>
      <c r="B4762" s="478" t="s">
        <v>41455</v>
      </c>
      <c r="C4762" s="391" t="s">
        <v>26</v>
      </c>
      <c r="D4762" s="479">
        <v>0</v>
      </c>
      <c r="E4762" s="368"/>
      <c r="F4762" s="368"/>
    </row>
    <row r="4763" spans="1:6" ht="25.5" x14ac:dyDescent="0.2">
      <c r="A4763" s="391">
        <v>101552</v>
      </c>
      <c r="B4763" s="478" t="s">
        <v>41456</v>
      </c>
      <c r="C4763" s="391" t="s">
        <v>26</v>
      </c>
      <c r="D4763" s="479">
        <v>0</v>
      </c>
      <c r="E4763" s="368"/>
      <c r="F4763" s="368"/>
    </row>
    <row r="4764" spans="1:6" ht="25.5" x14ac:dyDescent="0.2">
      <c r="A4764" s="391">
        <v>101550</v>
      </c>
      <c r="B4764" s="478" t="s">
        <v>41457</v>
      </c>
      <c r="C4764" s="391" t="s">
        <v>26</v>
      </c>
      <c r="D4764" s="479">
        <v>0</v>
      </c>
      <c r="E4764" s="368"/>
      <c r="F4764" s="368"/>
    </row>
    <row r="4765" spans="1:6" ht="38.25" x14ac:dyDescent="0.2">
      <c r="A4765" s="391">
        <v>101501</v>
      </c>
      <c r="B4765" s="478" t="s">
        <v>2591</v>
      </c>
      <c r="C4765" s="391" t="s">
        <v>26</v>
      </c>
      <c r="D4765" s="479">
        <v>1731.47</v>
      </c>
      <c r="E4765" s="368"/>
      <c r="F4765" s="368"/>
    </row>
    <row r="4766" spans="1:6" ht="38.25" x14ac:dyDescent="0.2">
      <c r="A4766" s="391">
        <v>101502</v>
      </c>
      <c r="B4766" s="478" t="s">
        <v>2592</v>
      </c>
      <c r="C4766" s="391" t="s">
        <v>26</v>
      </c>
      <c r="D4766" s="479">
        <v>1890.98</v>
      </c>
      <c r="E4766" s="368"/>
      <c r="F4766" s="368"/>
    </row>
    <row r="4767" spans="1:6" ht="38.25" x14ac:dyDescent="0.2">
      <c r="A4767" s="391">
        <v>101503</v>
      </c>
      <c r="B4767" s="478" t="s">
        <v>2593</v>
      </c>
      <c r="C4767" s="391" t="s">
        <v>26</v>
      </c>
      <c r="D4767" s="479">
        <v>1937.43</v>
      </c>
      <c r="E4767" s="368"/>
      <c r="F4767" s="368"/>
    </row>
    <row r="4768" spans="1:6" ht="38.25" x14ac:dyDescent="0.2">
      <c r="A4768" s="391">
        <v>101504</v>
      </c>
      <c r="B4768" s="478" t="s">
        <v>2594</v>
      </c>
      <c r="C4768" s="391" t="s">
        <v>26</v>
      </c>
      <c r="D4768" s="479">
        <v>2151.67</v>
      </c>
      <c r="E4768" s="368"/>
      <c r="F4768" s="368"/>
    </row>
    <row r="4769" spans="1:6" ht="38.25" x14ac:dyDescent="0.2">
      <c r="A4769" s="391">
        <v>101497</v>
      </c>
      <c r="B4769" s="478" t="s">
        <v>2587</v>
      </c>
      <c r="C4769" s="391" t="s">
        <v>26</v>
      </c>
      <c r="D4769" s="479">
        <v>1738.59</v>
      </c>
      <c r="E4769" s="368"/>
      <c r="F4769" s="368"/>
    </row>
    <row r="4770" spans="1:6" ht="38.25" x14ac:dyDescent="0.2">
      <c r="A4770" s="391">
        <v>101498</v>
      </c>
      <c r="B4770" s="478" t="s">
        <v>2588</v>
      </c>
      <c r="C4770" s="391" t="s">
        <v>26</v>
      </c>
      <c r="D4770" s="479">
        <v>1898.1</v>
      </c>
      <c r="E4770" s="368"/>
      <c r="F4770" s="368"/>
    </row>
    <row r="4771" spans="1:6" ht="38.25" x14ac:dyDescent="0.2">
      <c r="A4771" s="391">
        <v>101499</v>
      </c>
      <c r="B4771" s="478" t="s">
        <v>2589</v>
      </c>
      <c r="C4771" s="391" t="s">
        <v>26</v>
      </c>
      <c r="D4771" s="479">
        <v>1944.55</v>
      </c>
      <c r="E4771" s="368"/>
      <c r="F4771" s="368"/>
    </row>
    <row r="4772" spans="1:6" ht="38.25" x14ac:dyDescent="0.2">
      <c r="A4772" s="391">
        <v>101500</v>
      </c>
      <c r="B4772" s="478" t="s">
        <v>2590</v>
      </c>
      <c r="C4772" s="391" t="s">
        <v>26</v>
      </c>
      <c r="D4772" s="479">
        <v>2158.79</v>
      </c>
      <c r="E4772" s="368"/>
      <c r="F4772" s="368"/>
    </row>
    <row r="4773" spans="1:6" ht="38.25" x14ac:dyDescent="0.2">
      <c r="A4773" s="391">
        <v>101493</v>
      </c>
      <c r="B4773" s="478" t="s">
        <v>2583</v>
      </c>
      <c r="C4773" s="391" t="s">
        <v>26</v>
      </c>
      <c r="D4773" s="479">
        <v>1484.72</v>
      </c>
      <c r="E4773" s="368"/>
      <c r="F4773" s="368"/>
    </row>
    <row r="4774" spans="1:6" ht="38.25" x14ac:dyDescent="0.2">
      <c r="A4774" s="391">
        <v>101494</v>
      </c>
      <c r="B4774" s="478" t="s">
        <v>2584</v>
      </c>
      <c r="C4774" s="391" t="s">
        <v>26</v>
      </c>
      <c r="D4774" s="479">
        <v>1590.1</v>
      </c>
      <c r="E4774" s="368"/>
      <c r="F4774" s="368"/>
    </row>
    <row r="4775" spans="1:6" ht="38.25" x14ac:dyDescent="0.2">
      <c r="A4775" s="391">
        <v>101495</v>
      </c>
      <c r="B4775" s="478" t="s">
        <v>2585</v>
      </c>
      <c r="C4775" s="391" t="s">
        <v>26</v>
      </c>
      <c r="D4775" s="479">
        <v>1620.79</v>
      </c>
      <c r="E4775" s="368"/>
      <c r="F4775" s="368"/>
    </row>
    <row r="4776" spans="1:6" ht="38.25" x14ac:dyDescent="0.2">
      <c r="A4776" s="391">
        <v>101496</v>
      </c>
      <c r="B4776" s="478" t="s">
        <v>2586</v>
      </c>
      <c r="C4776" s="391" t="s">
        <v>26</v>
      </c>
      <c r="D4776" s="479">
        <v>1771.69</v>
      </c>
      <c r="E4776" s="368"/>
      <c r="F4776" s="368"/>
    </row>
    <row r="4777" spans="1:6" ht="38.25" x14ac:dyDescent="0.2">
      <c r="A4777" s="391">
        <v>101489</v>
      </c>
      <c r="B4777" s="478" t="s">
        <v>2579</v>
      </c>
      <c r="C4777" s="391" t="s">
        <v>26</v>
      </c>
      <c r="D4777" s="479">
        <v>1499.95</v>
      </c>
      <c r="E4777" s="368"/>
      <c r="F4777" s="368"/>
    </row>
    <row r="4778" spans="1:6" ht="38.25" x14ac:dyDescent="0.2">
      <c r="A4778" s="391">
        <v>101490</v>
      </c>
      <c r="B4778" s="478" t="s">
        <v>2580</v>
      </c>
      <c r="C4778" s="391" t="s">
        <v>26</v>
      </c>
      <c r="D4778" s="479">
        <v>1605.33</v>
      </c>
      <c r="E4778" s="368"/>
      <c r="F4778" s="368"/>
    </row>
    <row r="4779" spans="1:6" ht="38.25" x14ac:dyDescent="0.2">
      <c r="A4779" s="391">
        <v>101491</v>
      </c>
      <c r="B4779" s="478" t="s">
        <v>2581</v>
      </c>
      <c r="C4779" s="391" t="s">
        <v>26</v>
      </c>
      <c r="D4779" s="479">
        <v>1636.02</v>
      </c>
      <c r="E4779" s="368"/>
      <c r="F4779" s="368"/>
    </row>
    <row r="4780" spans="1:6" ht="38.25" x14ac:dyDescent="0.2">
      <c r="A4780" s="391">
        <v>101492</v>
      </c>
      <c r="B4780" s="478" t="s">
        <v>2582</v>
      </c>
      <c r="C4780" s="391" t="s">
        <v>26</v>
      </c>
      <c r="D4780" s="479">
        <v>1786.92</v>
      </c>
      <c r="E4780" s="368"/>
      <c r="F4780" s="368"/>
    </row>
    <row r="4781" spans="1:6" ht="38.25" x14ac:dyDescent="0.2">
      <c r="A4781" s="391">
        <v>101509</v>
      </c>
      <c r="B4781" s="478" t="s">
        <v>38792</v>
      </c>
      <c r="C4781" s="391" t="s">
        <v>26</v>
      </c>
      <c r="D4781" s="479">
        <v>1929.94</v>
      </c>
      <c r="E4781" s="368"/>
      <c r="F4781" s="368"/>
    </row>
    <row r="4782" spans="1:6" ht="38.25" x14ac:dyDescent="0.2">
      <c r="A4782" s="391">
        <v>101510</v>
      </c>
      <c r="B4782" s="478" t="s">
        <v>38793</v>
      </c>
      <c r="C4782" s="391" t="s">
        <v>26</v>
      </c>
      <c r="D4782" s="479">
        <v>2142.62</v>
      </c>
      <c r="E4782" s="368"/>
      <c r="F4782" s="368"/>
    </row>
    <row r="4783" spans="1:6" ht="38.25" x14ac:dyDescent="0.2">
      <c r="A4783" s="391">
        <v>101511</v>
      </c>
      <c r="B4783" s="478" t="s">
        <v>38794</v>
      </c>
      <c r="C4783" s="391" t="s">
        <v>26</v>
      </c>
      <c r="D4783" s="479">
        <v>2204.56</v>
      </c>
      <c r="E4783" s="368"/>
      <c r="F4783" s="368"/>
    </row>
    <row r="4784" spans="1:6" ht="38.25" x14ac:dyDescent="0.2">
      <c r="A4784" s="391">
        <v>101512</v>
      </c>
      <c r="B4784" s="478" t="s">
        <v>38795</v>
      </c>
      <c r="C4784" s="391" t="s">
        <v>26</v>
      </c>
      <c r="D4784" s="479">
        <v>2481.0100000000002</v>
      </c>
      <c r="E4784" s="368"/>
      <c r="F4784" s="368"/>
    </row>
    <row r="4785" spans="1:6" ht="38.25" x14ac:dyDescent="0.2">
      <c r="A4785" s="391">
        <v>101505</v>
      </c>
      <c r="B4785" s="478" t="s">
        <v>2595</v>
      </c>
      <c r="C4785" s="391" t="s">
        <v>26</v>
      </c>
      <c r="D4785" s="479">
        <v>1855.79</v>
      </c>
      <c r="E4785" s="368"/>
      <c r="F4785" s="368"/>
    </row>
    <row r="4786" spans="1:6" ht="38.25" x14ac:dyDescent="0.2">
      <c r="A4786" s="391">
        <v>101506</v>
      </c>
      <c r="B4786" s="478" t="s">
        <v>2596</v>
      </c>
      <c r="C4786" s="391" t="s">
        <v>26</v>
      </c>
      <c r="D4786" s="479">
        <v>2068.4699999999998</v>
      </c>
      <c r="E4786" s="368"/>
      <c r="F4786" s="368"/>
    </row>
    <row r="4787" spans="1:6" ht="38.25" x14ac:dyDescent="0.2">
      <c r="A4787" s="391">
        <v>101507</v>
      </c>
      <c r="B4787" s="478" t="s">
        <v>2597</v>
      </c>
      <c r="C4787" s="391" t="s">
        <v>26</v>
      </c>
      <c r="D4787" s="479">
        <v>2130.41</v>
      </c>
      <c r="E4787" s="368"/>
      <c r="F4787" s="368"/>
    </row>
    <row r="4788" spans="1:6" ht="38.25" x14ac:dyDescent="0.2">
      <c r="A4788" s="391">
        <v>101508</v>
      </c>
      <c r="B4788" s="478" t="s">
        <v>2598</v>
      </c>
      <c r="C4788" s="391" t="s">
        <v>26</v>
      </c>
      <c r="D4788" s="479">
        <v>2406.86</v>
      </c>
      <c r="E4788" s="368"/>
      <c r="F4788" s="368"/>
    </row>
    <row r="4789" spans="1:6" ht="38.25" x14ac:dyDescent="0.2">
      <c r="A4789" s="391">
        <v>101525</v>
      </c>
      <c r="B4789" s="478" t="s">
        <v>2611</v>
      </c>
      <c r="C4789" s="391" t="s">
        <v>26</v>
      </c>
      <c r="D4789" s="479">
        <v>1019.15</v>
      </c>
      <c r="E4789" s="368"/>
      <c r="F4789" s="368"/>
    </row>
    <row r="4790" spans="1:6" ht="38.25" x14ac:dyDescent="0.2">
      <c r="A4790" s="391">
        <v>101526</v>
      </c>
      <c r="B4790" s="478" t="s">
        <v>2612</v>
      </c>
      <c r="C4790" s="391" t="s">
        <v>26</v>
      </c>
      <c r="D4790" s="479">
        <v>1208.83</v>
      </c>
      <c r="E4790" s="368"/>
      <c r="F4790" s="368"/>
    </row>
    <row r="4791" spans="1:6" ht="38.25" x14ac:dyDescent="0.2">
      <c r="A4791" s="391">
        <v>101527</v>
      </c>
      <c r="B4791" s="478" t="s">
        <v>2613</v>
      </c>
      <c r="C4791" s="391" t="s">
        <v>26</v>
      </c>
      <c r="D4791" s="479">
        <v>1264.07</v>
      </c>
      <c r="E4791" s="368"/>
      <c r="F4791" s="368"/>
    </row>
    <row r="4792" spans="1:6" ht="38.25" x14ac:dyDescent="0.2">
      <c r="A4792" s="391">
        <v>101528</v>
      </c>
      <c r="B4792" s="478" t="s">
        <v>2614</v>
      </c>
      <c r="C4792" s="391" t="s">
        <v>26</v>
      </c>
      <c r="D4792" s="479">
        <v>1486.03</v>
      </c>
      <c r="E4792" s="368"/>
      <c r="F4792" s="368"/>
    </row>
    <row r="4793" spans="1:6" ht="38.25" x14ac:dyDescent="0.2">
      <c r="A4793" s="391">
        <v>101521</v>
      </c>
      <c r="B4793" s="478" t="s">
        <v>2607</v>
      </c>
      <c r="C4793" s="391" t="s">
        <v>26</v>
      </c>
      <c r="D4793" s="479">
        <v>1026.27</v>
      </c>
      <c r="E4793" s="368"/>
      <c r="F4793" s="368"/>
    </row>
    <row r="4794" spans="1:6" ht="38.25" x14ac:dyDescent="0.2">
      <c r="A4794" s="391">
        <v>101522</v>
      </c>
      <c r="B4794" s="478" t="s">
        <v>2608</v>
      </c>
      <c r="C4794" s="391" t="s">
        <v>26</v>
      </c>
      <c r="D4794" s="479">
        <v>1215.95</v>
      </c>
      <c r="E4794" s="368"/>
      <c r="F4794" s="368"/>
    </row>
    <row r="4795" spans="1:6" ht="38.25" x14ac:dyDescent="0.2">
      <c r="A4795" s="391">
        <v>101523</v>
      </c>
      <c r="B4795" s="478" t="s">
        <v>2609</v>
      </c>
      <c r="C4795" s="391" t="s">
        <v>26</v>
      </c>
      <c r="D4795" s="479">
        <v>1271.19</v>
      </c>
      <c r="E4795" s="368"/>
      <c r="F4795" s="368"/>
    </row>
    <row r="4796" spans="1:6" ht="38.25" x14ac:dyDescent="0.2">
      <c r="A4796" s="391">
        <v>101524</v>
      </c>
      <c r="B4796" s="478" t="s">
        <v>2610</v>
      </c>
      <c r="C4796" s="391" t="s">
        <v>26</v>
      </c>
      <c r="D4796" s="479">
        <v>1493.15</v>
      </c>
      <c r="E4796" s="368"/>
      <c r="F4796" s="368"/>
    </row>
    <row r="4797" spans="1:6" ht="38.25" x14ac:dyDescent="0.2">
      <c r="A4797" s="391">
        <v>101517</v>
      </c>
      <c r="B4797" s="478" t="s">
        <v>2603</v>
      </c>
      <c r="C4797" s="391" t="s">
        <v>26</v>
      </c>
      <c r="D4797" s="479">
        <v>756.43</v>
      </c>
      <c r="E4797" s="368"/>
      <c r="F4797" s="368"/>
    </row>
    <row r="4798" spans="1:6" ht="38.25" x14ac:dyDescent="0.2">
      <c r="A4798" s="391">
        <v>101518</v>
      </c>
      <c r="B4798" s="478" t="s">
        <v>2604</v>
      </c>
      <c r="C4798" s="391" t="s">
        <v>26</v>
      </c>
      <c r="D4798" s="479">
        <v>882.89</v>
      </c>
      <c r="E4798" s="368"/>
      <c r="F4798" s="368"/>
    </row>
    <row r="4799" spans="1:6" ht="38.25" x14ac:dyDescent="0.2">
      <c r="A4799" s="391">
        <v>101519</v>
      </c>
      <c r="B4799" s="478" t="s">
        <v>2605</v>
      </c>
      <c r="C4799" s="391" t="s">
        <v>26</v>
      </c>
      <c r="D4799" s="479">
        <v>919.72</v>
      </c>
      <c r="E4799" s="368"/>
      <c r="F4799" s="368"/>
    </row>
    <row r="4800" spans="1:6" ht="38.25" x14ac:dyDescent="0.2">
      <c r="A4800" s="391">
        <v>101520</v>
      </c>
      <c r="B4800" s="478" t="s">
        <v>2606</v>
      </c>
      <c r="C4800" s="391" t="s">
        <v>26</v>
      </c>
      <c r="D4800" s="479">
        <v>1067.69</v>
      </c>
      <c r="E4800" s="368"/>
      <c r="F4800" s="368"/>
    </row>
    <row r="4801" spans="1:6" ht="38.25" x14ac:dyDescent="0.2">
      <c r="A4801" s="391">
        <v>101513</v>
      </c>
      <c r="B4801" s="478" t="s">
        <v>2599</v>
      </c>
      <c r="C4801" s="391" t="s">
        <v>26</v>
      </c>
      <c r="D4801" s="479">
        <v>771.67</v>
      </c>
      <c r="E4801" s="368"/>
      <c r="F4801" s="368"/>
    </row>
    <row r="4802" spans="1:6" ht="38.25" x14ac:dyDescent="0.2">
      <c r="A4802" s="391">
        <v>101514</v>
      </c>
      <c r="B4802" s="478" t="s">
        <v>2600</v>
      </c>
      <c r="C4802" s="391" t="s">
        <v>26</v>
      </c>
      <c r="D4802" s="479">
        <v>898.13</v>
      </c>
      <c r="E4802" s="368"/>
      <c r="F4802" s="368"/>
    </row>
    <row r="4803" spans="1:6" ht="38.25" x14ac:dyDescent="0.2">
      <c r="A4803" s="391">
        <v>101515</v>
      </c>
      <c r="B4803" s="478" t="s">
        <v>2601</v>
      </c>
      <c r="C4803" s="391" t="s">
        <v>26</v>
      </c>
      <c r="D4803" s="479">
        <v>934.96</v>
      </c>
      <c r="E4803" s="368"/>
      <c r="F4803" s="368"/>
    </row>
    <row r="4804" spans="1:6" ht="38.25" x14ac:dyDescent="0.2">
      <c r="A4804" s="391">
        <v>101516</v>
      </c>
      <c r="B4804" s="478" t="s">
        <v>2602</v>
      </c>
      <c r="C4804" s="391" t="s">
        <v>26</v>
      </c>
      <c r="D4804" s="479">
        <v>1082.93</v>
      </c>
      <c r="E4804" s="368"/>
      <c r="F4804" s="368"/>
    </row>
    <row r="4805" spans="1:6" ht="38.25" x14ac:dyDescent="0.2">
      <c r="A4805" s="391">
        <v>101533</v>
      </c>
      <c r="B4805" s="478" t="s">
        <v>38796</v>
      </c>
      <c r="C4805" s="391" t="s">
        <v>26</v>
      </c>
      <c r="D4805" s="479">
        <v>1235.25</v>
      </c>
      <c r="E4805" s="368"/>
      <c r="F4805" s="368"/>
    </row>
    <row r="4806" spans="1:6" ht="38.25" x14ac:dyDescent="0.2">
      <c r="A4806" s="391">
        <v>101534</v>
      </c>
      <c r="B4806" s="478" t="s">
        <v>38797</v>
      </c>
      <c r="C4806" s="391" t="s">
        <v>26</v>
      </c>
      <c r="D4806" s="479">
        <v>1488.16</v>
      </c>
      <c r="E4806" s="368"/>
      <c r="F4806" s="368"/>
    </row>
    <row r="4807" spans="1:6" ht="38.25" x14ac:dyDescent="0.2">
      <c r="A4807" s="391">
        <v>101535</v>
      </c>
      <c r="B4807" s="478" t="s">
        <v>38798</v>
      </c>
      <c r="C4807" s="391" t="s">
        <v>26</v>
      </c>
      <c r="D4807" s="479">
        <v>1561.82</v>
      </c>
      <c r="E4807" s="368"/>
      <c r="F4807" s="368"/>
    </row>
    <row r="4808" spans="1:6" ht="38.25" x14ac:dyDescent="0.2">
      <c r="A4808" s="391">
        <v>101536</v>
      </c>
      <c r="B4808" s="478" t="s">
        <v>38799</v>
      </c>
      <c r="C4808" s="391" t="s">
        <v>26</v>
      </c>
      <c r="D4808" s="479">
        <v>1857.76</v>
      </c>
      <c r="E4808" s="368"/>
      <c r="F4808" s="368"/>
    </row>
    <row r="4809" spans="1:6" ht="38.25" x14ac:dyDescent="0.2">
      <c r="A4809" s="391">
        <v>101529</v>
      </c>
      <c r="B4809" s="478" t="s">
        <v>2615</v>
      </c>
      <c r="C4809" s="391" t="s">
        <v>26</v>
      </c>
      <c r="D4809" s="479">
        <v>1161.0999999999999</v>
      </c>
      <c r="E4809" s="368"/>
      <c r="F4809" s="368"/>
    </row>
    <row r="4810" spans="1:6" ht="38.25" x14ac:dyDescent="0.2">
      <c r="A4810" s="391">
        <v>101530</v>
      </c>
      <c r="B4810" s="478" t="s">
        <v>2616</v>
      </c>
      <c r="C4810" s="391" t="s">
        <v>26</v>
      </c>
      <c r="D4810" s="479">
        <v>1414.01</v>
      </c>
      <c r="E4810" s="368"/>
      <c r="F4810" s="368"/>
    </row>
    <row r="4811" spans="1:6" ht="38.25" x14ac:dyDescent="0.2">
      <c r="A4811" s="391">
        <v>101531</v>
      </c>
      <c r="B4811" s="478" t="s">
        <v>2617</v>
      </c>
      <c r="C4811" s="391" t="s">
        <v>26</v>
      </c>
      <c r="D4811" s="479">
        <v>1487.67</v>
      </c>
      <c r="E4811" s="368"/>
      <c r="F4811" s="368"/>
    </row>
    <row r="4812" spans="1:6" ht="38.25" x14ac:dyDescent="0.2">
      <c r="A4812" s="391">
        <v>101532</v>
      </c>
      <c r="B4812" s="478" t="s">
        <v>2618</v>
      </c>
      <c r="C4812" s="391" t="s">
        <v>26</v>
      </c>
      <c r="D4812" s="479">
        <v>1783.61</v>
      </c>
      <c r="E4812" s="368"/>
      <c r="F4812" s="368"/>
    </row>
    <row r="4813" spans="1:6" ht="38.25" x14ac:dyDescent="0.2">
      <c r="A4813" s="391">
        <v>101549</v>
      </c>
      <c r="B4813" s="478" t="s">
        <v>2631</v>
      </c>
      <c r="C4813" s="391" t="s">
        <v>26</v>
      </c>
      <c r="D4813" s="479">
        <v>18.600000000000001</v>
      </c>
      <c r="E4813" s="368"/>
      <c r="F4813" s="368"/>
    </row>
    <row r="4814" spans="1:6" ht="25.5" x14ac:dyDescent="0.2">
      <c r="A4814" s="391">
        <v>101547</v>
      </c>
      <c r="B4814" s="478" t="s">
        <v>2629</v>
      </c>
      <c r="C4814" s="391" t="s">
        <v>26</v>
      </c>
      <c r="D4814" s="479">
        <v>88.64</v>
      </c>
      <c r="E4814" s="368"/>
      <c r="F4814" s="368"/>
    </row>
    <row r="4815" spans="1:6" ht="25.5" x14ac:dyDescent="0.2">
      <c r="A4815" s="391">
        <v>101546</v>
      </c>
      <c r="B4815" s="478" t="s">
        <v>2628</v>
      </c>
      <c r="C4815" s="391" t="s">
        <v>26</v>
      </c>
      <c r="D4815" s="479">
        <v>28.41</v>
      </c>
      <c r="E4815" s="368"/>
      <c r="F4815" s="368"/>
    </row>
    <row r="4816" spans="1:6" ht="25.5" x14ac:dyDescent="0.2">
      <c r="A4816" s="391">
        <v>101548</v>
      </c>
      <c r="B4816" s="478" t="s">
        <v>2630</v>
      </c>
      <c r="C4816" s="391" t="s">
        <v>26</v>
      </c>
      <c r="D4816" s="479">
        <v>7.16</v>
      </c>
      <c r="E4816" s="368"/>
      <c r="F4816" s="368"/>
    </row>
    <row r="4817" spans="1:6" ht="38.25" x14ac:dyDescent="0.2">
      <c r="A4817" s="391">
        <v>94764</v>
      </c>
      <c r="B4817" s="478" t="s">
        <v>38940</v>
      </c>
      <c r="C4817" s="391" t="s">
        <v>26</v>
      </c>
      <c r="D4817" s="479">
        <v>35.21</v>
      </c>
      <c r="E4817" s="368"/>
      <c r="F4817" s="368"/>
    </row>
    <row r="4818" spans="1:6" ht="38.25" x14ac:dyDescent="0.2">
      <c r="A4818" s="391">
        <v>94765</v>
      </c>
      <c r="B4818" s="478" t="s">
        <v>38941</v>
      </c>
      <c r="C4818" s="391" t="s">
        <v>26</v>
      </c>
      <c r="D4818" s="479">
        <v>38.83</v>
      </c>
      <c r="E4818" s="368"/>
      <c r="F4818" s="368"/>
    </row>
    <row r="4819" spans="1:6" ht="38.25" x14ac:dyDescent="0.2">
      <c r="A4819" s="391">
        <v>94766</v>
      </c>
      <c r="B4819" s="478" t="s">
        <v>38942</v>
      </c>
      <c r="C4819" s="391" t="s">
        <v>26</v>
      </c>
      <c r="D4819" s="479">
        <v>43.43</v>
      </c>
      <c r="E4819" s="368"/>
      <c r="F4819" s="368"/>
    </row>
    <row r="4820" spans="1:6" ht="38.25" x14ac:dyDescent="0.2">
      <c r="A4820" s="391">
        <v>94767</v>
      </c>
      <c r="B4820" s="478" t="s">
        <v>38943</v>
      </c>
      <c r="C4820" s="391" t="s">
        <v>26</v>
      </c>
      <c r="D4820" s="479">
        <v>64.55</v>
      </c>
      <c r="E4820" s="368"/>
      <c r="F4820" s="368"/>
    </row>
    <row r="4821" spans="1:6" ht="38.25" x14ac:dyDescent="0.2">
      <c r="A4821" s="391">
        <v>94768</v>
      </c>
      <c r="B4821" s="478" t="s">
        <v>38944</v>
      </c>
      <c r="C4821" s="391" t="s">
        <v>26</v>
      </c>
      <c r="D4821" s="479">
        <v>73.14</v>
      </c>
      <c r="E4821" s="368"/>
      <c r="F4821" s="368"/>
    </row>
    <row r="4822" spans="1:6" ht="38.25" x14ac:dyDescent="0.2">
      <c r="A4822" s="391">
        <v>94769</v>
      </c>
      <c r="B4822" s="478" t="s">
        <v>38945</v>
      </c>
      <c r="C4822" s="391" t="s">
        <v>26</v>
      </c>
      <c r="D4822" s="479">
        <v>97.78</v>
      </c>
      <c r="E4822" s="368"/>
      <c r="F4822" s="368"/>
    </row>
    <row r="4823" spans="1:6" ht="38.25" x14ac:dyDescent="0.2">
      <c r="A4823" s="391">
        <v>94783</v>
      </c>
      <c r="B4823" s="478" t="s">
        <v>47729</v>
      </c>
      <c r="C4823" s="391" t="s">
        <v>26</v>
      </c>
      <c r="D4823" s="479">
        <v>17.96</v>
      </c>
      <c r="E4823" s="368"/>
      <c r="F4823" s="368"/>
    </row>
    <row r="4824" spans="1:6" ht="38.25" x14ac:dyDescent="0.2">
      <c r="A4824" s="391">
        <v>94703</v>
      </c>
      <c r="B4824" s="478" t="s">
        <v>47730</v>
      </c>
      <c r="C4824" s="391" t="s">
        <v>26</v>
      </c>
      <c r="D4824" s="479">
        <v>19.21</v>
      </c>
      <c r="E4824" s="368"/>
      <c r="F4824" s="368"/>
    </row>
    <row r="4825" spans="1:6" ht="38.25" x14ac:dyDescent="0.2">
      <c r="A4825" s="391">
        <v>94704</v>
      </c>
      <c r="B4825" s="478" t="s">
        <v>38900</v>
      </c>
      <c r="C4825" s="391" t="s">
        <v>26</v>
      </c>
      <c r="D4825" s="479">
        <v>25.76</v>
      </c>
      <c r="E4825" s="368"/>
      <c r="F4825" s="368"/>
    </row>
    <row r="4826" spans="1:6" ht="38.25" x14ac:dyDescent="0.2">
      <c r="A4826" s="391">
        <v>94705</v>
      </c>
      <c r="B4826" s="478" t="s">
        <v>38901</v>
      </c>
      <c r="C4826" s="391" t="s">
        <v>26</v>
      </c>
      <c r="D4826" s="479">
        <v>35.29</v>
      </c>
      <c r="E4826" s="368"/>
      <c r="F4826" s="368"/>
    </row>
    <row r="4827" spans="1:6" ht="38.25" x14ac:dyDescent="0.2">
      <c r="A4827" s="391">
        <v>94706</v>
      </c>
      <c r="B4827" s="478" t="s">
        <v>38902</v>
      </c>
      <c r="C4827" s="391" t="s">
        <v>26</v>
      </c>
      <c r="D4827" s="479">
        <v>34.479999999999997</v>
      </c>
      <c r="E4827" s="368"/>
      <c r="F4827" s="368"/>
    </row>
    <row r="4828" spans="1:6" ht="38.25" x14ac:dyDescent="0.2">
      <c r="A4828" s="391">
        <v>94707</v>
      </c>
      <c r="B4828" s="478" t="s">
        <v>38903</v>
      </c>
      <c r="C4828" s="391" t="s">
        <v>26</v>
      </c>
      <c r="D4828" s="479">
        <v>54.63</v>
      </c>
      <c r="E4828" s="368"/>
      <c r="F4828" s="368"/>
    </row>
    <row r="4829" spans="1:6" ht="38.25" x14ac:dyDescent="0.2">
      <c r="A4829" s="391">
        <v>94715</v>
      </c>
      <c r="B4829" s="478" t="s">
        <v>38906</v>
      </c>
      <c r="C4829" s="391" t="s">
        <v>26</v>
      </c>
      <c r="D4829" s="479">
        <v>284.27</v>
      </c>
      <c r="E4829" s="368"/>
      <c r="F4829" s="368"/>
    </row>
    <row r="4830" spans="1:6" ht="38.25" x14ac:dyDescent="0.2">
      <c r="A4830" s="391">
        <v>94713</v>
      </c>
      <c r="B4830" s="478" t="s">
        <v>38904</v>
      </c>
      <c r="C4830" s="391" t="s">
        <v>26</v>
      </c>
      <c r="D4830" s="479">
        <v>227.76</v>
      </c>
      <c r="E4830" s="368"/>
      <c r="F4830" s="368"/>
    </row>
    <row r="4831" spans="1:6" ht="38.25" x14ac:dyDescent="0.2">
      <c r="A4831" s="391">
        <v>94714</v>
      </c>
      <c r="B4831" s="478" t="s">
        <v>38905</v>
      </c>
      <c r="C4831" s="391" t="s">
        <v>26</v>
      </c>
      <c r="D4831" s="479">
        <v>319.94</v>
      </c>
      <c r="E4831" s="368"/>
      <c r="F4831" s="368"/>
    </row>
    <row r="4832" spans="1:6" ht="38.25" x14ac:dyDescent="0.2">
      <c r="A4832" s="391">
        <v>94670</v>
      </c>
      <c r="B4832" s="478" t="s">
        <v>38872</v>
      </c>
      <c r="C4832" s="391" t="s">
        <v>26</v>
      </c>
      <c r="D4832" s="479">
        <v>65.94</v>
      </c>
      <c r="E4832" s="368"/>
      <c r="F4832" s="368"/>
    </row>
    <row r="4833" spans="1:6" ht="38.25" x14ac:dyDescent="0.2">
      <c r="A4833" s="391">
        <v>94656</v>
      </c>
      <c r="B4833" s="478" t="s">
        <v>47731</v>
      </c>
      <c r="C4833" s="391" t="s">
        <v>26</v>
      </c>
      <c r="D4833" s="479">
        <v>3.31</v>
      </c>
      <c r="E4833" s="368"/>
      <c r="F4833" s="368"/>
    </row>
    <row r="4834" spans="1:6" ht="38.25" x14ac:dyDescent="0.2">
      <c r="A4834" s="391">
        <v>94658</v>
      </c>
      <c r="B4834" s="478" t="s">
        <v>38860</v>
      </c>
      <c r="C4834" s="391" t="s">
        <v>26</v>
      </c>
      <c r="D4834" s="479">
        <v>4.99</v>
      </c>
      <c r="E4834" s="368"/>
      <c r="F4834" s="368"/>
    </row>
    <row r="4835" spans="1:6" ht="38.25" x14ac:dyDescent="0.2">
      <c r="A4835" s="391">
        <v>94660</v>
      </c>
      <c r="B4835" s="478" t="s">
        <v>38862</v>
      </c>
      <c r="C4835" s="391" t="s">
        <v>26</v>
      </c>
      <c r="D4835" s="479">
        <v>7.93</v>
      </c>
      <c r="E4835" s="368"/>
      <c r="F4835" s="368"/>
    </row>
    <row r="4836" spans="1:6" ht="38.25" x14ac:dyDescent="0.2">
      <c r="A4836" s="391">
        <v>94662</v>
      </c>
      <c r="B4836" s="478" t="s">
        <v>38864</v>
      </c>
      <c r="C4836" s="391" t="s">
        <v>26</v>
      </c>
      <c r="D4836" s="479">
        <v>10.42</v>
      </c>
      <c r="E4836" s="368"/>
      <c r="F4836" s="368"/>
    </row>
    <row r="4837" spans="1:6" ht="38.25" x14ac:dyDescent="0.2">
      <c r="A4837" s="391">
        <v>94664</v>
      </c>
      <c r="B4837" s="478" t="s">
        <v>38866</v>
      </c>
      <c r="C4837" s="391" t="s">
        <v>26</v>
      </c>
      <c r="D4837" s="479">
        <v>19.12</v>
      </c>
      <c r="E4837" s="368"/>
      <c r="F4837" s="368"/>
    </row>
    <row r="4838" spans="1:6" ht="38.25" x14ac:dyDescent="0.2">
      <c r="A4838" s="391">
        <v>94666</v>
      </c>
      <c r="B4838" s="478" t="s">
        <v>38868</v>
      </c>
      <c r="C4838" s="391" t="s">
        <v>26</v>
      </c>
      <c r="D4838" s="479">
        <v>31.15</v>
      </c>
      <c r="E4838" s="368"/>
      <c r="F4838" s="368"/>
    </row>
    <row r="4839" spans="1:6" ht="38.25" x14ac:dyDescent="0.2">
      <c r="A4839" s="391">
        <v>94668</v>
      </c>
      <c r="B4839" s="478" t="s">
        <v>38870</v>
      </c>
      <c r="C4839" s="391" t="s">
        <v>26</v>
      </c>
      <c r="D4839" s="479">
        <v>41.46</v>
      </c>
      <c r="E4839" s="368"/>
      <c r="F4839" s="368"/>
    </row>
    <row r="4840" spans="1:6" ht="25.5" x14ac:dyDescent="0.2">
      <c r="A4840" s="391">
        <v>105215</v>
      </c>
      <c r="B4840" s="478" t="s">
        <v>39034</v>
      </c>
      <c r="C4840" s="391" t="s">
        <v>26</v>
      </c>
      <c r="D4840" s="479">
        <v>8.9700000000000006</v>
      </c>
      <c r="E4840" s="368"/>
      <c r="F4840" s="368"/>
    </row>
    <row r="4841" spans="1:6" ht="25.5" x14ac:dyDescent="0.2">
      <c r="A4841" s="391">
        <v>105216</v>
      </c>
      <c r="B4841" s="478" t="s">
        <v>39035</v>
      </c>
      <c r="C4841" s="391" t="s">
        <v>26</v>
      </c>
      <c r="D4841" s="479">
        <v>33.75</v>
      </c>
      <c r="E4841" s="368"/>
      <c r="F4841" s="368"/>
    </row>
    <row r="4842" spans="1:6" ht="25.5" x14ac:dyDescent="0.2">
      <c r="A4842" s="391">
        <v>105217</v>
      </c>
      <c r="B4842" s="478" t="s">
        <v>39036</v>
      </c>
      <c r="C4842" s="391" t="s">
        <v>26</v>
      </c>
      <c r="D4842" s="479">
        <v>38.020000000000003</v>
      </c>
      <c r="E4842" s="368"/>
      <c r="F4842" s="368"/>
    </row>
    <row r="4843" spans="1:6" ht="25.5" x14ac:dyDescent="0.2">
      <c r="A4843" s="391">
        <v>105214</v>
      </c>
      <c r="B4843" s="478" t="s">
        <v>39033</v>
      </c>
      <c r="C4843" s="391" t="s">
        <v>26</v>
      </c>
      <c r="D4843" s="479">
        <v>39.74</v>
      </c>
      <c r="E4843" s="368"/>
      <c r="F4843" s="368"/>
    </row>
    <row r="4844" spans="1:6" ht="25.5" x14ac:dyDescent="0.2">
      <c r="A4844" s="391">
        <v>105218</v>
      </c>
      <c r="B4844" s="478" t="s">
        <v>39037</v>
      </c>
      <c r="C4844" s="391" t="s">
        <v>26</v>
      </c>
      <c r="D4844" s="479">
        <v>65.959999999999994</v>
      </c>
      <c r="E4844" s="368"/>
      <c r="F4844" s="368"/>
    </row>
    <row r="4845" spans="1:6" ht="25.5" x14ac:dyDescent="0.2">
      <c r="A4845" s="391">
        <v>105213</v>
      </c>
      <c r="B4845" s="478" t="s">
        <v>39032</v>
      </c>
      <c r="C4845" s="391" t="s">
        <v>26</v>
      </c>
      <c r="D4845" s="479">
        <v>191.34</v>
      </c>
      <c r="E4845" s="368"/>
      <c r="F4845" s="368"/>
    </row>
    <row r="4846" spans="1:6" ht="25.5" x14ac:dyDescent="0.2">
      <c r="A4846" s="391">
        <v>105233</v>
      </c>
      <c r="B4846" s="478" t="s">
        <v>39052</v>
      </c>
      <c r="C4846" s="391" t="s">
        <v>26</v>
      </c>
      <c r="D4846" s="479">
        <v>7.58</v>
      </c>
      <c r="E4846" s="368"/>
      <c r="F4846" s="368"/>
    </row>
    <row r="4847" spans="1:6" ht="25.5" x14ac:dyDescent="0.2">
      <c r="A4847" s="391">
        <v>105234</v>
      </c>
      <c r="B4847" s="478" t="s">
        <v>39053</v>
      </c>
      <c r="C4847" s="391" t="s">
        <v>26</v>
      </c>
      <c r="D4847" s="479">
        <v>9.27</v>
      </c>
      <c r="E4847" s="368"/>
      <c r="F4847" s="368"/>
    </row>
    <row r="4848" spans="1:6" ht="25.5" x14ac:dyDescent="0.2">
      <c r="A4848" s="391">
        <v>105228</v>
      </c>
      <c r="B4848" s="478" t="s">
        <v>39047</v>
      </c>
      <c r="C4848" s="391" t="s">
        <v>26</v>
      </c>
      <c r="D4848" s="479">
        <v>11.19</v>
      </c>
      <c r="E4848" s="368"/>
      <c r="F4848" s="368"/>
    </row>
    <row r="4849" spans="1:6" ht="25.5" x14ac:dyDescent="0.2">
      <c r="A4849" s="391">
        <v>105138</v>
      </c>
      <c r="B4849" s="478" t="s">
        <v>38822</v>
      </c>
      <c r="C4849" s="391" t="s">
        <v>26</v>
      </c>
      <c r="D4849" s="479">
        <v>16.39</v>
      </c>
      <c r="E4849" s="368"/>
      <c r="F4849" s="368"/>
    </row>
    <row r="4850" spans="1:6" ht="25.5" x14ac:dyDescent="0.2">
      <c r="A4850" s="391">
        <v>105139</v>
      </c>
      <c r="B4850" s="478" t="s">
        <v>38823</v>
      </c>
      <c r="C4850" s="391" t="s">
        <v>26</v>
      </c>
      <c r="D4850" s="479">
        <v>19.3</v>
      </c>
      <c r="E4850" s="368"/>
      <c r="F4850" s="368"/>
    </row>
    <row r="4851" spans="1:6" ht="25.5" x14ac:dyDescent="0.2">
      <c r="A4851" s="391">
        <v>105140</v>
      </c>
      <c r="B4851" s="478" t="s">
        <v>38824</v>
      </c>
      <c r="C4851" s="391" t="s">
        <v>26</v>
      </c>
      <c r="D4851" s="479">
        <v>24.83</v>
      </c>
      <c r="E4851" s="368"/>
      <c r="F4851" s="368"/>
    </row>
    <row r="4852" spans="1:6" ht="25.5" x14ac:dyDescent="0.2">
      <c r="A4852" s="391">
        <v>105141</v>
      </c>
      <c r="B4852" s="478" t="s">
        <v>38825</v>
      </c>
      <c r="C4852" s="391" t="s">
        <v>26</v>
      </c>
      <c r="D4852" s="479">
        <v>29.5</v>
      </c>
      <c r="E4852" s="368"/>
      <c r="F4852" s="368"/>
    </row>
    <row r="4853" spans="1:6" ht="38.25" x14ac:dyDescent="0.2">
      <c r="A4853" s="391">
        <v>105172</v>
      </c>
      <c r="B4853" s="478" t="s">
        <v>38997</v>
      </c>
      <c r="C4853" s="391" t="s">
        <v>26</v>
      </c>
      <c r="D4853" s="479">
        <v>87.46</v>
      </c>
      <c r="E4853" s="368"/>
      <c r="F4853" s="368"/>
    </row>
    <row r="4854" spans="1:6" ht="38.25" x14ac:dyDescent="0.2">
      <c r="A4854" s="391">
        <v>105169</v>
      </c>
      <c r="B4854" s="478" t="s">
        <v>38995</v>
      </c>
      <c r="C4854" s="391" t="s">
        <v>26</v>
      </c>
      <c r="D4854" s="479">
        <v>87.23</v>
      </c>
      <c r="E4854" s="368"/>
      <c r="F4854" s="368"/>
    </row>
    <row r="4855" spans="1:6" ht="25.5" x14ac:dyDescent="0.2">
      <c r="A4855" s="391">
        <v>105230</v>
      </c>
      <c r="B4855" s="478" t="s">
        <v>39049</v>
      </c>
      <c r="C4855" s="391" t="s">
        <v>26</v>
      </c>
      <c r="D4855" s="479">
        <v>7.72</v>
      </c>
      <c r="E4855" s="368"/>
      <c r="F4855" s="368"/>
    </row>
    <row r="4856" spans="1:6" ht="25.5" x14ac:dyDescent="0.2">
      <c r="A4856" s="391">
        <v>105231</v>
      </c>
      <c r="B4856" s="478" t="s">
        <v>39050</v>
      </c>
      <c r="C4856" s="391" t="s">
        <v>26</v>
      </c>
      <c r="D4856" s="479">
        <v>9.09</v>
      </c>
      <c r="E4856" s="368"/>
      <c r="F4856" s="368"/>
    </row>
    <row r="4857" spans="1:6" ht="25.5" x14ac:dyDescent="0.2">
      <c r="A4857" s="391">
        <v>105232</v>
      </c>
      <c r="B4857" s="478" t="s">
        <v>39051</v>
      </c>
      <c r="C4857" s="391" t="s">
        <v>26</v>
      </c>
      <c r="D4857" s="479">
        <v>17.82</v>
      </c>
      <c r="E4857" s="368"/>
      <c r="F4857" s="368"/>
    </row>
    <row r="4858" spans="1:6" ht="25.5" x14ac:dyDescent="0.2">
      <c r="A4858" s="391">
        <v>105229</v>
      </c>
      <c r="B4858" s="478" t="s">
        <v>39048</v>
      </c>
      <c r="C4858" s="391" t="s">
        <v>26</v>
      </c>
      <c r="D4858" s="479">
        <v>28.53</v>
      </c>
      <c r="E4858" s="368"/>
      <c r="F4858" s="368"/>
    </row>
    <row r="4859" spans="1:6" ht="25.5" x14ac:dyDescent="0.2">
      <c r="A4859" s="391">
        <v>105146</v>
      </c>
      <c r="B4859" s="478" t="s">
        <v>38974</v>
      </c>
      <c r="C4859" s="391" t="s">
        <v>26</v>
      </c>
      <c r="D4859" s="479">
        <v>22.85</v>
      </c>
      <c r="E4859" s="368"/>
      <c r="F4859" s="368"/>
    </row>
    <row r="4860" spans="1:6" ht="38.25" x14ac:dyDescent="0.2">
      <c r="A4860" s="391">
        <v>94613</v>
      </c>
      <c r="B4860" s="478" t="s">
        <v>41458</v>
      </c>
      <c r="C4860" s="391" t="s">
        <v>26</v>
      </c>
      <c r="D4860" s="479">
        <v>0</v>
      </c>
      <c r="E4860" s="368"/>
      <c r="F4860" s="368"/>
    </row>
    <row r="4861" spans="1:6" ht="38.25" x14ac:dyDescent="0.2">
      <c r="A4861" s="391">
        <v>94607</v>
      </c>
      <c r="B4861" s="478" t="s">
        <v>41459</v>
      </c>
      <c r="C4861" s="391" t="s">
        <v>26</v>
      </c>
      <c r="D4861" s="479">
        <v>0</v>
      </c>
      <c r="E4861" s="368"/>
      <c r="F4861" s="368"/>
    </row>
    <row r="4862" spans="1:6" ht="38.25" x14ac:dyDescent="0.2">
      <c r="A4862" s="391">
        <v>94609</v>
      </c>
      <c r="B4862" s="478" t="s">
        <v>41460</v>
      </c>
      <c r="C4862" s="391" t="s">
        <v>26</v>
      </c>
      <c r="D4862" s="479">
        <v>0</v>
      </c>
      <c r="E4862" s="368"/>
      <c r="F4862" s="368"/>
    </row>
    <row r="4863" spans="1:6" ht="38.25" x14ac:dyDescent="0.2">
      <c r="A4863" s="391">
        <v>94611</v>
      </c>
      <c r="B4863" s="478" t="s">
        <v>41461</v>
      </c>
      <c r="C4863" s="391" t="s">
        <v>26</v>
      </c>
      <c r="D4863" s="479">
        <v>0</v>
      </c>
      <c r="E4863" s="368"/>
      <c r="F4863" s="368"/>
    </row>
    <row r="4864" spans="1:6" ht="25.5" x14ac:dyDescent="0.2">
      <c r="A4864" s="391">
        <v>96738</v>
      </c>
      <c r="B4864" s="478" t="s">
        <v>38949</v>
      </c>
      <c r="C4864" s="391" t="s">
        <v>26</v>
      </c>
      <c r="D4864" s="479">
        <v>23.96</v>
      </c>
      <c r="E4864" s="368"/>
      <c r="F4864" s="368"/>
    </row>
    <row r="4865" spans="1:6" ht="25.5" x14ac:dyDescent="0.2">
      <c r="A4865" s="391">
        <v>96740</v>
      </c>
      <c r="B4865" s="478" t="s">
        <v>38951</v>
      </c>
      <c r="C4865" s="391" t="s">
        <v>26</v>
      </c>
      <c r="D4865" s="479">
        <v>33.28</v>
      </c>
      <c r="E4865" s="368"/>
      <c r="F4865" s="368"/>
    </row>
    <row r="4866" spans="1:6" ht="25.5" x14ac:dyDescent="0.2">
      <c r="A4866" s="391">
        <v>94738</v>
      </c>
      <c r="B4866" s="478" t="s">
        <v>38920</v>
      </c>
      <c r="C4866" s="391" t="s">
        <v>26</v>
      </c>
      <c r="D4866" s="479">
        <v>1574.49</v>
      </c>
      <c r="E4866" s="368"/>
      <c r="F4866" s="368"/>
    </row>
    <row r="4867" spans="1:6" ht="25.5" x14ac:dyDescent="0.2">
      <c r="A4867" s="391">
        <v>94724</v>
      </c>
      <c r="B4867" s="478" t="s">
        <v>38907</v>
      </c>
      <c r="C4867" s="391" t="s">
        <v>26</v>
      </c>
      <c r="D4867" s="479">
        <v>24.89</v>
      </c>
      <c r="E4867" s="368"/>
      <c r="F4867" s="368"/>
    </row>
    <row r="4868" spans="1:6" ht="25.5" x14ac:dyDescent="0.2">
      <c r="A4868" s="391">
        <v>94726</v>
      </c>
      <c r="B4868" s="478" t="s">
        <v>38909</v>
      </c>
      <c r="C4868" s="391" t="s">
        <v>26</v>
      </c>
      <c r="D4868" s="479">
        <v>32.07</v>
      </c>
      <c r="E4868" s="368"/>
      <c r="F4868" s="368"/>
    </row>
    <row r="4869" spans="1:6" ht="25.5" x14ac:dyDescent="0.2">
      <c r="A4869" s="391">
        <v>94728</v>
      </c>
      <c r="B4869" s="478" t="s">
        <v>38911</v>
      </c>
      <c r="C4869" s="391" t="s">
        <v>26</v>
      </c>
      <c r="D4869" s="479">
        <v>50.08</v>
      </c>
      <c r="E4869" s="368"/>
      <c r="F4869" s="368"/>
    </row>
    <row r="4870" spans="1:6" ht="25.5" x14ac:dyDescent="0.2">
      <c r="A4870" s="391">
        <v>94730</v>
      </c>
      <c r="B4870" s="478" t="s">
        <v>38913</v>
      </c>
      <c r="C4870" s="391" t="s">
        <v>26</v>
      </c>
      <c r="D4870" s="479">
        <v>61.39</v>
      </c>
      <c r="E4870" s="368"/>
      <c r="F4870" s="368"/>
    </row>
    <row r="4871" spans="1:6" ht="25.5" x14ac:dyDescent="0.2">
      <c r="A4871" s="391">
        <v>94732</v>
      </c>
      <c r="B4871" s="478" t="s">
        <v>38915</v>
      </c>
      <c r="C4871" s="391" t="s">
        <v>26</v>
      </c>
      <c r="D4871" s="479">
        <v>98.47</v>
      </c>
      <c r="E4871" s="368"/>
      <c r="F4871" s="368"/>
    </row>
    <row r="4872" spans="1:6" ht="25.5" x14ac:dyDescent="0.2">
      <c r="A4872" s="391">
        <v>94734</v>
      </c>
      <c r="B4872" s="478" t="s">
        <v>38917</v>
      </c>
      <c r="C4872" s="391" t="s">
        <v>26</v>
      </c>
      <c r="D4872" s="479">
        <v>359.43</v>
      </c>
      <c r="E4872" s="368"/>
      <c r="F4872" s="368"/>
    </row>
    <row r="4873" spans="1:6" ht="25.5" x14ac:dyDescent="0.2">
      <c r="A4873" s="391">
        <v>94736</v>
      </c>
      <c r="B4873" s="478" t="s">
        <v>38918</v>
      </c>
      <c r="C4873" s="391" t="s">
        <v>26</v>
      </c>
      <c r="D4873" s="479">
        <v>522.59</v>
      </c>
      <c r="E4873" s="368"/>
      <c r="F4873" s="368"/>
    </row>
    <row r="4874" spans="1:6" ht="38.25" x14ac:dyDescent="0.2">
      <c r="A4874" s="391">
        <v>94483</v>
      </c>
      <c r="B4874" s="478" t="s">
        <v>39061</v>
      </c>
      <c r="C4874" s="391" t="s">
        <v>26</v>
      </c>
      <c r="D4874" s="479">
        <v>1286.6099999999999</v>
      </c>
      <c r="E4874" s="368"/>
      <c r="F4874" s="368"/>
    </row>
    <row r="4875" spans="1:6" ht="38.25" x14ac:dyDescent="0.2">
      <c r="A4875" s="391">
        <v>94482</v>
      </c>
      <c r="B4875" s="478" t="s">
        <v>39060</v>
      </c>
      <c r="C4875" s="391" t="s">
        <v>26</v>
      </c>
      <c r="D4875" s="479">
        <v>1545.62</v>
      </c>
      <c r="E4875" s="368"/>
      <c r="F4875" s="368"/>
    </row>
    <row r="4876" spans="1:6" ht="38.25" x14ac:dyDescent="0.2">
      <c r="A4876" s="391">
        <v>94481</v>
      </c>
      <c r="B4876" s="478" t="s">
        <v>39059</v>
      </c>
      <c r="C4876" s="391" t="s">
        <v>26</v>
      </c>
      <c r="D4876" s="479">
        <v>1986.17</v>
      </c>
      <c r="E4876" s="368"/>
      <c r="F4876" s="368"/>
    </row>
    <row r="4877" spans="1:6" ht="38.25" x14ac:dyDescent="0.2">
      <c r="A4877" s="391">
        <v>94480</v>
      </c>
      <c r="B4877" s="478" t="s">
        <v>39058</v>
      </c>
      <c r="C4877" s="391" t="s">
        <v>26</v>
      </c>
      <c r="D4877" s="479">
        <v>2843.16</v>
      </c>
      <c r="E4877" s="368"/>
      <c r="F4877" s="368"/>
    </row>
    <row r="4878" spans="1:6" ht="38.25" x14ac:dyDescent="0.2">
      <c r="A4878" s="391">
        <v>94472</v>
      </c>
      <c r="B4878" s="478" t="s">
        <v>38838</v>
      </c>
      <c r="C4878" s="391" t="s">
        <v>26</v>
      </c>
      <c r="D4878" s="479">
        <v>77.75</v>
      </c>
      <c r="E4878" s="368"/>
      <c r="F4878" s="368"/>
    </row>
    <row r="4879" spans="1:6" ht="38.25" x14ac:dyDescent="0.2">
      <c r="A4879" s="391">
        <v>94474</v>
      </c>
      <c r="B4879" s="478" t="s">
        <v>38840</v>
      </c>
      <c r="C4879" s="391" t="s">
        <v>26</v>
      </c>
      <c r="D4879" s="479">
        <v>132.49</v>
      </c>
      <c r="E4879" s="368"/>
      <c r="F4879" s="368"/>
    </row>
    <row r="4880" spans="1:6" ht="38.25" x14ac:dyDescent="0.2">
      <c r="A4880" s="391">
        <v>94476</v>
      </c>
      <c r="B4880" s="478" t="s">
        <v>38842</v>
      </c>
      <c r="C4880" s="391" t="s">
        <v>26</v>
      </c>
      <c r="D4880" s="479">
        <v>185.99</v>
      </c>
      <c r="E4880" s="368"/>
      <c r="F4880" s="368"/>
    </row>
    <row r="4881" spans="1:6" ht="38.25" x14ac:dyDescent="0.2">
      <c r="A4881" s="391">
        <v>94471</v>
      </c>
      <c r="B4881" s="478" t="s">
        <v>38837</v>
      </c>
      <c r="C4881" s="391" t="s">
        <v>26</v>
      </c>
      <c r="D4881" s="479">
        <v>75.37</v>
      </c>
      <c r="E4881" s="368"/>
      <c r="F4881" s="368"/>
    </row>
    <row r="4882" spans="1:6" ht="38.25" x14ac:dyDescent="0.2">
      <c r="A4882" s="391">
        <v>94473</v>
      </c>
      <c r="B4882" s="478" t="s">
        <v>38839</v>
      </c>
      <c r="C4882" s="391" t="s">
        <v>26</v>
      </c>
      <c r="D4882" s="479">
        <v>122</v>
      </c>
      <c r="E4882" s="368"/>
      <c r="F4882" s="368"/>
    </row>
    <row r="4883" spans="1:6" ht="38.25" x14ac:dyDescent="0.2">
      <c r="A4883" s="391">
        <v>94475</v>
      </c>
      <c r="B4883" s="478" t="s">
        <v>38841</v>
      </c>
      <c r="C4883" s="391" t="s">
        <v>26</v>
      </c>
      <c r="D4883" s="479">
        <v>165.79</v>
      </c>
      <c r="E4883" s="368"/>
      <c r="F4883" s="368"/>
    </row>
    <row r="4884" spans="1:6" ht="38.25" x14ac:dyDescent="0.2">
      <c r="A4884" s="391">
        <v>105194</v>
      </c>
      <c r="B4884" s="478" t="s">
        <v>39013</v>
      </c>
      <c r="C4884" s="391" t="s">
        <v>26</v>
      </c>
      <c r="D4884" s="479">
        <v>84.29</v>
      </c>
      <c r="E4884" s="368"/>
      <c r="F4884" s="368"/>
    </row>
    <row r="4885" spans="1:6" ht="38.25" x14ac:dyDescent="0.2">
      <c r="A4885" s="391">
        <v>105195</v>
      </c>
      <c r="B4885" s="478" t="s">
        <v>39014</v>
      </c>
      <c r="C4885" s="391" t="s">
        <v>26</v>
      </c>
      <c r="D4885" s="479">
        <v>220.03</v>
      </c>
      <c r="E4885" s="368"/>
      <c r="F4885" s="368"/>
    </row>
    <row r="4886" spans="1:6" ht="38.25" x14ac:dyDescent="0.2">
      <c r="A4886" s="391">
        <v>105178</v>
      </c>
      <c r="B4886" s="478" t="s">
        <v>39003</v>
      </c>
      <c r="C4886" s="391" t="s">
        <v>26</v>
      </c>
      <c r="D4886" s="479">
        <v>137.69999999999999</v>
      </c>
      <c r="E4886" s="368"/>
      <c r="F4886" s="368"/>
    </row>
    <row r="4887" spans="1:6" ht="38.25" x14ac:dyDescent="0.2">
      <c r="A4887" s="391">
        <v>94620</v>
      </c>
      <c r="B4887" s="478" t="s">
        <v>38855</v>
      </c>
      <c r="C4887" s="391" t="s">
        <v>26</v>
      </c>
      <c r="D4887" s="479">
        <v>889.36</v>
      </c>
      <c r="E4887" s="368"/>
      <c r="F4887" s="368"/>
    </row>
    <row r="4888" spans="1:6" ht="38.25" x14ac:dyDescent="0.2">
      <c r="A4888" s="391">
        <v>94614</v>
      </c>
      <c r="B4888" s="478" t="s">
        <v>38850</v>
      </c>
      <c r="C4888" s="391" t="s">
        <v>26</v>
      </c>
      <c r="D4888" s="479">
        <v>139.32</v>
      </c>
      <c r="E4888" s="368"/>
      <c r="F4888" s="368"/>
    </row>
    <row r="4889" spans="1:6" ht="38.25" x14ac:dyDescent="0.2">
      <c r="A4889" s="391">
        <v>94616</v>
      </c>
      <c r="B4889" s="478" t="s">
        <v>38852</v>
      </c>
      <c r="C4889" s="391" t="s">
        <v>26</v>
      </c>
      <c r="D4889" s="479">
        <v>395.14</v>
      </c>
      <c r="E4889" s="368"/>
      <c r="F4889" s="368"/>
    </row>
    <row r="4890" spans="1:6" ht="38.25" x14ac:dyDescent="0.2">
      <c r="A4890" s="391">
        <v>94618</v>
      </c>
      <c r="B4890" s="478" t="s">
        <v>38854</v>
      </c>
      <c r="C4890" s="391" t="s">
        <v>26</v>
      </c>
      <c r="D4890" s="479">
        <v>383.87</v>
      </c>
      <c r="E4890" s="368"/>
      <c r="F4890" s="368"/>
    </row>
    <row r="4891" spans="1:6" ht="38.25" x14ac:dyDescent="0.2">
      <c r="A4891" s="391">
        <v>105193</v>
      </c>
      <c r="B4891" s="478" t="s">
        <v>39012</v>
      </c>
      <c r="C4891" s="391" t="s">
        <v>26</v>
      </c>
      <c r="D4891" s="479">
        <v>150.79</v>
      </c>
      <c r="E4891" s="368"/>
      <c r="F4891" s="368"/>
    </row>
    <row r="4892" spans="1:6" ht="38.25" x14ac:dyDescent="0.2">
      <c r="A4892" s="391">
        <v>105197</v>
      </c>
      <c r="B4892" s="478" t="s">
        <v>39016</v>
      </c>
      <c r="C4892" s="391" t="s">
        <v>26</v>
      </c>
      <c r="D4892" s="479">
        <v>161.85</v>
      </c>
      <c r="E4892" s="368"/>
      <c r="F4892" s="368"/>
    </row>
    <row r="4893" spans="1:6" ht="38.25" x14ac:dyDescent="0.2">
      <c r="A4893" s="391">
        <v>105196</v>
      </c>
      <c r="B4893" s="478" t="s">
        <v>39015</v>
      </c>
      <c r="C4893" s="391" t="s">
        <v>26</v>
      </c>
      <c r="D4893" s="479">
        <v>235.99</v>
      </c>
      <c r="E4893" s="368"/>
      <c r="F4893" s="368"/>
    </row>
    <row r="4894" spans="1:6" ht="38.25" x14ac:dyDescent="0.2">
      <c r="A4894" s="391">
        <v>105198</v>
      </c>
      <c r="B4894" s="478" t="s">
        <v>39017</v>
      </c>
      <c r="C4894" s="391" t="s">
        <v>26</v>
      </c>
      <c r="D4894" s="479">
        <v>335.71</v>
      </c>
      <c r="E4894" s="368"/>
      <c r="F4894" s="368"/>
    </row>
    <row r="4895" spans="1:6" ht="38.25" x14ac:dyDescent="0.2">
      <c r="A4895" s="391">
        <v>105200</v>
      </c>
      <c r="B4895" s="478" t="s">
        <v>39019</v>
      </c>
      <c r="C4895" s="391" t="s">
        <v>26</v>
      </c>
      <c r="D4895" s="479">
        <v>126.95</v>
      </c>
      <c r="E4895" s="368"/>
      <c r="F4895" s="368"/>
    </row>
    <row r="4896" spans="1:6" ht="38.25" x14ac:dyDescent="0.2">
      <c r="A4896" s="391">
        <v>105199</v>
      </c>
      <c r="B4896" s="478" t="s">
        <v>39018</v>
      </c>
      <c r="C4896" s="391" t="s">
        <v>26</v>
      </c>
      <c r="D4896" s="479">
        <v>214.11</v>
      </c>
      <c r="E4896" s="368"/>
      <c r="F4896" s="368"/>
    </row>
    <row r="4897" spans="1:6" ht="38.25" x14ac:dyDescent="0.2">
      <c r="A4897" s="391">
        <v>105201</v>
      </c>
      <c r="B4897" s="478" t="s">
        <v>39020</v>
      </c>
      <c r="C4897" s="391" t="s">
        <v>26</v>
      </c>
      <c r="D4897" s="479">
        <v>293.77</v>
      </c>
      <c r="E4897" s="368"/>
      <c r="F4897" s="368"/>
    </row>
    <row r="4898" spans="1:6" ht="25.5" x14ac:dyDescent="0.2">
      <c r="A4898" s="391">
        <v>94755</v>
      </c>
      <c r="B4898" s="478" t="s">
        <v>41462</v>
      </c>
      <c r="C4898" s="391" t="s">
        <v>26</v>
      </c>
      <c r="D4898" s="479">
        <v>0</v>
      </c>
      <c r="E4898" s="368"/>
      <c r="F4898" s="368"/>
    </row>
    <row r="4899" spans="1:6" ht="25.5" x14ac:dyDescent="0.2">
      <c r="A4899" s="391">
        <v>94741</v>
      </c>
      <c r="B4899" s="478" t="s">
        <v>38923</v>
      </c>
      <c r="C4899" s="391" t="s">
        <v>26</v>
      </c>
      <c r="D4899" s="479">
        <v>12.22</v>
      </c>
      <c r="E4899" s="368"/>
      <c r="F4899" s="368"/>
    </row>
    <row r="4900" spans="1:6" ht="25.5" x14ac:dyDescent="0.2">
      <c r="A4900" s="391">
        <v>94743</v>
      </c>
      <c r="B4900" s="478" t="s">
        <v>38925</v>
      </c>
      <c r="C4900" s="391" t="s">
        <v>26</v>
      </c>
      <c r="D4900" s="479">
        <v>19.96</v>
      </c>
      <c r="E4900" s="368"/>
      <c r="F4900" s="368"/>
    </row>
    <row r="4901" spans="1:6" ht="25.5" x14ac:dyDescent="0.2">
      <c r="A4901" s="391">
        <v>94745</v>
      </c>
      <c r="B4901" s="478" t="s">
        <v>41463</v>
      </c>
      <c r="C4901" s="391" t="s">
        <v>26</v>
      </c>
      <c r="D4901" s="479">
        <v>0</v>
      </c>
      <c r="E4901" s="368"/>
      <c r="F4901" s="368"/>
    </row>
    <row r="4902" spans="1:6" ht="25.5" x14ac:dyDescent="0.2">
      <c r="A4902" s="391">
        <v>94747</v>
      </c>
      <c r="B4902" s="478" t="s">
        <v>41464</v>
      </c>
      <c r="C4902" s="391" t="s">
        <v>26</v>
      </c>
      <c r="D4902" s="479">
        <v>0</v>
      </c>
      <c r="E4902" s="368"/>
      <c r="F4902" s="368"/>
    </row>
    <row r="4903" spans="1:6" ht="25.5" x14ac:dyDescent="0.2">
      <c r="A4903" s="391">
        <v>94749</v>
      </c>
      <c r="B4903" s="478" t="s">
        <v>41465</v>
      </c>
      <c r="C4903" s="391" t="s">
        <v>26</v>
      </c>
      <c r="D4903" s="479">
        <v>0</v>
      </c>
      <c r="E4903" s="368"/>
      <c r="F4903" s="368"/>
    </row>
    <row r="4904" spans="1:6" ht="25.5" x14ac:dyDescent="0.2">
      <c r="A4904" s="391">
        <v>94751</v>
      </c>
      <c r="B4904" s="478" t="s">
        <v>41466</v>
      </c>
      <c r="C4904" s="391" t="s">
        <v>26</v>
      </c>
      <c r="D4904" s="479">
        <v>0</v>
      </c>
      <c r="E4904" s="368"/>
      <c r="F4904" s="368"/>
    </row>
    <row r="4905" spans="1:6" ht="25.5" x14ac:dyDescent="0.2">
      <c r="A4905" s="391">
        <v>94753</v>
      </c>
      <c r="B4905" s="478" t="s">
        <v>41467</v>
      </c>
      <c r="C4905" s="391" t="s">
        <v>26</v>
      </c>
      <c r="D4905" s="479">
        <v>0</v>
      </c>
      <c r="E4905" s="368"/>
      <c r="F4905" s="368"/>
    </row>
    <row r="4906" spans="1:6" ht="38.25" x14ac:dyDescent="0.2">
      <c r="A4906" s="391">
        <v>105209</v>
      </c>
      <c r="B4906" s="478" t="s">
        <v>39028</v>
      </c>
      <c r="C4906" s="391" t="s">
        <v>26</v>
      </c>
      <c r="D4906" s="479">
        <v>156.63</v>
      </c>
      <c r="E4906" s="368"/>
      <c r="F4906" s="368"/>
    </row>
    <row r="4907" spans="1:6" ht="38.25" x14ac:dyDescent="0.2">
      <c r="A4907" s="391">
        <v>105208</v>
      </c>
      <c r="B4907" s="478" t="s">
        <v>39027</v>
      </c>
      <c r="C4907" s="391" t="s">
        <v>26</v>
      </c>
      <c r="D4907" s="479">
        <v>325.18</v>
      </c>
      <c r="E4907" s="368"/>
      <c r="F4907" s="368"/>
    </row>
    <row r="4908" spans="1:6" ht="38.25" x14ac:dyDescent="0.2">
      <c r="A4908" s="391">
        <v>105210</v>
      </c>
      <c r="B4908" s="478" t="s">
        <v>39029</v>
      </c>
      <c r="C4908" s="391" t="s">
        <v>26</v>
      </c>
      <c r="D4908" s="479">
        <v>420.18</v>
      </c>
      <c r="E4908" s="368"/>
      <c r="F4908" s="368"/>
    </row>
    <row r="4909" spans="1:6" ht="38.25" x14ac:dyDescent="0.2">
      <c r="A4909" s="391">
        <v>105203</v>
      </c>
      <c r="B4909" s="478" t="s">
        <v>39022</v>
      </c>
      <c r="C4909" s="391" t="s">
        <v>26</v>
      </c>
      <c r="D4909" s="479">
        <v>161.13</v>
      </c>
      <c r="E4909" s="368"/>
      <c r="F4909" s="368"/>
    </row>
    <row r="4910" spans="1:6" ht="38.25" x14ac:dyDescent="0.2">
      <c r="A4910" s="391">
        <v>105202</v>
      </c>
      <c r="B4910" s="478" t="s">
        <v>39021</v>
      </c>
      <c r="C4910" s="391" t="s">
        <v>26</v>
      </c>
      <c r="D4910" s="479">
        <v>266.43</v>
      </c>
      <c r="E4910" s="368"/>
      <c r="F4910" s="368"/>
    </row>
    <row r="4911" spans="1:6" ht="38.25" x14ac:dyDescent="0.2">
      <c r="A4911" s="391">
        <v>105204</v>
      </c>
      <c r="B4911" s="478" t="s">
        <v>39023</v>
      </c>
      <c r="C4911" s="391" t="s">
        <v>26</v>
      </c>
      <c r="D4911" s="479">
        <v>355</v>
      </c>
      <c r="E4911" s="368"/>
      <c r="F4911" s="368"/>
    </row>
    <row r="4912" spans="1:6" ht="38.25" x14ac:dyDescent="0.2">
      <c r="A4912" s="391">
        <v>105206</v>
      </c>
      <c r="B4912" s="478" t="s">
        <v>39025</v>
      </c>
      <c r="C4912" s="391" t="s">
        <v>26</v>
      </c>
      <c r="D4912" s="479">
        <v>153.38</v>
      </c>
      <c r="E4912" s="368"/>
      <c r="F4912" s="368"/>
    </row>
    <row r="4913" spans="1:6" ht="38.25" x14ac:dyDescent="0.2">
      <c r="A4913" s="391">
        <v>105205</v>
      </c>
      <c r="B4913" s="478" t="s">
        <v>39024</v>
      </c>
      <c r="C4913" s="391" t="s">
        <v>26</v>
      </c>
      <c r="D4913" s="479">
        <v>245.79</v>
      </c>
      <c r="E4913" s="368"/>
      <c r="F4913" s="368"/>
    </row>
    <row r="4914" spans="1:6" ht="38.25" x14ac:dyDescent="0.2">
      <c r="A4914" s="391">
        <v>105207</v>
      </c>
      <c r="B4914" s="478" t="s">
        <v>39026</v>
      </c>
      <c r="C4914" s="391" t="s">
        <v>26</v>
      </c>
      <c r="D4914" s="479">
        <v>344.68</v>
      </c>
      <c r="E4914" s="368"/>
      <c r="F4914" s="368"/>
    </row>
    <row r="4915" spans="1:6" ht="25.5" x14ac:dyDescent="0.2">
      <c r="A4915" s="391">
        <v>94687</v>
      </c>
      <c r="B4915" s="478" t="s">
        <v>38887</v>
      </c>
      <c r="C4915" s="391" t="s">
        <v>26</v>
      </c>
      <c r="D4915" s="479">
        <v>218.45</v>
      </c>
      <c r="E4915" s="368"/>
      <c r="F4915" s="368"/>
    </row>
    <row r="4916" spans="1:6" ht="25.5" x14ac:dyDescent="0.2">
      <c r="A4916" s="391">
        <v>94673</v>
      </c>
      <c r="B4916" s="478" t="s">
        <v>47732</v>
      </c>
      <c r="C4916" s="391" t="s">
        <v>26</v>
      </c>
      <c r="D4916" s="479">
        <v>6.8</v>
      </c>
      <c r="E4916" s="368"/>
      <c r="F4916" s="368"/>
    </row>
    <row r="4917" spans="1:6" ht="25.5" x14ac:dyDescent="0.2">
      <c r="A4917" s="391">
        <v>94675</v>
      </c>
      <c r="B4917" s="478" t="s">
        <v>38875</v>
      </c>
      <c r="C4917" s="391" t="s">
        <v>26</v>
      </c>
      <c r="D4917" s="479">
        <v>11.46</v>
      </c>
      <c r="E4917" s="368"/>
      <c r="F4917" s="368"/>
    </row>
    <row r="4918" spans="1:6" ht="25.5" x14ac:dyDescent="0.2">
      <c r="A4918" s="391">
        <v>94677</v>
      </c>
      <c r="B4918" s="478" t="s">
        <v>38877</v>
      </c>
      <c r="C4918" s="391" t="s">
        <v>26</v>
      </c>
      <c r="D4918" s="479">
        <v>18.59</v>
      </c>
      <c r="E4918" s="368"/>
      <c r="F4918" s="368"/>
    </row>
    <row r="4919" spans="1:6" ht="25.5" x14ac:dyDescent="0.2">
      <c r="A4919" s="391">
        <v>94679</v>
      </c>
      <c r="B4919" s="478" t="s">
        <v>38879</v>
      </c>
      <c r="C4919" s="391" t="s">
        <v>26</v>
      </c>
      <c r="D4919" s="479">
        <v>22.43</v>
      </c>
      <c r="E4919" s="368"/>
      <c r="F4919" s="368"/>
    </row>
    <row r="4920" spans="1:6" ht="25.5" x14ac:dyDescent="0.2">
      <c r="A4920" s="391">
        <v>94681</v>
      </c>
      <c r="B4920" s="478" t="s">
        <v>38881</v>
      </c>
      <c r="C4920" s="391" t="s">
        <v>26</v>
      </c>
      <c r="D4920" s="479">
        <v>46.56</v>
      </c>
      <c r="E4920" s="368"/>
      <c r="F4920" s="368"/>
    </row>
    <row r="4921" spans="1:6" ht="25.5" x14ac:dyDescent="0.2">
      <c r="A4921" s="391">
        <v>94683</v>
      </c>
      <c r="B4921" s="478" t="s">
        <v>38883</v>
      </c>
      <c r="C4921" s="391" t="s">
        <v>26</v>
      </c>
      <c r="D4921" s="479">
        <v>70.8</v>
      </c>
      <c r="E4921" s="368"/>
      <c r="F4921" s="368"/>
    </row>
    <row r="4922" spans="1:6" ht="25.5" x14ac:dyDescent="0.2">
      <c r="A4922" s="391">
        <v>94685</v>
      </c>
      <c r="B4922" s="478" t="s">
        <v>38885</v>
      </c>
      <c r="C4922" s="391" t="s">
        <v>26</v>
      </c>
      <c r="D4922" s="479">
        <v>90.17</v>
      </c>
      <c r="E4922" s="368"/>
      <c r="F4922" s="368"/>
    </row>
    <row r="4923" spans="1:6" ht="38.25" x14ac:dyDescent="0.2">
      <c r="A4923" s="391">
        <v>94621</v>
      </c>
      <c r="B4923" s="478" t="s">
        <v>41468</v>
      </c>
      <c r="C4923" s="391" t="s">
        <v>26</v>
      </c>
      <c r="D4923" s="479">
        <v>0</v>
      </c>
      <c r="E4923" s="368"/>
      <c r="F4923" s="368"/>
    </row>
    <row r="4924" spans="1:6" ht="38.25" x14ac:dyDescent="0.2">
      <c r="A4924" s="391">
        <v>94615</v>
      </c>
      <c r="B4924" s="478" t="s">
        <v>38851</v>
      </c>
      <c r="C4924" s="391" t="s">
        <v>26</v>
      </c>
      <c r="D4924" s="479">
        <v>158.54</v>
      </c>
      <c r="E4924" s="368"/>
      <c r="F4924" s="368"/>
    </row>
    <row r="4925" spans="1:6" ht="38.25" x14ac:dyDescent="0.2">
      <c r="A4925" s="391">
        <v>94617</v>
      </c>
      <c r="B4925" s="478" t="s">
        <v>38853</v>
      </c>
      <c r="C4925" s="391" t="s">
        <v>26</v>
      </c>
      <c r="D4925" s="479">
        <v>328.31</v>
      </c>
      <c r="E4925" s="368"/>
      <c r="F4925" s="368"/>
    </row>
    <row r="4926" spans="1:6" ht="38.25" x14ac:dyDescent="0.2">
      <c r="A4926" s="391">
        <v>94619</v>
      </c>
      <c r="B4926" s="478" t="s">
        <v>41469</v>
      </c>
      <c r="C4926" s="391" t="s">
        <v>26</v>
      </c>
      <c r="D4926" s="479">
        <v>0</v>
      </c>
      <c r="E4926" s="368"/>
      <c r="F4926" s="368"/>
    </row>
    <row r="4927" spans="1:6" ht="25.5" x14ac:dyDescent="0.2">
      <c r="A4927" s="391">
        <v>105147</v>
      </c>
      <c r="B4927" s="478" t="s">
        <v>38975</v>
      </c>
      <c r="C4927" s="391" t="s">
        <v>26</v>
      </c>
      <c r="D4927" s="479">
        <v>15.72</v>
      </c>
      <c r="E4927" s="368"/>
      <c r="F4927" s="368"/>
    </row>
    <row r="4928" spans="1:6" ht="25.5" x14ac:dyDescent="0.2">
      <c r="A4928" s="391">
        <v>105148</v>
      </c>
      <c r="B4928" s="478" t="s">
        <v>38976</v>
      </c>
      <c r="C4928" s="391" t="s">
        <v>26</v>
      </c>
      <c r="D4928" s="479">
        <v>22.78</v>
      </c>
      <c r="E4928" s="368"/>
      <c r="F4928" s="368"/>
    </row>
    <row r="4929" spans="1:6" ht="25.5" x14ac:dyDescent="0.2">
      <c r="A4929" s="391">
        <v>105154</v>
      </c>
      <c r="B4929" s="478" t="s">
        <v>38981</v>
      </c>
      <c r="C4929" s="391" t="s">
        <v>26</v>
      </c>
      <c r="D4929" s="479">
        <v>6.27</v>
      </c>
      <c r="E4929" s="368"/>
      <c r="F4929" s="368"/>
    </row>
    <row r="4930" spans="1:6" ht="25.5" x14ac:dyDescent="0.2">
      <c r="A4930" s="391">
        <v>105155</v>
      </c>
      <c r="B4930" s="478" t="s">
        <v>38982</v>
      </c>
      <c r="C4930" s="391" t="s">
        <v>26</v>
      </c>
      <c r="D4930" s="479">
        <v>9.49</v>
      </c>
      <c r="E4930" s="368"/>
      <c r="F4930" s="368"/>
    </row>
    <row r="4931" spans="1:6" ht="25.5" x14ac:dyDescent="0.2">
      <c r="A4931" s="391">
        <v>105156</v>
      </c>
      <c r="B4931" s="478" t="s">
        <v>38983</v>
      </c>
      <c r="C4931" s="391" t="s">
        <v>26</v>
      </c>
      <c r="D4931" s="479">
        <v>12.04</v>
      </c>
      <c r="E4931" s="368"/>
      <c r="F4931" s="368"/>
    </row>
    <row r="4932" spans="1:6" ht="25.5" x14ac:dyDescent="0.2">
      <c r="A4932" s="391">
        <v>105157</v>
      </c>
      <c r="B4932" s="478" t="s">
        <v>38984</v>
      </c>
      <c r="C4932" s="391" t="s">
        <v>26</v>
      </c>
      <c r="D4932" s="479">
        <v>18.690000000000001</v>
      </c>
      <c r="E4932" s="368"/>
      <c r="F4932" s="368"/>
    </row>
    <row r="4933" spans="1:6" ht="25.5" x14ac:dyDescent="0.2">
      <c r="A4933" s="391">
        <v>105158</v>
      </c>
      <c r="B4933" s="478" t="s">
        <v>38985</v>
      </c>
      <c r="C4933" s="391" t="s">
        <v>26</v>
      </c>
      <c r="D4933" s="479">
        <v>27.59</v>
      </c>
      <c r="E4933" s="368"/>
      <c r="F4933" s="368"/>
    </row>
    <row r="4934" spans="1:6" ht="25.5" x14ac:dyDescent="0.2">
      <c r="A4934" s="391">
        <v>105159</v>
      </c>
      <c r="B4934" s="478" t="s">
        <v>38986</v>
      </c>
      <c r="C4934" s="391" t="s">
        <v>26</v>
      </c>
      <c r="D4934" s="479">
        <v>49.57</v>
      </c>
      <c r="E4934" s="368"/>
      <c r="F4934" s="368"/>
    </row>
    <row r="4935" spans="1:6" ht="25.5" x14ac:dyDescent="0.2">
      <c r="A4935" s="391">
        <v>105160</v>
      </c>
      <c r="B4935" s="478" t="s">
        <v>38987</v>
      </c>
      <c r="C4935" s="391" t="s">
        <v>26</v>
      </c>
      <c r="D4935" s="479">
        <v>61.13</v>
      </c>
      <c r="E4935" s="368"/>
      <c r="F4935" s="368"/>
    </row>
    <row r="4936" spans="1:6" ht="25.5" x14ac:dyDescent="0.2">
      <c r="A4936" s="391">
        <v>94634</v>
      </c>
      <c r="B4936" s="478" t="s">
        <v>41470</v>
      </c>
      <c r="C4936" s="391" t="s">
        <v>26</v>
      </c>
      <c r="D4936" s="479">
        <v>0</v>
      </c>
      <c r="E4936" s="368"/>
      <c r="F4936" s="368"/>
    </row>
    <row r="4937" spans="1:6" ht="25.5" x14ac:dyDescent="0.2">
      <c r="A4937" s="391">
        <v>94631</v>
      </c>
      <c r="B4937" s="478" t="s">
        <v>41471</v>
      </c>
      <c r="C4937" s="391" t="s">
        <v>26</v>
      </c>
      <c r="D4937" s="479">
        <v>0</v>
      </c>
      <c r="E4937" s="368"/>
      <c r="F4937" s="368"/>
    </row>
    <row r="4938" spans="1:6" ht="25.5" x14ac:dyDescent="0.2">
      <c r="A4938" s="391">
        <v>94632</v>
      </c>
      <c r="B4938" s="478" t="s">
        <v>41472</v>
      </c>
      <c r="C4938" s="391" t="s">
        <v>26</v>
      </c>
      <c r="D4938" s="479">
        <v>0</v>
      </c>
      <c r="E4938" s="368"/>
      <c r="F4938" s="368"/>
    </row>
    <row r="4939" spans="1:6" ht="25.5" x14ac:dyDescent="0.2">
      <c r="A4939" s="391">
        <v>94633</v>
      </c>
      <c r="B4939" s="478" t="s">
        <v>41473</v>
      </c>
      <c r="C4939" s="391" t="s">
        <v>26</v>
      </c>
      <c r="D4939" s="479">
        <v>0</v>
      </c>
      <c r="E4939" s="368"/>
      <c r="F4939" s="368"/>
    </row>
    <row r="4940" spans="1:6" ht="38.25" x14ac:dyDescent="0.2">
      <c r="A4940" s="391">
        <v>94672</v>
      </c>
      <c r="B4940" s="478" t="s">
        <v>47733</v>
      </c>
      <c r="C4940" s="391" t="s">
        <v>26</v>
      </c>
      <c r="D4940" s="479">
        <v>5.78</v>
      </c>
      <c r="E4940" s="368"/>
      <c r="F4940" s="368"/>
    </row>
    <row r="4941" spans="1:6" ht="25.5" x14ac:dyDescent="0.2">
      <c r="A4941" s="391">
        <v>94754</v>
      </c>
      <c r="B4941" s="478" t="s">
        <v>38931</v>
      </c>
      <c r="C4941" s="391" t="s">
        <v>26</v>
      </c>
      <c r="D4941" s="479">
        <v>273.61</v>
      </c>
      <c r="E4941" s="368"/>
      <c r="F4941" s="368"/>
    </row>
    <row r="4942" spans="1:6" ht="25.5" x14ac:dyDescent="0.2">
      <c r="A4942" s="391">
        <v>94740</v>
      </c>
      <c r="B4942" s="478" t="s">
        <v>38922</v>
      </c>
      <c r="C4942" s="391" t="s">
        <v>26</v>
      </c>
      <c r="D4942" s="479">
        <v>9.4</v>
      </c>
      <c r="E4942" s="368"/>
      <c r="F4942" s="368"/>
    </row>
    <row r="4943" spans="1:6" ht="25.5" x14ac:dyDescent="0.2">
      <c r="A4943" s="391">
        <v>94742</v>
      </c>
      <c r="B4943" s="478" t="s">
        <v>38924</v>
      </c>
      <c r="C4943" s="391" t="s">
        <v>26</v>
      </c>
      <c r="D4943" s="479">
        <v>15.72</v>
      </c>
      <c r="E4943" s="368"/>
      <c r="F4943" s="368"/>
    </row>
    <row r="4944" spans="1:6" ht="25.5" x14ac:dyDescent="0.2">
      <c r="A4944" s="391">
        <v>94744</v>
      </c>
      <c r="B4944" s="478" t="s">
        <v>38926</v>
      </c>
      <c r="C4944" s="391" t="s">
        <v>26</v>
      </c>
      <c r="D4944" s="479">
        <v>24.85</v>
      </c>
      <c r="E4944" s="368"/>
      <c r="F4944" s="368"/>
    </row>
    <row r="4945" spans="1:6" ht="25.5" x14ac:dyDescent="0.2">
      <c r="A4945" s="391">
        <v>94746</v>
      </c>
      <c r="B4945" s="478" t="s">
        <v>38927</v>
      </c>
      <c r="C4945" s="391" t="s">
        <v>26</v>
      </c>
      <c r="D4945" s="479">
        <v>35.71</v>
      </c>
      <c r="E4945" s="368"/>
      <c r="F4945" s="368"/>
    </row>
    <row r="4946" spans="1:6" ht="25.5" x14ac:dyDescent="0.2">
      <c r="A4946" s="391">
        <v>94748</v>
      </c>
      <c r="B4946" s="478" t="s">
        <v>38928</v>
      </c>
      <c r="C4946" s="391" t="s">
        <v>26</v>
      </c>
      <c r="D4946" s="479">
        <v>78.680000000000007</v>
      </c>
      <c r="E4946" s="368"/>
      <c r="F4946" s="368"/>
    </row>
    <row r="4947" spans="1:6" ht="25.5" x14ac:dyDescent="0.2">
      <c r="A4947" s="391">
        <v>94750</v>
      </c>
      <c r="B4947" s="478" t="s">
        <v>38929</v>
      </c>
      <c r="C4947" s="391" t="s">
        <v>26</v>
      </c>
      <c r="D4947" s="479">
        <v>159.08000000000001</v>
      </c>
      <c r="E4947" s="368"/>
      <c r="F4947" s="368"/>
    </row>
    <row r="4948" spans="1:6" ht="25.5" x14ac:dyDescent="0.2">
      <c r="A4948" s="391">
        <v>94752</v>
      </c>
      <c r="B4948" s="478" t="s">
        <v>38930</v>
      </c>
      <c r="C4948" s="391" t="s">
        <v>26</v>
      </c>
      <c r="D4948" s="479">
        <v>191.09</v>
      </c>
      <c r="E4948" s="368"/>
      <c r="F4948" s="368"/>
    </row>
    <row r="4949" spans="1:6" ht="25.5" x14ac:dyDescent="0.2">
      <c r="A4949" s="391">
        <v>96755</v>
      </c>
      <c r="B4949" s="478" t="s">
        <v>38966</v>
      </c>
      <c r="C4949" s="391" t="s">
        <v>26</v>
      </c>
      <c r="D4949" s="479">
        <v>348.27</v>
      </c>
      <c r="E4949" s="368"/>
      <c r="F4949" s="368"/>
    </row>
    <row r="4950" spans="1:6" ht="25.5" x14ac:dyDescent="0.2">
      <c r="A4950" s="391">
        <v>96747</v>
      </c>
      <c r="B4950" s="478" t="s">
        <v>38958</v>
      </c>
      <c r="C4950" s="391" t="s">
        <v>26</v>
      </c>
      <c r="D4950" s="479">
        <v>6.92</v>
      </c>
      <c r="E4950" s="368"/>
      <c r="F4950" s="368"/>
    </row>
    <row r="4951" spans="1:6" ht="25.5" x14ac:dyDescent="0.2">
      <c r="A4951" s="391">
        <v>96748</v>
      </c>
      <c r="B4951" s="478" t="s">
        <v>38959</v>
      </c>
      <c r="C4951" s="391" t="s">
        <v>26</v>
      </c>
      <c r="D4951" s="479">
        <v>8.09</v>
      </c>
      <c r="E4951" s="368"/>
      <c r="F4951" s="368"/>
    </row>
    <row r="4952" spans="1:6" ht="25.5" x14ac:dyDescent="0.2">
      <c r="A4952" s="391">
        <v>96749</v>
      </c>
      <c r="B4952" s="478" t="s">
        <v>38960</v>
      </c>
      <c r="C4952" s="391" t="s">
        <v>26</v>
      </c>
      <c r="D4952" s="479">
        <v>10.35</v>
      </c>
      <c r="E4952" s="368"/>
      <c r="F4952" s="368"/>
    </row>
    <row r="4953" spans="1:6" ht="25.5" x14ac:dyDescent="0.2">
      <c r="A4953" s="391">
        <v>96750</v>
      </c>
      <c r="B4953" s="478" t="s">
        <v>38961</v>
      </c>
      <c r="C4953" s="391" t="s">
        <v>26</v>
      </c>
      <c r="D4953" s="479">
        <v>16.670000000000002</v>
      </c>
      <c r="E4953" s="368"/>
      <c r="F4953" s="368"/>
    </row>
    <row r="4954" spans="1:6" ht="25.5" x14ac:dyDescent="0.2">
      <c r="A4954" s="391">
        <v>96751</v>
      </c>
      <c r="B4954" s="478" t="s">
        <v>38962</v>
      </c>
      <c r="C4954" s="391" t="s">
        <v>26</v>
      </c>
      <c r="D4954" s="479">
        <v>24.63</v>
      </c>
      <c r="E4954" s="368"/>
      <c r="F4954" s="368"/>
    </row>
    <row r="4955" spans="1:6" ht="25.5" x14ac:dyDescent="0.2">
      <c r="A4955" s="391">
        <v>96752</v>
      </c>
      <c r="B4955" s="478" t="s">
        <v>38963</v>
      </c>
      <c r="C4955" s="391" t="s">
        <v>26</v>
      </c>
      <c r="D4955" s="479">
        <v>37.24</v>
      </c>
      <c r="E4955" s="368"/>
      <c r="F4955" s="368"/>
    </row>
    <row r="4956" spans="1:6" ht="25.5" x14ac:dyDescent="0.2">
      <c r="A4956" s="391">
        <v>96753</v>
      </c>
      <c r="B4956" s="478" t="s">
        <v>38964</v>
      </c>
      <c r="C4956" s="391" t="s">
        <v>26</v>
      </c>
      <c r="D4956" s="479">
        <v>87.64</v>
      </c>
      <c r="E4956" s="368"/>
      <c r="F4956" s="368"/>
    </row>
    <row r="4957" spans="1:6" ht="25.5" x14ac:dyDescent="0.2">
      <c r="A4957" s="391">
        <v>96754</v>
      </c>
      <c r="B4957" s="478" t="s">
        <v>38965</v>
      </c>
      <c r="C4957" s="391" t="s">
        <v>26</v>
      </c>
      <c r="D4957" s="479">
        <v>112.3</v>
      </c>
      <c r="E4957" s="368"/>
      <c r="F4957" s="368"/>
    </row>
    <row r="4958" spans="1:6" ht="25.5" x14ac:dyDescent="0.2">
      <c r="A4958" s="391">
        <v>94686</v>
      </c>
      <c r="B4958" s="478" t="s">
        <v>38886</v>
      </c>
      <c r="C4958" s="391" t="s">
        <v>26</v>
      </c>
      <c r="D4958" s="479">
        <v>241.49</v>
      </c>
      <c r="E4958" s="368"/>
      <c r="F4958" s="368"/>
    </row>
    <row r="4959" spans="1:6" ht="25.5" x14ac:dyDescent="0.2">
      <c r="A4959" s="391">
        <v>94674</v>
      </c>
      <c r="B4959" s="478" t="s">
        <v>38874</v>
      </c>
      <c r="C4959" s="391" t="s">
        <v>26</v>
      </c>
      <c r="D4959" s="479">
        <v>7.46</v>
      </c>
      <c r="E4959" s="368"/>
      <c r="F4959" s="368"/>
    </row>
    <row r="4960" spans="1:6" ht="25.5" x14ac:dyDescent="0.2">
      <c r="A4960" s="391">
        <v>94676</v>
      </c>
      <c r="B4960" s="478" t="s">
        <v>38876</v>
      </c>
      <c r="C4960" s="391" t="s">
        <v>26</v>
      </c>
      <c r="D4960" s="479">
        <v>12.51</v>
      </c>
      <c r="E4960" s="368"/>
      <c r="F4960" s="368"/>
    </row>
    <row r="4961" spans="1:6" ht="25.5" x14ac:dyDescent="0.2">
      <c r="A4961" s="391">
        <v>94678</v>
      </c>
      <c r="B4961" s="478" t="s">
        <v>38878</v>
      </c>
      <c r="C4961" s="391" t="s">
        <v>26</v>
      </c>
      <c r="D4961" s="479">
        <v>14.44</v>
      </c>
      <c r="E4961" s="368"/>
      <c r="F4961" s="368"/>
    </row>
    <row r="4962" spans="1:6" ht="25.5" x14ac:dyDescent="0.2">
      <c r="A4962" s="391">
        <v>94680</v>
      </c>
      <c r="B4962" s="478" t="s">
        <v>38880</v>
      </c>
      <c r="C4962" s="391" t="s">
        <v>26</v>
      </c>
      <c r="D4962" s="479">
        <v>41.46</v>
      </c>
      <c r="E4962" s="368"/>
      <c r="F4962" s="368"/>
    </row>
    <row r="4963" spans="1:6" ht="25.5" x14ac:dyDescent="0.2">
      <c r="A4963" s="391">
        <v>94682</v>
      </c>
      <c r="B4963" s="478" t="s">
        <v>38882</v>
      </c>
      <c r="C4963" s="391" t="s">
        <v>26</v>
      </c>
      <c r="D4963" s="479">
        <v>103.55</v>
      </c>
      <c r="E4963" s="368"/>
      <c r="F4963" s="368"/>
    </row>
    <row r="4964" spans="1:6" ht="25.5" x14ac:dyDescent="0.2">
      <c r="A4964" s="391">
        <v>94684</v>
      </c>
      <c r="B4964" s="478" t="s">
        <v>38884</v>
      </c>
      <c r="C4964" s="391" t="s">
        <v>26</v>
      </c>
      <c r="D4964" s="479">
        <v>124.9</v>
      </c>
      <c r="E4964" s="368"/>
      <c r="F4964" s="368"/>
    </row>
    <row r="4965" spans="1:6" ht="25.5" x14ac:dyDescent="0.2">
      <c r="A4965" s="391">
        <v>105219</v>
      </c>
      <c r="B4965" s="478" t="s">
        <v>39038</v>
      </c>
      <c r="C4965" s="391" t="s">
        <v>26</v>
      </c>
      <c r="D4965" s="479">
        <v>10.97</v>
      </c>
      <c r="E4965" s="368"/>
      <c r="F4965" s="368"/>
    </row>
    <row r="4966" spans="1:6" ht="25.5" x14ac:dyDescent="0.2">
      <c r="A4966" s="391">
        <v>105220</v>
      </c>
      <c r="B4966" s="478" t="s">
        <v>39039</v>
      </c>
      <c r="C4966" s="391" t="s">
        <v>26</v>
      </c>
      <c r="D4966" s="479">
        <v>15.07</v>
      </c>
      <c r="E4966" s="368"/>
      <c r="F4966" s="368"/>
    </row>
    <row r="4967" spans="1:6" ht="25.5" x14ac:dyDescent="0.2">
      <c r="A4967" s="391">
        <v>105221</v>
      </c>
      <c r="B4967" s="478" t="s">
        <v>39040</v>
      </c>
      <c r="C4967" s="391" t="s">
        <v>26</v>
      </c>
      <c r="D4967" s="479">
        <v>23.24</v>
      </c>
      <c r="E4967" s="368"/>
      <c r="F4967" s="368"/>
    </row>
    <row r="4968" spans="1:6" ht="25.5" x14ac:dyDescent="0.2">
      <c r="A4968" s="391">
        <v>105166</v>
      </c>
      <c r="B4968" s="478" t="s">
        <v>38993</v>
      </c>
      <c r="C4968" s="391" t="s">
        <v>26</v>
      </c>
      <c r="D4968" s="479">
        <v>35.31</v>
      </c>
      <c r="E4968" s="368"/>
      <c r="F4968" s="368"/>
    </row>
    <row r="4969" spans="1:6" ht="25.5" x14ac:dyDescent="0.2">
      <c r="A4969" s="391">
        <v>105222</v>
      </c>
      <c r="B4969" s="478" t="s">
        <v>39041</v>
      </c>
      <c r="C4969" s="391" t="s">
        <v>26</v>
      </c>
      <c r="D4969" s="479">
        <v>66.959999999999994</v>
      </c>
      <c r="E4969" s="368"/>
      <c r="F4969" s="368"/>
    </row>
    <row r="4970" spans="1:6" ht="25.5" x14ac:dyDescent="0.2">
      <c r="A4970" s="391">
        <v>105223</v>
      </c>
      <c r="B4970" s="478" t="s">
        <v>39042</v>
      </c>
      <c r="C4970" s="391" t="s">
        <v>26</v>
      </c>
      <c r="D4970" s="479">
        <v>153.78</v>
      </c>
      <c r="E4970" s="368"/>
      <c r="F4970" s="368"/>
    </row>
    <row r="4971" spans="1:6" ht="25.5" x14ac:dyDescent="0.2">
      <c r="A4971" s="391">
        <v>105224</v>
      </c>
      <c r="B4971" s="478" t="s">
        <v>39043</v>
      </c>
      <c r="C4971" s="391" t="s">
        <v>26</v>
      </c>
      <c r="D4971" s="479">
        <v>224.06</v>
      </c>
      <c r="E4971" s="368"/>
      <c r="F4971" s="368"/>
    </row>
    <row r="4972" spans="1:6" ht="25.5" x14ac:dyDescent="0.2">
      <c r="A4972" s="391">
        <v>105149</v>
      </c>
      <c r="B4972" s="478" t="s">
        <v>38977</v>
      </c>
      <c r="C4972" s="391" t="s">
        <v>26</v>
      </c>
      <c r="D4972" s="479">
        <v>7.17</v>
      </c>
      <c r="E4972" s="368"/>
      <c r="F4972" s="368"/>
    </row>
    <row r="4973" spans="1:6" ht="25.5" x14ac:dyDescent="0.2">
      <c r="A4973" s="391">
        <v>105150</v>
      </c>
      <c r="B4973" s="478" t="s">
        <v>38978</v>
      </c>
      <c r="C4973" s="391" t="s">
        <v>26</v>
      </c>
      <c r="D4973" s="479">
        <v>8.51</v>
      </c>
      <c r="E4973" s="368"/>
      <c r="F4973" s="368"/>
    </row>
    <row r="4974" spans="1:6" ht="25.5" x14ac:dyDescent="0.2">
      <c r="A4974" s="391">
        <v>105151</v>
      </c>
      <c r="B4974" s="478" t="s">
        <v>38979</v>
      </c>
      <c r="C4974" s="391" t="s">
        <v>26</v>
      </c>
      <c r="D4974" s="479">
        <v>22.33</v>
      </c>
      <c r="E4974" s="368"/>
      <c r="F4974" s="368"/>
    </row>
    <row r="4975" spans="1:6" ht="25.5" x14ac:dyDescent="0.2">
      <c r="A4975" s="391">
        <v>105152</v>
      </c>
      <c r="B4975" s="478" t="s">
        <v>38980</v>
      </c>
      <c r="C4975" s="391" t="s">
        <v>26</v>
      </c>
      <c r="D4975" s="479">
        <v>33.58</v>
      </c>
      <c r="E4975" s="368"/>
      <c r="F4975" s="368"/>
    </row>
    <row r="4976" spans="1:6" ht="25.5" x14ac:dyDescent="0.2">
      <c r="A4976" s="391">
        <v>105153</v>
      </c>
      <c r="B4976" s="478" t="s">
        <v>38830</v>
      </c>
      <c r="C4976" s="391" t="s">
        <v>26</v>
      </c>
      <c r="D4976" s="479">
        <v>53.22</v>
      </c>
      <c r="E4976" s="368"/>
      <c r="F4976" s="368"/>
    </row>
    <row r="4977" spans="1:6" ht="25.5" x14ac:dyDescent="0.2">
      <c r="A4977" s="391">
        <v>105161</v>
      </c>
      <c r="B4977" s="478" t="s">
        <v>38988</v>
      </c>
      <c r="C4977" s="391" t="s">
        <v>26</v>
      </c>
      <c r="D4977" s="479">
        <v>97.38</v>
      </c>
      <c r="E4977" s="368"/>
      <c r="F4977" s="368"/>
    </row>
    <row r="4978" spans="1:6" ht="25.5" x14ac:dyDescent="0.2">
      <c r="A4978" s="391">
        <v>105162</v>
      </c>
      <c r="B4978" s="478" t="s">
        <v>38989</v>
      </c>
      <c r="C4978" s="391" t="s">
        <v>26</v>
      </c>
      <c r="D4978" s="479">
        <v>167.55</v>
      </c>
      <c r="E4978" s="368"/>
      <c r="F4978" s="368"/>
    </row>
    <row r="4979" spans="1:6" ht="25.5" x14ac:dyDescent="0.2">
      <c r="A4979" s="391">
        <v>105163</v>
      </c>
      <c r="B4979" s="478" t="s">
        <v>38990</v>
      </c>
      <c r="C4979" s="391" t="s">
        <v>26</v>
      </c>
      <c r="D4979" s="479">
        <v>13.83</v>
      </c>
      <c r="E4979" s="368"/>
      <c r="F4979" s="368"/>
    </row>
    <row r="4980" spans="1:6" ht="25.5" x14ac:dyDescent="0.2">
      <c r="A4980" s="391">
        <v>105170</v>
      </c>
      <c r="B4980" s="478" t="s">
        <v>38996</v>
      </c>
      <c r="C4980" s="391" t="s">
        <v>26</v>
      </c>
      <c r="D4980" s="479">
        <v>5.33</v>
      </c>
      <c r="E4980" s="368"/>
      <c r="F4980" s="368"/>
    </row>
    <row r="4981" spans="1:6" ht="25.5" x14ac:dyDescent="0.2">
      <c r="A4981" s="391">
        <v>105179</v>
      </c>
      <c r="B4981" s="478" t="s">
        <v>39004</v>
      </c>
      <c r="C4981" s="391" t="s">
        <v>26</v>
      </c>
      <c r="D4981" s="479">
        <v>9.17</v>
      </c>
      <c r="E4981" s="368"/>
      <c r="F4981" s="368"/>
    </row>
    <row r="4982" spans="1:6" ht="25.5" x14ac:dyDescent="0.2">
      <c r="A4982" s="391">
        <v>105180</v>
      </c>
      <c r="B4982" s="478" t="s">
        <v>39005</v>
      </c>
      <c r="C4982" s="391" t="s">
        <v>26</v>
      </c>
      <c r="D4982" s="479">
        <v>12.57</v>
      </c>
      <c r="E4982" s="368"/>
      <c r="F4982" s="368"/>
    </row>
    <row r="4983" spans="1:6" ht="25.5" x14ac:dyDescent="0.2">
      <c r="A4983" s="391">
        <v>105181</v>
      </c>
      <c r="B4983" s="478" t="s">
        <v>39006</v>
      </c>
      <c r="C4983" s="391" t="s">
        <v>26</v>
      </c>
      <c r="D4983" s="479">
        <v>16.920000000000002</v>
      </c>
      <c r="E4983" s="368"/>
      <c r="F4983" s="368"/>
    </row>
    <row r="4984" spans="1:6" ht="25.5" x14ac:dyDescent="0.2">
      <c r="A4984" s="391">
        <v>105182</v>
      </c>
      <c r="B4984" s="478" t="s">
        <v>39007</v>
      </c>
      <c r="C4984" s="391" t="s">
        <v>26</v>
      </c>
      <c r="D4984" s="479">
        <v>39.72</v>
      </c>
      <c r="E4984" s="368"/>
      <c r="F4984" s="368"/>
    </row>
    <row r="4985" spans="1:6" ht="25.5" x14ac:dyDescent="0.2">
      <c r="A4985" s="391">
        <v>105183</v>
      </c>
      <c r="B4985" s="478" t="s">
        <v>39008</v>
      </c>
      <c r="C4985" s="391" t="s">
        <v>26</v>
      </c>
      <c r="D4985" s="479">
        <v>83.56</v>
      </c>
      <c r="E4985" s="368"/>
      <c r="F4985" s="368"/>
    </row>
    <row r="4986" spans="1:6" ht="25.5" x14ac:dyDescent="0.2">
      <c r="A4986" s="391">
        <v>105184</v>
      </c>
      <c r="B4986" s="478" t="s">
        <v>39009</v>
      </c>
      <c r="C4986" s="391" t="s">
        <v>26</v>
      </c>
      <c r="D4986" s="479">
        <v>103.49</v>
      </c>
      <c r="E4986" s="368"/>
      <c r="F4986" s="368"/>
    </row>
    <row r="4987" spans="1:6" ht="25.5" x14ac:dyDescent="0.2">
      <c r="A4987" s="391">
        <v>94612</v>
      </c>
      <c r="B4987" s="478" t="s">
        <v>38849</v>
      </c>
      <c r="C4987" s="391" t="s">
        <v>26</v>
      </c>
      <c r="D4987" s="479">
        <v>431.33</v>
      </c>
      <c r="E4987" s="368"/>
      <c r="F4987" s="368"/>
    </row>
    <row r="4988" spans="1:6" ht="25.5" x14ac:dyDescent="0.2">
      <c r="A4988" s="391">
        <v>105142</v>
      </c>
      <c r="B4988" s="478" t="s">
        <v>38826</v>
      </c>
      <c r="C4988" s="391" t="s">
        <v>26</v>
      </c>
      <c r="D4988" s="479">
        <v>6.45</v>
      </c>
      <c r="E4988" s="368"/>
      <c r="F4988" s="368"/>
    </row>
    <row r="4989" spans="1:6" ht="25.5" x14ac:dyDescent="0.2">
      <c r="A4989" s="391">
        <v>105143</v>
      </c>
      <c r="B4989" s="478" t="s">
        <v>38827</v>
      </c>
      <c r="C4989" s="391" t="s">
        <v>26</v>
      </c>
      <c r="D4989" s="479">
        <v>9.69</v>
      </c>
      <c r="E4989" s="368"/>
      <c r="F4989" s="368"/>
    </row>
    <row r="4990" spans="1:6" ht="25.5" x14ac:dyDescent="0.2">
      <c r="A4990" s="391">
        <v>105144</v>
      </c>
      <c r="B4990" s="478" t="s">
        <v>38828</v>
      </c>
      <c r="C4990" s="391" t="s">
        <v>26</v>
      </c>
      <c r="D4990" s="479">
        <v>20.59</v>
      </c>
      <c r="E4990" s="368"/>
      <c r="F4990" s="368"/>
    </row>
    <row r="4991" spans="1:6" ht="38.25" x14ac:dyDescent="0.2">
      <c r="A4991" s="391">
        <v>105173</v>
      </c>
      <c r="B4991" s="478" t="s">
        <v>38998</v>
      </c>
      <c r="C4991" s="391" t="s">
        <v>26</v>
      </c>
      <c r="D4991" s="479">
        <v>88.44</v>
      </c>
      <c r="E4991" s="368"/>
      <c r="F4991" s="368"/>
    </row>
    <row r="4992" spans="1:6" ht="38.25" x14ac:dyDescent="0.2">
      <c r="A4992" s="391">
        <v>105175</v>
      </c>
      <c r="B4992" s="478" t="s">
        <v>39000</v>
      </c>
      <c r="C4992" s="391" t="s">
        <v>26</v>
      </c>
      <c r="D4992" s="479">
        <v>127.44</v>
      </c>
      <c r="E4992" s="368"/>
      <c r="F4992" s="368"/>
    </row>
    <row r="4993" spans="1:6" ht="38.25" x14ac:dyDescent="0.2">
      <c r="A4993" s="391">
        <v>105174</v>
      </c>
      <c r="B4993" s="478" t="s">
        <v>38999</v>
      </c>
      <c r="C4993" s="391" t="s">
        <v>26</v>
      </c>
      <c r="D4993" s="479">
        <v>128.79</v>
      </c>
      <c r="E4993" s="368"/>
      <c r="F4993" s="368"/>
    </row>
    <row r="4994" spans="1:6" ht="25.5" x14ac:dyDescent="0.2">
      <c r="A4994" s="391">
        <v>105145</v>
      </c>
      <c r="B4994" s="478" t="s">
        <v>38829</v>
      </c>
      <c r="C4994" s="391" t="s">
        <v>26</v>
      </c>
      <c r="D4994" s="479">
        <v>11.23</v>
      </c>
      <c r="E4994" s="368"/>
      <c r="F4994" s="368"/>
    </row>
    <row r="4995" spans="1:6" ht="25.5" x14ac:dyDescent="0.2">
      <c r="A4995" s="391">
        <v>94606</v>
      </c>
      <c r="B4995" s="478" t="s">
        <v>38846</v>
      </c>
      <c r="C4995" s="391" t="s">
        <v>26</v>
      </c>
      <c r="D4995" s="479">
        <v>81.42</v>
      </c>
      <c r="E4995" s="368"/>
      <c r="F4995" s="368"/>
    </row>
    <row r="4996" spans="1:6" ht="25.5" x14ac:dyDescent="0.2">
      <c r="A4996" s="391">
        <v>94608</v>
      </c>
      <c r="B4996" s="478" t="s">
        <v>38847</v>
      </c>
      <c r="C4996" s="391" t="s">
        <v>26</v>
      </c>
      <c r="D4996" s="479">
        <v>206.63</v>
      </c>
      <c r="E4996" s="368"/>
      <c r="F4996" s="368"/>
    </row>
    <row r="4997" spans="1:6" ht="25.5" x14ac:dyDescent="0.2">
      <c r="A4997" s="391">
        <v>94610</v>
      </c>
      <c r="B4997" s="478" t="s">
        <v>38848</v>
      </c>
      <c r="C4997" s="391" t="s">
        <v>26</v>
      </c>
      <c r="D4997" s="479">
        <v>303.02</v>
      </c>
      <c r="E4997" s="368"/>
      <c r="F4997" s="368"/>
    </row>
    <row r="4998" spans="1:6" ht="25.5" x14ac:dyDescent="0.2">
      <c r="A4998" s="391">
        <v>94657</v>
      </c>
      <c r="B4998" s="478" t="s">
        <v>47734</v>
      </c>
      <c r="C4998" s="391" t="s">
        <v>26</v>
      </c>
      <c r="D4998" s="479">
        <v>3.71</v>
      </c>
      <c r="E4998" s="368"/>
      <c r="F4998" s="368"/>
    </row>
    <row r="4999" spans="1:6" ht="25.5" x14ac:dyDescent="0.2">
      <c r="A4999" s="391">
        <v>94659</v>
      </c>
      <c r="B4999" s="478" t="s">
        <v>38861</v>
      </c>
      <c r="C4999" s="391" t="s">
        <v>26</v>
      </c>
      <c r="D4999" s="479">
        <v>5.82</v>
      </c>
      <c r="E4999" s="368"/>
      <c r="F4999" s="368"/>
    </row>
    <row r="5000" spans="1:6" ht="25.5" x14ac:dyDescent="0.2">
      <c r="A5000" s="391">
        <v>94739</v>
      </c>
      <c r="B5000" s="478" t="s">
        <v>38921</v>
      </c>
      <c r="C5000" s="391" t="s">
        <v>26</v>
      </c>
      <c r="D5000" s="479">
        <v>223.53</v>
      </c>
      <c r="E5000" s="368"/>
      <c r="F5000" s="368"/>
    </row>
    <row r="5001" spans="1:6" ht="25.5" x14ac:dyDescent="0.2">
      <c r="A5001" s="391">
        <v>94725</v>
      </c>
      <c r="B5001" s="478" t="s">
        <v>38908</v>
      </c>
      <c r="C5001" s="391" t="s">
        <v>26</v>
      </c>
      <c r="D5001" s="479">
        <v>6.67</v>
      </c>
      <c r="E5001" s="368"/>
      <c r="F5001" s="368"/>
    </row>
    <row r="5002" spans="1:6" ht="25.5" x14ac:dyDescent="0.2">
      <c r="A5002" s="391">
        <v>94727</v>
      </c>
      <c r="B5002" s="478" t="s">
        <v>38910</v>
      </c>
      <c r="C5002" s="391" t="s">
        <v>26</v>
      </c>
      <c r="D5002" s="479">
        <v>10.87</v>
      </c>
      <c r="E5002" s="368"/>
      <c r="F5002" s="368"/>
    </row>
    <row r="5003" spans="1:6" ht="25.5" x14ac:dyDescent="0.2">
      <c r="A5003" s="391">
        <v>94729</v>
      </c>
      <c r="B5003" s="478" t="s">
        <v>38912</v>
      </c>
      <c r="C5003" s="391" t="s">
        <v>26</v>
      </c>
      <c r="D5003" s="479">
        <v>18.829999999999998</v>
      </c>
      <c r="E5003" s="368"/>
      <c r="F5003" s="368"/>
    </row>
    <row r="5004" spans="1:6" ht="25.5" x14ac:dyDescent="0.2">
      <c r="A5004" s="391">
        <v>94731</v>
      </c>
      <c r="B5004" s="478" t="s">
        <v>38914</v>
      </c>
      <c r="C5004" s="391" t="s">
        <v>26</v>
      </c>
      <c r="D5004" s="479">
        <v>24.97</v>
      </c>
      <c r="E5004" s="368"/>
      <c r="F5004" s="368"/>
    </row>
    <row r="5005" spans="1:6" ht="25.5" x14ac:dyDescent="0.2">
      <c r="A5005" s="391">
        <v>94733</v>
      </c>
      <c r="B5005" s="478" t="s">
        <v>38916</v>
      </c>
      <c r="C5005" s="391" t="s">
        <v>26</v>
      </c>
      <c r="D5005" s="479">
        <v>43.86</v>
      </c>
      <c r="E5005" s="368"/>
      <c r="F5005" s="368"/>
    </row>
    <row r="5006" spans="1:6" ht="25.5" x14ac:dyDescent="0.2">
      <c r="A5006" s="391">
        <v>94863</v>
      </c>
      <c r="B5006" s="478" t="s">
        <v>38946</v>
      </c>
      <c r="C5006" s="391" t="s">
        <v>26</v>
      </c>
      <c r="D5006" s="479">
        <v>152.69</v>
      </c>
      <c r="E5006" s="368"/>
      <c r="F5006" s="368"/>
    </row>
    <row r="5007" spans="1:6" ht="25.5" x14ac:dyDescent="0.2">
      <c r="A5007" s="391">
        <v>94737</v>
      </c>
      <c r="B5007" s="478" t="s">
        <v>38919</v>
      </c>
      <c r="C5007" s="391" t="s">
        <v>26</v>
      </c>
      <c r="D5007" s="479">
        <v>181.95</v>
      </c>
      <c r="E5007" s="368"/>
      <c r="F5007" s="368"/>
    </row>
    <row r="5008" spans="1:6" ht="38.25" x14ac:dyDescent="0.2">
      <c r="A5008" s="391">
        <v>94465</v>
      </c>
      <c r="B5008" s="478" t="s">
        <v>38831</v>
      </c>
      <c r="C5008" s="391" t="s">
        <v>26</v>
      </c>
      <c r="D5008" s="479">
        <v>52.37</v>
      </c>
      <c r="E5008" s="368"/>
      <c r="F5008" s="368"/>
    </row>
    <row r="5009" spans="1:6" ht="38.25" x14ac:dyDescent="0.2">
      <c r="A5009" s="391">
        <v>94467</v>
      </c>
      <c r="B5009" s="478" t="s">
        <v>38833</v>
      </c>
      <c r="C5009" s="391" t="s">
        <v>26</v>
      </c>
      <c r="D5009" s="479">
        <v>85.27</v>
      </c>
      <c r="E5009" s="368"/>
      <c r="F5009" s="368"/>
    </row>
    <row r="5010" spans="1:6" ht="38.25" x14ac:dyDescent="0.2">
      <c r="A5010" s="391">
        <v>94469</v>
      </c>
      <c r="B5010" s="478" t="s">
        <v>38835</v>
      </c>
      <c r="C5010" s="391" t="s">
        <v>26</v>
      </c>
      <c r="D5010" s="479">
        <v>122.56</v>
      </c>
      <c r="E5010" s="368"/>
      <c r="F5010" s="368"/>
    </row>
    <row r="5011" spans="1:6" ht="25.5" x14ac:dyDescent="0.2">
      <c r="A5011" s="391">
        <v>96746</v>
      </c>
      <c r="B5011" s="478" t="s">
        <v>38957</v>
      </c>
      <c r="C5011" s="391" t="s">
        <v>26</v>
      </c>
      <c r="D5011" s="479">
        <v>113.3</v>
      </c>
      <c r="E5011" s="368"/>
      <c r="F5011" s="368"/>
    </row>
    <row r="5012" spans="1:6" ht="25.5" x14ac:dyDescent="0.2">
      <c r="A5012" s="391">
        <v>96736</v>
      </c>
      <c r="B5012" s="478" t="s">
        <v>38947</v>
      </c>
      <c r="C5012" s="391" t="s">
        <v>26</v>
      </c>
      <c r="D5012" s="479">
        <v>5.78</v>
      </c>
      <c r="E5012" s="368"/>
      <c r="F5012" s="368"/>
    </row>
    <row r="5013" spans="1:6" ht="25.5" x14ac:dyDescent="0.2">
      <c r="A5013" s="391">
        <v>96737</v>
      </c>
      <c r="B5013" s="478" t="s">
        <v>38948</v>
      </c>
      <c r="C5013" s="391" t="s">
        <v>26</v>
      </c>
      <c r="D5013" s="479">
        <v>5.89</v>
      </c>
      <c r="E5013" s="368"/>
      <c r="F5013" s="368"/>
    </row>
    <row r="5014" spans="1:6" ht="25.5" x14ac:dyDescent="0.2">
      <c r="A5014" s="391">
        <v>96739</v>
      </c>
      <c r="B5014" s="478" t="s">
        <v>38950</v>
      </c>
      <c r="C5014" s="391" t="s">
        <v>26</v>
      </c>
      <c r="D5014" s="479">
        <v>8.27</v>
      </c>
      <c r="E5014" s="368"/>
      <c r="F5014" s="368"/>
    </row>
    <row r="5015" spans="1:6" ht="25.5" x14ac:dyDescent="0.2">
      <c r="A5015" s="391">
        <v>96741</v>
      </c>
      <c r="B5015" s="478" t="s">
        <v>38952</v>
      </c>
      <c r="C5015" s="391" t="s">
        <v>26</v>
      </c>
      <c r="D5015" s="479">
        <v>16.64</v>
      </c>
      <c r="E5015" s="368"/>
      <c r="F5015" s="368"/>
    </row>
    <row r="5016" spans="1:6" ht="25.5" x14ac:dyDescent="0.2">
      <c r="A5016" s="391">
        <v>96742</v>
      </c>
      <c r="B5016" s="478" t="s">
        <v>38953</v>
      </c>
      <c r="C5016" s="391" t="s">
        <v>26</v>
      </c>
      <c r="D5016" s="479">
        <v>20.420000000000002</v>
      </c>
      <c r="E5016" s="368"/>
      <c r="F5016" s="368"/>
    </row>
    <row r="5017" spans="1:6" ht="25.5" x14ac:dyDescent="0.2">
      <c r="A5017" s="391">
        <v>96743</v>
      </c>
      <c r="B5017" s="478" t="s">
        <v>38954</v>
      </c>
      <c r="C5017" s="391" t="s">
        <v>26</v>
      </c>
      <c r="D5017" s="479">
        <v>32.11</v>
      </c>
      <c r="E5017" s="368"/>
      <c r="F5017" s="368"/>
    </row>
    <row r="5018" spans="1:6" ht="25.5" x14ac:dyDescent="0.2">
      <c r="A5018" s="391">
        <v>96744</v>
      </c>
      <c r="B5018" s="478" t="s">
        <v>38955</v>
      </c>
      <c r="C5018" s="391" t="s">
        <v>26</v>
      </c>
      <c r="D5018" s="479">
        <v>54.79</v>
      </c>
      <c r="E5018" s="368"/>
      <c r="F5018" s="368"/>
    </row>
    <row r="5019" spans="1:6" ht="25.5" x14ac:dyDescent="0.2">
      <c r="A5019" s="391">
        <v>96745</v>
      </c>
      <c r="B5019" s="478" t="s">
        <v>38956</v>
      </c>
      <c r="C5019" s="391" t="s">
        <v>26</v>
      </c>
      <c r="D5019" s="479">
        <v>86.35</v>
      </c>
      <c r="E5019" s="368"/>
      <c r="F5019" s="368"/>
    </row>
    <row r="5020" spans="1:6" ht="25.5" x14ac:dyDescent="0.2">
      <c r="A5020" s="391">
        <v>94671</v>
      </c>
      <c r="B5020" s="478" t="s">
        <v>38873</v>
      </c>
      <c r="C5020" s="391" t="s">
        <v>26</v>
      </c>
      <c r="D5020" s="479">
        <v>101.09</v>
      </c>
      <c r="E5020" s="368"/>
      <c r="F5020" s="368"/>
    </row>
    <row r="5021" spans="1:6" ht="25.5" x14ac:dyDescent="0.2">
      <c r="A5021" s="391">
        <v>94661</v>
      </c>
      <c r="B5021" s="478" t="s">
        <v>38863</v>
      </c>
      <c r="C5021" s="391" t="s">
        <v>26</v>
      </c>
      <c r="D5021" s="479">
        <v>9.26</v>
      </c>
      <c r="E5021" s="368"/>
      <c r="F5021" s="368"/>
    </row>
    <row r="5022" spans="1:6" ht="25.5" x14ac:dyDescent="0.2">
      <c r="A5022" s="391">
        <v>94663</v>
      </c>
      <c r="B5022" s="478" t="s">
        <v>38865</v>
      </c>
      <c r="C5022" s="391" t="s">
        <v>26</v>
      </c>
      <c r="D5022" s="479">
        <v>11.55</v>
      </c>
      <c r="E5022" s="368"/>
      <c r="F5022" s="368"/>
    </row>
    <row r="5023" spans="1:6" ht="25.5" x14ac:dyDescent="0.2">
      <c r="A5023" s="391">
        <v>94665</v>
      </c>
      <c r="B5023" s="478" t="s">
        <v>38867</v>
      </c>
      <c r="C5023" s="391" t="s">
        <v>26</v>
      </c>
      <c r="D5023" s="479">
        <v>22.93</v>
      </c>
      <c r="E5023" s="368"/>
      <c r="F5023" s="368"/>
    </row>
    <row r="5024" spans="1:6" ht="25.5" x14ac:dyDescent="0.2">
      <c r="A5024" s="391">
        <v>94667</v>
      </c>
      <c r="B5024" s="478" t="s">
        <v>38869</v>
      </c>
      <c r="C5024" s="391" t="s">
        <v>26</v>
      </c>
      <c r="D5024" s="479">
        <v>33.74</v>
      </c>
      <c r="E5024" s="368"/>
      <c r="F5024" s="368"/>
    </row>
    <row r="5025" spans="1:6" ht="25.5" x14ac:dyDescent="0.2">
      <c r="A5025" s="391">
        <v>94669</v>
      </c>
      <c r="B5025" s="478" t="s">
        <v>38871</v>
      </c>
      <c r="C5025" s="391" t="s">
        <v>26</v>
      </c>
      <c r="D5025" s="479">
        <v>61.52</v>
      </c>
      <c r="E5025" s="368"/>
      <c r="F5025" s="368"/>
    </row>
    <row r="5026" spans="1:6" ht="38.25" x14ac:dyDescent="0.2">
      <c r="A5026" s="391">
        <v>105177</v>
      </c>
      <c r="B5026" s="478" t="s">
        <v>39002</v>
      </c>
      <c r="C5026" s="391" t="s">
        <v>26</v>
      </c>
      <c r="D5026" s="479">
        <v>144.07</v>
      </c>
      <c r="E5026" s="368"/>
      <c r="F5026" s="368"/>
    </row>
    <row r="5027" spans="1:6" ht="38.25" x14ac:dyDescent="0.2">
      <c r="A5027" s="391">
        <v>105176</v>
      </c>
      <c r="B5027" s="478" t="s">
        <v>39001</v>
      </c>
      <c r="C5027" s="391" t="s">
        <v>26</v>
      </c>
      <c r="D5027" s="479">
        <v>161.99</v>
      </c>
      <c r="E5027" s="368"/>
      <c r="F5027" s="368"/>
    </row>
    <row r="5028" spans="1:6" ht="38.25" x14ac:dyDescent="0.2">
      <c r="A5028" s="391">
        <v>94466</v>
      </c>
      <c r="B5028" s="478" t="s">
        <v>38832</v>
      </c>
      <c r="C5028" s="391" t="s">
        <v>26</v>
      </c>
      <c r="D5028" s="479">
        <v>52.4</v>
      </c>
      <c r="E5028" s="368"/>
      <c r="F5028" s="368"/>
    </row>
    <row r="5029" spans="1:6" ht="38.25" x14ac:dyDescent="0.2">
      <c r="A5029" s="391">
        <v>94468</v>
      </c>
      <c r="B5029" s="478" t="s">
        <v>38834</v>
      </c>
      <c r="C5029" s="391" t="s">
        <v>26</v>
      </c>
      <c r="D5029" s="479">
        <v>74.56</v>
      </c>
      <c r="E5029" s="368"/>
      <c r="F5029" s="368"/>
    </row>
    <row r="5030" spans="1:6" ht="38.25" x14ac:dyDescent="0.2">
      <c r="A5030" s="391">
        <v>94470</v>
      </c>
      <c r="B5030" s="478" t="s">
        <v>38836</v>
      </c>
      <c r="C5030" s="391" t="s">
        <v>26</v>
      </c>
      <c r="D5030" s="479">
        <v>113.03</v>
      </c>
      <c r="E5030" s="368"/>
      <c r="F5030" s="368"/>
    </row>
    <row r="5031" spans="1:6" ht="25.5" x14ac:dyDescent="0.2">
      <c r="A5031" s="391">
        <v>105225</v>
      </c>
      <c r="B5031" s="478" t="s">
        <v>39044</v>
      </c>
      <c r="C5031" s="391" t="s">
        <v>26</v>
      </c>
      <c r="D5031" s="479">
        <v>16.32</v>
      </c>
      <c r="E5031" s="368"/>
      <c r="F5031" s="368"/>
    </row>
    <row r="5032" spans="1:6" ht="25.5" x14ac:dyDescent="0.2">
      <c r="A5032" s="391">
        <v>105226</v>
      </c>
      <c r="B5032" s="478" t="s">
        <v>39045</v>
      </c>
      <c r="C5032" s="391" t="s">
        <v>26</v>
      </c>
      <c r="D5032" s="479">
        <v>38.33</v>
      </c>
      <c r="E5032" s="368"/>
      <c r="F5032" s="368"/>
    </row>
    <row r="5033" spans="1:6" ht="25.5" x14ac:dyDescent="0.2">
      <c r="A5033" s="391">
        <v>105227</v>
      </c>
      <c r="B5033" s="478" t="s">
        <v>39046</v>
      </c>
      <c r="C5033" s="391" t="s">
        <v>26</v>
      </c>
      <c r="D5033" s="479">
        <v>54.9</v>
      </c>
      <c r="E5033" s="368"/>
      <c r="F5033" s="368"/>
    </row>
    <row r="5034" spans="1:6" ht="38.25" x14ac:dyDescent="0.2">
      <c r="A5034" s="391">
        <v>105212</v>
      </c>
      <c r="B5034" s="478" t="s">
        <v>39031</v>
      </c>
      <c r="C5034" s="391" t="s">
        <v>26</v>
      </c>
      <c r="D5034" s="479">
        <v>243.35</v>
      </c>
      <c r="E5034" s="368"/>
      <c r="F5034" s="368"/>
    </row>
    <row r="5035" spans="1:6" ht="38.25" x14ac:dyDescent="0.2">
      <c r="A5035" s="391">
        <v>105211</v>
      </c>
      <c r="B5035" s="480" t="s">
        <v>39030</v>
      </c>
      <c r="C5035" s="391" t="s">
        <v>26</v>
      </c>
      <c r="D5035" s="479">
        <v>245.14</v>
      </c>
      <c r="E5035" s="368"/>
      <c r="F5035" s="368"/>
    </row>
    <row r="5036" spans="1:6" ht="38.25" x14ac:dyDescent="0.2">
      <c r="A5036" s="391">
        <v>105189</v>
      </c>
      <c r="B5036" s="478" t="s">
        <v>39010</v>
      </c>
      <c r="C5036" s="391" t="s">
        <v>26</v>
      </c>
      <c r="D5036" s="479">
        <v>20.6</v>
      </c>
      <c r="E5036" s="368"/>
      <c r="F5036" s="368"/>
    </row>
    <row r="5037" spans="1:6" ht="38.25" x14ac:dyDescent="0.2">
      <c r="A5037" s="391">
        <v>105190</v>
      </c>
      <c r="B5037" s="480" t="s">
        <v>39011</v>
      </c>
      <c r="C5037" s="391" t="s">
        <v>26</v>
      </c>
      <c r="D5037" s="479">
        <v>25.74</v>
      </c>
      <c r="E5037" s="368"/>
      <c r="F5037" s="368"/>
    </row>
    <row r="5038" spans="1:6" ht="25.5" x14ac:dyDescent="0.2">
      <c r="A5038" s="391">
        <v>94625</v>
      </c>
      <c r="B5038" s="478" t="s">
        <v>38859</v>
      </c>
      <c r="C5038" s="391" t="s">
        <v>26</v>
      </c>
      <c r="D5038" s="479">
        <v>1550.39</v>
      </c>
      <c r="E5038" s="368"/>
      <c r="F5038" s="368"/>
    </row>
    <row r="5039" spans="1:6" ht="25.5" x14ac:dyDescent="0.2">
      <c r="A5039" s="391">
        <v>94622</v>
      </c>
      <c r="B5039" s="478" t="s">
        <v>38856</v>
      </c>
      <c r="C5039" s="391" t="s">
        <v>26</v>
      </c>
      <c r="D5039" s="479">
        <v>203.55</v>
      </c>
      <c r="E5039" s="368"/>
      <c r="F5039" s="368"/>
    </row>
    <row r="5040" spans="1:6" ht="25.5" x14ac:dyDescent="0.2">
      <c r="A5040" s="391">
        <v>94623</v>
      </c>
      <c r="B5040" s="480" t="s">
        <v>38857</v>
      </c>
      <c r="C5040" s="391" t="s">
        <v>26</v>
      </c>
      <c r="D5040" s="479">
        <v>489.13</v>
      </c>
      <c r="E5040" s="368"/>
      <c r="F5040" s="368"/>
    </row>
    <row r="5041" spans="1:6" ht="25.5" x14ac:dyDescent="0.2">
      <c r="A5041" s="391">
        <v>94624</v>
      </c>
      <c r="B5041" s="478" t="s">
        <v>38858</v>
      </c>
      <c r="C5041" s="391" t="s">
        <v>26</v>
      </c>
      <c r="D5041" s="479">
        <v>738.39</v>
      </c>
      <c r="E5041" s="368"/>
      <c r="F5041" s="368"/>
    </row>
    <row r="5042" spans="1:6" ht="25.5" x14ac:dyDescent="0.2">
      <c r="A5042" s="391">
        <v>94763</v>
      </c>
      <c r="B5042" s="478" t="s">
        <v>38939</v>
      </c>
      <c r="C5042" s="391" t="s">
        <v>26</v>
      </c>
      <c r="D5042" s="479">
        <v>340.88</v>
      </c>
      <c r="E5042" s="368"/>
      <c r="F5042" s="368"/>
    </row>
    <row r="5043" spans="1:6" ht="25.5" x14ac:dyDescent="0.2">
      <c r="A5043" s="391">
        <v>94756</v>
      </c>
      <c r="B5043" s="478" t="s">
        <v>38932</v>
      </c>
      <c r="C5043" s="391" t="s">
        <v>26</v>
      </c>
      <c r="D5043" s="479">
        <v>12.1</v>
      </c>
      <c r="E5043" s="368"/>
      <c r="F5043" s="368"/>
    </row>
    <row r="5044" spans="1:6" ht="25.5" x14ac:dyDescent="0.2">
      <c r="A5044" s="391">
        <v>94757</v>
      </c>
      <c r="B5044" s="478" t="s">
        <v>38933</v>
      </c>
      <c r="C5044" s="391" t="s">
        <v>26</v>
      </c>
      <c r="D5044" s="479">
        <v>19.11</v>
      </c>
      <c r="E5044" s="368"/>
      <c r="F5044" s="368"/>
    </row>
    <row r="5045" spans="1:6" ht="25.5" x14ac:dyDescent="0.2">
      <c r="A5045" s="391">
        <v>94758</v>
      </c>
      <c r="B5045" s="478" t="s">
        <v>38934</v>
      </c>
      <c r="C5045" s="391" t="s">
        <v>26</v>
      </c>
      <c r="D5045" s="479">
        <v>48.75</v>
      </c>
      <c r="E5045" s="368"/>
      <c r="F5045" s="368"/>
    </row>
    <row r="5046" spans="1:6" ht="25.5" x14ac:dyDescent="0.2">
      <c r="A5046" s="391">
        <v>94759</v>
      </c>
      <c r="B5046" s="478" t="s">
        <v>38935</v>
      </c>
      <c r="C5046" s="391" t="s">
        <v>26</v>
      </c>
      <c r="D5046" s="479">
        <v>62.06</v>
      </c>
      <c r="E5046" s="368"/>
      <c r="F5046" s="368"/>
    </row>
    <row r="5047" spans="1:6" ht="25.5" x14ac:dyDescent="0.2">
      <c r="A5047" s="391">
        <v>94760</v>
      </c>
      <c r="B5047" s="478" t="s">
        <v>38936</v>
      </c>
      <c r="C5047" s="391" t="s">
        <v>26</v>
      </c>
      <c r="D5047" s="479">
        <v>98.9</v>
      </c>
      <c r="E5047" s="368"/>
      <c r="F5047" s="368"/>
    </row>
    <row r="5048" spans="1:6" ht="25.5" x14ac:dyDescent="0.2">
      <c r="A5048" s="391">
        <v>94761</v>
      </c>
      <c r="B5048" s="478" t="s">
        <v>38937</v>
      </c>
      <c r="C5048" s="391" t="s">
        <v>26</v>
      </c>
      <c r="D5048" s="479">
        <v>214.05</v>
      </c>
      <c r="E5048" s="368"/>
      <c r="F5048" s="368"/>
    </row>
    <row r="5049" spans="1:6" ht="25.5" x14ac:dyDescent="0.2">
      <c r="A5049" s="391">
        <v>94762</v>
      </c>
      <c r="B5049" s="478" t="s">
        <v>38938</v>
      </c>
      <c r="C5049" s="391" t="s">
        <v>26</v>
      </c>
      <c r="D5049" s="479">
        <v>259.56</v>
      </c>
      <c r="E5049" s="368"/>
      <c r="F5049" s="368"/>
    </row>
    <row r="5050" spans="1:6" ht="38.25" x14ac:dyDescent="0.2">
      <c r="A5050" s="391">
        <v>94462</v>
      </c>
      <c r="B5050" s="478" t="s">
        <v>38807</v>
      </c>
      <c r="C5050" s="391" t="s">
        <v>0</v>
      </c>
      <c r="D5050" s="479">
        <v>95.57</v>
      </c>
      <c r="E5050" s="368"/>
      <c r="F5050" s="368"/>
    </row>
    <row r="5051" spans="1:6" ht="38.25" x14ac:dyDescent="0.2">
      <c r="A5051" s="391">
        <v>94463</v>
      </c>
      <c r="B5051" s="478" t="s">
        <v>38808</v>
      </c>
      <c r="C5051" s="391" t="s">
        <v>0</v>
      </c>
      <c r="D5051" s="479">
        <v>117.27</v>
      </c>
      <c r="E5051" s="368"/>
      <c r="F5051" s="368"/>
    </row>
    <row r="5052" spans="1:6" ht="38.25" x14ac:dyDescent="0.2">
      <c r="A5052" s="391">
        <v>94464</v>
      </c>
      <c r="B5052" s="478" t="s">
        <v>38809</v>
      </c>
      <c r="C5052" s="391" t="s">
        <v>0</v>
      </c>
      <c r="D5052" s="479">
        <v>154.26</v>
      </c>
      <c r="E5052" s="368"/>
      <c r="F5052" s="368"/>
    </row>
    <row r="5053" spans="1:6" ht="38.25" x14ac:dyDescent="0.2">
      <c r="A5053" s="391">
        <v>94605</v>
      </c>
      <c r="B5053" s="478" t="s">
        <v>38813</v>
      </c>
      <c r="C5053" s="391" t="s">
        <v>0</v>
      </c>
      <c r="D5053" s="479">
        <v>657.59</v>
      </c>
      <c r="E5053" s="368"/>
      <c r="F5053" s="368"/>
    </row>
    <row r="5054" spans="1:6" ht="38.25" x14ac:dyDescent="0.2">
      <c r="A5054" s="391">
        <v>94602</v>
      </c>
      <c r="B5054" s="478" t="s">
        <v>38810</v>
      </c>
      <c r="C5054" s="391" t="s">
        <v>0</v>
      </c>
      <c r="D5054" s="479">
        <v>231.21</v>
      </c>
      <c r="E5054" s="368"/>
      <c r="F5054" s="368"/>
    </row>
    <row r="5055" spans="1:6" ht="38.25" x14ac:dyDescent="0.2">
      <c r="A5055" s="391">
        <v>94603</v>
      </c>
      <c r="B5055" s="478" t="s">
        <v>38811</v>
      </c>
      <c r="C5055" s="391" t="s">
        <v>0</v>
      </c>
      <c r="D5055" s="479">
        <v>316.95999999999998</v>
      </c>
      <c r="E5055" s="368"/>
      <c r="F5055" s="368"/>
    </row>
    <row r="5056" spans="1:6" ht="38.25" x14ac:dyDescent="0.2">
      <c r="A5056" s="391">
        <v>94604</v>
      </c>
      <c r="B5056" s="478" t="s">
        <v>38812</v>
      </c>
      <c r="C5056" s="391" t="s">
        <v>0</v>
      </c>
      <c r="D5056" s="479">
        <v>452.9</v>
      </c>
      <c r="E5056" s="368"/>
      <c r="F5056" s="368"/>
    </row>
    <row r="5057" spans="1:6" ht="25.5" x14ac:dyDescent="0.2">
      <c r="A5057" s="391">
        <v>94723</v>
      </c>
      <c r="B5057" s="478" t="s">
        <v>38821</v>
      </c>
      <c r="C5057" s="391" t="s">
        <v>0</v>
      </c>
      <c r="D5057" s="479">
        <v>438.55</v>
      </c>
      <c r="E5057" s="368"/>
      <c r="F5057" s="368"/>
    </row>
    <row r="5058" spans="1:6" ht="25.5" x14ac:dyDescent="0.2">
      <c r="A5058" s="391">
        <v>94716</v>
      </c>
      <c r="B5058" s="478" t="s">
        <v>38814</v>
      </c>
      <c r="C5058" s="391" t="s">
        <v>0</v>
      </c>
      <c r="D5058" s="479">
        <v>21.48</v>
      </c>
      <c r="E5058" s="368"/>
      <c r="F5058" s="368"/>
    </row>
    <row r="5059" spans="1:6" ht="25.5" x14ac:dyDescent="0.2">
      <c r="A5059" s="391">
        <v>94717</v>
      </c>
      <c r="B5059" s="478" t="s">
        <v>38815</v>
      </c>
      <c r="C5059" s="391" t="s">
        <v>0</v>
      </c>
      <c r="D5059" s="479">
        <v>36.08</v>
      </c>
      <c r="E5059" s="368"/>
      <c r="F5059" s="368"/>
    </row>
    <row r="5060" spans="1:6" ht="25.5" x14ac:dyDescent="0.2">
      <c r="A5060" s="391">
        <v>94718</v>
      </c>
      <c r="B5060" s="478" t="s">
        <v>38816</v>
      </c>
      <c r="C5060" s="391" t="s">
        <v>0</v>
      </c>
      <c r="D5060" s="479">
        <v>47.12</v>
      </c>
      <c r="E5060" s="368"/>
      <c r="F5060" s="368"/>
    </row>
    <row r="5061" spans="1:6" ht="25.5" x14ac:dyDescent="0.2">
      <c r="A5061" s="391">
        <v>94719</v>
      </c>
      <c r="B5061" s="478" t="s">
        <v>38817</v>
      </c>
      <c r="C5061" s="391" t="s">
        <v>0</v>
      </c>
      <c r="D5061" s="479">
        <v>62.89</v>
      </c>
      <c r="E5061" s="368"/>
      <c r="F5061" s="368"/>
    </row>
    <row r="5062" spans="1:6" ht="25.5" x14ac:dyDescent="0.2">
      <c r="A5062" s="391">
        <v>94720</v>
      </c>
      <c r="B5062" s="478" t="s">
        <v>38818</v>
      </c>
      <c r="C5062" s="391" t="s">
        <v>0</v>
      </c>
      <c r="D5062" s="479">
        <v>92.09</v>
      </c>
      <c r="E5062" s="368"/>
      <c r="F5062" s="368"/>
    </row>
    <row r="5063" spans="1:6" ht="25.5" x14ac:dyDescent="0.2">
      <c r="A5063" s="391">
        <v>94721</v>
      </c>
      <c r="B5063" s="478" t="s">
        <v>38819</v>
      </c>
      <c r="C5063" s="391" t="s">
        <v>0</v>
      </c>
      <c r="D5063" s="479">
        <v>149.26</v>
      </c>
      <c r="E5063" s="368"/>
      <c r="F5063" s="368"/>
    </row>
    <row r="5064" spans="1:6" ht="25.5" x14ac:dyDescent="0.2">
      <c r="A5064" s="391">
        <v>94722</v>
      </c>
      <c r="B5064" s="478" t="s">
        <v>38820</v>
      </c>
      <c r="C5064" s="391" t="s">
        <v>0</v>
      </c>
      <c r="D5064" s="479">
        <v>232.85</v>
      </c>
      <c r="E5064" s="368"/>
      <c r="F5064" s="368"/>
    </row>
    <row r="5065" spans="1:6" ht="25.5" x14ac:dyDescent="0.2">
      <c r="A5065" s="391">
        <v>96726</v>
      </c>
      <c r="B5065" s="478" t="s">
        <v>47735</v>
      </c>
      <c r="C5065" s="391" t="s">
        <v>0</v>
      </c>
      <c r="D5065" s="479">
        <v>168.65</v>
      </c>
      <c r="E5065" s="368"/>
      <c r="F5065" s="368"/>
    </row>
    <row r="5066" spans="1:6" ht="25.5" x14ac:dyDescent="0.2">
      <c r="A5066" s="391">
        <v>96735</v>
      </c>
      <c r="B5066" s="478" t="s">
        <v>47736</v>
      </c>
      <c r="C5066" s="391" t="s">
        <v>0</v>
      </c>
      <c r="D5066" s="479">
        <v>321.38</v>
      </c>
      <c r="E5066" s="368"/>
      <c r="F5066" s="368"/>
    </row>
    <row r="5067" spans="1:6" ht="25.5" x14ac:dyDescent="0.2">
      <c r="A5067" s="391">
        <v>96718</v>
      </c>
      <c r="B5067" s="478" t="s">
        <v>47737</v>
      </c>
      <c r="C5067" s="391" t="s">
        <v>0</v>
      </c>
      <c r="D5067" s="479">
        <v>14.83</v>
      </c>
      <c r="E5067" s="368"/>
      <c r="F5067" s="368"/>
    </row>
    <row r="5068" spans="1:6" ht="25.5" x14ac:dyDescent="0.2">
      <c r="A5068" s="391">
        <v>96727</v>
      </c>
      <c r="B5068" s="478" t="s">
        <v>47738</v>
      </c>
      <c r="C5068" s="391" t="s">
        <v>0</v>
      </c>
      <c r="D5068" s="479">
        <v>16.829999999999998</v>
      </c>
      <c r="E5068" s="368"/>
      <c r="F5068" s="368"/>
    </row>
    <row r="5069" spans="1:6" ht="25.5" x14ac:dyDescent="0.2">
      <c r="A5069" s="391">
        <v>96719</v>
      </c>
      <c r="B5069" s="478" t="s">
        <v>47739</v>
      </c>
      <c r="C5069" s="391" t="s">
        <v>0</v>
      </c>
      <c r="D5069" s="479">
        <v>19.100000000000001</v>
      </c>
      <c r="E5069" s="368"/>
      <c r="F5069" s="368"/>
    </row>
    <row r="5070" spans="1:6" ht="25.5" x14ac:dyDescent="0.2">
      <c r="A5070" s="391">
        <v>96728</v>
      </c>
      <c r="B5070" s="478" t="s">
        <v>47740</v>
      </c>
      <c r="C5070" s="391" t="s">
        <v>0</v>
      </c>
      <c r="D5070" s="479">
        <v>21.88</v>
      </c>
      <c r="E5070" s="368"/>
      <c r="F5070" s="368"/>
    </row>
    <row r="5071" spans="1:6" ht="25.5" x14ac:dyDescent="0.2">
      <c r="A5071" s="391">
        <v>96720</v>
      </c>
      <c r="B5071" s="478" t="s">
        <v>47741</v>
      </c>
      <c r="C5071" s="391" t="s">
        <v>0</v>
      </c>
      <c r="D5071" s="479">
        <v>17.14</v>
      </c>
      <c r="E5071" s="368"/>
      <c r="F5071" s="368"/>
    </row>
    <row r="5072" spans="1:6" ht="25.5" x14ac:dyDescent="0.2">
      <c r="A5072" s="391">
        <v>96729</v>
      </c>
      <c r="B5072" s="478" t="s">
        <v>47742</v>
      </c>
      <c r="C5072" s="391" t="s">
        <v>0</v>
      </c>
      <c r="D5072" s="479">
        <v>28.33</v>
      </c>
      <c r="E5072" s="368"/>
      <c r="F5072" s="368"/>
    </row>
    <row r="5073" spans="1:6" ht="25.5" x14ac:dyDescent="0.2">
      <c r="A5073" s="391">
        <v>96721</v>
      </c>
      <c r="B5073" s="478" t="s">
        <v>47743</v>
      </c>
      <c r="C5073" s="391" t="s">
        <v>0</v>
      </c>
      <c r="D5073" s="479">
        <v>22.35</v>
      </c>
      <c r="E5073" s="368"/>
      <c r="F5073" s="368"/>
    </row>
    <row r="5074" spans="1:6" ht="25.5" x14ac:dyDescent="0.2">
      <c r="A5074" s="391">
        <v>96730</v>
      </c>
      <c r="B5074" s="478" t="s">
        <v>47744</v>
      </c>
      <c r="C5074" s="391" t="s">
        <v>0</v>
      </c>
      <c r="D5074" s="479">
        <v>39.35</v>
      </c>
      <c r="E5074" s="368"/>
      <c r="F5074" s="368"/>
    </row>
    <row r="5075" spans="1:6" ht="25.5" x14ac:dyDescent="0.2">
      <c r="A5075" s="391">
        <v>96722</v>
      </c>
      <c r="B5075" s="478" t="s">
        <v>47745</v>
      </c>
      <c r="C5075" s="391" t="s">
        <v>0</v>
      </c>
      <c r="D5075" s="479">
        <v>34.58</v>
      </c>
      <c r="E5075" s="368"/>
      <c r="F5075" s="368"/>
    </row>
    <row r="5076" spans="1:6" ht="25.5" x14ac:dyDescent="0.2">
      <c r="A5076" s="391">
        <v>96731</v>
      </c>
      <c r="B5076" s="478" t="s">
        <v>47746</v>
      </c>
      <c r="C5076" s="391" t="s">
        <v>0</v>
      </c>
      <c r="D5076" s="479">
        <v>59.78</v>
      </c>
      <c r="E5076" s="368"/>
      <c r="F5076" s="368"/>
    </row>
    <row r="5077" spans="1:6" ht="25.5" x14ac:dyDescent="0.2">
      <c r="A5077" s="391">
        <v>96723</v>
      </c>
      <c r="B5077" s="478" t="s">
        <v>47747</v>
      </c>
      <c r="C5077" s="391" t="s">
        <v>0</v>
      </c>
      <c r="D5077" s="479">
        <v>53.95</v>
      </c>
      <c r="E5077" s="368"/>
      <c r="F5077" s="368"/>
    </row>
    <row r="5078" spans="1:6" ht="25.5" x14ac:dyDescent="0.2">
      <c r="A5078" s="391">
        <v>96732</v>
      </c>
      <c r="B5078" s="478" t="s">
        <v>47748</v>
      </c>
      <c r="C5078" s="391" t="s">
        <v>0</v>
      </c>
      <c r="D5078" s="479">
        <v>101.22</v>
      </c>
      <c r="E5078" s="368"/>
      <c r="F5078" s="368"/>
    </row>
    <row r="5079" spans="1:6" ht="25.5" x14ac:dyDescent="0.2">
      <c r="A5079" s="391">
        <v>96724</v>
      </c>
      <c r="B5079" s="478" t="s">
        <v>47749</v>
      </c>
      <c r="C5079" s="391" t="s">
        <v>0</v>
      </c>
      <c r="D5079" s="479">
        <v>69.260000000000005</v>
      </c>
      <c r="E5079" s="368"/>
      <c r="F5079" s="368"/>
    </row>
    <row r="5080" spans="1:6" ht="25.5" x14ac:dyDescent="0.2">
      <c r="A5080" s="391">
        <v>96733</v>
      </c>
      <c r="B5080" s="478" t="s">
        <v>47750</v>
      </c>
      <c r="C5080" s="391" t="s">
        <v>0</v>
      </c>
      <c r="D5080" s="479">
        <v>138.07</v>
      </c>
      <c r="E5080" s="368"/>
      <c r="F5080" s="368"/>
    </row>
    <row r="5081" spans="1:6" ht="25.5" x14ac:dyDescent="0.2">
      <c r="A5081" s="391">
        <v>96725</v>
      </c>
      <c r="B5081" s="478" t="s">
        <v>47751</v>
      </c>
      <c r="C5081" s="391" t="s">
        <v>0</v>
      </c>
      <c r="D5081" s="479">
        <v>113.96</v>
      </c>
      <c r="E5081" s="368"/>
      <c r="F5081" s="368"/>
    </row>
    <row r="5082" spans="1:6" ht="25.5" x14ac:dyDescent="0.2">
      <c r="A5082" s="391">
        <v>96734</v>
      </c>
      <c r="B5082" s="478" t="s">
        <v>47752</v>
      </c>
      <c r="C5082" s="391" t="s">
        <v>0</v>
      </c>
      <c r="D5082" s="479">
        <v>231.11</v>
      </c>
      <c r="E5082" s="368"/>
      <c r="F5082" s="368"/>
    </row>
    <row r="5083" spans="1:6" ht="25.5" x14ac:dyDescent="0.2">
      <c r="A5083" s="391">
        <v>94655</v>
      </c>
      <c r="B5083" s="478" t="s">
        <v>39514</v>
      </c>
      <c r="C5083" s="391" t="s">
        <v>0</v>
      </c>
      <c r="D5083" s="479">
        <v>117.41</v>
      </c>
      <c r="E5083" s="368"/>
      <c r="F5083" s="368"/>
    </row>
    <row r="5084" spans="1:6" ht="25.5" x14ac:dyDescent="0.2">
      <c r="A5084" s="391">
        <v>94648</v>
      </c>
      <c r="B5084" s="478" t="s">
        <v>47753</v>
      </c>
      <c r="C5084" s="391" t="s">
        <v>0</v>
      </c>
      <c r="D5084" s="479">
        <v>6.56</v>
      </c>
      <c r="E5084" s="368"/>
      <c r="F5084" s="368"/>
    </row>
    <row r="5085" spans="1:6" ht="25.5" x14ac:dyDescent="0.2">
      <c r="A5085" s="391">
        <v>94649</v>
      </c>
      <c r="B5085" s="478" t="s">
        <v>39508</v>
      </c>
      <c r="C5085" s="391" t="s">
        <v>0</v>
      </c>
      <c r="D5085" s="479">
        <v>12.25</v>
      </c>
      <c r="E5085" s="368"/>
      <c r="F5085" s="368"/>
    </row>
    <row r="5086" spans="1:6" ht="25.5" x14ac:dyDescent="0.2">
      <c r="A5086" s="391">
        <v>94650</v>
      </c>
      <c r="B5086" s="478" t="s">
        <v>39509</v>
      </c>
      <c r="C5086" s="391" t="s">
        <v>0</v>
      </c>
      <c r="D5086" s="479">
        <v>18.57</v>
      </c>
      <c r="E5086" s="368"/>
      <c r="F5086" s="368"/>
    </row>
    <row r="5087" spans="1:6" ht="25.5" x14ac:dyDescent="0.2">
      <c r="A5087" s="391">
        <v>94651</v>
      </c>
      <c r="B5087" s="478" t="s">
        <v>39510</v>
      </c>
      <c r="C5087" s="391" t="s">
        <v>0</v>
      </c>
      <c r="D5087" s="479">
        <v>21.55</v>
      </c>
      <c r="E5087" s="368"/>
      <c r="F5087" s="368"/>
    </row>
    <row r="5088" spans="1:6" ht="25.5" x14ac:dyDescent="0.2">
      <c r="A5088" s="391">
        <v>94652</v>
      </c>
      <c r="B5088" s="478" t="s">
        <v>39511</v>
      </c>
      <c r="C5088" s="391" t="s">
        <v>0</v>
      </c>
      <c r="D5088" s="479">
        <v>33.799999999999997</v>
      </c>
      <c r="E5088" s="368"/>
      <c r="F5088" s="368"/>
    </row>
    <row r="5089" spans="1:6" ht="25.5" x14ac:dyDescent="0.2">
      <c r="A5089" s="391">
        <v>94653</v>
      </c>
      <c r="B5089" s="478" t="s">
        <v>39512</v>
      </c>
      <c r="C5089" s="391" t="s">
        <v>0</v>
      </c>
      <c r="D5089" s="479">
        <v>54.68</v>
      </c>
      <c r="E5089" s="368"/>
      <c r="F5089" s="368"/>
    </row>
    <row r="5090" spans="1:6" ht="25.5" x14ac:dyDescent="0.2">
      <c r="A5090" s="391">
        <v>94654</v>
      </c>
      <c r="B5090" s="478" t="s">
        <v>39513</v>
      </c>
      <c r="C5090" s="391" t="s">
        <v>0</v>
      </c>
      <c r="D5090" s="479">
        <v>74.569999999999993</v>
      </c>
      <c r="E5090" s="368"/>
      <c r="F5090" s="368"/>
    </row>
    <row r="5091" spans="1:6" ht="38.25" x14ac:dyDescent="0.2">
      <c r="A5091" s="391">
        <v>94689</v>
      </c>
      <c r="B5091" s="478" t="s">
        <v>47754</v>
      </c>
      <c r="C5091" s="391" t="s">
        <v>26</v>
      </c>
      <c r="D5091" s="479">
        <v>9.02</v>
      </c>
      <c r="E5091" s="368"/>
      <c r="F5091" s="368"/>
    </row>
    <row r="5092" spans="1:6" ht="25.5" x14ac:dyDescent="0.2">
      <c r="A5092" s="391">
        <v>94702</v>
      </c>
      <c r="B5092" s="478" t="s">
        <v>38899</v>
      </c>
      <c r="C5092" s="391" t="s">
        <v>26</v>
      </c>
      <c r="D5092" s="479">
        <v>180.41</v>
      </c>
      <c r="E5092" s="368"/>
      <c r="F5092" s="368"/>
    </row>
    <row r="5093" spans="1:6" ht="25.5" x14ac:dyDescent="0.2">
      <c r="A5093" s="391">
        <v>94691</v>
      </c>
      <c r="B5093" s="478" t="s">
        <v>47755</v>
      </c>
      <c r="C5093" s="391" t="s">
        <v>26</v>
      </c>
      <c r="D5093" s="479">
        <v>12.96</v>
      </c>
      <c r="E5093" s="368"/>
      <c r="F5093" s="368"/>
    </row>
    <row r="5094" spans="1:6" ht="25.5" x14ac:dyDescent="0.2">
      <c r="A5094" s="391">
        <v>94693</v>
      </c>
      <c r="B5094" s="478" t="s">
        <v>38890</v>
      </c>
      <c r="C5094" s="391" t="s">
        <v>26</v>
      </c>
      <c r="D5094" s="479">
        <v>16.98</v>
      </c>
      <c r="E5094" s="368"/>
      <c r="F5094" s="368"/>
    </row>
    <row r="5095" spans="1:6" ht="25.5" x14ac:dyDescent="0.2">
      <c r="A5095" s="391">
        <v>94695</v>
      </c>
      <c r="B5095" s="478" t="s">
        <v>38892</v>
      </c>
      <c r="C5095" s="391" t="s">
        <v>26</v>
      </c>
      <c r="D5095" s="479">
        <v>29.74</v>
      </c>
      <c r="E5095" s="368"/>
      <c r="F5095" s="368"/>
    </row>
    <row r="5096" spans="1:6" ht="25.5" x14ac:dyDescent="0.2">
      <c r="A5096" s="391">
        <v>94698</v>
      </c>
      <c r="B5096" s="478" t="s">
        <v>38895</v>
      </c>
      <c r="C5096" s="391" t="s">
        <v>26</v>
      </c>
      <c r="D5096" s="479">
        <v>63.98</v>
      </c>
      <c r="E5096" s="368"/>
      <c r="F5096" s="368"/>
    </row>
    <row r="5097" spans="1:6" ht="25.5" x14ac:dyDescent="0.2">
      <c r="A5097" s="391">
        <v>94700</v>
      </c>
      <c r="B5097" s="478" t="s">
        <v>38897</v>
      </c>
      <c r="C5097" s="391" t="s">
        <v>26</v>
      </c>
      <c r="D5097" s="479">
        <v>125.28</v>
      </c>
      <c r="E5097" s="368"/>
      <c r="F5097" s="368"/>
    </row>
    <row r="5098" spans="1:6" ht="38.25" x14ac:dyDescent="0.2">
      <c r="A5098" s="391">
        <v>94477</v>
      </c>
      <c r="B5098" s="478" t="s">
        <v>38843</v>
      </c>
      <c r="C5098" s="391" t="s">
        <v>26</v>
      </c>
      <c r="D5098" s="479">
        <v>100.4</v>
      </c>
      <c r="E5098" s="368"/>
      <c r="F5098" s="368"/>
    </row>
    <row r="5099" spans="1:6" ht="38.25" x14ac:dyDescent="0.2">
      <c r="A5099" s="391">
        <v>94478</v>
      </c>
      <c r="B5099" s="478" t="s">
        <v>38844</v>
      </c>
      <c r="C5099" s="391" t="s">
        <v>26</v>
      </c>
      <c r="D5099" s="479">
        <v>167.91</v>
      </c>
      <c r="E5099" s="368"/>
      <c r="F5099" s="368"/>
    </row>
    <row r="5100" spans="1:6" ht="38.25" x14ac:dyDescent="0.2">
      <c r="A5100" s="391">
        <v>94479</v>
      </c>
      <c r="B5100" s="478" t="s">
        <v>38845</v>
      </c>
      <c r="C5100" s="391" t="s">
        <v>26</v>
      </c>
      <c r="D5100" s="479">
        <v>219.04</v>
      </c>
      <c r="E5100" s="368"/>
      <c r="F5100" s="368"/>
    </row>
    <row r="5101" spans="1:6" ht="25.5" x14ac:dyDescent="0.2">
      <c r="A5101" s="391">
        <v>96764</v>
      </c>
      <c r="B5101" s="478" t="s">
        <v>38973</v>
      </c>
      <c r="C5101" s="391" t="s">
        <v>26</v>
      </c>
      <c r="D5101" s="479">
        <v>315.29000000000002</v>
      </c>
      <c r="E5101" s="368"/>
      <c r="F5101" s="368"/>
    </row>
    <row r="5102" spans="1:6" ht="25.5" x14ac:dyDescent="0.2">
      <c r="A5102" s="391">
        <v>105164</v>
      </c>
      <c r="B5102" s="478" t="s">
        <v>38991</v>
      </c>
      <c r="C5102" s="391" t="s">
        <v>26</v>
      </c>
      <c r="D5102" s="479">
        <v>10.38</v>
      </c>
      <c r="E5102" s="368"/>
      <c r="F5102" s="368"/>
    </row>
    <row r="5103" spans="1:6" ht="25.5" x14ac:dyDescent="0.2">
      <c r="A5103" s="391">
        <v>105165</v>
      </c>
      <c r="B5103" s="478" t="s">
        <v>38992</v>
      </c>
      <c r="C5103" s="391" t="s">
        <v>26</v>
      </c>
      <c r="D5103" s="479">
        <v>10.5</v>
      </c>
      <c r="E5103" s="368"/>
      <c r="F5103" s="368"/>
    </row>
    <row r="5104" spans="1:6" ht="25.5" x14ac:dyDescent="0.2">
      <c r="A5104" s="391">
        <v>96758</v>
      </c>
      <c r="B5104" s="478" t="s">
        <v>38967</v>
      </c>
      <c r="C5104" s="391" t="s">
        <v>26</v>
      </c>
      <c r="D5104" s="479">
        <v>16.5</v>
      </c>
      <c r="E5104" s="368"/>
      <c r="F5104" s="368"/>
    </row>
    <row r="5105" spans="1:6" ht="25.5" x14ac:dyDescent="0.2">
      <c r="A5105" s="391">
        <v>96759</v>
      </c>
      <c r="B5105" s="478" t="s">
        <v>38968</v>
      </c>
      <c r="C5105" s="391" t="s">
        <v>26</v>
      </c>
      <c r="D5105" s="479">
        <v>24.86</v>
      </c>
      <c r="E5105" s="368"/>
      <c r="F5105" s="368"/>
    </row>
    <row r="5106" spans="1:6" ht="25.5" x14ac:dyDescent="0.2">
      <c r="A5106" s="391">
        <v>96760</v>
      </c>
      <c r="B5106" s="478" t="s">
        <v>38969</v>
      </c>
      <c r="C5106" s="391" t="s">
        <v>26</v>
      </c>
      <c r="D5106" s="479">
        <v>41.15</v>
      </c>
      <c r="E5106" s="368"/>
      <c r="F5106" s="368"/>
    </row>
    <row r="5107" spans="1:6" ht="25.5" x14ac:dyDescent="0.2">
      <c r="A5107" s="391">
        <v>96761</v>
      </c>
      <c r="B5107" s="478" t="s">
        <v>38970</v>
      </c>
      <c r="C5107" s="391" t="s">
        <v>26</v>
      </c>
      <c r="D5107" s="479">
        <v>61.71</v>
      </c>
      <c r="E5107" s="368"/>
      <c r="F5107" s="368"/>
    </row>
    <row r="5108" spans="1:6" ht="25.5" x14ac:dyDescent="0.2">
      <c r="A5108" s="391">
        <v>96762</v>
      </c>
      <c r="B5108" s="478" t="s">
        <v>38971</v>
      </c>
      <c r="C5108" s="391" t="s">
        <v>26</v>
      </c>
      <c r="D5108" s="479">
        <v>117.93</v>
      </c>
      <c r="E5108" s="368"/>
      <c r="F5108" s="368"/>
    </row>
    <row r="5109" spans="1:6" ht="25.5" x14ac:dyDescent="0.2">
      <c r="A5109" s="391">
        <v>96763</v>
      </c>
      <c r="B5109" s="478" t="s">
        <v>38972</v>
      </c>
      <c r="C5109" s="391" t="s">
        <v>26</v>
      </c>
      <c r="D5109" s="479">
        <v>157.99</v>
      </c>
      <c r="E5109" s="368"/>
      <c r="F5109" s="368"/>
    </row>
    <row r="5110" spans="1:6" ht="25.5" x14ac:dyDescent="0.2">
      <c r="A5110" s="391">
        <v>94701</v>
      </c>
      <c r="B5110" s="478" t="s">
        <v>38898</v>
      </c>
      <c r="C5110" s="391" t="s">
        <v>26</v>
      </c>
      <c r="D5110" s="479">
        <v>216.28</v>
      </c>
      <c r="E5110" s="368"/>
      <c r="F5110" s="368"/>
    </row>
    <row r="5111" spans="1:6" ht="25.5" x14ac:dyDescent="0.2">
      <c r="A5111" s="391">
        <v>94688</v>
      </c>
      <c r="B5111" s="478" t="s">
        <v>47756</v>
      </c>
      <c r="C5111" s="391" t="s">
        <v>26</v>
      </c>
      <c r="D5111" s="479">
        <v>6.47</v>
      </c>
      <c r="E5111" s="368"/>
      <c r="F5111" s="368"/>
    </row>
    <row r="5112" spans="1:6" ht="25.5" x14ac:dyDescent="0.2">
      <c r="A5112" s="391">
        <v>94690</v>
      </c>
      <c r="B5112" s="478" t="s">
        <v>38888</v>
      </c>
      <c r="C5112" s="391" t="s">
        <v>26</v>
      </c>
      <c r="D5112" s="479">
        <v>10.74</v>
      </c>
      <c r="E5112" s="368"/>
      <c r="F5112" s="368"/>
    </row>
    <row r="5113" spans="1:6" ht="25.5" x14ac:dyDescent="0.2">
      <c r="A5113" s="391">
        <v>94692</v>
      </c>
      <c r="B5113" s="478" t="s">
        <v>38889</v>
      </c>
      <c r="C5113" s="391" t="s">
        <v>26</v>
      </c>
      <c r="D5113" s="479">
        <v>18.34</v>
      </c>
      <c r="E5113" s="368"/>
      <c r="F5113" s="368"/>
    </row>
    <row r="5114" spans="1:6" ht="25.5" x14ac:dyDescent="0.2">
      <c r="A5114" s="391">
        <v>94694</v>
      </c>
      <c r="B5114" s="478" t="s">
        <v>38891</v>
      </c>
      <c r="C5114" s="391" t="s">
        <v>26</v>
      </c>
      <c r="D5114" s="479">
        <v>22.67</v>
      </c>
      <c r="E5114" s="368"/>
      <c r="F5114" s="368"/>
    </row>
    <row r="5115" spans="1:6" ht="25.5" x14ac:dyDescent="0.2">
      <c r="A5115" s="391">
        <v>94696</v>
      </c>
      <c r="B5115" s="478" t="s">
        <v>38893</v>
      </c>
      <c r="C5115" s="391" t="s">
        <v>26</v>
      </c>
      <c r="D5115" s="479">
        <v>48.32</v>
      </c>
      <c r="E5115" s="368"/>
      <c r="F5115" s="368"/>
    </row>
    <row r="5116" spans="1:6" ht="25.5" x14ac:dyDescent="0.2">
      <c r="A5116" s="391">
        <v>94697</v>
      </c>
      <c r="B5116" s="478" t="s">
        <v>38894</v>
      </c>
      <c r="C5116" s="391" t="s">
        <v>26</v>
      </c>
      <c r="D5116" s="479">
        <v>83.01</v>
      </c>
      <c r="E5116" s="368"/>
      <c r="F5116" s="368"/>
    </row>
    <row r="5117" spans="1:6" ht="25.5" x14ac:dyDescent="0.2">
      <c r="A5117" s="391">
        <v>94699</v>
      </c>
      <c r="B5117" s="478" t="s">
        <v>38896</v>
      </c>
      <c r="C5117" s="391" t="s">
        <v>26</v>
      </c>
      <c r="D5117" s="479">
        <v>110.11</v>
      </c>
      <c r="E5117" s="368"/>
      <c r="F5117" s="368"/>
    </row>
    <row r="5118" spans="1:6" ht="25.5" x14ac:dyDescent="0.2">
      <c r="A5118" s="391">
        <v>105167</v>
      </c>
      <c r="B5118" s="478" t="s">
        <v>38994</v>
      </c>
      <c r="C5118" s="391" t="s">
        <v>26</v>
      </c>
      <c r="D5118" s="479">
        <v>216.43</v>
      </c>
      <c r="E5118" s="368"/>
      <c r="F5118" s="368"/>
    </row>
    <row r="5119" spans="1:6" ht="25.5" x14ac:dyDescent="0.2">
      <c r="A5119" s="391">
        <v>105168</v>
      </c>
      <c r="B5119" s="478" t="s">
        <v>41474</v>
      </c>
      <c r="C5119" s="391" t="s">
        <v>26</v>
      </c>
      <c r="D5119" s="479">
        <v>0</v>
      </c>
      <c r="E5119" s="368"/>
      <c r="F5119" s="368"/>
    </row>
    <row r="5120" spans="1:6" ht="25.5" x14ac:dyDescent="0.2">
      <c r="A5120" s="391">
        <v>105171</v>
      </c>
      <c r="B5120" s="478" t="s">
        <v>41475</v>
      </c>
      <c r="C5120" s="391" t="s">
        <v>26</v>
      </c>
      <c r="D5120" s="479">
        <v>0</v>
      </c>
      <c r="E5120" s="368"/>
      <c r="F5120" s="368"/>
    </row>
    <row r="5121" spans="1:6" ht="25.5" x14ac:dyDescent="0.2">
      <c r="A5121" s="391">
        <v>105191</v>
      </c>
      <c r="B5121" s="478" t="s">
        <v>41476</v>
      </c>
      <c r="C5121" s="391" t="s">
        <v>26</v>
      </c>
      <c r="D5121" s="479">
        <v>0</v>
      </c>
      <c r="E5121" s="368"/>
      <c r="F5121" s="368"/>
    </row>
    <row r="5122" spans="1:6" ht="25.5" x14ac:dyDescent="0.2">
      <c r="A5122" s="391">
        <v>105192</v>
      </c>
      <c r="B5122" s="478" t="s">
        <v>41477</v>
      </c>
      <c r="C5122" s="391" t="s">
        <v>26</v>
      </c>
      <c r="D5122" s="479">
        <v>0</v>
      </c>
      <c r="E5122" s="368"/>
      <c r="F5122" s="368"/>
    </row>
    <row r="5123" spans="1:6" ht="38.25" x14ac:dyDescent="0.2">
      <c r="A5123" s="391">
        <v>96809</v>
      </c>
      <c r="B5123" s="478" t="s">
        <v>3490</v>
      </c>
      <c r="C5123" s="391" t="s">
        <v>26</v>
      </c>
      <c r="D5123" s="479">
        <v>18.3</v>
      </c>
      <c r="E5123" s="368"/>
      <c r="F5123" s="368"/>
    </row>
    <row r="5124" spans="1:6" ht="38.25" x14ac:dyDescent="0.2">
      <c r="A5124" s="391">
        <v>96812</v>
      </c>
      <c r="B5124" s="478" t="s">
        <v>3493</v>
      </c>
      <c r="C5124" s="391" t="s">
        <v>26</v>
      </c>
      <c r="D5124" s="479">
        <v>19.05</v>
      </c>
      <c r="E5124" s="368"/>
      <c r="F5124" s="368"/>
    </row>
    <row r="5125" spans="1:6" ht="38.25" x14ac:dyDescent="0.2">
      <c r="A5125" s="391">
        <v>96813</v>
      </c>
      <c r="B5125" s="478" t="s">
        <v>3494</v>
      </c>
      <c r="C5125" s="391" t="s">
        <v>26</v>
      </c>
      <c r="D5125" s="479">
        <v>21.75</v>
      </c>
      <c r="E5125" s="368"/>
      <c r="F5125" s="368"/>
    </row>
    <row r="5126" spans="1:6" ht="38.25" x14ac:dyDescent="0.2">
      <c r="A5126" s="391">
        <v>96817</v>
      </c>
      <c r="B5126" s="478" t="s">
        <v>3498</v>
      </c>
      <c r="C5126" s="391" t="s">
        <v>26</v>
      </c>
      <c r="D5126" s="479">
        <v>33.21</v>
      </c>
      <c r="E5126" s="368"/>
      <c r="F5126" s="368"/>
    </row>
    <row r="5127" spans="1:6" ht="38.25" x14ac:dyDescent="0.2">
      <c r="A5127" s="391">
        <v>96816</v>
      </c>
      <c r="B5127" s="478" t="s">
        <v>3497</v>
      </c>
      <c r="C5127" s="391" t="s">
        <v>26</v>
      </c>
      <c r="D5127" s="479">
        <v>24.64</v>
      </c>
      <c r="E5127" s="368"/>
      <c r="F5127" s="368"/>
    </row>
    <row r="5128" spans="1:6" ht="38.25" x14ac:dyDescent="0.2">
      <c r="A5128" s="391">
        <v>96821</v>
      </c>
      <c r="B5128" s="478" t="s">
        <v>3502</v>
      </c>
      <c r="C5128" s="391" t="s">
        <v>26</v>
      </c>
      <c r="D5128" s="479">
        <v>37.01</v>
      </c>
      <c r="E5128" s="368"/>
      <c r="F5128" s="368"/>
    </row>
    <row r="5129" spans="1:6" ht="25.5" x14ac:dyDescent="0.2">
      <c r="A5129" s="391">
        <v>96824</v>
      </c>
      <c r="B5129" s="478" t="s">
        <v>3505</v>
      </c>
      <c r="C5129" s="391" t="s">
        <v>26</v>
      </c>
      <c r="D5129" s="479">
        <v>17.21</v>
      </c>
      <c r="E5129" s="368"/>
      <c r="F5129" s="368"/>
    </row>
    <row r="5130" spans="1:6" ht="25.5" x14ac:dyDescent="0.2">
      <c r="A5130" s="391">
        <v>96827</v>
      </c>
      <c r="B5130" s="478" t="s">
        <v>3507</v>
      </c>
      <c r="C5130" s="391" t="s">
        <v>26</v>
      </c>
      <c r="D5130" s="479">
        <v>18.79</v>
      </c>
      <c r="E5130" s="368"/>
      <c r="F5130" s="368"/>
    </row>
    <row r="5131" spans="1:6" ht="25.5" x14ac:dyDescent="0.2">
      <c r="A5131" s="391">
        <v>96828</v>
      </c>
      <c r="B5131" s="478" t="s">
        <v>3508</v>
      </c>
      <c r="C5131" s="391" t="s">
        <v>26</v>
      </c>
      <c r="D5131" s="479">
        <v>23.28</v>
      </c>
      <c r="E5131" s="368"/>
      <c r="F5131" s="368"/>
    </row>
    <row r="5132" spans="1:6" ht="25.5" x14ac:dyDescent="0.2">
      <c r="A5132" s="391">
        <v>96832</v>
      </c>
      <c r="B5132" s="478" t="s">
        <v>3511</v>
      </c>
      <c r="C5132" s="391" t="s">
        <v>26</v>
      </c>
      <c r="D5132" s="479">
        <v>29.52</v>
      </c>
      <c r="E5132" s="368"/>
      <c r="F5132" s="368"/>
    </row>
    <row r="5133" spans="1:6" ht="25.5" x14ac:dyDescent="0.2">
      <c r="A5133" s="391">
        <v>104525</v>
      </c>
      <c r="B5133" s="478" t="s">
        <v>41478</v>
      </c>
      <c r="C5133" s="391" t="s">
        <v>26</v>
      </c>
      <c r="D5133" s="479">
        <v>0</v>
      </c>
      <c r="E5133" s="368"/>
      <c r="F5133" s="368"/>
    </row>
    <row r="5134" spans="1:6" ht="25.5" x14ac:dyDescent="0.2">
      <c r="A5134" s="391">
        <v>104563</v>
      </c>
      <c r="B5134" s="478" t="s">
        <v>41479</v>
      </c>
      <c r="C5134" s="391" t="s">
        <v>26</v>
      </c>
      <c r="D5134" s="479">
        <v>0</v>
      </c>
      <c r="E5134" s="368"/>
      <c r="F5134" s="368"/>
    </row>
    <row r="5135" spans="1:6" ht="25.5" x14ac:dyDescent="0.2">
      <c r="A5135" s="391">
        <v>104531</v>
      </c>
      <c r="B5135" s="478" t="s">
        <v>41480</v>
      </c>
      <c r="C5135" s="391" t="s">
        <v>26</v>
      </c>
      <c r="D5135" s="479">
        <v>0</v>
      </c>
      <c r="E5135" s="368"/>
      <c r="F5135" s="368"/>
    </row>
    <row r="5136" spans="1:6" ht="25.5" x14ac:dyDescent="0.2">
      <c r="A5136" s="391">
        <v>104527</v>
      </c>
      <c r="B5136" s="478" t="s">
        <v>41481</v>
      </c>
      <c r="C5136" s="391" t="s">
        <v>26</v>
      </c>
      <c r="D5136" s="479">
        <v>0</v>
      </c>
      <c r="E5136" s="368"/>
      <c r="F5136" s="368"/>
    </row>
    <row r="5137" spans="1:6" ht="25.5" x14ac:dyDescent="0.2">
      <c r="A5137" s="391">
        <v>104529</v>
      </c>
      <c r="B5137" s="478" t="s">
        <v>41482</v>
      </c>
      <c r="C5137" s="391" t="s">
        <v>26</v>
      </c>
      <c r="D5137" s="479">
        <v>0</v>
      </c>
      <c r="E5137" s="368"/>
      <c r="F5137" s="368"/>
    </row>
    <row r="5138" spans="1:6" ht="25.5" x14ac:dyDescent="0.2">
      <c r="A5138" s="391">
        <v>104564</v>
      </c>
      <c r="B5138" s="478" t="s">
        <v>41483</v>
      </c>
      <c r="C5138" s="391" t="s">
        <v>26</v>
      </c>
      <c r="D5138" s="479">
        <v>0</v>
      </c>
      <c r="E5138" s="368"/>
      <c r="F5138" s="368"/>
    </row>
    <row r="5139" spans="1:6" ht="25.5" x14ac:dyDescent="0.2">
      <c r="A5139" s="391">
        <v>104533</v>
      </c>
      <c r="B5139" s="478" t="s">
        <v>41484</v>
      </c>
      <c r="C5139" s="391" t="s">
        <v>26</v>
      </c>
      <c r="D5139" s="479">
        <v>0</v>
      </c>
      <c r="E5139" s="368"/>
      <c r="F5139" s="368"/>
    </row>
    <row r="5140" spans="1:6" ht="25.5" x14ac:dyDescent="0.2">
      <c r="A5140" s="391">
        <v>104535</v>
      </c>
      <c r="B5140" s="478" t="s">
        <v>41485</v>
      </c>
      <c r="C5140" s="391" t="s">
        <v>26</v>
      </c>
      <c r="D5140" s="479">
        <v>0</v>
      </c>
      <c r="E5140" s="368"/>
      <c r="F5140" s="368"/>
    </row>
    <row r="5141" spans="1:6" ht="38.25" x14ac:dyDescent="0.2">
      <c r="A5141" s="391">
        <v>96810</v>
      </c>
      <c r="B5141" s="478" t="s">
        <v>3491</v>
      </c>
      <c r="C5141" s="391" t="s">
        <v>26</v>
      </c>
      <c r="D5141" s="479">
        <v>19.829999999999998</v>
      </c>
      <c r="E5141" s="368"/>
      <c r="F5141" s="368"/>
    </row>
    <row r="5142" spans="1:6" ht="25.5" x14ac:dyDescent="0.2">
      <c r="A5142" s="391">
        <v>104524</v>
      </c>
      <c r="B5142" s="478" t="s">
        <v>41486</v>
      </c>
      <c r="C5142" s="391" t="s">
        <v>26</v>
      </c>
      <c r="D5142" s="479">
        <v>0</v>
      </c>
      <c r="E5142" s="368"/>
      <c r="F5142" s="368"/>
    </row>
    <row r="5143" spans="1:6" ht="25.5" x14ac:dyDescent="0.2">
      <c r="A5143" s="391">
        <v>104530</v>
      </c>
      <c r="B5143" s="478" t="s">
        <v>41487</v>
      </c>
      <c r="C5143" s="391" t="s">
        <v>26</v>
      </c>
      <c r="D5143" s="479">
        <v>0</v>
      </c>
      <c r="E5143" s="368"/>
      <c r="F5143" s="368"/>
    </row>
    <row r="5144" spans="1:6" ht="25.5" x14ac:dyDescent="0.2">
      <c r="A5144" s="391">
        <v>104526</v>
      </c>
      <c r="B5144" s="478" t="s">
        <v>41488</v>
      </c>
      <c r="C5144" s="391" t="s">
        <v>26</v>
      </c>
      <c r="D5144" s="479">
        <v>0</v>
      </c>
      <c r="E5144" s="368"/>
      <c r="F5144" s="368"/>
    </row>
    <row r="5145" spans="1:6" ht="25.5" x14ac:dyDescent="0.2">
      <c r="A5145" s="391">
        <v>104528</v>
      </c>
      <c r="B5145" s="478" t="s">
        <v>41489</v>
      </c>
      <c r="C5145" s="391" t="s">
        <v>26</v>
      </c>
      <c r="D5145" s="479">
        <v>0</v>
      </c>
      <c r="E5145" s="368"/>
      <c r="F5145" s="368"/>
    </row>
    <row r="5146" spans="1:6" ht="25.5" x14ac:dyDescent="0.2">
      <c r="A5146" s="391">
        <v>104532</v>
      </c>
      <c r="B5146" s="478" t="s">
        <v>41490</v>
      </c>
      <c r="C5146" s="391" t="s">
        <v>26</v>
      </c>
      <c r="D5146" s="479">
        <v>0</v>
      </c>
      <c r="E5146" s="368"/>
      <c r="F5146" s="368"/>
    </row>
    <row r="5147" spans="1:6" ht="25.5" x14ac:dyDescent="0.2">
      <c r="A5147" s="391">
        <v>104534</v>
      </c>
      <c r="B5147" s="478" t="s">
        <v>41491</v>
      </c>
      <c r="C5147" s="391" t="s">
        <v>26</v>
      </c>
      <c r="D5147" s="479">
        <v>0</v>
      </c>
      <c r="E5147" s="368"/>
      <c r="F5147" s="368"/>
    </row>
    <row r="5148" spans="1:6" ht="38.25" x14ac:dyDescent="0.2">
      <c r="A5148" s="391">
        <v>96873</v>
      </c>
      <c r="B5148" s="478" t="s">
        <v>3546</v>
      </c>
      <c r="C5148" s="391" t="s">
        <v>26</v>
      </c>
      <c r="D5148" s="479">
        <v>63.01</v>
      </c>
      <c r="E5148" s="368"/>
      <c r="F5148" s="368"/>
    </row>
    <row r="5149" spans="1:6" ht="38.25" x14ac:dyDescent="0.2">
      <c r="A5149" s="391">
        <v>96872</v>
      </c>
      <c r="B5149" s="478" t="s">
        <v>3545</v>
      </c>
      <c r="C5149" s="391" t="s">
        <v>26</v>
      </c>
      <c r="D5149" s="479">
        <v>46.94</v>
      </c>
      <c r="E5149" s="368"/>
      <c r="F5149" s="368"/>
    </row>
    <row r="5150" spans="1:6" ht="38.25" x14ac:dyDescent="0.2">
      <c r="A5150" s="391">
        <v>96876</v>
      </c>
      <c r="B5150" s="478" t="s">
        <v>3549</v>
      </c>
      <c r="C5150" s="391" t="s">
        <v>26</v>
      </c>
      <c r="D5150" s="479">
        <v>179.45</v>
      </c>
      <c r="E5150" s="368"/>
      <c r="F5150" s="368"/>
    </row>
    <row r="5151" spans="1:6" ht="38.25" x14ac:dyDescent="0.2">
      <c r="A5151" s="391">
        <v>96878</v>
      </c>
      <c r="B5151" s="478" t="s">
        <v>3550</v>
      </c>
      <c r="C5151" s="391" t="s">
        <v>26</v>
      </c>
      <c r="D5151" s="479">
        <v>201.6</v>
      </c>
      <c r="E5151" s="368"/>
      <c r="F5151" s="368"/>
    </row>
    <row r="5152" spans="1:6" ht="38.25" x14ac:dyDescent="0.2">
      <c r="A5152" s="391">
        <v>96875</v>
      </c>
      <c r="B5152" s="478" t="s">
        <v>3548</v>
      </c>
      <c r="C5152" s="391" t="s">
        <v>26</v>
      </c>
      <c r="D5152" s="479">
        <v>75.59</v>
      </c>
      <c r="E5152" s="368"/>
      <c r="F5152" s="368"/>
    </row>
    <row r="5153" spans="1:6" ht="38.25" x14ac:dyDescent="0.2">
      <c r="A5153" s="391">
        <v>96874</v>
      </c>
      <c r="B5153" s="478" t="s">
        <v>3547</v>
      </c>
      <c r="C5153" s="391" t="s">
        <v>26</v>
      </c>
      <c r="D5153" s="479">
        <v>57.16</v>
      </c>
      <c r="E5153" s="368"/>
      <c r="F5153" s="368"/>
    </row>
    <row r="5154" spans="1:6" ht="38.25" x14ac:dyDescent="0.2">
      <c r="A5154" s="391">
        <v>96879</v>
      </c>
      <c r="B5154" s="478" t="s">
        <v>3551</v>
      </c>
      <c r="C5154" s="391" t="s">
        <v>26</v>
      </c>
      <c r="D5154" s="479">
        <v>195.19</v>
      </c>
      <c r="E5154" s="368"/>
      <c r="F5154" s="368"/>
    </row>
    <row r="5155" spans="1:6" ht="38.25" x14ac:dyDescent="0.2">
      <c r="A5155" s="391">
        <v>96881</v>
      </c>
      <c r="B5155" s="478" t="s">
        <v>3552</v>
      </c>
      <c r="C5155" s="391" t="s">
        <v>26</v>
      </c>
      <c r="D5155" s="479">
        <v>231.79</v>
      </c>
      <c r="E5155" s="368"/>
      <c r="F5155" s="368"/>
    </row>
    <row r="5156" spans="1:6" ht="25.5" x14ac:dyDescent="0.2">
      <c r="A5156" s="391">
        <v>96837</v>
      </c>
      <c r="B5156" s="478" t="s">
        <v>3515</v>
      </c>
      <c r="C5156" s="391" t="s">
        <v>26</v>
      </c>
      <c r="D5156" s="479">
        <v>20.38</v>
      </c>
      <c r="E5156" s="368"/>
      <c r="F5156" s="368"/>
    </row>
    <row r="5157" spans="1:6" ht="25.5" x14ac:dyDescent="0.2">
      <c r="A5157" s="391">
        <v>96840</v>
      </c>
      <c r="B5157" s="478" t="s">
        <v>3518</v>
      </c>
      <c r="C5157" s="391" t="s">
        <v>26</v>
      </c>
      <c r="D5157" s="479">
        <v>24.63</v>
      </c>
      <c r="E5157" s="368"/>
      <c r="F5157" s="368"/>
    </row>
    <row r="5158" spans="1:6" ht="25.5" x14ac:dyDescent="0.2">
      <c r="A5158" s="391">
        <v>96845</v>
      </c>
      <c r="B5158" s="478" t="s">
        <v>3523</v>
      </c>
      <c r="C5158" s="391" t="s">
        <v>26</v>
      </c>
      <c r="D5158" s="479">
        <v>39.340000000000003</v>
      </c>
      <c r="E5158" s="368"/>
      <c r="F5158" s="368"/>
    </row>
    <row r="5159" spans="1:6" ht="25.5" x14ac:dyDescent="0.2">
      <c r="A5159" s="391">
        <v>96848</v>
      </c>
      <c r="B5159" s="478" t="s">
        <v>3526</v>
      </c>
      <c r="C5159" s="391" t="s">
        <v>26</v>
      </c>
      <c r="D5159" s="479">
        <v>52.39</v>
      </c>
      <c r="E5159" s="368"/>
      <c r="F5159" s="368"/>
    </row>
    <row r="5160" spans="1:6" ht="25.5" x14ac:dyDescent="0.2">
      <c r="A5160" s="391">
        <v>96849</v>
      </c>
      <c r="B5160" s="478" t="s">
        <v>3527</v>
      </c>
      <c r="C5160" s="391" t="s">
        <v>26</v>
      </c>
      <c r="D5160" s="479">
        <v>16.37</v>
      </c>
      <c r="E5160" s="368"/>
      <c r="F5160" s="368"/>
    </row>
    <row r="5161" spans="1:6" ht="25.5" x14ac:dyDescent="0.2">
      <c r="A5161" s="391">
        <v>96852</v>
      </c>
      <c r="B5161" s="478" t="s">
        <v>3529</v>
      </c>
      <c r="C5161" s="391" t="s">
        <v>26</v>
      </c>
      <c r="D5161" s="479">
        <v>20.92</v>
      </c>
      <c r="E5161" s="368"/>
      <c r="F5161" s="368"/>
    </row>
    <row r="5162" spans="1:6" ht="25.5" x14ac:dyDescent="0.2">
      <c r="A5162" s="391">
        <v>96855</v>
      </c>
      <c r="B5162" s="478" t="s">
        <v>3532</v>
      </c>
      <c r="C5162" s="391" t="s">
        <v>26</v>
      </c>
      <c r="D5162" s="479">
        <v>33.21</v>
      </c>
      <c r="E5162" s="368"/>
      <c r="F5162" s="368"/>
    </row>
    <row r="5163" spans="1:6" ht="38.25" x14ac:dyDescent="0.2">
      <c r="A5163" s="391">
        <v>96838</v>
      </c>
      <c r="B5163" s="478" t="s">
        <v>3516</v>
      </c>
      <c r="C5163" s="391" t="s">
        <v>26</v>
      </c>
      <c r="D5163" s="479">
        <v>24.37</v>
      </c>
      <c r="E5163" s="368"/>
      <c r="F5163" s="368"/>
    </row>
    <row r="5164" spans="1:6" ht="38.25" x14ac:dyDescent="0.2">
      <c r="A5164" s="391">
        <v>96841</v>
      </c>
      <c r="B5164" s="478" t="s">
        <v>3519</v>
      </c>
      <c r="C5164" s="391" t="s">
        <v>26</v>
      </c>
      <c r="D5164" s="479">
        <v>27.13</v>
      </c>
      <c r="E5164" s="368"/>
      <c r="F5164" s="368"/>
    </row>
    <row r="5165" spans="1:6" ht="38.25" x14ac:dyDescent="0.2">
      <c r="A5165" s="391">
        <v>96842</v>
      </c>
      <c r="B5165" s="478" t="s">
        <v>3520</v>
      </c>
      <c r="C5165" s="391" t="s">
        <v>26</v>
      </c>
      <c r="D5165" s="479">
        <v>31.13</v>
      </c>
      <c r="E5165" s="368"/>
      <c r="F5165" s="368"/>
    </row>
    <row r="5166" spans="1:6" ht="38.25" x14ac:dyDescent="0.2">
      <c r="A5166" s="391">
        <v>96846</v>
      </c>
      <c r="B5166" s="478" t="s">
        <v>3524</v>
      </c>
      <c r="C5166" s="391" t="s">
        <v>26</v>
      </c>
      <c r="D5166" s="479">
        <v>36.479999999999997</v>
      </c>
      <c r="E5166" s="368"/>
      <c r="F5166" s="368"/>
    </row>
    <row r="5167" spans="1:6" ht="38.25" x14ac:dyDescent="0.2">
      <c r="A5167" s="391">
        <v>96850</v>
      </c>
      <c r="B5167" s="478" t="s">
        <v>3528</v>
      </c>
      <c r="C5167" s="391" t="s">
        <v>26</v>
      </c>
      <c r="D5167" s="479">
        <v>22.8</v>
      </c>
      <c r="E5167" s="368"/>
      <c r="F5167" s="368"/>
    </row>
    <row r="5168" spans="1:6" ht="38.25" x14ac:dyDescent="0.2">
      <c r="A5168" s="391">
        <v>96853</v>
      </c>
      <c r="B5168" s="478" t="s">
        <v>3530</v>
      </c>
      <c r="C5168" s="391" t="s">
        <v>26</v>
      </c>
      <c r="D5168" s="479">
        <v>24.54</v>
      </c>
      <c r="E5168" s="368"/>
      <c r="F5168" s="368"/>
    </row>
    <row r="5169" spans="1:6" ht="38.25" x14ac:dyDescent="0.2">
      <c r="A5169" s="391">
        <v>96854</v>
      </c>
      <c r="B5169" s="478" t="s">
        <v>3531</v>
      </c>
      <c r="C5169" s="391" t="s">
        <v>26</v>
      </c>
      <c r="D5169" s="479">
        <v>30.39</v>
      </c>
      <c r="E5169" s="368"/>
      <c r="F5169" s="368"/>
    </row>
    <row r="5170" spans="1:6" ht="38.25" x14ac:dyDescent="0.2">
      <c r="A5170" s="391">
        <v>104571</v>
      </c>
      <c r="B5170" s="478" t="s">
        <v>41492</v>
      </c>
      <c r="C5170" s="391" t="s">
        <v>26</v>
      </c>
      <c r="D5170" s="479">
        <v>0</v>
      </c>
      <c r="E5170" s="368"/>
      <c r="F5170" s="368"/>
    </row>
    <row r="5171" spans="1:6" ht="38.25" x14ac:dyDescent="0.2">
      <c r="A5171" s="391">
        <v>96856</v>
      </c>
      <c r="B5171" s="478" t="s">
        <v>3533</v>
      </c>
      <c r="C5171" s="391" t="s">
        <v>26</v>
      </c>
      <c r="D5171" s="479">
        <v>35.200000000000003</v>
      </c>
      <c r="E5171" s="368"/>
      <c r="F5171" s="368"/>
    </row>
    <row r="5172" spans="1:6" ht="38.25" x14ac:dyDescent="0.2">
      <c r="A5172" s="391">
        <v>104566</v>
      </c>
      <c r="B5172" s="478" t="s">
        <v>41493</v>
      </c>
      <c r="C5172" s="391" t="s">
        <v>26</v>
      </c>
      <c r="D5172" s="479">
        <v>0</v>
      </c>
      <c r="E5172" s="368"/>
      <c r="F5172" s="368"/>
    </row>
    <row r="5173" spans="1:6" ht="38.25" x14ac:dyDescent="0.2">
      <c r="A5173" s="391">
        <v>104536</v>
      </c>
      <c r="B5173" s="478" t="s">
        <v>41494</v>
      </c>
      <c r="C5173" s="391" t="s">
        <v>26</v>
      </c>
      <c r="D5173" s="479">
        <v>0</v>
      </c>
      <c r="E5173" s="368"/>
      <c r="F5173" s="368"/>
    </row>
    <row r="5174" spans="1:6" ht="38.25" x14ac:dyDescent="0.2">
      <c r="A5174" s="391">
        <v>104537</v>
      </c>
      <c r="B5174" s="478" t="s">
        <v>41495</v>
      </c>
      <c r="C5174" s="391" t="s">
        <v>26</v>
      </c>
      <c r="D5174" s="479">
        <v>0</v>
      </c>
      <c r="E5174" s="368"/>
      <c r="F5174" s="368"/>
    </row>
    <row r="5175" spans="1:6" ht="38.25" x14ac:dyDescent="0.2">
      <c r="A5175" s="391">
        <v>104572</v>
      </c>
      <c r="B5175" s="478" t="s">
        <v>41496</v>
      </c>
      <c r="C5175" s="391" t="s">
        <v>26</v>
      </c>
      <c r="D5175" s="479">
        <v>0</v>
      </c>
      <c r="E5175" s="368"/>
      <c r="F5175" s="368"/>
    </row>
    <row r="5176" spans="1:6" ht="38.25" x14ac:dyDescent="0.2">
      <c r="A5176" s="391">
        <v>104568</v>
      </c>
      <c r="B5176" s="478" t="s">
        <v>41497</v>
      </c>
      <c r="C5176" s="391" t="s">
        <v>26</v>
      </c>
      <c r="D5176" s="479">
        <v>0</v>
      </c>
      <c r="E5176" s="368"/>
      <c r="F5176" s="368"/>
    </row>
    <row r="5177" spans="1:6" ht="38.25" x14ac:dyDescent="0.2">
      <c r="A5177" s="391">
        <v>104538</v>
      </c>
      <c r="B5177" s="478" t="s">
        <v>41498</v>
      </c>
      <c r="C5177" s="391" t="s">
        <v>26</v>
      </c>
      <c r="D5177" s="479">
        <v>0</v>
      </c>
      <c r="E5177" s="368"/>
      <c r="F5177" s="368"/>
    </row>
    <row r="5178" spans="1:6" ht="38.25" x14ac:dyDescent="0.2">
      <c r="A5178" s="391">
        <v>104570</v>
      </c>
      <c r="B5178" s="478" t="s">
        <v>41499</v>
      </c>
      <c r="C5178" s="391" t="s">
        <v>26</v>
      </c>
      <c r="D5178" s="479">
        <v>0</v>
      </c>
      <c r="E5178" s="368"/>
      <c r="F5178" s="368"/>
    </row>
    <row r="5179" spans="1:6" ht="25.5" x14ac:dyDescent="0.2">
      <c r="A5179" s="391">
        <v>104565</v>
      </c>
      <c r="B5179" s="478" t="s">
        <v>41500</v>
      </c>
      <c r="C5179" s="391" t="s">
        <v>26</v>
      </c>
      <c r="D5179" s="479">
        <v>0</v>
      </c>
      <c r="E5179" s="368"/>
      <c r="F5179" s="368"/>
    </row>
    <row r="5180" spans="1:6" ht="25.5" x14ac:dyDescent="0.2">
      <c r="A5180" s="391">
        <v>104567</v>
      </c>
      <c r="B5180" s="478" t="s">
        <v>41501</v>
      </c>
      <c r="C5180" s="391" t="s">
        <v>26</v>
      </c>
      <c r="D5180" s="479">
        <v>0</v>
      </c>
      <c r="E5180" s="368"/>
      <c r="F5180" s="368"/>
    </row>
    <row r="5181" spans="1:6" ht="25.5" x14ac:dyDescent="0.2">
      <c r="A5181" s="391">
        <v>104569</v>
      </c>
      <c r="B5181" s="478" t="s">
        <v>41502</v>
      </c>
      <c r="C5181" s="391" t="s">
        <v>26</v>
      </c>
      <c r="D5181" s="479">
        <v>0</v>
      </c>
      <c r="E5181" s="368"/>
      <c r="F5181" s="368"/>
    </row>
    <row r="5182" spans="1:6" ht="38.25" x14ac:dyDescent="0.2">
      <c r="A5182" s="391">
        <v>96843</v>
      </c>
      <c r="B5182" s="478" t="s">
        <v>3521</v>
      </c>
      <c r="C5182" s="391" t="s">
        <v>26</v>
      </c>
      <c r="D5182" s="479">
        <v>28.33</v>
      </c>
      <c r="E5182" s="368"/>
      <c r="F5182" s="368"/>
    </row>
    <row r="5183" spans="1:6" ht="38.25" x14ac:dyDescent="0.2">
      <c r="A5183" s="391">
        <v>96847</v>
      </c>
      <c r="B5183" s="478" t="s">
        <v>3525</v>
      </c>
      <c r="C5183" s="391" t="s">
        <v>26</v>
      </c>
      <c r="D5183" s="479">
        <v>35.950000000000003</v>
      </c>
      <c r="E5183" s="368"/>
      <c r="F5183" s="368"/>
    </row>
    <row r="5184" spans="1:6" ht="38.25" x14ac:dyDescent="0.2">
      <c r="A5184" s="391">
        <v>96844</v>
      </c>
      <c r="B5184" s="478" t="s">
        <v>3522</v>
      </c>
      <c r="C5184" s="391" t="s">
        <v>26</v>
      </c>
      <c r="D5184" s="479">
        <v>32.68</v>
      </c>
      <c r="E5184" s="368"/>
      <c r="F5184" s="368"/>
    </row>
    <row r="5185" spans="1:6" ht="38.25" x14ac:dyDescent="0.2">
      <c r="A5185" s="391">
        <v>96839</v>
      </c>
      <c r="B5185" s="478" t="s">
        <v>3517</v>
      </c>
      <c r="C5185" s="391" t="s">
        <v>26</v>
      </c>
      <c r="D5185" s="479">
        <v>25.26</v>
      </c>
      <c r="E5185" s="368"/>
      <c r="F5185" s="368"/>
    </row>
    <row r="5186" spans="1:6" ht="38.25" x14ac:dyDescent="0.2">
      <c r="A5186" s="391">
        <v>104574</v>
      </c>
      <c r="B5186" s="478" t="s">
        <v>41503</v>
      </c>
      <c r="C5186" s="391" t="s">
        <v>26</v>
      </c>
      <c r="D5186" s="479">
        <v>0</v>
      </c>
      <c r="E5186" s="368"/>
      <c r="F5186" s="368"/>
    </row>
    <row r="5187" spans="1:6" ht="38.25" x14ac:dyDescent="0.2">
      <c r="A5187" s="391">
        <v>104575</v>
      </c>
      <c r="B5187" s="478" t="s">
        <v>41504</v>
      </c>
      <c r="C5187" s="391" t="s">
        <v>26</v>
      </c>
      <c r="D5187" s="479">
        <v>0</v>
      </c>
      <c r="E5187" s="368"/>
      <c r="F5187" s="368"/>
    </row>
    <row r="5188" spans="1:6" ht="38.25" x14ac:dyDescent="0.2">
      <c r="A5188" s="391">
        <v>104573</v>
      </c>
      <c r="B5188" s="478" t="s">
        <v>41505</v>
      </c>
      <c r="C5188" s="391" t="s">
        <v>26</v>
      </c>
      <c r="D5188" s="479">
        <v>0</v>
      </c>
      <c r="E5188" s="368"/>
      <c r="F5188" s="368"/>
    </row>
    <row r="5189" spans="1:6" ht="38.25" x14ac:dyDescent="0.2">
      <c r="A5189" s="391">
        <v>96805</v>
      </c>
      <c r="B5189" s="478" t="s">
        <v>3486</v>
      </c>
      <c r="C5189" s="391" t="s">
        <v>26</v>
      </c>
      <c r="D5189" s="479">
        <v>220.04</v>
      </c>
      <c r="E5189" s="368"/>
      <c r="F5189" s="368"/>
    </row>
    <row r="5190" spans="1:6" ht="38.25" x14ac:dyDescent="0.2">
      <c r="A5190" s="391">
        <v>96802</v>
      </c>
      <c r="B5190" s="478" t="s">
        <v>3483</v>
      </c>
      <c r="C5190" s="391" t="s">
        <v>26</v>
      </c>
      <c r="D5190" s="479">
        <v>429.83</v>
      </c>
      <c r="E5190" s="368"/>
      <c r="F5190" s="368"/>
    </row>
    <row r="5191" spans="1:6" ht="38.25" x14ac:dyDescent="0.2">
      <c r="A5191" s="391">
        <v>96806</v>
      </c>
      <c r="B5191" s="478" t="s">
        <v>3487</v>
      </c>
      <c r="C5191" s="391" t="s">
        <v>26</v>
      </c>
      <c r="D5191" s="479">
        <v>83.01</v>
      </c>
      <c r="E5191" s="368"/>
      <c r="F5191" s="368"/>
    </row>
    <row r="5192" spans="1:6" ht="38.25" x14ac:dyDescent="0.2">
      <c r="A5192" s="391">
        <v>96803</v>
      </c>
      <c r="B5192" s="478" t="s">
        <v>3484</v>
      </c>
      <c r="C5192" s="391" t="s">
        <v>26</v>
      </c>
      <c r="D5192" s="479">
        <v>76.62</v>
      </c>
      <c r="E5192" s="368"/>
      <c r="F5192" s="368"/>
    </row>
    <row r="5193" spans="1:6" ht="38.25" x14ac:dyDescent="0.2">
      <c r="A5193" s="391">
        <v>96807</v>
      </c>
      <c r="B5193" s="478" t="s">
        <v>3488</v>
      </c>
      <c r="C5193" s="391" t="s">
        <v>26</v>
      </c>
      <c r="D5193" s="479">
        <v>132.19</v>
      </c>
      <c r="E5193" s="368"/>
      <c r="F5193" s="368"/>
    </row>
    <row r="5194" spans="1:6" ht="38.25" x14ac:dyDescent="0.2">
      <c r="A5194" s="391">
        <v>96804</v>
      </c>
      <c r="B5194" s="478" t="s">
        <v>3485</v>
      </c>
      <c r="C5194" s="391" t="s">
        <v>26</v>
      </c>
      <c r="D5194" s="479">
        <v>121.76</v>
      </c>
      <c r="E5194" s="368"/>
      <c r="F5194" s="368"/>
    </row>
    <row r="5195" spans="1:6" ht="25.5" x14ac:dyDescent="0.2">
      <c r="A5195" s="391">
        <v>96829</v>
      </c>
      <c r="B5195" s="478" t="s">
        <v>3509</v>
      </c>
      <c r="C5195" s="391" t="s">
        <v>26</v>
      </c>
      <c r="D5195" s="479">
        <v>18.350000000000001</v>
      </c>
      <c r="E5195" s="368"/>
      <c r="F5195" s="368"/>
    </row>
    <row r="5196" spans="1:6" ht="25.5" x14ac:dyDescent="0.2">
      <c r="A5196" s="391">
        <v>96833</v>
      </c>
      <c r="B5196" s="478" t="s">
        <v>3512</v>
      </c>
      <c r="C5196" s="391" t="s">
        <v>26</v>
      </c>
      <c r="D5196" s="479">
        <v>23.52</v>
      </c>
      <c r="E5196" s="368"/>
      <c r="F5196" s="368"/>
    </row>
    <row r="5197" spans="1:6" ht="25.5" x14ac:dyDescent="0.2">
      <c r="A5197" s="391">
        <v>96836</v>
      </c>
      <c r="B5197" s="478" t="s">
        <v>3514</v>
      </c>
      <c r="C5197" s="391" t="s">
        <v>26</v>
      </c>
      <c r="D5197" s="479">
        <v>33.74</v>
      </c>
      <c r="E5197" s="368"/>
      <c r="F5197" s="368"/>
    </row>
    <row r="5198" spans="1:6" ht="25.5" x14ac:dyDescent="0.2">
      <c r="A5198" s="391">
        <v>104576</v>
      </c>
      <c r="B5198" s="478" t="s">
        <v>3852</v>
      </c>
      <c r="C5198" s="391" t="s">
        <v>26</v>
      </c>
      <c r="D5198" s="479">
        <v>15.68</v>
      </c>
      <c r="E5198" s="368"/>
      <c r="F5198" s="368"/>
    </row>
    <row r="5199" spans="1:6" ht="25.5" x14ac:dyDescent="0.2">
      <c r="A5199" s="391">
        <v>104577</v>
      </c>
      <c r="B5199" s="478" t="s">
        <v>3853</v>
      </c>
      <c r="C5199" s="391" t="s">
        <v>26</v>
      </c>
      <c r="D5199" s="479">
        <v>21.32</v>
      </c>
      <c r="E5199" s="368"/>
      <c r="F5199" s="368"/>
    </row>
    <row r="5200" spans="1:6" ht="25.5" x14ac:dyDescent="0.2">
      <c r="A5200" s="391">
        <v>104578</v>
      </c>
      <c r="B5200" s="478" t="s">
        <v>3854</v>
      </c>
      <c r="C5200" s="391" t="s">
        <v>26</v>
      </c>
      <c r="D5200" s="479">
        <v>22.85</v>
      </c>
      <c r="E5200" s="368"/>
      <c r="F5200" s="368"/>
    </row>
    <row r="5201" spans="1:6" ht="38.25" x14ac:dyDescent="0.2">
      <c r="A5201" s="391">
        <v>104580</v>
      </c>
      <c r="B5201" s="478" t="s">
        <v>41506</v>
      </c>
      <c r="C5201" s="391" t="s">
        <v>26</v>
      </c>
      <c r="D5201" s="479">
        <v>0</v>
      </c>
      <c r="E5201" s="368"/>
      <c r="F5201" s="368"/>
    </row>
    <row r="5202" spans="1:6" ht="25.5" x14ac:dyDescent="0.2">
      <c r="A5202" s="391">
        <v>104579</v>
      </c>
      <c r="B5202" s="478" t="s">
        <v>3855</v>
      </c>
      <c r="C5202" s="391" t="s">
        <v>26</v>
      </c>
      <c r="D5202" s="479">
        <v>30.11</v>
      </c>
      <c r="E5202" s="368"/>
      <c r="F5202" s="368"/>
    </row>
    <row r="5203" spans="1:6" ht="25.5" x14ac:dyDescent="0.2">
      <c r="A5203" s="391">
        <v>96823</v>
      </c>
      <c r="B5203" s="478" t="s">
        <v>3504</v>
      </c>
      <c r="C5203" s="391" t="s">
        <v>26</v>
      </c>
      <c r="D5203" s="479">
        <v>11.09</v>
      </c>
      <c r="E5203" s="368"/>
      <c r="F5203" s="368"/>
    </row>
    <row r="5204" spans="1:6" ht="25.5" x14ac:dyDescent="0.2">
      <c r="A5204" s="391">
        <v>96826</v>
      </c>
      <c r="B5204" s="478" t="s">
        <v>3506</v>
      </c>
      <c r="C5204" s="391" t="s">
        <v>26</v>
      </c>
      <c r="D5204" s="479">
        <v>12.84</v>
      </c>
      <c r="E5204" s="368"/>
      <c r="F5204" s="368"/>
    </row>
    <row r="5205" spans="1:6" ht="25.5" x14ac:dyDescent="0.2">
      <c r="A5205" s="391">
        <v>96830</v>
      </c>
      <c r="B5205" s="478" t="s">
        <v>3510</v>
      </c>
      <c r="C5205" s="391" t="s">
        <v>26</v>
      </c>
      <c r="D5205" s="479">
        <v>20.52</v>
      </c>
      <c r="E5205" s="368"/>
      <c r="F5205" s="368"/>
    </row>
    <row r="5206" spans="1:6" ht="25.5" x14ac:dyDescent="0.2">
      <c r="A5206" s="391">
        <v>96834</v>
      </c>
      <c r="B5206" s="478" t="s">
        <v>3513</v>
      </c>
      <c r="C5206" s="391" t="s">
        <v>26</v>
      </c>
      <c r="D5206" s="479">
        <v>27.9</v>
      </c>
      <c r="E5206" s="368"/>
      <c r="F5206" s="368"/>
    </row>
    <row r="5207" spans="1:6" ht="25.5" x14ac:dyDescent="0.2">
      <c r="A5207" s="391">
        <v>104581</v>
      </c>
      <c r="B5207" s="478" t="s">
        <v>47757</v>
      </c>
      <c r="C5207" s="391" t="s">
        <v>26</v>
      </c>
      <c r="D5207" s="479">
        <v>14.32</v>
      </c>
      <c r="E5207" s="368"/>
      <c r="F5207" s="368"/>
    </row>
    <row r="5208" spans="1:6" ht="25.5" x14ac:dyDescent="0.2">
      <c r="A5208" s="391">
        <v>104582</v>
      </c>
      <c r="B5208" s="478" t="s">
        <v>47758</v>
      </c>
      <c r="C5208" s="391" t="s">
        <v>26</v>
      </c>
      <c r="D5208" s="479">
        <v>18.350000000000001</v>
      </c>
      <c r="E5208" s="368"/>
      <c r="F5208" s="368"/>
    </row>
    <row r="5209" spans="1:6" ht="25.5" x14ac:dyDescent="0.2">
      <c r="A5209" s="391">
        <v>104583</v>
      </c>
      <c r="B5209" s="478" t="s">
        <v>47759</v>
      </c>
      <c r="C5209" s="391" t="s">
        <v>26</v>
      </c>
      <c r="D5209" s="479">
        <v>29.88</v>
      </c>
      <c r="E5209" s="368"/>
      <c r="F5209" s="368"/>
    </row>
    <row r="5210" spans="1:6" ht="25.5" x14ac:dyDescent="0.2">
      <c r="A5210" s="391">
        <v>104584</v>
      </c>
      <c r="B5210" s="478" t="s">
        <v>47760</v>
      </c>
      <c r="C5210" s="391" t="s">
        <v>26</v>
      </c>
      <c r="D5210" s="479">
        <v>35.81</v>
      </c>
      <c r="E5210" s="368"/>
      <c r="F5210" s="368"/>
    </row>
    <row r="5211" spans="1:6" ht="25.5" x14ac:dyDescent="0.2">
      <c r="A5211" s="391">
        <v>104585</v>
      </c>
      <c r="B5211" s="478" t="s">
        <v>41507</v>
      </c>
      <c r="C5211" s="391" t="s">
        <v>26</v>
      </c>
      <c r="D5211" s="479">
        <v>0</v>
      </c>
      <c r="E5211" s="368"/>
      <c r="F5211" s="368"/>
    </row>
    <row r="5212" spans="1:6" ht="25.5" x14ac:dyDescent="0.2">
      <c r="A5212" s="391">
        <v>104587</v>
      </c>
      <c r="B5212" s="478" t="s">
        <v>41508</v>
      </c>
      <c r="C5212" s="391" t="s">
        <v>26</v>
      </c>
      <c r="D5212" s="479">
        <v>0</v>
      </c>
      <c r="E5212" s="368"/>
      <c r="F5212" s="368"/>
    </row>
    <row r="5213" spans="1:6" ht="25.5" x14ac:dyDescent="0.2">
      <c r="A5213" s="391">
        <v>104586</v>
      </c>
      <c r="B5213" s="478" t="s">
        <v>41509</v>
      </c>
      <c r="C5213" s="391" t="s">
        <v>26</v>
      </c>
      <c r="D5213" s="479">
        <v>0</v>
      </c>
      <c r="E5213" s="368"/>
      <c r="F5213" s="368"/>
    </row>
    <row r="5214" spans="1:6" ht="25.5" x14ac:dyDescent="0.2">
      <c r="A5214" s="391">
        <v>96798</v>
      </c>
      <c r="B5214" s="478" t="s">
        <v>2876</v>
      </c>
      <c r="C5214" s="391" t="s">
        <v>0</v>
      </c>
      <c r="D5214" s="479">
        <v>7.63</v>
      </c>
      <c r="E5214" s="368"/>
      <c r="F5214" s="368"/>
    </row>
    <row r="5215" spans="1:6" ht="25.5" x14ac:dyDescent="0.2">
      <c r="A5215" s="391">
        <v>96799</v>
      </c>
      <c r="B5215" s="478" t="s">
        <v>2877</v>
      </c>
      <c r="C5215" s="391" t="s">
        <v>0</v>
      </c>
      <c r="D5215" s="479">
        <v>9.77</v>
      </c>
      <c r="E5215" s="368"/>
      <c r="F5215" s="368"/>
    </row>
    <row r="5216" spans="1:6" ht="25.5" x14ac:dyDescent="0.2">
      <c r="A5216" s="391">
        <v>96800</v>
      </c>
      <c r="B5216" s="478" t="s">
        <v>2878</v>
      </c>
      <c r="C5216" s="391" t="s">
        <v>0</v>
      </c>
      <c r="D5216" s="479">
        <v>13.31</v>
      </c>
      <c r="E5216" s="368"/>
      <c r="F5216" s="368"/>
    </row>
    <row r="5217" spans="1:6" ht="25.5" x14ac:dyDescent="0.2">
      <c r="A5217" s="391">
        <v>96801</v>
      </c>
      <c r="B5217" s="478" t="s">
        <v>2879</v>
      </c>
      <c r="C5217" s="391" t="s">
        <v>0</v>
      </c>
      <c r="D5217" s="479">
        <v>20.190000000000001</v>
      </c>
      <c r="E5217" s="368"/>
      <c r="F5217" s="368"/>
    </row>
    <row r="5218" spans="1:6" ht="25.5" x14ac:dyDescent="0.2">
      <c r="A5218" s="391">
        <v>104539</v>
      </c>
      <c r="B5218" s="478" t="s">
        <v>41510</v>
      </c>
      <c r="C5218" s="391" t="s">
        <v>26</v>
      </c>
      <c r="D5218" s="479">
        <v>0</v>
      </c>
      <c r="E5218" s="368"/>
      <c r="F5218" s="368"/>
    </row>
    <row r="5219" spans="1:6" ht="25.5" x14ac:dyDescent="0.2">
      <c r="A5219" s="391">
        <v>104541</v>
      </c>
      <c r="B5219" s="478" t="s">
        <v>41511</v>
      </c>
      <c r="C5219" s="391" t="s">
        <v>26</v>
      </c>
      <c r="D5219" s="479">
        <v>0</v>
      </c>
      <c r="E5219" s="368"/>
      <c r="F5219" s="368"/>
    </row>
    <row r="5220" spans="1:6" ht="25.5" x14ac:dyDescent="0.2">
      <c r="A5220" s="391">
        <v>104540</v>
      </c>
      <c r="B5220" s="478" t="s">
        <v>41512</v>
      </c>
      <c r="C5220" s="391" t="s">
        <v>26</v>
      </c>
      <c r="D5220" s="479">
        <v>0</v>
      </c>
      <c r="E5220" s="368"/>
      <c r="F5220" s="368"/>
    </row>
    <row r="5221" spans="1:6" ht="25.5" x14ac:dyDescent="0.2">
      <c r="A5221" s="391">
        <v>104543</v>
      </c>
      <c r="B5221" s="478" t="s">
        <v>41513</v>
      </c>
      <c r="C5221" s="391" t="s">
        <v>26</v>
      </c>
      <c r="D5221" s="479">
        <v>0</v>
      </c>
      <c r="E5221" s="368"/>
      <c r="F5221" s="368"/>
    </row>
    <row r="5222" spans="1:6" ht="25.5" x14ac:dyDescent="0.2">
      <c r="A5222" s="391">
        <v>104544</v>
      </c>
      <c r="B5222" s="478" t="s">
        <v>41514</v>
      </c>
      <c r="C5222" s="391" t="s">
        <v>26</v>
      </c>
      <c r="D5222" s="479">
        <v>0</v>
      </c>
      <c r="E5222" s="368"/>
      <c r="F5222" s="368"/>
    </row>
    <row r="5223" spans="1:6" ht="25.5" x14ac:dyDescent="0.2">
      <c r="A5223" s="391">
        <v>104545</v>
      </c>
      <c r="B5223" s="478" t="s">
        <v>41515</v>
      </c>
      <c r="C5223" s="391" t="s">
        <v>26</v>
      </c>
      <c r="D5223" s="479">
        <v>0</v>
      </c>
      <c r="E5223" s="368"/>
      <c r="F5223" s="368"/>
    </row>
    <row r="5224" spans="1:6" ht="25.5" x14ac:dyDescent="0.2">
      <c r="A5224" s="391">
        <v>104542</v>
      </c>
      <c r="B5224" s="478" t="s">
        <v>41516</v>
      </c>
      <c r="C5224" s="391" t="s">
        <v>26</v>
      </c>
      <c r="D5224" s="479">
        <v>0</v>
      </c>
      <c r="E5224" s="368"/>
      <c r="F5224" s="368"/>
    </row>
    <row r="5225" spans="1:6" ht="25.5" x14ac:dyDescent="0.2">
      <c r="A5225" s="391">
        <v>104592</v>
      </c>
      <c r="B5225" s="478" t="s">
        <v>41517</v>
      </c>
      <c r="C5225" s="391" t="s">
        <v>26</v>
      </c>
      <c r="D5225" s="479">
        <v>0</v>
      </c>
      <c r="E5225" s="368"/>
      <c r="F5225" s="368"/>
    </row>
    <row r="5226" spans="1:6" ht="25.5" x14ac:dyDescent="0.2">
      <c r="A5226" s="392">
        <v>104548</v>
      </c>
      <c r="B5226" s="480" t="s">
        <v>41518</v>
      </c>
      <c r="C5226" s="392" t="s">
        <v>26</v>
      </c>
      <c r="D5226" s="481">
        <v>0</v>
      </c>
      <c r="E5226" s="368"/>
      <c r="F5226" s="368"/>
    </row>
    <row r="5227" spans="1:6" ht="25.5" x14ac:dyDescent="0.2">
      <c r="A5227" s="391">
        <v>104546</v>
      </c>
      <c r="B5227" s="478" t="s">
        <v>41519</v>
      </c>
      <c r="C5227" s="391" t="s">
        <v>26</v>
      </c>
      <c r="D5227" s="479">
        <v>0</v>
      </c>
      <c r="E5227" s="368"/>
      <c r="F5227" s="368"/>
    </row>
    <row r="5228" spans="1:6" ht="25.5" x14ac:dyDescent="0.2">
      <c r="A5228" s="391">
        <v>104549</v>
      </c>
      <c r="B5228" s="478" t="s">
        <v>41520</v>
      </c>
      <c r="C5228" s="391" t="s">
        <v>26</v>
      </c>
      <c r="D5228" s="479">
        <v>0</v>
      </c>
      <c r="E5228" s="368"/>
      <c r="F5228" s="368"/>
    </row>
    <row r="5229" spans="1:6" ht="25.5" x14ac:dyDescent="0.2">
      <c r="A5229" s="391">
        <v>104550</v>
      </c>
      <c r="B5229" s="478" t="s">
        <v>41521</v>
      </c>
      <c r="C5229" s="391" t="s">
        <v>26</v>
      </c>
      <c r="D5229" s="479">
        <v>0</v>
      </c>
      <c r="E5229" s="368"/>
      <c r="F5229" s="368"/>
    </row>
    <row r="5230" spans="1:6" ht="25.5" x14ac:dyDescent="0.2">
      <c r="A5230" s="391">
        <v>104552</v>
      </c>
      <c r="B5230" s="478" t="s">
        <v>41522</v>
      </c>
      <c r="C5230" s="391" t="s">
        <v>26</v>
      </c>
      <c r="D5230" s="479">
        <v>0</v>
      </c>
      <c r="E5230" s="368"/>
      <c r="F5230" s="368"/>
    </row>
    <row r="5231" spans="1:6" ht="25.5" x14ac:dyDescent="0.2">
      <c r="A5231" s="391">
        <v>104551</v>
      </c>
      <c r="B5231" s="478" t="s">
        <v>41523</v>
      </c>
      <c r="C5231" s="391" t="s">
        <v>26</v>
      </c>
      <c r="D5231" s="479">
        <v>0</v>
      </c>
      <c r="E5231" s="368"/>
      <c r="F5231" s="368"/>
    </row>
    <row r="5232" spans="1:6" ht="25.5" x14ac:dyDescent="0.2">
      <c r="A5232" s="391">
        <v>104553</v>
      </c>
      <c r="B5232" s="478" t="s">
        <v>41524</v>
      </c>
      <c r="C5232" s="391" t="s">
        <v>26</v>
      </c>
      <c r="D5232" s="479">
        <v>0</v>
      </c>
      <c r="E5232" s="368"/>
      <c r="F5232" s="368"/>
    </row>
    <row r="5233" spans="1:6" ht="25.5" x14ac:dyDescent="0.2">
      <c r="A5233" s="391">
        <v>104554</v>
      </c>
      <c r="B5233" s="478" t="s">
        <v>41525</v>
      </c>
      <c r="C5233" s="391" t="s">
        <v>26</v>
      </c>
      <c r="D5233" s="479">
        <v>0</v>
      </c>
      <c r="E5233" s="368"/>
      <c r="F5233" s="368"/>
    </row>
    <row r="5234" spans="1:6" ht="25.5" x14ac:dyDescent="0.2">
      <c r="A5234" s="391">
        <v>104555</v>
      </c>
      <c r="B5234" s="478" t="s">
        <v>41526</v>
      </c>
      <c r="C5234" s="391" t="s">
        <v>26</v>
      </c>
      <c r="D5234" s="479">
        <v>0</v>
      </c>
      <c r="E5234" s="368"/>
      <c r="F5234" s="368"/>
    </row>
    <row r="5235" spans="1:6" ht="25.5" x14ac:dyDescent="0.2">
      <c r="A5235" s="391">
        <v>104556</v>
      </c>
      <c r="B5235" s="478" t="s">
        <v>41527</v>
      </c>
      <c r="C5235" s="391" t="s">
        <v>26</v>
      </c>
      <c r="D5235" s="479">
        <v>0</v>
      </c>
      <c r="E5235" s="368"/>
      <c r="F5235" s="368"/>
    </row>
    <row r="5236" spans="1:6" ht="25.5" x14ac:dyDescent="0.2">
      <c r="A5236" s="391">
        <v>104558</v>
      </c>
      <c r="B5236" s="478" t="s">
        <v>41528</v>
      </c>
      <c r="C5236" s="391" t="s">
        <v>26</v>
      </c>
      <c r="D5236" s="479">
        <v>0</v>
      </c>
      <c r="E5236" s="368"/>
      <c r="F5236" s="368"/>
    </row>
    <row r="5237" spans="1:6" ht="25.5" x14ac:dyDescent="0.2">
      <c r="A5237" s="391">
        <v>104559</v>
      </c>
      <c r="B5237" s="478" t="s">
        <v>41529</v>
      </c>
      <c r="C5237" s="391" t="s">
        <v>26</v>
      </c>
      <c r="D5237" s="479">
        <v>0</v>
      </c>
      <c r="E5237" s="368"/>
      <c r="F5237" s="368"/>
    </row>
    <row r="5238" spans="1:6" ht="25.5" x14ac:dyDescent="0.2">
      <c r="A5238" s="391">
        <v>104560</v>
      </c>
      <c r="B5238" s="478" t="s">
        <v>41530</v>
      </c>
      <c r="C5238" s="391" t="s">
        <v>26</v>
      </c>
      <c r="D5238" s="479">
        <v>0</v>
      </c>
      <c r="E5238" s="368"/>
      <c r="F5238" s="368"/>
    </row>
    <row r="5239" spans="1:6" ht="25.5" x14ac:dyDescent="0.2">
      <c r="A5239" s="391">
        <v>104557</v>
      </c>
      <c r="B5239" s="478" t="s">
        <v>41531</v>
      </c>
      <c r="C5239" s="391" t="s">
        <v>26</v>
      </c>
      <c r="D5239" s="479">
        <v>0</v>
      </c>
      <c r="E5239" s="368"/>
      <c r="F5239" s="368"/>
    </row>
    <row r="5240" spans="1:6" ht="25.5" x14ac:dyDescent="0.2">
      <c r="A5240" s="391">
        <v>104561</v>
      </c>
      <c r="B5240" s="478" t="s">
        <v>41532</v>
      </c>
      <c r="C5240" s="391" t="s">
        <v>26</v>
      </c>
      <c r="D5240" s="479">
        <v>0</v>
      </c>
      <c r="E5240" s="368"/>
      <c r="F5240" s="368"/>
    </row>
    <row r="5241" spans="1:6" ht="25.5" x14ac:dyDescent="0.2">
      <c r="A5241" s="391">
        <v>104562</v>
      </c>
      <c r="B5241" s="478" t="s">
        <v>41533</v>
      </c>
      <c r="C5241" s="391" t="s">
        <v>26</v>
      </c>
      <c r="D5241" s="479">
        <v>0</v>
      </c>
      <c r="E5241" s="368"/>
      <c r="F5241" s="368"/>
    </row>
    <row r="5242" spans="1:6" ht="25.5" x14ac:dyDescent="0.2">
      <c r="A5242" s="391">
        <v>96860</v>
      </c>
      <c r="B5242" s="478" t="s">
        <v>3534</v>
      </c>
      <c r="C5242" s="391" t="s">
        <v>26</v>
      </c>
      <c r="D5242" s="479">
        <v>29.27</v>
      </c>
      <c r="E5242" s="368"/>
      <c r="F5242" s="368"/>
    </row>
    <row r="5243" spans="1:6" ht="25.5" x14ac:dyDescent="0.2">
      <c r="A5243" s="391">
        <v>96862</v>
      </c>
      <c r="B5243" s="478" t="s">
        <v>3536</v>
      </c>
      <c r="C5243" s="391" t="s">
        <v>26</v>
      </c>
      <c r="D5243" s="479">
        <v>36.06</v>
      </c>
      <c r="E5243" s="368"/>
      <c r="F5243" s="368"/>
    </row>
    <row r="5244" spans="1:6" ht="25.5" x14ac:dyDescent="0.2">
      <c r="A5244" s="391">
        <v>96864</v>
      </c>
      <c r="B5244" s="478" t="s">
        <v>3538</v>
      </c>
      <c r="C5244" s="391" t="s">
        <v>26</v>
      </c>
      <c r="D5244" s="479">
        <v>51.37</v>
      </c>
      <c r="E5244" s="368"/>
      <c r="F5244" s="368"/>
    </row>
    <row r="5245" spans="1:6" ht="25.5" x14ac:dyDescent="0.2">
      <c r="A5245" s="391">
        <v>96866</v>
      </c>
      <c r="B5245" s="478" t="s">
        <v>3540</v>
      </c>
      <c r="C5245" s="391" t="s">
        <v>26</v>
      </c>
      <c r="D5245" s="479">
        <v>67.010000000000005</v>
      </c>
      <c r="E5245" s="368"/>
      <c r="F5245" s="368"/>
    </row>
    <row r="5246" spans="1:6" ht="25.5" x14ac:dyDescent="0.2">
      <c r="A5246" s="391">
        <v>96868</v>
      </c>
      <c r="B5246" s="478" t="s">
        <v>3541</v>
      </c>
      <c r="C5246" s="391" t="s">
        <v>26</v>
      </c>
      <c r="D5246" s="479">
        <v>19.05</v>
      </c>
      <c r="E5246" s="368"/>
      <c r="F5246" s="368"/>
    </row>
    <row r="5247" spans="1:6" ht="25.5" x14ac:dyDescent="0.2">
      <c r="A5247" s="391">
        <v>96869</v>
      </c>
      <c r="B5247" s="478" t="s">
        <v>3542</v>
      </c>
      <c r="C5247" s="391" t="s">
        <v>26</v>
      </c>
      <c r="D5247" s="479">
        <v>29.58</v>
      </c>
      <c r="E5247" s="368"/>
      <c r="F5247" s="368"/>
    </row>
    <row r="5248" spans="1:6" ht="25.5" x14ac:dyDescent="0.2">
      <c r="A5248" s="391">
        <v>96870</v>
      </c>
      <c r="B5248" s="478" t="s">
        <v>3543</v>
      </c>
      <c r="C5248" s="391" t="s">
        <v>26</v>
      </c>
      <c r="D5248" s="479">
        <v>44.85</v>
      </c>
      <c r="E5248" s="368"/>
      <c r="F5248" s="368"/>
    </row>
    <row r="5249" spans="1:6" ht="25.5" x14ac:dyDescent="0.2">
      <c r="A5249" s="391">
        <v>96871</v>
      </c>
      <c r="B5249" s="478" t="s">
        <v>3544</v>
      </c>
      <c r="C5249" s="391" t="s">
        <v>26</v>
      </c>
      <c r="D5249" s="479">
        <v>51.13</v>
      </c>
      <c r="E5249" s="368"/>
      <c r="F5249" s="368"/>
    </row>
    <row r="5250" spans="1:6" ht="38.25" x14ac:dyDescent="0.2">
      <c r="A5250" s="391">
        <v>96861</v>
      </c>
      <c r="B5250" s="478" t="s">
        <v>3535</v>
      </c>
      <c r="C5250" s="391" t="s">
        <v>26</v>
      </c>
      <c r="D5250" s="479">
        <v>37.06</v>
      </c>
      <c r="E5250" s="368"/>
      <c r="F5250" s="368"/>
    </row>
    <row r="5251" spans="1:6" ht="38.25" x14ac:dyDescent="0.2">
      <c r="A5251" s="391">
        <v>96863</v>
      </c>
      <c r="B5251" s="478" t="s">
        <v>3537</v>
      </c>
      <c r="C5251" s="391" t="s">
        <v>26</v>
      </c>
      <c r="D5251" s="479">
        <v>37.82</v>
      </c>
      <c r="E5251" s="368"/>
      <c r="F5251" s="368"/>
    </row>
    <row r="5252" spans="1:6" ht="38.25" x14ac:dyDescent="0.2">
      <c r="A5252" s="391">
        <v>96865</v>
      </c>
      <c r="B5252" s="478" t="s">
        <v>3539</v>
      </c>
      <c r="C5252" s="391" t="s">
        <v>26</v>
      </c>
      <c r="D5252" s="479">
        <v>44.6</v>
      </c>
      <c r="E5252" s="368"/>
      <c r="F5252" s="368"/>
    </row>
    <row r="5253" spans="1:6" ht="38.25" x14ac:dyDescent="0.2">
      <c r="A5253" s="391">
        <v>96814</v>
      </c>
      <c r="B5253" s="478" t="s">
        <v>3495</v>
      </c>
      <c r="C5253" s="391" t="s">
        <v>26</v>
      </c>
      <c r="D5253" s="479">
        <v>15.68</v>
      </c>
      <c r="E5253" s="368"/>
      <c r="F5253" s="368"/>
    </row>
    <row r="5254" spans="1:6" ht="38.25" x14ac:dyDescent="0.2">
      <c r="A5254" s="391">
        <v>96818</v>
      </c>
      <c r="B5254" s="478" t="s">
        <v>3499</v>
      </c>
      <c r="C5254" s="391" t="s">
        <v>26</v>
      </c>
      <c r="D5254" s="479">
        <v>21.32</v>
      </c>
      <c r="E5254" s="368"/>
      <c r="F5254" s="368"/>
    </row>
    <row r="5255" spans="1:6" ht="38.25" x14ac:dyDescent="0.2">
      <c r="A5255" s="391">
        <v>96819</v>
      </c>
      <c r="B5255" s="478" t="s">
        <v>3500</v>
      </c>
      <c r="C5255" s="391" t="s">
        <v>26</v>
      </c>
      <c r="D5255" s="479">
        <v>22.85</v>
      </c>
      <c r="E5255" s="368"/>
      <c r="F5255" s="368"/>
    </row>
    <row r="5256" spans="1:6" ht="38.25" x14ac:dyDescent="0.2">
      <c r="A5256" s="391">
        <v>96822</v>
      </c>
      <c r="B5256" s="478" t="s">
        <v>3503</v>
      </c>
      <c r="C5256" s="391" t="s">
        <v>26</v>
      </c>
      <c r="D5256" s="479">
        <v>30.11</v>
      </c>
      <c r="E5256" s="368"/>
      <c r="F5256" s="368"/>
    </row>
    <row r="5257" spans="1:6" ht="25.5" x14ac:dyDescent="0.2">
      <c r="A5257" s="391">
        <v>96808</v>
      </c>
      <c r="B5257" s="478" t="s">
        <v>3489</v>
      </c>
      <c r="C5257" s="391" t="s">
        <v>26</v>
      </c>
      <c r="D5257" s="479">
        <v>16.48</v>
      </c>
      <c r="E5257" s="368"/>
      <c r="F5257" s="368"/>
    </row>
    <row r="5258" spans="1:6" ht="25.5" x14ac:dyDescent="0.2">
      <c r="A5258" s="391">
        <v>96811</v>
      </c>
      <c r="B5258" s="478" t="s">
        <v>3492</v>
      </c>
      <c r="C5258" s="391" t="s">
        <v>26</v>
      </c>
      <c r="D5258" s="479">
        <v>20.9</v>
      </c>
      <c r="E5258" s="368"/>
      <c r="F5258" s="368"/>
    </row>
    <row r="5259" spans="1:6" ht="25.5" x14ac:dyDescent="0.2">
      <c r="A5259" s="391">
        <v>96815</v>
      </c>
      <c r="B5259" s="478" t="s">
        <v>3496</v>
      </c>
      <c r="C5259" s="391" t="s">
        <v>26</v>
      </c>
      <c r="D5259" s="479">
        <v>32.93</v>
      </c>
      <c r="E5259" s="368"/>
      <c r="F5259" s="368"/>
    </row>
    <row r="5260" spans="1:6" ht="25.5" x14ac:dyDescent="0.2">
      <c r="A5260" s="391">
        <v>96820</v>
      </c>
      <c r="B5260" s="478" t="s">
        <v>3501</v>
      </c>
      <c r="C5260" s="391" t="s">
        <v>26</v>
      </c>
      <c r="D5260" s="479">
        <v>39.56</v>
      </c>
      <c r="E5260" s="368"/>
      <c r="F5260" s="368"/>
    </row>
    <row r="5261" spans="1:6" ht="25.5" x14ac:dyDescent="0.2">
      <c r="A5261" s="391">
        <v>96702</v>
      </c>
      <c r="B5261" s="478" t="s">
        <v>47761</v>
      </c>
      <c r="C5261" s="391" t="s">
        <v>26</v>
      </c>
      <c r="D5261" s="479">
        <v>11.47</v>
      </c>
      <c r="E5261" s="368"/>
      <c r="F5261" s="368"/>
    </row>
    <row r="5262" spans="1:6" ht="25.5" x14ac:dyDescent="0.2">
      <c r="A5262" s="391">
        <v>96662</v>
      </c>
      <c r="B5262" s="478" t="s">
        <v>47762</v>
      </c>
      <c r="C5262" s="391" t="s">
        <v>26</v>
      </c>
      <c r="D5262" s="479">
        <v>9.34</v>
      </c>
      <c r="E5262" s="368"/>
      <c r="F5262" s="368"/>
    </row>
    <row r="5263" spans="1:6" ht="25.5" x14ac:dyDescent="0.2">
      <c r="A5263" s="391">
        <v>96704</v>
      </c>
      <c r="B5263" s="478" t="s">
        <v>47763</v>
      </c>
      <c r="C5263" s="391" t="s">
        <v>26</v>
      </c>
      <c r="D5263" s="479">
        <v>20.49</v>
      </c>
      <c r="E5263" s="368"/>
      <c r="F5263" s="368"/>
    </row>
    <row r="5264" spans="1:6" ht="25.5" x14ac:dyDescent="0.2">
      <c r="A5264" s="391">
        <v>96664</v>
      </c>
      <c r="B5264" s="478" t="s">
        <v>47764</v>
      </c>
      <c r="C5264" s="391" t="s">
        <v>26</v>
      </c>
      <c r="D5264" s="479">
        <v>17.78</v>
      </c>
      <c r="E5264" s="368"/>
      <c r="F5264" s="368"/>
    </row>
    <row r="5265" spans="1:6" ht="25.5" x14ac:dyDescent="0.2">
      <c r="A5265" s="391">
        <v>104191</v>
      </c>
      <c r="B5265" s="478" t="s">
        <v>3819</v>
      </c>
      <c r="C5265" s="391" t="s">
        <v>26</v>
      </c>
      <c r="D5265" s="479">
        <v>10.31</v>
      </c>
      <c r="E5265" s="368"/>
      <c r="F5265" s="368"/>
    </row>
    <row r="5266" spans="1:6" ht="25.5" x14ac:dyDescent="0.2">
      <c r="A5266" s="391">
        <v>96700</v>
      </c>
      <c r="B5266" s="478" t="s">
        <v>47765</v>
      </c>
      <c r="C5266" s="391" t="s">
        <v>26</v>
      </c>
      <c r="D5266" s="479">
        <v>17.02</v>
      </c>
      <c r="E5266" s="368"/>
      <c r="F5266" s="368"/>
    </row>
    <row r="5267" spans="1:6" ht="25.5" x14ac:dyDescent="0.2">
      <c r="A5267" s="391">
        <v>96658</v>
      </c>
      <c r="B5267" s="478" t="s">
        <v>47766</v>
      </c>
      <c r="C5267" s="391" t="s">
        <v>26</v>
      </c>
      <c r="D5267" s="479">
        <v>15.41</v>
      </c>
      <c r="E5267" s="368"/>
      <c r="F5267" s="368"/>
    </row>
    <row r="5268" spans="1:6" ht="25.5" x14ac:dyDescent="0.2">
      <c r="A5268" s="391">
        <v>96641</v>
      </c>
      <c r="B5268" s="478" t="s">
        <v>47767</v>
      </c>
      <c r="C5268" s="391" t="s">
        <v>26</v>
      </c>
      <c r="D5268" s="479">
        <v>17.39</v>
      </c>
      <c r="E5268" s="368"/>
      <c r="F5268" s="368"/>
    </row>
    <row r="5269" spans="1:6" ht="25.5" x14ac:dyDescent="0.2">
      <c r="A5269" s="391">
        <v>96661</v>
      </c>
      <c r="B5269" s="478" t="s">
        <v>47768</v>
      </c>
      <c r="C5269" s="391" t="s">
        <v>26</v>
      </c>
      <c r="D5269" s="479">
        <v>32.880000000000003</v>
      </c>
      <c r="E5269" s="368"/>
      <c r="F5269" s="368"/>
    </row>
    <row r="5270" spans="1:6" ht="25.5" x14ac:dyDescent="0.2">
      <c r="A5270" s="391">
        <v>96699</v>
      </c>
      <c r="B5270" s="478" t="s">
        <v>47769</v>
      </c>
      <c r="C5270" s="391" t="s">
        <v>26</v>
      </c>
      <c r="D5270" s="479">
        <v>25.97</v>
      </c>
      <c r="E5270" s="368"/>
      <c r="F5270" s="368"/>
    </row>
    <row r="5271" spans="1:6" ht="25.5" x14ac:dyDescent="0.2">
      <c r="A5271" s="391">
        <v>96657</v>
      </c>
      <c r="B5271" s="478" t="s">
        <v>47770</v>
      </c>
      <c r="C5271" s="391" t="s">
        <v>26</v>
      </c>
      <c r="D5271" s="479">
        <v>24.36</v>
      </c>
      <c r="E5271" s="368"/>
      <c r="F5271" s="368"/>
    </row>
    <row r="5272" spans="1:6" ht="25.5" x14ac:dyDescent="0.2">
      <c r="A5272" s="391">
        <v>96640</v>
      </c>
      <c r="B5272" s="478" t="s">
        <v>47771</v>
      </c>
      <c r="C5272" s="391" t="s">
        <v>26</v>
      </c>
      <c r="D5272" s="479">
        <v>26.34</v>
      </c>
      <c r="E5272" s="368"/>
      <c r="F5272" s="368"/>
    </row>
    <row r="5273" spans="1:6" ht="25.5" x14ac:dyDescent="0.2">
      <c r="A5273" s="391">
        <v>96660</v>
      </c>
      <c r="B5273" s="478" t="s">
        <v>47772</v>
      </c>
      <c r="C5273" s="391" t="s">
        <v>26</v>
      </c>
      <c r="D5273" s="479">
        <v>33.200000000000003</v>
      </c>
      <c r="E5273" s="368"/>
      <c r="F5273" s="368"/>
    </row>
    <row r="5274" spans="1:6" ht="25.5" x14ac:dyDescent="0.2">
      <c r="A5274" s="391">
        <v>104196</v>
      </c>
      <c r="B5274" s="478" t="s">
        <v>3822</v>
      </c>
      <c r="C5274" s="391" t="s">
        <v>26</v>
      </c>
      <c r="D5274" s="479">
        <v>16.14</v>
      </c>
      <c r="E5274" s="368"/>
      <c r="F5274" s="368"/>
    </row>
    <row r="5275" spans="1:6" ht="25.5" x14ac:dyDescent="0.2">
      <c r="A5275" s="391">
        <v>104197</v>
      </c>
      <c r="B5275" s="478" t="s">
        <v>3823</v>
      </c>
      <c r="C5275" s="391" t="s">
        <v>26</v>
      </c>
      <c r="D5275" s="479">
        <v>30.11</v>
      </c>
      <c r="E5275" s="368"/>
      <c r="F5275" s="368"/>
    </row>
    <row r="5276" spans="1:6" ht="25.5" x14ac:dyDescent="0.2">
      <c r="A5276" s="391">
        <v>104198</v>
      </c>
      <c r="B5276" s="478" t="s">
        <v>3824</v>
      </c>
      <c r="C5276" s="391" t="s">
        <v>26</v>
      </c>
      <c r="D5276" s="479">
        <v>7.59</v>
      </c>
      <c r="E5276" s="368"/>
      <c r="F5276" s="368"/>
    </row>
    <row r="5277" spans="1:6" ht="25.5" x14ac:dyDescent="0.2">
      <c r="A5277" s="391">
        <v>96685</v>
      </c>
      <c r="B5277" s="478" t="s">
        <v>47773</v>
      </c>
      <c r="C5277" s="391" t="s">
        <v>26</v>
      </c>
      <c r="D5277" s="479">
        <v>11.56</v>
      </c>
      <c r="E5277" s="368"/>
      <c r="F5277" s="368"/>
    </row>
    <row r="5278" spans="1:6" ht="25.5" x14ac:dyDescent="0.2">
      <c r="A5278" s="391">
        <v>96651</v>
      </c>
      <c r="B5278" s="478" t="s">
        <v>47774</v>
      </c>
      <c r="C5278" s="391" t="s">
        <v>26</v>
      </c>
      <c r="D5278" s="479">
        <v>9.16</v>
      </c>
      <c r="E5278" s="368"/>
      <c r="F5278" s="368"/>
    </row>
    <row r="5279" spans="1:6" ht="25.5" x14ac:dyDescent="0.2">
      <c r="A5279" s="391">
        <v>96638</v>
      </c>
      <c r="B5279" s="478" t="s">
        <v>47775</v>
      </c>
      <c r="C5279" s="391" t="s">
        <v>26</v>
      </c>
      <c r="D5279" s="479">
        <v>15.84</v>
      </c>
      <c r="E5279" s="368"/>
      <c r="F5279" s="368"/>
    </row>
    <row r="5280" spans="1:6" ht="25.5" x14ac:dyDescent="0.2">
      <c r="A5280" s="391">
        <v>96687</v>
      </c>
      <c r="B5280" s="478" t="s">
        <v>47776</v>
      </c>
      <c r="C5280" s="391" t="s">
        <v>26</v>
      </c>
      <c r="D5280" s="479">
        <v>17.89</v>
      </c>
      <c r="E5280" s="368"/>
      <c r="F5280" s="368"/>
    </row>
    <row r="5281" spans="1:6" ht="25.5" x14ac:dyDescent="0.2">
      <c r="A5281" s="391">
        <v>96653</v>
      </c>
      <c r="B5281" s="478" t="s">
        <v>3480</v>
      </c>
      <c r="C5281" s="391" t="s">
        <v>26</v>
      </c>
      <c r="D5281" s="479">
        <v>13.93</v>
      </c>
      <c r="E5281" s="368"/>
      <c r="F5281" s="368"/>
    </row>
    <row r="5282" spans="1:6" ht="25.5" x14ac:dyDescent="0.2">
      <c r="A5282" s="391">
        <v>96689</v>
      </c>
      <c r="B5282" s="478" t="s">
        <v>47777</v>
      </c>
      <c r="C5282" s="391" t="s">
        <v>26</v>
      </c>
      <c r="D5282" s="479">
        <v>27.28</v>
      </c>
      <c r="E5282" s="368"/>
      <c r="F5282" s="368"/>
    </row>
    <row r="5283" spans="1:6" ht="25.5" x14ac:dyDescent="0.2">
      <c r="A5283" s="391">
        <v>96655</v>
      </c>
      <c r="B5283" s="478" t="s">
        <v>3482</v>
      </c>
      <c r="C5283" s="391" t="s">
        <v>26</v>
      </c>
      <c r="D5283" s="479">
        <v>21.55</v>
      </c>
      <c r="E5283" s="368"/>
      <c r="F5283" s="368"/>
    </row>
    <row r="5284" spans="1:6" ht="25.5" x14ac:dyDescent="0.2">
      <c r="A5284" s="391">
        <v>96691</v>
      </c>
      <c r="B5284" s="478" t="s">
        <v>47778</v>
      </c>
      <c r="C5284" s="391" t="s">
        <v>26</v>
      </c>
      <c r="D5284" s="479">
        <v>39.26</v>
      </c>
      <c r="E5284" s="368"/>
      <c r="F5284" s="368"/>
    </row>
    <row r="5285" spans="1:6" ht="25.5" x14ac:dyDescent="0.2">
      <c r="A5285" s="391">
        <v>96693</v>
      </c>
      <c r="B5285" s="478" t="s">
        <v>47779</v>
      </c>
      <c r="C5285" s="391" t="s">
        <v>26</v>
      </c>
      <c r="D5285" s="479">
        <v>59.19</v>
      </c>
      <c r="E5285" s="368"/>
      <c r="F5285" s="368"/>
    </row>
    <row r="5286" spans="1:6" ht="25.5" x14ac:dyDescent="0.2">
      <c r="A5286" s="391">
        <v>96695</v>
      </c>
      <c r="B5286" s="478" t="s">
        <v>47780</v>
      </c>
      <c r="C5286" s="391" t="s">
        <v>26</v>
      </c>
      <c r="D5286" s="479">
        <v>102.98</v>
      </c>
      <c r="E5286" s="368"/>
      <c r="F5286" s="368"/>
    </row>
    <row r="5287" spans="1:6" ht="25.5" x14ac:dyDescent="0.2">
      <c r="A5287" s="391">
        <v>104193</v>
      </c>
      <c r="B5287" s="478" t="s">
        <v>3821</v>
      </c>
      <c r="C5287" s="391" t="s">
        <v>26</v>
      </c>
      <c r="D5287" s="479">
        <v>171.81</v>
      </c>
      <c r="E5287" s="368"/>
      <c r="F5287" s="368"/>
    </row>
    <row r="5288" spans="1:6" ht="25.5" x14ac:dyDescent="0.2">
      <c r="A5288" s="391">
        <v>96697</v>
      </c>
      <c r="B5288" s="480" t="s">
        <v>47781</v>
      </c>
      <c r="C5288" s="391" t="s">
        <v>26</v>
      </c>
      <c r="D5288" s="479">
        <v>349.19</v>
      </c>
      <c r="E5288" s="368"/>
      <c r="F5288" s="368"/>
    </row>
    <row r="5289" spans="1:6" ht="25.5" x14ac:dyDescent="0.2">
      <c r="A5289" s="391">
        <v>104199</v>
      </c>
      <c r="B5289" s="480" t="s">
        <v>3825</v>
      </c>
      <c r="C5289" s="391" t="s">
        <v>26</v>
      </c>
      <c r="D5289" s="479">
        <v>7.34</v>
      </c>
      <c r="E5289" s="368"/>
      <c r="F5289" s="368"/>
    </row>
    <row r="5290" spans="1:6" ht="25.5" x14ac:dyDescent="0.2">
      <c r="A5290" s="391">
        <v>96684</v>
      </c>
      <c r="B5290" s="478" t="s">
        <v>47782</v>
      </c>
      <c r="C5290" s="391" t="s">
        <v>26</v>
      </c>
      <c r="D5290" s="479">
        <v>11.14</v>
      </c>
      <c r="E5290" s="368"/>
      <c r="F5290" s="368"/>
    </row>
    <row r="5291" spans="1:6" ht="25.5" x14ac:dyDescent="0.2">
      <c r="A5291" s="391">
        <v>96650</v>
      </c>
      <c r="B5291" s="478" t="s">
        <v>47783</v>
      </c>
      <c r="C5291" s="391" t="s">
        <v>26</v>
      </c>
      <c r="D5291" s="479">
        <v>8.74</v>
      </c>
      <c r="E5291" s="368"/>
      <c r="F5291" s="368"/>
    </row>
    <row r="5292" spans="1:6" ht="25.5" x14ac:dyDescent="0.2">
      <c r="A5292" s="391">
        <v>96637</v>
      </c>
      <c r="B5292" s="478" t="s">
        <v>47784</v>
      </c>
      <c r="C5292" s="391" t="s">
        <v>26</v>
      </c>
      <c r="D5292" s="479">
        <v>15.42</v>
      </c>
      <c r="E5292" s="368"/>
      <c r="F5292" s="368"/>
    </row>
    <row r="5293" spans="1:6" ht="25.5" x14ac:dyDescent="0.2">
      <c r="A5293" s="391">
        <v>96686</v>
      </c>
      <c r="B5293" s="478" t="s">
        <v>47785</v>
      </c>
      <c r="C5293" s="391" t="s">
        <v>26</v>
      </c>
      <c r="D5293" s="479">
        <v>14.41</v>
      </c>
      <c r="E5293" s="368"/>
      <c r="F5293" s="368"/>
    </row>
    <row r="5294" spans="1:6" ht="25.5" x14ac:dyDescent="0.2">
      <c r="A5294" s="391">
        <v>96652</v>
      </c>
      <c r="B5294" s="480" t="s">
        <v>3479</v>
      </c>
      <c r="C5294" s="391" t="s">
        <v>26</v>
      </c>
      <c r="D5294" s="479">
        <v>10.45</v>
      </c>
      <c r="E5294" s="368"/>
      <c r="F5294" s="368"/>
    </row>
    <row r="5295" spans="1:6" ht="25.5" x14ac:dyDescent="0.2">
      <c r="A5295" s="391">
        <v>96688</v>
      </c>
      <c r="B5295" s="478" t="s">
        <v>47786</v>
      </c>
      <c r="C5295" s="391" t="s">
        <v>26</v>
      </c>
      <c r="D5295" s="479">
        <v>21.62</v>
      </c>
      <c r="E5295" s="368"/>
      <c r="F5295" s="368"/>
    </row>
    <row r="5296" spans="1:6" ht="25.5" x14ac:dyDescent="0.2">
      <c r="A5296" s="391">
        <v>96654</v>
      </c>
      <c r="B5296" s="478" t="s">
        <v>3481</v>
      </c>
      <c r="C5296" s="391" t="s">
        <v>26</v>
      </c>
      <c r="D5296" s="479">
        <v>15.89</v>
      </c>
      <c r="E5296" s="368"/>
      <c r="F5296" s="368"/>
    </row>
    <row r="5297" spans="1:6" ht="25.5" x14ac:dyDescent="0.2">
      <c r="A5297" s="391">
        <v>96690</v>
      </c>
      <c r="B5297" s="478" t="s">
        <v>47787</v>
      </c>
      <c r="C5297" s="391" t="s">
        <v>26</v>
      </c>
      <c r="D5297" s="479">
        <v>30.31</v>
      </c>
      <c r="E5297" s="368"/>
      <c r="F5297" s="368"/>
    </row>
    <row r="5298" spans="1:6" ht="25.5" x14ac:dyDescent="0.2">
      <c r="A5298" s="391">
        <v>96692</v>
      </c>
      <c r="B5298" s="480" t="s">
        <v>47788</v>
      </c>
      <c r="C5298" s="391" t="s">
        <v>26</v>
      </c>
      <c r="D5298" s="479">
        <v>43.21</v>
      </c>
      <c r="E5298" s="368"/>
      <c r="F5298" s="368"/>
    </row>
    <row r="5299" spans="1:6" ht="25.5" x14ac:dyDescent="0.2">
      <c r="A5299" s="391">
        <v>96694</v>
      </c>
      <c r="B5299" s="478" t="s">
        <v>47789</v>
      </c>
      <c r="C5299" s="391" t="s">
        <v>26</v>
      </c>
      <c r="D5299" s="479">
        <v>93.24</v>
      </c>
      <c r="E5299" s="368"/>
      <c r="F5299" s="368"/>
    </row>
    <row r="5300" spans="1:6" ht="25.5" x14ac:dyDescent="0.2">
      <c r="A5300" s="391">
        <v>96696</v>
      </c>
      <c r="B5300" s="478" t="s">
        <v>47790</v>
      </c>
      <c r="C5300" s="391" t="s">
        <v>26</v>
      </c>
      <c r="D5300" s="479">
        <v>116.56</v>
      </c>
      <c r="E5300" s="368"/>
      <c r="F5300" s="368"/>
    </row>
    <row r="5301" spans="1:6" ht="25.5" x14ac:dyDescent="0.2">
      <c r="A5301" s="391">
        <v>96709</v>
      </c>
      <c r="B5301" s="478" t="s">
        <v>47791</v>
      </c>
      <c r="C5301" s="391" t="s">
        <v>26</v>
      </c>
      <c r="D5301" s="479">
        <v>113.92</v>
      </c>
      <c r="E5301" s="368"/>
      <c r="F5301" s="368"/>
    </row>
    <row r="5302" spans="1:6" ht="25.5" x14ac:dyDescent="0.2">
      <c r="A5302" s="391">
        <v>104200</v>
      </c>
      <c r="B5302" s="478" t="s">
        <v>3826</v>
      </c>
      <c r="C5302" s="391" t="s">
        <v>26</v>
      </c>
      <c r="D5302" s="479">
        <v>6.07</v>
      </c>
      <c r="E5302" s="368"/>
      <c r="F5302" s="368"/>
    </row>
    <row r="5303" spans="1:6" ht="25.5" x14ac:dyDescent="0.2">
      <c r="A5303" s="391">
        <v>96698</v>
      </c>
      <c r="B5303" s="478" t="s">
        <v>47792</v>
      </c>
      <c r="C5303" s="391" t="s">
        <v>26</v>
      </c>
      <c r="D5303" s="479">
        <v>7.94</v>
      </c>
      <c r="E5303" s="368"/>
      <c r="F5303" s="368"/>
    </row>
    <row r="5304" spans="1:6" ht="25.5" x14ac:dyDescent="0.2">
      <c r="A5304" s="391">
        <v>96656</v>
      </c>
      <c r="B5304" s="478" t="s">
        <v>47793</v>
      </c>
      <c r="C5304" s="391" t="s">
        <v>26</v>
      </c>
      <c r="D5304" s="479">
        <v>6.33</v>
      </c>
      <c r="E5304" s="368"/>
      <c r="F5304" s="368"/>
    </row>
    <row r="5305" spans="1:6" ht="25.5" x14ac:dyDescent="0.2">
      <c r="A5305" s="391">
        <v>96639</v>
      </c>
      <c r="B5305" s="478" t="s">
        <v>47794</v>
      </c>
      <c r="C5305" s="391" t="s">
        <v>26</v>
      </c>
      <c r="D5305" s="479">
        <v>10.78</v>
      </c>
      <c r="E5305" s="368"/>
      <c r="F5305" s="368"/>
    </row>
    <row r="5306" spans="1:6" ht="25.5" x14ac:dyDescent="0.2">
      <c r="A5306" s="391">
        <v>96701</v>
      </c>
      <c r="B5306" s="478" t="s">
        <v>47795</v>
      </c>
      <c r="C5306" s="391" t="s">
        <v>26</v>
      </c>
      <c r="D5306" s="479">
        <v>10.98</v>
      </c>
      <c r="E5306" s="368"/>
      <c r="F5306" s="368"/>
    </row>
    <row r="5307" spans="1:6" ht="25.5" x14ac:dyDescent="0.2">
      <c r="A5307" s="391">
        <v>96659</v>
      </c>
      <c r="B5307" s="478" t="s">
        <v>47796</v>
      </c>
      <c r="C5307" s="391" t="s">
        <v>26</v>
      </c>
      <c r="D5307" s="479">
        <v>8.34</v>
      </c>
      <c r="E5307" s="368"/>
      <c r="F5307" s="368"/>
    </row>
    <row r="5308" spans="1:6" ht="25.5" x14ac:dyDescent="0.2">
      <c r="A5308" s="391">
        <v>96703</v>
      </c>
      <c r="B5308" s="478" t="s">
        <v>47797</v>
      </c>
      <c r="C5308" s="391" t="s">
        <v>26</v>
      </c>
      <c r="D5308" s="479">
        <v>19.940000000000001</v>
      </c>
      <c r="E5308" s="368"/>
      <c r="F5308" s="368"/>
    </row>
    <row r="5309" spans="1:6" ht="25.5" x14ac:dyDescent="0.2">
      <c r="A5309" s="391">
        <v>96663</v>
      </c>
      <c r="B5309" s="478" t="s">
        <v>47798</v>
      </c>
      <c r="C5309" s="391" t="s">
        <v>26</v>
      </c>
      <c r="D5309" s="479">
        <v>16.13</v>
      </c>
      <c r="E5309" s="368"/>
      <c r="F5309" s="368"/>
    </row>
    <row r="5310" spans="1:6" ht="25.5" x14ac:dyDescent="0.2">
      <c r="A5310" s="391">
        <v>96705</v>
      </c>
      <c r="B5310" s="478" t="s">
        <v>47799</v>
      </c>
      <c r="C5310" s="391" t="s">
        <v>26</v>
      </c>
      <c r="D5310" s="479">
        <v>24.2</v>
      </c>
      <c r="E5310" s="368"/>
      <c r="F5310" s="368"/>
    </row>
    <row r="5311" spans="1:6" ht="25.5" x14ac:dyDescent="0.2">
      <c r="A5311" s="391">
        <v>96706</v>
      </c>
      <c r="B5311" s="478" t="s">
        <v>47800</v>
      </c>
      <c r="C5311" s="391" t="s">
        <v>26</v>
      </c>
      <c r="D5311" s="479">
        <v>36.090000000000003</v>
      </c>
      <c r="E5311" s="368"/>
      <c r="F5311" s="368"/>
    </row>
    <row r="5312" spans="1:6" ht="25.5" x14ac:dyDescent="0.2">
      <c r="A5312" s="391">
        <v>96707</v>
      </c>
      <c r="B5312" s="478" t="s">
        <v>47801</v>
      </c>
      <c r="C5312" s="391" t="s">
        <v>26</v>
      </c>
      <c r="D5312" s="479">
        <v>58.54</v>
      </c>
      <c r="E5312" s="368"/>
      <c r="F5312" s="368"/>
    </row>
    <row r="5313" spans="1:6" ht="25.5" x14ac:dyDescent="0.2">
      <c r="A5313" s="391">
        <v>96708</v>
      </c>
      <c r="B5313" s="478" t="s">
        <v>47802</v>
      </c>
      <c r="C5313" s="391" t="s">
        <v>26</v>
      </c>
      <c r="D5313" s="479">
        <v>89.19</v>
      </c>
      <c r="E5313" s="368"/>
      <c r="F5313" s="368"/>
    </row>
    <row r="5314" spans="1:6" ht="25.5" x14ac:dyDescent="0.2">
      <c r="A5314" s="391">
        <v>96675</v>
      </c>
      <c r="B5314" s="478" t="s">
        <v>47803</v>
      </c>
      <c r="C5314" s="391" t="s">
        <v>0</v>
      </c>
      <c r="D5314" s="479">
        <v>161.56</v>
      </c>
      <c r="E5314" s="368"/>
      <c r="F5314" s="368"/>
    </row>
    <row r="5315" spans="1:6" ht="25.5" x14ac:dyDescent="0.2">
      <c r="A5315" s="391">
        <v>96683</v>
      </c>
      <c r="B5315" s="480" t="s">
        <v>47804</v>
      </c>
      <c r="C5315" s="391" t="s">
        <v>0</v>
      </c>
      <c r="D5315" s="479">
        <v>315.05</v>
      </c>
      <c r="E5315" s="368"/>
      <c r="F5315" s="368"/>
    </row>
    <row r="5316" spans="1:6" ht="25.5" x14ac:dyDescent="0.2">
      <c r="A5316" s="391">
        <v>104194</v>
      </c>
      <c r="B5316" s="478" t="s">
        <v>2943</v>
      </c>
      <c r="C5316" s="391" t="s">
        <v>0</v>
      </c>
      <c r="D5316" s="479">
        <v>21.94</v>
      </c>
      <c r="E5316" s="368"/>
      <c r="F5316" s="368"/>
    </row>
    <row r="5317" spans="1:6" ht="25.5" x14ac:dyDescent="0.2">
      <c r="A5317" s="391">
        <v>104195</v>
      </c>
      <c r="B5317" s="478" t="s">
        <v>2944</v>
      </c>
      <c r="C5317" s="391" t="s">
        <v>0</v>
      </c>
      <c r="D5317" s="479">
        <v>23.34</v>
      </c>
      <c r="E5317" s="368"/>
      <c r="F5317" s="368"/>
    </row>
    <row r="5318" spans="1:6" ht="25.5" x14ac:dyDescent="0.2">
      <c r="A5318" s="391">
        <v>96668</v>
      </c>
      <c r="B5318" s="478" t="s">
        <v>47805</v>
      </c>
      <c r="C5318" s="391" t="s">
        <v>0</v>
      </c>
      <c r="D5318" s="479">
        <v>18.329999999999998</v>
      </c>
      <c r="E5318" s="368"/>
      <c r="F5318" s="368"/>
    </row>
    <row r="5319" spans="1:6" ht="25.5" x14ac:dyDescent="0.2">
      <c r="A5319" s="391">
        <v>96644</v>
      </c>
      <c r="B5319" s="478" t="s">
        <v>47806</v>
      </c>
      <c r="C5319" s="391" t="s">
        <v>0</v>
      </c>
      <c r="D5319" s="479">
        <v>23.12</v>
      </c>
      <c r="E5319" s="368"/>
      <c r="F5319" s="368"/>
    </row>
    <row r="5320" spans="1:6" ht="25.5" x14ac:dyDescent="0.2">
      <c r="A5320" s="391">
        <v>96635</v>
      </c>
      <c r="B5320" s="478" t="s">
        <v>47807</v>
      </c>
      <c r="C5320" s="391" t="s">
        <v>0</v>
      </c>
      <c r="D5320" s="479">
        <v>41.14</v>
      </c>
      <c r="E5320" s="368"/>
      <c r="F5320" s="368"/>
    </row>
    <row r="5321" spans="1:6" ht="25.5" x14ac:dyDescent="0.2">
      <c r="A5321" s="391">
        <v>96636</v>
      </c>
      <c r="B5321" s="478" t="s">
        <v>47808</v>
      </c>
      <c r="C5321" s="391" t="s">
        <v>0</v>
      </c>
      <c r="D5321" s="479">
        <v>43.7</v>
      </c>
      <c r="E5321" s="368"/>
      <c r="F5321" s="368"/>
    </row>
    <row r="5322" spans="1:6" ht="25.5" x14ac:dyDescent="0.2">
      <c r="A5322" s="391">
        <v>96676</v>
      </c>
      <c r="B5322" s="478" t="s">
        <v>47809</v>
      </c>
      <c r="C5322" s="391" t="s">
        <v>0</v>
      </c>
      <c r="D5322" s="479">
        <v>22.95</v>
      </c>
      <c r="E5322" s="368"/>
      <c r="F5322" s="368"/>
    </row>
    <row r="5323" spans="1:6" ht="25.5" x14ac:dyDescent="0.2">
      <c r="A5323" s="391">
        <v>96647</v>
      </c>
      <c r="B5323" s="478" t="s">
        <v>47810</v>
      </c>
      <c r="C5323" s="391" t="s">
        <v>0</v>
      </c>
      <c r="D5323" s="479">
        <v>25.14</v>
      </c>
      <c r="E5323" s="368"/>
      <c r="F5323" s="368"/>
    </row>
    <row r="5324" spans="1:6" ht="25.5" x14ac:dyDescent="0.2">
      <c r="A5324" s="391">
        <v>96669</v>
      </c>
      <c r="B5324" s="478" t="s">
        <v>47811</v>
      </c>
      <c r="C5324" s="391" t="s">
        <v>0</v>
      </c>
      <c r="D5324" s="479">
        <v>17.84</v>
      </c>
      <c r="E5324" s="368"/>
      <c r="F5324" s="368"/>
    </row>
    <row r="5325" spans="1:6" ht="25.5" x14ac:dyDescent="0.2">
      <c r="A5325" s="391">
        <v>96645</v>
      </c>
      <c r="B5325" s="478" t="s">
        <v>47812</v>
      </c>
      <c r="C5325" s="391" t="s">
        <v>0</v>
      </c>
      <c r="D5325" s="479">
        <v>20.399999999999999</v>
      </c>
      <c r="E5325" s="368"/>
      <c r="F5325" s="368"/>
    </row>
    <row r="5326" spans="1:6" ht="25.5" x14ac:dyDescent="0.2">
      <c r="A5326" s="391">
        <v>96677</v>
      </c>
      <c r="B5326" s="478" t="s">
        <v>47813</v>
      </c>
      <c r="C5326" s="391" t="s">
        <v>0</v>
      </c>
      <c r="D5326" s="479">
        <v>29.95</v>
      </c>
      <c r="E5326" s="368"/>
      <c r="F5326" s="368"/>
    </row>
    <row r="5327" spans="1:6" ht="25.5" x14ac:dyDescent="0.2">
      <c r="A5327" s="392">
        <v>96648</v>
      </c>
      <c r="B5327" s="480" t="s">
        <v>47814</v>
      </c>
      <c r="C5327" s="392" t="s">
        <v>0</v>
      </c>
      <c r="D5327" s="481">
        <v>31.19</v>
      </c>
      <c r="E5327" s="369"/>
      <c r="F5327" s="369"/>
    </row>
    <row r="5328" spans="1:6" ht="25.5" x14ac:dyDescent="0.2">
      <c r="A5328" s="391">
        <v>96670</v>
      </c>
      <c r="B5328" s="478" t="s">
        <v>47815</v>
      </c>
      <c r="C5328" s="391" t="s">
        <v>0</v>
      </c>
      <c r="D5328" s="479">
        <v>23.22</v>
      </c>
      <c r="E5328" s="368"/>
      <c r="F5328" s="368"/>
    </row>
    <row r="5329" spans="1:6" ht="25.5" x14ac:dyDescent="0.2">
      <c r="A5329" s="391">
        <v>96646</v>
      </c>
      <c r="B5329" s="478" t="s">
        <v>47816</v>
      </c>
      <c r="C5329" s="391" t="s">
        <v>0</v>
      </c>
      <c r="D5329" s="479">
        <v>25.06</v>
      </c>
      <c r="E5329" s="368"/>
      <c r="F5329" s="368"/>
    </row>
    <row r="5330" spans="1:6" ht="25.5" x14ac:dyDescent="0.2">
      <c r="A5330" s="391">
        <v>96678</v>
      </c>
      <c r="B5330" s="478" t="s">
        <v>47817</v>
      </c>
      <c r="C5330" s="391" t="s">
        <v>0</v>
      </c>
      <c r="D5330" s="479">
        <v>41.36</v>
      </c>
      <c r="E5330" s="368"/>
      <c r="F5330" s="368"/>
    </row>
    <row r="5331" spans="1:6" ht="25.5" x14ac:dyDescent="0.2">
      <c r="A5331" s="391">
        <v>96649</v>
      </c>
      <c r="B5331" s="478" t="s">
        <v>47818</v>
      </c>
      <c r="C5331" s="391" t="s">
        <v>0</v>
      </c>
      <c r="D5331" s="479">
        <v>41.49</v>
      </c>
      <c r="E5331" s="368"/>
      <c r="F5331" s="368"/>
    </row>
    <row r="5332" spans="1:6" ht="25.5" x14ac:dyDescent="0.2">
      <c r="A5332" s="391">
        <v>96671</v>
      </c>
      <c r="B5332" s="478" t="s">
        <v>47819</v>
      </c>
      <c r="C5332" s="391" t="s">
        <v>0</v>
      </c>
      <c r="D5332" s="479">
        <v>35.36</v>
      </c>
      <c r="E5332" s="368"/>
      <c r="F5332" s="368"/>
    </row>
    <row r="5333" spans="1:6" ht="25.5" x14ac:dyDescent="0.2">
      <c r="A5333" s="391">
        <v>96679</v>
      </c>
      <c r="B5333" s="480" t="s">
        <v>47820</v>
      </c>
      <c r="C5333" s="391" t="s">
        <v>0</v>
      </c>
      <c r="D5333" s="479">
        <v>61.88</v>
      </c>
      <c r="E5333" s="368"/>
      <c r="F5333" s="368"/>
    </row>
    <row r="5334" spans="1:6" ht="25.5" x14ac:dyDescent="0.2">
      <c r="A5334" s="391">
        <v>96672</v>
      </c>
      <c r="B5334" s="478" t="s">
        <v>47821</v>
      </c>
      <c r="C5334" s="391" t="s">
        <v>0</v>
      </c>
      <c r="D5334" s="479">
        <v>54.1</v>
      </c>
      <c r="E5334" s="368"/>
      <c r="F5334" s="368"/>
    </row>
    <row r="5335" spans="1:6" ht="25.5" x14ac:dyDescent="0.2">
      <c r="A5335" s="391">
        <v>96680</v>
      </c>
      <c r="B5335" s="480" t="s">
        <v>47822</v>
      </c>
      <c r="C5335" s="391" t="s">
        <v>0</v>
      </c>
      <c r="D5335" s="479">
        <v>102.8</v>
      </c>
      <c r="E5335" s="368"/>
      <c r="F5335" s="368"/>
    </row>
    <row r="5336" spans="1:6" ht="25.5" x14ac:dyDescent="0.2">
      <c r="A5336" s="391">
        <v>96673</v>
      </c>
      <c r="B5336" s="478" t="s">
        <v>47823</v>
      </c>
      <c r="C5336" s="391" t="s">
        <v>0</v>
      </c>
      <c r="D5336" s="479">
        <v>68.31</v>
      </c>
      <c r="E5336" s="368"/>
      <c r="F5336" s="368"/>
    </row>
    <row r="5337" spans="1:6" ht="25.5" x14ac:dyDescent="0.2">
      <c r="A5337" s="391">
        <v>96681</v>
      </c>
      <c r="B5337" s="478" t="s">
        <v>47824</v>
      </c>
      <c r="C5337" s="391" t="s">
        <v>0</v>
      </c>
      <c r="D5337" s="479">
        <v>138.55000000000001</v>
      </c>
      <c r="E5337" s="368"/>
      <c r="F5337" s="368"/>
    </row>
    <row r="5338" spans="1:6" ht="25.5" x14ac:dyDescent="0.2">
      <c r="A5338" s="391">
        <v>96674</v>
      </c>
      <c r="B5338" s="478" t="s">
        <v>47825</v>
      </c>
      <c r="C5338" s="391" t="s">
        <v>0</v>
      </c>
      <c r="D5338" s="479">
        <v>110.92</v>
      </c>
      <c r="E5338" s="368"/>
      <c r="F5338" s="368"/>
    </row>
    <row r="5339" spans="1:6" ht="25.5" x14ac:dyDescent="0.2">
      <c r="A5339" s="391">
        <v>96682</v>
      </c>
      <c r="B5339" s="478" t="s">
        <v>47826</v>
      </c>
      <c r="C5339" s="391" t="s">
        <v>0</v>
      </c>
      <c r="D5339" s="479">
        <v>229.31</v>
      </c>
      <c r="E5339" s="368"/>
      <c r="F5339" s="368"/>
    </row>
    <row r="5340" spans="1:6" ht="25.5" x14ac:dyDescent="0.2">
      <c r="A5340" s="391">
        <v>96643</v>
      </c>
      <c r="B5340" s="478" t="s">
        <v>47827</v>
      </c>
      <c r="C5340" s="391" t="s">
        <v>26</v>
      </c>
      <c r="D5340" s="479">
        <v>46.03</v>
      </c>
      <c r="E5340" s="368"/>
      <c r="F5340" s="368"/>
    </row>
    <row r="5341" spans="1:6" ht="25.5" x14ac:dyDescent="0.2">
      <c r="A5341" s="391">
        <v>104201</v>
      </c>
      <c r="B5341" s="480" t="s">
        <v>3827</v>
      </c>
      <c r="C5341" s="391" t="s">
        <v>26</v>
      </c>
      <c r="D5341" s="479">
        <v>19.88</v>
      </c>
      <c r="E5341" s="368"/>
      <c r="F5341" s="368"/>
    </row>
    <row r="5342" spans="1:6" ht="25.5" x14ac:dyDescent="0.2">
      <c r="A5342" s="391">
        <v>104192</v>
      </c>
      <c r="B5342" s="478" t="s">
        <v>3820</v>
      </c>
      <c r="C5342" s="391" t="s">
        <v>26</v>
      </c>
      <c r="D5342" s="479">
        <v>29.12</v>
      </c>
      <c r="E5342" s="368"/>
      <c r="F5342" s="368"/>
    </row>
    <row r="5343" spans="1:6" ht="25.5" x14ac:dyDescent="0.2">
      <c r="A5343" s="391">
        <v>104202</v>
      </c>
      <c r="B5343" s="480" t="s">
        <v>3828</v>
      </c>
      <c r="C5343" s="391" t="s">
        <v>26</v>
      </c>
      <c r="D5343" s="479">
        <v>10.94</v>
      </c>
      <c r="E5343" s="368"/>
      <c r="F5343" s="368"/>
    </row>
    <row r="5344" spans="1:6" ht="25.5" x14ac:dyDescent="0.2">
      <c r="A5344" s="391">
        <v>96717</v>
      </c>
      <c r="B5344" s="478" t="s">
        <v>47828</v>
      </c>
      <c r="C5344" s="391" t="s">
        <v>26</v>
      </c>
      <c r="D5344" s="479">
        <v>316.52</v>
      </c>
      <c r="E5344" s="368"/>
      <c r="F5344" s="368"/>
    </row>
    <row r="5345" spans="1:6" ht="25.5" x14ac:dyDescent="0.2">
      <c r="A5345" s="391">
        <v>96710</v>
      </c>
      <c r="B5345" s="478" t="s">
        <v>47829</v>
      </c>
      <c r="C5345" s="391" t="s">
        <v>26</v>
      </c>
      <c r="D5345" s="479">
        <v>14.57</v>
      </c>
      <c r="E5345" s="368"/>
      <c r="F5345" s="368"/>
    </row>
    <row r="5346" spans="1:6" ht="25.5" x14ac:dyDescent="0.2">
      <c r="A5346" s="391">
        <v>96665</v>
      </c>
      <c r="B5346" s="478" t="s">
        <v>47830</v>
      </c>
      <c r="C5346" s="391" t="s">
        <v>26</v>
      </c>
      <c r="D5346" s="479">
        <v>11.37</v>
      </c>
      <c r="E5346" s="368"/>
      <c r="F5346" s="368"/>
    </row>
    <row r="5347" spans="1:6" ht="25.5" x14ac:dyDescent="0.2">
      <c r="A5347" s="391">
        <v>96642</v>
      </c>
      <c r="B5347" s="478" t="s">
        <v>47831</v>
      </c>
      <c r="C5347" s="391" t="s">
        <v>26</v>
      </c>
      <c r="D5347" s="479">
        <v>20.28</v>
      </c>
      <c r="E5347" s="368"/>
      <c r="F5347" s="368"/>
    </row>
    <row r="5348" spans="1:6" ht="25.5" x14ac:dyDescent="0.2">
      <c r="A5348" s="391">
        <v>96711</v>
      </c>
      <c r="B5348" s="478" t="s">
        <v>47832</v>
      </c>
      <c r="C5348" s="391" t="s">
        <v>26</v>
      </c>
      <c r="D5348" s="479">
        <v>21.92</v>
      </c>
      <c r="E5348" s="368"/>
      <c r="F5348" s="368"/>
    </row>
    <row r="5349" spans="1:6" ht="25.5" x14ac:dyDescent="0.2">
      <c r="A5349" s="391">
        <v>96666</v>
      </c>
      <c r="B5349" s="478" t="s">
        <v>47833</v>
      </c>
      <c r="C5349" s="391" t="s">
        <v>26</v>
      </c>
      <c r="D5349" s="479">
        <v>16.649999999999999</v>
      </c>
      <c r="E5349" s="368"/>
      <c r="F5349" s="368"/>
    </row>
    <row r="5350" spans="1:6" ht="25.5" x14ac:dyDescent="0.2">
      <c r="A5350" s="391">
        <v>96712</v>
      </c>
      <c r="B5350" s="480" t="s">
        <v>47834</v>
      </c>
      <c r="C5350" s="391" t="s">
        <v>26</v>
      </c>
      <c r="D5350" s="479">
        <v>31.45</v>
      </c>
      <c r="E5350" s="368"/>
      <c r="F5350" s="368"/>
    </row>
    <row r="5351" spans="1:6" ht="25.5" x14ac:dyDescent="0.2">
      <c r="A5351" s="391">
        <v>96667</v>
      </c>
      <c r="B5351" s="478" t="s">
        <v>47835</v>
      </c>
      <c r="C5351" s="391" t="s">
        <v>26</v>
      </c>
      <c r="D5351" s="479">
        <v>23.83</v>
      </c>
      <c r="E5351" s="368"/>
      <c r="F5351" s="368"/>
    </row>
    <row r="5352" spans="1:6" ht="25.5" x14ac:dyDescent="0.2">
      <c r="A5352" s="391">
        <v>96713</v>
      </c>
      <c r="B5352" s="478" t="s">
        <v>47836</v>
      </c>
      <c r="C5352" s="391" t="s">
        <v>26</v>
      </c>
      <c r="D5352" s="479">
        <v>48.72</v>
      </c>
      <c r="E5352" s="368"/>
      <c r="F5352" s="368"/>
    </row>
    <row r="5353" spans="1:6" ht="25.5" x14ac:dyDescent="0.2">
      <c r="A5353" s="391">
        <v>96714</v>
      </c>
      <c r="B5353" s="478" t="s">
        <v>47837</v>
      </c>
      <c r="C5353" s="391" t="s">
        <v>26</v>
      </c>
      <c r="D5353" s="479">
        <v>69.67</v>
      </c>
      <c r="E5353" s="368"/>
      <c r="F5353" s="368"/>
    </row>
    <row r="5354" spans="1:6" ht="25.5" x14ac:dyDescent="0.2">
      <c r="A5354" s="391">
        <v>96715</v>
      </c>
      <c r="B5354" s="478" t="s">
        <v>47838</v>
      </c>
      <c r="C5354" s="391" t="s">
        <v>26</v>
      </c>
      <c r="D5354" s="479">
        <v>125.43</v>
      </c>
      <c r="E5354" s="368"/>
      <c r="F5354" s="368"/>
    </row>
    <row r="5355" spans="1:6" ht="25.5" x14ac:dyDescent="0.2">
      <c r="A5355" s="391">
        <v>96716</v>
      </c>
      <c r="B5355" s="478" t="s">
        <v>47839</v>
      </c>
      <c r="C5355" s="391" t="s">
        <v>26</v>
      </c>
      <c r="D5355" s="479">
        <v>163.68</v>
      </c>
      <c r="E5355" s="368"/>
      <c r="F5355" s="368"/>
    </row>
    <row r="5356" spans="1:6" ht="38.25" x14ac:dyDescent="0.2">
      <c r="A5356" s="391">
        <v>104328</v>
      </c>
      <c r="B5356" s="478" t="s">
        <v>3930</v>
      </c>
      <c r="C5356" s="391" t="s">
        <v>26</v>
      </c>
      <c r="D5356" s="479">
        <v>75.260000000000005</v>
      </c>
      <c r="E5356" s="368"/>
      <c r="F5356" s="368"/>
    </row>
    <row r="5357" spans="1:6" ht="38.25" x14ac:dyDescent="0.2">
      <c r="A5357" s="391">
        <v>104329</v>
      </c>
      <c r="B5357" s="478" t="s">
        <v>3931</v>
      </c>
      <c r="C5357" s="391" t="s">
        <v>26</v>
      </c>
      <c r="D5357" s="479">
        <v>85.45</v>
      </c>
      <c r="E5357" s="368"/>
      <c r="F5357" s="368"/>
    </row>
    <row r="5358" spans="1:6" ht="38.25" x14ac:dyDescent="0.2">
      <c r="A5358" s="391">
        <v>89707</v>
      </c>
      <c r="B5358" s="478" t="s">
        <v>3924</v>
      </c>
      <c r="C5358" s="391" t="s">
        <v>26</v>
      </c>
      <c r="D5358" s="479">
        <v>50.99</v>
      </c>
      <c r="E5358" s="368"/>
      <c r="F5358" s="368"/>
    </row>
    <row r="5359" spans="1:6" ht="38.25" x14ac:dyDescent="0.2">
      <c r="A5359" s="391">
        <v>89708</v>
      </c>
      <c r="B5359" s="478" t="s">
        <v>3925</v>
      </c>
      <c r="C5359" s="391" t="s">
        <v>26</v>
      </c>
      <c r="D5359" s="479">
        <v>111.14</v>
      </c>
      <c r="E5359" s="368"/>
      <c r="F5359" s="368"/>
    </row>
    <row r="5360" spans="1:6" ht="38.25" x14ac:dyDescent="0.2">
      <c r="A5360" s="391">
        <v>104330</v>
      </c>
      <c r="B5360" s="478" t="s">
        <v>41534</v>
      </c>
      <c r="C5360" s="391" t="s">
        <v>26</v>
      </c>
      <c r="D5360" s="479">
        <v>0</v>
      </c>
      <c r="E5360" s="368"/>
      <c r="F5360" s="368"/>
    </row>
    <row r="5361" spans="1:6" ht="38.25" x14ac:dyDescent="0.2">
      <c r="A5361" s="391">
        <v>104326</v>
      </c>
      <c r="B5361" s="478" t="s">
        <v>3928</v>
      </c>
      <c r="C5361" s="391" t="s">
        <v>26</v>
      </c>
      <c r="D5361" s="479">
        <v>21.12</v>
      </c>
      <c r="E5361" s="368"/>
      <c r="F5361" s="368"/>
    </row>
    <row r="5362" spans="1:6" ht="25.5" x14ac:dyDescent="0.2">
      <c r="A5362" s="391">
        <v>89710</v>
      </c>
      <c r="B5362" s="478" t="s">
        <v>3927</v>
      </c>
      <c r="C5362" s="391" t="s">
        <v>26</v>
      </c>
      <c r="D5362" s="479">
        <v>19.350000000000001</v>
      </c>
      <c r="E5362" s="368"/>
      <c r="F5362" s="368"/>
    </row>
    <row r="5363" spans="1:6" ht="38.25" x14ac:dyDescent="0.2">
      <c r="A5363" s="391">
        <v>104327</v>
      </c>
      <c r="B5363" s="478" t="s">
        <v>3929</v>
      </c>
      <c r="C5363" s="391" t="s">
        <v>26</v>
      </c>
      <c r="D5363" s="479">
        <v>20.07</v>
      </c>
      <c r="E5363" s="368"/>
      <c r="F5363" s="368"/>
    </row>
    <row r="5364" spans="1:6" ht="38.25" x14ac:dyDescent="0.2">
      <c r="A5364" s="391">
        <v>89709</v>
      </c>
      <c r="B5364" s="478" t="s">
        <v>3926</v>
      </c>
      <c r="C5364" s="391" t="s">
        <v>26</v>
      </c>
      <c r="D5364" s="479">
        <v>22.21</v>
      </c>
      <c r="E5364" s="368"/>
      <c r="F5364" s="368"/>
    </row>
    <row r="5365" spans="1:6" ht="38.25" x14ac:dyDescent="0.2">
      <c r="A5365" s="391">
        <v>104341</v>
      </c>
      <c r="B5365" s="478" t="s">
        <v>3837</v>
      </c>
      <c r="C5365" s="391" t="s">
        <v>26</v>
      </c>
      <c r="D5365" s="479">
        <v>11.55</v>
      </c>
      <c r="E5365" s="368"/>
      <c r="F5365" s="368"/>
    </row>
    <row r="5366" spans="1:6" ht="38.25" x14ac:dyDescent="0.2">
      <c r="A5366" s="391">
        <v>104357</v>
      </c>
      <c r="B5366" s="478" t="s">
        <v>3851</v>
      </c>
      <c r="C5366" s="391" t="s">
        <v>26</v>
      </c>
      <c r="D5366" s="479">
        <v>20.66</v>
      </c>
      <c r="E5366" s="368"/>
      <c r="F5366" s="368"/>
    </row>
    <row r="5367" spans="1:6" ht="38.25" x14ac:dyDescent="0.2">
      <c r="A5367" s="391">
        <v>89811</v>
      </c>
      <c r="B5367" s="478" t="s">
        <v>3193</v>
      </c>
      <c r="C5367" s="391" t="s">
        <v>26</v>
      </c>
      <c r="D5367" s="479">
        <v>47.21</v>
      </c>
      <c r="E5367" s="368"/>
      <c r="F5367" s="368"/>
    </row>
    <row r="5368" spans="1:6" ht="38.25" x14ac:dyDescent="0.2">
      <c r="A5368" s="391">
        <v>89748</v>
      </c>
      <c r="B5368" s="478" t="s">
        <v>3156</v>
      </c>
      <c r="C5368" s="391" t="s">
        <v>26</v>
      </c>
      <c r="D5368" s="479">
        <v>46.01</v>
      </c>
      <c r="E5368" s="368"/>
      <c r="F5368" s="368"/>
    </row>
    <row r="5369" spans="1:6" ht="38.25" x14ac:dyDescent="0.2">
      <c r="A5369" s="391">
        <v>89852</v>
      </c>
      <c r="B5369" s="478" t="s">
        <v>3210</v>
      </c>
      <c r="C5369" s="391" t="s">
        <v>26</v>
      </c>
      <c r="D5369" s="479">
        <v>50.13</v>
      </c>
      <c r="E5369" s="368"/>
      <c r="F5369" s="368"/>
    </row>
    <row r="5370" spans="1:6" ht="38.25" x14ac:dyDescent="0.2">
      <c r="A5370" s="391">
        <v>89728</v>
      </c>
      <c r="B5370" s="478" t="s">
        <v>3144</v>
      </c>
      <c r="C5370" s="391" t="s">
        <v>26</v>
      </c>
      <c r="D5370" s="479">
        <v>13.29</v>
      </c>
      <c r="E5370" s="368"/>
      <c r="F5370" s="368"/>
    </row>
    <row r="5371" spans="1:6" ht="38.25" x14ac:dyDescent="0.2">
      <c r="A5371" s="391">
        <v>89803</v>
      </c>
      <c r="B5371" s="478" t="s">
        <v>3185</v>
      </c>
      <c r="C5371" s="391" t="s">
        <v>26</v>
      </c>
      <c r="D5371" s="479">
        <v>20.190000000000001</v>
      </c>
      <c r="E5371" s="368"/>
      <c r="F5371" s="368"/>
    </row>
    <row r="5372" spans="1:6" ht="38.25" x14ac:dyDescent="0.2">
      <c r="A5372" s="391">
        <v>89733</v>
      </c>
      <c r="B5372" s="478" t="s">
        <v>3148</v>
      </c>
      <c r="C5372" s="391" t="s">
        <v>26</v>
      </c>
      <c r="D5372" s="479">
        <v>25.21</v>
      </c>
      <c r="E5372" s="368"/>
      <c r="F5372" s="368"/>
    </row>
    <row r="5373" spans="1:6" ht="38.25" x14ac:dyDescent="0.2">
      <c r="A5373" s="391">
        <v>89807</v>
      </c>
      <c r="B5373" s="478" t="s">
        <v>3189</v>
      </c>
      <c r="C5373" s="391" t="s">
        <v>26</v>
      </c>
      <c r="D5373" s="479">
        <v>40.96</v>
      </c>
      <c r="E5373" s="368"/>
      <c r="F5373" s="368"/>
    </row>
    <row r="5374" spans="1:6" ht="38.25" x14ac:dyDescent="0.2">
      <c r="A5374" s="391">
        <v>89742</v>
      </c>
      <c r="B5374" s="478" t="s">
        <v>3152</v>
      </c>
      <c r="C5374" s="391" t="s">
        <v>26</v>
      </c>
      <c r="D5374" s="479">
        <v>42.87</v>
      </c>
      <c r="E5374" s="368"/>
      <c r="F5374" s="368"/>
    </row>
    <row r="5375" spans="1:6" ht="38.25" x14ac:dyDescent="0.2">
      <c r="A5375" s="391">
        <v>89812</v>
      </c>
      <c r="B5375" s="478" t="s">
        <v>3194</v>
      </c>
      <c r="C5375" s="391" t="s">
        <v>26</v>
      </c>
      <c r="D5375" s="479">
        <v>84.71</v>
      </c>
      <c r="E5375" s="368"/>
      <c r="F5375" s="368"/>
    </row>
    <row r="5376" spans="1:6" ht="38.25" x14ac:dyDescent="0.2">
      <c r="A5376" s="391">
        <v>89750</v>
      </c>
      <c r="B5376" s="478" t="s">
        <v>3157</v>
      </c>
      <c r="C5376" s="391" t="s">
        <v>26</v>
      </c>
      <c r="D5376" s="479">
        <v>83.51</v>
      </c>
      <c r="E5376" s="368"/>
      <c r="F5376" s="368"/>
    </row>
    <row r="5377" spans="1:6" ht="38.25" x14ac:dyDescent="0.2">
      <c r="A5377" s="391">
        <v>89853</v>
      </c>
      <c r="B5377" s="478" t="s">
        <v>3211</v>
      </c>
      <c r="C5377" s="391" t="s">
        <v>26</v>
      </c>
      <c r="D5377" s="479">
        <v>87.63</v>
      </c>
      <c r="E5377" s="368"/>
      <c r="F5377" s="368"/>
    </row>
    <row r="5378" spans="1:6" ht="38.25" x14ac:dyDescent="0.2">
      <c r="A5378" s="391">
        <v>89730</v>
      </c>
      <c r="B5378" s="478" t="s">
        <v>3145</v>
      </c>
      <c r="C5378" s="391" t="s">
        <v>26</v>
      </c>
      <c r="D5378" s="479">
        <v>15.32</v>
      </c>
      <c r="E5378" s="368"/>
      <c r="F5378" s="368"/>
    </row>
    <row r="5379" spans="1:6" ht="38.25" x14ac:dyDescent="0.2">
      <c r="A5379" s="391">
        <v>89804</v>
      </c>
      <c r="B5379" s="478" t="s">
        <v>3186</v>
      </c>
      <c r="C5379" s="391" t="s">
        <v>26</v>
      </c>
      <c r="D5379" s="479">
        <v>22.53</v>
      </c>
      <c r="E5379" s="368"/>
      <c r="F5379" s="368"/>
    </row>
    <row r="5380" spans="1:6" ht="38.25" x14ac:dyDescent="0.2">
      <c r="A5380" s="391">
        <v>89735</v>
      </c>
      <c r="B5380" s="478" t="s">
        <v>3149</v>
      </c>
      <c r="C5380" s="391" t="s">
        <v>26</v>
      </c>
      <c r="D5380" s="479">
        <v>27.55</v>
      </c>
      <c r="E5380" s="368"/>
      <c r="F5380" s="368"/>
    </row>
    <row r="5381" spans="1:6" ht="38.25" x14ac:dyDescent="0.2">
      <c r="A5381" s="391">
        <v>89808</v>
      </c>
      <c r="B5381" s="478" t="s">
        <v>3190</v>
      </c>
      <c r="C5381" s="391" t="s">
        <v>26</v>
      </c>
      <c r="D5381" s="479">
        <v>62.99</v>
      </c>
      <c r="E5381" s="368"/>
      <c r="F5381" s="368"/>
    </row>
    <row r="5382" spans="1:6" ht="38.25" x14ac:dyDescent="0.2">
      <c r="A5382" s="391">
        <v>89743</v>
      </c>
      <c r="B5382" s="478" t="s">
        <v>3153</v>
      </c>
      <c r="C5382" s="391" t="s">
        <v>26</v>
      </c>
      <c r="D5382" s="479">
        <v>64.900000000000006</v>
      </c>
      <c r="E5382" s="368"/>
      <c r="F5382" s="368"/>
    </row>
    <row r="5383" spans="1:6" ht="38.25" x14ac:dyDescent="0.2">
      <c r="A5383" s="391">
        <v>89810</v>
      </c>
      <c r="B5383" s="478" t="s">
        <v>3192</v>
      </c>
      <c r="C5383" s="391" t="s">
        <v>26</v>
      </c>
      <c r="D5383" s="479">
        <v>32.01</v>
      </c>
      <c r="E5383" s="368"/>
      <c r="F5383" s="368"/>
    </row>
    <row r="5384" spans="1:6" ht="38.25" x14ac:dyDescent="0.2">
      <c r="A5384" s="391">
        <v>89746</v>
      </c>
      <c r="B5384" s="478" t="s">
        <v>3155</v>
      </c>
      <c r="C5384" s="391" t="s">
        <v>26</v>
      </c>
      <c r="D5384" s="479">
        <v>30.81</v>
      </c>
      <c r="E5384" s="368"/>
      <c r="F5384" s="368"/>
    </row>
    <row r="5385" spans="1:6" ht="38.25" x14ac:dyDescent="0.2">
      <c r="A5385" s="391">
        <v>89851</v>
      </c>
      <c r="B5385" s="478" t="s">
        <v>3209</v>
      </c>
      <c r="C5385" s="391" t="s">
        <v>26</v>
      </c>
      <c r="D5385" s="479">
        <v>34.93</v>
      </c>
      <c r="E5385" s="368"/>
      <c r="F5385" s="368"/>
    </row>
    <row r="5386" spans="1:6" ht="38.25" x14ac:dyDescent="0.2">
      <c r="A5386" s="391">
        <v>89855</v>
      </c>
      <c r="B5386" s="478" t="s">
        <v>3213</v>
      </c>
      <c r="C5386" s="391" t="s">
        <v>26</v>
      </c>
      <c r="D5386" s="479">
        <v>122.39</v>
      </c>
      <c r="E5386" s="368"/>
      <c r="F5386" s="368"/>
    </row>
    <row r="5387" spans="1:6" ht="38.25" x14ac:dyDescent="0.2">
      <c r="A5387" s="391">
        <v>89726</v>
      </c>
      <c r="B5387" s="478" t="s">
        <v>3143</v>
      </c>
      <c r="C5387" s="391" t="s">
        <v>26</v>
      </c>
      <c r="D5387" s="479">
        <v>10.41</v>
      </c>
      <c r="E5387" s="368"/>
      <c r="F5387" s="368"/>
    </row>
    <row r="5388" spans="1:6" ht="38.25" x14ac:dyDescent="0.2">
      <c r="A5388" s="391">
        <v>89802</v>
      </c>
      <c r="B5388" s="478" t="s">
        <v>3184</v>
      </c>
      <c r="C5388" s="391" t="s">
        <v>26</v>
      </c>
      <c r="D5388" s="479">
        <v>11.92</v>
      </c>
      <c r="E5388" s="368"/>
      <c r="F5388" s="368"/>
    </row>
    <row r="5389" spans="1:6" ht="38.25" x14ac:dyDescent="0.2">
      <c r="A5389" s="391">
        <v>89732</v>
      </c>
      <c r="B5389" s="478" t="s">
        <v>3147</v>
      </c>
      <c r="C5389" s="391" t="s">
        <v>26</v>
      </c>
      <c r="D5389" s="479">
        <v>16.940000000000001</v>
      </c>
      <c r="E5389" s="368"/>
      <c r="F5389" s="368"/>
    </row>
    <row r="5390" spans="1:6" ht="38.25" x14ac:dyDescent="0.2">
      <c r="A5390" s="391">
        <v>89806</v>
      </c>
      <c r="B5390" s="478" t="s">
        <v>3188</v>
      </c>
      <c r="C5390" s="391" t="s">
        <v>26</v>
      </c>
      <c r="D5390" s="479">
        <v>23.74</v>
      </c>
      <c r="E5390" s="368"/>
      <c r="F5390" s="368"/>
    </row>
    <row r="5391" spans="1:6" ht="38.25" x14ac:dyDescent="0.2">
      <c r="A5391" s="391">
        <v>89739</v>
      </c>
      <c r="B5391" s="478" t="s">
        <v>3151</v>
      </c>
      <c r="C5391" s="391" t="s">
        <v>26</v>
      </c>
      <c r="D5391" s="479">
        <v>25.65</v>
      </c>
      <c r="E5391" s="368"/>
      <c r="F5391" s="368"/>
    </row>
    <row r="5392" spans="1:6" ht="38.25" x14ac:dyDescent="0.2">
      <c r="A5392" s="391">
        <v>89809</v>
      </c>
      <c r="B5392" s="478" t="s">
        <v>3191</v>
      </c>
      <c r="C5392" s="391" t="s">
        <v>26</v>
      </c>
      <c r="D5392" s="479">
        <v>31.12</v>
      </c>
      <c r="E5392" s="368"/>
      <c r="F5392" s="368"/>
    </row>
    <row r="5393" spans="1:6" ht="38.25" x14ac:dyDescent="0.2">
      <c r="A5393" s="391">
        <v>89744</v>
      </c>
      <c r="B5393" s="478" t="s">
        <v>3154</v>
      </c>
      <c r="C5393" s="391" t="s">
        <v>26</v>
      </c>
      <c r="D5393" s="479">
        <v>29.92</v>
      </c>
      <c r="E5393" s="368"/>
      <c r="F5393" s="368"/>
    </row>
    <row r="5394" spans="1:6" ht="38.25" x14ac:dyDescent="0.2">
      <c r="A5394" s="391">
        <v>89850</v>
      </c>
      <c r="B5394" s="478" t="s">
        <v>3208</v>
      </c>
      <c r="C5394" s="391" t="s">
        <v>26</v>
      </c>
      <c r="D5394" s="479">
        <v>34.04</v>
      </c>
      <c r="E5394" s="368"/>
      <c r="F5394" s="368"/>
    </row>
    <row r="5395" spans="1:6" ht="38.25" x14ac:dyDescent="0.2">
      <c r="A5395" s="391">
        <v>89854</v>
      </c>
      <c r="B5395" s="478" t="s">
        <v>3212</v>
      </c>
      <c r="C5395" s="391" t="s">
        <v>26</v>
      </c>
      <c r="D5395" s="479">
        <v>116.81</v>
      </c>
      <c r="E5395" s="368"/>
      <c r="F5395" s="368"/>
    </row>
    <row r="5396" spans="1:6" ht="38.25" x14ac:dyDescent="0.2">
      <c r="A5396" s="391">
        <v>89724</v>
      </c>
      <c r="B5396" s="478" t="s">
        <v>3142</v>
      </c>
      <c r="C5396" s="391" t="s">
        <v>26</v>
      </c>
      <c r="D5396" s="479">
        <v>10.16</v>
      </c>
      <c r="E5396" s="368"/>
      <c r="F5396" s="368"/>
    </row>
    <row r="5397" spans="1:6" ht="38.25" x14ac:dyDescent="0.2">
      <c r="A5397" s="391">
        <v>89801</v>
      </c>
      <c r="B5397" s="478" t="s">
        <v>3183</v>
      </c>
      <c r="C5397" s="391" t="s">
        <v>26</v>
      </c>
      <c r="D5397" s="479">
        <v>11.14</v>
      </c>
      <c r="E5397" s="368"/>
      <c r="F5397" s="368"/>
    </row>
    <row r="5398" spans="1:6" ht="38.25" x14ac:dyDescent="0.2">
      <c r="A5398" s="391">
        <v>89731</v>
      </c>
      <c r="B5398" s="478" t="s">
        <v>3146</v>
      </c>
      <c r="C5398" s="391" t="s">
        <v>26</v>
      </c>
      <c r="D5398" s="479">
        <v>16.16</v>
      </c>
      <c r="E5398" s="368"/>
      <c r="F5398" s="368"/>
    </row>
    <row r="5399" spans="1:6" ht="38.25" x14ac:dyDescent="0.2">
      <c r="A5399" s="391">
        <v>89805</v>
      </c>
      <c r="B5399" s="478" t="s">
        <v>3187</v>
      </c>
      <c r="C5399" s="391" t="s">
        <v>26</v>
      </c>
      <c r="D5399" s="479">
        <v>22.7</v>
      </c>
      <c r="E5399" s="368"/>
      <c r="F5399" s="368"/>
    </row>
    <row r="5400" spans="1:6" ht="38.25" x14ac:dyDescent="0.2">
      <c r="A5400" s="391">
        <v>89737</v>
      </c>
      <c r="B5400" s="478" t="s">
        <v>3150</v>
      </c>
      <c r="C5400" s="391" t="s">
        <v>26</v>
      </c>
      <c r="D5400" s="479">
        <v>24.61</v>
      </c>
      <c r="E5400" s="368"/>
      <c r="F5400" s="368"/>
    </row>
    <row r="5401" spans="1:6" ht="38.25" x14ac:dyDescent="0.2">
      <c r="A5401" s="391">
        <v>104355</v>
      </c>
      <c r="B5401" s="478" t="s">
        <v>3849</v>
      </c>
      <c r="C5401" s="391" t="s">
        <v>26</v>
      </c>
      <c r="D5401" s="479">
        <v>52.11</v>
      </c>
      <c r="E5401" s="368"/>
      <c r="F5401" s="368"/>
    </row>
    <row r="5402" spans="1:6" ht="38.25" x14ac:dyDescent="0.2">
      <c r="A5402" s="391">
        <v>104347</v>
      </c>
      <c r="B5402" s="478" t="s">
        <v>3842</v>
      </c>
      <c r="C5402" s="391" t="s">
        <v>26</v>
      </c>
      <c r="D5402" s="479">
        <v>51.9</v>
      </c>
      <c r="E5402" s="368"/>
      <c r="F5402" s="368"/>
    </row>
    <row r="5403" spans="1:6" ht="38.25" x14ac:dyDescent="0.2">
      <c r="A5403" s="391">
        <v>104353</v>
      </c>
      <c r="B5403" s="478" t="s">
        <v>3847</v>
      </c>
      <c r="C5403" s="391" t="s">
        <v>26</v>
      </c>
      <c r="D5403" s="479">
        <v>45.33</v>
      </c>
      <c r="E5403" s="368"/>
      <c r="F5403" s="368"/>
    </row>
    <row r="5404" spans="1:6" ht="38.25" x14ac:dyDescent="0.2">
      <c r="A5404" s="391">
        <v>104345</v>
      </c>
      <c r="B5404" s="478" t="s">
        <v>3840</v>
      </c>
      <c r="C5404" s="391" t="s">
        <v>26</v>
      </c>
      <c r="D5404" s="479">
        <v>46.5</v>
      </c>
      <c r="E5404" s="368"/>
      <c r="F5404" s="368"/>
    </row>
    <row r="5405" spans="1:6" ht="38.25" x14ac:dyDescent="0.2">
      <c r="A5405" s="391">
        <v>104350</v>
      </c>
      <c r="B5405" s="478" t="s">
        <v>3844</v>
      </c>
      <c r="C5405" s="391" t="s">
        <v>26</v>
      </c>
      <c r="D5405" s="479">
        <v>33.020000000000003</v>
      </c>
      <c r="E5405" s="368"/>
      <c r="F5405" s="368"/>
    </row>
    <row r="5406" spans="1:6" ht="38.25" x14ac:dyDescent="0.2">
      <c r="A5406" s="391">
        <v>104343</v>
      </c>
      <c r="B5406" s="478" t="s">
        <v>3838</v>
      </c>
      <c r="C5406" s="391" t="s">
        <v>26</v>
      </c>
      <c r="D5406" s="479">
        <v>36.96</v>
      </c>
      <c r="E5406" s="368"/>
      <c r="F5406" s="368"/>
    </row>
    <row r="5407" spans="1:6" ht="38.25" x14ac:dyDescent="0.2">
      <c r="A5407" s="391">
        <v>89834</v>
      </c>
      <c r="B5407" s="478" t="s">
        <v>3207</v>
      </c>
      <c r="C5407" s="391" t="s">
        <v>26</v>
      </c>
      <c r="D5407" s="479">
        <v>57.32</v>
      </c>
      <c r="E5407" s="368"/>
      <c r="F5407" s="368"/>
    </row>
    <row r="5408" spans="1:6" ht="38.25" x14ac:dyDescent="0.2">
      <c r="A5408" s="391">
        <v>89797</v>
      </c>
      <c r="B5408" s="478" t="s">
        <v>3182</v>
      </c>
      <c r="C5408" s="391" t="s">
        <v>26</v>
      </c>
      <c r="D5408" s="479">
        <v>55.73</v>
      </c>
      <c r="E5408" s="368"/>
      <c r="F5408" s="368"/>
    </row>
    <row r="5409" spans="1:6" ht="38.25" x14ac:dyDescent="0.2">
      <c r="A5409" s="391">
        <v>89861</v>
      </c>
      <c r="B5409" s="478" t="s">
        <v>3217</v>
      </c>
      <c r="C5409" s="391" t="s">
        <v>26</v>
      </c>
      <c r="D5409" s="479">
        <v>61.22</v>
      </c>
      <c r="E5409" s="368"/>
      <c r="F5409" s="368"/>
    </row>
    <row r="5410" spans="1:6" ht="38.25" x14ac:dyDescent="0.2">
      <c r="A5410" s="391">
        <v>89783</v>
      </c>
      <c r="B5410" s="478" t="s">
        <v>3176</v>
      </c>
      <c r="C5410" s="391" t="s">
        <v>26</v>
      </c>
      <c r="D5410" s="479">
        <v>14.87</v>
      </c>
      <c r="E5410" s="368"/>
      <c r="F5410" s="368"/>
    </row>
    <row r="5411" spans="1:6" ht="38.25" x14ac:dyDescent="0.2">
      <c r="A5411" s="391">
        <v>89827</v>
      </c>
      <c r="B5411" s="478" t="s">
        <v>3202</v>
      </c>
      <c r="C5411" s="391" t="s">
        <v>26</v>
      </c>
      <c r="D5411" s="479">
        <v>22.08</v>
      </c>
      <c r="E5411" s="368"/>
      <c r="F5411" s="368"/>
    </row>
    <row r="5412" spans="1:6" ht="38.25" x14ac:dyDescent="0.2">
      <c r="A5412" s="391">
        <v>89785</v>
      </c>
      <c r="B5412" s="478" t="s">
        <v>3178</v>
      </c>
      <c r="C5412" s="391" t="s">
        <v>26</v>
      </c>
      <c r="D5412" s="479">
        <v>28.79</v>
      </c>
      <c r="E5412" s="368"/>
      <c r="F5412" s="368"/>
    </row>
    <row r="5413" spans="1:6" ht="38.25" x14ac:dyDescent="0.2">
      <c r="A5413" s="391">
        <v>89830</v>
      </c>
      <c r="B5413" s="478" t="s">
        <v>3204</v>
      </c>
      <c r="C5413" s="391" t="s">
        <v>26</v>
      </c>
      <c r="D5413" s="479">
        <v>41.87</v>
      </c>
      <c r="E5413" s="368"/>
      <c r="F5413" s="368"/>
    </row>
    <row r="5414" spans="1:6" ht="38.25" x14ac:dyDescent="0.2">
      <c r="A5414" s="391">
        <v>89795</v>
      </c>
      <c r="B5414" s="478" t="s">
        <v>3180</v>
      </c>
      <c r="C5414" s="391" t="s">
        <v>26</v>
      </c>
      <c r="D5414" s="479">
        <v>44.42</v>
      </c>
      <c r="E5414" s="368"/>
      <c r="F5414" s="368"/>
    </row>
    <row r="5415" spans="1:6" ht="38.25" x14ac:dyDescent="0.2">
      <c r="A5415" s="391">
        <v>89823</v>
      </c>
      <c r="B5415" s="478" t="s">
        <v>3200</v>
      </c>
      <c r="C5415" s="391" t="s">
        <v>26</v>
      </c>
      <c r="D5415" s="479">
        <v>38.479999999999997</v>
      </c>
      <c r="E5415" s="368"/>
      <c r="F5415" s="368"/>
    </row>
    <row r="5416" spans="1:6" ht="38.25" x14ac:dyDescent="0.2">
      <c r="A5416" s="391">
        <v>89779</v>
      </c>
      <c r="B5416" s="478" t="s">
        <v>3173</v>
      </c>
      <c r="C5416" s="391" t="s">
        <v>26</v>
      </c>
      <c r="D5416" s="479">
        <v>37.68</v>
      </c>
      <c r="E5416" s="368"/>
      <c r="F5416" s="368"/>
    </row>
    <row r="5417" spans="1:6" ht="38.25" x14ac:dyDescent="0.2">
      <c r="A5417" s="391">
        <v>89857</v>
      </c>
      <c r="B5417" s="478" t="s">
        <v>3215</v>
      </c>
      <c r="C5417" s="391" t="s">
        <v>26</v>
      </c>
      <c r="D5417" s="479">
        <v>40.42</v>
      </c>
      <c r="E5417" s="368"/>
      <c r="F5417" s="368"/>
    </row>
    <row r="5418" spans="1:6" ht="38.25" x14ac:dyDescent="0.2">
      <c r="A5418" s="391">
        <v>89814</v>
      </c>
      <c r="B5418" s="478" t="s">
        <v>3196</v>
      </c>
      <c r="C5418" s="391" t="s">
        <v>26</v>
      </c>
      <c r="D5418" s="479">
        <v>19.350000000000001</v>
      </c>
      <c r="E5418" s="368"/>
      <c r="F5418" s="368"/>
    </row>
    <row r="5419" spans="1:6" ht="38.25" x14ac:dyDescent="0.2">
      <c r="A5419" s="391">
        <v>89754</v>
      </c>
      <c r="B5419" s="478" t="s">
        <v>3160</v>
      </c>
      <c r="C5419" s="391" t="s">
        <v>26</v>
      </c>
      <c r="D5419" s="479">
        <v>22.71</v>
      </c>
      <c r="E5419" s="368"/>
      <c r="F5419" s="368"/>
    </row>
    <row r="5420" spans="1:6" ht="38.25" x14ac:dyDescent="0.2">
      <c r="A5420" s="391">
        <v>89819</v>
      </c>
      <c r="B5420" s="478" t="s">
        <v>3198</v>
      </c>
      <c r="C5420" s="391" t="s">
        <v>26</v>
      </c>
      <c r="D5420" s="479">
        <v>26.61</v>
      </c>
      <c r="E5420" s="368"/>
      <c r="F5420" s="368"/>
    </row>
    <row r="5421" spans="1:6" ht="38.25" x14ac:dyDescent="0.2">
      <c r="A5421" s="391">
        <v>89776</v>
      </c>
      <c r="B5421" s="478" t="s">
        <v>3171</v>
      </c>
      <c r="C5421" s="391" t="s">
        <v>26</v>
      </c>
      <c r="D5421" s="479">
        <v>27.89</v>
      </c>
      <c r="E5421" s="368"/>
      <c r="F5421" s="368"/>
    </row>
    <row r="5422" spans="1:6" ht="38.25" x14ac:dyDescent="0.2">
      <c r="A5422" s="391">
        <v>89821</v>
      </c>
      <c r="B5422" s="478" t="s">
        <v>3199</v>
      </c>
      <c r="C5422" s="391" t="s">
        <v>26</v>
      </c>
      <c r="D5422" s="479">
        <v>18.579999999999998</v>
      </c>
      <c r="E5422" s="368"/>
      <c r="F5422" s="368"/>
    </row>
    <row r="5423" spans="1:6" ht="38.25" x14ac:dyDescent="0.2">
      <c r="A5423" s="391">
        <v>89778</v>
      </c>
      <c r="B5423" s="478" t="s">
        <v>3172</v>
      </c>
      <c r="C5423" s="391" t="s">
        <v>26</v>
      </c>
      <c r="D5423" s="479">
        <v>17.78</v>
      </c>
      <c r="E5423" s="368"/>
      <c r="F5423" s="368"/>
    </row>
    <row r="5424" spans="1:6" ht="38.25" x14ac:dyDescent="0.2">
      <c r="A5424" s="391">
        <v>89856</v>
      </c>
      <c r="B5424" s="478" t="s">
        <v>3214</v>
      </c>
      <c r="C5424" s="391" t="s">
        <v>26</v>
      </c>
      <c r="D5424" s="479">
        <v>20.53</v>
      </c>
      <c r="E5424" s="368"/>
      <c r="F5424" s="368"/>
    </row>
    <row r="5425" spans="1:6" ht="38.25" x14ac:dyDescent="0.2">
      <c r="A5425" s="391">
        <v>89752</v>
      </c>
      <c r="B5425" s="478" t="s">
        <v>3158</v>
      </c>
      <c r="C5425" s="391" t="s">
        <v>26</v>
      </c>
      <c r="D5425" s="479">
        <v>7.57</v>
      </c>
      <c r="E5425" s="368"/>
      <c r="F5425" s="368"/>
    </row>
    <row r="5426" spans="1:6" ht="38.25" x14ac:dyDescent="0.2">
      <c r="A5426" s="391">
        <v>89813</v>
      </c>
      <c r="B5426" s="478" t="s">
        <v>3195</v>
      </c>
      <c r="C5426" s="391" t="s">
        <v>26</v>
      </c>
      <c r="D5426" s="479">
        <v>5.91</v>
      </c>
      <c r="E5426" s="368"/>
      <c r="F5426" s="368"/>
    </row>
    <row r="5427" spans="1:6" ht="38.25" x14ac:dyDescent="0.2">
      <c r="A5427" s="391">
        <v>89753</v>
      </c>
      <c r="B5427" s="478" t="s">
        <v>3159</v>
      </c>
      <c r="C5427" s="391" t="s">
        <v>26</v>
      </c>
      <c r="D5427" s="479">
        <v>9.32</v>
      </c>
      <c r="E5427" s="368"/>
      <c r="F5427" s="368"/>
    </row>
    <row r="5428" spans="1:6" ht="38.25" x14ac:dyDescent="0.2">
      <c r="A5428" s="391">
        <v>89817</v>
      </c>
      <c r="B5428" s="478" t="s">
        <v>3197</v>
      </c>
      <c r="C5428" s="391" t="s">
        <v>26</v>
      </c>
      <c r="D5428" s="479">
        <v>14.29</v>
      </c>
      <c r="E5428" s="368"/>
      <c r="F5428" s="368"/>
    </row>
    <row r="5429" spans="1:6" ht="38.25" x14ac:dyDescent="0.2">
      <c r="A5429" s="391">
        <v>89774</v>
      </c>
      <c r="B5429" s="478" t="s">
        <v>3170</v>
      </c>
      <c r="C5429" s="391" t="s">
        <v>26</v>
      </c>
      <c r="D5429" s="479">
        <v>15.59</v>
      </c>
      <c r="E5429" s="368"/>
      <c r="F5429" s="368"/>
    </row>
    <row r="5430" spans="1:6" ht="38.25" x14ac:dyDescent="0.2">
      <c r="A5430" s="391">
        <v>95693</v>
      </c>
      <c r="B5430" s="478" t="s">
        <v>3475</v>
      </c>
      <c r="C5430" s="391" t="s">
        <v>26</v>
      </c>
      <c r="D5430" s="479">
        <v>52.48</v>
      </c>
      <c r="E5430" s="368"/>
      <c r="F5430" s="368"/>
    </row>
    <row r="5431" spans="1:6" ht="38.25" x14ac:dyDescent="0.2">
      <c r="A5431" s="391">
        <v>89833</v>
      </c>
      <c r="B5431" s="478" t="s">
        <v>3206</v>
      </c>
      <c r="C5431" s="391" t="s">
        <v>26</v>
      </c>
      <c r="D5431" s="479">
        <v>48.71</v>
      </c>
      <c r="E5431" s="368"/>
      <c r="F5431" s="368"/>
    </row>
    <row r="5432" spans="1:6" ht="38.25" x14ac:dyDescent="0.2">
      <c r="A5432" s="391">
        <v>89796</v>
      </c>
      <c r="B5432" s="478" t="s">
        <v>3181</v>
      </c>
      <c r="C5432" s="391" t="s">
        <v>26</v>
      </c>
      <c r="D5432" s="479">
        <v>47.12</v>
      </c>
      <c r="E5432" s="368"/>
      <c r="F5432" s="368"/>
    </row>
    <row r="5433" spans="1:6" ht="38.25" x14ac:dyDescent="0.2">
      <c r="A5433" s="391">
        <v>89860</v>
      </c>
      <c r="B5433" s="478" t="s">
        <v>3216</v>
      </c>
      <c r="C5433" s="391" t="s">
        <v>26</v>
      </c>
      <c r="D5433" s="479">
        <v>52.61</v>
      </c>
      <c r="E5433" s="368"/>
      <c r="F5433" s="368"/>
    </row>
    <row r="5434" spans="1:6" ht="38.25" x14ac:dyDescent="0.2">
      <c r="A5434" s="391">
        <v>89782</v>
      </c>
      <c r="B5434" s="478" t="s">
        <v>3175</v>
      </c>
      <c r="C5434" s="391" t="s">
        <v>26</v>
      </c>
      <c r="D5434" s="479">
        <v>14.76</v>
      </c>
      <c r="E5434" s="368"/>
      <c r="F5434" s="368"/>
    </row>
    <row r="5435" spans="1:6" ht="38.25" x14ac:dyDescent="0.2">
      <c r="A5435" s="391">
        <v>89825</v>
      </c>
      <c r="B5435" s="478" t="s">
        <v>3201</v>
      </c>
      <c r="C5435" s="391" t="s">
        <v>26</v>
      </c>
      <c r="D5435" s="479">
        <v>19.57</v>
      </c>
      <c r="E5435" s="368"/>
      <c r="F5435" s="368"/>
    </row>
    <row r="5436" spans="1:6" ht="38.25" x14ac:dyDescent="0.2">
      <c r="A5436" s="391">
        <v>89784</v>
      </c>
      <c r="B5436" s="478" t="s">
        <v>3177</v>
      </c>
      <c r="C5436" s="391" t="s">
        <v>26</v>
      </c>
      <c r="D5436" s="479">
        <v>26.28</v>
      </c>
      <c r="E5436" s="368"/>
      <c r="F5436" s="368"/>
    </row>
    <row r="5437" spans="1:6" ht="38.25" x14ac:dyDescent="0.2">
      <c r="A5437" s="391">
        <v>89829</v>
      </c>
      <c r="B5437" s="478" t="s">
        <v>3203</v>
      </c>
      <c r="C5437" s="391" t="s">
        <v>26</v>
      </c>
      <c r="D5437" s="479">
        <v>39.65</v>
      </c>
      <c r="E5437" s="368"/>
      <c r="F5437" s="368"/>
    </row>
    <row r="5438" spans="1:6" ht="38.25" x14ac:dyDescent="0.2">
      <c r="A5438" s="391">
        <v>89786</v>
      </c>
      <c r="B5438" s="478" t="s">
        <v>3179</v>
      </c>
      <c r="C5438" s="391" t="s">
        <v>26</v>
      </c>
      <c r="D5438" s="479">
        <v>42.2</v>
      </c>
      <c r="E5438" s="368"/>
      <c r="F5438" s="368"/>
    </row>
    <row r="5439" spans="1:6" ht="38.25" x14ac:dyDescent="0.2">
      <c r="A5439" s="391">
        <v>104352</v>
      </c>
      <c r="B5439" s="478" t="s">
        <v>3846</v>
      </c>
      <c r="C5439" s="391" t="s">
        <v>26</v>
      </c>
      <c r="D5439" s="479">
        <v>43.12</v>
      </c>
      <c r="E5439" s="368"/>
      <c r="F5439" s="368"/>
    </row>
    <row r="5440" spans="1:6" ht="38.25" x14ac:dyDescent="0.2">
      <c r="A5440" s="391">
        <v>104344</v>
      </c>
      <c r="B5440" s="478" t="s">
        <v>3839</v>
      </c>
      <c r="C5440" s="391" t="s">
        <v>26</v>
      </c>
      <c r="D5440" s="479">
        <v>44.29</v>
      </c>
      <c r="E5440" s="368"/>
      <c r="F5440" s="368"/>
    </row>
    <row r="5441" spans="1:6" ht="38.25" x14ac:dyDescent="0.2">
      <c r="A5441" s="391">
        <v>104354</v>
      </c>
      <c r="B5441" s="478" t="s">
        <v>3848</v>
      </c>
      <c r="C5441" s="391" t="s">
        <v>26</v>
      </c>
      <c r="D5441" s="479">
        <v>49.26</v>
      </c>
      <c r="E5441" s="368"/>
      <c r="F5441" s="368"/>
    </row>
    <row r="5442" spans="1:6" ht="38.25" x14ac:dyDescent="0.2">
      <c r="A5442" s="391">
        <v>104346</v>
      </c>
      <c r="B5442" s="478" t="s">
        <v>3841</v>
      </c>
      <c r="C5442" s="391" t="s">
        <v>26</v>
      </c>
      <c r="D5442" s="479">
        <v>49.05</v>
      </c>
      <c r="E5442" s="368"/>
      <c r="F5442" s="368"/>
    </row>
    <row r="5443" spans="1:6" ht="38.25" x14ac:dyDescent="0.2">
      <c r="A5443" s="391">
        <v>104356</v>
      </c>
      <c r="B5443" s="478" t="s">
        <v>3850</v>
      </c>
      <c r="C5443" s="391" t="s">
        <v>26</v>
      </c>
      <c r="D5443" s="479">
        <v>31.55</v>
      </c>
      <c r="E5443" s="368"/>
      <c r="F5443" s="368"/>
    </row>
    <row r="5444" spans="1:6" ht="38.25" x14ac:dyDescent="0.2">
      <c r="A5444" s="391">
        <v>104348</v>
      </c>
      <c r="B5444" s="478" t="s">
        <v>3843</v>
      </c>
      <c r="C5444" s="391" t="s">
        <v>26</v>
      </c>
      <c r="D5444" s="479">
        <v>11.6</v>
      </c>
      <c r="E5444" s="368"/>
      <c r="F5444" s="368"/>
    </row>
    <row r="5445" spans="1:6" ht="38.25" x14ac:dyDescent="0.2">
      <c r="A5445" s="391">
        <v>104351</v>
      </c>
      <c r="B5445" s="478" t="s">
        <v>3845</v>
      </c>
      <c r="C5445" s="391" t="s">
        <v>26</v>
      </c>
      <c r="D5445" s="479">
        <v>23.88</v>
      </c>
      <c r="E5445" s="368"/>
      <c r="F5445" s="368"/>
    </row>
    <row r="5446" spans="1:6" ht="25.5" x14ac:dyDescent="0.2">
      <c r="A5446" s="391">
        <v>89800</v>
      </c>
      <c r="B5446" s="478" t="s">
        <v>2817</v>
      </c>
      <c r="C5446" s="391" t="s">
        <v>0</v>
      </c>
      <c r="D5446" s="479">
        <v>29.63</v>
      </c>
      <c r="E5446" s="368"/>
      <c r="F5446" s="368"/>
    </row>
    <row r="5447" spans="1:6" ht="38.25" x14ac:dyDescent="0.2">
      <c r="A5447" s="391">
        <v>89714</v>
      </c>
      <c r="B5447" s="478" t="s">
        <v>2812</v>
      </c>
      <c r="C5447" s="391" t="s">
        <v>0</v>
      </c>
      <c r="D5447" s="479">
        <v>38.450000000000003</v>
      </c>
      <c r="E5447" s="368"/>
      <c r="F5447" s="368"/>
    </row>
    <row r="5448" spans="1:6" ht="25.5" x14ac:dyDescent="0.2">
      <c r="A5448" s="391">
        <v>89848</v>
      </c>
      <c r="B5448" s="478" t="s">
        <v>2818</v>
      </c>
      <c r="C5448" s="391" t="s">
        <v>0</v>
      </c>
      <c r="D5448" s="479">
        <v>28.49</v>
      </c>
      <c r="E5448" s="368"/>
      <c r="F5448" s="368"/>
    </row>
    <row r="5449" spans="1:6" ht="25.5" x14ac:dyDescent="0.2">
      <c r="A5449" s="391">
        <v>89849</v>
      </c>
      <c r="B5449" s="478" t="s">
        <v>2819</v>
      </c>
      <c r="C5449" s="391" t="s">
        <v>0</v>
      </c>
      <c r="D5449" s="479">
        <v>59.19</v>
      </c>
      <c r="E5449" s="368"/>
      <c r="F5449" s="368"/>
    </row>
    <row r="5450" spans="1:6" ht="38.25" x14ac:dyDescent="0.2">
      <c r="A5450" s="391">
        <v>89711</v>
      </c>
      <c r="B5450" s="478" t="s">
        <v>2809</v>
      </c>
      <c r="C5450" s="391" t="s">
        <v>0</v>
      </c>
      <c r="D5450" s="479">
        <v>21.59</v>
      </c>
      <c r="E5450" s="368"/>
      <c r="F5450" s="368"/>
    </row>
    <row r="5451" spans="1:6" ht="25.5" x14ac:dyDescent="0.2">
      <c r="A5451" s="391">
        <v>89798</v>
      </c>
      <c r="B5451" s="478" t="s">
        <v>2815</v>
      </c>
      <c r="C5451" s="391" t="s">
        <v>0</v>
      </c>
      <c r="D5451" s="479">
        <v>14.2</v>
      </c>
      <c r="E5451" s="368"/>
      <c r="F5451" s="368"/>
    </row>
    <row r="5452" spans="1:6" ht="38.25" x14ac:dyDescent="0.2">
      <c r="A5452" s="391">
        <v>89712</v>
      </c>
      <c r="B5452" s="478" t="s">
        <v>2810</v>
      </c>
      <c r="C5452" s="391" t="s">
        <v>0</v>
      </c>
      <c r="D5452" s="479">
        <v>27.61</v>
      </c>
      <c r="E5452" s="368"/>
      <c r="F5452" s="368"/>
    </row>
    <row r="5453" spans="1:6" ht="25.5" x14ac:dyDescent="0.2">
      <c r="A5453" s="391">
        <v>89799</v>
      </c>
      <c r="B5453" s="478" t="s">
        <v>2816</v>
      </c>
      <c r="C5453" s="391" t="s">
        <v>0</v>
      </c>
      <c r="D5453" s="479">
        <v>23.36</v>
      </c>
      <c r="E5453" s="368"/>
      <c r="F5453" s="368"/>
    </row>
    <row r="5454" spans="1:6" ht="38.25" x14ac:dyDescent="0.2">
      <c r="A5454" s="391">
        <v>89713</v>
      </c>
      <c r="B5454" s="478" t="s">
        <v>2811</v>
      </c>
      <c r="C5454" s="391" t="s">
        <v>0</v>
      </c>
      <c r="D5454" s="479">
        <v>34.479999999999997</v>
      </c>
      <c r="E5454" s="368"/>
      <c r="F5454" s="368"/>
    </row>
    <row r="5455" spans="1:6" ht="38.25" x14ac:dyDescent="0.2">
      <c r="A5455" s="391">
        <v>89376</v>
      </c>
      <c r="B5455" s="478" t="s">
        <v>47840</v>
      </c>
      <c r="C5455" s="391" t="s">
        <v>26</v>
      </c>
      <c r="D5455" s="479">
        <v>5.48</v>
      </c>
      <c r="E5455" s="368"/>
      <c r="F5455" s="368"/>
    </row>
    <row r="5456" spans="1:6" ht="38.25" x14ac:dyDescent="0.2">
      <c r="A5456" s="391">
        <v>89429</v>
      </c>
      <c r="B5456" s="478" t="s">
        <v>47841</v>
      </c>
      <c r="C5456" s="391" t="s">
        <v>26</v>
      </c>
      <c r="D5456" s="479">
        <v>5.89</v>
      </c>
      <c r="E5456" s="368"/>
      <c r="F5456" s="368"/>
    </row>
    <row r="5457" spans="1:6" ht="38.25" x14ac:dyDescent="0.2">
      <c r="A5457" s="391">
        <v>89383</v>
      </c>
      <c r="B5457" s="478" t="s">
        <v>47842</v>
      </c>
      <c r="C5457" s="391" t="s">
        <v>26</v>
      </c>
      <c r="D5457" s="479">
        <v>6.39</v>
      </c>
      <c r="E5457" s="368"/>
      <c r="F5457" s="368"/>
    </row>
    <row r="5458" spans="1:6" ht="38.25" x14ac:dyDescent="0.2">
      <c r="A5458" s="391">
        <v>89553</v>
      </c>
      <c r="B5458" s="478" t="s">
        <v>47843</v>
      </c>
      <c r="C5458" s="391" t="s">
        <v>26</v>
      </c>
      <c r="D5458" s="479">
        <v>5.54</v>
      </c>
      <c r="E5458" s="368"/>
      <c r="F5458" s="368"/>
    </row>
    <row r="5459" spans="1:6" ht="38.25" x14ac:dyDescent="0.2">
      <c r="A5459" s="391">
        <v>89436</v>
      </c>
      <c r="B5459" s="478" t="s">
        <v>47844</v>
      </c>
      <c r="C5459" s="391" t="s">
        <v>26</v>
      </c>
      <c r="D5459" s="479">
        <v>7.87</v>
      </c>
      <c r="E5459" s="368"/>
      <c r="F5459" s="368"/>
    </row>
    <row r="5460" spans="1:6" ht="38.25" x14ac:dyDescent="0.2">
      <c r="A5460" s="391">
        <v>89391</v>
      </c>
      <c r="B5460" s="478" t="s">
        <v>47845</v>
      </c>
      <c r="C5460" s="391" t="s">
        <v>26</v>
      </c>
      <c r="D5460" s="479">
        <v>8.44</v>
      </c>
      <c r="E5460" s="368"/>
      <c r="F5460" s="368"/>
    </row>
    <row r="5461" spans="1:6" ht="38.25" x14ac:dyDescent="0.2">
      <c r="A5461" s="391">
        <v>103994</v>
      </c>
      <c r="B5461" s="478" t="s">
        <v>3775</v>
      </c>
      <c r="C5461" s="391" t="s">
        <v>26</v>
      </c>
      <c r="D5461" s="479">
        <v>13.62</v>
      </c>
      <c r="E5461" s="368"/>
      <c r="F5461" s="368"/>
    </row>
    <row r="5462" spans="1:6" ht="38.25" x14ac:dyDescent="0.2">
      <c r="A5462" s="391">
        <v>89570</v>
      </c>
      <c r="B5462" s="478" t="s">
        <v>47846</v>
      </c>
      <c r="C5462" s="391" t="s">
        <v>26</v>
      </c>
      <c r="D5462" s="479">
        <v>10.97</v>
      </c>
      <c r="E5462" s="368"/>
      <c r="F5462" s="368"/>
    </row>
    <row r="5463" spans="1:6" ht="38.25" x14ac:dyDescent="0.2">
      <c r="A5463" s="391">
        <v>103992</v>
      </c>
      <c r="B5463" s="478" t="s">
        <v>3773</v>
      </c>
      <c r="C5463" s="391" t="s">
        <v>26</v>
      </c>
      <c r="D5463" s="479">
        <v>11.04</v>
      </c>
      <c r="E5463" s="368"/>
      <c r="F5463" s="368"/>
    </row>
    <row r="5464" spans="1:6" ht="38.25" x14ac:dyDescent="0.2">
      <c r="A5464" s="391">
        <v>89572</v>
      </c>
      <c r="B5464" s="478" t="s">
        <v>47847</v>
      </c>
      <c r="C5464" s="391" t="s">
        <v>26</v>
      </c>
      <c r="D5464" s="479">
        <v>8.35</v>
      </c>
      <c r="E5464" s="368"/>
      <c r="F5464" s="368"/>
    </row>
    <row r="5465" spans="1:6" ht="38.25" x14ac:dyDescent="0.2">
      <c r="A5465" s="391">
        <v>104001</v>
      </c>
      <c r="B5465" s="478" t="s">
        <v>3781</v>
      </c>
      <c r="C5465" s="391" t="s">
        <v>26</v>
      </c>
      <c r="D5465" s="479">
        <v>13.22</v>
      </c>
      <c r="E5465" s="368"/>
      <c r="F5465" s="368"/>
    </row>
    <row r="5466" spans="1:6" ht="38.25" x14ac:dyDescent="0.2">
      <c r="A5466" s="391">
        <v>89596</v>
      </c>
      <c r="B5466" s="478" t="s">
        <v>47848</v>
      </c>
      <c r="C5466" s="391" t="s">
        <v>26</v>
      </c>
      <c r="D5466" s="479">
        <v>10.039999999999999</v>
      </c>
      <c r="E5466" s="368"/>
      <c r="F5466" s="368"/>
    </row>
    <row r="5467" spans="1:6" ht="38.25" x14ac:dyDescent="0.2">
      <c r="A5467" s="391">
        <v>104002</v>
      </c>
      <c r="B5467" s="478" t="s">
        <v>3782</v>
      </c>
      <c r="C5467" s="391" t="s">
        <v>26</v>
      </c>
      <c r="D5467" s="479">
        <v>16.79</v>
      </c>
      <c r="E5467" s="368"/>
      <c r="F5467" s="368"/>
    </row>
    <row r="5468" spans="1:6" ht="38.25" x14ac:dyDescent="0.2">
      <c r="A5468" s="391">
        <v>89595</v>
      </c>
      <c r="B5468" s="478" t="s">
        <v>47849</v>
      </c>
      <c r="C5468" s="391" t="s">
        <v>26</v>
      </c>
      <c r="D5468" s="479">
        <v>13.86</v>
      </c>
      <c r="E5468" s="368"/>
      <c r="F5468" s="368"/>
    </row>
    <row r="5469" spans="1:6" ht="38.25" x14ac:dyDescent="0.2">
      <c r="A5469" s="391">
        <v>89610</v>
      </c>
      <c r="B5469" s="478" t="s">
        <v>47850</v>
      </c>
      <c r="C5469" s="391" t="s">
        <v>26</v>
      </c>
      <c r="D5469" s="479">
        <v>18.71</v>
      </c>
      <c r="E5469" s="368"/>
      <c r="F5469" s="368"/>
    </row>
    <row r="5470" spans="1:6" ht="38.25" x14ac:dyDescent="0.2">
      <c r="A5470" s="391">
        <v>89613</v>
      </c>
      <c r="B5470" s="478" t="s">
        <v>3089</v>
      </c>
      <c r="C5470" s="391" t="s">
        <v>26</v>
      </c>
      <c r="D5470" s="479">
        <v>29.18</v>
      </c>
      <c r="E5470" s="368"/>
      <c r="F5470" s="368"/>
    </row>
    <row r="5471" spans="1:6" ht="38.25" x14ac:dyDescent="0.2">
      <c r="A5471" s="391">
        <v>89616</v>
      </c>
      <c r="B5471" s="478" t="s">
        <v>47851</v>
      </c>
      <c r="C5471" s="391" t="s">
        <v>26</v>
      </c>
      <c r="D5471" s="479">
        <v>38.950000000000003</v>
      </c>
      <c r="E5471" s="368"/>
      <c r="F5471" s="368"/>
    </row>
    <row r="5472" spans="1:6" ht="25.5" x14ac:dyDescent="0.2">
      <c r="A5472" s="391">
        <v>103952</v>
      </c>
      <c r="B5472" s="478" t="s">
        <v>3744</v>
      </c>
      <c r="C5472" s="391" t="s">
        <v>26</v>
      </c>
      <c r="D5472" s="479">
        <v>5.6</v>
      </c>
      <c r="E5472" s="368"/>
      <c r="F5472" s="368"/>
    </row>
    <row r="5473" spans="1:6" ht="25.5" x14ac:dyDescent="0.2">
      <c r="A5473" s="391">
        <v>103947</v>
      </c>
      <c r="B5473" s="478" t="s">
        <v>3739</v>
      </c>
      <c r="C5473" s="391" t="s">
        <v>26</v>
      </c>
      <c r="D5473" s="479">
        <v>6.1</v>
      </c>
      <c r="E5473" s="368"/>
      <c r="F5473" s="368"/>
    </row>
    <row r="5474" spans="1:6" ht="25.5" x14ac:dyDescent="0.2">
      <c r="A5474" s="391">
        <v>103957</v>
      </c>
      <c r="B5474" s="478" t="s">
        <v>3749</v>
      </c>
      <c r="C5474" s="391" t="s">
        <v>26</v>
      </c>
      <c r="D5474" s="479">
        <v>4.71</v>
      </c>
      <c r="E5474" s="368"/>
      <c r="F5474" s="368"/>
    </row>
    <row r="5475" spans="1:6" ht="25.5" x14ac:dyDescent="0.2">
      <c r="A5475" s="391">
        <v>103953</v>
      </c>
      <c r="B5475" s="478" t="s">
        <v>3745</v>
      </c>
      <c r="C5475" s="391" t="s">
        <v>26</v>
      </c>
      <c r="D5475" s="479">
        <v>7.04</v>
      </c>
      <c r="E5475" s="368"/>
      <c r="F5475" s="368"/>
    </row>
    <row r="5476" spans="1:6" ht="25.5" x14ac:dyDescent="0.2">
      <c r="A5476" s="391">
        <v>103948</v>
      </c>
      <c r="B5476" s="478" t="s">
        <v>3740</v>
      </c>
      <c r="C5476" s="391" t="s">
        <v>26</v>
      </c>
      <c r="D5476" s="479">
        <v>7.61</v>
      </c>
      <c r="E5476" s="368"/>
      <c r="F5476" s="368"/>
    </row>
    <row r="5477" spans="1:6" ht="25.5" x14ac:dyDescent="0.2">
      <c r="A5477" s="391">
        <v>103958</v>
      </c>
      <c r="B5477" s="478" t="s">
        <v>3750</v>
      </c>
      <c r="C5477" s="391" t="s">
        <v>26</v>
      </c>
      <c r="D5477" s="479">
        <v>9.6</v>
      </c>
      <c r="E5477" s="368"/>
      <c r="F5477" s="368"/>
    </row>
    <row r="5478" spans="1:6" ht="25.5" x14ac:dyDescent="0.2">
      <c r="A5478" s="391">
        <v>104009</v>
      </c>
      <c r="B5478" s="478" t="s">
        <v>3788</v>
      </c>
      <c r="C5478" s="391" t="s">
        <v>26</v>
      </c>
      <c r="D5478" s="479">
        <v>12.73</v>
      </c>
      <c r="E5478" s="368"/>
      <c r="F5478" s="368"/>
    </row>
    <row r="5479" spans="1:6" ht="25.5" x14ac:dyDescent="0.2">
      <c r="A5479" s="391">
        <v>103959</v>
      </c>
      <c r="B5479" s="478" t="s">
        <v>3751</v>
      </c>
      <c r="C5479" s="391" t="s">
        <v>26</v>
      </c>
      <c r="D5479" s="479">
        <v>14.39</v>
      </c>
      <c r="E5479" s="368"/>
      <c r="F5479" s="368"/>
    </row>
    <row r="5480" spans="1:6" ht="25.5" x14ac:dyDescent="0.2">
      <c r="A5480" s="391">
        <v>103962</v>
      </c>
      <c r="B5480" s="478" t="s">
        <v>3752</v>
      </c>
      <c r="C5480" s="391" t="s">
        <v>26</v>
      </c>
      <c r="D5480" s="479">
        <v>6.18</v>
      </c>
      <c r="E5480" s="368"/>
      <c r="F5480" s="368"/>
    </row>
    <row r="5481" spans="1:6" ht="25.5" x14ac:dyDescent="0.2">
      <c r="A5481" s="391">
        <v>103954</v>
      </c>
      <c r="B5481" s="478" t="s">
        <v>3746</v>
      </c>
      <c r="C5481" s="391" t="s">
        <v>26</v>
      </c>
      <c r="D5481" s="479">
        <v>8.42</v>
      </c>
      <c r="E5481" s="368"/>
      <c r="F5481" s="368"/>
    </row>
    <row r="5482" spans="1:6" ht="25.5" x14ac:dyDescent="0.2">
      <c r="A5482" s="391">
        <v>103949</v>
      </c>
      <c r="B5482" s="478" t="s">
        <v>3741</v>
      </c>
      <c r="C5482" s="391" t="s">
        <v>26</v>
      </c>
      <c r="D5482" s="479">
        <v>8.9600000000000009</v>
      </c>
      <c r="E5482" s="368"/>
      <c r="F5482" s="368"/>
    </row>
    <row r="5483" spans="1:6" ht="25.5" x14ac:dyDescent="0.2">
      <c r="A5483" s="391">
        <v>103964</v>
      </c>
      <c r="B5483" s="478" t="s">
        <v>3753</v>
      </c>
      <c r="C5483" s="391" t="s">
        <v>26</v>
      </c>
      <c r="D5483" s="479">
        <v>7.85</v>
      </c>
      <c r="E5483" s="368"/>
      <c r="F5483" s="368"/>
    </row>
    <row r="5484" spans="1:6" ht="25.5" x14ac:dyDescent="0.2">
      <c r="A5484" s="391">
        <v>104014</v>
      </c>
      <c r="B5484" s="478" t="s">
        <v>3791</v>
      </c>
      <c r="C5484" s="391" t="s">
        <v>26</v>
      </c>
      <c r="D5484" s="479">
        <v>10.38</v>
      </c>
      <c r="E5484" s="368"/>
      <c r="F5484" s="368"/>
    </row>
    <row r="5485" spans="1:6" ht="25.5" x14ac:dyDescent="0.2">
      <c r="A5485" s="391">
        <v>103966</v>
      </c>
      <c r="B5485" s="478" t="s">
        <v>3754</v>
      </c>
      <c r="C5485" s="391" t="s">
        <v>26</v>
      </c>
      <c r="D5485" s="479">
        <v>9.2799999999999994</v>
      </c>
      <c r="E5485" s="368"/>
      <c r="F5485" s="368"/>
    </row>
    <row r="5486" spans="1:6" ht="25.5" x14ac:dyDescent="0.2">
      <c r="A5486" s="391">
        <v>103999</v>
      </c>
      <c r="B5486" s="478" t="s">
        <v>3779</v>
      </c>
      <c r="C5486" s="391" t="s">
        <v>26</v>
      </c>
      <c r="D5486" s="479">
        <v>12.03</v>
      </c>
      <c r="E5486" s="368"/>
      <c r="F5486" s="368"/>
    </row>
    <row r="5487" spans="1:6" ht="25.5" x14ac:dyDescent="0.2">
      <c r="A5487" s="391">
        <v>103967</v>
      </c>
      <c r="B5487" s="478" t="s">
        <v>47852</v>
      </c>
      <c r="C5487" s="391" t="s">
        <v>26</v>
      </c>
      <c r="D5487" s="479">
        <v>11.17</v>
      </c>
      <c r="E5487" s="368"/>
      <c r="F5487" s="368"/>
    </row>
    <row r="5488" spans="1:6" ht="25.5" x14ac:dyDescent="0.2">
      <c r="A5488" s="391">
        <v>104003</v>
      </c>
      <c r="B5488" s="478" t="s">
        <v>47853</v>
      </c>
      <c r="C5488" s="391" t="s">
        <v>26</v>
      </c>
      <c r="D5488" s="479">
        <v>14.1</v>
      </c>
      <c r="E5488" s="368"/>
      <c r="F5488" s="368"/>
    </row>
    <row r="5489" spans="1:6" ht="25.5" x14ac:dyDescent="0.2">
      <c r="A5489" s="391">
        <v>103968</v>
      </c>
      <c r="B5489" s="478" t="s">
        <v>3755</v>
      </c>
      <c r="C5489" s="391" t="s">
        <v>26</v>
      </c>
      <c r="D5489" s="479">
        <v>15.97</v>
      </c>
      <c r="E5489" s="368"/>
      <c r="F5489" s="368"/>
    </row>
    <row r="5490" spans="1:6" ht="25.5" x14ac:dyDescent="0.2">
      <c r="A5490" s="391">
        <v>103969</v>
      </c>
      <c r="B5490" s="478" t="s">
        <v>3756</v>
      </c>
      <c r="C5490" s="391" t="s">
        <v>26</v>
      </c>
      <c r="D5490" s="479">
        <v>18.87</v>
      </c>
      <c r="E5490" s="368"/>
      <c r="F5490" s="368"/>
    </row>
    <row r="5491" spans="1:6" ht="25.5" x14ac:dyDescent="0.2">
      <c r="A5491" s="391">
        <v>103971</v>
      </c>
      <c r="B5491" s="478" t="s">
        <v>3757</v>
      </c>
      <c r="C5491" s="391" t="s">
        <v>26</v>
      </c>
      <c r="D5491" s="479">
        <v>24</v>
      </c>
      <c r="E5491" s="368"/>
      <c r="F5491" s="368"/>
    </row>
    <row r="5492" spans="1:6" ht="25.5" x14ac:dyDescent="0.2">
      <c r="A5492" s="391">
        <v>103972</v>
      </c>
      <c r="B5492" s="478" t="s">
        <v>3758</v>
      </c>
      <c r="C5492" s="391" t="s">
        <v>26</v>
      </c>
      <c r="D5492" s="479">
        <v>27.77</v>
      </c>
      <c r="E5492" s="368"/>
      <c r="F5492" s="368"/>
    </row>
    <row r="5493" spans="1:6" ht="25.5" x14ac:dyDescent="0.2">
      <c r="A5493" s="391">
        <v>103993</v>
      </c>
      <c r="B5493" s="478" t="s">
        <v>3774</v>
      </c>
      <c r="C5493" s="391" t="s">
        <v>26</v>
      </c>
      <c r="D5493" s="479">
        <v>9.4600000000000009</v>
      </c>
      <c r="E5493" s="368"/>
      <c r="F5493" s="368"/>
    </row>
    <row r="5494" spans="1:6" ht="25.5" x14ac:dyDescent="0.2">
      <c r="A5494" s="391">
        <v>89407</v>
      </c>
      <c r="B5494" s="478" t="s">
        <v>2977</v>
      </c>
      <c r="C5494" s="391" t="s">
        <v>26</v>
      </c>
      <c r="D5494" s="479">
        <v>8.6199999999999992</v>
      </c>
      <c r="E5494" s="368"/>
      <c r="F5494" s="368"/>
    </row>
    <row r="5495" spans="1:6" ht="25.5" x14ac:dyDescent="0.2">
      <c r="A5495" s="391">
        <v>89361</v>
      </c>
      <c r="B5495" s="478" t="s">
        <v>2948</v>
      </c>
      <c r="C5495" s="391" t="s">
        <v>26</v>
      </c>
      <c r="D5495" s="479">
        <v>9.3000000000000007</v>
      </c>
      <c r="E5495" s="368"/>
      <c r="F5495" s="368"/>
    </row>
    <row r="5496" spans="1:6" ht="25.5" x14ac:dyDescent="0.2">
      <c r="A5496" s="391">
        <v>89490</v>
      </c>
      <c r="B5496" s="478" t="s">
        <v>3005</v>
      </c>
      <c r="C5496" s="391" t="s">
        <v>26</v>
      </c>
      <c r="D5496" s="479">
        <v>6.9</v>
      </c>
      <c r="E5496" s="368"/>
      <c r="F5496" s="368"/>
    </row>
    <row r="5497" spans="1:6" ht="25.5" x14ac:dyDescent="0.2">
      <c r="A5497" s="391">
        <v>89411</v>
      </c>
      <c r="B5497" s="478" t="s">
        <v>2981</v>
      </c>
      <c r="C5497" s="391" t="s">
        <v>26</v>
      </c>
      <c r="D5497" s="479">
        <v>10.1</v>
      </c>
      <c r="E5497" s="368"/>
      <c r="F5497" s="368"/>
    </row>
    <row r="5498" spans="1:6" ht="25.5" x14ac:dyDescent="0.2">
      <c r="A5498" s="391">
        <v>89365</v>
      </c>
      <c r="B5498" s="478" t="s">
        <v>2952</v>
      </c>
      <c r="C5498" s="391" t="s">
        <v>26</v>
      </c>
      <c r="D5498" s="479">
        <v>10.89</v>
      </c>
      <c r="E5498" s="368"/>
      <c r="F5498" s="368"/>
    </row>
    <row r="5499" spans="1:6" ht="25.5" x14ac:dyDescent="0.2">
      <c r="A5499" s="391">
        <v>89496</v>
      </c>
      <c r="B5499" s="478" t="s">
        <v>3009</v>
      </c>
      <c r="C5499" s="391" t="s">
        <v>26</v>
      </c>
      <c r="D5499" s="479">
        <v>10.02</v>
      </c>
      <c r="E5499" s="368"/>
      <c r="F5499" s="368"/>
    </row>
    <row r="5500" spans="1:6" ht="25.5" x14ac:dyDescent="0.2">
      <c r="A5500" s="391">
        <v>89416</v>
      </c>
      <c r="B5500" s="478" t="s">
        <v>2985</v>
      </c>
      <c r="C5500" s="391" t="s">
        <v>26</v>
      </c>
      <c r="D5500" s="479">
        <v>13.74</v>
      </c>
      <c r="E5500" s="368"/>
      <c r="F5500" s="368"/>
    </row>
    <row r="5501" spans="1:6" ht="25.5" x14ac:dyDescent="0.2">
      <c r="A5501" s="391">
        <v>89370</v>
      </c>
      <c r="B5501" s="478" t="s">
        <v>2956</v>
      </c>
      <c r="C5501" s="391" t="s">
        <v>26</v>
      </c>
      <c r="D5501" s="479">
        <v>14.69</v>
      </c>
      <c r="E5501" s="368"/>
      <c r="F5501" s="368"/>
    </row>
    <row r="5502" spans="1:6" ht="25.5" x14ac:dyDescent="0.2">
      <c r="A5502" s="391">
        <v>89500</v>
      </c>
      <c r="B5502" s="478" t="s">
        <v>3013</v>
      </c>
      <c r="C5502" s="391" t="s">
        <v>26</v>
      </c>
      <c r="D5502" s="479">
        <v>12.26</v>
      </c>
      <c r="E5502" s="368"/>
      <c r="F5502" s="368"/>
    </row>
    <row r="5503" spans="1:6" ht="25.5" x14ac:dyDescent="0.2">
      <c r="A5503" s="391">
        <v>103983</v>
      </c>
      <c r="B5503" s="478" t="s">
        <v>3765</v>
      </c>
      <c r="C5503" s="391" t="s">
        <v>26</v>
      </c>
      <c r="D5503" s="479">
        <v>16.54</v>
      </c>
      <c r="E5503" s="368"/>
      <c r="F5503" s="368"/>
    </row>
    <row r="5504" spans="1:6" ht="25.5" x14ac:dyDescent="0.2">
      <c r="A5504" s="391">
        <v>89504</v>
      </c>
      <c r="B5504" s="478" t="s">
        <v>3017</v>
      </c>
      <c r="C5504" s="391" t="s">
        <v>26</v>
      </c>
      <c r="D5504" s="479">
        <v>18.059999999999999</v>
      </c>
      <c r="E5504" s="368"/>
      <c r="F5504" s="368"/>
    </row>
    <row r="5505" spans="1:6" ht="25.5" x14ac:dyDescent="0.2">
      <c r="A5505" s="391">
        <v>103987</v>
      </c>
      <c r="B5505" s="478" t="s">
        <v>3769</v>
      </c>
      <c r="C5505" s="391" t="s">
        <v>26</v>
      </c>
      <c r="D5505" s="479">
        <v>23.08</v>
      </c>
      <c r="E5505" s="368"/>
      <c r="F5505" s="368"/>
    </row>
    <row r="5506" spans="1:6" ht="25.5" x14ac:dyDescent="0.2">
      <c r="A5506" s="391">
        <v>89510</v>
      </c>
      <c r="B5506" s="478" t="s">
        <v>3021</v>
      </c>
      <c r="C5506" s="391" t="s">
        <v>26</v>
      </c>
      <c r="D5506" s="479">
        <v>25.75</v>
      </c>
      <c r="E5506" s="368"/>
      <c r="F5506" s="368"/>
    </row>
    <row r="5507" spans="1:6" ht="25.5" x14ac:dyDescent="0.2">
      <c r="A5507" s="391">
        <v>89519</v>
      </c>
      <c r="B5507" s="478" t="s">
        <v>3028</v>
      </c>
      <c r="C5507" s="391" t="s">
        <v>26</v>
      </c>
      <c r="D5507" s="479">
        <v>45.06</v>
      </c>
      <c r="E5507" s="368"/>
      <c r="F5507" s="368"/>
    </row>
    <row r="5508" spans="1:6" ht="25.5" x14ac:dyDescent="0.2">
      <c r="A5508" s="391">
        <v>89527</v>
      </c>
      <c r="B5508" s="478" t="s">
        <v>3036</v>
      </c>
      <c r="C5508" s="391" t="s">
        <v>26</v>
      </c>
      <c r="D5508" s="479">
        <v>54.29</v>
      </c>
      <c r="E5508" s="368"/>
      <c r="F5508" s="368"/>
    </row>
    <row r="5509" spans="1:6" ht="25.5" x14ac:dyDescent="0.2">
      <c r="A5509" s="391">
        <v>89406</v>
      </c>
      <c r="B5509" s="478" t="s">
        <v>2976</v>
      </c>
      <c r="C5509" s="391" t="s">
        <v>26</v>
      </c>
      <c r="D5509" s="479">
        <v>8.5399999999999991</v>
      </c>
      <c r="E5509" s="368"/>
      <c r="F5509" s="368"/>
    </row>
    <row r="5510" spans="1:6" ht="25.5" x14ac:dyDescent="0.2">
      <c r="A5510" s="391">
        <v>89360</v>
      </c>
      <c r="B5510" s="478" t="s">
        <v>2947</v>
      </c>
      <c r="C5510" s="391" t="s">
        <v>26</v>
      </c>
      <c r="D5510" s="479">
        <v>9.2200000000000006</v>
      </c>
      <c r="E5510" s="368"/>
      <c r="F5510" s="368"/>
    </row>
    <row r="5511" spans="1:6" ht="25.5" x14ac:dyDescent="0.2">
      <c r="A5511" s="391">
        <v>89489</v>
      </c>
      <c r="B5511" s="478" t="s">
        <v>3004</v>
      </c>
      <c r="C5511" s="391" t="s">
        <v>26</v>
      </c>
      <c r="D5511" s="479">
        <v>7.43</v>
      </c>
      <c r="E5511" s="368"/>
      <c r="F5511" s="368"/>
    </row>
    <row r="5512" spans="1:6" ht="25.5" x14ac:dyDescent="0.2">
      <c r="A5512" s="391">
        <v>89410</v>
      </c>
      <c r="B5512" s="478" t="s">
        <v>2980</v>
      </c>
      <c r="C5512" s="391" t="s">
        <v>26</v>
      </c>
      <c r="D5512" s="479">
        <v>10.63</v>
      </c>
      <c r="E5512" s="368"/>
      <c r="F5512" s="368"/>
    </row>
    <row r="5513" spans="1:6" ht="25.5" x14ac:dyDescent="0.2">
      <c r="A5513" s="391">
        <v>89364</v>
      </c>
      <c r="B5513" s="478" t="s">
        <v>2951</v>
      </c>
      <c r="C5513" s="391" t="s">
        <v>26</v>
      </c>
      <c r="D5513" s="479">
        <v>11.42</v>
      </c>
      <c r="E5513" s="368"/>
      <c r="F5513" s="368"/>
    </row>
    <row r="5514" spans="1:6" ht="25.5" x14ac:dyDescent="0.2">
      <c r="A5514" s="391">
        <v>89494</v>
      </c>
      <c r="B5514" s="478" t="s">
        <v>3008</v>
      </c>
      <c r="C5514" s="391" t="s">
        <v>26</v>
      </c>
      <c r="D5514" s="479">
        <v>11.99</v>
      </c>
      <c r="E5514" s="368"/>
      <c r="F5514" s="368"/>
    </row>
    <row r="5515" spans="1:6" ht="25.5" x14ac:dyDescent="0.2">
      <c r="A5515" s="391">
        <v>89415</v>
      </c>
      <c r="B5515" s="478" t="s">
        <v>2984</v>
      </c>
      <c r="C5515" s="391" t="s">
        <v>26</v>
      </c>
      <c r="D5515" s="479">
        <v>15.71</v>
      </c>
      <c r="E5515" s="368"/>
      <c r="F5515" s="368"/>
    </row>
    <row r="5516" spans="1:6" ht="25.5" x14ac:dyDescent="0.2">
      <c r="A5516" s="391">
        <v>89369</v>
      </c>
      <c r="B5516" s="478" t="s">
        <v>2955</v>
      </c>
      <c r="C5516" s="391" t="s">
        <v>26</v>
      </c>
      <c r="D5516" s="479">
        <v>16.66</v>
      </c>
      <c r="E5516" s="368"/>
      <c r="F5516" s="368"/>
    </row>
    <row r="5517" spans="1:6" ht="25.5" x14ac:dyDescent="0.2">
      <c r="A5517" s="391">
        <v>89499</v>
      </c>
      <c r="B5517" s="478" t="s">
        <v>3012</v>
      </c>
      <c r="C5517" s="391" t="s">
        <v>26</v>
      </c>
      <c r="D5517" s="479">
        <v>18.809999999999999</v>
      </c>
      <c r="E5517" s="368"/>
      <c r="F5517" s="368"/>
    </row>
    <row r="5518" spans="1:6" ht="25.5" x14ac:dyDescent="0.2">
      <c r="A5518" s="391">
        <v>103982</v>
      </c>
      <c r="B5518" s="478" t="s">
        <v>3764</v>
      </c>
      <c r="C5518" s="391" t="s">
        <v>26</v>
      </c>
      <c r="D5518" s="479">
        <v>23.09</v>
      </c>
      <c r="E5518" s="368"/>
      <c r="F5518" s="368"/>
    </row>
    <row r="5519" spans="1:6" ht="25.5" x14ac:dyDescent="0.2">
      <c r="A5519" s="391">
        <v>89503</v>
      </c>
      <c r="B5519" s="478" t="s">
        <v>3016</v>
      </c>
      <c r="C5519" s="391" t="s">
        <v>26</v>
      </c>
      <c r="D5519" s="479">
        <v>21.8</v>
      </c>
      <c r="E5519" s="368"/>
      <c r="F5519" s="368"/>
    </row>
    <row r="5520" spans="1:6" ht="25.5" x14ac:dyDescent="0.2">
      <c r="A5520" s="391">
        <v>103986</v>
      </c>
      <c r="B5520" s="478" t="s">
        <v>3768</v>
      </c>
      <c r="C5520" s="391" t="s">
        <v>26</v>
      </c>
      <c r="D5520" s="479">
        <v>26.82</v>
      </c>
      <c r="E5520" s="368"/>
      <c r="F5520" s="368"/>
    </row>
    <row r="5521" spans="1:6" ht="25.5" x14ac:dyDescent="0.2">
      <c r="A5521" s="391">
        <v>89507</v>
      </c>
      <c r="B5521" s="478" t="s">
        <v>3020</v>
      </c>
      <c r="C5521" s="391" t="s">
        <v>26</v>
      </c>
      <c r="D5521" s="479">
        <v>44.72</v>
      </c>
      <c r="E5521" s="368"/>
      <c r="F5521" s="368"/>
    </row>
    <row r="5522" spans="1:6" ht="25.5" x14ac:dyDescent="0.2">
      <c r="A5522" s="391">
        <v>89517</v>
      </c>
      <c r="B5522" s="478" t="s">
        <v>3026</v>
      </c>
      <c r="C5522" s="391" t="s">
        <v>26</v>
      </c>
      <c r="D5522" s="479">
        <v>66.290000000000006</v>
      </c>
      <c r="E5522" s="368"/>
      <c r="F5522" s="368"/>
    </row>
    <row r="5523" spans="1:6" ht="25.5" x14ac:dyDescent="0.2">
      <c r="A5523" s="391">
        <v>89525</v>
      </c>
      <c r="B5523" s="478" t="s">
        <v>3034</v>
      </c>
      <c r="C5523" s="391" t="s">
        <v>26</v>
      </c>
      <c r="D5523" s="479">
        <v>83.33</v>
      </c>
      <c r="E5523" s="368"/>
      <c r="F5523" s="368"/>
    </row>
    <row r="5524" spans="1:6" ht="25.5" x14ac:dyDescent="0.2">
      <c r="A5524" s="391">
        <v>89423</v>
      </c>
      <c r="B5524" s="478" t="s">
        <v>47854</v>
      </c>
      <c r="C5524" s="391" t="s">
        <v>26</v>
      </c>
      <c r="D5524" s="479">
        <v>9.44</v>
      </c>
      <c r="E5524" s="368"/>
      <c r="F5524" s="368"/>
    </row>
    <row r="5525" spans="1:6" ht="25.5" x14ac:dyDescent="0.2">
      <c r="A5525" s="391">
        <v>89377</v>
      </c>
      <c r="B5525" s="478" t="s">
        <v>2962</v>
      </c>
      <c r="C5525" s="391" t="s">
        <v>26</v>
      </c>
      <c r="D5525" s="479">
        <v>9.89</v>
      </c>
      <c r="E5525" s="368"/>
      <c r="F5525" s="368"/>
    </row>
    <row r="5526" spans="1:6" ht="25.5" x14ac:dyDescent="0.2">
      <c r="A5526" s="391">
        <v>89540</v>
      </c>
      <c r="B5526" s="478" t="s">
        <v>47855</v>
      </c>
      <c r="C5526" s="391" t="s">
        <v>26</v>
      </c>
      <c r="D5526" s="479">
        <v>9.9499999999999993</v>
      </c>
      <c r="E5526" s="368"/>
      <c r="F5526" s="368"/>
    </row>
    <row r="5527" spans="1:6" ht="25.5" x14ac:dyDescent="0.2">
      <c r="A5527" s="391">
        <v>89430</v>
      </c>
      <c r="B5527" s="478" t="s">
        <v>47856</v>
      </c>
      <c r="C5527" s="391" t="s">
        <v>26</v>
      </c>
      <c r="D5527" s="479">
        <v>12.1</v>
      </c>
      <c r="E5527" s="368"/>
      <c r="F5527" s="368"/>
    </row>
    <row r="5528" spans="1:6" ht="25.5" x14ac:dyDescent="0.2">
      <c r="A5528" s="391">
        <v>89384</v>
      </c>
      <c r="B5528" s="478" t="s">
        <v>47857</v>
      </c>
      <c r="C5528" s="391" t="s">
        <v>26</v>
      </c>
      <c r="D5528" s="479">
        <v>12.63</v>
      </c>
      <c r="E5528" s="368"/>
      <c r="F5528" s="368"/>
    </row>
    <row r="5529" spans="1:6" ht="25.5" x14ac:dyDescent="0.2">
      <c r="A5529" s="391">
        <v>89555</v>
      </c>
      <c r="B5529" s="478" t="s">
        <v>47858</v>
      </c>
      <c r="C5529" s="391" t="s">
        <v>26</v>
      </c>
      <c r="D5529" s="479">
        <v>20.59</v>
      </c>
      <c r="E5529" s="368"/>
      <c r="F5529" s="368"/>
    </row>
    <row r="5530" spans="1:6" ht="25.5" x14ac:dyDescent="0.2">
      <c r="A5530" s="391">
        <v>89437</v>
      </c>
      <c r="B5530" s="478" t="s">
        <v>47859</v>
      </c>
      <c r="C5530" s="391" t="s">
        <v>26</v>
      </c>
      <c r="D5530" s="479">
        <v>23.06</v>
      </c>
      <c r="E5530" s="368"/>
      <c r="F5530" s="368"/>
    </row>
    <row r="5531" spans="1:6" ht="25.5" x14ac:dyDescent="0.2">
      <c r="A5531" s="391">
        <v>89392</v>
      </c>
      <c r="B5531" s="478" t="s">
        <v>47860</v>
      </c>
      <c r="C5531" s="391" t="s">
        <v>26</v>
      </c>
      <c r="D5531" s="479">
        <v>23.69</v>
      </c>
      <c r="E5531" s="368"/>
      <c r="F5531" s="368"/>
    </row>
    <row r="5532" spans="1:6" ht="25.5" x14ac:dyDescent="0.2">
      <c r="A5532" s="391">
        <v>89405</v>
      </c>
      <c r="B5532" s="478" t="s">
        <v>2975</v>
      </c>
      <c r="C5532" s="391" t="s">
        <v>26</v>
      </c>
      <c r="D5532" s="479">
        <v>7.57</v>
      </c>
      <c r="E5532" s="368"/>
      <c r="F5532" s="368"/>
    </row>
    <row r="5533" spans="1:6" ht="25.5" x14ac:dyDescent="0.2">
      <c r="A5533" s="391">
        <v>89359</v>
      </c>
      <c r="B5533" s="478" t="s">
        <v>2946</v>
      </c>
      <c r="C5533" s="391" t="s">
        <v>26</v>
      </c>
      <c r="D5533" s="479">
        <v>8.25</v>
      </c>
      <c r="E5533" s="368"/>
      <c r="F5533" s="368"/>
    </row>
    <row r="5534" spans="1:6" ht="25.5" x14ac:dyDescent="0.2">
      <c r="A5534" s="391">
        <v>89485</v>
      </c>
      <c r="B5534" s="478" t="s">
        <v>3003</v>
      </c>
      <c r="C5534" s="391" t="s">
        <v>26</v>
      </c>
      <c r="D5534" s="479">
        <v>5.96</v>
      </c>
      <c r="E5534" s="368"/>
      <c r="F5534" s="368"/>
    </row>
    <row r="5535" spans="1:6" ht="25.5" x14ac:dyDescent="0.2">
      <c r="A5535" s="391">
        <v>89409</v>
      </c>
      <c r="B5535" s="478" t="s">
        <v>2979</v>
      </c>
      <c r="C5535" s="391" t="s">
        <v>26</v>
      </c>
      <c r="D5535" s="479">
        <v>9.16</v>
      </c>
      <c r="E5535" s="368"/>
      <c r="F5535" s="368"/>
    </row>
    <row r="5536" spans="1:6" ht="25.5" x14ac:dyDescent="0.2">
      <c r="A5536" s="391">
        <v>89363</v>
      </c>
      <c r="B5536" s="478" t="s">
        <v>2950</v>
      </c>
      <c r="C5536" s="391" t="s">
        <v>26</v>
      </c>
      <c r="D5536" s="479">
        <v>9.9499999999999993</v>
      </c>
      <c r="E5536" s="368"/>
      <c r="F5536" s="368"/>
    </row>
    <row r="5537" spans="1:6" ht="25.5" x14ac:dyDescent="0.2">
      <c r="A5537" s="391">
        <v>89493</v>
      </c>
      <c r="B5537" s="478" t="s">
        <v>3007</v>
      </c>
      <c r="C5537" s="391" t="s">
        <v>26</v>
      </c>
      <c r="D5537" s="479">
        <v>9.6999999999999993</v>
      </c>
      <c r="E5537" s="368"/>
      <c r="F5537" s="368"/>
    </row>
    <row r="5538" spans="1:6" ht="25.5" x14ac:dyDescent="0.2">
      <c r="A5538" s="391">
        <v>89414</v>
      </c>
      <c r="B5538" s="478" t="s">
        <v>2983</v>
      </c>
      <c r="C5538" s="391" t="s">
        <v>26</v>
      </c>
      <c r="D5538" s="479">
        <v>13.42</v>
      </c>
      <c r="E5538" s="368"/>
      <c r="F5538" s="368"/>
    </row>
    <row r="5539" spans="1:6" ht="25.5" x14ac:dyDescent="0.2">
      <c r="A5539" s="391">
        <v>89368</v>
      </c>
      <c r="B5539" s="478" t="s">
        <v>2954</v>
      </c>
      <c r="C5539" s="391" t="s">
        <v>26</v>
      </c>
      <c r="D5539" s="479">
        <v>14.37</v>
      </c>
      <c r="E5539" s="368"/>
      <c r="F5539" s="368"/>
    </row>
    <row r="5540" spans="1:6" ht="25.5" x14ac:dyDescent="0.2">
      <c r="A5540" s="391">
        <v>89498</v>
      </c>
      <c r="B5540" s="478" t="s">
        <v>3011</v>
      </c>
      <c r="C5540" s="391" t="s">
        <v>26</v>
      </c>
      <c r="D5540" s="479">
        <v>12.79</v>
      </c>
      <c r="E5540" s="368"/>
      <c r="F5540" s="368"/>
    </row>
    <row r="5541" spans="1:6" ht="25.5" x14ac:dyDescent="0.2">
      <c r="A5541" s="391">
        <v>103981</v>
      </c>
      <c r="B5541" s="478" t="s">
        <v>3763</v>
      </c>
      <c r="C5541" s="391" t="s">
        <v>26</v>
      </c>
      <c r="D5541" s="479">
        <v>17.07</v>
      </c>
      <c r="E5541" s="368"/>
      <c r="F5541" s="368"/>
    </row>
    <row r="5542" spans="1:6" ht="25.5" x14ac:dyDescent="0.2">
      <c r="A5542" s="391">
        <v>89502</v>
      </c>
      <c r="B5542" s="478" t="s">
        <v>3015</v>
      </c>
      <c r="C5542" s="391" t="s">
        <v>26</v>
      </c>
      <c r="D5542" s="479">
        <v>16.29</v>
      </c>
      <c r="E5542" s="368"/>
      <c r="F5542" s="368"/>
    </row>
    <row r="5543" spans="1:6" ht="25.5" x14ac:dyDescent="0.2">
      <c r="A5543" s="391">
        <v>103985</v>
      </c>
      <c r="B5543" s="478" t="s">
        <v>3767</v>
      </c>
      <c r="C5543" s="391" t="s">
        <v>26</v>
      </c>
      <c r="D5543" s="479">
        <v>21.31</v>
      </c>
      <c r="E5543" s="368"/>
      <c r="F5543" s="368"/>
    </row>
    <row r="5544" spans="1:6" ht="25.5" x14ac:dyDescent="0.2">
      <c r="A5544" s="391">
        <v>89506</v>
      </c>
      <c r="B5544" s="478" t="s">
        <v>3019</v>
      </c>
      <c r="C5544" s="391" t="s">
        <v>26</v>
      </c>
      <c r="D5544" s="479">
        <v>37.880000000000003</v>
      </c>
      <c r="E5544" s="368"/>
      <c r="F5544" s="368"/>
    </row>
    <row r="5545" spans="1:6" ht="25.5" x14ac:dyDescent="0.2">
      <c r="A5545" s="391">
        <v>89515</v>
      </c>
      <c r="B5545" s="478" t="s">
        <v>3024</v>
      </c>
      <c r="C5545" s="391" t="s">
        <v>26</v>
      </c>
      <c r="D5545" s="479">
        <v>79.05</v>
      </c>
      <c r="E5545" s="368"/>
      <c r="F5545" s="368"/>
    </row>
    <row r="5546" spans="1:6" ht="25.5" x14ac:dyDescent="0.2">
      <c r="A5546" s="391">
        <v>89523</v>
      </c>
      <c r="B5546" s="478" t="s">
        <v>3032</v>
      </c>
      <c r="C5546" s="391" t="s">
        <v>26</v>
      </c>
      <c r="D5546" s="479">
        <v>96.65</v>
      </c>
      <c r="E5546" s="368"/>
      <c r="F5546" s="368"/>
    </row>
    <row r="5547" spans="1:6" ht="38.25" x14ac:dyDescent="0.2">
      <c r="A5547" s="391">
        <v>90373</v>
      </c>
      <c r="B5547" s="478" t="s">
        <v>47861</v>
      </c>
      <c r="C5547" s="391" t="s">
        <v>26</v>
      </c>
      <c r="D5547" s="479">
        <v>12.61</v>
      </c>
      <c r="E5547" s="368"/>
      <c r="F5547" s="368"/>
    </row>
    <row r="5548" spans="1:6" ht="38.25" x14ac:dyDescent="0.2">
      <c r="A5548" s="391">
        <v>89366</v>
      </c>
      <c r="B5548" s="478" t="s">
        <v>47862</v>
      </c>
      <c r="C5548" s="391" t="s">
        <v>26</v>
      </c>
      <c r="D5548" s="479">
        <v>15.8</v>
      </c>
      <c r="E5548" s="368"/>
      <c r="F5548" s="368"/>
    </row>
    <row r="5549" spans="1:6" ht="25.5" x14ac:dyDescent="0.2">
      <c r="A5549" s="391">
        <v>89404</v>
      </c>
      <c r="B5549" s="478" t="s">
        <v>2974</v>
      </c>
      <c r="C5549" s="391" t="s">
        <v>26</v>
      </c>
      <c r="D5549" s="479">
        <v>7.04</v>
      </c>
      <c r="E5549" s="368"/>
      <c r="F5549" s="368"/>
    </row>
    <row r="5550" spans="1:6" ht="25.5" x14ac:dyDescent="0.2">
      <c r="A5550" s="391">
        <v>89358</v>
      </c>
      <c r="B5550" s="478" t="s">
        <v>2945</v>
      </c>
      <c r="C5550" s="391" t="s">
        <v>26</v>
      </c>
      <c r="D5550" s="479">
        <v>7.72</v>
      </c>
      <c r="E5550" s="368"/>
      <c r="F5550" s="368"/>
    </row>
    <row r="5551" spans="1:6" ht="25.5" x14ac:dyDescent="0.2">
      <c r="A5551" s="391">
        <v>89481</v>
      </c>
      <c r="B5551" s="478" t="s">
        <v>3002</v>
      </c>
      <c r="C5551" s="391" t="s">
        <v>26</v>
      </c>
      <c r="D5551" s="479">
        <v>5.19</v>
      </c>
      <c r="E5551" s="368"/>
      <c r="F5551" s="368"/>
    </row>
    <row r="5552" spans="1:6" ht="25.5" x14ac:dyDescent="0.2">
      <c r="A5552" s="391">
        <v>89408</v>
      </c>
      <c r="B5552" s="478" t="s">
        <v>2978</v>
      </c>
      <c r="C5552" s="391" t="s">
        <v>26</v>
      </c>
      <c r="D5552" s="479">
        <v>8.39</v>
      </c>
      <c r="E5552" s="368"/>
      <c r="F5552" s="368"/>
    </row>
    <row r="5553" spans="1:6" ht="25.5" x14ac:dyDescent="0.2">
      <c r="A5553" s="391">
        <v>89362</v>
      </c>
      <c r="B5553" s="478" t="s">
        <v>2949</v>
      </c>
      <c r="C5553" s="391" t="s">
        <v>26</v>
      </c>
      <c r="D5553" s="479">
        <v>9.18</v>
      </c>
      <c r="E5553" s="368"/>
      <c r="F5553" s="368"/>
    </row>
    <row r="5554" spans="1:6" ht="25.5" x14ac:dyDescent="0.2">
      <c r="A5554" s="391">
        <v>89412</v>
      </c>
      <c r="B5554" s="478" t="s">
        <v>47863</v>
      </c>
      <c r="C5554" s="391" t="s">
        <v>26</v>
      </c>
      <c r="D5554" s="479">
        <v>9.4700000000000006</v>
      </c>
      <c r="E5554" s="368"/>
      <c r="F5554" s="368"/>
    </row>
    <row r="5555" spans="1:6" ht="25.5" x14ac:dyDescent="0.2">
      <c r="A5555" s="391">
        <v>89492</v>
      </c>
      <c r="B5555" s="478" t="s">
        <v>3006</v>
      </c>
      <c r="C5555" s="391" t="s">
        <v>26</v>
      </c>
      <c r="D5555" s="479">
        <v>7.99</v>
      </c>
      <c r="E5555" s="368"/>
      <c r="F5555" s="368"/>
    </row>
    <row r="5556" spans="1:6" ht="25.5" x14ac:dyDescent="0.2">
      <c r="A5556" s="391">
        <v>89413</v>
      </c>
      <c r="B5556" s="478" t="s">
        <v>2982</v>
      </c>
      <c r="C5556" s="391" t="s">
        <v>26</v>
      </c>
      <c r="D5556" s="479">
        <v>11.71</v>
      </c>
      <c r="E5556" s="368"/>
      <c r="F5556" s="368"/>
    </row>
    <row r="5557" spans="1:6" ht="25.5" x14ac:dyDescent="0.2">
      <c r="A5557" s="391">
        <v>89367</v>
      </c>
      <c r="B5557" s="478" t="s">
        <v>2953</v>
      </c>
      <c r="C5557" s="391" t="s">
        <v>26</v>
      </c>
      <c r="D5557" s="479">
        <v>12.66</v>
      </c>
      <c r="E5557" s="368"/>
      <c r="F5557" s="368"/>
    </row>
    <row r="5558" spans="1:6" ht="25.5" x14ac:dyDescent="0.2">
      <c r="A5558" s="391">
        <v>89497</v>
      </c>
      <c r="B5558" s="478" t="s">
        <v>3010</v>
      </c>
      <c r="C5558" s="391" t="s">
        <v>26</v>
      </c>
      <c r="D5558" s="479">
        <v>12.73</v>
      </c>
      <c r="E5558" s="368"/>
      <c r="F5558" s="368"/>
    </row>
    <row r="5559" spans="1:6" ht="25.5" x14ac:dyDescent="0.2">
      <c r="A5559" s="391">
        <v>103980</v>
      </c>
      <c r="B5559" s="478" t="s">
        <v>3762</v>
      </c>
      <c r="C5559" s="391" t="s">
        <v>26</v>
      </c>
      <c r="D5559" s="479">
        <v>17.010000000000002</v>
      </c>
      <c r="E5559" s="368"/>
      <c r="F5559" s="368"/>
    </row>
    <row r="5560" spans="1:6" ht="25.5" x14ac:dyDescent="0.2">
      <c r="A5560" s="391">
        <v>89501</v>
      </c>
      <c r="B5560" s="478" t="s">
        <v>3014</v>
      </c>
      <c r="C5560" s="391" t="s">
        <v>26</v>
      </c>
      <c r="D5560" s="479">
        <v>13.81</v>
      </c>
      <c r="E5560" s="368"/>
      <c r="F5560" s="368"/>
    </row>
    <row r="5561" spans="1:6" ht="25.5" x14ac:dyDescent="0.2">
      <c r="A5561" s="391">
        <v>103984</v>
      </c>
      <c r="B5561" s="478" t="s">
        <v>3766</v>
      </c>
      <c r="C5561" s="391" t="s">
        <v>26</v>
      </c>
      <c r="D5561" s="479">
        <v>18.829999999999998</v>
      </c>
      <c r="E5561" s="368"/>
      <c r="F5561" s="368"/>
    </row>
    <row r="5562" spans="1:6" ht="25.5" x14ac:dyDescent="0.2">
      <c r="A5562" s="391">
        <v>89505</v>
      </c>
      <c r="B5562" s="478" t="s">
        <v>3018</v>
      </c>
      <c r="C5562" s="391" t="s">
        <v>26</v>
      </c>
      <c r="D5562" s="479">
        <v>39.619999999999997</v>
      </c>
      <c r="E5562" s="368"/>
      <c r="F5562" s="368"/>
    </row>
    <row r="5563" spans="1:6" ht="25.5" x14ac:dyDescent="0.2">
      <c r="A5563" s="391">
        <v>89513</v>
      </c>
      <c r="B5563" s="478" t="s">
        <v>3022</v>
      </c>
      <c r="C5563" s="391" t="s">
        <v>26</v>
      </c>
      <c r="D5563" s="479">
        <v>99.04</v>
      </c>
      <c r="E5563" s="368"/>
      <c r="F5563" s="368"/>
    </row>
    <row r="5564" spans="1:6" ht="25.5" x14ac:dyDescent="0.2">
      <c r="A5564" s="391">
        <v>89521</v>
      </c>
      <c r="B5564" s="478" t="s">
        <v>3030</v>
      </c>
      <c r="C5564" s="391" t="s">
        <v>26</v>
      </c>
      <c r="D5564" s="479">
        <v>118.06</v>
      </c>
      <c r="E5564" s="368"/>
      <c r="F5564" s="368"/>
    </row>
    <row r="5565" spans="1:6" ht="38.25" x14ac:dyDescent="0.2">
      <c r="A5565" s="391">
        <v>103955</v>
      </c>
      <c r="B5565" s="478" t="s">
        <v>3747</v>
      </c>
      <c r="C5565" s="391" t="s">
        <v>26</v>
      </c>
      <c r="D5565" s="479">
        <v>9.77</v>
      </c>
      <c r="E5565" s="368"/>
      <c r="F5565" s="368"/>
    </row>
    <row r="5566" spans="1:6" ht="38.25" x14ac:dyDescent="0.2">
      <c r="A5566" s="391">
        <v>103950</v>
      </c>
      <c r="B5566" s="478" t="s">
        <v>3742</v>
      </c>
      <c r="C5566" s="391" t="s">
        <v>26</v>
      </c>
      <c r="D5566" s="479">
        <v>10.51</v>
      </c>
      <c r="E5566" s="368"/>
      <c r="F5566" s="368"/>
    </row>
    <row r="5567" spans="1:6" ht="38.25" x14ac:dyDescent="0.2">
      <c r="A5567" s="391">
        <v>103974</v>
      </c>
      <c r="B5567" s="478" t="s">
        <v>3759</v>
      </c>
      <c r="C5567" s="391" t="s">
        <v>26</v>
      </c>
      <c r="D5567" s="479">
        <v>10.16</v>
      </c>
      <c r="E5567" s="368"/>
      <c r="F5567" s="368"/>
    </row>
    <row r="5568" spans="1:6" ht="38.25" x14ac:dyDescent="0.2">
      <c r="A5568" s="391">
        <v>103956</v>
      </c>
      <c r="B5568" s="478" t="s">
        <v>3748</v>
      </c>
      <c r="C5568" s="391" t="s">
        <v>26</v>
      </c>
      <c r="D5568" s="479">
        <v>13.63</v>
      </c>
      <c r="E5568" s="368"/>
      <c r="F5568" s="368"/>
    </row>
    <row r="5569" spans="1:6" ht="38.25" x14ac:dyDescent="0.2">
      <c r="A5569" s="391">
        <v>103951</v>
      </c>
      <c r="B5569" s="478" t="s">
        <v>3743</v>
      </c>
      <c r="C5569" s="391" t="s">
        <v>26</v>
      </c>
      <c r="D5569" s="479">
        <v>14.49</v>
      </c>
      <c r="E5569" s="368"/>
      <c r="F5569" s="368"/>
    </row>
    <row r="5570" spans="1:6" ht="25.5" x14ac:dyDescent="0.2">
      <c r="A5570" s="391">
        <v>89374</v>
      </c>
      <c r="B5570" s="478" t="s">
        <v>2960</v>
      </c>
      <c r="C5570" s="391" t="s">
        <v>26</v>
      </c>
      <c r="D5570" s="479">
        <v>9.8000000000000007</v>
      </c>
      <c r="E5570" s="368"/>
      <c r="F5570" s="368"/>
    </row>
    <row r="5571" spans="1:6" ht="25.5" x14ac:dyDescent="0.2">
      <c r="A5571" s="391">
        <v>89427</v>
      </c>
      <c r="B5571" s="478" t="s">
        <v>47864</v>
      </c>
      <c r="C5571" s="391" t="s">
        <v>26</v>
      </c>
      <c r="D5571" s="479">
        <v>11.52</v>
      </c>
      <c r="E5571" s="368"/>
      <c r="F5571" s="368"/>
    </row>
    <row r="5572" spans="1:6" ht="25.5" x14ac:dyDescent="0.2">
      <c r="A5572" s="391">
        <v>89381</v>
      </c>
      <c r="B5572" s="478" t="s">
        <v>47865</v>
      </c>
      <c r="C5572" s="391" t="s">
        <v>26</v>
      </c>
      <c r="D5572" s="479">
        <v>12.02</v>
      </c>
      <c r="E5572" s="368"/>
      <c r="F5572" s="368"/>
    </row>
    <row r="5573" spans="1:6" ht="25.5" x14ac:dyDescent="0.2">
      <c r="A5573" s="391">
        <v>95237</v>
      </c>
      <c r="B5573" s="478" t="s">
        <v>47866</v>
      </c>
      <c r="C5573" s="391" t="s">
        <v>26</v>
      </c>
      <c r="D5573" s="479">
        <v>23.33</v>
      </c>
      <c r="E5573" s="368"/>
      <c r="F5573" s="368"/>
    </row>
    <row r="5574" spans="1:6" ht="25.5" x14ac:dyDescent="0.2">
      <c r="A5574" s="391">
        <v>89979</v>
      </c>
      <c r="B5574" s="478" t="s">
        <v>47867</v>
      </c>
      <c r="C5574" s="391" t="s">
        <v>26</v>
      </c>
      <c r="D5574" s="479">
        <v>23.9</v>
      </c>
      <c r="E5574" s="368"/>
      <c r="F5574" s="368"/>
    </row>
    <row r="5575" spans="1:6" ht="25.5" x14ac:dyDescent="0.2">
      <c r="A5575" s="391">
        <v>103991</v>
      </c>
      <c r="B5575" s="478" t="s">
        <v>3772</v>
      </c>
      <c r="C5575" s="391" t="s">
        <v>26</v>
      </c>
      <c r="D5575" s="479">
        <v>17.61</v>
      </c>
      <c r="E5575" s="368"/>
      <c r="F5575" s="368"/>
    </row>
    <row r="5576" spans="1:6" ht="25.5" x14ac:dyDescent="0.2">
      <c r="A5576" s="391">
        <v>89564</v>
      </c>
      <c r="B5576" s="478" t="s">
        <v>47868</v>
      </c>
      <c r="C5576" s="391" t="s">
        <v>26</v>
      </c>
      <c r="D5576" s="479">
        <v>14.92</v>
      </c>
      <c r="E5576" s="368"/>
      <c r="F5576" s="368"/>
    </row>
    <row r="5577" spans="1:6" ht="25.5" x14ac:dyDescent="0.2">
      <c r="A5577" s="391">
        <v>104000</v>
      </c>
      <c r="B5577" s="478" t="s">
        <v>3780</v>
      </c>
      <c r="C5577" s="391" t="s">
        <v>26</v>
      </c>
      <c r="D5577" s="479">
        <v>26.92</v>
      </c>
      <c r="E5577" s="368"/>
      <c r="F5577" s="368"/>
    </row>
    <row r="5578" spans="1:6" ht="25.5" x14ac:dyDescent="0.2">
      <c r="A5578" s="391">
        <v>89593</v>
      </c>
      <c r="B5578" s="478" t="s">
        <v>47869</v>
      </c>
      <c r="C5578" s="391" t="s">
        <v>26</v>
      </c>
      <c r="D5578" s="479">
        <v>23.74</v>
      </c>
      <c r="E5578" s="368"/>
      <c r="F5578" s="368"/>
    </row>
    <row r="5579" spans="1:6" ht="25.5" x14ac:dyDescent="0.2">
      <c r="A5579" s="391">
        <v>89418</v>
      </c>
      <c r="B5579" s="478" t="s">
        <v>2987</v>
      </c>
      <c r="C5579" s="391" t="s">
        <v>26</v>
      </c>
      <c r="D5579" s="479">
        <v>15.08</v>
      </c>
      <c r="E5579" s="368"/>
      <c r="F5579" s="368"/>
    </row>
    <row r="5580" spans="1:6" ht="25.5" x14ac:dyDescent="0.2">
      <c r="A5580" s="391">
        <v>89372</v>
      </c>
      <c r="B5580" s="478" t="s">
        <v>2958</v>
      </c>
      <c r="C5580" s="391" t="s">
        <v>26</v>
      </c>
      <c r="D5580" s="479">
        <v>15.53</v>
      </c>
      <c r="E5580" s="368"/>
      <c r="F5580" s="368"/>
    </row>
    <row r="5581" spans="1:6" ht="25.5" x14ac:dyDescent="0.2">
      <c r="A5581" s="391">
        <v>89530</v>
      </c>
      <c r="B5581" s="478" t="s">
        <v>3039</v>
      </c>
      <c r="C5581" s="391" t="s">
        <v>26</v>
      </c>
      <c r="D5581" s="479">
        <v>15.56</v>
      </c>
      <c r="E5581" s="368"/>
      <c r="F5581" s="368"/>
    </row>
    <row r="5582" spans="1:6" ht="25.5" x14ac:dyDescent="0.2">
      <c r="A5582" s="391">
        <v>89425</v>
      </c>
      <c r="B5582" s="478" t="s">
        <v>2991</v>
      </c>
      <c r="C5582" s="391" t="s">
        <v>26</v>
      </c>
      <c r="D5582" s="479">
        <v>17.71</v>
      </c>
      <c r="E5582" s="368"/>
      <c r="F5582" s="368"/>
    </row>
    <row r="5583" spans="1:6" ht="25.5" x14ac:dyDescent="0.2">
      <c r="A5583" s="391">
        <v>89379</v>
      </c>
      <c r="B5583" s="478" t="s">
        <v>2964</v>
      </c>
      <c r="C5583" s="391" t="s">
        <v>26</v>
      </c>
      <c r="D5583" s="479">
        <v>18.239999999999998</v>
      </c>
      <c r="E5583" s="368"/>
      <c r="F5583" s="368"/>
    </row>
    <row r="5584" spans="1:6" ht="25.5" x14ac:dyDescent="0.2">
      <c r="A5584" s="391">
        <v>89542</v>
      </c>
      <c r="B5584" s="478" t="s">
        <v>3045</v>
      </c>
      <c r="C5584" s="391" t="s">
        <v>26</v>
      </c>
      <c r="D5584" s="479">
        <v>25.96</v>
      </c>
      <c r="E5584" s="368"/>
      <c r="F5584" s="368"/>
    </row>
    <row r="5585" spans="1:6" ht="25.5" x14ac:dyDescent="0.2">
      <c r="A5585" s="391">
        <v>89432</v>
      </c>
      <c r="B5585" s="478" t="s">
        <v>47870</v>
      </c>
      <c r="C5585" s="391" t="s">
        <v>26</v>
      </c>
      <c r="D5585" s="479">
        <v>28.43</v>
      </c>
      <c r="E5585" s="368"/>
      <c r="F5585" s="368"/>
    </row>
    <row r="5586" spans="1:6" ht="25.5" x14ac:dyDescent="0.2">
      <c r="A5586" s="391">
        <v>89387</v>
      </c>
      <c r="B5586" s="478" t="s">
        <v>47871</v>
      </c>
      <c r="C5586" s="391" t="s">
        <v>26</v>
      </c>
      <c r="D5586" s="479">
        <v>29.06</v>
      </c>
      <c r="E5586" s="368"/>
      <c r="F5586" s="368"/>
    </row>
    <row r="5587" spans="1:6" ht="25.5" x14ac:dyDescent="0.2">
      <c r="A5587" s="391">
        <v>89560</v>
      </c>
      <c r="B5587" s="478" t="s">
        <v>47872</v>
      </c>
      <c r="C5587" s="391" t="s">
        <v>26</v>
      </c>
      <c r="D5587" s="479">
        <v>33.26</v>
      </c>
      <c r="E5587" s="368"/>
      <c r="F5587" s="368"/>
    </row>
    <row r="5588" spans="1:6" ht="25.5" x14ac:dyDescent="0.2">
      <c r="A5588" s="391">
        <v>104159</v>
      </c>
      <c r="B5588" s="478" t="s">
        <v>3805</v>
      </c>
      <c r="C5588" s="391" t="s">
        <v>26</v>
      </c>
      <c r="D5588" s="479">
        <v>36.15</v>
      </c>
      <c r="E5588" s="368"/>
      <c r="F5588" s="368"/>
    </row>
    <row r="5589" spans="1:6" ht="25.5" x14ac:dyDescent="0.2">
      <c r="A5589" s="391">
        <v>89577</v>
      </c>
      <c r="B5589" s="478" t="s">
        <v>3071</v>
      </c>
      <c r="C5589" s="391" t="s">
        <v>26</v>
      </c>
      <c r="D5589" s="479">
        <v>35.14</v>
      </c>
      <c r="E5589" s="368"/>
      <c r="F5589" s="368"/>
    </row>
    <row r="5590" spans="1:6" ht="25.5" x14ac:dyDescent="0.2">
      <c r="A5590" s="391">
        <v>103996</v>
      </c>
      <c r="B5590" s="478" t="s">
        <v>3777</v>
      </c>
      <c r="C5590" s="391" t="s">
        <v>26</v>
      </c>
      <c r="D5590" s="479">
        <v>38.5</v>
      </c>
      <c r="E5590" s="368"/>
      <c r="F5590" s="368"/>
    </row>
    <row r="5591" spans="1:6" ht="25.5" x14ac:dyDescent="0.2">
      <c r="A5591" s="391">
        <v>89598</v>
      </c>
      <c r="B5591" s="478" t="s">
        <v>47873</v>
      </c>
      <c r="C5591" s="391" t="s">
        <v>26</v>
      </c>
      <c r="D5591" s="479">
        <v>47.38</v>
      </c>
      <c r="E5591" s="368"/>
      <c r="F5591" s="368"/>
    </row>
    <row r="5592" spans="1:6" ht="25.5" x14ac:dyDescent="0.2">
      <c r="A5592" s="391">
        <v>89419</v>
      </c>
      <c r="B5592" s="478" t="s">
        <v>2988</v>
      </c>
      <c r="C5592" s="391" t="s">
        <v>26</v>
      </c>
      <c r="D5592" s="479">
        <v>6.4</v>
      </c>
      <c r="E5592" s="368"/>
      <c r="F5592" s="368"/>
    </row>
    <row r="5593" spans="1:6" ht="25.5" x14ac:dyDescent="0.2">
      <c r="A5593" s="391">
        <v>89373</v>
      </c>
      <c r="B5593" s="478" t="s">
        <v>2959</v>
      </c>
      <c r="C5593" s="391" t="s">
        <v>26</v>
      </c>
      <c r="D5593" s="479">
        <v>6.9</v>
      </c>
      <c r="E5593" s="368"/>
      <c r="F5593" s="368"/>
    </row>
    <row r="5594" spans="1:6" ht="25.5" x14ac:dyDescent="0.2">
      <c r="A5594" s="391">
        <v>89532</v>
      </c>
      <c r="B5594" s="478" t="s">
        <v>3041</v>
      </c>
      <c r="C5594" s="391" t="s">
        <v>26</v>
      </c>
      <c r="D5594" s="479">
        <v>6.84</v>
      </c>
      <c r="E5594" s="368"/>
      <c r="F5594" s="368"/>
    </row>
    <row r="5595" spans="1:6" ht="25.5" x14ac:dyDescent="0.2">
      <c r="A5595" s="391">
        <v>89426</v>
      </c>
      <c r="B5595" s="478" t="s">
        <v>2992</v>
      </c>
      <c r="C5595" s="391" t="s">
        <v>26</v>
      </c>
      <c r="D5595" s="479">
        <v>9.17</v>
      </c>
      <c r="E5595" s="368"/>
      <c r="F5595" s="368"/>
    </row>
    <row r="5596" spans="1:6" ht="25.5" x14ac:dyDescent="0.2">
      <c r="A5596" s="391">
        <v>89380</v>
      </c>
      <c r="B5596" s="478" t="s">
        <v>2965</v>
      </c>
      <c r="C5596" s="391" t="s">
        <v>26</v>
      </c>
      <c r="D5596" s="479">
        <v>9.74</v>
      </c>
      <c r="E5596" s="368"/>
      <c r="F5596" s="368"/>
    </row>
    <row r="5597" spans="1:6" ht="25.5" x14ac:dyDescent="0.2">
      <c r="A5597" s="391">
        <v>89562</v>
      </c>
      <c r="B5597" s="478" t="s">
        <v>3060</v>
      </c>
      <c r="C5597" s="391" t="s">
        <v>26</v>
      </c>
      <c r="D5597" s="479">
        <v>9.94</v>
      </c>
      <c r="E5597" s="368"/>
      <c r="F5597" s="368"/>
    </row>
    <row r="5598" spans="1:6" ht="25.5" x14ac:dyDescent="0.2">
      <c r="A5598" s="391">
        <v>89433</v>
      </c>
      <c r="B5598" s="478" t="s">
        <v>2995</v>
      </c>
      <c r="C5598" s="391" t="s">
        <v>26</v>
      </c>
      <c r="D5598" s="479">
        <v>12.63</v>
      </c>
      <c r="E5598" s="368"/>
      <c r="F5598" s="368"/>
    </row>
    <row r="5599" spans="1:6" ht="25.5" x14ac:dyDescent="0.2">
      <c r="A5599" s="391">
        <v>89579</v>
      </c>
      <c r="B5599" s="478" t="s">
        <v>47874</v>
      </c>
      <c r="C5599" s="391" t="s">
        <v>26</v>
      </c>
      <c r="D5599" s="479">
        <v>11.24</v>
      </c>
      <c r="E5599" s="368"/>
      <c r="F5599" s="368"/>
    </row>
    <row r="5600" spans="1:6" ht="25.5" x14ac:dyDescent="0.2">
      <c r="A5600" s="391">
        <v>103998</v>
      </c>
      <c r="B5600" s="478" t="s">
        <v>47875</v>
      </c>
      <c r="C5600" s="391" t="s">
        <v>26</v>
      </c>
      <c r="D5600" s="479">
        <v>13.99</v>
      </c>
      <c r="E5600" s="368"/>
      <c r="F5600" s="368"/>
    </row>
    <row r="5601" spans="1:6" ht="25.5" x14ac:dyDescent="0.2">
      <c r="A5601" s="391">
        <v>89605</v>
      </c>
      <c r="B5601" s="478" t="s">
        <v>3085</v>
      </c>
      <c r="C5601" s="391" t="s">
        <v>26</v>
      </c>
      <c r="D5601" s="479">
        <v>19.760000000000002</v>
      </c>
      <c r="E5601" s="368"/>
      <c r="F5601" s="368"/>
    </row>
    <row r="5602" spans="1:6" ht="25.5" x14ac:dyDescent="0.2">
      <c r="A5602" s="391">
        <v>89981</v>
      </c>
      <c r="B5602" s="478" t="s">
        <v>47876</v>
      </c>
      <c r="C5602" s="391" t="s">
        <v>26</v>
      </c>
      <c r="D5602" s="479">
        <v>21</v>
      </c>
      <c r="E5602" s="368"/>
      <c r="F5602" s="368"/>
    </row>
    <row r="5603" spans="1:6" ht="38.25" x14ac:dyDescent="0.2">
      <c r="A5603" s="391">
        <v>89385</v>
      </c>
      <c r="B5603" s="478" t="s">
        <v>47877</v>
      </c>
      <c r="C5603" s="391" t="s">
        <v>26</v>
      </c>
      <c r="D5603" s="479">
        <v>7.01</v>
      </c>
      <c r="E5603" s="368"/>
      <c r="F5603" s="368"/>
    </row>
    <row r="5604" spans="1:6" ht="25.5" x14ac:dyDescent="0.2">
      <c r="A5604" s="391">
        <v>89551</v>
      </c>
      <c r="B5604" s="478" t="s">
        <v>47878</v>
      </c>
      <c r="C5604" s="391" t="s">
        <v>26</v>
      </c>
      <c r="D5604" s="479">
        <v>8.23</v>
      </c>
      <c r="E5604" s="368"/>
      <c r="F5604" s="368"/>
    </row>
    <row r="5605" spans="1:6" ht="25.5" x14ac:dyDescent="0.2">
      <c r="A5605" s="391">
        <v>89434</v>
      </c>
      <c r="B5605" s="478" t="s">
        <v>47879</v>
      </c>
      <c r="C5605" s="391" t="s">
        <v>26</v>
      </c>
      <c r="D5605" s="479">
        <v>10.56</v>
      </c>
      <c r="E5605" s="368"/>
      <c r="F5605" s="368"/>
    </row>
    <row r="5606" spans="1:6" ht="25.5" x14ac:dyDescent="0.2">
      <c r="A5606" s="391">
        <v>89389</v>
      </c>
      <c r="B5606" s="478" t="s">
        <v>47880</v>
      </c>
      <c r="C5606" s="391" t="s">
        <v>26</v>
      </c>
      <c r="D5606" s="479">
        <v>11.13</v>
      </c>
      <c r="E5606" s="368"/>
      <c r="F5606" s="368"/>
    </row>
    <row r="5607" spans="1:6" ht="25.5" x14ac:dyDescent="0.2">
      <c r="A5607" s="391">
        <v>89417</v>
      </c>
      <c r="B5607" s="478" t="s">
        <v>2986</v>
      </c>
      <c r="C5607" s="391" t="s">
        <v>26</v>
      </c>
      <c r="D5607" s="479">
        <v>5.32</v>
      </c>
      <c r="E5607" s="368"/>
      <c r="F5607" s="368"/>
    </row>
    <row r="5608" spans="1:6" ht="25.5" x14ac:dyDescent="0.2">
      <c r="A5608" s="391">
        <v>89371</v>
      </c>
      <c r="B5608" s="478" t="s">
        <v>2957</v>
      </c>
      <c r="C5608" s="391" t="s">
        <v>26</v>
      </c>
      <c r="D5608" s="479">
        <v>5.77</v>
      </c>
      <c r="E5608" s="368"/>
      <c r="F5608" s="368"/>
    </row>
    <row r="5609" spans="1:6" ht="25.5" x14ac:dyDescent="0.2">
      <c r="A5609" s="391">
        <v>89528</v>
      </c>
      <c r="B5609" s="478" t="s">
        <v>3037</v>
      </c>
      <c r="C5609" s="391" t="s">
        <v>26</v>
      </c>
      <c r="D5609" s="479">
        <v>4.13</v>
      </c>
      <c r="E5609" s="368"/>
      <c r="F5609" s="368"/>
    </row>
    <row r="5610" spans="1:6" ht="25.5" x14ac:dyDescent="0.2">
      <c r="A5610" s="391">
        <v>89424</v>
      </c>
      <c r="B5610" s="478" t="s">
        <v>2990</v>
      </c>
      <c r="C5610" s="391" t="s">
        <v>26</v>
      </c>
      <c r="D5610" s="479">
        <v>6.28</v>
      </c>
      <c r="E5610" s="368"/>
      <c r="F5610" s="368"/>
    </row>
    <row r="5611" spans="1:6" ht="25.5" x14ac:dyDescent="0.2">
      <c r="A5611" s="391">
        <v>89378</v>
      </c>
      <c r="B5611" s="478" t="s">
        <v>2963</v>
      </c>
      <c r="C5611" s="391" t="s">
        <v>26</v>
      </c>
      <c r="D5611" s="479">
        <v>6.81</v>
      </c>
      <c r="E5611" s="368"/>
      <c r="F5611" s="368"/>
    </row>
    <row r="5612" spans="1:6" ht="25.5" x14ac:dyDescent="0.2">
      <c r="A5612" s="391">
        <v>89541</v>
      </c>
      <c r="B5612" s="478" t="s">
        <v>3044</v>
      </c>
      <c r="C5612" s="391" t="s">
        <v>26</v>
      </c>
      <c r="D5612" s="479">
        <v>6.2</v>
      </c>
      <c r="E5612" s="368"/>
      <c r="F5612" s="368"/>
    </row>
    <row r="5613" spans="1:6" ht="25.5" x14ac:dyDescent="0.2">
      <c r="A5613" s="391">
        <v>89431</v>
      </c>
      <c r="B5613" s="478" t="s">
        <v>2994</v>
      </c>
      <c r="C5613" s="391" t="s">
        <v>26</v>
      </c>
      <c r="D5613" s="479">
        <v>8.67</v>
      </c>
      <c r="E5613" s="368"/>
      <c r="F5613" s="368"/>
    </row>
    <row r="5614" spans="1:6" ht="25.5" x14ac:dyDescent="0.2">
      <c r="A5614" s="391">
        <v>89386</v>
      </c>
      <c r="B5614" s="478" t="s">
        <v>2967</v>
      </c>
      <c r="C5614" s="391" t="s">
        <v>26</v>
      </c>
      <c r="D5614" s="479">
        <v>9.3000000000000007</v>
      </c>
      <c r="E5614" s="368"/>
      <c r="F5614" s="368"/>
    </row>
    <row r="5615" spans="1:6" ht="25.5" x14ac:dyDescent="0.2">
      <c r="A5615" s="391">
        <v>89558</v>
      </c>
      <c r="B5615" s="478" t="s">
        <v>3057</v>
      </c>
      <c r="C5615" s="391" t="s">
        <v>26</v>
      </c>
      <c r="D5615" s="479">
        <v>9.3800000000000008</v>
      </c>
      <c r="E5615" s="368"/>
      <c r="F5615" s="368"/>
    </row>
    <row r="5616" spans="1:6" ht="25.5" x14ac:dyDescent="0.2">
      <c r="A5616" s="391">
        <v>103988</v>
      </c>
      <c r="B5616" s="478" t="s">
        <v>3770</v>
      </c>
      <c r="C5616" s="391" t="s">
        <v>26</v>
      </c>
      <c r="D5616" s="479">
        <v>12.27</v>
      </c>
      <c r="E5616" s="368"/>
      <c r="F5616" s="368"/>
    </row>
    <row r="5617" spans="1:6" ht="25.5" x14ac:dyDescent="0.2">
      <c r="A5617" s="391">
        <v>89575</v>
      </c>
      <c r="B5617" s="478" t="s">
        <v>3070</v>
      </c>
      <c r="C5617" s="391" t="s">
        <v>26</v>
      </c>
      <c r="D5617" s="479">
        <v>11.14</v>
      </c>
      <c r="E5617" s="368"/>
      <c r="F5617" s="368"/>
    </row>
    <row r="5618" spans="1:6" ht="25.5" x14ac:dyDescent="0.2">
      <c r="A5618" s="391">
        <v>103995</v>
      </c>
      <c r="B5618" s="478" t="s">
        <v>3776</v>
      </c>
      <c r="C5618" s="391" t="s">
        <v>26</v>
      </c>
      <c r="D5618" s="479">
        <v>14.5</v>
      </c>
      <c r="E5618" s="368"/>
      <c r="F5618" s="368"/>
    </row>
    <row r="5619" spans="1:6" ht="25.5" x14ac:dyDescent="0.2">
      <c r="A5619" s="391">
        <v>89597</v>
      </c>
      <c r="B5619" s="478" t="s">
        <v>3082</v>
      </c>
      <c r="C5619" s="391" t="s">
        <v>26</v>
      </c>
      <c r="D5619" s="479">
        <v>21.69</v>
      </c>
      <c r="E5619" s="368"/>
      <c r="F5619" s="368"/>
    </row>
    <row r="5620" spans="1:6" ht="25.5" x14ac:dyDescent="0.2">
      <c r="A5620" s="391">
        <v>89611</v>
      </c>
      <c r="B5620" s="478" t="s">
        <v>3087</v>
      </c>
      <c r="C5620" s="391" t="s">
        <v>26</v>
      </c>
      <c r="D5620" s="479">
        <v>30.7</v>
      </c>
      <c r="E5620" s="368"/>
      <c r="F5620" s="368"/>
    </row>
    <row r="5621" spans="1:6" ht="25.5" x14ac:dyDescent="0.2">
      <c r="A5621" s="391">
        <v>89614</v>
      </c>
      <c r="B5621" s="478" t="s">
        <v>3090</v>
      </c>
      <c r="C5621" s="391" t="s">
        <v>26</v>
      </c>
      <c r="D5621" s="479">
        <v>56.93</v>
      </c>
      <c r="E5621" s="368"/>
      <c r="F5621" s="368"/>
    </row>
    <row r="5622" spans="1:6" ht="25.5" x14ac:dyDescent="0.2">
      <c r="A5622" s="391">
        <v>103975</v>
      </c>
      <c r="B5622" s="478" t="s">
        <v>3760</v>
      </c>
      <c r="C5622" s="391" t="s">
        <v>26</v>
      </c>
      <c r="D5622" s="479">
        <v>17.100000000000001</v>
      </c>
      <c r="E5622" s="368"/>
      <c r="F5622" s="368"/>
    </row>
    <row r="5623" spans="1:6" ht="38.25" x14ac:dyDescent="0.2">
      <c r="A5623" s="391">
        <v>104007</v>
      </c>
      <c r="B5623" s="478" t="s">
        <v>3786</v>
      </c>
      <c r="C5623" s="391" t="s">
        <v>26</v>
      </c>
      <c r="D5623" s="479">
        <v>21.17</v>
      </c>
      <c r="E5623" s="368"/>
      <c r="F5623" s="368"/>
    </row>
    <row r="5624" spans="1:6" ht="25.5" x14ac:dyDescent="0.2">
      <c r="A5624" s="391">
        <v>103976</v>
      </c>
      <c r="B5624" s="478" t="s">
        <v>3761</v>
      </c>
      <c r="C5624" s="391" t="s">
        <v>26</v>
      </c>
      <c r="D5624" s="479">
        <v>24.68</v>
      </c>
      <c r="E5624" s="368"/>
      <c r="F5624" s="368"/>
    </row>
    <row r="5625" spans="1:6" ht="38.25" x14ac:dyDescent="0.2">
      <c r="A5625" s="391">
        <v>104008</v>
      </c>
      <c r="B5625" s="478" t="s">
        <v>3787</v>
      </c>
      <c r="C5625" s="391" t="s">
        <v>26</v>
      </c>
      <c r="D5625" s="479">
        <v>30.5</v>
      </c>
      <c r="E5625" s="368"/>
      <c r="F5625" s="368"/>
    </row>
    <row r="5626" spans="1:6" ht="25.5" x14ac:dyDescent="0.2">
      <c r="A5626" s="391">
        <v>89630</v>
      </c>
      <c r="B5626" s="478" t="s">
        <v>3102</v>
      </c>
      <c r="C5626" s="391" t="s">
        <v>26</v>
      </c>
      <c r="D5626" s="479">
        <v>58.41</v>
      </c>
      <c r="E5626" s="368"/>
      <c r="F5626" s="368"/>
    </row>
    <row r="5627" spans="1:6" ht="25.5" x14ac:dyDescent="0.2">
      <c r="A5627" s="391">
        <v>89632</v>
      </c>
      <c r="B5627" s="478" t="s">
        <v>3104</v>
      </c>
      <c r="C5627" s="391" t="s">
        <v>26</v>
      </c>
      <c r="D5627" s="479">
        <v>116.97</v>
      </c>
      <c r="E5627" s="368"/>
      <c r="F5627" s="368"/>
    </row>
    <row r="5628" spans="1:6" ht="25.5" x14ac:dyDescent="0.2">
      <c r="A5628" s="391">
        <v>89438</v>
      </c>
      <c r="B5628" s="478" t="s">
        <v>2997</v>
      </c>
      <c r="C5628" s="391" t="s">
        <v>26</v>
      </c>
      <c r="D5628" s="479">
        <v>9.8000000000000007</v>
      </c>
      <c r="E5628" s="368"/>
      <c r="F5628" s="368"/>
    </row>
    <row r="5629" spans="1:6" ht="25.5" x14ac:dyDescent="0.2">
      <c r="A5629" s="391">
        <v>89393</v>
      </c>
      <c r="B5629" s="478" t="s">
        <v>2969</v>
      </c>
      <c r="C5629" s="391" t="s">
        <v>26</v>
      </c>
      <c r="D5629" s="479">
        <v>10.72</v>
      </c>
      <c r="E5629" s="368"/>
      <c r="F5629" s="368"/>
    </row>
    <row r="5630" spans="1:6" ht="25.5" x14ac:dyDescent="0.2">
      <c r="A5630" s="391">
        <v>89617</v>
      </c>
      <c r="B5630" s="478" t="s">
        <v>3092</v>
      </c>
      <c r="C5630" s="391" t="s">
        <v>26</v>
      </c>
      <c r="D5630" s="479">
        <v>7.33</v>
      </c>
      <c r="E5630" s="368"/>
      <c r="F5630" s="368"/>
    </row>
    <row r="5631" spans="1:6" ht="25.5" x14ac:dyDescent="0.2">
      <c r="A5631" s="391">
        <v>89440</v>
      </c>
      <c r="B5631" s="478" t="s">
        <v>2998</v>
      </c>
      <c r="C5631" s="391" t="s">
        <v>26</v>
      </c>
      <c r="D5631" s="479">
        <v>11.61</v>
      </c>
      <c r="E5631" s="368"/>
      <c r="F5631" s="368"/>
    </row>
    <row r="5632" spans="1:6" ht="25.5" x14ac:dyDescent="0.2">
      <c r="A5632" s="391">
        <v>89395</v>
      </c>
      <c r="B5632" s="478" t="s">
        <v>2970</v>
      </c>
      <c r="C5632" s="391" t="s">
        <v>26</v>
      </c>
      <c r="D5632" s="479">
        <v>12.65</v>
      </c>
      <c r="E5632" s="368"/>
      <c r="F5632" s="368"/>
    </row>
    <row r="5633" spans="1:6" ht="25.5" x14ac:dyDescent="0.2">
      <c r="A5633" s="391">
        <v>89620</v>
      </c>
      <c r="B5633" s="478" t="s">
        <v>3093</v>
      </c>
      <c r="C5633" s="391" t="s">
        <v>26</v>
      </c>
      <c r="D5633" s="479">
        <v>11.47</v>
      </c>
      <c r="E5633" s="368"/>
      <c r="F5633" s="368"/>
    </row>
    <row r="5634" spans="1:6" ht="25.5" x14ac:dyDescent="0.2">
      <c r="A5634" s="391">
        <v>89443</v>
      </c>
      <c r="B5634" s="478" t="s">
        <v>3000</v>
      </c>
      <c r="C5634" s="391" t="s">
        <v>26</v>
      </c>
      <c r="D5634" s="479">
        <v>16.420000000000002</v>
      </c>
      <c r="E5634" s="368"/>
      <c r="F5634" s="368"/>
    </row>
    <row r="5635" spans="1:6" ht="25.5" x14ac:dyDescent="0.2">
      <c r="A5635" s="391">
        <v>89398</v>
      </c>
      <c r="B5635" s="478" t="s">
        <v>2972</v>
      </c>
      <c r="C5635" s="391" t="s">
        <v>26</v>
      </c>
      <c r="D5635" s="479">
        <v>17.66</v>
      </c>
      <c r="E5635" s="368"/>
      <c r="F5635" s="368"/>
    </row>
    <row r="5636" spans="1:6" ht="25.5" x14ac:dyDescent="0.2">
      <c r="A5636" s="391">
        <v>89623</v>
      </c>
      <c r="B5636" s="478" t="s">
        <v>3095</v>
      </c>
      <c r="C5636" s="391" t="s">
        <v>26</v>
      </c>
      <c r="D5636" s="479">
        <v>18.64</v>
      </c>
      <c r="E5636" s="368"/>
      <c r="F5636" s="368"/>
    </row>
    <row r="5637" spans="1:6" ht="25.5" x14ac:dyDescent="0.2">
      <c r="A5637" s="391">
        <v>104011</v>
      </c>
      <c r="B5637" s="478" t="s">
        <v>3789</v>
      </c>
      <c r="C5637" s="391" t="s">
        <v>26</v>
      </c>
      <c r="D5637" s="479">
        <v>24.34</v>
      </c>
      <c r="E5637" s="368"/>
      <c r="F5637" s="368"/>
    </row>
    <row r="5638" spans="1:6" ht="25.5" x14ac:dyDescent="0.2">
      <c r="A5638" s="391">
        <v>89625</v>
      </c>
      <c r="B5638" s="478" t="s">
        <v>3097</v>
      </c>
      <c r="C5638" s="391" t="s">
        <v>26</v>
      </c>
      <c r="D5638" s="479">
        <v>21.85</v>
      </c>
      <c r="E5638" s="368"/>
      <c r="F5638" s="368"/>
    </row>
    <row r="5639" spans="1:6" ht="25.5" x14ac:dyDescent="0.2">
      <c r="A5639" s="391">
        <v>104004</v>
      </c>
      <c r="B5639" s="478" t="s">
        <v>3783</v>
      </c>
      <c r="C5639" s="391" t="s">
        <v>26</v>
      </c>
      <c r="D5639" s="479">
        <v>28.54</v>
      </c>
      <c r="E5639" s="368"/>
      <c r="F5639" s="368"/>
    </row>
    <row r="5640" spans="1:6" ht="25.5" x14ac:dyDescent="0.2">
      <c r="A5640" s="391">
        <v>89628</v>
      </c>
      <c r="B5640" s="478" t="s">
        <v>3100</v>
      </c>
      <c r="C5640" s="391" t="s">
        <v>26</v>
      </c>
      <c r="D5640" s="479">
        <v>45.83</v>
      </c>
      <c r="E5640" s="368"/>
      <c r="F5640" s="368"/>
    </row>
    <row r="5641" spans="1:6" ht="25.5" x14ac:dyDescent="0.2">
      <c r="A5641" s="391">
        <v>89629</v>
      </c>
      <c r="B5641" s="478" t="s">
        <v>3101</v>
      </c>
      <c r="C5641" s="391" t="s">
        <v>26</v>
      </c>
      <c r="D5641" s="479">
        <v>76.97</v>
      </c>
      <c r="E5641" s="368"/>
      <c r="F5641" s="368"/>
    </row>
    <row r="5642" spans="1:6" ht="25.5" x14ac:dyDescent="0.2">
      <c r="A5642" s="391">
        <v>89631</v>
      </c>
      <c r="B5642" s="478" t="s">
        <v>3103</v>
      </c>
      <c r="C5642" s="391" t="s">
        <v>26</v>
      </c>
      <c r="D5642" s="479">
        <v>101</v>
      </c>
      <c r="E5642" s="368"/>
      <c r="F5642" s="368"/>
    </row>
    <row r="5643" spans="1:6" ht="25.5" x14ac:dyDescent="0.2">
      <c r="A5643" s="391">
        <v>89401</v>
      </c>
      <c r="B5643" s="478" t="s">
        <v>39497</v>
      </c>
      <c r="C5643" s="391" t="s">
        <v>0</v>
      </c>
      <c r="D5643" s="479">
        <v>10.5</v>
      </c>
      <c r="E5643" s="368"/>
      <c r="F5643" s="368"/>
    </row>
    <row r="5644" spans="1:6" ht="25.5" x14ac:dyDescent="0.2">
      <c r="A5644" s="391">
        <v>89355</v>
      </c>
      <c r="B5644" s="478" t="s">
        <v>39494</v>
      </c>
      <c r="C5644" s="391" t="s">
        <v>0</v>
      </c>
      <c r="D5644" s="479">
        <v>19.84</v>
      </c>
      <c r="E5644" s="368"/>
      <c r="F5644" s="368"/>
    </row>
    <row r="5645" spans="1:6" ht="25.5" x14ac:dyDescent="0.2">
      <c r="A5645" s="391">
        <v>89446</v>
      </c>
      <c r="B5645" s="478" t="s">
        <v>39500</v>
      </c>
      <c r="C5645" s="391" t="s">
        <v>0</v>
      </c>
      <c r="D5645" s="479">
        <v>5.26</v>
      </c>
      <c r="E5645" s="368"/>
      <c r="F5645" s="368"/>
    </row>
    <row r="5646" spans="1:6" ht="25.5" x14ac:dyDescent="0.2">
      <c r="A5646" s="391">
        <v>89402</v>
      </c>
      <c r="B5646" s="478" t="s">
        <v>39498</v>
      </c>
      <c r="C5646" s="391" t="s">
        <v>0</v>
      </c>
      <c r="D5646" s="479">
        <v>12.07</v>
      </c>
      <c r="E5646" s="368"/>
      <c r="F5646" s="368"/>
    </row>
    <row r="5647" spans="1:6" ht="25.5" x14ac:dyDescent="0.2">
      <c r="A5647" s="391">
        <v>89356</v>
      </c>
      <c r="B5647" s="478" t="s">
        <v>39495</v>
      </c>
      <c r="C5647" s="391" t="s">
        <v>0</v>
      </c>
      <c r="D5647" s="479">
        <v>22.89</v>
      </c>
      <c r="E5647" s="368"/>
      <c r="F5647" s="368"/>
    </row>
    <row r="5648" spans="1:6" ht="25.5" x14ac:dyDescent="0.2">
      <c r="A5648" s="391">
        <v>89447</v>
      </c>
      <c r="B5648" s="478" t="s">
        <v>39501</v>
      </c>
      <c r="C5648" s="391" t="s">
        <v>0</v>
      </c>
      <c r="D5648" s="479">
        <v>10.45</v>
      </c>
      <c r="E5648" s="368"/>
      <c r="F5648" s="368"/>
    </row>
    <row r="5649" spans="1:6" ht="25.5" x14ac:dyDescent="0.2">
      <c r="A5649" s="391">
        <v>89403</v>
      </c>
      <c r="B5649" s="478" t="s">
        <v>39499</v>
      </c>
      <c r="C5649" s="391" t="s">
        <v>0</v>
      </c>
      <c r="D5649" s="479">
        <v>18.55</v>
      </c>
      <c r="E5649" s="368"/>
      <c r="F5649" s="368"/>
    </row>
    <row r="5650" spans="1:6" ht="25.5" x14ac:dyDescent="0.2">
      <c r="A5650" s="391">
        <v>89357</v>
      </c>
      <c r="B5650" s="478" t="s">
        <v>39496</v>
      </c>
      <c r="C5650" s="391" t="s">
        <v>0</v>
      </c>
      <c r="D5650" s="479">
        <v>31.47</v>
      </c>
      <c r="E5650" s="368"/>
      <c r="F5650" s="368"/>
    </row>
    <row r="5651" spans="1:6" ht="25.5" x14ac:dyDescent="0.2">
      <c r="A5651" s="391">
        <v>89448</v>
      </c>
      <c r="B5651" s="478" t="s">
        <v>39502</v>
      </c>
      <c r="C5651" s="391" t="s">
        <v>0</v>
      </c>
      <c r="D5651" s="479">
        <v>16.010000000000002</v>
      </c>
      <c r="E5651" s="368"/>
      <c r="F5651" s="368"/>
    </row>
    <row r="5652" spans="1:6" ht="25.5" x14ac:dyDescent="0.2">
      <c r="A5652" s="391">
        <v>103978</v>
      </c>
      <c r="B5652" s="478" t="s">
        <v>39515</v>
      </c>
      <c r="C5652" s="391" t="s">
        <v>0</v>
      </c>
      <c r="D5652" s="479">
        <v>25.54</v>
      </c>
      <c r="E5652" s="368"/>
      <c r="F5652" s="368"/>
    </row>
    <row r="5653" spans="1:6" ht="25.5" x14ac:dyDescent="0.2">
      <c r="A5653" s="391">
        <v>89449</v>
      </c>
      <c r="B5653" s="478" t="s">
        <v>39503</v>
      </c>
      <c r="C5653" s="391" t="s">
        <v>0</v>
      </c>
      <c r="D5653" s="479">
        <v>17.71</v>
      </c>
      <c r="E5653" s="368"/>
      <c r="F5653" s="368"/>
    </row>
    <row r="5654" spans="1:6" ht="25.5" x14ac:dyDescent="0.2">
      <c r="A5654" s="391">
        <v>103979</v>
      </c>
      <c r="B5654" s="478" t="s">
        <v>39516</v>
      </c>
      <c r="C5654" s="391" t="s">
        <v>0</v>
      </c>
      <c r="D5654" s="479">
        <v>29.09</v>
      </c>
      <c r="E5654" s="368"/>
      <c r="F5654" s="368"/>
    </row>
    <row r="5655" spans="1:6" ht="25.5" x14ac:dyDescent="0.2">
      <c r="A5655" s="391">
        <v>89450</v>
      </c>
      <c r="B5655" s="478" t="s">
        <v>39504</v>
      </c>
      <c r="C5655" s="391" t="s">
        <v>0</v>
      </c>
      <c r="D5655" s="479">
        <v>28.38</v>
      </c>
      <c r="E5655" s="368"/>
      <c r="F5655" s="368"/>
    </row>
    <row r="5656" spans="1:6" ht="25.5" x14ac:dyDescent="0.2">
      <c r="A5656" s="391">
        <v>89451</v>
      </c>
      <c r="B5656" s="478" t="s">
        <v>39505</v>
      </c>
      <c r="C5656" s="391" t="s">
        <v>0</v>
      </c>
      <c r="D5656" s="479">
        <v>46.19</v>
      </c>
      <c r="E5656" s="368"/>
      <c r="F5656" s="368"/>
    </row>
    <row r="5657" spans="1:6" ht="25.5" x14ac:dyDescent="0.2">
      <c r="A5657" s="391">
        <v>89452</v>
      </c>
      <c r="B5657" s="478" t="s">
        <v>39506</v>
      </c>
      <c r="C5657" s="391" t="s">
        <v>0</v>
      </c>
      <c r="D5657" s="479">
        <v>63.64</v>
      </c>
      <c r="E5657" s="368"/>
      <c r="F5657" s="368"/>
    </row>
    <row r="5658" spans="1:6" ht="38.25" x14ac:dyDescent="0.2">
      <c r="A5658" s="391">
        <v>89394</v>
      </c>
      <c r="B5658" s="478" t="s">
        <v>47881</v>
      </c>
      <c r="C5658" s="391" t="s">
        <v>26</v>
      </c>
      <c r="D5658" s="479">
        <v>18.079999999999998</v>
      </c>
      <c r="E5658" s="368"/>
      <c r="F5658" s="368"/>
    </row>
    <row r="5659" spans="1:6" ht="38.25" x14ac:dyDescent="0.2">
      <c r="A5659" s="391">
        <v>89396</v>
      </c>
      <c r="B5659" s="478" t="s">
        <v>47882</v>
      </c>
      <c r="C5659" s="391" t="s">
        <v>26</v>
      </c>
      <c r="D5659" s="479">
        <v>19.82</v>
      </c>
      <c r="E5659" s="368"/>
      <c r="F5659" s="368"/>
    </row>
    <row r="5660" spans="1:6" ht="38.25" x14ac:dyDescent="0.2">
      <c r="A5660" s="391">
        <v>90374</v>
      </c>
      <c r="B5660" s="478" t="s">
        <v>47883</v>
      </c>
      <c r="C5660" s="391" t="s">
        <v>26</v>
      </c>
      <c r="D5660" s="479">
        <v>21.49</v>
      </c>
      <c r="E5660" s="368"/>
      <c r="F5660" s="368"/>
    </row>
    <row r="5661" spans="1:6" ht="38.25" x14ac:dyDescent="0.2">
      <c r="A5661" s="391">
        <v>89444</v>
      </c>
      <c r="B5661" s="478" t="s">
        <v>47884</v>
      </c>
      <c r="C5661" s="391" t="s">
        <v>26</v>
      </c>
      <c r="D5661" s="479">
        <v>23.44</v>
      </c>
      <c r="E5661" s="368"/>
      <c r="F5661" s="368"/>
    </row>
    <row r="5662" spans="1:6" ht="38.25" x14ac:dyDescent="0.2">
      <c r="A5662" s="391">
        <v>89399</v>
      </c>
      <c r="B5662" s="478" t="s">
        <v>47885</v>
      </c>
      <c r="C5662" s="391" t="s">
        <v>26</v>
      </c>
      <c r="D5662" s="479">
        <v>24.04</v>
      </c>
      <c r="E5662" s="368"/>
      <c r="F5662" s="368"/>
    </row>
    <row r="5663" spans="1:6" ht="25.5" x14ac:dyDescent="0.2">
      <c r="A5663" s="391">
        <v>89442</v>
      </c>
      <c r="B5663" s="478" t="s">
        <v>2999</v>
      </c>
      <c r="C5663" s="391" t="s">
        <v>26</v>
      </c>
      <c r="D5663" s="479">
        <v>13.4</v>
      </c>
      <c r="E5663" s="368"/>
      <c r="F5663" s="368"/>
    </row>
    <row r="5664" spans="1:6" ht="25.5" x14ac:dyDescent="0.2">
      <c r="A5664" s="391">
        <v>89397</v>
      </c>
      <c r="B5664" s="478" t="s">
        <v>2971</v>
      </c>
      <c r="C5664" s="391" t="s">
        <v>26</v>
      </c>
      <c r="D5664" s="479">
        <v>14.37</v>
      </c>
      <c r="E5664" s="368"/>
      <c r="F5664" s="368"/>
    </row>
    <row r="5665" spans="1:6" ht="25.5" x14ac:dyDescent="0.2">
      <c r="A5665" s="391">
        <v>89622</v>
      </c>
      <c r="B5665" s="478" t="s">
        <v>3094</v>
      </c>
      <c r="C5665" s="391" t="s">
        <v>26</v>
      </c>
      <c r="D5665" s="479">
        <v>13.59</v>
      </c>
      <c r="E5665" s="368"/>
      <c r="F5665" s="368"/>
    </row>
    <row r="5666" spans="1:6" ht="25.5" x14ac:dyDescent="0.2">
      <c r="A5666" s="391">
        <v>89445</v>
      </c>
      <c r="B5666" s="478" t="s">
        <v>3001</v>
      </c>
      <c r="C5666" s="391" t="s">
        <v>26</v>
      </c>
      <c r="D5666" s="479">
        <v>18.190000000000001</v>
      </c>
      <c r="E5666" s="368"/>
      <c r="F5666" s="368"/>
    </row>
    <row r="5667" spans="1:6" ht="25.5" x14ac:dyDescent="0.2">
      <c r="A5667" s="391">
        <v>89400</v>
      </c>
      <c r="B5667" s="478" t="s">
        <v>2973</v>
      </c>
      <c r="C5667" s="391" t="s">
        <v>26</v>
      </c>
      <c r="D5667" s="479">
        <v>19.34</v>
      </c>
      <c r="E5667" s="368"/>
      <c r="F5667" s="368"/>
    </row>
    <row r="5668" spans="1:6" ht="25.5" x14ac:dyDescent="0.2">
      <c r="A5668" s="391">
        <v>89624</v>
      </c>
      <c r="B5668" s="478" t="s">
        <v>3096</v>
      </c>
      <c r="C5668" s="391" t="s">
        <v>26</v>
      </c>
      <c r="D5668" s="479">
        <v>17.23</v>
      </c>
      <c r="E5668" s="368"/>
      <c r="F5668" s="368"/>
    </row>
    <row r="5669" spans="1:6" ht="25.5" x14ac:dyDescent="0.2">
      <c r="A5669" s="391">
        <v>104012</v>
      </c>
      <c r="B5669" s="478" t="s">
        <v>3790</v>
      </c>
      <c r="C5669" s="391" t="s">
        <v>26</v>
      </c>
      <c r="D5669" s="479">
        <v>22.56</v>
      </c>
      <c r="E5669" s="368"/>
      <c r="F5669" s="368"/>
    </row>
    <row r="5670" spans="1:6" ht="25.5" x14ac:dyDescent="0.2">
      <c r="A5670" s="391">
        <v>89627</v>
      </c>
      <c r="B5670" s="478" t="s">
        <v>3099</v>
      </c>
      <c r="C5670" s="391" t="s">
        <v>26</v>
      </c>
      <c r="D5670" s="479">
        <v>19.32</v>
      </c>
      <c r="E5670" s="368"/>
      <c r="F5670" s="368"/>
    </row>
    <row r="5671" spans="1:6" ht="25.5" x14ac:dyDescent="0.2">
      <c r="A5671" s="391">
        <v>104006</v>
      </c>
      <c r="B5671" s="478" t="s">
        <v>3785</v>
      </c>
      <c r="C5671" s="391" t="s">
        <v>26</v>
      </c>
      <c r="D5671" s="479">
        <v>24.2</v>
      </c>
      <c r="E5671" s="368"/>
      <c r="F5671" s="368"/>
    </row>
    <row r="5672" spans="1:6" ht="25.5" x14ac:dyDescent="0.2">
      <c r="A5672" s="391">
        <v>89626</v>
      </c>
      <c r="B5672" s="478" t="s">
        <v>3098</v>
      </c>
      <c r="C5672" s="391" t="s">
        <v>26</v>
      </c>
      <c r="D5672" s="479">
        <v>28.83</v>
      </c>
      <c r="E5672" s="368"/>
      <c r="F5672" s="368"/>
    </row>
    <row r="5673" spans="1:6" ht="25.5" x14ac:dyDescent="0.2">
      <c r="A5673" s="391">
        <v>104005</v>
      </c>
      <c r="B5673" s="478" t="s">
        <v>3784</v>
      </c>
      <c r="C5673" s="391" t="s">
        <v>26</v>
      </c>
      <c r="D5673" s="479">
        <v>35.03</v>
      </c>
      <c r="E5673" s="368"/>
      <c r="F5673" s="368"/>
    </row>
    <row r="5674" spans="1:6" ht="38.25" x14ac:dyDescent="0.2">
      <c r="A5674" s="391">
        <v>89439</v>
      </c>
      <c r="B5674" s="478" t="s">
        <v>47886</v>
      </c>
      <c r="C5674" s="391" t="s">
        <v>26</v>
      </c>
      <c r="D5674" s="479">
        <v>11.27</v>
      </c>
      <c r="E5674" s="368"/>
      <c r="F5674" s="368"/>
    </row>
    <row r="5675" spans="1:6" ht="25.5" x14ac:dyDescent="0.2">
      <c r="A5675" s="391">
        <v>89421</v>
      </c>
      <c r="B5675" s="478" t="s">
        <v>2989</v>
      </c>
      <c r="C5675" s="391" t="s">
        <v>26</v>
      </c>
      <c r="D5675" s="479">
        <v>11.13</v>
      </c>
      <c r="E5675" s="368"/>
      <c r="F5675" s="368"/>
    </row>
    <row r="5676" spans="1:6" ht="25.5" x14ac:dyDescent="0.2">
      <c r="A5676" s="391">
        <v>89375</v>
      </c>
      <c r="B5676" s="478" t="s">
        <v>2961</v>
      </c>
      <c r="C5676" s="391" t="s">
        <v>26</v>
      </c>
      <c r="D5676" s="479">
        <v>11.58</v>
      </c>
      <c r="E5676" s="368"/>
      <c r="F5676" s="368"/>
    </row>
    <row r="5677" spans="1:6" ht="25.5" x14ac:dyDescent="0.2">
      <c r="A5677" s="391">
        <v>89536</v>
      </c>
      <c r="B5677" s="478" t="s">
        <v>3043</v>
      </c>
      <c r="C5677" s="391" t="s">
        <v>26</v>
      </c>
      <c r="D5677" s="479">
        <v>11.25</v>
      </c>
      <c r="E5677" s="368"/>
      <c r="F5677" s="368"/>
    </row>
    <row r="5678" spans="1:6" ht="25.5" x14ac:dyDescent="0.2">
      <c r="A5678" s="391">
        <v>89428</v>
      </c>
      <c r="B5678" s="478" t="s">
        <v>2993</v>
      </c>
      <c r="C5678" s="391" t="s">
        <v>26</v>
      </c>
      <c r="D5678" s="479">
        <v>13.4</v>
      </c>
      <c r="E5678" s="368"/>
      <c r="F5678" s="368"/>
    </row>
    <row r="5679" spans="1:6" ht="25.5" x14ac:dyDescent="0.2">
      <c r="A5679" s="391">
        <v>89382</v>
      </c>
      <c r="B5679" s="478" t="s">
        <v>2966</v>
      </c>
      <c r="C5679" s="391" t="s">
        <v>26</v>
      </c>
      <c r="D5679" s="479">
        <v>13.93</v>
      </c>
      <c r="E5679" s="368"/>
      <c r="F5679" s="368"/>
    </row>
    <row r="5680" spans="1:6" ht="25.5" x14ac:dyDescent="0.2">
      <c r="A5680" s="391">
        <v>89552</v>
      </c>
      <c r="B5680" s="478" t="s">
        <v>3053</v>
      </c>
      <c r="C5680" s="391" t="s">
        <v>26</v>
      </c>
      <c r="D5680" s="479">
        <v>17.57</v>
      </c>
      <c r="E5680" s="368"/>
      <c r="F5680" s="368"/>
    </row>
    <row r="5681" spans="1:6" ht="25.5" x14ac:dyDescent="0.2">
      <c r="A5681" s="391">
        <v>89435</v>
      </c>
      <c r="B5681" s="478" t="s">
        <v>2996</v>
      </c>
      <c r="C5681" s="391" t="s">
        <v>26</v>
      </c>
      <c r="D5681" s="479">
        <v>20.04</v>
      </c>
      <c r="E5681" s="368"/>
      <c r="F5681" s="368"/>
    </row>
    <row r="5682" spans="1:6" ht="25.5" x14ac:dyDescent="0.2">
      <c r="A5682" s="391">
        <v>89390</v>
      </c>
      <c r="B5682" s="478" t="s">
        <v>2968</v>
      </c>
      <c r="C5682" s="391" t="s">
        <v>26</v>
      </c>
      <c r="D5682" s="479">
        <v>20.67</v>
      </c>
      <c r="E5682" s="368"/>
      <c r="F5682" s="368"/>
    </row>
    <row r="5683" spans="1:6" ht="25.5" x14ac:dyDescent="0.2">
      <c r="A5683" s="391">
        <v>89568</v>
      </c>
      <c r="B5683" s="478" t="s">
        <v>3065</v>
      </c>
      <c r="C5683" s="391" t="s">
        <v>26</v>
      </c>
      <c r="D5683" s="479">
        <v>30.83</v>
      </c>
      <c r="E5683" s="368"/>
      <c r="F5683" s="368"/>
    </row>
    <row r="5684" spans="1:6" ht="25.5" x14ac:dyDescent="0.2">
      <c r="A5684" s="391">
        <v>103990</v>
      </c>
      <c r="B5684" s="478" t="s">
        <v>3771</v>
      </c>
      <c r="C5684" s="391" t="s">
        <v>26</v>
      </c>
      <c r="D5684" s="479">
        <v>33.72</v>
      </c>
      <c r="E5684" s="368"/>
      <c r="F5684" s="368"/>
    </row>
    <row r="5685" spans="1:6" ht="25.5" x14ac:dyDescent="0.2">
      <c r="A5685" s="391">
        <v>89594</v>
      </c>
      <c r="B5685" s="478" t="s">
        <v>3081</v>
      </c>
      <c r="C5685" s="391" t="s">
        <v>26</v>
      </c>
      <c r="D5685" s="479">
        <v>34.22</v>
      </c>
      <c r="E5685" s="368"/>
      <c r="F5685" s="368"/>
    </row>
    <row r="5686" spans="1:6" ht="25.5" x14ac:dyDescent="0.2">
      <c r="A5686" s="391">
        <v>103997</v>
      </c>
      <c r="B5686" s="478" t="s">
        <v>3778</v>
      </c>
      <c r="C5686" s="391" t="s">
        <v>26</v>
      </c>
      <c r="D5686" s="479">
        <v>37.58</v>
      </c>
      <c r="E5686" s="368"/>
      <c r="F5686" s="368"/>
    </row>
    <row r="5687" spans="1:6" ht="25.5" x14ac:dyDescent="0.2">
      <c r="A5687" s="391">
        <v>89609</v>
      </c>
      <c r="B5687" s="478" t="s">
        <v>3086</v>
      </c>
      <c r="C5687" s="391" t="s">
        <v>26</v>
      </c>
      <c r="D5687" s="479">
        <v>79.760000000000005</v>
      </c>
      <c r="E5687" s="368"/>
      <c r="F5687" s="368"/>
    </row>
    <row r="5688" spans="1:6" ht="25.5" x14ac:dyDescent="0.2">
      <c r="A5688" s="391">
        <v>89612</v>
      </c>
      <c r="B5688" s="478" t="s">
        <v>3088</v>
      </c>
      <c r="C5688" s="391" t="s">
        <v>26</v>
      </c>
      <c r="D5688" s="479">
        <v>156.58000000000001</v>
      </c>
      <c r="E5688" s="368"/>
      <c r="F5688" s="368"/>
    </row>
    <row r="5689" spans="1:6" ht="25.5" x14ac:dyDescent="0.2">
      <c r="A5689" s="391">
        <v>89615</v>
      </c>
      <c r="B5689" s="478" t="s">
        <v>3091</v>
      </c>
      <c r="C5689" s="391" t="s">
        <v>26</v>
      </c>
      <c r="D5689" s="479">
        <v>184.93</v>
      </c>
      <c r="E5689" s="368"/>
      <c r="F5689" s="368"/>
    </row>
    <row r="5690" spans="1:6" ht="25.5" x14ac:dyDescent="0.2">
      <c r="A5690" s="391">
        <v>89747</v>
      </c>
      <c r="B5690" s="478" t="s">
        <v>47887</v>
      </c>
      <c r="C5690" s="391" t="s">
        <v>26</v>
      </c>
      <c r="D5690" s="479">
        <v>29.09</v>
      </c>
      <c r="E5690" s="368"/>
      <c r="F5690" s="368"/>
    </row>
    <row r="5691" spans="1:6" ht="25.5" x14ac:dyDescent="0.2">
      <c r="A5691" s="391">
        <v>89656</v>
      </c>
      <c r="B5691" s="478" t="s">
        <v>47888</v>
      </c>
      <c r="C5691" s="391" t="s">
        <v>26</v>
      </c>
      <c r="D5691" s="479">
        <v>22.08</v>
      </c>
      <c r="E5691" s="368"/>
      <c r="F5691" s="368"/>
    </row>
    <row r="5692" spans="1:6" ht="25.5" x14ac:dyDescent="0.2">
      <c r="A5692" s="391">
        <v>89663</v>
      </c>
      <c r="B5692" s="478" t="s">
        <v>47889</v>
      </c>
      <c r="C5692" s="391" t="s">
        <v>26</v>
      </c>
      <c r="D5692" s="479">
        <v>29.58</v>
      </c>
      <c r="E5692" s="368"/>
      <c r="F5692" s="368"/>
    </row>
    <row r="5693" spans="1:6" ht="25.5" x14ac:dyDescent="0.2">
      <c r="A5693" s="391">
        <v>89759</v>
      </c>
      <c r="B5693" s="478" t="s">
        <v>3161</v>
      </c>
      <c r="C5693" s="391" t="s">
        <v>26</v>
      </c>
      <c r="D5693" s="479">
        <v>11.49</v>
      </c>
      <c r="E5693" s="368"/>
      <c r="F5693" s="368"/>
    </row>
    <row r="5694" spans="1:6" ht="25.5" x14ac:dyDescent="0.2">
      <c r="A5694" s="391">
        <v>89832</v>
      </c>
      <c r="B5694" s="478" t="s">
        <v>3205</v>
      </c>
      <c r="C5694" s="391" t="s">
        <v>26</v>
      </c>
      <c r="D5694" s="479">
        <v>40.69</v>
      </c>
      <c r="E5694" s="368"/>
      <c r="F5694" s="368"/>
    </row>
    <row r="5695" spans="1:6" ht="25.5" x14ac:dyDescent="0.2">
      <c r="A5695" s="391">
        <v>89666</v>
      </c>
      <c r="B5695" s="478" t="s">
        <v>47890</v>
      </c>
      <c r="C5695" s="391" t="s">
        <v>26</v>
      </c>
      <c r="D5695" s="479">
        <v>7.4</v>
      </c>
      <c r="E5695" s="368"/>
      <c r="F5695" s="368"/>
    </row>
    <row r="5696" spans="1:6" ht="25.5" x14ac:dyDescent="0.2">
      <c r="A5696" s="391">
        <v>89678</v>
      </c>
      <c r="B5696" s="478" t="s">
        <v>47891</v>
      </c>
      <c r="C5696" s="391" t="s">
        <v>26</v>
      </c>
      <c r="D5696" s="479">
        <v>12.01</v>
      </c>
      <c r="E5696" s="368"/>
      <c r="F5696" s="368"/>
    </row>
    <row r="5697" spans="1:6" ht="25.5" x14ac:dyDescent="0.2">
      <c r="A5697" s="391">
        <v>89764</v>
      </c>
      <c r="B5697" s="478" t="s">
        <v>3165</v>
      </c>
      <c r="C5697" s="391" t="s">
        <v>26</v>
      </c>
      <c r="D5697" s="479">
        <v>36.520000000000003</v>
      </c>
      <c r="E5697" s="368"/>
      <c r="F5697" s="368"/>
    </row>
    <row r="5698" spans="1:6" ht="25.5" x14ac:dyDescent="0.2">
      <c r="A5698" s="391">
        <v>89689</v>
      </c>
      <c r="B5698" s="478" t="s">
        <v>47892</v>
      </c>
      <c r="C5698" s="391" t="s">
        <v>26</v>
      </c>
      <c r="D5698" s="479">
        <v>37.130000000000003</v>
      </c>
      <c r="E5698" s="368"/>
      <c r="F5698" s="368"/>
    </row>
    <row r="5699" spans="1:6" ht="25.5" x14ac:dyDescent="0.2">
      <c r="A5699" s="391">
        <v>89655</v>
      </c>
      <c r="B5699" s="478" t="s">
        <v>47893</v>
      </c>
      <c r="C5699" s="391" t="s">
        <v>26</v>
      </c>
      <c r="D5699" s="479">
        <v>23.68</v>
      </c>
      <c r="E5699" s="368"/>
      <c r="F5699" s="368"/>
    </row>
    <row r="5700" spans="1:6" ht="25.5" x14ac:dyDescent="0.2">
      <c r="A5700" s="391">
        <v>89662</v>
      </c>
      <c r="B5700" s="478" t="s">
        <v>47894</v>
      </c>
      <c r="C5700" s="391" t="s">
        <v>26</v>
      </c>
      <c r="D5700" s="479">
        <v>30.64</v>
      </c>
      <c r="E5700" s="368"/>
      <c r="F5700" s="368"/>
    </row>
    <row r="5701" spans="1:6" ht="25.5" x14ac:dyDescent="0.2">
      <c r="A5701" s="391">
        <v>89758</v>
      </c>
      <c r="B5701" s="478" t="s">
        <v>47895</v>
      </c>
      <c r="C5701" s="391" t="s">
        <v>26</v>
      </c>
      <c r="D5701" s="479">
        <v>36.26</v>
      </c>
      <c r="E5701" s="368"/>
      <c r="F5701" s="368"/>
    </row>
    <row r="5702" spans="1:6" ht="25.5" x14ac:dyDescent="0.2">
      <c r="A5702" s="391">
        <v>89676</v>
      </c>
      <c r="B5702" s="478" t="s">
        <v>47896</v>
      </c>
      <c r="C5702" s="391" t="s">
        <v>26</v>
      </c>
      <c r="D5702" s="479">
        <v>36.35</v>
      </c>
      <c r="E5702" s="368"/>
      <c r="F5702" s="368"/>
    </row>
    <row r="5703" spans="1:6" ht="25.5" x14ac:dyDescent="0.2">
      <c r="A5703" s="391">
        <v>89818</v>
      </c>
      <c r="B5703" s="478" t="s">
        <v>47897</v>
      </c>
      <c r="C5703" s="391" t="s">
        <v>26</v>
      </c>
      <c r="D5703" s="479">
        <v>52.36</v>
      </c>
      <c r="E5703" s="368"/>
      <c r="F5703" s="368"/>
    </row>
    <row r="5704" spans="1:6" ht="25.5" x14ac:dyDescent="0.2">
      <c r="A5704" s="391">
        <v>89763</v>
      </c>
      <c r="B5704" s="478" t="s">
        <v>47898</v>
      </c>
      <c r="C5704" s="391" t="s">
        <v>26</v>
      </c>
      <c r="D5704" s="479">
        <v>54.87</v>
      </c>
      <c r="E5704" s="368"/>
      <c r="F5704" s="368"/>
    </row>
    <row r="5705" spans="1:6" ht="25.5" x14ac:dyDescent="0.2">
      <c r="A5705" s="391">
        <v>89686</v>
      </c>
      <c r="B5705" s="478" t="s">
        <v>47899</v>
      </c>
      <c r="C5705" s="391" t="s">
        <v>26</v>
      </c>
      <c r="D5705" s="479">
        <v>55.52</v>
      </c>
      <c r="E5705" s="368"/>
      <c r="F5705" s="368"/>
    </row>
    <row r="5706" spans="1:6" ht="25.5" x14ac:dyDescent="0.2">
      <c r="A5706" s="391">
        <v>104029</v>
      </c>
      <c r="B5706" s="478" t="s">
        <v>3803</v>
      </c>
      <c r="C5706" s="391" t="s">
        <v>26</v>
      </c>
      <c r="D5706" s="479">
        <v>66.02</v>
      </c>
      <c r="E5706" s="368"/>
      <c r="F5706" s="368"/>
    </row>
    <row r="5707" spans="1:6" ht="25.5" x14ac:dyDescent="0.2">
      <c r="A5707" s="391">
        <v>89831</v>
      </c>
      <c r="B5707" s="478" t="s">
        <v>47900</v>
      </c>
      <c r="C5707" s="391" t="s">
        <v>26</v>
      </c>
      <c r="D5707" s="479">
        <v>63.27</v>
      </c>
      <c r="E5707" s="368"/>
      <c r="F5707" s="368"/>
    </row>
    <row r="5708" spans="1:6" ht="25.5" x14ac:dyDescent="0.2">
      <c r="A5708" s="391">
        <v>89668</v>
      </c>
      <c r="B5708" s="478" t="s">
        <v>3119</v>
      </c>
      <c r="C5708" s="391" t="s">
        <v>26</v>
      </c>
      <c r="D5708" s="479">
        <v>28.86</v>
      </c>
      <c r="E5708" s="368"/>
      <c r="F5708" s="368"/>
    </row>
    <row r="5709" spans="1:6" ht="25.5" x14ac:dyDescent="0.2">
      <c r="A5709" s="391">
        <v>89639</v>
      </c>
      <c r="B5709" s="478" t="s">
        <v>3107</v>
      </c>
      <c r="C5709" s="391" t="s">
        <v>26</v>
      </c>
      <c r="D5709" s="479">
        <v>12.1</v>
      </c>
      <c r="E5709" s="368"/>
      <c r="F5709" s="368"/>
    </row>
    <row r="5710" spans="1:6" ht="25.5" x14ac:dyDescent="0.2">
      <c r="A5710" s="391">
        <v>89721</v>
      </c>
      <c r="B5710" s="478" t="s">
        <v>3141</v>
      </c>
      <c r="C5710" s="391" t="s">
        <v>26</v>
      </c>
      <c r="D5710" s="479">
        <v>15.77</v>
      </c>
      <c r="E5710" s="368"/>
      <c r="F5710" s="368"/>
    </row>
    <row r="5711" spans="1:6" ht="25.5" x14ac:dyDescent="0.2">
      <c r="A5711" s="391">
        <v>89643</v>
      </c>
      <c r="B5711" s="478" t="s">
        <v>3111</v>
      </c>
      <c r="C5711" s="391" t="s">
        <v>26</v>
      </c>
      <c r="D5711" s="479">
        <v>16.489999999999998</v>
      </c>
      <c r="E5711" s="368"/>
      <c r="F5711" s="368"/>
    </row>
    <row r="5712" spans="1:6" ht="25.5" x14ac:dyDescent="0.2">
      <c r="A5712" s="391">
        <v>89727</v>
      </c>
      <c r="B5712" s="478" t="s">
        <v>47901</v>
      </c>
      <c r="C5712" s="391" t="s">
        <v>26</v>
      </c>
      <c r="D5712" s="479">
        <v>23.97</v>
      </c>
      <c r="E5712" s="368"/>
      <c r="F5712" s="368"/>
    </row>
    <row r="5713" spans="1:6" ht="25.5" x14ac:dyDescent="0.2">
      <c r="A5713" s="391">
        <v>89648</v>
      </c>
      <c r="B5713" s="478" t="s">
        <v>47902</v>
      </c>
      <c r="C5713" s="391" t="s">
        <v>26</v>
      </c>
      <c r="D5713" s="479">
        <v>24.82</v>
      </c>
      <c r="E5713" s="368"/>
      <c r="F5713" s="368"/>
    </row>
    <row r="5714" spans="1:6" ht="25.5" x14ac:dyDescent="0.2">
      <c r="A5714" s="391">
        <v>89749</v>
      </c>
      <c r="B5714" s="478" t="s">
        <v>47903</v>
      </c>
      <c r="C5714" s="391" t="s">
        <v>26</v>
      </c>
      <c r="D5714" s="479">
        <v>16.5</v>
      </c>
      <c r="E5714" s="368"/>
      <c r="F5714" s="368"/>
    </row>
    <row r="5715" spans="1:6" ht="25.5" x14ac:dyDescent="0.2">
      <c r="A5715" s="391">
        <v>89657</v>
      </c>
      <c r="B5715" s="478" t="s">
        <v>47904</v>
      </c>
      <c r="C5715" s="391" t="s">
        <v>26</v>
      </c>
      <c r="D5715" s="479">
        <v>13.73</v>
      </c>
      <c r="E5715" s="368"/>
      <c r="F5715" s="368"/>
    </row>
    <row r="5716" spans="1:6" ht="25.5" x14ac:dyDescent="0.2">
      <c r="A5716" s="391">
        <v>89664</v>
      </c>
      <c r="B5716" s="478" t="s">
        <v>47905</v>
      </c>
      <c r="C5716" s="391" t="s">
        <v>26</v>
      </c>
      <c r="D5716" s="479">
        <v>16.989999999999998</v>
      </c>
      <c r="E5716" s="368"/>
      <c r="F5716" s="368"/>
    </row>
    <row r="5717" spans="1:6" ht="25.5" x14ac:dyDescent="0.2">
      <c r="A5717" s="391">
        <v>89638</v>
      </c>
      <c r="B5717" s="478" t="s">
        <v>3106</v>
      </c>
      <c r="C5717" s="391" t="s">
        <v>26</v>
      </c>
      <c r="D5717" s="479">
        <v>11.46</v>
      </c>
      <c r="E5717" s="368"/>
      <c r="F5717" s="368"/>
    </row>
    <row r="5718" spans="1:6" ht="25.5" x14ac:dyDescent="0.2">
      <c r="A5718" s="391">
        <v>89720</v>
      </c>
      <c r="B5718" s="478" t="s">
        <v>47906</v>
      </c>
      <c r="C5718" s="391" t="s">
        <v>26</v>
      </c>
      <c r="D5718" s="479">
        <v>14.52</v>
      </c>
      <c r="E5718" s="368"/>
      <c r="F5718" s="368"/>
    </row>
    <row r="5719" spans="1:6" ht="25.5" x14ac:dyDescent="0.2">
      <c r="A5719" s="391">
        <v>89642</v>
      </c>
      <c r="B5719" s="478" t="s">
        <v>3110</v>
      </c>
      <c r="C5719" s="391" t="s">
        <v>26</v>
      </c>
      <c r="D5719" s="479">
        <v>15.24</v>
      </c>
      <c r="E5719" s="368"/>
      <c r="F5719" s="368"/>
    </row>
    <row r="5720" spans="1:6" ht="25.5" x14ac:dyDescent="0.2">
      <c r="A5720" s="391">
        <v>89725</v>
      </c>
      <c r="B5720" s="478" t="s">
        <v>47907</v>
      </c>
      <c r="C5720" s="391" t="s">
        <v>26</v>
      </c>
      <c r="D5720" s="479">
        <v>19.079999999999998</v>
      </c>
      <c r="E5720" s="368"/>
      <c r="F5720" s="368"/>
    </row>
    <row r="5721" spans="1:6" ht="25.5" x14ac:dyDescent="0.2">
      <c r="A5721" s="391">
        <v>89647</v>
      </c>
      <c r="B5721" s="478" t="s">
        <v>47908</v>
      </c>
      <c r="C5721" s="391" t="s">
        <v>26</v>
      </c>
      <c r="D5721" s="479">
        <v>19.93</v>
      </c>
      <c r="E5721" s="368"/>
      <c r="F5721" s="368"/>
    </row>
    <row r="5722" spans="1:6" ht="25.5" x14ac:dyDescent="0.2">
      <c r="A5722" s="391">
        <v>89780</v>
      </c>
      <c r="B5722" s="478" t="s">
        <v>3174</v>
      </c>
      <c r="C5722" s="391" t="s">
        <v>26</v>
      </c>
      <c r="D5722" s="479">
        <v>23.68</v>
      </c>
      <c r="E5722" s="368"/>
      <c r="F5722" s="368"/>
    </row>
    <row r="5723" spans="1:6" ht="25.5" x14ac:dyDescent="0.2">
      <c r="A5723" s="391">
        <v>89734</v>
      </c>
      <c r="B5723" s="478" t="s">
        <v>47909</v>
      </c>
      <c r="C5723" s="391" t="s">
        <v>26</v>
      </c>
      <c r="D5723" s="479">
        <v>27.58</v>
      </c>
      <c r="E5723" s="368"/>
      <c r="F5723" s="368"/>
    </row>
    <row r="5724" spans="1:6" ht="25.5" x14ac:dyDescent="0.2">
      <c r="A5724" s="391">
        <v>89650</v>
      </c>
      <c r="B5724" s="478" t="s">
        <v>47910</v>
      </c>
      <c r="C5724" s="391" t="s">
        <v>26</v>
      </c>
      <c r="D5724" s="479">
        <v>28.57</v>
      </c>
      <c r="E5724" s="368"/>
      <c r="F5724" s="368"/>
    </row>
    <row r="5725" spans="1:6" ht="25.5" x14ac:dyDescent="0.2">
      <c r="A5725" s="391">
        <v>89787</v>
      </c>
      <c r="B5725" s="478" t="s">
        <v>47911</v>
      </c>
      <c r="C5725" s="391" t="s">
        <v>26</v>
      </c>
      <c r="D5725" s="479">
        <v>35.4</v>
      </c>
      <c r="E5725" s="368"/>
      <c r="F5725" s="368"/>
    </row>
    <row r="5726" spans="1:6" ht="25.5" x14ac:dyDescent="0.2">
      <c r="A5726" s="391">
        <v>104024</v>
      </c>
      <c r="B5726" s="478" t="s">
        <v>3799</v>
      </c>
      <c r="C5726" s="391" t="s">
        <v>26</v>
      </c>
      <c r="D5726" s="479">
        <v>39.78</v>
      </c>
      <c r="E5726" s="368"/>
      <c r="F5726" s="368"/>
    </row>
    <row r="5727" spans="1:6" ht="25.5" x14ac:dyDescent="0.2">
      <c r="A5727" s="391">
        <v>89789</v>
      </c>
      <c r="B5727" s="478" t="s">
        <v>47912</v>
      </c>
      <c r="C5727" s="391" t="s">
        <v>26</v>
      </c>
      <c r="D5727" s="479">
        <v>65.89</v>
      </c>
      <c r="E5727" s="368"/>
      <c r="F5727" s="368"/>
    </row>
    <row r="5728" spans="1:6" ht="25.5" x14ac:dyDescent="0.2">
      <c r="A5728" s="391">
        <v>89791</v>
      </c>
      <c r="B5728" s="478" t="s">
        <v>47913</v>
      </c>
      <c r="C5728" s="391" t="s">
        <v>26</v>
      </c>
      <c r="D5728" s="479">
        <v>149.68</v>
      </c>
      <c r="E5728" s="368"/>
      <c r="F5728" s="368"/>
    </row>
    <row r="5729" spans="1:6" ht="25.5" x14ac:dyDescent="0.2">
      <c r="A5729" s="391">
        <v>89793</v>
      </c>
      <c r="B5729" s="478" t="s">
        <v>47914</v>
      </c>
      <c r="C5729" s="391" t="s">
        <v>26</v>
      </c>
      <c r="D5729" s="479">
        <v>216.19</v>
      </c>
      <c r="E5729" s="368"/>
      <c r="F5729" s="368"/>
    </row>
    <row r="5730" spans="1:6" ht="25.5" x14ac:dyDescent="0.2">
      <c r="A5730" s="391">
        <v>89637</v>
      </c>
      <c r="B5730" s="478" t="s">
        <v>3105</v>
      </c>
      <c r="C5730" s="391" t="s">
        <v>26</v>
      </c>
      <c r="D5730" s="479">
        <v>10.57</v>
      </c>
      <c r="E5730" s="368"/>
      <c r="F5730" s="368"/>
    </row>
    <row r="5731" spans="1:6" ht="25.5" x14ac:dyDescent="0.2">
      <c r="A5731" s="391">
        <v>89719</v>
      </c>
      <c r="B5731" s="478" t="s">
        <v>47915</v>
      </c>
      <c r="C5731" s="391" t="s">
        <v>26</v>
      </c>
      <c r="D5731" s="479">
        <v>12.95</v>
      </c>
      <c r="E5731" s="368"/>
      <c r="F5731" s="368"/>
    </row>
    <row r="5732" spans="1:6" ht="25.5" x14ac:dyDescent="0.2">
      <c r="A5732" s="391">
        <v>89641</v>
      </c>
      <c r="B5732" s="478" t="s">
        <v>3109</v>
      </c>
      <c r="C5732" s="391" t="s">
        <v>26</v>
      </c>
      <c r="D5732" s="479">
        <v>13.67</v>
      </c>
      <c r="E5732" s="368"/>
      <c r="F5732" s="368"/>
    </row>
    <row r="5733" spans="1:6" ht="25.5" x14ac:dyDescent="0.2">
      <c r="A5733" s="391">
        <v>89723</v>
      </c>
      <c r="B5733" s="478" t="s">
        <v>47916</v>
      </c>
      <c r="C5733" s="391" t="s">
        <v>26</v>
      </c>
      <c r="D5733" s="479">
        <v>19.73</v>
      </c>
      <c r="E5733" s="368"/>
      <c r="F5733" s="368"/>
    </row>
    <row r="5734" spans="1:6" ht="25.5" x14ac:dyDescent="0.2">
      <c r="A5734" s="391">
        <v>89646</v>
      </c>
      <c r="B5734" s="478" t="s">
        <v>3114</v>
      </c>
      <c r="C5734" s="391" t="s">
        <v>26</v>
      </c>
      <c r="D5734" s="479">
        <v>20.58</v>
      </c>
      <c r="E5734" s="368"/>
      <c r="F5734" s="368"/>
    </row>
    <row r="5735" spans="1:6" ht="25.5" x14ac:dyDescent="0.2">
      <c r="A5735" s="391">
        <v>89777</v>
      </c>
      <c r="B5735" s="478" t="s">
        <v>47917</v>
      </c>
      <c r="C5735" s="391" t="s">
        <v>26</v>
      </c>
      <c r="D5735" s="479">
        <v>25.29</v>
      </c>
      <c r="E5735" s="368"/>
      <c r="F5735" s="368"/>
    </row>
    <row r="5736" spans="1:6" ht="25.5" x14ac:dyDescent="0.2">
      <c r="A5736" s="391">
        <v>89729</v>
      </c>
      <c r="B5736" s="478" t="s">
        <v>47918</v>
      </c>
      <c r="C5736" s="391" t="s">
        <v>26</v>
      </c>
      <c r="D5736" s="479">
        <v>29.19</v>
      </c>
      <c r="E5736" s="368"/>
      <c r="F5736" s="368"/>
    </row>
    <row r="5737" spans="1:6" ht="25.5" x14ac:dyDescent="0.2">
      <c r="A5737" s="391">
        <v>89649</v>
      </c>
      <c r="B5737" s="478" t="s">
        <v>47919</v>
      </c>
      <c r="C5737" s="391" t="s">
        <v>26</v>
      </c>
      <c r="D5737" s="479">
        <v>30.18</v>
      </c>
      <c r="E5737" s="368"/>
      <c r="F5737" s="368"/>
    </row>
    <row r="5738" spans="1:6" ht="25.5" x14ac:dyDescent="0.2">
      <c r="A5738" s="391">
        <v>89781</v>
      </c>
      <c r="B5738" s="478" t="s">
        <v>47920</v>
      </c>
      <c r="C5738" s="391" t="s">
        <v>26</v>
      </c>
      <c r="D5738" s="479">
        <v>35.799999999999997</v>
      </c>
      <c r="E5738" s="368"/>
      <c r="F5738" s="368"/>
    </row>
    <row r="5739" spans="1:6" ht="25.5" x14ac:dyDescent="0.2">
      <c r="A5739" s="391">
        <v>104023</v>
      </c>
      <c r="B5739" s="478" t="s">
        <v>3798</v>
      </c>
      <c r="C5739" s="391" t="s">
        <v>26</v>
      </c>
      <c r="D5739" s="479">
        <v>40.18</v>
      </c>
      <c r="E5739" s="368"/>
      <c r="F5739" s="368"/>
    </row>
    <row r="5740" spans="1:6" ht="25.5" x14ac:dyDescent="0.2">
      <c r="A5740" s="391">
        <v>89788</v>
      </c>
      <c r="B5740" s="478" t="s">
        <v>47921</v>
      </c>
      <c r="C5740" s="391" t="s">
        <v>26</v>
      </c>
      <c r="D5740" s="479">
        <v>77.61</v>
      </c>
      <c r="E5740" s="368"/>
      <c r="F5740" s="368"/>
    </row>
    <row r="5741" spans="1:6" ht="25.5" x14ac:dyDescent="0.2">
      <c r="A5741" s="391">
        <v>89790</v>
      </c>
      <c r="B5741" s="478" t="s">
        <v>47922</v>
      </c>
      <c r="C5741" s="391" t="s">
        <v>26</v>
      </c>
      <c r="D5741" s="479">
        <v>154.97999999999999</v>
      </c>
      <c r="E5741" s="368"/>
      <c r="F5741" s="368"/>
    </row>
    <row r="5742" spans="1:6" ht="25.5" x14ac:dyDescent="0.2">
      <c r="A5742" s="391">
        <v>89792</v>
      </c>
      <c r="B5742" s="478" t="s">
        <v>47923</v>
      </c>
      <c r="C5742" s="391" t="s">
        <v>26</v>
      </c>
      <c r="D5742" s="479">
        <v>183.22</v>
      </c>
      <c r="E5742" s="368"/>
      <c r="F5742" s="368"/>
    </row>
    <row r="5743" spans="1:6" ht="38.25" x14ac:dyDescent="0.2">
      <c r="A5743" s="391">
        <v>89640</v>
      </c>
      <c r="B5743" s="478" t="s">
        <v>3108</v>
      </c>
      <c r="C5743" s="391" t="s">
        <v>26</v>
      </c>
      <c r="D5743" s="479">
        <v>18.88</v>
      </c>
      <c r="E5743" s="368"/>
      <c r="F5743" s="368"/>
    </row>
    <row r="5744" spans="1:6" ht="38.25" x14ac:dyDescent="0.2">
      <c r="A5744" s="391">
        <v>89644</v>
      </c>
      <c r="B5744" s="478" t="s">
        <v>3112</v>
      </c>
      <c r="C5744" s="391" t="s">
        <v>26</v>
      </c>
      <c r="D5744" s="479">
        <v>23.05</v>
      </c>
      <c r="E5744" s="368"/>
      <c r="F5744" s="368"/>
    </row>
    <row r="5745" spans="1:6" ht="38.25" x14ac:dyDescent="0.2">
      <c r="A5745" s="391">
        <v>89645</v>
      </c>
      <c r="B5745" s="478" t="s">
        <v>3113</v>
      </c>
      <c r="C5745" s="391" t="s">
        <v>26</v>
      </c>
      <c r="D5745" s="479">
        <v>32.119999999999997</v>
      </c>
      <c r="E5745" s="368"/>
      <c r="F5745" s="368"/>
    </row>
    <row r="5746" spans="1:6" ht="25.5" x14ac:dyDescent="0.2">
      <c r="A5746" s="391">
        <v>89652</v>
      </c>
      <c r="B5746" s="478" t="s">
        <v>47924</v>
      </c>
      <c r="C5746" s="391" t="s">
        <v>26</v>
      </c>
      <c r="D5746" s="479">
        <v>12.14</v>
      </c>
      <c r="E5746" s="368"/>
      <c r="F5746" s="368"/>
    </row>
    <row r="5747" spans="1:6" ht="25.5" x14ac:dyDescent="0.2">
      <c r="A5747" s="391">
        <v>89738</v>
      </c>
      <c r="B5747" s="478" t="s">
        <v>47925</v>
      </c>
      <c r="C5747" s="391" t="s">
        <v>26</v>
      </c>
      <c r="D5747" s="479">
        <v>16.559999999999999</v>
      </c>
      <c r="E5747" s="368"/>
      <c r="F5747" s="368"/>
    </row>
    <row r="5748" spans="1:6" ht="25.5" x14ac:dyDescent="0.2">
      <c r="A5748" s="391">
        <v>89659</v>
      </c>
      <c r="B5748" s="478" t="s">
        <v>47926</v>
      </c>
      <c r="C5748" s="391" t="s">
        <v>26</v>
      </c>
      <c r="D5748" s="479">
        <v>17.05</v>
      </c>
      <c r="E5748" s="368"/>
      <c r="F5748" s="368"/>
    </row>
    <row r="5749" spans="1:6" ht="25.5" x14ac:dyDescent="0.2">
      <c r="A5749" s="391">
        <v>89756</v>
      </c>
      <c r="B5749" s="478" t="s">
        <v>47927</v>
      </c>
      <c r="C5749" s="391" t="s">
        <v>26</v>
      </c>
      <c r="D5749" s="479">
        <v>22.91</v>
      </c>
      <c r="E5749" s="368"/>
      <c r="F5749" s="368"/>
    </row>
    <row r="5750" spans="1:6" ht="25.5" x14ac:dyDescent="0.2">
      <c r="A5750" s="391">
        <v>89672</v>
      </c>
      <c r="B5750" s="478" t="s">
        <v>47928</v>
      </c>
      <c r="C5750" s="391" t="s">
        <v>26</v>
      </c>
      <c r="D5750" s="479">
        <v>23.48</v>
      </c>
      <c r="E5750" s="368"/>
      <c r="F5750" s="368"/>
    </row>
    <row r="5751" spans="1:6" ht="25.5" x14ac:dyDescent="0.2">
      <c r="A5751" s="391">
        <v>89815</v>
      </c>
      <c r="B5751" s="478" t="s">
        <v>47929</v>
      </c>
      <c r="C5751" s="391" t="s">
        <v>26</v>
      </c>
      <c r="D5751" s="479">
        <v>27.97</v>
      </c>
      <c r="E5751" s="368"/>
      <c r="F5751" s="368"/>
    </row>
    <row r="5752" spans="1:6" ht="25.5" x14ac:dyDescent="0.2">
      <c r="A5752" s="391">
        <v>89761</v>
      </c>
      <c r="B5752" s="478" t="s">
        <v>3163</v>
      </c>
      <c r="C5752" s="391" t="s">
        <v>26</v>
      </c>
      <c r="D5752" s="479">
        <v>30.56</v>
      </c>
      <c r="E5752" s="368"/>
      <c r="F5752" s="368"/>
    </row>
    <row r="5753" spans="1:6" ht="25.5" x14ac:dyDescent="0.2">
      <c r="A5753" s="391">
        <v>89682</v>
      </c>
      <c r="B5753" s="478" t="s">
        <v>47930</v>
      </c>
      <c r="C5753" s="391" t="s">
        <v>26</v>
      </c>
      <c r="D5753" s="479">
        <v>31.22</v>
      </c>
      <c r="E5753" s="368"/>
      <c r="F5753" s="368"/>
    </row>
    <row r="5754" spans="1:6" ht="25.5" x14ac:dyDescent="0.2">
      <c r="A5754" s="391">
        <v>89824</v>
      </c>
      <c r="B5754" s="478" t="s">
        <v>47931</v>
      </c>
      <c r="C5754" s="391" t="s">
        <v>26</v>
      </c>
      <c r="D5754" s="479">
        <v>38.020000000000003</v>
      </c>
      <c r="E5754" s="368"/>
      <c r="F5754" s="368"/>
    </row>
    <row r="5755" spans="1:6" ht="25.5" x14ac:dyDescent="0.2">
      <c r="A5755" s="391">
        <v>104026</v>
      </c>
      <c r="B5755" s="478" t="s">
        <v>3801</v>
      </c>
      <c r="C5755" s="391" t="s">
        <v>26</v>
      </c>
      <c r="D5755" s="479">
        <v>40.94</v>
      </c>
      <c r="E5755" s="368"/>
      <c r="F5755" s="368"/>
    </row>
    <row r="5756" spans="1:6" ht="25.5" x14ac:dyDescent="0.2">
      <c r="A5756" s="391">
        <v>89740</v>
      </c>
      <c r="B5756" s="478" t="s">
        <v>47932</v>
      </c>
      <c r="C5756" s="391" t="s">
        <v>26</v>
      </c>
      <c r="D5756" s="479">
        <v>9.19</v>
      </c>
      <c r="E5756" s="368"/>
      <c r="F5756" s="368"/>
    </row>
    <row r="5757" spans="1:6" ht="25.5" x14ac:dyDescent="0.2">
      <c r="A5757" s="391">
        <v>89836</v>
      </c>
      <c r="B5757" s="478" t="s">
        <v>47933</v>
      </c>
      <c r="C5757" s="391" t="s">
        <v>26</v>
      </c>
      <c r="D5757" s="479">
        <v>195.26</v>
      </c>
      <c r="E5757" s="368"/>
      <c r="F5757" s="368"/>
    </row>
    <row r="5758" spans="1:6" ht="25.5" x14ac:dyDescent="0.2">
      <c r="A5758" s="391">
        <v>89653</v>
      </c>
      <c r="B5758" s="478" t="s">
        <v>3116</v>
      </c>
      <c r="C5758" s="391" t="s">
        <v>26</v>
      </c>
      <c r="D5758" s="479">
        <v>17.190000000000001</v>
      </c>
      <c r="E5758" s="368"/>
      <c r="F5758" s="368"/>
    </row>
    <row r="5759" spans="1:6" ht="25.5" x14ac:dyDescent="0.2">
      <c r="A5759" s="391">
        <v>89660</v>
      </c>
      <c r="B5759" s="478" t="s">
        <v>3117</v>
      </c>
      <c r="C5759" s="391" t="s">
        <v>26</v>
      </c>
      <c r="D5759" s="479">
        <v>9.69</v>
      </c>
      <c r="E5759" s="368"/>
      <c r="F5759" s="368"/>
    </row>
    <row r="5760" spans="1:6" ht="25.5" x14ac:dyDescent="0.2">
      <c r="A5760" s="391">
        <v>104028</v>
      </c>
      <c r="B5760" s="478" t="s">
        <v>3802</v>
      </c>
      <c r="C5760" s="391" t="s">
        <v>26</v>
      </c>
      <c r="D5760" s="479">
        <v>126.91</v>
      </c>
      <c r="E5760" s="368"/>
      <c r="F5760" s="368"/>
    </row>
    <row r="5761" spans="1:6" ht="25.5" x14ac:dyDescent="0.2">
      <c r="A5761" s="391">
        <v>89826</v>
      </c>
      <c r="B5761" s="478" t="s">
        <v>47934</v>
      </c>
      <c r="C5761" s="391" t="s">
        <v>26</v>
      </c>
      <c r="D5761" s="479">
        <v>124.16</v>
      </c>
      <c r="E5761" s="368"/>
      <c r="F5761" s="368"/>
    </row>
    <row r="5762" spans="1:6" ht="25.5" x14ac:dyDescent="0.2">
      <c r="A5762" s="391">
        <v>89651</v>
      </c>
      <c r="B5762" s="478" t="s">
        <v>3115</v>
      </c>
      <c r="C5762" s="391" t="s">
        <v>26</v>
      </c>
      <c r="D5762" s="479">
        <v>7.15</v>
      </c>
      <c r="E5762" s="368"/>
      <c r="F5762" s="368"/>
    </row>
    <row r="5763" spans="1:6" ht="25.5" x14ac:dyDescent="0.2">
      <c r="A5763" s="391">
        <v>89736</v>
      </c>
      <c r="B5763" s="478" t="s">
        <v>47935</v>
      </c>
      <c r="C5763" s="391" t="s">
        <v>26</v>
      </c>
      <c r="D5763" s="479">
        <v>9.0399999999999991</v>
      </c>
      <c r="E5763" s="368"/>
      <c r="F5763" s="368"/>
    </row>
    <row r="5764" spans="1:6" ht="25.5" x14ac:dyDescent="0.2">
      <c r="A5764" s="391">
        <v>89658</v>
      </c>
      <c r="B5764" s="478" t="s">
        <v>47936</v>
      </c>
      <c r="C5764" s="391" t="s">
        <v>26</v>
      </c>
      <c r="D5764" s="479">
        <v>9.5299999999999994</v>
      </c>
      <c r="E5764" s="368"/>
      <c r="F5764" s="368"/>
    </row>
    <row r="5765" spans="1:6" ht="25.5" x14ac:dyDescent="0.2">
      <c r="A5765" s="391">
        <v>89755</v>
      </c>
      <c r="B5765" s="478" t="s">
        <v>47937</v>
      </c>
      <c r="C5765" s="391" t="s">
        <v>26</v>
      </c>
      <c r="D5765" s="479">
        <v>13.55</v>
      </c>
      <c r="E5765" s="368"/>
      <c r="F5765" s="368"/>
    </row>
    <row r="5766" spans="1:6" ht="25.5" x14ac:dyDescent="0.2">
      <c r="A5766" s="391">
        <v>89670</v>
      </c>
      <c r="B5766" s="478" t="s">
        <v>47938</v>
      </c>
      <c r="C5766" s="391" t="s">
        <v>26</v>
      </c>
      <c r="D5766" s="479">
        <v>14.12</v>
      </c>
      <c r="E5766" s="368"/>
      <c r="F5766" s="368"/>
    </row>
    <row r="5767" spans="1:6" ht="25.5" x14ac:dyDescent="0.2">
      <c r="A5767" s="391">
        <v>89794</v>
      </c>
      <c r="B5767" s="478" t="s">
        <v>47939</v>
      </c>
      <c r="C5767" s="391" t="s">
        <v>26</v>
      </c>
      <c r="D5767" s="479">
        <v>19.13</v>
      </c>
      <c r="E5767" s="368"/>
      <c r="F5767" s="368"/>
    </row>
    <row r="5768" spans="1:6" ht="25.5" x14ac:dyDescent="0.2">
      <c r="A5768" s="391">
        <v>89760</v>
      </c>
      <c r="B5768" s="478" t="s">
        <v>3162</v>
      </c>
      <c r="C5768" s="391" t="s">
        <v>26</v>
      </c>
      <c r="D5768" s="479">
        <v>21.72</v>
      </c>
      <c r="E5768" s="368"/>
      <c r="F5768" s="368"/>
    </row>
    <row r="5769" spans="1:6" ht="25.5" x14ac:dyDescent="0.2">
      <c r="A5769" s="391">
        <v>89680</v>
      </c>
      <c r="B5769" s="478" t="s">
        <v>47940</v>
      </c>
      <c r="C5769" s="391" t="s">
        <v>26</v>
      </c>
      <c r="D5769" s="479">
        <v>22.38</v>
      </c>
      <c r="E5769" s="368"/>
      <c r="F5769" s="368"/>
    </row>
    <row r="5770" spans="1:6" ht="25.5" x14ac:dyDescent="0.2">
      <c r="A5770" s="391">
        <v>89822</v>
      </c>
      <c r="B5770" s="478" t="s">
        <v>47941</v>
      </c>
      <c r="C5770" s="391" t="s">
        <v>26</v>
      </c>
      <c r="D5770" s="479">
        <v>25.03</v>
      </c>
      <c r="E5770" s="368"/>
      <c r="F5770" s="368"/>
    </row>
    <row r="5771" spans="1:6" ht="25.5" x14ac:dyDescent="0.2">
      <c r="A5771" s="391">
        <v>104025</v>
      </c>
      <c r="B5771" s="478" t="s">
        <v>3800</v>
      </c>
      <c r="C5771" s="391" t="s">
        <v>26</v>
      </c>
      <c r="D5771" s="479">
        <v>27.95</v>
      </c>
      <c r="E5771" s="368"/>
      <c r="F5771" s="368"/>
    </row>
    <row r="5772" spans="1:6" ht="25.5" x14ac:dyDescent="0.2">
      <c r="A5772" s="391">
        <v>89835</v>
      </c>
      <c r="B5772" s="478" t="s">
        <v>47942</v>
      </c>
      <c r="C5772" s="391" t="s">
        <v>26</v>
      </c>
      <c r="D5772" s="479">
        <v>43.13</v>
      </c>
      <c r="E5772" s="368"/>
      <c r="F5772" s="368"/>
    </row>
    <row r="5773" spans="1:6" ht="25.5" x14ac:dyDescent="0.2">
      <c r="A5773" s="391">
        <v>89838</v>
      </c>
      <c r="B5773" s="478" t="s">
        <v>47943</v>
      </c>
      <c r="C5773" s="391" t="s">
        <v>26</v>
      </c>
      <c r="D5773" s="479">
        <v>149.96</v>
      </c>
      <c r="E5773" s="368"/>
      <c r="F5773" s="368"/>
    </row>
    <row r="5774" spans="1:6" ht="25.5" x14ac:dyDescent="0.2">
      <c r="A5774" s="391">
        <v>89840</v>
      </c>
      <c r="B5774" s="478" t="s">
        <v>47944</v>
      </c>
      <c r="C5774" s="391" t="s">
        <v>26</v>
      </c>
      <c r="D5774" s="479">
        <v>176.73</v>
      </c>
      <c r="E5774" s="368"/>
      <c r="F5774" s="368"/>
    </row>
    <row r="5775" spans="1:6" ht="25.5" x14ac:dyDescent="0.2">
      <c r="A5775" s="391">
        <v>104015</v>
      </c>
      <c r="B5775" s="478" t="s">
        <v>3792</v>
      </c>
      <c r="C5775" s="391" t="s">
        <v>26</v>
      </c>
      <c r="D5775" s="479">
        <v>16.41</v>
      </c>
      <c r="E5775" s="368"/>
      <c r="F5775" s="368"/>
    </row>
    <row r="5776" spans="1:6" ht="25.5" x14ac:dyDescent="0.2">
      <c r="A5776" s="391">
        <v>104018</v>
      </c>
      <c r="B5776" s="478" t="s">
        <v>3795</v>
      </c>
      <c r="C5776" s="391" t="s">
        <v>26</v>
      </c>
      <c r="D5776" s="479">
        <v>21.01</v>
      </c>
      <c r="E5776" s="368"/>
      <c r="F5776" s="368"/>
    </row>
    <row r="5777" spans="1:6" ht="25.5" x14ac:dyDescent="0.2">
      <c r="A5777" s="391">
        <v>104016</v>
      </c>
      <c r="B5777" s="478" t="s">
        <v>3793</v>
      </c>
      <c r="C5777" s="391" t="s">
        <v>26</v>
      </c>
      <c r="D5777" s="479">
        <v>22.05</v>
      </c>
      <c r="E5777" s="368"/>
      <c r="F5777" s="368"/>
    </row>
    <row r="5778" spans="1:6" ht="25.5" x14ac:dyDescent="0.2">
      <c r="A5778" s="391">
        <v>104019</v>
      </c>
      <c r="B5778" s="478" t="s">
        <v>3796</v>
      </c>
      <c r="C5778" s="391" t="s">
        <v>26</v>
      </c>
      <c r="D5778" s="479">
        <v>43.47</v>
      </c>
      <c r="E5778" s="368"/>
      <c r="F5778" s="368"/>
    </row>
    <row r="5779" spans="1:6" ht="25.5" x14ac:dyDescent="0.2">
      <c r="A5779" s="391">
        <v>104017</v>
      </c>
      <c r="B5779" s="478" t="s">
        <v>3794</v>
      </c>
      <c r="C5779" s="391" t="s">
        <v>26</v>
      </c>
      <c r="D5779" s="479">
        <v>44.69</v>
      </c>
      <c r="E5779" s="368"/>
      <c r="F5779" s="368"/>
    </row>
    <row r="5780" spans="1:6" ht="25.5" x14ac:dyDescent="0.2">
      <c r="A5780" s="391">
        <v>104020</v>
      </c>
      <c r="B5780" s="478" t="s">
        <v>3797</v>
      </c>
      <c r="C5780" s="391" t="s">
        <v>26</v>
      </c>
      <c r="D5780" s="479">
        <v>54.79</v>
      </c>
      <c r="E5780" s="368"/>
      <c r="F5780" s="368"/>
    </row>
    <row r="5781" spans="1:6" ht="25.5" x14ac:dyDescent="0.2">
      <c r="A5781" s="391">
        <v>104030</v>
      </c>
      <c r="B5781" s="478" t="s">
        <v>3804</v>
      </c>
      <c r="C5781" s="391" t="s">
        <v>26</v>
      </c>
      <c r="D5781" s="479">
        <v>60.29</v>
      </c>
      <c r="E5781" s="368"/>
      <c r="F5781" s="368"/>
    </row>
    <row r="5782" spans="1:6" ht="25.5" x14ac:dyDescent="0.2">
      <c r="A5782" s="391">
        <v>89694</v>
      </c>
      <c r="B5782" s="478" t="s">
        <v>47945</v>
      </c>
      <c r="C5782" s="391" t="s">
        <v>26</v>
      </c>
      <c r="D5782" s="479">
        <v>20.04</v>
      </c>
      <c r="E5782" s="368"/>
      <c r="F5782" s="368"/>
    </row>
    <row r="5783" spans="1:6" ht="25.5" x14ac:dyDescent="0.2">
      <c r="A5783" s="391">
        <v>89700</v>
      </c>
      <c r="B5783" s="478" t="s">
        <v>47946</v>
      </c>
      <c r="C5783" s="391" t="s">
        <v>26</v>
      </c>
      <c r="D5783" s="479">
        <v>22.93</v>
      </c>
      <c r="E5783" s="368"/>
      <c r="F5783" s="368"/>
    </row>
    <row r="5784" spans="1:6" ht="38.25" x14ac:dyDescent="0.2">
      <c r="A5784" s="391">
        <v>89703</v>
      </c>
      <c r="B5784" s="478" t="s">
        <v>3139</v>
      </c>
      <c r="C5784" s="391" t="s">
        <v>26</v>
      </c>
      <c r="D5784" s="479">
        <v>47.23</v>
      </c>
      <c r="E5784" s="368"/>
      <c r="F5784" s="368"/>
    </row>
    <row r="5785" spans="1:6" ht="25.5" x14ac:dyDescent="0.2">
      <c r="A5785" s="391">
        <v>89691</v>
      </c>
      <c r="B5785" s="478" t="s">
        <v>3131</v>
      </c>
      <c r="C5785" s="391" t="s">
        <v>26</v>
      </c>
      <c r="D5785" s="479">
        <v>13.64</v>
      </c>
      <c r="E5785" s="368"/>
      <c r="F5785" s="368"/>
    </row>
    <row r="5786" spans="1:6" ht="25.5" x14ac:dyDescent="0.2">
      <c r="A5786" s="391">
        <v>89765</v>
      </c>
      <c r="B5786" s="478" t="s">
        <v>3166</v>
      </c>
      <c r="C5786" s="391" t="s">
        <v>26</v>
      </c>
      <c r="D5786" s="479">
        <v>16.84</v>
      </c>
      <c r="E5786" s="368"/>
      <c r="F5786" s="368"/>
    </row>
    <row r="5787" spans="1:6" ht="25.5" x14ac:dyDescent="0.2">
      <c r="A5787" s="391">
        <v>89697</v>
      </c>
      <c r="B5787" s="478" t="s">
        <v>3135</v>
      </c>
      <c r="C5787" s="391" t="s">
        <v>26</v>
      </c>
      <c r="D5787" s="479">
        <v>17.809999999999999</v>
      </c>
      <c r="E5787" s="368"/>
      <c r="F5787" s="368"/>
    </row>
    <row r="5788" spans="1:6" ht="25.5" x14ac:dyDescent="0.2">
      <c r="A5788" s="391">
        <v>89844</v>
      </c>
      <c r="B5788" s="488" t="s">
        <v>47947</v>
      </c>
      <c r="C5788" s="391" t="s">
        <v>26</v>
      </c>
      <c r="D5788" s="479">
        <v>62.17</v>
      </c>
      <c r="E5788" s="368"/>
      <c r="F5788" s="368"/>
    </row>
    <row r="5789" spans="1:6" ht="25.5" x14ac:dyDescent="0.2">
      <c r="A5789" s="391">
        <v>104022</v>
      </c>
      <c r="B5789" s="478" t="s">
        <v>47948</v>
      </c>
      <c r="C5789" s="391" t="s">
        <v>26</v>
      </c>
      <c r="D5789" s="479">
        <v>68</v>
      </c>
      <c r="E5789" s="368"/>
      <c r="F5789" s="368"/>
    </row>
    <row r="5790" spans="1:6" ht="25.5" x14ac:dyDescent="0.2">
      <c r="A5790" s="391">
        <v>89633</v>
      </c>
      <c r="B5790" s="488" t="s">
        <v>2806</v>
      </c>
      <c r="C5790" s="391" t="s">
        <v>0</v>
      </c>
      <c r="D5790" s="479">
        <v>25.57</v>
      </c>
      <c r="E5790" s="368"/>
      <c r="F5790" s="368"/>
    </row>
    <row r="5791" spans="1:6" ht="25.5" x14ac:dyDescent="0.2">
      <c r="A5791" s="391">
        <v>89716</v>
      </c>
      <c r="B5791" s="478" t="s">
        <v>2813</v>
      </c>
      <c r="C5791" s="391" t="s">
        <v>0</v>
      </c>
      <c r="D5791" s="479">
        <v>26.54</v>
      </c>
      <c r="E5791" s="368"/>
      <c r="F5791" s="368"/>
    </row>
    <row r="5792" spans="1:6" ht="25.5" x14ac:dyDescent="0.2">
      <c r="A5792" s="392">
        <v>89634</v>
      </c>
      <c r="B5792" s="480" t="s">
        <v>2807</v>
      </c>
      <c r="C5792" s="392" t="s">
        <v>0</v>
      </c>
      <c r="D5792" s="481">
        <v>36.409999999999997</v>
      </c>
      <c r="E5792" s="369"/>
      <c r="F5792" s="369"/>
    </row>
    <row r="5793" spans="1:6" ht="25.5" x14ac:dyDescent="0.2">
      <c r="A5793" s="391">
        <v>89717</v>
      </c>
      <c r="B5793" s="478" t="s">
        <v>2814</v>
      </c>
      <c r="C5793" s="391" t="s">
        <v>0</v>
      </c>
      <c r="D5793" s="479">
        <v>41.88</v>
      </c>
      <c r="E5793" s="368"/>
      <c r="F5793" s="368"/>
    </row>
    <row r="5794" spans="1:6" ht="25.5" x14ac:dyDescent="0.2">
      <c r="A5794" s="391">
        <v>89635</v>
      </c>
      <c r="B5794" s="478" t="s">
        <v>2808</v>
      </c>
      <c r="C5794" s="391" t="s">
        <v>0</v>
      </c>
      <c r="D5794" s="479">
        <v>53.52</v>
      </c>
      <c r="E5794" s="368"/>
      <c r="F5794" s="368"/>
    </row>
    <row r="5795" spans="1:6" ht="25.5" x14ac:dyDescent="0.2">
      <c r="A5795" s="391">
        <v>89770</v>
      </c>
      <c r="B5795" s="478" t="s">
        <v>47949</v>
      </c>
      <c r="C5795" s="391" t="s">
        <v>0</v>
      </c>
      <c r="D5795" s="479">
        <v>45.03</v>
      </c>
      <c r="E5795" s="368"/>
      <c r="F5795" s="368"/>
    </row>
    <row r="5796" spans="1:6" ht="25.5" x14ac:dyDescent="0.2">
      <c r="A5796" s="391">
        <v>89718</v>
      </c>
      <c r="B5796" s="478" t="s">
        <v>47950</v>
      </c>
      <c r="C5796" s="391" t="s">
        <v>0</v>
      </c>
      <c r="D5796" s="479">
        <v>53.66</v>
      </c>
      <c r="E5796" s="368"/>
      <c r="F5796" s="368"/>
    </row>
    <row r="5797" spans="1:6" ht="25.5" x14ac:dyDescent="0.2">
      <c r="A5797" s="391">
        <v>89636</v>
      </c>
      <c r="B5797" s="478" t="s">
        <v>47951</v>
      </c>
      <c r="C5797" s="391" t="s">
        <v>0</v>
      </c>
      <c r="D5797" s="479">
        <v>67.349999999999994</v>
      </c>
      <c r="E5797" s="368"/>
      <c r="F5797" s="368"/>
    </row>
    <row r="5798" spans="1:6" ht="25.5" x14ac:dyDescent="0.2">
      <c r="A5798" s="391">
        <v>89771</v>
      </c>
      <c r="B5798" s="478" t="s">
        <v>47952</v>
      </c>
      <c r="C5798" s="391" t="s">
        <v>0</v>
      </c>
      <c r="D5798" s="479">
        <v>60.12</v>
      </c>
      <c r="E5798" s="368"/>
      <c r="F5798" s="368"/>
    </row>
    <row r="5799" spans="1:6" ht="25.5" x14ac:dyDescent="0.2">
      <c r="A5799" s="391">
        <v>104021</v>
      </c>
      <c r="B5799" s="478" t="s">
        <v>2941</v>
      </c>
      <c r="C5799" s="391" t="s">
        <v>0</v>
      </c>
      <c r="D5799" s="479">
        <v>69.989999999999995</v>
      </c>
      <c r="E5799" s="368"/>
      <c r="F5799" s="368"/>
    </row>
    <row r="5800" spans="1:6" ht="25.5" x14ac:dyDescent="0.2">
      <c r="A5800" s="391">
        <v>89772</v>
      </c>
      <c r="B5800" s="478" t="s">
        <v>47953</v>
      </c>
      <c r="C5800" s="391" t="s">
        <v>0</v>
      </c>
      <c r="D5800" s="479">
        <v>87.68</v>
      </c>
      <c r="E5800" s="368"/>
      <c r="F5800" s="368"/>
    </row>
    <row r="5801" spans="1:6" ht="25.5" x14ac:dyDescent="0.2">
      <c r="A5801" s="391">
        <v>89773</v>
      </c>
      <c r="B5801" s="478" t="s">
        <v>47954</v>
      </c>
      <c r="C5801" s="391" t="s">
        <v>0</v>
      </c>
      <c r="D5801" s="479">
        <v>141.26</v>
      </c>
      <c r="E5801" s="368"/>
      <c r="F5801" s="368"/>
    </row>
    <row r="5802" spans="1:6" ht="25.5" x14ac:dyDescent="0.2">
      <c r="A5802" s="391">
        <v>89775</v>
      </c>
      <c r="B5802" s="478" t="s">
        <v>47955</v>
      </c>
      <c r="C5802" s="391" t="s">
        <v>0</v>
      </c>
      <c r="D5802" s="479">
        <v>220.86</v>
      </c>
      <c r="E5802" s="368"/>
      <c r="F5802" s="368"/>
    </row>
    <row r="5803" spans="1:6" ht="25.5" x14ac:dyDescent="0.2">
      <c r="A5803" s="391">
        <v>89767</v>
      </c>
      <c r="B5803" s="478" t="s">
        <v>3167</v>
      </c>
      <c r="C5803" s="391" t="s">
        <v>26</v>
      </c>
      <c r="D5803" s="479">
        <v>21.03</v>
      </c>
      <c r="E5803" s="368"/>
      <c r="F5803" s="368"/>
    </row>
    <row r="5804" spans="1:6" ht="25.5" x14ac:dyDescent="0.2">
      <c r="A5804" s="391">
        <v>89695</v>
      </c>
      <c r="B5804" s="478" t="s">
        <v>47956</v>
      </c>
      <c r="C5804" s="391" t="s">
        <v>26</v>
      </c>
      <c r="D5804" s="479">
        <v>17.09</v>
      </c>
      <c r="E5804" s="368"/>
      <c r="F5804" s="368"/>
    </row>
    <row r="5805" spans="1:6" ht="25.5" x14ac:dyDescent="0.2">
      <c r="A5805" s="391">
        <v>89702</v>
      </c>
      <c r="B5805" s="478" t="s">
        <v>47957</v>
      </c>
      <c r="C5805" s="391" t="s">
        <v>26</v>
      </c>
      <c r="D5805" s="479">
        <v>22</v>
      </c>
      <c r="E5805" s="368"/>
      <c r="F5805" s="368"/>
    </row>
    <row r="5806" spans="1:6" ht="25.5" x14ac:dyDescent="0.2">
      <c r="A5806" s="391">
        <v>89768</v>
      </c>
      <c r="B5806" s="478" t="s">
        <v>3168</v>
      </c>
      <c r="C5806" s="391" t="s">
        <v>26</v>
      </c>
      <c r="D5806" s="479">
        <v>24.45</v>
      </c>
      <c r="E5806" s="368"/>
      <c r="F5806" s="368"/>
    </row>
    <row r="5807" spans="1:6" ht="25.5" x14ac:dyDescent="0.2">
      <c r="A5807" s="391">
        <v>89842</v>
      </c>
      <c r="B5807" s="478" t="s">
        <v>47958</v>
      </c>
      <c r="C5807" s="391" t="s">
        <v>26</v>
      </c>
      <c r="D5807" s="479">
        <v>49.37</v>
      </c>
      <c r="E5807" s="368"/>
      <c r="F5807" s="368"/>
    </row>
    <row r="5808" spans="1:6" ht="25.5" x14ac:dyDescent="0.2">
      <c r="A5808" s="391">
        <v>89845</v>
      </c>
      <c r="B5808" s="478" t="s">
        <v>47959</v>
      </c>
      <c r="C5808" s="391" t="s">
        <v>26</v>
      </c>
      <c r="D5808" s="479">
        <v>97.51</v>
      </c>
      <c r="E5808" s="368"/>
      <c r="F5808" s="368"/>
    </row>
    <row r="5809" spans="1:6" ht="25.5" x14ac:dyDescent="0.2">
      <c r="A5809" s="391">
        <v>89846</v>
      </c>
      <c r="B5809" s="478" t="s">
        <v>47960</v>
      </c>
      <c r="C5809" s="391" t="s">
        <v>26</v>
      </c>
      <c r="D5809" s="479">
        <v>208.58</v>
      </c>
      <c r="E5809" s="368"/>
      <c r="F5809" s="368"/>
    </row>
    <row r="5810" spans="1:6" ht="25.5" x14ac:dyDescent="0.2">
      <c r="A5810" s="391">
        <v>89847</v>
      </c>
      <c r="B5810" s="478" t="s">
        <v>47961</v>
      </c>
      <c r="C5810" s="391" t="s">
        <v>26</v>
      </c>
      <c r="D5810" s="479">
        <v>249.05</v>
      </c>
      <c r="E5810" s="368"/>
      <c r="F5810" s="368"/>
    </row>
    <row r="5811" spans="1:6" ht="25.5" x14ac:dyDescent="0.2">
      <c r="A5811" s="391">
        <v>89705</v>
      </c>
      <c r="B5811" s="478" t="s">
        <v>47962</v>
      </c>
      <c r="C5811" s="391" t="s">
        <v>26</v>
      </c>
      <c r="D5811" s="479">
        <v>25.58</v>
      </c>
      <c r="E5811" s="368"/>
      <c r="F5811" s="368"/>
    </row>
    <row r="5812" spans="1:6" ht="25.5" x14ac:dyDescent="0.2">
      <c r="A5812" s="391">
        <v>89769</v>
      </c>
      <c r="B5812" s="478" t="s">
        <v>3169</v>
      </c>
      <c r="C5812" s="391" t="s">
        <v>26</v>
      </c>
      <c r="D5812" s="479">
        <v>54.54</v>
      </c>
      <c r="E5812" s="368"/>
      <c r="F5812" s="368"/>
    </row>
    <row r="5813" spans="1:6" ht="25.5" x14ac:dyDescent="0.2">
      <c r="A5813" s="391">
        <v>89706</v>
      </c>
      <c r="B5813" s="478" t="s">
        <v>47963</v>
      </c>
      <c r="C5813" s="391" t="s">
        <v>26</v>
      </c>
      <c r="D5813" s="479">
        <v>55.85</v>
      </c>
      <c r="E5813" s="368"/>
      <c r="F5813" s="368"/>
    </row>
    <row r="5814" spans="1:6" ht="25.5" x14ac:dyDescent="0.2">
      <c r="A5814" s="391">
        <v>89741</v>
      </c>
      <c r="B5814" s="478" t="s">
        <v>47964</v>
      </c>
      <c r="C5814" s="391" t="s">
        <v>26</v>
      </c>
      <c r="D5814" s="479">
        <v>22.74</v>
      </c>
      <c r="E5814" s="368"/>
      <c r="F5814" s="368"/>
    </row>
    <row r="5815" spans="1:6" ht="25.5" x14ac:dyDescent="0.2">
      <c r="A5815" s="391">
        <v>89757</v>
      </c>
      <c r="B5815" s="478" t="s">
        <v>47965</v>
      </c>
      <c r="C5815" s="391" t="s">
        <v>26</v>
      </c>
      <c r="D5815" s="479">
        <v>29.68</v>
      </c>
      <c r="E5815" s="368"/>
      <c r="F5815" s="368"/>
    </row>
    <row r="5816" spans="1:6" ht="25.5" x14ac:dyDescent="0.2">
      <c r="A5816" s="391">
        <v>104027</v>
      </c>
      <c r="B5816" s="478" t="s">
        <v>47966</v>
      </c>
      <c r="C5816" s="391" t="s">
        <v>26</v>
      </c>
      <c r="D5816" s="479">
        <v>62.11</v>
      </c>
      <c r="E5816" s="368"/>
      <c r="F5816" s="368"/>
    </row>
    <row r="5817" spans="1:6" ht="25.5" x14ac:dyDescent="0.2">
      <c r="A5817" s="391">
        <v>89837</v>
      </c>
      <c r="B5817" s="478" t="s">
        <v>47967</v>
      </c>
      <c r="C5817" s="391" t="s">
        <v>26</v>
      </c>
      <c r="D5817" s="479">
        <v>130.91999999999999</v>
      </c>
      <c r="E5817" s="368"/>
      <c r="F5817" s="368"/>
    </row>
    <row r="5818" spans="1:6" ht="25.5" x14ac:dyDescent="0.2">
      <c r="A5818" s="391">
        <v>89839</v>
      </c>
      <c r="B5818" s="478" t="s">
        <v>47968</v>
      </c>
      <c r="C5818" s="391" t="s">
        <v>26</v>
      </c>
      <c r="D5818" s="479">
        <v>170.05</v>
      </c>
      <c r="E5818" s="368"/>
      <c r="F5818" s="368"/>
    </row>
    <row r="5819" spans="1:6" ht="25.5" x14ac:dyDescent="0.2">
      <c r="A5819" s="391">
        <v>89841</v>
      </c>
      <c r="B5819" s="478" t="s">
        <v>47969</v>
      </c>
      <c r="C5819" s="391" t="s">
        <v>26</v>
      </c>
      <c r="D5819" s="479">
        <v>258.26</v>
      </c>
      <c r="E5819" s="368"/>
      <c r="F5819" s="368"/>
    </row>
    <row r="5820" spans="1:6" ht="25.5" x14ac:dyDescent="0.2">
      <c r="A5820" s="391">
        <v>89654</v>
      </c>
      <c r="B5820" s="478" t="s">
        <v>47970</v>
      </c>
      <c r="C5820" s="391" t="s">
        <v>26</v>
      </c>
      <c r="D5820" s="479">
        <v>19.899999999999999</v>
      </c>
      <c r="E5820" s="368"/>
      <c r="F5820" s="368"/>
    </row>
    <row r="5821" spans="1:6" ht="25.5" x14ac:dyDescent="0.2">
      <c r="A5821" s="391">
        <v>89661</v>
      </c>
      <c r="B5821" s="478" t="s">
        <v>47971</v>
      </c>
      <c r="C5821" s="391" t="s">
        <v>26</v>
      </c>
      <c r="D5821" s="479">
        <v>23.23</v>
      </c>
      <c r="E5821" s="368"/>
      <c r="F5821" s="368"/>
    </row>
    <row r="5822" spans="1:6" ht="25.5" x14ac:dyDescent="0.2">
      <c r="A5822" s="391">
        <v>89674</v>
      </c>
      <c r="B5822" s="478" t="s">
        <v>47972</v>
      </c>
      <c r="C5822" s="391" t="s">
        <v>26</v>
      </c>
      <c r="D5822" s="479">
        <v>30.25</v>
      </c>
      <c r="E5822" s="368"/>
      <c r="F5822" s="368"/>
    </row>
    <row r="5823" spans="1:6" ht="25.5" x14ac:dyDescent="0.2">
      <c r="A5823" s="391">
        <v>89816</v>
      </c>
      <c r="B5823" s="478" t="s">
        <v>47973</v>
      </c>
      <c r="C5823" s="391" t="s">
        <v>26</v>
      </c>
      <c r="D5823" s="479">
        <v>40.619999999999997</v>
      </c>
      <c r="E5823" s="368"/>
      <c r="F5823" s="368"/>
    </row>
    <row r="5824" spans="1:6" ht="25.5" x14ac:dyDescent="0.2">
      <c r="A5824" s="391">
        <v>89762</v>
      </c>
      <c r="B5824" s="478" t="s">
        <v>3164</v>
      </c>
      <c r="C5824" s="391" t="s">
        <v>26</v>
      </c>
      <c r="D5824" s="479">
        <v>43.21</v>
      </c>
      <c r="E5824" s="368"/>
      <c r="F5824" s="368"/>
    </row>
    <row r="5825" spans="1:6" ht="25.5" x14ac:dyDescent="0.2">
      <c r="A5825" s="391">
        <v>89684</v>
      </c>
      <c r="B5825" s="478" t="s">
        <v>47974</v>
      </c>
      <c r="C5825" s="391" t="s">
        <v>26</v>
      </c>
      <c r="D5825" s="479">
        <v>43.87</v>
      </c>
      <c r="E5825" s="368"/>
      <c r="F5825" s="368"/>
    </row>
    <row r="5826" spans="1:6" ht="25.5" x14ac:dyDescent="0.2">
      <c r="A5826" s="391">
        <v>89828</v>
      </c>
      <c r="B5826" s="478" t="s">
        <v>47975</v>
      </c>
      <c r="C5826" s="391" t="s">
        <v>26</v>
      </c>
      <c r="D5826" s="479">
        <v>59.19</v>
      </c>
      <c r="E5826" s="368"/>
      <c r="F5826" s="368"/>
    </row>
    <row r="5827" spans="1:6" ht="38.25" x14ac:dyDescent="0.2">
      <c r="A5827" s="391">
        <v>89546</v>
      </c>
      <c r="B5827" s="478" t="s">
        <v>3048</v>
      </c>
      <c r="C5827" s="391" t="s">
        <v>26</v>
      </c>
      <c r="D5827" s="479">
        <v>12.17</v>
      </c>
      <c r="E5827" s="368"/>
      <c r="F5827" s="368"/>
    </row>
    <row r="5828" spans="1:6" ht="25.5" x14ac:dyDescent="0.2">
      <c r="A5828" s="391">
        <v>89482</v>
      </c>
      <c r="B5828" s="478" t="s">
        <v>3921</v>
      </c>
      <c r="C5828" s="391" t="s">
        <v>26</v>
      </c>
      <c r="D5828" s="479">
        <v>42.19</v>
      </c>
      <c r="E5828" s="368"/>
      <c r="F5828" s="368"/>
    </row>
    <row r="5829" spans="1:6" ht="25.5" x14ac:dyDescent="0.2">
      <c r="A5829" s="391">
        <v>89491</v>
      </c>
      <c r="B5829" s="478" t="s">
        <v>3922</v>
      </c>
      <c r="C5829" s="391" t="s">
        <v>26</v>
      </c>
      <c r="D5829" s="479">
        <v>108.98</v>
      </c>
      <c r="E5829" s="368"/>
      <c r="F5829" s="368"/>
    </row>
    <row r="5830" spans="1:6" ht="25.5" x14ac:dyDescent="0.2">
      <c r="A5830" s="391">
        <v>104178</v>
      </c>
      <c r="B5830" s="478" t="s">
        <v>3817</v>
      </c>
      <c r="C5830" s="391" t="s">
        <v>26</v>
      </c>
      <c r="D5830" s="479">
        <v>23.49</v>
      </c>
      <c r="E5830" s="368"/>
      <c r="F5830" s="368"/>
    </row>
    <row r="5831" spans="1:6" ht="25.5" x14ac:dyDescent="0.2">
      <c r="A5831" s="391">
        <v>104179</v>
      </c>
      <c r="B5831" s="478" t="s">
        <v>3818</v>
      </c>
      <c r="C5831" s="391" t="s">
        <v>26</v>
      </c>
      <c r="D5831" s="479">
        <v>90.71</v>
      </c>
      <c r="E5831" s="368"/>
      <c r="F5831" s="368"/>
    </row>
    <row r="5832" spans="1:6" ht="38.25" x14ac:dyDescent="0.2">
      <c r="A5832" s="391">
        <v>89587</v>
      </c>
      <c r="B5832" s="478" t="s">
        <v>3077</v>
      </c>
      <c r="C5832" s="391" t="s">
        <v>26</v>
      </c>
      <c r="D5832" s="479">
        <v>53.02</v>
      </c>
      <c r="E5832" s="368"/>
      <c r="F5832" s="368"/>
    </row>
    <row r="5833" spans="1:6" ht="38.25" x14ac:dyDescent="0.2">
      <c r="A5833" s="391">
        <v>89535</v>
      </c>
      <c r="B5833" s="478" t="s">
        <v>3042</v>
      </c>
      <c r="C5833" s="391" t="s">
        <v>26</v>
      </c>
      <c r="D5833" s="479">
        <v>46.03</v>
      </c>
      <c r="E5833" s="368"/>
      <c r="F5833" s="368"/>
    </row>
    <row r="5834" spans="1:6" ht="38.25" x14ac:dyDescent="0.2">
      <c r="A5834" s="391">
        <v>89592</v>
      </c>
      <c r="B5834" s="478" t="s">
        <v>3080</v>
      </c>
      <c r="C5834" s="391" t="s">
        <v>26</v>
      </c>
      <c r="D5834" s="479">
        <v>171.29</v>
      </c>
      <c r="E5834" s="368"/>
      <c r="F5834" s="368"/>
    </row>
    <row r="5835" spans="1:6" ht="38.25" x14ac:dyDescent="0.2">
      <c r="A5835" s="391">
        <v>104169</v>
      </c>
      <c r="B5835" s="478" t="s">
        <v>3808</v>
      </c>
      <c r="C5835" s="391" t="s">
        <v>26</v>
      </c>
      <c r="D5835" s="479">
        <v>161.03</v>
      </c>
      <c r="E5835" s="368"/>
      <c r="F5835" s="368"/>
    </row>
    <row r="5836" spans="1:6" ht="38.25" x14ac:dyDescent="0.2">
      <c r="A5836" s="391">
        <v>89583</v>
      </c>
      <c r="B5836" s="478" t="s">
        <v>3074</v>
      </c>
      <c r="C5836" s="391" t="s">
        <v>26</v>
      </c>
      <c r="D5836" s="479">
        <v>45.75</v>
      </c>
      <c r="E5836" s="368"/>
      <c r="F5836" s="368"/>
    </row>
    <row r="5837" spans="1:6" ht="38.25" x14ac:dyDescent="0.2">
      <c r="A5837" s="391">
        <v>89526</v>
      </c>
      <c r="B5837" s="478" t="s">
        <v>3035</v>
      </c>
      <c r="C5837" s="391" t="s">
        <v>26</v>
      </c>
      <c r="D5837" s="479">
        <v>41.89</v>
      </c>
      <c r="E5837" s="368"/>
      <c r="F5837" s="368"/>
    </row>
    <row r="5838" spans="1:6" ht="38.25" x14ac:dyDescent="0.2">
      <c r="A5838" s="391">
        <v>95695</v>
      </c>
      <c r="B5838" s="478" t="s">
        <v>3477</v>
      </c>
      <c r="C5838" s="391" t="s">
        <v>26</v>
      </c>
      <c r="D5838" s="479">
        <v>64.41</v>
      </c>
      <c r="E5838" s="368"/>
      <c r="F5838" s="368"/>
    </row>
    <row r="5839" spans="1:6" ht="25.5" x14ac:dyDescent="0.2">
      <c r="A5839" s="391">
        <v>95694</v>
      </c>
      <c r="B5839" s="478" t="s">
        <v>3476</v>
      </c>
      <c r="C5839" s="391" t="s">
        <v>26</v>
      </c>
      <c r="D5839" s="479">
        <v>57.42</v>
      </c>
      <c r="E5839" s="368"/>
      <c r="F5839" s="368"/>
    </row>
    <row r="5840" spans="1:6" ht="38.25" x14ac:dyDescent="0.2">
      <c r="A5840" s="391">
        <v>89585</v>
      </c>
      <c r="B5840" s="478" t="s">
        <v>3076</v>
      </c>
      <c r="C5840" s="391" t="s">
        <v>26</v>
      </c>
      <c r="D5840" s="479">
        <v>48.3</v>
      </c>
      <c r="E5840" s="368"/>
      <c r="F5840" s="368"/>
    </row>
    <row r="5841" spans="1:6" ht="25.5" x14ac:dyDescent="0.2">
      <c r="A5841" s="391">
        <v>89531</v>
      </c>
      <c r="B5841" s="478" t="s">
        <v>3040</v>
      </c>
      <c r="C5841" s="391" t="s">
        <v>26</v>
      </c>
      <c r="D5841" s="479">
        <v>41.31</v>
      </c>
      <c r="E5841" s="368"/>
      <c r="F5841" s="368"/>
    </row>
    <row r="5842" spans="1:6" ht="38.25" x14ac:dyDescent="0.2">
      <c r="A5842" s="391">
        <v>89591</v>
      </c>
      <c r="B5842" s="478" t="s">
        <v>3079</v>
      </c>
      <c r="C5842" s="391" t="s">
        <v>26</v>
      </c>
      <c r="D5842" s="479">
        <v>141.72999999999999</v>
      </c>
      <c r="E5842" s="368"/>
      <c r="F5842" s="368"/>
    </row>
    <row r="5843" spans="1:6" ht="25.5" x14ac:dyDescent="0.2">
      <c r="A5843" s="391">
        <v>104168</v>
      </c>
      <c r="B5843" s="478" t="s">
        <v>3807</v>
      </c>
      <c r="C5843" s="391" t="s">
        <v>26</v>
      </c>
      <c r="D5843" s="479">
        <v>131.47</v>
      </c>
      <c r="E5843" s="368"/>
      <c r="F5843" s="368"/>
    </row>
    <row r="5844" spans="1:6" ht="25.5" x14ac:dyDescent="0.2">
      <c r="A5844" s="391">
        <v>89516</v>
      </c>
      <c r="B5844" s="478" t="s">
        <v>3025</v>
      </c>
      <c r="C5844" s="391" t="s">
        <v>26</v>
      </c>
      <c r="D5844" s="479">
        <v>8.3800000000000008</v>
      </c>
      <c r="E5844" s="368"/>
      <c r="F5844" s="368"/>
    </row>
    <row r="5845" spans="1:6" ht="25.5" x14ac:dyDescent="0.2">
      <c r="A5845" s="391">
        <v>89520</v>
      </c>
      <c r="B5845" s="478" t="s">
        <v>3029</v>
      </c>
      <c r="C5845" s="391" t="s">
        <v>26</v>
      </c>
      <c r="D5845" s="479">
        <v>17.850000000000001</v>
      </c>
      <c r="E5845" s="368"/>
      <c r="F5845" s="368"/>
    </row>
    <row r="5846" spans="1:6" ht="38.25" x14ac:dyDescent="0.2">
      <c r="A5846" s="391">
        <v>89582</v>
      </c>
      <c r="B5846" s="478" t="s">
        <v>3073</v>
      </c>
      <c r="C5846" s="391" t="s">
        <v>26</v>
      </c>
      <c r="D5846" s="479">
        <v>36.729999999999997</v>
      </c>
      <c r="E5846" s="368"/>
      <c r="F5846" s="368"/>
    </row>
    <row r="5847" spans="1:6" ht="25.5" x14ac:dyDescent="0.2">
      <c r="A5847" s="391">
        <v>89524</v>
      </c>
      <c r="B5847" s="478" t="s">
        <v>3033</v>
      </c>
      <c r="C5847" s="391" t="s">
        <v>26</v>
      </c>
      <c r="D5847" s="479">
        <v>32.869999999999997</v>
      </c>
      <c r="E5847" s="368"/>
      <c r="F5847" s="368"/>
    </row>
    <row r="5848" spans="1:6" ht="38.25" x14ac:dyDescent="0.2">
      <c r="A5848" s="391">
        <v>89584</v>
      </c>
      <c r="B5848" s="478" t="s">
        <v>3075</v>
      </c>
      <c r="C5848" s="391" t="s">
        <v>26</v>
      </c>
      <c r="D5848" s="479">
        <v>47.2</v>
      </c>
      <c r="E5848" s="368"/>
      <c r="F5848" s="368"/>
    </row>
    <row r="5849" spans="1:6" ht="25.5" x14ac:dyDescent="0.2">
      <c r="A5849" s="391">
        <v>89529</v>
      </c>
      <c r="B5849" s="478" t="s">
        <v>3038</v>
      </c>
      <c r="C5849" s="391" t="s">
        <v>26</v>
      </c>
      <c r="D5849" s="479">
        <v>40.21</v>
      </c>
      <c r="E5849" s="368"/>
      <c r="F5849" s="368"/>
    </row>
    <row r="5850" spans="1:6" ht="38.25" x14ac:dyDescent="0.2">
      <c r="A5850" s="391">
        <v>89590</v>
      </c>
      <c r="B5850" s="478" t="s">
        <v>3078</v>
      </c>
      <c r="C5850" s="391" t="s">
        <v>26</v>
      </c>
      <c r="D5850" s="479">
        <v>145.1</v>
      </c>
      <c r="E5850" s="368"/>
      <c r="F5850" s="368"/>
    </row>
    <row r="5851" spans="1:6" ht="25.5" x14ac:dyDescent="0.2">
      <c r="A5851" s="391">
        <v>104167</v>
      </c>
      <c r="B5851" s="478" t="s">
        <v>3806</v>
      </c>
      <c r="C5851" s="391" t="s">
        <v>26</v>
      </c>
      <c r="D5851" s="479">
        <v>134.84</v>
      </c>
      <c r="E5851" s="368"/>
      <c r="F5851" s="368"/>
    </row>
    <row r="5852" spans="1:6" ht="25.5" x14ac:dyDescent="0.2">
      <c r="A5852" s="391">
        <v>89514</v>
      </c>
      <c r="B5852" s="478" t="s">
        <v>3023</v>
      </c>
      <c r="C5852" s="391" t="s">
        <v>26</v>
      </c>
      <c r="D5852" s="479">
        <v>8.2899999999999991</v>
      </c>
      <c r="E5852" s="368"/>
      <c r="F5852" s="368"/>
    </row>
    <row r="5853" spans="1:6" ht="25.5" x14ac:dyDescent="0.2">
      <c r="A5853" s="391">
        <v>89518</v>
      </c>
      <c r="B5853" s="478" t="s">
        <v>3027</v>
      </c>
      <c r="C5853" s="391" t="s">
        <v>26</v>
      </c>
      <c r="D5853" s="479">
        <v>17.079999999999998</v>
      </c>
      <c r="E5853" s="368"/>
      <c r="F5853" s="368"/>
    </row>
    <row r="5854" spans="1:6" ht="38.25" x14ac:dyDescent="0.2">
      <c r="A5854" s="391">
        <v>89581</v>
      </c>
      <c r="B5854" s="478" t="s">
        <v>3072</v>
      </c>
      <c r="C5854" s="391" t="s">
        <v>26</v>
      </c>
      <c r="D5854" s="479">
        <v>36.24</v>
      </c>
      <c r="E5854" s="368"/>
      <c r="F5854" s="368"/>
    </row>
    <row r="5855" spans="1:6" ht="25.5" x14ac:dyDescent="0.2">
      <c r="A5855" s="391">
        <v>89522</v>
      </c>
      <c r="B5855" s="478" t="s">
        <v>3031</v>
      </c>
      <c r="C5855" s="391" t="s">
        <v>26</v>
      </c>
      <c r="D5855" s="479">
        <v>32.380000000000003</v>
      </c>
      <c r="E5855" s="368"/>
      <c r="F5855" s="368"/>
    </row>
    <row r="5856" spans="1:6" ht="38.25" x14ac:dyDescent="0.2">
      <c r="A5856" s="391">
        <v>89574</v>
      </c>
      <c r="B5856" s="478" t="s">
        <v>3069</v>
      </c>
      <c r="C5856" s="391" t="s">
        <v>26</v>
      </c>
      <c r="D5856" s="479">
        <v>164.53</v>
      </c>
      <c r="E5856" s="368"/>
      <c r="F5856" s="368"/>
    </row>
    <row r="5857" spans="1:6" ht="38.25" x14ac:dyDescent="0.2">
      <c r="A5857" s="391">
        <v>89690</v>
      </c>
      <c r="B5857" s="478" t="s">
        <v>3130</v>
      </c>
      <c r="C5857" s="391" t="s">
        <v>26</v>
      </c>
      <c r="D5857" s="479">
        <v>95.47</v>
      </c>
      <c r="E5857" s="368"/>
      <c r="F5857" s="368"/>
    </row>
    <row r="5858" spans="1:6" ht="38.25" x14ac:dyDescent="0.2">
      <c r="A5858" s="391">
        <v>89567</v>
      </c>
      <c r="B5858" s="478" t="s">
        <v>3064</v>
      </c>
      <c r="C5858" s="391" t="s">
        <v>26</v>
      </c>
      <c r="D5858" s="479">
        <v>86.16</v>
      </c>
      <c r="E5858" s="368"/>
      <c r="F5858" s="368"/>
    </row>
    <row r="5859" spans="1:6" ht="38.25" x14ac:dyDescent="0.2">
      <c r="A5859" s="391">
        <v>89692</v>
      </c>
      <c r="B5859" s="478" t="s">
        <v>3132</v>
      </c>
      <c r="C5859" s="391" t="s">
        <v>26</v>
      </c>
      <c r="D5859" s="479">
        <v>107.86</v>
      </c>
      <c r="E5859" s="368"/>
      <c r="F5859" s="368"/>
    </row>
    <row r="5860" spans="1:6" ht="38.25" x14ac:dyDescent="0.2">
      <c r="A5860" s="391">
        <v>89569</v>
      </c>
      <c r="B5860" s="478" t="s">
        <v>3066</v>
      </c>
      <c r="C5860" s="391" t="s">
        <v>26</v>
      </c>
      <c r="D5860" s="479">
        <v>99.93</v>
      </c>
      <c r="E5860" s="368"/>
      <c r="F5860" s="368"/>
    </row>
    <row r="5861" spans="1:6" ht="38.25" x14ac:dyDescent="0.2">
      <c r="A5861" s="391">
        <v>89699</v>
      </c>
      <c r="B5861" s="478" t="s">
        <v>3137</v>
      </c>
      <c r="C5861" s="391" t="s">
        <v>26</v>
      </c>
      <c r="D5861" s="479">
        <v>215.74</v>
      </c>
      <c r="E5861" s="368"/>
      <c r="F5861" s="368"/>
    </row>
    <row r="5862" spans="1:6" ht="38.25" x14ac:dyDescent="0.2">
      <c r="A5862" s="391">
        <v>104174</v>
      </c>
      <c r="B5862" s="478" t="s">
        <v>3813</v>
      </c>
      <c r="C5862" s="391" t="s">
        <v>26</v>
      </c>
      <c r="D5862" s="479">
        <v>204.95</v>
      </c>
      <c r="E5862" s="368"/>
      <c r="F5862" s="368"/>
    </row>
    <row r="5863" spans="1:6" ht="38.25" x14ac:dyDescent="0.2">
      <c r="A5863" s="391">
        <v>89698</v>
      </c>
      <c r="B5863" s="478" t="s">
        <v>3136</v>
      </c>
      <c r="C5863" s="391" t="s">
        <v>26</v>
      </c>
      <c r="D5863" s="479">
        <v>285.83</v>
      </c>
      <c r="E5863" s="368"/>
      <c r="F5863" s="368"/>
    </row>
    <row r="5864" spans="1:6" ht="38.25" x14ac:dyDescent="0.2">
      <c r="A5864" s="391">
        <v>104176</v>
      </c>
      <c r="B5864" s="478" t="s">
        <v>3815</v>
      </c>
      <c r="C5864" s="391" t="s">
        <v>26</v>
      </c>
      <c r="D5864" s="479">
        <v>272.17</v>
      </c>
      <c r="E5864" s="368"/>
      <c r="F5864" s="368"/>
    </row>
    <row r="5865" spans="1:6" ht="25.5" x14ac:dyDescent="0.2">
      <c r="A5865" s="391">
        <v>89561</v>
      </c>
      <c r="B5865" s="478" t="s">
        <v>3059</v>
      </c>
      <c r="C5865" s="391" t="s">
        <v>26</v>
      </c>
      <c r="D5865" s="479">
        <v>14.92</v>
      </c>
      <c r="E5865" s="368"/>
      <c r="F5865" s="368"/>
    </row>
    <row r="5866" spans="1:6" ht="25.5" x14ac:dyDescent="0.2">
      <c r="A5866" s="391">
        <v>89563</v>
      </c>
      <c r="B5866" s="478" t="s">
        <v>3061</v>
      </c>
      <c r="C5866" s="391" t="s">
        <v>26</v>
      </c>
      <c r="D5866" s="479">
        <v>38.01</v>
      </c>
      <c r="E5866" s="368"/>
      <c r="F5866" s="368"/>
    </row>
    <row r="5867" spans="1:6" ht="38.25" x14ac:dyDescent="0.2">
      <c r="A5867" s="391">
        <v>89685</v>
      </c>
      <c r="B5867" s="478" t="s">
        <v>3128</v>
      </c>
      <c r="C5867" s="391" t="s">
        <v>26</v>
      </c>
      <c r="D5867" s="479">
        <v>65.489999999999995</v>
      </c>
      <c r="E5867" s="368"/>
      <c r="F5867" s="368"/>
    </row>
    <row r="5868" spans="1:6" ht="38.25" x14ac:dyDescent="0.2">
      <c r="A5868" s="391">
        <v>89565</v>
      </c>
      <c r="B5868" s="478" t="s">
        <v>3062</v>
      </c>
      <c r="C5868" s="391" t="s">
        <v>26</v>
      </c>
      <c r="D5868" s="479">
        <v>60.34</v>
      </c>
      <c r="E5868" s="368"/>
      <c r="F5868" s="368"/>
    </row>
    <row r="5869" spans="1:6" ht="38.25" x14ac:dyDescent="0.2">
      <c r="A5869" s="391">
        <v>89671</v>
      </c>
      <c r="B5869" s="478" t="s">
        <v>3121</v>
      </c>
      <c r="C5869" s="391" t="s">
        <v>26</v>
      </c>
      <c r="D5869" s="479">
        <v>48.24</v>
      </c>
      <c r="E5869" s="368"/>
      <c r="F5869" s="368"/>
    </row>
    <row r="5870" spans="1:6" ht="25.5" x14ac:dyDescent="0.2">
      <c r="A5870" s="391">
        <v>89556</v>
      </c>
      <c r="B5870" s="478" t="s">
        <v>3055</v>
      </c>
      <c r="C5870" s="391" t="s">
        <v>26</v>
      </c>
      <c r="D5870" s="479">
        <v>43.58</v>
      </c>
      <c r="E5870" s="368"/>
      <c r="F5870" s="368"/>
    </row>
    <row r="5871" spans="1:6" ht="38.25" x14ac:dyDescent="0.2">
      <c r="A5871" s="391">
        <v>89679</v>
      </c>
      <c r="B5871" s="478" t="s">
        <v>3125</v>
      </c>
      <c r="C5871" s="391" t="s">
        <v>26</v>
      </c>
      <c r="D5871" s="479">
        <v>135.07</v>
      </c>
      <c r="E5871" s="368"/>
      <c r="F5871" s="368"/>
    </row>
    <row r="5872" spans="1:6" ht="25.5" x14ac:dyDescent="0.2">
      <c r="A5872" s="391">
        <v>104171</v>
      </c>
      <c r="B5872" s="478" t="s">
        <v>3810</v>
      </c>
      <c r="C5872" s="391" t="s">
        <v>26</v>
      </c>
      <c r="D5872" s="479">
        <v>101.8</v>
      </c>
      <c r="E5872" s="368"/>
      <c r="F5872" s="368"/>
    </row>
    <row r="5873" spans="1:6" ht="38.25" x14ac:dyDescent="0.2">
      <c r="A5873" s="391">
        <v>89600</v>
      </c>
      <c r="B5873" s="478" t="s">
        <v>3084</v>
      </c>
      <c r="C5873" s="391" t="s">
        <v>26</v>
      </c>
      <c r="D5873" s="479">
        <v>28</v>
      </c>
      <c r="E5873" s="368"/>
      <c r="F5873" s="368"/>
    </row>
    <row r="5874" spans="1:6" ht="25.5" x14ac:dyDescent="0.2">
      <c r="A5874" s="391">
        <v>89548</v>
      </c>
      <c r="B5874" s="478" t="s">
        <v>3050</v>
      </c>
      <c r="C5874" s="391" t="s">
        <v>26</v>
      </c>
      <c r="D5874" s="479">
        <v>25.42</v>
      </c>
      <c r="E5874" s="368"/>
      <c r="F5874" s="368"/>
    </row>
    <row r="5875" spans="1:6" ht="38.25" x14ac:dyDescent="0.2">
      <c r="A5875" s="391">
        <v>89669</v>
      </c>
      <c r="B5875" s="478" t="s">
        <v>3120</v>
      </c>
      <c r="C5875" s="391" t="s">
        <v>26</v>
      </c>
      <c r="D5875" s="479">
        <v>34.549999999999997</v>
      </c>
      <c r="E5875" s="368"/>
      <c r="F5875" s="368"/>
    </row>
    <row r="5876" spans="1:6" ht="25.5" x14ac:dyDescent="0.2">
      <c r="A5876" s="391">
        <v>89554</v>
      </c>
      <c r="B5876" s="478" t="s">
        <v>3054</v>
      </c>
      <c r="C5876" s="391" t="s">
        <v>26</v>
      </c>
      <c r="D5876" s="479">
        <v>29.86</v>
      </c>
      <c r="E5876" s="368"/>
      <c r="F5876" s="368"/>
    </row>
    <row r="5877" spans="1:6" ht="38.25" x14ac:dyDescent="0.2">
      <c r="A5877" s="391">
        <v>89677</v>
      </c>
      <c r="B5877" s="478" t="s">
        <v>3124</v>
      </c>
      <c r="C5877" s="391" t="s">
        <v>26</v>
      </c>
      <c r="D5877" s="479">
        <v>82.79</v>
      </c>
      <c r="E5877" s="368"/>
      <c r="F5877" s="368"/>
    </row>
    <row r="5878" spans="1:6" ht="25.5" x14ac:dyDescent="0.2">
      <c r="A5878" s="391">
        <v>104170</v>
      </c>
      <c r="B5878" s="478" t="s">
        <v>3809</v>
      </c>
      <c r="C5878" s="391" t="s">
        <v>26</v>
      </c>
      <c r="D5878" s="479">
        <v>75.81</v>
      </c>
      <c r="E5878" s="368"/>
      <c r="F5878" s="368"/>
    </row>
    <row r="5879" spans="1:6" ht="25.5" x14ac:dyDescent="0.2">
      <c r="A5879" s="391">
        <v>89544</v>
      </c>
      <c r="B5879" s="478" t="s">
        <v>3046</v>
      </c>
      <c r="C5879" s="391" t="s">
        <v>26</v>
      </c>
      <c r="D5879" s="479">
        <v>8.59</v>
      </c>
      <c r="E5879" s="368"/>
      <c r="F5879" s="368"/>
    </row>
    <row r="5880" spans="1:6" ht="25.5" x14ac:dyDescent="0.2">
      <c r="A5880" s="391">
        <v>89545</v>
      </c>
      <c r="B5880" s="478" t="s">
        <v>3047</v>
      </c>
      <c r="C5880" s="391" t="s">
        <v>26</v>
      </c>
      <c r="D5880" s="479">
        <v>17.97</v>
      </c>
      <c r="E5880" s="368"/>
      <c r="F5880" s="368"/>
    </row>
    <row r="5881" spans="1:6" ht="38.25" x14ac:dyDescent="0.2">
      <c r="A5881" s="391">
        <v>89599</v>
      </c>
      <c r="B5881" s="478" t="s">
        <v>3083</v>
      </c>
      <c r="C5881" s="391" t="s">
        <v>26</v>
      </c>
      <c r="D5881" s="479">
        <v>26.21</v>
      </c>
      <c r="E5881" s="368"/>
      <c r="F5881" s="368"/>
    </row>
    <row r="5882" spans="1:6" ht="25.5" x14ac:dyDescent="0.2">
      <c r="A5882" s="391">
        <v>89547</v>
      </c>
      <c r="B5882" s="478" t="s">
        <v>3049</v>
      </c>
      <c r="C5882" s="391" t="s">
        <v>26</v>
      </c>
      <c r="D5882" s="479">
        <v>23.62</v>
      </c>
      <c r="E5882" s="368"/>
      <c r="F5882" s="368"/>
    </row>
    <row r="5883" spans="1:6" ht="25.5" x14ac:dyDescent="0.2">
      <c r="A5883" s="391">
        <v>89495</v>
      </c>
      <c r="B5883" s="478" t="s">
        <v>3923</v>
      </c>
      <c r="C5883" s="391" t="s">
        <v>26</v>
      </c>
      <c r="D5883" s="479">
        <v>19.600000000000001</v>
      </c>
      <c r="E5883" s="368"/>
      <c r="F5883" s="368"/>
    </row>
    <row r="5884" spans="1:6" ht="38.25" x14ac:dyDescent="0.2">
      <c r="A5884" s="391">
        <v>89673</v>
      </c>
      <c r="B5884" s="478" t="s">
        <v>3122</v>
      </c>
      <c r="C5884" s="391" t="s">
        <v>26</v>
      </c>
      <c r="D5884" s="479">
        <v>38.44</v>
      </c>
      <c r="E5884" s="368"/>
      <c r="F5884" s="368"/>
    </row>
    <row r="5885" spans="1:6" ht="38.25" x14ac:dyDescent="0.2">
      <c r="A5885" s="391">
        <v>89557</v>
      </c>
      <c r="B5885" s="478" t="s">
        <v>3056</v>
      </c>
      <c r="C5885" s="391" t="s">
        <v>26</v>
      </c>
      <c r="D5885" s="479">
        <v>34.82</v>
      </c>
      <c r="E5885" s="368"/>
      <c r="F5885" s="368"/>
    </row>
    <row r="5886" spans="1:6" ht="38.25" x14ac:dyDescent="0.2">
      <c r="A5886" s="391">
        <v>89681</v>
      </c>
      <c r="B5886" s="478" t="s">
        <v>3126</v>
      </c>
      <c r="C5886" s="391" t="s">
        <v>26</v>
      </c>
      <c r="D5886" s="479">
        <v>97.64</v>
      </c>
      <c r="E5886" s="368"/>
      <c r="F5886" s="368"/>
    </row>
    <row r="5887" spans="1:6" ht="38.25" x14ac:dyDescent="0.2">
      <c r="A5887" s="391">
        <v>104173</v>
      </c>
      <c r="B5887" s="478" t="s">
        <v>3812</v>
      </c>
      <c r="C5887" s="391" t="s">
        <v>26</v>
      </c>
      <c r="D5887" s="479">
        <v>92.96</v>
      </c>
      <c r="E5887" s="368"/>
      <c r="F5887" s="368"/>
    </row>
    <row r="5888" spans="1:6" ht="38.25" x14ac:dyDescent="0.2">
      <c r="A5888" s="391">
        <v>89549</v>
      </c>
      <c r="B5888" s="478" t="s">
        <v>3051</v>
      </c>
      <c r="C5888" s="391" t="s">
        <v>26</v>
      </c>
      <c r="D5888" s="479">
        <v>21.22</v>
      </c>
      <c r="E5888" s="368"/>
      <c r="F5888" s="368"/>
    </row>
    <row r="5889" spans="1:6" ht="25.5" x14ac:dyDescent="0.2">
      <c r="A5889" s="391">
        <v>89578</v>
      </c>
      <c r="B5889" s="478" t="s">
        <v>2804</v>
      </c>
      <c r="C5889" s="391" t="s">
        <v>0</v>
      </c>
      <c r="D5889" s="479">
        <v>34.880000000000003</v>
      </c>
      <c r="E5889" s="368"/>
      <c r="F5889" s="368"/>
    </row>
    <row r="5890" spans="1:6" ht="25.5" x14ac:dyDescent="0.2">
      <c r="A5890" s="391">
        <v>89512</v>
      </c>
      <c r="B5890" s="478" t="s">
        <v>2802</v>
      </c>
      <c r="C5890" s="391" t="s">
        <v>0</v>
      </c>
      <c r="D5890" s="479">
        <v>50.7</v>
      </c>
      <c r="E5890" s="368"/>
      <c r="F5890" s="368"/>
    </row>
    <row r="5891" spans="1:6" ht="25.5" x14ac:dyDescent="0.2">
      <c r="A5891" s="391">
        <v>89580</v>
      </c>
      <c r="B5891" s="478" t="s">
        <v>2805</v>
      </c>
      <c r="C5891" s="391" t="s">
        <v>0</v>
      </c>
      <c r="D5891" s="479">
        <v>72.27</v>
      </c>
      <c r="E5891" s="368"/>
      <c r="F5891" s="368"/>
    </row>
    <row r="5892" spans="1:6" ht="25.5" x14ac:dyDescent="0.2">
      <c r="A5892" s="391">
        <v>104166</v>
      </c>
      <c r="B5892" s="478" t="s">
        <v>2942</v>
      </c>
      <c r="C5892" s="391" t="s">
        <v>0</v>
      </c>
      <c r="D5892" s="479">
        <v>78.11</v>
      </c>
      <c r="E5892" s="368"/>
      <c r="F5892" s="368"/>
    </row>
    <row r="5893" spans="1:6" ht="25.5" x14ac:dyDescent="0.2">
      <c r="A5893" s="391">
        <v>89508</v>
      </c>
      <c r="B5893" s="478" t="s">
        <v>2799</v>
      </c>
      <c r="C5893" s="391" t="s">
        <v>0</v>
      </c>
      <c r="D5893" s="479">
        <v>17.3</v>
      </c>
      <c r="E5893" s="368"/>
      <c r="F5893" s="368"/>
    </row>
    <row r="5894" spans="1:6" ht="25.5" x14ac:dyDescent="0.2">
      <c r="A5894" s="391">
        <v>89509</v>
      </c>
      <c r="B5894" s="478" t="s">
        <v>2800</v>
      </c>
      <c r="C5894" s="391" t="s">
        <v>0</v>
      </c>
      <c r="D5894" s="479">
        <v>23.43</v>
      </c>
      <c r="E5894" s="368"/>
      <c r="F5894" s="368"/>
    </row>
    <row r="5895" spans="1:6" ht="25.5" x14ac:dyDescent="0.2">
      <c r="A5895" s="391">
        <v>89576</v>
      </c>
      <c r="B5895" s="478" t="s">
        <v>2803</v>
      </c>
      <c r="C5895" s="391" t="s">
        <v>0</v>
      </c>
      <c r="D5895" s="479">
        <v>28.16</v>
      </c>
      <c r="E5895" s="368"/>
      <c r="F5895" s="368"/>
    </row>
    <row r="5896" spans="1:6" ht="25.5" x14ac:dyDescent="0.2">
      <c r="A5896" s="391">
        <v>89511</v>
      </c>
      <c r="B5896" s="478" t="s">
        <v>2801</v>
      </c>
      <c r="C5896" s="391" t="s">
        <v>0</v>
      </c>
      <c r="D5896" s="479">
        <v>40.07</v>
      </c>
      <c r="E5896" s="368"/>
      <c r="F5896" s="368"/>
    </row>
    <row r="5897" spans="1:6" ht="38.25" x14ac:dyDescent="0.2">
      <c r="A5897" s="391">
        <v>89675</v>
      </c>
      <c r="B5897" s="478" t="s">
        <v>3123</v>
      </c>
      <c r="C5897" s="391" t="s">
        <v>26</v>
      </c>
      <c r="D5897" s="479">
        <v>76.180000000000007</v>
      </c>
      <c r="E5897" s="368"/>
      <c r="F5897" s="368"/>
    </row>
    <row r="5898" spans="1:6" ht="25.5" x14ac:dyDescent="0.2">
      <c r="A5898" s="391">
        <v>89559</v>
      </c>
      <c r="B5898" s="478" t="s">
        <v>3058</v>
      </c>
      <c r="C5898" s="391" t="s">
        <v>26</v>
      </c>
      <c r="D5898" s="479">
        <v>71.52</v>
      </c>
      <c r="E5898" s="368"/>
      <c r="F5898" s="368"/>
    </row>
    <row r="5899" spans="1:6" ht="25.5" x14ac:dyDescent="0.2">
      <c r="A5899" s="391">
        <v>104172</v>
      </c>
      <c r="B5899" s="478" t="s">
        <v>3811</v>
      </c>
      <c r="C5899" s="391" t="s">
        <v>26</v>
      </c>
      <c r="D5899" s="479">
        <v>293.99</v>
      </c>
      <c r="E5899" s="368"/>
      <c r="F5899" s="368"/>
    </row>
    <row r="5900" spans="1:6" ht="38.25" x14ac:dyDescent="0.2">
      <c r="A5900" s="391">
        <v>89683</v>
      </c>
      <c r="B5900" s="478" t="s">
        <v>3127</v>
      </c>
      <c r="C5900" s="391" t="s">
        <v>26</v>
      </c>
      <c r="D5900" s="479">
        <v>300.83</v>
      </c>
      <c r="E5900" s="368"/>
      <c r="F5900" s="368"/>
    </row>
    <row r="5901" spans="1:6" ht="38.25" x14ac:dyDescent="0.2">
      <c r="A5901" s="391">
        <v>89667</v>
      </c>
      <c r="B5901" s="478" t="s">
        <v>3118</v>
      </c>
      <c r="C5901" s="391" t="s">
        <v>26</v>
      </c>
      <c r="D5901" s="479">
        <v>46.9</v>
      </c>
      <c r="E5901" s="368"/>
      <c r="F5901" s="368"/>
    </row>
    <row r="5902" spans="1:6" ht="25.5" x14ac:dyDescent="0.2">
      <c r="A5902" s="391">
        <v>89550</v>
      </c>
      <c r="B5902" s="478" t="s">
        <v>3052</v>
      </c>
      <c r="C5902" s="391" t="s">
        <v>26</v>
      </c>
      <c r="D5902" s="479">
        <v>44.32</v>
      </c>
      <c r="E5902" s="368"/>
      <c r="F5902" s="368"/>
    </row>
    <row r="5903" spans="1:6" ht="38.25" x14ac:dyDescent="0.2">
      <c r="A5903" s="391">
        <v>89693</v>
      </c>
      <c r="B5903" s="478" t="s">
        <v>3133</v>
      </c>
      <c r="C5903" s="391" t="s">
        <v>26</v>
      </c>
      <c r="D5903" s="479">
        <v>84.31</v>
      </c>
      <c r="E5903" s="368"/>
      <c r="F5903" s="368"/>
    </row>
    <row r="5904" spans="1:6" ht="25.5" x14ac:dyDescent="0.2">
      <c r="A5904" s="391">
        <v>89571</v>
      </c>
      <c r="B5904" s="478" t="s">
        <v>3067</v>
      </c>
      <c r="C5904" s="391" t="s">
        <v>26</v>
      </c>
      <c r="D5904" s="479">
        <v>75</v>
      </c>
      <c r="E5904" s="368"/>
      <c r="F5904" s="368"/>
    </row>
    <row r="5905" spans="1:6" ht="38.25" x14ac:dyDescent="0.2">
      <c r="A5905" s="391">
        <v>89696</v>
      </c>
      <c r="B5905" s="478" t="s">
        <v>3134</v>
      </c>
      <c r="C5905" s="391" t="s">
        <v>26</v>
      </c>
      <c r="D5905" s="479">
        <v>89.79</v>
      </c>
      <c r="E5905" s="368"/>
      <c r="F5905" s="368"/>
    </row>
    <row r="5906" spans="1:6" ht="25.5" x14ac:dyDescent="0.2">
      <c r="A5906" s="391">
        <v>89573</v>
      </c>
      <c r="B5906" s="478" t="s">
        <v>3068</v>
      </c>
      <c r="C5906" s="391" t="s">
        <v>26</v>
      </c>
      <c r="D5906" s="479">
        <v>81.86</v>
      </c>
      <c r="E5906" s="368"/>
      <c r="F5906" s="368"/>
    </row>
    <row r="5907" spans="1:6" ht="38.25" x14ac:dyDescent="0.2">
      <c r="A5907" s="391">
        <v>89704</v>
      </c>
      <c r="B5907" s="478" t="s">
        <v>3140</v>
      </c>
      <c r="C5907" s="391" t="s">
        <v>26</v>
      </c>
      <c r="D5907" s="479">
        <v>165.22</v>
      </c>
      <c r="E5907" s="368"/>
      <c r="F5907" s="368"/>
    </row>
    <row r="5908" spans="1:6" ht="25.5" x14ac:dyDescent="0.2">
      <c r="A5908" s="391">
        <v>104175</v>
      </c>
      <c r="B5908" s="478" t="s">
        <v>3814</v>
      </c>
      <c r="C5908" s="391" t="s">
        <v>26</v>
      </c>
      <c r="D5908" s="479">
        <v>154.43</v>
      </c>
      <c r="E5908" s="368"/>
      <c r="F5908" s="368"/>
    </row>
    <row r="5909" spans="1:6" ht="38.25" x14ac:dyDescent="0.2">
      <c r="A5909" s="391">
        <v>89701</v>
      </c>
      <c r="B5909" s="478" t="s">
        <v>3138</v>
      </c>
      <c r="C5909" s="391" t="s">
        <v>26</v>
      </c>
      <c r="D5909" s="479">
        <v>214.17</v>
      </c>
      <c r="E5909" s="368"/>
      <c r="F5909" s="368"/>
    </row>
    <row r="5910" spans="1:6" ht="25.5" x14ac:dyDescent="0.2">
      <c r="A5910" s="391">
        <v>104177</v>
      </c>
      <c r="B5910" s="478" t="s">
        <v>3816</v>
      </c>
      <c r="C5910" s="391" t="s">
        <v>26</v>
      </c>
      <c r="D5910" s="479">
        <v>200.51</v>
      </c>
      <c r="E5910" s="368"/>
      <c r="F5910" s="368"/>
    </row>
    <row r="5911" spans="1:6" ht="25.5" x14ac:dyDescent="0.2">
      <c r="A5911" s="391">
        <v>89566</v>
      </c>
      <c r="B5911" s="478" t="s">
        <v>3063</v>
      </c>
      <c r="C5911" s="391" t="s">
        <v>26</v>
      </c>
      <c r="D5911" s="479">
        <v>51.48</v>
      </c>
      <c r="E5911" s="368"/>
      <c r="F5911" s="368"/>
    </row>
    <row r="5912" spans="1:6" ht="25.5" x14ac:dyDescent="0.2">
      <c r="A5912" s="391">
        <v>89687</v>
      </c>
      <c r="B5912" s="478" t="s">
        <v>3129</v>
      </c>
      <c r="C5912" s="391" t="s">
        <v>26</v>
      </c>
      <c r="D5912" s="479">
        <v>56.63</v>
      </c>
      <c r="E5912" s="368"/>
      <c r="F5912" s="368"/>
    </row>
    <row r="5913" spans="1:6" ht="25.5" x14ac:dyDescent="0.2">
      <c r="A5913" s="391">
        <v>102237</v>
      </c>
      <c r="B5913" s="478" t="s">
        <v>41535</v>
      </c>
      <c r="C5913" s="391" t="s">
        <v>255</v>
      </c>
      <c r="D5913" s="479">
        <v>0</v>
      </c>
      <c r="E5913" s="368"/>
      <c r="F5913" s="368"/>
    </row>
    <row r="5914" spans="1:6" ht="25.5" x14ac:dyDescent="0.2">
      <c r="A5914" s="391">
        <v>102450</v>
      </c>
      <c r="B5914" s="478" t="s">
        <v>41536</v>
      </c>
      <c r="C5914" s="391" t="s">
        <v>255</v>
      </c>
      <c r="D5914" s="479">
        <v>0</v>
      </c>
      <c r="E5914" s="368"/>
      <c r="F5914" s="368"/>
    </row>
    <row r="5915" spans="1:6" ht="25.5" x14ac:dyDescent="0.2">
      <c r="A5915" s="391">
        <v>102250</v>
      </c>
      <c r="B5915" s="478" t="s">
        <v>41537</v>
      </c>
      <c r="C5915" s="391" t="s">
        <v>255</v>
      </c>
      <c r="D5915" s="479">
        <v>0</v>
      </c>
      <c r="E5915" s="368"/>
      <c r="F5915" s="368"/>
    </row>
    <row r="5916" spans="1:6" ht="25.5" x14ac:dyDescent="0.2">
      <c r="A5916" s="391">
        <v>102240</v>
      </c>
      <c r="B5916" s="478" t="s">
        <v>41538</v>
      </c>
      <c r="C5916" s="391" t="s">
        <v>255</v>
      </c>
      <c r="D5916" s="479">
        <v>0</v>
      </c>
      <c r="E5916" s="368"/>
      <c r="F5916" s="368"/>
    </row>
    <row r="5917" spans="1:6" ht="25.5" x14ac:dyDescent="0.2">
      <c r="A5917" s="391">
        <v>102449</v>
      </c>
      <c r="B5917" s="478" t="s">
        <v>41539</v>
      </c>
      <c r="C5917" s="391" t="s">
        <v>255</v>
      </c>
      <c r="D5917" s="479">
        <v>0</v>
      </c>
      <c r="E5917" s="368"/>
      <c r="F5917" s="368"/>
    </row>
    <row r="5918" spans="1:6" ht="25.5" x14ac:dyDescent="0.2">
      <c r="A5918" s="391">
        <v>102249</v>
      </c>
      <c r="B5918" s="478" t="s">
        <v>41540</v>
      </c>
      <c r="C5918" s="391" t="s">
        <v>255</v>
      </c>
      <c r="D5918" s="479">
        <v>0</v>
      </c>
      <c r="E5918" s="368"/>
      <c r="F5918" s="368"/>
    </row>
    <row r="5919" spans="1:6" ht="25.5" x14ac:dyDescent="0.2">
      <c r="A5919" s="391">
        <v>102238</v>
      </c>
      <c r="B5919" s="478" t="s">
        <v>41541</v>
      </c>
      <c r="C5919" s="391" t="s">
        <v>255</v>
      </c>
      <c r="D5919" s="479">
        <v>0</v>
      </c>
      <c r="E5919" s="368"/>
      <c r="F5919" s="368"/>
    </row>
    <row r="5920" spans="1:6" ht="25.5" x14ac:dyDescent="0.2">
      <c r="A5920" s="391">
        <v>102448</v>
      </c>
      <c r="B5920" s="478" t="s">
        <v>41542</v>
      </c>
      <c r="C5920" s="391" t="s">
        <v>255</v>
      </c>
      <c r="D5920" s="479">
        <v>0</v>
      </c>
      <c r="E5920" s="368"/>
      <c r="F5920" s="368"/>
    </row>
    <row r="5921" spans="1:6" ht="25.5" x14ac:dyDescent="0.2">
      <c r="A5921" s="391">
        <v>102248</v>
      </c>
      <c r="B5921" s="478" t="s">
        <v>41543</v>
      </c>
      <c r="C5921" s="391" t="s">
        <v>255</v>
      </c>
      <c r="D5921" s="479">
        <v>0</v>
      </c>
      <c r="E5921" s="368"/>
      <c r="F5921" s="368"/>
    </row>
    <row r="5922" spans="1:6" ht="38.25" x14ac:dyDescent="0.2">
      <c r="A5922" s="391">
        <v>102253</v>
      </c>
      <c r="B5922" s="478" t="s">
        <v>4474</v>
      </c>
      <c r="C5922" s="391" t="s">
        <v>255</v>
      </c>
      <c r="D5922" s="479">
        <v>728.51</v>
      </c>
      <c r="E5922" s="368"/>
      <c r="F5922" s="368"/>
    </row>
    <row r="5923" spans="1:6" ht="38.25" x14ac:dyDescent="0.2">
      <c r="A5923" s="391">
        <v>102254</v>
      </c>
      <c r="B5923" s="478" t="s">
        <v>4475</v>
      </c>
      <c r="C5923" s="391" t="s">
        <v>255</v>
      </c>
      <c r="D5923" s="479">
        <v>795.8</v>
      </c>
      <c r="E5923" s="368"/>
      <c r="F5923" s="368"/>
    </row>
    <row r="5924" spans="1:6" ht="38.25" x14ac:dyDescent="0.2">
      <c r="A5924" s="391">
        <v>102257</v>
      </c>
      <c r="B5924" s="478" t="s">
        <v>4478</v>
      </c>
      <c r="C5924" s="391" t="s">
        <v>255</v>
      </c>
      <c r="D5924" s="479">
        <v>355.45</v>
      </c>
      <c r="E5924" s="368"/>
      <c r="F5924" s="368"/>
    </row>
    <row r="5925" spans="1:6" ht="25.5" x14ac:dyDescent="0.2">
      <c r="A5925" s="391">
        <v>102239</v>
      </c>
      <c r="B5925" s="478" t="s">
        <v>41544</v>
      </c>
      <c r="C5925" s="391" t="s">
        <v>255</v>
      </c>
      <c r="D5925" s="479">
        <v>0</v>
      </c>
      <c r="E5925" s="368"/>
      <c r="F5925" s="368"/>
    </row>
    <row r="5926" spans="1:6" ht="25.5" x14ac:dyDescent="0.2">
      <c r="A5926" s="391">
        <v>102236</v>
      </c>
      <c r="B5926" s="478" t="s">
        <v>41545</v>
      </c>
      <c r="C5926" s="391" t="s">
        <v>255</v>
      </c>
      <c r="D5926" s="479">
        <v>0</v>
      </c>
      <c r="E5926" s="368"/>
      <c r="F5926" s="368"/>
    </row>
    <row r="5927" spans="1:6" x14ac:dyDescent="0.2">
      <c r="A5927" s="391">
        <v>102235</v>
      </c>
      <c r="B5927" s="478" t="s">
        <v>4473</v>
      </c>
      <c r="C5927" s="391" t="s">
        <v>255</v>
      </c>
      <c r="D5927" s="479">
        <v>517.64</v>
      </c>
      <c r="E5927" s="368"/>
      <c r="F5927" s="368"/>
    </row>
    <row r="5928" spans="1:6" ht="25.5" x14ac:dyDescent="0.2">
      <c r="A5928" s="391">
        <v>102260</v>
      </c>
      <c r="B5928" s="478" t="s">
        <v>41546</v>
      </c>
      <c r="C5928" s="391" t="s">
        <v>255</v>
      </c>
      <c r="D5928" s="479">
        <v>0</v>
      </c>
      <c r="E5928" s="368"/>
      <c r="F5928" s="368"/>
    </row>
    <row r="5929" spans="1:6" ht="25.5" x14ac:dyDescent="0.2">
      <c r="A5929" s="391">
        <v>102259</v>
      </c>
      <c r="B5929" s="478" t="s">
        <v>41547</v>
      </c>
      <c r="C5929" s="391" t="s">
        <v>255</v>
      </c>
      <c r="D5929" s="479">
        <v>0</v>
      </c>
      <c r="E5929" s="368"/>
      <c r="F5929" s="368"/>
    </row>
    <row r="5930" spans="1:6" ht="25.5" x14ac:dyDescent="0.2">
      <c r="A5930" s="391">
        <v>102262</v>
      </c>
      <c r="B5930" s="478" t="s">
        <v>41548</v>
      </c>
      <c r="C5930" s="391" t="s">
        <v>26</v>
      </c>
      <c r="D5930" s="479">
        <v>0</v>
      </c>
      <c r="E5930" s="368"/>
      <c r="F5930" s="368"/>
    </row>
    <row r="5931" spans="1:6" ht="38.25" x14ac:dyDescent="0.2">
      <c r="A5931" s="391">
        <v>102242</v>
      </c>
      <c r="B5931" s="478" t="s">
        <v>41549</v>
      </c>
      <c r="C5931" s="391" t="s">
        <v>255</v>
      </c>
      <c r="D5931" s="479">
        <v>0</v>
      </c>
      <c r="E5931" s="368"/>
      <c r="F5931" s="368"/>
    </row>
    <row r="5932" spans="1:6" ht="38.25" x14ac:dyDescent="0.2">
      <c r="A5932" s="391">
        <v>102246</v>
      </c>
      <c r="B5932" s="478" t="s">
        <v>47976</v>
      </c>
      <c r="C5932" s="391" t="s">
        <v>255</v>
      </c>
      <c r="D5932" s="479">
        <v>0</v>
      </c>
      <c r="E5932" s="368"/>
      <c r="F5932" s="368"/>
    </row>
    <row r="5933" spans="1:6" ht="25.5" x14ac:dyDescent="0.2">
      <c r="A5933" s="391">
        <v>102251</v>
      </c>
      <c r="B5933" s="478" t="s">
        <v>47977</v>
      </c>
      <c r="C5933" s="391" t="s">
        <v>255</v>
      </c>
      <c r="D5933" s="479">
        <v>0</v>
      </c>
      <c r="E5933" s="368"/>
      <c r="F5933" s="368"/>
    </row>
    <row r="5934" spans="1:6" ht="38.25" x14ac:dyDescent="0.2">
      <c r="A5934" s="391">
        <v>102241</v>
      </c>
      <c r="B5934" s="478" t="s">
        <v>41550</v>
      </c>
      <c r="C5934" s="391" t="s">
        <v>255</v>
      </c>
      <c r="D5934" s="479">
        <v>0</v>
      </c>
      <c r="E5934" s="368"/>
      <c r="F5934" s="368"/>
    </row>
    <row r="5935" spans="1:6" ht="38.25" x14ac:dyDescent="0.2">
      <c r="A5935" s="391">
        <v>102247</v>
      </c>
      <c r="B5935" s="478" t="s">
        <v>47978</v>
      </c>
      <c r="C5935" s="391" t="s">
        <v>255</v>
      </c>
      <c r="D5935" s="479">
        <v>0</v>
      </c>
      <c r="E5935" s="368"/>
      <c r="F5935" s="368"/>
    </row>
    <row r="5936" spans="1:6" ht="25.5" x14ac:dyDescent="0.2">
      <c r="A5936" s="391">
        <v>102252</v>
      </c>
      <c r="B5936" s="478" t="s">
        <v>41551</v>
      </c>
      <c r="C5936" s="391" t="s">
        <v>255</v>
      </c>
      <c r="D5936" s="479">
        <v>0</v>
      </c>
      <c r="E5936" s="368"/>
      <c r="F5936" s="368"/>
    </row>
    <row r="5937" spans="1:6" ht="25.5" x14ac:dyDescent="0.2">
      <c r="A5937" s="391">
        <v>102255</v>
      </c>
      <c r="B5937" s="478" t="s">
        <v>4476</v>
      </c>
      <c r="C5937" s="391" t="s">
        <v>255</v>
      </c>
      <c r="D5937" s="479">
        <v>759.9</v>
      </c>
      <c r="E5937" s="368"/>
      <c r="F5937" s="368"/>
    </row>
    <row r="5938" spans="1:6" ht="25.5" x14ac:dyDescent="0.2">
      <c r="A5938" s="391">
        <v>102256</v>
      </c>
      <c r="B5938" s="478" t="s">
        <v>4477</v>
      </c>
      <c r="C5938" s="391" t="s">
        <v>255</v>
      </c>
      <c r="D5938" s="479">
        <v>823.98</v>
      </c>
      <c r="E5938" s="368"/>
      <c r="F5938" s="368"/>
    </row>
    <row r="5939" spans="1:6" ht="25.5" x14ac:dyDescent="0.2">
      <c r="A5939" s="391">
        <v>102258</v>
      </c>
      <c r="B5939" s="478" t="s">
        <v>4479</v>
      </c>
      <c r="C5939" s="391" t="s">
        <v>255</v>
      </c>
      <c r="D5939" s="479">
        <v>396.77</v>
      </c>
      <c r="E5939" s="368"/>
      <c r="F5939" s="368"/>
    </row>
    <row r="5940" spans="1:6" ht="38.25" x14ac:dyDescent="0.2">
      <c r="A5940" s="391">
        <v>101912</v>
      </c>
      <c r="B5940" s="478" t="s">
        <v>2698</v>
      </c>
      <c r="C5940" s="391" t="s">
        <v>26</v>
      </c>
      <c r="D5940" s="479">
        <v>2245.19</v>
      </c>
      <c r="E5940" s="368"/>
      <c r="F5940" s="368"/>
    </row>
    <row r="5941" spans="1:6" ht="51" x14ac:dyDescent="0.2">
      <c r="A5941" s="391">
        <v>96765</v>
      </c>
      <c r="B5941" s="478" t="s">
        <v>2690</v>
      </c>
      <c r="C5941" s="391" t="s">
        <v>26</v>
      </c>
      <c r="D5941" s="479">
        <v>1821.69</v>
      </c>
      <c r="E5941" s="368"/>
      <c r="F5941" s="368"/>
    </row>
    <row r="5942" spans="1:6" ht="25.5" x14ac:dyDescent="0.2">
      <c r="A5942" s="391">
        <v>97430</v>
      </c>
      <c r="B5942" s="478" t="s">
        <v>3553</v>
      </c>
      <c r="C5942" s="391" t="s">
        <v>26</v>
      </c>
      <c r="D5942" s="479">
        <v>38.03</v>
      </c>
      <c r="E5942" s="368"/>
      <c r="F5942" s="368"/>
    </row>
    <row r="5943" spans="1:6" ht="25.5" x14ac:dyDescent="0.2">
      <c r="A5943" s="391">
        <v>97431</v>
      </c>
      <c r="B5943" s="478" t="s">
        <v>3554</v>
      </c>
      <c r="C5943" s="391" t="s">
        <v>26</v>
      </c>
      <c r="D5943" s="479">
        <v>42.5</v>
      </c>
      <c r="E5943" s="368"/>
      <c r="F5943" s="368"/>
    </row>
    <row r="5944" spans="1:6" ht="25.5" x14ac:dyDescent="0.2">
      <c r="A5944" s="391">
        <v>97432</v>
      </c>
      <c r="B5944" s="478" t="s">
        <v>3555</v>
      </c>
      <c r="C5944" s="391" t="s">
        <v>26</v>
      </c>
      <c r="D5944" s="479">
        <v>47.96</v>
      </c>
      <c r="E5944" s="368"/>
      <c r="F5944" s="368"/>
    </row>
    <row r="5945" spans="1:6" x14ac:dyDescent="0.2">
      <c r="A5945" s="391">
        <v>101913</v>
      </c>
      <c r="B5945" s="478" t="s">
        <v>2699</v>
      </c>
      <c r="C5945" s="391" t="s">
        <v>26</v>
      </c>
      <c r="D5945" s="479">
        <v>534.99</v>
      </c>
      <c r="E5945" s="368"/>
      <c r="F5945" s="368"/>
    </row>
    <row r="5946" spans="1:6" x14ac:dyDescent="0.2">
      <c r="A5946" s="391">
        <v>101914</v>
      </c>
      <c r="B5946" s="478" t="s">
        <v>2700</v>
      </c>
      <c r="C5946" s="391" t="s">
        <v>26</v>
      </c>
      <c r="D5946" s="479">
        <v>679.82</v>
      </c>
      <c r="E5946" s="368"/>
      <c r="F5946" s="368"/>
    </row>
    <row r="5947" spans="1:6" ht="38.25" x14ac:dyDescent="0.2">
      <c r="A5947" s="391">
        <v>101915</v>
      </c>
      <c r="B5947" s="478" t="s">
        <v>2701</v>
      </c>
      <c r="C5947" s="391" t="s">
        <v>26</v>
      </c>
      <c r="D5947" s="479">
        <v>444.36</v>
      </c>
      <c r="E5947" s="368"/>
      <c r="F5947" s="368"/>
    </row>
    <row r="5948" spans="1:6" ht="25.5" x14ac:dyDescent="0.2">
      <c r="A5948" s="391">
        <v>97433</v>
      </c>
      <c r="B5948" s="478" t="s">
        <v>3556</v>
      </c>
      <c r="C5948" s="391" t="s">
        <v>26</v>
      </c>
      <c r="D5948" s="479">
        <v>85.33</v>
      </c>
      <c r="E5948" s="368"/>
      <c r="F5948" s="368"/>
    </row>
    <row r="5949" spans="1:6" ht="25.5" x14ac:dyDescent="0.2">
      <c r="A5949" s="391">
        <v>97435</v>
      </c>
      <c r="B5949" s="478" t="s">
        <v>3558</v>
      </c>
      <c r="C5949" s="391" t="s">
        <v>26</v>
      </c>
      <c r="D5949" s="479">
        <v>99.76</v>
      </c>
      <c r="E5949" s="368"/>
      <c r="F5949" s="368"/>
    </row>
    <row r="5950" spans="1:6" ht="25.5" x14ac:dyDescent="0.2">
      <c r="A5950" s="391">
        <v>97437</v>
      </c>
      <c r="B5950" s="478" t="s">
        <v>3560</v>
      </c>
      <c r="C5950" s="391" t="s">
        <v>26</v>
      </c>
      <c r="D5950" s="479">
        <v>114.14</v>
      </c>
      <c r="E5950" s="368"/>
      <c r="F5950" s="368"/>
    </row>
    <row r="5951" spans="1:6" ht="25.5" x14ac:dyDescent="0.2">
      <c r="A5951" s="391">
        <v>97546</v>
      </c>
      <c r="B5951" s="478" t="s">
        <v>3639</v>
      </c>
      <c r="C5951" s="391" t="s">
        <v>26</v>
      </c>
      <c r="D5951" s="479">
        <v>34.75</v>
      </c>
      <c r="E5951" s="368"/>
      <c r="F5951" s="368"/>
    </row>
    <row r="5952" spans="1:6" ht="25.5" x14ac:dyDescent="0.2">
      <c r="A5952" s="391">
        <v>97548</v>
      </c>
      <c r="B5952" s="478" t="s">
        <v>3641</v>
      </c>
      <c r="C5952" s="391" t="s">
        <v>26</v>
      </c>
      <c r="D5952" s="479">
        <v>51.28</v>
      </c>
      <c r="E5952" s="368"/>
      <c r="F5952" s="368"/>
    </row>
    <row r="5953" spans="1:6" ht="25.5" x14ac:dyDescent="0.2">
      <c r="A5953" s="391">
        <v>97550</v>
      </c>
      <c r="B5953" s="478" t="s">
        <v>3643</v>
      </c>
      <c r="C5953" s="391" t="s">
        <v>26</v>
      </c>
      <c r="D5953" s="479">
        <v>84.64</v>
      </c>
      <c r="E5953" s="368"/>
      <c r="F5953" s="368"/>
    </row>
    <row r="5954" spans="1:6" ht="38.25" x14ac:dyDescent="0.2">
      <c r="A5954" s="391">
        <v>97479</v>
      </c>
      <c r="B5954" s="478" t="s">
        <v>3588</v>
      </c>
      <c r="C5954" s="391" t="s">
        <v>26</v>
      </c>
      <c r="D5954" s="479">
        <v>58.17</v>
      </c>
      <c r="E5954" s="368"/>
      <c r="F5954" s="368"/>
    </row>
    <row r="5955" spans="1:6" ht="38.25" x14ac:dyDescent="0.2">
      <c r="A5955" s="391">
        <v>97517</v>
      </c>
      <c r="B5955" s="478" t="s">
        <v>3616</v>
      </c>
      <c r="C5955" s="391" t="s">
        <v>26</v>
      </c>
      <c r="D5955" s="479">
        <v>54.28</v>
      </c>
      <c r="E5955" s="368"/>
      <c r="F5955" s="368"/>
    </row>
    <row r="5956" spans="1:6" ht="38.25" x14ac:dyDescent="0.2">
      <c r="A5956" s="391">
        <v>97481</v>
      </c>
      <c r="B5956" s="478" t="s">
        <v>3590</v>
      </c>
      <c r="C5956" s="391" t="s">
        <v>26</v>
      </c>
      <c r="D5956" s="479">
        <v>84.5</v>
      </c>
      <c r="E5956" s="368"/>
      <c r="F5956" s="368"/>
    </row>
    <row r="5957" spans="1:6" ht="38.25" x14ac:dyDescent="0.2">
      <c r="A5957" s="391">
        <v>97519</v>
      </c>
      <c r="B5957" s="478" t="s">
        <v>3618</v>
      </c>
      <c r="C5957" s="391" t="s">
        <v>26</v>
      </c>
      <c r="D5957" s="479">
        <v>77.63</v>
      </c>
      <c r="E5957" s="368"/>
      <c r="F5957" s="368"/>
    </row>
    <row r="5958" spans="1:6" ht="38.25" x14ac:dyDescent="0.2">
      <c r="A5958" s="391">
        <v>97483</v>
      </c>
      <c r="B5958" s="478" t="s">
        <v>3592</v>
      </c>
      <c r="C5958" s="391" t="s">
        <v>26</v>
      </c>
      <c r="D5958" s="479">
        <v>118.52</v>
      </c>
      <c r="E5958" s="368"/>
      <c r="F5958" s="368"/>
    </row>
    <row r="5959" spans="1:6" ht="38.25" x14ac:dyDescent="0.2">
      <c r="A5959" s="391">
        <v>97521</v>
      </c>
      <c r="B5959" s="478" t="s">
        <v>3620</v>
      </c>
      <c r="C5959" s="391" t="s">
        <v>26</v>
      </c>
      <c r="D5959" s="479">
        <v>108.3</v>
      </c>
      <c r="E5959" s="368"/>
      <c r="F5959" s="368"/>
    </row>
    <row r="5960" spans="1:6" ht="25.5" x14ac:dyDescent="0.2">
      <c r="A5960" s="391">
        <v>97452</v>
      </c>
      <c r="B5960" s="478" t="s">
        <v>3570</v>
      </c>
      <c r="C5960" s="391" t="s">
        <v>26</v>
      </c>
      <c r="D5960" s="479">
        <v>187.8</v>
      </c>
      <c r="E5960" s="368"/>
      <c r="F5960" s="368"/>
    </row>
    <row r="5961" spans="1:6" ht="38.25" x14ac:dyDescent="0.2">
      <c r="A5961" s="391">
        <v>97485</v>
      </c>
      <c r="B5961" s="478" t="s">
        <v>3594</v>
      </c>
      <c r="C5961" s="391" t="s">
        <v>26</v>
      </c>
      <c r="D5961" s="479">
        <v>163.69</v>
      </c>
      <c r="E5961" s="368"/>
      <c r="F5961" s="368"/>
    </row>
    <row r="5962" spans="1:6" ht="38.25" x14ac:dyDescent="0.2">
      <c r="A5962" s="391">
        <v>97523</v>
      </c>
      <c r="B5962" s="478" t="s">
        <v>3622</v>
      </c>
      <c r="C5962" s="391" t="s">
        <v>26</v>
      </c>
      <c r="D5962" s="479">
        <v>149.27000000000001</v>
      </c>
      <c r="E5962" s="368"/>
      <c r="F5962" s="368"/>
    </row>
    <row r="5963" spans="1:6" ht="25.5" x14ac:dyDescent="0.2">
      <c r="A5963" s="391">
        <v>97454</v>
      </c>
      <c r="B5963" s="478" t="s">
        <v>3572</v>
      </c>
      <c r="C5963" s="391" t="s">
        <v>26</v>
      </c>
      <c r="D5963" s="479">
        <v>322.64999999999998</v>
      </c>
      <c r="E5963" s="368"/>
      <c r="F5963" s="368"/>
    </row>
    <row r="5964" spans="1:6" ht="38.25" x14ac:dyDescent="0.2">
      <c r="A5964" s="391">
        <v>97487</v>
      </c>
      <c r="B5964" s="478" t="s">
        <v>3596</v>
      </c>
      <c r="C5964" s="391" t="s">
        <v>26</v>
      </c>
      <c r="D5964" s="479">
        <v>302.67</v>
      </c>
      <c r="E5964" s="368"/>
      <c r="F5964" s="368"/>
    </row>
    <row r="5965" spans="1:6" ht="38.25" x14ac:dyDescent="0.2">
      <c r="A5965" s="391">
        <v>97525</v>
      </c>
      <c r="B5965" s="478" t="s">
        <v>3624</v>
      </c>
      <c r="C5965" s="391" t="s">
        <v>26</v>
      </c>
      <c r="D5965" s="479">
        <v>281.83999999999997</v>
      </c>
      <c r="E5965" s="368"/>
      <c r="F5965" s="368"/>
    </row>
    <row r="5966" spans="1:6" ht="25.5" x14ac:dyDescent="0.2">
      <c r="A5966" s="391">
        <v>97456</v>
      </c>
      <c r="B5966" s="478" t="s">
        <v>3574</v>
      </c>
      <c r="C5966" s="391" t="s">
        <v>26</v>
      </c>
      <c r="D5966" s="479">
        <v>736.59</v>
      </c>
      <c r="E5966" s="368"/>
      <c r="F5966" s="368"/>
    </row>
    <row r="5967" spans="1:6" ht="38.25" x14ac:dyDescent="0.2">
      <c r="A5967" s="391">
        <v>97489</v>
      </c>
      <c r="B5967" s="478" t="s">
        <v>3598</v>
      </c>
      <c r="C5967" s="391" t="s">
        <v>26</v>
      </c>
      <c r="D5967" s="479">
        <v>720.64</v>
      </c>
      <c r="E5967" s="368"/>
      <c r="F5967" s="368"/>
    </row>
    <row r="5968" spans="1:6" ht="38.25" x14ac:dyDescent="0.2">
      <c r="A5968" s="391">
        <v>97527</v>
      </c>
      <c r="B5968" s="478" t="s">
        <v>3626</v>
      </c>
      <c r="C5968" s="391" t="s">
        <v>26</v>
      </c>
      <c r="D5968" s="479">
        <v>693.48</v>
      </c>
      <c r="E5968" s="368"/>
      <c r="F5968" s="368"/>
    </row>
    <row r="5969" spans="1:6" ht="25.5" x14ac:dyDescent="0.2">
      <c r="A5969" s="391">
        <v>97434</v>
      </c>
      <c r="B5969" s="478" t="s">
        <v>3557</v>
      </c>
      <c r="C5969" s="391" t="s">
        <v>26</v>
      </c>
      <c r="D5969" s="479">
        <v>86.87</v>
      </c>
      <c r="E5969" s="368"/>
      <c r="F5969" s="368"/>
    </row>
    <row r="5970" spans="1:6" ht="25.5" x14ac:dyDescent="0.2">
      <c r="A5970" s="391">
        <v>97436</v>
      </c>
      <c r="B5970" s="478" t="s">
        <v>3559</v>
      </c>
      <c r="C5970" s="391" t="s">
        <v>26</v>
      </c>
      <c r="D5970" s="479">
        <v>102.74</v>
      </c>
      <c r="E5970" s="368"/>
      <c r="F5970" s="368"/>
    </row>
    <row r="5971" spans="1:6" ht="25.5" x14ac:dyDescent="0.2">
      <c r="A5971" s="391">
        <v>97438</v>
      </c>
      <c r="B5971" s="478" t="s">
        <v>3561</v>
      </c>
      <c r="C5971" s="391" t="s">
        <v>26</v>
      </c>
      <c r="D5971" s="479">
        <v>117.33</v>
      </c>
      <c r="E5971" s="368"/>
      <c r="F5971" s="368"/>
    </row>
    <row r="5972" spans="1:6" ht="25.5" x14ac:dyDescent="0.2">
      <c r="A5972" s="391">
        <v>97547</v>
      </c>
      <c r="B5972" s="478" t="s">
        <v>3640</v>
      </c>
      <c r="C5972" s="391" t="s">
        <v>26</v>
      </c>
      <c r="D5972" s="479">
        <v>34.75</v>
      </c>
      <c r="E5972" s="368"/>
      <c r="F5972" s="368"/>
    </row>
    <row r="5973" spans="1:6" ht="25.5" x14ac:dyDescent="0.2">
      <c r="A5973" s="391">
        <v>97549</v>
      </c>
      <c r="B5973" s="478" t="s">
        <v>3642</v>
      </c>
      <c r="C5973" s="391" t="s">
        <v>26</v>
      </c>
      <c r="D5973" s="479">
        <v>51.28</v>
      </c>
      <c r="E5973" s="368"/>
      <c r="F5973" s="368"/>
    </row>
    <row r="5974" spans="1:6" ht="25.5" x14ac:dyDescent="0.2">
      <c r="A5974" s="391">
        <v>97551</v>
      </c>
      <c r="B5974" s="478" t="s">
        <v>3644</v>
      </c>
      <c r="C5974" s="391" t="s">
        <v>26</v>
      </c>
      <c r="D5974" s="479">
        <v>84.64</v>
      </c>
      <c r="E5974" s="368"/>
      <c r="F5974" s="368"/>
    </row>
    <row r="5975" spans="1:6" ht="38.25" x14ac:dyDescent="0.2">
      <c r="A5975" s="391">
        <v>97480</v>
      </c>
      <c r="B5975" s="478" t="s">
        <v>3589</v>
      </c>
      <c r="C5975" s="391" t="s">
        <v>26</v>
      </c>
      <c r="D5975" s="479">
        <v>58.17</v>
      </c>
      <c r="E5975" s="368"/>
      <c r="F5975" s="368"/>
    </row>
    <row r="5976" spans="1:6" ht="38.25" x14ac:dyDescent="0.2">
      <c r="A5976" s="391">
        <v>97518</v>
      </c>
      <c r="B5976" s="478" t="s">
        <v>3617</v>
      </c>
      <c r="C5976" s="391" t="s">
        <v>26</v>
      </c>
      <c r="D5976" s="479">
        <v>54.28</v>
      </c>
      <c r="E5976" s="368"/>
      <c r="F5976" s="368"/>
    </row>
    <row r="5977" spans="1:6" ht="38.25" x14ac:dyDescent="0.2">
      <c r="A5977" s="391">
        <v>97482</v>
      </c>
      <c r="B5977" s="478" t="s">
        <v>3591</v>
      </c>
      <c r="C5977" s="391" t="s">
        <v>26</v>
      </c>
      <c r="D5977" s="479">
        <v>84.5</v>
      </c>
      <c r="E5977" s="368"/>
      <c r="F5977" s="368"/>
    </row>
    <row r="5978" spans="1:6" ht="38.25" x14ac:dyDescent="0.2">
      <c r="A5978" s="391">
        <v>97520</v>
      </c>
      <c r="B5978" s="478" t="s">
        <v>3619</v>
      </c>
      <c r="C5978" s="391" t="s">
        <v>26</v>
      </c>
      <c r="D5978" s="479">
        <v>77.63</v>
      </c>
      <c r="E5978" s="368"/>
      <c r="F5978" s="368"/>
    </row>
    <row r="5979" spans="1:6" ht="38.25" x14ac:dyDescent="0.2">
      <c r="A5979" s="391">
        <v>97484</v>
      </c>
      <c r="B5979" s="478" t="s">
        <v>3593</v>
      </c>
      <c r="C5979" s="391" t="s">
        <v>26</v>
      </c>
      <c r="D5979" s="479">
        <v>118.52</v>
      </c>
      <c r="E5979" s="368"/>
      <c r="F5979" s="368"/>
    </row>
    <row r="5980" spans="1:6" ht="38.25" x14ac:dyDescent="0.2">
      <c r="A5980" s="391">
        <v>97522</v>
      </c>
      <c r="B5980" s="478" t="s">
        <v>3621</v>
      </c>
      <c r="C5980" s="391" t="s">
        <v>26</v>
      </c>
      <c r="D5980" s="479">
        <v>108.3</v>
      </c>
      <c r="E5980" s="368"/>
      <c r="F5980" s="368"/>
    </row>
    <row r="5981" spans="1:6" ht="25.5" x14ac:dyDescent="0.2">
      <c r="A5981" s="391">
        <v>97453</v>
      </c>
      <c r="B5981" s="478" t="s">
        <v>3571</v>
      </c>
      <c r="C5981" s="391" t="s">
        <v>26</v>
      </c>
      <c r="D5981" s="479">
        <v>199.63</v>
      </c>
      <c r="E5981" s="368"/>
      <c r="F5981" s="368"/>
    </row>
    <row r="5982" spans="1:6" ht="38.25" x14ac:dyDescent="0.2">
      <c r="A5982" s="391">
        <v>97486</v>
      </c>
      <c r="B5982" s="478" t="s">
        <v>3595</v>
      </c>
      <c r="C5982" s="391" t="s">
        <v>26</v>
      </c>
      <c r="D5982" s="479">
        <v>175.52</v>
      </c>
      <c r="E5982" s="368"/>
      <c r="F5982" s="368"/>
    </row>
    <row r="5983" spans="1:6" ht="38.25" x14ac:dyDescent="0.2">
      <c r="A5983" s="391">
        <v>97524</v>
      </c>
      <c r="B5983" s="478" t="s">
        <v>3623</v>
      </c>
      <c r="C5983" s="391" t="s">
        <v>26</v>
      </c>
      <c r="D5983" s="479">
        <v>161.1</v>
      </c>
      <c r="E5983" s="368"/>
      <c r="F5983" s="368"/>
    </row>
    <row r="5984" spans="1:6" ht="25.5" x14ac:dyDescent="0.2">
      <c r="A5984" s="391">
        <v>97455</v>
      </c>
      <c r="B5984" s="478" t="s">
        <v>3573</v>
      </c>
      <c r="C5984" s="391" t="s">
        <v>26</v>
      </c>
      <c r="D5984" s="479">
        <v>341.57</v>
      </c>
      <c r="E5984" s="368"/>
      <c r="F5984" s="368"/>
    </row>
    <row r="5985" spans="1:6" ht="38.25" x14ac:dyDescent="0.2">
      <c r="A5985" s="391">
        <v>97488</v>
      </c>
      <c r="B5985" s="478" t="s">
        <v>3597</v>
      </c>
      <c r="C5985" s="391" t="s">
        <v>26</v>
      </c>
      <c r="D5985" s="479">
        <v>321.58999999999997</v>
      </c>
      <c r="E5985" s="368"/>
      <c r="F5985" s="368"/>
    </row>
    <row r="5986" spans="1:6" ht="38.25" x14ac:dyDescent="0.2">
      <c r="A5986" s="391">
        <v>97526</v>
      </c>
      <c r="B5986" s="478" t="s">
        <v>3625</v>
      </c>
      <c r="C5986" s="391" t="s">
        <v>26</v>
      </c>
      <c r="D5986" s="479">
        <v>300.76</v>
      </c>
      <c r="E5986" s="368"/>
      <c r="F5986" s="368"/>
    </row>
    <row r="5987" spans="1:6" ht="25.5" x14ac:dyDescent="0.2">
      <c r="A5987" s="391">
        <v>97457</v>
      </c>
      <c r="B5987" s="478" t="s">
        <v>3575</v>
      </c>
      <c r="C5987" s="391" t="s">
        <v>26</v>
      </c>
      <c r="D5987" s="479">
        <v>651.70000000000005</v>
      </c>
      <c r="E5987" s="368"/>
      <c r="F5987" s="368"/>
    </row>
    <row r="5988" spans="1:6" ht="38.25" x14ac:dyDescent="0.2">
      <c r="A5988" s="391">
        <v>97490</v>
      </c>
      <c r="B5988" s="478" t="s">
        <v>3599</v>
      </c>
      <c r="C5988" s="391" t="s">
        <v>26</v>
      </c>
      <c r="D5988" s="479">
        <v>635.75</v>
      </c>
      <c r="E5988" s="368"/>
      <c r="F5988" s="368"/>
    </row>
    <row r="5989" spans="1:6" ht="38.25" x14ac:dyDescent="0.2">
      <c r="A5989" s="391">
        <v>97528</v>
      </c>
      <c r="B5989" s="478" t="s">
        <v>3627</v>
      </c>
      <c r="C5989" s="391" t="s">
        <v>26</v>
      </c>
      <c r="D5989" s="479">
        <v>608.59</v>
      </c>
      <c r="E5989" s="368"/>
      <c r="F5989" s="368"/>
    </row>
    <row r="5990" spans="1:6" ht="25.5" x14ac:dyDescent="0.2">
      <c r="A5990" s="391">
        <v>101906</v>
      </c>
      <c r="B5990" s="478" t="s">
        <v>2692</v>
      </c>
      <c r="C5990" s="391" t="s">
        <v>26</v>
      </c>
      <c r="D5990" s="479">
        <v>849.18</v>
      </c>
      <c r="E5990" s="368"/>
      <c r="F5990" s="368"/>
    </row>
    <row r="5991" spans="1:6" ht="25.5" x14ac:dyDescent="0.2">
      <c r="A5991" s="391">
        <v>101907</v>
      </c>
      <c r="B5991" s="478" t="s">
        <v>2693</v>
      </c>
      <c r="C5991" s="391" t="s">
        <v>26</v>
      </c>
      <c r="D5991" s="479">
        <v>917.95</v>
      </c>
      <c r="E5991" s="368"/>
      <c r="F5991" s="368"/>
    </row>
    <row r="5992" spans="1:6" ht="25.5" x14ac:dyDescent="0.2">
      <c r="A5992" s="391">
        <v>101911</v>
      </c>
      <c r="B5992" s="480" t="s">
        <v>2697</v>
      </c>
      <c r="C5992" s="391" t="s">
        <v>26</v>
      </c>
      <c r="D5992" s="479">
        <v>436.56</v>
      </c>
      <c r="E5992" s="368"/>
      <c r="F5992" s="368"/>
    </row>
    <row r="5993" spans="1:6" ht="25.5" x14ac:dyDescent="0.2">
      <c r="A5993" s="391">
        <v>101908</v>
      </c>
      <c r="B5993" s="478" t="s">
        <v>2694</v>
      </c>
      <c r="C5993" s="391" t="s">
        <v>26</v>
      </c>
      <c r="D5993" s="479">
        <v>276.10000000000002</v>
      </c>
      <c r="E5993" s="368"/>
      <c r="F5993" s="368"/>
    </row>
    <row r="5994" spans="1:6" ht="25.5" x14ac:dyDescent="0.2">
      <c r="A5994" s="391">
        <v>101909</v>
      </c>
      <c r="B5994" s="478" t="s">
        <v>2695</v>
      </c>
      <c r="C5994" s="391" t="s">
        <v>26</v>
      </c>
      <c r="D5994" s="479">
        <v>321.95</v>
      </c>
      <c r="E5994" s="368"/>
      <c r="F5994" s="368"/>
    </row>
    <row r="5995" spans="1:6" ht="25.5" x14ac:dyDescent="0.2">
      <c r="A5995" s="391">
        <v>101910</v>
      </c>
      <c r="B5995" s="478" t="s">
        <v>2696</v>
      </c>
      <c r="C5995" s="391" t="s">
        <v>26</v>
      </c>
      <c r="D5995" s="479">
        <v>379.25</v>
      </c>
      <c r="E5995" s="368"/>
      <c r="F5995" s="368"/>
    </row>
    <row r="5996" spans="1:6" ht="25.5" x14ac:dyDescent="0.2">
      <c r="A5996" s="391">
        <v>101905</v>
      </c>
      <c r="B5996" s="478" t="s">
        <v>2691</v>
      </c>
      <c r="C5996" s="391" t="s">
        <v>26</v>
      </c>
      <c r="D5996" s="479">
        <v>284.7</v>
      </c>
      <c r="E5996" s="368"/>
      <c r="F5996" s="368"/>
    </row>
    <row r="5997" spans="1:6" ht="25.5" x14ac:dyDescent="0.2">
      <c r="A5997" s="391">
        <v>101916</v>
      </c>
      <c r="B5997" s="478" t="s">
        <v>2702</v>
      </c>
      <c r="C5997" s="391" t="s">
        <v>26</v>
      </c>
      <c r="D5997" s="479">
        <v>3459.19</v>
      </c>
      <c r="E5997" s="368"/>
      <c r="F5997" s="368"/>
    </row>
    <row r="5998" spans="1:6" ht="51" x14ac:dyDescent="0.2">
      <c r="A5998" s="391">
        <v>101936</v>
      </c>
      <c r="B5998" s="478" t="s">
        <v>2779</v>
      </c>
      <c r="C5998" s="391" t="s">
        <v>26</v>
      </c>
      <c r="D5998" s="479">
        <v>8201.1200000000008</v>
      </c>
      <c r="E5998" s="368"/>
      <c r="F5998" s="368"/>
    </row>
    <row r="5999" spans="1:6" ht="51" x14ac:dyDescent="0.2">
      <c r="A5999" s="391">
        <v>101937</v>
      </c>
      <c r="B5999" s="478" t="s">
        <v>2780</v>
      </c>
      <c r="C5999" s="391" t="s">
        <v>26</v>
      </c>
      <c r="D5999" s="479">
        <v>14816.9</v>
      </c>
      <c r="E5999" s="368"/>
      <c r="F5999" s="368"/>
    </row>
    <row r="6000" spans="1:6" ht="38.25" x14ac:dyDescent="0.2">
      <c r="A6000" s="391">
        <v>92698</v>
      </c>
      <c r="B6000" s="478" t="s">
        <v>3338</v>
      </c>
      <c r="C6000" s="391" t="s">
        <v>26</v>
      </c>
      <c r="D6000" s="479">
        <v>21.37</v>
      </c>
      <c r="E6000" s="368"/>
      <c r="F6000" s="368"/>
    </row>
    <row r="6001" spans="1:6" ht="38.25" x14ac:dyDescent="0.2">
      <c r="A6001" s="391">
        <v>92700</v>
      </c>
      <c r="B6001" s="478" t="s">
        <v>3340</v>
      </c>
      <c r="C6001" s="391" t="s">
        <v>26</v>
      </c>
      <c r="D6001" s="479">
        <v>34.76</v>
      </c>
      <c r="E6001" s="368"/>
      <c r="F6001" s="368"/>
    </row>
    <row r="6002" spans="1:6" ht="38.25" x14ac:dyDescent="0.2">
      <c r="A6002" s="391">
        <v>92702</v>
      </c>
      <c r="B6002" s="478" t="s">
        <v>3342</v>
      </c>
      <c r="C6002" s="391" t="s">
        <v>26</v>
      </c>
      <c r="D6002" s="479">
        <v>54.22</v>
      </c>
      <c r="E6002" s="368"/>
      <c r="F6002" s="368"/>
    </row>
    <row r="6003" spans="1:6" ht="38.25" x14ac:dyDescent="0.2">
      <c r="A6003" s="391">
        <v>92669</v>
      </c>
      <c r="B6003" s="478" t="s">
        <v>3314</v>
      </c>
      <c r="C6003" s="391" t="s">
        <v>26</v>
      </c>
      <c r="D6003" s="479">
        <v>40.97</v>
      </c>
      <c r="E6003" s="368"/>
      <c r="F6003" s="368"/>
    </row>
    <row r="6004" spans="1:6" ht="38.25" x14ac:dyDescent="0.2">
      <c r="A6004" s="391">
        <v>92671</v>
      </c>
      <c r="B6004" s="478" t="s">
        <v>3316</v>
      </c>
      <c r="C6004" s="391" t="s">
        <v>26</v>
      </c>
      <c r="D6004" s="479">
        <v>54.08</v>
      </c>
      <c r="E6004" s="368"/>
      <c r="F6004" s="368"/>
    </row>
    <row r="6005" spans="1:6" ht="38.25" x14ac:dyDescent="0.2">
      <c r="A6005" s="391">
        <v>92673</v>
      </c>
      <c r="B6005" s="478" t="s">
        <v>3318</v>
      </c>
      <c r="C6005" s="391" t="s">
        <v>26</v>
      </c>
      <c r="D6005" s="479">
        <v>62.35</v>
      </c>
      <c r="E6005" s="368"/>
      <c r="F6005" s="368"/>
    </row>
    <row r="6006" spans="1:6" ht="38.25" x14ac:dyDescent="0.2">
      <c r="A6006" s="391">
        <v>92675</v>
      </c>
      <c r="B6006" s="478" t="s">
        <v>3320</v>
      </c>
      <c r="C6006" s="391" t="s">
        <v>26</v>
      </c>
      <c r="D6006" s="479">
        <v>81.319999999999993</v>
      </c>
      <c r="E6006" s="368"/>
      <c r="F6006" s="368"/>
    </row>
    <row r="6007" spans="1:6" ht="38.25" x14ac:dyDescent="0.2">
      <c r="A6007" s="391">
        <v>92677</v>
      </c>
      <c r="B6007" s="478" t="s">
        <v>3322</v>
      </c>
      <c r="C6007" s="391" t="s">
        <v>26</v>
      </c>
      <c r="D6007" s="479">
        <v>134.87</v>
      </c>
      <c r="E6007" s="368"/>
      <c r="F6007" s="368"/>
    </row>
    <row r="6008" spans="1:6" ht="38.25" x14ac:dyDescent="0.2">
      <c r="A6008" s="391">
        <v>92635</v>
      </c>
      <c r="B6008" s="478" t="s">
        <v>3294</v>
      </c>
      <c r="C6008" s="391" t="s">
        <v>26</v>
      </c>
      <c r="D6008" s="479">
        <v>214.8</v>
      </c>
      <c r="E6008" s="368"/>
      <c r="F6008" s="368"/>
    </row>
    <row r="6009" spans="1:6" ht="38.25" x14ac:dyDescent="0.2">
      <c r="A6009" s="391">
        <v>92679</v>
      </c>
      <c r="B6009" s="478" t="s">
        <v>3324</v>
      </c>
      <c r="C6009" s="391" t="s">
        <v>26</v>
      </c>
      <c r="D6009" s="479">
        <v>186.22</v>
      </c>
      <c r="E6009" s="368"/>
      <c r="F6009" s="368"/>
    </row>
    <row r="6010" spans="1:6" ht="38.25" x14ac:dyDescent="0.2">
      <c r="A6010" s="391">
        <v>92381</v>
      </c>
      <c r="B6010" s="478" t="s">
        <v>3284</v>
      </c>
      <c r="C6010" s="391" t="s">
        <v>26</v>
      </c>
      <c r="D6010" s="479">
        <v>54.76</v>
      </c>
      <c r="E6010" s="368"/>
      <c r="F6010" s="368"/>
    </row>
    <row r="6011" spans="1:6" ht="38.25" x14ac:dyDescent="0.2">
      <c r="A6011" s="391">
        <v>92383</v>
      </c>
      <c r="B6011" s="478" t="s">
        <v>3286</v>
      </c>
      <c r="C6011" s="391" t="s">
        <v>26</v>
      </c>
      <c r="D6011" s="479">
        <v>69.7</v>
      </c>
      <c r="E6011" s="368"/>
      <c r="F6011" s="368"/>
    </row>
    <row r="6012" spans="1:6" ht="38.25" x14ac:dyDescent="0.2">
      <c r="A6012" s="391">
        <v>92385</v>
      </c>
      <c r="B6012" s="478" t="s">
        <v>3288</v>
      </c>
      <c r="C6012" s="391" t="s">
        <v>26</v>
      </c>
      <c r="D6012" s="479">
        <v>80.16</v>
      </c>
      <c r="E6012" s="368"/>
      <c r="F6012" s="368"/>
    </row>
    <row r="6013" spans="1:6" ht="38.25" x14ac:dyDescent="0.2">
      <c r="A6013" s="391">
        <v>92350</v>
      </c>
      <c r="B6013" s="478" t="s">
        <v>3263</v>
      </c>
      <c r="C6013" s="391" t="s">
        <v>26</v>
      </c>
      <c r="D6013" s="479">
        <v>101.9</v>
      </c>
      <c r="E6013" s="368"/>
      <c r="F6013" s="368"/>
    </row>
    <row r="6014" spans="1:6" ht="38.25" x14ac:dyDescent="0.2">
      <c r="A6014" s="391">
        <v>92387</v>
      </c>
      <c r="B6014" s="478" t="s">
        <v>3290</v>
      </c>
      <c r="C6014" s="391" t="s">
        <v>26</v>
      </c>
      <c r="D6014" s="479">
        <v>101.81</v>
      </c>
      <c r="E6014" s="368"/>
      <c r="F6014" s="368"/>
    </row>
    <row r="6015" spans="1:6" ht="38.25" x14ac:dyDescent="0.2">
      <c r="A6015" s="391">
        <v>92352</v>
      </c>
      <c r="B6015" s="478" t="s">
        <v>3265</v>
      </c>
      <c r="C6015" s="391" t="s">
        <v>26</v>
      </c>
      <c r="D6015" s="479">
        <v>156.9</v>
      </c>
      <c r="E6015" s="368"/>
      <c r="F6015" s="368"/>
    </row>
    <row r="6016" spans="1:6" ht="38.25" x14ac:dyDescent="0.2">
      <c r="A6016" s="391">
        <v>92389</v>
      </c>
      <c r="B6016" s="478" t="s">
        <v>3292</v>
      </c>
      <c r="C6016" s="391" t="s">
        <v>26</v>
      </c>
      <c r="D6016" s="479">
        <v>159.43</v>
      </c>
      <c r="E6016" s="368"/>
      <c r="F6016" s="368"/>
    </row>
    <row r="6017" spans="1:6" ht="38.25" x14ac:dyDescent="0.2">
      <c r="A6017" s="391">
        <v>92354</v>
      </c>
      <c r="B6017" s="478" t="s">
        <v>3267</v>
      </c>
      <c r="C6017" s="391" t="s">
        <v>26</v>
      </c>
      <c r="D6017" s="479">
        <v>209.7</v>
      </c>
      <c r="E6017" s="368"/>
      <c r="F6017" s="368"/>
    </row>
    <row r="6018" spans="1:6" ht="38.25" x14ac:dyDescent="0.2">
      <c r="A6018" s="391">
        <v>92699</v>
      </c>
      <c r="B6018" s="478" t="s">
        <v>3339</v>
      </c>
      <c r="C6018" s="391" t="s">
        <v>26</v>
      </c>
      <c r="D6018" s="479">
        <v>19.98</v>
      </c>
      <c r="E6018" s="368"/>
      <c r="F6018" s="368"/>
    </row>
    <row r="6019" spans="1:6" ht="38.25" x14ac:dyDescent="0.2">
      <c r="A6019" s="391">
        <v>92701</v>
      </c>
      <c r="B6019" s="478" t="s">
        <v>3341</v>
      </c>
      <c r="C6019" s="391" t="s">
        <v>26</v>
      </c>
      <c r="D6019" s="479">
        <v>32.68</v>
      </c>
      <c r="E6019" s="368"/>
      <c r="F6019" s="368"/>
    </row>
    <row r="6020" spans="1:6" ht="38.25" x14ac:dyDescent="0.2">
      <c r="A6020" s="391">
        <v>92703</v>
      </c>
      <c r="B6020" s="478" t="s">
        <v>3343</v>
      </c>
      <c r="C6020" s="391" t="s">
        <v>26</v>
      </c>
      <c r="D6020" s="479">
        <v>51.67</v>
      </c>
      <c r="E6020" s="368"/>
      <c r="F6020" s="368"/>
    </row>
    <row r="6021" spans="1:6" ht="38.25" x14ac:dyDescent="0.2">
      <c r="A6021" s="391">
        <v>92670</v>
      </c>
      <c r="B6021" s="478" t="s">
        <v>3315</v>
      </c>
      <c r="C6021" s="391" t="s">
        <v>26</v>
      </c>
      <c r="D6021" s="479">
        <v>38.42</v>
      </c>
      <c r="E6021" s="368"/>
      <c r="F6021" s="368"/>
    </row>
    <row r="6022" spans="1:6" ht="38.25" x14ac:dyDescent="0.2">
      <c r="A6022" s="391">
        <v>92672</v>
      </c>
      <c r="B6022" s="478" t="s">
        <v>3317</v>
      </c>
      <c r="C6022" s="391" t="s">
        <v>26</v>
      </c>
      <c r="D6022" s="479">
        <v>48.99</v>
      </c>
      <c r="E6022" s="368"/>
      <c r="F6022" s="368"/>
    </row>
    <row r="6023" spans="1:6" ht="38.25" x14ac:dyDescent="0.2">
      <c r="A6023" s="391">
        <v>92674</v>
      </c>
      <c r="B6023" s="478" t="s">
        <v>3319</v>
      </c>
      <c r="C6023" s="391" t="s">
        <v>26</v>
      </c>
      <c r="D6023" s="479">
        <v>58.85</v>
      </c>
      <c r="E6023" s="368"/>
      <c r="F6023" s="368"/>
    </row>
    <row r="6024" spans="1:6" ht="38.25" x14ac:dyDescent="0.2">
      <c r="A6024" s="391">
        <v>92676</v>
      </c>
      <c r="B6024" s="478" t="s">
        <v>3321</v>
      </c>
      <c r="C6024" s="391" t="s">
        <v>26</v>
      </c>
      <c r="D6024" s="479">
        <v>78.94</v>
      </c>
      <c r="E6024" s="368"/>
      <c r="F6024" s="368"/>
    </row>
    <row r="6025" spans="1:6" ht="38.25" x14ac:dyDescent="0.2">
      <c r="A6025" s="391">
        <v>92678</v>
      </c>
      <c r="B6025" s="478" t="s">
        <v>3323</v>
      </c>
      <c r="C6025" s="391" t="s">
        <v>26</v>
      </c>
      <c r="D6025" s="479">
        <v>124.38</v>
      </c>
      <c r="E6025" s="368"/>
      <c r="F6025" s="368"/>
    </row>
    <row r="6026" spans="1:6" ht="38.25" x14ac:dyDescent="0.2">
      <c r="A6026" s="391">
        <v>92636</v>
      </c>
      <c r="B6026" s="478" t="s">
        <v>3295</v>
      </c>
      <c r="C6026" s="391" t="s">
        <v>26</v>
      </c>
      <c r="D6026" s="479">
        <v>194.6</v>
      </c>
      <c r="E6026" s="368"/>
      <c r="F6026" s="368"/>
    </row>
    <row r="6027" spans="1:6" ht="38.25" x14ac:dyDescent="0.2">
      <c r="A6027" s="391">
        <v>92680</v>
      </c>
      <c r="B6027" s="478" t="s">
        <v>3325</v>
      </c>
      <c r="C6027" s="391" t="s">
        <v>26</v>
      </c>
      <c r="D6027" s="479">
        <v>166.02</v>
      </c>
      <c r="E6027" s="368"/>
      <c r="F6027" s="368"/>
    </row>
    <row r="6028" spans="1:6" ht="38.25" x14ac:dyDescent="0.2">
      <c r="A6028" s="391">
        <v>92382</v>
      </c>
      <c r="B6028" s="478" t="s">
        <v>3285</v>
      </c>
      <c r="C6028" s="391" t="s">
        <v>26</v>
      </c>
      <c r="D6028" s="479">
        <v>52.21</v>
      </c>
      <c r="E6028" s="368"/>
      <c r="F6028" s="368"/>
    </row>
    <row r="6029" spans="1:6" ht="38.25" x14ac:dyDescent="0.2">
      <c r="A6029" s="391">
        <v>92384</v>
      </c>
      <c r="B6029" s="478" t="s">
        <v>3287</v>
      </c>
      <c r="C6029" s="391" t="s">
        <v>26</v>
      </c>
      <c r="D6029" s="479">
        <v>64.61</v>
      </c>
      <c r="E6029" s="368"/>
      <c r="F6029" s="368"/>
    </row>
    <row r="6030" spans="1:6" ht="38.25" x14ac:dyDescent="0.2">
      <c r="A6030" s="391">
        <v>92386</v>
      </c>
      <c r="B6030" s="478" t="s">
        <v>3289</v>
      </c>
      <c r="C6030" s="391" t="s">
        <v>26</v>
      </c>
      <c r="D6030" s="479">
        <v>76.66</v>
      </c>
      <c r="E6030" s="368"/>
      <c r="F6030" s="368"/>
    </row>
    <row r="6031" spans="1:6" ht="38.25" x14ac:dyDescent="0.2">
      <c r="A6031" s="391">
        <v>92351</v>
      </c>
      <c r="B6031" s="478" t="s">
        <v>3264</v>
      </c>
      <c r="C6031" s="391" t="s">
        <v>26</v>
      </c>
      <c r="D6031" s="479">
        <v>99.52</v>
      </c>
      <c r="E6031" s="368"/>
      <c r="F6031" s="368"/>
    </row>
    <row r="6032" spans="1:6" ht="38.25" x14ac:dyDescent="0.2">
      <c r="A6032" s="391">
        <v>92388</v>
      </c>
      <c r="B6032" s="478" t="s">
        <v>3291</v>
      </c>
      <c r="C6032" s="391" t="s">
        <v>26</v>
      </c>
      <c r="D6032" s="479">
        <v>99.43</v>
      </c>
      <c r="E6032" s="368"/>
      <c r="F6032" s="368"/>
    </row>
    <row r="6033" spans="1:6" ht="38.25" x14ac:dyDescent="0.2">
      <c r="A6033" s="391">
        <v>92353</v>
      </c>
      <c r="B6033" s="478" t="s">
        <v>3266</v>
      </c>
      <c r="C6033" s="391" t="s">
        <v>26</v>
      </c>
      <c r="D6033" s="479">
        <v>146.41</v>
      </c>
      <c r="E6033" s="368"/>
      <c r="F6033" s="368"/>
    </row>
    <row r="6034" spans="1:6" ht="38.25" x14ac:dyDescent="0.2">
      <c r="A6034" s="391">
        <v>92390</v>
      </c>
      <c r="B6034" s="478" t="s">
        <v>3293</v>
      </c>
      <c r="C6034" s="391" t="s">
        <v>26</v>
      </c>
      <c r="D6034" s="479">
        <v>148.94</v>
      </c>
      <c r="E6034" s="368"/>
      <c r="F6034" s="368"/>
    </row>
    <row r="6035" spans="1:6" ht="38.25" x14ac:dyDescent="0.2">
      <c r="A6035" s="391">
        <v>92355</v>
      </c>
      <c r="B6035" s="478" t="s">
        <v>3268</v>
      </c>
      <c r="C6035" s="391" t="s">
        <v>26</v>
      </c>
      <c r="D6035" s="479">
        <v>189.5</v>
      </c>
      <c r="E6035" s="368"/>
      <c r="F6035" s="368"/>
    </row>
    <row r="6036" spans="1:6" ht="25.5" x14ac:dyDescent="0.2">
      <c r="A6036" s="391">
        <v>101925</v>
      </c>
      <c r="B6036" s="478" t="s">
        <v>2918</v>
      </c>
      <c r="C6036" s="391" t="s">
        <v>26</v>
      </c>
      <c r="D6036" s="479">
        <v>316.02</v>
      </c>
      <c r="E6036" s="368"/>
      <c r="F6036" s="368"/>
    </row>
    <row r="6037" spans="1:6" ht="38.25" x14ac:dyDescent="0.2">
      <c r="A6037" s="391">
        <v>101934</v>
      </c>
      <c r="B6037" s="478" t="s">
        <v>2927</v>
      </c>
      <c r="C6037" s="391" t="s">
        <v>26</v>
      </c>
      <c r="D6037" s="479">
        <v>324.45999999999998</v>
      </c>
      <c r="E6037" s="368"/>
      <c r="F6037" s="368"/>
    </row>
    <row r="6038" spans="1:6" ht="38.25" x14ac:dyDescent="0.2">
      <c r="A6038" s="391">
        <v>97541</v>
      </c>
      <c r="B6038" s="478" t="s">
        <v>3636</v>
      </c>
      <c r="C6038" s="391" t="s">
        <v>26</v>
      </c>
      <c r="D6038" s="479">
        <v>28.2</v>
      </c>
      <c r="E6038" s="368"/>
      <c r="F6038" s="368"/>
    </row>
    <row r="6039" spans="1:6" ht="38.25" x14ac:dyDescent="0.2">
      <c r="A6039" s="391">
        <v>97462</v>
      </c>
      <c r="B6039" s="478" t="s">
        <v>47979</v>
      </c>
      <c r="C6039" s="391" t="s">
        <v>26</v>
      </c>
      <c r="D6039" s="479">
        <v>30.02</v>
      </c>
      <c r="E6039" s="368"/>
      <c r="F6039" s="368"/>
    </row>
    <row r="6040" spans="1:6" ht="38.25" x14ac:dyDescent="0.2">
      <c r="A6040" s="391">
        <v>97544</v>
      </c>
      <c r="B6040" s="478" t="s">
        <v>3638</v>
      </c>
      <c r="C6040" s="391" t="s">
        <v>26</v>
      </c>
      <c r="D6040" s="479">
        <v>47.64</v>
      </c>
      <c r="E6040" s="368"/>
      <c r="F6040" s="368"/>
    </row>
    <row r="6041" spans="1:6" ht="38.25" x14ac:dyDescent="0.2">
      <c r="A6041" s="391">
        <v>97500</v>
      </c>
      <c r="B6041" s="478" t="s">
        <v>3607</v>
      </c>
      <c r="C6041" s="391" t="s">
        <v>26</v>
      </c>
      <c r="D6041" s="479">
        <v>27.42</v>
      </c>
      <c r="E6041" s="368"/>
      <c r="F6041" s="368"/>
    </row>
    <row r="6042" spans="1:6" ht="38.25" x14ac:dyDescent="0.2">
      <c r="A6042" s="391">
        <v>97465</v>
      </c>
      <c r="B6042" s="478" t="s">
        <v>47980</v>
      </c>
      <c r="C6042" s="391" t="s">
        <v>26</v>
      </c>
      <c r="D6042" s="479">
        <v>62.34</v>
      </c>
      <c r="E6042" s="368"/>
      <c r="F6042" s="368"/>
    </row>
    <row r="6043" spans="1:6" ht="38.25" x14ac:dyDescent="0.2">
      <c r="A6043" s="391">
        <v>97503</v>
      </c>
      <c r="B6043" s="478" t="s">
        <v>47981</v>
      </c>
      <c r="C6043" s="391" t="s">
        <v>26</v>
      </c>
      <c r="D6043" s="479">
        <v>57.76</v>
      </c>
      <c r="E6043" s="368"/>
      <c r="F6043" s="368"/>
    </row>
    <row r="6044" spans="1:6" ht="38.25" x14ac:dyDescent="0.2">
      <c r="A6044" s="391">
        <v>97468</v>
      </c>
      <c r="B6044" s="478" t="s">
        <v>47982</v>
      </c>
      <c r="C6044" s="391" t="s">
        <v>26</v>
      </c>
      <c r="D6044" s="479">
        <v>79.239999999999995</v>
      </c>
      <c r="E6044" s="368"/>
      <c r="F6044" s="368"/>
    </row>
    <row r="6045" spans="1:6" ht="38.25" x14ac:dyDescent="0.2">
      <c r="A6045" s="391">
        <v>97506</v>
      </c>
      <c r="B6045" s="478" t="s">
        <v>47983</v>
      </c>
      <c r="C6045" s="391" t="s">
        <v>26</v>
      </c>
      <c r="D6045" s="479">
        <v>72.45</v>
      </c>
      <c r="E6045" s="368"/>
      <c r="F6045" s="368"/>
    </row>
    <row r="6046" spans="1:6" ht="25.5" x14ac:dyDescent="0.2">
      <c r="A6046" s="391">
        <v>97444</v>
      </c>
      <c r="B6046" s="478" t="s">
        <v>47984</v>
      </c>
      <c r="C6046" s="391" t="s">
        <v>26</v>
      </c>
      <c r="D6046" s="479">
        <v>134.76</v>
      </c>
      <c r="E6046" s="368"/>
      <c r="F6046" s="368"/>
    </row>
    <row r="6047" spans="1:6" ht="38.25" x14ac:dyDescent="0.2">
      <c r="A6047" s="391">
        <v>97471</v>
      </c>
      <c r="B6047" s="478" t="s">
        <v>3583</v>
      </c>
      <c r="C6047" s="391" t="s">
        <v>26</v>
      </c>
      <c r="D6047" s="479">
        <v>118.66</v>
      </c>
      <c r="E6047" s="368"/>
      <c r="F6047" s="368"/>
    </row>
    <row r="6048" spans="1:6" ht="38.25" x14ac:dyDescent="0.2">
      <c r="A6048" s="391">
        <v>97509</v>
      </c>
      <c r="B6048" s="478" t="s">
        <v>3611</v>
      </c>
      <c r="C6048" s="391" t="s">
        <v>26</v>
      </c>
      <c r="D6048" s="479">
        <v>109.05</v>
      </c>
      <c r="E6048" s="368"/>
      <c r="F6048" s="368"/>
    </row>
    <row r="6049" spans="1:6" ht="25.5" x14ac:dyDescent="0.2">
      <c r="A6049" s="391">
        <v>97447</v>
      </c>
      <c r="B6049" s="478" t="s">
        <v>3567</v>
      </c>
      <c r="C6049" s="391" t="s">
        <v>26</v>
      </c>
      <c r="D6049" s="479">
        <v>235.28</v>
      </c>
      <c r="E6049" s="368"/>
      <c r="F6049" s="368"/>
    </row>
    <row r="6050" spans="1:6" ht="38.25" x14ac:dyDescent="0.2">
      <c r="A6050" s="391">
        <v>97475</v>
      </c>
      <c r="B6050" s="478" t="s">
        <v>3585</v>
      </c>
      <c r="C6050" s="391" t="s">
        <v>26</v>
      </c>
      <c r="D6050" s="479">
        <v>221.94</v>
      </c>
      <c r="E6050" s="368"/>
      <c r="F6050" s="368"/>
    </row>
    <row r="6051" spans="1:6" ht="38.25" x14ac:dyDescent="0.2">
      <c r="A6051" s="391">
        <v>97512</v>
      </c>
      <c r="B6051" s="478" t="s">
        <v>3613</v>
      </c>
      <c r="C6051" s="391" t="s">
        <v>26</v>
      </c>
      <c r="D6051" s="479">
        <v>208.13</v>
      </c>
      <c r="E6051" s="368"/>
      <c r="F6051" s="368"/>
    </row>
    <row r="6052" spans="1:6" ht="25.5" x14ac:dyDescent="0.2">
      <c r="A6052" s="391">
        <v>97450</v>
      </c>
      <c r="B6052" s="478" t="s">
        <v>3569</v>
      </c>
      <c r="C6052" s="391" t="s">
        <v>26</v>
      </c>
      <c r="D6052" s="479">
        <v>307.12</v>
      </c>
      <c r="E6052" s="368"/>
      <c r="F6052" s="368"/>
    </row>
    <row r="6053" spans="1:6" ht="38.25" x14ac:dyDescent="0.2">
      <c r="A6053" s="391">
        <v>97478</v>
      </c>
      <c r="B6053" s="478" t="s">
        <v>3587</v>
      </c>
      <c r="C6053" s="391" t="s">
        <v>26</v>
      </c>
      <c r="D6053" s="479">
        <v>296.51</v>
      </c>
      <c r="E6053" s="368"/>
      <c r="F6053" s="368"/>
    </row>
    <row r="6054" spans="1:6" ht="38.25" x14ac:dyDescent="0.2">
      <c r="A6054" s="391">
        <v>97515</v>
      </c>
      <c r="B6054" s="478" t="s">
        <v>3615</v>
      </c>
      <c r="C6054" s="391" t="s">
        <v>26</v>
      </c>
      <c r="D6054" s="479">
        <v>278.36</v>
      </c>
      <c r="E6054" s="368"/>
      <c r="F6054" s="368"/>
    </row>
    <row r="6055" spans="1:6" ht="38.25" x14ac:dyDescent="0.2">
      <c r="A6055" s="391">
        <v>92928</v>
      </c>
      <c r="B6055" s="478" t="s">
        <v>3378</v>
      </c>
      <c r="C6055" s="391" t="s">
        <v>26</v>
      </c>
      <c r="D6055" s="479">
        <v>54.09</v>
      </c>
      <c r="E6055" s="368"/>
      <c r="F6055" s="368"/>
    </row>
    <row r="6056" spans="1:6" ht="38.25" x14ac:dyDescent="0.2">
      <c r="A6056" s="391">
        <v>92943</v>
      </c>
      <c r="B6056" s="478" t="s">
        <v>3393</v>
      </c>
      <c r="C6056" s="391" t="s">
        <v>26</v>
      </c>
      <c r="D6056" s="479">
        <v>42.21</v>
      </c>
      <c r="E6056" s="368"/>
      <c r="F6056" s="368"/>
    </row>
    <row r="6057" spans="1:6" ht="38.25" x14ac:dyDescent="0.2">
      <c r="A6057" s="391">
        <v>92929</v>
      </c>
      <c r="B6057" s="478" t="s">
        <v>3379</v>
      </c>
      <c r="C6057" s="391" t="s">
        <v>26</v>
      </c>
      <c r="D6057" s="479">
        <v>54.09</v>
      </c>
      <c r="E6057" s="368"/>
      <c r="F6057" s="368"/>
    </row>
    <row r="6058" spans="1:6" ht="38.25" x14ac:dyDescent="0.2">
      <c r="A6058" s="391">
        <v>92944</v>
      </c>
      <c r="B6058" s="478" t="s">
        <v>3394</v>
      </c>
      <c r="C6058" s="391" t="s">
        <v>26</v>
      </c>
      <c r="D6058" s="479">
        <v>42.21</v>
      </c>
      <c r="E6058" s="368"/>
      <c r="F6058" s="368"/>
    </row>
    <row r="6059" spans="1:6" ht="38.25" x14ac:dyDescent="0.2">
      <c r="A6059" s="391">
        <v>92930</v>
      </c>
      <c r="B6059" s="478" t="s">
        <v>3380</v>
      </c>
      <c r="C6059" s="391" t="s">
        <v>26</v>
      </c>
      <c r="D6059" s="479">
        <v>54.09</v>
      </c>
      <c r="E6059" s="368"/>
      <c r="F6059" s="368"/>
    </row>
    <row r="6060" spans="1:6" ht="38.25" x14ac:dyDescent="0.2">
      <c r="A6060" s="391">
        <v>92945</v>
      </c>
      <c r="B6060" s="478" t="s">
        <v>3395</v>
      </c>
      <c r="C6060" s="391" t="s">
        <v>26</v>
      </c>
      <c r="D6060" s="479">
        <v>42.21</v>
      </c>
      <c r="E6060" s="368"/>
      <c r="F6060" s="368"/>
    </row>
    <row r="6061" spans="1:6" ht="38.25" x14ac:dyDescent="0.2">
      <c r="A6061" s="391">
        <v>92925</v>
      </c>
      <c r="B6061" s="478" t="s">
        <v>3375</v>
      </c>
      <c r="C6061" s="391" t="s">
        <v>26</v>
      </c>
      <c r="D6061" s="479">
        <v>47.22</v>
      </c>
      <c r="E6061" s="368"/>
      <c r="F6061" s="368"/>
    </row>
    <row r="6062" spans="1:6" ht="38.25" x14ac:dyDescent="0.2">
      <c r="A6062" s="391">
        <v>92940</v>
      </c>
      <c r="B6062" s="478" t="s">
        <v>3390</v>
      </c>
      <c r="C6062" s="391" t="s">
        <v>26</v>
      </c>
      <c r="D6062" s="479">
        <v>36.78</v>
      </c>
      <c r="E6062" s="368"/>
      <c r="F6062" s="368"/>
    </row>
    <row r="6063" spans="1:6" ht="38.25" x14ac:dyDescent="0.2">
      <c r="A6063" s="391">
        <v>92926</v>
      </c>
      <c r="B6063" s="478" t="s">
        <v>3376</v>
      </c>
      <c r="C6063" s="391" t="s">
        <v>26</v>
      </c>
      <c r="D6063" s="479">
        <v>47.21</v>
      </c>
      <c r="E6063" s="368"/>
      <c r="F6063" s="368"/>
    </row>
    <row r="6064" spans="1:6" ht="38.25" x14ac:dyDescent="0.2">
      <c r="A6064" s="391">
        <v>92941</v>
      </c>
      <c r="B6064" s="478" t="s">
        <v>3391</v>
      </c>
      <c r="C6064" s="391" t="s">
        <v>26</v>
      </c>
      <c r="D6064" s="479">
        <v>36.770000000000003</v>
      </c>
      <c r="E6064" s="368"/>
      <c r="F6064" s="368"/>
    </row>
    <row r="6065" spans="1:6" ht="38.25" x14ac:dyDescent="0.2">
      <c r="A6065" s="391">
        <v>92927</v>
      </c>
      <c r="B6065" s="478" t="s">
        <v>3377</v>
      </c>
      <c r="C6065" s="391" t="s">
        <v>26</v>
      </c>
      <c r="D6065" s="479">
        <v>47.21</v>
      </c>
      <c r="E6065" s="368"/>
      <c r="F6065" s="368"/>
    </row>
    <row r="6066" spans="1:6" ht="38.25" x14ac:dyDescent="0.2">
      <c r="A6066" s="391">
        <v>92942</v>
      </c>
      <c r="B6066" s="478" t="s">
        <v>3392</v>
      </c>
      <c r="C6066" s="391" t="s">
        <v>26</v>
      </c>
      <c r="D6066" s="479">
        <v>36.770000000000003</v>
      </c>
      <c r="E6066" s="368"/>
      <c r="F6066" s="368"/>
    </row>
    <row r="6067" spans="1:6" ht="38.25" x14ac:dyDescent="0.2">
      <c r="A6067" s="391">
        <v>92918</v>
      </c>
      <c r="B6067" s="478" t="s">
        <v>3373</v>
      </c>
      <c r="C6067" s="391" t="s">
        <v>26</v>
      </c>
      <c r="D6067" s="479">
        <v>37.89</v>
      </c>
      <c r="E6067" s="368"/>
      <c r="F6067" s="368"/>
    </row>
    <row r="6068" spans="1:6" ht="38.25" x14ac:dyDescent="0.2">
      <c r="A6068" s="391">
        <v>92938</v>
      </c>
      <c r="B6068" s="478" t="s">
        <v>3388</v>
      </c>
      <c r="C6068" s="391" t="s">
        <v>26</v>
      </c>
      <c r="D6068" s="479">
        <v>28.72</v>
      </c>
      <c r="E6068" s="368"/>
      <c r="F6068" s="368"/>
    </row>
    <row r="6069" spans="1:6" ht="38.25" x14ac:dyDescent="0.2">
      <c r="A6069" s="391">
        <v>92920</v>
      </c>
      <c r="B6069" s="478" t="s">
        <v>3374</v>
      </c>
      <c r="C6069" s="391" t="s">
        <v>26</v>
      </c>
      <c r="D6069" s="479">
        <v>38.159999999999997</v>
      </c>
      <c r="E6069" s="368"/>
      <c r="F6069" s="368"/>
    </row>
    <row r="6070" spans="1:6" ht="38.25" x14ac:dyDescent="0.2">
      <c r="A6070" s="391">
        <v>92939</v>
      </c>
      <c r="B6070" s="478" t="s">
        <v>3389</v>
      </c>
      <c r="C6070" s="391" t="s">
        <v>26</v>
      </c>
      <c r="D6070" s="479">
        <v>28.99</v>
      </c>
      <c r="E6070" s="368"/>
      <c r="F6070" s="368"/>
    </row>
    <row r="6071" spans="1:6" ht="38.25" x14ac:dyDescent="0.2">
      <c r="A6071" s="391">
        <v>92910</v>
      </c>
      <c r="B6071" s="478" t="s">
        <v>3368</v>
      </c>
      <c r="C6071" s="391" t="s">
        <v>26</v>
      </c>
      <c r="D6071" s="479">
        <v>106.1</v>
      </c>
      <c r="E6071" s="368"/>
      <c r="F6071" s="368"/>
    </row>
    <row r="6072" spans="1:6" ht="38.25" x14ac:dyDescent="0.2">
      <c r="A6072" s="391">
        <v>92934</v>
      </c>
      <c r="B6072" s="478" t="s">
        <v>3384</v>
      </c>
      <c r="C6072" s="391" t="s">
        <v>26</v>
      </c>
      <c r="D6072" s="479">
        <v>107.75</v>
      </c>
      <c r="E6072" s="368"/>
      <c r="F6072" s="368"/>
    </row>
    <row r="6073" spans="1:6" ht="38.25" x14ac:dyDescent="0.2">
      <c r="A6073" s="391">
        <v>92949</v>
      </c>
      <c r="B6073" s="478" t="s">
        <v>3399</v>
      </c>
      <c r="C6073" s="391" t="s">
        <v>26</v>
      </c>
      <c r="D6073" s="479">
        <v>91.34</v>
      </c>
      <c r="E6073" s="368"/>
      <c r="F6073" s="368"/>
    </row>
    <row r="6074" spans="1:6" ht="38.25" x14ac:dyDescent="0.2">
      <c r="A6074" s="391">
        <v>92911</v>
      </c>
      <c r="B6074" s="478" t="s">
        <v>3369</v>
      </c>
      <c r="C6074" s="391" t="s">
        <v>26</v>
      </c>
      <c r="D6074" s="479">
        <v>106.1</v>
      </c>
      <c r="E6074" s="368"/>
      <c r="F6074" s="368"/>
    </row>
    <row r="6075" spans="1:6" ht="38.25" x14ac:dyDescent="0.2">
      <c r="A6075" s="391">
        <v>92935</v>
      </c>
      <c r="B6075" s="478" t="s">
        <v>3385</v>
      </c>
      <c r="C6075" s="391" t="s">
        <v>26</v>
      </c>
      <c r="D6075" s="479">
        <v>107.75</v>
      </c>
      <c r="E6075" s="368"/>
      <c r="F6075" s="368"/>
    </row>
    <row r="6076" spans="1:6" ht="38.25" x14ac:dyDescent="0.2">
      <c r="A6076" s="391">
        <v>92950</v>
      </c>
      <c r="B6076" s="478" t="s">
        <v>3400</v>
      </c>
      <c r="C6076" s="391" t="s">
        <v>26</v>
      </c>
      <c r="D6076" s="479">
        <v>91.34</v>
      </c>
      <c r="E6076" s="368"/>
      <c r="F6076" s="368"/>
    </row>
    <row r="6077" spans="1:6" ht="38.25" x14ac:dyDescent="0.2">
      <c r="A6077" s="391">
        <v>92907</v>
      </c>
      <c r="B6077" s="478" t="s">
        <v>3365</v>
      </c>
      <c r="C6077" s="391" t="s">
        <v>26</v>
      </c>
      <c r="D6077" s="479">
        <v>72.540000000000006</v>
      </c>
      <c r="E6077" s="368"/>
      <c r="F6077" s="368"/>
    </row>
    <row r="6078" spans="1:6" ht="38.25" x14ac:dyDescent="0.2">
      <c r="A6078" s="392">
        <v>92931</v>
      </c>
      <c r="B6078" s="480" t="s">
        <v>3381</v>
      </c>
      <c r="C6078" s="392" t="s">
        <v>26</v>
      </c>
      <c r="D6078" s="481">
        <v>72.489999999999995</v>
      </c>
      <c r="E6078" s="369"/>
      <c r="F6078" s="369"/>
    </row>
    <row r="6079" spans="1:6" ht="38.25" x14ac:dyDescent="0.2">
      <c r="A6079" s="391">
        <v>92946</v>
      </c>
      <c r="B6079" s="478" t="s">
        <v>3396</v>
      </c>
      <c r="C6079" s="391" t="s">
        <v>26</v>
      </c>
      <c r="D6079" s="479">
        <v>58.8</v>
      </c>
      <c r="E6079" s="368"/>
      <c r="F6079" s="368"/>
    </row>
    <row r="6080" spans="1:6" ht="38.25" x14ac:dyDescent="0.2">
      <c r="A6080" s="391">
        <v>92908</v>
      </c>
      <c r="B6080" s="478" t="s">
        <v>3366</v>
      </c>
      <c r="C6080" s="391" t="s">
        <v>26</v>
      </c>
      <c r="D6080" s="479">
        <v>72.540000000000006</v>
      </c>
      <c r="E6080" s="368"/>
      <c r="F6080" s="368"/>
    </row>
    <row r="6081" spans="1:6" ht="38.25" x14ac:dyDescent="0.2">
      <c r="A6081" s="391">
        <v>92932</v>
      </c>
      <c r="B6081" s="478" t="s">
        <v>3382</v>
      </c>
      <c r="C6081" s="391" t="s">
        <v>26</v>
      </c>
      <c r="D6081" s="479">
        <v>72.489999999999995</v>
      </c>
      <c r="E6081" s="368"/>
      <c r="F6081" s="368"/>
    </row>
    <row r="6082" spans="1:6" ht="38.25" x14ac:dyDescent="0.2">
      <c r="A6082" s="391">
        <v>92947</v>
      </c>
      <c r="B6082" s="478" t="s">
        <v>3397</v>
      </c>
      <c r="C6082" s="391" t="s">
        <v>26</v>
      </c>
      <c r="D6082" s="479">
        <v>58.8</v>
      </c>
      <c r="E6082" s="368"/>
      <c r="F6082" s="368"/>
    </row>
    <row r="6083" spans="1:6" ht="25.5" x14ac:dyDescent="0.2">
      <c r="A6083" s="391">
        <v>92909</v>
      </c>
      <c r="B6083" s="478" t="s">
        <v>3367</v>
      </c>
      <c r="C6083" s="391" t="s">
        <v>26</v>
      </c>
      <c r="D6083" s="479">
        <v>72.540000000000006</v>
      </c>
      <c r="E6083" s="368"/>
      <c r="F6083" s="368"/>
    </row>
    <row r="6084" spans="1:6" ht="38.25" x14ac:dyDescent="0.2">
      <c r="A6084" s="391">
        <v>92933</v>
      </c>
      <c r="B6084" s="478" t="s">
        <v>3383</v>
      </c>
      <c r="C6084" s="391" t="s">
        <v>26</v>
      </c>
      <c r="D6084" s="479">
        <v>72.489999999999995</v>
      </c>
      <c r="E6084" s="368"/>
      <c r="F6084" s="368"/>
    </row>
    <row r="6085" spans="1:6" ht="38.25" x14ac:dyDescent="0.2">
      <c r="A6085" s="391">
        <v>92948</v>
      </c>
      <c r="B6085" s="478" t="s">
        <v>3398</v>
      </c>
      <c r="C6085" s="391" t="s">
        <v>26</v>
      </c>
      <c r="D6085" s="479">
        <v>58.8</v>
      </c>
      <c r="E6085" s="368"/>
      <c r="F6085" s="368"/>
    </row>
    <row r="6086" spans="1:6" ht="38.25" x14ac:dyDescent="0.2">
      <c r="A6086" s="391">
        <v>92912</v>
      </c>
      <c r="B6086" s="478" t="s">
        <v>3370</v>
      </c>
      <c r="C6086" s="391" t="s">
        <v>26</v>
      </c>
      <c r="D6086" s="479">
        <v>143.44</v>
      </c>
      <c r="E6086" s="368"/>
      <c r="F6086" s="368"/>
    </row>
    <row r="6087" spans="1:6" ht="38.25" x14ac:dyDescent="0.2">
      <c r="A6087" s="391">
        <v>92913</v>
      </c>
      <c r="B6087" s="478" t="s">
        <v>3371</v>
      </c>
      <c r="C6087" s="391" t="s">
        <v>26</v>
      </c>
      <c r="D6087" s="479">
        <v>146.27000000000001</v>
      </c>
      <c r="E6087" s="368"/>
      <c r="F6087" s="368"/>
    </row>
    <row r="6088" spans="1:6" ht="38.25" x14ac:dyDescent="0.2">
      <c r="A6088" s="391">
        <v>92936</v>
      </c>
      <c r="B6088" s="478" t="s">
        <v>3386</v>
      </c>
      <c r="C6088" s="391" t="s">
        <v>26</v>
      </c>
      <c r="D6088" s="479">
        <v>149.66999999999999</v>
      </c>
      <c r="E6088" s="368"/>
      <c r="F6088" s="368"/>
    </row>
    <row r="6089" spans="1:6" ht="38.25" x14ac:dyDescent="0.2">
      <c r="A6089" s="391">
        <v>92951</v>
      </c>
      <c r="B6089" s="478" t="s">
        <v>3401</v>
      </c>
      <c r="C6089" s="391" t="s">
        <v>26</v>
      </c>
      <c r="D6089" s="479">
        <v>130.59</v>
      </c>
      <c r="E6089" s="368"/>
      <c r="F6089" s="368"/>
    </row>
    <row r="6090" spans="1:6" ht="25.5" x14ac:dyDescent="0.2">
      <c r="A6090" s="391">
        <v>92914</v>
      </c>
      <c r="B6090" s="478" t="s">
        <v>3372</v>
      </c>
      <c r="C6090" s="391" t="s">
        <v>26</v>
      </c>
      <c r="D6090" s="479">
        <v>146.27000000000001</v>
      </c>
      <c r="E6090" s="368"/>
      <c r="F6090" s="368"/>
    </row>
    <row r="6091" spans="1:6" ht="38.25" x14ac:dyDescent="0.2">
      <c r="A6091" s="391">
        <v>92937</v>
      </c>
      <c r="B6091" s="478" t="s">
        <v>3387</v>
      </c>
      <c r="C6091" s="391" t="s">
        <v>26</v>
      </c>
      <c r="D6091" s="479">
        <v>149.66999999999999</v>
      </c>
      <c r="E6091" s="368"/>
      <c r="F6091" s="368"/>
    </row>
    <row r="6092" spans="1:6" ht="38.25" x14ac:dyDescent="0.2">
      <c r="A6092" s="391">
        <v>92952</v>
      </c>
      <c r="B6092" s="478" t="s">
        <v>3402</v>
      </c>
      <c r="C6092" s="391" t="s">
        <v>26</v>
      </c>
      <c r="D6092" s="479">
        <v>130.59</v>
      </c>
      <c r="E6092" s="368"/>
      <c r="F6092" s="368"/>
    </row>
    <row r="6093" spans="1:6" ht="38.25" x14ac:dyDescent="0.2">
      <c r="A6093" s="391">
        <v>92953</v>
      </c>
      <c r="B6093" s="478" t="s">
        <v>3403</v>
      </c>
      <c r="C6093" s="391" t="s">
        <v>26</v>
      </c>
      <c r="D6093" s="479">
        <v>24.67</v>
      </c>
      <c r="E6093" s="368"/>
      <c r="F6093" s="368"/>
    </row>
    <row r="6094" spans="1:6" ht="38.25" x14ac:dyDescent="0.2">
      <c r="A6094" s="391">
        <v>101921</v>
      </c>
      <c r="B6094" s="478" t="s">
        <v>2914</v>
      </c>
      <c r="C6094" s="391" t="s">
        <v>26</v>
      </c>
      <c r="D6094" s="479">
        <v>229.4</v>
      </c>
      <c r="E6094" s="368"/>
      <c r="F6094" s="368"/>
    </row>
    <row r="6095" spans="1:6" ht="38.25" x14ac:dyDescent="0.2">
      <c r="A6095" s="391">
        <v>101930</v>
      </c>
      <c r="B6095" s="478" t="s">
        <v>2923</v>
      </c>
      <c r="C6095" s="391" t="s">
        <v>26</v>
      </c>
      <c r="D6095" s="479">
        <v>235.02</v>
      </c>
      <c r="E6095" s="368"/>
      <c r="F6095" s="368"/>
    </row>
    <row r="6096" spans="1:6" ht="25.5" x14ac:dyDescent="0.2">
      <c r="A6096" s="391">
        <v>101922</v>
      </c>
      <c r="B6096" s="478" t="s">
        <v>2915</v>
      </c>
      <c r="C6096" s="391" t="s">
        <v>26</v>
      </c>
      <c r="D6096" s="479">
        <v>229.4</v>
      </c>
      <c r="E6096" s="368"/>
      <c r="F6096" s="368"/>
    </row>
    <row r="6097" spans="1:6" ht="38.25" x14ac:dyDescent="0.2">
      <c r="A6097" s="391">
        <v>101931</v>
      </c>
      <c r="B6097" s="478" t="s">
        <v>2924</v>
      </c>
      <c r="C6097" s="391" t="s">
        <v>26</v>
      </c>
      <c r="D6097" s="479">
        <v>235.02</v>
      </c>
      <c r="E6097" s="368"/>
      <c r="F6097" s="368"/>
    </row>
    <row r="6098" spans="1:6" ht="25.5" x14ac:dyDescent="0.2">
      <c r="A6098" s="391">
        <v>101923</v>
      </c>
      <c r="B6098" s="478" t="s">
        <v>2916</v>
      </c>
      <c r="C6098" s="391" t="s">
        <v>26</v>
      </c>
      <c r="D6098" s="479">
        <v>229.4</v>
      </c>
      <c r="E6098" s="368"/>
      <c r="F6098" s="368"/>
    </row>
    <row r="6099" spans="1:6" ht="38.25" x14ac:dyDescent="0.2">
      <c r="A6099" s="391">
        <v>101932</v>
      </c>
      <c r="B6099" s="478" t="s">
        <v>2925</v>
      </c>
      <c r="C6099" s="391" t="s">
        <v>26</v>
      </c>
      <c r="D6099" s="479">
        <v>235.02</v>
      </c>
      <c r="E6099" s="368"/>
      <c r="F6099" s="368"/>
    </row>
    <row r="6100" spans="1:6" ht="25.5" x14ac:dyDescent="0.2">
      <c r="A6100" s="391">
        <v>97537</v>
      </c>
      <c r="B6100" s="478" t="s">
        <v>3634</v>
      </c>
      <c r="C6100" s="391" t="s">
        <v>26</v>
      </c>
      <c r="D6100" s="479">
        <v>24.92</v>
      </c>
      <c r="E6100" s="368"/>
      <c r="F6100" s="368"/>
    </row>
    <row r="6101" spans="1:6" ht="25.5" x14ac:dyDescent="0.2">
      <c r="A6101" s="391">
        <v>97540</v>
      </c>
      <c r="B6101" s="478" t="s">
        <v>3635</v>
      </c>
      <c r="C6101" s="391" t="s">
        <v>26</v>
      </c>
      <c r="D6101" s="479">
        <v>33.24</v>
      </c>
      <c r="E6101" s="368"/>
      <c r="F6101" s="368"/>
    </row>
    <row r="6102" spans="1:6" ht="25.5" x14ac:dyDescent="0.2">
      <c r="A6102" s="391">
        <v>97543</v>
      </c>
      <c r="B6102" s="478" t="s">
        <v>3637</v>
      </c>
      <c r="C6102" s="391" t="s">
        <v>26</v>
      </c>
      <c r="D6102" s="479">
        <v>53.72</v>
      </c>
      <c r="E6102" s="368"/>
      <c r="F6102" s="368"/>
    </row>
    <row r="6103" spans="1:6" ht="25.5" x14ac:dyDescent="0.2">
      <c r="A6103" s="391">
        <v>97461</v>
      </c>
      <c r="B6103" s="478" t="s">
        <v>3579</v>
      </c>
      <c r="C6103" s="391" t="s">
        <v>26</v>
      </c>
      <c r="D6103" s="479">
        <v>36.1</v>
      </c>
      <c r="E6103" s="368"/>
      <c r="F6103" s="368"/>
    </row>
    <row r="6104" spans="1:6" ht="25.5" x14ac:dyDescent="0.2">
      <c r="A6104" s="391">
        <v>97499</v>
      </c>
      <c r="B6104" s="478" t="s">
        <v>3606</v>
      </c>
      <c r="C6104" s="391" t="s">
        <v>26</v>
      </c>
      <c r="D6104" s="479">
        <v>33.5</v>
      </c>
      <c r="E6104" s="368"/>
      <c r="F6104" s="368"/>
    </row>
    <row r="6105" spans="1:6" ht="25.5" x14ac:dyDescent="0.2">
      <c r="A6105" s="391">
        <v>97464</v>
      </c>
      <c r="B6105" s="478" t="s">
        <v>3580</v>
      </c>
      <c r="C6105" s="391" t="s">
        <v>26</v>
      </c>
      <c r="D6105" s="479">
        <v>52.1</v>
      </c>
      <c r="E6105" s="368"/>
      <c r="F6105" s="368"/>
    </row>
    <row r="6106" spans="1:6" ht="25.5" x14ac:dyDescent="0.2">
      <c r="A6106" s="391">
        <v>97502</v>
      </c>
      <c r="B6106" s="478" t="s">
        <v>3608</v>
      </c>
      <c r="C6106" s="391" t="s">
        <v>26</v>
      </c>
      <c r="D6106" s="479">
        <v>47.29</v>
      </c>
      <c r="E6106" s="368"/>
      <c r="F6106" s="368"/>
    </row>
    <row r="6107" spans="1:6" ht="25.5" x14ac:dyDescent="0.2">
      <c r="A6107" s="391">
        <v>97467</v>
      </c>
      <c r="B6107" s="478" t="s">
        <v>3581</v>
      </c>
      <c r="C6107" s="391" t="s">
        <v>26</v>
      </c>
      <c r="D6107" s="479">
        <v>66.13</v>
      </c>
      <c r="E6107" s="368"/>
      <c r="F6107" s="368"/>
    </row>
    <row r="6108" spans="1:6" ht="25.5" x14ac:dyDescent="0.2">
      <c r="A6108" s="391">
        <v>97505</v>
      </c>
      <c r="B6108" s="478" t="s">
        <v>3609</v>
      </c>
      <c r="C6108" s="391" t="s">
        <v>26</v>
      </c>
      <c r="D6108" s="479">
        <v>59.34</v>
      </c>
      <c r="E6108" s="368"/>
      <c r="F6108" s="368"/>
    </row>
    <row r="6109" spans="1:6" ht="25.5" x14ac:dyDescent="0.2">
      <c r="A6109" s="391">
        <v>97443</v>
      </c>
      <c r="B6109" s="478" t="s">
        <v>3565</v>
      </c>
      <c r="C6109" s="391" t="s">
        <v>26</v>
      </c>
      <c r="D6109" s="479">
        <v>114.03</v>
      </c>
      <c r="E6109" s="368"/>
      <c r="F6109" s="368"/>
    </row>
    <row r="6110" spans="1:6" ht="25.5" x14ac:dyDescent="0.2">
      <c r="A6110" s="391">
        <v>97470</v>
      </c>
      <c r="B6110" s="478" t="s">
        <v>3582</v>
      </c>
      <c r="C6110" s="391" t="s">
        <v>26</v>
      </c>
      <c r="D6110" s="479">
        <v>97.93</v>
      </c>
      <c r="E6110" s="368"/>
      <c r="F6110" s="368"/>
    </row>
    <row r="6111" spans="1:6" ht="25.5" x14ac:dyDescent="0.2">
      <c r="A6111" s="391">
        <v>97508</v>
      </c>
      <c r="B6111" s="478" t="s">
        <v>3610</v>
      </c>
      <c r="C6111" s="391" t="s">
        <v>26</v>
      </c>
      <c r="D6111" s="479">
        <v>88.32</v>
      </c>
      <c r="E6111" s="368"/>
      <c r="F6111" s="368"/>
    </row>
    <row r="6112" spans="1:6" ht="25.5" x14ac:dyDescent="0.2">
      <c r="A6112" s="391">
        <v>97446</v>
      </c>
      <c r="B6112" s="478" t="s">
        <v>3566</v>
      </c>
      <c r="C6112" s="391" t="s">
        <v>26</v>
      </c>
      <c r="D6112" s="479">
        <v>235.28</v>
      </c>
      <c r="E6112" s="368"/>
      <c r="F6112" s="368"/>
    </row>
    <row r="6113" spans="1:6" ht="25.5" x14ac:dyDescent="0.2">
      <c r="A6113" s="392">
        <v>97474</v>
      </c>
      <c r="B6113" s="480" t="s">
        <v>3584</v>
      </c>
      <c r="C6113" s="392" t="s">
        <v>26</v>
      </c>
      <c r="D6113" s="481">
        <v>180.04</v>
      </c>
      <c r="E6113" s="369"/>
      <c r="F6113" s="369"/>
    </row>
    <row r="6114" spans="1:6" ht="25.5" x14ac:dyDescent="0.2">
      <c r="A6114" s="391">
        <v>97511</v>
      </c>
      <c r="B6114" s="478" t="s">
        <v>3612</v>
      </c>
      <c r="C6114" s="391" t="s">
        <v>26</v>
      </c>
      <c r="D6114" s="479">
        <v>166.23</v>
      </c>
      <c r="E6114" s="368"/>
      <c r="F6114" s="368"/>
    </row>
    <row r="6115" spans="1:6" ht="25.5" x14ac:dyDescent="0.2">
      <c r="A6115" s="391">
        <v>97449</v>
      </c>
      <c r="B6115" s="478" t="s">
        <v>3568</v>
      </c>
      <c r="C6115" s="391" t="s">
        <v>26</v>
      </c>
      <c r="D6115" s="479">
        <v>250.68</v>
      </c>
      <c r="E6115" s="368"/>
      <c r="F6115" s="368"/>
    </row>
    <row r="6116" spans="1:6" ht="25.5" x14ac:dyDescent="0.2">
      <c r="A6116" s="391">
        <v>97477</v>
      </c>
      <c r="B6116" s="478" t="s">
        <v>3586</v>
      </c>
      <c r="C6116" s="391" t="s">
        <v>26</v>
      </c>
      <c r="D6116" s="479">
        <v>240.07</v>
      </c>
      <c r="E6116" s="368"/>
      <c r="F6116" s="368"/>
    </row>
    <row r="6117" spans="1:6" ht="25.5" x14ac:dyDescent="0.2">
      <c r="A6117" s="391">
        <v>97514</v>
      </c>
      <c r="B6117" s="478" t="s">
        <v>3614</v>
      </c>
      <c r="C6117" s="391" t="s">
        <v>26</v>
      </c>
      <c r="D6117" s="479">
        <v>221.92</v>
      </c>
      <c r="E6117" s="368"/>
      <c r="F6117" s="368"/>
    </row>
    <row r="6118" spans="1:6" ht="25.5" x14ac:dyDescent="0.2">
      <c r="A6118" s="391">
        <v>101920</v>
      </c>
      <c r="B6118" s="478" t="s">
        <v>2913</v>
      </c>
      <c r="C6118" s="391" t="s">
        <v>26</v>
      </c>
      <c r="D6118" s="479">
        <v>200.67</v>
      </c>
      <c r="E6118" s="368"/>
      <c r="F6118" s="368"/>
    </row>
    <row r="6119" spans="1:6" ht="38.25" x14ac:dyDescent="0.2">
      <c r="A6119" s="391">
        <v>101929</v>
      </c>
      <c r="B6119" s="478" t="s">
        <v>2922</v>
      </c>
      <c r="C6119" s="391" t="s">
        <v>26</v>
      </c>
      <c r="D6119" s="479">
        <v>206.29</v>
      </c>
      <c r="E6119" s="368"/>
      <c r="F6119" s="368"/>
    </row>
    <row r="6120" spans="1:6" ht="38.25" x14ac:dyDescent="0.2">
      <c r="A6120" s="391">
        <v>92693</v>
      </c>
      <c r="B6120" s="478" t="s">
        <v>3333</v>
      </c>
      <c r="C6120" s="391" t="s">
        <v>26</v>
      </c>
      <c r="D6120" s="479">
        <v>14.89</v>
      </c>
      <c r="E6120" s="368"/>
      <c r="F6120" s="368"/>
    </row>
    <row r="6121" spans="1:6" ht="38.25" x14ac:dyDescent="0.2">
      <c r="A6121" s="391">
        <v>92695</v>
      </c>
      <c r="B6121" s="478" t="s">
        <v>3335</v>
      </c>
      <c r="C6121" s="391" t="s">
        <v>26</v>
      </c>
      <c r="D6121" s="479">
        <v>23.28</v>
      </c>
      <c r="E6121" s="368"/>
      <c r="F6121" s="368"/>
    </row>
    <row r="6122" spans="1:6" ht="38.25" x14ac:dyDescent="0.2">
      <c r="A6122" s="391">
        <v>92697</v>
      </c>
      <c r="B6122" s="478" t="s">
        <v>3337</v>
      </c>
      <c r="C6122" s="391" t="s">
        <v>26</v>
      </c>
      <c r="D6122" s="479">
        <v>37.659999999999997</v>
      </c>
      <c r="E6122" s="368"/>
      <c r="F6122" s="368"/>
    </row>
    <row r="6123" spans="1:6" ht="38.25" x14ac:dyDescent="0.2">
      <c r="A6123" s="391">
        <v>92658</v>
      </c>
      <c r="B6123" s="478" t="s">
        <v>3303</v>
      </c>
      <c r="C6123" s="391" t="s">
        <v>26</v>
      </c>
      <c r="D6123" s="479">
        <v>28.88</v>
      </c>
      <c r="E6123" s="368"/>
      <c r="F6123" s="368"/>
    </row>
    <row r="6124" spans="1:6" ht="38.25" x14ac:dyDescent="0.2">
      <c r="A6124" s="391">
        <v>92660</v>
      </c>
      <c r="B6124" s="478" t="s">
        <v>3305</v>
      </c>
      <c r="C6124" s="391" t="s">
        <v>26</v>
      </c>
      <c r="D6124" s="479">
        <v>35.35</v>
      </c>
      <c r="E6124" s="368"/>
      <c r="F6124" s="368"/>
    </row>
    <row r="6125" spans="1:6" ht="38.25" x14ac:dyDescent="0.2">
      <c r="A6125" s="391">
        <v>92662</v>
      </c>
      <c r="B6125" s="478" t="s">
        <v>3307</v>
      </c>
      <c r="C6125" s="391" t="s">
        <v>26</v>
      </c>
      <c r="D6125" s="479">
        <v>40.729999999999997</v>
      </c>
      <c r="E6125" s="368"/>
      <c r="F6125" s="368"/>
    </row>
    <row r="6126" spans="1:6" ht="38.25" x14ac:dyDescent="0.2">
      <c r="A6126" s="391">
        <v>92664</v>
      </c>
      <c r="B6126" s="478" t="s">
        <v>3309</v>
      </c>
      <c r="C6126" s="391" t="s">
        <v>26</v>
      </c>
      <c r="D6126" s="479">
        <v>54.75</v>
      </c>
      <c r="E6126" s="368"/>
      <c r="F6126" s="368"/>
    </row>
    <row r="6127" spans="1:6" ht="38.25" x14ac:dyDescent="0.2">
      <c r="A6127" s="391">
        <v>92666</v>
      </c>
      <c r="B6127" s="478" t="s">
        <v>3311</v>
      </c>
      <c r="C6127" s="391" t="s">
        <v>26</v>
      </c>
      <c r="D6127" s="479">
        <v>86.81</v>
      </c>
      <c r="E6127" s="368"/>
      <c r="F6127" s="368"/>
    </row>
    <row r="6128" spans="1:6" ht="38.25" x14ac:dyDescent="0.2">
      <c r="A6128" s="391">
        <v>92668</v>
      </c>
      <c r="B6128" s="478" t="s">
        <v>3313</v>
      </c>
      <c r="C6128" s="391" t="s">
        <v>26</v>
      </c>
      <c r="D6128" s="479">
        <v>122.69</v>
      </c>
      <c r="E6128" s="368"/>
      <c r="F6128" s="368"/>
    </row>
    <row r="6129" spans="1:6" ht="38.25" x14ac:dyDescent="0.2">
      <c r="A6129" s="391">
        <v>92370</v>
      </c>
      <c r="B6129" s="478" t="s">
        <v>3273</v>
      </c>
      <c r="C6129" s="391" t="s">
        <v>26</v>
      </c>
      <c r="D6129" s="479">
        <v>38.049999999999997</v>
      </c>
      <c r="E6129" s="368"/>
      <c r="F6129" s="368"/>
    </row>
    <row r="6130" spans="1:6" ht="38.25" x14ac:dyDescent="0.2">
      <c r="A6130" s="391">
        <v>92372</v>
      </c>
      <c r="B6130" s="478" t="s">
        <v>3275</v>
      </c>
      <c r="C6130" s="391" t="s">
        <v>26</v>
      </c>
      <c r="D6130" s="479">
        <v>45.79</v>
      </c>
      <c r="E6130" s="368"/>
      <c r="F6130" s="368"/>
    </row>
    <row r="6131" spans="1:6" ht="38.25" x14ac:dyDescent="0.2">
      <c r="A6131" s="391">
        <v>92374</v>
      </c>
      <c r="B6131" s="478" t="s">
        <v>3277</v>
      </c>
      <c r="C6131" s="391" t="s">
        <v>26</v>
      </c>
      <c r="D6131" s="479">
        <v>52.61</v>
      </c>
      <c r="E6131" s="368"/>
      <c r="F6131" s="368"/>
    </row>
    <row r="6132" spans="1:6" ht="25.5" x14ac:dyDescent="0.2">
      <c r="A6132" s="391">
        <v>92345</v>
      </c>
      <c r="B6132" s="478" t="s">
        <v>3258</v>
      </c>
      <c r="C6132" s="391" t="s">
        <v>26</v>
      </c>
      <c r="D6132" s="479">
        <v>68.489999999999995</v>
      </c>
      <c r="E6132" s="368"/>
      <c r="F6132" s="368"/>
    </row>
    <row r="6133" spans="1:6" ht="38.25" x14ac:dyDescent="0.2">
      <c r="A6133" s="392">
        <v>92376</v>
      </c>
      <c r="B6133" s="480" t="s">
        <v>3279</v>
      </c>
      <c r="C6133" s="392" t="s">
        <v>26</v>
      </c>
      <c r="D6133" s="481">
        <v>68.44</v>
      </c>
      <c r="E6133" s="369"/>
      <c r="F6133" s="369"/>
    </row>
    <row r="6134" spans="1:6" ht="25.5" x14ac:dyDescent="0.2">
      <c r="A6134" s="391">
        <v>92347</v>
      </c>
      <c r="B6134" s="478" t="s">
        <v>3260</v>
      </c>
      <c r="C6134" s="391" t="s">
        <v>26</v>
      </c>
      <c r="D6134" s="479">
        <v>101.57</v>
      </c>
      <c r="E6134" s="368"/>
      <c r="F6134" s="368"/>
    </row>
    <row r="6135" spans="1:6" ht="38.25" x14ac:dyDescent="0.2">
      <c r="A6135" s="391">
        <v>92378</v>
      </c>
      <c r="B6135" s="478" t="s">
        <v>3281</v>
      </c>
      <c r="C6135" s="391" t="s">
        <v>26</v>
      </c>
      <c r="D6135" s="479">
        <v>103.22</v>
      </c>
      <c r="E6135" s="368"/>
      <c r="F6135" s="368"/>
    </row>
    <row r="6136" spans="1:6" ht="25.5" x14ac:dyDescent="0.2">
      <c r="A6136" s="391">
        <v>92349</v>
      </c>
      <c r="B6136" s="478" t="s">
        <v>3262</v>
      </c>
      <c r="C6136" s="391" t="s">
        <v>26</v>
      </c>
      <c r="D6136" s="479">
        <v>138.37</v>
      </c>
      <c r="E6136" s="368"/>
      <c r="F6136" s="368"/>
    </row>
    <row r="6137" spans="1:6" ht="38.25" x14ac:dyDescent="0.2">
      <c r="A6137" s="391">
        <v>92380</v>
      </c>
      <c r="B6137" s="478" t="s">
        <v>3283</v>
      </c>
      <c r="C6137" s="391" t="s">
        <v>26</v>
      </c>
      <c r="D6137" s="479">
        <v>141.77000000000001</v>
      </c>
      <c r="E6137" s="368"/>
      <c r="F6137" s="368"/>
    </row>
    <row r="6138" spans="1:6" ht="25.5" x14ac:dyDescent="0.2">
      <c r="A6138" s="391">
        <v>101917</v>
      </c>
      <c r="B6138" s="478" t="s">
        <v>2703</v>
      </c>
      <c r="C6138" s="391" t="s">
        <v>26</v>
      </c>
      <c r="D6138" s="479">
        <v>173.33</v>
      </c>
      <c r="E6138" s="368"/>
      <c r="F6138" s="368"/>
    </row>
    <row r="6139" spans="1:6" ht="25.5" x14ac:dyDescent="0.2">
      <c r="A6139" s="391">
        <v>101924</v>
      </c>
      <c r="B6139" s="478" t="s">
        <v>2917</v>
      </c>
      <c r="C6139" s="391" t="s">
        <v>26</v>
      </c>
      <c r="D6139" s="479">
        <v>188.64</v>
      </c>
      <c r="E6139" s="368"/>
      <c r="F6139" s="368"/>
    </row>
    <row r="6140" spans="1:6" ht="38.25" x14ac:dyDescent="0.2">
      <c r="A6140" s="391">
        <v>101933</v>
      </c>
      <c r="B6140" s="478" t="s">
        <v>2926</v>
      </c>
      <c r="C6140" s="391" t="s">
        <v>26</v>
      </c>
      <c r="D6140" s="479">
        <v>194.26</v>
      </c>
      <c r="E6140" s="368"/>
      <c r="F6140" s="368"/>
    </row>
    <row r="6141" spans="1:6" ht="38.25" x14ac:dyDescent="0.2">
      <c r="A6141" s="391">
        <v>92692</v>
      </c>
      <c r="B6141" s="478" t="s">
        <v>3332</v>
      </c>
      <c r="C6141" s="391" t="s">
        <v>26</v>
      </c>
      <c r="D6141" s="479">
        <v>14.47</v>
      </c>
      <c r="E6141" s="368"/>
      <c r="F6141" s="368"/>
    </row>
    <row r="6142" spans="1:6" ht="38.25" x14ac:dyDescent="0.2">
      <c r="A6142" s="391">
        <v>92694</v>
      </c>
      <c r="B6142" s="478" t="s">
        <v>3334</v>
      </c>
      <c r="C6142" s="391" t="s">
        <v>26</v>
      </c>
      <c r="D6142" s="479">
        <v>22.85</v>
      </c>
      <c r="E6142" s="368"/>
      <c r="F6142" s="368"/>
    </row>
    <row r="6143" spans="1:6" ht="38.25" x14ac:dyDescent="0.2">
      <c r="A6143" s="391">
        <v>92696</v>
      </c>
      <c r="B6143" s="478" t="s">
        <v>3336</v>
      </c>
      <c r="C6143" s="391" t="s">
        <v>26</v>
      </c>
      <c r="D6143" s="479">
        <v>35.74</v>
      </c>
      <c r="E6143" s="368"/>
      <c r="F6143" s="368"/>
    </row>
    <row r="6144" spans="1:6" ht="38.25" x14ac:dyDescent="0.2">
      <c r="A6144" s="391">
        <v>92657</v>
      </c>
      <c r="B6144" s="478" t="s">
        <v>3302</v>
      </c>
      <c r="C6144" s="391" t="s">
        <v>26</v>
      </c>
      <c r="D6144" s="479">
        <v>26.96</v>
      </c>
      <c r="E6144" s="368"/>
      <c r="F6144" s="368"/>
    </row>
    <row r="6145" spans="1:6" ht="38.25" x14ac:dyDescent="0.2">
      <c r="A6145" s="391">
        <v>92659</v>
      </c>
      <c r="B6145" s="478" t="s">
        <v>3304</v>
      </c>
      <c r="C6145" s="391" t="s">
        <v>26</v>
      </c>
      <c r="D6145" s="479">
        <v>33.56</v>
      </c>
      <c r="E6145" s="368"/>
      <c r="F6145" s="368"/>
    </row>
    <row r="6146" spans="1:6" ht="38.25" x14ac:dyDescent="0.2">
      <c r="A6146" s="391">
        <v>92661</v>
      </c>
      <c r="B6146" s="478" t="s">
        <v>3306</v>
      </c>
      <c r="C6146" s="391" t="s">
        <v>26</v>
      </c>
      <c r="D6146" s="479">
        <v>40.380000000000003</v>
      </c>
      <c r="E6146" s="368"/>
      <c r="F6146" s="368"/>
    </row>
    <row r="6147" spans="1:6" ht="38.25" x14ac:dyDescent="0.2">
      <c r="A6147" s="391">
        <v>92663</v>
      </c>
      <c r="B6147" s="478" t="s">
        <v>3308</v>
      </c>
      <c r="C6147" s="391" t="s">
        <v>26</v>
      </c>
      <c r="D6147" s="479">
        <v>54.78</v>
      </c>
      <c r="E6147" s="368"/>
      <c r="F6147" s="368"/>
    </row>
    <row r="6148" spans="1:6" ht="38.25" x14ac:dyDescent="0.2">
      <c r="A6148" s="391">
        <v>92665</v>
      </c>
      <c r="B6148" s="478" t="s">
        <v>3310</v>
      </c>
      <c r="C6148" s="391" t="s">
        <v>26</v>
      </c>
      <c r="D6148" s="479">
        <v>76.099999999999994</v>
      </c>
      <c r="E6148" s="368"/>
      <c r="F6148" s="368"/>
    </row>
    <row r="6149" spans="1:6" ht="38.25" x14ac:dyDescent="0.2">
      <c r="A6149" s="391">
        <v>92667</v>
      </c>
      <c r="B6149" s="478" t="s">
        <v>3312</v>
      </c>
      <c r="C6149" s="391" t="s">
        <v>26</v>
      </c>
      <c r="D6149" s="479">
        <v>113.16</v>
      </c>
      <c r="E6149" s="368"/>
      <c r="F6149" s="368"/>
    </row>
    <row r="6150" spans="1:6" ht="38.25" x14ac:dyDescent="0.2">
      <c r="A6150" s="391">
        <v>92369</v>
      </c>
      <c r="B6150" s="478" t="s">
        <v>3272</v>
      </c>
      <c r="C6150" s="391" t="s">
        <v>26</v>
      </c>
      <c r="D6150" s="479">
        <v>36.130000000000003</v>
      </c>
      <c r="E6150" s="368"/>
      <c r="F6150" s="368"/>
    </row>
    <row r="6151" spans="1:6" ht="38.25" x14ac:dyDescent="0.2">
      <c r="A6151" s="391">
        <v>92371</v>
      </c>
      <c r="B6151" s="478" t="s">
        <v>3274</v>
      </c>
      <c r="C6151" s="391" t="s">
        <v>26</v>
      </c>
      <c r="D6151" s="479">
        <v>44</v>
      </c>
      <c r="E6151" s="368"/>
      <c r="F6151" s="368"/>
    </row>
    <row r="6152" spans="1:6" ht="38.25" x14ac:dyDescent="0.2">
      <c r="A6152" s="391">
        <v>92373</v>
      </c>
      <c r="B6152" s="478" t="s">
        <v>3276</v>
      </c>
      <c r="C6152" s="391" t="s">
        <v>26</v>
      </c>
      <c r="D6152" s="479">
        <v>52.26</v>
      </c>
      <c r="E6152" s="368"/>
      <c r="F6152" s="368"/>
    </row>
    <row r="6153" spans="1:6" ht="25.5" x14ac:dyDescent="0.2">
      <c r="A6153" s="391">
        <v>92344</v>
      </c>
      <c r="B6153" s="478" t="s">
        <v>3257</v>
      </c>
      <c r="C6153" s="391" t="s">
        <v>26</v>
      </c>
      <c r="D6153" s="479">
        <v>68.52</v>
      </c>
      <c r="E6153" s="368"/>
      <c r="F6153" s="368"/>
    </row>
    <row r="6154" spans="1:6" ht="38.25" x14ac:dyDescent="0.2">
      <c r="A6154" s="391">
        <v>92375</v>
      </c>
      <c r="B6154" s="478" t="s">
        <v>3278</v>
      </c>
      <c r="C6154" s="391" t="s">
        <v>26</v>
      </c>
      <c r="D6154" s="479">
        <v>68.47</v>
      </c>
      <c r="E6154" s="368"/>
      <c r="F6154" s="368"/>
    </row>
    <row r="6155" spans="1:6" ht="25.5" x14ac:dyDescent="0.2">
      <c r="A6155" s="391">
        <v>92346</v>
      </c>
      <c r="B6155" s="478" t="s">
        <v>3259</v>
      </c>
      <c r="C6155" s="391" t="s">
        <v>26</v>
      </c>
      <c r="D6155" s="479">
        <v>90.86</v>
      </c>
      <c r="E6155" s="368"/>
      <c r="F6155" s="368"/>
    </row>
    <row r="6156" spans="1:6" ht="38.25" x14ac:dyDescent="0.2">
      <c r="A6156" s="391">
        <v>92377</v>
      </c>
      <c r="B6156" s="478" t="s">
        <v>3280</v>
      </c>
      <c r="C6156" s="391" t="s">
        <v>26</v>
      </c>
      <c r="D6156" s="479">
        <v>92.51</v>
      </c>
      <c r="E6156" s="368"/>
      <c r="F6156" s="368"/>
    </row>
    <row r="6157" spans="1:6" ht="25.5" x14ac:dyDescent="0.2">
      <c r="A6157" s="391">
        <v>92348</v>
      </c>
      <c r="B6157" s="478" t="s">
        <v>3261</v>
      </c>
      <c r="C6157" s="391" t="s">
        <v>26</v>
      </c>
      <c r="D6157" s="479">
        <v>128.84</v>
      </c>
      <c r="E6157" s="368"/>
      <c r="F6157" s="368"/>
    </row>
    <row r="6158" spans="1:6" ht="38.25" x14ac:dyDescent="0.2">
      <c r="A6158" s="391">
        <v>92379</v>
      </c>
      <c r="B6158" s="478" t="s">
        <v>3282</v>
      </c>
      <c r="C6158" s="391" t="s">
        <v>26</v>
      </c>
      <c r="D6158" s="479">
        <v>132.24</v>
      </c>
      <c r="E6158" s="368"/>
      <c r="F6158" s="368"/>
    </row>
    <row r="6159" spans="1:6" ht="25.5" x14ac:dyDescent="0.2">
      <c r="A6159" s="391">
        <v>95696</v>
      </c>
      <c r="B6159" s="478" t="s">
        <v>3478</v>
      </c>
      <c r="C6159" s="391" t="s">
        <v>26</v>
      </c>
      <c r="D6159" s="479">
        <v>67.42</v>
      </c>
      <c r="E6159" s="368"/>
      <c r="F6159" s="368"/>
    </row>
    <row r="6160" spans="1:6" ht="38.25" x14ac:dyDescent="0.2">
      <c r="A6160" s="391">
        <v>92335</v>
      </c>
      <c r="B6160" s="478" t="s">
        <v>2844</v>
      </c>
      <c r="C6160" s="391" t="s">
        <v>0</v>
      </c>
      <c r="D6160" s="479">
        <v>90.09</v>
      </c>
      <c r="E6160" s="368"/>
      <c r="F6160" s="368"/>
    </row>
    <row r="6161" spans="1:6" ht="38.25" x14ac:dyDescent="0.2">
      <c r="A6161" s="391">
        <v>92336</v>
      </c>
      <c r="B6161" s="478" t="s">
        <v>2845</v>
      </c>
      <c r="C6161" s="391" t="s">
        <v>0</v>
      </c>
      <c r="D6161" s="479">
        <v>110.67</v>
      </c>
      <c r="E6161" s="368"/>
      <c r="F6161" s="368"/>
    </row>
    <row r="6162" spans="1:6" ht="38.25" x14ac:dyDescent="0.2">
      <c r="A6162" s="391">
        <v>92337</v>
      </c>
      <c r="B6162" s="478" t="s">
        <v>2846</v>
      </c>
      <c r="C6162" s="391" t="s">
        <v>0</v>
      </c>
      <c r="D6162" s="479">
        <v>145.74</v>
      </c>
      <c r="E6162" s="368"/>
      <c r="F6162" s="368"/>
    </row>
    <row r="6163" spans="1:6" ht="38.25" x14ac:dyDescent="0.2">
      <c r="A6163" s="391">
        <v>92687</v>
      </c>
      <c r="B6163" s="478" t="s">
        <v>2871</v>
      </c>
      <c r="C6163" s="391" t="s">
        <v>0</v>
      </c>
      <c r="D6163" s="479">
        <v>27.87</v>
      </c>
      <c r="E6163" s="368"/>
      <c r="F6163" s="368"/>
    </row>
    <row r="6164" spans="1:6" ht="38.25" x14ac:dyDescent="0.2">
      <c r="A6164" s="391">
        <v>92688</v>
      </c>
      <c r="B6164" s="478" t="s">
        <v>2872</v>
      </c>
      <c r="C6164" s="391" t="s">
        <v>0</v>
      </c>
      <c r="D6164" s="479">
        <v>39.04</v>
      </c>
      <c r="E6164" s="368"/>
      <c r="F6164" s="368"/>
    </row>
    <row r="6165" spans="1:6" ht="38.25" x14ac:dyDescent="0.2">
      <c r="A6165" s="391">
        <v>97536</v>
      </c>
      <c r="B6165" s="478" t="s">
        <v>47985</v>
      </c>
      <c r="C6165" s="391" t="s">
        <v>0</v>
      </c>
      <c r="D6165" s="479">
        <v>59.98</v>
      </c>
      <c r="E6165" s="368"/>
      <c r="F6165" s="368"/>
    </row>
    <row r="6166" spans="1:6" ht="38.25" x14ac:dyDescent="0.2">
      <c r="A6166" s="391">
        <v>97535</v>
      </c>
      <c r="B6166" s="478" t="s">
        <v>2893</v>
      </c>
      <c r="C6166" s="391" t="s">
        <v>0</v>
      </c>
      <c r="D6166" s="479">
        <v>49.16</v>
      </c>
      <c r="E6166" s="368"/>
      <c r="F6166" s="368"/>
    </row>
    <row r="6167" spans="1:6" ht="38.25" x14ac:dyDescent="0.2">
      <c r="A6167" s="391">
        <v>92652</v>
      </c>
      <c r="B6167" s="478" t="s">
        <v>2866</v>
      </c>
      <c r="C6167" s="391" t="s">
        <v>0</v>
      </c>
      <c r="D6167" s="479">
        <v>59.44</v>
      </c>
      <c r="E6167" s="368"/>
      <c r="F6167" s="368"/>
    </row>
    <row r="6168" spans="1:6" ht="38.25" x14ac:dyDescent="0.2">
      <c r="A6168" s="391">
        <v>92653</v>
      </c>
      <c r="B6168" s="478" t="s">
        <v>2867</v>
      </c>
      <c r="C6168" s="391" t="s">
        <v>0</v>
      </c>
      <c r="D6168" s="479">
        <v>67.709999999999994</v>
      </c>
      <c r="E6168" s="368"/>
      <c r="F6168" s="368"/>
    </row>
    <row r="6169" spans="1:6" ht="38.25" x14ac:dyDescent="0.2">
      <c r="A6169" s="391">
        <v>92654</v>
      </c>
      <c r="B6169" s="478" t="s">
        <v>2868</v>
      </c>
      <c r="C6169" s="391" t="s">
        <v>0</v>
      </c>
      <c r="D6169" s="479">
        <v>92.4</v>
      </c>
      <c r="E6169" s="368"/>
      <c r="F6169" s="368"/>
    </row>
    <row r="6170" spans="1:6" ht="38.25" x14ac:dyDescent="0.2">
      <c r="A6170" s="391">
        <v>92655</v>
      </c>
      <c r="B6170" s="478" t="s">
        <v>2869</v>
      </c>
      <c r="C6170" s="391" t="s">
        <v>0</v>
      </c>
      <c r="D6170" s="479">
        <v>112.56</v>
      </c>
      <c r="E6170" s="368"/>
      <c r="F6170" s="368"/>
    </row>
    <row r="6171" spans="1:6" ht="38.25" x14ac:dyDescent="0.2">
      <c r="A6171" s="391">
        <v>92656</v>
      </c>
      <c r="B6171" s="478" t="s">
        <v>2870</v>
      </c>
      <c r="C6171" s="391" t="s">
        <v>0</v>
      </c>
      <c r="D6171" s="479">
        <v>147.19</v>
      </c>
      <c r="E6171" s="368"/>
      <c r="F6171" s="368"/>
    </row>
    <row r="6172" spans="1:6" ht="38.25" x14ac:dyDescent="0.2">
      <c r="A6172" s="391">
        <v>101918</v>
      </c>
      <c r="B6172" s="478" t="s">
        <v>2911</v>
      </c>
      <c r="C6172" s="391" t="s">
        <v>0</v>
      </c>
      <c r="D6172" s="479">
        <v>207.77</v>
      </c>
      <c r="E6172" s="368"/>
      <c r="F6172" s="368"/>
    </row>
    <row r="6173" spans="1:6" ht="38.25" x14ac:dyDescent="0.2">
      <c r="A6173" s="391">
        <v>101927</v>
      </c>
      <c r="B6173" s="478" t="s">
        <v>2920</v>
      </c>
      <c r="C6173" s="391" t="s">
        <v>0</v>
      </c>
      <c r="D6173" s="479">
        <v>193.08</v>
      </c>
      <c r="E6173" s="368"/>
      <c r="F6173" s="368"/>
    </row>
    <row r="6174" spans="1:6" ht="38.25" x14ac:dyDescent="0.2">
      <c r="A6174" s="391">
        <v>97498</v>
      </c>
      <c r="B6174" s="478" t="s">
        <v>2892</v>
      </c>
      <c r="C6174" s="391" t="s">
        <v>0</v>
      </c>
      <c r="D6174" s="479">
        <v>44.45</v>
      </c>
      <c r="E6174" s="368"/>
      <c r="F6174" s="368"/>
    </row>
    <row r="6175" spans="1:6" ht="38.25" x14ac:dyDescent="0.2">
      <c r="A6175" s="391">
        <v>92364</v>
      </c>
      <c r="B6175" s="478" t="s">
        <v>2856</v>
      </c>
      <c r="C6175" s="391" t="s">
        <v>0</v>
      </c>
      <c r="D6175" s="479">
        <v>54.73</v>
      </c>
      <c r="E6175" s="368"/>
      <c r="F6175" s="368"/>
    </row>
    <row r="6176" spans="1:6" ht="38.25" x14ac:dyDescent="0.2">
      <c r="A6176" s="391">
        <v>92365</v>
      </c>
      <c r="B6176" s="478" t="s">
        <v>2857</v>
      </c>
      <c r="C6176" s="391" t="s">
        <v>0</v>
      </c>
      <c r="D6176" s="479">
        <v>62.95</v>
      </c>
      <c r="E6176" s="368"/>
      <c r="F6176" s="368"/>
    </row>
    <row r="6177" spans="1:6" ht="38.25" x14ac:dyDescent="0.2">
      <c r="A6177" s="391">
        <v>92341</v>
      </c>
      <c r="B6177" s="478" t="s">
        <v>2849</v>
      </c>
      <c r="C6177" s="391" t="s">
        <v>0</v>
      </c>
      <c r="D6177" s="479">
        <v>100.41</v>
      </c>
      <c r="E6177" s="368"/>
      <c r="F6177" s="368"/>
    </row>
    <row r="6178" spans="1:6" ht="38.25" x14ac:dyDescent="0.2">
      <c r="A6178" s="391">
        <v>92366</v>
      </c>
      <c r="B6178" s="478" t="s">
        <v>2858</v>
      </c>
      <c r="C6178" s="391" t="s">
        <v>0</v>
      </c>
      <c r="D6178" s="479">
        <v>87.64</v>
      </c>
      <c r="E6178" s="368"/>
      <c r="F6178" s="368"/>
    </row>
    <row r="6179" spans="1:6" ht="38.25" x14ac:dyDescent="0.2">
      <c r="A6179" s="391">
        <v>92342</v>
      </c>
      <c r="B6179" s="478" t="s">
        <v>2850</v>
      </c>
      <c r="C6179" s="391" t="s">
        <v>0</v>
      </c>
      <c r="D6179" s="479">
        <v>121.06</v>
      </c>
      <c r="E6179" s="368"/>
      <c r="F6179" s="368"/>
    </row>
    <row r="6180" spans="1:6" ht="38.25" x14ac:dyDescent="0.2">
      <c r="A6180" s="391">
        <v>92367</v>
      </c>
      <c r="B6180" s="478" t="s">
        <v>2859</v>
      </c>
      <c r="C6180" s="391" t="s">
        <v>0</v>
      </c>
      <c r="D6180" s="479">
        <v>107.71</v>
      </c>
      <c r="E6180" s="368"/>
      <c r="F6180" s="368"/>
    </row>
    <row r="6181" spans="1:6" ht="38.25" x14ac:dyDescent="0.2">
      <c r="A6181" s="391">
        <v>92343</v>
      </c>
      <c r="B6181" s="478" t="s">
        <v>2851</v>
      </c>
      <c r="C6181" s="391" t="s">
        <v>0</v>
      </c>
      <c r="D6181" s="479">
        <v>156.22999999999999</v>
      </c>
      <c r="E6181" s="368"/>
      <c r="F6181" s="368"/>
    </row>
    <row r="6182" spans="1:6" ht="38.25" x14ac:dyDescent="0.2">
      <c r="A6182" s="391">
        <v>92368</v>
      </c>
      <c r="B6182" s="478" t="s">
        <v>2860</v>
      </c>
      <c r="C6182" s="391" t="s">
        <v>0</v>
      </c>
      <c r="D6182" s="479">
        <v>142.35</v>
      </c>
      <c r="E6182" s="368"/>
      <c r="F6182" s="368"/>
    </row>
    <row r="6183" spans="1:6" ht="38.25" x14ac:dyDescent="0.2">
      <c r="A6183" s="391">
        <v>92689</v>
      </c>
      <c r="B6183" s="478" t="s">
        <v>2873</v>
      </c>
      <c r="C6183" s="391" t="s">
        <v>0</v>
      </c>
      <c r="D6183" s="479">
        <v>51.96</v>
      </c>
      <c r="E6183" s="368"/>
      <c r="F6183" s="368"/>
    </row>
    <row r="6184" spans="1:6" ht="38.25" x14ac:dyDescent="0.2">
      <c r="A6184" s="391">
        <v>92690</v>
      </c>
      <c r="B6184" s="478" t="s">
        <v>2874</v>
      </c>
      <c r="C6184" s="391" t="s">
        <v>0</v>
      </c>
      <c r="D6184" s="479">
        <v>73.98</v>
      </c>
      <c r="E6184" s="368"/>
      <c r="F6184" s="368"/>
    </row>
    <row r="6185" spans="1:6" ht="38.25" x14ac:dyDescent="0.2">
      <c r="A6185" s="391">
        <v>92691</v>
      </c>
      <c r="B6185" s="478" t="s">
        <v>47986</v>
      </c>
      <c r="C6185" s="391" t="s">
        <v>0</v>
      </c>
      <c r="D6185" s="479">
        <v>95.59</v>
      </c>
      <c r="E6185" s="368"/>
      <c r="F6185" s="368"/>
    </row>
    <row r="6186" spans="1:6" ht="38.25" x14ac:dyDescent="0.2">
      <c r="A6186" s="391">
        <v>92359</v>
      </c>
      <c r="B6186" s="478" t="s">
        <v>2852</v>
      </c>
      <c r="C6186" s="391" t="s">
        <v>0</v>
      </c>
      <c r="D6186" s="479">
        <v>70.260000000000005</v>
      </c>
      <c r="E6186" s="368"/>
      <c r="F6186" s="368"/>
    </row>
    <row r="6187" spans="1:6" ht="38.25" x14ac:dyDescent="0.2">
      <c r="A6187" s="391">
        <v>92645</v>
      </c>
      <c r="B6187" s="478" t="s">
        <v>2861</v>
      </c>
      <c r="C6187" s="391" t="s">
        <v>0</v>
      </c>
      <c r="D6187" s="479">
        <v>74.069999999999993</v>
      </c>
      <c r="E6187" s="368"/>
      <c r="F6187" s="368"/>
    </row>
    <row r="6188" spans="1:6" ht="38.25" x14ac:dyDescent="0.2">
      <c r="A6188" s="391">
        <v>92360</v>
      </c>
      <c r="B6188" s="478" t="s">
        <v>2853</v>
      </c>
      <c r="C6188" s="391" t="s">
        <v>0</v>
      </c>
      <c r="D6188" s="479">
        <v>93.93</v>
      </c>
      <c r="E6188" s="368"/>
      <c r="F6188" s="368"/>
    </row>
    <row r="6189" spans="1:6" ht="38.25" x14ac:dyDescent="0.2">
      <c r="A6189" s="391">
        <v>92646</v>
      </c>
      <c r="B6189" s="478" t="s">
        <v>2862</v>
      </c>
      <c r="C6189" s="391" t="s">
        <v>0</v>
      </c>
      <c r="D6189" s="479">
        <v>97.74</v>
      </c>
      <c r="E6189" s="368"/>
      <c r="F6189" s="368"/>
    </row>
    <row r="6190" spans="1:6" ht="38.25" x14ac:dyDescent="0.2">
      <c r="A6190" s="391">
        <v>95697</v>
      </c>
      <c r="B6190" s="478" t="s">
        <v>2875</v>
      </c>
      <c r="C6190" s="391" t="s">
        <v>0</v>
      </c>
      <c r="D6190" s="479">
        <v>103.15</v>
      </c>
      <c r="E6190" s="368"/>
      <c r="F6190" s="368"/>
    </row>
    <row r="6191" spans="1:6" ht="38.25" x14ac:dyDescent="0.2">
      <c r="A6191" s="391">
        <v>92648</v>
      </c>
      <c r="B6191" s="478" t="s">
        <v>2863</v>
      </c>
      <c r="C6191" s="391" t="s">
        <v>0</v>
      </c>
      <c r="D6191" s="479">
        <v>106.95</v>
      </c>
      <c r="E6191" s="368"/>
      <c r="F6191" s="368"/>
    </row>
    <row r="6192" spans="1:6" ht="25.5" x14ac:dyDescent="0.2">
      <c r="A6192" s="391">
        <v>92338</v>
      </c>
      <c r="B6192" s="478" t="s">
        <v>2847</v>
      </c>
      <c r="C6192" s="391" t="s">
        <v>0</v>
      </c>
      <c r="D6192" s="479">
        <v>147.91999999999999</v>
      </c>
      <c r="E6192" s="368"/>
      <c r="F6192" s="368"/>
    </row>
    <row r="6193" spans="1:6" ht="38.25" x14ac:dyDescent="0.2">
      <c r="A6193" s="391">
        <v>92361</v>
      </c>
      <c r="B6193" s="478" t="s">
        <v>2854</v>
      </c>
      <c r="C6193" s="391" t="s">
        <v>0</v>
      </c>
      <c r="D6193" s="479">
        <v>126.71</v>
      </c>
      <c r="E6193" s="368"/>
      <c r="F6193" s="368"/>
    </row>
    <row r="6194" spans="1:6" ht="38.25" x14ac:dyDescent="0.2">
      <c r="A6194" s="391">
        <v>92649</v>
      </c>
      <c r="B6194" s="478" t="s">
        <v>2864</v>
      </c>
      <c r="C6194" s="391" t="s">
        <v>0</v>
      </c>
      <c r="D6194" s="479">
        <v>130.53</v>
      </c>
      <c r="E6194" s="368"/>
      <c r="F6194" s="368"/>
    </row>
    <row r="6195" spans="1:6" ht="25.5" x14ac:dyDescent="0.2">
      <c r="A6195" s="391">
        <v>92339</v>
      </c>
      <c r="B6195" s="478" t="s">
        <v>2848</v>
      </c>
      <c r="C6195" s="391" t="s">
        <v>0</v>
      </c>
      <c r="D6195" s="479">
        <v>224.9</v>
      </c>
      <c r="E6195" s="368"/>
      <c r="F6195" s="368"/>
    </row>
    <row r="6196" spans="1:6" ht="38.25" x14ac:dyDescent="0.2">
      <c r="A6196" s="391">
        <v>92362</v>
      </c>
      <c r="B6196" s="478" t="s">
        <v>2855</v>
      </c>
      <c r="C6196" s="391" t="s">
        <v>0</v>
      </c>
      <c r="D6196" s="479">
        <v>202.86</v>
      </c>
      <c r="E6196" s="368"/>
      <c r="F6196" s="368"/>
    </row>
    <row r="6197" spans="1:6" ht="38.25" x14ac:dyDescent="0.2">
      <c r="A6197" s="391">
        <v>92650</v>
      </c>
      <c r="B6197" s="478" t="s">
        <v>2865</v>
      </c>
      <c r="C6197" s="391" t="s">
        <v>0</v>
      </c>
      <c r="D6197" s="479">
        <v>206.67</v>
      </c>
      <c r="E6197" s="368"/>
      <c r="F6197" s="368"/>
    </row>
    <row r="6198" spans="1:6" ht="25.5" x14ac:dyDescent="0.2">
      <c r="A6198" s="391">
        <v>97439</v>
      </c>
      <c r="B6198" s="478" t="s">
        <v>3562</v>
      </c>
      <c r="C6198" s="391" t="s">
        <v>26</v>
      </c>
      <c r="D6198" s="479">
        <v>128.6</v>
      </c>
      <c r="E6198" s="368"/>
      <c r="F6198" s="368"/>
    </row>
    <row r="6199" spans="1:6" ht="25.5" x14ac:dyDescent="0.2">
      <c r="A6199" s="391">
        <v>97440</v>
      </c>
      <c r="B6199" s="478" t="s">
        <v>3563</v>
      </c>
      <c r="C6199" s="391" t="s">
        <v>26</v>
      </c>
      <c r="D6199" s="479">
        <v>154</v>
      </c>
      <c r="E6199" s="368"/>
      <c r="F6199" s="368"/>
    </row>
    <row r="6200" spans="1:6" ht="25.5" x14ac:dyDescent="0.2">
      <c r="A6200" s="391">
        <v>97442</v>
      </c>
      <c r="B6200" s="478" t="s">
        <v>3564</v>
      </c>
      <c r="C6200" s="391" t="s">
        <v>26</v>
      </c>
      <c r="D6200" s="479">
        <v>170.19</v>
      </c>
      <c r="E6200" s="368"/>
      <c r="F6200" s="368"/>
    </row>
    <row r="6201" spans="1:6" ht="25.5" x14ac:dyDescent="0.2">
      <c r="A6201" s="391">
        <v>97552</v>
      </c>
      <c r="B6201" s="478" t="s">
        <v>3645</v>
      </c>
      <c r="C6201" s="391" t="s">
        <v>26</v>
      </c>
      <c r="D6201" s="479">
        <v>50.75</v>
      </c>
      <c r="E6201" s="368"/>
      <c r="F6201" s="368"/>
    </row>
    <row r="6202" spans="1:6" ht="25.5" x14ac:dyDescent="0.2">
      <c r="A6202" s="391">
        <v>97553</v>
      </c>
      <c r="B6202" s="478" t="s">
        <v>3646</v>
      </c>
      <c r="C6202" s="391" t="s">
        <v>26</v>
      </c>
      <c r="D6202" s="479">
        <v>72.78</v>
      </c>
      <c r="E6202" s="368"/>
      <c r="F6202" s="368"/>
    </row>
    <row r="6203" spans="1:6" ht="25.5" x14ac:dyDescent="0.2">
      <c r="A6203" s="391">
        <v>97554</v>
      </c>
      <c r="B6203" s="478" t="s">
        <v>3647</v>
      </c>
      <c r="C6203" s="391" t="s">
        <v>26</v>
      </c>
      <c r="D6203" s="479">
        <v>125.53</v>
      </c>
      <c r="E6203" s="368"/>
      <c r="F6203" s="368"/>
    </row>
    <row r="6204" spans="1:6" ht="25.5" x14ac:dyDescent="0.2">
      <c r="A6204" s="391">
        <v>97491</v>
      </c>
      <c r="B6204" s="478" t="s">
        <v>3600</v>
      </c>
      <c r="C6204" s="391" t="s">
        <v>26</v>
      </c>
      <c r="D6204" s="479">
        <v>90.13</v>
      </c>
      <c r="E6204" s="368"/>
      <c r="F6204" s="368"/>
    </row>
    <row r="6205" spans="1:6" ht="25.5" x14ac:dyDescent="0.2">
      <c r="A6205" s="391">
        <v>97529</v>
      </c>
      <c r="B6205" s="478" t="s">
        <v>3628</v>
      </c>
      <c r="C6205" s="391" t="s">
        <v>26</v>
      </c>
      <c r="D6205" s="479">
        <v>85.02</v>
      </c>
      <c r="E6205" s="368"/>
      <c r="F6205" s="368"/>
    </row>
    <row r="6206" spans="1:6" ht="25.5" x14ac:dyDescent="0.2">
      <c r="A6206" s="391">
        <v>97492</v>
      </c>
      <c r="B6206" s="478" t="s">
        <v>3601</v>
      </c>
      <c r="C6206" s="391" t="s">
        <v>26</v>
      </c>
      <c r="D6206" s="479">
        <v>132.5</v>
      </c>
      <c r="E6206" s="368"/>
      <c r="F6206" s="368"/>
    </row>
    <row r="6207" spans="1:6" ht="25.5" x14ac:dyDescent="0.2">
      <c r="A6207" s="391">
        <v>97530</v>
      </c>
      <c r="B6207" s="478" t="s">
        <v>3629</v>
      </c>
      <c r="C6207" s="391" t="s">
        <v>26</v>
      </c>
      <c r="D6207" s="479">
        <v>123.35</v>
      </c>
      <c r="E6207" s="368"/>
      <c r="F6207" s="368"/>
    </row>
    <row r="6208" spans="1:6" ht="25.5" x14ac:dyDescent="0.2">
      <c r="A6208" s="391">
        <v>97493</v>
      </c>
      <c r="B6208" s="478" t="s">
        <v>3602</v>
      </c>
      <c r="C6208" s="391" t="s">
        <v>26</v>
      </c>
      <c r="D6208" s="479">
        <v>170.91</v>
      </c>
      <c r="E6208" s="368"/>
      <c r="F6208" s="368"/>
    </row>
    <row r="6209" spans="1:6" ht="25.5" x14ac:dyDescent="0.2">
      <c r="A6209" s="391">
        <v>97531</v>
      </c>
      <c r="B6209" s="478" t="s">
        <v>3630</v>
      </c>
      <c r="C6209" s="391" t="s">
        <v>26</v>
      </c>
      <c r="D6209" s="479">
        <v>157.26</v>
      </c>
      <c r="E6209" s="368"/>
      <c r="F6209" s="368"/>
    </row>
    <row r="6210" spans="1:6" ht="25.5" x14ac:dyDescent="0.2">
      <c r="A6210" s="391">
        <v>97458</v>
      </c>
      <c r="B6210" s="478" t="s">
        <v>3576</v>
      </c>
      <c r="C6210" s="391" t="s">
        <v>26</v>
      </c>
      <c r="D6210" s="479">
        <v>298.01</v>
      </c>
      <c r="E6210" s="368"/>
      <c r="F6210" s="368"/>
    </row>
    <row r="6211" spans="1:6" ht="25.5" x14ac:dyDescent="0.2">
      <c r="A6211" s="391">
        <v>97494</v>
      </c>
      <c r="B6211" s="478" t="s">
        <v>3603</v>
      </c>
      <c r="C6211" s="391" t="s">
        <v>26</v>
      </c>
      <c r="D6211" s="479">
        <v>265.83</v>
      </c>
      <c r="E6211" s="368"/>
      <c r="F6211" s="368"/>
    </row>
    <row r="6212" spans="1:6" ht="25.5" x14ac:dyDescent="0.2">
      <c r="A6212" s="391">
        <v>97532</v>
      </c>
      <c r="B6212" s="478" t="s">
        <v>3631</v>
      </c>
      <c r="C6212" s="391" t="s">
        <v>26</v>
      </c>
      <c r="D6212" s="479">
        <v>246.6</v>
      </c>
      <c r="E6212" s="368"/>
      <c r="F6212" s="368"/>
    </row>
    <row r="6213" spans="1:6" ht="25.5" x14ac:dyDescent="0.2">
      <c r="A6213" s="391">
        <v>97459</v>
      </c>
      <c r="B6213" s="478" t="s">
        <v>3577</v>
      </c>
      <c r="C6213" s="391" t="s">
        <v>26</v>
      </c>
      <c r="D6213" s="479">
        <v>515.33000000000004</v>
      </c>
      <c r="E6213" s="368"/>
      <c r="F6213" s="368"/>
    </row>
    <row r="6214" spans="1:6" ht="25.5" x14ac:dyDescent="0.2">
      <c r="A6214" s="391">
        <v>97495</v>
      </c>
      <c r="B6214" s="478" t="s">
        <v>3604</v>
      </c>
      <c r="C6214" s="391" t="s">
        <v>26</v>
      </c>
      <c r="D6214" s="479">
        <v>488.63</v>
      </c>
      <c r="E6214" s="368"/>
      <c r="F6214" s="368"/>
    </row>
    <row r="6215" spans="1:6" ht="25.5" x14ac:dyDescent="0.2">
      <c r="A6215" s="391">
        <v>97533</v>
      </c>
      <c r="B6215" s="478" t="s">
        <v>3632</v>
      </c>
      <c r="C6215" s="391" t="s">
        <v>26</v>
      </c>
      <c r="D6215" s="479">
        <v>464.99</v>
      </c>
      <c r="E6215" s="368"/>
      <c r="F6215" s="368"/>
    </row>
    <row r="6216" spans="1:6" ht="25.5" x14ac:dyDescent="0.2">
      <c r="A6216" s="391">
        <v>97460</v>
      </c>
      <c r="B6216" s="480" t="s">
        <v>3578</v>
      </c>
      <c r="C6216" s="391" t="s">
        <v>26</v>
      </c>
      <c r="D6216" s="479">
        <v>795.04</v>
      </c>
      <c r="E6216" s="368"/>
      <c r="F6216" s="368"/>
    </row>
    <row r="6217" spans="1:6" ht="25.5" x14ac:dyDescent="0.2">
      <c r="A6217" s="391">
        <v>97496</v>
      </c>
      <c r="B6217" s="478" t="s">
        <v>3605</v>
      </c>
      <c r="C6217" s="391" t="s">
        <v>26</v>
      </c>
      <c r="D6217" s="479">
        <v>773.83</v>
      </c>
      <c r="E6217" s="368"/>
      <c r="F6217" s="368"/>
    </row>
    <row r="6218" spans="1:6" ht="25.5" x14ac:dyDescent="0.2">
      <c r="A6218" s="391">
        <v>97534</v>
      </c>
      <c r="B6218" s="478" t="s">
        <v>3633</v>
      </c>
      <c r="C6218" s="391" t="s">
        <v>26</v>
      </c>
      <c r="D6218" s="479">
        <v>737.6</v>
      </c>
      <c r="E6218" s="368"/>
      <c r="F6218" s="368"/>
    </row>
    <row r="6219" spans="1:6" ht="25.5" x14ac:dyDescent="0.2">
      <c r="A6219" s="391">
        <v>101926</v>
      </c>
      <c r="B6219" s="480" t="s">
        <v>2919</v>
      </c>
      <c r="C6219" s="391" t="s">
        <v>26</v>
      </c>
      <c r="D6219" s="479">
        <v>407.24</v>
      </c>
      <c r="E6219" s="368"/>
      <c r="F6219" s="368"/>
    </row>
    <row r="6220" spans="1:6" ht="25.5" x14ac:dyDescent="0.2">
      <c r="A6220" s="391">
        <v>101935</v>
      </c>
      <c r="B6220" s="478" t="s">
        <v>2928</v>
      </c>
      <c r="C6220" s="391" t="s">
        <v>26</v>
      </c>
      <c r="D6220" s="479">
        <v>418.48</v>
      </c>
      <c r="E6220" s="368"/>
      <c r="F6220" s="368"/>
    </row>
    <row r="6221" spans="1:6" ht="38.25" x14ac:dyDescent="0.2">
      <c r="A6221" s="391">
        <v>92704</v>
      </c>
      <c r="B6221" s="478" t="s">
        <v>3344</v>
      </c>
      <c r="C6221" s="391" t="s">
        <v>26</v>
      </c>
      <c r="D6221" s="479">
        <v>26.91</v>
      </c>
      <c r="E6221" s="368"/>
      <c r="F6221" s="368"/>
    </row>
    <row r="6222" spans="1:6" ht="38.25" x14ac:dyDescent="0.2">
      <c r="A6222" s="391">
        <v>92705</v>
      </c>
      <c r="B6222" s="478" t="s">
        <v>3345</v>
      </c>
      <c r="C6222" s="391" t="s">
        <v>26</v>
      </c>
      <c r="D6222" s="479">
        <v>43.15</v>
      </c>
      <c r="E6222" s="368"/>
      <c r="F6222" s="368"/>
    </row>
    <row r="6223" spans="1:6" ht="38.25" x14ac:dyDescent="0.2">
      <c r="A6223" s="391">
        <v>92706</v>
      </c>
      <c r="B6223" s="478" t="s">
        <v>3346</v>
      </c>
      <c r="C6223" s="391" t="s">
        <v>26</v>
      </c>
      <c r="D6223" s="479">
        <v>69.84</v>
      </c>
      <c r="E6223" s="368"/>
      <c r="F6223" s="368"/>
    </row>
    <row r="6224" spans="1:6" ht="38.25" x14ac:dyDescent="0.2">
      <c r="A6224" s="391">
        <v>92637</v>
      </c>
      <c r="B6224" s="478" t="s">
        <v>3296</v>
      </c>
      <c r="C6224" s="391" t="s">
        <v>26</v>
      </c>
      <c r="D6224" s="479">
        <v>70.56</v>
      </c>
      <c r="E6224" s="368"/>
      <c r="F6224" s="368"/>
    </row>
    <row r="6225" spans="1:6" ht="38.25" x14ac:dyDescent="0.2">
      <c r="A6225" s="391">
        <v>92681</v>
      </c>
      <c r="B6225" s="478" t="s">
        <v>3326</v>
      </c>
      <c r="C6225" s="391" t="s">
        <v>26</v>
      </c>
      <c r="D6225" s="479">
        <v>52.16</v>
      </c>
      <c r="E6225" s="368"/>
      <c r="F6225" s="368"/>
    </row>
    <row r="6226" spans="1:6" ht="38.25" x14ac:dyDescent="0.2">
      <c r="A6226" s="391">
        <v>92638</v>
      </c>
      <c r="B6226" s="478" t="s">
        <v>3297</v>
      </c>
      <c r="C6226" s="391" t="s">
        <v>26</v>
      </c>
      <c r="D6226" s="479">
        <v>86.78</v>
      </c>
      <c r="E6226" s="368"/>
      <c r="F6226" s="368"/>
    </row>
    <row r="6227" spans="1:6" ht="38.25" x14ac:dyDescent="0.2">
      <c r="A6227" s="391">
        <v>92682</v>
      </c>
      <c r="B6227" s="478" t="s">
        <v>3327</v>
      </c>
      <c r="C6227" s="391" t="s">
        <v>26</v>
      </c>
      <c r="D6227" s="479">
        <v>65.87</v>
      </c>
      <c r="E6227" s="368"/>
      <c r="F6227" s="368"/>
    </row>
    <row r="6228" spans="1:6" ht="38.25" x14ac:dyDescent="0.2">
      <c r="A6228" s="391">
        <v>92639</v>
      </c>
      <c r="B6228" s="478" t="s">
        <v>3298</v>
      </c>
      <c r="C6228" s="391" t="s">
        <v>26</v>
      </c>
      <c r="D6228" s="479">
        <v>100.84</v>
      </c>
      <c r="E6228" s="368"/>
      <c r="F6228" s="368"/>
    </row>
    <row r="6229" spans="1:6" ht="38.25" x14ac:dyDescent="0.2">
      <c r="A6229" s="391">
        <v>92683</v>
      </c>
      <c r="B6229" s="480" t="s">
        <v>3328</v>
      </c>
      <c r="C6229" s="391" t="s">
        <v>26</v>
      </c>
      <c r="D6229" s="479">
        <v>77.11</v>
      </c>
      <c r="E6229" s="368"/>
      <c r="F6229" s="368"/>
    </row>
    <row r="6230" spans="1:6" ht="38.25" x14ac:dyDescent="0.2">
      <c r="A6230" s="391">
        <v>92640</v>
      </c>
      <c r="B6230" s="478" t="s">
        <v>3299</v>
      </c>
      <c r="C6230" s="391" t="s">
        <v>26</v>
      </c>
      <c r="D6230" s="479">
        <v>132.47</v>
      </c>
      <c r="E6230" s="368"/>
      <c r="F6230" s="368"/>
    </row>
    <row r="6231" spans="1:6" ht="38.25" x14ac:dyDescent="0.2">
      <c r="A6231" s="391">
        <v>92684</v>
      </c>
      <c r="B6231" s="478" t="s">
        <v>3329</v>
      </c>
      <c r="C6231" s="391" t="s">
        <v>26</v>
      </c>
      <c r="D6231" s="479">
        <v>105.15</v>
      </c>
      <c r="E6231" s="368"/>
      <c r="F6231" s="368"/>
    </row>
    <row r="6232" spans="1:6" ht="38.25" x14ac:dyDescent="0.2">
      <c r="A6232" s="391">
        <v>92642</v>
      </c>
      <c r="B6232" s="478" t="s">
        <v>3300</v>
      </c>
      <c r="C6232" s="391" t="s">
        <v>26</v>
      </c>
      <c r="D6232" s="479">
        <v>203.78</v>
      </c>
      <c r="E6232" s="368"/>
      <c r="F6232" s="368"/>
    </row>
    <row r="6233" spans="1:6" ht="38.25" x14ac:dyDescent="0.2">
      <c r="A6233" s="391">
        <v>92685</v>
      </c>
      <c r="B6233" s="480" t="s">
        <v>3330</v>
      </c>
      <c r="C6233" s="391" t="s">
        <v>26</v>
      </c>
      <c r="D6233" s="479">
        <v>171.07</v>
      </c>
      <c r="E6233" s="368"/>
      <c r="F6233" s="368"/>
    </row>
    <row r="6234" spans="1:6" ht="38.25" x14ac:dyDescent="0.2">
      <c r="A6234" s="391">
        <v>92644</v>
      </c>
      <c r="B6234" s="478" t="s">
        <v>3301</v>
      </c>
      <c r="C6234" s="391" t="s">
        <v>26</v>
      </c>
      <c r="D6234" s="479">
        <v>257.52</v>
      </c>
      <c r="E6234" s="368"/>
      <c r="F6234" s="368"/>
    </row>
    <row r="6235" spans="1:6" ht="38.25" x14ac:dyDescent="0.2">
      <c r="A6235" s="391">
        <v>92686</v>
      </c>
      <c r="B6235" s="478" t="s">
        <v>3331</v>
      </c>
      <c r="C6235" s="391" t="s">
        <v>26</v>
      </c>
      <c r="D6235" s="479">
        <v>219.37</v>
      </c>
      <c r="E6235" s="368"/>
      <c r="F6235" s="368"/>
    </row>
    <row r="6236" spans="1:6" ht="25.5" x14ac:dyDescent="0.2">
      <c r="A6236" s="391">
        <v>92356</v>
      </c>
      <c r="B6236" s="478" t="s">
        <v>3269</v>
      </c>
      <c r="C6236" s="391" t="s">
        <v>26</v>
      </c>
      <c r="D6236" s="479">
        <v>132.62</v>
      </c>
      <c r="E6236" s="368"/>
      <c r="F6236" s="368"/>
    </row>
    <row r="6237" spans="1:6" ht="25.5" x14ac:dyDescent="0.2">
      <c r="A6237" s="391">
        <v>92357</v>
      </c>
      <c r="B6237" s="478" t="s">
        <v>3270</v>
      </c>
      <c r="C6237" s="391" t="s">
        <v>26</v>
      </c>
      <c r="D6237" s="479">
        <v>200.48</v>
      </c>
      <c r="E6237" s="368"/>
      <c r="F6237" s="368"/>
    </row>
    <row r="6238" spans="1:6" ht="25.5" x14ac:dyDescent="0.2">
      <c r="A6238" s="391">
        <v>92358</v>
      </c>
      <c r="B6238" s="478" t="s">
        <v>3271</v>
      </c>
      <c r="C6238" s="391" t="s">
        <v>26</v>
      </c>
      <c r="D6238" s="479">
        <v>250.72</v>
      </c>
      <c r="E6238" s="368"/>
      <c r="F6238" s="368"/>
    </row>
    <row r="6239" spans="1:6" ht="25.5" x14ac:dyDescent="0.2">
      <c r="A6239" s="391">
        <v>101919</v>
      </c>
      <c r="B6239" s="480" t="s">
        <v>2912</v>
      </c>
      <c r="C6239" s="391" t="s">
        <v>26</v>
      </c>
      <c r="D6239" s="479">
        <v>423.81</v>
      </c>
      <c r="E6239" s="368"/>
      <c r="F6239" s="368"/>
    </row>
    <row r="6240" spans="1:6" ht="38.25" x14ac:dyDescent="0.2">
      <c r="A6240" s="391">
        <v>101928</v>
      </c>
      <c r="B6240" s="480" t="s">
        <v>2921</v>
      </c>
      <c r="C6240" s="391" t="s">
        <v>26</v>
      </c>
      <c r="D6240" s="479">
        <v>429.43</v>
      </c>
      <c r="E6240" s="368"/>
      <c r="F6240" s="368"/>
    </row>
    <row r="6241" spans="1:6" ht="38.25" x14ac:dyDescent="0.2">
      <c r="A6241" s="391">
        <v>92904</v>
      </c>
      <c r="B6241" s="478" t="s">
        <v>3362</v>
      </c>
      <c r="C6241" s="391" t="s">
        <v>26</v>
      </c>
      <c r="D6241" s="479">
        <v>33.89</v>
      </c>
      <c r="E6241" s="368"/>
      <c r="F6241" s="368"/>
    </row>
    <row r="6242" spans="1:6" ht="38.25" x14ac:dyDescent="0.2">
      <c r="A6242" s="391">
        <v>92905</v>
      </c>
      <c r="B6242" s="478" t="s">
        <v>3363</v>
      </c>
      <c r="C6242" s="391" t="s">
        <v>26</v>
      </c>
      <c r="D6242" s="479">
        <v>48.21</v>
      </c>
      <c r="E6242" s="368"/>
      <c r="F6242" s="368"/>
    </row>
    <row r="6243" spans="1:6" ht="38.25" x14ac:dyDescent="0.2">
      <c r="A6243" s="391">
        <v>92906</v>
      </c>
      <c r="B6243" s="480" t="s">
        <v>3364</v>
      </c>
      <c r="C6243" s="391" t="s">
        <v>26</v>
      </c>
      <c r="D6243" s="479">
        <v>58.36</v>
      </c>
      <c r="E6243" s="368"/>
      <c r="F6243" s="368"/>
    </row>
    <row r="6244" spans="1:6" ht="38.25" x14ac:dyDescent="0.2">
      <c r="A6244" s="391">
        <v>92898</v>
      </c>
      <c r="B6244" s="478" t="s">
        <v>3356</v>
      </c>
      <c r="C6244" s="391" t="s">
        <v>26</v>
      </c>
      <c r="D6244" s="479">
        <v>49.58</v>
      </c>
      <c r="E6244" s="368"/>
      <c r="F6244" s="368"/>
    </row>
    <row r="6245" spans="1:6" ht="38.25" x14ac:dyDescent="0.2">
      <c r="A6245" s="391">
        <v>92899</v>
      </c>
      <c r="B6245" s="478" t="s">
        <v>3357</v>
      </c>
      <c r="C6245" s="391" t="s">
        <v>26</v>
      </c>
      <c r="D6245" s="479">
        <v>73.83</v>
      </c>
      <c r="E6245" s="368"/>
      <c r="F6245" s="368"/>
    </row>
    <row r="6246" spans="1:6" ht="38.25" x14ac:dyDescent="0.2">
      <c r="A6246" s="391">
        <v>92900</v>
      </c>
      <c r="B6246" s="478" t="s">
        <v>3358</v>
      </c>
      <c r="C6246" s="391" t="s">
        <v>26</v>
      </c>
      <c r="D6246" s="479">
        <v>89.02</v>
      </c>
      <c r="E6246" s="368"/>
      <c r="F6246" s="368"/>
    </row>
    <row r="6247" spans="1:6" ht="38.25" x14ac:dyDescent="0.2">
      <c r="A6247" s="391">
        <v>92901</v>
      </c>
      <c r="B6247" s="478" t="s">
        <v>3359</v>
      </c>
      <c r="C6247" s="391" t="s">
        <v>26</v>
      </c>
      <c r="D6247" s="479">
        <v>124.31</v>
      </c>
      <c r="E6247" s="368"/>
      <c r="F6247" s="368"/>
    </row>
    <row r="6248" spans="1:6" ht="38.25" x14ac:dyDescent="0.2">
      <c r="A6248" s="391">
        <v>92902</v>
      </c>
      <c r="B6248" s="478" t="s">
        <v>3360</v>
      </c>
      <c r="C6248" s="391" t="s">
        <v>26</v>
      </c>
      <c r="D6248" s="479">
        <v>195.68</v>
      </c>
      <c r="E6248" s="368"/>
      <c r="F6248" s="368"/>
    </row>
    <row r="6249" spans="1:6" ht="38.25" x14ac:dyDescent="0.2">
      <c r="A6249" s="391">
        <v>92903</v>
      </c>
      <c r="B6249" s="478" t="s">
        <v>3361</v>
      </c>
      <c r="C6249" s="391" t="s">
        <v>26</v>
      </c>
      <c r="D6249" s="479">
        <v>294.07</v>
      </c>
      <c r="E6249" s="368"/>
      <c r="F6249" s="368"/>
    </row>
    <row r="6250" spans="1:6" ht="38.25" x14ac:dyDescent="0.2">
      <c r="A6250" s="391">
        <v>92892</v>
      </c>
      <c r="B6250" s="478" t="s">
        <v>3350</v>
      </c>
      <c r="C6250" s="391" t="s">
        <v>26</v>
      </c>
      <c r="D6250" s="479">
        <v>58.75</v>
      </c>
      <c r="E6250" s="368"/>
      <c r="F6250" s="368"/>
    </row>
    <row r="6251" spans="1:6" ht="38.25" x14ac:dyDescent="0.2">
      <c r="A6251" s="391">
        <v>92893</v>
      </c>
      <c r="B6251" s="478" t="s">
        <v>3351</v>
      </c>
      <c r="C6251" s="391" t="s">
        <v>26</v>
      </c>
      <c r="D6251" s="479">
        <v>84.27</v>
      </c>
      <c r="E6251" s="368"/>
      <c r="F6251" s="368"/>
    </row>
    <row r="6252" spans="1:6" ht="38.25" x14ac:dyDescent="0.2">
      <c r="A6252" s="391">
        <v>92894</v>
      </c>
      <c r="B6252" s="478" t="s">
        <v>3352</v>
      </c>
      <c r="C6252" s="391" t="s">
        <v>26</v>
      </c>
      <c r="D6252" s="479">
        <v>100.9</v>
      </c>
      <c r="E6252" s="368"/>
      <c r="F6252" s="368"/>
    </row>
    <row r="6253" spans="1:6" ht="25.5" x14ac:dyDescent="0.2">
      <c r="A6253" s="391">
        <v>92889</v>
      </c>
      <c r="B6253" s="478" t="s">
        <v>3347</v>
      </c>
      <c r="C6253" s="391" t="s">
        <v>26</v>
      </c>
      <c r="D6253" s="479">
        <v>138.05000000000001</v>
      </c>
      <c r="E6253" s="368"/>
      <c r="F6253" s="368"/>
    </row>
    <row r="6254" spans="1:6" ht="38.25" x14ac:dyDescent="0.2">
      <c r="A6254" s="391">
        <v>92895</v>
      </c>
      <c r="B6254" s="478" t="s">
        <v>3353</v>
      </c>
      <c r="C6254" s="391" t="s">
        <v>26</v>
      </c>
      <c r="D6254" s="479">
        <v>138</v>
      </c>
      <c r="E6254" s="368"/>
      <c r="F6254" s="368"/>
    </row>
    <row r="6255" spans="1:6" ht="25.5" x14ac:dyDescent="0.2">
      <c r="A6255" s="391">
        <v>92890</v>
      </c>
      <c r="B6255" s="478" t="s">
        <v>3348</v>
      </c>
      <c r="C6255" s="391" t="s">
        <v>26</v>
      </c>
      <c r="D6255" s="479">
        <v>210.44</v>
      </c>
      <c r="E6255" s="368"/>
      <c r="F6255" s="368"/>
    </row>
    <row r="6256" spans="1:6" ht="38.25" x14ac:dyDescent="0.2">
      <c r="A6256" s="391">
        <v>92896</v>
      </c>
      <c r="B6256" s="478" t="s">
        <v>3354</v>
      </c>
      <c r="C6256" s="391" t="s">
        <v>26</v>
      </c>
      <c r="D6256" s="479">
        <v>212.09</v>
      </c>
      <c r="E6256" s="368"/>
      <c r="F6256" s="368"/>
    </row>
    <row r="6257" spans="1:6" ht="25.5" x14ac:dyDescent="0.2">
      <c r="A6257" s="391">
        <v>92891</v>
      </c>
      <c r="B6257" s="478" t="s">
        <v>3349</v>
      </c>
      <c r="C6257" s="391" t="s">
        <v>26</v>
      </c>
      <c r="D6257" s="479">
        <v>309.75</v>
      </c>
      <c r="E6257" s="368"/>
      <c r="F6257" s="368"/>
    </row>
    <row r="6258" spans="1:6" ht="38.25" x14ac:dyDescent="0.2">
      <c r="A6258" s="391">
        <v>92897</v>
      </c>
      <c r="B6258" s="478" t="s">
        <v>3355</v>
      </c>
      <c r="C6258" s="391" t="s">
        <v>26</v>
      </c>
      <c r="D6258" s="479">
        <v>313.14999999999998</v>
      </c>
      <c r="E6258" s="368"/>
      <c r="F6258" s="368"/>
    </row>
    <row r="6259" spans="1:6" ht="38.25" x14ac:dyDescent="0.2">
      <c r="A6259" s="391">
        <v>100822</v>
      </c>
      <c r="B6259" s="478" t="s">
        <v>47987</v>
      </c>
      <c r="C6259" s="391" t="s">
        <v>26</v>
      </c>
      <c r="D6259" s="479">
        <v>0</v>
      </c>
      <c r="E6259" s="368"/>
      <c r="F6259" s="368"/>
    </row>
    <row r="6260" spans="1:6" ht="38.25" x14ac:dyDescent="0.2">
      <c r="A6260" s="391">
        <v>100823</v>
      </c>
      <c r="B6260" s="478" t="s">
        <v>47988</v>
      </c>
      <c r="C6260" s="391" t="s">
        <v>26</v>
      </c>
      <c r="D6260" s="479">
        <v>0</v>
      </c>
      <c r="E6260" s="368"/>
      <c r="F6260" s="368"/>
    </row>
    <row r="6261" spans="1:6" ht="38.25" x14ac:dyDescent="0.2">
      <c r="A6261" s="391">
        <v>100824</v>
      </c>
      <c r="B6261" s="478" t="s">
        <v>47989</v>
      </c>
      <c r="C6261" s="391" t="s">
        <v>26</v>
      </c>
      <c r="D6261" s="479">
        <v>0</v>
      </c>
      <c r="E6261" s="368"/>
      <c r="F6261" s="368"/>
    </row>
    <row r="6262" spans="1:6" ht="38.25" x14ac:dyDescent="0.2">
      <c r="A6262" s="391">
        <v>100825</v>
      </c>
      <c r="B6262" s="478" t="s">
        <v>47990</v>
      </c>
      <c r="C6262" s="391" t="s">
        <v>26</v>
      </c>
      <c r="D6262" s="479">
        <v>0</v>
      </c>
      <c r="E6262" s="368"/>
      <c r="F6262" s="368"/>
    </row>
    <row r="6263" spans="1:6" ht="38.25" x14ac:dyDescent="0.2">
      <c r="A6263" s="391">
        <v>100818</v>
      </c>
      <c r="B6263" s="478" t="s">
        <v>41552</v>
      </c>
      <c r="C6263" s="391" t="s">
        <v>26</v>
      </c>
      <c r="D6263" s="479">
        <v>0</v>
      </c>
      <c r="E6263" s="368"/>
      <c r="F6263" s="368"/>
    </row>
    <row r="6264" spans="1:6" ht="38.25" x14ac:dyDescent="0.2">
      <c r="A6264" s="391">
        <v>100819</v>
      </c>
      <c r="B6264" s="478" t="s">
        <v>47991</v>
      </c>
      <c r="C6264" s="391" t="s">
        <v>26</v>
      </c>
      <c r="D6264" s="479">
        <v>0</v>
      </c>
      <c r="E6264" s="368"/>
      <c r="F6264" s="368"/>
    </row>
    <row r="6265" spans="1:6" ht="38.25" x14ac:dyDescent="0.2">
      <c r="A6265" s="391">
        <v>100820</v>
      </c>
      <c r="B6265" s="478" t="s">
        <v>47992</v>
      </c>
      <c r="C6265" s="391" t="s">
        <v>26</v>
      </c>
      <c r="D6265" s="479">
        <v>0</v>
      </c>
      <c r="E6265" s="368"/>
      <c r="F6265" s="368"/>
    </row>
    <row r="6266" spans="1:6" ht="38.25" x14ac:dyDescent="0.2">
      <c r="A6266" s="391">
        <v>100821</v>
      </c>
      <c r="B6266" s="478" t="s">
        <v>47993</v>
      </c>
      <c r="C6266" s="391" t="s">
        <v>26</v>
      </c>
      <c r="D6266" s="479">
        <v>0</v>
      </c>
      <c r="E6266" s="368"/>
      <c r="F6266" s="368"/>
    </row>
    <row r="6267" spans="1:6" ht="38.25" x14ac:dyDescent="0.2">
      <c r="A6267" s="391">
        <v>100846</v>
      </c>
      <c r="B6267" s="478" t="s">
        <v>41553</v>
      </c>
      <c r="C6267" s="391" t="s">
        <v>26</v>
      </c>
      <c r="D6267" s="479">
        <v>0</v>
      </c>
      <c r="E6267" s="368"/>
      <c r="F6267" s="368"/>
    </row>
    <row r="6268" spans="1:6" ht="25.5" x14ac:dyDescent="0.2">
      <c r="A6268" s="391">
        <v>100834</v>
      </c>
      <c r="B6268" s="478" t="s">
        <v>41554</v>
      </c>
      <c r="C6268" s="391" t="s">
        <v>26</v>
      </c>
      <c r="D6268" s="479">
        <v>0</v>
      </c>
      <c r="E6268" s="368"/>
      <c r="F6268" s="368"/>
    </row>
    <row r="6269" spans="1:6" ht="25.5" x14ac:dyDescent="0.2">
      <c r="A6269" s="391">
        <v>100835</v>
      </c>
      <c r="B6269" s="478" t="s">
        <v>41555</v>
      </c>
      <c r="C6269" s="391" t="s">
        <v>26</v>
      </c>
      <c r="D6269" s="479">
        <v>0</v>
      </c>
      <c r="E6269" s="368"/>
      <c r="F6269" s="368"/>
    </row>
    <row r="6270" spans="1:6" ht="25.5" x14ac:dyDescent="0.2">
      <c r="A6270" s="391">
        <v>100836</v>
      </c>
      <c r="B6270" s="478" t="s">
        <v>41556</v>
      </c>
      <c r="C6270" s="391" t="s">
        <v>26</v>
      </c>
      <c r="D6270" s="479">
        <v>0</v>
      </c>
      <c r="E6270" s="368"/>
      <c r="F6270" s="368"/>
    </row>
    <row r="6271" spans="1:6" ht="25.5" x14ac:dyDescent="0.2">
      <c r="A6271" s="391">
        <v>100837</v>
      </c>
      <c r="B6271" s="478" t="s">
        <v>41557</v>
      </c>
      <c r="C6271" s="391" t="s">
        <v>26</v>
      </c>
      <c r="D6271" s="479">
        <v>0</v>
      </c>
      <c r="E6271" s="368"/>
      <c r="F6271" s="368"/>
    </row>
    <row r="6272" spans="1:6" ht="38.25" x14ac:dyDescent="0.2">
      <c r="A6272" s="391">
        <v>100826</v>
      </c>
      <c r="B6272" s="478" t="s">
        <v>41558</v>
      </c>
      <c r="C6272" s="391" t="s">
        <v>26</v>
      </c>
      <c r="D6272" s="479">
        <v>0</v>
      </c>
      <c r="E6272" s="368"/>
      <c r="F6272" s="368"/>
    </row>
    <row r="6273" spans="1:6" ht="38.25" x14ac:dyDescent="0.2">
      <c r="A6273" s="391">
        <v>100827</v>
      </c>
      <c r="B6273" s="478" t="s">
        <v>41559</v>
      </c>
      <c r="C6273" s="391" t="s">
        <v>26</v>
      </c>
      <c r="D6273" s="479">
        <v>0</v>
      </c>
      <c r="E6273" s="368"/>
      <c r="F6273" s="368"/>
    </row>
    <row r="6274" spans="1:6" ht="38.25" x14ac:dyDescent="0.2">
      <c r="A6274" s="391">
        <v>100828</v>
      </c>
      <c r="B6274" s="478" t="s">
        <v>41560</v>
      </c>
      <c r="C6274" s="391" t="s">
        <v>26</v>
      </c>
      <c r="D6274" s="479">
        <v>0</v>
      </c>
      <c r="E6274" s="368"/>
      <c r="F6274" s="368"/>
    </row>
    <row r="6275" spans="1:6" ht="38.25" x14ac:dyDescent="0.2">
      <c r="A6275" s="391">
        <v>100829</v>
      </c>
      <c r="B6275" s="478" t="s">
        <v>41561</v>
      </c>
      <c r="C6275" s="391" t="s">
        <v>26</v>
      </c>
      <c r="D6275" s="479">
        <v>0</v>
      </c>
      <c r="E6275" s="368"/>
      <c r="F6275" s="368"/>
    </row>
    <row r="6276" spans="1:6" ht="38.25" x14ac:dyDescent="0.2">
      <c r="A6276" s="391">
        <v>100830</v>
      </c>
      <c r="B6276" s="478" t="s">
        <v>41562</v>
      </c>
      <c r="C6276" s="391" t="s">
        <v>26</v>
      </c>
      <c r="D6276" s="479">
        <v>0</v>
      </c>
      <c r="E6276" s="368"/>
      <c r="F6276" s="368"/>
    </row>
    <row r="6277" spans="1:6" ht="38.25" x14ac:dyDescent="0.2">
      <c r="A6277" s="391">
        <v>100831</v>
      </c>
      <c r="B6277" s="478" t="s">
        <v>41563</v>
      </c>
      <c r="C6277" s="391" t="s">
        <v>26</v>
      </c>
      <c r="D6277" s="479">
        <v>0</v>
      </c>
      <c r="E6277" s="368"/>
      <c r="F6277" s="368"/>
    </row>
    <row r="6278" spans="1:6" ht="38.25" x14ac:dyDescent="0.2">
      <c r="A6278" s="391">
        <v>100832</v>
      </c>
      <c r="B6278" s="478" t="s">
        <v>41564</v>
      </c>
      <c r="C6278" s="391" t="s">
        <v>26</v>
      </c>
      <c r="D6278" s="479">
        <v>0</v>
      </c>
      <c r="E6278" s="368"/>
      <c r="F6278" s="368"/>
    </row>
    <row r="6279" spans="1:6" ht="38.25" x14ac:dyDescent="0.2">
      <c r="A6279" s="391">
        <v>100833</v>
      </c>
      <c r="B6279" s="478" t="s">
        <v>41565</v>
      </c>
      <c r="C6279" s="391" t="s">
        <v>26</v>
      </c>
      <c r="D6279" s="479">
        <v>0</v>
      </c>
      <c r="E6279" s="368"/>
      <c r="F6279" s="368"/>
    </row>
    <row r="6280" spans="1:6" ht="38.25" x14ac:dyDescent="0.2">
      <c r="A6280" s="391">
        <v>100790</v>
      </c>
      <c r="B6280" s="478" t="s">
        <v>41566</v>
      </c>
      <c r="C6280" s="391" t="s">
        <v>26</v>
      </c>
      <c r="D6280" s="479">
        <v>0</v>
      </c>
      <c r="E6280" s="368"/>
      <c r="F6280" s="368"/>
    </row>
    <row r="6281" spans="1:6" ht="38.25" x14ac:dyDescent="0.2">
      <c r="A6281" s="391">
        <v>100789</v>
      </c>
      <c r="B6281" s="478" t="s">
        <v>41567</v>
      </c>
      <c r="C6281" s="391" t="s">
        <v>26</v>
      </c>
      <c r="D6281" s="479">
        <v>0</v>
      </c>
      <c r="E6281" s="368"/>
      <c r="F6281" s="368"/>
    </row>
    <row r="6282" spans="1:6" ht="38.25" x14ac:dyDescent="0.2">
      <c r="A6282" s="391">
        <v>100788</v>
      </c>
      <c r="B6282" s="478" t="s">
        <v>2894</v>
      </c>
      <c r="C6282" s="391" t="s">
        <v>26</v>
      </c>
      <c r="D6282" s="479">
        <v>718.7</v>
      </c>
      <c r="E6282" s="368"/>
      <c r="F6282" s="368"/>
    </row>
    <row r="6283" spans="1:6" ht="25.5" x14ac:dyDescent="0.2">
      <c r="A6283" s="391">
        <v>100811</v>
      </c>
      <c r="B6283" s="478" t="s">
        <v>41568</v>
      </c>
      <c r="C6283" s="391" t="s">
        <v>26</v>
      </c>
      <c r="D6283" s="479">
        <v>0</v>
      </c>
      <c r="E6283" s="368"/>
      <c r="F6283" s="368"/>
    </row>
    <row r="6284" spans="1:6" ht="25.5" x14ac:dyDescent="0.2">
      <c r="A6284" s="391">
        <v>100812</v>
      </c>
      <c r="B6284" s="478" t="s">
        <v>41569</v>
      </c>
      <c r="C6284" s="391" t="s">
        <v>26</v>
      </c>
      <c r="D6284" s="479">
        <v>0</v>
      </c>
      <c r="E6284" s="368"/>
      <c r="F6284" s="368"/>
    </row>
    <row r="6285" spans="1:6" ht="25.5" x14ac:dyDescent="0.2">
      <c r="A6285" s="391">
        <v>100813</v>
      </c>
      <c r="B6285" s="478" t="s">
        <v>41570</v>
      </c>
      <c r="C6285" s="391" t="s">
        <v>26</v>
      </c>
      <c r="D6285" s="479">
        <v>0</v>
      </c>
      <c r="E6285" s="368"/>
      <c r="F6285" s="368"/>
    </row>
    <row r="6286" spans="1:6" ht="25.5" x14ac:dyDescent="0.2">
      <c r="A6286" s="391">
        <v>100814</v>
      </c>
      <c r="B6286" s="478" t="s">
        <v>41571</v>
      </c>
      <c r="C6286" s="391" t="s">
        <v>26</v>
      </c>
      <c r="D6286" s="479">
        <v>0</v>
      </c>
      <c r="E6286" s="368"/>
      <c r="F6286" s="368"/>
    </row>
    <row r="6287" spans="1:6" ht="25.5" x14ac:dyDescent="0.2">
      <c r="A6287" s="391">
        <v>100815</v>
      </c>
      <c r="B6287" s="478" t="s">
        <v>41572</v>
      </c>
      <c r="C6287" s="391" t="s">
        <v>26</v>
      </c>
      <c r="D6287" s="479">
        <v>0</v>
      </c>
      <c r="E6287" s="368"/>
      <c r="F6287" s="368"/>
    </row>
    <row r="6288" spans="1:6" ht="25.5" x14ac:dyDescent="0.2">
      <c r="A6288" s="391">
        <v>100816</v>
      </c>
      <c r="B6288" s="478" t="s">
        <v>41573</v>
      </c>
      <c r="C6288" s="391" t="s">
        <v>26</v>
      </c>
      <c r="D6288" s="479">
        <v>0</v>
      </c>
      <c r="E6288" s="368"/>
      <c r="F6288" s="368"/>
    </row>
    <row r="6289" spans="1:6" ht="25.5" x14ac:dyDescent="0.2">
      <c r="A6289" s="391">
        <v>100817</v>
      </c>
      <c r="B6289" s="478" t="s">
        <v>41574</v>
      </c>
      <c r="C6289" s="391" t="s">
        <v>26</v>
      </c>
      <c r="D6289" s="479">
        <v>0</v>
      </c>
      <c r="E6289" s="368"/>
      <c r="F6289" s="368"/>
    </row>
    <row r="6290" spans="1:6" ht="38.25" x14ac:dyDescent="0.2">
      <c r="A6290" s="391">
        <v>100795</v>
      </c>
      <c r="B6290" s="478" t="s">
        <v>41575</v>
      </c>
      <c r="C6290" s="391" t="s">
        <v>0</v>
      </c>
      <c r="D6290" s="479">
        <v>0</v>
      </c>
      <c r="E6290" s="368"/>
      <c r="F6290" s="368"/>
    </row>
    <row r="6291" spans="1:6" ht="38.25" x14ac:dyDescent="0.2">
      <c r="A6291" s="391">
        <v>100842</v>
      </c>
      <c r="B6291" s="478" t="s">
        <v>41576</v>
      </c>
      <c r="C6291" s="391" t="s">
        <v>0</v>
      </c>
      <c r="D6291" s="479">
        <v>0</v>
      </c>
      <c r="E6291" s="368"/>
      <c r="F6291" s="368"/>
    </row>
    <row r="6292" spans="1:6" ht="38.25" x14ac:dyDescent="0.2">
      <c r="A6292" s="391">
        <v>100796</v>
      </c>
      <c r="B6292" s="478" t="s">
        <v>41577</v>
      </c>
      <c r="C6292" s="391" t="s">
        <v>0</v>
      </c>
      <c r="D6292" s="479">
        <v>0</v>
      </c>
      <c r="E6292" s="368"/>
      <c r="F6292" s="368"/>
    </row>
    <row r="6293" spans="1:6" ht="38.25" x14ac:dyDescent="0.2">
      <c r="A6293" s="391">
        <v>100843</v>
      </c>
      <c r="B6293" s="478" t="s">
        <v>41578</v>
      </c>
      <c r="C6293" s="391" t="s">
        <v>0</v>
      </c>
      <c r="D6293" s="479">
        <v>0</v>
      </c>
      <c r="E6293" s="368"/>
      <c r="F6293" s="368"/>
    </row>
    <row r="6294" spans="1:6" ht="38.25" x14ac:dyDescent="0.2">
      <c r="A6294" s="391">
        <v>100844</v>
      </c>
      <c r="B6294" s="478" t="s">
        <v>41579</v>
      </c>
      <c r="C6294" s="391" t="s">
        <v>0</v>
      </c>
      <c r="D6294" s="479">
        <v>0</v>
      </c>
      <c r="E6294" s="368"/>
      <c r="F6294" s="368"/>
    </row>
    <row r="6295" spans="1:6" ht="38.25" x14ac:dyDescent="0.2">
      <c r="A6295" s="391">
        <v>100797</v>
      </c>
      <c r="B6295" s="478" t="s">
        <v>41580</v>
      </c>
      <c r="C6295" s="391" t="s">
        <v>0</v>
      </c>
      <c r="D6295" s="479">
        <v>0</v>
      </c>
      <c r="E6295" s="368"/>
      <c r="F6295" s="368"/>
    </row>
    <row r="6296" spans="1:6" ht="38.25" x14ac:dyDescent="0.2">
      <c r="A6296" s="391">
        <v>100798</v>
      </c>
      <c r="B6296" s="478" t="s">
        <v>41581</v>
      </c>
      <c r="C6296" s="391" t="s">
        <v>0</v>
      </c>
      <c r="D6296" s="479">
        <v>0</v>
      </c>
      <c r="E6296" s="368"/>
      <c r="F6296" s="368"/>
    </row>
    <row r="6297" spans="1:6" ht="38.25" x14ac:dyDescent="0.2">
      <c r="A6297" s="391">
        <v>100845</v>
      </c>
      <c r="B6297" s="478" t="s">
        <v>41582</v>
      </c>
      <c r="C6297" s="391" t="s">
        <v>0</v>
      </c>
      <c r="D6297" s="479">
        <v>0</v>
      </c>
      <c r="E6297" s="368"/>
      <c r="F6297" s="368"/>
    </row>
    <row r="6298" spans="1:6" ht="38.25" x14ac:dyDescent="0.2">
      <c r="A6298" s="391">
        <v>100799</v>
      </c>
      <c r="B6298" s="478" t="s">
        <v>2899</v>
      </c>
      <c r="C6298" s="391" t="s">
        <v>0</v>
      </c>
      <c r="D6298" s="479">
        <v>16.989999999999998</v>
      </c>
      <c r="E6298" s="368"/>
      <c r="F6298" s="368"/>
    </row>
    <row r="6299" spans="1:6" ht="38.25" x14ac:dyDescent="0.2">
      <c r="A6299" s="391">
        <v>100807</v>
      </c>
      <c r="B6299" s="478" t="s">
        <v>2907</v>
      </c>
      <c r="C6299" s="391" t="s">
        <v>0</v>
      </c>
      <c r="D6299" s="479">
        <v>22.55</v>
      </c>
      <c r="E6299" s="368"/>
      <c r="F6299" s="368"/>
    </row>
    <row r="6300" spans="1:6" ht="38.25" x14ac:dyDescent="0.2">
      <c r="A6300" s="391">
        <v>100800</v>
      </c>
      <c r="B6300" s="478" t="s">
        <v>2900</v>
      </c>
      <c r="C6300" s="391" t="s">
        <v>0</v>
      </c>
      <c r="D6300" s="479">
        <v>24.14</v>
      </c>
      <c r="E6300" s="368"/>
      <c r="F6300" s="368"/>
    </row>
    <row r="6301" spans="1:6" ht="38.25" x14ac:dyDescent="0.2">
      <c r="A6301" s="391">
        <v>100808</v>
      </c>
      <c r="B6301" s="478" t="s">
        <v>2908</v>
      </c>
      <c r="C6301" s="391" t="s">
        <v>0</v>
      </c>
      <c r="D6301" s="479">
        <v>30.73</v>
      </c>
      <c r="E6301" s="368"/>
      <c r="F6301" s="368"/>
    </row>
    <row r="6302" spans="1:6" ht="38.25" x14ac:dyDescent="0.2">
      <c r="A6302" s="391">
        <v>100801</v>
      </c>
      <c r="B6302" s="478" t="s">
        <v>2901</v>
      </c>
      <c r="C6302" s="391" t="s">
        <v>0</v>
      </c>
      <c r="D6302" s="479">
        <v>31.56</v>
      </c>
      <c r="E6302" s="368"/>
      <c r="F6302" s="368"/>
    </row>
    <row r="6303" spans="1:6" ht="38.25" x14ac:dyDescent="0.2">
      <c r="A6303" s="391">
        <v>100809</v>
      </c>
      <c r="B6303" s="478" t="s">
        <v>2909</v>
      </c>
      <c r="C6303" s="391" t="s">
        <v>0</v>
      </c>
      <c r="D6303" s="479">
        <v>39.46</v>
      </c>
      <c r="E6303" s="368"/>
      <c r="F6303" s="368"/>
    </row>
    <row r="6304" spans="1:6" ht="38.25" x14ac:dyDescent="0.2">
      <c r="A6304" s="391">
        <v>100802</v>
      </c>
      <c r="B6304" s="478" t="s">
        <v>2902</v>
      </c>
      <c r="C6304" s="391" t="s">
        <v>0</v>
      </c>
      <c r="D6304" s="479">
        <v>42.08</v>
      </c>
      <c r="E6304" s="368"/>
      <c r="F6304" s="368"/>
    </row>
    <row r="6305" spans="1:6" ht="38.25" x14ac:dyDescent="0.2">
      <c r="A6305" s="391">
        <v>100810</v>
      </c>
      <c r="B6305" s="478" t="s">
        <v>2910</v>
      </c>
      <c r="C6305" s="391" t="s">
        <v>0</v>
      </c>
      <c r="D6305" s="479">
        <v>51.78</v>
      </c>
      <c r="E6305" s="368"/>
      <c r="F6305" s="368"/>
    </row>
    <row r="6306" spans="1:6" ht="25.5" x14ac:dyDescent="0.2">
      <c r="A6306" s="391">
        <v>100791</v>
      </c>
      <c r="B6306" s="478" t="s">
        <v>2895</v>
      </c>
      <c r="C6306" s="391" t="s">
        <v>0</v>
      </c>
      <c r="D6306" s="479">
        <v>16.510000000000002</v>
      </c>
      <c r="E6306" s="368"/>
      <c r="F6306" s="368"/>
    </row>
    <row r="6307" spans="1:6" ht="25.5" x14ac:dyDescent="0.2">
      <c r="A6307" s="392">
        <v>100803</v>
      </c>
      <c r="B6307" s="480" t="s">
        <v>2903</v>
      </c>
      <c r="C6307" s="392" t="s">
        <v>0</v>
      </c>
      <c r="D6307" s="481">
        <v>15.54</v>
      </c>
      <c r="E6307" s="369"/>
      <c r="F6307" s="369"/>
    </row>
    <row r="6308" spans="1:6" ht="25.5" x14ac:dyDescent="0.2">
      <c r="A6308" s="391">
        <v>100792</v>
      </c>
      <c r="B6308" s="478" t="s">
        <v>2896</v>
      </c>
      <c r="C6308" s="391" t="s">
        <v>0</v>
      </c>
      <c r="D6308" s="479">
        <v>23.67</v>
      </c>
      <c r="E6308" s="368"/>
      <c r="F6308" s="368"/>
    </row>
    <row r="6309" spans="1:6" ht="25.5" x14ac:dyDescent="0.2">
      <c r="A6309" s="391">
        <v>100804</v>
      </c>
      <c r="B6309" s="478" t="s">
        <v>2904</v>
      </c>
      <c r="C6309" s="391" t="s">
        <v>0</v>
      </c>
      <c r="D6309" s="479">
        <v>22.51</v>
      </c>
      <c r="E6309" s="368"/>
      <c r="F6309" s="368"/>
    </row>
    <row r="6310" spans="1:6" ht="25.5" x14ac:dyDescent="0.2">
      <c r="A6310" s="391">
        <v>100793</v>
      </c>
      <c r="B6310" s="478" t="s">
        <v>2897</v>
      </c>
      <c r="C6310" s="391" t="s">
        <v>0</v>
      </c>
      <c r="D6310" s="479">
        <v>31.08</v>
      </c>
      <c r="E6310" s="368"/>
      <c r="F6310" s="368"/>
    </row>
    <row r="6311" spans="1:6" ht="25.5" x14ac:dyDescent="0.2">
      <c r="A6311" s="391">
        <v>100805</v>
      </c>
      <c r="B6311" s="478" t="s">
        <v>2905</v>
      </c>
      <c r="C6311" s="391" t="s">
        <v>0</v>
      </c>
      <c r="D6311" s="479">
        <v>29.7</v>
      </c>
      <c r="E6311" s="368"/>
      <c r="F6311" s="368"/>
    </row>
    <row r="6312" spans="1:6" ht="25.5" x14ac:dyDescent="0.2">
      <c r="A6312" s="391">
        <v>100794</v>
      </c>
      <c r="B6312" s="478" t="s">
        <v>2898</v>
      </c>
      <c r="C6312" s="391" t="s">
        <v>0</v>
      </c>
      <c r="D6312" s="479">
        <v>41.6</v>
      </c>
      <c r="E6312" s="368"/>
      <c r="F6312" s="368"/>
    </row>
    <row r="6313" spans="1:6" ht="25.5" x14ac:dyDescent="0.2">
      <c r="A6313" s="391">
        <v>100806</v>
      </c>
      <c r="B6313" s="478" t="s">
        <v>2906</v>
      </c>
      <c r="C6313" s="391" t="s">
        <v>0</v>
      </c>
      <c r="D6313" s="479">
        <v>39.9</v>
      </c>
      <c r="E6313" s="368"/>
      <c r="F6313" s="368"/>
    </row>
    <row r="6314" spans="1:6" ht="25.5" x14ac:dyDescent="0.2">
      <c r="A6314" s="391">
        <v>100838</v>
      </c>
      <c r="B6314" s="478" t="s">
        <v>41583</v>
      </c>
      <c r="C6314" s="391" t="s">
        <v>26</v>
      </c>
      <c r="D6314" s="479">
        <v>0</v>
      </c>
      <c r="E6314" s="368"/>
      <c r="F6314" s="368"/>
    </row>
    <row r="6315" spans="1:6" ht="25.5" x14ac:dyDescent="0.2">
      <c r="A6315" s="391">
        <v>100839</v>
      </c>
      <c r="B6315" s="478" t="s">
        <v>41584</v>
      </c>
      <c r="C6315" s="391" t="s">
        <v>26</v>
      </c>
      <c r="D6315" s="479">
        <v>0</v>
      </c>
      <c r="E6315" s="368"/>
      <c r="F6315" s="368"/>
    </row>
    <row r="6316" spans="1:6" ht="25.5" x14ac:dyDescent="0.2">
      <c r="A6316" s="391">
        <v>100840</v>
      </c>
      <c r="B6316" s="478" t="s">
        <v>41585</v>
      </c>
      <c r="C6316" s="391" t="s">
        <v>26</v>
      </c>
      <c r="D6316" s="479">
        <v>0</v>
      </c>
      <c r="E6316" s="368"/>
      <c r="F6316" s="368"/>
    </row>
    <row r="6317" spans="1:6" ht="25.5" x14ac:dyDescent="0.2">
      <c r="A6317" s="391">
        <v>100841</v>
      </c>
      <c r="B6317" s="478" t="s">
        <v>41586</v>
      </c>
      <c r="C6317" s="391" t="s">
        <v>26</v>
      </c>
      <c r="D6317" s="479">
        <v>0</v>
      </c>
      <c r="E6317" s="368"/>
      <c r="F6317" s="368"/>
    </row>
    <row r="6318" spans="1:6" ht="25.5" x14ac:dyDescent="0.2">
      <c r="A6318" s="391">
        <v>103283</v>
      </c>
      <c r="B6318" s="478" t="s">
        <v>41587</v>
      </c>
      <c r="C6318" s="391" t="s">
        <v>26</v>
      </c>
      <c r="D6318" s="479">
        <v>0</v>
      </c>
      <c r="E6318" s="368"/>
      <c r="F6318" s="368"/>
    </row>
    <row r="6319" spans="1:6" ht="25.5" x14ac:dyDescent="0.2">
      <c r="A6319" s="391">
        <v>103284</v>
      </c>
      <c r="B6319" s="480" t="s">
        <v>41588</v>
      </c>
      <c r="C6319" s="391" t="s">
        <v>26</v>
      </c>
      <c r="D6319" s="479">
        <v>0</v>
      </c>
      <c r="E6319" s="368"/>
      <c r="F6319" s="368"/>
    </row>
    <row r="6320" spans="1:6" ht="25.5" x14ac:dyDescent="0.2">
      <c r="A6320" s="391">
        <v>103282</v>
      </c>
      <c r="B6320" s="478" t="s">
        <v>41589</v>
      </c>
      <c r="C6320" s="391" t="s">
        <v>26</v>
      </c>
      <c r="D6320" s="479">
        <v>0</v>
      </c>
      <c r="E6320" s="368"/>
      <c r="F6320" s="368"/>
    </row>
    <row r="6321" spans="1:6" ht="25.5" x14ac:dyDescent="0.2">
      <c r="A6321" s="391">
        <v>103279</v>
      </c>
      <c r="B6321" s="478" t="s">
        <v>41590</v>
      </c>
      <c r="C6321" s="391" t="s">
        <v>26</v>
      </c>
      <c r="D6321" s="479">
        <v>0</v>
      </c>
      <c r="E6321" s="368"/>
      <c r="F6321" s="368"/>
    </row>
    <row r="6322" spans="1:6" ht="25.5" x14ac:dyDescent="0.2">
      <c r="A6322" s="391">
        <v>103280</v>
      </c>
      <c r="B6322" s="478" t="s">
        <v>41591</v>
      </c>
      <c r="C6322" s="391" t="s">
        <v>26</v>
      </c>
      <c r="D6322" s="479">
        <v>0</v>
      </c>
      <c r="E6322" s="368"/>
      <c r="F6322" s="368"/>
    </row>
    <row r="6323" spans="1:6" ht="25.5" x14ac:dyDescent="0.2">
      <c r="A6323" s="391">
        <v>103281</v>
      </c>
      <c r="B6323" s="478" t="s">
        <v>41592</v>
      </c>
      <c r="C6323" s="391" t="s">
        <v>26</v>
      </c>
      <c r="D6323" s="479">
        <v>0</v>
      </c>
      <c r="E6323" s="368"/>
      <c r="F6323" s="368"/>
    </row>
    <row r="6324" spans="1:6" ht="25.5" x14ac:dyDescent="0.2">
      <c r="A6324" s="391">
        <v>103247</v>
      </c>
      <c r="B6324" s="478" t="s">
        <v>2753</v>
      </c>
      <c r="C6324" s="391" t="s">
        <v>26</v>
      </c>
      <c r="D6324" s="479">
        <v>2744.52</v>
      </c>
      <c r="E6324" s="368"/>
      <c r="F6324" s="368"/>
    </row>
    <row r="6325" spans="1:6" ht="25.5" x14ac:dyDescent="0.2">
      <c r="A6325" s="391">
        <v>103250</v>
      </c>
      <c r="B6325" s="478" t="s">
        <v>2756</v>
      </c>
      <c r="C6325" s="391" t="s">
        <v>26</v>
      </c>
      <c r="D6325" s="479">
        <v>3993.72</v>
      </c>
      <c r="E6325" s="368"/>
      <c r="F6325" s="368"/>
    </row>
    <row r="6326" spans="1:6" ht="25.5" x14ac:dyDescent="0.2">
      <c r="A6326" s="391">
        <v>103253</v>
      </c>
      <c r="B6326" s="478" t="s">
        <v>2759</v>
      </c>
      <c r="C6326" s="391" t="s">
        <v>26</v>
      </c>
      <c r="D6326" s="479">
        <v>5450.7</v>
      </c>
      <c r="E6326" s="368"/>
      <c r="F6326" s="368"/>
    </row>
    <row r="6327" spans="1:6" ht="25.5" x14ac:dyDescent="0.2">
      <c r="A6327" s="391">
        <v>103244</v>
      </c>
      <c r="B6327" s="478" t="s">
        <v>2750</v>
      </c>
      <c r="C6327" s="391" t="s">
        <v>26</v>
      </c>
      <c r="D6327" s="479">
        <v>2470.9299999999998</v>
      </c>
      <c r="E6327" s="368"/>
      <c r="F6327" s="368"/>
    </row>
    <row r="6328" spans="1:6" ht="25.5" x14ac:dyDescent="0.2">
      <c r="A6328" s="391">
        <v>103256</v>
      </c>
      <c r="B6328" s="478" t="s">
        <v>38800</v>
      </c>
      <c r="C6328" s="391" t="s">
        <v>26</v>
      </c>
      <c r="D6328" s="479">
        <v>10132.52</v>
      </c>
      <c r="E6328" s="368"/>
      <c r="F6328" s="368"/>
    </row>
    <row r="6329" spans="1:6" ht="25.5" x14ac:dyDescent="0.2">
      <c r="A6329" s="391">
        <v>103258</v>
      </c>
      <c r="B6329" s="478" t="s">
        <v>38802</v>
      </c>
      <c r="C6329" s="391" t="s">
        <v>26</v>
      </c>
      <c r="D6329" s="479">
        <v>11330.48</v>
      </c>
      <c r="E6329" s="368"/>
      <c r="F6329" s="368"/>
    </row>
    <row r="6330" spans="1:6" ht="25.5" x14ac:dyDescent="0.2">
      <c r="A6330" s="391">
        <v>103260</v>
      </c>
      <c r="B6330" s="478" t="s">
        <v>38804</v>
      </c>
      <c r="C6330" s="391" t="s">
        <v>26</v>
      </c>
      <c r="D6330" s="479">
        <v>6259.12</v>
      </c>
      <c r="E6330" s="368"/>
      <c r="F6330" s="368"/>
    </row>
    <row r="6331" spans="1:6" ht="25.5" x14ac:dyDescent="0.2">
      <c r="A6331" s="391">
        <v>103261</v>
      </c>
      <c r="B6331" s="478" t="s">
        <v>38805</v>
      </c>
      <c r="C6331" s="391" t="s">
        <v>26</v>
      </c>
      <c r="D6331" s="479">
        <v>12783.02</v>
      </c>
      <c r="E6331" s="368"/>
      <c r="F6331" s="368"/>
    </row>
    <row r="6332" spans="1:6" ht="25.5" x14ac:dyDescent="0.2">
      <c r="A6332" s="391">
        <v>103263</v>
      </c>
      <c r="B6332" s="478" t="s">
        <v>2762</v>
      </c>
      <c r="C6332" s="391" t="s">
        <v>26</v>
      </c>
      <c r="D6332" s="479">
        <v>17773.52</v>
      </c>
      <c r="E6332" s="368"/>
      <c r="F6332" s="368"/>
    </row>
    <row r="6333" spans="1:6" ht="25.5" x14ac:dyDescent="0.2">
      <c r="A6333" s="391">
        <v>103265</v>
      </c>
      <c r="B6333" s="478" t="s">
        <v>2764</v>
      </c>
      <c r="C6333" s="391" t="s">
        <v>26</v>
      </c>
      <c r="D6333" s="479">
        <v>21431.14</v>
      </c>
      <c r="E6333" s="368"/>
      <c r="F6333" s="368"/>
    </row>
    <row r="6334" spans="1:6" ht="25.5" x14ac:dyDescent="0.2">
      <c r="A6334" s="391">
        <v>103268</v>
      </c>
      <c r="B6334" s="478" t="s">
        <v>2767</v>
      </c>
      <c r="C6334" s="391" t="s">
        <v>26</v>
      </c>
      <c r="D6334" s="479">
        <v>7506.79</v>
      </c>
      <c r="E6334" s="368"/>
      <c r="F6334" s="368"/>
    </row>
    <row r="6335" spans="1:6" ht="25.5" x14ac:dyDescent="0.2">
      <c r="A6335" s="391">
        <v>103270</v>
      </c>
      <c r="B6335" s="478" t="s">
        <v>2769</v>
      </c>
      <c r="C6335" s="391" t="s">
        <v>26</v>
      </c>
      <c r="D6335" s="479">
        <v>8069.34</v>
      </c>
      <c r="E6335" s="368"/>
      <c r="F6335" s="368"/>
    </row>
    <row r="6336" spans="1:6" ht="25.5" x14ac:dyDescent="0.2">
      <c r="A6336" s="391">
        <v>103272</v>
      </c>
      <c r="B6336" s="478" t="s">
        <v>2771</v>
      </c>
      <c r="C6336" s="391" t="s">
        <v>26</v>
      </c>
      <c r="D6336" s="479">
        <v>11817.78</v>
      </c>
      <c r="E6336" s="368"/>
      <c r="F6336" s="368"/>
    </row>
    <row r="6337" spans="1:6" ht="25.5" x14ac:dyDescent="0.2">
      <c r="A6337" s="391">
        <v>103274</v>
      </c>
      <c r="B6337" s="478" t="s">
        <v>2773</v>
      </c>
      <c r="C6337" s="391" t="s">
        <v>26</v>
      </c>
      <c r="D6337" s="479">
        <v>13942.26</v>
      </c>
      <c r="E6337" s="368"/>
      <c r="F6337" s="368"/>
    </row>
    <row r="6338" spans="1:6" ht="25.5" x14ac:dyDescent="0.2">
      <c r="A6338" s="391">
        <v>103276</v>
      </c>
      <c r="B6338" s="478" t="s">
        <v>2775</v>
      </c>
      <c r="C6338" s="391" t="s">
        <v>26</v>
      </c>
      <c r="D6338" s="479">
        <v>14555.92</v>
      </c>
      <c r="E6338" s="368"/>
      <c r="F6338" s="368"/>
    </row>
    <row r="6339" spans="1:6" ht="25.5" x14ac:dyDescent="0.2">
      <c r="A6339" s="391">
        <v>103267</v>
      </c>
      <c r="B6339" s="478" t="s">
        <v>2766</v>
      </c>
      <c r="C6339" s="391" t="s">
        <v>26</v>
      </c>
      <c r="D6339" s="479">
        <v>6319.54</v>
      </c>
      <c r="E6339" s="368"/>
      <c r="F6339" s="368"/>
    </row>
    <row r="6340" spans="1:6" ht="25.5" x14ac:dyDescent="0.2">
      <c r="A6340" s="391">
        <v>103269</v>
      </c>
      <c r="B6340" s="478" t="s">
        <v>2768</v>
      </c>
      <c r="C6340" s="391" t="s">
        <v>26</v>
      </c>
      <c r="D6340" s="479">
        <v>7772.75</v>
      </c>
      <c r="E6340" s="368"/>
      <c r="F6340" s="368"/>
    </row>
    <row r="6341" spans="1:6" ht="25.5" x14ac:dyDescent="0.2">
      <c r="A6341" s="391">
        <v>103271</v>
      </c>
      <c r="B6341" s="478" t="s">
        <v>2770</v>
      </c>
      <c r="C6341" s="391" t="s">
        <v>26</v>
      </c>
      <c r="D6341" s="479">
        <v>11440.61</v>
      </c>
      <c r="E6341" s="368"/>
      <c r="F6341" s="368"/>
    </row>
    <row r="6342" spans="1:6" ht="25.5" x14ac:dyDescent="0.2">
      <c r="A6342" s="392">
        <v>103273</v>
      </c>
      <c r="B6342" s="480" t="s">
        <v>2772</v>
      </c>
      <c r="C6342" s="392" t="s">
        <v>26</v>
      </c>
      <c r="D6342" s="481">
        <v>12168.38</v>
      </c>
      <c r="E6342" s="368"/>
      <c r="F6342" s="368"/>
    </row>
    <row r="6343" spans="1:6" ht="25.5" x14ac:dyDescent="0.2">
      <c r="A6343" s="392">
        <v>103275</v>
      </c>
      <c r="B6343" s="480" t="s">
        <v>2774</v>
      </c>
      <c r="C6343" s="392" t="s">
        <v>26</v>
      </c>
      <c r="D6343" s="481">
        <v>13869.84</v>
      </c>
      <c r="E6343" s="370"/>
      <c r="F6343" s="370"/>
    </row>
    <row r="6344" spans="1:6" ht="25.5" x14ac:dyDescent="0.2">
      <c r="A6344" s="394">
        <v>103248</v>
      </c>
      <c r="B6344" s="488" t="s">
        <v>2754</v>
      </c>
      <c r="C6344" s="394" t="s">
        <v>26</v>
      </c>
      <c r="D6344" s="489">
        <v>2239.2800000000002</v>
      </c>
      <c r="E6344" s="370"/>
      <c r="F6344" s="370"/>
    </row>
    <row r="6345" spans="1:6" ht="25.5" x14ac:dyDescent="0.2">
      <c r="A6345" s="391">
        <v>103249</v>
      </c>
      <c r="B6345" s="478" t="s">
        <v>2755</v>
      </c>
      <c r="C6345" s="391" t="s">
        <v>26</v>
      </c>
      <c r="D6345" s="479">
        <v>2407.16</v>
      </c>
      <c r="E6345" s="368"/>
      <c r="F6345" s="368"/>
    </row>
    <row r="6346" spans="1:6" ht="25.5" x14ac:dyDescent="0.2">
      <c r="A6346" s="391">
        <v>103251</v>
      </c>
      <c r="B6346" s="478" t="s">
        <v>2757</v>
      </c>
      <c r="C6346" s="391" t="s">
        <v>26</v>
      </c>
      <c r="D6346" s="479">
        <v>3149.87</v>
      </c>
      <c r="E6346" s="368"/>
      <c r="F6346" s="368"/>
    </row>
    <row r="6347" spans="1:6" ht="25.5" x14ac:dyDescent="0.2">
      <c r="A6347" s="391">
        <v>103252</v>
      </c>
      <c r="B6347" s="478" t="s">
        <v>2758</v>
      </c>
      <c r="C6347" s="391" t="s">
        <v>26</v>
      </c>
      <c r="D6347" s="479">
        <v>3490.18</v>
      </c>
      <c r="E6347" s="368"/>
      <c r="F6347" s="368"/>
    </row>
    <row r="6348" spans="1:6" ht="25.5" x14ac:dyDescent="0.2">
      <c r="A6348" s="391">
        <v>103254</v>
      </c>
      <c r="B6348" s="478" t="s">
        <v>2760</v>
      </c>
      <c r="C6348" s="391" t="s">
        <v>26</v>
      </c>
      <c r="D6348" s="479">
        <v>4071.11</v>
      </c>
      <c r="E6348" s="368"/>
      <c r="F6348" s="368"/>
    </row>
    <row r="6349" spans="1:6" ht="25.5" x14ac:dyDescent="0.2">
      <c r="A6349" s="391">
        <v>103255</v>
      </c>
      <c r="B6349" s="478" t="s">
        <v>2761</v>
      </c>
      <c r="C6349" s="391" t="s">
        <v>26</v>
      </c>
      <c r="D6349" s="479">
        <v>4557.8599999999997</v>
      </c>
      <c r="E6349" s="368"/>
      <c r="F6349" s="368"/>
    </row>
    <row r="6350" spans="1:6" ht="25.5" x14ac:dyDescent="0.2">
      <c r="A6350" s="391">
        <v>103245</v>
      </c>
      <c r="B6350" s="478" t="s">
        <v>2751</v>
      </c>
      <c r="C6350" s="391" t="s">
        <v>26</v>
      </c>
      <c r="D6350" s="479">
        <v>1944.9</v>
      </c>
      <c r="E6350" s="368"/>
      <c r="F6350" s="368"/>
    </row>
    <row r="6351" spans="1:6" ht="25.5" x14ac:dyDescent="0.2">
      <c r="A6351" s="391">
        <v>103246</v>
      </c>
      <c r="B6351" s="478" t="s">
        <v>2752</v>
      </c>
      <c r="C6351" s="391" t="s">
        <v>26</v>
      </c>
      <c r="D6351" s="479">
        <v>2122.8000000000002</v>
      </c>
      <c r="E6351" s="368"/>
      <c r="F6351" s="368"/>
    </row>
    <row r="6352" spans="1:6" ht="25.5" x14ac:dyDescent="0.2">
      <c r="A6352" s="391">
        <v>103257</v>
      </c>
      <c r="B6352" s="478" t="s">
        <v>38801</v>
      </c>
      <c r="C6352" s="391" t="s">
        <v>26</v>
      </c>
      <c r="D6352" s="479">
        <v>5775.32</v>
      </c>
      <c r="E6352" s="368"/>
      <c r="F6352" s="368"/>
    </row>
    <row r="6353" spans="1:6" ht="25.5" x14ac:dyDescent="0.2">
      <c r="A6353" s="391">
        <v>103259</v>
      </c>
      <c r="B6353" s="478" t="s">
        <v>38803</v>
      </c>
      <c r="C6353" s="391" t="s">
        <v>26</v>
      </c>
      <c r="D6353" s="479">
        <v>6092.43</v>
      </c>
      <c r="E6353" s="368"/>
      <c r="F6353" s="368"/>
    </row>
    <row r="6354" spans="1:6" ht="25.5" x14ac:dyDescent="0.2">
      <c r="A6354" s="391">
        <v>103262</v>
      </c>
      <c r="B6354" s="478" t="s">
        <v>38806</v>
      </c>
      <c r="C6354" s="391" t="s">
        <v>26</v>
      </c>
      <c r="D6354" s="479">
        <v>8010.45</v>
      </c>
      <c r="E6354" s="368"/>
      <c r="F6354" s="368"/>
    </row>
    <row r="6355" spans="1:6" ht="25.5" x14ac:dyDescent="0.2">
      <c r="A6355" s="391">
        <v>103264</v>
      </c>
      <c r="B6355" s="478" t="s">
        <v>2763</v>
      </c>
      <c r="C6355" s="391" t="s">
        <v>26</v>
      </c>
      <c r="D6355" s="479">
        <v>9959.4500000000007</v>
      </c>
      <c r="E6355" s="368"/>
      <c r="F6355" s="368"/>
    </row>
    <row r="6356" spans="1:6" ht="25.5" x14ac:dyDescent="0.2">
      <c r="A6356" s="391">
        <v>103266</v>
      </c>
      <c r="B6356" s="478" t="s">
        <v>2765</v>
      </c>
      <c r="C6356" s="391" t="s">
        <v>26</v>
      </c>
      <c r="D6356" s="479">
        <v>11125.03</v>
      </c>
      <c r="E6356" s="368"/>
      <c r="F6356" s="368"/>
    </row>
    <row r="6357" spans="1:6" ht="25.5" x14ac:dyDescent="0.2">
      <c r="A6357" s="391">
        <v>103277</v>
      </c>
      <c r="B6357" s="480" t="s">
        <v>2776</v>
      </c>
      <c r="C6357" s="391" t="s">
        <v>26</v>
      </c>
      <c r="D6357" s="479">
        <v>26898.880000000001</v>
      </c>
      <c r="E6357" s="368"/>
      <c r="F6357" s="368"/>
    </row>
    <row r="6358" spans="1:6" ht="25.5" x14ac:dyDescent="0.2">
      <c r="A6358" s="391">
        <v>103278</v>
      </c>
      <c r="B6358" s="478" t="s">
        <v>2777</v>
      </c>
      <c r="C6358" s="391" t="s">
        <v>26</v>
      </c>
      <c r="D6358" s="479">
        <v>34434.99</v>
      </c>
      <c r="E6358" s="368"/>
      <c r="F6358" s="368"/>
    </row>
    <row r="6359" spans="1:6" ht="25.5" x14ac:dyDescent="0.2">
      <c r="A6359" s="391">
        <v>103285</v>
      </c>
      <c r="B6359" s="478" t="s">
        <v>41593</v>
      </c>
      <c r="C6359" s="391" t="s">
        <v>26</v>
      </c>
      <c r="D6359" s="479">
        <v>0</v>
      </c>
      <c r="E6359" s="368"/>
      <c r="F6359" s="368"/>
    </row>
    <row r="6360" spans="1:6" ht="25.5" x14ac:dyDescent="0.2">
      <c r="A6360" s="391">
        <v>103286</v>
      </c>
      <c r="B6360" s="478" t="s">
        <v>41594</v>
      </c>
      <c r="C6360" s="391" t="s">
        <v>26</v>
      </c>
      <c r="D6360" s="479">
        <v>0</v>
      </c>
      <c r="E6360" s="368"/>
      <c r="F6360" s="368"/>
    </row>
    <row r="6361" spans="1:6" ht="25.5" x14ac:dyDescent="0.2">
      <c r="A6361" s="391">
        <v>103287</v>
      </c>
      <c r="B6361" s="478" t="s">
        <v>41595</v>
      </c>
      <c r="C6361" s="391" t="s">
        <v>26</v>
      </c>
      <c r="D6361" s="479">
        <v>0</v>
      </c>
      <c r="E6361" s="368"/>
      <c r="F6361" s="368"/>
    </row>
    <row r="6362" spans="1:6" ht="25.5" x14ac:dyDescent="0.2">
      <c r="A6362" s="391">
        <v>103288</v>
      </c>
      <c r="B6362" s="478" t="s">
        <v>2778</v>
      </c>
      <c r="C6362" s="391" t="s">
        <v>26</v>
      </c>
      <c r="D6362" s="479">
        <v>14.58</v>
      </c>
      <c r="E6362" s="368"/>
      <c r="F6362" s="368"/>
    </row>
    <row r="6363" spans="1:6" ht="38.25" x14ac:dyDescent="0.2">
      <c r="A6363" s="391">
        <v>103291</v>
      </c>
      <c r="B6363" s="478" t="s">
        <v>47276</v>
      </c>
      <c r="C6363" s="391" t="s">
        <v>0</v>
      </c>
      <c r="D6363" s="479">
        <v>62.13</v>
      </c>
      <c r="E6363" s="368"/>
      <c r="F6363" s="368"/>
    </row>
    <row r="6364" spans="1:6" ht="38.25" x14ac:dyDescent="0.2">
      <c r="A6364" s="391">
        <v>103289</v>
      </c>
      <c r="B6364" s="478" t="s">
        <v>47277</v>
      </c>
      <c r="C6364" s="391" t="s">
        <v>0</v>
      </c>
      <c r="D6364" s="479">
        <v>31.85</v>
      </c>
      <c r="E6364" s="368"/>
      <c r="F6364" s="368"/>
    </row>
    <row r="6365" spans="1:6" ht="38.25" x14ac:dyDescent="0.2">
      <c r="A6365" s="391">
        <v>103290</v>
      </c>
      <c r="B6365" s="478" t="s">
        <v>47278</v>
      </c>
      <c r="C6365" s="391" t="s">
        <v>0</v>
      </c>
      <c r="D6365" s="479">
        <v>49.33</v>
      </c>
      <c r="E6365" s="368"/>
      <c r="F6365" s="368"/>
    </row>
    <row r="6366" spans="1:6" ht="38.25" x14ac:dyDescent="0.2">
      <c r="A6366" s="391">
        <v>103292</v>
      </c>
      <c r="B6366" s="478" t="s">
        <v>47279</v>
      </c>
      <c r="C6366" s="391" t="s">
        <v>0</v>
      </c>
      <c r="D6366" s="479">
        <v>75.11</v>
      </c>
      <c r="E6366" s="368"/>
      <c r="F6366" s="368"/>
    </row>
    <row r="6367" spans="1:6" ht="38.25" x14ac:dyDescent="0.2">
      <c r="A6367" s="391">
        <v>97333</v>
      </c>
      <c r="B6367" s="478" t="s">
        <v>2885</v>
      </c>
      <c r="C6367" s="391" t="s">
        <v>0</v>
      </c>
      <c r="D6367" s="479">
        <v>58.02</v>
      </c>
      <c r="E6367" s="368"/>
      <c r="F6367" s="368"/>
    </row>
    <row r="6368" spans="1:6" ht="38.25" x14ac:dyDescent="0.2">
      <c r="A6368" s="391">
        <v>97329</v>
      </c>
      <c r="B6368" s="478" t="s">
        <v>2881</v>
      </c>
      <c r="C6368" s="391" t="s">
        <v>0</v>
      </c>
      <c r="D6368" s="479">
        <v>57.53</v>
      </c>
      <c r="E6368" s="368"/>
      <c r="F6368" s="368"/>
    </row>
    <row r="6369" spans="1:6" ht="38.25" x14ac:dyDescent="0.2">
      <c r="A6369" s="391">
        <v>97331</v>
      </c>
      <c r="B6369" s="478" t="s">
        <v>2883</v>
      </c>
      <c r="C6369" s="391" t="s">
        <v>0</v>
      </c>
      <c r="D6369" s="479">
        <v>27.74</v>
      </c>
      <c r="E6369" s="368"/>
      <c r="F6369" s="368"/>
    </row>
    <row r="6370" spans="1:6" ht="38.25" x14ac:dyDescent="0.2">
      <c r="A6370" s="391">
        <v>97327</v>
      </c>
      <c r="B6370" s="478" t="s">
        <v>47994</v>
      </c>
      <c r="C6370" s="391" t="s">
        <v>0</v>
      </c>
      <c r="D6370" s="479">
        <v>27.4</v>
      </c>
      <c r="E6370" s="368"/>
      <c r="F6370" s="368"/>
    </row>
    <row r="6371" spans="1:6" ht="38.25" x14ac:dyDescent="0.2">
      <c r="A6371" s="391">
        <v>97332</v>
      </c>
      <c r="B6371" s="478" t="s">
        <v>2884</v>
      </c>
      <c r="C6371" s="391" t="s">
        <v>0</v>
      </c>
      <c r="D6371" s="479">
        <v>45.22</v>
      </c>
      <c r="E6371" s="368"/>
      <c r="F6371" s="368"/>
    </row>
    <row r="6372" spans="1:6" ht="38.25" x14ac:dyDescent="0.2">
      <c r="A6372" s="391">
        <v>97328</v>
      </c>
      <c r="B6372" s="478" t="s">
        <v>2880</v>
      </c>
      <c r="C6372" s="391" t="s">
        <v>0</v>
      </c>
      <c r="D6372" s="479">
        <v>44.83</v>
      </c>
      <c r="E6372" s="368"/>
      <c r="F6372" s="368"/>
    </row>
    <row r="6373" spans="1:6" ht="38.25" x14ac:dyDescent="0.2">
      <c r="A6373" s="391">
        <v>97334</v>
      </c>
      <c r="B6373" s="478" t="s">
        <v>47995</v>
      </c>
      <c r="C6373" s="391" t="s">
        <v>0</v>
      </c>
      <c r="D6373" s="479">
        <v>71</v>
      </c>
      <c r="E6373" s="368"/>
      <c r="F6373" s="368"/>
    </row>
    <row r="6374" spans="1:6" ht="38.25" x14ac:dyDescent="0.2">
      <c r="A6374" s="391">
        <v>97330</v>
      </c>
      <c r="B6374" s="478" t="s">
        <v>2882</v>
      </c>
      <c r="C6374" s="391" t="s">
        <v>0</v>
      </c>
      <c r="D6374" s="479">
        <v>70.47</v>
      </c>
      <c r="E6374" s="368"/>
      <c r="F6374" s="368"/>
    </row>
    <row r="6375" spans="1:6" ht="38.25" x14ac:dyDescent="0.2">
      <c r="A6375" s="391">
        <v>93085</v>
      </c>
      <c r="B6375" s="478" t="s">
        <v>3436</v>
      </c>
      <c r="C6375" s="391" t="s">
        <v>26</v>
      </c>
      <c r="D6375" s="479">
        <v>15.4</v>
      </c>
      <c r="E6375" s="368"/>
      <c r="F6375" s="368"/>
    </row>
    <row r="6376" spans="1:6" ht="38.25" x14ac:dyDescent="0.2">
      <c r="A6376" s="391">
        <v>103892</v>
      </c>
      <c r="B6376" s="478" t="s">
        <v>3727</v>
      </c>
      <c r="C6376" s="391" t="s">
        <v>26</v>
      </c>
      <c r="D6376" s="479">
        <v>16.41</v>
      </c>
      <c r="E6376" s="368"/>
      <c r="F6376" s="368"/>
    </row>
    <row r="6377" spans="1:6" ht="38.25" x14ac:dyDescent="0.2">
      <c r="A6377" s="391">
        <v>103823</v>
      </c>
      <c r="B6377" s="478" t="s">
        <v>3667</v>
      </c>
      <c r="C6377" s="391" t="s">
        <v>26</v>
      </c>
      <c r="D6377" s="479">
        <v>18.36</v>
      </c>
      <c r="E6377" s="368"/>
      <c r="F6377" s="368"/>
    </row>
    <row r="6378" spans="1:6" ht="38.25" x14ac:dyDescent="0.2">
      <c r="A6378" s="391">
        <v>103856</v>
      </c>
      <c r="B6378" s="478" t="s">
        <v>3697</v>
      </c>
      <c r="C6378" s="391" t="s">
        <v>26</v>
      </c>
      <c r="D6378" s="479">
        <v>16.34</v>
      </c>
      <c r="E6378" s="368"/>
      <c r="F6378" s="368"/>
    </row>
    <row r="6379" spans="1:6" ht="38.25" x14ac:dyDescent="0.2">
      <c r="A6379" s="391">
        <v>93108</v>
      </c>
      <c r="B6379" s="478" t="s">
        <v>3457</v>
      </c>
      <c r="C6379" s="391" t="s">
        <v>26</v>
      </c>
      <c r="D6379" s="479">
        <v>13.9</v>
      </c>
      <c r="E6379" s="368"/>
      <c r="F6379" s="368"/>
    </row>
    <row r="6380" spans="1:6" ht="38.25" x14ac:dyDescent="0.2">
      <c r="A6380" s="391">
        <v>93091</v>
      </c>
      <c r="B6380" s="478" t="s">
        <v>3442</v>
      </c>
      <c r="C6380" s="391" t="s">
        <v>26</v>
      </c>
      <c r="D6380" s="479">
        <v>17.239999999999998</v>
      </c>
      <c r="E6380" s="368"/>
      <c r="F6380" s="368"/>
    </row>
    <row r="6381" spans="1:6" ht="38.25" x14ac:dyDescent="0.2">
      <c r="A6381" s="391">
        <v>103900</v>
      </c>
      <c r="B6381" s="478" t="s">
        <v>3735</v>
      </c>
      <c r="C6381" s="391" t="s">
        <v>26</v>
      </c>
      <c r="D6381" s="479">
        <v>21.33</v>
      </c>
      <c r="E6381" s="368"/>
      <c r="F6381" s="368"/>
    </row>
    <row r="6382" spans="1:6" ht="38.25" x14ac:dyDescent="0.2">
      <c r="A6382" s="391">
        <v>103831</v>
      </c>
      <c r="B6382" s="478" t="s">
        <v>3675</v>
      </c>
      <c r="C6382" s="391" t="s">
        <v>26</v>
      </c>
      <c r="D6382" s="479">
        <v>27.38</v>
      </c>
      <c r="E6382" s="368"/>
      <c r="F6382" s="368"/>
    </row>
    <row r="6383" spans="1:6" ht="38.25" x14ac:dyDescent="0.2">
      <c r="A6383" s="391">
        <v>103864</v>
      </c>
      <c r="B6383" s="480" t="s">
        <v>3705</v>
      </c>
      <c r="C6383" s="391" t="s">
        <v>26</v>
      </c>
      <c r="D6383" s="479">
        <v>22.42</v>
      </c>
      <c r="E6383" s="368"/>
      <c r="F6383" s="368"/>
    </row>
    <row r="6384" spans="1:6" ht="38.25" x14ac:dyDescent="0.2">
      <c r="A6384" s="391">
        <v>93133</v>
      </c>
      <c r="B6384" s="478" t="s">
        <v>3474</v>
      </c>
      <c r="C6384" s="391" t="s">
        <v>26</v>
      </c>
      <c r="D6384" s="479">
        <v>20.05</v>
      </c>
      <c r="E6384" s="368"/>
      <c r="F6384" s="368"/>
    </row>
    <row r="6385" spans="1:6" ht="38.25" x14ac:dyDescent="0.2">
      <c r="A6385" s="391">
        <v>93057</v>
      </c>
      <c r="B6385" s="478" t="s">
        <v>3409</v>
      </c>
      <c r="C6385" s="391" t="s">
        <v>26</v>
      </c>
      <c r="D6385" s="479">
        <v>14.61</v>
      </c>
      <c r="E6385" s="368"/>
      <c r="F6385" s="368"/>
    </row>
    <row r="6386" spans="1:6" ht="38.25" x14ac:dyDescent="0.2">
      <c r="A6386" s="391">
        <v>93062</v>
      </c>
      <c r="B6386" s="478" t="s">
        <v>3414</v>
      </c>
      <c r="C6386" s="391" t="s">
        <v>26</v>
      </c>
      <c r="D6386" s="479">
        <v>28.29</v>
      </c>
      <c r="E6386" s="368"/>
      <c r="F6386" s="368"/>
    </row>
    <row r="6387" spans="1:6" ht="38.25" x14ac:dyDescent="0.2">
      <c r="A6387" s="391">
        <v>93065</v>
      </c>
      <c r="B6387" s="478" t="s">
        <v>3417</v>
      </c>
      <c r="C6387" s="391" t="s">
        <v>26</v>
      </c>
      <c r="D6387" s="479">
        <v>46.39</v>
      </c>
      <c r="E6387" s="368"/>
      <c r="F6387" s="368"/>
    </row>
    <row r="6388" spans="1:6" ht="38.25" x14ac:dyDescent="0.2">
      <c r="A6388" s="391">
        <v>93068</v>
      </c>
      <c r="B6388" s="478" t="s">
        <v>3420</v>
      </c>
      <c r="C6388" s="391" t="s">
        <v>26</v>
      </c>
      <c r="D6388" s="479">
        <v>65.38</v>
      </c>
      <c r="E6388" s="368"/>
      <c r="F6388" s="368"/>
    </row>
    <row r="6389" spans="1:6" ht="38.25" x14ac:dyDescent="0.2">
      <c r="A6389" s="391">
        <v>93071</v>
      </c>
      <c r="B6389" s="478" t="s">
        <v>3423</v>
      </c>
      <c r="C6389" s="391" t="s">
        <v>26</v>
      </c>
      <c r="D6389" s="479">
        <v>179.31</v>
      </c>
      <c r="E6389" s="368"/>
      <c r="F6389" s="368"/>
    </row>
    <row r="6390" spans="1:6" ht="38.25" x14ac:dyDescent="0.2">
      <c r="A6390" s="391">
        <v>93081</v>
      </c>
      <c r="B6390" s="478" t="s">
        <v>3432</v>
      </c>
      <c r="C6390" s="391" t="s">
        <v>26</v>
      </c>
      <c r="D6390" s="479">
        <v>19.43</v>
      </c>
      <c r="E6390" s="368"/>
      <c r="F6390" s="368"/>
    </row>
    <row r="6391" spans="1:6" ht="38.25" x14ac:dyDescent="0.2">
      <c r="A6391" s="391">
        <v>103887</v>
      </c>
      <c r="B6391" s="478" t="s">
        <v>3722</v>
      </c>
      <c r="C6391" s="391" t="s">
        <v>26</v>
      </c>
      <c r="D6391" s="479">
        <v>20.99</v>
      </c>
      <c r="E6391" s="368"/>
      <c r="F6391" s="368"/>
    </row>
    <row r="6392" spans="1:6" ht="38.25" x14ac:dyDescent="0.2">
      <c r="A6392" s="391">
        <v>103818</v>
      </c>
      <c r="B6392" s="478" t="s">
        <v>3662</v>
      </c>
      <c r="C6392" s="391" t="s">
        <v>26</v>
      </c>
      <c r="D6392" s="479">
        <v>20.97</v>
      </c>
      <c r="E6392" s="368"/>
      <c r="F6392" s="368"/>
    </row>
    <row r="6393" spans="1:6" ht="38.25" x14ac:dyDescent="0.2">
      <c r="A6393" s="392">
        <v>103851</v>
      </c>
      <c r="B6393" s="480" t="s">
        <v>3692</v>
      </c>
      <c r="C6393" s="392" t="s">
        <v>26</v>
      </c>
      <c r="D6393" s="481">
        <v>20.73</v>
      </c>
      <c r="E6393" s="369"/>
      <c r="F6393" s="369"/>
    </row>
    <row r="6394" spans="1:6" ht="38.25" x14ac:dyDescent="0.2">
      <c r="A6394" s="391">
        <v>93104</v>
      </c>
      <c r="B6394" s="478" t="s">
        <v>3453</v>
      </c>
      <c r="C6394" s="391" t="s">
        <v>26</v>
      </c>
      <c r="D6394" s="479">
        <v>19.510000000000002</v>
      </c>
      <c r="E6394" s="368"/>
      <c r="F6394" s="368"/>
    </row>
    <row r="6395" spans="1:6" ht="38.25" x14ac:dyDescent="0.2">
      <c r="A6395" s="391">
        <v>98602</v>
      </c>
      <c r="B6395" s="478" t="s">
        <v>3648</v>
      </c>
      <c r="C6395" s="391" t="s">
        <v>26</v>
      </c>
      <c r="D6395" s="479">
        <v>18.989999999999998</v>
      </c>
      <c r="E6395" s="368"/>
      <c r="F6395" s="368"/>
    </row>
    <row r="6396" spans="1:6" ht="38.25" x14ac:dyDescent="0.2">
      <c r="A6396" s="391">
        <v>93087</v>
      </c>
      <c r="B6396" s="478" t="s">
        <v>3438</v>
      </c>
      <c r="C6396" s="391" t="s">
        <v>26</v>
      </c>
      <c r="D6396" s="479">
        <v>20.34</v>
      </c>
      <c r="E6396" s="368"/>
      <c r="F6396" s="368"/>
    </row>
    <row r="6397" spans="1:6" ht="38.25" x14ac:dyDescent="0.2">
      <c r="A6397" s="391">
        <v>103893</v>
      </c>
      <c r="B6397" s="478" t="s">
        <v>3728</v>
      </c>
      <c r="C6397" s="391" t="s">
        <v>26</v>
      </c>
      <c r="D6397" s="479">
        <v>22.25</v>
      </c>
      <c r="E6397" s="368"/>
      <c r="F6397" s="368"/>
    </row>
    <row r="6398" spans="1:6" ht="38.25" x14ac:dyDescent="0.2">
      <c r="A6398" s="391">
        <v>103824</v>
      </c>
      <c r="B6398" s="478" t="s">
        <v>3668</v>
      </c>
      <c r="C6398" s="391" t="s">
        <v>26</v>
      </c>
      <c r="D6398" s="479">
        <v>24.35</v>
      </c>
      <c r="E6398" s="368"/>
      <c r="F6398" s="368"/>
    </row>
    <row r="6399" spans="1:6" ht="38.25" x14ac:dyDescent="0.2">
      <c r="A6399" s="391">
        <v>103857</v>
      </c>
      <c r="B6399" s="478" t="s">
        <v>3698</v>
      </c>
      <c r="C6399" s="391" t="s">
        <v>26</v>
      </c>
      <c r="D6399" s="479">
        <v>22.53</v>
      </c>
      <c r="E6399" s="368"/>
      <c r="F6399" s="368"/>
    </row>
    <row r="6400" spans="1:6" ht="38.25" x14ac:dyDescent="0.2">
      <c r="A6400" s="391">
        <v>93110</v>
      </c>
      <c r="B6400" s="478" t="s">
        <v>3459</v>
      </c>
      <c r="C6400" s="391" t="s">
        <v>26</v>
      </c>
      <c r="D6400" s="479">
        <v>21.36</v>
      </c>
      <c r="E6400" s="368"/>
      <c r="F6400" s="368"/>
    </row>
    <row r="6401" spans="1:6" ht="38.25" x14ac:dyDescent="0.2">
      <c r="A6401" s="391">
        <v>93054</v>
      </c>
      <c r="B6401" s="478" t="s">
        <v>3406</v>
      </c>
      <c r="C6401" s="391" t="s">
        <v>26</v>
      </c>
      <c r="D6401" s="479">
        <v>23.52</v>
      </c>
      <c r="E6401" s="368"/>
      <c r="F6401" s="368"/>
    </row>
    <row r="6402" spans="1:6" ht="38.25" x14ac:dyDescent="0.2">
      <c r="A6402" s="391">
        <v>93088</v>
      </c>
      <c r="B6402" s="478" t="s">
        <v>3439</v>
      </c>
      <c r="C6402" s="391" t="s">
        <v>26</v>
      </c>
      <c r="D6402" s="479">
        <v>25.21</v>
      </c>
      <c r="E6402" s="368"/>
      <c r="F6402" s="368"/>
    </row>
    <row r="6403" spans="1:6" ht="38.25" x14ac:dyDescent="0.2">
      <c r="A6403" s="391">
        <v>103894</v>
      </c>
      <c r="B6403" s="478" t="s">
        <v>3729</v>
      </c>
      <c r="C6403" s="391" t="s">
        <v>26</v>
      </c>
      <c r="D6403" s="479">
        <v>26.79</v>
      </c>
      <c r="E6403" s="368"/>
      <c r="F6403" s="368"/>
    </row>
    <row r="6404" spans="1:6" ht="38.25" x14ac:dyDescent="0.2">
      <c r="A6404" s="391">
        <v>103825</v>
      </c>
      <c r="B6404" s="478" t="s">
        <v>3669</v>
      </c>
      <c r="C6404" s="391" t="s">
        <v>26</v>
      </c>
      <c r="D6404" s="479">
        <v>28.9</v>
      </c>
      <c r="E6404" s="368"/>
      <c r="F6404" s="368"/>
    </row>
    <row r="6405" spans="1:6" ht="38.25" x14ac:dyDescent="0.2">
      <c r="A6405" s="391">
        <v>103858</v>
      </c>
      <c r="B6405" s="478" t="s">
        <v>3699</v>
      </c>
      <c r="C6405" s="391" t="s">
        <v>26</v>
      </c>
      <c r="D6405" s="479">
        <v>27.06</v>
      </c>
      <c r="E6405" s="368"/>
      <c r="F6405" s="368"/>
    </row>
    <row r="6406" spans="1:6" ht="38.25" x14ac:dyDescent="0.2">
      <c r="A6406" s="391">
        <v>93111</v>
      </c>
      <c r="B6406" s="478" t="s">
        <v>3460</v>
      </c>
      <c r="C6406" s="391" t="s">
        <v>26</v>
      </c>
      <c r="D6406" s="479">
        <v>25.9</v>
      </c>
      <c r="E6406" s="368"/>
      <c r="F6406" s="368"/>
    </row>
    <row r="6407" spans="1:6" ht="38.25" x14ac:dyDescent="0.2">
      <c r="A6407" s="391">
        <v>93059</v>
      </c>
      <c r="B6407" s="478" t="s">
        <v>3411</v>
      </c>
      <c r="C6407" s="391" t="s">
        <v>26</v>
      </c>
      <c r="D6407" s="479">
        <v>30.85</v>
      </c>
      <c r="E6407" s="368"/>
      <c r="F6407" s="368"/>
    </row>
    <row r="6408" spans="1:6" ht="38.25" x14ac:dyDescent="0.2">
      <c r="A6408" s="391">
        <v>93093</v>
      </c>
      <c r="B6408" s="478" t="s">
        <v>3444</v>
      </c>
      <c r="C6408" s="391" t="s">
        <v>26</v>
      </c>
      <c r="D6408" s="479">
        <v>32.11</v>
      </c>
      <c r="E6408" s="368"/>
      <c r="F6408" s="368"/>
    </row>
    <row r="6409" spans="1:6" ht="38.25" x14ac:dyDescent="0.2">
      <c r="A6409" s="391">
        <v>103899</v>
      </c>
      <c r="B6409" s="478" t="s">
        <v>3734</v>
      </c>
      <c r="C6409" s="391" t="s">
        <v>26</v>
      </c>
      <c r="D6409" s="479">
        <v>34.32</v>
      </c>
      <c r="E6409" s="368"/>
      <c r="F6409" s="368"/>
    </row>
    <row r="6410" spans="1:6" ht="38.25" x14ac:dyDescent="0.2">
      <c r="A6410" s="391">
        <v>103830</v>
      </c>
      <c r="B6410" s="478" t="s">
        <v>3674</v>
      </c>
      <c r="C6410" s="391" t="s">
        <v>26</v>
      </c>
      <c r="D6410" s="479">
        <v>38</v>
      </c>
      <c r="E6410" s="368"/>
      <c r="F6410" s="368"/>
    </row>
    <row r="6411" spans="1:6" ht="38.25" x14ac:dyDescent="0.2">
      <c r="A6411" s="391">
        <v>103863</v>
      </c>
      <c r="B6411" s="478" t="s">
        <v>3704</v>
      </c>
      <c r="C6411" s="391" t="s">
        <v>26</v>
      </c>
      <c r="D6411" s="479">
        <v>35.04</v>
      </c>
      <c r="E6411" s="368"/>
      <c r="F6411" s="368"/>
    </row>
    <row r="6412" spans="1:6" ht="38.25" x14ac:dyDescent="0.2">
      <c r="A6412" s="391">
        <v>93114</v>
      </c>
      <c r="B6412" s="478" t="s">
        <v>3462</v>
      </c>
      <c r="C6412" s="391" t="s">
        <v>26</v>
      </c>
      <c r="D6412" s="479">
        <v>33.92</v>
      </c>
      <c r="E6412" s="368"/>
      <c r="F6412" s="368"/>
    </row>
    <row r="6413" spans="1:6" ht="38.25" x14ac:dyDescent="0.2">
      <c r="A6413" s="391">
        <v>93075</v>
      </c>
      <c r="B6413" s="478" t="s">
        <v>3426</v>
      </c>
      <c r="C6413" s="391" t="s">
        <v>26</v>
      </c>
      <c r="D6413" s="479">
        <v>20.54</v>
      </c>
      <c r="E6413" s="368"/>
      <c r="F6413" s="368"/>
    </row>
    <row r="6414" spans="1:6" ht="38.25" x14ac:dyDescent="0.2">
      <c r="A6414" s="391">
        <v>103876</v>
      </c>
      <c r="B6414" s="478" t="s">
        <v>3711</v>
      </c>
      <c r="C6414" s="391" t="s">
        <v>26</v>
      </c>
      <c r="D6414" s="479">
        <v>22.87</v>
      </c>
      <c r="E6414" s="368"/>
      <c r="F6414" s="368"/>
    </row>
    <row r="6415" spans="1:6" ht="38.25" x14ac:dyDescent="0.2">
      <c r="A6415" s="391">
        <v>103807</v>
      </c>
      <c r="B6415" s="478" t="s">
        <v>3651</v>
      </c>
      <c r="C6415" s="391" t="s">
        <v>26</v>
      </c>
      <c r="D6415" s="479">
        <v>22.83</v>
      </c>
      <c r="E6415" s="368"/>
      <c r="F6415" s="368"/>
    </row>
    <row r="6416" spans="1:6" ht="38.25" x14ac:dyDescent="0.2">
      <c r="A6416" s="391">
        <v>103840</v>
      </c>
      <c r="B6416" s="478" t="s">
        <v>3681</v>
      </c>
      <c r="C6416" s="391" t="s">
        <v>26</v>
      </c>
      <c r="D6416" s="479">
        <v>22.48</v>
      </c>
      <c r="E6416" s="368"/>
      <c r="F6416" s="368"/>
    </row>
    <row r="6417" spans="1:6" ht="38.25" x14ac:dyDescent="0.2">
      <c r="A6417" s="391">
        <v>93098</v>
      </c>
      <c r="B6417" s="478" t="s">
        <v>3447</v>
      </c>
      <c r="C6417" s="391" t="s">
        <v>26</v>
      </c>
      <c r="D6417" s="479">
        <v>20.67</v>
      </c>
      <c r="E6417" s="368"/>
      <c r="F6417" s="368"/>
    </row>
    <row r="6418" spans="1:6" ht="38.25" x14ac:dyDescent="0.2">
      <c r="A6418" s="391">
        <v>93120</v>
      </c>
      <c r="B6418" s="478" t="s">
        <v>3468</v>
      </c>
      <c r="C6418" s="391" t="s">
        <v>26</v>
      </c>
      <c r="D6418" s="479">
        <v>27.15</v>
      </c>
      <c r="E6418" s="368"/>
      <c r="F6418" s="368"/>
    </row>
    <row r="6419" spans="1:6" ht="38.25" x14ac:dyDescent="0.2">
      <c r="A6419" s="391">
        <v>93077</v>
      </c>
      <c r="B6419" s="478" t="s">
        <v>3428</v>
      </c>
      <c r="C6419" s="391" t="s">
        <v>26</v>
      </c>
      <c r="D6419" s="479">
        <v>29.19</v>
      </c>
      <c r="E6419" s="368"/>
      <c r="F6419" s="368"/>
    </row>
    <row r="6420" spans="1:6" ht="38.25" x14ac:dyDescent="0.2">
      <c r="A6420" s="391">
        <v>103879</v>
      </c>
      <c r="B6420" s="478" t="s">
        <v>3714</v>
      </c>
      <c r="C6420" s="391" t="s">
        <v>26</v>
      </c>
      <c r="D6420" s="479">
        <v>32.03</v>
      </c>
      <c r="E6420" s="368"/>
      <c r="F6420" s="368"/>
    </row>
    <row r="6421" spans="1:6" ht="38.25" x14ac:dyDescent="0.2">
      <c r="A6421" s="391">
        <v>103810</v>
      </c>
      <c r="B6421" s="478" t="s">
        <v>3654</v>
      </c>
      <c r="C6421" s="391" t="s">
        <v>26</v>
      </c>
      <c r="D6421" s="479">
        <v>35.17</v>
      </c>
      <c r="E6421" s="368"/>
      <c r="F6421" s="368"/>
    </row>
    <row r="6422" spans="1:6" ht="38.25" x14ac:dyDescent="0.2">
      <c r="A6422" s="391">
        <v>103843</v>
      </c>
      <c r="B6422" s="478" t="s">
        <v>3684</v>
      </c>
      <c r="C6422" s="391" t="s">
        <v>26</v>
      </c>
      <c r="D6422" s="479">
        <v>32.43</v>
      </c>
      <c r="E6422" s="368"/>
      <c r="F6422" s="368"/>
    </row>
    <row r="6423" spans="1:6" ht="38.25" x14ac:dyDescent="0.2">
      <c r="A6423" s="391">
        <v>93100</v>
      </c>
      <c r="B6423" s="478" t="s">
        <v>3449</v>
      </c>
      <c r="C6423" s="391" t="s">
        <v>26</v>
      </c>
      <c r="D6423" s="479">
        <v>30.69</v>
      </c>
      <c r="E6423" s="368"/>
      <c r="F6423" s="368"/>
    </row>
    <row r="6424" spans="1:6" ht="38.25" x14ac:dyDescent="0.2">
      <c r="A6424" s="391">
        <v>93121</v>
      </c>
      <c r="B6424" s="478" t="s">
        <v>3469</v>
      </c>
      <c r="C6424" s="391" t="s">
        <v>26</v>
      </c>
      <c r="D6424" s="479">
        <v>30.78</v>
      </c>
      <c r="E6424" s="368"/>
      <c r="F6424" s="368"/>
    </row>
    <row r="6425" spans="1:6" ht="38.25" x14ac:dyDescent="0.2">
      <c r="A6425" s="391">
        <v>93078</v>
      </c>
      <c r="B6425" s="478" t="s">
        <v>3429</v>
      </c>
      <c r="C6425" s="391" t="s">
        <v>26</v>
      </c>
      <c r="D6425" s="479">
        <v>32.82</v>
      </c>
      <c r="E6425" s="368"/>
      <c r="F6425" s="368"/>
    </row>
    <row r="6426" spans="1:6" ht="38.25" x14ac:dyDescent="0.2">
      <c r="A6426" s="391">
        <v>103880</v>
      </c>
      <c r="B6426" s="478" t="s">
        <v>3715</v>
      </c>
      <c r="C6426" s="391" t="s">
        <v>26</v>
      </c>
      <c r="D6426" s="479">
        <v>35.67</v>
      </c>
      <c r="E6426" s="368"/>
      <c r="F6426" s="368"/>
    </row>
    <row r="6427" spans="1:6" ht="38.25" x14ac:dyDescent="0.2">
      <c r="A6427" s="391">
        <v>103811</v>
      </c>
      <c r="B6427" s="478" t="s">
        <v>3655</v>
      </c>
      <c r="C6427" s="391" t="s">
        <v>26</v>
      </c>
      <c r="D6427" s="479">
        <v>38.81</v>
      </c>
      <c r="E6427" s="368"/>
      <c r="F6427" s="368"/>
    </row>
    <row r="6428" spans="1:6" ht="38.25" x14ac:dyDescent="0.2">
      <c r="A6428" s="391">
        <v>103844</v>
      </c>
      <c r="B6428" s="478" t="s">
        <v>3685</v>
      </c>
      <c r="C6428" s="391" t="s">
        <v>26</v>
      </c>
      <c r="D6428" s="479">
        <v>36.06</v>
      </c>
      <c r="E6428" s="368"/>
      <c r="F6428" s="368"/>
    </row>
    <row r="6429" spans="1:6" ht="38.25" x14ac:dyDescent="0.2">
      <c r="A6429" s="391">
        <v>93101</v>
      </c>
      <c r="B6429" s="478" t="s">
        <v>3450</v>
      </c>
      <c r="C6429" s="391" t="s">
        <v>26</v>
      </c>
      <c r="D6429" s="479">
        <v>34.340000000000003</v>
      </c>
      <c r="E6429" s="368"/>
      <c r="F6429" s="368"/>
    </row>
    <row r="6430" spans="1:6" ht="25.5" x14ac:dyDescent="0.2">
      <c r="A6430" s="391">
        <v>92311</v>
      </c>
      <c r="B6430" s="478" t="s">
        <v>47996</v>
      </c>
      <c r="C6430" s="391" t="s">
        <v>26</v>
      </c>
      <c r="D6430" s="479">
        <v>13.25</v>
      </c>
      <c r="E6430" s="368"/>
      <c r="F6430" s="368"/>
    </row>
    <row r="6431" spans="1:6" ht="38.25" x14ac:dyDescent="0.2">
      <c r="A6431" s="391">
        <v>103874</v>
      </c>
      <c r="B6431" s="478" t="s">
        <v>3709</v>
      </c>
      <c r="C6431" s="391" t="s">
        <v>26</v>
      </c>
      <c r="D6431" s="479">
        <v>18.34</v>
      </c>
      <c r="E6431" s="368"/>
      <c r="F6431" s="368"/>
    </row>
    <row r="6432" spans="1:6" ht="38.25" x14ac:dyDescent="0.2">
      <c r="A6432" s="391">
        <v>103805</v>
      </c>
      <c r="B6432" s="478" t="s">
        <v>3649</v>
      </c>
      <c r="C6432" s="391" t="s">
        <v>26</v>
      </c>
      <c r="D6432" s="479">
        <v>18.27</v>
      </c>
      <c r="E6432" s="368"/>
      <c r="F6432" s="368"/>
    </row>
    <row r="6433" spans="1:6" ht="38.25" x14ac:dyDescent="0.2">
      <c r="A6433" s="391">
        <v>103838</v>
      </c>
      <c r="B6433" s="478" t="s">
        <v>3679</v>
      </c>
      <c r="C6433" s="391" t="s">
        <v>26</v>
      </c>
      <c r="D6433" s="479">
        <v>17.57</v>
      </c>
      <c r="E6433" s="368"/>
      <c r="F6433" s="368"/>
    </row>
    <row r="6434" spans="1:6" ht="38.25" x14ac:dyDescent="0.2">
      <c r="A6434" s="391">
        <v>92326</v>
      </c>
      <c r="B6434" s="478" t="s">
        <v>3248</v>
      </c>
      <c r="C6434" s="391" t="s">
        <v>26</v>
      </c>
      <c r="D6434" s="479">
        <v>13.93</v>
      </c>
      <c r="E6434" s="368"/>
      <c r="F6434" s="368"/>
    </row>
    <row r="6435" spans="1:6" ht="38.25" x14ac:dyDescent="0.2">
      <c r="A6435" s="391">
        <v>92287</v>
      </c>
      <c r="B6435" s="478" t="s">
        <v>3222</v>
      </c>
      <c r="C6435" s="391" t="s">
        <v>26</v>
      </c>
      <c r="D6435" s="479">
        <v>18.28</v>
      </c>
      <c r="E6435" s="368"/>
      <c r="F6435" s="368"/>
    </row>
    <row r="6436" spans="1:6" ht="38.25" x14ac:dyDescent="0.2">
      <c r="A6436" s="391">
        <v>92312</v>
      </c>
      <c r="B6436" s="478" t="s">
        <v>3240</v>
      </c>
      <c r="C6436" s="391" t="s">
        <v>26</v>
      </c>
      <c r="D6436" s="479">
        <v>22.35</v>
      </c>
      <c r="E6436" s="368"/>
      <c r="F6436" s="368"/>
    </row>
    <row r="6437" spans="1:6" ht="38.25" x14ac:dyDescent="0.2">
      <c r="A6437" s="391">
        <v>103877</v>
      </c>
      <c r="B6437" s="478" t="s">
        <v>3712</v>
      </c>
      <c r="C6437" s="391" t="s">
        <v>26</v>
      </c>
      <c r="D6437" s="479">
        <v>28.05</v>
      </c>
      <c r="E6437" s="368"/>
      <c r="F6437" s="368"/>
    </row>
    <row r="6438" spans="1:6" ht="38.25" x14ac:dyDescent="0.2">
      <c r="A6438" s="391">
        <v>103808</v>
      </c>
      <c r="B6438" s="478" t="s">
        <v>3652</v>
      </c>
      <c r="C6438" s="391" t="s">
        <v>26</v>
      </c>
      <c r="D6438" s="479">
        <v>34.32</v>
      </c>
      <c r="E6438" s="368"/>
      <c r="F6438" s="368"/>
    </row>
    <row r="6439" spans="1:6" ht="38.25" x14ac:dyDescent="0.2">
      <c r="A6439" s="391">
        <v>103841</v>
      </c>
      <c r="B6439" s="478" t="s">
        <v>3682</v>
      </c>
      <c r="C6439" s="391" t="s">
        <v>26</v>
      </c>
      <c r="D6439" s="479">
        <v>28.85</v>
      </c>
      <c r="E6439" s="368"/>
      <c r="F6439" s="368"/>
    </row>
    <row r="6440" spans="1:6" ht="38.25" x14ac:dyDescent="0.2">
      <c r="A6440" s="391">
        <v>92327</v>
      </c>
      <c r="B6440" s="478" t="s">
        <v>3249</v>
      </c>
      <c r="C6440" s="391" t="s">
        <v>26</v>
      </c>
      <c r="D6440" s="479">
        <v>25.37</v>
      </c>
      <c r="E6440" s="368"/>
      <c r="F6440" s="368"/>
    </row>
    <row r="6441" spans="1:6" ht="38.25" x14ac:dyDescent="0.2">
      <c r="A6441" s="391">
        <v>92288</v>
      </c>
      <c r="B6441" s="478" t="s">
        <v>3223</v>
      </c>
      <c r="C6441" s="391" t="s">
        <v>26</v>
      </c>
      <c r="D6441" s="479">
        <v>28.95</v>
      </c>
      <c r="E6441" s="368"/>
      <c r="F6441" s="368"/>
    </row>
    <row r="6442" spans="1:6" ht="38.25" x14ac:dyDescent="0.2">
      <c r="A6442" s="391">
        <v>92313</v>
      </c>
      <c r="B6442" s="478" t="s">
        <v>3241</v>
      </c>
      <c r="C6442" s="391" t="s">
        <v>26</v>
      </c>
      <c r="D6442" s="479">
        <v>32.72</v>
      </c>
      <c r="E6442" s="368"/>
      <c r="F6442" s="368"/>
    </row>
    <row r="6443" spans="1:6" ht="38.25" x14ac:dyDescent="0.2">
      <c r="A6443" s="391">
        <v>103881</v>
      </c>
      <c r="B6443" s="478" t="s">
        <v>3716</v>
      </c>
      <c r="C6443" s="391" t="s">
        <v>26</v>
      </c>
      <c r="D6443" s="479">
        <v>39.32</v>
      </c>
      <c r="E6443" s="368"/>
      <c r="F6443" s="368"/>
    </row>
    <row r="6444" spans="1:6" ht="38.25" x14ac:dyDescent="0.2">
      <c r="A6444" s="391">
        <v>103812</v>
      </c>
      <c r="B6444" s="478" t="s">
        <v>3656</v>
      </c>
      <c r="C6444" s="391" t="s">
        <v>26</v>
      </c>
      <c r="D6444" s="479">
        <v>51.02</v>
      </c>
      <c r="E6444" s="368"/>
      <c r="F6444" s="368"/>
    </row>
    <row r="6445" spans="1:6" ht="38.25" x14ac:dyDescent="0.2">
      <c r="A6445" s="391">
        <v>103845</v>
      </c>
      <c r="B6445" s="478" t="s">
        <v>3686</v>
      </c>
      <c r="C6445" s="391" t="s">
        <v>26</v>
      </c>
      <c r="D6445" s="479">
        <v>41.44</v>
      </c>
      <c r="E6445" s="368"/>
      <c r="F6445" s="368"/>
    </row>
    <row r="6446" spans="1:6" ht="38.25" x14ac:dyDescent="0.2">
      <c r="A6446" s="391">
        <v>92328</v>
      </c>
      <c r="B6446" s="478" t="s">
        <v>3250</v>
      </c>
      <c r="C6446" s="391" t="s">
        <v>26</v>
      </c>
      <c r="D6446" s="479">
        <v>38.1</v>
      </c>
      <c r="E6446" s="368"/>
      <c r="F6446" s="368"/>
    </row>
    <row r="6447" spans="1:6" ht="38.25" x14ac:dyDescent="0.2">
      <c r="A6447" s="391">
        <v>92289</v>
      </c>
      <c r="B6447" s="478" t="s">
        <v>3224</v>
      </c>
      <c r="C6447" s="391" t="s">
        <v>26</v>
      </c>
      <c r="D6447" s="479">
        <v>51.6</v>
      </c>
      <c r="E6447" s="368"/>
      <c r="F6447" s="368"/>
    </row>
    <row r="6448" spans="1:6" ht="38.25" x14ac:dyDescent="0.2">
      <c r="A6448" s="391">
        <v>92290</v>
      </c>
      <c r="B6448" s="478" t="s">
        <v>3225</v>
      </c>
      <c r="C6448" s="391" t="s">
        <v>26</v>
      </c>
      <c r="D6448" s="479">
        <v>78.39</v>
      </c>
      <c r="E6448" s="368"/>
      <c r="F6448" s="368"/>
    </row>
    <row r="6449" spans="1:6" ht="38.25" x14ac:dyDescent="0.2">
      <c r="A6449" s="391">
        <v>92291</v>
      </c>
      <c r="B6449" s="478" t="s">
        <v>3226</v>
      </c>
      <c r="C6449" s="391" t="s">
        <v>26</v>
      </c>
      <c r="D6449" s="479">
        <v>121.68</v>
      </c>
      <c r="E6449" s="368"/>
      <c r="F6449" s="368"/>
    </row>
    <row r="6450" spans="1:6" ht="38.25" x14ac:dyDescent="0.2">
      <c r="A6450" s="391">
        <v>92292</v>
      </c>
      <c r="B6450" s="478" t="s">
        <v>3227</v>
      </c>
      <c r="C6450" s="391" t="s">
        <v>26</v>
      </c>
      <c r="D6450" s="479">
        <v>379.04</v>
      </c>
      <c r="E6450" s="368"/>
      <c r="F6450" s="368"/>
    </row>
    <row r="6451" spans="1:6" ht="38.25" x14ac:dyDescent="0.2">
      <c r="A6451" s="391">
        <v>93082</v>
      </c>
      <c r="B6451" s="478" t="s">
        <v>3433</v>
      </c>
      <c r="C6451" s="391" t="s">
        <v>26</v>
      </c>
      <c r="D6451" s="479">
        <v>25.18</v>
      </c>
      <c r="E6451" s="368"/>
      <c r="F6451" s="368"/>
    </row>
    <row r="6452" spans="1:6" ht="38.25" x14ac:dyDescent="0.2">
      <c r="A6452" s="391">
        <v>103885</v>
      </c>
      <c r="B6452" s="478" t="s">
        <v>3720</v>
      </c>
      <c r="C6452" s="391" t="s">
        <v>26</v>
      </c>
      <c r="D6452" s="479">
        <v>28.28</v>
      </c>
      <c r="E6452" s="368"/>
      <c r="F6452" s="368"/>
    </row>
    <row r="6453" spans="1:6" ht="38.25" x14ac:dyDescent="0.2">
      <c r="A6453" s="391">
        <v>103816</v>
      </c>
      <c r="B6453" s="478" t="s">
        <v>3660</v>
      </c>
      <c r="C6453" s="391" t="s">
        <v>26</v>
      </c>
      <c r="D6453" s="479">
        <v>28.26</v>
      </c>
      <c r="E6453" s="368"/>
      <c r="F6453" s="368"/>
    </row>
    <row r="6454" spans="1:6" ht="38.25" x14ac:dyDescent="0.2">
      <c r="A6454" s="391">
        <v>103849</v>
      </c>
      <c r="B6454" s="478" t="s">
        <v>3690</v>
      </c>
      <c r="C6454" s="391" t="s">
        <v>26</v>
      </c>
      <c r="D6454" s="479">
        <v>27.79</v>
      </c>
      <c r="E6454" s="368"/>
      <c r="F6454" s="368"/>
    </row>
    <row r="6455" spans="1:6" ht="38.25" x14ac:dyDescent="0.2">
      <c r="A6455" s="391">
        <v>93105</v>
      </c>
      <c r="B6455" s="478" t="s">
        <v>3454</v>
      </c>
      <c r="C6455" s="391" t="s">
        <v>26</v>
      </c>
      <c r="D6455" s="479">
        <v>25.35</v>
      </c>
      <c r="E6455" s="368"/>
      <c r="F6455" s="368"/>
    </row>
    <row r="6456" spans="1:6" ht="38.25" x14ac:dyDescent="0.2">
      <c r="A6456" s="391">
        <v>93055</v>
      </c>
      <c r="B6456" s="478" t="s">
        <v>3407</v>
      </c>
      <c r="C6456" s="391" t="s">
        <v>26</v>
      </c>
      <c r="D6456" s="479">
        <v>47.57</v>
      </c>
      <c r="E6456" s="368"/>
      <c r="F6456" s="368"/>
    </row>
    <row r="6457" spans="1:6" ht="38.25" x14ac:dyDescent="0.2">
      <c r="A6457" s="391">
        <v>93089</v>
      </c>
      <c r="B6457" s="478" t="s">
        <v>3440</v>
      </c>
      <c r="C6457" s="391" t="s">
        <v>26</v>
      </c>
      <c r="D6457" s="479">
        <v>50.29</v>
      </c>
      <c r="E6457" s="368"/>
      <c r="F6457" s="368"/>
    </row>
    <row r="6458" spans="1:6" ht="38.25" x14ac:dyDescent="0.2">
      <c r="A6458" s="391">
        <v>103891</v>
      </c>
      <c r="B6458" s="478" t="s">
        <v>3726</v>
      </c>
      <c r="C6458" s="391" t="s">
        <v>26</v>
      </c>
      <c r="D6458" s="479">
        <v>54.1</v>
      </c>
      <c r="E6458" s="368"/>
      <c r="F6458" s="368"/>
    </row>
    <row r="6459" spans="1:6" ht="38.25" x14ac:dyDescent="0.2">
      <c r="A6459" s="391">
        <v>103822</v>
      </c>
      <c r="B6459" s="478" t="s">
        <v>3666</v>
      </c>
      <c r="C6459" s="391" t="s">
        <v>26</v>
      </c>
      <c r="D6459" s="479">
        <v>58.31</v>
      </c>
      <c r="E6459" s="368"/>
      <c r="F6459" s="368"/>
    </row>
    <row r="6460" spans="1:6" ht="38.25" x14ac:dyDescent="0.2">
      <c r="A6460" s="391">
        <v>103855</v>
      </c>
      <c r="B6460" s="478" t="s">
        <v>3696</v>
      </c>
      <c r="C6460" s="391" t="s">
        <v>26</v>
      </c>
      <c r="D6460" s="479">
        <v>54.65</v>
      </c>
      <c r="E6460" s="368"/>
      <c r="F6460" s="368"/>
    </row>
    <row r="6461" spans="1:6" ht="38.25" x14ac:dyDescent="0.2">
      <c r="A6461" s="391">
        <v>93112</v>
      </c>
      <c r="B6461" s="478" t="s">
        <v>3461</v>
      </c>
      <c r="C6461" s="391" t="s">
        <v>26</v>
      </c>
      <c r="D6461" s="479">
        <v>52.32</v>
      </c>
      <c r="E6461" s="368"/>
      <c r="F6461" s="368"/>
    </row>
    <row r="6462" spans="1:6" ht="38.25" x14ac:dyDescent="0.2">
      <c r="A6462" s="391">
        <v>93060</v>
      </c>
      <c r="B6462" s="478" t="s">
        <v>3412</v>
      </c>
      <c r="C6462" s="391" t="s">
        <v>26</v>
      </c>
      <c r="D6462" s="479">
        <v>83.48</v>
      </c>
      <c r="E6462" s="368"/>
      <c r="F6462" s="368"/>
    </row>
    <row r="6463" spans="1:6" ht="38.25" x14ac:dyDescent="0.2">
      <c r="A6463" s="391">
        <v>93094</v>
      </c>
      <c r="B6463" s="478" t="s">
        <v>3445</v>
      </c>
      <c r="C6463" s="391" t="s">
        <v>26</v>
      </c>
      <c r="D6463" s="479">
        <v>86.01</v>
      </c>
      <c r="E6463" s="368"/>
      <c r="F6463" s="368"/>
    </row>
    <row r="6464" spans="1:6" ht="38.25" x14ac:dyDescent="0.2">
      <c r="A6464" s="391">
        <v>103897</v>
      </c>
      <c r="B6464" s="478" t="s">
        <v>3732</v>
      </c>
      <c r="C6464" s="391" t="s">
        <v>26</v>
      </c>
      <c r="D6464" s="479">
        <v>90.41</v>
      </c>
      <c r="E6464" s="368"/>
      <c r="F6464" s="368"/>
    </row>
    <row r="6465" spans="1:6" ht="38.25" x14ac:dyDescent="0.2">
      <c r="A6465" s="391">
        <v>103828</v>
      </c>
      <c r="B6465" s="478" t="s">
        <v>3672</v>
      </c>
      <c r="C6465" s="391" t="s">
        <v>26</v>
      </c>
      <c r="D6465" s="479">
        <v>97.76</v>
      </c>
      <c r="E6465" s="368"/>
      <c r="F6465" s="368"/>
    </row>
    <row r="6466" spans="1:6" ht="38.25" x14ac:dyDescent="0.2">
      <c r="A6466" s="391">
        <v>103861</v>
      </c>
      <c r="B6466" s="478" t="s">
        <v>3702</v>
      </c>
      <c r="C6466" s="391" t="s">
        <v>26</v>
      </c>
      <c r="D6466" s="479">
        <v>91.85</v>
      </c>
      <c r="E6466" s="368"/>
      <c r="F6466" s="368"/>
    </row>
    <row r="6467" spans="1:6" ht="38.25" x14ac:dyDescent="0.2">
      <c r="A6467" s="391">
        <v>93115</v>
      </c>
      <c r="B6467" s="478" t="s">
        <v>3463</v>
      </c>
      <c r="C6467" s="391" t="s">
        <v>26</v>
      </c>
      <c r="D6467" s="479">
        <v>89.61</v>
      </c>
      <c r="E6467" s="368"/>
      <c r="F6467" s="368"/>
    </row>
    <row r="6468" spans="1:6" ht="38.25" x14ac:dyDescent="0.2">
      <c r="A6468" s="391">
        <v>93074</v>
      </c>
      <c r="B6468" s="478" t="s">
        <v>3425</v>
      </c>
      <c r="C6468" s="391" t="s">
        <v>26</v>
      </c>
      <c r="D6468" s="479">
        <v>13.66</v>
      </c>
      <c r="E6468" s="368"/>
      <c r="F6468" s="368"/>
    </row>
    <row r="6469" spans="1:6" ht="38.25" x14ac:dyDescent="0.2">
      <c r="A6469" s="391">
        <v>103875</v>
      </c>
      <c r="B6469" s="478" t="s">
        <v>3710</v>
      </c>
      <c r="C6469" s="391" t="s">
        <v>26</v>
      </c>
      <c r="D6469" s="479">
        <v>18.309999999999999</v>
      </c>
      <c r="E6469" s="368"/>
      <c r="F6469" s="368"/>
    </row>
    <row r="6470" spans="1:6" ht="38.25" x14ac:dyDescent="0.2">
      <c r="A6470" s="391">
        <v>103806</v>
      </c>
      <c r="B6470" s="478" t="s">
        <v>3650</v>
      </c>
      <c r="C6470" s="391" t="s">
        <v>26</v>
      </c>
      <c r="D6470" s="479">
        <v>18.239999999999998</v>
      </c>
      <c r="E6470" s="368"/>
      <c r="F6470" s="368"/>
    </row>
    <row r="6471" spans="1:6" ht="38.25" x14ac:dyDescent="0.2">
      <c r="A6471" s="391">
        <v>103839</v>
      </c>
      <c r="B6471" s="478" t="s">
        <v>3680</v>
      </c>
      <c r="C6471" s="391" t="s">
        <v>26</v>
      </c>
      <c r="D6471" s="479">
        <v>17.54</v>
      </c>
      <c r="E6471" s="368"/>
      <c r="F6471" s="368"/>
    </row>
    <row r="6472" spans="1:6" ht="38.25" x14ac:dyDescent="0.2">
      <c r="A6472" s="391">
        <v>93097</v>
      </c>
      <c r="B6472" s="478" t="s">
        <v>3446</v>
      </c>
      <c r="C6472" s="391" t="s">
        <v>26</v>
      </c>
      <c r="D6472" s="479">
        <v>13.92</v>
      </c>
      <c r="E6472" s="368"/>
      <c r="F6472" s="368"/>
    </row>
    <row r="6473" spans="1:6" ht="38.25" x14ac:dyDescent="0.2">
      <c r="A6473" s="391">
        <v>93119</v>
      </c>
      <c r="B6473" s="478" t="s">
        <v>3467</v>
      </c>
      <c r="C6473" s="391" t="s">
        <v>26</v>
      </c>
      <c r="D6473" s="479">
        <v>17.97</v>
      </c>
      <c r="E6473" s="368"/>
      <c r="F6473" s="368"/>
    </row>
    <row r="6474" spans="1:6" ht="38.25" x14ac:dyDescent="0.2">
      <c r="A6474" s="391">
        <v>93076</v>
      </c>
      <c r="B6474" s="478" t="s">
        <v>3427</v>
      </c>
      <c r="C6474" s="391" t="s">
        <v>26</v>
      </c>
      <c r="D6474" s="479">
        <v>22.04</v>
      </c>
      <c r="E6474" s="368"/>
      <c r="F6474" s="368"/>
    </row>
    <row r="6475" spans="1:6" ht="38.25" x14ac:dyDescent="0.2">
      <c r="A6475" s="391">
        <v>103878</v>
      </c>
      <c r="B6475" s="478" t="s">
        <v>3713</v>
      </c>
      <c r="C6475" s="391" t="s">
        <v>26</v>
      </c>
      <c r="D6475" s="479">
        <v>27.74</v>
      </c>
      <c r="E6475" s="368"/>
      <c r="F6475" s="368"/>
    </row>
    <row r="6476" spans="1:6" ht="38.25" x14ac:dyDescent="0.2">
      <c r="A6476" s="391">
        <v>103809</v>
      </c>
      <c r="B6476" s="478" t="s">
        <v>3653</v>
      </c>
      <c r="C6476" s="391" t="s">
        <v>26</v>
      </c>
      <c r="D6476" s="479">
        <v>34.01</v>
      </c>
      <c r="E6476" s="368"/>
      <c r="F6476" s="368"/>
    </row>
    <row r="6477" spans="1:6" ht="38.25" x14ac:dyDescent="0.2">
      <c r="A6477" s="391">
        <v>103842</v>
      </c>
      <c r="B6477" s="478" t="s">
        <v>3683</v>
      </c>
      <c r="C6477" s="391" t="s">
        <v>26</v>
      </c>
      <c r="D6477" s="479">
        <v>28.54</v>
      </c>
      <c r="E6477" s="368"/>
      <c r="F6477" s="368"/>
    </row>
    <row r="6478" spans="1:6" ht="38.25" x14ac:dyDescent="0.2">
      <c r="A6478" s="391">
        <v>93099</v>
      </c>
      <c r="B6478" s="478" t="s">
        <v>3448</v>
      </c>
      <c r="C6478" s="391" t="s">
        <v>26</v>
      </c>
      <c r="D6478" s="479">
        <v>25.06</v>
      </c>
      <c r="E6478" s="368"/>
      <c r="F6478" s="368"/>
    </row>
    <row r="6479" spans="1:6" ht="38.25" x14ac:dyDescent="0.2">
      <c r="A6479" s="391">
        <v>93122</v>
      </c>
      <c r="B6479" s="478" t="s">
        <v>3470</v>
      </c>
      <c r="C6479" s="391" t="s">
        <v>26</v>
      </c>
      <c r="D6479" s="479">
        <v>27.07</v>
      </c>
      <c r="E6479" s="368"/>
      <c r="F6479" s="368"/>
    </row>
    <row r="6480" spans="1:6" ht="38.25" x14ac:dyDescent="0.2">
      <c r="A6480" s="391">
        <v>93079</v>
      </c>
      <c r="B6480" s="478" t="s">
        <v>3430</v>
      </c>
      <c r="C6480" s="391" t="s">
        <v>26</v>
      </c>
      <c r="D6480" s="479">
        <v>30.84</v>
      </c>
      <c r="E6480" s="368"/>
      <c r="F6480" s="368"/>
    </row>
    <row r="6481" spans="1:6" ht="38.25" x14ac:dyDescent="0.2">
      <c r="A6481" s="391">
        <v>103882</v>
      </c>
      <c r="B6481" s="478" t="s">
        <v>3717</v>
      </c>
      <c r="C6481" s="391" t="s">
        <v>26</v>
      </c>
      <c r="D6481" s="479">
        <v>37.44</v>
      </c>
      <c r="E6481" s="368"/>
      <c r="F6481" s="368"/>
    </row>
    <row r="6482" spans="1:6" ht="38.25" x14ac:dyDescent="0.2">
      <c r="A6482" s="391">
        <v>103813</v>
      </c>
      <c r="B6482" s="478" t="s">
        <v>3657</v>
      </c>
      <c r="C6482" s="391" t="s">
        <v>26</v>
      </c>
      <c r="D6482" s="479">
        <v>49.14</v>
      </c>
      <c r="E6482" s="368"/>
      <c r="F6482" s="368"/>
    </row>
    <row r="6483" spans="1:6" ht="38.25" x14ac:dyDescent="0.2">
      <c r="A6483" s="391">
        <v>103846</v>
      </c>
      <c r="B6483" s="478" t="s">
        <v>3687</v>
      </c>
      <c r="C6483" s="391" t="s">
        <v>26</v>
      </c>
      <c r="D6483" s="479">
        <v>39.56</v>
      </c>
      <c r="E6483" s="368"/>
      <c r="F6483" s="368"/>
    </row>
    <row r="6484" spans="1:6" ht="38.25" x14ac:dyDescent="0.2">
      <c r="A6484" s="391">
        <v>93102</v>
      </c>
      <c r="B6484" s="478" t="s">
        <v>3451</v>
      </c>
      <c r="C6484" s="391" t="s">
        <v>26</v>
      </c>
      <c r="D6484" s="479">
        <v>36.22</v>
      </c>
      <c r="E6484" s="368"/>
      <c r="F6484" s="368"/>
    </row>
    <row r="6485" spans="1:6" ht="38.25" x14ac:dyDescent="0.2">
      <c r="A6485" s="391">
        <v>93123</v>
      </c>
      <c r="B6485" s="478" t="s">
        <v>47997</v>
      </c>
      <c r="C6485" s="391" t="s">
        <v>26</v>
      </c>
      <c r="D6485" s="479">
        <v>60.84</v>
      </c>
      <c r="E6485" s="368"/>
      <c r="F6485" s="368"/>
    </row>
    <row r="6486" spans="1:6" ht="38.25" x14ac:dyDescent="0.2">
      <c r="A6486" s="391">
        <v>93124</v>
      </c>
      <c r="B6486" s="478" t="s">
        <v>3471</v>
      </c>
      <c r="C6486" s="391" t="s">
        <v>26</v>
      </c>
      <c r="D6486" s="479">
        <v>95.74</v>
      </c>
      <c r="E6486" s="368"/>
      <c r="F6486" s="368"/>
    </row>
    <row r="6487" spans="1:6" ht="38.25" x14ac:dyDescent="0.2">
      <c r="A6487" s="391">
        <v>93125</v>
      </c>
      <c r="B6487" s="478" t="s">
        <v>3472</v>
      </c>
      <c r="C6487" s="391" t="s">
        <v>26</v>
      </c>
      <c r="D6487" s="479">
        <v>140.9</v>
      </c>
      <c r="E6487" s="368"/>
      <c r="F6487" s="368"/>
    </row>
    <row r="6488" spans="1:6" ht="38.25" x14ac:dyDescent="0.2">
      <c r="A6488" s="391">
        <v>93126</v>
      </c>
      <c r="B6488" s="478" t="s">
        <v>3473</v>
      </c>
      <c r="C6488" s="391" t="s">
        <v>26</v>
      </c>
      <c r="D6488" s="479">
        <v>312.20999999999998</v>
      </c>
      <c r="E6488" s="368"/>
      <c r="F6488" s="368"/>
    </row>
    <row r="6489" spans="1:6" ht="38.25" x14ac:dyDescent="0.2">
      <c r="A6489" s="391">
        <v>93063</v>
      </c>
      <c r="B6489" s="478" t="s">
        <v>3415</v>
      </c>
      <c r="C6489" s="391" t="s">
        <v>26</v>
      </c>
      <c r="D6489" s="479">
        <v>696.81</v>
      </c>
      <c r="E6489" s="368"/>
      <c r="F6489" s="368"/>
    </row>
    <row r="6490" spans="1:6" ht="38.25" x14ac:dyDescent="0.2">
      <c r="A6490" s="391">
        <v>93066</v>
      </c>
      <c r="B6490" s="478" t="s">
        <v>3418</v>
      </c>
      <c r="C6490" s="391" t="s">
        <v>26</v>
      </c>
      <c r="D6490" s="479">
        <v>874.48</v>
      </c>
      <c r="E6490" s="368"/>
      <c r="F6490" s="368"/>
    </row>
    <row r="6491" spans="1:6" ht="38.25" x14ac:dyDescent="0.2">
      <c r="A6491" s="391">
        <v>93069</v>
      </c>
      <c r="B6491" s="478" t="s">
        <v>3421</v>
      </c>
      <c r="C6491" s="391" t="s">
        <v>26</v>
      </c>
      <c r="D6491" s="479">
        <v>1212.21</v>
      </c>
      <c r="E6491" s="368"/>
      <c r="F6491" s="368"/>
    </row>
    <row r="6492" spans="1:6" ht="38.25" x14ac:dyDescent="0.2">
      <c r="A6492" s="391">
        <v>93072</v>
      </c>
      <c r="B6492" s="478" t="s">
        <v>3424</v>
      </c>
      <c r="C6492" s="391" t="s">
        <v>26</v>
      </c>
      <c r="D6492" s="479">
        <v>1599.86</v>
      </c>
      <c r="E6492" s="368"/>
      <c r="F6492" s="368"/>
    </row>
    <row r="6493" spans="1:6" ht="38.25" x14ac:dyDescent="0.2">
      <c r="A6493" s="391">
        <v>93083</v>
      </c>
      <c r="B6493" s="478" t="s">
        <v>3434</v>
      </c>
      <c r="C6493" s="391" t="s">
        <v>26</v>
      </c>
      <c r="D6493" s="479">
        <v>478.51</v>
      </c>
      <c r="E6493" s="368"/>
      <c r="F6493" s="368"/>
    </row>
    <row r="6494" spans="1:6" ht="38.25" x14ac:dyDescent="0.2">
      <c r="A6494" s="391">
        <v>103886</v>
      </c>
      <c r="B6494" s="478" t="s">
        <v>3721</v>
      </c>
      <c r="C6494" s="391" t="s">
        <v>26</v>
      </c>
      <c r="D6494" s="479">
        <v>481.61</v>
      </c>
      <c r="E6494" s="368"/>
      <c r="F6494" s="368"/>
    </row>
    <row r="6495" spans="1:6" ht="38.25" x14ac:dyDescent="0.2">
      <c r="A6495" s="391">
        <v>103817</v>
      </c>
      <c r="B6495" s="478" t="s">
        <v>3661</v>
      </c>
      <c r="C6495" s="391" t="s">
        <v>26</v>
      </c>
      <c r="D6495" s="479">
        <v>481.59</v>
      </c>
      <c r="E6495" s="368"/>
      <c r="F6495" s="368"/>
    </row>
    <row r="6496" spans="1:6" ht="38.25" x14ac:dyDescent="0.2">
      <c r="A6496" s="391">
        <v>103850</v>
      </c>
      <c r="B6496" s="478" t="s">
        <v>3691</v>
      </c>
      <c r="C6496" s="391" t="s">
        <v>26</v>
      </c>
      <c r="D6496" s="479">
        <v>481.12</v>
      </c>
      <c r="E6496" s="368"/>
      <c r="F6496" s="368"/>
    </row>
    <row r="6497" spans="1:6" ht="38.25" x14ac:dyDescent="0.2">
      <c r="A6497" s="391">
        <v>93106</v>
      </c>
      <c r="B6497" s="478" t="s">
        <v>3455</v>
      </c>
      <c r="C6497" s="391" t="s">
        <v>26</v>
      </c>
      <c r="D6497" s="479">
        <v>478.68</v>
      </c>
      <c r="E6497" s="368"/>
      <c r="F6497" s="368"/>
    </row>
    <row r="6498" spans="1:6" ht="38.25" x14ac:dyDescent="0.2">
      <c r="A6498" s="391">
        <v>93052</v>
      </c>
      <c r="B6498" s="478" t="s">
        <v>3405</v>
      </c>
      <c r="C6498" s="391" t="s">
        <v>26</v>
      </c>
      <c r="D6498" s="479">
        <v>552.79999999999995</v>
      </c>
      <c r="E6498" s="368"/>
      <c r="F6498" s="368"/>
    </row>
    <row r="6499" spans="1:6" ht="38.25" x14ac:dyDescent="0.2">
      <c r="A6499" s="391">
        <v>93086</v>
      </c>
      <c r="B6499" s="478" t="s">
        <v>3437</v>
      </c>
      <c r="C6499" s="391" t="s">
        <v>26</v>
      </c>
      <c r="D6499" s="479">
        <v>555.52</v>
      </c>
      <c r="E6499" s="368"/>
      <c r="F6499" s="368"/>
    </row>
    <row r="6500" spans="1:6" ht="38.25" x14ac:dyDescent="0.2">
      <c r="A6500" s="391">
        <v>103890</v>
      </c>
      <c r="B6500" s="478" t="s">
        <v>3725</v>
      </c>
      <c r="C6500" s="391" t="s">
        <v>26</v>
      </c>
      <c r="D6500" s="479">
        <v>559.33000000000004</v>
      </c>
      <c r="E6500" s="368"/>
      <c r="F6500" s="368"/>
    </row>
    <row r="6501" spans="1:6" ht="38.25" x14ac:dyDescent="0.2">
      <c r="A6501" s="391">
        <v>103821</v>
      </c>
      <c r="B6501" s="478" t="s">
        <v>3665</v>
      </c>
      <c r="C6501" s="391" t="s">
        <v>26</v>
      </c>
      <c r="D6501" s="479">
        <v>563.54</v>
      </c>
      <c r="E6501" s="368"/>
      <c r="F6501" s="368"/>
    </row>
    <row r="6502" spans="1:6" ht="38.25" x14ac:dyDescent="0.2">
      <c r="A6502" s="391">
        <v>103854</v>
      </c>
      <c r="B6502" s="478" t="s">
        <v>3695</v>
      </c>
      <c r="C6502" s="391" t="s">
        <v>26</v>
      </c>
      <c r="D6502" s="479">
        <v>559.88</v>
      </c>
      <c r="E6502" s="368"/>
      <c r="F6502" s="368"/>
    </row>
    <row r="6503" spans="1:6" ht="38.25" x14ac:dyDescent="0.2">
      <c r="A6503" s="391">
        <v>93109</v>
      </c>
      <c r="B6503" s="478" t="s">
        <v>3458</v>
      </c>
      <c r="C6503" s="391" t="s">
        <v>26</v>
      </c>
      <c r="D6503" s="479">
        <v>557.54999999999995</v>
      </c>
      <c r="E6503" s="368"/>
      <c r="F6503" s="368"/>
    </row>
    <row r="6504" spans="1:6" ht="38.25" x14ac:dyDescent="0.2">
      <c r="A6504" s="391">
        <v>93058</v>
      </c>
      <c r="B6504" s="478" t="s">
        <v>3410</v>
      </c>
      <c r="C6504" s="391" t="s">
        <v>26</v>
      </c>
      <c r="D6504" s="479">
        <v>608.11</v>
      </c>
      <c r="E6504" s="368"/>
      <c r="F6504" s="368"/>
    </row>
    <row r="6505" spans="1:6" ht="38.25" x14ac:dyDescent="0.2">
      <c r="A6505" s="391">
        <v>93092</v>
      </c>
      <c r="B6505" s="478" t="s">
        <v>3443</v>
      </c>
      <c r="C6505" s="391" t="s">
        <v>26</v>
      </c>
      <c r="D6505" s="479">
        <v>610.64</v>
      </c>
      <c r="E6505" s="368"/>
      <c r="F6505" s="368"/>
    </row>
    <row r="6506" spans="1:6" ht="38.25" x14ac:dyDescent="0.2">
      <c r="A6506" s="391">
        <v>103898</v>
      </c>
      <c r="B6506" s="478" t="s">
        <v>3733</v>
      </c>
      <c r="C6506" s="391" t="s">
        <v>26</v>
      </c>
      <c r="D6506" s="479">
        <v>615.04</v>
      </c>
      <c r="E6506" s="368"/>
      <c r="F6506" s="368"/>
    </row>
    <row r="6507" spans="1:6" ht="38.25" x14ac:dyDescent="0.2">
      <c r="A6507" s="391">
        <v>103829</v>
      </c>
      <c r="B6507" s="478" t="s">
        <v>3673</v>
      </c>
      <c r="C6507" s="391" t="s">
        <v>26</v>
      </c>
      <c r="D6507" s="479">
        <v>622.39</v>
      </c>
      <c r="E6507" s="368"/>
      <c r="F6507" s="368"/>
    </row>
    <row r="6508" spans="1:6" ht="38.25" x14ac:dyDescent="0.2">
      <c r="A6508" s="391">
        <v>103862</v>
      </c>
      <c r="B6508" s="478" t="s">
        <v>3703</v>
      </c>
      <c r="C6508" s="391" t="s">
        <v>26</v>
      </c>
      <c r="D6508" s="479">
        <v>616.48</v>
      </c>
      <c r="E6508" s="368"/>
      <c r="F6508" s="368"/>
    </row>
    <row r="6509" spans="1:6" ht="38.25" x14ac:dyDescent="0.2">
      <c r="A6509" s="391">
        <v>93116</v>
      </c>
      <c r="B6509" s="478" t="s">
        <v>3464</v>
      </c>
      <c r="C6509" s="391" t="s">
        <v>26</v>
      </c>
      <c r="D6509" s="479">
        <v>614.24</v>
      </c>
      <c r="E6509" s="368"/>
      <c r="F6509" s="368"/>
    </row>
    <row r="6510" spans="1:6" ht="38.25" x14ac:dyDescent="0.2">
      <c r="A6510" s="391">
        <v>92314</v>
      </c>
      <c r="B6510" s="478" t="s">
        <v>3242</v>
      </c>
      <c r="C6510" s="391" t="s">
        <v>26</v>
      </c>
      <c r="D6510" s="479">
        <v>8.84</v>
      </c>
      <c r="E6510" s="368"/>
      <c r="F6510" s="368"/>
    </row>
    <row r="6511" spans="1:6" ht="38.25" x14ac:dyDescent="0.2">
      <c r="A6511" s="391">
        <v>103883</v>
      </c>
      <c r="B6511" s="478" t="s">
        <v>3718</v>
      </c>
      <c r="C6511" s="391" t="s">
        <v>26</v>
      </c>
      <c r="D6511" s="479">
        <v>11.94</v>
      </c>
      <c r="E6511" s="368"/>
      <c r="F6511" s="368"/>
    </row>
    <row r="6512" spans="1:6" ht="38.25" x14ac:dyDescent="0.2">
      <c r="A6512" s="391">
        <v>103814</v>
      </c>
      <c r="B6512" s="478" t="s">
        <v>3658</v>
      </c>
      <c r="C6512" s="391" t="s">
        <v>26</v>
      </c>
      <c r="D6512" s="479">
        <v>11.92</v>
      </c>
      <c r="E6512" s="368"/>
      <c r="F6512" s="368"/>
    </row>
    <row r="6513" spans="1:6" ht="25.5" x14ac:dyDescent="0.2">
      <c r="A6513" s="391">
        <v>103847</v>
      </c>
      <c r="B6513" s="478" t="s">
        <v>3688</v>
      </c>
      <c r="C6513" s="391" t="s">
        <v>26</v>
      </c>
      <c r="D6513" s="479">
        <v>11.45</v>
      </c>
      <c r="E6513" s="368"/>
      <c r="F6513" s="368"/>
    </row>
    <row r="6514" spans="1:6" ht="38.25" x14ac:dyDescent="0.2">
      <c r="A6514" s="391">
        <v>92329</v>
      </c>
      <c r="B6514" s="478" t="s">
        <v>3251</v>
      </c>
      <c r="C6514" s="391" t="s">
        <v>26</v>
      </c>
      <c r="D6514" s="479">
        <v>9.01</v>
      </c>
      <c r="E6514" s="368"/>
      <c r="F6514" s="368"/>
    </row>
    <row r="6515" spans="1:6" ht="25.5" x14ac:dyDescent="0.2">
      <c r="A6515" s="391">
        <v>92293</v>
      </c>
      <c r="B6515" s="478" t="s">
        <v>3228</v>
      </c>
      <c r="C6515" s="391" t="s">
        <v>26</v>
      </c>
      <c r="D6515" s="479">
        <v>10.33</v>
      </c>
      <c r="E6515" s="368"/>
      <c r="F6515" s="368"/>
    </row>
    <row r="6516" spans="1:6" ht="38.25" x14ac:dyDescent="0.2">
      <c r="A6516" s="391">
        <v>92315</v>
      </c>
      <c r="B6516" s="478" t="s">
        <v>3243</v>
      </c>
      <c r="C6516" s="391" t="s">
        <v>26</v>
      </c>
      <c r="D6516" s="479">
        <v>13.05</v>
      </c>
      <c r="E6516" s="368"/>
      <c r="F6516" s="368"/>
    </row>
    <row r="6517" spans="1:6" ht="38.25" x14ac:dyDescent="0.2">
      <c r="A6517" s="391">
        <v>103888</v>
      </c>
      <c r="B6517" s="478" t="s">
        <v>3723</v>
      </c>
      <c r="C6517" s="391" t="s">
        <v>26</v>
      </c>
      <c r="D6517" s="479">
        <v>16.86</v>
      </c>
      <c r="E6517" s="368"/>
      <c r="F6517" s="368"/>
    </row>
    <row r="6518" spans="1:6" ht="38.25" x14ac:dyDescent="0.2">
      <c r="A6518" s="391">
        <v>103819</v>
      </c>
      <c r="B6518" s="478" t="s">
        <v>3663</v>
      </c>
      <c r="C6518" s="391" t="s">
        <v>26</v>
      </c>
      <c r="D6518" s="479">
        <v>21.07</v>
      </c>
      <c r="E6518" s="368"/>
      <c r="F6518" s="368"/>
    </row>
    <row r="6519" spans="1:6" ht="25.5" x14ac:dyDescent="0.2">
      <c r="A6519" s="391">
        <v>103852</v>
      </c>
      <c r="B6519" s="478" t="s">
        <v>3693</v>
      </c>
      <c r="C6519" s="391" t="s">
        <v>26</v>
      </c>
      <c r="D6519" s="479">
        <v>17.41</v>
      </c>
      <c r="E6519" s="368"/>
      <c r="F6519" s="368"/>
    </row>
    <row r="6520" spans="1:6" ht="38.25" x14ac:dyDescent="0.2">
      <c r="A6520" s="391">
        <v>92330</v>
      </c>
      <c r="B6520" s="478" t="s">
        <v>3252</v>
      </c>
      <c r="C6520" s="391" t="s">
        <v>26</v>
      </c>
      <c r="D6520" s="479">
        <v>15.08</v>
      </c>
      <c r="E6520" s="368"/>
      <c r="F6520" s="368"/>
    </row>
    <row r="6521" spans="1:6" ht="25.5" x14ac:dyDescent="0.2">
      <c r="A6521" s="391">
        <v>92294</v>
      </c>
      <c r="B6521" s="478" t="s">
        <v>3229</v>
      </c>
      <c r="C6521" s="391" t="s">
        <v>26</v>
      </c>
      <c r="D6521" s="479">
        <v>17.600000000000001</v>
      </c>
      <c r="E6521" s="368"/>
      <c r="F6521" s="368"/>
    </row>
    <row r="6522" spans="1:6" ht="38.25" x14ac:dyDescent="0.2">
      <c r="A6522" s="391">
        <v>92316</v>
      </c>
      <c r="B6522" s="478" t="s">
        <v>3244</v>
      </c>
      <c r="C6522" s="391" t="s">
        <v>26</v>
      </c>
      <c r="D6522" s="479">
        <v>20.13</v>
      </c>
      <c r="E6522" s="368"/>
      <c r="F6522" s="368"/>
    </row>
    <row r="6523" spans="1:6" ht="38.25" x14ac:dyDescent="0.2">
      <c r="A6523" s="391">
        <v>103895</v>
      </c>
      <c r="B6523" s="478" t="s">
        <v>3730</v>
      </c>
      <c r="C6523" s="391" t="s">
        <v>26</v>
      </c>
      <c r="D6523" s="479">
        <v>24.53</v>
      </c>
      <c r="E6523" s="368"/>
      <c r="F6523" s="368"/>
    </row>
    <row r="6524" spans="1:6" ht="38.25" x14ac:dyDescent="0.2">
      <c r="A6524" s="391">
        <v>103826</v>
      </c>
      <c r="B6524" s="478" t="s">
        <v>3670</v>
      </c>
      <c r="C6524" s="391" t="s">
        <v>26</v>
      </c>
      <c r="D6524" s="479">
        <v>31.88</v>
      </c>
      <c r="E6524" s="368"/>
      <c r="F6524" s="368"/>
    </row>
    <row r="6525" spans="1:6" ht="25.5" x14ac:dyDescent="0.2">
      <c r="A6525" s="391">
        <v>103859</v>
      </c>
      <c r="B6525" s="478" t="s">
        <v>3700</v>
      </c>
      <c r="C6525" s="391" t="s">
        <v>26</v>
      </c>
      <c r="D6525" s="479">
        <v>25.97</v>
      </c>
      <c r="E6525" s="368"/>
      <c r="F6525" s="368"/>
    </row>
    <row r="6526" spans="1:6" ht="38.25" x14ac:dyDescent="0.2">
      <c r="A6526" s="391">
        <v>92331</v>
      </c>
      <c r="B6526" s="478" t="s">
        <v>3253</v>
      </c>
      <c r="C6526" s="391" t="s">
        <v>26</v>
      </c>
      <c r="D6526" s="479">
        <v>23.73</v>
      </c>
      <c r="E6526" s="368"/>
      <c r="F6526" s="368"/>
    </row>
    <row r="6527" spans="1:6" ht="25.5" x14ac:dyDescent="0.2">
      <c r="A6527" s="391">
        <v>92295</v>
      </c>
      <c r="B6527" s="478" t="s">
        <v>3230</v>
      </c>
      <c r="C6527" s="391" t="s">
        <v>26</v>
      </c>
      <c r="D6527" s="479">
        <v>33.43</v>
      </c>
      <c r="E6527" s="368"/>
      <c r="F6527" s="368"/>
    </row>
    <row r="6528" spans="1:6" ht="25.5" x14ac:dyDescent="0.2">
      <c r="A6528" s="391">
        <v>92296</v>
      </c>
      <c r="B6528" s="478" t="s">
        <v>3231</v>
      </c>
      <c r="C6528" s="391" t="s">
        <v>26</v>
      </c>
      <c r="D6528" s="479">
        <v>44.35</v>
      </c>
      <c r="E6528" s="368"/>
      <c r="F6528" s="368"/>
    </row>
    <row r="6529" spans="1:6" ht="25.5" x14ac:dyDescent="0.2">
      <c r="A6529" s="391">
        <v>92297</v>
      </c>
      <c r="B6529" s="478" t="s">
        <v>3232</v>
      </c>
      <c r="C6529" s="391" t="s">
        <v>26</v>
      </c>
      <c r="D6529" s="479">
        <v>68.97</v>
      </c>
      <c r="E6529" s="368"/>
      <c r="F6529" s="368"/>
    </row>
    <row r="6530" spans="1:6" ht="25.5" x14ac:dyDescent="0.2">
      <c r="A6530" s="391">
        <v>92298</v>
      </c>
      <c r="B6530" s="478" t="s">
        <v>3233</v>
      </c>
      <c r="C6530" s="391" t="s">
        <v>26</v>
      </c>
      <c r="D6530" s="479">
        <v>195.03</v>
      </c>
      <c r="E6530" s="368"/>
      <c r="F6530" s="368"/>
    </row>
    <row r="6531" spans="1:6" ht="38.25" x14ac:dyDescent="0.2">
      <c r="A6531" s="391">
        <v>93080</v>
      </c>
      <c r="B6531" s="478" t="s">
        <v>3431</v>
      </c>
      <c r="C6531" s="391" t="s">
        <v>26</v>
      </c>
      <c r="D6531" s="479">
        <v>8.8699999999999992</v>
      </c>
      <c r="E6531" s="368"/>
      <c r="F6531" s="368"/>
    </row>
    <row r="6532" spans="1:6" ht="38.25" x14ac:dyDescent="0.2">
      <c r="A6532" s="391">
        <v>103884</v>
      </c>
      <c r="B6532" s="478" t="s">
        <v>3719</v>
      </c>
      <c r="C6532" s="391" t="s">
        <v>26</v>
      </c>
      <c r="D6532" s="479">
        <v>11.97</v>
      </c>
      <c r="E6532" s="368"/>
      <c r="F6532" s="368"/>
    </row>
    <row r="6533" spans="1:6" ht="38.25" x14ac:dyDescent="0.2">
      <c r="A6533" s="391">
        <v>103815</v>
      </c>
      <c r="B6533" s="478" t="s">
        <v>3659</v>
      </c>
      <c r="C6533" s="391" t="s">
        <v>26</v>
      </c>
      <c r="D6533" s="479">
        <v>11.95</v>
      </c>
      <c r="E6533" s="368"/>
      <c r="F6533" s="368"/>
    </row>
    <row r="6534" spans="1:6" ht="38.25" x14ac:dyDescent="0.2">
      <c r="A6534" s="391">
        <v>103848</v>
      </c>
      <c r="B6534" s="478" t="s">
        <v>3689</v>
      </c>
      <c r="C6534" s="391" t="s">
        <v>26</v>
      </c>
      <c r="D6534" s="479">
        <v>11.48</v>
      </c>
      <c r="E6534" s="368"/>
      <c r="F6534" s="368"/>
    </row>
    <row r="6535" spans="1:6" ht="38.25" x14ac:dyDescent="0.2">
      <c r="A6535" s="391">
        <v>93103</v>
      </c>
      <c r="B6535" s="478" t="s">
        <v>3452</v>
      </c>
      <c r="C6535" s="391" t="s">
        <v>26</v>
      </c>
      <c r="D6535" s="479">
        <v>9.0399999999999991</v>
      </c>
      <c r="E6535" s="368"/>
      <c r="F6535" s="368"/>
    </row>
    <row r="6536" spans="1:6" ht="38.25" x14ac:dyDescent="0.2">
      <c r="A6536" s="391">
        <v>93050</v>
      </c>
      <c r="B6536" s="478" t="s">
        <v>3404</v>
      </c>
      <c r="C6536" s="391" t="s">
        <v>26</v>
      </c>
      <c r="D6536" s="479">
        <v>11.73</v>
      </c>
      <c r="E6536" s="368"/>
      <c r="F6536" s="368"/>
    </row>
    <row r="6537" spans="1:6" ht="38.25" x14ac:dyDescent="0.2">
      <c r="A6537" s="391">
        <v>93084</v>
      </c>
      <c r="B6537" s="478" t="s">
        <v>3435</v>
      </c>
      <c r="C6537" s="391" t="s">
        <v>26</v>
      </c>
      <c r="D6537" s="479">
        <v>14.45</v>
      </c>
      <c r="E6537" s="368"/>
      <c r="F6537" s="368"/>
    </row>
    <row r="6538" spans="1:6" ht="38.25" x14ac:dyDescent="0.2">
      <c r="A6538" s="391">
        <v>103889</v>
      </c>
      <c r="B6538" s="478" t="s">
        <v>3724</v>
      </c>
      <c r="C6538" s="391" t="s">
        <v>26</v>
      </c>
      <c r="D6538" s="479">
        <v>18.260000000000002</v>
      </c>
      <c r="E6538" s="368"/>
      <c r="F6538" s="368"/>
    </row>
    <row r="6539" spans="1:6" ht="38.25" x14ac:dyDescent="0.2">
      <c r="A6539" s="391">
        <v>103820</v>
      </c>
      <c r="B6539" s="478" t="s">
        <v>3664</v>
      </c>
      <c r="C6539" s="391" t="s">
        <v>26</v>
      </c>
      <c r="D6539" s="479">
        <v>22.47</v>
      </c>
      <c r="E6539" s="368"/>
      <c r="F6539" s="368"/>
    </row>
    <row r="6540" spans="1:6" ht="38.25" x14ac:dyDescent="0.2">
      <c r="A6540" s="391">
        <v>103853</v>
      </c>
      <c r="B6540" s="478" t="s">
        <v>3694</v>
      </c>
      <c r="C6540" s="391" t="s">
        <v>26</v>
      </c>
      <c r="D6540" s="479">
        <v>18.809999999999999</v>
      </c>
      <c r="E6540" s="368"/>
      <c r="F6540" s="368"/>
    </row>
    <row r="6541" spans="1:6" ht="38.25" x14ac:dyDescent="0.2">
      <c r="A6541" s="391">
        <v>93107</v>
      </c>
      <c r="B6541" s="478" t="s">
        <v>3456</v>
      </c>
      <c r="C6541" s="391" t="s">
        <v>26</v>
      </c>
      <c r="D6541" s="479">
        <v>16.48</v>
      </c>
      <c r="E6541" s="368"/>
      <c r="F6541" s="368"/>
    </row>
    <row r="6542" spans="1:6" ht="38.25" x14ac:dyDescent="0.2">
      <c r="A6542" s="391">
        <v>93056</v>
      </c>
      <c r="B6542" s="478" t="s">
        <v>3408</v>
      </c>
      <c r="C6542" s="391" t="s">
        <v>26</v>
      </c>
      <c r="D6542" s="479">
        <v>17.600000000000001</v>
      </c>
      <c r="E6542" s="368"/>
      <c r="F6542" s="368"/>
    </row>
    <row r="6543" spans="1:6" ht="38.25" x14ac:dyDescent="0.2">
      <c r="A6543" s="391">
        <v>93090</v>
      </c>
      <c r="B6543" s="478" t="s">
        <v>3441</v>
      </c>
      <c r="C6543" s="391" t="s">
        <v>26</v>
      </c>
      <c r="D6543" s="479">
        <v>20.13</v>
      </c>
      <c r="E6543" s="368"/>
      <c r="F6543" s="368"/>
    </row>
    <row r="6544" spans="1:6" ht="38.25" x14ac:dyDescent="0.2">
      <c r="A6544" s="391">
        <v>103896</v>
      </c>
      <c r="B6544" s="478" t="s">
        <v>3731</v>
      </c>
      <c r="C6544" s="391" t="s">
        <v>26</v>
      </c>
      <c r="D6544" s="479">
        <v>24.53</v>
      </c>
      <c r="E6544" s="368"/>
      <c r="F6544" s="368"/>
    </row>
    <row r="6545" spans="1:6" ht="38.25" x14ac:dyDescent="0.2">
      <c r="A6545" s="391">
        <v>103827</v>
      </c>
      <c r="B6545" s="478" t="s">
        <v>3671</v>
      </c>
      <c r="C6545" s="391" t="s">
        <v>26</v>
      </c>
      <c r="D6545" s="479">
        <v>31.88</v>
      </c>
      <c r="E6545" s="368"/>
      <c r="F6545" s="368"/>
    </row>
    <row r="6546" spans="1:6" ht="38.25" x14ac:dyDescent="0.2">
      <c r="A6546" s="391">
        <v>103860</v>
      </c>
      <c r="B6546" s="478" t="s">
        <v>3701</v>
      </c>
      <c r="C6546" s="391" t="s">
        <v>26</v>
      </c>
      <c r="D6546" s="479">
        <v>25.97</v>
      </c>
      <c r="E6546" s="368"/>
      <c r="F6546" s="368"/>
    </row>
    <row r="6547" spans="1:6" ht="38.25" x14ac:dyDescent="0.2">
      <c r="A6547" s="391">
        <v>93113</v>
      </c>
      <c r="B6547" s="478" t="s">
        <v>47998</v>
      </c>
      <c r="C6547" s="391" t="s">
        <v>26</v>
      </c>
      <c r="D6547" s="479">
        <v>23.73</v>
      </c>
      <c r="E6547" s="368"/>
      <c r="F6547" s="368"/>
    </row>
    <row r="6548" spans="1:6" ht="38.25" x14ac:dyDescent="0.2">
      <c r="A6548" s="391">
        <v>93061</v>
      </c>
      <c r="B6548" s="478" t="s">
        <v>3413</v>
      </c>
      <c r="C6548" s="391" t="s">
        <v>26</v>
      </c>
      <c r="D6548" s="479">
        <v>33.57</v>
      </c>
      <c r="E6548" s="368"/>
      <c r="F6548" s="368"/>
    </row>
    <row r="6549" spans="1:6" ht="38.25" x14ac:dyDescent="0.2">
      <c r="A6549" s="391">
        <v>93064</v>
      </c>
      <c r="B6549" s="478" t="s">
        <v>3416</v>
      </c>
      <c r="C6549" s="391" t="s">
        <v>26</v>
      </c>
      <c r="D6549" s="479">
        <v>51.66</v>
      </c>
      <c r="E6549" s="368"/>
      <c r="F6549" s="368"/>
    </row>
    <row r="6550" spans="1:6" ht="38.25" x14ac:dyDescent="0.2">
      <c r="A6550" s="391">
        <v>93067</v>
      </c>
      <c r="B6550" s="478" t="s">
        <v>3419</v>
      </c>
      <c r="C6550" s="391" t="s">
        <v>26</v>
      </c>
      <c r="D6550" s="479">
        <v>76.930000000000007</v>
      </c>
      <c r="E6550" s="368"/>
      <c r="F6550" s="368"/>
    </row>
    <row r="6551" spans="1:6" ht="38.25" x14ac:dyDescent="0.2">
      <c r="A6551" s="391">
        <v>93070</v>
      </c>
      <c r="B6551" s="478" t="s">
        <v>3422</v>
      </c>
      <c r="C6551" s="391" t="s">
        <v>26</v>
      </c>
      <c r="D6551" s="479">
        <v>195.03</v>
      </c>
      <c r="E6551" s="368"/>
      <c r="F6551" s="368"/>
    </row>
    <row r="6552" spans="1:6" ht="38.25" x14ac:dyDescent="0.2">
      <c r="A6552" s="391">
        <v>93117</v>
      </c>
      <c r="B6552" s="478" t="s">
        <v>3465</v>
      </c>
      <c r="C6552" s="391" t="s">
        <v>26</v>
      </c>
      <c r="D6552" s="479">
        <v>61.25</v>
      </c>
      <c r="E6552" s="368"/>
      <c r="F6552" s="368"/>
    </row>
    <row r="6553" spans="1:6" ht="38.25" x14ac:dyDescent="0.2">
      <c r="A6553" s="391">
        <v>93118</v>
      </c>
      <c r="B6553" s="478" t="s">
        <v>3466</v>
      </c>
      <c r="C6553" s="391" t="s">
        <v>26</v>
      </c>
      <c r="D6553" s="479">
        <v>90.25</v>
      </c>
      <c r="E6553" s="368"/>
      <c r="F6553" s="368"/>
    </row>
    <row r="6554" spans="1:6" ht="38.25" x14ac:dyDescent="0.2">
      <c r="A6554" s="391">
        <v>92317</v>
      </c>
      <c r="B6554" s="478" t="s">
        <v>3245</v>
      </c>
      <c r="C6554" s="391" t="s">
        <v>26</v>
      </c>
      <c r="D6554" s="479">
        <v>18.579999999999998</v>
      </c>
      <c r="E6554" s="368"/>
      <c r="F6554" s="368"/>
    </row>
    <row r="6555" spans="1:6" ht="25.5" x14ac:dyDescent="0.2">
      <c r="A6555" s="391">
        <v>92332</v>
      </c>
      <c r="B6555" s="478" t="s">
        <v>3254</v>
      </c>
      <c r="C6555" s="391" t="s">
        <v>26</v>
      </c>
      <c r="D6555" s="479">
        <v>18.920000000000002</v>
      </c>
      <c r="E6555" s="368"/>
      <c r="F6555" s="368"/>
    </row>
    <row r="6556" spans="1:6" ht="25.5" x14ac:dyDescent="0.2">
      <c r="A6556" s="391">
        <v>92299</v>
      </c>
      <c r="B6556" s="478" t="s">
        <v>3234</v>
      </c>
      <c r="C6556" s="391" t="s">
        <v>26</v>
      </c>
      <c r="D6556" s="479">
        <v>24.05</v>
      </c>
      <c r="E6556" s="368"/>
      <c r="F6556" s="368"/>
    </row>
    <row r="6557" spans="1:6" ht="38.25" x14ac:dyDescent="0.2">
      <c r="A6557" s="391">
        <v>92318</v>
      </c>
      <c r="B6557" s="478" t="s">
        <v>3246</v>
      </c>
      <c r="C6557" s="391" t="s">
        <v>26</v>
      </c>
      <c r="D6557" s="479">
        <v>29.49</v>
      </c>
      <c r="E6557" s="368"/>
      <c r="F6557" s="368"/>
    </row>
    <row r="6558" spans="1:6" ht="25.5" x14ac:dyDescent="0.2">
      <c r="A6558" s="391">
        <v>103833</v>
      </c>
      <c r="B6558" s="478" t="s">
        <v>3677</v>
      </c>
      <c r="C6558" s="391" t="s">
        <v>26</v>
      </c>
      <c r="D6558" s="479">
        <v>45.47</v>
      </c>
      <c r="E6558" s="368"/>
      <c r="F6558" s="368"/>
    </row>
    <row r="6559" spans="1:6" ht="25.5" x14ac:dyDescent="0.2">
      <c r="A6559" s="391">
        <v>92333</v>
      </c>
      <c r="B6559" s="478" t="s">
        <v>3255</v>
      </c>
      <c r="C6559" s="391" t="s">
        <v>26</v>
      </c>
      <c r="D6559" s="479">
        <v>33.53</v>
      </c>
      <c r="E6559" s="368"/>
      <c r="F6559" s="368"/>
    </row>
    <row r="6560" spans="1:6" ht="25.5" x14ac:dyDescent="0.2">
      <c r="A6560" s="391">
        <v>92300</v>
      </c>
      <c r="B6560" s="478" t="s">
        <v>3235</v>
      </c>
      <c r="C6560" s="391" t="s">
        <v>26</v>
      </c>
      <c r="D6560" s="479">
        <v>36.76</v>
      </c>
      <c r="E6560" s="368"/>
      <c r="F6560" s="368"/>
    </row>
    <row r="6561" spans="1:6" ht="38.25" x14ac:dyDescent="0.2">
      <c r="A6561" s="391">
        <v>92319</v>
      </c>
      <c r="B6561" s="478" t="s">
        <v>3247</v>
      </c>
      <c r="C6561" s="391" t="s">
        <v>26</v>
      </c>
      <c r="D6561" s="479">
        <v>41.8</v>
      </c>
      <c r="E6561" s="368"/>
      <c r="F6561" s="368"/>
    </row>
    <row r="6562" spans="1:6" ht="25.5" x14ac:dyDescent="0.2">
      <c r="A6562" s="391">
        <v>92334</v>
      </c>
      <c r="B6562" s="478" t="s">
        <v>3256</v>
      </c>
      <c r="C6562" s="391" t="s">
        <v>26</v>
      </c>
      <c r="D6562" s="479">
        <v>48.98</v>
      </c>
      <c r="E6562" s="368"/>
      <c r="F6562" s="368"/>
    </row>
    <row r="6563" spans="1:6" ht="25.5" x14ac:dyDescent="0.2">
      <c r="A6563" s="391">
        <v>92301</v>
      </c>
      <c r="B6563" s="478" t="s">
        <v>3236</v>
      </c>
      <c r="C6563" s="391" t="s">
        <v>26</v>
      </c>
      <c r="D6563" s="479">
        <v>73.319999999999993</v>
      </c>
      <c r="E6563" s="368"/>
      <c r="F6563" s="368"/>
    </row>
    <row r="6564" spans="1:6" ht="25.5" x14ac:dyDescent="0.2">
      <c r="A6564" s="391">
        <v>92302</v>
      </c>
      <c r="B6564" s="478" t="s">
        <v>3237</v>
      </c>
      <c r="C6564" s="391" t="s">
        <v>26</v>
      </c>
      <c r="D6564" s="479">
        <v>97</v>
      </c>
      <c r="E6564" s="368"/>
      <c r="F6564" s="368"/>
    </row>
    <row r="6565" spans="1:6" ht="25.5" x14ac:dyDescent="0.2">
      <c r="A6565" s="391">
        <v>92303</v>
      </c>
      <c r="B6565" s="478" t="s">
        <v>3238</v>
      </c>
      <c r="C6565" s="391" t="s">
        <v>26</v>
      </c>
      <c r="D6565" s="479">
        <v>178.66</v>
      </c>
      <c r="E6565" s="368"/>
      <c r="F6565" s="368"/>
    </row>
    <row r="6566" spans="1:6" ht="25.5" x14ac:dyDescent="0.2">
      <c r="A6566" s="391">
        <v>92304</v>
      </c>
      <c r="B6566" s="478" t="s">
        <v>3239</v>
      </c>
      <c r="C6566" s="391" t="s">
        <v>26</v>
      </c>
      <c r="D6566" s="479">
        <v>465.91</v>
      </c>
      <c r="E6566" s="368"/>
      <c r="F6566" s="368"/>
    </row>
    <row r="6567" spans="1:6" ht="38.25" x14ac:dyDescent="0.2">
      <c r="A6567" s="391">
        <v>103835</v>
      </c>
      <c r="B6567" s="478" t="s">
        <v>2932</v>
      </c>
      <c r="C6567" s="391" t="s">
        <v>0</v>
      </c>
      <c r="D6567" s="479">
        <v>65.77</v>
      </c>
      <c r="E6567" s="368"/>
      <c r="F6567" s="368"/>
    </row>
    <row r="6568" spans="1:6" ht="38.25" x14ac:dyDescent="0.2">
      <c r="A6568" s="391">
        <v>92308</v>
      </c>
      <c r="B6568" s="478" t="s">
        <v>2835</v>
      </c>
      <c r="C6568" s="391" t="s">
        <v>0</v>
      </c>
      <c r="D6568" s="479">
        <v>54.38</v>
      </c>
      <c r="E6568" s="368"/>
      <c r="F6568" s="368"/>
    </row>
    <row r="6569" spans="1:6" ht="38.25" x14ac:dyDescent="0.2">
      <c r="A6569" s="391">
        <v>103871</v>
      </c>
      <c r="B6569" s="478" t="s">
        <v>2938</v>
      </c>
      <c r="C6569" s="391" t="s">
        <v>0</v>
      </c>
      <c r="D6569" s="479">
        <v>63.42</v>
      </c>
      <c r="E6569" s="368"/>
      <c r="F6569" s="368"/>
    </row>
    <row r="6570" spans="1:6" ht="38.25" x14ac:dyDescent="0.2">
      <c r="A6570" s="391">
        <v>92323</v>
      </c>
      <c r="B6570" s="478" t="s">
        <v>2841</v>
      </c>
      <c r="C6570" s="391" t="s">
        <v>0</v>
      </c>
      <c r="D6570" s="479">
        <v>62.92</v>
      </c>
      <c r="E6570" s="368"/>
      <c r="F6570" s="368"/>
    </row>
    <row r="6571" spans="1:6" ht="38.25" x14ac:dyDescent="0.2">
      <c r="A6571" s="391">
        <v>92305</v>
      </c>
      <c r="B6571" s="478" t="s">
        <v>2832</v>
      </c>
      <c r="C6571" s="391" t="s">
        <v>0</v>
      </c>
      <c r="D6571" s="479">
        <v>39.96</v>
      </c>
      <c r="E6571" s="368"/>
      <c r="F6571" s="368"/>
    </row>
    <row r="6572" spans="1:6" ht="38.25" x14ac:dyDescent="0.2">
      <c r="A6572" s="391">
        <v>103868</v>
      </c>
      <c r="B6572" s="478" t="s">
        <v>2935</v>
      </c>
      <c r="C6572" s="391" t="s">
        <v>0</v>
      </c>
      <c r="D6572" s="479">
        <v>51.81</v>
      </c>
      <c r="E6572" s="368"/>
      <c r="F6572" s="368"/>
    </row>
    <row r="6573" spans="1:6" ht="38.25" x14ac:dyDescent="0.2">
      <c r="A6573" s="391">
        <v>103802</v>
      </c>
      <c r="B6573" s="478" t="s">
        <v>2929</v>
      </c>
      <c r="C6573" s="391" t="s">
        <v>0</v>
      </c>
      <c r="D6573" s="479">
        <v>42.11</v>
      </c>
      <c r="E6573" s="368"/>
      <c r="F6573" s="368"/>
    </row>
    <row r="6574" spans="1:6" ht="38.25" x14ac:dyDescent="0.2">
      <c r="A6574" s="391">
        <v>92320</v>
      </c>
      <c r="B6574" s="478" t="s">
        <v>2838</v>
      </c>
      <c r="C6574" s="391" t="s">
        <v>0</v>
      </c>
      <c r="D6574" s="479">
        <v>51.2</v>
      </c>
      <c r="E6574" s="368"/>
      <c r="F6574" s="368"/>
    </row>
    <row r="6575" spans="1:6" ht="38.25" x14ac:dyDescent="0.2">
      <c r="A6575" s="391">
        <v>97335</v>
      </c>
      <c r="B6575" s="478" t="s">
        <v>2886</v>
      </c>
      <c r="C6575" s="391" t="s">
        <v>0</v>
      </c>
      <c r="D6575" s="479">
        <v>85.72</v>
      </c>
      <c r="E6575" s="368"/>
      <c r="F6575" s="368"/>
    </row>
    <row r="6576" spans="1:6" ht="38.25" x14ac:dyDescent="0.2">
      <c r="A6576" s="391">
        <v>103836</v>
      </c>
      <c r="B6576" s="478" t="s">
        <v>2933</v>
      </c>
      <c r="C6576" s="391" t="s">
        <v>0</v>
      </c>
      <c r="D6576" s="479">
        <v>102.4</v>
      </c>
      <c r="E6576" s="368"/>
      <c r="F6576" s="368"/>
    </row>
    <row r="6577" spans="1:6" ht="38.25" x14ac:dyDescent="0.2">
      <c r="A6577" s="391">
        <v>92281</v>
      </c>
      <c r="B6577" s="478" t="s">
        <v>2826</v>
      </c>
      <c r="C6577" s="391" t="s">
        <v>0</v>
      </c>
      <c r="D6577" s="479">
        <v>113.35</v>
      </c>
      <c r="E6577" s="368"/>
      <c r="F6577" s="368"/>
    </row>
    <row r="6578" spans="1:6" ht="38.25" x14ac:dyDescent="0.2">
      <c r="A6578" s="391">
        <v>92309</v>
      </c>
      <c r="B6578" s="478" t="s">
        <v>2836</v>
      </c>
      <c r="C6578" s="391" t="s">
        <v>0</v>
      </c>
      <c r="D6578" s="479">
        <v>121.55</v>
      </c>
      <c r="E6578" s="368"/>
      <c r="F6578" s="368"/>
    </row>
    <row r="6579" spans="1:6" ht="38.25" x14ac:dyDescent="0.2">
      <c r="A6579" s="391">
        <v>103872</v>
      </c>
      <c r="B6579" s="478" t="s">
        <v>2939</v>
      </c>
      <c r="C6579" s="391" t="s">
        <v>0</v>
      </c>
      <c r="D6579" s="479">
        <v>132.91999999999999</v>
      </c>
      <c r="E6579" s="368"/>
      <c r="F6579" s="368"/>
    </row>
    <row r="6580" spans="1:6" ht="38.25" x14ac:dyDescent="0.2">
      <c r="A6580" s="391">
        <v>92324</v>
      </c>
      <c r="B6580" s="478" t="s">
        <v>2842</v>
      </c>
      <c r="C6580" s="391" t="s">
        <v>0</v>
      </c>
      <c r="D6580" s="479">
        <v>138.22</v>
      </c>
      <c r="E6580" s="368"/>
      <c r="F6580" s="368"/>
    </row>
    <row r="6581" spans="1:6" ht="38.25" x14ac:dyDescent="0.2">
      <c r="A6581" s="391">
        <v>92275</v>
      </c>
      <c r="B6581" s="478" t="s">
        <v>2820</v>
      </c>
      <c r="C6581" s="391" t="s">
        <v>0</v>
      </c>
      <c r="D6581" s="479">
        <v>59.53</v>
      </c>
      <c r="E6581" s="368"/>
      <c r="F6581" s="368"/>
    </row>
    <row r="6582" spans="1:6" ht="38.25" x14ac:dyDescent="0.2">
      <c r="A6582" s="391">
        <v>92306</v>
      </c>
      <c r="B6582" s="478" t="s">
        <v>2833</v>
      </c>
      <c r="C6582" s="391" t="s">
        <v>0</v>
      </c>
      <c r="D6582" s="479">
        <v>65</v>
      </c>
      <c r="E6582" s="368"/>
      <c r="F6582" s="368"/>
    </row>
    <row r="6583" spans="1:6" ht="38.25" x14ac:dyDescent="0.2">
      <c r="A6583" s="391">
        <v>103869</v>
      </c>
      <c r="B6583" s="478" t="s">
        <v>2936</v>
      </c>
      <c r="C6583" s="391" t="s">
        <v>0</v>
      </c>
      <c r="D6583" s="479">
        <v>79.19</v>
      </c>
      <c r="E6583" s="368"/>
      <c r="F6583" s="368"/>
    </row>
    <row r="6584" spans="1:6" ht="38.25" x14ac:dyDescent="0.2">
      <c r="A6584" s="391">
        <v>103803</v>
      </c>
      <c r="B6584" s="478" t="s">
        <v>2930</v>
      </c>
      <c r="C6584" s="391" t="s">
        <v>0</v>
      </c>
      <c r="D6584" s="479">
        <v>72.39</v>
      </c>
      <c r="E6584" s="368"/>
      <c r="F6584" s="368"/>
    </row>
    <row r="6585" spans="1:6" ht="38.25" x14ac:dyDescent="0.2">
      <c r="A6585" s="391">
        <v>92321</v>
      </c>
      <c r="B6585" s="478" t="s">
        <v>2839</v>
      </c>
      <c r="C6585" s="391" t="s">
        <v>0</v>
      </c>
      <c r="D6585" s="479">
        <v>84.38</v>
      </c>
      <c r="E6585" s="368"/>
      <c r="F6585" s="368"/>
    </row>
    <row r="6586" spans="1:6" ht="38.25" x14ac:dyDescent="0.2">
      <c r="A6586" s="391">
        <v>97336</v>
      </c>
      <c r="B6586" s="478" t="s">
        <v>2887</v>
      </c>
      <c r="C6586" s="391" t="s">
        <v>0</v>
      </c>
      <c r="D6586" s="479">
        <v>109.1</v>
      </c>
      <c r="E6586" s="368"/>
      <c r="F6586" s="368"/>
    </row>
    <row r="6587" spans="1:6" ht="38.25" x14ac:dyDescent="0.2">
      <c r="A6587" s="391">
        <v>103837</v>
      </c>
      <c r="B6587" s="478" t="s">
        <v>2934</v>
      </c>
      <c r="C6587" s="391" t="s">
        <v>0</v>
      </c>
      <c r="D6587" s="479">
        <v>129.19</v>
      </c>
      <c r="E6587" s="368"/>
      <c r="F6587" s="368"/>
    </row>
    <row r="6588" spans="1:6" ht="38.25" x14ac:dyDescent="0.2">
      <c r="A6588" s="391">
        <v>92282</v>
      </c>
      <c r="B6588" s="478" t="s">
        <v>2827</v>
      </c>
      <c r="C6588" s="391" t="s">
        <v>0</v>
      </c>
      <c r="D6588" s="479">
        <v>131.61000000000001</v>
      </c>
      <c r="E6588" s="368"/>
      <c r="F6588" s="368"/>
    </row>
    <row r="6589" spans="1:6" ht="38.25" x14ac:dyDescent="0.2">
      <c r="A6589" s="391">
        <v>92310</v>
      </c>
      <c r="B6589" s="478" t="s">
        <v>2837</v>
      </c>
      <c r="C6589" s="391" t="s">
        <v>0</v>
      </c>
      <c r="D6589" s="479">
        <v>140.06</v>
      </c>
      <c r="E6589" s="368"/>
      <c r="F6589" s="368"/>
    </row>
    <row r="6590" spans="1:6" ht="38.25" x14ac:dyDescent="0.2">
      <c r="A6590" s="391">
        <v>103873</v>
      </c>
      <c r="B6590" s="478" t="s">
        <v>2940</v>
      </c>
      <c r="C6590" s="391" t="s">
        <v>0</v>
      </c>
      <c r="D6590" s="479">
        <v>153.43</v>
      </c>
      <c r="E6590" s="368"/>
      <c r="F6590" s="368"/>
    </row>
    <row r="6591" spans="1:6" ht="38.25" x14ac:dyDescent="0.2">
      <c r="A6591" s="391">
        <v>92325</v>
      </c>
      <c r="B6591" s="478" t="s">
        <v>2843</v>
      </c>
      <c r="C6591" s="391" t="s">
        <v>0</v>
      </c>
      <c r="D6591" s="479">
        <v>163.69999999999999</v>
      </c>
      <c r="E6591" s="368"/>
      <c r="F6591" s="368"/>
    </row>
    <row r="6592" spans="1:6" ht="38.25" x14ac:dyDescent="0.2">
      <c r="A6592" s="391">
        <v>92276</v>
      </c>
      <c r="B6592" s="478" t="s">
        <v>2821</v>
      </c>
      <c r="C6592" s="391" t="s">
        <v>0</v>
      </c>
      <c r="D6592" s="479">
        <v>75.599999999999994</v>
      </c>
      <c r="E6592" s="368"/>
      <c r="F6592" s="368"/>
    </row>
    <row r="6593" spans="1:6" ht="38.25" x14ac:dyDescent="0.2">
      <c r="A6593" s="391">
        <v>92307</v>
      </c>
      <c r="B6593" s="478" t="s">
        <v>2834</v>
      </c>
      <c r="C6593" s="391" t="s">
        <v>0</v>
      </c>
      <c r="D6593" s="479">
        <v>81.319999999999993</v>
      </c>
      <c r="E6593" s="368"/>
      <c r="F6593" s="368"/>
    </row>
    <row r="6594" spans="1:6" ht="38.25" x14ac:dyDescent="0.2">
      <c r="A6594" s="391">
        <v>103870</v>
      </c>
      <c r="B6594" s="478" t="s">
        <v>2937</v>
      </c>
      <c r="C6594" s="391" t="s">
        <v>0</v>
      </c>
      <c r="D6594" s="479">
        <v>97.5</v>
      </c>
      <c r="E6594" s="368"/>
      <c r="F6594" s="368"/>
    </row>
    <row r="6595" spans="1:6" ht="38.25" x14ac:dyDescent="0.2">
      <c r="A6595" s="391">
        <v>103804</v>
      </c>
      <c r="B6595" s="478" t="s">
        <v>2931</v>
      </c>
      <c r="C6595" s="391" t="s">
        <v>0</v>
      </c>
      <c r="D6595" s="479">
        <v>87.84</v>
      </c>
      <c r="E6595" s="368"/>
      <c r="F6595" s="368"/>
    </row>
    <row r="6596" spans="1:6" ht="38.25" x14ac:dyDescent="0.2">
      <c r="A6596" s="391">
        <v>92322</v>
      </c>
      <c r="B6596" s="478" t="s">
        <v>2840</v>
      </c>
      <c r="C6596" s="391" t="s">
        <v>0</v>
      </c>
      <c r="D6596" s="479">
        <v>107.66</v>
      </c>
      <c r="E6596" s="368"/>
      <c r="F6596" s="368"/>
    </row>
    <row r="6597" spans="1:6" ht="38.25" x14ac:dyDescent="0.2">
      <c r="A6597" s="391">
        <v>97337</v>
      </c>
      <c r="B6597" s="478" t="s">
        <v>2888</v>
      </c>
      <c r="C6597" s="391" t="s">
        <v>0</v>
      </c>
      <c r="D6597" s="479">
        <v>164.1</v>
      </c>
      <c r="E6597" s="368"/>
      <c r="F6597" s="368"/>
    </row>
    <row r="6598" spans="1:6" ht="38.25" x14ac:dyDescent="0.2">
      <c r="A6598" s="391">
        <v>92283</v>
      </c>
      <c r="B6598" s="478" t="s">
        <v>2828</v>
      </c>
      <c r="C6598" s="391" t="s">
        <v>0</v>
      </c>
      <c r="D6598" s="479">
        <v>179.95</v>
      </c>
      <c r="E6598" s="368"/>
      <c r="F6598" s="368"/>
    </row>
    <row r="6599" spans="1:6" ht="38.25" x14ac:dyDescent="0.2">
      <c r="A6599" s="391">
        <v>92277</v>
      </c>
      <c r="B6599" s="478" t="s">
        <v>2822</v>
      </c>
      <c r="C6599" s="391" t="s">
        <v>0</v>
      </c>
      <c r="D6599" s="479">
        <v>109.26</v>
      </c>
      <c r="E6599" s="368"/>
      <c r="F6599" s="368"/>
    </row>
    <row r="6600" spans="1:6" ht="38.25" x14ac:dyDescent="0.2">
      <c r="A6600" s="391">
        <v>97338</v>
      </c>
      <c r="B6600" s="478" t="s">
        <v>2889</v>
      </c>
      <c r="C6600" s="391" t="s">
        <v>0</v>
      </c>
      <c r="D6600" s="479">
        <v>197.45</v>
      </c>
      <c r="E6600" s="368"/>
      <c r="F6600" s="368"/>
    </row>
    <row r="6601" spans="1:6" ht="38.25" x14ac:dyDescent="0.2">
      <c r="A6601" s="391">
        <v>92284</v>
      </c>
      <c r="B6601" s="478" t="s">
        <v>2829</v>
      </c>
      <c r="C6601" s="391" t="s">
        <v>0</v>
      </c>
      <c r="D6601" s="479">
        <v>227.6</v>
      </c>
      <c r="E6601" s="368"/>
      <c r="F6601" s="368"/>
    </row>
    <row r="6602" spans="1:6" ht="38.25" x14ac:dyDescent="0.2">
      <c r="A6602" s="391">
        <v>92278</v>
      </c>
      <c r="B6602" s="478" t="s">
        <v>2823</v>
      </c>
      <c r="C6602" s="391" t="s">
        <v>0</v>
      </c>
      <c r="D6602" s="479">
        <v>147.06</v>
      </c>
      <c r="E6602" s="368"/>
      <c r="F6602" s="368"/>
    </row>
    <row r="6603" spans="1:6" ht="38.25" x14ac:dyDescent="0.2">
      <c r="A6603" s="391">
        <v>97339</v>
      </c>
      <c r="B6603" s="478" t="s">
        <v>2890</v>
      </c>
      <c r="C6603" s="391" t="s">
        <v>0</v>
      </c>
      <c r="D6603" s="479">
        <v>212.62</v>
      </c>
      <c r="E6603" s="368"/>
      <c r="F6603" s="368"/>
    </row>
    <row r="6604" spans="1:6" ht="38.25" x14ac:dyDescent="0.2">
      <c r="A6604" s="391">
        <v>92285</v>
      </c>
      <c r="B6604" s="478" t="s">
        <v>2830</v>
      </c>
      <c r="C6604" s="391" t="s">
        <v>0</v>
      </c>
      <c r="D6604" s="479">
        <v>308.81</v>
      </c>
      <c r="E6604" s="368"/>
      <c r="F6604" s="368"/>
    </row>
    <row r="6605" spans="1:6" ht="38.25" x14ac:dyDescent="0.2">
      <c r="A6605" s="391">
        <v>92279</v>
      </c>
      <c r="B6605" s="478" t="s">
        <v>2824</v>
      </c>
      <c r="C6605" s="391" t="s">
        <v>0</v>
      </c>
      <c r="D6605" s="479">
        <v>212.62</v>
      </c>
      <c r="E6605" s="368"/>
      <c r="F6605" s="368"/>
    </row>
    <row r="6606" spans="1:6" ht="38.25" x14ac:dyDescent="0.2">
      <c r="A6606" s="391">
        <v>97340</v>
      </c>
      <c r="B6606" s="478" t="s">
        <v>2891</v>
      </c>
      <c r="C6606" s="391" t="s">
        <v>0</v>
      </c>
      <c r="D6606" s="479">
        <v>213.86</v>
      </c>
      <c r="E6606" s="368"/>
      <c r="F6606" s="368"/>
    </row>
    <row r="6607" spans="1:6" ht="38.25" x14ac:dyDescent="0.2">
      <c r="A6607" s="391">
        <v>92286</v>
      </c>
      <c r="B6607" s="478" t="s">
        <v>2831</v>
      </c>
      <c r="C6607" s="391" t="s">
        <v>0</v>
      </c>
      <c r="D6607" s="479">
        <v>396.1</v>
      </c>
      <c r="E6607" s="368"/>
      <c r="F6607" s="368"/>
    </row>
    <row r="6608" spans="1:6" ht="38.25" x14ac:dyDescent="0.2">
      <c r="A6608" s="391">
        <v>92280</v>
      </c>
      <c r="B6608" s="478" t="s">
        <v>2825</v>
      </c>
      <c r="C6608" s="391" t="s">
        <v>0</v>
      </c>
      <c r="D6608" s="479">
        <v>298.57</v>
      </c>
      <c r="E6608" s="368"/>
      <c r="F6608" s="368"/>
    </row>
    <row r="6609" spans="1:6" ht="25.5" x14ac:dyDescent="0.2">
      <c r="A6609" s="391">
        <v>103901</v>
      </c>
      <c r="B6609" s="478" t="s">
        <v>3736</v>
      </c>
      <c r="C6609" s="391" t="s">
        <v>26</v>
      </c>
      <c r="D6609" s="479">
        <v>24.78</v>
      </c>
      <c r="E6609" s="368"/>
      <c r="F6609" s="368"/>
    </row>
    <row r="6610" spans="1:6" ht="25.5" x14ac:dyDescent="0.2">
      <c r="A6610" s="391">
        <v>103832</v>
      </c>
      <c r="B6610" s="478" t="s">
        <v>3676</v>
      </c>
      <c r="C6610" s="391" t="s">
        <v>26</v>
      </c>
      <c r="D6610" s="479">
        <v>24.7</v>
      </c>
      <c r="E6610" s="368"/>
      <c r="F6610" s="368"/>
    </row>
    <row r="6611" spans="1:6" ht="25.5" x14ac:dyDescent="0.2">
      <c r="A6611" s="391">
        <v>103865</v>
      </c>
      <c r="B6611" s="478" t="s">
        <v>3706</v>
      </c>
      <c r="C6611" s="391" t="s">
        <v>26</v>
      </c>
      <c r="D6611" s="479">
        <v>23.76</v>
      </c>
      <c r="E6611" s="368"/>
      <c r="F6611" s="368"/>
    </row>
    <row r="6612" spans="1:6" ht="25.5" x14ac:dyDescent="0.2">
      <c r="A6612" s="391">
        <v>103902</v>
      </c>
      <c r="B6612" s="478" t="s">
        <v>3737</v>
      </c>
      <c r="C6612" s="391" t="s">
        <v>26</v>
      </c>
      <c r="D6612" s="479">
        <v>37.090000000000003</v>
      </c>
      <c r="E6612" s="368"/>
      <c r="F6612" s="368"/>
    </row>
    <row r="6613" spans="1:6" ht="25.5" x14ac:dyDescent="0.2">
      <c r="A6613" s="391">
        <v>103866</v>
      </c>
      <c r="B6613" s="478" t="s">
        <v>3707</v>
      </c>
      <c r="C6613" s="391" t="s">
        <v>26</v>
      </c>
      <c r="D6613" s="479">
        <v>38.15</v>
      </c>
      <c r="E6613" s="368"/>
      <c r="F6613" s="368"/>
    </row>
    <row r="6614" spans="1:6" ht="25.5" x14ac:dyDescent="0.2">
      <c r="A6614" s="391">
        <v>103903</v>
      </c>
      <c r="B6614" s="478" t="s">
        <v>3738</v>
      </c>
      <c r="C6614" s="391" t="s">
        <v>26</v>
      </c>
      <c r="D6614" s="479">
        <v>50.6</v>
      </c>
      <c r="E6614" s="368"/>
      <c r="F6614" s="368"/>
    </row>
    <row r="6615" spans="1:6" ht="25.5" x14ac:dyDescent="0.2">
      <c r="A6615" s="391">
        <v>103834</v>
      </c>
      <c r="B6615" s="478" t="s">
        <v>3678</v>
      </c>
      <c r="C6615" s="391" t="s">
        <v>26</v>
      </c>
      <c r="D6615" s="479">
        <v>66.23</v>
      </c>
      <c r="E6615" s="368"/>
      <c r="F6615" s="368"/>
    </row>
    <row r="6616" spans="1:6" ht="25.5" x14ac:dyDescent="0.2">
      <c r="A6616" s="391">
        <v>103867</v>
      </c>
      <c r="B6616" s="478" t="s">
        <v>3708</v>
      </c>
      <c r="C6616" s="391" t="s">
        <v>26</v>
      </c>
      <c r="D6616" s="479">
        <v>53.45</v>
      </c>
      <c r="E6616" s="368"/>
      <c r="F6616" s="368"/>
    </row>
    <row r="6617" spans="1:6" ht="25.5" x14ac:dyDescent="0.2">
      <c r="A6617" s="391">
        <v>105113</v>
      </c>
      <c r="B6617" s="478" t="s">
        <v>38746</v>
      </c>
      <c r="C6617" s="391" t="s">
        <v>26</v>
      </c>
      <c r="D6617" s="479">
        <v>8360.7000000000007</v>
      </c>
      <c r="E6617" s="368"/>
      <c r="F6617" s="368"/>
    </row>
    <row r="6618" spans="1:6" ht="25.5" x14ac:dyDescent="0.2">
      <c r="A6618" s="391">
        <v>98461</v>
      </c>
      <c r="B6618" s="478" t="s">
        <v>38744</v>
      </c>
      <c r="C6618" s="391" t="s">
        <v>26</v>
      </c>
      <c r="D6618" s="479">
        <v>6355.77</v>
      </c>
      <c r="E6618" s="368"/>
      <c r="F6618" s="368"/>
    </row>
    <row r="6619" spans="1:6" ht="25.5" x14ac:dyDescent="0.2">
      <c r="A6619" s="391">
        <v>98462</v>
      </c>
      <c r="B6619" s="478" t="s">
        <v>38745</v>
      </c>
      <c r="C6619" s="391" t="s">
        <v>26</v>
      </c>
      <c r="D6619" s="479">
        <v>10699.75</v>
      </c>
      <c r="E6619" s="368"/>
      <c r="F6619" s="368"/>
    </row>
    <row r="6620" spans="1:6" ht="25.5" x14ac:dyDescent="0.2">
      <c r="A6620" s="391">
        <v>105130</v>
      </c>
      <c r="B6620" s="478" t="s">
        <v>277</v>
      </c>
      <c r="C6620" s="391" t="s">
        <v>0</v>
      </c>
      <c r="D6620" s="479">
        <v>31</v>
      </c>
      <c r="E6620" s="368"/>
      <c r="F6620" s="368"/>
    </row>
    <row r="6621" spans="1:6" x14ac:dyDescent="0.2">
      <c r="A6621" s="391">
        <v>105114</v>
      </c>
      <c r="B6621" s="478" t="s">
        <v>270</v>
      </c>
      <c r="C6621" s="391" t="s">
        <v>271</v>
      </c>
      <c r="D6621" s="479">
        <v>1819.15</v>
      </c>
      <c r="E6621" s="368"/>
      <c r="F6621" s="368"/>
    </row>
    <row r="6622" spans="1:6" x14ac:dyDescent="0.2">
      <c r="A6622" s="391">
        <v>105129</v>
      </c>
      <c r="B6622" s="478" t="s">
        <v>41596</v>
      </c>
      <c r="C6622" s="391" t="s">
        <v>26</v>
      </c>
      <c r="D6622" s="479">
        <v>0</v>
      </c>
      <c r="E6622" s="368"/>
      <c r="F6622" s="368"/>
    </row>
    <row r="6623" spans="1:6" x14ac:dyDescent="0.2">
      <c r="A6623" s="391">
        <v>105127</v>
      </c>
      <c r="B6623" s="478" t="s">
        <v>275</v>
      </c>
      <c r="C6623" s="391" t="s">
        <v>0</v>
      </c>
      <c r="D6623" s="479">
        <v>22.48</v>
      </c>
      <c r="E6623" s="368"/>
      <c r="F6623" s="368"/>
    </row>
    <row r="6624" spans="1:6" x14ac:dyDescent="0.2">
      <c r="A6624" s="391">
        <v>105128</v>
      </c>
      <c r="B6624" s="478" t="s">
        <v>276</v>
      </c>
      <c r="C6624" s="391" t="s">
        <v>0</v>
      </c>
      <c r="D6624" s="479">
        <v>73.41</v>
      </c>
      <c r="E6624" s="368"/>
      <c r="F6624" s="368"/>
    </row>
    <row r="6625" spans="1:6" x14ac:dyDescent="0.2">
      <c r="A6625" s="391">
        <v>105126</v>
      </c>
      <c r="B6625" s="478" t="s">
        <v>274</v>
      </c>
      <c r="C6625" s="391" t="s">
        <v>0</v>
      </c>
      <c r="D6625" s="479">
        <v>24.16</v>
      </c>
      <c r="E6625" s="368"/>
      <c r="F6625" s="368"/>
    </row>
    <row r="6626" spans="1:6" ht="25.5" x14ac:dyDescent="0.2">
      <c r="A6626" s="391">
        <v>105116</v>
      </c>
      <c r="B6626" s="478" t="s">
        <v>273</v>
      </c>
      <c r="C6626" s="391" t="s">
        <v>26</v>
      </c>
      <c r="D6626" s="479">
        <v>11.22</v>
      </c>
      <c r="E6626" s="368"/>
      <c r="F6626" s="368"/>
    </row>
    <row r="6627" spans="1:6" ht="25.5" x14ac:dyDescent="0.2">
      <c r="A6627" s="391">
        <v>105115</v>
      </c>
      <c r="B6627" s="478" t="s">
        <v>272</v>
      </c>
      <c r="C6627" s="391" t="s">
        <v>26</v>
      </c>
      <c r="D6627" s="479">
        <v>126.67</v>
      </c>
      <c r="E6627" s="368"/>
      <c r="F6627" s="368"/>
    </row>
    <row r="6628" spans="1:6" ht="38.25" x14ac:dyDescent="0.2">
      <c r="A6628" s="391">
        <v>98453</v>
      </c>
      <c r="B6628" s="478" t="s">
        <v>263</v>
      </c>
      <c r="C6628" s="391" t="s">
        <v>255</v>
      </c>
      <c r="D6628" s="479">
        <v>170.22</v>
      </c>
      <c r="E6628" s="368"/>
      <c r="F6628" s="368"/>
    </row>
    <row r="6629" spans="1:6" ht="38.25" x14ac:dyDescent="0.2">
      <c r="A6629" s="391">
        <v>98454</v>
      </c>
      <c r="B6629" s="478" t="s">
        <v>264</v>
      </c>
      <c r="C6629" s="391" t="s">
        <v>255</v>
      </c>
      <c r="D6629" s="479">
        <v>209.62</v>
      </c>
      <c r="E6629" s="368"/>
      <c r="F6629" s="368"/>
    </row>
    <row r="6630" spans="1:6" ht="25.5" x14ac:dyDescent="0.2">
      <c r="A6630" s="391">
        <v>98449</v>
      </c>
      <c r="B6630" s="478" t="s">
        <v>261</v>
      </c>
      <c r="C6630" s="391" t="s">
        <v>255</v>
      </c>
      <c r="D6630" s="479">
        <v>148.54</v>
      </c>
      <c r="E6630" s="368"/>
      <c r="F6630" s="368"/>
    </row>
    <row r="6631" spans="1:6" ht="38.25" x14ac:dyDescent="0.2">
      <c r="A6631" s="391">
        <v>98455</v>
      </c>
      <c r="B6631" s="478" t="s">
        <v>265</v>
      </c>
      <c r="C6631" s="391" t="s">
        <v>255</v>
      </c>
      <c r="D6631" s="479">
        <v>143.22</v>
      </c>
      <c r="E6631" s="368"/>
      <c r="F6631" s="368"/>
    </row>
    <row r="6632" spans="1:6" ht="38.25" x14ac:dyDescent="0.2">
      <c r="A6632" s="391">
        <v>98456</v>
      </c>
      <c r="B6632" s="478" t="s">
        <v>266</v>
      </c>
      <c r="C6632" s="391" t="s">
        <v>255</v>
      </c>
      <c r="D6632" s="479">
        <v>177.57</v>
      </c>
      <c r="E6632" s="368"/>
      <c r="F6632" s="368"/>
    </row>
    <row r="6633" spans="1:6" ht="25.5" x14ac:dyDescent="0.2">
      <c r="A6633" s="391">
        <v>98451</v>
      </c>
      <c r="B6633" s="478" t="s">
        <v>262</v>
      </c>
      <c r="C6633" s="391" t="s">
        <v>255</v>
      </c>
      <c r="D6633" s="479">
        <v>125.51</v>
      </c>
      <c r="E6633" s="368"/>
      <c r="F6633" s="368"/>
    </row>
    <row r="6634" spans="1:6" ht="38.25" x14ac:dyDescent="0.2">
      <c r="A6634" s="391">
        <v>98445</v>
      </c>
      <c r="B6634" s="478" t="s">
        <v>257</v>
      </c>
      <c r="C6634" s="391" t="s">
        <v>255</v>
      </c>
      <c r="D6634" s="479">
        <v>123.11</v>
      </c>
      <c r="E6634" s="368"/>
      <c r="F6634" s="368"/>
    </row>
    <row r="6635" spans="1:6" ht="38.25" x14ac:dyDescent="0.2">
      <c r="A6635" s="391">
        <v>98446</v>
      </c>
      <c r="B6635" s="478" t="s">
        <v>258</v>
      </c>
      <c r="C6635" s="391" t="s">
        <v>255</v>
      </c>
      <c r="D6635" s="479">
        <v>155.22999999999999</v>
      </c>
      <c r="E6635" s="368"/>
      <c r="F6635" s="368"/>
    </row>
    <row r="6636" spans="1:6" ht="25.5" x14ac:dyDescent="0.2">
      <c r="A6636" s="391">
        <v>98441</v>
      </c>
      <c r="B6636" s="478" t="s">
        <v>254</v>
      </c>
      <c r="C6636" s="391" t="s">
        <v>255</v>
      </c>
      <c r="D6636" s="479">
        <v>105.21</v>
      </c>
      <c r="E6636" s="368"/>
      <c r="F6636" s="368"/>
    </row>
    <row r="6637" spans="1:6" ht="38.25" x14ac:dyDescent="0.2">
      <c r="A6637" s="391">
        <v>98447</v>
      </c>
      <c r="B6637" s="478" t="s">
        <v>259</v>
      </c>
      <c r="C6637" s="391" t="s">
        <v>255</v>
      </c>
      <c r="D6637" s="479">
        <v>99.54</v>
      </c>
      <c r="E6637" s="368"/>
      <c r="F6637" s="368"/>
    </row>
    <row r="6638" spans="1:6" ht="38.25" x14ac:dyDescent="0.2">
      <c r="A6638" s="391">
        <v>98448</v>
      </c>
      <c r="B6638" s="478" t="s">
        <v>260</v>
      </c>
      <c r="C6638" s="391" t="s">
        <v>255</v>
      </c>
      <c r="D6638" s="479">
        <v>126.23</v>
      </c>
      <c r="E6638" s="368"/>
      <c r="F6638" s="368"/>
    </row>
    <row r="6639" spans="1:6" ht="25.5" x14ac:dyDescent="0.2">
      <c r="A6639" s="391">
        <v>98443</v>
      </c>
      <c r="B6639" s="478" t="s">
        <v>256</v>
      </c>
      <c r="C6639" s="391" t="s">
        <v>255</v>
      </c>
      <c r="D6639" s="479">
        <v>84.86</v>
      </c>
      <c r="E6639" s="368"/>
      <c r="F6639" s="368"/>
    </row>
    <row r="6640" spans="1:6" ht="38.25" x14ac:dyDescent="0.2">
      <c r="A6640" s="391">
        <v>105122</v>
      </c>
      <c r="B6640" s="478" t="s">
        <v>41597</v>
      </c>
      <c r="C6640" s="391" t="s">
        <v>255</v>
      </c>
      <c r="D6640" s="479">
        <v>0</v>
      </c>
      <c r="E6640" s="368"/>
      <c r="F6640" s="368"/>
    </row>
    <row r="6641" spans="1:6" ht="25.5" x14ac:dyDescent="0.2">
      <c r="A6641" s="391">
        <v>105125</v>
      </c>
      <c r="B6641" s="478" t="s">
        <v>41598</v>
      </c>
      <c r="C6641" s="391" t="s">
        <v>255</v>
      </c>
      <c r="D6641" s="479">
        <v>0</v>
      </c>
      <c r="E6641" s="368"/>
      <c r="F6641" s="368"/>
    </row>
    <row r="6642" spans="1:6" ht="25.5" x14ac:dyDescent="0.2">
      <c r="A6642" s="391">
        <v>105133</v>
      </c>
      <c r="B6642" s="478" t="s">
        <v>41599</v>
      </c>
      <c r="C6642" s="391" t="s">
        <v>255</v>
      </c>
      <c r="D6642" s="479">
        <v>0</v>
      </c>
      <c r="E6642" s="368"/>
      <c r="F6642" s="368"/>
    </row>
    <row r="6643" spans="1:6" ht="38.25" x14ac:dyDescent="0.2">
      <c r="A6643" s="391">
        <v>105123</v>
      </c>
      <c r="B6643" s="478" t="s">
        <v>41600</v>
      </c>
      <c r="C6643" s="391" t="s">
        <v>255</v>
      </c>
      <c r="D6643" s="479">
        <v>0</v>
      </c>
      <c r="E6643" s="368"/>
      <c r="F6643" s="368"/>
    </row>
    <row r="6644" spans="1:6" ht="25.5" x14ac:dyDescent="0.2">
      <c r="A6644" s="391">
        <v>105124</v>
      </c>
      <c r="B6644" s="478" t="s">
        <v>41601</v>
      </c>
      <c r="C6644" s="391" t="s">
        <v>255</v>
      </c>
      <c r="D6644" s="479">
        <v>0</v>
      </c>
      <c r="E6644" s="368"/>
      <c r="F6644" s="368"/>
    </row>
    <row r="6645" spans="1:6" ht="25.5" x14ac:dyDescent="0.2">
      <c r="A6645" s="391">
        <v>105134</v>
      </c>
      <c r="B6645" s="478" t="s">
        <v>41602</v>
      </c>
      <c r="C6645" s="391" t="s">
        <v>255</v>
      </c>
      <c r="D6645" s="479">
        <v>0</v>
      </c>
      <c r="E6645" s="368"/>
      <c r="F6645" s="368"/>
    </row>
    <row r="6646" spans="1:6" ht="38.25" x14ac:dyDescent="0.2">
      <c r="A6646" s="391">
        <v>105117</v>
      </c>
      <c r="B6646" s="478" t="s">
        <v>41603</v>
      </c>
      <c r="C6646" s="391" t="s">
        <v>255</v>
      </c>
      <c r="D6646" s="479">
        <v>0</v>
      </c>
      <c r="E6646" s="368"/>
      <c r="F6646" s="368"/>
    </row>
    <row r="6647" spans="1:6" ht="38.25" x14ac:dyDescent="0.2">
      <c r="A6647" s="391">
        <v>105119</v>
      </c>
      <c r="B6647" s="478" t="s">
        <v>41604</v>
      </c>
      <c r="C6647" s="391" t="s">
        <v>255</v>
      </c>
      <c r="D6647" s="479">
        <v>0</v>
      </c>
      <c r="E6647" s="368"/>
      <c r="F6647" s="368"/>
    </row>
    <row r="6648" spans="1:6" ht="25.5" x14ac:dyDescent="0.2">
      <c r="A6648" s="391">
        <v>105131</v>
      </c>
      <c r="B6648" s="478" t="s">
        <v>41605</v>
      </c>
      <c r="C6648" s="391" t="s">
        <v>255</v>
      </c>
      <c r="D6648" s="479">
        <v>0</v>
      </c>
      <c r="E6648" s="368"/>
      <c r="F6648" s="368"/>
    </row>
    <row r="6649" spans="1:6" ht="38.25" x14ac:dyDescent="0.2">
      <c r="A6649" s="391">
        <v>105120</v>
      </c>
      <c r="B6649" s="478" t="s">
        <v>41606</v>
      </c>
      <c r="C6649" s="391" t="s">
        <v>255</v>
      </c>
      <c r="D6649" s="479">
        <v>0</v>
      </c>
      <c r="E6649" s="368"/>
      <c r="F6649" s="368"/>
    </row>
    <row r="6650" spans="1:6" ht="25.5" x14ac:dyDescent="0.2">
      <c r="A6650" s="391">
        <v>105121</v>
      </c>
      <c r="B6650" s="478" t="s">
        <v>41607</v>
      </c>
      <c r="C6650" s="391" t="s">
        <v>255</v>
      </c>
      <c r="D6650" s="479">
        <v>0</v>
      </c>
      <c r="E6650" s="368"/>
      <c r="F6650" s="368"/>
    </row>
    <row r="6651" spans="1:6" ht="25.5" x14ac:dyDescent="0.2">
      <c r="A6651" s="391">
        <v>105132</v>
      </c>
      <c r="B6651" s="478" t="s">
        <v>41608</v>
      </c>
      <c r="C6651" s="391" t="s">
        <v>255</v>
      </c>
      <c r="D6651" s="479">
        <v>0</v>
      </c>
      <c r="E6651" s="368"/>
      <c r="F6651" s="368"/>
    </row>
    <row r="6652" spans="1:6" ht="25.5" x14ac:dyDescent="0.2">
      <c r="A6652" s="391">
        <v>98460</v>
      </c>
      <c r="B6652" s="478" t="s">
        <v>269</v>
      </c>
      <c r="C6652" s="391" t="s">
        <v>255</v>
      </c>
      <c r="D6652" s="479">
        <v>83.15</v>
      </c>
      <c r="E6652" s="368"/>
      <c r="F6652" s="368"/>
    </row>
    <row r="6653" spans="1:6" x14ac:dyDescent="0.2">
      <c r="A6653" s="391">
        <v>98457</v>
      </c>
      <c r="B6653" s="478" t="s">
        <v>41609</v>
      </c>
      <c r="C6653" s="391" t="s">
        <v>255</v>
      </c>
      <c r="D6653" s="479">
        <v>0</v>
      </c>
      <c r="E6653" s="368"/>
      <c r="F6653" s="368"/>
    </row>
    <row r="6654" spans="1:6" x14ac:dyDescent="0.2">
      <c r="A6654" s="391">
        <v>98458</v>
      </c>
      <c r="B6654" s="478" t="s">
        <v>267</v>
      </c>
      <c r="C6654" s="391" t="s">
        <v>255</v>
      </c>
      <c r="D6654" s="479">
        <v>106.34</v>
      </c>
      <c r="E6654" s="368"/>
      <c r="F6654" s="368"/>
    </row>
    <row r="6655" spans="1:6" x14ac:dyDescent="0.2">
      <c r="A6655" s="391">
        <v>98459</v>
      </c>
      <c r="B6655" s="478" t="s">
        <v>268</v>
      </c>
      <c r="C6655" s="391" t="s">
        <v>255</v>
      </c>
      <c r="D6655" s="479">
        <v>95.04</v>
      </c>
      <c r="E6655" s="368"/>
      <c r="F6655" s="368"/>
    </row>
    <row r="6656" spans="1:6" x14ac:dyDescent="0.2">
      <c r="A6656" s="391">
        <v>105118</v>
      </c>
      <c r="B6656" s="478" t="s">
        <v>41610</v>
      </c>
      <c r="C6656" s="391" t="s">
        <v>255</v>
      </c>
      <c r="D6656" s="479">
        <v>0</v>
      </c>
      <c r="E6656" s="368"/>
      <c r="F6656" s="368"/>
    </row>
    <row r="6657" spans="1:6" ht="38.25" x14ac:dyDescent="0.2">
      <c r="A6657" s="391">
        <v>101956</v>
      </c>
      <c r="B6657" s="478" t="s">
        <v>47280</v>
      </c>
      <c r="C6657" s="391" t="s">
        <v>255</v>
      </c>
      <c r="D6657" s="479">
        <v>0</v>
      </c>
      <c r="E6657" s="368"/>
      <c r="F6657" s="368"/>
    </row>
    <row r="6658" spans="1:6" ht="38.25" x14ac:dyDescent="0.2">
      <c r="A6658" s="391">
        <v>104690</v>
      </c>
      <c r="B6658" s="478" t="s">
        <v>47281</v>
      </c>
      <c r="C6658" s="391" t="s">
        <v>255</v>
      </c>
      <c r="D6658" s="479">
        <v>0</v>
      </c>
      <c r="E6658" s="368"/>
      <c r="F6658" s="368"/>
    </row>
    <row r="6659" spans="1:6" ht="38.25" x14ac:dyDescent="0.2">
      <c r="A6659" s="391">
        <v>101958</v>
      </c>
      <c r="B6659" s="478" t="s">
        <v>47282</v>
      </c>
      <c r="C6659" s="391" t="s">
        <v>255</v>
      </c>
      <c r="D6659" s="479">
        <v>0</v>
      </c>
      <c r="E6659" s="368"/>
      <c r="F6659" s="368"/>
    </row>
    <row r="6660" spans="1:6" ht="38.25" x14ac:dyDescent="0.2">
      <c r="A6660" s="391">
        <v>101955</v>
      </c>
      <c r="B6660" s="478" t="s">
        <v>47283</v>
      </c>
      <c r="C6660" s="391" t="s">
        <v>255</v>
      </c>
      <c r="D6660" s="479">
        <v>0</v>
      </c>
      <c r="E6660" s="368"/>
      <c r="F6660" s="368"/>
    </row>
    <row r="6661" spans="1:6" ht="38.25" x14ac:dyDescent="0.2">
      <c r="A6661" s="391">
        <v>101948</v>
      </c>
      <c r="B6661" s="478" t="s">
        <v>47284</v>
      </c>
      <c r="C6661" s="391" t="s">
        <v>255</v>
      </c>
      <c r="D6661" s="479">
        <v>0</v>
      </c>
      <c r="E6661" s="368"/>
      <c r="F6661" s="368"/>
    </row>
    <row r="6662" spans="1:6" ht="38.25" x14ac:dyDescent="0.2">
      <c r="A6662" s="391">
        <v>101949</v>
      </c>
      <c r="B6662" s="478" t="s">
        <v>47285</v>
      </c>
      <c r="C6662" s="391" t="s">
        <v>255</v>
      </c>
      <c r="D6662" s="479">
        <v>0</v>
      </c>
      <c r="E6662" s="368"/>
      <c r="F6662" s="368"/>
    </row>
    <row r="6663" spans="1:6" ht="38.25" x14ac:dyDescent="0.2">
      <c r="A6663" s="391">
        <v>101950</v>
      </c>
      <c r="B6663" s="478" t="s">
        <v>47286</v>
      </c>
      <c r="C6663" s="391" t="s">
        <v>255</v>
      </c>
      <c r="D6663" s="479">
        <v>0</v>
      </c>
      <c r="E6663" s="368"/>
      <c r="F6663" s="368"/>
    </row>
    <row r="6664" spans="1:6" ht="38.25" x14ac:dyDescent="0.2">
      <c r="A6664" s="391">
        <v>101947</v>
      </c>
      <c r="B6664" s="478" t="s">
        <v>47287</v>
      </c>
      <c r="C6664" s="391" t="s">
        <v>255</v>
      </c>
      <c r="D6664" s="479">
        <v>0</v>
      </c>
      <c r="E6664" s="368"/>
      <c r="F6664" s="368"/>
    </row>
    <row r="6665" spans="1:6" ht="25.5" x14ac:dyDescent="0.2">
      <c r="A6665" s="391">
        <v>101960</v>
      </c>
      <c r="B6665" s="478" t="s">
        <v>47288</v>
      </c>
      <c r="C6665" s="391" t="s">
        <v>255</v>
      </c>
      <c r="D6665" s="479">
        <v>0</v>
      </c>
      <c r="E6665" s="368"/>
      <c r="F6665" s="368"/>
    </row>
    <row r="6666" spans="1:6" ht="25.5" x14ac:dyDescent="0.2">
      <c r="A6666" s="391">
        <v>101961</v>
      </c>
      <c r="B6666" s="478" t="s">
        <v>47289</v>
      </c>
      <c r="C6666" s="391" t="s">
        <v>255</v>
      </c>
      <c r="D6666" s="479">
        <v>0</v>
      </c>
      <c r="E6666" s="368"/>
      <c r="F6666" s="368"/>
    </row>
    <row r="6667" spans="1:6" ht="25.5" x14ac:dyDescent="0.2">
      <c r="A6667" s="391">
        <v>101962</v>
      </c>
      <c r="B6667" s="478" t="s">
        <v>47290</v>
      </c>
      <c r="C6667" s="391" t="s">
        <v>255</v>
      </c>
      <c r="D6667" s="479">
        <v>0</v>
      </c>
      <c r="E6667" s="368"/>
      <c r="F6667" s="368"/>
    </row>
    <row r="6668" spans="1:6" ht="25.5" x14ac:dyDescent="0.2">
      <c r="A6668" s="391">
        <v>101959</v>
      </c>
      <c r="B6668" s="478" t="s">
        <v>47291</v>
      </c>
      <c r="C6668" s="391" t="s">
        <v>255</v>
      </c>
      <c r="D6668" s="479">
        <v>0</v>
      </c>
      <c r="E6668" s="368"/>
      <c r="F6668" s="368"/>
    </row>
    <row r="6669" spans="1:6" ht="25.5" x14ac:dyDescent="0.2">
      <c r="A6669" s="391">
        <v>101952</v>
      </c>
      <c r="B6669" s="478" t="s">
        <v>47292</v>
      </c>
      <c r="C6669" s="391" t="s">
        <v>255</v>
      </c>
      <c r="D6669" s="479">
        <v>0</v>
      </c>
      <c r="E6669" s="368"/>
      <c r="F6669" s="368"/>
    </row>
    <row r="6670" spans="1:6" ht="25.5" x14ac:dyDescent="0.2">
      <c r="A6670" s="391">
        <v>101953</v>
      </c>
      <c r="B6670" s="478" t="s">
        <v>47293</v>
      </c>
      <c r="C6670" s="391" t="s">
        <v>255</v>
      </c>
      <c r="D6670" s="479">
        <v>0</v>
      </c>
      <c r="E6670" s="368"/>
      <c r="F6670" s="368"/>
    </row>
    <row r="6671" spans="1:6" ht="25.5" x14ac:dyDescent="0.2">
      <c r="A6671" s="391">
        <v>101954</v>
      </c>
      <c r="B6671" s="478" t="s">
        <v>47294</v>
      </c>
      <c r="C6671" s="391" t="s">
        <v>255</v>
      </c>
      <c r="D6671" s="479">
        <v>0</v>
      </c>
      <c r="E6671" s="368"/>
      <c r="F6671" s="368"/>
    </row>
    <row r="6672" spans="1:6" ht="25.5" x14ac:dyDescent="0.2">
      <c r="A6672" s="391">
        <v>101951</v>
      </c>
      <c r="B6672" s="478" t="s">
        <v>47295</v>
      </c>
      <c r="C6672" s="391" t="s">
        <v>255</v>
      </c>
      <c r="D6672" s="479">
        <v>0</v>
      </c>
      <c r="E6672" s="368"/>
      <c r="F6672" s="368"/>
    </row>
    <row r="6673" spans="1:6" ht="38.25" x14ac:dyDescent="0.2">
      <c r="A6673" s="391">
        <v>101964</v>
      </c>
      <c r="B6673" s="478" t="s">
        <v>47296</v>
      </c>
      <c r="C6673" s="391" t="s">
        <v>255</v>
      </c>
      <c r="D6673" s="479">
        <v>173.71</v>
      </c>
      <c r="E6673" s="368"/>
      <c r="F6673" s="368"/>
    </row>
    <row r="6674" spans="1:6" ht="38.25" x14ac:dyDescent="0.2">
      <c r="A6674" s="391">
        <v>101963</v>
      </c>
      <c r="B6674" s="478" t="s">
        <v>47297</v>
      </c>
      <c r="C6674" s="391" t="s">
        <v>255</v>
      </c>
      <c r="D6674" s="479">
        <v>185.56</v>
      </c>
      <c r="E6674" s="368"/>
      <c r="F6674" s="368"/>
    </row>
    <row r="6675" spans="1:6" ht="25.5" x14ac:dyDescent="0.2">
      <c r="A6675" s="391">
        <v>100323</v>
      </c>
      <c r="B6675" s="478" t="s">
        <v>1792</v>
      </c>
      <c r="C6675" s="391" t="s">
        <v>271</v>
      </c>
      <c r="D6675" s="479">
        <v>205.48</v>
      </c>
      <c r="E6675" s="368"/>
      <c r="F6675" s="368"/>
    </row>
    <row r="6676" spans="1:6" ht="38.25" x14ac:dyDescent="0.2">
      <c r="A6676" s="391">
        <v>100324</v>
      </c>
      <c r="B6676" s="478" t="s">
        <v>1793</v>
      </c>
      <c r="C6676" s="391" t="s">
        <v>271</v>
      </c>
      <c r="D6676" s="479">
        <v>192.2</v>
      </c>
      <c r="E6676" s="368"/>
      <c r="F6676" s="368"/>
    </row>
    <row r="6677" spans="1:6" ht="25.5" x14ac:dyDescent="0.2">
      <c r="A6677" s="391">
        <v>96624</v>
      </c>
      <c r="B6677" s="478" t="s">
        <v>1774</v>
      </c>
      <c r="C6677" s="391" t="s">
        <v>271</v>
      </c>
      <c r="D6677" s="479">
        <v>192.56</v>
      </c>
      <c r="E6677" s="368"/>
      <c r="F6677" s="368"/>
    </row>
    <row r="6678" spans="1:6" ht="25.5" x14ac:dyDescent="0.2">
      <c r="A6678" s="391">
        <v>100322</v>
      </c>
      <c r="B6678" s="478" t="s">
        <v>1791</v>
      </c>
      <c r="C6678" s="391" t="s">
        <v>271</v>
      </c>
      <c r="D6678" s="479">
        <v>184.36</v>
      </c>
      <c r="E6678" s="368"/>
      <c r="F6678" s="368"/>
    </row>
    <row r="6679" spans="1:6" ht="25.5" x14ac:dyDescent="0.2">
      <c r="A6679" s="391">
        <v>96623</v>
      </c>
      <c r="B6679" s="478" t="s">
        <v>1773</v>
      </c>
      <c r="C6679" s="391" t="s">
        <v>271</v>
      </c>
      <c r="D6679" s="479">
        <v>206.84</v>
      </c>
      <c r="E6679" s="368"/>
      <c r="F6679" s="368"/>
    </row>
    <row r="6680" spans="1:6" ht="25.5" x14ac:dyDescent="0.2">
      <c r="A6680" s="391">
        <v>96622</v>
      </c>
      <c r="B6680" s="478" t="s">
        <v>1772</v>
      </c>
      <c r="C6680" s="391" t="s">
        <v>271</v>
      </c>
      <c r="D6680" s="479">
        <v>226.89</v>
      </c>
      <c r="E6680" s="368"/>
      <c r="F6680" s="368"/>
    </row>
    <row r="6681" spans="1:6" ht="25.5" x14ac:dyDescent="0.2">
      <c r="A6681" s="391">
        <v>96621</v>
      </c>
      <c r="B6681" s="478" t="s">
        <v>1771</v>
      </c>
      <c r="C6681" s="391" t="s">
        <v>271</v>
      </c>
      <c r="D6681" s="479">
        <v>241.17</v>
      </c>
      <c r="E6681" s="368"/>
      <c r="F6681" s="368"/>
    </row>
    <row r="6682" spans="1:6" ht="25.5" x14ac:dyDescent="0.2">
      <c r="A6682" s="391">
        <v>96617</v>
      </c>
      <c r="B6682" s="478" t="s">
        <v>1768</v>
      </c>
      <c r="C6682" s="391" t="s">
        <v>255</v>
      </c>
      <c r="D6682" s="479">
        <v>19.93</v>
      </c>
      <c r="E6682" s="368"/>
      <c r="F6682" s="368"/>
    </row>
    <row r="6683" spans="1:6" ht="25.5" x14ac:dyDescent="0.2">
      <c r="A6683" s="391">
        <v>96619</v>
      </c>
      <c r="B6683" s="478" t="s">
        <v>1769</v>
      </c>
      <c r="C6683" s="391" t="s">
        <v>255</v>
      </c>
      <c r="D6683" s="479">
        <v>39.909999999999997</v>
      </c>
      <c r="E6683" s="368"/>
      <c r="F6683" s="368"/>
    </row>
    <row r="6684" spans="1:6" ht="25.5" x14ac:dyDescent="0.2">
      <c r="A6684" s="391">
        <v>96616</v>
      </c>
      <c r="B6684" s="478" t="s">
        <v>1767</v>
      </c>
      <c r="C6684" s="391" t="s">
        <v>271</v>
      </c>
      <c r="D6684" s="479">
        <v>798.59</v>
      </c>
      <c r="E6684" s="368"/>
      <c r="F6684" s="368"/>
    </row>
    <row r="6685" spans="1:6" ht="25.5" x14ac:dyDescent="0.2">
      <c r="A6685" s="391">
        <v>95240</v>
      </c>
      <c r="B6685" s="478" t="s">
        <v>1765</v>
      </c>
      <c r="C6685" s="391" t="s">
        <v>255</v>
      </c>
      <c r="D6685" s="479">
        <v>19.170000000000002</v>
      </c>
      <c r="E6685" s="368"/>
      <c r="F6685" s="368"/>
    </row>
    <row r="6686" spans="1:6" ht="25.5" x14ac:dyDescent="0.2">
      <c r="A6686" s="391">
        <v>95241</v>
      </c>
      <c r="B6686" s="478" t="s">
        <v>1766</v>
      </c>
      <c r="C6686" s="391" t="s">
        <v>255</v>
      </c>
      <c r="D6686" s="479">
        <v>36.950000000000003</v>
      </c>
      <c r="E6686" s="368"/>
      <c r="F6686" s="368"/>
    </row>
    <row r="6687" spans="1:6" ht="25.5" x14ac:dyDescent="0.2">
      <c r="A6687" s="391">
        <v>96620</v>
      </c>
      <c r="B6687" s="478" t="s">
        <v>1770</v>
      </c>
      <c r="C6687" s="391" t="s">
        <v>271</v>
      </c>
      <c r="D6687" s="479">
        <v>739.39</v>
      </c>
      <c r="E6687" s="368"/>
      <c r="F6687" s="368"/>
    </row>
    <row r="6688" spans="1:6" ht="25.5" x14ac:dyDescent="0.2">
      <c r="A6688" s="391">
        <v>104043</v>
      </c>
      <c r="B6688" s="478" t="s">
        <v>4249</v>
      </c>
      <c r="C6688" s="391" t="s">
        <v>26</v>
      </c>
      <c r="D6688" s="479">
        <v>7.69</v>
      </c>
      <c r="E6688" s="368"/>
      <c r="F6688" s="368"/>
    </row>
    <row r="6689" spans="1:6" ht="25.5" x14ac:dyDescent="0.2">
      <c r="A6689" s="391">
        <v>104044</v>
      </c>
      <c r="B6689" s="478" t="s">
        <v>4250</v>
      </c>
      <c r="C6689" s="391" t="s">
        <v>26</v>
      </c>
      <c r="D6689" s="479">
        <v>8.1300000000000008</v>
      </c>
      <c r="E6689" s="368"/>
      <c r="F6689" s="368"/>
    </row>
    <row r="6690" spans="1:6" ht="25.5" x14ac:dyDescent="0.2">
      <c r="A6690" s="391">
        <v>104045</v>
      </c>
      <c r="B6690" s="478" t="s">
        <v>4251</v>
      </c>
      <c r="C6690" s="391" t="s">
        <v>26</v>
      </c>
      <c r="D6690" s="479">
        <v>12.88</v>
      </c>
      <c r="E6690" s="368"/>
      <c r="F6690" s="368"/>
    </row>
    <row r="6691" spans="1:6" ht="25.5" x14ac:dyDescent="0.2">
      <c r="A6691" s="391">
        <v>104049</v>
      </c>
      <c r="B6691" s="478" t="s">
        <v>4255</v>
      </c>
      <c r="C6691" s="391" t="s">
        <v>26</v>
      </c>
      <c r="D6691" s="479">
        <v>5.2</v>
      </c>
      <c r="E6691" s="368"/>
      <c r="F6691" s="368"/>
    </row>
    <row r="6692" spans="1:6" ht="25.5" x14ac:dyDescent="0.2">
      <c r="A6692" s="391">
        <v>104050</v>
      </c>
      <c r="B6692" s="478" t="s">
        <v>4256</v>
      </c>
      <c r="C6692" s="391" t="s">
        <v>26</v>
      </c>
      <c r="D6692" s="479">
        <v>7.87</v>
      </c>
      <c r="E6692" s="368"/>
      <c r="F6692" s="368"/>
    </row>
    <row r="6693" spans="1:6" ht="25.5" x14ac:dyDescent="0.2">
      <c r="A6693" s="391">
        <v>104084</v>
      </c>
      <c r="B6693" s="478" t="s">
        <v>4275</v>
      </c>
      <c r="C6693" s="391" t="s">
        <v>26</v>
      </c>
      <c r="D6693" s="479">
        <v>89.72</v>
      </c>
      <c r="E6693" s="368"/>
      <c r="F6693" s="368"/>
    </row>
    <row r="6694" spans="1:6" ht="25.5" x14ac:dyDescent="0.2">
      <c r="A6694" s="391">
        <v>104037</v>
      </c>
      <c r="B6694" s="478" t="s">
        <v>41611</v>
      </c>
      <c r="C6694" s="391" t="s">
        <v>26</v>
      </c>
      <c r="D6694" s="479">
        <v>0</v>
      </c>
      <c r="E6694" s="368"/>
      <c r="F6694" s="368"/>
    </row>
    <row r="6695" spans="1:6" ht="25.5" x14ac:dyDescent="0.2">
      <c r="A6695" s="391">
        <v>104035</v>
      </c>
      <c r="B6695" s="478" t="s">
        <v>4246</v>
      </c>
      <c r="C6695" s="391" t="s">
        <v>26</v>
      </c>
      <c r="D6695" s="479">
        <v>34.43</v>
      </c>
      <c r="E6695" s="368"/>
      <c r="F6695" s="368"/>
    </row>
    <row r="6696" spans="1:6" ht="25.5" x14ac:dyDescent="0.2">
      <c r="A6696" s="391">
        <v>104036</v>
      </c>
      <c r="B6696" s="478" t="s">
        <v>4247</v>
      </c>
      <c r="C6696" s="391" t="s">
        <v>26</v>
      </c>
      <c r="D6696" s="479">
        <v>35.520000000000003</v>
      </c>
      <c r="E6696" s="368"/>
      <c r="F6696" s="368"/>
    </row>
    <row r="6697" spans="1:6" ht="25.5" x14ac:dyDescent="0.2">
      <c r="A6697" s="391">
        <v>104034</v>
      </c>
      <c r="B6697" s="478" t="s">
        <v>4245</v>
      </c>
      <c r="C6697" s="391" t="s">
        <v>26</v>
      </c>
      <c r="D6697" s="479">
        <v>29.9</v>
      </c>
      <c r="E6697" s="368"/>
      <c r="F6697" s="368"/>
    </row>
    <row r="6698" spans="1:6" ht="25.5" x14ac:dyDescent="0.2">
      <c r="A6698" s="391">
        <v>104031</v>
      </c>
      <c r="B6698" s="478" t="s">
        <v>4242</v>
      </c>
      <c r="C6698" s="391" t="s">
        <v>26</v>
      </c>
      <c r="D6698" s="479">
        <v>19.39</v>
      </c>
      <c r="E6698" s="368"/>
      <c r="F6698" s="368"/>
    </row>
    <row r="6699" spans="1:6" ht="25.5" x14ac:dyDescent="0.2">
      <c r="A6699" s="391">
        <v>104032</v>
      </c>
      <c r="B6699" s="478" t="s">
        <v>4243</v>
      </c>
      <c r="C6699" s="391" t="s">
        <v>26</v>
      </c>
      <c r="D6699" s="479">
        <v>24.87</v>
      </c>
      <c r="E6699" s="368"/>
      <c r="F6699" s="368"/>
    </row>
    <row r="6700" spans="1:6" ht="25.5" x14ac:dyDescent="0.2">
      <c r="A6700" s="391">
        <v>104033</v>
      </c>
      <c r="B6700" s="478" t="s">
        <v>4244</v>
      </c>
      <c r="C6700" s="391" t="s">
        <v>26</v>
      </c>
      <c r="D6700" s="479">
        <v>22.47</v>
      </c>
      <c r="E6700" s="368"/>
      <c r="F6700" s="368"/>
    </row>
    <row r="6701" spans="1:6" ht="25.5" x14ac:dyDescent="0.2">
      <c r="A6701" s="391">
        <v>104038</v>
      </c>
      <c r="B6701" s="478" t="s">
        <v>41612</v>
      </c>
      <c r="C6701" s="391" t="s">
        <v>26</v>
      </c>
      <c r="D6701" s="479">
        <v>0</v>
      </c>
      <c r="E6701" s="368"/>
      <c r="F6701" s="368"/>
    </row>
    <row r="6702" spans="1:6" ht="25.5" x14ac:dyDescent="0.2">
      <c r="A6702" s="391">
        <v>104051</v>
      </c>
      <c r="B6702" s="478" t="s">
        <v>4257</v>
      </c>
      <c r="C6702" s="391" t="s">
        <v>26</v>
      </c>
      <c r="D6702" s="479">
        <v>6.84</v>
      </c>
      <c r="E6702" s="368"/>
      <c r="F6702" s="368"/>
    </row>
    <row r="6703" spans="1:6" ht="25.5" x14ac:dyDescent="0.2">
      <c r="A6703" s="391">
        <v>104052</v>
      </c>
      <c r="B6703" s="478" t="s">
        <v>4258</v>
      </c>
      <c r="C6703" s="391" t="s">
        <v>26</v>
      </c>
      <c r="D6703" s="479">
        <v>9.57</v>
      </c>
      <c r="E6703" s="368"/>
      <c r="F6703" s="368"/>
    </row>
    <row r="6704" spans="1:6" ht="25.5" x14ac:dyDescent="0.2">
      <c r="A6704" s="391">
        <v>104046</v>
      </c>
      <c r="B6704" s="478" t="s">
        <v>4252</v>
      </c>
      <c r="C6704" s="391" t="s">
        <v>26</v>
      </c>
      <c r="D6704" s="479">
        <v>7.33</v>
      </c>
      <c r="E6704" s="368"/>
      <c r="F6704" s="368"/>
    </row>
    <row r="6705" spans="1:6" ht="25.5" x14ac:dyDescent="0.2">
      <c r="A6705" s="391">
        <v>104047</v>
      </c>
      <c r="B6705" s="478" t="s">
        <v>4253</v>
      </c>
      <c r="C6705" s="391" t="s">
        <v>26</v>
      </c>
      <c r="D6705" s="479">
        <v>8.49</v>
      </c>
      <c r="E6705" s="368"/>
      <c r="F6705" s="368"/>
    </row>
    <row r="6706" spans="1:6" ht="25.5" x14ac:dyDescent="0.2">
      <c r="A6706" s="391">
        <v>104048</v>
      </c>
      <c r="B6706" s="478" t="s">
        <v>4254</v>
      </c>
      <c r="C6706" s="391" t="s">
        <v>26</v>
      </c>
      <c r="D6706" s="479">
        <v>12.56</v>
      </c>
      <c r="E6706" s="368"/>
      <c r="F6706" s="368"/>
    </row>
    <row r="6707" spans="1:6" ht="25.5" x14ac:dyDescent="0.2">
      <c r="A6707" s="391">
        <v>104063</v>
      </c>
      <c r="B6707" s="478" t="s">
        <v>4268</v>
      </c>
      <c r="C6707" s="391" t="s">
        <v>26</v>
      </c>
      <c r="D6707" s="479">
        <v>72.25</v>
      </c>
      <c r="E6707" s="368"/>
      <c r="F6707" s="368"/>
    </row>
    <row r="6708" spans="1:6" ht="25.5" x14ac:dyDescent="0.2">
      <c r="A6708" s="391">
        <v>104065</v>
      </c>
      <c r="B6708" s="478" t="s">
        <v>4270</v>
      </c>
      <c r="C6708" s="391" t="s">
        <v>26</v>
      </c>
      <c r="D6708" s="479">
        <v>159.44999999999999</v>
      </c>
      <c r="E6708" s="368"/>
      <c r="F6708" s="368"/>
    </row>
    <row r="6709" spans="1:6" ht="25.5" x14ac:dyDescent="0.2">
      <c r="A6709" s="391">
        <v>104062</v>
      </c>
      <c r="B6709" s="478" t="s">
        <v>4267</v>
      </c>
      <c r="C6709" s="391" t="s">
        <v>26</v>
      </c>
      <c r="D6709" s="479">
        <v>76.03</v>
      </c>
      <c r="E6709" s="368"/>
      <c r="F6709" s="368"/>
    </row>
    <row r="6710" spans="1:6" ht="25.5" x14ac:dyDescent="0.2">
      <c r="A6710" s="391">
        <v>104064</v>
      </c>
      <c r="B6710" s="478" t="s">
        <v>4269</v>
      </c>
      <c r="C6710" s="391" t="s">
        <v>26</v>
      </c>
      <c r="D6710" s="479">
        <v>187.88</v>
      </c>
      <c r="E6710" s="368"/>
      <c r="F6710" s="368"/>
    </row>
    <row r="6711" spans="1:6" x14ac:dyDescent="0.2">
      <c r="A6711" s="391">
        <v>104059</v>
      </c>
      <c r="B6711" s="478" t="s">
        <v>4264</v>
      </c>
      <c r="C6711" s="391" t="s">
        <v>26</v>
      </c>
      <c r="D6711" s="479">
        <v>9.91</v>
      </c>
      <c r="E6711" s="368"/>
      <c r="F6711" s="368"/>
    </row>
    <row r="6712" spans="1:6" x14ac:dyDescent="0.2">
      <c r="A6712" s="391">
        <v>104058</v>
      </c>
      <c r="B6712" s="478" t="s">
        <v>4263</v>
      </c>
      <c r="C6712" s="391" t="s">
        <v>26</v>
      </c>
      <c r="D6712" s="479">
        <v>6.29</v>
      </c>
      <c r="E6712" s="368"/>
      <c r="F6712" s="368"/>
    </row>
    <row r="6713" spans="1:6" ht="25.5" x14ac:dyDescent="0.2">
      <c r="A6713" s="391">
        <v>104082</v>
      </c>
      <c r="B6713" s="478" t="s">
        <v>4273</v>
      </c>
      <c r="C6713" s="391" t="s">
        <v>26</v>
      </c>
      <c r="D6713" s="479">
        <v>31.87</v>
      </c>
      <c r="E6713" s="368"/>
      <c r="F6713" s="368"/>
    </row>
    <row r="6714" spans="1:6" ht="25.5" x14ac:dyDescent="0.2">
      <c r="A6714" s="391">
        <v>104083</v>
      </c>
      <c r="B6714" s="478" t="s">
        <v>4274</v>
      </c>
      <c r="C6714" s="391" t="s">
        <v>26</v>
      </c>
      <c r="D6714" s="479">
        <v>79</v>
      </c>
      <c r="E6714" s="368"/>
      <c r="F6714" s="368"/>
    </row>
    <row r="6715" spans="1:6" ht="25.5" x14ac:dyDescent="0.2">
      <c r="A6715" s="391">
        <v>104057</v>
      </c>
      <c r="B6715" s="478" t="s">
        <v>41613</v>
      </c>
      <c r="C6715" s="391" t="s">
        <v>26</v>
      </c>
      <c r="D6715" s="479">
        <v>0</v>
      </c>
      <c r="E6715" s="368"/>
      <c r="F6715" s="368"/>
    </row>
    <row r="6716" spans="1:6" ht="25.5" x14ac:dyDescent="0.2">
      <c r="A6716" s="391">
        <v>104056</v>
      </c>
      <c r="B6716" s="478" t="s">
        <v>4262</v>
      </c>
      <c r="C6716" s="391" t="s">
        <v>26</v>
      </c>
      <c r="D6716" s="479">
        <v>15.95</v>
      </c>
      <c r="E6716" s="368"/>
      <c r="F6716" s="368"/>
    </row>
    <row r="6717" spans="1:6" ht="25.5" x14ac:dyDescent="0.2">
      <c r="A6717" s="391">
        <v>104055</v>
      </c>
      <c r="B6717" s="478" t="s">
        <v>4261</v>
      </c>
      <c r="C6717" s="391" t="s">
        <v>26</v>
      </c>
      <c r="D6717" s="479">
        <v>10.85</v>
      </c>
      <c r="E6717" s="368"/>
      <c r="F6717" s="368"/>
    </row>
    <row r="6718" spans="1:6" ht="25.5" x14ac:dyDescent="0.2">
      <c r="A6718" s="391">
        <v>104076</v>
      </c>
      <c r="B6718" s="478" t="s">
        <v>4272</v>
      </c>
      <c r="C6718" s="391" t="s">
        <v>26</v>
      </c>
      <c r="D6718" s="479">
        <v>46.24</v>
      </c>
      <c r="E6718" s="368"/>
      <c r="F6718" s="368"/>
    </row>
    <row r="6719" spans="1:6" ht="25.5" x14ac:dyDescent="0.2">
      <c r="A6719" s="391">
        <v>104060</v>
      </c>
      <c r="B6719" s="478" t="s">
        <v>4265</v>
      </c>
      <c r="C6719" s="391" t="s">
        <v>0</v>
      </c>
      <c r="D6719" s="479">
        <v>8.7100000000000009</v>
      </c>
      <c r="E6719" s="368"/>
      <c r="F6719" s="368"/>
    </row>
    <row r="6720" spans="1:6" ht="25.5" x14ac:dyDescent="0.2">
      <c r="A6720" s="391">
        <v>104061</v>
      </c>
      <c r="B6720" s="478" t="s">
        <v>4266</v>
      </c>
      <c r="C6720" s="391" t="s">
        <v>0</v>
      </c>
      <c r="D6720" s="479">
        <v>15.79</v>
      </c>
      <c r="E6720" s="368"/>
      <c r="F6720" s="368"/>
    </row>
    <row r="6721" spans="1:6" ht="25.5" x14ac:dyDescent="0.2">
      <c r="A6721" s="391">
        <v>104085</v>
      </c>
      <c r="B6721" s="478" t="s">
        <v>4276</v>
      </c>
      <c r="C6721" s="391" t="s">
        <v>0</v>
      </c>
      <c r="D6721" s="479">
        <v>55.31</v>
      </c>
      <c r="E6721" s="368"/>
      <c r="F6721" s="368"/>
    </row>
    <row r="6722" spans="1:6" ht="25.5" x14ac:dyDescent="0.2">
      <c r="A6722" s="391">
        <v>104086</v>
      </c>
      <c r="B6722" s="478" t="s">
        <v>4277</v>
      </c>
      <c r="C6722" s="391" t="s">
        <v>0</v>
      </c>
      <c r="D6722" s="479">
        <v>100.16</v>
      </c>
      <c r="E6722" s="368"/>
      <c r="F6722" s="368"/>
    </row>
    <row r="6723" spans="1:6" ht="25.5" x14ac:dyDescent="0.2">
      <c r="A6723" s="391">
        <v>104073</v>
      </c>
      <c r="B6723" s="478" t="s">
        <v>41614</v>
      </c>
      <c r="C6723" s="391" t="s">
        <v>26</v>
      </c>
      <c r="D6723" s="479">
        <v>0</v>
      </c>
      <c r="E6723" s="368"/>
      <c r="F6723" s="368"/>
    </row>
    <row r="6724" spans="1:6" ht="25.5" x14ac:dyDescent="0.2">
      <c r="A6724" s="391">
        <v>104074</v>
      </c>
      <c r="B6724" s="478" t="s">
        <v>41615</v>
      </c>
      <c r="C6724" s="391" t="s">
        <v>26</v>
      </c>
      <c r="D6724" s="479">
        <v>0</v>
      </c>
      <c r="E6724" s="368"/>
      <c r="F6724" s="368"/>
    </row>
    <row r="6725" spans="1:6" ht="25.5" x14ac:dyDescent="0.2">
      <c r="A6725" s="391">
        <v>104075</v>
      </c>
      <c r="B6725" s="478" t="s">
        <v>41616</v>
      </c>
      <c r="C6725" s="391" t="s">
        <v>26</v>
      </c>
      <c r="D6725" s="479">
        <v>0</v>
      </c>
      <c r="E6725" s="368"/>
      <c r="F6725" s="368"/>
    </row>
    <row r="6726" spans="1:6" ht="25.5" x14ac:dyDescent="0.2">
      <c r="A6726" s="391">
        <v>104039</v>
      </c>
      <c r="B6726" s="478" t="s">
        <v>4248</v>
      </c>
      <c r="C6726" s="391" t="s">
        <v>26</v>
      </c>
      <c r="D6726" s="479">
        <v>67.53</v>
      </c>
      <c r="E6726" s="368"/>
      <c r="F6726" s="368"/>
    </row>
    <row r="6727" spans="1:6" ht="25.5" x14ac:dyDescent="0.2">
      <c r="A6727" s="391">
        <v>104040</v>
      </c>
      <c r="B6727" s="478" t="s">
        <v>41617</v>
      </c>
      <c r="C6727" s="391" t="s">
        <v>26</v>
      </c>
      <c r="D6727" s="479">
        <v>0</v>
      </c>
      <c r="E6727" s="368"/>
      <c r="F6727" s="368"/>
    </row>
    <row r="6728" spans="1:6" ht="25.5" x14ac:dyDescent="0.2">
      <c r="A6728" s="391">
        <v>104041</v>
      </c>
      <c r="B6728" s="478" t="s">
        <v>41618</v>
      </c>
      <c r="C6728" s="391" t="s">
        <v>26</v>
      </c>
      <c r="D6728" s="479">
        <v>0</v>
      </c>
      <c r="E6728" s="368"/>
      <c r="F6728" s="368"/>
    </row>
    <row r="6729" spans="1:6" ht="25.5" x14ac:dyDescent="0.2">
      <c r="A6729" s="391">
        <v>104042</v>
      </c>
      <c r="B6729" s="478" t="s">
        <v>41619</v>
      </c>
      <c r="C6729" s="391" t="s">
        <v>26</v>
      </c>
      <c r="D6729" s="479">
        <v>0</v>
      </c>
      <c r="E6729" s="368"/>
      <c r="F6729" s="368"/>
    </row>
    <row r="6730" spans="1:6" ht="25.5" x14ac:dyDescent="0.2">
      <c r="A6730" s="391">
        <v>104072</v>
      </c>
      <c r="B6730" s="478" t="s">
        <v>4271</v>
      </c>
      <c r="C6730" s="391" t="s">
        <v>26</v>
      </c>
      <c r="D6730" s="479">
        <v>303.95</v>
      </c>
      <c r="E6730" s="368"/>
      <c r="F6730" s="368"/>
    </row>
    <row r="6731" spans="1:6" ht="25.5" x14ac:dyDescent="0.2">
      <c r="A6731" s="391">
        <v>104053</v>
      </c>
      <c r="B6731" s="478" t="s">
        <v>4259</v>
      </c>
      <c r="C6731" s="391" t="s">
        <v>26</v>
      </c>
      <c r="D6731" s="479">
        <v>8</v>
      </c>
      <c r="E6731" s="368"/>
      <c r="F6731" s="368"/>
    </row>
    <row r="6732" spans="1:6" ht="25.5" x14ac:dyDescent="0.2">
      <c r="A6732" s="391">
        <v>104054</v>
      </c>
      <c r="B6732" s="478" t="s">
        <v>4260</v>
      </c>
      <c r="C6732" s="391" t="s">
        <v>26</v>
      </c>
      <c r="D6732" s="479">
        <v>15.97</v>
      </c>
      <c r="E6732" s="368"/>
      <c r="F6732" s="368"/>
    </row>
    <row r="6733" spans="1:6" ht="25.5" x14ac:dyDescent="0.2">
      <c r="A6733" s="391">
        <v>99818</v>
      </c>
      <c r="B6733" s="478" t="s">
        <v>5314</v>
      </c>
      <c r="C6733" s="391" t="s">
        <v>26</v>
      </c>
      <c r="D6733" s="479">
        <v>6.06</v>
      </c>
      <c r="E6733" s="368"/>
      <c r="F6733" s="368"/>
    </row>
    <row r="6734" spans="1:6" x14ac:dyDescent="0.2">
      <c r="A6734" s="391">
        <v>99819</v>
      </c>
      <c r="B6734" s="478" t="s">
        <v>5315</v>
      </c>
      <c r="C6734" s="391" t="s">
        <v>255</v>
      </c>
      <c r="D6734" s="479">
        <v>17.11</v>
      </c>
      <c r="E6734" s="368"/>
      <c r="F6734" s="368"/>
    </row>
    <row r="6735" spans="1:6" x14ac:dyDescent="0.2">
      <c r="A6735" s="391">
        <v>99811</v>
      </c>
      <c r="B6735" s="478" t="s">
        <v>5307</v>
      </c>
      <c r="C6735" s="391" t="s">
        <v>255</v>
      </c>
      <c r="D6735" s="479">
        <v>3.58</v>
      </c>
      <c r="E6735" s="368"/>
      <c r="F6735" s="368"/>
    </row>
    <row r="6736" spans="1:6" x14ac:dyDescent="0.2">
      <c r="A6736" s="391">
        <v>99826</v>
      </c>
      <c r="B6736" s="478" t="s">
        <v>5322</v>
      </c>
      <c r="C6736" s="391" t="s">
        <v>255</v>
      </c>
      <c r="D6736" s="479">
        <v>1.56</v>
      </c>
      <c r="E6736" s="368"/>
      <c r="F6736" s="368"/>
    </row>
    <row r="6737" spans="1:6" ht="25.5" x14ac:dyDescent="0.2">
      <c r="A6737" s="391">
        <v>99821</v>
      </c>
      <c r="B6737" s="478" t="s">
        <v>5317</v>
      </c>
      <c r="C6737" s="391" t="s">
        <v>255</v>
      </c>
      <c r="D6737" s="479">
        <v>3.27</v>
      </c>
      <c r="E6737" s="368"/>
      <c r="F6737" s="368"/>
    </row>
    <row r="6738" spans="1:6" x14ac:dyDescent="0.2">
      <c r="A6738" s="391">
        <v>99820</v>
      </c>
      <c r="B6738" s="478" t="s">
        <v>5316</v>
      </c>
      <c r="C6738" s="391" t="s">
        <v>255</v>
      </c>
      <c r="D6738" s="479">
        <v>2.09</v>
      </c>
      <c r="E6738" s="368"/>
      <c r="F6738" s="368"/>
    </row>
    <row r="6739" spans="1:6" x14ac:dyDescent="0.2">
      <c r="A6739" s="391">
        <v>99812</v>
      </c>
      <c r="B6739" s="478" t="s">
        <v>5308</v>
      </c>
      <c r="C6739" s="391" t="s">
        <v>255</v>
      </c>
      <c r="D6739" s="479">
        <v>1.1499999999999999</v>
      </c>
      <c r="E6739" s="368"/>
      <c r="F6739" s="368"/>
    </row>
    <row r="6740" spans="1:6" ht="25.5" x14ac:dyDescent="0.2">
      <c r="A6740" s="391">
        <v>99817</v>
      </c>
      <c r="B6740" s="478" t="s">
        <v>5313</v>
      </c>
      <c r="C6740" s="391" t="s">
        <v>26</v>
      </c>
      <c r="D6740" s="479">
        <v>6.06</v>
      </c>
      <c r="E6740" s="368"/>
      <c r="F6740" s="368"/>
    </row>
    <row r="6741" spans="1:6" ht="25.5" x14ac:dyDescent="0.2">
      <c r="A6741" s="391">
        <v>99813</v>
      </c>
      <c r="B6741" s="478" t="s">
        <v>5309</v>
      </c>
      <c r="C6741" s="391" t="s">
        <v>255</v>
      </c>
      <c r="D6741" s="479">
        <v>0.99</v>
      </c>
      <c r="E6741" s="368"/>
      <c r="F6741" s="368"/>
    </row>
    <row r="6742" spans="1:6" ht="25.5" x14ac:dyDescent="0.2">
      <c r="A6742" s="391">
        <v>99815</v>
      </c>
      <c r="B6742" s="478" t="s">
        <v>5311</v>
      </c>
      <c r="C6742" s="391" t="s">
        <v>26</v>
      </c>
      <c r="D6742" s="479">
        <v>9.3000000000000007</v>
      </c>
      <c r="E6742" s="368"/>
      <c r="F6742" s="368"/>
    </row>
    <row r="6743" spans="1:6" ht="25.5" x14ac:dyDescent="0.2">
      <c r="A6743" s="391">
        <v>99805</v>
      </c>
      <c r="B6743" s="478" t="s">
        <v>5301</v>
      </c>
      <c r="C6743" s="391" t="s">
        <v>255</v>
      </c>
      <c r="D6743" s="479">
        <v>11.52</v>
      </c>
      <c r="E6743" s="368"/>
      <c r="F6743" s="368"/>
    </row>
    <row r="6744" spans="1:6" x14ac:dyDescent="0.2">
      <c r="A6744" s="391">
        <v>99803</v>
      </c>
      <c r="B6744" s="478" t="s">
        <v>5299</v>
      </c>
      <c r="C6744" s="391" t="s">
        <v>255</v>
      </c>
      <c r="D6744" s="479">
        <v>2.1</v>
      </c>
      <c r="E6744" s="368"/>
      <c r="F6744" s="368"/>
    </row>
    <row r="6745" spans="1:6" ht="25.5" x14ac:dyDescent="0.2">
      <c r="A6745" s="391">
        <v>99802</v>
      </c>
      <c r="B6745" s="478" t="s">
        <v>5298</v>
      </c>
      <c r="C6745" s="391" t="s">
        <v>255</v>
      </c>
      <c r="D6745" s="479">
        <v>0.54</v>
      </c>
      <c r="E6745" s="368"/>
      <c r="F6745" s="368"/>
    </row>
    <row r="6746" spans="1:6" ht="25.5" x14ac:dyDescent="0.2">
      <c r="A6746" s="391">
        <v>99804</v>
      </c>
      <c r="B6746" s="478" t="s">
        <v>5300</v>
      </c>
      <c r="C6746" s="391" t="s">
        <v>255</v>
      </c>
      <c r="D6746" s="479">
        <v>5.47</v>
      </c>
      <c r="E6746" s="368"/>
      <c r="F6746" s="368"/>
    </row>
    <row r="6747" spans="1:6" x14ac:dyDescent="0.2">
      <c r="A6747" s="391">
        <v>99809</v>
      </c>
      <c r="B6747" s="478" t="s">
        <v>5305</v>
      </c>
      <c r="C6747" s="391" t="s">
        <v>255</v>
      </c>
      <c r="D6747" s="479">
        <v>6</v>
      </c>
      <c r="E6747" s="368"/>
      <c r="F6747" s="368"/>
    </row>
    <row r="6748" spans="1:6" ht="25.5" x14ac:dyDescent="0.2">
      <c r="A6748" s="391">
        <v>99810</v>
      </c>
      <c r="B6748" s="478" t="s">
        <v>5306</v>
      </c>
      <c r="C6748" s="391" t="s">
        <v>255</v>
      </c>
      <c r="D6748" s="479">
        <v>7.47</v>
      </c>
      <c r="E6748" s="368"/>
      <c r="F6748" s="368"/>
    </row>
    <row r="6749" spans="1:6" ht="25.5" x14ac:dyDescent="0.2">
      <c r="A6749" s="391">
        <v>99801</v>
      </c>
      <c r="B6749" s="478" t="s">
        <v>41620</v>
      </c>
      <c r="C6749" s="391" t="s">
        <v>255</v>
      </c>
      <c r="D6749" s="479">
        <v>0</v>
      </c>
      <c r="E6749" s="368"/>
      <c r="F6749" s="368"/>
    </row>
    <row r="6750" spans="1:6" x14ac:dyDescent="0.2">
      <c r="A6750" s="391">
        <v>99822</v>
      </c>
      <c r="B6750" s="478" t="s">
        <v>5318</v>
      </c>
      <c r="C6750" s="391" t="s">
        <v>255</v>
      </c>
      <c r="D6750" s="479">
        <v>1.02</v>
      </c>
      <c r="E6750" s="368"/>
      <c r="F6750" s="368"/>
    </row>
    <row r="6751" spans="1:6" ht="25.5" x14ac:dyDescent="0.2">
      <c r="A6751" s="391">
        <v>99825</v>
      </c>
      <c r="B6751" s="478" t="s">
        <v>5321</v>
      </c>
      <c r="C6751" s="391" t="s">
        <v>255</v>
      </c>
      <c r="D6751" s="479">
        <v>3.79</v>
      </c>
      <c r="E6751" s="368"/>
      <c r="F6751" s="368"/>
    </row>
    <row r="6752" spans="1:6" x14ac:dyDescent="0.2">
      <c r="A6752" s="391">
        <v>99824</v>
      </c>
      <c r="B6752" s="478" t="s">
        <v>5320</v>
      </c>
      <c r="C6752" s="391" t="s">
        <v>255</v>
      </c>
      <c r="D6752" s="479">
        <v>2.65</v>
      </c>
      <c r="E6752" s="368"/>
      <c r="F6752" s="368"/>
    </row>
    <row r="6753" spans="1:6" x14ac:dyDescent="0.2">
      <c r="A6753" s="391">
        <v>99823</v>
      </c>
      <c r="B6753" s="478" t="s">
        <v>5319</v>
      </c>
      <c r="C6753" s="391" t="s">
        <v>255</v>
      </c>
      <c r="D6753" s="479">
        <v>2.4300000000000002</v>
      </c>
      <c r="E6753" s="368"/>
      <c r="F6753" s="368"/>
    </row>
    <row r="6754" spans="1:6" ht="25.5" x14ac:dyDescent="0.2">
      <c r="A6754" s="391">
        <v>99806</v>
      </c>
      <c r="B6754" s="478" t="s">
        <v>5302</v>
      </c>
      <c r="C6754" s="391" t="s">
        <v>255</v>
      </c>
      <c r="D6754" s="479">
        <v>0.87</v>
      </c>
      <c r="E6754" s="368"/>
      <c r="F6754" s="368"/>
    </row>
    <row r="6755" spans="1:6" ht="25.5" x14ac:dyDescent="0.2">
      <c r="A6755" s="391">
        <v>99807</v>
      </c>
      <c r="B6755" s="478" t="s">
        <v>5303</v>
      </c>
      <c r="C6755" s="391" t="s">
        <v>255</v>
      </c>
      <c r="D6755" s="479">
        <v>1.66</v>
      </c>
      <c r="E6755" s="368"/>
      <c r="F6755" s="368"/>
    </row>
    <row r="6756" spans="1:6" ht="25.5" x14ac:dyDescent="0.2">
      <c r="A6756" s="391">
        <v>99808</v>
      </c>
      <c r="B6756" s="478" t="s">
        <v>5304</v>
      </c>
      <c r="C6756" s="391" t="s">
        <v>255</v>
      </c>
      <c r="D6756" s="479">
        <v>4.12</v>
      </c>
      <c r="E6756" s="368"/>
      <c r="F6756" s="368"/>
    </row>
    <row r="6757" spans="1:6" x14ac:dyDescent="0.2">
      <c r="A6757" s="391">
        <v>99814</v>
      </c>
      <c r="B6757" s="478" t="s">
        <v>5310</v>
      </c>
      <c r="C6757" s="391" t="s">
        <v>255</v>
      </c>
      <c r="D6757" s="479">
        <v>1.99</v>
      </c>
      <c r="E6757" s="368"/>
      <c r="F6757" s="368"/>
    </row>
    <row r="6758" spans="1:6" ht="25.5" x14ac:dyDescent="0.2">
      <c r="A6758" s="391">
        <v>99816</v>
      </c>
      <c r="B6758" s="478" t="s">
        <v>5312</v>
      </c>
      <c r="C6758" s="391" t="s">
        <v>26</v>
      </c>
      <c r="D6758" s="479">
        <v>9.85</v>
      </c>
      <c r="E6758" s="368"/>
      <c r="F6758" s="368"/>
    </row>
    <row r="6759" spans="1:6" x14ac:dyDescent="0.2">
      <c r="A6759" s="391">
        <v>88238</v>
      </c>
      <c r="B6759" s="478" t="s">
        <v>5593</v>
      </c>
      <c r="C6759" s="391" t="s">
        <v>558</v>
      </c>
      <c r="D6759" s="479">
        <v>22.82</v>
      </c>
      <c r="E6759" s="368"/>
      <c r="F6759" s="368"/>
    </row>
    <row r="6760" spans="1:6" x14ac:dyDescent="0.2">
      <c r="A6760" s="391">
        <v>101374</v>
      </c>
      <c r="B6760" s="478" t="s">
        <v>5593</v>
      </c>
      <c r="C6760" s="391" t="s">
        <v>5681</v>
      </c>
      <c r="D6760" s="479">
        <v>4115.3</v>
      </c>
      <c r="E6760" s="368"/>
      <c r="F6760" s="368"/>
    </row>
    <row r="6761" spans="1:6" x14ac:dyDescent="0.2">
      <c r="A6761" s="391">
        <v>88239</v>
      </c>
      <c r="B6761" s="478" t="s">
        <v>5594</v>
      </c>
      <c r="C6761" s="391" t="s">
        <v>558</v>
      </c>
      <c r="D6761" s="479">
        <v>22.65</v>
      </c>
      <c r="E6761" s="368"/>
      <c r="F6761" s="368"/>
    </row>
    <row r="6762" spans="1:6" x14ac:dyDescent="0.2">
      <c r="A6762" s="391">
        <v>101375</v>
      </c>
      <c r="B6762" s="478" t="s">
        <v>5876</v>
      </c>
      <c r="C6762" s="391" t="s">
        <v>5681</v>
      </c>
      <c r="D6762" s="479">
        <v>4169.08</v>
      </c>
      <c r="E6762" s="368"/>
      <c r="F6762" s="368"/>
    </row>
    <row r="6763" spans="1:6" x14ac:dyDescent="0.2">
      <c r="A6763" s="391">
        <v>88240</v>
      </c>
      <c r="B6763" s="478" t="s">
        <v>5595</v>
      </c>
      <c r="C6763" s="391" t="s">
        <v>558</v>
      </c>
      <c r="D6763" s="479">
        <v>21.63</v>
      </c>
      <c r="E6763" s="368"/>
      <c r="F6763" s="368"/>
    </row>
    <row r="6764" spans="1:6" x14ac:dyDescent="0.2">
      <c r="A6764" s="391">
        <v>101376</v>
      </c>
      <c r="B6764" s="478" t="s">
        <v>5877</v>
      </c>
      <c r="C6764" s="391" t="s">
        <v>5681</v>
      </c>
      <c r="D6764" s="479">
        <v>3888.28</v>
      </c>
      <c r="E6764" s="368"/>
      <c r="F6764" s="368"/>
    </row>
    <row r="6765" spans="1:6" x14ac:dyDescent="0.2">
      <c r="A6765" s="391">
        <v>88241</v>
      </c>
      <c r="B6765" s="478" t="s">
        <v>5596</v>
      </c>
      <c r="C6765" s="391" t="s">
        <v>558</v>
      </c>
      <c r="D6765" s="479">
        <v>22.02</v>
      </c>
      <c r="E6765" s="368"/>
      <c r="F6765" s="368"/>
    </row>
    <row r="6766" spans="1:6" x14ac:dyDescent="0.2">
      <c r="A6766" s="391">
        <v>101377</v>
      </c>
      <c r="B6766" s="478" t="s">
        <v>5596</v>
      </c>
      <c r="C6766" s="391" t="s">
        <v>5681</v>
      </c>
      <c r="D6766" s="479">
        <v>3976.42</v>
      </c>
      <c r="E6766" s="368"/>
      <c r="F6766" s="368"/>
    </row>
    <row r="6767" spans="1:6" x14ac:dyDescent="0.2">
      <c r="A6767" s="391">
        <v>88242</v>
      </c>
      <c r="B6767" s="478" t="s">
        <v>5597</v>
      </c>
      <c r="C6767" s="391" t="s">
        <v>558</v>
      </c>
      <c r="D6767" s="479">
        <v>22.87</v>
      </c>
      <c r="E6767" s="368"/>
      <c r="F6767" s="368"/>
    </row>
    <row r="6768" spans="1:6" x14ac:dyDescent="0.2">
      <c r="A6768" s="391">
        <v>100301</v>
      </c>
      <c r="B6768" s="478" t="s">
        <v>5791</v>
      </c>
      <c r="C6768" s="391" t="s">
        <v>558</v>
      </c>
      <c r="D6768" s="479">
        <v>24.68</v>
      </c>
      <c r="E6768" s="368"/>
      <c r="F6768" s="368"/>
    </row>
    <row r="6769" spans="1:6" x14ac:dyDescent="0.2">
      <c r="A6769" s="391">
        <v>101378</v>
      </c>
      <c r="B6769" s="478" t="s">
        <v>5791</v>
      </c>
      <c r="C6769" s="391" t="s">
        <v>5681</v>
      </c>
      <c r="D6769" s="479">
        <v>4462.21</v>
      </c>
      <c r="E6769" s="368"/>
      <c r="F6769" s="368"/>
    </row>
    <row r="6770" spans="1:6" x14ac:dyDescent="0.2">
      <c r="A6770" s="391">
        <v>101379</v>
      </c>
      <c r="B6770" s="478" t="s">
        <v>5878</v>
      </c>
      <c r="C6770" s="391" t="s">
        <v>5681</v>
      </c>
      <c r="D6770" s="479">
        <v>4115.3</v>
      </c>
      <c r="E6770" s="368"/>
      <c r="F6770" s="368"/>
    </row>
    <row r="6771" spans="1:6" x14ac:dyDescent="0.2">
      <c r="A6771" s="391">
        <v>88243</v>
      </c>
      <c r="B6771" s="478" t="s">
        <v>5598</v>
      </c>
      <c r="C6771" s="391" t="s">
        <v>558</v>
      </c>
      <c r="D6771" s="479">
        <v>21.93</v>
      </c>
      <c r="E6771" s="368"/>
      <c r="F6771" s="368"/>
    </row>
    <row r="6772" spans="1:6" x14ac:dyDescent="0.2">
      <c r="A6772" s="391">
        <v>101380</v>
      </c>
      <c r="B6772" s="478" t="s">
        <v>5598</v>
      </c>
      <c r="C6772" s="391" t="s">
        <v>5681</v>
      </c>
      <c r="D6772" s="479">
        <v>3958.14</v>
      </c>
      <c r="E6772" s="368"/>
      <c r="F6772" s="368"/>
    </row>
    <row r="6773" spans="1:6" x14ac:dyDescent="0.2">
      <c r="A6773" s="392">
        <v>90766</v>
      </c>
      <c r="B6773" s="480" t="s">
        <v>5667</v>
      </c>
      <c r="C6773" s="392" t="s">
        <v>558</v>
      </c>
      <c r="D6773" s="481">
        <v>20.76</v>
      </c>
      <c r="E6773" s="368"/>
      <c r="F6773" s="368"/>
    </row>
    <row r="6774" spans="1:6" x14ac:dyDescent="0.2">
      <c r="A6774" s="391">
        <v>93563</v>
      </c>
      <c r="B6774" s="478" t="s">
        <v>5667</v>
      </c>
      <c r="C6774" s="391" t="s">
        <v>5681</v>
      </c>
      <c r="D6774" s="479">
        <v>3677.86</v>
      </c>
      <c r="E6774" s="368"/>
      <c r="F6774" s="368"/>
    </row>
    <row r="6775" spans="1:6" x14ac:dyDescent="0.2">
      <c r="A6775" s="391">
        <v>90767</v>
      </c>
      <c r="B6775" s="478" t="s">
        <v>5668</v>
      </c>
      <c r="C6775" s="391" t="s">
        <v>558</v>
      </c>
      <c r="D6775" s="479">
        <v>23.88</v>
      </c>
      <c r="E6775" s="368"/>
      <c r="F6775" s="368"/>
    </row>
    <row r="6776" spans="1:6" x14ac:dyDescent="0.2">
      <c r="A6776" s="391">
        <v>93564</v>
      </c>
      <c r="B6776" s="478" t="s">
        <v>5668</v>
      </c>
      <c r="C6776" s="391" t="s">
        <v>5681</v>
      </c>
      <c r="D6776" s="479">
        <v>4213.8599999999997</v>
      </c>
      <c r="E6776" s="368"/>
      <c r="F6776" s="368"/>
    </row>
    <row r="6777" spans="1:6" x14ac:dyDescent="0.2">
      <c r="A6777" s="391">
        <v>88245</v>
      </c>
      <c r="B6777" s="478" t="s">
        <v>5599</v>
      </c>
      <c r="C6777" s="391" t="s">
        <v>558</v>
      </c>
      <c r="D6777" s="479">
        <v>26.87</v>
      </c>
      <c r="E6777" s="368"/>
      <c r="F6777" s="368"/>
    </row>
    <row r="6778" spans="1:6" x14ac:dyDescent="0.2">
      <c r="A6778" s="391">
        <v>101381</v>
      </c>
      <c r="B6778" s="478" t="s">
        <v>5599</v>
      </c>
      <c r="C6778" s="391" t="s">
        <v>5681</v>
      </c>
      <c r="D6778" s="479">
        <v>4825.37</v>
      </c>
      <c r="E6778" s="368"/>
      <c r="F6778" s="368"/>
    </row>
    <row r="6779" spans="1:6" x14ac:dyDescent="0.2">
      <c r="A6779" s="391">
        <v>90768</v>
      </c>
      <c r="B6779" s="478" t="s">
        <v>5669</v>
      </c>
      <c r="C6779" s="391" t="s">
        <v>558</v>
      </c>
      <c r="D6779" s="479">
        <v>113.81</v>
      </c>
      <c r="E6779" s="368"/>
      <c r="F6779" s="368"/>
    </row>
    <row r="6780" spans="1:6" x14ac:dyDescent="0.2">
      <c r="A6780" s="391">
        <v>90769</v>
      </c>
      <c r="B6780" s="478" t="s">
        <v>5670</v>
      </c>
      <c r="C6780" s="391" t="s">
        <v>558</v>
      </c>
      <c r="D6780" s="479">
        <v>120.44</v>
      </c>
      <c r="E6780" s="368"/>
      <c r="F6780" s="368"/>
    </row>
    <row r="6781" spans="1:6" x14ac:dyDescent="0.2">
      <c r="A6781" s="391">
        <v>90770</v>
      </c>
      <c r="B6781" s="478" t="s">
        <v>5671</v>
      </c>
      <c r="C6781" s="391" t="s">
        <v>558</v>
      </c>
      <c r="D6781" s="479">
        <v>126.12</v>
      </c>
      <c r="E6781" s="368"/>
      <c r="F6781" s="368"/>
    </row>
    <row r="6782" spans="1:6" x14ac:dyDescent="0.2">
      <c r="A6782" s="391">
        <v>93569</v>
      </c>
      <c r="B6782" s="478" t="s">
        <v>5682</v>
      </c>
      <c r="C6782" s="391" t="s">
        <v>5681</v>
      </c>
      <c r="D6782" s="479">
        <v>19996.04</v>
      </c>
      <c r="E6782" s="368"/>
      <c r="F6782" s="368"/>
    </row>
    <row r="6783" spans="1:6" x14ac:dyDescent="0.2">
      <c r="A6783" s="391">
        <v>93570</v>
      </c>
      <c r="B6783" s="478" t="s">
        <v>5683</v>
      </c>
      <c r="C6783" s="391" t="s">
        <v>5681</v>
      </c>
      <c r="D6783" s="479">
        <v>21158.080000000002</v>
      </c>
      <c r="E6783" s="368"/>
      <c r="F6783" s="368"/>
    </row>
    <row r="6784" spans="1:6" x14ac:dyDescent="0.2">
      <c r="A6784" s="391">
        <v>93571</v>
      </c>
      <c r="B6784" s="478" t="s">
        <v>5684</v>
      </c>
      <c r="C6784" s="391" t="s">
        <v>5681</v>
      </c>
      <c r="D6784" s="479">
        <v>22153.49</v>
      </c>
      <c r="E6784" s="368"/>
      <c r="F6784" s="368"/>
    </row>
    <row r="6785" spans="1:6" x14ac:dyDescent="0.2">
      <c r="A6785" s="391">
        <v>101382</v>
      </c>
      <c r="B6785" s="478" t="s">
        <v>5879</v>
      </c>
      <c r="C6785" s="391" t="s">
        <v>5681</v>
      </c>
      <c r="D6785" s="479">
        <v>3677.54</v>
      </c>
      <c r="E6785" s="368"/>
      <c r="F6785" s="368"/>
    </row>
    <row r="6786" spans="1:6" x14ac:dyDescent="0.2">
      <c r="A6786" s="391">
        <v>88246</v>
      </c>
      <c r="B6786" s="478" t="s">
        <v>5600</v>
      </c>
      <c r="C6786" s="391" t="s">
        <v>558</v>
      </c>
      <c r="D6786" s="479">
        <v>20.43</v>
      </c>
      <c r="E6786" s="368"/>
      <c r="F6786" s="368"/>
    </row>
    <row r="6787" spans="1:6" x14ac:dyDescent="0.2">
      <c r="A6787" s="391">
        <v>100303</v>
      </c>
      <c r="B6787" s="478" t="s">
        <v>5792</v>
      </c>
      <c r="C6787" s="391" t="s">
        <v>558</v>
      </c>
      <c r="D6787" s="479">
        <v>20.52</v>
      </c>
      <c r="E6787" s="368"/>
      <c r="F6787" s="368"/>
    </row>
    <row r="6788" spans="1:6" x14ac:dyDescent="0.2">
      <c r="A6788" s="391">
        <v>101383</v>
      </c>
      <c r="B6788" s="478" t="s">
        <v>5792</v>
      </c>
      <c r="C6788" s="391" t="s">
        <v>5681</v>
      </c>
      <c r="D6788" s="479">
        <v>3713.51</v>
      </c>
      <c r="E6788" s="368"/>
      <c r="F6788" s="368"/>
    </row>
    <row r="6789" spans="1:6" x14ac:dyDescent="0.2">
      <c r="A6789" s="391">
        <v>88247</v>
      </c>
      <c r="B6789" s="478" t="s">
        <v>5601</v>
      </c>
      <c r="C6789" s="391" t="s">
        <v>558</v>
      </c>
      <c r="D6789" s="479">
        <v>23.22</v>
      </c>
      <c r="E6789" s="368"/>
      <c r="F6789" s="368"/>
    </row>
    <row r="6790" spans="1:6" ht="25.5" x14ac:dyDescent="0.2">
      <c r="A6790" s="391">
        <v>88248</v>
      </c>
      <c r="B6790" s="478" t="s">
        <v>5602</v>
      </c>
      <c r="C6790" s="391" t="s">
        <v>558</v>
      </c>
      <c r="D6790" s="479">
        <v>22.26</v>
      </c>
      <c r="E6790" s="368"/>
      <c r="F6790" s="368"/>
    </row>
    <row r="6791" spans="1:6" ht="25.5" x14ac:dyDescent="0.2">
      <c r="A6791" s="391">
        <v>101384</v>
      </c>
      <c r="B6791" s="478" t="s">
        <v>5602</v>
      </c>
      <c r="C6791" s="391" t="s">
        <v>5681</v>
      </c>
      <c r="D6791" s="479">
        <v>4004.02</v>
      </c>
      <c r="E6791" s="368"/>
      <c r="F6791" s="368"/>
    </row>
    <row r="6792" spans="1:6" x14ac:dyDescent="0.2">
      <c r="A6792" s="391">
        <v>90772</v>
      </c>
      <c r="B6792" s="478" t="s">
        <v>5672</v>
      </c>
      <c r="C6792" s="391" t="s">
        <v>558</v>
      </c>
      <c r="D6792" s="479">
        <v>16.82</v>
      </c>
      <c r="E6792" s="368"/>
      <c r="F6792" s="368"/>
    </row>
    <row r="6793" spans="1:6" x14ac:dyDescent="0.2">
      <c r="A6793" s="391">
        <v>93566</v>
      </c>
      <c r="B6793" s="478" t="s">
        <v>5672</v>
      </c>
      <c r="C6793" s="391" t="s">
        <v>5681</v>
      </c>
      <c r="D6793" s="479">
        <v>2987.59</v>
      </c>
      <c r="E6793" s="368"/>
      <c r="F6793" s="368"/>
    </row>
    <row r="6794" spans="1:6" ht="25.5" x14ac:dyDescent="0.2">
      <c r="A6794" s="391">
        <v>101385</v>
      </c>
      <c r="B6794" s="478" t="s">
        <v>5880</v>
      </c>
      <c r="C6794" s="391" t="s">
        <v>5681</v>
      </c>
      <c r="D6794" s="479">
        <v>4903.22</v>
      </c>
      <c r="E6794" s="368"/>
      <c r="F6794" s="368"/>
    </row>
    <row r="6795" spans="1:6" x14ac:dyDescent="0.2">
      <c r="A6795" s="391">
        <v>88249</v>
      </c>
      <c r="B6795" s="478" t="s">
        <v>5603</v>
      </c>
      <c r="C6795" s="391" t="s">
        <v>558</v>
      </c>
      <c r="D6795" s="479">
        <v>27.75</v>
      </c>
      <c r="E6795" s="368"/>
      <c r="F6795" s="368"/>
    </row>
    <row r="6796" spans="1:6" x14ac:dyDescent="0.2">
      <c r="A6796" s="391">
        <v>88250</v>
      </c>
      <c r="B6796" s="478" t="s">
        <v>5604</v>
      </c>
      <c r="C6796" s="391" t="s">
        <v>558</v>
      </c>
      <c r="D6796" s="479">
        <v>21.63</v>
      </c>
      <c r="E6796" s="368"/>
      <c r="F6796" s="368"/>
    </row>
    <row r="6797" spans="1:6" x14ac:dyDescent="0.2">
      <c r="A6797" s="391">
        <v>101386</v>
      </c>
      <c r="B6797" s="478" t="s">
        <v>5604</v>
      </c>
      <c r="C6797" s="391" t="s">
        <v>5681</v>
      </c>
      <c r="D6797" s="479">
        <v>3888.28</v>
      </c>
      <c r="E6797" s="368"/>
      <c r="F6797" s="368"/>
    </row>
    <row r="6798" spans="1:6" x14ac:dyDescent="0.2">
      <c r="A6798" s="391">
        <v>101387</v>
      </c>
      <c r="B6798" s="478" t="s">
        <v>5881</v>
      </c>
      <c r="C6798" s="391" t="s">
        <v>5681</v>
      </c>
      <c r="D6798" s="479">
        <v>4121.4399999999996</v>
      </c>
      <c r="E6798" s="368"/>
      <c r="F6798" s="368"/>
    </row>
    <row r="6799" spans="1:6" x14ac:dyDescent="0.2">
      <c r="A6799" s="391">
        <v>88251</v>
      </c>
      <c r="B6799" s="478" t="s">
        <v>5605</v>
      </c>
      <c r="C6799" s="391" t="s">
        <v>558</v>
      </c>
      <c r="D6799" s="479">
        <v>22.82</v>
      </c>
      <c r="E6799" s="368"/>
      <c r="F6799" s="368"/>
    </row>
    <row r="6800" spans="1:6" x14ac:dyDescent="0.2">
      <c r="A6800" s="391">
        <v>88252</v>
      </c>
      <c r="B6800" s="478" t="s">
        <v>5606</v>
      </c>
      <c r="C6800" s="391" t="s">
        <v>558</v>
      </c>
      <c r="D6800" s="479">
        <v>21.62</v>
      </c>
      <c r="E6800" s="368"/>
      <c r="F6800" s="368"/>
    </row>
    <row r="6801" spans="1:6" x14ac:dyDescent="0.2">
      <c r="A6801" s="391">
        <v>101388</v>
      </c>
      <c r="B6801" s="478" t="s">
        <v>5606</v>
      </c>
      <c r="C6801" s="391" t="s">
        <v>5681</v>
      </c>
      <c r="D6801" s="479">
        <v>3901.95</v>
      </c>
      <c r="E6801" s="368"/>
      <c r="F6801" s="368"/>
    </row>
    <row r="6802" spans="1:6" x14ac:dyDescent="0.2">
      <c r="A6802" s="391">
        <v>88253</v>
      </c>
      <c r="B6802" s="478" t="s">
        <v>5607</v>
      </c>
      <c r="C6802" s="391" t="s">
        <v>558</v>
      </c>
      <c r="D6802" s="479">
        <v>17.73</v>
      </c>
      <c r="E6802" s="368"/>
      <c r="F6802" s="368"/>
    </row>
    <row r="6803" spans="1:6" x14ac:dyDescent="0.2">
      <c r="A6803" s="391">
        <v>101389</v>
      </c>
      <c r="B6803" s="478" t="s">
        <v>5607</v>
      </c>
      <c r="C6803" s="391" t="s">
        <v>5681</v>
      </c>
      <c r="D6803" s="479">
        <v>3143.14</v>
      </c>
      <c r="E6803" s="368"/>
      <c r="F6803" s="368"/>
    </row>
    <row r="6804" spans="1:6" ht="25.5" x14ac:dyDescent="0.2">
      <c r="A6804" s="391">
        <v>101390</v>
      </c>
      <c r="B6804" s="478" t="s">
        <v>5882</v>
      </c>
      <c r="C6804" s="391" t="s">
        <v>5681</v>
      </c>
      <c r="D6804" s="479">
        <v>5134.5</v>
      </c>
      <c r="E6804" s="368"/>
      <c r="F6804" s="368"/>
    </row>
    <row r="6805" spans="1:6" x14ac:dyDescent="0.2">
      <c r="A6805" s="391">
        <v>88255</v>
      </c>
      <c r="B6805" s="478" t="s">
        <v>5608</v>
      </c>
      <c r="C6805" s="391" t="s">
        <v>558</v>
      </c>
      <c r="D6805" s="479">
        <v>29.08</v>
      </c>
      <c r="E6805" s="368"/>
      <c r="F6805" s="368"/>
    </row>
    <row r="6806" spans="1:6" x14ac:dyDescent="0.2">
      <c r="A6806" s="391">
        <v>101391</v>
      </c>
      <c r="B6806" s="478" t="s">
        <v>5883</v>
      </c>
      <c r="C6806" s="391" t="s">
        <v>5681</v>
      </c>
      <c r="D6806" s="479">
        <v>4820.5</v>
      </c>
      <c r="E6806" s="368"/>
      <c r="F6806" s="368"/>
    </row>
    <row r="6807" spans="1:6" x14ac:dyDescent="0.2">
      <c r="A6807" s="391">
        <v>88256</v>
      </c>
      <c r="B6807" s="478" t="s">
        <v>5609</v>
      </c>
      <c r="C6807" s="391" t="s">
        <v>558</v>
      </c>
      <c r="D6807" s="479">
        <v>26.86</v>
      </c>
      <c r="E6807" s="368"/>
      <c r="F6807" s="368"/>
    </row>
    <row r="6808" spans="1:6" ht="25.5" x14ac:dyDescent="0.2">
      <c r="A6808" s="391">
        <v>88257</v>
      </c>
      <c r="B6808" s="478" t="s">
        <v>5610</v>
      </c>
      <c r="C6808" s="391" t="s">
        <v>558</v>
      </c>
      <c r="D6808" s="479">
        <v>25.4</v>
      </c>
      <c r="E6808" s="368"/>
      <c r="F6808" s="368"/>
    </row>
    <row r="6809" spans="1:6" ht="25.5" x14ac:dyDescent="0.2">
      <c r="A6809" s="391">
        <v>101392</v>
      </c>
      <c r="B6809" s="478" t="s">
        <v>5884</v>
      </c>
      <c r="C6809" s="391" t="s">
        <v>5681</v>
      </c>
      <c r="D6809" s="479">
        <v>4545.7700000000004</v>
      </c>
      <c r="E6809" s="368"/>
      <c r="F6809" s="368"/>
    </row>
    <row r="6810" spans="1:6" x14ac:dyDescent="0.2">
      <c r="A6810" s="391">
        <v>88260</v>
      </c>
      <c r="B6810" s="478" t="s">
        <v>5611</v>
      </c>
      <c r="C6810" s="391" t="s">
        <v>558</v>
      </c>
      <c r="D6810" s="479">
        <v>26.81</v>
      </c>
      <c r="E6810" s="368"/>
      <c r="F6810" s="368"/>
    </row>
    <row r="6811" spans="1:6" x14ac:dyDescent="0.2">
      <c r="A6811" s="391">
        <v>101394</v>
      </c>
      <c r="B6811" s="478" t="s">
        <v>5611</v>
      </c>
      <c r="C6811" s="391" t="s">
        <v>5681</v>
      </c>
      <c r="D6811" s="479">
        <v>4812.6899999999996</v>
      </c>
      <c r="E6811" s="368"/>
      <c r="F6811" s="368"/>
    </row>
    <row r="6812" spans="1:6" x14ac:dyDescent="0.2">
      <c r="A6812" s="391">
        <v>101395</v>
      </c>
      <c r="B6812" s="478" t="s">
        <v>5885</v>
      </c>
      <c r="C6812" s="391" t="s">
        <v>5681</v>
      </c>
      <c r="D6812" s="479">
        <v>4079.28</v>
      </c>
      <c r="E6812" s="368"/>
      <c r="F6812" s="368"/>
    </row>
    <row r="6813" spans="1:6" x14ac:dyDescent="0.2">
      <c r="A6813" s="391">
        <v>88261</v>
      </c>
      <c r="B6813" s="478" t="s">
        <v>5612</v>
      </c>
      <c r="C6813" s="391" t="s">
        <v>558</v>
      </c>
      <c r="D6813" s="479">
        <v>25.76</v>
      </c>
      <c r="E6813" s="368"/>
      <c r="F6813" s="368"/>
    </row>
    <row r="6814" spans="1:6" x14ac:dyDescent="0.2">
      <c r="A6814" s="391">
        <v>101396</v>
      </c>
      <c r="B6814" s="478" t="s">
        <v>5886</v>
      </c>
      <c r="C6814" s="391" t="s">
        <v>5681</v>
      </c>
      <c r="D6814" s="479">
        <v>4624.71</v>
      </c>
      <c r="E6814" s="368"/>
      <c r="F6814" s="368"/>
    </row>
    <row r="6815" spans="1:6" x14ac:dyDescent="0.2">
      <c r="A6815" s="391">
        <v>88262</v>
      </c>
      <c r="B6815" s="478" t="s">
        <v>5613</v>
      </c>
      <c r="C6815" s="391" t="s">
        <v>558</v>
      </c>
      <c r="D6815" s="479">
        <v>26.59</v>
      </c>
      <c r="E6815" s="368"/>
      <c r="F6815" s="368"/>
    </row>
    <row r="6816" spans="1:6" x14ac:dyDescent="0.2">
      <c r="A6816" s="391">
        <v>101397</v>
      </c>
      <c r="B6816" s="478" t="s">
        <v>5613</v>
      </c>
      <c r="C6816" s="391" t="s">
        <v>5681</v>
      </c>
      <c r="D6816" s="479">
        <v>4770.53</v>
      </c>
      <c r="E6816" s="368"/>
      <c r="F6816" s="368"/>
    </row>
    <row r="6817" spans="1:6" ht="25.5" x14ac:dyDescent="0.2">
      <c r="A6817" s="391">
        <v>101398</v>
      </c>
      <c r="B6817" s="478" t="s">
        <v>5887</v>
      </c>
      <c r="C6817" s="391" t="s">
        <v>5681</v>
      </c>
      <c r="D6817" s="479">
        <v>4205.82</v>
      </c>
      <c r="E6817" s="368"/>
      <c r="F6817" s="368"/>
    </row>
    <row r="6818" spans="1:6" ht="25.5" x14ac:dyDescent="0.2">
      <c r="A6818" s="391">
        <v>88263</v>
      </c>
      <c r="B6818" s="478" t="s">
        <v>5614</v>
      </c>
      <c r="C6818" s="391" t="s">
        <v>558</v>
      </c>
      <c r="D6818" s="479">
        <v>23.44</v>
      </c>
      <c r="E6818" s="368"/>
      <c r="F6818" s="368"/>
    </row>
    <row r="6819" spans="1:6" ht="25.5" x14ac:dyDescent="0.2">
      <c r="A6819" s="391">
        <v>95308</v>
      </c>
      <c r="B6819" s="478" t="s">
        <v>5686</v>
      </c>
      <c r="C6819" s="391" t="s">
        <v>558</v>
      </c>
      <c r="D6819" s="479">
        <v>0.16</v>
      </c>
      <c r="E6819" s="368"/>
      <c r="F6819" s="368"/>
    </row>
    <row r="6820" spans="1:6" ht="25.5" x14ac:dyDescent="0.2">
      <c r="A6820" s="391">
        <v>101286</v>
      </c>
      <c r="B6820" s="478" t="s">
        <v>5800</v>
      </c>
      <c r="C6820" s="391" t="s">
        <v>5681</v>
      </c>
      <c r="D6820" s="479">
        <v>21.92</v>
      </c>
      <c r="E6820" s="368"/>
      <c r="F6820" s="368"/>
    </row>
    <row r="6821" spans="1:6" ht="25.5" x14ac:dyDescent="0.2">
      <c r="A6821" s="391">
        <v>95309</v>
      </c>
      <c r="B6821" s="478" t="s">
        <v>5687</v>
      </c>
      <c r="C6821" s="391" t="s">
        <v>558</v>
      </c>
      <c r="D6821" s="479">
        <v>0.21</v>
      </c>
      <c r="E6821" s="368"/>
      <c r="F6821" s="368"/>
    </row>
    <row r="6822" spans="1:6" ht="25.5" x14ac:dyDescent="0.2">
      <c r="A6822" s="391">
        <v>101287</v>
      </c>
      <c r="B6822" s="478" t="s">
        <v>5801</v>
      </c>
      <c r="C6822" s="391" t="s">
        <v>5681</v>
      </c>
      <c r="D6822" s="479">
        <v>70.930000000000007</v>
      </c>
      <c r="E6822" s="368"/>
      <c r="F6822" s="368"/>
    </row>
    <row r="6823" spans="1:6" ht="25.5" x14ac:dyDescent="0.2">
      <c r="A6823" s="391">
        <v>95310</v>
      </c>
      <c r="B6823" s="478" t="s">
        <v>5688</v>
      </c>
      <c r="C6823" s="391" t="s">
        <v>558</v>
      </c>
      <c r="D6823" s="479">
        <v>0.16</v>
      </c>
      <c r="E6823" s="368"/>
      <c r="F6823" s="368"/>
    </row>
    <row r="6824" spans="1:6" ht="25.5" x14ac:dyDescent="0.2">
      <c r="A6824" s="391">
        <v>101288</v>
      </c>
      <c r="B6824" s="478" t="s">
        <v>5802</v>
      </c>
      <c r="C6824" s="391" t="s">
        <v>5681</v>
      </c>
      <c r="D6824" s="479">
        <v>21.92</v>
      </c>
      <c r="E6824" s="368"/>
      <c r="F6824" s="368"/>
    </row>
    <row r="6825" spans="1:6" ht="25.5" x14ac:dyDescent="0.2">
      <c r="A6825" s="391">
        <v>95311</v>
      </c>
      <c r="B6825" s="478" t="s">
        <v>5689</v>
      </c>
      <c r="C6825" s="391" t="s">
        <v>558</v>
      </c>
      <c r="D6825" s="479">
        <v>0.15</v>
      </c>
      <c r="E6825" s="368"/>
      <c r="F6825" s="368"/>
    </row>
    <row r="6826" spans="1:6" ht="25.5" x14ac:dyDescent="0.2">
      <c r="A6826" s="391">
        <v>101289</v>
      </c>
      <c r="B6826" s="478" t="s">
        <v>5803</v>
      </c>
      <c r="C6826" s="391" t="s">
        <v>5681</v>
      </c>
      <c r="D6826" s="479">
        <v>20.73</v>
      </c>
      <c r="E6826" s="368"/>
      <c r="F6826" s="368"/>
    </row>
    <row r="6827" spans="1:6" ht="25.5" x14ac:dyDescent="0.2">
      <c r="A6827" s="391">
        <v>95312</v>
      </c>
      <c r="B6827" s="478" t="s">
        <v>5690</v>
      </c>
      <c r="C6827" s="391" t="s">
        <v>558</v>
      </c>
      <c r="D6827" s="479">
        <v>0.21</v>
      </c>
      <c r="E6827" s="368"/>
      <c r="F6827" s="368"/>
    </row>
    <row r="6828" spans="1:6" ht="25.5" x14ac:dyDescent="0.2">
      <c r="A6828" s="391">
        <v>100291</v>
      </c>
      <c r="B6828" s="478" t="s">
        <v>5786</v>
      </c>
      <c r="C6828" s="391" t="s">
        <v>558</v>
      </c>
      <c r="D6828" s="479">
        <v>0.21</v>
      </c>
      <c r="E6828" s="368"/>
      <c r="F6828" s="368"/>
    </row>
    <row r="6829" spans="1:6" ht="25.5" x14ac:dyDescent="0.2">
      <c r="A6829" s="391">
        <v>101290</v>
      </c>
      <c r="B6829" s="478" t="s">
        <v>5804</v>
      </c>
      <c r="C6829" s="391" t="s">
        <v>5681</v>
      </c>
      <c r="D6829" s="479">
        <v>28.06</v>
      </c>
      <c r="E6829" s="368"/>
      <c r="F6829" s="368"/>
    </row>
    <row r="6830" spans="1:6" ht="25.5" x14ac:dyDescent="0.2">
      <c r="A6830" s="391">
        <v>101291</v>
      </c>
      <c r="B6830" s="478" t="s">
        <v>5805</v>
      </c>
      <c r="C6830" s="391" t="s">
        <v>5681</v>
      </c>
      <c r="D6830" s="479">
        <v>21.92</v>
      </c>
      <c r="E6830" s="368"/>
      <c r="F6830" s="368"/>
    </row>
    <row r="6831" spans="1:6" ht="25.5" x14ac:dyDescent="0.2">
      <c r="A6831" s="391">
        <v>95313</v>
      </c>
      <c r="B6831" s="478" t="s">
        <v>5691</v>
      </c>
      <c r="C6831" s="391" t="s">
        <v>558</v>
      </c>
      <c r="D6831" s="479">
        <v>0.15</v>
      </c>
      <c r="E6831" s="368"/>
      <c r="F6831" s="368"/>
    </row>
    <row r="6832" spans="1:6" ht="25.5" x14ac:dyDescent="0.2">
      <c r="A6832" s="391">
        <v>101292</v>
      </c>
      <c r="B6832" s="478" t="s">
        <v>5806</v>
      </c>
      <c r="C6832" s="391" t="s">
        <v>5681</v>
      </c>
      <c r="D6832" s="479">
        <v>20.73</v>
      </c>
      <c r="E6832" s="368"/>
      <c r="F6832" s="368"/>
    </row>
    <row r="6833" spans="1:6" ht="25.5" x14ac:dyDescent="0.2">
      <c r="A6833" s="391">
        <v>95392</v>
      </c>
      <c r="B6833" s="478" t="s">
        <v>5758</v>
      </c>
      <c r="C6833" s="391" t="s">
        <v>558</v>
      </c>
      <c r="D6833" s="479">
        <v>0.09</v>
      </c>
      <c r="E6833" s="368"/>
      <c r="F6833" s="368"/>
    </row>
    <row r="6834" spans="1:6" ht="25.5" x14ac:dyDescent="0.2">
      <c r="A6834" s="391">
        <v>95413</v>
      </c>
      <c r="B6834" s="478" t="s">
        <v>5772</v>
      </c>
      <c r="C6834" s="391" t="s">
        <v>5681</v>
      </c>
      <c r="D6834" s="479">
        <v>12.31</v>
      </c>
      <c r="E6834" s="368"/>
      <c r="F6834" s="368"/>
    </row>
    <row r="6835" spans="1:6" ht="25.5" x14ac:dyDescent="0.2">
      <c r="A6835" s="391">
        <v>95393</v>
      </c>
      <c r="B6835" s="478" t="s">
        <v>5759</v>
      </c>
      <c r="C6835" s="391" t="s">
        <v>558</v>
      </c>
      <c r="D6835" s="479">
        <v>0.44</v>
      </c>
      <c r="E6835" s="368"/>
      <c r="F6835" s="368"/>
    </row>
    <row r="6836" spans="1:6" ht="25.5" x14ac:dyDescent="0.2">
      <c r="A6836" s="391">
        <v>95414</v>
      </c>
      <c r="B6836" s="478" t="s">
        <v>5773</v>
      </c>
      <c r="C6836" s="391" t="s">
        <v>5681</v>
      </c>
      <c r="D6836" s="479">
        <v>59.15</v>
      </c>
      <c r="E6836" s="368"/>
      <c r="F6836" s="368"/>
    </row>
    <row r="6837" spans="1:6" ht="25.5" x14ac:dyDescent="0.2">
      <c r="A6837" s="391">
        <v>95314</v>
      </c>
      <c r="B6837" s="478" t="s">
        <v>5692</v>
      </c>
      <c r="C6837" s="391" t="s">
        <v>558</v>
      </c>
      <c r="D6837" s="479">
        <v>0.21</v>
      </c>
      <c r="E6837" s="368"/>
      <c r="F6837" s="368"/>
    </row>
    <row r="6838" spans="1:6" ht="25.5" x14ac:dyDescent="0.2">
      <c r="A6838" s="391">
        <v>101293</v>
      </c>
      <c r="B6838" s="478" t="s">
        <v>5807</v>
      </c>
      <c r="C6838" s="391" t="s">
        <v>5681</v>
      </c>
      <c r="D6838" s="479">
        <v>28.04</v>
      </c>
      <c r="E6838" s="368"/>
      <c r="F6838" s="368"/>
    </row>
    <row r="6839" spans="1:6" ht="25.5" x14ac:dyDescent="0.2">
      <c r="A6839" s="391">
        <v>95394</v>
      </c>
      <c r="B6839" s="478" t="s">
        <v>5760</v>
      </c>
      <c r="C6839" s="391" t="s">
        <v>558</v>
      </c>
      <c r="D6839" s="479">
        <v>0.91</v>
      </c>
      <c r="E6839" s="368"/>
      <c r="F6839" s="368"/>
    </row>
    <row r="6840" spans="1:6" ht="25.5" x14ac:dyDescent="0.2">
      <c r="A6840" s="391">
        <v>95395</v>
      </c>
      <c r="B6840" s="478" t="s">
        <v>5761</v>
      </c>
      <c r="C6840" s="391" t="s">
        <v>558</v>
      </c>
      <c r="D6840" s="479">
        <v>0.97</v>
      </c>
      <c r="E6840" s="368"/>
      <c r="F6840" s="368"/>
    </row>
    <row r="6841" spans="1:6" ht="25.5" x14ac:dyDescent="0.2">
      <c r="A6841" s="391">
        <v>95396</v>
      </c>
      <c r="B6841" s="478" t="s">
        <v>5762</v>
      </c>
      <c r="C6841" s="391" t="s">
        <v>558</v>
      </c>
      <c r="D6841" s="479">
        <v>1.02</v>
      </c>
      <c r="E6841" s="368"/>
      <c r="F6841" s="368"/>
    </row>
    <row r="6842" spans="1:6" ht="25.5" x14ac:dyDescent="0.2">
      <c r="A6842" s="391">
        <v>95419</v>
      </c>
      <c r="B6842" s="478" t="s">
        <v>5778</v>
      </c>
      <c r="C6842" s="391" t="s">
        <v>5681</v>
      </c>
      <c r="D6842" s="479">
        <v>121.69</v>
      </c>
      <c r="E6842" s="368"/>
      <c r="F6842" s="368"/>
    </row>
    <row r="6843" spans="1:6" ht="25.5" x14ac:dyDescent="0.2">
      <c r="A6843" s="391">
        <v>95420</v>
      </c>
      <c r="B6843" s="478" t="s">
        <v>5779</v>
      </c>
      <c r="C6843" s="391" t="s">
        <v>5681</v>
      </c>
      <c r="D6843" s="479">
        <v>128.91999999999999</v>
      </c>
      <c r="E6843" s="368"/>
      <c r="F6843" s="368"/>
    </row>
    <row r="6844" spans="1:6" ht="25.5" x14ac:dyDescent="0.2">
      <c r="A6844" s="391">
        <v>95421</v>
      </c>
      <c r="B6844" s="478" t="s">
        <v>5780</v>
      </c>
      <c r="C6844" s="391" t="s">
        <v>5681</v>
      </c>
      <c r="D6844" s="479">
        <v>135.11000000000001</v>
      </c>
      <c r="E6844" s="368"/>
      <c r="F6844" s="368"/>
    </row>
    <row r="6845" spans="1:6" ht="25.5" x14ac:dyDescent="0.2">
      <c r="A6845" s="391">
        <v>101294</v>
      </c>
      <c r="B6845" s="478" t="s">
        <v>5808</v>
      </c>
      <c r="C6845" s="391" t="s">
        <v>5681</v>
      </c>
      <c r="D6845" s="479">
        <v>25.67</v>
      </c>
      <c r="E6845" s="368"/>
      <c r="F6845" s="368"/>
    </row>
    <row r="6846" spans="1:6" ht="25.5" x14ac:dyDescent="0.2">
      <c r="A6846" s="391">
        <v>95315</v>
      </c>
      <c r="B6846" s="478" t="s">
        <v>5693</v>
      </c>
      <c r="C6846" s="391" t="s">
        <v>558</v>
      </c>
      <c r="D6846" s="479">
        <v>0.19</v>
      </c>
      <c r="E6846" s="368"/>
      <c r="F6846" s="368"/>
    </row>
    <row r="6847" spans="1:6" ht="25.5" x14ac:dyDescent="0.2">
      <c r="A6847" s="391">
        <v>100293</v>
      </c>
      <c r="B6847" s="478" t="s">
        <v>5787</v>
      </c>
      <c r="C6847" s="391" t="s">
        <v>558</v>
      </c>
      <c r="D6847" s="479">
        <v>0.17</v>
      </c>
      <c r="E6847" s="368"/>
      <c r="F6847" s="368"/>
    </row>
    <row r="6848" spans="1:6" ht="25.5" x14ac:dyDescent="0.2">
      <c r="A6848" s="391">
        <v>101295</v>
      </c>
      <c r="B6848" s="478" t="s">
        <v>5809</v>
      </c>
      <c r="C6848" s="391" t="s">
        <v>5681</v>
      </c>
      <c r="D6848" s="479">
        <v>23.57</v>
      </c>
      <c r="E6848" s="368"/>
      <c r="F6848" s="368"/>
    </row>
    <row r="6849" spans="1:6" ht="25.5" x14ac:dyDescent="0.2">
      <c r="A6849" s="391">
        <v>95316</v>
      </c>
      <c r="B6849" s="478" t="s">
        <v>5694</v>
      </c>
      <c r="C6849" s="391" t="s">
        <v>558</v>
      </c>
      <c r="D6849" s="479">
        <v>0.53</v>
      </c>
      <c r="E6849" s="368"/>
      <c r="F6849" s="368"/>
    </row>
    <row r="6850" spans="1:6" ht="25.5" x14ac:dyDescent="0.2">
      <c r="A6850" s="391">
        <v>95317</v>
      </c>
      <c r="B6850" s="478" t="s">
        <v>5695</v>
      </c>
      <c r="C6850" s="391" t="s">
        <v>558</v>
      </c>
      <c r="D6850" s="479">
        <v>0.25</v>
      </c>
      <c r="E6850" s="368"/>
      <c r="F6850" s="368"/>
    </row>
    <row r="6851" spans="1:6" ht="25.5" x14ac:dyDescent="0.2">
      <c r="A6851" s="391">
        <v>101296</v>
      </c>
      <c r="B6851" s="478" t="s">
        <v>5810</v>
      </c>
      <c r="C6851" s="391" t="s">
        <v>5681</v>
      </c>
      <c r="D6851" s="479">
        <v>34.159999999999997</v>
      </c>
      <c r="E6851" s="368"/>
      <c r="F6851" s="368"/>
    </row>
    <row r="6852" spans="1:6" ht="25.5" x14ac:dyDescent="0.2">
      <c r="A6852" s="391">
        <v>95398</v>
      </c>
      <c r="B6852" s="478" t="s">
        <v>5763</v>
      </c>
      <c r="C6852" s="391" t="s">
        <v>558</v>
      </c>
      <c r="D6852" s="479">
        <v>7.0000000000000007E-2</v>
      </c>
      <c r="E6852" s="368"/>
      <c r="F6852" s="368"/>
    </row>
    <row r="6853" spans="1:6" ht="25.5" x14ac:dyDescent="0.2">
      <c r="A6853" s="391">
        <v>95416</v>
      </c>
      <c r="B6853" s="478" t="s">
        <v>5775</v>
      </c>
      <c r="C6853" s="391" t="s">
        <v>5681</v>
      </c>
      <c r="D6853" s="479">
        <v>9.67</v>
      </c>
      <c r="E6853" s="368"/>
      <c r="F6853" s="368"/>
    </row>
    <row r="6854" spans="1:6" ht="25.5" x14ac:dyDescent="0.2">
      <c r="A6854" s="391">
        <v>101297</v>
      </c>
      <c r="B6854" s="478" t="s">
        <v>5811</v>
      </c>
      <c r="C6854" s="391" t="s">
        <v>5681</v>
      </c>
      <c r="D6854" s="479">
        <v>27.69</v>
      </c>
      <c r="E6854" s="368"/>
      <c r="F6854" s="368"/>
    </row>
    <row r="6855" spans="1:6" ht="25.5" x14ac:dyDescent="0.2">
      <c r="A6855" s="391">
        <v>95318</v>
      </c>
      <c r="B6855" s="478" t="s">
        <v>5696</v>
      </c>
      <c r="C6855" s="391" t="s">
        <v>558</v>
      </c>
      <c r="D6855" s="479">
        <v>0.2</v>
      </c>
      <c r="E6855" s="368"/>
      <c r="F6855" s="368"/>
    </row>
    <row r="6856" spans="1:6" ht="25.5" x14ac:dyDescent="0.2">
      <c r="A6856" s="391">
        <v>101298</v>
      </c>
      <c r="B6856" s="478" t="s">
        <v>5812</v>
      </c>
      <c r="C6856" s="391" t="s">
        <v>5681</v>
      </c>
      <c r="D6856" s="479">
        <v>21.92</v>
      </c>
      <c r="E6856" s="368"/>
      <c r="F6856" s="368"/>
    </row>
    <row r="6857" spans="1:6" ht="25.5" x14ac:dyDescent="0.2">
      <c r="A6857" s="391">
        <v>95319</v>
      </c>
      <c r="B6857" s="478" t="s">
        <v>5697</v>
      </c>
      <c r="C6857" s="391" t="s">
        <v>558</v>
      </c>
      <c r="D6857" s="479">
        <v>0.16</v>
      </c>
      <c r="E6857" s="368"/>
      <c r="F6857" s="368"/>
    </row>
    <row r="6858" spans="1:6" ht="25.5" x14ac:dyDescent="0.2">
      <c r="A6858" s="391">
        <v>101299</v>
      </c>
      <c r="B6858" s="478" t="s">
        <v>5813</v>
      </c>
      <c r="C6858" s="391" t="s">
        <v>5681</v>
      </c>
      <c r="D6858" s="479">
        <v>28.06</v>
      </c>
      <c r="E6858" s="368"/>
      <c r="F6858" s="368"/>
    </row>
    <row r="6859" spans="1:6" ht="25.5" x14ac:dyDescent="0.2">
      <c r="A6859" s="391">
        <v>95320</v>
      </c>
      <c r="B6859" s="478" t="s">
        <v>5698</v>
      </c>
      <c r="C6859" s="391" t="s">
        <v>558</v>
      </c>
      <c r="D6859" s="479">
        <v>0.16</v>
      </c>
      <c r="E6859" s="368"/>
      <c r="F6859" s="368"/>
    </row>
    <row r="6860" spans="1:6" ht="25.5" x14ac:dyDescent="0.2">
      <c r="A6860" s="391">
        <v>95321</v>
      </c>
      <c r="B6860" s="478" t="s">
        <v>5699</v>
      </c>
      <c r="C6860" s="391" t="s">
        <v>558</v>
      </c>
      <c r="D6860" s="479">
        <v>0.15</v>
      </c>
      <c r="E6860" s="368"/>
      <c r="F6860" s="368"/>
    </row>
    <row r="6861" spans="1:6" ht="25.5" x14ac:dyDescent="0.2">
      <c r="A6861" s="391">
        <v>101300</v>
      </c>
      <c r="B6861" s="478" t="s">
        <v>5814</v>
      </c>
      <c r="C6861" s="391" t="s">
        <v>5681</v>
      </c>
      <c r="D6861" s="479">
        <v>20.239999999999998</v>
      </c>
      <c r="E6861" s="368"/>
      <c r="F6861" s="368"/>
    </row>
    <row r="6862" spans="1:6" ht="25.5" x14ac:dyDescent="0.2">
      <c r="A6862" s="391">
        <v>95322</v>
      </c>
      <c r="B6862" s="478" t="s">
        <v>5700</v>
      </c>
      <c r="C6862" s="391" t="s">
        <v>558</v>
      </c>
      <c r="D6862" s="479">
        <v>0.12</v>
      </c>
      <c r="E6862" s="368"/>
      <c r="F6862" s="368"/>
    </row>
    <row r="6863" spans="1:6" ht="25.5" x14ac:dyDescent="0.2">
      <c r="A6863" s="391">
        <v>101301</v>
      </c>
      <c r="B6863" s="478" t="s">
        <v>5815</v>
      </c>
      <c r="C6863" s="391" t="s">
        <v>5681</v>
      </c>
      <c r="D6863" s="479">
        <v>16.84</v>
      </c>
      <c r="E6863" s="368"/>
      <c r="F6863" s="368"/>
    </row>
    <row r="6864" spans="1:6" ht="25.5" x14ac:dyDescent="0.2">
      <c r="A6864" s="391">
        <v>95323</v>
      </c>
      <c r="B6864" s="478" t="s">
        <v>5701</v>
      </c>
      <c r="C6864" s="391" t="s">
        <v>558</v>
      </c>
      <c r="D6864" s="479">
        <v>0.22</v>
      </c>
      <c r="E6864" s="368"/>
      <c r="F6864" s="368"/>
    </row>
    <row r="6865" spans="1:6" ht="25.5" x14ac:dyDescent="0.2">
      <c r="A6865" s="391">
        <v>101302</v>
      </c>
      <c r="B6865" s="478" t="s">
        <v>5816</v>
      </c>
      <c r="C6865" s="391" t="s">
        <v>5681</v>
      </c>
      <c r="D6865" s="479">
        <v>29.24</v>
      </c>
      <c r="E6865" s="368"/>
      <c r="F6865" s="368"/>
    </row>
    <row r="6866" spans="1:6" ht="25.5" x14ac:dyDescent="0.2">
      <c r="A6866" s="391">
        <v>95324</v>
      </c>
      <c r="B6866" s="478" t="s">
        <v>5702</v>
      </c>
      <c r="C6866" s="391" t="s">
        <v>558</v>
      </c>
      <c r="D6866" s="479">
        <v>0.26</v>
      </c>
      <c r="E6866" s="368"/>
      <c r="F6866" s="368"/>
    </row>
    <row r="6867" spans="1:6" ht="25.5" x14ac:dyDescent="0.2">
      <c r="A6867" s="391">
        <v>101304</v>
      </c>
      <c r="B6867" s="478" t="s">
        <v>5818</v>
      </c>
      <c r="C6867" s="391" t="s">
        <v>5681</v>
      </c>
      <c r="D6867" s="479">
        <v>35.74</v>
      </c>
      <c r="E6867" s="368"/>
      <c r="F6867" s="368"/>
    </row>
    <row r="6868" spans="1:6" ht="25.5" x14ac:dyDescent="0.2">
      <c r="A6868" s="391">
        <v>95325</v>
      </c>
      <c r="B6868" s="478" t="s">
        <v>5703</v>
      </c>
      <c r="C6868" s="391" t="s">
        <v>558</v>
      </c>
      <c r="D6868" s="479">
        <v>0.32</v>
      </c>
      <c r="E6868" s="368"/>
      <c r="F6868" s="368"/>
    </row>
    <row r="6869" spans="1:6" ht="25.5" x14ac:dyDescent="0.2">
      <c r="A6869" s="391">
        <v>101305</v>
      </c>
      <c r="B6869" s="478" t="s">
        <v>5819</v>
      </c>
      <c r="C6869" s="391" t="s">
        <v>5681</v>
      </c>
      <c r="D6869" s="479">
        <v>42.78</v>
      </c>
      <c r="E6869" s="368"/>
      <c r="F6869" s="368"/>
    </row>
    <row r="6870" spans="1:6" ht="25.5" x14ac:dyDescent="0.2">
      <c r="A6870" s="391">
        <v>95328</v>
      </c>
      <c r="B6870" s="478" t="s">
        <v>5704</v>
      </c>
      <c r="C6870" s="391" t="s">
        <v>558</v>
      </c>
      <c r="D6870" s="479">
        <v>0.21</v>
      </c>
      <c r="E6870" s="368"/>
      <c r="F6870" s="368"/>
    </row>
    <row r="6871" spans="1:6" ht="25.5" x14ac:dyDescent="0.2">
      <c r="A6871" s="391">
        <v>101307</v>
      </c>
      <c r="B6871" s="478" t="s">
        <v>5820</v>
      </c>
      <c r="C6871" s="391" t="s">
        <v>5681</v>
      </c>
      <c r="D6871" s="479">
        <v>27.93</v>
      </c>
      <c r="E6871" s="368"/>
      <c r="F6871" s="368"/>
    </row>
    <row r="6872" spans="1:6" ht="25.5" x14ac:dyDescent="0.2">
      <c r="A6872" s="391">
        <v>101309</v>
      </c>
      <c r="B6872" s="478" t="s">
        <v>5822</v>
      </c>
      <c r="C6872" s="391" t="s">
        <v>5681</v>
      </c>
      <c r="D6872" s="479">
        <v>28.06</v>
      </c>
      <c r="E6872" s="368"/>
      <c r="F6872" s="368"/>
    </row>
    <row r="6873" spans="1:6" ht="25.5" x14ac:dyDescent="0.2">
      <c r="A6873" s="391">
        <v>95329</v>
      </c>
      <c r="B6873" s="478" t="s">
        <v>5705</v>
      </c>
      <c r="C6873" s="391" t="s">
        <v>558</v>
      </c>
      <c r="D6873" s="479">
        <v>0.25</v>
      </c>
      <c r="E6873" s="368"/>
      <c r="F6873" s="368"/>
    </row>
    <row r="6874" spans="1:6" ht="25.5" x14ac:dyDescent="0.2">
      <c r="A6874" s="391">
        <v>101310</v>
      </c>
      <c r="B6874" s="478" t="s">
        <v>5823</v>
      </c>
      <c r="C6874" s="391" t="s">
        <v>5681</v>
      </c>
      <c r="D6874" s="479">
        <v>34.06</v>
      </c>
      <c r="E6874" s="368"/>
      <c r="F6874" s="368"/>
    </row>
    <row r="6875" spans="1:6" ht="25.5" x14ac:dyDescent="0.2">
      <c r="A6875" s="391">
        <v>101311</v>
      </c>
      <c r="B6875" s="478" t="s">
        <v>5824</v>
      </c>
      <c r="C6875" s="391" t="s">
        <v>5681</v>
      </c>
      <c r="D6875" s="479">
        <v>27.93</v>
      </c>
      <c r="E6875" s="368"/>
      <c r="F6875" s="368"/>
    </row>
    <row r="6876" spans="1:6" ht="25.5" x14ac:dyDescent="0.2">
      <c r="A6876" s="391">
        <v>95330</v>
      </c>
      <c r="B6876" s="478" t="s">
        <v>5706</v>
      </c>
      <c r="C6876" s="391" t="s">
        <v>558</v>
      </c>
      <c r="D6876" s="479">
        <v>0.21</v>
      </c>
      <c r="E6876" s="368"/>
      <c r="F6876" s="368"/>
    </row>
    <row r="6877" spans="1:6" ht="25.5" x14ac:dyDescent="0.2">
      <c r="A6877" s="391">
        <v>101312</v>
      </c>
      <c r="B6877" s="478" t="s">
        <v>5825</v>
      </c>
      <c r="C6877" s="391" t="s">
        <v>5681</v>
      </c>
      <c r="D6877" s="479">
        <v>24.66</v>
      </c>
      <c r="E6877" s="368"/>
      <c r="F6877" s="368"/>
    </row>
    <row r="6878" spans="1:6" ht="25.5" x14ac:dyDescent="0.2">
      <c r="A6878" s="391">
        <v>95331</v>
      </c>
      <c r="B6878" s="478" t="s">
        <v>5707</v>
      </c>
      <c r="C6878" s="391" t="s">
        <v>558</v>
      </c>
      <c r="D6878" s="479">
        <v>0.18</v>
      </c>
      <c r="E6878" s="368"/>
      <c r="F6878" s="368"/>
    </row>
    <row r="6879" spans="1:6" ht="25.5" x14ac:dyDescent="0.2">
      <c r="A6879" s="391">
        <v>95400</v>
      </c>
      <c r="B6879" s="478" t="s">
        <v>5764</v>
      </c>
      <c r="C6879" s="391" t="s">
        <v>558</v>
      </c>
      <c r="D6879" s="479">
        <v>0.12</v>
      </c>
      <c r="E6879" s="368"/>
      <c r="F6879" s="368"/>
    </row>
    <row r="6880" spans="1:6" ht="25.5" x14ac:dyDescent="0.2">
      <c r="A6880" s="391">
        <v>95411</v>
      </c>
      <c r="B6880" s="478" t="s">
        <v>5771</v>
      </c>
      <c r="C6880" s="391" t="s">
        <v>5681</v>
      </c>
      <c r="D6880" s="479">
        <v>16.45</v>
      </c>
      <c r="E6880" s="368"/>
      <c r="F6880" s="368"/>
    </row>
    <row r="6881" spans="1:6" ht="25.5" x14ac:dyDescent="0.2">
      <c r="A6881" s="391">
        <v>95332</v>
      </c>
      <c r="B6881" s="478" t="s">
        <v>5708</v>
      </c>
      <c r="C6881" s="391" t="s">
        <v>558</v>
      </c>
      <c r="D6881" s="479">
        <v>0.68</v>
      </c>
      <c r="E6881" s="368"/>
      <c r="F6881" s="368"/>
    </row>
    <row r="6882" spans="1:6" ht="25.5" x14ac:dyDescent="0.2">
      <c r="A6882" s="391">
        <v>101313</v>
      </c>
      <c r="B6882" s="478" t="s">
        <v>5826</v>
      </c>
      <c r="C6882" s="391" t="s">
        <v>5681</v>
      </c>
      <c r="D6882" s="479">
        <v>90.37</v>
      </c>
      <c r="E6882" s="368"/>
      <c r="F6882" s="368"/>
    </row>
    <row r="6883" spans="1:6" ht="25.5" x14ac:dyDescent="0.2">
      <c r="A6883" s="391">
        <v>95334</v>
      </c>
      <c r="B6883" s="478" t="s">
        <v>5709</v>
      </c>
      <c r="C6883" s="391" t="s">
        <v>558</v>
      </c>
      <c r="D6883" s="479">
        <v>0.85</v>
      </c>
      <c r="E6883" s="368"/>
      <c r="F6883" s="368"/>
    </row>
    <row r="6884" spans="1:6" ht="25.5" x14ac:dyDescent="0.2">
      <c r="A6884" s="391">
        <v>101315</v>
      </c>
      <c r="B6884" s="478" t="s">
        <v>5827</v>
      </c>
      <c r="C6884" s="391" t="s">
        <v>5681</v>
      </c>
      <c r="D6884" s="479">
        <v>112.86</v>
      </c>
      <c r="E6884" s="368"/>
      <c r="F6884" s="368"/>
    </row>
    <row r="6885" spans="1:6" ht="25.5" x14ac:dyDescent="0.2">
      <c r="A6885" s="391">
        <v>95335</v>
      </c>
      <c r="B6885" s="478" t="s">
        <v>5710</v>
      </c>
      <c r="C6885" s="391" t="s">
        <v>558</v>
      </c>
      <c r="D6885" s="479">
        <v>0.32</v>
      </c>
      <c r="E6885" s="368"/>
      <c r="F6885" s="368"/>
    </row>
    <row r="6886" spans="1:6" ht="25.5" x14ac:dyDescent="0.2">
      <c r="A6886" s="391">
        <v>101316</v>
      </c>
      <c r="B6886" s="478" t="s">
        <v>5828</v>
      </c>
      <c r="C6886" s="391" t="s">
        <v>5681</v>
      </c>
      <c r="D6886" s="479">
        <v>43.52</v>
      </c>
      <c r="E6886" s="368"/>
      <c r="F6886" s="368"/>
    </row>
    <row r="6887" spans="1:6" ht="25.5" x14ac:dyDescent="0.2">
      <c r="A6887" s="391">
        <v>95401</v>
      </c>
      <c r="B6887" s="478" t="s">
        <v>5765</v>
      </c>
      <c r="C6887" s="391" t="s">
        <v>558</v>
      </c>
      <c r="D6887" s="479">
        <v>0.45</v>
      </c>
      <c r="E6887" s="368"/>
      <c r="F6887" s="368"/>
    </row>
    <row r="6888" spans="1:6" ht="25.5" x14ac:dyDescent="0.2">
      <c r="A6888" s="391">
        <v>95422</v>
      </c>
      <c r="B6888" s="478" t="s">
        <v>5781</v>
      </c>
      <c r="C6888" s="391" t="s">
        <v>5681</v>
      </c>
      <c r="D6888" s="479">
        <v>60.34</v>
      </c>
      <c r="E6888" s="368"/>
      <c r="F6888" s="368"/>
    </row>
    <row r="6889" spans="1:6" ht="25.5" x14ac:dyDescent="0.2">
      <c r="A6889" s="391">
        <v>95402</v>
      </c>
      <c r="B6889" s="478" t="s">
        <v>5766</v>
      </c>
      <c r="C6889" s="391" t="s">
        <v>558</v>
      </c>
      <c r="D6889" s="479">
        <v>1.66</v>
      </c>
      <c r="E6889" s="368"/>
      <c r="F6889" s="368"/>
    </row>
    <row r="6890" spans="1:6" ht="25.5" x14ac:dyDescent="0.2">
      <c r="A6890" s="391">
        <v>95415</v>
      </c>
      <c r="B6890" s="478" t="s">
        <v>5774</v>
      </c>
      <c r="C6890" s="391" t="s">
        <v>5681</v>
      </c>
      <c r="D6890" s="479">
        <v>220.24</v>
      </c>
      <c r="E6890" s="368"/>
      <c r="F6890" s="368"/>
    </row>
    <row r="6891" spans="1:6" ht="25.5" x14ac:dyDescent="0.2">
      <c r="A6891" s="391">
        <v>95403</v>
      </c>
      <c r="B6891" s="478" t="s">
        <v>5767</v>
      </c>
      <c r="C6891" s="391" t="s">
        <v>558</v>
      </c>
      <c r="D6891" s="479">
        <v>1.8</v>
      </c>
      <c r="E6891" s="368"/>
      <c r="F6891" s="368"/>
    </row>
    <row r="6892" spans="1:6" ht="25.5" x14ac:dyDescent="0.2">
      <c r="A6892" s="391">
        <v>95417</v>
      </c>
      <c r="B6892" s="478" t="s">
        <v>5776</v>
      </c>
      <c r="C6892" s="391" t="s">
        <v>5681</v>
      </c>
      <c r="D6892" s="479">
        <v>239.61</v>
      </c>
      <c r="E6892" s="368"/>
      <c r="F6892" s="368"/>
    </row>
    <row r="6893" spans="1:6" ht="25.5" x14ac:dyDescent="0.2">
      <c r="A6893" s="391">
        <v>95404</v>
      </c>
      <c r="B6893" s="478" t="s">
        <v>5768</v>
      </c>
      <c r="C6893" s="391" t="s">
        <v>558</v>
      </c>
      <c r="D6893" s="479">
        <v>2.11</v>
      </c>
      <c r="E6893" s="368"/>
      <c r="F6893" s="368"/>
    </row>
    <row r="6894" spans="1:6" ht="25.5" x14ac:dyDescent="0.2">
      <c r="A6894" s="391">
        <v>95418</v>
      </c>
      <c r="B6894" s="478" t="s">
        <v>5777</v>
      </c>
      <c r="C6894" s="391" t="s">
        <v>5681</v>
      </c>
      <c r="D6894" s="479">
        <v>279.69</v>
      </c>
      <c r="E6894" s="368"/>
      <c r="F6894" s="368"/>
    </row>
    <row r="6895" spans="1:6" ht="25.5" x14ac:dyDescent="0.2">
      <c r="A6895" s="391">
        <v>95337</v>
      </c>
      <c r="B6895" s="478" t="s">
        <v>5711</v>
      </c>
      <c r="C6895" s="391" t="s">
        <v>558</v>
      </c>
      <c r="D6895" s="479">
        <v>0.21</v>
      </c>
      <c r="E6895" s="368"/>
      <c r="F6895" s="368"/>
    </row>
    <row r="6896" spans="1:6" ht="25.5" x14ac:dyDescent="0.2">
      <c r="A6896" s="391">
        <v>101322</v>
      </c>
      <c r="B6896" s="478" t="s">
        <v>5830</v>
      </c>
      <c r="C6896" s="391" t="s">
        <v>5681</v>
      </c>
      <c r="D6896" s="479">
        <v>27.93</v>
      </c>
      <c r="E6896" s="368"/>
      <c r="F6896" s="368"/>
    </row>
    <row r="6897" spans="1:6" ht="25.5" x14ac:dyDescent="0.2">
      <c r="A6897" s="391">
        <v>95338</v>
      </c>
      <c r="B6897" s="478" t="s">
        <v>5712</v>
      </c>
      <c r="C6897" s="391" t="s">
        <v>558</v>
      </c>
      <c r="D6897" s="479">
        <v>0.38</v>
      </c>
      <c r="E6897" s="368"/>
      <c r="F6897" s="368"/>
    </row>
    <row r="6898" spans="1:6" ht="25.5" x14ac:dyDescent="0.2">
      <c r="A6898" s="391">
        <v>101323</v>
      </c>
      <c r="B6898" s="478" t="s">
        <v>5831</v>
      </c>
      <c r="C6898" s="391" t="s">
        <v>5681</v>
      </c>
      <c r="D6898" s="479">
        <v>51.34</v>
      </c>
      <c r="E6898" s="368"/>
      <c r="F6898" s="368"/>
    </row>
    <row r="6899" spans="1:6" ht="25.5" x14ac:dyDescent="0.2">
      <c r="A6899" s="391">
        <v>102918</v>
      </c>
      <c r="B6899" s="478" t="s">
        <v>41621</v>
      </c>
      <c r="C6899" s="391" t="s">
        <v>558</v>
      </c>
      <c r="D6899" s="479">
        <v>0</v>
      </c>
      <c r="E6899" s="368"/>
      <c r="F6899" s="368"/>
    </row>
    <row r="6900" spans="1:6" ht="25.5" x14ac:dyDescent="0.2">
      <c r="A6900" s="391">
        <v>101325</v>
      </c>
      <c r="B6900" s="478" t="s">
        <v>5833</v>
      </c>
      <c r="C6900" s="391" t="s">
        <v>5681</v>
      </c>
      <c r="D6900" s="479">
        <v>38.29</v>
      </c>
      <c r="E6900" s="368"/>
      <c r="F6900" s="368"/>
    </row>
    <row r="6901" spans="1:6" ht="25.5" x14ac:dyDescent="0.2">
      <c r="A6901" s="391">
        <v>95390</v>
      </c>
      <c r="B6901" s="478" t="s">
        <v>5757</v>
      </c>
      <c r="C6901" s="391" t="s">
        <v>558</v>
      </c>
      <c r="D6901" s="479">
        <v>0.06</v>
      </c>
      <c r="E6901" s="368"/>
      <c r="F6901" s="368"/>
    </row>
    <row r="6902" spans="1:6" ht="25.5" x14ac:dyDescent="0.2">
      <c r="A6902" s="391">
        <v>101326</v>
      </c>
      <c r="B6902" s="478" t="s">
        <v>5834</v>
      </c>
      <c r="C6902" s="391" t="s">
        <v>5681</v>
      </c>
      <c r="D6902" s="479">
        <v>9.2200000000000006</v>
      </c>
      <c r="E6902" s="368"/>
      <c r="F6902" s="368"/>
    </row>
    <row r="6903" spans="1:6" ht="25.5" x14ac:dyDescent="0.2">
      <c r="A6903" s="391">
        <v>95340</v>
      </c>
      <c r="B6903" s="478" t="s">
        <v>5714</v>
      </c>
      <c r="C6903" s="391" t="s">
        <v>558</v>
      </c>
      <c r="D6903" s="479">
        <v>0.25</v>
      </c>
      <c r="E6903" s="368"/>
      <c r="F6903" s="368"/>
    </row>
    <row r="6904" spans="1:6" ht="25.5" x14ac:dyDescent="0.2">
      <c r="A6904" s="391">
        <v>101330</v>
      </c>
      <c r="B6904" s="478" t="s">
        <v>5837</v>
      </c>
      <c r="C6904" s="391" t="s">
        <v>5681</v>
      </c>
      <c r="D6904" s="479">
        <v>34.39</v>
      </c>
      <c r="E6904" s="368"/>
      <c r="F6904" s="368"/>
    </row>
    <row r="6905" spans="1:6" ht="25.5" x14ac:dyDescent="0.2">
      <c r="A6905" s="391">
        <v>101331</v>
      </c>
      <c r="B6905" s="478" t="s">
        <v>5838</v>
      </c>
      <c r="C6905" s="391" t="s">
        <v>5681</v>
      </c>
      <c r="D6905" s="479">
        <v>34.97</v>
      </c>
      <c r="E6905" s="368"/>
      <c r="F6905" s="368"/>
    </row>
    <row r="6906" spans="1:6" ht="25.5" x14ac:dyDescent="0.2">
      <c r="A6906" s="391">
        <v>95341</v>
      </c>
      <c r="B6906" s="478" t="s">
        <v>5715</v>
      </c>
      <c r="C6906" s="391" t="s">
        <v>558</v>
      </c>
      <c r="D6906" s="479">
        <v>0.26</v>
      </c>
      <c r="E6906" s="368"/>
      <c r="F6906" s="368"/>
    </row>
    <row r="6907" spans="1:6" ht="25.5" x14ac:dyDescent="0.2">
      <c r="A6907" s="391">
        <v>95339</v>
      </c>
      <c r="B6907" s="478" t="s">
        <v>5713</v>
      </c>
      <c r="C6907" s="391" t="s">
        <v>558</v>
      </c>
      <c r="D6907" s="479">
        <v>0.32</v>
      </c>
      <c r="E6907" s="368"/>
      <c r="F6907" s="368"/>
    </row>
    <row r="6908" spans="1:6" ht="25.5" x14ac:dyDescent="0.2">
      <c r="A6908" s="391">
        <v>101329</v>
      </c>
      <c r="B6908" s="478" t="s">
        <v>5836</v>
      </c>
      <c r="C6908" s="391" t="s">
        <v>5681</v>
      </c>
      <c r="D6908" s="479">
        <v>42.43</v>
      </c>
      <c r="E6908" s="368"/>
      <c r="F6908" s="368"/>
    </row>
    <row r="6909" spans="1:6" ht="25.5" x14ac:dyDescent="0.2">
      <c r="A6909" s="391">
        <v>95342</v>
      </c>
      <c r="B6909" s="478" t="s">
        <v>5716</v>
      </c>
      <c r="C6909" s="391" t="s">
        <v>558</v>
      </c>
      <c r="D6909" s="479">
        <v>0.22</v>
      </c>
      <c r="E6909" s="368"/>
      <c r="F6909" s="368"/>
    </row>
    <row r="6910" spans="1:6" ht="25.5" x14ac:dyDescent="0.2">
      <c r="A6910" s="391">
        <v>101333</v>
      </c>
      <c r="B6910" s="478" t="s">
        <v>5840</v>
      </c>
      <c r="C6910" s="391" t="s">
        <v>5681</v>
      </c>
      <c r="D6910" s="479">
        <v>29.32</v>
      </c>
      <c r="E6910" s="368"/>
      <c r="F6910" s="368"/>
    </row>
    <row r="6911" spans="1:6" ht="25.5" x14ac:dyDescent="0.2">
      <c r="A6911" s="391">
        <v>100298</v>
      </c>
      <c r="B6911" s="478" t="s">
        <v>5789</v>
      </c>
      <c r="C6911" s="391" t="s">
        <v>558</v>
      </c>
      <c r="D6911" s="479">
        <v>0.49</v>
      </c>
      <c r="E6911" s="368"/>
      <c r="F6911" s="368"/>
    </row>
    <row r="6912" spans="1:6" ht="25.5" x14ac:dyDescent="0.2">
      <c r="A6912" s="391">
        <v>101334</v>
      </c>
      <c r="B6912" s="478" t="s">
        <v>5841</v>
      </c>
      <c r="C6912" s="391" t="s">
        <v>5681</v>
      </c>
      <c r="D6912" s="479">
        <v>66.13</v>
      </c>
      <c r="E6912" s="368"/>
      <c r="F6912" s="368"/>
    </row>
    <row r="6913" spans="1:6" ht="25.5" x14ac:dyDescent="0.2">
      <c r="A6913" s="391">
        <v>95405</v>
      </c>
      <c r="B6913" s="478" t="s">
        <v>5769</v>
      </c>
      <c r="C6913" s="391" t="s">
        <v>558</v>
      </c>
      <c r="D6913" s="479">
        <v>0.71</v>
      </c>
      <c r="E6913" s="368"/>
      <c r="F6913" s="368"/>
    </row>
    <row r="6914" spans="1:6" ht="25.5" x14ac:dyDescent="0.2">
      <c r="A6914" s="391">
        <v>95423</v>
      </c>
      <c r="B6914" s="478" t="s">
        <v>5782</v>
      </c>
      <c r="C6914" s="391" t="s">
        <v>5681</v>
      </c>
      <c r="D6914" s="479">
        <v>94.16</v>
      </c>
      <c r="E6914" s="368"/>
      <c r="F6914" s="368"/>
    </row>
    <row r="6915" spans="1:6" ht="25.5" x14ac:dyDescent="0.2">
      <c r="A6915" s="391">
        <v>100295</v>
      </c>
      <c r="B6915" s="478" t="s">
        <v>5788</v>
      </c>
      <c r="C6915" s="391" t="s">
        <v>558</v>
      </c>
      <c r="D6915" s="479">
        <v>0.47</v>
      </c>
      <c r="E6915" s="368"/>
      <c r="F6915" s="368"/>
    </row>
    <row r="6916" spans="1:6" ht="25.5" x14ac:dyDescent="0.2">
      <c r="A6916" s="391">
        <v>101303</v>
      </c>
      <c r="B6916" s="478" t="s">
        <v>5817</v>
      </c>
      <c r="C6916" s="391" t="s">
        <v>5681</v>
      </c>
      <c r="D6916" s="479">
        <v>63.3</v>
      </c>
      <c r="E6916" s="368"/>
      <c r="F6916" s="368"/>
    </row>
    <row r="6917" spans="1:6" ht="25.5" x14ac:dyDescent="0.2">
      <c r="A6917" s="391">
        <v>95344</v>
      </c>
      <c r="B6917" s="478" t="s">
        <v>5717</v>
      </c>
      <c r="C6917" s="391" t="s">
        <v>558</v>
      </c>
      <c r="D6917" s="479">
        <v>0.18</v>
      </c>
      <c r="E6917" s="368"/>
      <c r="F6917" s="368"/>
    </row>
    <row r="6918" spans="1:6" ht="25.5" x14ac:dyDescent="0.2">
      <c r="A6918" s="391">
        <v>101308</v>
      </c>
      <c r="B6918" s="478" t="s">
        <v>5821</v>
      </c>
      <c r="C6918" s="391" t="s">
        <v>5681</v>
      </c>
      <c r="D6918" s="479">
        <v>24.66</v>
      </c>
      <c r="E6918" s="368"/>
      <c r="F6918" s="368"/>
    </row>
    <row r="6919" spans="1:6" ht="25.5" x14ac:dyDescent="0.2">
      <c r="A6919" s="391">
        <v>105536</v>
      </c>
      <c r="B6919" s="478" t="s">
        <v>41622</v>
      </c>
      <c r="C6919" s="391" t="s">
        <v>558</v>
      </c>
      <c r="D6919" s="479">
        <v>0</v>
      </c>
      <c r="E6919" s="368"/>
      <c r="F6919" s="368"/>
    </row>
    <row r="6920" spans="1:6" ht="25.5" x14ac:dyDescent="0.2">
      <c r="A6920" s="391">
        <v>101320</v>
      </c>
      <c r="B6920" s="478" t="s">
        <v>5829</v>
      </c>
      <c r="C6920" s="391" t="s">
        <v>5681</v>
      </c>
      <c r="D6920" s="479">
        <v>21.08</v>
      </c>
      <c r="E6920" s="368"/>
      <c r="F6920" s="368"/>
    </row>
    <row r="6921" spans="1:6" ht="25.5" x14ac:dyDescent="0.2">
      <c r="A6921" s="391">
        <v>95343</v>
      </c>
      <c r="B6921" s="478" t="s">
        <v>47999</v>
      </c>
      <c r="C6921" s="391" t="s">
        <v>558</v>
      </c>
      <c r="D6921" s="479">
        <v>0.28000000000000003</v>
      </c>
      <c r="E6921" s="368"/>
      <c r="F6921" s="368"/>
    </row>
    <row r="6922" spans="1:6" ht="25.5" x14ac:dyDescent="0.2">
      <c r="A6922" s="391">
        <v>95345</v>
      </c>
      <c r="B6922" s="478" t="s">
        <v>5718</v>
      </c>
      <c r="C6922" s="391" t="s">
        <v>558</v>
      </c>
      <c r="D6922" s="479">
        <v>0.59</v>
      </c>
      <c r="E6922" s="368"/>
      <c r="F6922" s="368"/>
    </row>
    <row r="6923" spans="1:6" ht="25.5" x14ac:dyDescent="0.2">
      <c r="A6923" s="391">
        <v>95346</v>
      </c>
      <c r="B6923" s="478" t="s">
        <v>5719</v>
      </c>
      <c r="C6923" s="391" t="s">
        <v>558</v>
      </c>
      <c r="D6923" s="479">
        <v>0.11</v>
      </c>
      <c r="E6923" s="368"/>
      <c r="F6923" s="368"/>
    </row>
    <row r="6924" spans="1:6" ht="25.5" x14ac:dyDescent="0.2">
      <c r="A6924" s="391">
        <v>101324</v>
      </c>
      <c r="B6924" s="478" t="s">
        <v>5832</v>
      </c>
      <c r="C6924" s="391" t="s">
        <v>5681</v>
      </c>
      <c r="D6924" s="479">
        <v>15</v>
      </c>
      <c r="E6924" s="368"/>
      <c r="F6924" s="368"/>
    </row>
    <row r="6925" spans="1:6" ht="25.5" x14ac:dyDescent="0.2">
      <c r="A6925" s="391">
        <v>101328</v>
      </c>
      <c r="B6925" s="478" t="s">
        <v>5835</v>
      </c>
      <c r="C6925" s="391" t="s">
        <v>5681</v>
      </c>
      <c r="D6925" s="479">
        <v>17.95</v>
      </c>
      <c r="E6925" s="368"/>
      <c r="F6925" s="368"/>
    </row>
    <row r="6926" spans="1:6" ht="25.5" x14ac:dyDescent="0.2">
      <c r="A6926" s="391">
        <v>95347</v>
      </c>
      <c r="B6926" s="478" t="s">
        <v>5720</v>
      </c>
      <c r="C6926" s="391" t="s">
        <v>558</v>
      </c>
      <c r="D6926" s="479">
        <v>0.1</v>
      </c>
      <c r="E6926" s="368"/>
      <c r="F6926" s="368"/>
    </row>
    <row r="6927" spans="1:6" ht="25.5" x14ac:dyDescent="0.2">
      <c r="A6927" s="391">
        <v>95408</v>
      </c>
      <c r="B6927" s="478" t="s">
        <v>48000</v>
      </c>
      <c r="C6927" s="391" t="s">
        <v>5681</v>
      </c>
      <c r="D6927" s="479">
        <v>14.43</v>
      </c>
      <c r="E6927" s="368"/>
      <c r="F6927" s="368"/>
    </row>
    <row r="6928" spans="1:6" ht="25.5" x14ac:dyDescent="0.2">
      <c r="A6928" s="391">
        <v>95348</v>
      </c>
      <c r="B6928" s="478" t="s">
        <v>5721</v>
      </c>
      <c r="C6928" s="391" t="s">
        <v>558</v>
      </c>
      <c r="D6928" s="479">
        <v>0.13</v>
      </c>
      <c r="E6928" s="368"/>
      <c r="F6928" s="368"/>
    </row>
    <row r="6929" spans="1:6" ht="25.5" x14ac:dyDescent="0.2">
      <c r="A6929" s="391">
        <v>101332</v>
      </c>
      <c r="B6929" s="478" t="s">
        <v>5839</v>
      </c>
      <c r="C6929" s="391" t="s">
        <v>5681</v>
      </c>
      <c r="D6929" s="479">
        <v>10.87</v>
      </c>
      <c r="E6929" s="368"/>
      <c r="F6929" s="368"/>
    </row>
    <row r="6930" spans="1:6" ht="25.5" x14ac:dyDescent="0.2">
      <c r="A6930" s="391">
        <v>95349</v>
      </c>
      <c r="B6930" s="478" t="s">
        <v>5722</v>
      </c>
      <c r="C6930" s="391" t="s">
        <v>558</v>
      </c>
      <c r="D6930" s="479">
        <v>0.08</v>
      </c>
      <c r="E6930" s="368"/>
      <c r="F6930" s="368"/>
    </row>
    <row r="6931" spans="1:6" ht="25.5" x14ac:dyDescent="0.2">
      <c r="A6931" s="391">
        <v>101336</v>
      </c>
      <c r="B6931" s="478" t="s">
        <v>5842</v>
      </c>
      <c r="C6931" s="391" t="s">
        <v>5681</v>
      </c>
      <c r="D6931" s="479">
        <v>52.1</v>
      </c>
      <c r="E6931" s="368"/>
      <c r="F6931" s="368"/>
    </row>
    <row r="6932" spans="1:6" ht="25.5" x14ac:dyDescent="0.2">
      <c r="A6932" s="391">
        <v>95351</v>
      </c>
      <c r="B6932" s="478" t="s">
        <v>5723</v>
      </c>
      <c r="C6932" s="391" t="s">
        <v>558</v>
      </c>
      <c r="D6932" s="479">
        <v>0.39</v>
      </c>
      <c r="E6932" s="368"/>
      <c r="F6932" s="368"/>
    </row>
    <row r="6933" spans="1:6" ht="25.5" x14ac:dyDescent="0.2">
      <c r="A6933" s="391">
        <v>95352</v>
      </c>
      <c r="B6933" s="478" t="s">
        <v>5724</v>
      </c>
      <c r="C6933" s="391" t="s">
        <v>558</v>
      </c>
      <c r="D6933" s="479">
        <v>0.11</v>
      </c>
      <c r="E6933" s="368"/>
      <c r="F6933" s="368"/>
    </row>
    <row r="6934" spans="1:6" ht="25.5" x14ac:dyDescent="0.2">
      <c r="A6934" s="391">
        <v>101337</v>
      </c>
      <c r="B6934" s="478" t="s">
        <v>5843</v>
      </c>
      <c r="C6934" s="391" t="s">
        <v>5681</v>
      </c>
      <c r="D6934" s="479">
        <v>15.79</v>
      </c>
      <c r="E6934" s="368"/>
      <c r="F6934" s="368"/>
    </row>
    <row r="6935" spans="1:6" ht="25.5" x14ac:dyDescent="0.2">
      <c r="A6935" s="391">
        <v>101338</v>
      </c>
      <c r="B6935" s="478" t="s">
        <v>5844</v>
      </c>
      <c r="C6935" s="391" t="s">
        <v>5681</v>
      </c>
      <c r="D6935" s="479">
        <v>21.81</v>
      </c>
      <c r="E6935" s="368"/>
      <c r="F6935" s="368"/>
    </row>
    <row r="6936" spans="1:6" ht="25.5" x14ac:dyDescent="0.2">
      <c r="A6936" s="391">
        <v>95354</v>
      </c>
      <c r="B6936" s="478" t="s">
        <v>5725</v>
      </c>
      <c r="C6936" s="391" t="s">
        <v>558</v>
      </c>
      <c r="D6936" s="479">
        <v>0.16</v>
      </c>
      <c r="E6936" s="368"/>
      <c r="F6936" s="368"/>
    </row>
    <row r="6937" spans="1:6" ht="25.5" x14ac:dyDescent="0.2">
      <c r="A6937" s="391">
        <v>101339</v>
      </c>
      <c r="B6937" s="478" t="s">
        <v>5845</v>
      </c>
      <c r="C6937" s="391" t="s">
        <v>5681</v>
      </c>
      <c r="D6937" s="479">
        <v>21.28</v>
      </c>
      <c r="E6937" s="368"/>
      <c r="F6937" s="368"/>
    </row>
    <row r="6938" spans="1:6" ht="25.5" x14ac:dyDescent="0.2">
      <c r="A6938" s="391">
        <v>101340</v>
      </c>
      <c r="B6938" s="478" t="s">
        <v>5846</v>
      </c>
      <c r="C6938" s="391" t="s">
        <v>5681</v>
      </c>
      <c r="D6938" s="479">
        <v>19.46</v>
      </c>
      <c r="E6938" s="368"/>
      <c r="F6938" s="368"/>
    </row>
    <row r="6939" spans="1:6" ht="25.5" x14ac:dyDescent="0.2">
      <c r="A6939" s="391">
        <v>95389</v>
      </c>
      <c r="B6939" s="478" t="s">
        <v>5756</v>
      </c>
      <c r="C6939" s="391" t="s">
        <v>558</v>
      </c>
      <c r="D6939" s="479">
        <v>0.14000000000000001</v>
      </c>
      <c r="E6939" s="368"/>
      <c r="F6939" s="368"/>
    </row>
    <row r="6940" spans="1:6" ht="25.5" x14ac:dyDescent="0.2">
      <c r="A6940" s="391">
        <v>101341</v>
      </c>
      <c r="B6940" s="478" t="s">
        <v>5847</v>
      </c>
      <c r="C6940" s="391" t="s">
        <v>5681</v>
      </c>
      <c r="D6940" s="479">
        <v>17.309999999999999</v>
      </c>
      <c r="E6940" s="368"/>
      <c r="F6940" s="368"/>
    </row>
    <row r="6941" spans="1:6" ht="25.5" x14ac:dyDescent="0.2">
      <c r="A6941" s="391">
        <v>95355</v>
      </c>
      <c r="B6941" s="478" t="s">
        <v>5726</v>
      </c>
      <c r="C6941" s="391" t="s">
        <v>558</v>
      </c>
      <c r="D6941" s="479">
        <v>0.13</v>
      </c>
      <c r="E6941" s="368"/>
      <c r="F6941" s="368"/>
    </row>
    <row r="6942" spans="1:6" ht="25.5" x14ac:dyDescent="0.2">
      <c r="A6942" s="391">
        <v>95356</v>
      </c>
      <c r="B6942" s="478" t="s">
        <v>5727</v>
      </c>
      <c r="C6942" s="391" t="s">
        <v>558</v>
      </c>
      <c r="D6942" s="479">
        <v>0.16</v>
      </c>
      <c r="E6942" s="368"/>
      <c r="F6942" s="368"/>
    </row>
    <row r="6943" spans="1:6" ht="25.5" x14ac:dyDescent="0.2">
      <c r="A6943" s="391">
        <v>101342</v>
      </c>
      <c r="B6943" s="478" t="s">
        <v>5848</v>
      </c>
      <c r="C6943" s="391" t="s">
        <v>5681</v>
      </c>
      <c r="D6943" s="479">
        <v>21.28</v>
      </c>
      <c r="E6943" s="368"/>
      <c r="F6943" s="368"/>
    </row>
    <row r="6944" spans="1:6" ht="25.5" x14ac:dyDescent="0.2">
      <c r="A6944" s="391">
        <v>95357</v>
      </c>
      <c r="B6944" s="478" t="s">
        <v>5728</v>
      </c>
      <c r="C6944" s="391" t="s">
        <v>558</v>
      </c>
      <c r="D6944" s="479">
        <v>0.26</v>
      </c>
      <c r="E6944" s="368"/>
      <c r="F6944" s="368"/>
    </row>
    <row r="6945" spans="1:6" ht="25.5" x14ac:dyDescent="0.2">
      <c r="A6945" s="391">
        <v>101343</v>
      </c>
      <c r="B6945" s="478" t="s">
        <v>5849</v>
      </c>
      <c r="C6945" s="391" t="s">
        <v>5681</v>
      </c>
      <c r="D6945" s="479">
        <v>35</v>
      </c>
      <c r="E6945" s="368"/>
      <c r="F6945" s="368"/>
    </row>
    <row r="6946" spans="1:6" ht="25.5" x14ac:dyDescent="0.2">
      <c r="A6946" s="391">
        <v>95358</v>
      </c>
      <c r="B6946" s="478" t="s">
        <v>5729</v>
      </c>
      <c r="C6946" s="391" t="s">
        <v>558</v>
      </c>
      <c r="D6946" s="479">
        <v>0.28000000000000003</v>
      </c>
      <c r="E6946" s="368"/>
      <c r="F6946" s="368"/>
    </row>
    <row r="6947" spans="1:6" ht="25.5" x14ac:dyDescent="0.2">
      <c r="A6947" s="391">
        <v>101344</v>
      </c>
      <c r="B6947" s="478" t="s">
        <v>5850</v>
      </c>
      <c r="C6947" s="391" t="s">
        <v>5681</v>
      </c>
      <c r="D6947" s="479">
        <v>38.340000000000003</v>
      </c>
      <c r="E6947" s="368"/>
      <c r="F6947" s="368"/>
    </row>
    <row r="6948" spans="1:6" ht="25.5" x14ac:dyDescent="0.2">
      <c r="A6948" s="391">
        <v>95359</v>
      </c>
      <c r="B6948" s="478" t="s">
        <v>5730</v>
      </c>
      <c r="C6948" s="391" t="s">
        <v>558</v>
      </c>
      <c r="D6948" s="479">
        <v>0.52</v>
      </c>
      <c r="E6948" s="368"/>
      <c r="F6948" s="368"/>
    </row>
    <row r="6949" spans="1:6" ht="25.5" x14ac:dyDescent="0.2">
      <c r="A6949" s="391">
        <v>101345</v>
      </c>
      <c r="B6949" s="478" t="s">
        <v>5851</v>
      </c>
      <c r="C6949" s="391" t="s">
        <v>5681</v>
      </c>
      <c r="D6949" s="479">
        <v>69.89</v>
      </c>
      <c r="E6949" s="368"/>
      <c r="F6949" s="368"/>
    </row>
    <row r="6950" spans="1:6" ht="25.5" x14ac:dyDescent="0.2">
      <c r="A6950" s="391">
        <v>101346</v>
      </c>
      <c r="B6950" s="478" t="s">
        <v>5852</v>
      </c>
      <c r="C6950" s="391" t="s">
        <v>5681</v>
      </c>
      <c r="D6950" s="479">
        <v>29.51</v>
      </c>
      <c r="E6950" s="368"/>
      <c r="F6950" s="368"/>
    </row>
    <row r="6951" spans="1:6" ht="25.5" x14ac:dyDescent="0.2">
      <c r="A6951" s="391">
        <v>101347</v>
      </c>
      <c r="B6951" s="478" t="s">
        <v>5853</v>
      </c>
      <c r="C6951" s="391" t="s">
        <v>5681</v>
      </c>
      <c r="D6951" s="479">
        <v>34.36</v>
      </c>
      <c r="E6951" s="368"/>
      <c r="F6951" s="368"/>
    </row>
    <row r="6952" spans="1:6" ht="25.5" x14ac:dyDescent="0.2">
      <c r="A6952" s="391">
        <v>95361</v>
      </c>
      <c r="B6952" s="478" t="s">
        <v>5732</v>
      </c>
      <c r="C6952" s="391" t="s">
        <v>558</v>
      </c>
      <c r="D6952" s="479">
        <v>0.14000000000000001</v>
      </c>
      <c r="E6952" s="368"/>
      <c r="F6952" s="368"/>
    </row>
    <row r="6953" spans="1:6" ht="25.5" x14ac:dyDescent="0.2">
      <c r="A6953" s="391">
        <v>101348</v>
      </c>
      <c r="B6953" s="478" t="s">
        <v>5854</v>
      </c>
      <c r="C6953" s="391" t="s">
        <v>5681</v>
      </c>
      <c r="D6953" s="479">
        <v>19.16</v>
      </c>
      <c r="E6953" s="368"/>
      <c r="F6953" s="368"/>
    </row>
    <row r="6954" spans="1:6" ht="25.5" x14ac:dyDescent="0.2">
      <c r="A6954" s="391">
        <v>101349</v>
      </c>
      <c r="B6954" s="478" t="s">
        <v>5855</v>
      </c>
      <c r="C6954" s="391" t="s">
        <v>5681</v>
      </c>
      <c r="D6954" s="479">
        <v>36.85</v>
      </c>
      <c r="E6954" s="368"/>
      <c r="F6954" s="368"/>
    </row>
    <row r="6955" spans="1:6" ht="25.5" x14ac:dyDescent="0.2">
      <c r="A6955" s="391">
        <v>95362</v>
      </c>
      <c r="B6955" s="478" t="s">
        <v>5733</v>
      </c>
      <c r="C6955" s="391" t="s">
        <v>558</v>
      </c>
      <c r="D6955" s="479">
        <v>0.27</v>
      </c>
      <c r="E6955" s="368"/>
      <c r="F6955" s="368"/>
    </row>
    <row r="6956" spans="1:6" ht="25.5" x14ac:dyDescent="0.2">
      <c r="A6956" s="391">
        <v>95363</v>
      </c>
      <c r="B6956" s="478" t="s">
        <v>5734</v>
      </c>
      <c r="C6956" s="391" t="s">
        <v>558</v>
      </c>
      <c r="D6956" s="479">
        <v>0.27</v>
      </c>
      <c r="E6956" s="368"/>
      <c r="F6956" s="368"/>
    </row>
    <row r="6957" spans="1:6" ht="25.5" x14ac:dyDescent="0.2">
      <c r="A6957" s="391">
        <v>101350</v>
      </c>
      <c r="B6957" s="478" t="s">
        <v>5856</v>
      </c>
      <c r="C6957" s="391" t="s">
        <v>5681</v>
      </c>
      <c r="D6957" s="479">
        <v>36.85</v>
      </c>
      <c r="E6957" s="368"/>
      <c r="F6957" s="368"/>
    </row>
    <row r="6958" spans="1:6" ht="25.5" x14ac:dyDescent="0.2">
      <c r="A6958" s="391">
        <v>95360</v>
      </c>
      <c r="B6958" s="478" t="s">
        <v>5731</v>
      </c>
      <c r="C6958" s="391" t="s">
        <v>558</v>
      </c>
      <c r="D6958" s="479">
        <v>0.25</v>
      </c>
      <c r="E6958" s="368"/>
      <c r="F6958" s="368"/>
    </row>
    <row r="6959" spans="1:6" ht="25.5" x14ac:dyDescent="0.2">
      <c r="A6959" s="391">
        <v>101351</v>
      </c>
      <c r="B6959" s="478" t="s">
        <v>5857</v>
      </c>
      <c r="C6959" s="391" t="s">
        <v>5681</v>
      </c>
      <c r="D6959" s="479">
        <v>22.83</v>
      </c>
      <c r="E6959" s="368"/>
      <c r="F6959" s="368"/>
    </row>
    <row r="6960" spans="1:6" ht="25.5" x14ac:dyDescent="0.2">
      <c r="A6960" s="391">
        <v>95365</v>
      </c>
      <c r="B6960" s="478" t="s">
        <v>5736</v>
      </c>
      <c r="C6960" s="391" t="s">
        <v>558</v>
      </c>
      <c r="D6960" s="479">
        <v>0.16</v>
      </c>
      <c r="E6960" s="368"/>
      <c r="F6960" s="368"/>
    </row>
    <row r="6961" spans="1:6" ht="25.5" x14ac:dyDescent="0.2">
      <c r="A6961" s="391">
        <v>101352</v>
      </c>
      <c r="B6961" s="478" t="s">
        <v>5858</v>
      </c>
      <c r="C6961" s="391" t="s">
        <v>5681</v>
      </c>
      <c r="D6961" s="479">
        <v>21.28</v>
      </c>
      <c r="E6961" s="368"/>
      <c r="F6961" s="368"/>
    </row>
    <row r="6962" spans="1:6" ht="25.5" x14ac:dyDescent="0.2">
      <c r="A6962" s="391">
        <v>95364</v>
      </c>
      <c r="B6962" s="478" t="s">
        <v>5735</v>
      </c>
      <c r="C6962" s="391" t="s">
        <v>558</v>
      </c>
      <c r="D6962" s="479">
        <v>0.17</v>
      </c>
      <c r="E6962" s="368"/>
      <c r="F6962" s="368"/>
    </row>
    <row r="6963" spans="1:6" ht="25.5" x14ac:dyDescent="0.2">
      <c r="A6963" s="391">
        <v>95366</v>
      </c>
      <c r="B6963" s="478" t="s">
        <v>5737</v>
      </c>
      <c r="C6963" s="391" t="s">
        <v>558</v>
      </c>
      <c r="D6963" s="479">
        <v>0.18</v>
      </c>
      <c r="E6963" s="368"/>
      <c r="F6963" s="368"/>
    </row>
    <row r="6964" spans="1:6" ht="25.5" x14ac:dyDescent="0.2">
      <c r="A6964" s="391">
        <v>101353</v>
      </c>
      <c r="B6964" s="478" t="s">
        <v>5859</v>
      </c>
      <c r="C6964" s="391" t="s">
        <v>5681</v>
      </c>
      <c r="D6964" s="479">
        <v>24.96</v>
      </c>
      <c r="E6964" s="368"/>
      <c r="F6964" s="368"/>
    </row>
    <row r="6965" spans="1:6" ht="25.5" x14ac:dyDescent="0.2">
      <c r="A6965" s="391">
        <v>95367</v>
      </c>
      <c r="B6965" s="478" t="s">
        <v>5738</v>
      </c>
      <c r="C6965" s="391" t="s">
        <v>558</v>
      </c>
      <c r="D6965" s="479">
        <v>0.27</v>
      </c>
      <c r="E6965" s="368"/>
      <c r="F6965" s="368"/>
    </row>
    <row r="6966" spans="1:6" ht="25.5" x14ac:dyDescent="0.2">
      <c r="A6966" s="391">
        <v>101355</v>
      </c>
      <c r="B6966" s="478" t="s">
        <v>5860</v>
      </c>
      <c r="C6966" s="391" t="s">
        <v>5681</v>
      </c>
      <c r="D6966" s="479">
        <v>36.85</v>
      </c>
      <c r="E6966" s="368"/>
      <c r="F6966" s="368"/>
    </row>
    <row r="6967" spans="1:6" ht="25.5" x14ac:dyDescent="0.2">
      <c r="A6967" s="391">
        <v>95368</v>
      </c>
      <c r="B6967" s="478" t="s">
        <v>5739</v>
      </c>
      <c r="C6967" s="391" t="s">
        <v>558</v>
      </c>
      <c r="D6967" s="479">
        <v>0.22</v>
      </c>
      <c r="E6967" s="368"/>
      <c r="F6967" s="368"/>
    </row>
    <row r="6968" spans="1:6" ht="25.5" x14ac:dyDescent="0.2">
      <c r="A6968" s="391">
        <v>95369</v>
      </c>
      <c r="B6968" s="478" t="s">
        <v>5740</v>
      </c>
      <c r="C6968" s="391" t="s">
        <v>558</v>
      </c>
      <c r="D6968" s="479">
        <v>0.16</v>
      </c>
      <c r="E6968" s="368"/>
      <c r="F6968" s="368"/>
    </row>
    <row r="6969" spans="1:6" ht="25.5" x14ac:dyDescent="0.2">
      <c r="A6969" s="391">
        <v>95370</v>
      </c>
      <c r="B6969" s="478" t="s">
        <v>5741</v>
      </c>
      <c r="C6969" s="391" t="s">
        <v>558</v>
      </c>
      <c r="D6969" s="479">
        <v>0.26</v>
      </c>
      <c r="E6969" s="368"/>
      <c r="F6969" s="368"/>
    </row>
    <row r="6970" spans="1:6" ht="25.5" x14ac:dyDescent="0.2">
      <c r="A6970" s="391">
        <v>101356</v>
      </c>
      <c r="B6970" s="478" t="s">
        <v>5861</v>
      </c>
      <c r="C6970" s="391" t="s">
        <v>5681</v>
      </c>
      <c r="D6970" s="479">
        <v>35.74</v>
      </c>
      <c r="E6970" s="368"/>
      <c r="F6970" s="368"/>
    </row>
    <row r="6971" spans="1:6" ht="25.5" x14ac:dyDescent="0.2">
      <c r="A6971" s="391">
        <v>95371</v>
      </c>
      <c r="B6971" s="478" t="s">
        <v>5742</v>
      </c>
      <c r="C6971" s="391" t="s">
        <v>558</v>
      </c>
      <c r="D6971" s="479">
        <v>0.38</v>
      </c>
      <c r="E6971" s="368"/>
      <c r="F6971" s="368"/>
    </row>
    <row r="6972" spans="1:6" ht="25.5" x14ac:dyDescent="0.2">
      <c r="A6972" s="391">
        <v>101357</v>
      </c>
      <c r="B6972" s="478" t="s">
        <v>5862</v>
      </c>
      <c r="C6972" s="391" t="s">
        <v>5681</v>
      </c>
      <c r="D6972" s="479">
        <v>51.34</v>
      </c>
      <c r="E6972" s="368"/>
      <c r="F6972" s="368"/>
    </row>
    <row r="6973" spans="1:6" ht="25.5" x14ac:dyDescent="0.2">
      <c r="A6973" s="391">
        <v>95372</v>
      </c>
      <c r="B6973" s="478" t="s">
        <v>5743</v>
      </c>
      <c r="C6973" s="391" t="s">
        <v>558</v>
      </c>
      <c r="D6973" s="479">
        <v>0.26</v>
      </c>
      <c r="E6973" s="368"/>
      <c r="F6973" s="368"/>
    </row>
    <row r="6974" spans="1:6" ht="25.5" x14ac:dyDescent="0.2">
      <c r="A6974" s="391">
        <v>101358</v>
      </c>
      <c r="B6974" s="478" t="s">
        <v>5863</v>
      </c>
      <c r="C6974" s="391" t="s">
        <v>5681</v>
      </c>
      <c r="D6974" s="479">
        <v>35.74</v>
      </c>
      <c r="E6974" s="368"/>
      <c r="F6974" s="368"/>
    </row>
    <row r="6975" spans="1:6" ht="25.5" x14ac:dyDescent="0.2">
      <c r="A6975" s="391">
        <v>95373</v>
      </c>
      <c r="B6975" s="478" t="s">
        <v>5744</v>
      </c>
      <c r="C6975" s="391" t="s">
        <v>558</v>
      </c>
      <c r="D6975" s="479">
        <v>0.26</v>
      </c>
      <c r="E6975" s="368"/>
      <c r="F6975" s="368"/>
    </row>
    <row r="6976" spans="1:6" ht="25.5" x14ac:dyDescent="0.2">
      <c r="A6976" s="391">
        <v>101359</v>
      </c>
      <c r="B6976" s="478" t="s">
        <v>5864</v>
      </c>
      <c r="C6976" s="391" t="s">
        <v>5681</v>
      </c>
      <c r="D6976" s="479">
        <v>34.71</v>
      </c>
      <c r="E6976" s="368"/>
      <c r="F6976" s="368"/>
    </row>
    <row r="6977" spans="1:6" ht="25.5" x14ac:dyDescent="0.2">
      <c r="A6977" s="391">
        <v>101360</v>
      </c>
      <c r="B6977" s="478" t="s">
        <v>5865</v>
      </c>
      <c r="C6977" s="391" t="s">
        <v>5681</v>
      </c>
      <c r="D6977" s="479">
        <v>35.74</v>
      </c>
      <c r="E6977" s="368"/>
      <c r="F6977" s="368"/>
    </row>
    <row r="6978" spans="1:6" ht="25.5" x14ac:dyDescent="0.2">
      <c r="A6978" s="391">
        <v>95374</v>
      </c>
      <c r="B6978" s="478" t="s">
        <v>5745</v>
      </c>
      <c r="C6978" s="391" t="s">
        <v>558</v>
      </c>
      <c r="D6978" s="479">
        <v>0.26</v>
      </c>
      <c r="E6978" s="368"/>
      <c r="F6978" s="368"/>
    </row>
    <row r="6979" spans="1:6" ht="25.5" x14ac:dyDescent="0.2">
      <c r="A6979" s="391">
        <v>95375</v>
      </c>
      <c r="B6979" s="478" t="s">
        <v>5746</v>
      </c>
      <c r="C6979" s="391" t="s">
        <v>558</v>
      </c>
      <c r="D6979" s="479">
        <v>0.27</v>
      </c>
      <c r="E6979" s="368"/>
      <c r="F6979" s="368"/>
    </row>
    <row r="6980" spans="1:6" ht="25.5" x14ac:dyDescent="0.2">
      <c r="A6980" s="391">
        <v>101361</v>
      </c>
      <c r="B6980" s="478" t="s">
        <v>5866</v>
      </c>
      <c r="C6980" s="391" t="s">
        <v>5681</v>
      </c>
      <c r="D6980" s="479">
        <v>36.270000000000003</v>
      </c>
      <c r="E6980" s="368"/>
      <c r="F6980" s="368"/>
    </row>
    <row r="6981" spans="1:6" ht="25.5" x14ac:dyDescent="0.2">
      <c r="A6981" s="391">
        <v>95376</v>
      </c>
      <c r="B6981" s="478" t="s">
        <v>5747</v>
      </c>
      <c r="C6981" s="391" t="s">
        <v>558</v>
      </c>
      <c r="D6981" s="479">
        <v>0.09</v>
      </c>
      <c r="E6981" s="368"/>
      <c r="F6981" s="368"/>
    </row>
    <row r="6982" spans="1:6" ht="25.5" x14ac:dyDescent="0.2">
      <c r="A6982" s="391">
        <v>95377</v>
      </c>
      <c r="B6982" s="478" t="s">
        <v>5748</v>
      </c>
      <c r="C6982" s="391" t="s">
        <v>558</v>
      </c>
      <c r="D6982" s="479">
        <v>0.21</v>
      </c>
      <c r="E6982" s="368"/>
      <c r="F6982" s="368"/>
    </row>
    <row r="6983" spans="1:6" ht="25.5" x14ac:dyDescent="0.2">
      <c r="A6983" s="391">
        <v>101363</v>
      </c>
      <c r="B6983" s="478" t="s">
        <v>5867</v>
      </c>
      <c r="C6983" s="391" t="s">
        <v>5681</v>
      </c>
      <c r="D6983" s="479">
        <v>27.93</v>
      </c>
      <c r="E6983" s="368"/>
      <c r="F6983" s="368"/>
    </row>
    <row r="6984" spans="1:6" ht="25.5" x14ac:dyDescent="0.2">
      <c r="A6984" s="391">
        <v>95378</v>
      </c>
      <c r="B6984" s="478" t="s">
        <v>5749</v>
      </c>
      <c r="C6984" s="391" t="s">
        <v>558</v>
      </c>
      <c r="D6984" s="479">
        <v>0.28000000000000003</v>
      </c>
      <c r="E6984" s="368"/>
      <c r="F6984" s="368"/>
    </row>
    <row r="6985" spans="1:6" ht="25.5" x14ac:dyDescent="0.2">
      <c r="A6985" s="391">
        <v>101364</v>
      </c>
      <c r="B6985" s="478" t="s">
        <v>5868</v>
      </c>
      <c r="C6985" s="391" t="s">
        <v>5681</v>
      </c>
      <c r="D6985" s="479">
        <v>37.21</v>
      </c>
      <c r="E6985" s="368"/>
      <c r="F6985" s="368"/>
    </row>
    <row r="6986" spans="1:6" ht="25.5" x14ac:dyDescent="0.2">
      <c r="A6986" s="391">
        <v>95379</v>
      </c>
      <c r="B6986" s="478" t="s">
        <v>5750</v>
      </c>
      <c r="C6986" s="391" t="s">
        <v>558</v>
      </c>
      <c r="D6986" s="479">
        <v>0.21</v>
      </c>
      <c r="E6986" s="368"/>
      <c r="F6986" s="368"/>
    </row>
    <row r="6987" spans="1:6" ht="25.5" x14ac:dyDescent="0.2">
      <c r="A6987" s="391">
        <v>101365</v>
      </c>
      <c r="B6987" s="478" t="s">
        <v>5869</v>
      </c>
      <c r="C6987" s="391" t="s">
        <v>5681</v>
      </c>
      <c r="D6987" s="479">
        <v>27.93</v>
      </c>
      <c r="E6987" s="368"/>
      <c r="F6987" s="368"/>
    </row>
    <row r="6988" spans="1:6" ht="25.5" x14ac:dyDescent="0.2">
      <c r="A6988" s="391">
        <v>95380</v>
      </c>
      <c r="B6988" s="478" t="s">
        <v>48001</v>
      </c>
      <c r="C6988" s="391" t="s">
        <v>558</v>
      </c>
      <c r="D6988" s="479">
        <v>0.24</v>
      </c>
      <c r="E6988" s="368"/>
      <c r="F6988" s="368"/>
    </row>
    <row r="6989" spans="1:6" ht="25.5" x14ac:dyDescent="0.2">
      <c r="A6989" s="391">
        <v>101366</v>
      </c>
      <c r="B6989" s="478" t="s">
        <v>5870</v>
      </c>
      <c r="C6989" s="391" t="s">
        <v>5681</v>
      </c>
      <c r="D6989" s="479">
        <v>32.83</v>
      </c>
      <c r="E6989" s="368"/>
      <c r="F6989" s="368"/>
    </row>
    <row r="6990" spans="1:6" ht="25.5" x14ac:dyDescent="0.2">
      <c r="A6990" s="391">
        <v>100535</v>
      </c>
      <c r="B6990" s="478" t="s">
        <v>5798</v>
      </c>
      <c r="C6990" s="391" t="s">
        <v>558</v>
      </c>
      <c r="D6990" s="479">
        <v>0.48</v>
      </c>
      <c r="E6990" s="368"/>
      <c r="F6990" s="368"/>
    </row>
    <row r="6991" spans="1:6" ht="25.5" x14ac:dyDescent="0.2">
      <c r="A6991" s="391">
        <v>100536</v>
      </c>
      <c r="B6991" s="478" t="s">
        <v>5799</v>
      </c>
      <c r="C6991" s="391" t="s">
        <v>5681</v>
      </c>
      <c r="D6991" s="479">
        <v>63.98</v>
      </c>
      <c r="E6991" s="368"/>
      <c r="F6991" s="368"/>
    </row>
    <row r="6992" spans="1:6" ht="25.5" x14ac:dyDescent="0.2">
      <c r="A6992" s="391">
        <v>101368</v>
      </c>
      <c r="B6992" s="478" t="s">
        <v>5871</v>
      </c>
      <c r="C6992" s="391" t="s">
        <v>5681</v>
      </c>
      <c r="D6992" s="479">
        <v>30.46</v>
      </c>
      <c r="E6992" s="368"/>
      <c r="F6992" s="368"/>
    </row>
    <row r="6993" spans="1:6" ht="25.5" x14ac:dyDescent="0.2">
      <c r="A6993" s="392">
        <v>101369</v>
      </c>
      <c r="B6993" s="480" t="s">
        <v>5872</v>
      </c>
      <c r="C6993" s="392" t="s">
        <v>5681</v>
      </c>
      <c r="D6993" s="481">
        <v>74.61</v>
      </c>
      <c r="E6993" s="368"/>
      <c r="F6993" s="368"/>
    </row>
    <row r="6994" spans="1:6" ht="25.5" x14ac:dyDescent="0.2">
      <c r="A6994" s="391">
        <v>95385</v>
      </c>
      <c r="B6994" s="478" t="s">
        <v>5753</v>
      </c>
      <c r="C6994" s="391" t="s">
        <v>558</v>
      </c>
      <c r="D6994" s="479">
        <v>0.2</v>
      </c>
      <c r="E6994" s="368"/>
      <c r="F6994" s="368"/>
    </row>
    <row r="6995" spans="1:6" ht="25.5" x14ac:dyDescent="0.2">
      <c r="A6995" s="391">
        <v>101370</v>
      </c>
      <c r="B6995" s="478" t="s">
        <v>5873</v>
      </c>
      <c r="C6995" s="391" t="s">
        <v>5681</v>
      </c>
      <c r="D6995" s="479">
        <v>27.6</v>
      </c>
      <c r="E6995" s="368"/>
      <c r="F6995" s="368"/>
    </row>
    <row r="6996" spans="1:6" ht="25.5" x14ac:dyDescent="0.2">
      <c r="A6996" s="391">
        <v>95406</v>
      </c>
      <c r="B6996" s="478" t="s">
        <v>5770</v>
      </c>
      <c r="C6996" s="391" t="s">
        <v>558</v>
      </c>
      <c r="D6996" s="479">
        <v>0.28000000000000003</v>
      </c>
      <c r="E6996" s="368"/>
      <c r="F6996" s="368"/>
    </row>
    <row r="6997" spans="1:6" ht="25.5" x14ac:dyDescent="0.2">
      <c r="A6997" s="391">
        <v>95424</v>
      </c>
      <c r="B6997" s="478" t="s">
        <v>5783</v>
      </c>
      <c r="C6997" s="391" t="s">
        <v>5681</v>
      </c>
      <c r="D6997" s="479">
        <v>37.43</v>
      </c>
      <c r="E6997" s="368"/>
      <c r="F6997" s="368"/>
    </row>
    <row r="6998" spans="1:6" ht="25.5" x14ac:dyDescent="0.2">
      <c r="A6998" s="391">
        <v>95386</v>
      </c>
      <c r="B6998" s="478" t="s">
        <v>5754</v>
      </c>
      <c r="C6998" s="391" t="s">
        <v>558</v>
      </c>
      <c r="D6998" s="479">
        <v>0.25</v>
      </c>
      <c r="E6998" s="368"/>
      <c r="F6998" s="368"/>
    </row>
    <row r="6999" spans="1:6" ht="25.5" x14ac:dyDescent="0.2">
      <c r="A6999" s="391">
        <v>95383</v>
      </c>
      <c r="B6999" s="478" t="s">
        <v>5751</v>
      </c>
      <c r="C6999" s="391" t="s">
        <v>558</v>
      </c>
      <c r="D6999" s="479">
        <v>0.23</v>
      </c>
      <c r="E6999" s="368"/>
      <c r="F6999" s="368"/>
    </row>
    <row r="7000" spans="1:6" ht="25.5" x14ac:dyDescent="0.2">
      <c r="A7000" s="391">
        <v>95384</v>
      </c>
      <c r="B7000" s="478" t="s">
        <v>5752</v>
      </c>
      <c r="C7000" s="391" t="s">
        <v>558</v>
      </c>
      <c r="D7000" s="479">
        <v>0.56000000000000005</v>
      </c>
      <c r="E7000" s="368"/>
      <c r="F7000" s="368"/>
    </row>
    <row r="7001" spans="1:6" ht="25.5" x14ac:dyDescent="0.2">
      <c r="A7001" s="391">
        <v>100299</v>
      </c>
      <c r="B7001" s="478" t="s">
        <v>5790</v>
      </c>
      <c r="C7001" s="391" t="s">
        <v>558</v>
      </c>
      <c r="D7001" s="479">
        <v>0.46</v>
      </c>
      <c r="E7001" s="368"/>
      <c r="F7001" s="368"/>
    </row>
    <row r="7002" spans="1:6" ht="25.5" x14ac:dyDescent="0.2">
      <c r="A7002" s="391">
        <v>100315</v>
      </c>
      <c r="B7002" s="478" t="s">
        <v>5796</v>
      </c>
      <c r="C7002" s="391" t="s">
        <v>5681</v>
      </c>
      <c r="D7002" s="479">
        <v>61.26</v>
      </c>
      <c r="E7002" s="368"/>
      <c r="F7002" s="368"/>
    </row>
    <row r="7003" spans="1:6" ht="25.5" x14ac:dyDescent="0.2">
      <c r="A7003" s="391">
        <v>95387</v>
      </c>
      <c r="B7003" s="478" t="s">
        <v>5755</v>
      </c>
      <c r="C7003" s="391" t="s">
        <v>558</v>
      </c>
      <c r="D7003" s="479">
        <v>0.2</v>
      </c>
      <c r="E7003" s="368"/>
      <c r="F7003" s="368"/>
    </row>
    <row r="7004" spans="1:6" ht="25.5" x14ac:dyDescent="0.2">
      <c r="A7004" s="391">
        <v>101371</v>
      </c>
      <c r="B7004" s="478" t="s">
        <v>5874</v>
      </c>
      <c r="C7004" s="391" t="s">
        <v>5681</v>
      </c>
      <c r="D7004" s="479">
        <v>27.2</v>
      </c>
      <c r="E7004" s="368"/>
      <c r="F7004" s="368"/>
    </row>
    <row r="7005" spans="1:6" ht="25.5" x14ac:dyDescent="0.2">
      <c r="A7005" s="391">
        <v>100288</v>
      </c>
      <c r="B7005" s="478" t="s">
        <v>5784</v>
      </c>
      <c r="C7005" s="391" t="s">
        <v>558</v>
      </c>
      <c r="D7005" s="479">
        <v>7.0000000000000007E-2</v>
      </c>
      <c r="E7005" s="368"/>
      <c r="F7005" s="368"/>
    </row>
    <row r="7006" spans="1:6" ht="25.5" x14ac:dyDescent="0.2">
      <c r="A7006" s="391">
        <v>101372</v>
      </c>
      <c r="B7006" s="478" t="s">
        <v>5875</v>
      </c>
      <c r="C7006" s="391" t="s">
        <v>5681</v>
      </c>
      <c r="D7006" s="479">
        <v>10.039999999999999</v>
      </c>
      <c r="E7006" s="368"/>
      <c r="F7006" s="368"/>
    </row>
    <row r="7007" spans="1:6" x14ac:dyDescent="0.2">
      <c r="A7007" s="391">
        <v>90775</v>
      </c>
      <c r="B7007" s="478" t="s">
        <v>5673</v>
      </c>
      <c r="C7007" s="391" t="s">
        <v>558</v>
      </c>
      <c r="D7007" s="479">
        <v>26.86</v>
      </c>
      <c r="E7007" s="368"/>
      <c r="F7007" s="368"/>
    </row>
    <row r="7008" spans="1:6" x14ac:dyDescent="0.2">
      <c r="A7008" s="391">
        <v>93561</v>
      </c>
      <c r="B7008" s="478" t="s">
        <v>5673</v>
      </c>
      <c r="C7008" s="391" t="s">
        <v>5681</v>
      </c>
      <c r="D7008" s="479">
        <v>4747.18</v>
      </c>
      <c r="E7008" s="368"/>
      <c r="F7008" s="368"/>
    </row>
    <row r="7009" spans="1:6" x14ac:dyDescent="0.2">
      <c r="A7009" s="391">
        <v>88264</v>
      </c>
      <c r="B7009" s="478" t="s">
        <v>5615</v>
      </c>
      <c r="C7009" s="391" t="s">
        <v>558</v>
      </c>
      <c r="D7009" s="479">
        <v>27.31</v>
      </c>
      <c r="E7009" s="368"/>
      <c r="F7009" s="368"/>
    </row>
    <row r="7010" spans="1:6" x14ac:dyDescent="0.2">
      <c r="A7010" s="391">
        <v>101399</v>
      </c>
      <c r="B7010" s="478" t="s">
        <v>5615</v>
      </c>
      <c r="C7010" s="391" t="s">
        <v>5681</v>
      </c>
      <c r="D7010" s="479">
        <v>4879.8999999999996</v>
      </c>
      <c r="E7010" s="368"/>
      <c r="F7010" s="368"/>
    </row>
    <row r="7011" spans="1:6" x14ac:dyDescent="0.2">
      <c r="A7011" s="391">
        <v>88266</v>
      </c>
      <c r="B7011" s="478" t="s">
        <v>5616</v>
      </c>
      <c r="C7011" s="391" t="s">
        <v>558</v>
      </c>
      <c r="D7011" s="479">
        <v>36.799999999999997</v>
      </c>
      <c r="E7011" s="368"/>
      <c r="F7011" s="368"/>
    </row>
    <row r="7012" spans="1:6" x14ac:dyDescent="0.2">
      <c r="A7012" s="391">
        <v>101401</v>
      </c>
      <c r="B7012" s="478" t="s">
        <v>5616</v>
      </c>
      <c r="C7012" s="391" t="s">
        <v>5681</v>
      </c>
      <c r="D7012" s="479">
        <v>6541.88</v>
      </c>
      <c r="E7012" s="368"/>
      <c r="F7012" s="368"/>
    </row>
    <row r="7013" spans="1:6" x14ac:dyDescent="0.2">
      <c r="A7013" s="391">
        <v>88267</v>
      </c>
      <c r="B7013" s="478" t="s">
        <v>5617</v>
      </c>
      <c r="C7013" s="391" t="s">
        <v>558</v>
      </c>
      <c r="D7013" s="479">
        <v>26.27</v>
      </c>
      <c r="E7013" s="368"/>
      <c r="F7013" s="368"/>
    </row>
    <row r="7014" spans="1:6" x14ac:dyDescent="0.2">
      <c r="A7014" s="391">
        <v>101402</v>
      </c>
      <c r="B7014" s="478" t="s">
        <v>5617</v>
      </c>
      <c r="C7014" s="391" t="s">
        <v>5681</v>
      </c>
      <c r="D7014" s="479">
        <v>4704.76</v>
      </c>
      <c r="E7014" s="368"/>
      <c r="F7014" s="368"/>
    </row>
    <row r="7015" spans="1:6" x14ac:dyDescent="0.2">
      <c r="A7015" s="391">
        <v>90776</v>
      </c>
      <c r="B7015" s="478" t="s">
        <v>5674</v>
      </c>
      <c r="C7015" s="391" t="s">
        <v>558</v>
      </c>
      <c r="D7015" s="479">
        <v>24.82</v>
      </c>
      <c r="E7015" s="368"/>
      <c r="F7015" s="368"/>
    </row>
    <row r="7016" spans="1:6" x14ac:dyDescent="0.2">
      <c r="A7016" s="391">
        <v>93572</v>
      </c>
      <c r="B7016" s="478" t="s">
        <v>5685</v>
      </c>
      <c r="C7016" s="391" t="s">
        <v>5681</v>
      </c>
      <c r="D7016" s="479">
        <v>4382.62</v>
      </c>
      <c r="E7016" s="368"/>
      <c r="F7016" s="368"/>
    </row>
    <row r="7017" spans="1:6" x14ac:dyDescent="0.2">
      <c r="A7017" s="391">
        <v>90777</v>
      </c>
      <c r="B7017" s="478" t="s">
        <v>5675</v>
      </c>
      <c r="C7017" s="391" t="s">
        <v>558</v>
      </c>
      <c r="D7017" s="479">
        <v>116.65</v>
      </c>
      <c r="E7017" s="368"/>
      <c r="F7017" s="368"/>
    </row>
    <row r="7018" spans="1:6" x14ac:dyDescent="0.2">
      <c r="A7018" s="391">
        <v>93565</v>
      </c>
      <c r="B7018" s="478" t="s">
        <v>5675</v>
      </c>
      <c r="C7018" s="391" t="s">
        <v>5681</v>
      </c>
      <c r="D7018" s="479">
        <v>20460.66</v>
      </c>
      <c r="E7018" s="368"/>
      <c r="F7018" s="368"/>
    </row>
    <row r="7019" spans="1:6" x14ac:dyDescent="0.2">
      <c r="A7019" s="391">
        <v>90778</v>
      </c>
      <c r="B7019" s="478" t="s">
        <v>5676</v>
      </c>
      <c r="C7019" s="391" t="s">
        <v>558</v>
      </c>
      <c r="D7019" s="479">
        <v>126.69</v>
      </c>
      <c r="E7019" s="368"/>
      <c r="F7019" s="368"/>
    </row>
    <row r="7020" spans="1:6" x14ac:dyDescent="0.2">
      <c r="A7020" s="391">
        <v>93567</v>
      </c>
      <c r="B7020" s="478" t="s">
        <v>5676</v>
      </c>
      <c r="C7020" s="391" t="s">
        <v>5681</v>
      </c>
      <c r="D7020" s="479">
        <v>22221.73</v>
      </c>
      <c r="E7020" s="368"/>
      <c r="F7020" s="368"/>
    </row>
    <row r="7021" spans="1:6" x14ac:dyDescent="0.2">
      <c r="A7021" s="391">
        <v>90779</v>
      </c>
      <c r="B7021" s="478" t="s">
        <v>5677</v>
      </c>
      <c r="C7021" s="391" t="s">
        <v>558</v>
      </c>
      <c r="D7021" s="479">
        <v>147.52000000000001</v>
      </c>
      <c r="E7021" s="368"/>
      <c r="F7021" s="368"/>
    </row>
    <row r="7022" spans="1:6" x14ac:dyDescent="0.2">
      <c r="A7022" s="391">
        <v>93568</v>
      </c>
      <c r="B7022" s="490" t="s">
        <v>5677</v>
      </c>
      <c r="C7022" s="391" t="s">
        <v>5681</v>
      </c>
      <c r="D7022" s="479">
        <v>25866.3</v>
      </c>
      <c r="E7022" s="368"/>
      <c r="F7022" s="368"/>
    </row>
    <row r="7023" spans="1:6" x14ac:dyDescent="0.2">
      <c r="A7023" s="391">
        <v>88269</v>
      </c>
      <c r="B7023" s="478" t="s">
        <v>5618</v>
      </c>
      <c r="C7023" s="391" t="s">
        <v>558</v>
      </c>
      <c r="D7023" s="479">
        <v>26.81</v>
      </c>
      <c r="E7023" s="368"/>
      <c r="F7023" s="368"/>
    </row>
    <row r="7024" spans="1:6" x14ac:dyDescent="0.2">
      <c r="A7024" s="391">
        <v>101407</v>
      </c>
      <c r="B7024" s="478" t="s">
        <v>5618</v>
      </c>
      <c r="C7024" s="391" t="s">
        <v>5681</v>
      </c>
      <c r="D7024" s="479">
        <v>4812.6899999999996</v>
      </c>
      <c r="E7024" s="368"/>
      <c r="F7024" s="368"/>
    </row>
    <row r="7025" spans="1:6" x14ac:dyDescent="0.2">
      <c r="A7025" s="391">
        <v>88270</v>
      </c>
      <c r="B7025" s="478" t="s">
        <v>5619</v>
      </c>
      <c r="C7025" s="391" t="s">
        <v>558</v>
      </c>
      <c r="D7025" s="479">
        <v>26.98</v>
      </c>
      <c r="E7025" s="368"/>
      <c r="F7025" s="368"/>
    </row>
    <row r="7026" spans="1:6" x14ac:dyDescent="0.2">
      <c r="A7026" s="391">
        <v>101408</v>
      </c>
      <c r="B7026" s="478" t="s">
        <v>5619</v>
      </c>
      <c r="C7026" s="391" t="s">
        <v>5681</v>
      </c>
      <c r="D7026" s="479">
        <v>4836.1000000000004</v>
      </c>
      <c r="E7026" s="368"/>
      <c r="F7026" s="368"/>
    </row>
    <row r="7027" spans="1:6" x14ac:dyDescent="0.2">
      <c r="A7027" s="391">
        <v>102919</v>
      </c>
      <c r="B7027" s="478" t="s">
        <v>41623</v>
      </c>
      <c r="C7027" s="391" t="s">
        <v>558</v>
      </c>
      <c r="D7027" s="479">
        <v>0</v>
      </c>
      <c r="E7027" s="368"/>
      <c r="F7027" s="368"/>
    </row>
    <row r="7028" spans="1:6" x14ac:dyDescent="0.2">
      <c r="A7028" s="391">
        <v>101409</v>
      </c>
      <c r="B7028" s="478" t="s">
        <v>5888</v>
      </c>
      <c r="C7028" s="391" t="s">
        <v>5681</v>
      </c>
      <c r="D7028" s="479">
        <v>4824.97</v>
      </c>
      <c r="E7028" s="368"/>
      <c r="F7028" s="368"/>
    </row>
    <row r="7029" spans="1:6" x14ac:dyDescent="0.2">
      <c r="A7029" s="391">
        <v>88441</v>
      </c>
      <c r="B7029" s="478" t="s">
        <v>5666</v>
      </c>
      <c r="C7029" s="391" t="s">
        <v>558</v>
      </c>
      <c r="D7029" s="479">
        <v>22.07</v>
      </c>
      <c r="E7029" s="368"/>
      <c r="F7029" s="368"/>
    </row>
    <row r="7030" spans="1:6" x14ac:dyDescent="0.2">
      <c r="A7030" s="391">
        <v>101410</v>
      </c>
      <c r="B7030" s="478" t="s">
        <v>5666</v>
      </c>
      <c r="C7030" s="391" t="s">
        <v>5681</v>
      </c>
      <c r="D7030" s="479">
        <v>3987.43</v>
      </c>
      <c r="E7030" s="368"/>
      <c r="F7030" s="368"/>
    </row>
    <row r="7031" spans="1:6" x14ac:dyDescent="0.2">
      <c r="A7031" s="391">
        <v>88272</v>
      </c>
      <c r="B7031" s="478" t="s">
        <v>5620</v>
      </c>
      <c r="C7031" s="391" t="s">
        <v>558</v>
      </c>
      <c r="D7031" s="479">
        <v>27.4</v>
      </c>
      <c r="E7031" s="368"/>
      <c r="F7031" s="368"/>
    </row>
    <row r="7032" spans="1:6" x14ac:dyDescent="0.2">
      <c r="A7032" s="391">
        <v>88273</v>
      </c>
      <c r="B7032" s="478" t="s">
        <v>5621</v>
      </c>
      <c r="C7032" s="391" t="s">
        <v>558</v>
      </c>
      <c r="D7032" s="479">
        <v>25.92</v>
      </c>
      <c r="E7032" s="368"/>
      <c r="F7032" s="368"/>
    </row>
    <row r="7033" spans="1:6" x14ac:dyDescent="0.2">
      <c r="A7033" s="391">
        <v>101413</v>
      </c>
      <c r="B7033" s="478" t="s">
        <v>5621</v>
      </c>
      <c r="C7033" s="391" t="s">
        <v>5681</v>
      </c>
      <c r="D7033" s="479">
        <v>4655.13</v>
      </c>
      <c r="E7033" s="368"/>
      <c r="F7033" s="368"/>
    </row>
    <row r="7034" spans="1:6" x14ac:dyDescent="0.2">
      <c r="A7034" s="391">
        <v>101414</v>
      </c>
      <c r="B7034" s="478" t="s">
        <v>5890</v>
      </c>
      <c r="C7034" s="391" t="s">
        <v>5681</v>
      </c>
      <c r="D7034" s="479">
        <v>4749.83</v>
      </c>
      <c r="E7034" s="368"/>
      <c r="F7034" s="368"/>
    </row>
    <row r="7035" spans="1:6" x14ac:dyDescent="0.2">
      <c r="A7035" s="391">
        <v>88274</v>
      </c>
      <c r="B7035" s="478" t="s">
        <v>5622</v>
      </c>
      <c r="C7035" s="391" t="s">
        <v>558</v>
      </c>
      <c r="D7035" s="479">
        <v>26.46</v>
      </c>
      <c r="E7035" s="368"/>
      <c r="F7035" s="368"/>
    </row>
    <row r="7036" spans="1:6" x14ac:dyDescent="0.2">
      <c r="A7036" s="391">
        <v>101412</v>
      </c>
      <c r="B7036" s="478" t="s">
        <v>5889</v>
      </c>
      <c r="C7036" s="391" t="s">
        <v>5681</v>
      </c>
      <c r="D7036" s="479">
        <v>4923.0600000000004</v>
      </c>
      <c r="E7036" s="368"/>
      <c r="F7036" s="368"/>
    </row>
    <row r="7037" spans="1:6" x14ac:dyDescent="0.2">
      <c r="A7037" s="391">
        <v>101415</v>
      </c>
      <c r="B7037" s="478" t="s">
        <v>5891</v>
      </c>
      <c r="C7037" s="391" t="s">
        <v>5681</v>
      </c>
      <c r="D7037" s="479">
        <v>6056.21</v>
      </c>
      <c r="E7037" s="368"/>
      <c r="F7037" s="368"/>
    </row>
    <row r="7038" spans="1:6" x14ac:dyDescent="0.2">
      <c r="A7038" s="391">
        <v>100308</v>
      </c>
      <c r="B7038" s="478" t="s">
        <v>5794</v>
      </c>
      <c r="C7038" s="391" t="s">
        <v>558</v>
      </c>
      <c r="D7038" s="479">
        <v>26.89</v>
      </c>
      <c r="E7038" s="368"/>
      <c r="F7038" s="368"/>
    </row>
    <row r="7039" spans="1:6" x14ac:dyDescent="0.2">
      <c r="A7039" s="391">
        <v>101416</v>
      </c>
      <c r="B7039" s="478" t="s">
        <v>5794</v>
      </c>
      <c r="C7039" s="391" t="s">
        <v>5681</v>
      </c>
      <c r="D7039" s="479">
        <v>4817.3900000000003</v>
      </c>
      <c r="E7039" s="368"/>
      <c r="F7039" s="368"/>
    </row>
    <row r="7040" spans="1:6" x14ac:dyDescent="0.2">
      <c r="A7040" s="391">
        <v>88275</v>
      </c>
      <c r="B7040" s="478" t="s">
        <v>5623</v>
      </c>
      <c r="C7040" s="391" t="s">
        <v>558</v>
      </c>
      <c r="D7040" s="479">
        <v>33.99</v>
      </c>
      <c r="E7040" s="368"/>
      <c r="F7040" s="368"/>
    </row>
    <row r="7041" spans="1:6" x14ac:dyDescent="0.2">
      <c r="A7041" s="391">
        <v>90780</v>
      </c>
      <c r="B7041" s="478" t="s">
        <v>5678</v>
      </c>
      <c r="C7041" s="391" t="s">
        <v>558</v>
      </c>
      <c r="D7041" s="479">
        <v>37.11</v>
      </c>
      <c r="E7041" s="368"/>
      <c r="F7041" s="368"/>
    </row>
    <row r="7042" spans="1:6" x14ac:dyDescent="0.2">
      <c r="A7042" s="391">
        <v>94295</v>
      </c>
      <c r="B7042" s="478" t="s">
        <v>5678</v>
      </c>
      <c r="C7042" s="391" t="s">
        <v>5681</v>
      </c>
      <c r="D7042" s="479">
        <v>6533.76</v>
      </c>
      <c r="E7042" s="368"/>
      <c r="F7042" s="368"/>
    </row>
    <row r="7043" spans="1:6" x14ac:dyDescent="0.2">
      <c r="A7043" s="391">
        <v>88277</v>
      </c>
      <c r="B7043" s="478" t="s">
        <v>5624</v>
      </c>
      <c r="C7043" s="391" t="s">
        <v>558</v>
      </c>
      <c r="D7043" s="479">
        <v>26.98</v>
      </c>
      <c r="E7043" s="368"/>
      <c r="F7043" s="368"/>
    </row>
    <row r="7044" spans="1:6" x14ac:dyDescent="0.2">
      <c r="A7044" s="391">
        <v>101417</v>
      </c>
      <c r="B7044" s="478" t="s">
        <v>5892</v>
      </c>
      <c r="C7044" s="391" t="s">
        <v>5681</v>
      </c>
      <c r="D7044" s="479">
        <v>4360.63</v>
      </c>
      <c r="E7044" s="368"/>
      <c r="F7044" s="368"/>
    </row>
    <row r="7045" spans="1:6" x14ac:dyDescent="0.2">
      <c r="A7045" s="391">
        <v>100307</v>
      </c>
      <c r="B7045" s="478" t="s">
        <v>5793</v>
      </c>
      <c r="C7045" s="391" t="s">
        <v>558</v>
      </c>
      <c r="D7045" s="479">
        <v>24.29</v>
      </c>
      <c r="E7045" s="368"/>
      <c r="F7045" s="368"/>
    </row>
    <row r="7046" spans="1:6" x14ac:dyDescent="0.2">
      <c r="A7046" s="391">
        <v>88278</v>
      </c>
      <c r="B7046" s="478" t="s">
        <v>5625</v>
      </c>
      <c r="C7046" s="391" t="s">
        <v>558</v>
      </c>
      <c r="D7046" s="479">
        <v>23.44</v>
      </c>
      <c r="E7046" s="368"/>
      <c r="F7046" s="368"/>
    </row>
    <row r="7047" spans="1:6" x14ac:dyDescent="0.2">
      <c r="A7047" s="391">
        <v>101418</v>
      </c>
      <c r="B7047" s="478" t="s">
        <v>5893</v>
      </c>
      <c r="C7047" s="391" t="s">
        <v>5681</v>
      </c>
      <c r="D7047" s="479">
        <v>4205.9399999999996</v>
      </c>
      <c r="E7047" s="368"/>
      <c r="F7047" s="368"/>
    </row>
    <row r="7048" spans="1:6" ht="25.5" x14ac:dyDescent="0.2">
      <c r="A7048" s="391">
        <v>105535</v>
      </c>
      <c r="B7048" s="478" t="s">
        <v>41624</v>
      </c>
      <c r="C7048" s="391" t="s">
        <v>558</v>
      </c>
      <c r="D7048" s="479">
        <v>0</v>
      </c>
      <c r="E7048" s="368"/>
      <c r="F7048" s="368"/>
    </row>
    <row r="7049" spans="1:6" x14ac:dyDescent="0.2">
      <c r="A7049" s="391">
        <v>101419</v>
      </c>
      <c r="B7049" s="478" t="s">
        <v>5894</v>
      </c>
      <c r="C7049" s="391" t="s">
        <v>5681</v>
      </c>
      <c r="D7049" s="479">
        <v>4963.74</v>
      </c>
      <c r="E7049" s="368"/>
      <c r="F7049" s="368"/>
    </row>
    <row r="7050" spans="1:6" x14ac:dyDescent="0.2">
      <c r="A7050" s="391">
        <v>88279</v>
      </c>
      <c r="B7050" s="478" t="s">
        <v>5626</v>
      </c>
      <c r="C7050" s="391" t="s">
        <v>558</v>
      </c>
      <c r="D7050" s="479">
        <v>28.08</v>
      </c>
      <c r="E7050" s="368"/>
      <c r="F7050" s="368"/>
    </row>
    <row r="7051" spans="1:6" x14ac:dyDescent="0.2">
      <c r="A7051" s="391">
        <v>88281</v>
      </c>
      <c r="B7051" s="478" t="s">
        <v>5627</v>
      </c>
      <c r="C7051" s="391" t="s">
        <v>558</v>
      </c>
      <c r="D7051" s="479">
        <v>29.5</v>
      </c>
      <c r="E7051" s="368"/>
      <c r="F7051" s="368"/>
    </row>
    <row r="7052" spans="1:6" x14ac:dyDescent="0.2">
      <c r="A7052" s="391">
        <v>93558</v>
      </c>
      <c r="B7052" s="478" t="s">
        <v>5680</v>
      </c>
      <c r="C7052" s="391" t="s">
        <v>5681</v>
      </c>
      <c r="D7052" s="479">
        <v>5126</v>
      </c>
      <c r="E7052" s="368"/>
      <c r="F7052" s="368"/>
    </row>
    <row r="7053" spans="1:6" x14ac:dyDescent="0.2">
      <c r="A7053" s="391">
        <v>101420</v>
      </c>
      <c r="B7053" s="478" t="s">
        <v>5895</v>
      </c>
      <c r="C7053" s="391" t="s">
        <v>5681</v>
      </c>
      <c r="D7053" s="479">
        <v>5274.31</v>
      </c>
      <c r="E7053" s="368"/>
      <c r="F7053" s="368"/>
    </row>
    <row r="7054" spans="1:6" x14ac:dyDescent="0.2">
      <c r="A7054" s="391">
        <v>101421</v>
      </c>
      <c r="B7054" s="478" t="s">
        <v>5896</v>
      </c>
      <c r="C7054" s="391" t="s">
        <v>5681</v>
      </c>
      <c r="D7054" s="479">
        <v>6048.41</v>
      </c>
      <c r="E7054" s="368"/>
      <c r="F7054" s="368"/>
    </row>
    <row r="7055" spans="1:6" x14ac:dyDescent="0.2">
      <c r="A7055" s="391">
        <v>88282</v>
      </c>
      <c r="B7055" s="478" t="s">
        <v>5628</v>
      </c>
      <c r="C7055" s="391" t="s">
        <v>558</v>
      </c>
      <c r="D7055" s="479">
        <v>28.66</v>
      </c>
      <c r="E7055" s="368"/>
      <c r="F7055" s="368"/>
    </row>
    <row r="7056" spans="1:6" x14ac:dyDescent="0.2">
      <c r="A7056" s="391">
        <v>88283</v>
      </c>
      <c r="B7056" s="478" t="s">
        <v>5629</v>
      </c>
      <c r="C7056" s="391" t="s">
        <v>558</v>
      </c>
      <c r="D7056" s="479">
        <v>33.92</v>
      </c>
      <c r="E7056" s="368"/>
      <c r="F7056" s="368"/>
    </row>
    <row r="7057" spans="1:6" x14ac:dyDescent="0.2">
      <c r="A7057" s="391">
        <v>101422</v>
      </c>
      <c r="B7057" s="478" t="s">
        <v>5897</v>
      </c>
      <c r="C7057" s="391" t="s">
        <v>5681</v>
      </c>
      <c r="D7057" s="479">
        <v>4193.38</v>
      </c>
      <c r="E7057" s="368"/>
      <c r="F7057" s="368"/>
    </row>
    <row r="7058" spans="1:6" x14ac:dyDescent="0.2">
      <c r="A7058" s="430">
        <v>88284</v>
      </c>
      <c r="B7058" s="482" t="s">
        <v>5630</v>
      </c>
      <c r="C7058" s="430" t="s">
        <v>558</v>
      </c>
      <c r="D7058" s="483">
        <v>23.34</v>
      </c>
      <c r="E7058" s="368"/>
      <c r="F7058" s="368"/>
    </row>
    <row r="7059" spans="1:6" ht="25.5" x14ac:dyDescent="0.2">
      <c r="A7059" s="430">
        <v>101424</v>
      </c>
      <c r="B7059" s="482" t="s">
        <v>5898</v>
      </c>
      <c r="C7059" s="430" t="s">
        <v>5681</v>
      </c>
      <c r="D7059" s="483">
        <v>5621.08</v>
      </c>
      <c r="E7059" s="368"/>
      <c r="F7059" s="368"/>
    </row>
    <row r="7060" spans="1:6" x14ac:dyDescent="0.2">
      <c r="A7060" s="391">
        <v>88286</v>
      </c>
      <c r="B7060" s="478" t="s">
        <v>5631</v>
      </c>
      <c r="C7060" s="391" t="s">
        <v>558</v>
      </c>
      <c r="D7060" s="479">
        <v>31.55</v>
      </c>
      <c r="E7060" s="368"/>
      <c r="F7060" s="368"/>
    </row>
    <row r="7061" spans="1:6" x14ac:dyDescent="0.2">
      <c r="A7061" s="391">
        <v>88288</v>
      </c>
      <c r="B7061" s="478" t="s">
        <v>5632</v>
      </c>
      <c r="C7061" s="391" t="s">
        <v>558</v>
      </c>
      <c r="D7061" s="479">
        <v>16.760000000000002</v>
      </c>
      <c r="E7061" s="368"/>
      <c r="F7061" s="368"/>
    </row>
    <row r="7062" spans="1:6" x14ac:dyDescent="0.2">
      <c r="A7062" s="391">
        <v>101425</v>
      </c>
      <c r="B7062" s="478" t="s">
        <v>5632</v>
      </c>
      <c r="C7062" s="391" t="s">
        <v>5681</v>
      </c>
      <c r="D7062" s="479">
        <v>2974.15</v>
      </c>
      <c r="E7062" s="368"/>
      <c r="F7062" s="368"/>
    </row>
    <row r="7063" spans="1:6" x14ac:dyDescent="0.2">
      <c r="A7063" s="391">
        <v>101426</v>
      </c>
      <c r="B7063" s="478" t="s">
        <v>5899</v>
      </c>
      <c r="C7063" s="391" t="s">
        <v>5681</v>
      </c>
      <c r="D7063" s="479">
        <v>4849.9399999999996</v>
      </c>
      <c r="E7063" s="368"/>
      <c r="F7063" s="368"/>
    </row>
    <row r="7064" spans="1:6" x14ac:dyDescent="0.2">
      <c r="A7064" s="391">
        <v>88291</v>
      </c>
      <c r="B7064" s="478" t="s">
        <v>5633</v>
      </c>
      <c r="C7064" s="391" t="s">
        <v>558</v>
      </c>
      <c r="D7064" s="479">
        <v>26.61</v>
      </c>
      <c r="E7064" s="368"/>
      <c r="F7064" s="368"/>
    </row>
    <row r="7065" spans="1:6" x14ac:dyDescent="0.2">
      <c r="A7065" s="391">
        <v>101427</v>
      </c>
      <c r="B7065" s="478" t="s">
        <v>5633</v>
      </c>
      <c r="C7065" s="391" t="s">
        <v>5681</v>
      </c>
      <c r="D7065" s="479">
        <v>4764.3900000000003</v>
      </c>
      <c r="E7065" s="368"/>
      <c r="F7065" s="368"/>
    </row>
    <row r="7066" spans="1:6" ht="25.5" x14ac:dyDescent="0.2">
      <c r="A7066" s="391">
        <v>101428</v>
      </c>
      <c r="B7066" s="478" t="s">
        <v>5900</v>
      </c>
      <c r="C7066" s="391" t="s">
        <v>5681</v>
      </c>
      <c r="D7066" s="479">
        <v>4471.84</v>
      </c>
      <c r="E7066" s="368"/>
      <c r="F7066" s="368"/>
    </row>
    <row r="7067" spans="1:6" ht="25.5" x14ac:dyDescent="0.2">
      <c r="A7067" s="391">
        <v>88377</v>
      </c>
      <c r="B7067" s="478" t="s">
        <v>5665</v>
      </c>
      <c r="C7067" s="391" t="s">
        <v>558</v>
      </c>
      <c r="D7067" s="479">
        <v>24.93</v>
      </c>
      <c r="E7067" s="368"/>
      <c r="F7067" s="368"/>
    </row>
    <row r="7068" spans="1:6" ht="25.5" x14ac:dyDescent="0.2">
      <c r="A7068" s="391">
        <v>101429</v>
      </c>
      <c r="B7068" s="478" t="s">
        <v>5901</v>
      </c>
      <c r="C7068" s="391" t="s">
        <v>5681</v>
      </c>
      <c r="D7068" s="479">
        <v>4125.34</v>
      </c>
      <c r="E7068" s="368"/>
      <c r="F7068" s="368"/>
    </row>
    <row r="7069" spans="1:6" ht="25.5" x14ac:dyDescent="0.2">
      <c r="A7069" s="429">
        <v>88292</v>
      </c>
      <c r="B7069" s="484" t="s">
        <v>5634</v>
      </c>
      <c r="C7069" s="429" t="s">
        <v>558</v>
      </c>
      <c r="D7069" s="487">
        <v>22.96</v>
      </c>
      <c r="E7069" s="368"/>
      <c r="F7069" s="368"/>
    </row>
    <row r="7070" spans="1:6" ht="25.5" x14ac:dyDescent="0.2">
      <c r="A7070" s="391">
        <v>88293</v>
      </c>
      <c r="B7070" s="478" t="s">
        <v>5635</v>
      </c>
      <c r="C7070" s="391" t="s">
        <v>558</v>
      </c>
      <c r="D7070" s="479">
        <v>26.61</v>
      </c>
      <c r="E7070" s="368"/>
      <c r="F7070" s="368"/>
    </row>
    <row r="7071" spans="1:6" ht="25.5" x14ac:dyDescent="0.2">
      <c r="A7071" s="429">
        <v>101430</v>
      </c>
      <c r="B7071" s="484" t="s">
        <v>5902</v>
      </c>
      <c r="C7071" s="429" t="s">
        <v>5681</v>
      </c>
      <c r="D7071" s="487">
        <v>4764.3900000000003</v>
      </c>
      <c r="E7071" s="368"/>
      <c r="F7071" s="368"/>
    </row>
    <row r="7072" spans="1:6" x14ac:dyDescent="0.2">
      <c r="A7072" s="391">
        <v>88294</v>
      </c>
      <c r="B7072" s="478" t="s">
        <v>5636</v>
      </c>
      <c r="C7072" s="391" t="s">
        <v>558</v>
      </c>
      <c r="D7072" s="479">
        <v>30.3</v>
      </c>
      <c r="E7072" s="368"/>
      <c r="F7072" s="368"/>
    </row>
    <row r="7073" spans="1:6" x14ac:dyDescent="0.2">
      <c r="A7073" s="391">
        <v>101431</v>
      </c>
      <c r="B7073" s="478" t="s">
        <v>5636</v>
      </c>
      <c r="C7073" s="391" t="s">
        <v>5681</v>
      </c>
      <c r="D7073" s="479">
        <v>5406.6</v>
      </c>
      <c r="E7073" s="368"/>
      <c r="F7073" s="368"/>
    </row>
    <row r="7074" spans="1:6" x14ac:dyDescent="0.2">
      <c r="A7074" s="391">
        <v>88295</v>
      </c>
      <c r="B7074" s="478" t="s">
        <v>5637</v>
      </c>
      <c r="C7074" s="391" t="s">
        <v>558</v>
      </c>
      <c r="D7074" s="479">
        <v>25.07</v>
      </c>
      <c r="E7074" s="368"/>
      <c r="F7074" s="368"/>
    </row>
    <row r="7075" spans="1:6" x14ac:dyDescent="0.2">
      <c r="A7075" s="391">
        <v>101432</v>
      </c>
      <c r="B7075" s="478" t="s">
        <v>5903</v>
      </c>
      <c r="C7075" s="391" t="s">
        <v>5681</v>
      </c>
      <c r="D7075" s="479">
        <v>4490.72</v>
      </c>
      <c r="E7075" s="368"/>
      <c r="F7075" s="368"/>
    </row>
    <row r="7076" spans="1:6" x14ac:dyDescent="0.2">
      <c r="A7076" s="391">
        <v>88296</v>
      </c>
      <c r="B7076" s="478" t="s">
        <v>5638</v>
      </c>
      <c r="C7076" s="391" t="s">
        <v>558</v>
      </c>
      <c r="D7076" s="479">
        <v>39.880000000000003</v>
      </c>
      <c r="E7076" s="368"/>
      <c r="F7076" s="368"/>
    </row>
    <row r="7077" spans="1:6" x14ac:dyDescent="0.2">
      <c r="A7077" s="391">
        <v>101433</v>
      </c>
      <c r="B7077" s="478" t="s">
        <v>5638</v>
      </c>
      <c r="C7077" s="391" t="s">
        <v>5681</v>
      </c>
      <c r="D7077" s="479">
        <v>7081.19</v>
      </c>
      <c r="E7077" s="368"/>
      <c r="F7077" s="368"/>
    </row>
    <row r="7078" spans="1:6" ht="25.5" x14ac:dyDescent="0.2">
      <c r="A7078" s="391">
        <v>101434</v>
      </c>
      <c r="B7078" s="478" t="s">
        <v>5904</v>
      </c>
      <c r="C7078" s="391" t="s">
        <v>5681</v>
      </c>
      <c r="D7078" s="479">
        <v>4769.05</v>
      </c>
      <c r="E7078" s="368"/>
      <c r="F7078" s="368"/>
    </row>
    <row r="7079" spans="1:6" ht="25.5" x14ac:dyDescent="0.2">
      <c r="A7079" s="391">
        <v>88298</v>
      </c>
      <c r="B7079" s="478" t="s">
        <v>5640</v>
      </c>
      <c r="C7079" s="391" t="s">
        <v>558</v>
      </c>
      <c r="D7079" s="479">
        <v>24.67</v>
      </c>
      <c r="E7079" s="368"/>
      <c r="F7079" s="368"/>
    </row>
    <row r="7080" spans="1:6" ht="25.5" x14ac:dyDescent="0.2">
      <c r="A7080" s="391">
        <v>101436</v>
      </c>
      <c r="B7080" s="478" t="s">
        <v>5640</v>
      </c>
      <c r="C7080" s="391" t="s">
        <v>5681</v>
      </c>
      <c r="D7080" s="479">
        <v>4423.84</v>
      </c>
      <c r="E7080" s="368"/>
      <c r="F7080" s="368"/>
    </row>
    <row r="7081" spans="1:6" x14ac:dyDescent="0.2">
      <c r="A7081" s="391">
        <v>101437</v>
      </c>
      <c r="B7081" s="478" t="s">
        <v>5906</v>
      </c>
      <c r="C7081" s="391" t="s">
        <v>5681</v>
      </c>
      <c r="D7081" s="479">
        <v>7267.38</v>
      </c>
      <c r="E7081" s="368"/>
      <c r="F7081" s="368"/>
    </row>
    <row r="7082" spans="1:6" x14ac:dyDescent="0.2">
      <c r="A7082" s="391">
        <v>88299</v>
      </c>
      <c r="B7082" s="478" t="s">
        <v>5641</v>
      </c>
      <c r="C7082" s="391" t="s">
        <v>558</v>
      </c>
      <c r="D7082" s="479">
        <v>40.880000000000003</v>
      </c>
      <c r="E7082" s="368"/>
      <c r="F7082" s="368"/>
    </row>
    <row r="7083" spans="1:6" x14ac:dyDescent="0.2">
      <c r="A7083" s="391">
        <v>88300</v>
      </c>
      <c r="B7083" s="478" t="s">
        <v>5642</v>
      </c>
      <c r="C7083" s="391" t="s">
        <v>558</v>
      </c>
      <c r="D7083" s="479">
        <v>40.880000000000003</v>
      </c>
      <c r="E7083" s="368"/>
      <c r="F7083" s="368"/>
    </row>
    <row r="7084" spans="1:6" x14ac:dyDescent="0.2">
      <c r="A7084" s="391">
        <v>101438</v>
      </c>
      <c r="B7084" s="478" t="s">
        <v>5642</v>
      </c>
      <c r="C7084" s="391" t="s">
        <v>5681</v>
      </c>
      <c r="D7084" s="479">
        <v>7267.38</v>
      </c>
      <c r="E7084" s="368"/>
      <c r="F7084" s="368"/>
    </row>
    <row r="7085" spans="1:6" ht="25.5" x14ac:dyDescent="0.2">
      <c r="A7085" s="391">
        <v>88297</v>
      </c>
      <c r="B7085" s="478" t="s">
        <v>5639</v>
      </c>
      <c r="C7085" s="391" t="s">
        <v>558</v>
      </c>
      <c r="D7085" s="479">
        <v>29.85</v>
      </c>
      <c r="E7085" s="368"/>
      <c r="F7085" s="368"/>
    </row>
    <row r="7086" spans="1:6" ht="25.5" x14ac:dyDescent="0.2">
      <c r="A7086" s="391">
        <v>101435</v>
      </c>
      <c r="B7086" s="478" t="s">
        <v>5905</v>
      </c>
      <c r="C7086" s="391" t="s">
        <v>5681</v>
      </c>
      <c r="D7086" s="479">
        <v>5331.48</v>
      </c>
      <c r="E7086" s="368"/>
      <c r="F7086" s="368"/>
    </row>
    <row r="7087" spans="1:6" ht="25.5" x14ac:dyDescent="0.2">
      <c r="A7087" s="391">
        <v>101440</v>
      </c>
      <c r="B7087" s="478" t="s">
        <v>5907</v>
      </c>
      <c r="C7087" s="391" t="s">
        <v>5681</v>
      </c>
      <c r="D7087" s="479">
        <v>4764.3900000000003</v>
      </c>
      <c r="E7087" s="368"/>
      <c r="F7087" s="368"/>
    </row>
    <row r="7088" spans="1:6" x14ac:dyDescent="0.2">
      <c r="A7088" s="391">
        <v>88302</v>
      </c>
      <c r="B7088" s="478" t="s">
        <v>5644</v>
      </c>
      <c r="C7088" s="391" t="s">
        <v>558</v>
      </c>
      <c r="D7088" s="479">
        <v>26.61</v>
      </c>
      <c r="E7088" s="368"/>
      <c r="F7088" s="368"/>
    </row>
    <row r="7089" spans="1:6" x14ac:dyDescent="0.2">
      <c r="A7089" s="391">
        <v>88301</v>
      </c>
      <c r="B7089" s="478" t="s">
        <v>5643</v>
      </c>
      <c r="C7089" s="391" t="s">
        <v>558</v>
      </c>
      <c r="D7089" s="479">
        <v>28.04</v>
      </c>
      <c r="E7089" s="368"/>
      <c r="F7089" s="368"/>
    </row>
    <row r="7090" spans="1:6" x14ac:dyDescent="0.2">
      <c r="A7090" s="391">
        <v>101439</v>
      </c>
      <c r="B7090" s="478" t="s">
        <v>5643</v>
      </c>
      <c r="C7090" s="391" t="s">
        <v>5681</v>
      </c>
      <c r="D7090" s="479">
        <v>5013.95</v>
      </c>
      <c r="E7090" s="368"/>
      <c r="F7090" s="368"/>
    </row>
    <row r="7091" spans="1:6" x14ac:dyDescent="0.2">
      <c r="A7091" s="391">
        <v>88303</v>
      </c>
      <c r="B7091" s="478" t="s">
        <v>5645</v>
      </c>
      <c r="C7091" s="391" t="s">
        <v>558</v>
      </c>
      <c r="D7091" s="479">
        <v>29.99</v>
      </c>
      <c r="E7091" s="368"/>
      <c r="F7091" s="368"/>
    </row>
    <row r="7092" spans="1:6" x14ac:dyDescent="0.2">
      <c r="A7092" s="391">
        <v>101441</v>
      </c>
      <c r="B7092" s="478" t="s">
        <v>5645</v>
      </c>
      <c r="C7092" s="391" t="s">
        <v>5681</v>
      </c>
      <c r="D7092" s="479">
        <v>5356.26</v>
      </c>
      <c r="E7092" s="368"/>
      <c r="F7092" s="368"/>
    </row>
    <row r="7093" spans="1:6" ht="25.5" x14ac:dyDescent="0.2">
      <c r="A7093" s="391">
        <v>88304</v>
      </c>
      <c r="B7093" s="478" t="s">
        <v>5646</v>
      </c>
      <c r="C7093" s="391" t="s">
        <v>558</v>
      </c>
      <c r="D7093" s="479">
        <v>40.880000000000003</v>
      </c>
      <c r="E7093" s="368"/>
      <c r="F7093" s="368"/>
    </row>
    <row r="7094" spans="1:6" ht="25.5" x14ac:dyDescent="0.2">
      <c r="A7094" s="391">
        <v>101443</v>
      </c>
      <c r="B7094" s="478" t="s">
        <v>5646</v>
      </c>
      <c r="C7094" s="391" t="s">
        <v>5681</v>
      </c>
      <c r="D7094" s="479">
        <v>7267.38</v>
      </c>
      <c r="E7094" s="368"/>
      <c r="F7094" s="368"/>
    </row>
    <row r="7095" spans="1:6" x14ac:dyDescent="0.2">
      <c r="A7095" s="391">
        <v>88306</v>
      </c>
      <c r="B7095" s="478" t="s">
        <v>5647</v>
      </c>
      <c r="C7095" s="391" t="s">
        <v>558</v>
      </c>
      <c r="D7095" s="479">
        <v>26.65</v>
      </c>
      <c r="E7095" s="368"/>
      <c r="F7095" s="368"/>
    </row>
    <row r="7096" spans="1:6" x14ac:dyDescent="0.2">
      <c r="A7096" s="391">
        <v>88307</v>
      </c>
      <c r="B7096" s="478" t="s">
        <v>5648</v>
      </c>
      <c r="C7096" s="391" t="s">
        <v>558</v>
      </c>
      <c r="D7096" s="479">
        <v>27.11</v>
      </c>
      <c r="E7096" s="368"/>
      <c r="F7096" s="368"/>
    </row>
    <row r="7097" spans="1:6" x14ac:dyDescent="0.2">
      <c r="A7097" s="391">
        <v>88308</v>
      </c>
      <c r="B7097" s="478" t="s">
        <v>5649</v>
      </c>
      <c r="C7097" s="391" t="s">
        <v>558</v>
      </c>
      <c r="D7097" s="479">
        <v>26.86</v>
      </c>
      <c r="E7097" s="368"/>
      <c r="F7097" s="368"/>
    </row>
    <row r="7098" spans="1:6" x14ac:dyDescent="0.2">
      <c r="A7098" s="391">
        <v>101444</v>
      </c>
      <c r="B7098" s="478" t="s">
        <v>5649</v>
      </c>
      <c r="C7098" s="391" t="s">
        <v>5681</v>
      </c>
      <c r="D7098" s="479">
        <v>4820.5</v>
      </c>
      <c r="E7098" s="368"/>
      <c r="F7098" s="368"/>
    </row>
    <row r="7099" spans="1:6" x14ac:dyDescent="0.2">
      <c r="A7099" s="391">
        <v>88309</v>
      </c>
      <c r="B7099" s="478" t="s">
        <v>5650</v>
      </c>
      <c r="C7099" s="391" t="s">
        <v>558</v>
      </c>
      <c r="D7099" s="479">
        <v>26.98</v>
      </c>
      <c r="E7099" s="368"/>
      <c r="F7099" s="368"/>
    </row>
    <row r="7100" spans="1:6" x14ac:dyDescent="0.2">
      <c r="A7100" s="391">
        <v>101445</v>
      </c>
      <c r="B7100" s="478" t="s">
        <v>5650</v>
      </c>
      <c r="C7100" s="391" t="s">
        <v>5681</v>
      </c>
      <c r="D7100" s="479">
        <v>4836.1000000000004</v>
      </c>
      <c r="E7100" s="368"/>
      <c r="F7100" s="368"/>
    </row>
    <row r="7101" spans="1:6" x14ac:dyDescent="0.2">
      <c r="A7101" s="391">
        <v>88310</v>
      </c>
      <c r="B7101" s="478" t="s">
        <v>5651</v>
      </c>
      <c r="C7101" s="391" t="s">
        <v>558</v>
      </c>
      <c r="D7101" s="479">
        <v>28.67</v>
      </c>
      <c r="E7101" s="368"/>
      <c r="F7101" s="368"/>
    </row>
    <row r="7102" spans="1:6" x14ac:dyDescent="0.2">
      <c r="A7102" s="391">
        <v>101446</v>
      </c>
      <c r="B7102" s="478" t="s">
        <v>5651</v>
      </c>
      <c r="C7102" s="391" t="s">
        <v>5681</v>
      </c>
      <c r="D7102" s="479">
        <v>5161.2700000000004</v>
      </c>
      <c r="E7102" s="368"/>
      <c r="F7102" s="368"/>
    </row>
    <row r="7103" spans="1:6" x14ac:dyDescent="0.2">
      <c r="A7103" s="391">
        <v>88311</v>
      </c>
      <c r="B7103" s="478" t="s">
        <v>5652</v>
      </c>
      <c r="C7103" s="391" t="s">
        <v>558</v>
      </c>
      <c r="D7103" s="479">
        <v>28.13</v>
      </c>
      <c r="E7103" s="368"/>
      <c r="F7103" s="368"/>
    </row>
    <row r="7104" spans="1:6" x14ac:dyDescent="0.2">
      <c r="A7104" s="391">
        <v>101447</v>
      </c>
      <c r="B7104" s="478" t="s">
        <v>5652</v>
      </c>
      <c r="C7104" s="391" t="s">
        <v>5681</v>
      </c>
      <c r="D7104" s="479">
        <v>5067.22</v>
      </c>
      <c r="E7104" s="368"/>
      <c r="F7104" s="368"/>
    </row>
    <row r="7105" spans="1:6" x14ac:dyDescent="0.2">
      <c r="A7105" s="391">
        <v>88312</v>
      </c>
      <c r="B7105" s="478" t="s">
        <v>5653</v>
      </c>
      <c r="C7105" s="391" t="s">
        <v>558</v>
      </c>
      <c r="D7105" s="479">
        <v>28.67</v>
      </c>
      <c r="E7105" s="368"/>
      <c r="F7105" s="368"/>
    </row>
    <row r="7106" spans="1:6" x14ac:dyDescent="0.2">
      <c r="A7106" s="391">
        <v>101448</v>
      </c>
      <c r="B7106" s="478" t="s">
        <v>5653</v>
      </c>
      <c r="C7106" s="391" t="s">
        <v>5681</v>
      </c>
      <c r="D7106" s="479">
        <v>5161.2700000000004</v>
      </c>
      <c r="E7106" s="368"/>
      <c r="F7106" s="368"/>
    </row>
    <row r="7107" spans="1:6" x14ac:dyDescent="0.2">
      <c r="A7107" s="391">
        <v>101449</v>
      </c>
      <c r="B7107" s="478" t="s">
        <v>5908</v>
      </c>
      <c r="C7107" s="391" t="s">
        <v>5681</v>
      </c>
      <c r="D7107" s="479">
        <v>3650.52</v>
      </c>
      <c r="E7107" s="368"/>
      <c r="F7107" s="368"/>
    </row>
    <row r="7108" spans="1:6" x14ac:dyDescent="0.2">
      <c r="A7108" s="391">
        <v>88313</v>
      </c>
      <c r="B7108" s="478" t="s">
        <v>5654</v>
      </c>
      <c r="C7108" s="391" t="s">
        <v>558</v>
      </c>
      <c r="D7108" s="479">
        <v>20.3</v>
      </c>
      <c r="E7108" s="368"/>
      <c r="F7108" s="368"/>
    </row>
    <row r="7109" spans="1:6" x14ac:dyDescent="0.2">
      <c r="A7109" s="391">
        <v>88314</v>
      </c>
      <c r="B7109" s="478" t="s">
        <v>5655</v>
      </c>
      <c r="C7109" s="391" t="s">
        <v>558</v>
      </c>
      <c r="D7109" s="479">
        <v>25.5</v>
      </c>
      <c r="E7109" s="368"/>
      <c r="F7109" s="368"/>
    </row>
    <row r="7110" spans="1:6" x14ac:dyDescent="0.2">
      <c r="A7110" s="391">
        <v>88315</v>
      </c>
      <c r="B7110" s="478" t="s">
        <v>5656</v>
      </c>
      <c r="C7110" s="391" t="s">
        <v>558</v>
      </c>
      <c r="D7110" s="479">
        <v>26.81</v>
      </c>
      <c r="E7110" s="368"/>
      <c r="F7110" s="368"/>
    </row>
    <row r="7111" spans="1:6" x14ac:dyDescent="0.2">
      <c r="A7111" s="391">
        <v>101451</v>
      </c>
      <c r="B7111" s="478" t="s">
        <v>5656</v>
      </c>
      <c r="C7111" s="391" t="s">
        <v>5681</v>
      </c>
      <c r="D7111" s="479">
        <v>4812.6899999999996</v>
      </c>
      <c r="E7111" s="368"/>
      <c r="F7111" s="368"/>
    </row>
    <row r="7112" spans="1:6" x14ac:dyDescent="0.2">
      <c r="A7112" s="391">
        <v>88316</v>
      </c>
      <c r="B7112" s="478" t="s">
        <v>5657</v>
      </c>
      <c r="C7112" s="391" t="s">
        <v>558</v>
      </c>
      <c r="D7112" s="479">
        <v>21.75</v>
      </c>
      <c r="E7112" s="368"/>
      <c r="F7112" s="368"/>
    </row>
    <row r="7113" spans="1:6" x14ac:dyDescent="0.2">
      <c r="A7113" s="391">
        <v>101452</v>
      </c>
      <c r="B7113" s="478" t="s">
        <v>5909</v>
      </c>
      <c r="C7113" s="391" t="s">
        <v>5681</v>
      </c>
      <c r="D7113" s="479">
        <v>3918.92</v>
      </c>
      <c r="E7113" s="368"/>
      <c r="F7113" s="368"/>
    </row>
    <row r="7114" spans="1:6" ht="25.5" x14ac:dyDescent="0.2">
      <c r="A7114" s="391">
        <v>95967</v>
      </c>
      <c r="B7114" s="478" t="s">
        <v>5410</v>
      </c>
      <c r="C7114" s="391" t="s">
        <v>558</v>
      </c>
      <c r="D7114" s="479">
        <v>151.51</v>
      </c>
      <c r="E7114" s="368"/>
      <c r="F7114" s="368"/>
    </row>
    <row r="7115" spans="1:6" ht="25.5" x14ac:dyDescent="0.2">
      <c r="A7115" s="391">
        <v>88318</v>
      </c>
      <c r="B7115" s="478" t="s">
        <v>5659</v>
      </c>
      <c r="C7115" s="391" t="s">
        <v>558</v>
      </c>
      <c r="D7115" s="479">
        <v>30.97</v>
      </c>
      <c r="E7115" s="368"/>
      <c r="F7115" s="368"/>
    </row>
    <row r="7116" spans="1:6" x14ac:dyDescent="0.2">
      <c r="A7116" s="391">
        <v>88317</v>
      </c>
      <c r="B7116" s="478" t="s">
        <v>5658</v>
      </c>
      <c r="C7116" s="391" t="s">
        <v>558</v>
      </c>
      <c r="D7116" s="479">
        <v>27.75</v>
      </c>
      <c r="E7116" s="368"/>
      <c r="F7116" s="368"/>
    </row>
    <row r="7117" spans="1:6" x14ac:dyDescent="0.2">
      <c r="A7117" s="391">
        <v>101453</v>
      </c>
      <c r="B7117" s="478" t="s">
        <v>5658</v>
      </c>
      <c r="C7117" s="391" t="s">
        <v>5681</v>
      </c>
      <c r="D7117" s="479">
        <v>4989.46</v>
      </c>
      <c r="E7117" s="368"/>
      <c r="F7117" s="368"/>
    </row>
    <row r="7118" spans="1:6" x14ac:dyDescent="0.2">
      <c r="A7118" s="391">
        <v>101454</v>
      </c>
      <c r="B7118" s="478" t="s">
        <v>5910</v>
      </c>
      <c r="C7118" s="391" t="s">
        <v>5681</v>
      </c>
      <c r="D7118" s="479">
        <v>5557.37</v>
      </c>
      <c r="E7118" s="368"/>
      <c r="F7118" s="368"/>
    </row>
    <row r="7119" spans="1:6" x14ac:dyDescent="0.2">
      <c r="A7119" s="391">
        <v>100533</v>
      </c>
      <c r="B7119" s="478" t="s">
        <v>5797</v>
      </c>
      <c r="C7119" s="391" t="s">
        <v>558</v>
      </c>
      <c r="D7119" s="479">
        <v>29.66</v>
      </c>
      <c r="E7119" s="368"/>
      <c r="F7119" s="368"/>
    </row>
    <row r="7120" spans="1:6" x14ac:dyDescent="0.2">
      <c r="A7120" s="391">
        <v>100534</v>
      </c>
      <c r="B7120" s="478" t="s">
        <v>5797</v>
      </c>
      <c r="C7120" s="391" t="s">
        <v>5681</v>
      </c>
      <c r="D7120" s="479">
        <v>5240.1099999999997</v>
      </c>
      <c r="E7120" s="368"/>
      <c r="F7120" s="368"/>
    </row>
    <row r="7121" spans="1:6" x14ac:dyDescent="0.2">
      <c r="A7121" s="391">
        <v>88323</v>
      </c>
      <c r="B7121" s="478" t="s">
        <v>5662</v>
      </c>
      <c r="C7121" s="391" t="s">
        <v>558</v>
      </c>
      <c r="D7121" s="479">
        <v>26.35</v>
      </c>
      <c r="E7121" s="368"/>
      <c r="F7121" s="368"/>
    </row>
    <row r="7122" spans="1:6" x14ac:dyDescent="0.2">
      <c r="A7122" s="391">
        <v>101458</v>
      </c>
      <c r="B7122" s="478" t="s">
        <v>5913</v>
      </c>
      <c r="C7122" s="391" t="s">
        <v>5681</v>
      </c>
      <c r="D7122" s="479">
        <v>4731.9799999999996</v>
      </c>
      <c r="E7122" s="368"/>
      <c r="F7122" s="368"/>
    </row>
    <row r="7123" spans="1:6" x14ac:dyDescent="0.2">
      <c r="A7123" s="391">
        <v>90781</v>
      </c>
      <c r="B7123" s="478" t="s">
        <v>5679</v>
      </c>
      <c r="C7123" s="391" t="s">
        <v>558</v>
      </c>
      <c r="D7123" s="479">
        <v>36.61</v>
      </c>
      <c r="E7123" s="368"/>
      <c r="F7123" s="368"/>
    </row>
    <row r="7124" spans="1:6" x14ac:dyDescent="0.2">
      <c r="A7124" s="391">
        <v>94296</v>
      </c>
      <c r="B7124" s="478" t="s">
        <v>5679</v>
      </c>
      <c r="C7124" s="391" t="s">
        <v>5681</v>
      </c>
      <c r="D7124" s="479">
        <v>6452.93</v>
      </c>
      <c r="E7124" s="368"/>
      <c r="F7124" s="368"/>
    </row>
    <row r="7125" spans="1:6" x14ac:dyDescent="0.2">
      <c r="A7125" s="391">
        <v>88324</v>
      </c>
      <c r="B7125" s="478" t="s">
        <v>5663</v>
      </c>
      <c r="C7125" s="391" t="s">
        <v>558</v>
      </c>
      <c r="D7125" s="479">
        <v>29.85</v>
      </c>
      <c r="E7125" s="368"/>
      <c r="F7125" s="368"/>
    </row>
    <row r="7126" spans="1:6" x14ac:dyDescent="0.2">
      <c r="A7126" s="391">
        <v>88321</v>
      </c>
      <c r="B7126" s="478" t="s">
        <v>5660</v>
      </c>
      <c r="C7126" s="391" t="s">
        <v>558</v>
      </c>
      <c r="D7126" s="479">
        <v>30.3</v>
      </c>
      <c r="E7126" s="368"/>
      <c r="F7126" s="368"/>
    </row>
    <row r="7127" spans="1:6" ht="25.5" x14ac:dyDescent="0.2">
      <c r="A7127" s="391">
        <v>101456</v>
      </c>
      <c r="B7127" s="478" t="s">
        <v>5911</v>
      </c>
      <c r="C7127" s="391" t="s">
        <v>5681</v>
      </c>
      <c r="D7127" s="479">
        <v>5348.48</v>
      </c>
      <c r="E7127" s="368"/>
      <c r="F7127" s="368"/>
    </row>
    <row r="7128" spans="1:6" x14ac:dyDescent="0.2">
      <c r="A7128" s="391">
        <v>88322</v>
      </c>
      <c r="B7128" s="478" t="s">
        <v>5661</v>
      </c>
      <c r="C7128" s="391" t="s">
        <v>558</v>
      </c>
      <c r="D7128" s="479">
        <v>51.81</v>
      </c>
      <c r="E7128" s="368"/>
      <c r="F7128" s="368"/>
    </row>
    <row r="7129" spans="1:6" x14ac:dyDescent="0.2">
      <c r="A7129" s="391">
        <v>100309</v>
      </c>
      <c r="B7129" s="478" t="s">
        <v>5795</v>
      </c>
      <c r="C7129" s="391" t="s">
        <v>558</v>
      </c>
      <c r="D7129" s="479">
        <v>28.57</v>
      </c>
      <c r="E7129" s="368"/>
      <c r="F7129" s="368"/>
    </row>
    <row r="7130" spans="1:6" x14ac:dyDescent="0.2">
      <c r="A7130" s="391">
        <v>100321</v>
      </c>
      <c r="B7130" s="478" t="s">
        <v>5795</v>
      </c>
      <c r="C7130" s="391" t="s">
        <v>5681</v>
      </c>
      <c r="D7130" s="479">
        <v>5036.49</v>
      </c>
      <c r="E7130" s="368"/>
      <c r="F7130" s="368"/>
    </row>
    <row r="7131" spans="1:6" x14ac:dyDescent="0.2">
      <c r="A7131" s="391">
        <v>101457</v>
      </c>
      <c r="B7131" s="478" t="s">
        <v>5912</v>
      </c>
      <c r="C7131" s="391" t="s">
        <v>5681</v>
      </c>
      <c r="D7131" s="479">
        <v>10003.959999999999</v>
      </c>
      <c r="E7131" s="368"/>
      <c r="F7131" s="368"/>
    </row>
    <row r="7132" spans="1:6" x14ac:dyDescent="0.2">
      <c r="A7132" s="391">
        <v>88325</v>
      </c>
      <c r="B7132" s="478" t="s">
        <v>5664</v>
      </c>
      <c r="C7132" s="391" t="s">
        <v>558</v>
      </c>
      <c r="D7132" s="479">
        <v>22.42</v>
      </c>
      <c r="E7132" s="368"/>
      <c r="F7132" s="368"/>
    </row>
    <row r="7133" spans="1:6" x14ac:dyDescent="0.2">
      <c r="A7133" s="391">
        <v>101459</v>
      </c>
      <c r="B7133" s="478" t="s">
        <v>5664</v>
      </c>
      <c r="C7133" s="391" t="s">
        <v>5681</v>
      </c>
      <c r="D7133" s="479">
        <v>4043.17</v>
      </c>
      <c r="E7133" s="368"/>
      <c r="F7133" s="368"/>
    </row>
    <row r="7134" spans="1:6" x14ac:dyDescent="0.2">
      <c r="A7134" s="391">
        <v>100289</v>
      </c>
      <c r="B7134" s="478" t="s">
        <v>5785</v>
      </c>
      <c r="C7134" s="391" t="s">
        <v>558</v>
      </c>
      <c r="D7134" s="479">
        <v>23.2</v>
      </c>
      <c r="E7134" s="368"/>
      <c r="F7134" s="368"/>
    </row>
    <row r="7135" spans="1:6" x14ac:dyDescent="0.2">
      <c r="A7135" s="391">
        <v>101460</v>
      </c>
      <c r="B7135" s="478" t="s">
        <v>5785</v>
      </c>
      <c r="C7135" s="391" t="s">
        <v>5681</v>
      </c>
      <c r="D7135" s="479">
        <v>4184.8999999999996</v>
      </c>
      <c r="E7135" s="368"/>
      <c r="F7135" s="368"/>
    </row>
    <row r="7136" spans="1:6" ht="25.5" x14ac:dyDescent="0.2">
      <c r="A7136" s="391">
        <v>105011</v>
      </c>
      <c r="B7136" s="478" t="s">
        <v>5416</v>
      </c>
      <c r="C7136" s="391" t="s">
        <v>0</v>
      </c>
      <c r="D7136" s="479">
        <v>0.51</v>
      </c>
      <c r="E7136" s="368"/>
      <c r="F7136" s="368"/>
    </row>
    <row r="7137" spans="1:6" x14ac:dyDescent="0.2">
      <c r="A7137" s="391">
        <v>99061</v>
      </c>
      <c r="B7137" s="478" t="s">
        <v>5412</v>
      </c>
      <c r="C7137" s="391" t="s">
        <v>26</v>
      </c>
      <c r="D7137" s="479">
        <v>119.44</v>
      </c>
      <c r="E7137" s="368"/>
      <c r="F7137" s="368"/>
    </row>
    <row r="7138" spans="1:6" x14ac:dyDescent="0.2">
      <c r="A7138" s="391">
        <v>99060</v>
      </c>
      <c r="B7138" s="478" t="s">
        <v>5411</v>
      </c>
      <c r="C7138" s="391" t="s">
        <v>26</v>
      </c>
      <c r="D7138" s="479">
        <v>192.37</v>
      </c>
      <c r="E7138" s="368"/>
      <c r="F7138" s="368"/>
    </row>
    <row r="7139" spans="1:6" x14ac:dyDescent="0.2">
      <c r="A7139" s="391">
        <v>105008</v>
      </c>
      <c r="B7139" s="478" t="s">
        <v>41625</v>
      </c>
      <c r="C7139" s="391" t="s">
        <v>26</v>
      </c>
      <c r="D7139" s="479">
        <v>0</v>
      </c>
      <c r="E7139" s="368"/>
      <c r="F7139" s="368"/>
    </row>
    <row r="7140" spans="1:6" ht="25.5" x14ac:dyDescent="0.2">
      <c r="A7140" s="391">
        <v>105009</v>
      </c>
      <c r="B7140" s="478" t="s">
        <v>48002</v>
      </c>
      <c r="C7140" s="391" t="s">
        <v>0</v>
      </c>
      <c r="D7140" s="479">
        <v>79.959999999999994</v>
      </c>
      <c r="E7140" s="368"/>
      <c r="F7140" s="368"/>
    </row>
    <row r="7141" spans="1:6" ht="25.5" x14ac:dyDescent="0.2">
      <c r="A7141" s="391">
        <v>99059</v>
      </c>
      <c r="B7141" s="478" t="s">
        <v>48003</v>
      </c>
      <c r="C7141" s="391" t="s">
        <v>0</v>
      </c>
      <c r="D7141" s="479">
        <v>65.53</v>
      </c>
      <c r="E7141" s="368"/>
      <c r="F7141" s="368"/>
    </row>
    <row r="7142" spans="1:6" x14ac:dyDescent="0.2">
      <c r="A7142" s="391">
        <v>105137</v>
      </c>
      <c r="B7142" s="478" t="s">
        <v>41626</v>
      </c>
      <c r="C7142" s="391" t="s">
        <v>0</v>
      </c>
      <c r="D7142" s="479">
        <v>0</v>
      </c>
      <c r="E7142" s="368"/>
      <c r="F7142" s="368"/>
    </row>
    <row r="7143" spans="1:6" x14ac:dyDescent="0.2">
      <c r="A7143" s="391">
        <v>105136</v>
      </c>
      <c r="B7143" s="478" t="s">
        <v>41627</v>
      </c>
      <c r="C7143" s="391" t="s">
        <v>26</v>
      </c>
      <c r="D7143" s="479">
        <v>0</v>
      </c>
      <c r="E7143" s="368"/>
      <c r="F7143" s="368"/>
    </row>
    <row r="7144" spans="1:6" x14ac:dyDescent="0.2">
      <c r="A7144" s="391">
        <v>105007</v>
      </c>
      <c r="B7144" s="478" t="s">
        <v>5415</v>
      </c>
      <c r="C7144" s="391" t="s">
        <v>26</v>
      </c>
      <c r="D7144" s="479">
        <v>36.57</v>
      </c>
      <c r="E7144" s="368"/>
      <c r="F7144" s="368"/>
    </row>
    <row r="7145" spans="1:6" x14ac:dyDescent="0.2">
      <c r="A7145" s="391">
        <v>99063</v>
      </c>
      <c r="B7145" s="478" t="s">
        <v>5414</v>
      </c>
      <c r="C7145" s="391" t="s">
        <v>0</v>
      </c>
      <c r="D7145" s="479">
        <v>9.08</v>
      </c>
      <c r="E7145" s="368"/>
      <c r="F7145" s="368"/>
    </row>
    <row r="7146" spans="1:6" ht="25.5" x14ac:dyDescent="0.2">
      <c r="A7146" s="391">
        <v>105010</v>
      </c>
      <c r="B7146" s="478" t="s">
        <v>41628</v>
      </c>
      <c r="C7146" s="391" t="s">
        <v>26</v>
      </c>
      <c r="D7146" s="479">
        <v>0</v>
      </c>
      <c r="E7146" s="368"/>
      <c r="F7146" s="368"/>
    </row>
    <row r="7147" spans="1:6" x14ac:dyDescent="0.2">
      <c r="A7147" s="391">
        <v>99062</v>
      </c>
      <c r="B7147" s="478" t="s">
        <v>5413</v>
      </c>
      <c r="C7147" s="391" t="s">
        <v>26</v>
      </c>
      <c r="D7147" s="479">
        <v>1.97</v>
      </c>
      <c r="E7147" s="368"/>
      <c r="F7147" s="368"/>
    </row>
    <row r="7148" spans="1:6" ht="25.5" x14ac:dyDescent="0.2">
      <c r="A7148" s="391">
        <v>100857</v>
      </c>
      <c r="B7148" s="478" t="s">
        <v>4001</v>
      </c>
      <c r="C7148" s="391" t="s">
        <v>26</v>
      </c>
      <c r="D7148" s="479">
        <v>497.4</v>
      </c>
      <c r="E7148" s="368"/>
      <c r="F7148" s="368"/>
    </row>
    <row r="7149" spans="1:6" ht="25.5" x14ac:dyDescent="0.2">
      <c r="A7149" s="391">
        <v>86905</v>
      </c>
      <c r="B7149" s="478" t="s">
        <v>3953</v>
      </c>
      <c r="C7149" s="391" t="s">
        <v>26</v>
      </c>
      <c r="D7149" s="479">
        <v>383.63</v>
      </c>
      <c r="E7149" s="368"/>
      <c r="F7149" s="368"/>
    </row>
    <row r="7150" spans="1:6" ht="25.5" x14ac:dyDescent="0.2">
      <c r="A7150" s="391">
        <v>86908</v>
      </c>
      <c r="B7150" s="478" t="s">
        <v>3955</v>
      </c>
      <c r="C7150" s="391" t="s">
        <v>26</v>
      </c>
      <c r="D7150" s="479">
        <v>458.58</v>
      </c>
      <c r="E7150" s="368"/>
      <c r="F7150" s="368"/>
    </row>
    <row r="7151" spans="1:6" ht="25.5" x14ac:dyDescent="0.2">
      <c r="A7151" s="391">
        <v>100849</v>
      </c>
      <c r="B7151" s="478" t="s">
        <v>3995</v>
      </c>
      <c r="C7151" s="391" t="s">
        <v>26</v>
      </c>
      <c r="D7151" s="479">
        <v>45.03</v>
      </c>
      <c r="E7151" s="368"/>
      <c r="F7151" s="368"/>
    </row>
    <row r="7152" spans="1:6" x14ac:dyDescent="0.2">
      <c r="A7152" s="391">
        <v>100851</v>
      </c>
      <c r="B7152" s="478" t="s">
        <v>3996</v>
      </c>
      <c r="C7152" s="391" t="s">
        <v>26</v>
      </c>
      <c r="D7152" s="479">
        <v>90.09</v>
      </c>
      <c r="E7152" s="368"/>
      <c r="F7152" s="368"/>
    </row>
    <row r="7153" spans="1:6" x14ac:dyDescent="0.2">
      <c r="A7153" s="391">
        <v>100850</v>
      </c>
      <c r="B7153" s="478" t="s">
        <v>41629</v>
      </c>
      <c r="C7153" s="391" t="s">
        <v>26</v>
      </c>
      <c r="D7153" s="479">
        <v>0</v>
      </c>
      <c r="E7153" s="368"/>
      <c r="F7153" s="368"/>
    </row>
    <row r="7154" spans="1:6" ht="25.5" x14ac:dyDescent="0.2">
      <c r="A7154" s="391">
        <v>86895</v>
      </c>
      <c r="B7154" s="478" t="s">
        <v>3946</v>
      </c>
      <c r="C7154" s="391" t="s">
        <v>26</v>
      </c>
      <c r="D7154" s="479">
        <v>327.13</v>
      </c>
      <c r="E7154" s="368"/>
      <c r="F7154" s="368"/>
    </row>
    <row r="7155" spans="1:6" ht="25.5" x14ac:dyDescent="0.2">
      <c r="A7155" s="391">
        <v>86889</v>
      </c>
      <c r="B7155" s="478" t="s">
        <v>3943</v>
      </c>
      <c r="C7155" s="391" t="s">
        <v>26</v>
      </c>
      <c r="D7155" s="479">
        <v>654.91999999999996</v>
      </c>
      <c r="E7155" s="368"/>
      <c r="F7155" s="368"/>
    </row>
    <row r="7156" spans="1:6" ht="25.5" x14ac:dyDescent="0.2">
      <c r="A7156" s="391">
        <v>86899</v>
      </c>
      <c r="B7156" s="478" t="s">
        <v>3947</v>
      </c>
      <c r="C7156" s="391" t="s">
        <v>26</v>
      </c>
      <c r="D7156" s="479">
        <v>321.75</v>
      </c>
      <c r="E7156" s="368"/>
      <c r="F7156" s="368"/>
    </row>
    <row r="7157" spans="1:6" ht="25.5" x14ac:dyDescent="0.2">
      <c r="A7157" s="391">
        <v>86893</v>
      </c>
      <c r="B7157" s="478" t="s">
        <v>3944</v>
      </c>
      <c r="C7157" s="391" t="s">
        <v>26</v>
      </c>
      <c r="D7157" s="479">
        <v>640.58000000000004</v>
      </c>
      <c r="E7157" s="368"/>
      <c r="F7157" s="368"/>
    </row>
    <row r="7158" spans="1:6" ht="51" x14ac:dyDescent="0.2">
      <c r="A7158" s="391">
        <v>86934</v>
      </c>
      <c r="B7158" s="478" t="s">
        <v>3976</v>
      </c>
      <c r="C7158" s="391" t="s">
        <v>26</v>
      </c>
      <c r="D7158" s="479">
        <v>354.55</v>
      </c>
      <c r="E7158" s="368"/>
      <c r="F7158" s="368"/>
    </row>
    <row r="7159" spans="1:6" ht="51" x14ac:dyDescent="0.2">
      <c r="A7159" s="391">
        <v>86933</v>
      </c>
      <c r="B7159" s="478" t="s">
        <v>3975</v>
      </c>
      <c r="C7159" s="391" t="s">
        <v>26</v>
      </c>
      <c r="D7159" s="479">
        <v>364.86</v>
      </c>
      <c r="E7159" s="368"/>
      <c r="F7159" s="368"/>
    </row>
    <row r="7160" spans="1:6" ht="25.5" x14ac:dyDescent="0.2">
      <c r="A7160" s="391">
        <v>86894</v>
      </c>
      <c r="B7160" s="478" t="s">
        <v>3945</v>
      </c>
      <c r="C7160" s="391" t="s">
        <v>26</v>
      </c>
      <c r="D7160" s="479">
        <v>232.62</v>
      </c>
      <c r="E7160" s="368"/>
      <c r="F7160" s="368"/>
    </row>
    <row r="7161" spans="1:6" ht="51" x14ac:dyDescent="0.2">
      <c r="A7161" s="391">
        <v>93441</v>
      </c>
      <c r="B7161" s="478" t="s">
        <v>48004</v>
      </c>
      <c r="C7161" s="391" t="s">
        <v>26</v>
      </c>
      <c r="D7161" s="479">
        <v>1032.6300000000001</v>
      </c>
      <c r="E7161" s="368"/>
      <c r="F7161" s="368"/>
    </row>
    <row r="7162" spans="1:6" ht="51" x14ac:dyDescent="0.2">
      <c r="A7162" s="391">
        <v>93396</v>
      </c>
      <c r="B7162" s="478" t="s">
        <v>48005</v>
      </c>
      <c r="C7162" s="391" t="s">
        <v>26</v>
      </c>
      <c r="D7162" s="479">
        <v>655.53</v>
      </c>
      <c r="E7162" s="368"/>
      <c r="F7162" s="368"/>
    </row>
    <row r="7163" spans="1:6" ht="51" x14ac:dyDescent="0.2">
      <c r="A7163" s="391">
        <v>93442</v>
      </c>
      <c r="B7163" s="478" t="s">
        <v>48006</v>
      </c>
      <c r="C7163" s="391" t="s">
        <v>26</v>
      </c>
      <c r="D7163" s="479">
        <v>1290.3599999999999</v>
      </c>
      <c r="E7163" s="368"/>
      <c r="F7163" s="368"/>
    </row>
    <row r="7164" spans="1:6" ht="51" x14ac:dyDescent="0.2">
      <c r="A7164" s="391">
        <v>86947</v>
      </c>
      <c r="B7164" s="478" t="s">
        <v>3986</v>
      </c>
      <c r="C7164" s="391" t="s">
        <v>26</v>
      </c>
      <c r="D7164" s="479">
        <v>1312.07</v>
      </c>
      <c r="E7164" s="368"/>
      <c r="F7164" s="368"/>
    </row>
    <row r="7165" spans="1:6" ht="25.5" x14ac:dyDescent="0.2">
      <c r="A7165" s="391">
        <v>100875</v>
      </c>
      <c r="B7165" s="478" t="s">
        <v>4012</v>
      </c>
      <c r="C7165" s="391" t="s">
        <v>26</v>
      </c>
      <c r="D7165" s="479">
        <v>1690.45</v>
      </c>
      <c r="E7165" s="368"/>
      <c r="F7165" s="368"/>
    </row>
    <row r="7166" spans="1:6" ht="25.5" x14ac:dyDescent="0.2">
      <c r="A7166" s="391">
        <v>100863</v>
      </c>
      <c r="B7166" s="478" t="s">
        <v>4007</v>
      </c>
      <c r="C7166" s="391" t="s">
        <v>26</v>
      </c>
      <c r="D7166" s="479">
        <v>903.42</v>
      </c>
      <c r="E7166" s="368"/>
      <c r="F7166" s="368"/>
    </row>
    <row r="7167" spans="1:6" ht="25.5" x14ac:dyDescent="0.2">
      <c r="A7167" s="391">
        <v>100864</v>
      </c>
      <c r="B7167" s="478" t="s">
        <v>4008</v>
      </c>
      <c r="C7167" s="391" t="s">
        <v>26</v>
      </c>
      <c r="D7167" s="479">
        <v>999.15</v>
      </c>
      <c r="E7167" s="368"/>
      <c r="F7167" s="368"/>
    </row>
    <row r="7168" spans="1:6" ht="25.5" x14ac:dyDescent="0.2">
      <c r="A7168" s="391">
        <v>100865</v>
      </c>
      <c r="B7168" s="478" t="s">
        <v>4009</v>
      </c>
      <c r="C7168" s="391" t="s">
        <v>26</v>
      </c>
      <c r="D7168" s="479">
        <v>918.41</v>
      </c>
      <c r="E7168" s="368"/>
      <c r="F7168" s="368"/>
    </row>
    <row r="7169" spans="1:6" ht="25.5" x14ac:dyDescent="0.2">
      <c r="A7169" s="391">
        <v>100866</v>
      </c>
      <c r="B7169" s="478" t="s">
        <v>4010</v>
      </c>
      <c r="C7169" s="391" t="s">
        <v>26</v>
      </c>
      <c r="D7169" s="479">
        <v>455.49</v>
      </c>
      <c r="E7169" s="368"/>
      <c r="F7169" s="368"/>
    </row>
    <row r="7170" spans="1:6" ht="25.5" x14ac:dyDescent="0.2">
      <c r="A7170" s="391">
        <v>100867</v>
      </c>
      <c r="B7170" s="478" t="s">
        <v>48007</v>
      </c>
      <c r="C7170" s="391" t="s">
        <v>26</v>
      </c>
      <c r="D7170" s="479">
        <v>487.06</v>
      </c>
      <c r="E7170" s="368"/>
      <c r="F7170" s="368"/>
    </row>
    <row r="7171" spans="1:6" ht="25.5" x14ac:dyDescent="0.2">
      <c r="A7171" s="391">
        <v>100868</v>
      </c>
      <c r="B7171" s="478" t="s">
        <v>48008</v>
      </c>
      <c r="C7171" s="391" t="s">
        <v>26</v>
      </c>
      <c r="D7171" s="479">
        <v>508.06</v>
      </c>
      <c r="E7171" s="368"/>
      <c r="F7171" s="368"/>
    </row>
    <row r="7172" spans="1:6" ht="25.5" x14ac:dyDescent="0.2">
      <c r="A7172" s="391">
        <v>100869</v>
      </c>
      <c r="B7172" s="478" t="s">
        <v>48009</v>
      </c>
      <c r="C7172" s="391" t="s">
        <v>26</v>
      </c>
      <c r="D7172" s="479">
        <v>524.16999999999996</v>
      </c>
      <c r="E7172" s="368"/>
      <c r="F7172" s="368"/>
    </row>
    <row r="7173" spans="1:6" ht="25.5" x14ac:dyDescent="0.2">
      <c r="A7173" s="391">
        <v>100870</v>
      </c>
      <c r="B7173" s="478" t="s">
        <v>48010</v>
      </c>
      <c r="C7173" s="391" t="s">
        <v>26</v>
      </c>
      <c r="D7173" s="479">
        <v>343.32</v>
      </c>
      <c r="E7173" s="368"/>
      <c r="F7173" s="368"/>
    </row>
    <row r="7174" spans="1:6" ht="25.5" x14ac:dyDescent="0.2">
      <c r="A7174" s="391">
        <v>100871</v>
      </c>
      <c r="B7174" s="478" t="s">
        <v>48011</v>
      </c>
      <c r="C7174" s="391" t="s">
        <v>26</v>
      </c>
      <c r="D7174" s="479">
        <v>368.74</v>
      </c>
      <c r="E7174" s="368"/>
      <c r="F7174" s="368"/>
    </row>
    <row r="7175" spans="1:6" ht="25.5" x14ac:dyDescent="0.2">
      <c r="A7175" s="391">
        <v>100872</v>
      </c>
      <c r="B7175" s="478" t="s">
        <v>48012</v>
      </c>
      <c r="C7175" s="391" t="s">
        <v>26</v>
      </c>
      <c r="D7175" s="479">
        <v>384.96</v>
      </c>
      <c r="E7175" s="368"/>
      <c r="F7175" s="368"/>
    </row>
    <row r="7176" spans="1:6" ht="25.5" x14ac:dyDescent="0.2">
      <c r="A7176" s="391">
        <v>100873</v>
      </c>
      <c r="B7176" s="478" t="s">
        <v>48013</v>
      </c>
      <c r="C7176" s="391" t="s">
        <v>26</v>
      </c>
      <c r="D7176" s="479">
        <v>395.09</v>
      </c>
      <c r="E7176" s="368"/>
      <c r="F7176" s="368"/>
    </row>
    <row r="7177" spans="1:6" ht="25.5" x14ac:dyDescent="0.2">
      <c r="A7177" s="391">
        <v>100860</v>
      </c>
      <c r="B7177" s="478" t="s">
        <v>4004</v>
      </c>
      <c r="C7177" s="391" t="s">
        <v>26</v>
      </c>
      <c r="D7177" s="479">
        <v>108.87</v>
      </c>
      <c r="E7177" s="368"/>
      <c r="F7177" s="368"/>
    </row>
    <row r="7178" spans="1:6" ht="38.25" x14ac:dyDescent="0.2">
      <c r="A7178" s="391">
        <v>86936</v>
      </c>
      <c r="B7178" s="478" t="s">
        <v>3978</v>
      </c>
      <c r="C7178" s="391" t="s">
        <v>26</v>
      </c>
      <c r="D7178" s="479">
        <v>515.75</v>
      </c>
      <c r="E7178" s="368"/>
      <c r="F7178" s="368"/>
    </row>
    <row r="7179" spans="1:6" ht="38.25" x14ac:dyDescent="0.2">
      <c r="A7179" s="391">
        <v>86935</v>
      </c>
      <c r="B7179" s="478" t="s">
        <v>3977</v>
      </c>
      <c r="C7179" s="391" t="s">
        <v>26</v>
      </c>
      <c r="D7179" s="479">
        <v>283.88</v>
      </c>
      <c r="E7179" s="368"/>
      <c r="F7179" s="368"/>
    </row>
    <row r="7180" spans="1:6" ht="25.5" x14ac:dyDescent="0.2">
      <c r="A7180" s="391">
        <v>86901</v>
      </c>
      <c r="B7180" s="478" t="s">
        <v>3949</v>
      </c>
      <c r="C7180" s="391" t="s">
        <v>26</v>
      </c>
      <c r="D7180" s="479">
        <v>154.61000000000001</v>
      </c>
      <c r="E7180" s="368"/>
      <c r="F7180" s="368"/>
    </row>
    <row r="7181" spans="1:6" ht="38.25" x14ac:dyDescent="0.2">
      <c r="A7181" s="391">
        <v>86938</v>
      </c>
      <c r="B7181" s="478" t="s">
        <v>3980</v>
      </c>
      <c r="C7181" s="391" t="s">
        <v>26</v>
      </c>
      <c r="D7181" s="479">
        <v>478.53</v>
      </c>
      <c r="E7181" s="368"/>
      <c r="F7181" s="368"/>
    </row>
    <row r="7182" spans="1:6" ht="38.25" x14ac:dyDescent="0.2">
      <c r="A7182" s="391">
        <v>86937</v>
      </c>
      <c r="B7182" s="478" t="s">
        <v>3979</v>
      </c>
      <c r="C7182" s="391" t="s">
        <v>26</v>
      </c>
      <c r="D7182" s="479">
        <v>246.66</v>
      </c>
      <c r="E7182" s="368"/>
      <c r="F7182" s="368"/>
    </row>
    <row r="7183" spans="1:6" ht="25.5" x14ac:dyDescent="0.2">
      <c r="A7183" s="391">
        <v>86900</v>
      </c>
      <c r="B7183" s="478" t="s">
        <v>3948</v>
      </c>
      <c r="C7183" s="391" t="s">
        <v>26</v>
      </c>
      <c r="D7183" s="479">
        <v>185.5</v>
      </c>
      <c r="E7183" s="368"/>
      <c r="F7183" s="368"/>
    </row>
    <row r="7184" spans="1:6" ht="25.5" x14ac:dyDescent="0.2">
      <c r="A7184" s="391">
        <v>100852</v>
      </c>
      <c r="B7184" s="478" t="s">
        <v>3997</v>
      </c>
      <c r="C7184" s="391" t="s">
        <v>26</v>
      </c>
      <c r="D7184" s="479">
        <v>203.28</v>
      </c>
      <c r="E7184" s="368"/>
      <c r="F7184" s="368"/>
    </row>
    <row r="7185" spans="1:6" ht="25.5" x14ac:dyDescent="0.2">
      <c r="A7185" s="391">
        <v>86886</v>
      </c>
      <c r="B7185" s="478" t="s">
        <v>48014</v>
      </c>
      <c r="C7185" s="391" t="s">
        <v>26</v>
      </c>
      <c r="D7185" s="479">
        <v>58.99</v>
      </c>
      <c r="E7185" s="368"/>
      <c r="F7185" s="368"/>
    </row>
    <row r="7186" spans="1:6" ht="25.5" x14ac:dyDescent="0.2">
      <c r="A7186" s="391">
        <v>86887</v>
      </c>
      <c r="B7186" s="478" t="s">
        <v>48015</v>
      </c>
      <c r="C7186" s="391" t="s">
        <v>26</v>
      </c>
      <c r="D7186" s="479">
        <v>64.08</v>
      </c>
      <c r="E7186" s="368"/>
      <c r="F7186" s="368"/>
    </row>
    <row r="7187" spans="1:6" ht="25.5" x14ac:dyDescent="0.2">
      <c r="A7187" s="391">
        <v>86884</v>
      </c>
      <c r="B7187" s="478" t="s">
        <v>3940</v>
      </c>
      <c r="C7187" s="391" t="s">
        <v>26</v>
      </c>
      <c r="D7187" s="479">
        <v>10.74</v>
      </c>
      <c r="E7187" s="368"/>
      <c r="F7187" s="368"/>
    </row>
    <row r="7188" spans="1:6" ht="25.5" x14ac:dyDescent="0.2">
      <c r="A7188" s="391">
        <v>86885</v>
      </c>
      <c r="B7188" s="478" t="s">
        <v>3941</v>
      </c>
      <c r="C7188" s="391" t="s">
        <v>26</v>
      </c>
      <c r="D7188" s="479">
        <v>12.21</v>
      </c>
      <c r="E7188" s="368"/>
      <c r="F7188" s="368"/>
    </row>
    <row r="7189" spans="1:6" ht="25.5" x14ac:dyDescent="0.2">
      <c r="A7189" s="391">
        <v>95546</v>
      </c>
      <c r="B7189" s="478" t="s">
        <v>3992</v>
      </c>
      <c r="C7189" s="391" t="s">
        <v>26</v>
      </c>
      <c r="D7189" s="479">
        <v>102.76</v>
      </c>
      <c r="E7189" s="368"/>
      <c r="F7189" s="368"/>
    </row>
    <row r="7190" spans="1:6" ht="25.5" x14ac:dyDescent="0.2">
      <c r="A7190" s="391">
        <v>86902</v>
      </c>
      <c r="B7190" s="478" t="s">
        <v>3950</v>
      </c>
      <c r="C7190" s="391" t="s">
        <v>26</v>
      </c>
      <c r="D7190" s="479">
        <v>353.41</v>
      </c>
      <c r="E7190" s="368"/>
      <c r="F7190" s="368"/>
    </row>
    <row r="7191" spans="1:6" ht="51" x14ac:dyDescent="0.2">
      <c r="A7191" s="391">
        <v>86939</v>
      </c>
      <c r="B7191" s="478" t="s">
        <v>3981</v>
      </c>
      <c r="C7191" s="391" t="s">
        <v>26</v>
      </c>
      <c r="D7191" s="479">
        <v>457.03</v>
      </c>
      <c r="E7191" s="368"/>
      <c r="F7191" s="368"/>
    </row>
    <row r="7192" spans="1:6" ht="25.5" x14ac:dyDescent="0.2">
      <c r="A7192" s="391">
        <v>86903</v>
      </c>
      <c r="B7192" s="478" t="s">
        <v>3951</v>
      </c>
      <c r="C7192" s="391" t="s">
        <v>26</v>
      </c>
      <c r="D7192" s="479">
        <v>395.31</v>
      </c>
      <c r="E7192" s="368"/>
      <c r="F7192" s="368"/>
    </row>
    <row r="7193" spans="1:6" ht="51" x14ac:dyDescent="0.2">
      <c r="A7193" s="391">
        <v>86940</v>
      </c>
      <c r="B7193" s="478" t="s">
        <v>3982</v>
      </c>
      <c r="C7193" s="391" t="s">
        <v>26</v>
      </c>
      <c r="D7193" s="479">
        <v>1231.02</v>
      </c>
      <c r="E7193" s="368"/>
      <c r="F7193" s="368"/>
    </row>
    <row r="7194" spans="1:6" ht="51" x14ac:dyDescent="0.2">
      <c r="A7194" s="391">
        <v>86941</v>
      </c>
      <c r="B7194" s="478" t="s">
        <v>3983</v>
      </c>
      <c r="C7194" s="391" t="s">
        <v>26</v>
      </c>
      <c r="D7194" s="479">
        <v>918.99</v>
      </c>
      <c r="E7194" s="368"/>
      <c r="F7194" s="368"/>
    </row>
    <row r="7195" spans="1:6" ht="25.5" x14ac:dyDescent="0.2">
      <c r="A7195" s="391">
        <v>86904</v>
      </c>
      <c r="B7195" s="478" t="s">
        <v>3952</v>
      </c>
      <c r="C7195" s="391" t="s">
        <v>26</v>
      </c>
      <c r="D7195" s="479">
        <v>161.97999999999999</v>
      </c>
      <c r="E7195" s="368"/>
      <c r="F7195" s="368"/>
    </row>
    <row r="7196" spans="1:6" ht="51" x14ac:dyDescent="0.2">
      <c r="A7196" s="391">
        <v>86943</v>
      </c>
      <c r="B7196" s="478" t="s">
        <v>3985</v>
      </c>
      <c r="C7196" s="391" t="s">
        <v>26</v>
      </c>
      <c r="D7196" s="479">
        <v>265.60000000000002</v>
      </c>
      <c r="E7196" s="368"/>
      <c r="F7196" s="368"/>
    </row>
    <row r="7197" spans="1:6" ht="51" x14ac:dyDescent="0.2">
      <c r="A7197" s="391">
        <v>86942</v>
      </c>
      <c r="B7197" s="478" t="s">
        <v>3984</v>
      </c>
      <c r="C7197" s="391" t="s">
        <v>26</v>
      </c>
      <c r="D7197" s="479">
        <v>275.91000000000003</v>
      </c>
      <c r="E7197" s="368"/>
      <c r="F7197" s="368"/>
    </row>
    <row r="7198" spans="1:6" x14ac:dyDescent="0.2">
      <c r="A7198" s="391">
        <v>100856</v>
      </c>
      <c r="B7198" s="478" t="s">
        <v>4000</v>
      </c>
      <c r="C7198" s="391" t="s">
        <v>26</v>
      </c>
      <c r="D7198" s="479">
        <v>36.130000000000003</v>
      </c>
      <c r="E7198" s="368"/>
      <c r="F7198" s="368"/>
    </row>
    <row r="7199" spans="1:6" ht="25.5" x14ac:dyDescent="0.2">
      <c r="A7199" s="391">
        <v>100858</v>
      </c>
      <c r="B7199" s="478" t="s">
        <v>4002</v>
      </c>
      <c r="C7199" s="391" t="s">
        <v>26</v>
      </c>
      <c r="D7199" s="479">
        <v>869.53</v>
      </c>
      <c r="E7199" s="368"/>
      <c r="F7199" s="368"/>
    </row>
    <row r="7200" spans="1:6" ht="25.5" x14ac:dyDescent="0.2">
      <c r="A7200" s="391">
        <v>100859</v>
      </c>
      <c r="B7200" s="478" t="s">
        <v>4003</v>
      </c>
      <c r="C7200" s="391" t="s">
        <v>26</v>
      </c>
      <c r="D7200" s="479">
        <v>1046.05</v>
      </c>
      <c r="E7200" s="368"/>
      <c r="F7200" s="368"/>
    </row>
    <row r="7201" spans="1:6" ht="25.5" x14ac:dyDescent="0.2">
      <c r="A7201" s="391">
        <v>95544</v>
      </c>
      <c r="B7201" s="478" t="s">
        <v>3990</v>
      </c>
      <c r="C7201" s="391" t="s">
        <v>26</v>
      </c>
      <c r="D7201" s="479">
        <v>26</v>
      </c>
      <c r="E7201" s="368"/>
      <c r="F7201" s="368"/>
    </row>
    <row r="7202" spans="1:6" ht="25.5" x14ac:dyDescent="0.2">
      <c r="A7202" s="391">
        <v>95543</v>
      </c>
      <c r="B7202" s="478" t="s">
        <v>3989</v>
      </c>
      <c r="C7202" s="391" t="s">
        <v>26</v>
      </c>
      <c r="D7202" s="479">
        <v>39.42</v>
      </c>
      <c r="E7202" s="368"/>
      <c r="F7202" s="368"/>
    </row>
    <row r="7203" spans="1:6" ht="25.5" x14ac:dyDescent="0.2">
      <c r="A7203" s="391">
        <v>95542</v>
      </c>
      <c r="B7203" s="478" t="s">
        <v>3988</v>
      </c>
      <c r="C7203" s="391" t="s">
        <v>26</v>
      </c>
      <c r="D7203" s="479">
        <v>22.33</v>
      </c>
      <c r="E7203" s="368"/>
      <c r="F7203" s="368"/>
    </row>
    <row r="7204" spans="1:6" ht="25.5" x14ac:dyDescent="0.2">
      <c r="A7204" s="391">
        <v>100874</v>
      </c>
      <c r="B7204" s="478" t="s">
        <v>4011</v>
      </c>
      <c r="C7204" s="391" t="s">
        <v>26</v>
      </c>
      <c r="D7204" s="479">
        <v>455.49</v>
      </c>
      <c r="E7204" s="368"/>
      <c r="F7204" s="368"/>
    </row>
    <row r="7205" spans="1:6" ht="25.5" x14ac:dyDescent="0.2">
      <c r="A7205" s="391">
        <v>95545</v>
      </c>
      <c r="B7205" s="478" t="s">
        <v>3991</v>
      </c>
      <c r="C7205" s="391" t="s">
        <v>26</v>
      </c>
      <c r="D7205" s="479">
        <v>25.61</v>
      </c>
      <c r="E7205" s="368"/>
      <c r="F7205" s="368"/>
    </row>
    <row r="7206" spans="1:6" ht="25.5" x14ac:dyDescent="0.2">
      <c r="A7206" s="391">
        <v>95547</v>
      </c>
      <c r="B7206" s="478" t="s">
        <v>3993</v>
      </c>
      <c r="C7206" s="391" t="s">
        <v>26</v>
      </c>
      <c r="D7206" s="479">
        <v>53.45</v>
      </c>
      <c r="E7206" s="368"/>
      <c r="F7206" s="368"/>
    </row>
    <row r="7207" spans="1:6" ht="25.5" x14ac:dyDescent="0.2">
      <c r="A7207" s="391">
        <v>86883</v>
      </c>
      <c r="B7207" s="478" t="s">
        <v>48016</v>
      </c>
      <c r="C7207" s="391" t="s">
        <v>26</v>
      </c>
      <c r="D7207" s="479">
        <v>12.21</v>
      </c>
      <c r="E7207" s="368"/>
      <c r="F7207" s="368"/>
    </row>
    <row r="7208" spans="1:6" ht="25.5" x14ac:dyDescent="0.2">
      <c r="A7208" s="391">
        <v>86881</v>
      </c>
      <c r="B7208" s="478" t="s">
        <v>3939</v>
      </c>
      <c r="C7208" s="391" t="s">
        <v>26</v>
      </c>
      <c r="D7208" s="479">
        <v>244.08</v>
      </c>
      <c r="E7208" s="368"/>
      <c r="F7208" s="368"/>
    </row>
    <row r="7209" spans="1:6" ht="25.5" x14ac:dyDescent="0.2">
      <c r="A7209" s="391">
        <v>86882</v>
      </c>
      <c r="B7209" s="478" t="s">
        <v>48017</v>
      </c>
      <c r="C7209" s="391" t="s">
        <v>26</v>
      </c>
      <c r="D7209" s="479">
        <v>22.52</v>
      </c>
      <c r="E7209" s="368"/>
      <c r="F7209" s="368"/>
    </row>
    <row r="7210" spans="1:6" ht="25.5" x14ac:dyDescent="0.2">
      <c r="A7210" s="391">
        <v>100862</v>
      </c>
      <c r="B7210" s="478" t="s">
        <v>4006</v>
      </c>
      <c r="C7210" s="391" t="s">
        <v>26</v>
      </c>
      <c r="D7210" s="479">
        <v>38.72</v>
      </c>
      <c r="E7210" s="368"/>
      <c r="F7210" s="368"/>
    </row>
    <row r="7211" spans="1:6" ht="25.5" x14ac:dyDescent="0.2">
      <c r="A7211" s="391">
        <v>100861</v>
      </c>
      <c r="B7211" s="478" t="s">
        <v>4005</v>
      </c>
      <c r="C7211" s="391" t="s">
        <v>26</v>
      </c>
      <c r="D7211" s="479">
        <v>35.31</v>
      </c>
      <c r="E7211" s="368"/>
      <c r="F7211" s="368"/>
    </row>
    <row r="7212" spans="1:6" ht="25.5" x14ac:dyDescent="0.2">
      <c r="A7212" s="391">
        <v>86872</v>
      </c>
      <c r="B7212" s="478" t="s">
        <v>3932</v>
      </c>
      <c r="C7212" s="391" t="s">
        <v>26</v>
      </c>
      <c r="D7212" s="479">
        <v>770.28</v>
      </c>
      <c r="E7212" s="368"/>
      <c r="F7212" s="368"/>
    </row>
    <row r="7213" spans="1:6" ht="38.25" x14ac:dyDescent="0.2">
      <c r="A7213" s="391">
        <v>86919</v>
      </c>
      <c r="B7213" s="478" t="s">
        <v>3963</v>
      </c>
      <c r="C7213" s="391" t="s">
        <v>26</v>
      </c>
      <c r="D7213" s="479">
        <v>955.69</v>
      </c>
      <c r="E7213" s="368"/>
      <c r="F7213" s="368"/>
    </row>
    <row r="7214" spans="1:6" ht="38.25" x14ac:dyDescent="0.2">
      <c r="A7214" s="391">
        <v>86920</v>
      </c>
      <c r="B7214" s="478" t="s">
        <v>3964</v>
      </c>
      <c r="C7214" s="391" t="s">
        <v>26</v>
      </c>
      <c r="D7214" s="479">
        <v>844.4</v>
      </c>
      <c r="E7214" s="368"/>
      <c r="F7214" s="368"/>
    </row>
    <row r="7215" spans="1:6" ht="38.25" x14ac:dyDescent="0.2">
      <c r="A7215" s="391">
        <v>86921</v>
      </c>
      <c r="B7215" s="478" t="s">
        <v>3965</v>
      </c>
      <c r="C7215" s="391" t="s">
        <v>26</v>
      </c>
      <c r="D7215" s="479">
        <v>815.13</v>
      </c>
      <c r="E7215" s="368"/>
      <c r="F7215" s="368"/>
    </row>
    <row r="7216" spans="1:6" ht="25.5" x14ac:dyDescent="0.2">
      <c r="A7216" s="391">
        <v>86874</v>
      </c>
      <c r="B7216" s="478" t="s">
        <v>3933</v>
      </c>
      <c r="C7216" s="391" t="s">
        <v>26</v>
      </c>
      <c r="D7216" s="479">
        <v>538</v>
      </c>
      <c r="E7216" s="368"/>
      <c r="F7216" s="368"/>
    </row>
    <row r="7217" spans="1:6" ht="38.25" x14ac:dyDescent="0.2">
      <c r="A7217" s="391">
        <v>86922</v>
      </c>
      <c r="B7217" s="478" t="s">
        <v>3966</v>
      </c>
      <c r="C7217" s="391" t="s">
        <v>26</v>
      </c>
      <c r="D7217" s="479">
        <v>955.28</v>
      </c>
      <c r="E7217" s="368"/>
      <c r="F7217" s="368"/>
    </row>
    <row r="7218" spans="1:6" ht="38.25" x14ac:dyDescent="0.2">
      <c r="A7218" s="391">
        <v>86923</v>
      </c>
      <c r="B7218" s="478" t="s">
        <v>3967</v>
      </c>
      <c r="C7218" s="391" t="s">
        <v>26</v>
      </c>
      <c r="D7218" s="479">
        <v>622.42999999999995</v>
      </c>
      <c r="E7218" s="368"/>
      <c r="F7218" s="368"/>
    </row>
    <row r="7219" spans="1:6" ht="38.25" x14ac:dyDescent="0.2">
      <c r="A7219" s="391">
        <v>86924</v>
      </c>
      <c r="B7219" s="478" t="s">
        <v>3968</v>
      </c>
      <c r="C7219" s="391" t="s">
        <v>26</v>
      </c>
      <c r="D7219" s="479">
        <v>593.16</v>
      </c>
      <c r="E7219" s="368"/>
      <c r="F7219" s="368"/>
    </row>
    <row r="7220" spans="1:6" ht="25.5" x14ac:dyDescent="0.2">
      <c r="A7220" s="391">
        <v>86875</v>
      </c>
      <c r="B7220" s="478" t="s">
        <v>48018</v>
      </c>
      <c r="C7220" s="391" t="s">
        <v>26</v>
      </c>
      <c r="D7220" s="479">
        <v>435.71</v>
      </c>
      <c r="E7220" s="368"/>
      <c r="F7220" s="368"/>
    </row>
    <row r="7221" spans="1:6" ht="38.25" x14ac:dyDescent="0.2">
      <c r="A7221" s="391">
        <v>86925</v>
      </c>
      <c r="B7221" s="478" t="s">
        <v>3969</v>
      </c>
      <c r="C7221" s="391" t="s">
        <v>26</v>
      </c>
      <c r="D7221" s="479">
        <v>509.83</v>
      </c>
      <c r="E7221" s="368"/>
      <c r="F7221" s="368"/>
    </row>
    <row r="7222" spans="1:6" ht="38.25" x14ac:dyDescent="0.2">
      <c r="A7222" s="391">
        <v>86926</v>
      </c>
      <c r="B7222" s="478" t="s">
        <v>3970</v>
      </c>
      <c r="C7222" s="391" t="s">
        <v>26</v>
      </c>
      <c r="D7222" s="479">
        <v>480.56</v>
      </c>
      <c r="E7222" s="368"/>
      <c r="F7222" s="368"/>
    </row>
    <row r="7223" spans="1:6" ht="25.5" x14ac:dyDescent="0.2">
      <c r="A7223" s="391">
        <v>86876</v>
      </c>
      <c r="B7223" s="478" t="s">
        <v>3934</v>
      </c>
      <c r="C7223" s="391" t="s">
        <v>26</v>
      </c>
      <c r="D7223" s="479">
        <v>258.01</v>
      </c>
      <c r="E7223" s="368"/>
      <c r="F7223" s="368"/>
    </row>
    <row r="7224" spans="1:6" ht="38.25" x14ac:dyDescent="0.2">
      <c r="A7224" s="391">
        <v>86929</v>
      </c>
      <c r="B7224" s="478" t="s">
        <v>3973</v>
      </c>
      <c r="C7224" s="391" t="s">
        <v>26</v>
      </c>
      <c r="D7224" s="479">
        <v>332.13</v>
      </c>
      <c r="E7224" s="368"/>
      <c r="F7224" s="368"/>
    </row>
    <row r="7225" spans="1:6" ht="38.25" x14ac:dyDescent="0.2">
      <c r="A7225" s="391">
        <v>86930</v>
      </c>
      <c r="B7225" s="478" t="s">
        <v>3974</v>
      </c>
      <c r="C7225" s="391" t="s">
        <v>26</v>
      </c>
      <c r="D7225" s="479">
        <v>302.86</v>
      </c>
      <c r="E7225" s="368"/>
      <c r="F7225" s="368"/>
    </row>
    <row r="7226" spans="1:6" ht="38.25" x14ac:dyDescent="0.2">
      <c r="A7226" s="391">
        <v>86927</v>
      </c>
      <c r="B7226" s="478" t="s">
        <v>3971</v>
      </c>
      <c r="C7226" s="391" t="s">
        <v>26</v>
      </c>
      <c r="D7226" s="479">
        <v>342.44</v>
      </c>
      <c r="E7226" s="368"/>
      <c r="F7226" s="368"/>
    </row>
    <row r="7227" spans="1:6" ht="38.25" x14ac:dyDescent="0.2">
      <c r="A7227" s="391">
        <v>86928</v>
      </c>
      <c r="B7227" s="478" t="s">
        <v>3972</v>
      </c>
      <c r="C7227" s="391" t="s">
        <v>26</v>
      </c>
      <c r="D7227" s="479">
        <v>313.17</v>
      </c>
      <c r="E7227" s="368"/>
      <c r="F7227" s="368"/>
    </row>
    <row r="7228" spans="1:6" ht="25.5" x14ac:dyDescent="0.2">
      <c r="A7228" s="391">
        <v>86914</v>
      </c>
      <c r="B7228" s="478" t="s">
        <v>3960</v>
      </c>
      <c r="C7228" s="391" t="s">
        <v>26</v>
      </c>
      <c r="D7228" s="479">
        <v>93.36</v>
      </c>
      <c r="E7228" s="368"/>
      <c r="F7228" s="368"/>
    </row>
    <row r="7229" spans="1:6" ht="25.5" x14ac:dyDescent="0.2">
      <c r="A7229" s="391">
        <v>86913</v>
      </c>
      <c r="B7229" s="478" t="s">
        <v>3959</v>
      </c>
      <c r="C7229" s="391" t="s">
        <v>26</v>
      </c>
      <c r="D7229" s="479">
        <v>52.24</v>
      </c>
      <c r="E7229" s="368"/>
      <c r="F7229" s="368"/>
    </row>
    <row r="7230" spans="1:6" ht="25.5" x14ac:dyDescent="0.2">
      <c r="A7230" s="391">
        <v>100853</v>
      </c>
      <c r="B7230" s="478" t="s">
        <v>3998</v>
      </c>
      <c r="C7230" s="391" t="s">
        <v>26</v>
      </c>
      <c r="D7230" s="479">
        <v>326.20999999999998</v>
      </c>
      <c r="E7230" s="368"/>
      <c r="F7230" s="368"/>
    </row>
    <row r="7231" spans="1:6" ht="25.5" x14ac:dyDescent="0.2">
      <c r="A7231" s="391">
        <v>100854</v>
      </c>
      <c r="B7231" s="478" t="s">
        <v>3999</v>
      </c>
      <c r="C7231" s="391" t="s">
        <v>26</v>
      </c>
      <c r="D7231" s="479">
        <v>1695.88</v>
      </c>
      <c r="E7231" s="368"/>
      <c r="F7231" s="368"/>
    </row>
    <row r="7232" spans="1:6" ht="25.5" x14ac:dyDescent="0.2">
      <c r="A7232" s="391">
        <v>86915</v>
      </c>
      <c r="B7232" s="478" t="s">
        <v>3961</v>
      </c>
      <c r="C7232" s="391" t="s">
        <v>26</v>
      </c>
      <c r="D7232" s="479">
        <v>135.68</v>
      </c>
      <c r="E7232" s="368"/>
      <c r="F7232" s="368"/>
    </row>
    <row r="7233" spans="1:6" ht="25.5" x14ac:dyDescent="0.2">
      <c r="A7233" s="391">
        <v>86906</v>
      </c>
      <c r="B7233" s="478" t="s">
        <v>3954</v>
      </c>
      <c r="C7233" s="391" t="s">
        <v>26</v>
      </c>
      <c r="D7233" s="479">
        <v>71</v>
      </c>
      <c r="E7233" s="368"/>
      <c r="F7233" s="368"/>
    </row>
    <row r="7234" spans="1:6" ht="25.5" x14ac:dyDescent="0.2">
      <c r="A7234" s="391">
        <v>86911</v>
      </c>
      <c r="B7234" s="478" t="s">
        <v>3958</v>
      </c>
      <c r="C7234" s="391" t="s">
        <v>26</v>
      </c>
      <c r="D7234" s="479">
        <v>83.09</v>
      </c>
      <c r="E7234" s="368"/>
      <c r="F7234" s="368"/>
    </row>
    <row r="7235" spans="1:6" ht="25.5" x14ac:dyDescent="0.2">
      <c r="A7235" s="391">
        <v>86909</v>
      </c>
      <c r="B7235" s="478" t="s">
        <v>3956</v>
      </c>
      <c r="C7235" s="391" t="s">
        <v>26</v>
      </c>
      <c r="D7235" s="479">
        <v>123.29</v>
      </c>
      <c r="E7235" s="368"/>
      <c r="F7235" s="368"/>
    </row>
    <row r="7236" spans="1:6" ht="25.5" x14ac:dyDescent="0.2">
      <c r="A7236" s="391">
        <v>86910</v>
      </c>
      <c r="B7236" s="478" t="s">
        <v>3957</v>
      </c>
      <c r="C7236" s="391" t="s">
        <v>26</v>
      </c>
      <c r="D7236" s="479">
        <v>121.25</v>
      </c>
      <c r="E7236" s="368"/>
      <c r="F7236" s="368"/>
    </row>
    <row r="7237" spans="1:6" ht="25.5" x14ac:dyDescent="0.2">
      <c r="A7237" s="391">
        <v>86916</v>
      </c>
      <c r="B7237" s="478" t="s">
        <v>3962</v>
      </c>
      <c r="C7237" s="391" t="s">
        <v>26</v>
      </c>
      <c r="D7237" s="479">
        <v>22.97</v>
      </c>
      <c r="E7237" s="368"/>
      <c r="F7237" s="368"/>
    </row>
    <row r="7238" spans="1:6" ht="25.5" x14ac:dyDescent="0.2">
      <c r="A7238" s="391">
        <v>95469</v>
      </c>
      <c r="B7238" s="478" t="s">
        <v>48019</v>
      </c>
      <c r="C7238" s="391" t="s">
        <v>26</v>
      </c>
      <c r="D7238" s="479">
        <v>322.99</v>
      </c>
      <c r="E7238" s="368"/>
      <c r="F7238" s="368"/>
    </row>
    <row r="7239" spans="1:6" ht="38.25" x14ac:dyDescent="0.2">
      <c r="A7239" s="391">
        <v>95470</v>
      </c>
      <c r="B7239" s="478" t="s">
        <v>39054</v>
      </c>
      <c r="C7239" s="391" t="s">
        <v>26</v>
      </c>
      <c r="D7239" s="479">
        <v>331.4</v>
      </c>
      <c r="E7239" s="368"/>
      <c r="F7239" s="368"/>
    </row>
    <row r="7240" spans="1:6" ht="38.25" x14ac:dyDescent="0.2">
      <c r="A7240" s="391">
        <v>95471</v>
      </c>
      <c r="B7240" s="478" t="s">
        <v>48020</v>
      </c>
      <c r="C7240" s="391" t="s">
        <v>26</v>
      </c>
      <c r="D7240" s="479">
        <v>805.07</v>
      </c>
      <c r="E7240" s="368"/>
      <c r="F7240" s="368"/>
    </row>
    <row r="7241" spans="1:6" ht="38.25" x14ac:dyDescent="0.2">
      <c r="A7241" s="391">
        <v>95472</v>
      </c>
      <c r="B7241" s="478" t="s">
        <v>3987</v>
      </c>
      <c r="C7241" s="391" t="s">
        <v>26</v>
      </c>
      <c r="D7241" s="479">
        <v>813.48</v>
      </c>
      <c r="E7241" s="368"/>
      <c r="F7241" s="368"/>
    </row>
    <row r="7242" spans="1:6" ht="25.5" x14ac:dyDescent="0.2">
      <c r="A7242" s="391">
        <v>100848</v>
      </c>
      <c r="B7242" s="478" t="s">
        <v>3994</v>
      </c>
      <c r="C7242" s="391" t="s">
        <v>26</v>
      </c>
      <c r="D7242" s="479">
        <v>583.77</v>
      </c>
      <c r="E7242" s="368"/>
      <c r="F7242" s="368"/>
    </row>
    <row r="7243" spans="1:6" ht="25.5" x14ac:dyDescent="0.2">
      <c r="A7243" s="391">
        <v>86888</v>
      </c>
      <c r="B7243" s="478" t="s">
        <v>3942</v>
      </c>
      <c r="C7243" s="391" t="s">
        <v>26</v>
      </c>
      <c r="D7243" s="479">
        <v>518.77</v>
      </c>
      <c r="E7243" s="368"/>
      <c r="F7243" s="368"/>
    </row>
    <row r="7244" spans="1:6" ht="38.25" x14ac:dyDescent="0.2">
      <c r="A7244" s="391">
        <v>86932</v>
      </c>
      <c r="B7244" s="478" t="s">
        <v>48021</v>
      </c>
      <c r="C7244" s="391" t="s">
        <v>26</v>
      </c>
      <c r="D7244" s="479">
        <v>582.85</v>
      </c>
      <c r="E7244" s="368"/>
      <c r="F7244" s="368"/>
    </row>
    <row r="7245" spans="1:6" ht="38.25" x14ac:dyDescent="0.2">
      <c r="A7245" s="391">
        <v>86931</v>
      </c>
      <c r="B7245" s="478" t="s">
        <v>48022</v>
      </c>
      <c r="C7245" s="391" t="s">
        <v>26</v>
      </c>
      <c r="D7245" s="479">
        <v>530.98</v>
      </c>
      <c r="E7245" s="368"/>
      <c r="F7245" s="368"/>
    </row>
    <row r="7246" spans="1:6" ht="25.5" x14ac:dyDescent="0.2">
      <c r="A7246" s="391">
        <v>100878</v>
      </c>
      <c r="B7246" s="478" t="s">
        <v>4013</v>
      </c>
      <c r="C7246" s="391" t="s">
        <v>26</v>
      </c>
      <c r="D7246" s="479">
        <v>690.48</v>
      </c>
      <c r="E7246" s="368"/>
      <c r="F7246" s="368"/>
    </row>
    <row r="7247" spans="1:6" ht="25.5" x14ac:dyDescent="0.2">
      <c r="A7247" s="391">
        <v>86877</v>
      </c>
      <c r="B7247" s="478" t="s">
        <v>3935</v>
      </c>
      <c r="C7247" s="391" t="s">
        <v>26</v>
      </c>
      <c r="D7247" s="479">
        <v>79.84</v>
      </c>
      <c r="E7247" s="368"/>
      <c r="F7247" s="368"/>
    </row>
    <row r="7248" spans="1:6" ht="25.5" x14ac:dyDescent="0.2">
      <c r="A7248" s="391">
        <v>86878</v>
      </c>
      <c r="B7248" s="478" t="s">
        <v>3936</v>
      </c>
      <c r="C7248" s="391" t="s">
        <v>26</v>
      </c>
      <c r="D7248" s="479">
        <v>86.17</v>
      </c>
      <c r="E7248" s="368"/>
      <c r="F7248" s="368"/>
    </row>
    <row r="7249" spans="1:6" ht="25.5" x14ac:dyDescent="0.2">
      <c r="A7249" s="391">
        <v>86879</v>
      </c>
      <c r="B7249" s="478" t="s">
        <v>3937</v>
      </c>
      <c r="C7249" s="391" t="s">
        <v>26</v>
      </c>
      <c r="D7249" s="479">
        <v>9.67</v>
      </c>
      <c r="E7249" s="368"/>
      <c r="F7249" s="368"/>
    </row>
    <row r="7250" spans="1:6" ht="25.5" x14ac:dyDescent="0.2">
      <c r="A7250" s="391">
        <v>86880</v>
      </c>
      <c r="B7250" s="478" t="s">
        <v>3938</v>
      </c>
      <c r="C7250" s="391" t="s">
        <v>26</v>
      </c>
      <c r="D7250" s="479">
        <v>26.63</v>
      </c>
      <c r="E7250" s="368"/>
      <c r="F7250" s="368"/>
    </row>
    <row r="7251" spans="1:6" ht="25.5" x14ac:dyDescent="0.2">
      <c r="A7251" s="391">
        <v>101663</v>
      </c>
      <c r="B7251" s="478" t="s">
        <v>47298</v>
      </c>
      <c r="C7251" s="391" t="s">
        <v>26</v>
      </c>
      <c r="D7251" s="479">
        <v>26.87</v>
      </c>
      <c r="E7251" s="368"/>
      <c r="F7251" s="368"/>
    </row>
    <row r="7252" spans="1:6" ht="25.5" x14ac:dyDescent="0.2">
      <c r="A7252" s="391">
        <v>101664</v>
      </c>
      <c r="B7252" s="478" t="s">
        <v>47299</v>
      </c>
      <c r="C7252" s="391" t="s">
        <v>26</v>
      </c>
      <c r="D7252" s="479">
        <v>28.44</v>
      </c>
      <c r="E7252" s="368"/>
      <c r="F7252" s="368"/>
    </row>
    <row r="7253" spans="1:6" ht="25.5" x14ac:dyDescent="0.2">
      <c r="A7253" s="391">
        <v>101665</v>
      </c>
      <c r="B7253" s="478" t="s">
        <v>47300</v>
      </c>
      <c r="C7253" s="391" t="s">
        <v>26</v>
      </c>
      <c r="D7253" s="479">
        <v>35.17</v>
      </c>
      <c r="E7253" s="368"/>
      <c r="F7253" s="368"/>
    </row>
    <row r="7254" spans="1:6" ht="38.25" x14ac:dyDescent="0.2">
      <c r="A7254" s="391">
        <v>101634</v>
      </c>
      <c r="B7254" s="478" t="s">
        <v>47301</v>
      </c>
      <c r="C7254" s="391" t="s">
        <v>26</v>
      </c>
      <c r="D7254" s="479">
        <v>0</v>
      </c>
      <c r="E7254" s="368"/>
      <c r="F7254" s="368"/>
    </row>
    <row r="7255" spans="1:6" ht="38.25" x14ac:dyDescent="0.2">
      <c r="A7255" s="391">
        <v>101635</v>
      </c>
      <c r="B7255" s="478" t="s">
        <v>47302</v>
      </c>
      <c r="C7255" s="391" t="s">
        <v>26</v>
      </c>
      <c r="D7255" s="479">
        <v>0</v>
      </c>
      <c r="E7255" s="368"/>
      <c r="F7255" s="368"/>
    </row>
    <row r="7256" spans="1:6" ht="38.25" x14ac:dyDescent="0.2">
      <c r="A7256" s="391">
        <v>101636</v>
      </c>
      <c r="B7256" s="478" t="s">
        <v>47303</v>
      </c>
      <c r="C7256" s="391" t="s">
        <v>26</v>
      </c>
      <c r="D7256" s="479">
        <v>143.78</v>
      </c>
      <c r="E7256" s="368"/>
      <c r="F7256" s="368"/>
    </row>
    <row r="7257" spans="1:6" ht="38.25" x14ac:dyDescent="0.2">
      <c r="A7257" s="391">
        <v>101637</v>
      </c>
      <c r="B7257" s="478" t="s">
        <v>47304</v>
      </c>
      <c r="C7257" s="391" t="s">
        <v>26</v>
      </c>
      <c r="D7257" s="479">
        <v>138.1</v>
      </c>
      <c r="E7257" s="368"/>
      <c r="F7257" s="368"/>
    </row>
    <row r="7258" spans="1:6" ht="38.25" x14ac:dyDescent="0.2">
      <c r="A7258" s="391">
        <v>101638</v>
      </c>
      <c r="B7258" s="478" t="s">
        <v>47305</v>
      </c>
      <c r="C7258" s="391" t="s">
        <v>26</v>
      </c>
      <c r="D7258" s="479">
        <v>0</v>
      </c>
      <c r="E7258" s="368"/>
      <c r="F7258" s="368"/>
    </row>
    <row r="7259" spans="1:6" ht="38.25" x14ac:dyDescent="0.2">
      <c r="A7259" s="391">
        <v>101639</v>
      </c>
      <c r="B7259" s="478" t="s">
        <v>47306</v>
      </c>
      <c r="C7259" s="391" t="s">
        <v>26</v>
      </c>
      <c r="D7259" s="479">
        <v>0</v>
      </c>
      <c r="E7259" s="368"/>
      <c r="F7259" s="368"/>
    </row>
    <row r="7260" spans="1:6" ht="25.5" x14ac:dyDescent="0.2">
      <c r="A7260" s="391">
        <v>105919</v>
      </c>
      <c r="B7260" s="478" t="s">
        <v>47307</v>
      </c>
      <c r="C7260" s="391" t="s">
        <v>26</v>
      </c>
      <c r="D7260" s="479">
        <v>0</v>
      </c>
      <c r="E7260" s="368"/>
      <c r="F7260" s="368"/>
    </row>
    <row r="7261" spans="1:6" ht="25.5" x14ac:dyDescent="0.2">
      <c r="A7261" s="391">
        <v>101658</v>
      </c>
      <c r="B7261" s="478" t="s">
        <v>47308</v>
      </c>
      <c r="C7261" s="391" t="s">
        <v>26</v>
      </c>
      <c r="D7261" s="479">
        <v>457.93</v>
      </c>
      <c r="E7261" s="368"/>
      <c r="F7261" s="368"/>
    </row>
    <row r="7262" spans="1:6" ht="25.5" x14ac:dyDescent="0.2">
      <c r="A7262" s="391">
        <v>101659</v>
      </c>
      <c r="B7262" s="478" t="s">
        <v>47309</v>
      </c>
      <c r="C7262" s="391" t="s">
        <v>26</v>
      </c>
      <c r="D7262" s="479">
        <v>520.27</v>
      </c>
      <c r="E7262" s="368"/>
      <c r="F7262" s="368"/>
    </row>
    <row r="7263" spans="1:6" ht="25.5" x14ac:dyDescent="0.2">
      <c r="A7263" s="391">
        <v>101660</v>
      </c>
      <c r="B7263" s="478" t="s">
        <v>47310</v>
      </c>
      <c r="C7263" s="391" t="s">
        <v>26</v>
      </c>
      <c r="D7263" s="479">
        <v>814.59</v>
      </c>
      <c r="E7263" s="368"/>
      <c r="F7263" s="368"/>
    </row>
    <row r="7264" spans="1:6" ht="25.5" x14ac:dyDescent="0.2">
      <c r="A7264" s="391">
        <v>101654</v>
      </c>
      <c r="B7264" s="478" t="s">
        <v>47311</v>
      </c>
      <c r="C7264" s="391" t="s">
        <v>26</v>
      </c>
      <c r="D7264" s="479">
        <v>188.02</v>
      </c>
      <c r="E7264" s="368"/>
      <c r="F7264" s="368"/>
    </row>
    <row r="7265" spans="1:6" ht="25.5" x14ac:dyDescent="0.2">
      <c r="A7265" s="391">
        <v>101655</v>
      </c>
      <c r="B7265" s="478" t="s">
        <v>47312</v>
      </c>
      <c r="C7265" s="391" t="s">
        <v>26</v>
      </c>
      <c r="D7265" s="479">
        <v>286.04000000000002</v>
      </c>
      <c r="E7265" s="368"/>
      <c r="F7265" s="368"/>
    </row>
    <row r="7266" spans="1:6" ht="25.5" x14ac:dyDescent="0.2">
      <c r="A7266" s="391">
        <v>101656</v>
      </c>
      <c r="B7266" s="478" t="s">
        <v>47313</v>
      </c>
      <c r="C7266" s="391" t="s">
        <v>26</v>
      </c>
      <c r="D7266" s="479">
        <v>308.93</v>
      </c>
      <c r="E7266" s="368"/>
      <c r="F7266" s="368"/>
    </row>
    <row r="7267" spans="1:6" ht="25.5" x14ac:dyDescent="0.2">
      <c r="A7267" s="391">
        <v>101657</v>
      </c>
      <c r="B7267" s="478" t="s">
        <v>47314</v>
      </c>
      <c r="C7267" s="391" t="s">
        <v>26</v>
      </c>
      <c r="D7267" s="479">
        <v>357.68</v>
      </c>
      <c r="E7267" s="368"/>
      <c r="F7267" s="368"/>
    </row>
    <row r="7268" spans="1:6" ht="25.5" x14ac:dyDescent="0.2">
      <c r="A7268" s="391">
        <v>105923</v>
      </c>
      <c r="B7268" s="478" t="s">
        <v>47315</v>
      </c>
      <c r="C7268" s="391" t="s">
        <v>26</v>
      </c>
      <c r="D7268" s="479">
        <v>0</v>
      </c>
      <c r="E7268" s="368"/>
      <c r="F7268" s="368"/>
    </row>
    <row r="7269" spans="1:6" ht="25.5" x14ac:dyDescent="0.2">
      <c r="A7269" s="391">
        <v>105921</v>
      </c>
      <c r="B7269" s="478" t="s">
        <v>47316</v>
      </c>
      <c r="C7269" s="391" t="s">
        <v>26</v>
      </c>
      <c r="D7269" s="479">
        <v>0</v>
      </c>
      <c r="E7269" s="368"/>
      <c r="F7269" s="368"/>
    </row>
    <row r="7270" spans="1:6" ht="25.5" x14ac:dyDescent="0.2">
      <c r="A7270" s="391">
        <v>105920</v>
      </c>
      <c r="B7270" s="478" t="s">
        <v>47317</v>
      </c>
      <c r="C7270" s="391" t="s">
        <v>26</v>
      </c>
      <c r="D7270" s="479">
        <v>0</v>
      </c>
      <c r="E7270" s="368"/>
      <c r="F7270" s="368"/>
    </row>
    <row r="7271" spans="1:6" ht="25.5" x14ac:dyDescent="0.2">
      <c r="A7271" s="391">
        <v>105922</v>
      </c>
      <c r="B7271" s="478" t="s">
        <v>47318</v>
      </c>
      <c r="C7271" s="391" t="s">
        <v>26</v>
      </c>
      <c r="D7271" s="479">
        <v>0</v>
      </c>
      <c r="E7271" s="368"/>
      <c r="F7271" s="368"/>
    </row>
    <row r="7272" spans="1:6" ht="25.5" x14ac:dyDescent="0.2">
      <c r="A7272" s="391">
        <v>101632</v>
      </c>
      <c r="B7272" s="478" t="s">
        <v>47319</v>
      </c>
      <c r="C7272" s="391" t="s">
        <v>26</v>
      </c>
      <c r="D7272" s="479">
        <v>36.25</v>
      </c>
      <c r="E7272" s="368"/>
      <c r="F7272" s="368"/>
    </row>
    <row r="7273" spans="1:6" ht="38.25" x14ac:dyDescent="0.2">
      <c r="A7273" s="391">
        <v>101661</v>
      </c>
      <c r="B7273" s="478" t="s">
        <v>47320</v>
      </c>
      <c r="C7273" s="391" t="s">
        <v>26</v>
      </c>
      <c r="D7273" s="479">
        <v>123.18</v>
      </c>
      <c r="E7273" s="368"/>
      <c r="F7273" s="368"/>
    </row>
    <row r="7274" spans="1:6" ht="25.5" x14ac:dyDescent="0.2">
      <c r="A7274" s="391">
        <v>105924</v>
      </c>
      <c r="B7274" s="478" t="s">
        <v>47321</v>
      </c>
      <c r="C7274" s="391" t="s">
        <v>26</v>
      </c>
      <c r="D7274" s="479">
        <v>11.72</v>
      </c>
      <c r="E7274" s="368"/>
      <c r="F7274" s="368"/>
    </row>
    <row r="7275" spans="1:6" ht="25.5" x14ac:dyDescent="0.2">
      <c r="A7275" s="391">
        <v>101651</v>
      </c>
      <c r="B7275" s="478" t="s">
        <v>47322</v>
      </c>
      <c r="C7275" s="391" t="s">
        <v>26</v>
      </c>
      <c r="D7275" s="479">
        <v>64.14</v>
      </c>
      <c r="E7275" s="368"/>
      <c r="F7275" s="368"/>
    </row>
    <row r="7276" spans="1:6" ht="25.5" x14ac:dyDescent="0.2">
      <c r="A7276" s="391">
        <v>101630</v>
      </c>
      <c r="B7276" s="478" t="s">
        <v>47323</v>
      </c>
      <c r="C7276" s="391" t="s">
        <v>26</v>
      </c>
      <c r="D7276" s="479">
        <v>73.77</v>
      </c>
      <c r="E7276" s="368"/>
      <c r="F7276" s="368"/>
    </row>
    <row r="7277" spans="1:6" ht="25.5" x14ac:dyDescent="0.2">
      <c r="A7277" s="392">
        <v>101633</v>
      </c>
      <c r="B7277" s="480" t="s">
        <v>47324</v>
      </c>
      <c r="C7277" s="392" t="s">
        <v>26</v>
      </c>
      <c r="D7277" s="481">
        <v>98.16</v>
      </c>
      <c r="E7277" s="368"/>
      <c r="F7277" s="368"/>
    </row>
    <row r="7278" spans="1:6" ht="51" x14ac:dyDescent="0.2">
      <c r="A7278" s="391">
        <v>104219</v>
      </c>
      <c r="B7278" s="478" t="s">
        <v>4954</v>
      </c>
      <c r="C7278" s="391" t="s">
        <v>255</v>
      </c>
      <c r="D7278" s="479">
        <v>107.1</v>
      </c>
      <c r="E7278" s="368"/>
      <c r="F7278" s="368"/>
    </row>
    <row r="7279" spans="1:6" ht="51" x14ac:dyDescent="0.2">
      <c r="A7279" s="391">
        <v>104223</v>
      </c>
      <c r="B7279" s="478" t="s">
        <v>4958</v>
      </c>
      <c r="C7279" s="391" t="s">
        <v>255</v>
      </c>
      <c r="D7279" s="479">
        <v>141.27000000000001</v>
      </c>
      <c r="E7279" s="368"/>
      <c r="F7279" s="368"/>
    </row>
    <row r="7280" spans="1:6" ht="51" x14ac:dyDescent="0.2">
      <c r="A7280" s="391">
        <v>104227</v>
      </c>
      <c r="B7280" s="478" t="s">
        <v>4962</v>
      </c>
      <c r="C7280" s="391" t="s">
        <v>255</v>
      </c>
      <c r="D7280" s="479">
        <v>167.98</v>
      </c>
      <c r="E7280" s="368"/>
      <c r="F7280" s="368"/>
    </row>
    <row r="7281" spans="1:6" ht="51" x14ac:dyDescent="0.2">
      <c r="A7281" s="391">
        <v>104231</v>
      </c>
      <c r="B7281" s="478" t="s">
        <v>4966</v>
      </c>
      <c r="C7281" s="391" t="s">
        <v>255</v>
      </c>
      <c r="D7281" s="479">
        <v>185.11</v>
      </c>
      <c r="E7281" s="368"/>
      <c r="F7281" s="368"/>
    </row>
    <row r="7282" spans="1:6" ht="51" x14ac:dyDescent="0.2">
      <c r="A7282" s="391">
        <v>104235</v>
      </c>
      <c r="B7282" s="478" t="s">
        <v>4970</v>
      </c>
      <c r="C7282" s="391" t="s">
        <v>255</v>
      </c>
      <c r="D7282" s="479">
        <v>91.52</v>
      </c>
      <c r="E7282" s="368"/>
      <c r="F7282" s="368"/>
    </row>
    <row r="7283" spans="1:6" ht="51" x14ac:dyDescent="0.2">
      <c r="A7283" s="391">
        <v>104239</v>
      </c>
      <c r="B7283" s="478" t="s">
        <v>4974</v>
      </c>
      <c r="C7283" s="391" t="s">
        <v>255</v>
      </c>
      <c r="D7283" s="479">
        <v>124</v>
      </c>
      <c r="E7283" s="368"/>
      <c r="F7283" s="368"/>
    </row>
    <row r="7284" spans="1:6" ht="51" x14ac:dyDescent="0.2">
      <c r="A7284" s="391">
        <v>104243</v>
      </c>
      <c r="B7284" s="478" t="s">
        <v>4978</v>
      </c>
      <c r="C7284" s="391" t="s">
        <v>255</v>
      </c>
      <c r="D7284" s="479">
        <v>148.96</v>
      </c>
      <c r="E7284" s="368"/>
      <c r="F7284" s="368"/>
    </row>
    <row r="7285" spans="1:6" ht="51" x14ac:dyDescent="0.2">
      <c r="A7285" s="391">
        <v>104247</v>
      </c>
      <c r="B7285" s="478" t="s">
        <v>4982</v>
      </c>
      <c r="C7285" s="391" t="s">
        <v>255</v>
      </c>
      <c r="D7285" s="479">
        <v>160.85</v>
      </c>
      <c r="E7285" s="368"/>
      <c r="F7285" s="368"/>
    </row>
    <row r="7286" spans="1:6" ht="51" x14ac:dyDescent="0.2">
      <c r="A7286" s="391">
        <v>87795</v>
      </c>
      <c r="B7286" s="478" t="s">
        <v>4901</v>
      </c>
      <c r="C7286" s="391" t="s">
        <v>255</v>
      </c>
      <c r="D7286" s="479">
        <v>93.62</v>
      </c>
      <c r="E7286" s="368"/>
      <c r="F7286" s="368"/>
    </row>
    <row r="7287" spans="1:6" ht="51" x14ac:dyDescent="0.2">
      <c r="A7287" s="391">
        <v>87800</v>
      </c>
      <c r="B7287" s="478" t="s">
        <v>4904</v>
      </c>
      <c r="C7287" s="391" t="s">
        <v>255</v>
      </c>
      <c r="D7287" s="479">
        <v>127.02</v>
      </c>
      <c r="E7287" s="368"/>
      <c r="F7287" s="368"/>
    </row>
    <row r="7288" spans="1:6" ht="51" x14ac:dyDescent="0.2">
      <c r="A7288" s="391">
        <v>87804</v>
      </c>
      <c r="B7288" s="478" t="s">
        <v>4907</v>
      </c>
      <c r="C7288" s="391" t="s">
        <v>255</v>
      </c>
      <c r="D7288" s="479">
        <v>151.97999999999999</v>
      </c>
      <c r="E7288" s="368"/>
      <c r="F7288" s="368"/>
    </row>
    <row r="7289" spans="1:6" ht="51" x14ac:dyDescent="0.2">
      <c r="A7289" s="391">
        <v>87808</v>
      </c>
      <c r="B7289" s="478" t="s">
        <v>4910</v>
      </c>
      <c r="C7289" s="391" t="s">
        <v>255</v>
      </c>
      <c r="D7289" s="479">
        <v>163.77000000000001</v>
      </c>
      <c r="E7289" s="368"/>
      <c r="F7289" s="368"/>
    </row>
    <row r="7290" spans="1:6" ht="51" x14ac:dyDescent="0.2">
      <c r="A7290" s="391">
        <v>87778</v>
      </c>
      <c r="B7290" s="478" t="s">
        <v>4890</v>
      </c>
      <c r="C7290" s="391" t="s">
        <v>255</v>
      </c>
      <c r="D7290" s="479">
        <v>110.51</v>
      </c>
      <c r="E7290" s="368"/>
      <c r="F7290" s="368"/>
    </row>
    <row r="7291" spans="1:6" ht="51" x14ac:dyDescent="0.2">
      <c r="A7291" s="391">
        <v>87783</v>
      </c>
      <c r="B7291" s="478" t="s">
        <v>4893</v>
      </c>
      <c r="C7291" s="391" t="s">
        <v>255</v>
      </c>
      <c r="D7291" s="479">
        <v>145.71</v>
      </c>
      <c r="E7291" s="368"/>
      <c r="F7291" s="368"/>
    </row>
    <row r="7292" spans="1:6" ht="51" x14ac:dyDescent="0.2">
      <c r="A7292" s="391">
        <v>87787</v>
      </c>
      <c r="B7292" s="480" t="s">
        <v>4896</v>
      </c>
      <c r="C7292" s="391" t="s">
        <v>255</v>
      </c>
      <c r="D7292" s="479">
        <v>172.42</v>
      </c>
      <c r="E7292" s="368"/>
      <c r="F7292" s="368"/>
    </row>
    <row r="7293" spans="1:6" ht="51" x14ac:dyDescent="0.2">
      <c r="A7293" s="391">
        <v>87791</v>
      </c>
      <c r="B7293" s="478" t="s">
        <v>4898</v>
      </c>
      <c r="C7293" s="391" t="s">
        <v>255</v>
      </c>
      <c r="D7293" s="479">
        <v>189.99</v>
      </c>
      <c r="E7293" s="368"/>
      <c r="F7293" s="368"/>
    </row>
    <row r="7294" spans="1:6" ht="51" x14ac:dyDescent="0.2">
      <c r="A7294" s="391">
        <v>87832</v>
      </c>
      <c r="B7294" s="478" t="s">
        <v>4928</v>
      </c>
      <c r="C7294" s="391" t="s">
        <v>255</v>
      </c>
      <c r="D7294" s="479">
        <v>173.27</v>
      </c>
      <c r="E7294" s="368"/>
      <c r="F7294" s="368"/>
    </row>
    <row r="7295" spans="1:6" ht="51" x14ac:dyDescent="0.2">
      <c r="A7295" s="391">
        <v>87812</v>
      </c>
      <c r="B7295" s="478" t="s">
        <v>4913</v>
      </c>
      <c r="C7295" s="391" t="s">
        <v>255</v>
      </c>
      <c r="D7295" s="479">
        <v>126.97</v>
      </c>
      <c r="E7295" s="368"/>
      <c r="F7295" s="368"/>
    </row>
    <row r="7296" spans="1:6" ht="51" x14ac:dyDescent="0.2">
      <c r="A7296" s="391">
        <v>87816</v>
      </c>
      <c r="B7296" s="478" t="s">
        <v>4916</v>
      </c>
      <c r="C7296" s="391" t="s">
        <v>255</v>
      </c>
      <c r="D7296" s="479">
        <v>160.41</v>
      </c>
      <c r="E7296" s="368"/>
      <c r="F7296" s="368"/>
    </row>
    <row r="7297" spans="1:6" ht="51" x14ac:dyDescent="0.2">
      <c r="A7297" s="391">
        <v>87820</v>
      </c>
      <c r="B7297" s="478" t="s">
        <v>4919</v>
      </c>
      <c r="C7297" s="391" t="s">
        <v>255</v>
      </c>
      <c r="D7297" s="479">
        <v>185.37</v>
      </c>
      <c r="E7297" s="368"/>
      <c r="F7297" s="368"/>
    </row>
    <row r="7298" spans="1:6" ht="51" x14ac:dyDescent="0.2">
      <c r="A7298" s="391">
        <v>87824</v>
      </c>
      <c r="B7298" s="478" t="s">
        <v>4922</v>
      </c>
      <c r="C7298" s="391" t="s">
        <v>255</v>
      </c>
      <c r="D7298" s="479">
        <v>212.37</v>
      </c>
      <c r="E7298" s="368"/>
      <c r="F7298" s="368"/>
    </row>
    <row r="7299" spans="1:6" ht="51" x14ac:dyDescent="0.2">
      <c r="A7299" s="391">
        <v>87828</v>
      </c>
      <c r="B7299" s="478" t="s">
        <v>4925</v>
      </c>
      <c r="C7299" s="391" t="s">
        <v>255</v>
      </c>
      <c r="D7299" s="479">
        <v>135.6</v>
      </c>
      <c r="E7299" s="368"/>
      <c r="F7299" s="368"/>
    </row>
    <row r="7300" spans="1:6" ht="51" x14ac:dyDescent="0.2">
      <c r="A7300" s="391">
        <v>104251</v>
      </c>
      <c r="B7300" s="478" t="s">
        <v>39062</v>
      </c>
      <c r="C7300" s="391" t="s">
        <v>255</v>
      </c>
      <c r="D7300" s="479">
        <v>120.83</v>
      </c>
      <c r="E7300" s="368"/>
      <c r="F7300" s="368"/>
    </row>
    <row r="7301" spans="1:6" ht="51" x14ac:dyDescent="0.2">
      <c r="A7301" s="391">
        <v>104255</v>
      </c>
      <c r="B7301" s="478" t="s">
        <v>39063</v>
      </c>
      <c r="C7301" s="391" t="s">
        <v>255</v>
      </c>
      <c r="D7301" s="479">
        <v>153.30000000000001</v>
      </c>
      <c r="E7301" s="368"/>
      <c r="F7301" s="368"/>
    </row>
    <row r="7302" spans="1:6" ht="51" x14ac:dyDescent="0.2">
      <c r="A7302" s="391">
        <v>104259</v>
      </c>
      <c r="B7302" s="478" t="s">
        <v>39064</v>
      </c>
      <c r="C7302" s="391" t="s">
        <v>255</v>
      </c>
      <c r="D7302" s="479">
        <v>178.26</v>
      </c>
      <c r="E7302" s="368"/>
      <c r="F7302" s="368"/>
    </row>
    <row r="7303" spans="1:6" ht="51" x14ac:dyDescent="0.2">
      <c r="A7303" s="391">
        <v>104263</v>
      </c>
      <c r="B7303" s="478" t="s">
        <v>39065</v>
      </c>
      <c r="C7303" s="391" t="s">
        <v>255</v>
      </c>
      <c r="D7303" s="479">
        <v>203.61</v>
      </c>
      <c r="E7303" s="368"/>
      <c r="F7303" s="368"/>
    </row>
    <row r="7304" spans="1:6" ht="38.25" x14ac:dyDescent="0.2">
      <c r="A7304" s="391">
        <v>87794</v>
      </c>
      <c r="B7304" s="480" t="s">
        <v>4900</v>
      </c>
      <c r="C7304" s="391" t="s">
        <v>255</v>
      </c>
      <c r="D7304" s="479">
        <v>43.81</v>
      </c>
      <c r="E7304" s="368"/>
      <c r="F7304" s="368"/>
    </row>
    <row r="7305" spans="1:6" ht="38.25" x14ac:dyDescent="0.2">
      <c r="A7305" s="391">
        <v>87799</v>
      </c>
      <c r="B7305" s="478" t="s">
        <v>4903</v>
      </c>
      <c r="C7305" s="391" t="s">
        <v>255</v>
      </c>
      <c r="D7305" s="479">
        <v>60.47</v>
      </c>
      <c r="E7305" s="368"/>
      <c r="F7305" s="368"/>
    </row>
    <row r="7306" spans="1:6" ht="38.25" x14ac:dyDescent="0.2">
      <c r="A7306" s="391">
        <v>87803</v>
      </c>
      <c r="B7306" s="478" t="s">
        <v>4906</v>
      </c>
      <c r="C7306" s="391" t="s">
        <v>255</v>
      </c>
      <c r="D7306" s="479">
        <v>67.819999999999993</v>
      </c>
      <c r="E7306" s="368"/>
      <c r="F7306" s="368"/>
    </row>
    <row r="7307" spans="1:6" ht="38.25" x14ac:dyDescent="0.2">
      <c r="A7307" s="391">
        <v>87807</v>
      </c>
      <c r="B7307" s="478" t="s">
        <v>4909</v>
      </c>
      <c r="C7307" s="391" t="s">
        <v>255</v>
      </c>
      <c r="D7307" s="479">
        <v>74.17</v>
      </c>
      <c r="E7307" s="368"/>
      <c r="F7307" s="368"/>
    </row>
    <row r="7308" spans="1:6" ht="38.25" x14ac:dyDescent="0.2">
      <c r="A7308" s="391">
        <v>104218</v>
      </c>
      <c r="B7308" s="478" t="s">
        <v>4953</v>
      </c>
      <c r="C7308" s="391" t="s">
        <v>255</v>
      </c>
      <c r="D7308" s="479">
        <v>54.43</v>
      </c>
      <c r="E7308" s="368"/>
      <c r="F7308" s="368"/>
    </row>
    <row r="7309" spans="1:6" ht="38.25" x14ac:dyDescent="0.2">
      <c r="A7309" s="391">
        <v>87777</v>
      </c>
      <c r="B7309" s="478" t="s">
        <v>4889</v>
      </c>
      <c r="C7309" s="391" t="s">
        <v>255</v>
      </c>
      <c r="D7309" s="479">
        <v>58.22</v>
      </c>
      <c r="E7309" s="368"/>
      <c r="F7309" s="368"/>
    </row>
    <row r="7310" spans="1:6" ht="38.25" x14ac:dyDescent="0.2">
      <c r="A7310" s="391">
        <v>104222</v>
      </c>
      <c r="B7310" s="478" t="s">
        <v>4957</v>
      </c>
      <c r="C7310" s="391" t="s">
        <v>255</v>
      </c>
      <c r="D7310" s="479">
        <v>70.47</v>
      </c>
      <c r="E7310" s="368"/>
      <c r="F7310" s="368"/>
    </row>
    <row r="7311" spans="1:6" ht="38.25" x14ac:dyDescent="0.2">
      <c r="A7311" s="391">
        <v>87781</v>
      </c>
      <c r="B7311" s="478" t="s">
        <v>4892</v>
      </c>
      <c r="C7311" s="391" t="s">
        <v>255</v>
      </c>
      <c r="D7311" s="479">
        <v>75.349999999999994</v>
      </c>
      <c r="E7311" s="368"/>
      <c r="F7311" s="368"/>
    </row>
    <row r="7312" spans="1:6" ht="38.25" x14ac:dyDescent="0.2">
      <c r="A7312" s="391">
        <v>104226</v>
      </c>
      <c r="B7312" s="478" t="s">
        <v>4961</v>
      </c>
      <c r="C7312" s="391" t="s">
        <v>255</v>
      </c>
      <c r="D7312" s="479">
        <v>78.33</v>
      </c>
      <c r="E7312" s="368"/>
      <c r="F7312" s="368"/>
    </row>
    <row r="7313" spans="1:6" ht="38.25" x14ac:dyDescent="0.2">
      <c r="A7313" s="391">
        <v>87786</v>
      </c>
      <c r="B7313" s="478" t="s">
        <v>4895</v>
      </c>
      <c r="C7313" s="391" t="s">
        <v>255</v>
      </c>
      <c r="D7313" s="479">
        <v>83.21</v>
      </c>
      <c r="E7313" s="368"/>
      <c r="F7313" s="368"/>
    </row>
    <row r="7314" spans="1:6" ht="38.25" x14ac:dyDescent="0.2">
      <c r="A7314" s="391">
        <v>104230</v>
      </c>
      <c r="B7314" s="478" t="s">
        <v>4965</v>
      </c>
      <c r="C7314" s="391" t="s">
        <v>255</v>
      </c>
      <c r="D7314" s="479">
        <v>91.58</v>
      </c>
      <c r="E7314" s="368"/>
      <c r="F7314" s="368"/>
    </row>
    <row r="7315" spans="1:6" ht="38.25" x14ac:dyDescent="0.2">
      <c r="A7315" s="391">
        <v>104234</v>
      </c>
      <c r="B7315" s="478" t="s">
        <v>4969</v>
      </c>
      <c r="C7315" s="391" t="s">
        <v>255</v>
      </c>
      <c r="D7315" s="479">
        <v>41.57</v>
      </c>
      <c r="E7315" s="368"/>
      <c r="F7315" s="368"/>
    </row>
    <row r="7316" spans="1:6" ht="38.25" x14ac:dyDescent="0.2">
      <c r="A7316" s="391">
        <v>104238</v>
      </c>
      <c r="B7316" s="478" t="s">
        <v>4973</v>
      </c>
      <c r="C7316" s="391" t="s">
        <v>255</v>
      </c>
      <c r="D7316" s="479">
        <v>57.16</v>
      </c>
      <c r="E7316" s="368"/>
      <c r="F7316" s="368"/>
    </row>
    <row r="7317" spans="1:6" ht="38.25" x14ac:dyDescent="0.2">
      <c r="A7317" s="391">
        <v>104242</v>
      </c>
      <c r="B7317" s="478" t="s">
        <v>4977</v>
      </c>
      <c r="C7317" s="391" t="s">
        <v>255</v>
      </c>
      <c r="D7317" s="479">
        <v>64.510000000000005</v>
      </c>
      <c r="E7317" s="368"/>
      <c r="F7317" s="368"/>
    </row>
    <row r="7318" spans="1:6" ht="38.25" x14ac:dyDescent="0.2">
      <c r="A7318" s="391">
        <v>104246</v>
      </c>
      <c r="B7318" s="478" t="s">
        <v>4981</v>
      </c>
      <c r="C7318" s="391" t="s">
        <v>255</v>
      </c>
      <c r="D7318" s="479">
        <v>70.510000000000005</v>
      </c>
      <c r="E7318" s="368"/>
      <c r="F7318" s="368"/>
    </row>
    <row r="7319" spans="1:6" ht="51" x14ac:dyDescent="0.2">
      <c r="A7319" s="391">
        <v>104250</v>
      </c>
      <c r="B7319" s="478" t="s">
        <v>4985</v>
      </c>
      <c r="C7319" s="391" t="s">
        <v>255</v>
      </c>
      <c r="D7319" s="479">
        <v>73.95</v>
      </c>
      <c r="E7319" s="368"/>
      <c r="F7319" s="368"/>
    </row>
    <row r="7320" spans="1:6" ht="51" x14ac:dyDescent="0.2">
      <c r="A7320" s="391">
        <v>87811</v>
      </c>
      <c r="B7320" s="478" t="s">
        <v>4912</v>
      </c>
      <c r="C7320" s="391" t="s">
        <v>255</v>
      </c>
      <c r="D7320" s="479">
        <v>80.760000000000005</v>
      </c>
      <c r="E7320" s="368"/>
      <c r="F7320" s="368"/>
    </row>
    <row r="7321" spans="1:6" ht="51" x14ac:dyDescent="0.2">
      <c r="A7321" s="391">
        <v>104254</v>
      </c>
      <c r="B7321" s="478" t="s">
        <v>4988</v>
      </c>
      <c r="C7321" s="391" t="s">
        <v>255</v>
      </c>
      <c r="D7321" s="479">
        <v>89.53</v>
      </c>
      <c r="E7321" s="368"/>
      <c r="F7321" s="368"/>
    </row>
    <row r="7322" spans="1:6" ht="51" x14ac:dyDescent="0.2">
      <c r="A7322" s="391">
        <v>87815</v>
      </c>
      <c r="B7322" s="480" t="s">
        <v>4915</v>
      </c>
      <c r="C7322" s="391" t="s">
        <v>255</v>
      </c>
      <c r="D7322" s="479">
        <v>97.43</v>
      </c>
      <c r="E7322" s="368"/>
      <c r="F7322" s="368"/>
    </row>
    <row r="7323" spans="1:6" ht="51" x14ac:dyDescent="0.2">
      <c r="A7323" s="391">
        <v>104258</v>
      </c>
      <c r="B7323" s="478" t="s">
        <v>4991</v>
      </c>
      <c r="C7323" s="391" t="s">
        <v>255</v>
      </c>
      <c r="D7323" s="479">
        <v>96.88</v>
      </c>
      <c r="E7323" s="368"/>
      <c r="F7323" s="368"/>
    </row>
    <row r="7324" spans="1:6" ht="51" x14ac:dyDescent="0.2">
      <c r="A7324" s="391">
        <v>87819</v>
      </c>
      <c r="B7324" s="478" t="s">
        <v>4918</v>
      </c>
      <c r="C7324" s="391" t="s">
        <v>255</v>
      </c>
      <c r="D7324" s="479">
        <v>104.78</v>
      </c>
      <c r="E7324" s="368"/>
      <c r="F7324" s="368"/>
    </row>
    <row r="7325" spans="1:6" ht="51" x14ac:dyDescent="0.2">
      <c r="A7325" s="391">
        <v>104262</v>
      </c>
      <c r="B7325" s="478" t="s">
        <v>4994</v>
      </c>
      <c r="C7325" s="391" t="s">
        <v>255</v>
      </c>
      <c r="D7325" s="479">
        <v>123.84</v>
      </c>
      <c r="E7325" s="368"/>
      <c r="F7325" s="368"/>
    </row>
    <row r="7326" spans="1:6" ht="51" x14ac:dyDescent="0.2">
      <c r="A7326" s="391">
        <v>87823</v>
      </c>
      <c r="B7326" s="478" t="s">
        <v>4921</v>
      </c>
      <c r="C7326" s="391" t="s">
        <v>255</v>
      </c>
      <c r="D7326" s="479">
        <v>134.61000000000001</v>
      </c>
      <c r="E7326" s="368"/>
      <c r="F7326" s="368"/>
    </row>
    <row r="7327" spans="1:6" ht="51" x14ac:dyDescent="0.2">
      <c r="A7327" s="391">
        <v>87827</v>
      </c>
      <c r="B7327" s="478" t="s">
        <v>4924</v>
      </c>
      <c r="C7327" s="391" t="s">
        <v>255</v>
      </c>
      <c r="D7327" s="479">
        <v>76.89</v>
      </c>
      <c r="E7327" s="368"/>
      <c r="F7327" s="368"/>
    </row>
    <row r="7328" spans="1:6" ht="51" x14ac:dyDescent="0.2">
      <c r="A7328" s="391">
        <v>87831</v>
      </c>
      <c r="B7328" s="478" t="s">
        <v>4927</v>
      </c>
      <c r="C7328" s="391" t="s">
        <v>255</v>
      </c>
      <c r="D7328" s="479">
        <v>93.81</v>
      </c>
      <c r="E7328" s="368"/>
      <c r="F7328" s="368"/>
    </row>
    <row r="7329" spans="1:6" ht="51" x14ac:dyDescent="0.2">
      <c r="A7329" s="391">
        <v>104220</v>
      </c>
      <c r="B7329" s="478" t="s">
        <v>4955</v>
      </c>
      <c r="C7329" s="391" t="s">
        <v>255</v>
      </c>
      <c r="D7329" s="479">
        <v>54.46</v>
      </c>
      <c r="E7329" s="368"/>
      <c r="F7329" s="368"/>
    </row>
    <row r="7330" spans="1:6" ht="51" x14ac:dyDescent="0.2">
      <c r="A7330" s="391">
        <v>104203</v>
      </c>
      <c r="B7330" s="478" t="s">
        <v>4939</v>
      </c>
      <c r="C7330" s="391" t="s">
        <v>255</v>
      </c>
      <c r="D7330" s="479">
        <v>58.46</v>
      </c>
      <c r="E7330" s="368"/>
      <c r="F7330" s="368"/>
    </row>
    <row r="7331" spans="1:6" ht="51" x14ac:dyDescent="0.2">
      <c r="A7331" s="391">
        <v>104224</v>
      </c>
      <c r="B7331" s="478" t="s">
        <v>4959</v>
      </c>
      <c r="C7331" s="391" t="s">
        <v>255</v>
      </c>
      <c r="D7331" s="479">
        <v>70.52</v>
      </c>
      <c r="E7331" s="368"/>
      <c r="F7331" s="368"/>
    </row>
    <row r="7332" spans="1:6" ht="51" x14ac:dyDescent="0.2">
      <c r="A7332" s="391">
        <v>104204</v>
      </c>
      <c r="B7332" s="478" t="s">
        <v>4940</v>
      </c>
      <c r="C7332" s="391" t="s">
        <v>255</v>
      </c>
      <c r="D7332" s="479">
        <v>75.73</v>
      </c>
      <c r="E7332" s="368"/>
      <c r="F7332" s="368"/>
    </row>
    <row r="7333" spans="1:6" ht="51" x14ac:dyDescent="0.2">
      <c r="A7333" s="391">
        <v>104228</v>
      </c>
      <c r="B7333" s="478" t="s">
        <v>4963</v>
      </c>
      <c r="C7333" s="391" t="s">
        <v>255</v>
      </c>
      <c r="D7333" s="479">
        <v>77.819999999999993</v>
      </c>
      <c r="E7333" s="368"/>
      <c r="F7333" s="368"/>
    </row>
    <row r="7334" spans="1:6" ht="51" x14ac:dyDescent="0.2">
      <c r="A7334" s="391">
        <v>104205</v>
      </c>
      <c r="B7334" s="478" t="s">
        <v>4941</v>
      </c>
      <c r="C7334" s="391" t="s">
        <v>255</v>
      </c>
      <c r="D7334" s="479">
        <v>83.03</v>
      </c>
      <c r="E7334" s="368"/>
      <c r="F7334" s="368"/>
    </row>
    <row r="7335" spans="1:6" ht="51" x14ac:dyDescent="0.2">
      <c r="A7335" s="391">
        <v>104232</v>
      </c>
      <c r="B7335" s="478" t="s">
        <v>4967</v>
      </c>
      <c r="C7335" s="391" t="s">
        <v>255</v>
      </c>
      <c r="D7335" s="479">
        <v>86.01</v>
      </c>
      <c r="E7335" s="368"/>
      <c r="F7335" s="368"/>
    </row>
    <row r="7336" spans="1:6" ht="51" x14ac:dyDescent="0.2">
      <c r="A7336" s="391">
        <v>104206</v>
      </c>
      <c r="B7336" s="478" t="s">
        <v>4942</v>
      </c>
      <c r="C7336" s="391" t="s">
        <v>255</v>
      </c>
      <c r="D7336" s="479">
        <v>91.74</v>
      </c>
      <c r="E7336" s="368"/>
      <c r="F7336" s="368"/>
    </row>
    <row r="7337" spans="1:6" ht="51" x14ac:dyDescent="0.2">
      <c r="A7337" s="391">
        <v>104236</v>
      </c>
      <c r="B7337" s="478" t="s">
        <v>4971</v>
      </c>
      <c r="C7337" s="391" t="s">
        <v>255</v>
      </c>
      <c r="D7337" s="479">
        <v>40.99</v>
      </c>
      <c r="E7337" s="368"/>
      <c r="F7337" s="368"/>
    </row>
    <row r="7338" spans="1:6" ht="51" x14ac:dyDescent="0.2">
      <c r="A7338" s="391">
        <v>104207</v>
      </c>
      <c r="B7338" s="478" t="s">
        <v>4943</v>
      </c>
      <c r="C7338" s="391" t="s">
        <v>255</v>
      </c>
      <c r="D7338" s="479">
        <v>43.45</v>
      </c>
      <c r="E7338" s="368"/>
      <c r="F7338" s="368"/>
    </row>
    <row r="7339" spans="1:6" ht="51" x14ac:dyDescent="0.2">
      <c r="A7339" s="391">
        <v>104240</v>
      </c>
      <c r="B7339" s="478" t="s">
        <v>4975</v>
      </c>
      <c r="C7339" s="391" t="s">
        <v>255</v>
      </c>
      <c r="D7339" s="479">
        <v>56.68</v>
      </c>
      <c r="E7339" s="368"/>
      <c r="F7339" s="368"/>
    </row>
    <row r="7340" spans="1:6" ht="51" x14ac:dyDescent="0.2">
      <c r="A7340" s="391">
        <v>104208</v>
      </c>
      <c r="B7340" s="478" t="s">
        <v>4944</v>
      </c>
      <c r="C7340" s="391" t="s">
        <v>255</v>
      </c>
      <c r="D7340" s="479">
        <v>60.22</v>
      </c>
      <c r="E7340" s="368"/>
      <c r="F7340" s="368"/>
    </row>
    <row r="7341" spans="1:6" ht="51" x14ac:dyDescent="0.2">
      <c r="A7341" s="391">
        <v>104244</v>
      </c>
      <c r="B7341" s="478" t="s">
        <v>4979</v>
      </c>
      <c r="C7341" s="391" t="s">
        <v>255</v>
      </c>
      <c r="D7341" s="479">
        <v>63.54</v>
      </c>
      <c r="E7341" s="368"/>
      <c r="F7341" s="368"/>
    </row>
    <row r="7342" spans="1:6" ht="51" x14ac:dyDescent="0.2">
      <c r="A7342" s="391">
        <v>104209</v>
      </c>
      <c r="B7342" s="478" t="s">
        <v>4945</v>
      </c>
      <c r="C7342" s="391" t="s">
        <v>255</v>
      </c>
      <c r="D7342" s="479">
        <v>67.09</v>
      </c>
      <c r="E7342" s="368"/>
      <c r="F7342" s="368"/>
    </row>
    <row r="7343" spans="1:6" ht="51" x14ac:dyDescent="0.2">
      <c r="A7343" s="391">
        <v>104248</v>
      </c>
      <c r="B7343" s="478" t="s">
        <v>4983</v>
      </c>
      <c r="C7343" s="391" t="s">
        <v>255</v>
      </c>
      <c r="D7343" s="479">
        <v>66.290000000000006</v>
      </c>
      <c r="E7343" s="368"/>
      <c r="F7343" s="368"/>
    </row>
    <row r="7344" spans="1:6" ht="51" x14ac:dyDescent="0.2">
      <c r="A7344" s="391">
        <v>104210</v>
      </c>
      <c r="B7344" s="478" t="s">
        <v>4946</v>
      </c>
      <c r="C7344" s="391" t="s">
        <v>255</v>
      </c>
      <c r="D7344" s="479">
        <v>69.72</v>
      </c>
      <c r="E7344" s="368"/>
      <c r="F7344" s="368"/>
    </row>
    <row r="7345" spans="1:6" ht="51" x14ac:dyDescent="0.2">
      <c r="A7345" s="391">
        <v>104252</v>
      </c>
      <c r="B7345" s="478" t="s">
        <v>4986</v>
      </c>
      <c r="C7345" s="391" t="s">
        <v>255</v>
      </c>
      <c r="D7345" s="479">
        <v>75.8</v>
      </c>
      <c r="E7345" s="368"/>
      <c r="F7345" s="368"/>
    </row>
    <row r="7346" spans="1:6" ht="51" x14ac:dyDescent="0.2">
      <c r="A7346" s="391">
        <v>104211</v>
      </c>
      <c r="B7346" s="478" t="s">
        <v>4947</v>
      </c>
      <c r="C7346" s="391" t="s">
        <v>255</v>
      </c>
      <c r="D7346" s="479">
        <v>83</v>
      </c>
      <c r="E7346" s="368"/>
      <c r="F7346" s="368"/>
    </row>
    <row r="7347" spans="1:6" ht="51" x14ac:dyDescent="0.2">
      <c r="A7347" s="391">
        <v>104212</v>
      </c>
      <c r="B7347" s="478" t="s">
        <v>4948</v>
      </c>
      <c r="C7347" s="391" t="s">
        <v>255</v>
      </c>
      <c r="D7347" s="479">
        <v>99.82</v>
      </c>
      <c r="E7347" s="368"/>
      <c r="F7347" s="368"/>
    </row>
    <row r="7348" spans="1:6" ht="51" x14ac:dyDescent="0.2">
      <c r="A7348" s="391">
        <v>104213</v>
      </c>
      <c r="B7348" s="478" t="s">
        <v>4949</v>
      </c>
      <c r="C7348" s="391" t="s">
        <v>255</v>
      </c>
      <c r="D7348" s="479">
        <v>106.69</v>
      </c>
      <c r="E7348" s="368"/>
      <c r="F7348" s="368"/>
    </row>
    <row r="7349" spans="1:6" ht="51" x14ac:dyDescent="0.2">
      <c r="A7349" s="391">
        <v>104214</v>
      </c>
      <c r="B7349" s="478" t="s">
        <v>4950</v>
      </c>
      <c r="C7349" s="391" t="s">
        <v>255</v>
      </c>
      <c r="D7349" s="479">
        <v>127.17</v>
      </c>
      <c r="E7349" s="368"/>
      <c r="F7349" s="368"/>
    </row>
    <row r="7350" spans="1:6" ht="51" x14ac:dyDescent="0.2">
      <c r="A7350" s="391">
        <v>104215</v>
      </c>
      <c r="B7350" s="478" t="s">
        <v>48023</v>
      </c>
      <c r="C7350" s="391" t="s">
        <v>255</v>
      </c>
      <c r="D7350" s="479">
        <v>77.87</v>
      </c>
      <c r="E7350" s="368"/>
      <c r="F7350" s="368"/>
    </row>
    <row r="7351" spans="1:6" ht="51" x14ac:dyDescent="0.2">
      <c r="A7351" s="391">
        <v>104216</v>
      </c>
      <c r="B7351" s="478" t="s">
        <v>4951</v>
      </c>
      <c r="C7351" s="391" t="s">
        <v>255</v>
      </c>
      <c r="D7351" s="479">
        <v>94.57</v>
      </c>
      <c r="E7351" s="368"/>
      <c r="F7351" s="368"/>
    </row>
    <row r="7352" spans="1:6" ht="51" x14ac:dyDescent="0.2">
      <c r="A7352" s="391">
        <v>104217</v>
      </c>
      <c r="B7352" s="478" t="s">
        <v>4952</v>
      </c>
      <c r="C7352" s="391" t="s">
        <v>255</v>
      </c>
      <c r="D7352" s="479">
        <v>50.74</v>
      </c>
      <c r="E7352" s="368"/>
      <c r="F7352" s="368"/>
    </row>
    <row r="7353" spans="1:6" ht="51" x14ac:dyDescent="0.2">
      <c r="A7353" s="391">
        <v>104221</v>
      </c>
      <c r="B7353" s="478" t="s">
        <v>4956</v>
      </c>
      <c r="C7353" s="391" t="s">
        <v>255</v>
      </c>
      <c r="D7353" s="479">
        <v>65.53</v>
      </c>
      <c r="E7353" s="368"/>
      <c r="F7353" s="368"/>
    </row>
    <row r="7354" spans="1:6" ht="51" x14ac:dyDescent="0.2">
      <c r="A7354" s="391">
        <v>104225</v>
      </c>
      <c r="B7354" s="478" t="s">
        <v>4960</v>
      </c>
      <c r="C7354" s="391" t="s">
        <v>255</v>
      </c>
      <c r="D7354" s="479">
        <v>72.13</v>
      </c>
      <c r="E7354" s="368"/>
      <c r="F7354" s="368"/>
    </row>
    <row r="7355" spans="1:6" ht="51" x14ac:dyDescent="0.2">
      <c r="A7355" s="391">
        <v>104229</v>
      </c>
      <c r="B7355" s="478" t="s">
        <v>4964</v>
      </c>
      <c r="C7355" s="391" t="s">
        <v>255</v>
      </c>
      <c r="D7355" s="479">
        <v>84.76</v>
      </c>
      <c r="E7355" s="368"/>
      <c r="F7355" s="368"/>
    </row>
    <row r="7356" spans="1:6" ht="51" x14ac:dyDescent="0.2">
      <c r="A7356" s="391">
        <v>104233</v>
      </c>
      <c r="B7356" s="478" t="s">
        <v>4968</v>
      </c>
      <c r="C7356" s="391" t="s">
        <v>255</v>
      </c>
      <c r="D7356" s="479">
        <v>38.130000000000003</v>
      </c>
      <c r="E7356" s="368"/>
      <c r="F7356" s="368"/>
    </row>
    <row r="7357" spans="1:6" ht="51" x14ac:dyDescent="0.2">
      <c r="A7357" s="391">
        <v>104237</v>
      </c>
      <c r="B7357" s="478" t="s">
        <v>4972</v>
      </c>
      <c r="C7357" s="391" t="s">
        <v>255</v>
      </c>
      <c r="D7357" s="479">
        <v>52.55</v>
      </c>
      <c r="E7357" s="368"/>
      <c r="F7357" s="368"/>
    </row>
    <row r="7358" spans="1:6" ht="51" x14ac:dyDescent="0.2">
      <c r="A7358" s="391">
        <v>104241</v>
      </c>
      <c r="B7358" s="478" t="s">
        <v>4976</v>
      </c>
      <c r="C7358" s="391" t="s">
        <v>255</v>
      </c>
      <c r="D7358" s="479">
        <v>58.72</v>
      </c>
      <c r="E7358" s="368"/>
      <c r="F7358" s="368"/>
    </row>
    <row r="7359" spans="1:6" ht="51" x14ac:dyDescent="0.2">
      <c r="A7359" s="391">
        <v>104245</v>
      </c>
      <c r="B7359" s="478" t="s">
        <v>4980</v>
      </c>
      <c r="C7359" s="391" t="s">
        <v>255</v>
      </c>
      <c r="D7359" s="479">
        <v>64.14</v>
      </c>
      <c r="E7359" s="368"/>
      <c r="F7359" s="368"/>
    </row>
    <row r="7360" spans="1:6" ht="51" x14ac:dyDescent="0.2">
      <c r="A7360" s="391">
        <v>104249</v>
      </c>
      <c r="B7360" s="480" t="s">
        <v>4984</v>
      </c>
      <c r="C7360" s="391" t="s">
        <v>255</v>
      </c>
      <c r="D7360" s="479">
        <v>70.510000000000005</v>
      </c>
      <c r="E7360" s="368"/>
      <c r="F7360" s="368"/>
    </row>
    <row r="7361" spans="1:6" ht="51" x14ac:dyDescent="0.2">
      <c r="A7361" s="391">
        <v>104253</v>
      </c>
      <c r="B7361" s="478" t="s">
        <v>4987</v>
      </c>
      <c r="C7361" s="391" t="s">
        <v>255</v>
      </c>
      <c r="D7361" s="479">
        <v>84.92</v>
      </c>
      <c r="E7361" s="368"/>
      <c r="F7361" s="368"/>
    </row>
    <row r="7362" spans="1:6" ht="51" x14ac:dyDescent="0.2">
      <c r="A7362" s="391">
        <v>104256</v>
      </c>
      <c r="B7362" s="478" t="s">
        <v>4989</v>
      </c>
      <c r="C7362" s="391" t="s">
        <v>255</v>
      </c>
      <c r="D7362" s="479">
        <v>91.48</v>
      </c>
      <c r="E7362" s="368"/>
      <c r="F7362" s="368"/>
    </row>
    <row r="7363" spans="1:6" ht="51" x14ac:dyDescent="0.2">
      <c r="A7363" s="391">
        <v>104260</v>
      </c>
      <c r="B7363" s="478" t="s">
        <v>4992</v>
      </c>
      <c r="C7363" s="391" t="s">
        <v>255</v>
      </c>
      <c r="D7363" s="479">
        <v>98.34</v>
      </c>
      <c r="E7363" s="368"/>
      <c r="F7363" s="368"/>
    </row>
    <row r="7364" spans="1:6" ht="51" x14ac:dyDescent="0.2">
      <c r="A7364" s="391">
        <v>104264</v>
      </c>
      <c r="B7364" s="478" t="s">
        <v>4995</v>
      </c>
      <c r="C7364" s="391" t="s">
        <v>255</v>
      </c>
      <c r="D7364" s="479">
        <v>116.88</v>
      </c>
      <c r="E7364" s="368"/>
      <c r="F7364" s="368"/>
    </row>
    <row r="7365" spans="1:6" ht="38.25" x14ac:dyDescent="0.2">
      <c r="A7365" s="391">
        <v>87792</v>
      </c>
      <c r="B7365" s="478" t="s">
        <v>4899</v>
      </c>
      <c r="C7365" s="391" t="s">
        <v>255</v>
      </c>
      <c r="D7365" s="479">
        <v>40.369999999999997</v>
      </c>
      <c r="E7365" s="368"/>
      <c r="F7365" s="368"/>
    </row>
    <row r="7366" spans="1:6" ht="38.25" x14ac:dyDescent="0.2">
      <c r="A7366" s="391">
        <v>87797</v>
      </c>
      <c r="B7366" s="478" t="s">
        <v>4902</v>
      </c>
      <c r="C7366" s="391" t="s">
        <v>255</v>
      </c>
      <c r="D7366" s="479">
        <v>55.86</v>
      </c>
      <c r="E7366" s="368"/>
      <c r="F7366" s="368"/>
    </row>
    <row r="7367" spans="1:6" ht="38.25" x14ac:dyDescent="0.2">
      <c r="A7367" s="391">
        <v>87801</v>
      </c>
      <c r="B7367" s="480" t="s">
        <v>4905</v>
      </c>
      <c r="C7367" s="391" t="s">
        <v>255</v>
      </c>
      <c r="D7367" s="479">
        <v>62.03</v>
      </c>
      <c r="E7367" s="368"/>
      <c r="F7367" s="368"/>
    </row>
    <row r="7368" spans="1:6" ht="51" x14ac:dyDescent="0.2">
      <c r="A7368" s="391">
        <v>87805</v>
      </c>
      <c r="B7368" s="478" t="s">
        <v>4908</v>
      </c>
      <c r="C7368" s="391" t="s">
        <v>255</v>
      </c>
      <c r="D7368" s="479">
        <v>67.8</v>
      </c>
      <c r="E7368" s="368"/>
      <c r="F7368" s="368"/>
    </row>
    <row r="7369" spans="1:6" ht="38.25" x14ac:dyDescent="0.2">
      <c r="A7369" s="391">
        <v>87775</v>
      </c>
      <c r="B7369" s="478" t="s">
        <v>4888</v>
      </c>
      <c r="C7369" s="391" t="s">
        <v>255</v>
      </c>
      <c r="D7369" s="479">
        <v>54.53</v>
      </c>
      <c r="E7369" s="368"/>
      <c r="F7369" s="368"/>
    </row>
    <row r="7370" spans="1:6" ht="38.25" x14ac:dyDescent="0.2">
      <c r="A7370" s="391">
        <v>87779</v>
      </c>
      <c r="B7370" s="478" t="s">
        <v>4891</v>
      </c>
      <c r="C7370" s="391" t="s">
        <v>255</v>
      </c>
      <c r="D7370" s="479">
        <v>70.41</v>
      </c>
      <c r="E7370" s="368"/>
      <c r="F7370" s="368"/>
    </row>
    <row r="7371" spans="1:6" ht="38.25" x14ac:dyDescent="0.2">
      <c r="A7371" s="391">
        <v>87784</v>
      </c>
      <c r="B7371" s="478" t="s">
        <v>4894</v>
      </c>
      <c r="C7371" s="391" t="s">
        <v>255</v>
      </c>
      <c r="D7371" s="479">
        <v>77.010000000000005</v>
      </c>
      <c r="E7371" s="368"/>
      <c r="F7371" s="368"/>
    </row>
    <row r="7372" spans="1:6" ht="38.25" x14ac:dyDescent="0.2">
      <c r="A7372" s="391">
        <v>87788</v>
      </c>
      <c r="B7372" s="478" t="s">
        <v>4897</v>
      </c>
      <c r="C7372" s="391" t="s">
        <v>255</v>
      </c>
      <c r="D7372" s="479">
        <v>90.8</v>
      </c>
      <c r="E7372" s="368"/>
      <c r="F7372" s="368"/>
    </row>
    <row r="7373" spans="1:6" ht="51" x14ac:dyDescent="0.2">
      <c r="A7373" s="391">
        <v>87809</v>
      </c>
      <c r="B7373" s="478" t="s">
        <v>4911</v>
      </c>
      <c r="C7373" s="391" t="s">
        <v>255</v>
      </c>
      <c r="D7373" s="479">
        <v>77.319999999999993</v>
      </c>
      <c r="E7373" s="368"/>
      <c r="F7373" s="368"/>
    </row>
    <row r="7374" spans="1:6" ht="51" x14ac:dyDescent="0.2">
      <c r="A7374" s="391">
        <v>87813</v>
      </c>
      <c r="B7374" s="478" t="s">
        <v>4914</v>
      </c>
      <c r="C7374" s="391" t="s">
        <v>255</v>
      </c>
      <c r="D7374" s="479">
        <v>92.82</v>
      </c>
      <c r="E7374" s="368"/>
      <c r="F7374" s="368"/>
    </row>
    <row r="7375" spans="1:6" ht="51" x14ac:dyDescent="0.2">
      <c r="A7375" s="391">
        <v>104257</v>
      </c>
      <c r="B7375" s="478" t="s">
        <v>4990</v>
      </c>
      <c r="C7375" s="391" t="s">
        <v>255</v>
      </c>
      <c r="D7375" s="479">
        <v>91.09</v>
      </c>
      <c r="E7375" s="368"/>
      <c r="F7375" s="368"/>
    </row>
    <row r="7376" spans="1:6" ht="51" x14ac:dyDescent="0.2">
      <c r="A7376" s="391">
        <v>87817</v>
      </c>
      <c r="B7376" s="478" t="s">
        <v>4917</v>
      </c>
      <c r="C7376" s="391" t="s">
        <v>255</v>
      </c>
      <c r="D7376" s="479">
        <v>98.99</v>
      </c>
      <c r="E7376" s="368"/>
      <c r="F7376" s="368"/>
    </row>
    <row r="7377" spans="1:6" ht="51" x14ac:dyDescent="0.2">
      <c r="A7377" s="391">
        <v>104261</v>
      </c>
      <c r="B7377" s="478" t="s">
        <v>4993</v>
      </c>
      <c r="C7377" s="391" t="s">
        <v>255</v>
      </c>
      <c r="D7377" s="479">
        <v>117.47</v>
      </c>
      <c r="E7377" s="368"/>
      <c r="F7377" s="368"/>
    </row>
    <row r="7378" spans="1:6" ht="51" x14ac:dyDescent="0.2">
      <c r="A7378" s="391">
        <v>87821</v>
      </c>
      <c r="B7378" s="478" t="s">
        <v>4920</v>
      </c>
      <c r="C7378" s="391" t="s">
        <v>255</v>
      </c>
      <c r="D7378" s="479">
        <v>128.24</v>
      </c>
      <c r="E7378" s="368"/>
      <c r="F7378" s="368"/>
    </row>
    <row r="7379" spans="1:6" ht="51" x14ac:dyDescent="0.2">
      <c r="A7379" s="391">
        <v>87825</v>
      </c>
      <c r="B7379" s="478" t="s">
        <v>4923</v>
      </c>
      <c r="C7379" s="391" t="s">
        <v>255</v>
      </c>
      <c r="D7379" s="479">
        <v>72.680000000000007</v>
      </c>
      <c r="E7379" s="368"/>
      <c r="F7379" s="368"/>
    </row>
    <row r="7380" spans="1:6" ht="51" x14ac:dyDescent="0.2">
      <c r="A7380" s="391">
        <v>87829</v>
      </c>
      <c r="B7380" s="478" t="s">
        <v>4926</v>
      </c>
      <c r="C7380" s="391" t="s">
        <v>255</v>
      </c>
      <c r="D7380" s="479">
        <v>88.16</v>
      </c>
      <c r="E7380" s="368"/>
      <c r="F7380" s="368"/>
    </row>
    <row r="7381" spans="1:6" ht="38.25" x14ac:dyDescent="0.2">
      <c r="A7381" s="391">
        <v>87557</v>
      </c>
      <c r="B7381" s="478" t="s">
        <v>4886</v>
      </c>
      <c r="C7381" s="391" t="s">
        <v>255</v>
      </c>
      <c r="D7381" s="479">
        <v>57.24</v>
      </c>
      <c r="E7381" s="368"/>
      <c r="F7381" s="368"/>
    </row>
    <row r="7382" spans="1:6" ht="38.25" x14ac:dyDescent="0.2">
      <c r="A7382" s="391">
        <v>87539</v>
      </c>
      <c r="B7382" s="478" t="s">
        <v>4876</v>
      </c>
      <c r="C7382" s="391" t="s">
        <v>255</v>
      </c>
      <c r="D7382" s="479">
        <v>87.48</v>
      </c>
      <c r="E7382" s="368"/>
      <c r="F7382" s="368"/>
    </row>
    <row r="7383" spans="1:6" ht="38.25" x14ac:dyDescent="0.2">
      <c r="A7383" s="391">
        <v>104972</v>
      </c>
      <c r="B7383" s="478" t="s">
        <v>5027</v>
      </c>
      <c r="C7383" s="391" t="s">
        <v>255</v>
      </c>
      <c r="D7383" s="479">
        <v>34.58</v>
      </c>
      <c r="E7383" s="368"/>
      <c r="F7383" s="368"/>
    </row>
    <row r="7384" spans="1:6" ht="38.25" x14ac:dyDescent="0.2">
      <c r="A7384" s="391">
        <v>104954</v>
      </c>
      <c r="B7384" s="478" t="s">
        <v>5009</v>
      </c>
      <c r="C7384" s="391" t="s">
        <v>255</v>
      </c>
      <c r="D7384" s="479">
        <v>48.14</v>
      </c>
      <c r="E7384" s="368"/>
      <c r="F7384" s="368"/>
    </row>
    <row r="7385" spans="1:6" ht="38.25" x14ac:dyDescent="0.2">
      <c r="A7385" s="391">
        <v>104976</v>
      </c>
      <c r="B7385" s="478" t="s">
        <v>5031</v>
      </c>
      <c r="C7385" s="391" t="s">
        <v>255</v>
      </c>
      <c r="D7385" s="479">
        <v>30.69</v>
      </c>
      <c r="E7385" s="368"/>
      <c r="F7385" s="368"/>
    </row>
    <row r="7386" spans="1:6" ht="38.25" x14ac:dyDescent="0.2">
      <c r="A7386" s="391">
        <v>104966</v>
      </c>
      <c r="B7386" s="478" t="s">
        <v>5021</v>
      </c>
      <c r="C7386" s="391" t="s">
        <v>255</v>
      </c>
      <c r="D7386" s="479">
        <v>44.26</v>
      </c>
      <c r="E7386" s="368"/>
      <c r="F7386" s="368"/>
    </row>
    <row r="7387" spans="1:6" ht="38.25" x14ac:dyDescent="0.2">
      <c r="A7387" s="391">
        <v>104968</v>
      </c>
      <c r="B7387" s="478" t="s">
        <v>5023</v>
      </c>
      <c r="C7387" s="391" t="s">
        <v>255</v>
      </c>
      <c r="D7387" s="479">
        <v>41.1</v>
      </c>
      <c r="E7387" s="368"/>
      <c r="F7387" s="368"/>
    </row>
    <row r="7388" spans="1:6" ht="38.25" x14ac:dyDescent="0.2">
      <c r="A7388" s="391">
        <v>104962</v>
      </c>
      <c r="B7388" s="478" t="s">
        <v>5017</v>
      </c>
      <c r="C7388" s="391" t="s">
        <v>255</v>
      </c>
      <c r="D7388" s="479">
        <v>54.67</v>
      </c>
      <c r="E7388" s="368"/>
      <c r="F7388" s="368"/>
    </row>
    <row r="7389" spans="1:6" ht="38.25" x14ac:dyDescent="0.2">
      <c r="A7389" s="391">
        <v>87550</v>
      </c>
      <c r="B7389" s="478" t="s">
        <v>4883</v>
      </c>
      <c r="C7389" s="391" t="s">
        <v>255</v>
      </c>
      <c r="D7389" s="479">
        <v>27.37</v>
      </c>
      <c r="E7389" s="368"/>
      <c r="F7389" s="368"/>
    </row>
    <row r="7390" spans="1:6" ht="38.25" x14ac:dyDescent="0.2">
      <c r="A7390" s="391">
        <v>87532</v>
      </c>
      <c r="B7390" s="478" t="s">
        <v>4873</v>
      </c>
      <c r="C7390" s="391" t="s">
        <v>255</v>
      </c>
      <c r="D7390" s="479">
        <v>38.979999999999997</v>
      </c>
      <c r="E7390" s="368"/>
      <c r="F7390" s="368"/>
    </row>
    <row r="7391" spans="1:6" ht="38.25" x14ac:dyDescent="0.2">
      <c r="A7391" s="391">
        <v>87554</v>
      </c>
      <c r="B7391" s="478" t="s">
        <v>4885</v>
      </c>
      <c r="C7391" s="391" t="s">
        <v>255</v>
      </c>
      <c r="D7391" s="479">
        <v>24.85</v>
      </c>
      <c r="E7391" s="368"/>
      <c r="F7391" s="368"/>
    </row>
    <row r="7392" spans="1:6" ht="38.25" x14ac:dyDescent="0.2">
      <c r="A7392" s="391">
        <v>87536</v>
      </c>
      <c r="B7392" s="478" t="s">
        <v>4875</v>
      </c>
      <c r="C7392" s="391" t="s">
        <v>255</v>
      </c>
      <c r="D7392" s="479">
        <v>36.479999999999997</v>
      </c>
      <c r="E7392" s="368"/>
      <c r="F7392" s="368"/>
    </row>
    <row r="7393" spans="1:6" ht="38.25" x14ac:dyDescent="0.2">
      <c r="A7393" s="391">
        <v>87528</v>
      </c>
      <c r="B7393" s="478" t="s">
        <v>4869</v>
      </c>
      <c r="C7393" s="391" t="s">
        <v>255</v>
      </c>
      <c r="D7393" s="479">
        <v>43.19</v>
      </c>
      <c r="E7393" s="368"/>
      <c r="F7393" s="368"/>
    </row>
    <row r="7394" spans="1:6" ht="38.25" x14ac:dyDescent="0.2">
      <c r="A7394" s="391">
        <v>87546</v>
      </c>
      <c r="B7394" s="478" t="s">
        <v>4879</v>
      </c>
      <c r="C7394" s="391" t="s">
        <v>255</v>
      </c>
      <c r="D7394" s="479">
        <v>31.58</v>
      </c>
      <c r="E7394" s="368"/>
      <c r="F7394" s="368"/>
    </row>
    <row r="7395" spans="1:6" ht="38.25" x14ac:dyDescent="0.2">
      <c r="A7395" s="391">
        <v>104971</v>
      </c>
      <c r="B7395" s="478" t="s">
        <v>5026</v>
      </c>
      <c r="C7395" s="391" t="s">
        <v>255</v>
      </c>
      <c r="D7395" s="479">
        <v>32.299999999999997</v>
      </c>
      <c r="E7395" s="368"/>
      <c r="F7395" s="368"/>
    </row>
    <row r="7396" spans="1:6" ht="38.25" x14ac:dyDescent="0.2">
      <c r="A7396" s="391">
        <v>104965</v>
      </c>
      <c r="B7396" s="478" t="s">
        <v>5020</v>
      </c>
      <c r="C7396" s="391" t="s">
        <v>255</v>
      </c>
      <c r="D7396" s="479">
        <v>44.57</v>
      </c>
      <c r="E7396" s="368"/>
      <c r="F7396" s="368"/>
    </row>
    <row r="7397" spans="1:6" ht="38.25" x14ac:dyDescent="0.2">
      <c r="A7397" s="391">
        <v>104975</v>
      </c>
      <c r="B7397" s="478" t="s">
        <v>5030</v>
      </c>
      <c r="C7397" s="391" t="s">
        <v>255</v>
      </c>
      <c r="D7397" s="479">
        <v>28.41</v>
      </c>
      <c r="E7397" s="368"/>
      <c r="F7397" s="368"/>
    </row>
    <row r="7398" spans="1:6" ht="38.25" x14ac:dyDescent="0.2">
      <c r="A7398" s="391">
        <v>104957</v>
      </c>
      <c r="B7398" s="478" t="s">
        <v>5012</v>
      </c>
      <c r="C7398" s="391" t="s">
        <v>255</v>
      </c>
      <c r="D7398" s="479">
        <v>40.69</v>
      </c>
      <c r="E7398" s="368"/>
      <c r="F7398" s="368"/>
    </row>
    <row r="7399" spans="1:6" ht="38.25" x14ac:dyDescent="0.2">
      <c r="A7399" s="391">
        <v>104967</v>
      </c>
      <c r="B7399" s="478" t="s">
        <v>5022</v>
      </c>
      <c r="C7399" s="391" t="s">
        <v>255</v>
      </c>
      <c r="D7399" s="479">
        <v>38.82</v>
      </c>
      <c r="E7399" s="368"/>
      <c r="F7399" s="368"/>
    </row>
    <row r="7400" spans="1:6" ht="38.25" x14ac:dyDescent="0.2">
      <c r="A7400" s="391">
        <v>104961</v>
      </c>
      <c r="B7400" s="478" t="s">
        <v>5016</v>
      </c>
      <c r="C7400" s="391" t="s">
        <v>255</v>
      </c>
      <c r="D7400" s="479">
        <v>51.1</v>
      </c>
      <c r="E7400" s="368"/>
      <c r="F7400" s="368"/>
    </row>
    <row r="7401" spans="1:6" ht="38.25" x14ac:dyDescent="0.2">
      <c r="A7401" s="391">
        <v>87549</v>
      </c>
      <c r="B7401" s="478" t="s">
        <v>4882</v>
      </c>
      <c r="C7401" s="391" t="s">
        <v>255</v>
      </c>
      <c r="D7401" s="479">
        <v>25.09</v>
      </c>
      <c r="E7401" s="368"/>
      <c r="F7401" s="368"/>
    </row>
    <row r="7402" spans="1:6" ht="38.25" x14ac:dyDescent="0.2">
      <c r="A7402" s="391">
        <v>87531</v>
      </c>
      <c r="B7402" s="478" t="s">
        <v>4872</v>
      </c>
      <c r="C7402" s="391" t="s">
        <v>255</v>
      </c>
      <c r="D7402" s="479">
        <v>35.409999999999997</v>
      </c>
      <c r="E7402" s="368"/>
      <c r="F7402" s="368"/>
    </row>
    <row r="7403" spans="1:6" ht="38.25" x14ac:dyDescent="0.2">
      <c r="A7403" s="391">
        <v>87553</v>
      </c>
      <c r="B7403" s="478" t="s">
        <v>4884</v>
      </c>
      <c r="C7403" s="391" t="s">
        <v>255</v>
      </c>
      <c r="D7403" s="479">
        <v>22.57</v>
      </c>
      <c r="E7403" s="368"/>
      <c r="F7403" s="368"/>
    </row>
    <row r="7404" spans="1:6" ht="38.25" x14ac:dyDescent="0.2">
      <c r="A7404" s="391">
        <v>87535</v>
      </c>
      <c r="B7404" s="478" t="s">
        <v>4874</v>
      </c>
      <c r="C7404" s="391" t="s">
        <v>255</v>
      </c>
      <c r="D7404" s="479">
        <v>32.909999999999997</v>
      </c>
      <c r="E7404" s="368"/>
      <c r="F7404" s="368"/>
    </row>
    <row r="7405" spans="1:6" ht="38.25" x14ac:dyDescent="0.2">
      <c r="A7405" s="391">
        <v>87527</v>
      </c>
      <c r="B7405" s="478" t="s">
        <v>4868</v>
      </c>
      <c r="C7405" s="391" t="s">
        <v>255</v>
      </c>
      <c r="D7405" s="479">
        <v>39.619999999999997</v>
      </c>
      <c r="E7405" s="368"/>
      <c r="F7405" s="368"/>
    </row>
    <row r="7406" spans="1:6" ht="38.25" x14ac:dyDescent="0.2">
      <c r="A7406" s="391">
        <v>87545</v>
      </c>
      <c r="B7406" s="478" t="s">
        <v>4878</v>
      </c>
      <c r="C7406" s="391" t="s">
        <v>255</v>
      </c>
      <c r="D7406" s="479">
        <v>29.3</v>
      </c>
      <c r="E7406" s="368"/>
      <c r="F7406" s="368"/>
    </row>
    <row r="7407" spans="1:6" ht="38.25" x14ac:dyDescent="0.2">
      <c r="A7407" s="391">
        <v>104960</v>
      </c>
      <c r="B7407" s="478" t="s">
        <v>5015</v>
      </c>
      <c r="C7407" s="391" t="s">
        <v>255</v>
      </c>
      <c r="D7407" s="479">
        <v>55.77</v>
      </c>
      <c r="E7407" s="368"/>
      <c r="F7407" s="368"/>
    </row>
    <row r="7408" spans="1:6" ht="38.25" x14ac:dyDescent="0.2">
      <c r="A7408" s="391">
        <v>87561</v>
      </c>
      <c r="B7408" s="478" t="s">
        <v>4887</v>
      </c>
      <c r="C7408" s="391" t="s">
        <v>255</v>
      </c>
      <c r="D7408" s="479">
        <v>56.7</v>
      </c>
      <c r="E7408" s="368"/>
      <c r="F7408" s="368"/>
    </row>
    <row r="7409" spans="1:6" ht="38.25" x14ac:dyDescent="0.2">
      <c r="A7409" s="391">
        <v>104953</v>
      </c>
      <c r="B7409" s="478" t="s">
        <v>5008</v>
      </c>
      <c r="C7409" s="391" t="s">
        <v>255</v>
      </c>
      <c r="D7409" s="479">
        <v>86</v>
      </c>
      <c r="E7409" s="368"/>
      <c r="F7409" s="368"/>
    </row>
    <row r="7410" spans="1:6" ht="38.25" x14ac:dyDescent="0.2">
      <c r="A7410" s="391">
        <v>87543</v>
      </c>
      <c r="B7410" s="478" t="s">
        <v>4877</v>
      </c>
      <c r="C7410" s="391" t="s">
        <v>255</v>
      </c>
      <c r="D7410" s="479">
        <v>32.42</v>
      </c>
      <c r="E7410" s="368"/>
      <c r="F7410" s="368"/>
    </row>
    <row r="7411" spans="1:6" ht="38.25" x14ac:dyDescent="0.2">
      <c r="A7411" s="391">
        <v>104959</v>
      </c>
      <c r="B7411" s="478" t="s">
        <v>5014</v>
      </c>
      <c r="C7411" s="391" t="s">
        <v>255</v>
      </c>
      <c r="D7411" s="479">
        <v>25.48</v>
      </c>
      <c r="E7411" s="368"/>
      <c r="F7411" s="368"/>
    </row>
    <row r="7412" spans="1:6" ht="38.25" x14ac:dyDescent="0.2">
      <c r="A7412" s="391">
        <v>104958</v>
      </c>
      <c r="B7412" s="478" t="s">
        <v>5013</v>
      </c>
      <c r="C7412" s="391" t="s">
        <v>255</v>
      </c>
      <c r="D7412" s="479">
        <v>23.2</v>
      </c>
      <c r="E7412" s="368"/>
      <c r="F7412" s="368"/>
    </row>
    <row r="7413" spans="1:6" ht="38.25" x14ac:dyDescent="0.2">
      <c r="A7413" s="391">
        <v>104970</v>
      </c>
      <c r="B7413" s="478" t="s">
        <v>5025</v>
      </c>
      <c r="C7413" s="391" t="s">
        <v>255</v>
      </c>
      <c r="D7413" s="479">
        <v>36.46</v>
      </c>
      <c r="E7413" s="368"/>
      <c r="F7413" s="368"/>
    </row>
    <row r="7414" spans="1:6" ht="38.25" x14ac:dyDescent="0.2">
      <c r="A7414" s="391">
        <v>104964</v>
      </c>
      <c r="B7414" s="478" t="s">
        <v>5019</v>
      </c>
      <c r="C7414" s="391" t="s">
        <v>255</v>
      </c>
      <c r="D7414" s="479">
        <v>50.02</v>
      </c>
      <c r="E7414" s="368"/>
      <c r="F7414" s="368"/>
    </row>
    <row r="7415" spans="1:6" ht="38.25" x14ac:dyDescent="0.2">
      <c r="A7415" s="391">
        <v>104956</v>
      </c>
      <c r="B7415" s="478" t="s">
        <v>5011</v>
      </c>
      <c r="C7415" s="391" t="s">
        <v>255</v>
      </c>
      <c r="D7415" s="479">
        <v>45.22</v>
      </c>
      <c r="E7415" s="368"/>
      <c r="F7415" s="368"/>
    </row>
    <row r="7416" spans="1:6" ht="38.25" x14ac:dyDescent="0.2">
      <c r="A7416" s="391">
        <v>104974</v>
      </c>
      <c r="B7416" s="478" t="s">
        <v>5029</v>
      </c>
      <c r="C7416" s="391" t="s">
        <v>255</v>
      </c>
      <c r="D7416" s="479">
        <v>31.66</v>
      </c>
      <c r="E7416" s="368"/>
      <c r="F7416" s="368"/>
    </row>
    <row r="7417" spans="1:6" ht="38.25" x14ac:dyDescent="0.2">
      <c r="A7417" s="391">
        <v>87548</v>
      </c>
      <c r="B7417" s="478" t="s">
        <v>4881</v>
      </c>
      <c r="C7417" s="391" t="s">
        <v>255</v>
      </c>
      <c r="D7417" s="479">
        <v>28.58</v>
      </c>
      <c r="E7417" s="368"/>
      <c r="F7417" s="368"/>
    </row>
    <row r="7418" spans="1:6" ht="38.25" x14ac:dyDescent="0.2">
      <c r="A7418" s="391">
        <v>87530</v>
      </c>
      <c r="B7418" s="478" t="s">
        <v>4871</v>
      </c>
      <c r="C7418" s="391" t="s">
        <v>255</v>
      </c>
      <c r="D7418" s="479">
        <v>40.200000000000003</v>
      </c>
      <c r="E7418" s="368"/>
      <c r="F7418" s="368"/>
    </row>
    <row r="7419" spans="1:6" ht="38.25" x14ac:dyDescent="0.2">
      <c r="A7419" s="391">
        <v>104952</v>
      </c>
      <c r="B7419" s="478" t="s">
        <v>5007</v>
      </c>
      <c r="C7419" s="391" t="s">
        <v>255</v>
      </c>
      <c r="D7419" s="479">
        <v>37.1</v>
      </c>
      <c r="E7419" s="368"/>
      <c r="F7419" s="368"/>
    </row>
    <row r="7420" spans="1:6" ht="38.25" x14ac:dyDescent="0.2">
      <c r="A7420" s="391">
        <v>104969</v>
      </c>
      <c r="B7420" s="478" t="s">
        <v>5024</v>
      </c>
      <c r="C7420" s="391" t="s">
        <v>255</v>
      </c>
      <c r="D7420" s="479">
        <v>34.18</v>
      </c>
      <c r="E7420" s="368"/>
      <c r="F7420" s="368"/>
    </row>
    <row r="7421" spans="1:6" ht="38.25" x14ac:dyDescent="0.2">
      <c r="A7421" s="391">
        <v>104963</v>
      </c>
      <c r="B7421" s="478" t="s">
        <v>5018</v>
      </c>
      <c r="C7421" s="391" t="s">
        <v>255</v>
      </c>
      <c r="D7421" s="479">
        <v>46.45</v>
      </c>
      <c r="E7421" s="368"/>
      <c r="F7421" s="368"/>
    </row>
    <row r="7422" spans="1:6" ht="38.25" x14ac:dyDescent="0.2">
      <c r="A7422" s="391">
        <v>104955</v>
      </c>
      <c r="B7422" s="478" t="s">
        <v>5010</v>
      </c>
      <c r="C7422" s="391" t="s">
        <v>255</v>
      </c>
      <c r="D7422" s="479">
        <v>41.65</v>
      </c>
      <c r="E7422" s="368"/>
      <c r="F7422" s="368"/>
    </row>
    <row r="7423" spans="1:6" ht="38.25" x14ac:dyDescent="0.2">
      <c r="A7423" s="391">
        <v>104973</v>
      </c>
      <c r="B7423" s="478" t="s">
        <v>5028</v>
      </c>
      <c r="C7423" s="391" t="s">
        <v>255</v>
      </c>
      <c r="D7423" s="479">
        <v>29.38</v>
      </c>
      <c r="E7423" s="368"/>
      <c r="F7423" s="368"/>
    </row>
    <row r="7424" spans="1:6" ht="38.25" x14ac:dyDescent="0.2">
      <c r="A7424" s="391">
        <v>87547</v>
      </c>
      <c r="B7424" s="478" t="s">
        <v>4880</v>
      </c>
      <c r="C7424" s="391" t="s">
        <v>255</v>
      </c>
      <c r="D7424" s="479">
        <v>26.3</v>
      </c>
      <c r="E7424" s="368"/>
      <c r="F7424" s="368"/>
    </row>
    <row r="7425" spans="1:6" ht="38.25" x14ac:dyDescent="0.2">
      <c r="A7425" s="391">
        <v>87529</v>
      </c>
      <c r="B7425" s="478" t="s">
        <v>4870</v>
      </c>
      <c r="C7425" s="391" t="s">
        <v>255</v>
      </c>
      <c r="D7425" s="479">
        <v>36.630000000000003</v>
      </c>
      <c r="E7425" s="368"/>
      <c r="F7425" s="368"/>
    </row>
    <row r="7426" spans="1:6" ht="38.25" x14ac:dyDescent="0.2">
      <c r="A7426" s="391">
        <v>104951</v>
      </c>
      <c r="B7426" s="478" t="s">
        <v>5006</v>
      </c>
      <c r="C7426" s="391" t="s">
        <v>255</v>
      </c>
      <c r="D7426" s="479">
        <v>33.53</v>
      </c>
      <c r="E7426" s="368"/>
      <c r="F7426" s="368"/>
    </row>
    <row r="7427" spans="1:6" ht="38.25" x14ac:dyDescent="0.2">
      <c r="A7427" s="391">
        <v>104978</v>
      </c>
      <c r="B7427" s="478" t="s">
        <v>5033</v>
      </c>
      <c r="C7427" s="391" t="s">
        <v>255</v>
      </c>
      <c r="D7427" s="479">
        <v>36.56</v>
      </c>
      <c r="E7427" s="368"/>
      <c r="F7427" s="368"/>
    </row>
    <row r="7428" spans="1:6" ht="38.25" x14ac:dyDescent="0.2">
      <c r="A7428" s="391">
        <v>104977</v>
      </c>
      <c r="B7428" s="478" t="s">
        <v>5032</v>
      </c>
      <c r="C7428" s="391" t="s">
        <v>255</v>
      </c>
      <c r="D7428" s="479">
        <v>48.66</v>
      </c>
      <c r="E7428" s="368"/>
      <c r="F7428" s="368"/>
    </row>
    <row r="7429" spans="1:6" ht="25.5" x14ac:dyDescent="0.2">
      <c r="A7429" s="391">
        <v>90408</v>
      </c>
      <c r="B7429" s="478" t="s">
        <v>4938</v>
      </c>
      <c r="C7429" s="391" t="s">
        <v>255</v>
      </c>
      <c r="D7429" s="479">
        <v>32.11</v>
      </c>
      <c r="E7429" s="368"/>
      <c r="F7429" s="368"/>
    </row>
    <row r="7430" spans="1:6" ht="25.5" x14ac:dyDescent="0.2">
      <c r="A7430" s="391">
        <v>90406</v>
      </c>
      <c r="B7430" s="478" t="s">
        <v>4937</v>
      </c>
      <c r="C7430" s="391" t="s">
        <v>255</v>
      </c>
      <c r="D7430" s="479">
        <v>43.26</v>
      </c>
      <c r="E7430" s="368"/>
      <c r="F7430" s="368"/>
    </row>
    <row r="7431" spans="1:6" ht="38.25" x14ac:dyDescent="0.2">
      <c r="A7431" s="391">
        <v>103313</v>
      </c>
      <c r="B7431" s="478" t="s">
        <v>41630</v>
      </c>
      <c r="C7431" s="391" t="s">
        <v>26</v>
      </c>
      <c r="D7431" s="479">
        <v>0</v>
      </c>
      <c r="E7431" s="368"/>
      <c r="F7431" s="368"/>
    </row>
    <row r="7432" spans="1:6" ht="38.25" x14ac:dyDescent="0.2">
      <c r="A7432" s="391">
        <v>103309</v>
      </c>
      <c r="B7432" s="478" t="s">
        <v>41631</v>
      </c>
      <c r="C7432" s="391" t="s">
        <v>26</v>
      </c>
      <c r="D7432" s="479">
        <v>0</v>
      </c>
      <c r="E7432" s="368"/>
      <c r="F7432" s="368"/>
    </row>
    <row r="7433" spans="1:6" ht="38.25" x14ac:dyDescent="0.2">
      <c r="A7433" s="391">
        <v>103312</v>
      </c>
      <c r="B7433" s="478" t="s">
        <v>41632</v>
      </c>
      <c r="C7433" s="391" t="s">
        <v>26</v>
      </c>
      <c r="D7433" s="479">
        <v>0</v>
      </c>
      <c r="E7433" s="368"/>
      <c r="F7433" s="368"/>
    </row>
    <row r="7434" spans="1:6" ht="25.5" x14ac:dyDescent="0.2">
      <c r="A7434" s="391">
        <v>103296</v>
      </c>
      <c r="B7434" s="478" t="s">
        <v>41633</v>
      </c>
      <c r="C7434" s="391" t="s">
        <v>26</v>
      </c>
      <c r="D7434" s="479">
        <v>0</v>
      </c>
      <c r="E7434" s="368"/>
      <c r="F7434" s="368"/>
    </row>
    <row r="7435" spans="1:6" ht="25.5" x14ac:dyDescent="0.2">
      <c r="A7435" s="391">
        <v>103300</v>
      </c>
      <c r="B7435" s="478" t="s">
        <v>41634</v>
      </c>
      <c r="C7435" s="391" t="s">
        <v>26</v>
      </c>
      <c r="D7435" s="479">
        <v>0</v>
      </c>
      <c r="E7435" s="368"/>
      <c r="F7435" s="368"/>
    </row>
    <row r="7436" spans="1:6" ht="25.5" x14ac:dyDescent="0.2">
      <c r="A7436" s="391">
        <v>103301</v>
      </c>
      <c r="B7436" s="478" t="s">
        <v>41635</v>
      </c>
      <c r="C7436" s="391" t="s">
        <v>26</v>
      </c>
      <c r="D7436" s="479">
        <v>0</v>
      </c>
      <c r="E7436" s="368"/>
      <c r="F7436" s="368"/>
    </row>
    <row r="7437" spans="1:6" ht="38.25" x14ac:dyDescent="0.2">
      <c r="A7437" s="391">
        <v>103304</v>
      </c>
      <c r="B7437" s="478" t="s">
        <v>5576</v>
      </c>
      <c r="C7437" s="391" t="s">
        <v>26</v>
      </c>
      <c r="D7437" s="479">
        <v>1248.06</v>
      </c>
      <c r="E7437" s="368"/>
      <c r="F7437" s="368"/>
    </row>
    <row r="7438" spans="1:6" ht="38.25" x14ac:dyDescent="0.2">
      <c r="A7438" s="391">
        <v>103305</v>
      </c>
      <c r="B7438" s="478" t="s">
        <v>41636</v>
      </c>
      <c r="C7438" s="391" t="s">
        <v>26</v>
      </c>
      <c r="D7438" s="479">
        <v>0</v>
      </c>
      <c r="E7438" s="368"/>
      <c r="F7438" s="368"/>
    </row>
    <row r="7439" spans="1:6" ht="38.25" x14ac:dyDescent="0.2">
      <c r="A7439" s="391">
        <v>103294</v>
      </c>
      <c r="B7439" s="478" t="s">
        <v>41637</v>
      </c>
      <c r="C7439" s="391" t="s">
        <v>26</v>
      </c>
      <c r="D7439" s="479">
        <v>0</v>
      </c>
      <c r="E7439" s="368"/>
      <c r="F7439" s="368"/>
    </row>
    <row r="7440" spans="1:6" ht="25.5" x14ac:dyDescent="0.2">
      <c r="A7440" s="391">
        <v>103298</v>
      </c>
      <c r="B7440" s="478" t="s">
        <v>41638</v>
      </c>
      <c r="C7440" s="391" t="s">
        <v>26</v>
      </c>
      <c r="D7440" s="479">
        <v>0</v>
      </c>
      <c r="E7440" s="368"/>
      <c r="F7440" s="368"/>
    </row>
    <row r="7441" spans="1:6" ht="38.25" x14ac:dyDescent="0.2">
      <c r="A7441" s="391">
        <v>103293</v>
      </c>
      <c r="B7441" s="478" t="s">
        <v>41639</v>
      </c>
      <c r="C7441" s="391" t="s">
        <v>26</v>
      </c>
      <c r="D7441" s="479">
        <v>0</v>
      </c>
      <c r="E7441" s="368"/>
      <c r="F7441" s="368"/>
    </row>
    <row r="7442" spans="1:6" ht="25.5" x14ac:dyDescent="0.2">
      <c r="A7442" s="391">
        <v>103297</v>
      </c>
      <c r="B7442" s="478" t="s">
        <v>41640</v>
      </c>
      <c r="C7442" s="391" t="s">
        <v>26</v>
      </c>
      <c r="D7442" s="479">
        <v>0</v>
      </c>
      <c r="E7442" s="368"/>
      <c r="F7442" s="368"/>
    </row>
    <row r="7443" spans="1:6" ht="38.25" x14ac:dyDescent="0.2">
      <c r="A7443" s="391">
        <v>103311</v>
      </c>
      <c r="B7443" s="478" t="s">
        <v>41641</v>
      </c>
      <c r="C7443" s="391" t="s">
        <v>26</v>
      </c>
      <c r="D7443" s="479">
        <v>0</v>
      </c>
      <c r="E7443" s="368"/>
      <c r="F7443" s="368"/>
    </row>
    <row r="7444" spans="1:6" ht="51" x14ac:dyDescent="0.2">
      <c r="A7444" s="391">
        <v>103306</v>
      </c>
      <c r="B7444" s="478" t="s">
        <v>41642</v>
      </c>
      <c r="C7444" s="391" t="s">
        <v>26</v>
      </c>
      <c r="D7444" s="479">
        <v>0</v>
      </c>
      <c r="E7444" s="368"/>
      <c r="F7444" s="368"/>
    </row>
    <row r="7445" spans="1:6" ht="38.25" x14ac:dyDescent="0.2">
      <c r="A7445" s="391">
        <v>103308</v>
      </c>
      <c r="B7445" s="478" t="s">
        <v>41643</v>
      </c>
      <c r="C7445" s="391" t="s">
        <v>26</v>
      </c>
      <c r="D7445" s="479">
        <v>0</v>
      </c>
      <c r="E7445" s="368"/>
      <c r="F7445" s="368"/>
    </row>
    <row r="7446" spans="1:6" ht="38.25" x14ac:dyDescent="0.2">
      <c r="A7446" s="391">
        <v>103295</v>
      </c>
      <c r="B7446" s="478" t="s">
        <v>41644</v>
      </c>
      <c r="C7446" s="391" t="s">
        <v>26</v>
      </c>
      <c r="D7446" s="479">
        <v>0</v>
      </c>
      <c r="E7446" s="368"/>
      <c r="F7446" s="368"/>
    </row>
    <row r="7447" spans="1:6" ht="38.25" x14ac:dyDescent="0.2">
      <c r="A7447" s="391">
        <v>103299</v>
      </c>
      <c r="B7447" s="478" t="s">
        <v>41645</v>
      </c>
      <c r="C7447" s="391" t="s">
        <v>26</v>
      </c>
      <c r="D7447" s="479">
        <v>0</v>
      </c>
      <c r="E7447" s="368"/>
      <c r="F7447" s="368"/>
    </row>
    <row r="7448" spans="1:6" ht="25.5" x14ac:dyDescent="0.2">
      <c r="A7448" s="391">
        <v>103302</v>
      </c>
      <c r="B7448" s="478" t="s">
        <v>41646</v>
      </c>
      <c r="C7448" s="391" t="s">
        <v>26</v>
      </c>
      <c r="D7448" s="479">
        <v>0</v>
      </c>
      <c r="E7448" s="368"/>
      <c r="F7448" s="368"/>
    </row>
    <row r="7449" spans="1:6" ht="38.25" x14ac:dyDescent="0.2">
      <c r="A7449" s="391">
        <v>103307</v>
      </c>
      <c r="B7449" s="478" t="s">
        <v>5577</v>
      </c>
      <c r="C7449" s="391" t="s">
        <v>26</v>
      </c>
      <c r="D7449" s="479">
        <v>1337.71</v>
      </c>
      <c r="E7449" s="368"/>
      <c r="F7449" s="368"/>
    </row>
    <row r="7450" spans="1:6" ht="38.25" x14ac:dyDescent="0.2">
      <c r="A7450" s="391">
        <v>103310</v>
      </c>
      <c r="B7450" s="478" t="s">
        <v>5578</v>
      </c>
      <c r="C7450" s="391" t="s">
        <v>26</v>
      </c>
      <c r="D7450" s="479">
        <v>1286.82</v>
      </c>
      <c r="E7450" s="368"/>
      <c r="F7450" s="368"/>
    </row>
    <row r="7451" spans="1:6" ht="25.5" x14ac:dyDescent="0.2">
      <c r="A7451" s="391">
        <v>103303</v>
      </c>
      <c r="B7451" s="478" t="s">
        <v>41647</v>
      </c>
      <c r="C7451" s="391" t="s">
        <v>26</v>
      </c>
      <c r="D7451" s="479">
        <v>0</v>
      </c>
      <c r="E7451" s="368"/>
      <c r="F7451" s="368"/>
    </row>
    <row r="7452" spans="1:6" ht="38.25" x14ac:dyDescent="0.2">
      <c r="A7452" s="391">
        <v>103314</v>
      </c>
      <c r="B7452" s="478" t="s">
        <v>5579</v>
      </c>
      <c r="C7452" s="391" t="s">
        <v>255</v>
      </c>
      <c r="D7452" s="479">
        <v>283.37</v>
      </c>
      <c r="E7452" s="368"/>
      <c r="F7452" s="368"/>
    </row>
    <row r="7453" spans="1:6" ht="25.5" x14ac:dyDescent="0.2">
      <c r="A7453" s="391">
        <v>103315</v>
      </c>
      <c r="B7453" s="478" t="s">
        <v>5580</v>
      </c>
      <c r="C7453" s="391" t="s">
        <v>255</v>
      </c>
      <c r="D7453" s="479">
        <v>274.85000000000002</v>
      </c>
      <c r="E7453" s="368"/>
      <c r="F7453" s="368"/>
    </row>
    <row r="7454" spans="1:6" ht="38.25" x14ac:dyDescent="0.2">
      <c r="A7454" s="391">
        <v>105188</v>
      </c>
      <c r="B7454" s="478" t="s">
        <v>39069</v>
      </c>
      <c r="C7454" s="391" t="s">
        <v>255</v>
      </c>
      <c r="D7454" s="479">
        <v>204.02</v>
      </c>
      <c r="E7454" s="368"/>
      <c r="F7454" s="368"/>
    </row>
    <row r="7455" spans="1:6" ht="38.25" x14ac:dyDescent="0.2">
      <c r="A7455" s="391">
        <v>87841</v>
      </c>
      <c r="B7455" s="478" t="s">
        <v>4932</v>
      </c>
      <c r="C7455" s="391" t="s">
        <v>255</v>
      </c>
      <c r="D7455" s="479">
        <v>185.19</v>
      </c>
      <c r="E7455" s="368"/>
      <c r="F7455" s="368"/>
    </row>
    <row r="7456" spans="1:6" ht="38.25" x14ac:dyDescent="0.2">
      <c r="A7456" s="391">
        <v>87853</v>
      </c>
      <c r="B7456" s="478" t="s">
        <v>4936</v>
      </c>
      <c r="C7456" s="391" t="s">
        <v>255</v>
      </c>
      <c r="D7456" s="479">
        <v>206.15</v>
      </c>
      <c r="E7456" s="368"/>
      <c r="F7456" s="368"/>
    </row>
    <row r="7457" spans="1:6" ht="38.25" x14ac:dyDescent="0.2">
      <c r="A7457" s="391">
        <v>105187</v>
      </c>
      <c r="B7457" s="478" t="s">
        <v>39068</v>
      </c>
      <c r="C7457" s="391" t="s">
        <v>255</v>
      </c>
      <c r="D7457" s="479">
        <v>280.01</v>
      </c>
      <c r="E7457" s="368"/>
      <c r="F7457" s="368"/>
    </row>
    <row r="7458" spans="1:6" ht="38.25" x14ac:dyDescent="0.2">
      <c r="A7458" s="391">
        <v>87840</v>
      </c>
      <c r="B7458" s="478" t="s">
        <v>4931</v>
      </c>
      <c r="C7458" s="391" t="s">
        <v>255</v>
      </c>
      <c r="D7458" s="479">
        <v>261.19</v>
      </c>
      <c r="E7458" s="368"/>
      <c r="F7458" s="368"/>
    </row>
    <row r="7459" spans="1:6" ht="38.25" x14ac:dyDescent="0.2">
      <c r="A7459" s="391">
        <v>87852</v>
      </c>
      <c r="B7459" s="478" t="s">
        <v>4935</v>
      </c>
      <c r="C7459" s="391" t="s">
        <v>255</v>
      </c>
      <c r="D7459" s="479">
        <v>282.14</v>
      </c>
      <c r="E7459" s="368"/>
      <c r="F7459" s="368"/>
    </row>
    <row r="7460" spans="1:6" ht="38.25" x14ac:dyDescent="0.2">
      <c r="A7460" s="391">
        <v>105186</v>
      </c>
      <c r="B7460" s="478" t="s">
        <v>39067</v>
      </c>
      <c r="C7460" s="391" t="s">
        <v>255</v>
      </c>
      <c r="D7460" s="479">
        <v>210.05</v>
      </c>
      <c r="E7460" s="368"/>
      <c r="F7460" s="368"/>
    </row>
    <row r="7461" spans="1:6" ht="38.25" x14ac:dyDescent="0.2">
      <c r="A7461" s="391">
        <v>87839</v>
      </c>
      <c r="B7461" s="478" t="s">
        <v>4930</v>
      </c>
      <c r="C7461" s="391" t="s">
        <v>255</v>
      </c>
      <c r="D7461" s="479">
        <v>191.53</v>
      </c>
      <c r="E7461" s="368"/>
      <c r="F7461" s="368"/>
    </row>
    <row r="7462" spans="1:6" ht="38.25" x14ac:dyDescent="0.2">
      <c r="A7462" s="391">
        <v>87851</v>
      </c>
      <c r="B7462" s="478" t="s">
        <v>4934</v>
      </c>
      <c r="C7462" s="391" t="s">
        <v>255</v>
      </c>
      <c r="D7462" s="479">
        <v>212.82</v>
      </c>
      <c r="E7462" s="368"/>
      <c r="F7462" s="368"/>
    </row>
    <row r="7463" spans="1:6" ht="38.25" x14ac:dyDescent="0.2">
      <c r="A7463" s="391">
        <v>105185</v>
      </c>
      <c r="B7463" s="478" t="s">
        <v>39066</v>
      </c>
      <c r="C7463" s="391" t="s">
        <v>255</v>
      </c>
      <c r="D7463" s="479">
        <v>286.66000000000003</v>
      </c>
      <c r="E7463" s="368"/>
      <c r="F7463" s="368"/>
    </row>
    <row r="7464" spans="1:6" ht="38.25" x14ac:dyDescent="0.2">
      <c r="A7464" s="391">
        <v>87838</v>
      </c>
      <c r="B7464" s="478" t="s">
        <v>4929</v>
      </c>
      <c r="C7464" s="391" t="s">
        <v>255</v>
      </c>
      <c r="D7464" s="479">
        <v>268.2</v>
      </c>
      <c r="E7464" s="368"/>
      <c r="F7464" s="368"/>
    </row>
    <row r="7465" spans="1:6" ht="38.25" x14ac:dyDescent="0.2">
      <c r="A7465" s="391">
        <v>87850</v>
      </c>
      <c r="B7465" s="478" t="s">
        <v>4933</v>
      </c>
      <c r="C7465" s="391" t="s">
        <v>255</v>
      </c>
      <c r="D7465" s="479">
        <v>289.49</v>
      </c>
      <c r="E7465" s="368"/>
      <c r="F7465" s="368"/>
    </row>
    <row r="7466" spans="1:6" x14ac:dyDescent="0.2">
      <c r="A7466" s="391">
        <v>105110</v>
      </c>
      <c r="B7466" s="478" t="s">
        <v>5348</v>
      </c>
      <c r="C7466" s="391" t="s">
        <v>0</v>
      </c>
      <c r="D7466" s="479">
        <v>178.73</v>
      </c>
      <c r="E7466" s="368"/>
      <c r="F7466" s="368"/>
    </row>
    <row r="7467" spans="1:6" x14ac:dyDescent="0.2">
      <c r="A7467" s="391">
        <v>105105</v>
      </c>
      <c r="B7467" s="478" t="s">
        <v>5345</v>
      </c>
      <c r="C7467" s="391" t="s">
        <v>0</v>
      </c>
      <c r="D7467" s="479">
        <v>58.04</v>
      </c>
      <c r="E7467" s="368"/>
      <c r="F7467" s="368"/>
    </row>
    <row r="7468" spans="1:6" x14ac:dyDescent="0.2">
      <c r="A7468" s="391">
        <v>105103</v>
      </c>
      <c r="B7468" s="478" t="s">
        <v>5343</v>
      </c>
      <c r="C7468" s="391" t="s">
        <v>0</v>
      </c>
      <c r="D7468" s="479">
        <v>82.66</v>
      </c>
      <c r="E7468" s="368"/>
      <c r="F7468" s="368"/>
    </row>
    <row r="7469" spans="1:6" x14ac:dyDescent="0.2">
      <c r="A7469" s="391">
        <v>105112</v>
      </c>
      <c r="B7469" s="478" t="s">
        <v>5350</v>
      </c>
      <c r="C7469" s="391" t="s">
        <v>0</v>
      </c>
      <c r="D7469" s="479">
        <v>149.24</v>
      </c>
      <c r="E7469" s="368"/>
      <c r="F7469" s="368"/>
    </row>
    <row r="7470" spans="1:6" ht="25.5" x14ac:dyDescent="0.2">
      <c r="A7470" s="391">
        <v>105109</v>
      </c>
      <c r="B7470" s="478" t="s">
        <v>41648</v>
      </c>
      <c r="C7470" s="391" t="s">
        <v>26</v>
      </c>
      <c r="D7470" s="479">
        <v>0</v>
      </c>
      <c r="E7470" s="368"/>
      <c r="F7470" s="368"/>
    </row>
    <row r="7471" spans="1:6" ht="25.5" x14ac:dyDescent="0.2">
      <c r="A7471" s="391">
        <v>105108</v>
      </c>
      <c r="B7471" s="478" t="s">
        <v>41649</v>
      </c>
      <c r="C7471" s="391" t="s">
        <v>26</v>
      </c>
      <c r="D7471" s="479">
        <v>0</v>
      </c>
      <c r="E7471" s="368"/>
      <c r="F7471" s="368"/>
    </row>
    <row r="7472" spans="1:6" x14ac:dyDescent="0.2">
      <c r="A7472" s="391">
        <v>105104</v>
      </c>
      <c r="B7472" s="478" t="s">
        <v>5344</v>
      </c>
      <c r="C7472" s="391" t="s">
        <v>26</v>
      </c>
      <c r="D7472" s="479">
        <v>4376.97</v>
      </c>
      <c r="E7472" s="368"/>
      <c r="F7472" s="368"/>
    </row>
    <row r="7473" spans="1:6" ht="25.5" x14ac:dyDescent="0.2">
      <c r="A7473" s="391">
        <v>105107</v>
      </c>
      <c r="B7473" s="478" t="s">
        <v>5347</v>
      </c>
      <c r="C7473" s="391" t="s">
        <v>26</v>
      </c>
      <c r="D7473" s="479">
        <v>2778.46</v>
      </c>
      <c r="E7473" s="368"/>
      <c r="F7473" s="368"/>
    </row>
    <row r="7474" spans="1:6" ht="25.5" x14ac:dyDescent="0.2">
      <c r="A7474" s="391">
        <v>105106</v>
      </c>
      <c r="B7474" s="478" t="s">
        <v>5346</v>
      </c>
      <c r="C7474" s="391" t="s">
        <v>26</v>
      </c>
      <c r="D7474" s="479">
        <v>1881.67</v>
      </c>
      <c r="E7474" s="368"/>
      <c r="F7474" s="368"/>
    </row>
    <row r="7475" spans="1:6" ht="25.5" x14ac:dyDescent="0.2">
      <c r="A7475" s="391">
        <v>105111</v>
      </c>
      <c r="B7475" s="478" t="s">
        <v>5349</v>
      </c>
      <c r="C7475" s="391" t="s">
        <v>26</v>
      </c>
      <c r="D7475" s="479">
        <v>17635.509999999998</v>
      </c>
      <c r="E7475" s="368"/>
      <c r="F7475" s="368"/>
    </row>
    <row r="7476" spans="1:6" x14ac:dyDescent="0.2">
      <c r="A7476" s="391">
        <v>98520</v>
      </c>
      <c r="B7476" s="478" t="s">
        <v>39783</v>
      </c>
      <c r="C7476" s="391" t="s">
        <v>255</v>
      </c>
      <c r="D7476" s="479">
        <v>8.57</v>
      </c>
      <c r="E7476" s="368"/>
      <c r="F7476" s="368"/>
    </row>
    <row r="7477" spans="1:6" x14ac:dyDescent="0.2">
      <c r="A7477" s="391">
        <v>98521</v>
      </c>
      <c r="B7477" s="478" t="s">
        <v>39784</v>
      </c>
      <c r="C7477" s="391" t="s">
        <v>255</v>
      </c>
      <c r="D7477" s="479">
        <v>0.34</v>
      </c>
      <c r="E7477" s="368"/>
      <c r="F7477" s="368"/>
    </row>
    <row r="7478" spans="1:6" x14ac:dyDescent="0.2">
      <c r="A7478" s="391">
        <v>105521</v>
      </c>
      <c r="B7478" s="478" t="s">
        <v>39785</v>
      </c>
      <c r="C7478" s="391" t="s">
        <v>255</v>
      </c>
      <c r="D7478" s="479">
        <v>5.43</v>
      </c>
      <c r="E7478" s="368"/>
      <c r="F7478" s="368"/>
    </row>
    <row r="7479" spans="1:6" x14ac:dyDescent="0.2">
      <c r="A7479" s="391">
        <v>98509</v>
      </c>
      <c r="B7479" s="478" t="s">
        <v>48024</v>
      </c>
      <c r="C7479" s="391" t="s">
        <v>26</v>
      </c>
      <c r="D7479" s="479">
        <v>81.569999999999993</v>
      </c>
      <c r="E7479" s="368"/>
      <c r="F7479" s="368"/>
    </row>
    <row r="7480" spans="1:6" ht="38.25" x14ac:dyDescent="0.2">
      <c r="A7480" s="391">
        <v>98507</v>
      </c>
      <c r="B7480" s="478" t="s">
        <v>41650</v>
      </c>
      <c r="C7480" s="391" t="s">
        <v>26</v>
      </c>
      <c r="D7480" s="479">
        <v>0</v>
      </c>
      <c r="E7480" s="368"/>
      <c r="F7480" s="368"/>
    </row>
    <row r="7481" spans="1:6" ht="25.5" x14ac:dyDescent="0.2">
      <c r="A7481" s="391">
        <v>98508</v>
      </c>
      <c r="B7481" s="478" t="s">
        <v>41651</v>
      </c>
      <c r="C7481" s="391" t="s">
        <v>26</v>
      </c>
      <c r="D7481" s="479">
        <v>0</v>
      </c>
      <c r="E7481" s="368"/>
      <c r="F7481" s="368"/>
    </row>
    <row r="7482" spans="1:6" ht="25.5" x14ac:dyDescent="0.2">
      <c r="A7482" s="391">
        <v>98506</v>
      </c>
      <c r="B7482" s="478" t="s">
        <v>41652</v>
      </c>
      <c r="C7482" s="391" t="s">
        <v>26</v>
      </c>
      <c r="D7482" s="479">
        <v>0</v>
      </c>
      <c r="E7482" s="368"/>
      <c r="F7482" s="368"/>
    </row>
    <row r="7483" spans="1:6" x14ac:dyDescent="0.2">
      <c r="A7483" s="391">
        <v>98505</v>
      </c>
      <c r="B7483" s="478" t="s">
        <v>39788</v>
      </c>
      <c r="C7483" s="391" t="s">
        <v>255</v>
      </c>
      <c r="D7483" s="479">
        <v>119.12</v>
      </c>
      <c r="E7483" s="368"/>
      <c r="F7483" s="368"/>
    </row>
    <row r="7484" spans="1:6" x14ac:dyDescent="0.2">
      <c r="A7484" s="391">
        <v>98504</v>
      </c>
      <c r="B7484" s="478" t="s">
        <v>39787</v>
      </c>
      <c r="C7484" s="391" t="s">
        <v>255</v>
      </c>
      <c r="D7484" s="479">
        <v>14.33</v>
      </c>
      <c r="E7484" s="368"/>
      <c r="F7484" s="368"/>
    </row>
    <row r="7485" spans="1:6" x14ac:dyDescent="0.2">
      <c r="A7485" s="391">
        <v>98503</v>
      </c>
      <c r="B7485" s="478" t="s">
        <v>39786</v>
      </c>
      <c r="C7485" s="391" t="s">
        <v>255</v>
      </c>
      <c r="D7485" s="479">
        <v>27.85</v>
      </c>
      <c r="E7485" s="368"/>
      <c r="F7485" s="368"/>
    </row>
    <row r="7486" spans="1:6" ht="25.5" x14ac:dyDescent="0.2">
      <c r="A7486" s="391">
        <v>103946</v>
      </c>
      <c r="B7486" s="478" t="s">
        <v>39789</v>
      </c>
      <c r="C7486" s="391" t="s">
        <v>255</v>
      </c>
      <c r="D7486" s="479">
        <v>18.62</v>
      </c>
      <c r="E7486" s="368"/>
      <c r="F7486" s="368"/>
    </row>
    <row r="7487" spans="1:6" ht="25.5" x14ac:dyDescent="0.2">
      <c r="A7487" s="391">
        <v>98517</v>
      </c>
      <c r="B7487" s="478" t="s">
        <v>41653</v>
      </c>
      <c r="C7487" s="391" t="s">
        <v>26</v>
      </c>
      <c r="D7487" s="479">
        <v>0</v>
      </c>
      <c r="E7487" s="368"/>
      <c r="F7487" s="368"/>
    </row>
    <row r="7488" spans="1:6" x14ac:dyDescent="0.2">
      <c r="A7488" s="391">
        <v>98518</v>
      </c>
      <c r="B7488" s="478" t="s">
        <v>41654</v>
      </c>
      <c r="C7488" s="391" t="s">
        <v>26</v>
      </c>
      <c r="D7488" s="479">
        <v>0</v>
      </c>
      <c r="E7488" s="368"/>
      <c r="F7488" s="368"/>
    </row>
    <row r="7489" spans="1:6" ht="25.5" x14ac:dyDescent="0.2">
      <c r="A7489" s="391">
        <v>98516</v>
      </c>
      <c r="B7489" s="478" t="s">
        <v>39781</v>
      </c>
      <c r="C7489" s="391" t="s">
        <v>26</v>
      </c>
      <c r="D7489" s="479">
        <v>390.75</v>
      </c>
      <c r="E7489" s="368"/>
      <c r="F7489" s="368"/>
    </row>
    <row r="7490" spans="1:6" ht="25.5" x14ac:dyDescent="0.2">
      <c r="A7490" s="391">
        <v>98514</v>
      </c>
      <c r="B7490" s="478" t="s">
        <v>41655</v>
      </c>
      <c r="C7490" s="391" t="s">
        <v>26</v>
      </c>
      <c r="D7490" s="479">
        <v>0</v>
      </c>
      <c r="E7490" s="368"/>
      <c r="F7490" s="368"/>
    </row>
    <row r="7491" spans="1:6" ht="25.5" x14ac:dyDescent="0.2">
      <c r="A7491" s="391">
        <v>98515</v>
      </c>
      <c r="B7491" s="478" t="s">
        <v>41656</v>
      </c>
      <c r="C7491" s="391" t="s">
        <v>26</v>
      </c>
      <c r="D7491" s="479">
        <v>0</v>
      </c>
      <c r="E7491" s="368"/>
      <c r="F7491" s="368"/>
    </row>
    <row r="7492" spans="1:6" ht="25.5" x14ac:dyDescent="0.2">
      <c r="A7492" s="391">
        <v>98513</v>
      </c>
      <c r="B7492" s="478" t="s">
        <v>41657</v>
      </c>
      <c r="C7492" s="391" t="s">
        <v>26</v>
      </c>
      <c r="D7492" s="479">
        <v>0</v>
      </c>
      <c r="E7492" s="368"/>
      <c r="F7492" s="368"/>
    </row>
    <row r="7493" spans="1:6" ht="25.5" x14ac:dyDescent="0.2">
      <c r="A7493" s="391">
        <v>98511</v>
      </c>
      <c r="B7493" s="478" t="s">
        <v>39780</v>
      </c>
      <c r="C7493" s="391" t="s">
        <v>26</v>
      </c>
      <c r="D7493" s="479">
        <v>228.21</v>
      </c>
      <c r="E7493" s="368"/>
      <c r="F7493" s="368"/>
    </row>
    <row r="7494" spans="1:6" ht="25.5" x14ac:dyDescent="0.2">
      <c r="A7494" s="391">
        <v>98512</v>
      </c>
      <c r="B7494" s="478" t="s">
        <v>41658</v>
      </c>
      <c r="C7494" s="391" t="s">
        <v>26</v>
      </c>
      <c r="D7494" s="479">
        <v>0</v>
      </c>
      <c r="E7494" s="368"/>
      <c r="F7494" s="368"/>
    </row>
    <row r="7495" spans="1:6" ht="25.5" x14ac:dyDescent="0.2">
      <c r="A7495" s="391">
        <v>98510</v>
      </c>
      <c r="B7495" s="478" t="s">
        <v>39779</v>
      </c>
      <c r="C7495" s="391" t="s">
        <v>26</v>
      </c>
      <c r="D7495" s="479">
        <v>123.37</v>
      </c>
      <c r="E7495" s="368"/>
      <c r="F7495" s="368"/>
    </row>
    <row r="7496" spans="1:6" x14ac:dyDescent="0.2">
      <c r="A7496" s="391">
        <v>98519</v>
      </c>
      <c r="B7496" s="478" t="s">
        <v>39782</v>
      </c>
      <c r="C7496" s="391" t="s">
        <v>255</v>
      </c>
      <c r="D7496" s="479">
        <v>3.65</v>
      </c>
      <c r="E7496" s="368"/>
      <c r="F7496" s="368"/>
    </row>
    <row r="7497" spans="1:6" ht="25.5" x14ac:dyDescent="0.2">
      <c r="A7497" s="391">
        <v>91599</v>
      </c>
      <c r="B7497" s="478" t="s">
        <v>40491</v>
      </c>
      <c r="C7497" s="391" t="s">
        <v>1284</v>
      </c>
      <c r="D7497" s="479">
        <v>7.34</v>
      </c>
      <c r="E7497" s="368"/>
      <c r="F7497" s="368"/>
    </row>
    <row r="7498" spans="1:6" ht="25.5" x14ac:dyDescent="0.2">
      <c r="A7498" s="391">
        <v>100065</v>
      </c>
      <c r="B7498" s="478" t="s">
        <v>41659</v>
      </c>
      <c r="C7498" s="391" t="s">
        <v>1284</v>
      </c>
      <c r="D7498" s="479">
        <v>0</v>
      </c>
      <c r="E7498" s="368"/>
      <c r="F7498" s="368"/>
    </row>
    <row r="7499" spans="1:6" ht="25.5" x14ac:dyDescent="0.2">
      <c r="A7499" s="391">
        <v>100069</v>
      </c>
      <c r="B7499" s="478" t="s">
        <v>41660</v>
      </c>
      <c r="C7499" s="391" t="s">
        <v>1284</v>
      </c>
      <c r="D7499" s="479">
        <v>0</v>
      </c>
      <c r="E7499" s="368"/>
      <c r="F7499" s="368"/>
    </row>
    <row r="7500" spans="1:6" ht="25.5" x14ac:dyDescent="0.2">
      <c r="A7500" s="391">
        <v>100063</v>
      </c>
      <c r="B7500" s="478" t="s">
        <v>41661</v>
      </c>
      <c r="C7500" s="391" t="s">
        <v>1284</v>
      </c>
      <c r="D7500" s="479">
        <v>0</v>
      </c>
      <c r="E7500" s="368"/>
      <c r="F7500" s="368"/>
    </row>
    <row r="7501" spans="1:6" ht="25.5" x14ac:dyDescent="0.2">
      <c r="A7501" s="391">
        <v>91597</v>
      </c>
      <c r="B7501" s="478" t="s">
        <v>40489</v>
      </c>
      <c r="C7501" s="391" t="s">
        <v>1284</v>
      </c>
      <c r="D7501" s="479">
        <v>6.99</v>
      </c>
      <c r="E7501" s="368"/>
      <c r="F7501" s="368"/>
    </row>
    <row r="7502" spans="1:6" ht="25.5" x14ac:dyDescent="0.2">
      <c r="A7502" s="391">
        <v>91598</v>
      </c>
      <c r="B7502" s="478" t="s">
        <v>40490</v>
      </c>
      <c r="C7502" s="391" t="s">
        <v>1284</v>
      </c>
      <c r="D7502" s="479">
        <v>8.98</v>
      </c>
      <c r="E7502" s="368"/>
      <c r="F7502" s="368"/>
    </row>
    <row r="7503" spans="1:6" ht="25.5" x14ac:dyDescent="0.2">
      <c r="A7503" s="391">
        <v>91596</v>
      </c>
      <c r="B7503" s="478" t="s">
        <v>40488</v>
      </c>
      <c r="C7503" s="391" t="s">
        <v>1284</v>
      </c>
      <c r="D7503" s="479">
        <v>9.24</v>
      </c>
      <c r="E7503" s="368"/>
      <c r="F7503" s="368"/>
    </row>
    <row r="7504" spans="1:6" ht="25.5" x14ac:dyDescent="0.2">
      <c r="A7504" s="391">
        <v>100064</v>
      </c>
      <c r="B7504" s="478" t="s">
        <v>40497</v>
      </c>
      <c r="C7504" s="391" t="s">
        <v>1284</v>
      </c>
      <c r="D7504" s="479">
        <v>9.16</v>
      </c>
      <c r="E7504" s="368"/>
      <c r="F7504" s="368"/>
    </row>
    <row r="7505" spans="1:6" ht="25.5" x14ac:dyDescent="0.2">
      <c r="A7505" s="391">
        <v>100066</v>
      </c>
      <c r="B7505" s="478" t="s">
        <v>40498</v>
      </c>
      <c r="C7505" s="391" t="s">
        <v>1284</v>
      </c>
      <c r="D7505" s="479">
        <v>9.17</v>
      </c>
      <c r="E7505" s="368"/>
      <c r="F7505" s="368"/>
    </row>
    <row r="7506" spans="1:6" ht="25.5" x14ac:dyDescent="0.2">
      <c r="A7506" s="391">
        <v>91603</v>
      </c>
      <c r="B7506" s="478" t="s">
        <v>40495</v>
      </c>
      <c r="C7506" s="391" t="s">
        <v>1284</v>
      </c>
      <c r="D7506" s="479">
        <v>10.06</v>
      </c>
      <c r="E7506" s="368"/>
      <c r="F7506" s="368"/>
    </row>
    <row r="7507" spans="1:6" ht="25.5" x14ac:dyDescent="0.2">
      <c r="A7507" s="391">
        <v>100068</v>
      </c>
      <c r="B7507" s="478" t="s">
        <v>40500</v>
      </c>
      <c r="C7507" s="391" t="s">
        <v>1284</v>
      </c>
      <c r="D7507" s="479">
        <v>8.66</v>
      </c>
      <c r="E7507" s="368"/>
      <c r="F7507" s="368"/>
    </row>
    <row r="7508" spans="1:6" ht="25.5" x14ac:dyDescent="0.2">
      <c r="A7508" s="391">
        <v>100067</v>
      </c>
      <c r="B7508" s="478" t="s">
        <v>40499</v>
      </c>
      <c r="C7508" s="391" t="s">
        <v>1284</v>
      </c>
      <c r="D7508" s="479">
        <v>11.78</v>
      </c>
      <c r="E7508" s="368"/>
      <c r="F7508" s="368"/>
    </row>
    <row r="7509" spans="1:6" ht="25.5" x14ac:dyDescent="0.2">
      <c r="A7509" s="391">
        <v>91601</v>
      </c>
      <c r="B7509" s="478" t="s">
        <v>40493</v>
      </c>
      <c r="C7509" s="391" t="s">
        <v>1284</v>
      </c>
      <c r="D7509" s="479">
        <v>12.12</v>
      </c>
      <c r="E7509" s="368"/>
      <c r="F7509" s="368"/>
    </row>
    <row r="7510" spans="1:6" ht="25.5" x14ac:dyDescent="0.2">
      <c r="A7510" s="391">
        <v>91602</v>
      </c>
      <c r="B7510" s="478" t="s">
        <v>40494</v>
      </c>
      <c r="C7510" s="391" t="s">
        <v>1284</v>
      </c>
      <c r="D7510" s="479">
        <v>11.28</v>
      </c>
      <c r="E7510" s="368"/>
      <c r="F7510" s="368"/>
    </row>
    <row r="7511" spans="1:6" ht="25.5" x14ac:dyDescent="0.2">
      <c r="A7511" s="391">
        <v>91593</v>
      </c>
      <c r="B7511" s="478" t="s">
        <v>40485</v>
      </c>
      <c r="C7511" s="391" t="s">
        <v>1284</v>
      </c>
      <c r="D7511" s="479">
        <v>9.27</v>
      </c>
      <c r="E7511" s="368"/>
      <c r="F7511" s="368"/>
    </row>
    <row r="7512" spans="1:6" ht="25.5" x14ac:dyDescent="0.2">
      <c r="A7512" s="391">
        <v>105814</v>
      </c>
      <c r="B7512" s="478" t="s">
        <v>40501</v>
      </c>
      <c r="C7512" s="391" t="s">
        <v>1284</v>
      </c>
      <c r="D7512" s="479">
        <v>8.98</v>
      </c>
      <c r="E7512" s="368"/>
      <c r="F7512" s="368"/>
    </row>
    <row r="7513" spans="1:6" ht="38.25" x14ac:dyDescent="0.2">
      <c r="A7513" s="391">
        <v>91594</v>
      </c>
      <c r="B7513" s="478" t="s">
        <v>40486</v>
      </c>
      <c r="C7513" s="391" t="s">
        <v>1284</v>
      </c>
      <c r="D7513" s="479">
        <v>9.2899999999999991</v>
      </c>
      <c r="E7513" s="368"/>
      <c r="F7513" s="368"/>
    </row>
    <row r="7514" spans="1:6" ht="25.5" x14ac:dyDescent="0.2">
      <c r="A7514" s="391">
        <v>91595</v>
      </c>
      <c r="B7514" s="478" t="s">
        <v>40487</v>
      </c>
      <c r="C7514" s="391" t="s">
        <v>1284</v>
      </c>
      <c r="D7514" s="479">
        <v>9.5500000000000007</v>
      </c>
      <c r="E7514" s="368"/>
      <c r="F7514" s="368"/>
    </row>
    <row r="7515" spans="1:6" ht="25.5" x14ac:dyDescent="0.2">
      <c r="A7515" s="391">
        <v>105815</v>
      </c>
      <c r="B7515" s="478" t="s">
        <v>41662</v>
      </c>
      <c r="C7515" s="391" t="s">
        <v>1284</v>
      </c>
      <c r="D7515" s="479">
        <v>0</v>
      </c>
      <c r="E7515" s="368"/>
      <c r="F7515" s="368"/>
    </row>
    <row r="7516" spans="1:6" ht="25.5" x14ac:dyDescent="0.2">
      <c r="A7516" s="391">
        <v>91600</v>
      </c>
      <c r="B7516" s="478" t="s">
        <v>40492</v>
      </c>
      <c r="C7516" s="391" t="s">
        <v>1284</v>
      </c>
      <c r="D7516" s="479">
        <v>10.42</v>
      </c>
      <c r="E7516" s="368"/>
      <c r="F7516" s="368"/>
    </row>
    <row r="7517" spans="1:6" ht="38.25" x14ac:dyDescent="0.2">
      <c r="A7517" s="391">
        <v>99235</v>
      </c>
      <c r="B7517" s="478" t="s">
        <v>39468</v>
      </c>
      <c r="C7517" s="391" t="s">
        <v>271</v>
      </c>
      <c r="D7517" s="479">
        <v>636.29</v>
      </c>
      <c r="E7517" s="368"/>
      <c r="F7517" s="368"/>
    </row>
    <row r="7518" spans="1:6" ht="51" x14ac:dyDescent="0.2">
      <c r="A7518" s="391">
        <v>105539</v>
      </c>
      <c r="B7518" s="478" t="s">
        <v>41663</v>
      </c>
      <c r="C7518" s="391" t="s">
        <v>271</v>
      </c>
      <c r="D7518" s="479">
        <v>0</v>
      </c>
      <c r="E7518" s="368"/>
      <c r="F7518" s="368"/>
    </row>
    <row r="7519" spans="1:6" ht="38.25" x14ac:dyDescent="0.2">
      <c r="A7519" s="391">
        <v>99439</v>
      </c>
      <c r="B7519" s="478" t="s">
        <v>39477</v>
      </c>
      <c r="C7519" s="391" t="s">
        <v>271</v>
      </c>
      <c r="D7519" s="479">
        <v>700.94</v>
      </c>
      <c r="E7519" s="368"/>
      <c r="F7519" s="368"/>
    </row>
    <row r="7520" spans="1:6" ht="51" x14ac:dyDescent="0.2">
      <c r="A7520" s="391">
        <v>105540</v>
      </c>
      <c r="B7520" s="478" t="s">
        <v>41664</v>
      </c>
      <c r="C7520" s="391" t="s">
        <v>271</v>
      </c>
      <c r="D7520" s="479">
        <v>0</v>
      </c>
      <c r="E7520" s="368"/>
      <c r="F7520" s="368"/>
    </row>
    <row r="7521" spans="1:6" ht="38.25" x14ac:dyDescent="0.2">
      <c r="A7521" s="391">
        <v>103184</v>
      </c>
      <c r="B7521" s="478" t="s">
        <v>39479</v>
      </c>
      <c r="C7521" s="391" t="s">
        <v>271</v>
      </c>
      <c r="D7521" s="479">
        <v>656.49</v>
      </c>
      <c r="E7521" s="368"/>
      <c r="F7521" s="368"/>
    </row>
    <row r="7522" spans="1:6" ht="38.25" x14ac:dyDescent="0.2">
      <c r="A7522" s="391">
        <v>103183</v>
      </c>
      <c r="B7522" s="478" t="s">
        <v>39478</v>
      </c>
      <c r="C7522" s="391" t="s">
        <v>271</v>
      </c>
      <c r="D7522" s="479">
        <v>771.4</v>
      </c>
      <c r="E7522" s="368"/>
      <c r="F7522" s="368"/>
    </row>
    <row r="7523" spans="1:6" ht="38.25" x14ac:dyDescent="0.2">
      <c r="A7523" s="391">
        <v>99434</v>
      </c>
      <c r="B7523" s="478" t="s">
        <v>39472</v>
      </c>
      <c r="C7523" s="391" t="s">
        <v>271</v>
      </c>
      <c r="D7523" s="479">
        <v>713.22</v>
      </c>
      <c r="E7523" s="368"/>
      <c r="F7523" s="368"/>
    </row>
    <row r="7524" spans="1:6" ht="38.25" x14ac:dyDescent="0.2">
      <c r="A7524" s="391">
        <v>99431</v>
      </c>
      <c r="B7524" s="478" t="s">
        <v>39469</v>
      </c>
      <c r="C7524" s="391" t="s">
        <v>271</v>
      </c>
      <c r="D7524" s="479">
        <v>709.68</v>
      </c>
      <c r="E7524" s="368"/>
      <c r="F7524" s="368"/>
    </row>
    <row r="7525" spans="1:6" ht="38.25" x14ac:dyDescent="0.2">
      <c r="A7525" s="391">
        <v>99435</v>
      </c>
      <c r="B7525" s="478" t="s">
        <v>39473</v>
      </c>
      <c r="C7525" s="391" t="s">
        <v>271</v>
      </c>
      <c r="D7525" s="479">
        <v>696.22</v>
      </c>
      <c r="E7525" s="368"/>
      <c r="F7525" s="368"/>
    </row>
    <row r="7526" spans="1:6" ht="38.25" x14ac:dyDescent="0.2">
      <c r="A7526" s="391">
        <v>99432</v>
      </c>
      <c r="B7526" s="478" t="s">
        <v>39470</v>
      </c>
      <c r="C7526" s="391" t="s">
        <v>271</v>
      </c>
      <c r="D7526" s="479">
        <v>693.66</v>
      </c>
      <c r="E7526" s="368"/>
      <c r="F7526" s="368"/>
    </row>
    <row r="7527" spans="1:6" ht="38.25" x14ac:dyDescent="0.2">
      <c r="A7527" s="391">
        <v>99438</v>
      </c>
      <c r="B7527" s="478" t="s">
        <v>39475</v>
      </c>
      <c r="C7527" s="391" t="s">
        <v>271</v>
      </c>
      <c r="D7527" s="479">
        <v>683.36</v>
      </c>
      <c r="E7527" s="368"/>
      <c r="F7527" s="368"/>
    </row>
    <row r="7528" spans="1:6" ht="51" x14ac:dyDescent="0.2">
      <c r="A7528" s="391">
        <v>105538</v>
      </c>
      <c r="B7528" s="478" t="s">
        <v>41665</v>
      </c>
      <c r="C7528" s="391" t="s">
        <v>271</v>
      </c>
      <c r="D7528" s="479">
        <v>0</v>
      </c>
      <c r="E7528" s="368"/>
      <c r="F7528" s="368"/>
    </row>
    <row r="7529" spans="1:6" ht="51" x14ac:dyDescent="0.2">
      <c r="A7529" s="391">
        <v>99436</v>
      </c>
      <c r="B7529" s="478" t="s">
        <v>39474</v>
      </c>
      <c r="C7529" s="391" t="s">
        <v>271</v>
      </c>
      <c r="D7529" s="479">
        <v>772.62</v>
      </c>
      <c r="E7529" s="368"/>
      <c r="F7529" s="368"/>
    </row>
    <row r="7530" spans="1:6" ht="38.25" x14ac:dyDescent="0.2">
      <c r="A7530" s="391">
        <v>99437</v>
      </c>
      <c r="B7530" s="478" t="s">
        <v>39476</v>
      </c>
      <c r="C7530" s="391" t="s">
        <v>271</v>
      </c>
      <c r="D7530" s="479">
        <v>676.7</v>
      </c>
      <c r="E7530" s="368"/>
      <c r="F7530" s="368"/>
    </row>
    <row r="7531" spans="1:6" ht="51" x14ac:dyDescent="0.2">
      <c r="A7531" s="391">
        <v>105537</v>
      </c>
      <c r="B7531" s="478" t="s">
        <v>41666</v>
      </c>
      <c r="C7531" s="391" t="s">
        <v>271</v>
      </c>
      <c r="D7531" s="479">
        <v>0</v>
      </c>
      <c r="E7531" s="368"/>
      <c r="F7531" s="368"/>
    </row>
    <row r="7532" spans="1:6" ht="38.25" x14ac:dyDescent="0.2">
      <c r="A7532" s="391">
        <v>99433</v>
      </c>
      <c r="B7532" s="478" t="s">
        <v>39471</v>
      </c>
      <c r="C7532" s="391" t="s">
        <v>271</v>
      </c>
      <c r="D7532" s="479">
        <v>752.37</v>
      </c>
      <c r="E7532" s="368"/>
      <c r="F7532" s="368"/>
    </row>
    <row r="7533" spans="1:6" ht="38.25" x14ac:dyDescent="0.2">
      <c r="A7533" s="391">
        <v>104422</v>
      </c>
      <c r="B7533" s="478" t="s">
        <v>40543</v>
      </c>
      <c r="C7533" s="391" t="s">
        <v>255</v>
      </c>
      <c r="D7533" s="479">
        <v>11.9</v>
      </c>
      <c r="E7533" s="368"/>
      <c r="F7533" s="368"/>
    </row>
    <row r="7534" spans="1:6" ht="38.25" x14ac:dyDescent="0.2">
      <c r="A7534" s="391">
        <v>105824</v>
      </c>
      <c r="B7534" s="478" t="s">
        <v>40554</v>
      </c>
      <c r="C7534" s="391" t="s">
        <v>255</v>
      </c>
      <c r="D7534" s="479">
        <v>13.99</v>
      </c>
      <c r="E7534" s="368"/>
      <c r="F7534" s="368"/>
    </row>
    <row r="7535" spans="1:6" ht="51" x14ac:dyDescent="0.2">
      <c r="A7535" s="391">
        <v>105825</v>
      </c>
      <c r="B7535" s="478" t="s">
        <v>40555</v>
      </c>
      <c r="C7535" s="391" t="s">
        <v>255</v>
      </c>
      <c r="D7535" s="479">
        <v>6.31</v>
      </c>
      <c r="E7535" s="368"/>
      <c r="F7535" s="368"/>
    </row>
    <row r="7536" spans="1:6" ht="38.25" x14ac:dyDescent="0.2">
      <c r="A7536" s="391">
        <v>104421</v>
      </c>
      <c r="B7536" s="478" t="s">
        <v>40542</v>
      </c>
      <c r="C7536" s="391" t="s">
        <v>255</v>
      </c>
      <c r="D7536" s="479">
        <v>16.899999999999999</v>
      </c>
      <c r="E7536" s="368"/>
      <c r="F7536" s="368"/>
    </row>
    <row r="7537" spans="1:6" ht="51" x14ac:dyDescent="0.2">
      <c r="A7537" s="395">
        <v>105822</v>
      </c>
      <c r="B7537" s="478" t="s">
        <v>40552</v>
      </c>
      <c r="C7537" s="395" t="s">
        <v>255</v>
      </c>
      <c r="D7537" s="491">
        <v>18.989999999999998</v>
      </c>
      <c r="E7537" s="371"/>
      <c r="F7537" s="371"/>
    </row>
    <row r="7538" spans="1:6" ht="51" x14ac:dyDescent="0.2">
      <c r="A7538" s="391">
        <v>105823</v>
      </c>
      <c r="B7538" s="478" t="s">
        <v>40553</v>
      </c>
      <c r="C7538" s="391" t="s">
        <v>255</v>
      </c>
      <c r="D7538" s="479">
        <v>11.31</v>
      </c>
      <c r="E7538" s="368"/>
      <c r="F7538" s="368"/>
    </row>
    <row r="7539" spans="1:6" ht="51" x14ac:dyDescent="0.2">
      <c r="A7539" s="391">
        <v>104423</v>
      </c>
      <c r="B7539" s="478" t="s">
        <v>40544</v>
      </c>
      <c r="C7539" s="391" t="s">
        <v>255</v>
      </c>
      <c r="D7539" s="479">
        <v>15.41</v>
      </c>
      <c r="E7539" s="368"/>
      <c r="F7539" s="368"/>
    </row>
    <row r="7540" spans="1:6" ht="51" x14ac:dyDescent="0.2">
      <c r="A7540" s="391">
        <v>105826</v>
      </c>
      <c r="B7540" s="478" t="s">
        <v>40556</v>
      </c>
      <c r="C7540" s="391" t="s">
        <v>255</v>
      </c>
      <c r="D7540" s="479">
        <v>17.5</v>
      </c>
      <c r="E7540" s="368"/>
      <c r="F7540" s="368"/>
    </row>
    <row r="7541" spans="1:6" ht="51" x14ac:dyDescent="0.2">
      <c r="A7541" s="392">
        <v>105827</v>
      </c>
      <c r="B7541" s="480" t="s">
        <v>40557</v>
      </c>
      <c r="C7541" s="392" t="s">
        <v>255</v>
      </c>
      <c r="D7541" s="481">
        <v>9.82</v>
      </c>
      <c r="E7541" s="368"/>
      <c r="F7541" s="368"/>
    </row>
    <row r="7542" spans="1:6" ht="38.25" x14ac:dyDescent="0.2">
      <c r="A7542" s="391">
        <v>104425</v>
      </c>
      <c r="B7542" s="478" t="s">
        <v>40545</v>
      </c>
      <c r="C7542" s="391" t="s">
        <v>255</v>
      </c>
      <c r="D7542" s="479">
        <v>10.37</v>
      </c>
      <c r="E7542" s="368"/>
      <c r="F7542" s="368"/>
    </row>
    <row r="7543" spans="1:6" ht="38.25" x14ac:dyDescent="0.2">
      <c r="A7543" s="391">
        <v>105828</v>
      </c>
      <c r="B7543" s="478" t="s">
        <v>40558</v>
      </c>
      <c r="C7543" s="391" t="s">
        <v>255</v>
      </c>
      <c r="D7543" s="479">
        <v>12.46</v>
      </c>
      <c r="E7543" s="368"/>
      <c r="F7543" s="368"/>
    </row>
    <row r="7544" spans="1:6" ht="38.25" x14ac:dyDescent="0.2">
      <c r="A7544" s="391">
        <v>105829</v>
      </c>
      <c r="B7544" s="478" t="s">
        <v>40559</v>
      </c>
      <c r="C7544" s="391" t="s">
        <v>255</v>
      </c>
      <c r="D7544" s="479">
        <v>4.78</v>
      </c>
      <c r="E7544" s="368"/>
      <c r="F7544" s="368"/>
    </row>
    <row r="7545" spans="1:6" ht="38.25" x14ac:dyDescent="0.2">
      <c r="A7545" s="391">
        <v>91525</v>
      </c>
      <c r="B7545" s="478" t="s">
        <v>40533</v>
      </c>
      <c r="C7545" s="391" t="s">
        <v>255</v>
      </c>
      <c r="D7545" s="479">
        <v>8.16</v>
      </c>
      <c r="E7545" s="368"/>
      <c r="F7545" s="368"/>
    </row>
    <row r="7546" spans="1:6" ht="38.25" x14ac:dyDescent="0.2">
      <c r="A7546" s="391">
        <v>105818</v>
      </c>
      <c r="B7546" s="478" t="s">
        <v>40548</v>
      </c>
      <c r="C7546" s="391" t="s">
        <v>255</v>
      </c>
      <c r="D7546" s="479">
        <v>12.71</v>
      </c>
      <c r="E7546" s="368"/>
      <c r="F7546" s="368"/>
    </row>
    <row r="7547" spans="1:6" ht="38.25" x14ac:dyDescent="0.2">
      <c r="A7547" s="391">
        <v>105819</v>
      </c>
      <c r="B7547" s="478" t="s">
        <v>40549</v>
      </c>
      <c r="C7547" s="391" t="s">
        <v>255</v>
      </c>
      <c r="D7547" s="479">
        <v>5.07</v>
      </c>
      <c r="E7547" s="368"/>
      <c r="F7547" s="368"/>
    </row>
    <row r="7548" spans="1:6" ht="38.25" x14ac:dyDescent="0.2">
      <c r="A7548" s="391">
        <v>104414</v>
      </c>
      <c r="B7548" s="478" t="s">
        <v>40536</v>
      </c>
      <c r="C7548" s="391" t="s">
        <v>255</v>
      </c>
      <c r="D7548" s="479">
        <v>7.37</v>
      </c>
      <c r="E7548" s="368"/>
      <c r="F7548" s="368"/>
    </row>
    <row r="7549" spans="1:6" ht="38.25" x14ac:dyDescent="0.2">
      <c r="A7549" s="391">
        <v>105816</v>
      </c>
      <c r="B7549" s="478" t="s">
        <v>40546</v>
      </c>
      <c r="C7549" s="391" t="s">
        <v>255</v>
      </c>
      <c r="D7549" s="479">
        <v>11.92</v>
      </c>
      <c r="E7549" s="368"/>
      <c r="F7549" s="368"/>
    </row>
    <row r="7550" spans="1:6" ht="51" x14ac:dyDescent="0.2">
      <c r="A7550" s="391">
        <v>105817</v>
      </c>
      <c r="B7550" s="478" t="s">
        <v>40547</v>
      </c>
      <c r="C7550" s="391" t="s">
        <v>255</v>
      </c>
      <c r="D7550" s="479">
        <v>4.28</v>
      </c>
      <c r="E7550" s="368"/>
      <c r="F7550" s="368"/>
    </row>
    <row r="7551" spans="1:6" ht="38.25" x14ac:dyDescent="0.2">
      <c r="A7551" s="391">
        <v>104415</v>
      </c>
      <c r="B7551" s="478" t="s">
        <v>40537</v>
      </c>
      <c r="C7551" s="391" t="s">
        <v>255</v>
      </c>
      <c r="D7551" s="479">
        <v>12.3</v>
      </c>
      <c r="E7551" s="368"/>
      <c r="F7551" s="368"/>
    </row>
    <row r="7552" spans="1:6" ht="38.25" x14ac:dyDescent="0.2">
      <c r="A7552" s="391">
        <v>105820</v>
      </c>
      <c r="B7552" s="478" t="s">
        <v>40550</v>
      </c>
      <c r="C7552" s="395" t="s">
        <v>255</v>
      </c>
      <c r="D7552" s="479">
        <v>16.850000000000001</v>
      </c>
      <c r="E7552" s="368"/>
      <c r="F7552" s="368"/>
    </row>
    <row r="7553" spans="1:6" ht="51" x14ac:dyDescent="0.2">
      <c r="A7553" s="391">
        <v>105821</v>
      </c>
      <c r="B7553" s="478" t="s">
        <v>40551</v>
      </c>
      <c r="C7553" s="391" t="s">
        <v>255</v>
      </c>
      <c r="D7553" s="479">
        <v>9.2100000000000009</v>
      </c>
      <c r="E7553" s="368"/>
      <c r="F7553" s="368"/>
    </row>
    <row r="7554" spans="1:6" ht="38.25" x14ac:dyDescent="0.2">
      <c r="A7554" s="391">
        <v>104418</v>
      </c>
      <c r="B7554" s="478" t="s">
        <v>40540</v>
      </c>
      <c r="C7554" s="391" t="s">
        <v>255</v>
      </c>
      <c r="D7554" s="479">
        <v>2.64</v>
      </c>
      <c r="E7554" s="368"/>
      <c r="F7554" s="368"/>
    </row>
    <row r="7555" spans="1:6" ht="38.25" x14ac:dyDescent="0.2">
      <c r="A7555" s="391">
        <v>91515</v>
      </c>
      <c r="B7555" s="478" t="s">
        <v>40529</v>
      </c>
      <c r="C7555" s="391" t="s">
        <v>255</v>
      </c>
      <c r="D7555" s="479">
        <v>4.7300000000000004</v>
      </c>
      <c r="E7555" s="368"/>
      <c r="F7555" s="368"/>
    </row>
    <row r="7556" spans="1:6" ht="51" x14ac:dyDescent="0.2">
      <c r="A7556" s="391">
        <v>104419</v>
      </c>
      <c r="B7556" s="478" t="s">
        <v>40541</v>
      </c>
      <c r="C7556" s="391" t="s">
        <v>255</v>
      </c>
      <c r="D7556" s="479">
        <v>4.1100000000000003</v>
      </c>
      <c r="E7556" s="368"/>
      <c r="F7556" s="368"/>
    </row>
    <row r="7557" spans="1:6" ht="38.25" x14ac:dyDescent="0.2">
      <c r="A7557" s="391">
        <v>91519</v>
      </c>
      <c r="B7557" s="478" t="s">
        <v>40530</v>
      </c>
      <c r="C7557" s="391" t="s">
        <v>255</v>
      </c>
      <c r="D7557" s="479">
        <v>2.04</v>
      </c>
      <c r="E7557" s="368"/>
      <c r="F7557" s="368"/>
    </row>
    <row r="7558" spans="1:6" ht="38.25" x14ac:dyDescent="0.2">
      <c r="A7558" s="391">
        <v>91520</v>
      </c>
      <c r="B7558" s="478" t="s">
        <v>40531</v>
      </c>
      <c r="C7558" s="391" t="s">
        <v>255</v>
      </c>
      <c r="D7558" s="479">
        <v>2.02</v>
      </c>
      <c r="E7558" s="368"/>
      <c r="F7558" s="368"/>
    </row>
    <row r="7559" spans="1:6" ht="38.25" x14ac:dyDescent="0.2">
      <c r="A7559" s="391">
        <v>104416</v>
      </c>
      <c r="B7559" s="478" t="s">
        <v>40538</v>
      </c>
      <c r="C7559" s="391" t="s">
        <v>255</v>
      </c>
      <c r="D7559" s="479">
        <v>1.68</v>
      </c>
      <c r="E7559" s="368"/>
      <c r="F7559" s="368"/>
    </row>
    <row r="7560" spans="1:6" ht="38.25" x14ac:dyDescent="0.2">
      <c r="A7560" s="391">
        <v>104417</v>
      </c>
      <c r="B7560" s="478" t="s">
        <v>40539</v>
      </c>
      <c r="C7560" s="391" t="s">
        <v>255</v>
      </c>
      <c r="D7560" s="479">
        <v>3.72</v>
      </c>
      <c r="E7560" s="368"/>
      <c r="F7560" s="368"/>
    </row>
    <row r="7561" spans="1:6" ht="38.25" x14ac:dyDescent="0.2">
      <c r="A7561" s="391">
        <v>91522</v>
      </c>
      <c r="B7561" s="478" t="s">
        <v>40532</v>
      </c>
      <c r="C7561" s="391" t="s">
        <v>255</v>
      </c>
      <c r="D7561" s="479">
        <v>3.34</v>
      </c>
      <c r="E7561" s="368"/>
      <c r="F7561" s="368"/>
    </row>
    <row r="7562" spans="1:6" ht="38.25" x14ac:dyDescent="0.2">
      <c r="A7562" s="391">
        <v>104412</v>
      </c>
      <c r="B7562" s="478" t="s">
        <v>40534</v>
      </c>
      <c r="C7562" s="391" t="s">
        <v>255</v>
      </c>
      <c r="D7562" s="479">
        <v>3.01</v>
      </c>
      <c r="E7562" s="368"/>
      <c r="F7562" s="368"/>
    </row>
    <row r="7563" spans="1:6" ht="38.25" x14ac:dyDescent="0.2">
      <c r="A7563" s="391">
        <v>104413</v>
      </c>
      <c r="B7563" s="478" t="s">
        <v>40535</v>
      </c>
      <c r="C7563" s="391" t="s">
        <v>255</v>
      </c>
      <c r="D7563" s="479">
        <v>5.07</v>
      </c>
      <c r="E7563" s="368"/>
      <c r="F7563" s="368"/>
    </row>
    <row r="7564" spans="1:6" ht="25.5" x14ac:dyDescent="0.2">
      <c r="A7564" s="391">
        <v>102569</v>
      </c>
      <c r="B7564" s="478" t="s">
        <v>41667</v>
      </c>
      <c r="C7564" s="391" t="s">
        <v>255</v>
      </c>
      <c r="D7564" s="479">
        <v>0</v>
      </c>
      <c r="E7564" s="368"/>
      <c r="F7564" s="368"/>
    </row>
    <row r="7565" spans="1:6" ht="38.25" x14ac:dyDescent="0.2">
      <c r="A7565" s="391">
        <v>102574</v>
      </c>
      <c r="B7565" s="478" t="s">
        <v>41668</v>
      </c>
      <c r="C7565" s="391" t="s">
        <v>255</v>
      </c>
      <c r="D7565" s="479">
        <v>0</v>
      </c>
      <c r="E7565" s="368"/>
      <c r="F7565" s="368"/>
    </row>
    <row r="7566" spans="1:6" ht="38.25" x14ac:dyDescent="0.2">
      <c r="A7566" s="391">
        <v>102573</v>
      </c>
      <c r="B7566" s="478" t="s">
        <v>41669</v>
      </c>
      <c r="C7566" s="391" t="s">
        <v>255</v>
      </c>
      <c r="D7566" s="479">
        <v>0</v>
      </c>
      <c r="E7566" s="368"/>
      <c r="F7566" s="368"/>
    </row>
    <row r="7567" spans="1:6" ht="25.5" x14ac:dyDescent="0.2">
      <c r="A7567" s="395">
        <v>102577</v>
      </c>
      <c r="B7567" s="478" t="s">
        <v>41670</v>
      </c>
      <c r="C7567" s="391" t="s">
        <v>255</v>
      </c>
      <c r="D7567" s="491">
        <v>0</v>
      </c>
      <c r="E7567" s="371"/>
      <c r="F7567" s="371"/>
    </row>
    <row r="7568" spans="1:6" ht="38.25" x14ac:dyDescent="0.2">
      <c r="A7568" s="391">
        <v>102576</v>
      </c>
      <c r="B7568" s="478" t="s">
        <v>41671</v>
      </c>
      <c r="C7568" s="391" t="s">
        <v>255</v>
      </c>
      <c r="D7568" s="479">
        <v>0</v>
      </c>
      <c r="E7568" s="368"/>
      <c r="F7568" s="368"/>
    </row>
    <row r="7569" spans="1:6" ht="38.25" x14ac:dyDescent="0.2">
      <c r="A7569" s="391">
        <v>103083</v>
      </c>
      <c r="B7569" s="478" t="s">
        <v>41672</v>
      </c>
      <c r="C7569" s="391" t="s">
        <v>255</v>
      </c>
      <c r="D7569" s="479">
        <v>0</v>
      </c>
      <c r="E7569" s="368"/>
      <c r="F7569" s="368"/>
    </row>
    <row r="7570" spans="1:6" ht="38.25" x14ac:dyDescent="0.2">
      <c r="A7570" s="391">
        <v>103081</v>
      </c>
      <c r="B7570" s="478" t="s">
        <v>41673</v>
      </c>
      <c r="C7570" s="391" t="s">
        <v>255</v>
      </c>
      <c r="D7570" s="479">
        <v>0</v>
      </c>
      <c r="E7570" s="368"/>
      <c r="F7570" s="368"/>
    </row>
    <row r="7571" spans="1:6" ht="38.25" x14ac:dyDescent="0.2">
      <c r="A7571" s="391">
        <v>103082</v>
      </c>
      <c r="B7571" s="478" t="s">
        <v>41674</v>
      </c>
      <c r="C7571" s="391" t="s">
        <v>255</v>
      </c>
      <c r="D7571" s="479">
        <v>0</v>
      </c>
      <c r="E7571" s="368"/>
      <c r="F7571" s="368"/>
    </row>
    <row r="7572" spans="1:6" ht="38.25" x14ac:dyDescent="0.2">
      <c r="A7572" s="391">
        <v>103086</v>
      </c>
      <c r="B7572" s="478" t="s">
        <v>41675</v>
      </c>
      <c r="C7572" s="391" t="s">
        <v>255</v>
      </c>
      <c r="D7572" s="479">
        <v>0</v>
      </c>
      <c r="E7572" s="368"/>
      <c r="F7572" s="368"/>
    </row>
    <row r="7573" spans="1:6" ht="38.25" x14ac:dyDescent="0.2">
      <c r="A7573" s="391">
        <v>103085</v>
      </c>
      <c r="B7573" s="478" t="s">
        <v>41676</v>
      </c>
      <c r="C7573" s="391" t="s">
        <v>255</v>
      </c>
      <c r="D7573" s="479">
        <v>0</v>
      </c>
      <c r="E7573" s="368"/>
      <c r="F7573" s="368"/>
    </row>
    <row r="7574" spans="1:6" ht="25.5" x14ac:dyDescent="0.2">
      <c r="A7574" s="391">
        <v>104726</v>
      </c>
      <c r="B7574" s="478" t="s">
        <v>41677</v>
      </c>
      <c r="C7574" s="391" t="s">
        <v>255</v>
      </c>
      <c r="D7574" s="479">
        <v>0</v>
      </c>
      <c r="E7574" s="368"/>
      <c r="F7574" s="368"/>
    </row>
    <row r="7575" spans="1:6" ht="25.5" x14ac:dyDescent="0.2">
      <c r="A7575" s="391">
        <v>104725</v>
      </c>
      <c r="B7575" s="478" t="s">
        <v>41678</v>
      </c>
      <c r="C7575" s="391" t="s">
        <v>255</v>
      </c>
      <c r="D7575" s="479">
        <v>0</v>
      </c>
      <c r="E7575" s="368"/>
      <c r="F7575" s="368"/>
    </row>
    <row r="7576" spans="1:6" x14ac:dyDescent="0.2">
      <c r="A7576" s="391">
        <v>96374</v>
      </c>
      <c r="B7576" s="478" t="s">
        <v>4472</v>
      </c>
      <c r="C7576" s="391" t="s">
        <v>0</v>
      </c>
      <c r="D7576" s="479">
        <v>32.43</v>
      </c>
      <c r="E7576" s="368"/>
      <c r="F7576" s="368"/>
    </row>
    <row r="7577" spans="1:6" x14ac:dyDescent="0.2">
      <c r="A7577" s="391">
        <v>96373</v>
      </c>
      <c r="B7577" s="478" t="s">
        <v>4471</v>
      </c>
      <c r="C7577" s="391" t="s">
        <v>0</v>
      </c>
      <c r="D7577" s="479">
        <v>13.88</v>
      </c>
      <c r="E7577" s="368"/>
      <c r="F7577" s="368"/>
    </row>
    <row r="7578" spans="1:6" ht="38.25" x14ac:dyDescent="0.2">
      <c r="A7578" s="391">
        <v>96368</v>
      </c>
      <c r="B7578" s="478" t="s">
        <v>4467</v>
      </c>
      <c r="C7578" s="391" t="s">
        <v>255</v>
      </c>
      <c r="D7578" s="479">
        <v>188.99</v>
      </c>
      <c r="E7578" s="368"/>
      <c r="F7578" s="368"/>
    </row>
    <row r="7579" spans="1:6" ht="38.25" x14ac:dyDescent="0.2">
      <c r="A7579" s="391">
        <v>96364</v>
      </c>
      <c r="B7579" s="478" t="s">
        <v>4464</v>
      </c>
      <c r="C7579" s="391" t="s">
        <v>255</v>
      </c>
      <c r="D7579" s="479">
        <v>160.82</v>
      </c>
      <c r="E7579" s="368"/>
      <c r="F7579" s="368"/>
    </row>
    <row r="7580" spans="1:6" ht="51" x14ac:dyDescent="0.2">
      <c r="A7580" s="391">
        <v>96369</v>
      </c>
      <c r="B7580" s="478" t="s">
        <v>4468</v>
      </c>
      <c r="C7580" s="391" t="s">
        <v>255</v>
      </c>
      <c r="D7580" s="479">
        <v>215.86</v>
      </c>
      <c r="E7580" s="368"/>
      <c r="F7580" s="368"/>
    </row>
    <row r="7581" spans="1:6" ht="38.25" x14ac:dyDescent="0.2">
      <c r="A7581" s="391">
        <v>104723</v>
      </c>
      <c r="B7581" s="478" t="s">
        <v>4485</v>
      </c>
      <c r="C7581" s="391" t="s">
        <v>255</v>
      </c>
      <c r="D7581" s="479">
        <v>262.89999999999998</v>
      </c>
      <c r="E7581" s="368"/>
      <c r="F7581" s="368"/>
    </row>
    <row r="7582" spans="1:6" ht="51" x14ac:dyDescent="0.2">
      <c r="A7582" s="391">
        <v>96367</v>
      </c>
      <c r="B7582" s="478" t="s">
        <v>4466</v>
      </c>
      <c r="C7582" s="391" t="s">
        <v>255</v>
      </c>
      <c r="D7582" s="479">
        <v>169.68</v>
      </c>
      <c r="E7582" s="368"/>
      <c r="F7582" s="368"/>
    </row>
    <row r="7583" spans="1:6" ht="51" x14ac:dyDescent="0.2">
      <c r="A7583" s="391">
        <v>104722</v>
      </c>
      <c r="B7583" s="478" t="s">
        <v>4484</v>
      </c>
      <c r="C7583" s="391" t="s">
        <v>255</v>
      </c>
      <c r="D7583" s="479">
        <v>195.76</v>
      </c>
      <c r="E7583" s="368"/>
      <c r="F7583" s="368"/>
    </row>
    <row r="7584" spans="1:6" ht="38.25" x14ac:dyDescent="0.2">
      <c r="A7584" s="391">
        <v>96366</v>
      </c>
      <c r="B7584" s="478" t="s">
        <v>4465</v>
      </c>
      <c r="C7584" s="391" t="s">
        <v>255</v>
      </c>
      <c r="D7584" s="479">
        <v>155.15</v>
      </c>
      <c r="E7584" s="368"/>
      <c r="F7584" s="368"/>
    </row>
    <row r="7585" spans="1:6" ht="51" x14ac:dyDescent="0.2">
      <c r="A7585" s="391">
        <v>96361</v>
      </c>
      <c r="B7585" s="478" t="s">
        <v>4461</v>
      </c>
      <c r="C7585" s="391" t="s">
        <v>255</v>
      </c>
      <c r="D7585" s="479">
        <v>158.43</v>
      </c>
      <c r="E7585" s="368"/>
      <c r="F7585" s="368"/>
    </row>
    <row r="7586" spans="1:6" ht="51" x14ac:dyDescent="0.2">
      <c r="A7586" s="391">
        <v>104719</v>
      </c>
      <c r="B7586" s="478" t="s">
        <v>4481</v>
      </c>
      <c r="C7586" s="391" t="s">
        <v>255</v>
      </c>
      <c r="D7586" s="479">
        <v>203.29</v>
      </c>
      <c r="E7586" s="368"/>
      <c r="F7586" s="368"/>
    </row>
    <row r="7587" spans="1:6" ht="38.25" x14ac:dyDescent="0.2">
      <c r="A7587" s="391">
        <v>96360</v>
      </c>
      <c r="B7587" s="478" t="s">
        <v>4460</v>
      </c>
      <c r="C7587" s="391" t="s">
        <v>255</v>
      </c>
      <c r="D7587" s="479">
        <v>132.68</v>
      </c>
      <c r="E7587" s="368"/>
      <c r="F7587" s="368"/>
    </row>
    <row r="7588" spans="1:6" ht="51" x14ac:dyDescent="0.2">
      <c r="A7588" s="391">
        <v>96359</v>
      </c>
      <c r="B7588" s="478" t="s">
        <v>4459</v>
      </c>
      <c r="C7588" s="391" t="s">
        <v>255</v>
      </c>
      <c r="D7588" s="479">
        <v>112.28</v>
      </c>
      <c r="E7588" s="368"/>
      <c r="F7588" s="368"/>
    </row>
    <row r="7589" spans="1:6" ht="51" x14ac:dyDescent="0.2">
      <c r="A7589" s="391">
        <v>104718</v>
      </c>
      <c r="B7589" s="478" t="s">
        <v>4480</v>
      </c>
      <c r="C7589" s="391" t="s">
        <v>255</v>
      </c>
      <c r="D7589" s="479">
        <v>136.15</v>
      </c>
      <c r="E7589" s="368"/>
      <c r="F7589" s="368"/>
    </row>
    <row r="7590" spans="1:6" ht="38.25" x14ac:dyDescent="0.2">
      <c r="A7590" s="391">
        <v>96358</v>
      </c>
      <c r="B7590" s="478" t="s">
        <v>4458</v>
      </c>
      <c r="C7590" s="391" t="s">
        <v>255</v>
      </c>
      <c r="D7590" s="479">
        <v>98.85</v>
      </c>
      <c r="E7590" s="368"/>
      <c r="F7590" s="368"/>
    </row>
    <row r="7591" spans="1:6" ht="51" x14ac:dyDescent="0.2">
      <c r="A7591" s="391">
        <v>96371</v>
      </c>
      <c r="B7591" s="478" t="s">
        <v>4470</v>
      </c>
      <c r="C7591" s="391" t="s">
        <v>255</v>
      </c>
      <c r="D7591" s="479">
        <v>80.349999999999994</v>
      </c>
      <c r="E7591" s="368"/>
      <c r="F7591" s="368"/>
    </row>
    <row r="7592" spans="1:6" ht="38.25" x14ac:dyDescent="0.2">
      <c r="A7592" s="391">
        <v>104724</v>
      </c>
      <c r="B7592" s="478" t="s">
        <v>4486</v>
      </c>
      <c r="C7592" s="391" t="s">
        <v>255</v>
      </c>
      <c r="D7592" s="479">
        <v>103.12</v>
      </c>
      <c r="E7592" s="368"/>
      <c r="F7592" s="368"/>
    </row>
    <row r="7593" spans="1:6" ht="38.25" x14ac:dyDescent="0.2">
      <c r="A7593" s="391">
        <v>96370</v>
      </c>
      <c r="B7593" s="478" t="s">
        <v>4469</v>
      </c>
      <c r="C7593" s="391" t="s">
        <v>255</v>
      </c>
      <c r="D7593" s="479">
        <v>67.510000000000005</v>
      </c>
      <c r="E7593" s="368"/>
      <c r="F7593" s="368"/>
    </row>
    <row r="7594" spans="1:6" ht="51" x14ac:dyDescent="0.2">
      <c r="A7594" s="391">
        <v>96365</v>
      </c>
      <c r="B7594" s="478" t="s">
        <v>48025</v>
      </c>
      <c r="C7594" s="391" t="s">
        <v>255</v>
      </c>
      <c r="D7594" s="479">
        <v>187.14</v>
      </c>
      <c r="E7594" s="368"/>
      <c r="F7594" s="368"/>
    </row>
    <row r="7595" spans="1:6" ht="51" x14ac:dyDescent="0.2">
      <c r="A7595" s="391">
        <v>104721</v>
      </c>
      <c r="B7595" s="478" t="s">
        <v>4483</v>
      </c>
      <c r="C7595" s="391" t="s">
        <v>255</v>
      </c>
      <c r="D7595" s="479">
        <v>233.1</v>
      </c>
      <c r="E7595" s="368"/>
      <c r="F7595" s="368"/>
    </row>
    <row r="7596" spans="1:6" ht="51" x14ac:dyDescent="0.2">
      <c r="A7596" s="391">
        <v>96363</v>
      </c>
      <c r="B7596" s="478" t="s">
        <v>4463</v>
      </c>
      <c r="C7596" s="391" t="s">
        <v>255</v>
      </c>
      <c r="D7596" s="479">
        <v>140.97</v>
      </c>
      <c r="E7596" s="368"/>
      <c r="F7596" s="368"/>
    </row>
    <row r="7597" spans="1:6" ht="51" x14ac:dyDescent="0.2">
      <c r="A7597" s="391">
        <v>104720</v>
      </c>
      <c r="B7597" s="478" t="s">
        <v>4482</v>
      </c>
      <c r="C7597" s="391" t="s">
        <v>255</v>
      </c>
      <c r="D7597" s="479">
        <v>165.94</v>
      </c>
      <c r="E7597" s="368"/>
      <c r="F7597" s="368"/>
    </row>
    <row r="7598" spans="1:6" ht="38.25" x14ac:dyDescent="0.2">
      <c r="A7598" s="391">
        <v>96362</v>
      </c>
      <c r="B7598" s="478" t="s">
        <v>4462</v>
      </c>
      <c r="C7598" s="391" t="s">
        <v>255</v>
      </c>
      <c r="D7598" s="479">
        <v>127</v>
      </c>
      <c r="E7598" s="368"/>
      <c r="F7598" s="368"/>
    </row>
    <row r="7599" spans="1:6" ht="38.25" x14ac:dyDescent="0.2">
      <c r="A7599" s="391">
        <v>103191</v>
      </c>
      <c r="B7599" s="478" t="s">
        <v>5565</v>
      </c>
      <c r="C7599" s="391" t="s">
        <v>26</v>
      </c>
      <c r="D7599" s="479">
        <v>2382.8200000000002</v>
      </c>
      <c r="E7599" s="368"/>
      <c r="F7599" s="368"/>
    </row>
    <row r="7600" spans="1:6" ht="51" x14ac:dyDescent="0.2">
      <c r="A7600" s="391">
        <v>103206</v>
      </c>
      <c r="B7600" s="478" t="s">
        <v>5571</v>
      </c>
      <c r="C7600" s="391" t="s">
        <v>26</v>
      </c>
      <c r="D7600" s="479">
        <v>2396.3200000000002</v>
      </c>
      <c r="E7600" s="368"/>
      <c r="F7600" s="368"/>
    </row>
    <row r="7601" spans="1:6" ht="25.5" x14ac:dyDescent="0.2">
      <c r="A7601" s="391">
        <v>103211</v>
      </c>
      <c r="B7601" s="478" t="s">
        <v>41679</v>
      </c>
      <c r="C7601" s="391" t="s">
        <v>26</v>
      </c>
      <c r="D7601" s="479">
        <v>0</v>
      </c>
      <c r="E7601" s="368"/>
      <c r="F7601" s="368"/>
    </row>
    <row r="7602" spans="1:6" ht="25.5" x14ac:dyDescent="0.2">
      <c r="A7602" s="391">
        <v>103196</v>
      </c>
      <c r="B7602" s="478" t="s">
        <v>41680</v>
      </c>
      <c r="C7602" s="391" t="s">
        <v>26</v>
      </c>
      <c r="D7602" s="479">
        <v>0</v>
      </c>
      <c r="E7602" s="368"/>
      <c r="F7602" s="368"/>
    </row>
    <row r="7603" spans="1:6" ht="38.25" x14ac:dyDescent="0.2">
      <c r="A7603" s="391">
        <v>103212</v>
      </c>
      <c r="B7603" s="478" t="s">
        <v>41681</v>
      </c>
      <c r="C7603" s="391" t="s">
        <v>26</v>
      </c>
      <c r="D7603" s="479">
        <v>0</v>
      </c>
      <c r="E7603" s="368"/>
      <c r="F7603" s="368"/>
    </row>
    <row r="7604" spans="1:6" ht="25.5" x14ac:dyDescent="0.2">
      <c r="A7604" s="391">
        <v>103197</v>
      </c>
      <c r="B7604" s="478" t="s">
        <v>41682</v>
      </c>
      <c r="C7604" s="391" t="s">
        <v>26</v>
      </c>
      <c r="D7604" s="479">
        <v>0</v>
      </c>
      <c r="E7604" s="368"/>
      <c r="F7604" s="368"/>
    </row>
    <row r="7605" spans="1:6" ht="38.25" x14ac:dyDescent="0.2">
      <c r="A7605" s="391">
        <v>103217</v>
      </c>
      <c r="B7605" s="478" t="s">
        <v>41683</v>
      </c>
      <c r="C7605" s="391" t="s">
        <v>26</v>
      </c>
      <c r="D7605" s="479">
        <v>0</v>
      </c>
      <c r="E7605" s="368"/>
      <c r="F7605" s="368"/>
    </row>
    <row r="7606" spans="1:6" ht="38.25" x14ac:dyDescent="0.2">
      <c r="A7606" s="391">
        <v>103202</v>
      </c>
      <c r="B7606" s="478" t="s">
        <v>41684</v>
      </c>
      <c r="C7606" s="391" t="s">
        <v>26</v>
      </c>
      <c r="D7606" s="479">
        <v>0</v>
      </c>
      <c r="E7606" s="368"/>
      <c r="F7606" s="368"/>
    </row>
    <row r="7607" spans="1:6" ht="25.5" x14ac:dyDescent="0.2">
      <c r="A7607" s="391">
        <v>103215</v>
      </c>
      <c r="B7607" s="478" t="s">
        <v>41685</v>
      </c>
      <c r="C7607" s="391" t="s">
        <v>26</v>
      </c>
      <c r="D7607" s="479">
        <v>0</v>
      </c>
      <c r="E7607" s="368"/>
      <c r="F7607" s="368"/>
    </row>
    <row r="7608" spans="1:6" ht="25.5" x14ac:dyDescent="0.2">
      <c r="A7608" s="391">
        <v>103200</v>
      </c>
      <c r="B7608" s="478" t="s">
        <v>41686</v>
      </c>
      <c r="C7608" s="391" t="s">
        <v>26</v>
      </c>
      <c r="D7608" s="479">
        <v>0</v>
      </c>
      <c r="E7608" s="368"/>
      <c r="F7608" s="368"/>
    </row>
    <row r="7609" spans="1:6" ht="25.5" x14ac:dyDescent="0.2">
      <c r="A7609" s="391">
        <v>103216</v>
      </c>
      <c r="B7609" s="478" t="s">
        <v>41687</v>
      </c>
      <c r="C7609" s="391" t="s">
        <v>26</v>
      </c>
      <c r="D7609" s="479">
        <v>0</v>
      </c>
      <c r="E7609" s="368"/>
      <c r="F7609" s="368"/>
    </row>
    <row r="7610" spans="1:6" ht="25.5" x14ac:dyDescent="0.2">
      <c r="A7610" s="391">
        <v>103201</v>
      </c>
      <c r="B7610" s="478" t="s">
        <v>41688</v>
      </c>
      <c r="C7610" s="391" t="s">
        <v>26</v>
      </c>
      <c r="D7610" s="479">
        <v>0</v>
      </c>
      <c r="E7610" s="368"/>
      <c r="F7610" s="368"/>
    </row>
    <row r="7611" spans="1:6" ht="38.25" x14ac:dyDescent="0.2">
      <c r="A7611" s="391">
        <v>103185</v>
      </c>
      <c r="B7611" s="478" t="s">
        <v>5559</v>
      </c>
      <c r="C7611" s="391" t="s">
        <v>26</v>
      </c>
      <c r="D7611" s="479">
        <v>6152.01</v>
      </c>
      <c r="E7611" s="368"/>
      <c r="F7611" s="368"/>
    </row>
    <row r="7612" spans="1:6" ht="25.5" x14ac:dyDescent="0.2">
      <c r="A7612" s="391">
        <v>103218</v>
      </c>
      <c r="B7612" s="478" t="s">
        <v>41689</v>
      </c>
      <c r="C7612" s="391" t="s">
        <v>26</v>
      </c>
      <c r="D7612" s="479">
        <v>0</v>
      </c>
      <c r="E7612" s="368"/>
      <c r="F7612" s="368"/>
    </row>
    <row r="7613" spans="1:6" ht="25.5" x14ac:dyDescent="0.2">
      <c r="A7613" s="391">
        <v>103203</v>
      </c>
      <c r="B7613" s="478" t="s">
        <v>41690</v>
      </c>
      <c r="C7613" s="391" t="s">
        <v>26</v>
      </c>
      <c r="D7613" s="479">
        <v>0</v>
      </c>
      <c r="E7613" s="368"/>
      <c r="F7613" s="368"/>
    </row>
    <row r="7614" spans="1:6" ht="25.5" x14ac:dyDescent="0.2">
      <c r="A7614" s="391">
        <v>103213</v>
      </c>
      <c r="B7614" s="478" t="s">
        <v>41691</v>
      </c>
      <c r="C7614" s="391" t="s">
        <v>26</v>
      </c>
      <c r="D7614" s="479">
        <v>0</v>
      </c>
      <c r="E7614" s="368"/>
      <c r="F7614" s="368"/>
    </row>
    <row r="7615" spans="1:6" ht="25.5" x14ac:dyDescent="0.2">
      <c r="A7615" s="391">
        <v>103198</v>
      </c>
      <c r="B7615" s="478" t="s">
        <v>41692</v>
      </c>
      <c r="C7615" s="391" t="s">
        <v>26</v>
      </c>
      <c r="D7615" s="479">
        <v>0</v>
      </c>
      <c r="E7615" s="368"/>
      <c r="F7615" s="368"/>
    </row>
    <row r="7616" spans="1:6" ht="25.5" x14ac:dyDescent="0.2">
      <c r="A7616" s="391">
        <v>103214</v>
      </c>
      <c r="B7616" s="478" t="s">
        <v>41693</v>
      </c>
      <c r="C7616" s="391" t="s">
        <v>26</v>
      </c>
      <c r="D7616" s="479">
        <v>0</v>
      </c>
      <c r="E7616" s="368"/>
      <c r="F7616" s="368"/>
    </row>
    <row r="7617" spans="1:6" ht="25.5" x14ac:dyDescent="0.2">
      <c r="A7617" s="391">
        <v>103199</v>
      </c>
      <c r="B7617" s="478" t="s">
        <v>41694</v>
      </c>
      <c r="C7617" s="391" t="s">
        <v>26</v>
      </c>
      <c r="D7617" s="479">
        <v>0</v>
      </c>
      <c r="E7617" s="368"/>
      <c r="F7617" s="368"/>
    </row>
    <row r="7618" spans="1:6" ht="25.5" x14ac:dyDescent="0.2">
      <c r="A7618" s="391">
        <v>103219</v>
      </c>
      <c r="B7618" s="478" t="s">
        <v>41695</v>
      </c>
      <c r="C7618" s="391" t="s">
        <v>26</v>
      </c>
      <c r="D7618" s="479">
        <v>0</v>
      </c>
      <c r="E7618" s="368"/>
      <c r="F7618" s="368"/>
    </row>
    <row r="7619" spans="1:6" ht="25.5" x14ac:dyDescent="0.2">
      <c r="A7619" s="391">
        <v>103204</v>
      </c>
      <c r="B7619" s="478" t="s">
        <v>41696</v>
      </c>
      <c r="C7619" s="391" t="s">
        <v>26</v>
      </c>
      <c r="D7619" s="479">
        <v>0</v>
      </c>
      <c r="E7619" s="368"/>
      <c r="F7619" s="368"/>
    </row>
    <row r="7620" spans="1:6" ht="51" x14ac:dyDescent="0.2">
      <c r="A7620" s="391">
        <v>103186</v>
      </c>
      <c r="B7620" s="478" t="s">
        <v>5560</v>
      </c>
      <c r="C7620" s="391" t="s">
        <v>26</v>
      </c>
      <c r="D7620" s="479">
        <v>6486.2</v>
      </c>
      <c r="E7620" s="368"/>
      <c r="F7620" s="368"/>
    </row>
    <row r="7621" spans="1:6" ht="51" x14ac:dyDescent="0.2">
      <c r="A7621" s="391">
        <v>103210</v>
      </c>
      <c r="B7621" s="478" t="s">
        <v>5575</v>
      </c>
      <c r="C7621" s="391" t="s">
        <v>26</v>
      </c>
      <c r="D7621" s="479">
        <v>2301.39</v>
      </c>
      <c r="E7621" s="368"/>
      <c r="F7621" s="368"/>
    </row>
    <row r="7622" spans="1:6" ht="38.25" x14ac:dyDescent="0.2">
      <c r="A7622" s="391">
        <v>103195</v>
      </c>
      <c r="B7622" s="478" t="s">
        <v>5569</v>
      </c>
      <c r="C7622" s="391" t="s">
        <v>26</v>
      </c>
      <c r="D7622" s="479">
        <v>2195.9899999999998</v>
      </c>
      <c r="E7622" s="368"/>
      <c r="F7622" s="368"/>
    </row>
    <row r="7623" spans="1:6" ht="51" x14ac:dyDescent="0.2">
      <c r="A7623" s="391">
        <v>103205</v>
      </c>
      <c r="B7623" s="478" t="s">
        <v>5570</v>
      </c>
      <c r="C7623" s="391" t="s">
        <v>26</v>
      </c>
      <c r="D7623" s="479">
        <v>4099.01</v>
      </c>
      <c r="E7623" s="368"/>
      <c r="F7623" s="368"/>
    </row>
    <row r="7624" spans="1:6" ht="38.25" x14ac:dyDescent="0.2">
      <c r="A7624" s="391">
        <v>103190</v>
      </c>
      <c r="B7624" s="478" t="s">
        <v>5564</v>
      </c>
      <c r="C7624" s="391" t="s">
        <v>26</v>
      </c>
      <c r="D7624" s="479">
        <v>4085.51</v>
      </c>
      <c r="E7624" s="368"/>
      <c r="F7624" s="368"/>
    </row>
    <row r="7625" spans="1:6" ht="51" x14ac:dyDescent="0.2">
      <c r="A7625" s="391">
        <v>103207</v>
      </c>
      <c r="B7625" s="478" t="s">
        <v>5572</v>
      </c>
      <c r="C7625" s="391" t="s">
        <v>26</v>
      </c>
      <c r="D7625" s="479">
        <v>2549.96</v>
      </c>
      <c r="E7625" s="368"/>
      <c r="F7625" s="368"/>
    </row>
    <row r="7626" spans="1:6" ht="38.25" x14ac:dyDescent="0.2">
      <c r="A7626" s="391">
        <v>103192</v>
      </c>
      <c r="B7626" s="478" t="s">
        <v>5566</v>
      </c>
      <c r="C7626" s="391" t="s">
        <v>26</v>
      </c>
      <c r="D7626" s="479">
        <v>2536.46</v>
      </c>
      <c r="E7626" s="368"/>
      <c r="F7626" s="368"/>
    </row>
    <row r="7627" spans="1:6" ht="51" x14ac:dyDescent="0.2">
      <c r="A7627" s="391">
        <v>103208</v>
      </c>
      <c r="B7627" s="478" t="s">
        <v>5573</v>
      </c>
      <c r="C7627" s="391" t="s">
        <v>26</v>
      </c>
      <c r="D7627" s="479">
        <v>1968.69</v>
      </c>
      <c r="E7627" s="368"/>
      <c r="F7627" s="368"/>
    </row>
    <row r="7628" spans="1:6" ht="38.25" x14ac:dyDescent="0.2">
      <c r="A7628" s="391">
        <v>103193</v>
      </c>
      <c r="B7628" s="478" t="s">
        <v>5567</v>
      </c>
      <c r="C7628" s="391" t="s">
        <v>26</v>
      </c>
      <c r="D7628" s="479">
        <v>1955.19</v>
      </c>
      <c r="E7628" s="368"/>
      <c r="F7628" s="368"/>
    </row>
    <row r="7629" spans="1:6" ht="51" x14ac:dyDescent="0.2">
      <c r="A7629" s="391">
        <v>103187</v>
      </c>
      <c r="B7629" s="478" t="s">
        <v>5561</v>
      </c>
      <c r="C7629" s="391" t="s">
        <v>26</v>
      </c>
      <c r="D7629" s="479">
        <v>4875.99</v>
      </c>
      <c r="E7629" s="368"/>
      <c r="F7629" s="368"/>
    </row>
    <row r="7630" spans="1:6" ht="51" x14ac:dyDescent="0.2">
      <c r="A7630" s="391">
        <v>103188</v>
      </c>
      <c r="B7630" s="478" t="s">
        <v>5562</v>
      </c>
      <c r="C7630" s="391" t="s">
        <v>26</v>
      </c>
      <c r="D7630" s="479">
        <v>5242.16</v>
      </c>
      <c r="E7630" s="368"/>
      <c r="F7630" s="368"/>
    </row>
    <row r="7631" spans="1:6" ht="51" x14ac:dyDescent="0.2">
      <c r="A7631" s="391">
        <v>103189</v>
      </c>
      <c r="B7631" s="478" t="s">
        <v>5563</v>
      </c>
      <c r="C7631" s="391" t="s">
        <v>26</v>
      </c>
      <c r="D7631" s="479">
        <v>2627.48</v>
      </c>
      <c r="E7631" s="368"/>
      <c r="F7631" s="368"/>
    </row>
    <row r="7632" spans="1:6" ht="38.25" x14ac:dyDescent="0.2">
      <c r="A7632" s="391">
        <v>103209</v>
      </c>
      <c r="B7632" s="478" t="s">
        <v>5574</v>
      </c>
      <c r="C7632" s="391" t="s">
        <v>26</v>
      </c>
      <c r="D7632" s="479">
        <v>2826.66</v>
      </c>
      <c r="E7632" s="368"/>
      <c r="F7632" s="368"/>
    </row>
    <row r="7633" spans="1:6" ht="38.25" x14ac:dyDescent="0.2">
      <c r="A7633" s="391">
        <v>103194</v>
      </c>
      <c r="B7633" s="478" t="s">
        <v>5568</v>
      </c>
      <c r="C7633" s="391" t="s">
        <v>26</v>
      </c>
      <c r="D7633" s="479">
        <v>2813.16</v>
      </c>
      <c r="E7633" s="368"/>
      <c r="F7633" s="368"/>
    </row>
    <row r="7634" spans="1:6" ht="25.5" x14ac:dyDescent="0.2">
      <c r="A7634" s="391">
        <v>95001</v>
      </c>
      <c r="B7634" s="478" t="s">
        <v>41697</v>
      </c>
      <c r="C7634" s="391" t="s">
        <v>255</v>
      </c>
      <c r="D7634" s="479">
        <v>0</v>
      </c>
      <c r="E7634" s="368"/>
      <c r="F7634" s="368"/>
    </row>
    <row r="7635" spans="1:6" ht="38.25" x14ac:dyDescent="0.2">
      <c r="A7635" s="391">
        <v>95000</v>
      </c>
      <c r="B7635" s="478" t="s">
        <v>41698</v>
      </c>
      <c r="C7635" s="391" t="s">
        <v>255</v>
      </c>
      <c r="D7635" s="479">
        <v>0</v>
      </c>
      <c r="E7635" s="368"/>
      <c r="F7635" s="368"/>
    </row>
    <row r="7636" spans="1:6" ht="25.5" x14ac:dyDescent="0.2">
      <c r="A7636" s="391">
        <v>95005</v>
      </c>
      <c r="B7636" s="478" t="s">
        <v>41699</v>
      </c>
      <c r="C7636" s="391" t="s">
        <v>255</v>
      </c>
      <c r="D7636" s="479">
        <v>0</v>
      </c>
      <c r="E7636" s="368"/>
      <c r="F7636" s="368"/>
    </row>
    <row r="7637" spans="1:6" ht="38.25" x14ac:dyDescent="0.2">
      <c r="A7637" s="391">
        <v>95004</v>
      </c>
      <c r="B7637" s="478" t="s">
        <v>41700</v>
      </c>
      <c r="C7637" s="391" t="s">
        <v>255</v>
      </c>
      <c r="D7637" s="479">
        <v>0</v>
      </c>
      <c r="E7637" s="368"/>
      <c r="F7637" s="368"/>
    </row>
    <row r="7638" spans="1:6" ht="25.5" x14ac:dyDescent="0.2">
      <c r="A7638" s="391">
        <v>95003</v>
      </c>
      <c r="B7638" s="478" t="s">
        <v>41701</v>
      </c>
      <c r="C7638" s="391" t="s">
        <v>255</v>
      </c>
      <c r="D7638" s="479">
        <v>0</v>
      </c>
      <c r="E7638" s="368"/>
      <c r="F7638" s="368"/>
    </row>
    <row r="7639" spans="1:6" ht="38.25" x14ac:dyDescent="0.2">
      <c r="A7639" s="391">
        <v>95002</v>
      </c>
      <c r="B7639" s="478" t="s">
        <v>41702</v>
      </c>
      <c r="C7639" s="391" t="s">
        <v>255</v>
      </c>
      <c r="D7639" s="479">
        <v>0</v>
      </c>
      <c r="E7639" s="368"/>
      <c r="F7639" s="368"/>
    </row>
    <row r="7640" spans="1:6" ht="25.5" x14ac:dyDescent="0.2">
      <c r="A7640" s="391">
        <v>95007</v>
      </c>
      <c r="B7640" s="478" t="s">
        <v>41703</v>
      </c>
      <c r="C7640" s="391" t="s">
        <v>255</v>
      </c>
      <c r="D7640" s="479">
        <v>0</v>
      </c>
      <c r="E7640" s="368"/>
      <c r="F7640" s="368"/>
    </row>
    <row r="7641" spans="1:6" ht="38.25" x14ac:dyDescent="0.2">
      <c r="A7641" s="391">
        <v>95006</v>
      </c>
      <c r="B7641" s="478" t="s">
        <v>41704</v>
      </c>
      <c r="C7641" s="391" t="s">
        <v>255</v>
      </c>
      <c r="D7641" s="479">
        <v>0</v>
      </c>
      <c r="E7641" s="368"/>
      <c r="F7641" s="368"/>
    </row>
    <row r="7642" spans="1:6" ht="38.25" x14ac:dyDescent="0.2">
      <c r="A7642" s="391">
        <v>104313</v>
      </c>
      <c r="B7642" s="478" t="s">
        <v>41705</v>
      </c>
      <c r="C7642" s="391" t="s">
        <v>255</v>
      </c>
      <c r="D7642" s="479">
        <v>0</v>
      </c>
      <c r="E7642" s="368"/>
      <c r="F7642" s="368"/>
    </row>
    <row r="7643" spans="1:6" ht="38.25" x14ac:dyDescent="0.2">
      <c r="A7643" s="391">
        <v>104312</v>
      </c>
      <c r="B7643" s="478" t="s">
        <v>41706</v>
      </c>
      <c r="C7643" s="391" t="s">
        <v>255</v>
      </c>
      <c r="D7643" s="479">
        <v>0</v>
      </c>
      <c r="E7643" s="368"/>
      <c r="F7643" s="368"/>
    </row>
    <row r="7644" spans="1:6" ht="38.25" x14ac:dyDescent="0.2">
      <c r="A7644" s="391">
        <v>94992</v>
      </c>
      <c r="B7644" s="478" t="s">
        <v>4777</v>
      </c>
      <c r="C7644" s="391" t="s">
        <v>255</v>
      </c>
      <c r="D7644" s="479">
        <v>75.42</v>
      </c>
      <c r="E7644" s="368"/>
      <c r="F7644" s="368"/>
    </row>
    <row r="7645" spans="1:6" ht="38.25" x14ac:dyDescent="0.2">
      <c r="A7645" s="391">
        <v>94994</v>
      </c>
      <c r="B7645" s="478" t="s">
        <v>4779</v>
      </c>
      <c r="C7645" s="391" t="s">
        <v>255</v>
      </c>
      <c r="D7645" s="479">
        <v>91.46</v>
      </c>
      <c r="E7645" s="368"/>
      <c r="F7645" s="368"/>
    </row>
    <row r="7646" spans="1:6" ht="38.25" x14ac:dyDescent="0.2">
      <c r="A7646" s="391">
        <v>94990</v>
      </c>
      <c r="B7646" s="478" t="s">
        <v>4775</v>
      </c>
      <c r="C7646" s="391" t="s">
        <v>271</v>
      </c>
      <c r="D7646" s="479">
        <v>784.27</v>
      </c>
      <c r="E7646" s="368"/>
      <c r="F7646" s="368"/>
    </row>
    <row r="7647" spans="1:6" ht="38.25" x14ac:dyDescent="0.2">
      <c r="A7647" s="391">
        <v>94991</v>
      </c>
      <c r="B7647" s="478" t="s">
        <v>4776</v>
      </c>
      <c r="C7647" s="391" t="s">
        <v>271</v>
      </c>
      <c r="D7647" s="479">
        <v>709.87</v>
      </c>
      <c r="E7647" s="368"/>
      <c r="F7647" s="368"/>
    </row>
    <row r="7648" spans="1:6" ht="38.25" x14ac:dyDescent="0.2">
      <c r="A7648" s="391">
        <v>104626</v>
      </c>
      <c r="B7648" s="478" t="s">
        <v>4782</v>
      </c>
      <c r="C7648" s="391" t="s">
        <v>271</v>
      </c>
      <c r="D7648" s="479">
        <v>726.53</v>
      </c>
      <c r="E7648" s="368"/>
      <c r="F7648" s="368"/>
    </row>
    <row r="7649" spans="1:6" ht="38.25" x14ac:dyDescent="0.2">
      <c r="A7649" s="391">
        <v>94993</v>
      </c>
      <c r="B7649" s="478" t="s">
        <v>4778</v>
      </c>
      <c r="C7649" s="391" t="s">
        <v>255</v>
      </c>
      <c r="D7649" s="479">
        <v>70.959999999999994</v>
      </c>
      <c r="E7649" s="368"/>
      <c r="F7649" s="368"/>
    </row>
    <row r="7650" spans="1:6" ht="38.25" x14ac:dyDescent="0.2">
      <c r="A7650" s="391">
        <v>94995</v>
      </c>
      <c r="B7650" s="478" t="s">
        <v>4780</v>
      </c>
      <c r="C7650" s="391" t="s">
        <v>255</v>
      </c>
      <c r="D7650" s="479">
        <v>85.51</v>
      </c>
      <c r="E7650" s="368"/>
      <c r="F7650" s="368"/>
    </row>
    <row r="7651" spans="1:6" ht="25.5" x14ac:dyDescent="0.2">
      <c r="A7651" s="391">
        <v>101169</v>
      </c>
      <c r="B7651" s="478" t="s">
        <v>4574</v>
      </c>
      <c r="C7651" s="391" t="s">
        <v>255</v>
      </c>
      <c r="D7651" s="479">
        <v>90.29</v>
      </c>
      <c r="E7651" s="368"/>
      <c r="F7651" s="368"/>
    </row>
    <row r="7652" spans="1:6" ht="25.5" x14ac:dyDescent="0.2">
      <c r="A7652" s="391">
        <v>104383</v>
      </c>
      <c r="B7652" s="478" t="s">
        <v>41707</v>
      </c>
      <c r="C7652" s="391" t="s">
        <v>255</v>
      </c>
      <c r="D7652" s="479">
        <v>0</v>
      </c>
      <c r="E7652" s="368"/>
      <c r="F7652" s="368"/>
    </row>
    <row r="7653" spans="1:6" ht="25.5" x14ac:dyDescent="0.2">
      <c r="A7653" s="391">
        <v>101167</v>
      </c>
      <c r="B7653" s="478" t="s">
        <v>4573</v>
      </c>
      <c r="C7653" s="391" t="s">
        <v>255</v>
      </c>
      <c r="D7653" s="479">
        <v>75.680000000000007</v>
      </c>
      <c r="E7653" s="368"/>
      <c r="F7653" s="368"/>
    </row>
    <row r="7654" spans="1:6" ht="25.5" x14ac:dyDescent="0.2">
      <c r="A7654" s="391">
        <v>101172</v>
      </c>
      <c r="B7654" s="478" t="s">
        <v>4576</v>
      </c>
      <c r="C7654" s="391" t="s">
        <v>255</v>
      </c>
      <c r="D7654" s="479">
        <v>78.41</v>
      </c>
      <c r="E7654" s="368"/>
      <c r="F7654" s="368"/>
    </row>
    <row r="7655" spans="1:6" ht="25.5" x14ac:dyDescent="0.2">
      <c r="A7655" s="391">
        <v>104384</v>
      </c>
      <c r="B7655" s="478" t="s">
        <v>41708</v>
      </c>
      <c r="C7655" s="391" t="s">
        <v>255</v>
      </c>
      <c r="D7655" s="479">
        <v>0</v>
      </c>
      <c r="E7655" s="368"/>
      <c r="F7655" s="368"/>
    </row>
    <row r="7656" spans="1:6" ht="25.5" x14ac:dyDescent="0.2">
      <c r="A7656" s="391">
        <v>101170</v>
      </c>
      <c r="B7656" s="478" t="s">
        <v>4575</v>
      </c>
      <c r="C7656" s="391" t="s">
        <v>255</v>
      </c>
      <c r="D7656" s="479">
        <v>52.9</v>
      </c>
      <c r="E7656" s="368"/>
      <c r="F7656" s="368"/>
    </row>
    <row r="7657" spans="1:6" ht="25.5" x14ac:dyDescent="0.2">
      <c r="A7657" s="391">
        <v>104438</v>
      </c>
      <c r="B7657" s="478" t="s">
        <v>41709</v>
      </c>
      <c r="C7657" s="391" t="s">
        <v>255</v>
      </c>
      <c r="D7657" s="479">
        <v>0</v>
      </c>
      <c r="E7657" s="368"/>
      <c r="F7657" s="368"/>
    </row>
    <row r="7658" spans="1:6" ht="25.5" x14ac:dyDescent="0.2">
      <c r="A7658" s="391">
        <v>92402</v>
      </c>
      <c r="B7658" s="478" t="s">
        <v>4550</v>
      </c>
      <c r="C7658" s="391" t="s">
        <v>255</v>
      </c>
      <c r="D7658" s="479">
        <v>78.680000000000007</v>
      </c>
      <c r="E7658" s="368"/>
      <c r="F7658" s="368"/>
    </row>
    <row r="7659" spans="1:6" ht="38.25" x14ac:dyDescent="0.2">
      <c r="A7659" s="391">
        <v>104429</v>
      </c>
      <c r="B7659" s="478" t="s">
        <v>41710</v>
      </c>
      <c r="C7659" s="391" t="s">
        <v>255</v>
      </c>
      <c r="D7659" s="479">
        <v>0</v>
      </c>
      <c r="E7659" s="368"/>
      <c r="F7659" s="368"/>
    </row>
    <row r="7660" spans="1:6" ht="25.5" x14ac:dyDescent="0.2">
      <c r="A7660" s="391">
        <v>104426</v>
      </c>
      <c r="B7660" s="478" t="s">
        <v>41711</v>
      </c>
      <c r="C7660" s="391" t="s">
        <v>255</v>
      </c>
      <c r="D7660" s="479">
        <v>0</v>
      </c>
      <c r="E7660" s="368"/>
      <c r="F7660" s="368"/>
    </row>
    <row r="7661" spans="1:6" ht="38.25" x14ac:dyDescent="0.2">
      <c r="A7661" s="391">
        <v>104436</v>
      </c>
      <c r="B7661" s="478" t="s">
        <v>41712</v>
      </c>
      <c r="C7661" s="391" t="s">
        <v>255</v>
      </c>
      <c r="D7661" s="479">
        <v>0</v>
      </c>
      <c r="E7661" s="368"/>
      <c r="F7661" s="368"/>
    </row>
    <row r="7662" spans="1:6" ht="38.25" x14ac:dyDescent="0.2">
      <c r="A7662" s="391">
        <v>104434</v>
      </c>
      <c r="B7662" s="478" t="s">
        <v>41713</v>
      </c>
      <c r="C7662" s="391" t="s">
        <v>255</v>
      </c>
      <c r="D7662" s="479">
        <v>0</v>
      </c>
      <c r="E7662" s="368"/>
      <c r="F7662" s="368"/>
    </row>
    <row r="7663" spans="1:6" ht="25.5" x14ac:dyDescent="0.2">
      <c r="A7663" s="391">
        <v>104432</v>
      </c>
      <c r="B7663" s="478" t="s">
        <v>48026</v>
      </c>
      <c r="C7663" s="391" t="s">
        <v>255</v>
      </c>
      <c r="D7663" s="479">
        <v>98.54</v>
      </c>
      <c r="E7663" s="368"/>
      <c r="F7663" s="368"/>
    </row>
    <row r="7664" spans="1:6" ht="25.5" x14ac:dyDescent="0.2">
      <c r="A7664" s="391">
        <v>93679</v>
      </c>
      <c r="B7664" s="478" t="s">
        <v>4554</v>
      </c>
      <c r="C7664" s="391" t="s">
        <v>255</v>
      </c>
      <c r="D7664" s="479">
        <v>95.01</v>
      </c>
      <c r="E7664" s="368"/>
      <c r="F7664" s="368"/>
    </row>
    <row r="7665" spans="1:6" ht="25.5" x14ac:dyDescent="0.2">
      <c r="A7665" s="391">
        <v>92396</v>
      </c>
      <c r="B7665" s="478" t="s">
        <v>4546</v>
      </c>
      <c r="C7665" s="391" t="s">
        <v>255</v>
      </c>
      <c r="D7665" s="479">
        <v>80.87</v>
      </c>
      <c r="E7665" s="368"/>
      <c r="F7665" s="368"/>
    </row>
    <row r="7666" spans="1:6" ht="25.5" x14ac:dyDescent="0.2">
      <c r="A7666" s="391">
        <v>104439</v>
      </c>
      <c r="B7666" s="478" t="s">
        <v>41714</v>
      </c>
      <c r="C7666" s="391" t="s">
        <v>255</v>
      </c>
      <c r="D7666" s="479">
        <v>0</v>
      </c>
      <c r="E7666" s="368"/>
      <c r="F7666" s="368"/>
    </row>
    <row r="7667" spans="1:6" ht="25.5" x14ac:dyDescent="0.2">
      <c r="A7667" s="391">
        <v>104440</v>
      </c>
      <c r="B7667" s="478" t="s">
        <v>41715</v>
      </c>
      <c r="C7667" s="391" t="s">
        <v>255</v>
      </c>
      <c r="D7667" s="479">
        <v>0</v>
      </c>
      <c r="E7667" s="368"/>
      <c r="F7667" s="368"/>
    </row>
    <row r="7668" spans="1:6" ht="25.5" x14ac:dyDescent="0.2">
      <c r="A7668" s="391">
        <v>92406</v>
      </c>
      <c r="B7668" s="478" t="s">
        <v>4553</v>
      </c>
      <c r="C7668" s="391" t="s">
        <v>255</v>
      </c>
      <c r="D7668" s="479">
        <v>132.58000000000001</v>
      </c>
      <c r="E7668" s="368"/>
      <c r="F7668" s="368"/>
    </row>
    <row r="7669" spans="1:6" ht="25.5" x14ac:dyDescent="0.2">
      <c r="A7669" s="391">
        <v>92403</v>
      </c>
      <c r="B7669" s="478" t="s">
        <v>4551</v>
      </c>
      <c r="C7669" s="391" t="s">
        <v>255</v>
      </c>
      <c r="D7669" s="479">
        <v>68.06</v>
      </c>
      <c r="E7669" s="368"/>
      <c r="F7669" s="368"/>
    </row>
    <row r="7670" spans="1:6" ht="25.5" x14ac:dyDescent="0.2">
      <c r="A7670" s="391">
        <v>92404</v>
      </c>
      <c r="B7670" s="478" t="s">
        <v>4552</v>
      </c>
      <c r="C7670" s="391" t="s">
        <v>255</v>
      </c>
      <c r="D7670" s="479">
        <v>78.489999999999995</v>
      </c>
      <c r="E7670" s="368"/>
      <c r="F7670" s="368"/>
    </row>
    <row r="7671" spans="1:6" ht="38.25" x14ac:dyDescent="0.2">
      <c r="A7671" s="391">
        <v>104430</v>
      </c>
      <c r="B7671" s="478" t="s">
        <v>41716</v>
      </c>
      <c r="C7671" s="391" t="s">
        <v>255</v>
      </c>
      <c r="D7671" s="479">
        <v>0</v>
      </c>
      <c r="E7671" s="368"/>
      <c r="F7671" s="368"/>
    </row>
    <row r="7672" spans="1:6" ht="38.25" x14ac:dyDescent="0.2">
      <c r="A7672" s="391">
        <v>104431</v>
      </c>
      <c r="B7672" s="478" t="s">
        <v>41717</v>
      </c>
      <c r="C7672" s="391" t="s">
        <v>255</v>
      </c>
      <c r="D7672" s="479">
        <v>0</v>
      </c>
      <c r="E7672" s="368"/>
      <c r="F7672" s="368"/>
    </row>
    <row r="7673" spans="1:6" ht="38.25" x14ac:dyDescent="0.2">
      <c r="A7673" s="391">
        <v>104427</v>
      </c>
      <c r="B7673" s="478" t="s">
        <v>41718</v>
      </c>
      <c r="C7673" s="391" t="s">
        <v>255</v>
      </c>
      <c r="D7673" s="479">
        <v>0</v>
      </c>
      <c r="E7673" s="368"/>
      <c r="F7673" s="368"/>
    </row>
    <row r="7674" spans="1:6" ht="38.25" x14ac:dyDescent="0.2">
      <c r="A7674" s="391">
        <v>104428</v>
      </c>
      <c r="B7674" s="478" t="s">
        <v>41719</v>
      </c>
      <c r="C7674" s="391" t="s">
        <v>255</v>
      </c>
      <c r="D7674" s="479">
        <v>0</v>
      </c>
      <c r="E7674" s="368"/>
      <c r="F7674" s="368"/>
    </row>
    <row r="7675" spans="1:6" ht="25.5" x14ac:dyDescent="0.2">
      <c r="A7675" s="391">
        <v>92391</v>
      </c>
      <c r="B7675" s="478" t="s">
        <v>4541</v>
      </c>
      <c r="C7675" s="391" t="s">
        <v>255</v>
      </c>
      <c r="D7675" s="479">
        <v>73.17</v>
      </c>
      <c r="E7675" s="368"/>
      <c r="F7675" s="368"/>
    </row>
    <row r="7676" spans="1:6" ht="25.5" x14ac:dyDescent="0.2">
      <c r="A7676" s="391">
        <v>92392</v>
      </c>
      <c r="B7676" s="478" t="s">
        <v>4542</v>
      </c>
      <c r="C7676" s="391" t="s">
        <v>255</v>
      </c>
      <c r="D7676" s="479">
        <v>79.89</v>
      </c>
      <c r="E7676" s="368"/>
      <c r="F7676" s="368"/>
    </row>
    <row r="7677" spans="1:6" ht="38.25" x14ac:dyDescent="0.2">
      <c r="A7677" s="391">
        <v>104437</v>
      </c>
      <c r="B7677" s="478" t="s">
        <v>41720</v>
      </c>
      <c r="C7677" s="391" t="s">
        <v>255</v>
      </c>
      <c r="D7677" s="479">
        <v>0</v>
      </c>
      <c r="E7677" s="368"/>
      <c r="F7677" s="368"/>
    </row>
    <row r="7678" spans="1:6" ht="38.25" x14ac:dyDescent="0.2">
      <c r="A7678" s="391">
        <v>104435</v>
      </c>
      <c r="B7678" s="478" t="s">
        <v>41721</v>
      </c>
      <c r="C7678" s="391" t="s">
        <v>255</v>
      </c>
      <c r="D7678" s="479">
        <v>0</v>
      </c>
      <c r="E7678" s="368"/>
      <c r="F7678" s="368"/>
    </row>
    <row r="7679" spans="1:6" ht="25.5" x14ac:dyDescent="0.2">
      <c r="A7679" s="391">
        <v>104433</v>
      </c>
      <c r="B7679" s="478" t="s">
        <v>48027</v>
      </c>
      <c r="C7679" s="391" t="s">
        <v>255</v>
      </c>
      <c r="D7679" s="479">
        <v>86.64</v>
      </c>
      <c r="E7679" s="368"/>
      <c r="F7679" s="368"/>
    </row>
    <row r="7680" spans="1:6" ht="25.5" x14ac:dyDescent="0.2">
      <c r="A7680" s="391">
        <v>93680</v>
      </c>
      <c r="B7680" s="478" t="s">
        <v>4555</v>
      </c>
      <c r="C7680" s="391" t="s">
        <v>255</v>
      </c>
      <c r="D7680" s="479">
        <v>84.36</v>
      </c>
      <c r="E7680" s="368"/>
      <c r="F7680" s="368"/>
    </row>
    <row r="7681" spans="1:6" ht="25.5" x14ac:dyDescent="0.2">
      <c r="A7681" s="391">
        <v>93681</v>
      </c>
      <c r="B7681" s="478" t="s">
        <v>4556</v>
      </c>
      <c r="C7681" s="391" t="s">
        <v>255</v>
      </c>
      <c r="D7681" s="479">
        <v>100.29</v>
      </c>
      <c r="E7681" s="368"/>
      <c r="F7681" s="368"/>
    </row>
    <row r="7682" spans="1:6" ht="25.5" x14ac:dyDescent="0.2">
      <c r="A7682" s="391">
        <v>92397</v>
      </c>
      <c r="B7682" s="478" t="s">
        <v>4547</v>
      </c>
      <c r="C7682" s="391" t="s">
        <v>255</v>
      </c>
      <c r="D7682" s="479">
        <v>70.569999999999993</v>
      </c>
      <c r="E7682" s="368"/>
      <c r="F7682" s="368"/>
    </row>
    <row r="7683" spans="1:6" ht="25.5" x14ac:dyDescent="0.2">
      <c r="A7683" s="391">
        <v>92398</v>
      </c>
      <c r="B7683" s="478" t="s">
        <v>4548</v>
      </c>
      <c r="C7683" s="391" t="s">
        <v>255</v>
      </c>
      <c r="D7683" s="479">
        <v>80.989999999999995</v>
      </c>
      <c r="E7683" s="368"/>
      <c r="F7683" s="368"/>
    </row>
    <row r="7684" spans="1:6" ht="25.5" x14ac:dyDescent="0.2">
      <c r="A7684" s="391">
        <v>92400</v>
      </c>
      <c r="B7684" s="478" t="s">
        <v>4549</v>
      </c>
      <c r="C7684" s="391" t="s">
        <v>255</v>
      </c>
      <c r="D7684" s="479">
        <v>94.17</v>
      </c>
      <c r="E7684" s="368"/>
      <c r="F7684" s="368"/>
    </row>
    <row r="7685" spans="1:6" ht="25.5" x14ac:dyDescent="0.2">
      <c r="A7685" s="391">
        <v>92395</v>
      </c>
      <c r="B7685" s="478" t="s">
        <v>4545</v>
      </c>
      <c r="C7685" s="391" t="s">
        <v>255</v>
      </c>
      <c r="D7685" s="479">
        <v>114</v>
      </c>
      <c r="E7685" s="368"/>
      <c r="F7685" s="368"/>
    </row>
    <row r="7686" spans="1:6" ht="25.5" x14ac:dyDescent="0.2">
      <c r="A7686" s="391">
        <v>92393</v>
      </c>
      <c r="B7686" s="478" t="s">
        <v>4543</v>
      </c>
      <c r="C7686" s="391" t="s">
        <v>255</v>
      </c>
      <c r="D7686" s="479">
        <v>73.709999999999994</v>
      </c>
      <c r="E7686" s="368"/>
      <c r="F7686" s="368"/>
    </row>
    <row r="7687" spans="1:6" ht="25.5" x14ac:dyDescent="0.2">
      <c r="A7687" s="391">
        <v>92394</v>
      </c>
      <c r="B7687" s="478" t="s">
        <v>4544</v>
      </c>
      <c r="C7687" s="391" t="s">
        <v>255</v>
      </c>
      <c r="D7687" s="479">
        <v>87.88</v>
      </c>
      <c r="E7687" s="368"/>
      <c r="F7687" s="368"/>
    </row>
    <row r="7688" spans="1:6" ht="25.5" x14ac:dyDescent="0.2">
      <c r="A7688" s="391">
        <v>97115</v>
      </c>
      <c r="B7688" s="478" t="s">
        <v>4567</v>
      </c>
      <c r="C7688" s="391" t="s">
        <v>1284</v>
      </c>
      <c r="D7688" s="479">
        <v>61.27</v>
      </c>
      <c r="E7688" s="368"/>
      <c r="F7688" s="368"/>
    </row>
    <row r="7689" spans="1:6" ht="25.5" x14ac:dyDescent="0.2">
      <c r="A7689" s="391">
        <v>97113</v>
      </c>
      <c r="B7689" s="478" t="s">
        <v>4565</v>
      </c>
      <c r="C7689" s="391" t="s">
        <v>255</v>
      </c>
      <c r="D7689" s="479">
        <v>2.0299999999999998</v>
      </c>
      <c r="E7689" s="368"/>
      <c r="F7689" s="368"/>
    </row>
    <row r="7690" spans="1:6" ht="25.5" x14ac:dyDescent="0.2">
      <c r="A7690" s="391">
        <v>97120</v>
      </c>
      <c r="B7690" s="478" t="s">
        <v>4572</v>
      </c>
      <c r="C7690" s="391" t="s">
        <v>1284</v>
      </c>
      <c r="D7690" s="479">
        <v>9.6300000000000008</v>
      </c>
      <c r="E7690" s="368"/>
      <c r="F7690" s="368"/>
    </row>
    <row r="7691" spans="1:6" ht="25.5" x14ac:dyDescent="0.2">
      <c r="A7691" s="391">
        <v>97116</v>
      </c>
      <c r="B7691" s="478" t="s">
        <v>4568</v>
      </c>
      <c r="C7691" s="391" t="s">
        <v>1284</v>
      </c>
      <c r="D7691" s="479">
        <v>21.74</v>
      </c>
      <c r="E7691" s="368"/>
      <c r="F7691" s="368"/>
    </row>
    <row r="7692" spans="1:6" ht="25.5" x14ac:dyDescent="0.2">
      <c r="A7692" s="391">
        <v>97117</v>
      </c>
      <c r="B7692" s="478" t="s">
        <v>4569</v>
      </c>
      <c r="C7692" s="391" t="s">
        <v>1284</v>
      </c>
      <c r="D7692" s="479">
        <v>19.239999999999998</v>
      </c>
      <c r="E7692" s="368"/>
      <c r="F7692" s="368"/>
    </row>
    <row r="7693" spans="1:6" ht="25.5" x14ac:dyDescent="0.2">
      <c r="A7693" s="391">
        <v>97118</v>
      </c>
      <c r="B7693" s="478" t="s">
        <v>4570</v>
      </c>
      <c r="C7693" s="391" t="s">
        <v>1284</v>
      </c>
      <c r="D7693" s="479">
        <v>16.079999999999998</v>
      </c>
      <c r="E7693" s="368"/>
      <c r="F7693" s="368"/>
    </row>
    <row r="7694" spans="1:6" ht="25.5" x14ac:dyDescent="0.2">
      <c r="A7694" s="391">
        <v>97119</v>
      </c>
      <c r="B7694" s="478" t="s">
        <v>4571</v>
      </c>
      <c r="C7694" s="391" t="s">
        <v>1284</v>
      </c>
      <c r="D7694" s="479">
        <v>14.61</v>
      </c>
      <c r="E7694" s="368"/>
      <c r="F7694" s="368"/>
    </row>
    <row r="7695" spans="1:6" ht="25.5" x14ac:dyDescent="0.2">
      <c r="A7695" s="391">
        <v>97114</v>
      </c>
      <c r="B7695" s="478" t="s">
        <v>4566</v>
      </c>
      <c r="C7695" s="391" t="s">
        <v>0</v>
      </c>
      <c r="D7695" s="479">
        <v>0.38</v>
      </c>
      <c r="E7695" s="368"/>
      <c r="F7695" s="368"/>
    </row>
    <row r="7696" spans="1:6" ht="25.5" x14ac:dyDescent="0.2">
      <c r="A7696" s="391">
        <v>97111</v>
      </c>
      <c r="B7696" s="478" t="s">
        <v>4563</v>
      </c>
      <c r="C7696" s="391" t="s">
        <v>255</v>
      </c>
      <c r="D7696" s="479">
        <v>196.24</v>
      </c>
      <c r="E7696" s="368"/>
      <c r="F7696" s="368"/>
    </row>
    <row r="7697" spans="1:6" ht="25.5" x14ac:dyDescent="0.2">
      <c r="A7697" s="391">
        <v>97112</v>
      </c>
      <c r="B7697" s="478" t="s">
        <v>4564</v>
      </c>
      <c r="C7697" s="391" t="s">
        <v>255</v>
      </c>
      <c r="D7697" s="479">
        <v>204.51</v>
      </c>
      <c r="E7697" s="368"/>
      <c r="F7697" s="368"/>
    </row>
    <row r="7698" spans="1:6" ht="25.5" x14ac:dyDescent="0.2">
      <c r="A7698" s="391">
        <v>103904</v>
      </c>
      <c r="B7698" s="478" t="s">
        <v>4577</v>
      </c>
      <c r="C7698" s="391" t="s">
        <v>255</v>
      </c>
      <c r="D7698" s="479">
        <v>126.18</v>
      </c>
      <c r="E7698" s="368"/>
      <c r="F7698" s="368"/>
    </row>
    <row r="7699" spans="1:6" ht="25.5" x14ac:dyDescent="0.2">
      <c r="A7699" s="391">
        <v>103905</v>
      </c>
      <c r="B7699" s="478" t="s">
        <v>4578</v>
      </c>
      <c r="C7699" s="391" t="s">
        <v>255</v>
      </c>
      <c r="D7699" s="479">
        <v>133.18</v>
      </c>
      <c r="E7699" s="368"/>
      <c r="F7699" s="368"/>
    </row>
    <row r="7700" spans="1:6" ht="25.5" x14ac:dyDescent="0.2">
      <c r="A7700" s="391">
        <v>103907</v>
      </c>
      <c r="B7700" s="478" t="s">
        <v>4580</v>
      </c>
      <c r="C7700" s="391" t="s">
        <v>255</v>
      </c>
      <c r="D7700" s="479">
        <v>140.59</v>
      </c>
      <c r="E7700" s="368"/>
      <c r="F7700" s="368"/>
    </row>
    <row r="7701" spans="1:6" ht="25.5" x14ac:dyDescent="0.2">
      <c r="A7701" s="391">
        <v>103911</v>
      </c>
      <c r="B7701" s="478" t="s">
        <v>4583</v>
      </c>
      <c r="C7701" s="391" t="s">
        <v>255</v>
      </c>
      <c r="D7701" s="479">
        <v>205.68</v>
      </c>
      <c r="E7701" s="368"/>
      <c r="F7701" s="368"/>
    </row>
    <row r="7702" spans="1:6" ht="25.5" x14ac:dyDescent="0.2">
      <c r="A7702" s="391">
        <v>97104</v>
      </c>
      <c r="B7702" s="478" t="s">
        <v>4557</v>
      </c>
      <c r="C7702" s="391" t="s">
        <v>255</v>
      </c>
      <c r="D7702" s="479">
        <v>129.79</v>
      </c>
      <c r="E7702" s="368"/>
      <c r="F7702" s="368"/>
    </row>
    <row r="7703" spans="1:6" ht="25.5" x14ac:dyDescent="0.2">
      <c r="A7703" s="391">
        <v>103906</v>
      </c>
      <c r="B7703" s="478" t="s">
        <v>4579</v>
      </c>
      <c r="C7703" s="391" t="s">
        <v>255</v>
      </c>
      <c r="D7703" s="479">
        <v>163.27000000000001</v>
      </c>
      <c r="E7703" s="368"/>
      <c r="F7703" s="368"/>
    </row>
    <row r="7704" spans="1:6" ht="25.5" x14ac:dyDescent="0.2">
      <c r="A7704" s="391">
        <v>97105</v>
      </c>
      <c r="B7704" s="478" t="s">
        <v>4558</v>
      </c>
      <c r="C7704" s="391" t="s">
        <v>255</v>
      </c>
      <c r="D7704" s="479">
        <v>146.75</v>
      </c>
      <c r="E7704" s="368"/>
      <c r="F7704" s="368"/>
    </row>
    <row r="7705" spans="1:6" ht="25.5" x14ac:dyDescent="0.2">
      <c r="A7705" s="391">
        <v>97106</v>
      </c>
      <c r="B7705" s="478" t="s">
        <v>4559</v>
      </c>
      <c r="C7705" s="391" t="s">
        <v>255</v>
      </c>
      <c r="D7705" s="479">
        <v>162.82</v>
      </c>
      <c r="E7705" s="368"/>
      <c r="F7705" s="368"/>
    </row>
    <row r="7706" spans="1:6" ht="25.5" x14ac:dyDescent="0.2">
      <c r="A7706" s="391">
        <v>97107</v>
      </c>
      <c r="B7706" s="478" t="s">
        <v>4560</v>
      </c>
      <c r="C7706" s="391" t="s">
        <v>255</v>
      </c>
      <c r="D7706" s="479">
        <v>185.64</v>
      </c>
      <c r="E7706" s="368"/>
      <c r="F7706" s="368"/>
    </row>
    <row r="7707" spans="1:6" ht="25.5" x14ac:dyDescent="0.2">
      <c r="A7707" s="391">
        <v>97108</v>
      </c>
      <c r="B7707" s="478" t="s">
        <v>4561</v>
      </c>
      <c r="C7707" s="391" t="s">
        <v>255</v>
      </c>
      <c r="D7707" s="479">
        <v>211.7</v>
      </c>
      <c r="E7707" s="368"/>
      <c r="F7707" s="368"/>
    </row>
    <row r="7708" spans="1:6" ht="25.5" x14ac:dyDescent="0.2">
      <c r="A7708" s="391">
        <v>97109</v>
      </c>
      <c r="B7708" s="478" t="s">
        <v>4562</v>
      </c>
      <c r="C7708" s="391" t="s">
        <v>255</v>
      </c>
      <c r="D7708" s="479">
        <v>233.84</v>
      </c>
      <c r="E7708" s="368"/>
      <c r="F7708" s="368"/>
    </row>
    <row r="7709" spans="1:6" ht="25.5" x14ac:dyDescent="0.2">
      <c r="A7709" s="391">
        <v>103913</v>
      </c>
      <c r="B7709" s="478" t="s">
        <v>4585</v>
      </c>
      <c r="C7709" s="391" t="s">
        <v>255</v>
      </c>
      <c r="D7709" s="479">
        <v>115.16</v>
      </c>
      <c r="E7709" s="368"/>
      <c r="F7709" s="368"/>
    </row>
    <row r="7710" spans="1:6" ht="25.5" x14ac:dyDescent="0.2">
      <c r="A7710" s="391">
        <v>103914</v>
      </c>
      <c r="B7710" s="478" t="s">
        <v>4586</v>
      </c>
      <c r="C7710" s="391" t="s">
        <v>255</v>
      </c>
      <c r="D7710" s="479">
        <v>134.44</v>
      </c>
      <c r="E7710" s="368"/>
      <c r="F7710" s="368"/>
    </row>
    <row r="7711" spans="1:6" ht="25.5" x14ac:dyDescent="0.2">
      <c r="A7711" s="391">
        <v>103915</v>
      </c>
      <c r="B7711" s="478" t="s">
        <v>4587</v>
      </c>
      <c r="C7711" s="391" t="s">
        <v>255</v>
      </c>
      <c r="D7711" s="479">
        <v>146.06</v>
      </c>
      <c r="E7711" s="368"/>
      <c r="F7711" s="368"/>
    </row>
    <row r="7712" spans="1:6" ht="25.5" x14ac:dyDescent="0.2">
      <c r="A7712" s="391">
        <v>103916</v>
      </c>
      <c r="B7712" s="478" t="s">
        <v>4588</v>
      </c>
      <c r="C7712" s="391" t="s">
        <v>255</v>
      </c>
      <c r="D7712" s="479">
        <v>168.5</v>
      </c>
      <c r="E7712" s="368"/>
      <c r="F7712" s="368"/>
    </row>
    <row r="7713" spans="1:6" ht="25.5" x14ac:dyDescent="0.2">
      <c r="A7713" s="391">
        <v>103917</v>
      </c>
      <c r="B7713" s="478" t="s">
        <v>4589</v>
      </c>
      <c r="C7713" s="391" t="s">
        <v>255</v>
      </c>
      <c r="D7713" s="479">
        <v>192.27</v>
      </c>
      <c r="E7713" s="368"/>
      <c r="F7713" s="368"/>
    </row>
    <row r="7714" spans="1:6" ht="25.5" x14ac:dyDescent="0.2">
      <c r="A7714" s="391">
        <v>103918</v>
      </c>
      <c r="B7714" s="478" t="s">
        <v>4590</v>
      </c>
      <c r="C7714" s="391" t="s">
        <v>255</v>
      </c>
      <c r="D7714" s="479">
        <v>203.91</v>
      </c>
      <c r="E7714" s="368"/>
      <c r="F7714" s="368"/>
    </row>
    <row r="7715" spans="1:6" ht="25.5" x14ac:dyDescent="0.2">
      <c r="A7715" s="391">
        <v>103919</v>
      </c>
      <c r="B7715" s="478" t="s">
        <v>41722</v>
      </c>
      <c r="C7715" s="391" t="s">
        <v>255</v>
      </c>
      <c r="D7715" s="479">
        <v>0</v>
      </c>
      <c r="E7715" s="368"/>
      <c r="F7715" s="368"/>
    </row>
    <row r="7716" spans="1:6" ht="25.5" x14ac:dyDescent="0.2">
      <c r="A7716" s="391">
        <v>103920</v>
      </c>
      <c r="B7716" s="478" t="s">
        <v>41723</v>
      </c>
      <c r="C7716" s="391" t="s">
        <v>255</v>
      </c>
      <c r="D7716" s="479">
        <v>0</v>
      </c>
      <c r="E7716" s="368"/>
      <c r="F7716" s="368"/>
    </row>
    <row r="7717" spans="1:6" ht="25.5" x14ac:dyDescent="0.2">
      <c r="A7717" s="391">
        <v>103921</v>
      </c>
      <c r="B7717" s="478" t="s">
        <v>41724</v>
      </c>
      <c r="C7717" s="391" t="s">
        <v>255</v>
      </c>
      <c r="D7717" s="479">
        <v>0</v>
      </c>
      <c r="E7717" s="368"/>
      <c r="F7717" s="368"/>
    </row>
    <row r="7718" spans="1:6" ht="25.5" x14ac:dyDescent="0.2">
      <c r="A7718" s="391">
        <v>103922</v>
      </c>
      <c r="B7718" s="478" t="s">
        <v>41725</v>
      </c>
      <c r="C7718" s="391" t="s">
        <v>255</v>
      </c>
      <c r="D7718" s="479">
        <v>0</v>
      </c>
      <c r="E7718" s="368"/>
      <c r="F7718" s="368"/>
    </row>
    <row r="7719" spans="1:6" ht="25.5" x14ac:dyDescent="0.2">
      <c r="A7719" s="391">
        <v>103923</v>
      </c>
      <c r="B7719" s="478" t="s">
        <v>41726</v>
      </c>
      <c r="C7719" s="391" t="s">
        <v>255</v>
      </c>
      <c r="D7719" s="479">
        <v>0</v>
      </c>
      <c r="E7719" s="368"/>
      <c r="F7719" s="368"/>
    </row>
    <row r="7720" spans="1:6" ht="25.5" x14ac:dyDescent="0.2">
      <c r="A7720" s="391">
        <v>103908</v>
      </c>
      <c r="B7720" s="478" t="s">
        <v>4581</v>
      </c>
      <c r="C7720" s="391" t="s">
        <v>255</v>
      </c>
      <c r="D7720" s="479">
        <v>158</v>
      </c>
      <c r="E7720" s="368"/>
      <c r="F7720" s="368"/>
    </row>
    <row r="7721" spans="1:6" ht="25.5" x14ac:dyDescent="0.2">
      <c r="A7721" s="391">
        <v>103909</v>
      </c>
      <c r="B7721" s="478" t="s">
        <v>4582</v>
      </c>
      <c r="C7721" s="391" t="s">
        <v>255</v>
      </c>
      <c r="D7721" s="479">
        <v>180.23</v>
      </c>
      <c r="E7721" s="368"/>
      <c r="F7721" s="368"/>
    </row>
    <row r="7722" spans="1:6" ht="25.5" x14ac:dyDescent="0.2">
      <c r="A7722" s="391">
        <v>103912</v>
      </c>
      <c r="B7722" s="478" t="s">
        <v>4584</v>
      </c>
      <c r="C7722" s="391" t="s">
        <v>255</v>
      </c>
      <c r="D7722" s="479">
        <v>227.23</v>
      </c>
      <c r="E7722" s="368"/>
      <c r="F7722" s="368"/>
    </row>
    <row r="7723" spans="1:6" x14ac:dyDescent="0.2">
      <c r="A7723" s="391">
        <v>101979</v>
      </c>
      <c r="B7723" s="478" t="s">
        <v>5043</v>
      </c>
      <c r="C7723" s="391" t="s">
        <v>0</v>
      </c>
      <c r="D7723" s="479">
        <v>40.94</v>
      </c>
      <c r="E7723" s="368"/>
      <c r="F7723" s="368"/>
    </row>
    <row r="7724" spans="1:6" ht="38.25" x14ac:dyDescent="0.2">
      <c r="A7724" s="391">
        <v>101970</v>
      </c>
      <c r="B7724" s="478" t="s">
        <v>41727</v>
      </c>
      <c r="C7724" s="391" t="s">
        <v>0</v>
      </c>
      <c r="D7724" s="479">
        <v>0</v>
      </c>
      <c r="E7724" s="368"/>
      <c r="F7724" s="368"/>
    </row>
    <row r="7725" spans="1:6" ht="38.25" x14ac:dyDescent="0.2">
      <c r="A7725" s="391">
        <v>101972</v>
      </c>
      <c r="B7725" s="478" t="s">
        <v>41728</v>
      </c>
      <c r="C7725" s="391" t="s">
        <v>0</v>
      </c>
      <c r="D7725" s="479">
        <v>0</v>
      </c>
      <c r="E7725" s="368"/>
      <c r="F7725" s="368"/>
    </row>
    <row r="7726" spans="1:6" ht="25.5" x14ac:dyDescent="0.2">
      <c r="A7726" s="391">
        <v>101966</v>
      </c>
      <c r="B7726" s="478" t="s">
        <v>5042</v>
      </c>
      <c r="C7726" s="391" t="s">
        <v>0</v>
      </c>
      <c r="D7726" s="479">
        <v>168.31</v>
      </c>
      <c r="E7726" s="368"/>
      <c r="F7726" s="368"/>
    </row>
    <row r="7727" spans="1:6" ht="38.25" x14ac:dyDescent="0.2">
      <c r="A7727" s="391">
        <v>101976</v>
      </c>
      <c r="B7727" s="478" t="s">
        <v>41729</v>
      </c>
      <c r="C7727" s="391" t="s">
        <v>0</v>
      </c>
      <c r="D7727" s="479">
        <v>0</v>
      </c>
      <c r="E7727" s="368"/>
      <c r="F7727" s="368"/>
    </row>
    <row r="7728" spans="1:6" ht="38.25" x14ac:dyDescent="0.2">
      <c r="A7728" s="391">
        <v>101978</v>
      </c>
      <c r="B7728" s="478" t="s">
        <v>41730</v>
      </c>
      <c r="C7728" s="391" t="s">
        <v>0</v>
      </c>
      <c r="D7728" s="479">
        <v>0</v>
      </c>
      <c r="E7728" s="368"/>
      <c r="F7728" s="368"/>
    </row>
    <row r="7729" spans="1:6" ht="25.5" x14ac:dyDescent="0.2">
      <c r="A7729" s="391">
        <v>101967</v>
      </c>
      <c r="B7729" s="478" t="s">
        <v>41731</v>
      </c>
      <c r="C7729" s="391" t="s">
        <v>0</v>
      </c>
      <c r="D7729" s="479">
        <v>0</v>
      </c>
      <c r="E7729" s="368"/>
      <c r="F7729" s="368"/>
    </row>
    <row r="7730" spans="1:6" ht="25.5" x14ac:dyDescent="0.2">
      <c r="A7730" s="391">
        <v>101968</v>
      </c>
      <c r="B7730" s="478" t="s">
        <v>41732</v>
      </c>
      <c r="C7730" s="391" t="s">
        <v>0</v>
      </c>
      <c r="D7730" s="479">
        <v>0</v>
      </c>
      <c r="E7730" s="368"/>
      <c r="F7730" s="368"/>
    </row>
    <row r="7731" spans="1:6" ht="25.5" x14ac:dyDescent="0.2">
      <c r="A7731" s="391">
        <v>101965</v>
      </c>
      <c r="B7731" s="478" t="s">
        <v>47325</v>
      </c>
      <c r="C7731" s="391" t="s">
        <v>0</v>
      </c>
      <c r="D7731" s="479">
        <v>133.69999999999999</v>
      </c>
      <c r="E7731" s="368"/>
      <c r="F7731" s="368"/>
    </row>
    <row r="7732" spans="1:6" ht="38.25" x14ac:dyDescent="0.2">
      <c r="A7732" s="391">
        <v>104100</v>
      </c>
      <c r="B7732" s="478" t="s">
        <v>41733</v>
      </c>
      <c r="C7732" s="391" t="s">
        <v>255</v>
      </c>
      <c r="D7732" s="479">
        <v>0</v>
      </c>
      <c r="E7732" s="368"/>
      <c r="F7732" s="368"/>
    </row>
    <row r="7733" spans="1:6" ht="38.25" x14ac:dyDescent="0.2">
      <c r="A7733" s="391">
        <v>104099</v>
      </c>
      <c r="B7733" s="478" t="s">
        <v>41734</v>
      </c>
      <c r="C7733" s="391" t="s">
        <v>255</v>
      </c>
      <c r="D7733" s="479">
        <v>0</v>
      </c>
      <c r="E7733" s="368"/>
      <c r="F7733" s="368"/>
    </row>
    <row r="7734" spans="1:6" ht="38.25" x14ac:dyDescent="0.2">
      <c r="A7734" s="391">
        <v>104102</v>
      </c>
      <c r="B7734" s="478" t="s">
        <v>41735</v>
      </c>
      <c r="C7734" s="391" t="s">
        <v>255</v>
      </c>
      <c r="D7734" s="479">
        <v>0</v>
      </c>
      <c r="E7734" s="368"/>
      <c r="F7734" s="368"/>
    </row>
    <row r="7735" spans="1:6" ht="38.25" x14ac:dyDescent="0.2">
      <c r="A7735" s="391">
        <v>104101</v>
      </c>
      <c r="B7735" s="478" t="s">
        <v>41736</v>
      </c>
      <c r="C7735" s="391" t="s">
        <v>255</v>
      </c>
      <c r="D7735" s="479">
        <v>0</v>
      </c>
      <c r="E7735" s="368"/>
      <c r="F7735" s="368"/>
    </row>
    <row r="7736" spans="1:6" ht="38.25" x14ac:dyDescent="0.2">
      <c r="A7736" s="391">
        <v>104103</v>
      </c>
      <c r="B7736" s="478" t="s">
        <v>48028</v>
      </c>
      <c r="C7736" s="391" t="s">
        <v>255</v>
      </c>
      <c r="D7736" s="479">
        <v>0</v>
      </c>
      <c r="E7736" s="368"/>
      <c r="F7736" s="368"/>
    </row>
    <row r="7737" spans="1:6" x14ac:dyDescent="0.2">
      <c r="A7737" s="391">
        <v>92123</v>
      </c>
      <c r="B7737" s="478" t="s">
        <v>5198</v>
      </c>
      <c r="C7737" s="391" t="s">
        <v>271</v>
      </c>
      <c r="D7737" s="479">
        <v>62.39</v>
      </c>
      <c r="E7737" s="368"/>
      <c r="F7737" s="368"/>
    </row>
    <row r="7738" spans="1:6" x14ac:dyDescent="0.2">
      <c r="A7738" s="391">
        <v>92121</v>
      </c>
      <c r="B7738" s="478" t="s">
        <v>5196</v>
      </c>
      <c r="C7738" s="391" t="s">
        <v>271</v>
      </c>
      <c r="D7738" s="479">
        <v>31.18</v>
      </c>
      <c r="E7738" s="368"/>
      <c r="F7738" s="368"/>
    </row>
    <row r="7739" spans="1:6" x14ac:dyDescent="0.2">
      <c r="A7739" s="391">
        <v>92122</v>
      </c>
      <c r="B7739" s="478" t="s">
        <v>5197</v>
      </c>
      <c r="C7739" s="391" t="s">
        <v>271</v>
      </c>
      <c r="D7739" s="479">
        <v>52.15</v>
      </c>
      <c r="E7739" s="368"/>
      <c r="F7739" s="368"/>
    </row>
    <row r="7740" spans="1:6" ht="25.5" x14ac:dyDescent="0.2">
      <c r="A7740" s="391">
        <v>103615</v>
      </c>
      <c r="B7740" s="478" t="s">
        <v>41737</v>
      </c>
      <c r="C7740" s="391" t="s">
        <v>0</v>
      </c>
      <c r="D7740" s="479">
        <v>0</v>
      </c>
      <c r="E7740" s="368"/>
      <c r="F7740" s="368"/>
    </row>
    <row r="7741" spans="1:6" ht="25.5" x14ac:dyDescent="0.2">
      <c r="A7741" s="391">
        <v>103637</v>
      </c>
      <c r="B7741" s="478" t="s">
        <v>41738</v>
      </c>
      <c r="C7741" s="391" t="s">
        <v>0</v>
      </c>
      <c r="D7741" s="479">
        <v>0</v>
      </c>
      <c r="E7741" s="368"/>
      <c r="F7741" s="368"/>
    </row>
    <row r="7742" spans="1:6" ht="25.5" x14ac:dyDescent="0.2">
      <c r="A7742" s="391">
        <v>103593</v>
      </c>
      <c r="B7742" s="478" t="s">
        <v>41739</v>
      </c>
      <c r="C7742" s="391" t="s">
        <v>0</v>
      </c>
      <c r="D7742" s="479">
        <v>0</v>
      </c>
      <c r="E7742" s="368"/>
      <c r="F7742" s="368"/>
    </row>
    <row r="7743" spans="1:6" ht="25.5" x14ac:dyDescent="0.2">
      <c r="A7743" s="391">
        <v>103616</v>
      </c>
      <c r="B7743" s="478" t="s">
        <v>41740</v>
      </c>
      <c r="C7743" s="391" t="s">
        <v>0</v>
      </c>
      <c r="D7743" s="479">
        <v>0</v>
      </c>
      <c r="E7743" s="368"/>
      <c r="F7743" s="368"/>
    </row>
    <row r="7744" spans="1:6" ht="25.5" x14ac:dyDescent="0.2">
      <c r="A7744" s="391">
        <v>103638</v>
      </c>
      <c r="B7744" s="478" t="s">
        <v>41741</v>
      </c>
      <c r="C7744" s="391" t="s">
        <v>0</v>
      </c>
      <c r="D7744" s="479">
        <v>0</v>
      </c>
      <c r="E7744" s="368"/>
      <c r="F7744" s="368"/>
    </row>
    <row r="7745" spans="1:6" ht="25.5" x14ac:dyDescent="0.2">
      <c r="A7745" s="391">
        <v>103594</v>
      </c>
      <c r="B7745" s="478" t="s">
        <v>41742</v>
      </c>
      <c r="C7745" s="391" t="s">
        <v>0</v>
      </c>
      <c r="D7745" s="479">
        <v>0</v>
      </c>
      <c r="E7745" s="368"/>
      <c r="F7745" s="368"/>
    </row>
    <row r="7746" spans="1:6" ht="25.5" x14ac:dyDescent="0.2">
      <c r="A7746" s="391">
        <v>103617</v>
      </c>
      <c r="B7746" s="478" t="s">
        <v>41743</v>
      </c>
      <c r="C7746" s="391" t="s">
        <v>0</v>
      </c>
      <c r="D7746" s="479">
        <v>0</v>
      </c>
      <c r="E7746" s="368"/>
      <c r="F7746" s="368"/>
    </row>
    <row r="7747" spans="1:6" ht="25.5" x14ac:dyDescent="0.2">
      <c r="A7747" s="396">
        <v>103639</v>
      </c>
      <c r="B7747" s="492" t="s">
        <v>41744</v>
      </c>
      <c r="C7747" s="396" t="s">
        <v>0</v>
      </c>
      <c r="D7747" s="396">
        <v>0</v>
      </c>
      <c r="E7747" s="372"/>
      <c r="F7747" s="372"/>
    </row>
    <row r="7748" spans="1:6" ht="25.5" x14ac:dyDescent="0.2">
      <c r="A7748" s="391">
        <v>103595</v>
      </c>
      <c r="B7748" s="478" t="s">
        <v>41745</v>
      </c>
      <c r="C7748" s="391" t="s">
        <v>0</v>
      </c>
      <c r="D7748" s="479">
        <v>0</v>
      </c>
      <c r="E7748" s="368"/>
      <c r="F7748" s="368"/>
    </row>
    <row r="7749" spans="1:6" ht="25.5" x14ac:dyDescent="0.2">
      <c r="A7749" s="391">
        <v>103609</v>
      </c>
      <c r="B7749" s="478" t="s">
        <v>41746</v>
      </c>
      <c r="C7749" s="391" t="s">
        <v>0</v>
      </c>
      <c r="D7749" s="479">
        <v>0</v>
      </c>
      <c r="E7749" s="368"/>
      <c r="F7749" s="368"/>
    </row>
    <row r="7750" spans="1:6" ht="25.5" x14ac:dyDescent="0.2">
      <c r="A7750" s="391">
        <v>103631</v>
      </c>
      <c r="B7750" s="478" t="s">
        <v>41747</v>
      </c>
      <c r="C7750" s="391" t="s">
        <v>0</v>
      </c>
      <c r="D7750" s="479">
        <v>0</v>
      </c>
      <c r="E7750" s="368"/>
      <c r="F7750" s="368"/>
    </row>
    <row r="7751" spans="1:6" ht="25.5" x14ac:dyDescent="0.2">
      <c r="A7751" s="391">
        <v>103587</v>
      </c>
      <c r="B7751" s="478" t="s">
        <v>41748</v>
      </c>
      <c r="C7751" s="391" t="s">
        <v>0</v>
      </c>
      <c r="D7751" s="479">
        <v>0</v>
      </c>
      <c r="E7751" s="368"/>
      <c r="F7751" s="368"/>
    </row>
    <row r="7752" spans="1:6" ht="25.5" x14ac:dyDescent="0.2">
      <c r="A7752" s="391">
        <v>103618</v>
      </c>
      <c r="B7752" s="478" t="s">
        <v>41749</v>
      </c>
      <c r="C7752" s="391" t="s">
        <v>0</v>
      </c>
      <c r="D7752" s="479">
        <v>0</v>
      </c>
      <c r="E7752" s="368"/>
      <c r="F7752" s="368"/>
    </row>
    <row r="7753" spans="1:6" ht="25.5" x14ac:dyDescent="0.2">
      <c r="A7753" s="391">
        <v>103640</v>
      </c>
      <c r="B7753" s="478" t="s">
        <v>41750</v>
      </c>
      <c r="C7753" s="391" t="s">
        <v>0</v>
      </c>
      <c r="D7753" s="479">
        <v>0</v>
      </c>
      <c r="E7753" s="368"/>
      <c r="F7753" s="368"/>
    </row>
    <row r="7754" spans="1:6" ht="25.5" x14ac:dyDescent="0.2">
      <c r="A7754" s="391">
        <v>103596</v>
      </c>
      <c r="B7754" s="478" t="s">
        <v>41751</v>
      </c>
      <c r="C7754" s="391" t="s">
        <v>0</v>
      </c>
      <c r="D7754" s="479">
        <v>0</v>
      </c>
      <c r="E7754" s="368"/>
      <c r="F7754" s="368"/>
    </row>
    <row r="7755" spans="1:6" ht="25.5" x14ac:dyDescent="0.2">
      <c r="A7755" s="391">
        <v>103619</v>
      </c>
      <c r="B7755" s="478" t="s">
        <v>41752</v>
      </c>
      <c r="C7755" s="391" t="s">
        <v>0</v>
      </c>
      <c r="D7755" s="479">
        <v>0</v>
      </c>
      <c r="E7755" s="368"/>
      <c r="F7755" s="368"/>
    </row>
    <row r="7756" spans="1:6" ht="25.5" x14ac:dyDescent="0.2">
      <c r="A7756" s="391">
        <v>103641</v>
      </c>
      <c r="B7756" s="478" t="s">
        <v>41753</v>
      </c>
      <c r="C7756" s="391" t="s">
        <v>0</v>
      </c>
      <c r="D7756" s="479">
        <v>0</v>
      </c>
      <c r="E7756" s="368"/>
      <c r="F7756" s="368"/>
    </row>
    <row r="7757" spans="1:6" ht="25.5" x14ac:dyDescent="0.2">
      <c r="A7757" s="391">
        <v>103597</v>
      </c>
      <c r="B7757" s="478" t="s">
        <v>41754</v>
      </c>
      <c r="C7757" s="391" t="s">
        <v>0</v>
      </c>
      <c r="D7757" s="479">
        <v>0</v>
      </c>
      <c r="E7757" s="368"/>
      <c r="F7757" s="368"/>
    </row>
    <row r="7758" spans="1:6" ht="25.5" x14ac:dyDescent="0.2">
      <c r="A7758" s="391">
        <v>103620</v>
      </c>
      <c r="B7758" s="478" t="s">
        <v>41755</v>
      </c>
      <c r="C7758" s="391" t="s">
        <v>0</v>
      </c>
      <c r="D7758" s="479">
        <v>0</v>
      </c>
      <c r="E7758" s="368"/>
      <c r="F7758" s="368"/>
    </row>
    <row r="7759" spans="1:6" ht="25.5" x14ac:dyDescent="0.2">
      <c r="A7759" s="391">
        <v>103642</v>
      </c>
      <c r="B7759" s="478" t="s">
        <v>41756</v>
      </c>
      <c r="C7759" s="391" t="s">
        <v>0</v>
      </c>
      <c r="D7759" s="479">
        <v>0</v>
      </c>
      <c r="E7759" s="368"/>
      <c r="F7759" s="368"/>
    </row>
    <row r="7760" spans="1:6" ht="25.5" x14ac:dyDescent="0.2">
      <c r="A7760" s="391">
        <v>103598</v>
      </c>
      <c r="B7760" s="478" t="s">
        <v>41757</v>
      </c>
      <c r="C7760" s="391" t="s">
        <v>0</v>
      </c>
      <c r="D7760" s="479">
        <v>0</v>
      </c>
      <c r="E7760" s="368"/>
      <c r="F7760" s="368"/>
    </row>
    <row r="7761" spans="1:6" ht="25.5" x14ac:dyDescent="0.2">
      <c r="A7761" s="391">
        <v>103621</v>
      </c>
      <c r="B7761" s="478" t="s">
        <v>41758</v>
      </c>
      <c r="C7761" s="391" t="s">
        <v>0</v>
      </c>
      <c r="D7761" s="479">
        <v>0</v>
      </c>
      <c r="E7761" s="368"/>
      <c r="F7761" s="368"/>
    </row>
    <row r="7762" spans="1:6" ht="25.5" x14ac:dyDescent="0.2">
      <c r="A7762" s="391">
        <v>103643</v>
      </c>
      <c r="B7762" s="478" t="s">
        <v>41759</v>
      </c>
      <c r="C7762" s="391" t="s">
        <v>0</v>
      </c>
      <c r="D7762" s="479">
        <v>0</v>
      </c>
      <c r="E7762" s="368"/>
      <c r="F7762" s="368"/>
    </row>
    <row r="7763" spans="1:6" ht="25.5" x14ac:dyDescent="0.2">
      <c r="A7763" s="391">
        <v>103599</v>
      </c>
      <c r="B7763" s="478" t="s">
        <v>41760</v>
      </c>
      <c r="C7763" s="391" t="s">
        <v>0</v>
      </c>
      <c r="D7763" s="479">
        <v>0</v>
      </c>
      <c r="E7763" s="368"/>
      <c r="F7763" s="368"/>
    </row>
    <row r="7764" spans="1:6" ht="25.5" x14ac:dyDescent="0.2">
      <c r="A7764" s="391">
        <v>103622</v>
      </c>
      <c r="B7764" s="478" t="s">
        <v>41761</v>
      </c>
      <c r="C7764" s="391" t="s">
        <v>0</v>
      </c>
      <c r="D7764" s="479">
        <v>0</v>
      </c>
      <c r="E7764" s="368"/>
      <c r="F7764" s="368"/>
    </row>
    <row r="7765" spans="1:6" ht="25.5" x14ac:dyDescent="0.2">
      <c r="A7765" s="391">
        <v>103644</v>
      </c>
      <c r="B7765" s="478" t="s">
        <v>41762</v>
      </c>
      <c r="C7765" s="391" t="s">
        <v>0</v>
      </c>
      <c r="D7765" s="479">
        <v>0</v>
      </c>
      <c r="E7765" s="368"/>
      <c r="F7765" s="368"/>
    </row>
    <row r="7766" spans="1:6" ht="25.5" x14ac:dyDescent="0.2">
      <c r="A7766" s="391">
        <v>103600</v>
      </c>
      <c r="B7766" s="478" t="s">
        <v>41763</v>
      </c>
      <c r="C7766" s="391" t="s">
        <v>0</v>
      </c>
      <c r="D7766" s="479">
        <v>0</v>
      </c>
      <c r="E7766" s="368"/>
      <c r="F7766" s="368"/>
    </row>
    <row r="7767" spans="1:6" ht="25.5" x14ac:dyDescent="0.2">
      <c r="A7767" s="391">
        <v>103610</v>
      </c>
      <c r="B7767" s="478" t="s">
        <v>41764</v>
      </c>
      <c r="C7767" s="391" t="s">
        <v>0</v>
      </c>
      <c r="D7767" s="479">
        <v>0</v>
      </c>
      <c r="E7767" s="368"/>
      <c r="F7767" s="368"/>
    </row>
    <row r="7768" spans="1:6" ht="25.5" x14ac:dyDescent="0.2">
      <c r="A7768" s="391">
        <v>103632</v>
      </c>
      <c r="B7768" s="478" t="s">
        <v>41765</v>
      </c>
      <c r="C7768" s="391" t="s">
        <v>0</v>
      </c>
      <c r="D7768" s="479">
        <v>0</v>
      </c>
      <c r="E7768" s="368"/>
      <c r="F7768" s="368"/>
    </row>
    <row r="7769" spans="1:6" ht="25.5" x14ac:dyDescent="0.2">
      <c r="A7769" s="391">
        <v>103588</v>
      </c>
      <c r="B7769" s="478" t="s">
        <v>41766</v>
      </c>
      <c r="C7769" s="391" t="s">
        <v>0</v>
      </c>
      <c r="D7769" s="479">
        <v>0</v>
      </c>
      <c r="E7769" s="368"/>
      <c r="F7769" s="368"/>
    </row>
    <row r="7770" spans="1:6" ht="25.5" x14ac:dyDescent="0.2">
      <c r="A7770" s="391">
        <v>103623</v>
      </c>
      <c r="B7770" s="478" t="s">
        <v>41767</v>
      </c>
      <c r="C7770" s="391" t="s">
        <v>0</v>
      </c>
      <c r="D7770" s="479">
        <v>0</v>
      </c>
      <c r="E7770" s="368"/>
      <c r="F7770" s="368"/>
    </row>
    <row r="7771" spans="1:6" ht="25.5" x14ac:dyDescent="0.2">
      <c r="A7771" s="391">
        <v>103645</v>
      </c>
      <c r="B7771" s="478" t="s">
        <v>41768</v>
      </c>
      <c r="C7771" s="391" t="s">
        <v>0</v>
      </c>
      <c r="D7771" s="479">
        <v>0</v>
      </c>
      <c r="E7771" s="368"/>
      <c r="F7771" s="368"/>
    </row>
    <row r="7772" spans="1:6" ht="25.5" x14ac:dyDescent="0.2">
      <c r="A7772" s="391">
        <v>103601</v>
      </c>
      <c r="B7772" s="478" t="s">
        <v>41769</v>
      </c>
      <c r="C7772" s="391" t="s">
        <v>0</v>
      </c>
      <c r="D7772" s="479">
        <v>0</v>
      </c>
      <c r="E7772" s="368"/>
      <c r="F7772" s="368"/>
    </row>
    <row r="7773" spans="1:6" ht="25.5" x14ac:dyDescent="0.2">
      <c r="A7773" s="391">
        <v>103624</v>
      </c>
      <c r="B7773" s="478" t="s">
        <v>41770</v>
      </c>
      <c r="C7773" s="391" t="s">
        <v>0</v>
      </c>
      <c r="D7773" s="479">
        <v>0</v>
      </c>
      <c r="E7773" s="368"/>
      <c r="F7773" s="368"/>
    </row>
    <row r="7774" spans="1:6" ht="25.5" x14ac:dyDescent="0.2">
      <c r="A7774" s="391">
        <v>103646</v>
      </c>
      <c r="B7774" s="478" t="s">
        <v>41771</v>
      </c>
      <c r="C7774" s="391" t="s">
        <v>0</v>
      </c>
      <c r="D7774" s="479">
        <v>0</v>
      </c>
      <c r="E7774" s="368"/>
      <c r="F7774" s="368"/>
    </row>
    <row r="7775" spans="1:6" ht="25.5" x14ac:dyDescent="0.2">
      <c r="A7775" s="391">
        <v>103602</v>
      </c>
      <c r="B7775" s="478" t="s">
        <v>41772</v>
      </c>
      <c r="C7775" s="391" t="s">
        <v>0</v>
      </c>
      <c r="D7775" s="479">
        <v>0</v>
      </c>
      <c r="E7775" s="368"/>
      <c r="F7775" s="368"/>
    </row>
    <row r="7776" spans="1:6" ht="25.5" x14ac:dyDescent="0.2">
      <c r="A7776" s="391">
        <v>103625</v>
      </c>
      <c r="B7776" s="478" t="s">
        <v>41773</v>
      </c>
      <c r="C7776" s="391" t="s">
        <v>0</v>
      </c>
      <c r="D7776" s="479">
        <v>0</v>
      </c>
      <c r="E7776" s="368"/>
      <c r="F7776" s="368"/>
    </row>
    <row r="7777" spans="1:6" ht="25.5" x14ac:dyDescent="0.2">
      <c r="A7777" s="391">
        <v>103647</v>
      </c>
      <c r="B7777" s="478" t="s">
        <v>41774</v>
      </c>
      <c r="C7777" s="391" t="s">
        <v>0</v>
      </c>
      <c r="D7777" s="479">
        <v>0</v>
      </c>
      <c r="E7777" s="368"/>
      <c r="F7777" s="368"/>
    </row>
    <row r="7778" spans="1:6" ht="25.5" x14ac:dyDescent="0.2">
      <c r="A7778" s="391">
        <v>103603</v>
      </c>
      <c r="B7778" s="478" t="s">
        <v>41775</v>
      </c>
      <c r="C7778" s="391" t="s">
        <v>0</v>
      </c>
      <c r="D7778" s="479">
        <v>0</v>
      </c>
      <c r="E7778" s="368"/>
      <c r="F7778" s="368"/>
    </row>
    <row r="7779" spans="1:6" ht="25.5" x14ac:dyDescent="0.2">
      <c r="A7779" s="391">
        <v>103611</v>
      </c>
      <c r="B7779" s="478" t="s">
        <v>41776</v>
      </c>
      <c r="C7779" s="391" t="s">
        <v>0</v>
      </c>
      <c r="D7779" s="479">
        <v>0</v>
      </c>
      <c r="E7779" s="368"/>
      <c r="F7779" s="368"/>
    </row>
    <row r="7780" spans="1:6" ht="25.5" x14ac:dyDescent="0.2">
      <c r="A7780" s="391">
        <v>103633</v>
      </c>
      <c r="B7780" s="478" t="s">
        <v>41777</v>
      </c>
      <c r="C7780" s="391" t="s">
        <v>0</v>
      </c>
      <c r="D7780" s="479">
        <v>0</v>
      </c>
      <c r="E7780" s="368"/>
      <c r="F7780" s="368"/>
    </row>
    <row r="7781" spans="1:6" ht="25.5" x14ac:dyDescent="0.2">
      <c r="A7781" s="391">
        <v>103589</v>
      </c>
      <c r="B7781" s="478" t="s">
        <v>41778</v>
      </c>
      <c r="C7781" s="391" t="s">
        <v>0</v>
      </c>
      <c r="D7781" s="479">
        <v>0</v>
      </c>
      <c r="E7781" s="368"/>
      <c r="F7781" s="368"/>
    </row>
    <row r="7782" spans="1:6" ht="25.5" x14ac:dyDescent="0.2">
      <c r="A7782" s="391">
        <v>103626</v>
      </c>
      <c r="B7782" s="478" t="s">
        <v>41779</v>
      </c>
      <c r="C7782" s="391" t="s">
        <v>0</v>
      </c>
      <c r="D7782" s="479">
        <v>0</v>
      </c>
      <c r="E7782" s="368"/>
      <c r="F7782" s="368"/>
    </row>
    <row r="7783" spans="1:6" ht="25.5" x14ac:dyDescent="0.2">
      <c r="A7783" s="391">
        <v>103648</v>
      </c>
      <c r="B7783" s="478" t="s">
        <v>41780</v>
      </c>
      <c r="C7783" s="391" t="s">
        <v>0</v>
      </c>
      <c r="D7783" s="479">
        <v>0</v>
      </c>
      <c r="E7783" s="368"/>
      <c r="F7783" s="368"/>
    </row>
    <row r="7784" spans="1:6" ht="25.5" x14ac:dyDescent="0.2">
      <c r="A7784" s="391">
        <v>103604</v>
      </c>
      <c r="B7784" s="478" t="s">
        <v>41781</v>
      </c>
      <c r="C7784" s="391" t="s">
        <v>0</v>
      </c>
      <c r="D7784" s="479">
        <v>0</v>
      </c>
      <c r="E7784" s="368"/>
      <c r="F7784" s="368"/>
    </row>
    <row r="7785" spans="1:6" ht="25.5" x14ac:dyDescent="0.2">
      <c r="A7785" s="391">
        <v>103627</v>
      </c>
      <c r="B7785" s="478" t="s">
        <v>41782</v>
      </c>
      <c r="C7785" s="391" t="s">
        <v>0</v>
      </c>
      <c r="D7785" s="479">
        <v>0</v>
      </c>
      <c r="E7785" s="368"/>
      <c r="F7785" s="368"/>
    </row>
    <row r="7786" spans="1:6" ht="25.5" x14ac:dyDescent="0.2">
      <c r="A7786" s="391">
        <v>103649</v>
      </c>
      <c r="B7786" s="478" t="s">
        <v>41783</v>
      </c>
      <c r="C7786" s="391" t="s">
        <v>0</v>
      </c>
      <c r="D7786" s="479">
        <v>0</v>
      </c>
      <c r="E7786" s="368"/>
      <c r="F7786" s="368"/>
    </row>
    <row r="7787" spans="1:6" ht="25.5" x14ac:dyDescent="0.2">
      <c r="A7787" s="391">
        <v>103605</v>
      </c>
      <c r="B7787" s="478" t="s">
        <v>41784</v>
      </c>
      <c r="C7787" s="391" t="s">
        <v>0</v>
      </c>
      <c r="D7787" s="479">
        <v>0</v>
      </c>
      <c r="E7787" s="368"/>
      <c r="F7787" s="368"/>
    </row>
    <row r="7788" spans="1:6" ht="25.5" x14ac:dyDescent="0.2">
      <c r="A7788" s="391">
        <v>103612</v>
      </c>
      <c r="B7788" s="478" t="s">
        <v>41785</v>
      </c>
      <c r="C7788" s="391" t="s">
        <v>0</v>
      </c>
      <c r="D7788" s="479">
        <v>0</v>
      </c>
      <c r="E7788" s="368"/>
      <c r="F7788" s="368"/>
    </row>
    <row r="7789" spans="1:6" ht="25.5" x14ac:dyDescent="0.2">
      <c r="A7789" s="391">
        <v>103634</v>
      </c>
      <c r="B7789" s="478" t="s">
        <v>41786</v>
      </c>
      <c r="C7789" s="391" t="s">
        <v>0</v>
      </c>
      <c r="D7789" s="479">
        <v>0</v>
      </c>
      <c r="E7789" s="368"/>
      <c r="F7789" s="368"/>
    </row>
    <row r="7790" spans="1:6" ht="25.5" x14ac:dyDescent="0.2">
      <c r="A7790" s="391">
        <v>103590</v>
      </c>
      <c r="B7790" s="478" t="s">
        <v>41787</v>
      </c>
      <c r="C7790" s="391" t="s">
        <v>0</v>
      </c>
      <c r="D7790" s="479">
        <v>0</v>
      </c>
      <c r="E7790" s="368"/>
      <c r="F7790" s="368"/>
    </row>
    <row r="7791" spans="1:6" ht="25.5" x14ac:dyDescent="0.2">
      <c r="A7791" s="391">
        <v>103628</v>
      </c>
      <c r="B7791" s="478" t="s">
        <v>41788</v>
      </c>
      <c r="C7791" s="391" t="s">
        <v>0</v>
      </c>
      <c r="D7791" s="479">
        <v>0</v>
      </c>
      <c r="E7791" s="368"/>
      <c r="F7791" s="368"/>
    </row>
    <row r="7792" spans="1:6" ht="25.5" x14ac:dyDescent="0.2">
      <c r="A7792" s="391">
        <v>103650</v>
      </c>
      <c r="B7792" s="478" t="s">
        <v>41789</v>
      </c>
      <c r="C7792" s="391" t="s">
        <v>0</v>
      </c>
      <c r="D7792" s="479">
        <v>0</v>
      </c>
      <c r="E7792" s="368"/>
      <c r="F7792" s="368"/>
    </row>
    <row r="7793" spans="1:6" ht="25.5" x14ac:dyDescent="0.2">
      <c r="A7793" s="391">
        <v>103606</v>
      </c>
      <c r="B7793" s="478" t="s">
        <v>41790</v>
      </c>
      <c r="C7793" s="391" t="s">
        <v>0</v>
      </c>
      <c r="D7793" s="479">
        <v>0</v>
      </c>
      <c r="E7793" s="368"/>
      <c r="F7793" s="368"/>
    </row>
    <row r="7794" spans="1:6" ht="25.5" x14ac:dyDescent="0.2">
      <c r="A7794" s="391">
        <v>103629</v>
      </c>
      <c r="B7794" s="478" t="s">
        <v>41791</v>
      </c>
      <c r="C7794" s="391" t="s">
        <v>0</v>
      </c>
      <c r="D7794" s="479">
        <v>0</v>
      </c>
      <c r="E7794" s="368"/>
      <c r="F7794" s="368"/>
    </row>
    <row r="7795" spans="1:6" ht="25.5" x14ac:dyDescent="0.2">
      <c r="A7795" s="391">
        <v>103651</v>
      </c>
      <c r="B7795" s="478" t="s">
        <v>41792</v>
      </c>
      <c r="C7795" s="391" t="s">
        <v>0</v>
      </c>
      <c r="D7795" s="479">
        <v>0</v>
      </c>
      <c r="E7795" s="368"/>
      <c r="F7795" s="368"/>
    </row>
    <row r="7796" spans="1:6" ht="25.5" x14ac:dyDescent="0.2">
      <c r="A7796" s="391">
        <v>103607</v>
      </c>
      <c r="B7796" s="478" t="s">
        <v>41793</v>
      </c>
      <c r="C7796" s="391" t="s">
        <v>0</v>
      </c>
      <c r="D7796" s="479">
        <v>0</v>
      </c>
      <c r="E7796" s="368"/>
      <c r="F7796" s="368"/>
    </row>
    <row r="7797" spans="1:6" ht="25.5" x14ac:dyDescent="0.2">
      <c r="A7797" s="391">
        <v>103613</v>
      </c>
      <c r="B7797" s="478" t="s">
        <v>41794</v>
      </c>
      <c r="C7797" s="391" t="s">
        <v>0</v>
      </c>
      <c r="D7797" s="479">
        <v>0</v>
      </c>
      <c r="E7797" s="368"/>
      <c r="F7797" s="368"/>
    </row>
    <row r="7798" spans="1:6" ht="25.5" x14ac:dyDescent="0.2">
      <c r="A7798" s="391">
        <v>103635</v>
      </c>
      <c r="B7798" s="478" t="s">
        <v>41795</v>
      </c>
      <c r="C7798" s="391" t="s">
        <v>0</v>
      </c>
      <c r="D7798" s="479">
        <v>0</v>
      </c>
      <c r="E7798" s="368"/>
      <c r="F7798" s="368"/>
    </row>
    <row r="7799" spans="1:6" ht="25.5" x14ac:dyDescent="0.2">
      <c r="A7799" s="391">
        <v>103591</v>
      </c>
      <c r="B7799" s="478" t="s">
        <v>41796</v>
      </c>
      <c r="C7799" s="391" t="s">
        <v>0</v>
      </c>
      <c r="D7799" s="479">
        <v>0</v>
      </c>
      <c r="E7799" s="368"/>
      <c r="F7799" s="368"/>
    </row>
    <row r="7800" spans="1:6" ht="25.5" x14ac:dyDescent="0.2">
      <c r="A7800" s="391">
        <v>103630</v>
      </c>
      <c r="B7800" s="478" t="s">
        <v>41797</v>
      </c>
      <c r="C7800" s="391" t="s">
        <v>0</v>
      </c>
      <c r="D7800" s="479">
        <v>0</v>
      </c>
      <c r="E7800" s="368"/>
      <c r="F7800" s="368"/>
    </row>
    <row r="7801" spans="1:6" ht="25.5" x14ac:dyDescent="0.2">
      <c r="A7801" s="391">
        <v>103652</v>
      </c>
      <c r="B7801" s="478" t="s">
        <v>41798</v>
      </c>
      <c r="C7801" s="391" t="s">
        <v>0</v>
      </c>
      <c r="D7801" s="479">
        <v>0</v>
      </c>
      <c r="E7801" s="368"/>
      <c r="F7801" s="368"/>
    </row>
    <row r="7802" spans="1:6" ht="25.5" x14ac:dyDescent="0.2">
      <c r="A7802" s="391">
        <v>103608</v>
      </c>
      <c r="B7802" s="478" t="s">
        <v>41799</v>
      </c>
      <c r="C7802" s="391" t="s">
        <v>0</v>
      </c>
      <c r="D7802" s="479">
        <v>0</v>
      </c>
      <c r="E7802" s="368"/>
      <c r="F7802" s="368"/>
    </row>
    <row r="7803" spans="1:6" ht="25.5" x14ac:dyDescent="0.2">
      <c r="A7803" s="391">
        <v>103614</v>
      </c>
      <c r="B7803" s="478" t="s">
        <v>41800</v>
      </c>
      <c r="C7803" s="391" t="s">
        <v>0</v>
      </c>
      <c r="D7803" s="479">
        <v>0</v>
      </c>
      <c r="E7803" s="368"/>
      <c r="F7803" s="368"/>
    </row>
    <row r="7804" spans="1:6" ht="25.5" x14ac:dyDescent="0.2">
      <c r="A7804" s="391">
        <v>103636</v>
      </c>
      <c r="B7804" s="478" t="s">
        <v>41801</v>
      </c>
      <c r="C7804" s="391" t="s">
        <v>0</v>
      </c>
      <c r="D7804" s="479">
        <v>0</v>
      </c>
      <c r="E7804" s="368"/>
      <c r="F7804" s="368"/>
    </row>
    <row r="7805" spans="1:6" ht="25.5" x14ac:dyDescent="0.2">
      <c r="A7805" s="391">
        <v>103592</v>
      </c>
      <c r="B7805" s="478" t="s">
        <v>41802</v>
      </c>
      <c r="C7805" s="391" t="s">
        <v>0</v>
      </c>
      <c r="D7805" s="479">
        <v>0</v>
      </c>
      <c r="E7805" s="368"/>
      <c r="F7805" s="368"/>
    </row>
    <row r="7806" spans="1:6" ht="38.25" x14ac:dyDescent="0.2">
      <c r="A7806" s="391">
        <v>88412</v>
      </c>
      <c r="B7806" s="478" t="s">
        <v>4602</v>
      </c>
      <c r="C7806" s="391" t="s">
        <v>255</v>
      </c>
      <c r="D7806" s="479">
        <v>4.33</v>
      </c>
      <c r="E7806" s="368"/>
      <c r="F7806" s="368"/>
    </row>
    <row r="7807" spans="1:6" ht="25.5" x14ac:dyDescent="0.2">
      <c r="A7807" s="391">
        <v>88411</v>
      </c>
      <c r="B7807" s="478" t="s">
        <v>4601</v>
      </c>
      <c r="C7807" s="391" t="s">
        <v>255</v>
      </c>
      <c r="D7807" s="479">
        <v>5.2</v>
      </c>
      <c r="E7807" s="368"/>
      <c r="F7807" s="368"/>
    </row>
    <row r="7808" spans="1:6" ht="25.5" x14ac:dyDescent="0.2">
      <c r="A7808" s="391">
        <v>88415</v>
      </c>
      <c r="B7808" s="478" t="s">
        <v>4605</v>
      </c>
      <c r="C7808" s="391" t="s">
        <v>255</v>
      </c>
      <c r="D7808" s="479">
        <v>5.25</v>
      </c>
      <c r="E7808" s="368"/>
      <c r="F7808" s="368"/>
    </row>
    <row r="7809" spans="1:6" ht="25.5" x14ac:dyDescent="0.2">
      <c r="A7809" s="391">
        <v>88413</v>
      </c>
      <c r="B7809" s="478" t="s">
        <v>4603</v>
      </c>
      <c r="C7809" s="391" t="s">
        <v>255</v>
      </c>
      <c r="D7809" s="479">
        <v>6.24</v>
      </c>
      <c r="E7809" s="368"/>
      <c r="F7809" s="368"/>
    </row>
    <row r="7810" spans="1:6" ht="25.5" x14ac:dyDescent="0.2">
      <c r="A7810" s="391">
        <v>88414</v>
      </c>
      <c r="B7810" s="478" t="s">
        <v>4604</v>
      </c>
      <c r="C7810" s="391" t="s">
        <v>255</v>
      </c>
      <c r="D7810" s="479">
        <v>7.42</v>
      </c>
      <c r="E7810" s="368"/>
      <c r="F7810" s="368"/>
    </row>
    <row r="7811" spans="1:6" ht="38.25" x14ac:dyDescent="0.2">
      <c r="A7811" s="391">
        <v>96131</v>
      </c>
      <c r="B7811" s="478" t="s">
        <v>4637</v>
      </c>
      <c r="C7811" s="391" t="s">
        <v>255</v>
      </c>
      <c r="D7811" s="479">
        <v>23.98</v>
      </c>
      <c r="E7811" s="368"/>
      <c r="F7811" s="368"/>
    </row>
    <row r="7812" spans="1:6" ht="38.25" x14ac:dyDescent="0.2">
      <c r="A7812" s="391">
        <v>96126</v>
      </c>
      <c r="B7812" s="478" t="s">
        <v>4632</v>
      </c>
      <c r="C7812" s="391" t="s">
        <v>255</v>
      </c>
      <c r="D7812" s="479">
        <v>15.52</v>
      </c>
      <c r="E7812" s="368"/>
      <c r="F7812" s="368"/>
    </row>
    <row r="7813" spans="1:6" ht="38.25" x14ac:dyDescent="0.2">
      <c r="A7813" s="391">
        <v>96132</v>
      </c>
      <c r="B7813" s="478" t="s">
        <v>4638</v>
      </c>
      <c r="C7813" s="391" t="s">
        <v>255</v>
      </c>
      <c r="D7813" s="479">
        <v>15.05</v>
      </c>
      <c r="E7813" s="368"/>
      <c r="F7813" s="368"/>
    </row>
    <row r="7814" spans="1:6" ht="38.25" x14ac:dyDescent="0.2">
      <c r="A7814" s="391">
        <v>96127</v>
      </c>
      <c r="B7814" s="478" t="s">
        <v>4633</v>
      </c>
      <c r="C7814" s="391" t="s">
        <v>255</v>
      </c>
      <c r="D7814" s="479">
        <v>9.5</v>
      </c>
      <c r="E7814" s="368"/>
      <c r="F7814" s="368"/>
    </row>
    <row r="7815" spans="1:6" ht="25.5" x14ac:dyDescent="0.2">
      <c r="A7815" s="391">
        <v>96135</v>
      </c>
      <c r="B7815" s="478" t="s">
        <v>4641</v>
      </c>
      <c r="C7815" s="391" t="s">
        <v>255</v>
      </c>
      <c r="D7815" s="479">
        <v>26.07</v>
      </c>
      <c r="E7815" s="368"/>
      <c r="F7815" s="368"/>
    </row>
    <row r="7816" spans="1:6" ht="25.5" x14ac:dyDescent="0.2">
      <c r="A7816" s="391">
        <v>96130</v>
      </c>
      <c r="B7816" s="478" t="s">
        <v>4636</v>
      </c>
      <c r="C7816" s="391" t="s">
        <v>255</v>
      </c>
      <c r="D7816" s="479">
        <v>16.989999999999998</v>
      </c>
      <c r="E7816" s="368"/>
      <c r="F7816" s="368"/>
    </row>
    <row r="7817" spans="1:6" ht="25.5" x14ac:dyDescent="0.2">
      <c r="A7817" s="391">
        <v>96133</v>
      </c>
      <c r="B7817" s="478" t="s">
        <v>4639</v>
      </c>
      <c r="C7817" s="391" t="s">
        <v>255</v>
      </c>
      <c r="D7817" s="479">
        <v>40.58</v>
      </c>
      <c r="E7817" s="368"/>
      <c r="F7817" s="368"/>
    </row>
    <row r="7818" spans="1:6" ht="25.5" x14ac:dyDescent="0.2">
      <c r="A7818" s="391">
        <v>96128</v>
      </c>
      <c r="B7818" s="478" t="s">
        <v>4634</v>
      </c>
      <c r="C7818" s="391" t="s">
        <v>255</v>
      </c>
      <c r="D7818" s="479">
        <v>26.88</v>
      </c>
      <c r="E7818" s="368"/>
      <c r="F7818" s="368"/>
    </row>
    <row r="7819" spans="1:6" ht="25.5" x14ac:dyDescent="0.2">
      <c r="A7819" s="391">
        <v>96134</v>
      </c>
      <c r="B7819" s="478" t="s">
        <v>4640</v>
      </c>
      <c r="C7819" s="391" t="s">
        <v>255</v>
      </c>
      <c r="D7819" s="479">
        <v>47.63</v>
      </c>
      <c r="E7819" s="368"/>
      <c r="F7819" s="368"/>
    </row>
    <row r="7820" spans="1:6" ht="25.5" x14ac:dyDescent="0.2">
      <c r="A7820" s="391">
        <v>96129</v>
      </c>
      <c r="B7820" s="478" t="s">
        <v>4635</v>
      </c>
      <c r="C7820" s="391" t="s">
        <v>255</v>
      </c>
      <c r="D7820" s="479">
        <v>31.51</v>
      </c>
      <c r="E7820" s="368"/>
      <c r="F7820" s="368"/>
    </row>
    <row r="7821" spans="1:6" ht="25.5" x14ac:dyDescent="0.2">
      <c r="A7821" s="391">
        <v>88432</v>
      </c>
      <c r="B7821" s="478" t="s">
        <v>4616</v>
      </c>
      <c r="C7821" s="391" t="s">
        <v>255</v>
      </c>
      <c r="D7821" s="479">
        <v>30.12</v>
      </c>
      <c r="E7821" s="368"/>
      <c r="F7821" s="368"/>
    </row>
    <row r="7822" spans="1:6" ht="38.25" x14ac:dyDescent="0.2">
      <c r="A7822" s="391">
        <v>88426</v>
      </c>
      <c r="B7822" s="478" t="s">
        <v>4612</v>
      </c>
      <c r="C7822" s="391" t="s">
        <v>255</v>
      </c>
      <c r="D7822" s="479">
        <v>18.829999999999998</v>
      </c>
      <c r="E7822" s="368"/>
      <c r="F7822" s="368"/>
    </row>
    <row r="7823" spans="1:6" ht="38.25" x14ac:dyDescent="0.2">
      <c r="A7823" s="391">
        <v>88417</v>
      </c>
      <c r="B7823" s="478" t="s">
        <v>4607</v>
      </c>
      <c r="C7823" s="391" t="s">
        <v>255</v>
      </c>
      <c r="D7823" s="479">
        <v>16.98</v>
      </c>
      <c r="E7823" s="368"/>
      <c r="F7823" s="368"/>
    </row>
    <row r="7824" spans="1:6" ht="38.25" x14ac:dyDescent="0.2">
      <c r="A7824" s="391">
        <v>88424</v>
      </c>
      <c r="B7824" s="478" t="s">
        <v>4611</v>
      </c>
      <c r="C7824" s="391" t="s">
        <v>255</v>
      </c>
      <c r="D7824" s="479">
        <v>23.46</v>
      </c>
      <c r="E7824" s="368"/>
      <c r="F7824" s="368"/>
    </row>
    <row r="7825" spans="1:6" ht="38.25" x14ac:dyDescent="0.2">
      <c r="A7825" s="391">
        <v>88416</v>
      </c>
      <c r="B7825" s="478" t="s">
        <v>4606</v>
      </c>
      <c r="C7825" s="391" t="s">
        <v>255</v>
      </c>
      <c r="D7825" s="479">
        <v>20.059999999999999</v>
      </c>
      <c r="E7825" s="368"/>
      <c r="F7825" s="368"/>
    </row>
    <row r="7826" spans="1:6" ht="25.5" x14ac:dyDescent="0.2">
      <c r="A7826" s="391">
        <v>88431</v>
      </c>
      <c r="B7826" s="478" t="s">
        <v>4615</v>
      </c>
      <c r="C7826" s="391" t="s">
        <v>255</v>
      </c>
      <c r="D7826" s="479">
        <v>23.91</v>
      </c>
      <c r="E7826" s="368"/>
      <c r="F7826" s="368"/>
    </row>
    <row r="7827" spans="1:6" ht="25.5" x14ac:dyDescent="0.2">
      <c r="A7827" s="391">
        <v>88423</v>
      </c>
      <c r="B7827" s="478" t="s">
        <v>4610</v>
      </c>
      <c r="C7827" s="391" t="s">
        <v>255</v>
      </c>
      <c r="D7827" s="479">
        <v>20.079999999999998</v>
      </c>
      <c r="E7827" s="368"/>
      <c r="F7827" s="368"/>
    </row>
    <row r="7828" spans="1:6" ht="38.25" x14ac:dyDescent="0.2">
      <c r="A7828" s="391">
        <v>88428</v>
      </c>
      <c r="B7828" s="478" t="s">
        <v>4613</v>
      </c>
      <c r="C7828" s="391" t="s">
        <v>255</v>
      </c>
      <c r="D7828" s="479">
        <v>29.57</v>
      </c>
      <c r="E7828" s="368"/>
      <c r="F7828" s="368"/>
    </row>
    <row r="7829" spans="1:6" ht="38.25" x14ac:dyDescent="0.2">
      <c r="A7829" s="391">
        <v>88420</v>
      </c>
      <c r="B7829" s="478" t="s">
        <v>4608</v>
      </c>
      <c r="C7829" s="391" t="s">
        <v>255</v>
      </c>
      <c r="D7829" s="479">
        <v>23.02</v>
      </c>
      <c r="E7829" s="368"/>
      <c r="F7829" s="368"/>
    </row>
    <row r="7830" spans="1:6" ht="38.25" x14ac:dyDescent="0.2">
      <c r="A7830" s="391">
        <v>88429</v>
      </c>
      <c r="B7830" s="478" t="s">
        <v>4614</v>
      </c>
      <c r="C7830" s="391" t="s">
        <v>255</v>
      </c>
      <c r="D7830" s="479">
        <v>35.4</v>
      </c>
      <c r="E7830" s="368"/>
      <c r="F7830" s="368"/>
    </row>
    <row r="7831" spans="1:6" ht="38.25" x14ac:dyDescent="0.2">
      <c r="A7831" s="391">
        <v>88421</v>
      </c>
      <c r="B7831" s="478" t="s">
        <v>4609</v>
      </c>
      <c r="C7831" s="391" t="s">
        <v>255</v>
      </c>
      <c r="D7831" s="479">
        <v>27.78</v>
      </c>
      <c r="E7831" s="368"/>
      <c r="F7831" s="368"/>
    </row>
    <row r="7832" spans="1:6" ht="25.5" x14ac:dyDescent="0.2">
      <c r="A7832" s="391">
        <v>95622</v>
      </c>
      <c r="B7832" s="478" t="s">
        <v>4627</v>
      </c>
      <c r="C7832" s="391" t="s">
        <v>255</v>
      </c>
      <c r="D7832" s="479">
        <v>14.18</v>
      </c>
      <c r="E7832" s="368"/>
      <c r="F7832" s="368"/>
    </row>
    <row r="7833" spans="1:6" ht="25.5" x14ac:dyDescent="0.2">
      <c r="A7833" s="391">
        <v>95623</v>
      </c>
      <c r="B7833" s="478" t="s">
        <v>4628</v>
      </c>
      <c r="C7833" s="391" t="s">
        <v>255</v>
      </c>
      <c r="D7833" s="479">
        <v>9.92</v>
      </c>
      <c r="E7833" s="368"/>
      <c r="F7833" s="368"/>
    </row>
    <row r="7834" spans="1:6" ht="25.5" x14ac:dyDescent="0.2">
      <c r="A7834" s="395">
        <v>95626</v>
      </c>
      <c r="B7834" s="478" t="s">
        <v>4631</v>
      </c>
      <c r="C7834" s="395" t="s">
        <v>255</v>
      </c>
      <c r="D7834" s="491">
        <v>15.01</v>
      </c>
      <c r="E7834" s="390"/>
      <c r="F7834" s="390"/>
    </row>
    <row r="7835" spans="1:6" ht="25.5" x14ac:dyDescent="0.2">
      <c r="A7835" s="391">
        <v>95624</v>
      </c>
      <c r="B7835" s="478" t="s">
        <v>4629</v>
      </c>
      <c r="C7835" s="391" t="s">
        <v>255</v>
      </c>
      <c r="D7835" s="479">
        <v>21.45</v>
      </c>
      <c r="E7835" s="368"/>
      <c r="F7835" s="368"/>
    </row>
    <row r="7836" spans="1:6" ht="25.5" x14ac:dyDescent="0.2">
      <c r="A7836" s="391">
        <v>95625</v>
      </c>
      <c r="B7836" s="478" t="s">
        <v>4630</v>
      </c>
      <c r="C7836" s="391" t="s">
        <v>255</v>
      </c>
      <c r="D7836" s="479">
        <v>25.36</v>
      </c>
      <c r="E7836" s="368"/>
      <c r="F7836" s="368"/>
    </row>
    <row r="7837" spans="1:6" ht="25.5" x14ac:dyDescent="0.2">
      <c r="A7837" s="391">
        <v>88497</v>
      </c>
      <c r="B7837" s="478" t="s">
        <v>4624</v>
      </c>
      <c r="C7837" s="391" t="s">
        <v>255</v>
      </c>
      <c r="D7837" s="479">
        <v>16</v>
      </c>
      <c r="E7837" s="368"/>
      <c r="F7837" s="368"/>
    </row>
    <row r="7838" spans="1:6" ht="25.5" x14ac:dyDescent="0.2">
      <c r="A7838" s="391">
        <v>104648</v>
      </c>
      <c r="B7838" s="478" t="s">
        <v>41803</v>
      </c>
      <c r="C7838" s="391" t="s">
        <v>255</v>
      </c>
      <c r="D7838" s="479">
        <v>0</v>
      </c>
      <c r="E7838" s="368"/>
      <c r="F7838" s="368"/>
    </row>
    <row r="7839" spans="1:6" ht="25.5" x14ac:dyDescent="0.2">
      <c r="A7839" s="391">
        <v>88495</v>
      </c>
      <c r="B7839" s="478" t="s">
        <v>4622</v>
      </c>
      <c r="C7839" s="391" t="s">
        <v>255</v>
      </c>
      <c r="D7839" s="479">
        <v>10.48</v>
      </c>
      <c r="E7839" s="368"/>
      <c r="F7839" s="368"/>
    </row>
    <row r="7840" spans="1:6" ht="25.5" x14ac:dyDescent="0.2">
      <c r="A7840" s="391">
        <v>104646</v>
      </c>
      <c r="B7840" s="478" t="s">
        <v>41804</v>
      </c>
      <c r="C7840" s="391" t="s">
        <v>255</v>
      </c>
      <c r="D7840" s="479">
        <v>0</v>
      </c>
      <c r="E7840" s="368"/>
      <c r="F7840" s="368"/>
    </row>
    <row r="7841" spans="1:6" ht="25.5" x14ac:dyDescent="0.2">
      <c r="A7841" s="391">
        <v>88496</v>
      </c>
      <c r="B7841" s="478" t="s">
        <v>4623</v>
      </c>
      <c r="C7841" s="391" t="s">
        <v>255</v>
      </c>
      <c r="D7841" s="479">
        <v>29.69</v>
      </c>
      <c r="E7841" s="368"/>
      <c r="F7841" s="368"/>
    </row>
    <row r="7842" spans="1:6" ht="25.5" x14ac:dyDescent="0.2">
      <c r="A7842" s="391">
        <v>104647</v>
      </c>
      <c r="B7842" s="478" t="s">
        <v>41805</v>
      </c>
      <c r="C7842" s="391" t="s">
        <v>255</v>
      </c>
      <c r="D7842" s="479">
        <v>0</v>
      </c>
      <c r="E7842" s="368"/>
      <c r="F7842" s="368"/>
    </row>
    <row r="7843" spans="1:6" ht="25.5" x14ac:dyDescent="0.2">
      <c r="A7843" s="391">
        <v>88494</v>
      </c>
      <c r="B7843" s="478" t="s">
        <v>4621</v>
      </c>
      <c r="C7843" s="391" t="s">
        <v>255</v>
      </c>
      <c r="D7843" s="479">
        <v>19.8</v>
      </c>
      <c r="E7843" s="368"/>
      <c r="F7843" s="368"/>
    </row>
    <row r="7844" spans="1:6" ht="25.5" x14ac:dyDescent="0.2">
      <c r="A7844" s="391">
        <v>104645</v>
      </c>
      <c r="B7844" s="478" t="s">
        <v>41806</v>
      </c>
      <c r="C7844" s="391" t="s">
        <v>255</v>
      </c>
      <c r="D7844" s="479">
        <v>0</v>
      </c>
      <c r="E7844" s="368"/>
      <c r="F7844" s="368"/>
    </row>
    <row r="7845" spans="1:6" ht="25.5" x14ac:dyDescent="0.2">
      <c r="A7845" s="391">
        <v>88485</v>
      </c>
      <c r="B7845" s="478" t="s">
        <v>4618</v>
      </c>
      <c r="C7845" s="391" t="s">
        <v>255</v>
      </c>
      <c r="D7845" s="479">
        <v>4.32</v>
      </c>
      <c r="E7845" s="368"/>
      <c r="F7845" s="368"/>
    </row>
    <row r="7846" spans="1:6" ht="25.5" x14ac:dyDescent="0.2">
      <c r="A7846" s="391">
        <v>88484</v>
      </c>
      <c r="B7846" s="478" t="s">
        <v>4617</v>
      </c>
      <c r="C7846" s="391" t="s">
        <v>255</v>
      </c>
      <c r="D7846" s="479">
        <v>5.26</v>
      </c>
      <c r="E7846" s="368"/>
      <c r="F7846" s="368"/>
    </row>
    <row r="7847" spans="1:6" ht="25.5" x14ac:dyDescent="0.2">
      <c r="A7847" s="391">
        <v>104638</v>
      </c>
      <c r="B7847" s="478" t="s">
        <v>41807</v>
      </c>
      <c r="C7847" s="391" t="s">
        <v>255</v>
      </c>
      <c r="D7847" s="479">
        <v>0</v>
      </c>
      <c r="E7847" s="368"/>
      <c r="F7847" s="368"/>
    </row>
    <row r="7848" spans="1:6" ht="25.5" x14ac:dyDescent="0.2">
      <c r="A7848" s="391">
        <v>104637</v>
      </c>
      <c r="B7848" s="478" t="s">
        <v>41808</v>
      </c>
      <c r="C7848" s="391" t="s">
        <v>255</v>
      </c>
      <c r="D7848" s="479">
        <v>0</v>
      </c>
      <c r="E7848" s="368"/>
      <c r="F7848" s="368"/>
    </row>
    <row r="7849" spans="1:6" ht="25.5" x14ac:dyDescent="0.2">
      <c r="A7849" s="391">
        <v>104641</v>
      </c>
      <c r="B7849" s="478" t="s">
        <v>4644</v>
      </c>
      <c r="C7849" s="391" t="s">
        <v>255</v>
      </c>
      <c r="D7849" s="479">
        <v>8.98</v>
      </c>
      <c r="E7849" s="368"/>
      <c r="F7849" s="368"/>
    </row>
    <row r="7850" spans="1:6" ht="25.5" x14ac:dyDescent="0.2">
      <c r="A7850" s="391">
        <v>104639</v>
      </c>
      <c r="B7850" s="478" t="s">
        <v>4642</v>
      </c>
      <c r="C7850" s="391" t="s">
        <v>255</v>
      </c>
      <c r="D7850" s="479">
        <v>11.27</v>
      </c>
      <c r="E7850" s="368"/>
      <c r="F7850" s="368"/>
    </row>
    <row r="7851" spans="1:6" ht="25.5" x14ac:dyDescent="0.2">
      <c r="A7851" s="391">
        <v>104644</v>
      </c>
      <c r="B7851" s="478" t="s">
        <v>41809</v>
      </c>
      <c r="C7851" s="391" t="s">
        <v>255</v>
      </c>
      <c r="D7851" s="479">
        <v>0</v>
      </c>
      <c r="E7851" s="368"/>
      <c r="F7851" s="368"/>
    </row>
    <row r="7852" spans="1:6" ht="25.5" x14ac:dyDescent="0.2">
      <c r="A7852" s="391">
        <v>104643</v>
      </c>
      <c r="B7852" s="478" t="s">
        <v>41810</v>
      </c>
      <c r="C7852" s="391" t="s">
        <v>255</v>
      </c>
      <c r="D7852" s="479">
        <v>0</v>
      </c>
      <c r="E7852" s="368"/>
      <c r="F7852" s="368"/>
    </row>
    <row r="7853" spans="1:6" ht="25.5" x14ac:dyDescent="0.2">
      <c r="A7853" s="391">
        <v>88489</v>
      </c>
      <c r="B7853" s="478" t="s">
        <v>4620</v>
      </c>
      <c r="C7853" s="391" t="s">
        <v>255</v>
      </c>
      <c r="D7853" s="479">
        <v>12.27</v>
      </c>
      <c r="E7853" s="368"/>
      <c r="F7853" s="368"/>
    </row>
    <row r="7854" spans="1:6" ht="25.5" x14ac:dyDescent="0.2">
      <c r="A7854" s="391">
        <v>88488</v>
      </c>
      <c r="B7854" s="478" t="s">
        <v>4619</v>
      </c>
      <c r="C7854" s="391" t="s">
        <v>255</v>
      </c>
      <c r="D7854" s="479">
        <v>14.56</v>
      </c>
      <c r="E7854" s="368"/>
      <c r="F7854" s="368"/>
    </row>
    <row r="7855" spans="1:6" ht="25.5" x14ac:dyDescent="0.2">
      <c r="A7855" s="391">
        <v>104642</v>
      </c>
      <c r="B7855" s="478" t="s">
        <v>4645</v>
      </c>
      <c r="C7855" s="391" t="s">
        <v>255</v>
      </c>
      <c r="D7855" s="479">
        <v>10.199999999999999</v>
      </c>
      <c r="E7855" s="368"/>
      <c r="F7855" s="368"/>
    </row>
    <row r="7856" spans="1:6" ht="25.5" x14ac:dyDescent="0.2">
      <c r="A7856" s="391">
        <v>104640</v>
      </c>
      <c r="B7856" s="478" t="s">
        <v>4643</v>
      </c>
      <c r="C7856" s="391" t="s">
        <v>255</v>
      </c>
      <c r="D7856" s="479">
        <v>12.49</v>
      </c>
      <c r="E7856" s="368"/>
      <c r="F7856" s="368"/>
    </row>
    <row r="7857" spans="1:6" x14ac:dyDescent="0.2">
      <c r="A7857" s="391">
        <v>95305</v>
      </c>
      <c r="B7857" s="478" t="s">
        <v>4625</v>
      </c>
      <c r="C7857" s="391" t="s">
        <v>255</v>
      </c>
      <c r="D7857" s="479">
        <v>12.95</v>
      </c>
      <c r="E7857" s="368"/>
      <c r="F7857" s="368"/>
    </row>
    <row r="7858" spans="1:6" x14ac:dyDescent="0.2">
      <c r="A7858" s="391">
        <v>95306</v>
      </c>
      <c r="B7858" s="478" t="s">
        <v>4626</v>
      </c>
      <c r="C7858" s="391" t="s">
        <v>255</v>
      </c>
      <c r="D7858" s="479">
        <v>15.12</v>
      </c>
      <c r="E7858" s="368"/>
      <c r="F7858" s="368"/>
    </row>
    <row r="7859" spans="1:6" ht="25.5" x14ac:dyDescent="0.2">
      <c r="A7859" s="391">
        <v>102201</v>
      </c>
      <c r="B7859" s="478" t="s">
        <v>4650</v>
      </c>
      <c r="C7859" s="391" t="s">
        <v>255</v>
      </c>
      <c r="D7859" s="479">
        <v>16.7</v>
      </c>
      <c r="E7859" s="368"/>
      <c r="F7859" s="368"/>
    </row>
    <row r="7860" spans="1:6" ht="25.5" x14ac:dyDescent="0.2">
      <c r="A7860" s="391">
        <v>102200</v>
      </c>
      <c r="B7860" s="478" t="s">
        <v>4649</v>
      </c>
      <c r="C7860" s="391" t="s">
        <v>255</v>
      </c>
      <c r="D7860" s="479">
        <v>16.88</v>
      </c>
      <c r="E7860" s="368"/>
      <c r="F7860" s="368"/>
    </row>
    <row r="7861" spans="1:6" ht="25.5" x14ac:dyDescent="0.2">
      <c r="A7861" s="391">
        <v>102202</v>
      </c>
      <c r="B7861" s="478" t="s">
        <v>4651</v>
      </c>
      <c r="C7861" s="391" t="s">
        <v>255</v>
      </c>
      <c r="D7861" s="479">
        <v>35.68</v>
      </c>
      <c r="E7861" s="368"/>
      <c r="F7861" s="368"/>
    </row>
    <row r="7862" spans="1:6" x14ac:dyDescent="0.2">
      <c r="A7862" s="391">
        <v>102193</v>
      </c>
      <c r="B7862" s="478" t="s">
        <v>4646</v>
      </c>
      <c r="C7862" s="391" t="s">
        <v>255</v>
      </c>
      <c r="D7862" s="479">
        <v>1.85</v>
      </c>
      <c r="E7862" s="368"/>
      <c r="F7862" s="368"/>
    </row>
    <row r="7863" spans="1:6" x14ac:dyDescent="0.2">
      <c r="A7863" s="391">
        <v>102194</v>
      </c>
      <c r="B7863" s="478" t="s">
        <v>4647</v>
      </c>
      <c r="C7863" s="391" t="s">
        <v>255</v>
      </c>
      <c r="D7863" s="479">
        <v>7.84</v>
      </c>
      <c r="E7863" s="368"/>
      <c r="F7863" s="368"/>
    </row>
    <row r="7864" spans="1:6" x14ac:dyDescent="0.2">
      <c r="A7864" s="391">
        <v>102198</v>
      </c>
      <c r="B7864" s="478" t="s">
        <v>41811</v>
      </c>
      <c r="C7864" s="391" t="s">
        <v>255</v>
      </c>
      <c r="D7864" s="479">
        <v>0</v>
      </c>
      <c r="E7864" s="368"/>
      <c r="F7864" s="368"/>
    </row>
    <row r="7865" spans="1:6" x14ac:dyDescent="0.2">
      <c r="A7865" s="391">
        <v>102197</v>
      </c>
      <c r="B7865" s="478" t="s">
        <v>4648</v>
      </c>
      <c r="C7865" s="391" t="s">
        <v>255</v>
      </c>
      <c r="D7865" s="479">
        <v>19.920000000000002</v>
      </c>
      <c r="E7865" s="368"/>
      <c r="F7865" s="368"/>
    </row>
    <row r="7866" spans="1:6" x14ac:dyDescent="0.2">
      <c r="A7866" s="391">
        <v>102195</v>
      </c>
      <c r="B7866" s="478" t="s">
        <v>41812</v>
      </c>
      <c r="C7866" s="391" t="s">
        <v>255</v>
      </c>
      <c r="D7866" s="479">
        <v>0</v>
      </c>
      <c r="E7866" s="368"/>
      <c r="F7866" s="368"/>
    </row>
    <row r="7867" spans="1:6" x14ac:dyDescent="0.2">
      <c r="A7867" s="391">
        <v>102199</v>
      </c>
      <c r="B7867" s="478" t="s">
        <v>41813</v>
      </c>
      <c r="C7867" s="391" t="s">
        <v>255</v>
      </c>
      <c r="D7867" s="479">
        <v>0</v>
      </c>
      <c r="E7867" s="368"/>
      <c r="F7867" s="368"/>
    </row>
    <row r="7868" spans="1:6" ht="25.5" x14ac:dyDescent="0.2">
      <c r="A7868" s="391">
        <v>102196</v>
      </c>
      <c r="B7868" s="478" t="s">
        <v>41814</v>
      </c>
      <c r="C7868" s="391" t="s">
        <v>255</v>
      </c>
      <c r="D7868" s="479">
        <v>0</v>
      </c>
      <c r="E7868" s="368"/>
      <c r="F7868" s="368"/>
    </row>
    <row r="7869" spans="1:6" x14ac:dyDescent="0.2">
      <c r="A7869" s="391">
        <v>102233</v>
      </c>
      <c r="B7869" s="478" t="s">
        <v>4673</v>
      </c>
      <c r="C7869" s="391" t="s">
        <v>255</v>
      </c>
      <c r="D7869" s="479">
        <v>11.53</v>
      </c>
      <c r="E7869" s="368"/>
      <c r="F7869" s="368"/>
    </row>
    <row r="7870" spans="1:6" x14ac:dyDescent="0.2">
      <c r="A7870" s="391">
        <v>102234</v>
      </c>
      <c r="B7870" s="478" t="s">
        <v>4674</v>
      </c>
      <c r="C7870" s="391" t="s">
        <v>255</v>
      </c>
      <c r="D7870" s="479">
        <v>23.06</v>
      </c>
      <c r="E7870" s="368"/>
      <c r="F7870" s="368"/>
    </row>
    <row r="7871" spans="1:6" ht="25.5" x14ac:dyDescent="0.2">
      <c r="A7871" s="391">
        <v>102207</v>
      </c>
      <c r="B7871" s="478" t="s">
        <v>4655</v>
      </c>
      <c r="C7871" s="391" t="s">
        <v>255</v>
      </c>
      <c r="D7871" s="479">
        <v>8.5</v>
      </c>
      <c r="E7871" s="368"/>
      <c r="F7871" s="368"/>
    </row>
    <row r="7872" spans="1:6" ht="25.5" x14ac:dyDescent="0.2">
      <c r="A7872" s="391">
        <v>102217</v>
      </c>
      <c r="B7872" s="478" t="s">
        <v>4662</v>
      </c>
      <c r="C7872" s="391" t="s">
        <v>255</v>
      </c>
      <c r="D7872" s="479">
        <v>17.02</v>
      </c>
      <c r="E7872" s="368"/>
      <c r="F7872" s="368"/>
    </row>
    <row r="7873" spans="1:6" ht="25.5" x14ac:dyDescent="0.2">
      <c r="A7873" s="391">
        <v>102227</v>
      </c>
      <c r="B7873" s="478" t="s">
        <v>4669</v>
      </c>
      <c r="C7873" s="391" t="s">
        <v>255</v>
      </c>
      <c r="D7873" s="479">
        <v>25.54</v>
      </c>
      <c r="E7873" s="368"/>
      <c r="F7873" s="368"/>
    </row>
    <row r="7874" spans="1:6" ht="25.5" x14ac:dyDescent="0.2">
      <c r="A7874" s="391">
        <v>102211</v>
      </c>
      <c r="B7874" s="478" t="s">
        <v>41815</v>
      </c>
      <c r="C7874" s="391" t="s">
        <v>255</v>
      </c>
      <c r="D7874" s="479">
        <v>0</v>
      </c>
      <c r="E7874" s="368"/>
      <c r="F7874" s="368"/>
    </row>
    <row r="7875" spans="1:6" ht="25.5" x14ac:dyDescent="0.2">
      <c r="A7875" s="391">
        <v>102221</v>
      </c>
      <c r="B7875" s="478" t="s">
        <v>41816</v>
      </c>
      <c r="C7875" s="391" t="s">
        <v>255</v>
      </c>
      <c r="D7875" s="479">
        <v>0</v>
      </c>
      <c r="E7875" s="368"/>
      <c r="F7875" s="368"/>
    </row>
    <row r="7876" spans="1:6" ht="25.5" x14ac:dyDescent="0.2">
      <c r="A7876" s="391">
        <v>102231</v>
      </c>
      <c r="B7876" s="478" t="s">
        <v>41817</v>
      </c>
      <c r="C7876" s="391" t="s">
        <v>255</v>
      </c>
      <c r="D7876" s="479">
        <v>0</v>
      </c>
      <c r="E7876" s="368"/>
      <c r="F7876" s="368"/>
    </row>
    <row r="7877" spans="1:6" ht="25.5" x14ac:dyDescent="0.2">
      <c r="A7877" s="391">
        <v>102209</v>
      </c>
      <c r="B7877" s="478" t="s">
        <v>4657</v>
      </c>
      <c r="C7877" s="391" t="s">
        <v>255</v>
      </c>
      <c r="D7877" s="479">
        <v>8.35</v>
      </c>
      <c r="E7877" s="368"/>
      <c r="F7877" s="368"/>
    </row>
    <row r="7878" spans="1:6" ht="25.5" x14ac:dyDescent="0.2">
      <c r="A7878" s="391">
        <v>102219</v>
      </c>
      <c r="B7878" s="478" t="s">
        <v>4664</v>
      </c>
      <c r="C7878" s="391" t="s">
        <v>255</v>
      </c>
      <c r="D7878" s="479">
        <v>16.72</v>
      </c>
      <c r="E7878" s="368"/>
      <c r="F7878" s="368"/>
    </row>
    <row r="7879" spans="1:6" ht="25.5" x14ac:dyDescent="0.2">
      <c r="A7879" s="391">
        <v>102229</v>
      </c>
      <c r="B7879" s="478" t="s">
        <v>4671</v>
      </c>
      <c r="C7879" s="391" t="s">
        <v>255</v>
      </c>
      <c r="D7879" s="479">
        <v>25.09</v>
      </c>
      <c r="E7879" s="368"/>
      <c r="F7879" s="368"/>
    </row>
    <row r="7880" spans="1:6" ht="25.5" x14ac:dyDescent="0.2">
      <c r="A7880" s="391">
        <v>102210</v>
      </c>
      <c r="B7880" s="478" t="s">
        <v>4658</v>
      </c>
      <c r="C7880" s="391" t="s">
        <v>255</v>
      </c>
      <c r="D7880" s="479">
        <v>7.97</v>
      </c>
      <c r="E7880" s="368"/>
      <c r="F7880" s="368"/>
    </row>
    <row r="7881" spans="1:6" ht="25.5" x14ac:dyDescent="0.2">
      <c r="A7881" s="391">
        <v>102220</v>
      </c>
      <c r="B7881" s="478" t="s">
        <v>4665</v>
      </c>
      <c r="C7881" s="391" t="s">
        <v>255</v>
      </c>
      <c r="D7881" s="479">
        <v>15.93</v>
      </c>
      <c r="E7881" s="368"/>
      <c r="F7881" s="368"/>
    </row>
    <row r="7882" spans="1:6" ht="25.5" x14ac:dyDescent="0.2">
      <c r="A7882" s="391">
        <v>102230</v>
      </c>
      <c r="B7882" s="478" t="s">
        <v>4672</v>
      </c>
      <c r="C7882" s="391" t="s">
        <v>255</v>
      </c>
      <c r="D7882" s="479">
        <v>23.93</v>
      </c>
      <c r="E7882" s="368"/>
      <c r="F7882" s="368"/>
    </row>
    <row r="7883" spans="1:6" ht="25.5" x14ac:dyDescent="0.2">
      <c r="A7883" s="391">
        <v>102208</v>
      </c>
      <c r="B7883" s="478" t="s">
        <v>4656</v>
      </c>
      <c r="C7883" s="391" t="s">
        <v>255</v>
      </c>
      <c r="D7883" s="479">
        <v>8.1</v>
      </c>
      <c r="E7883" s="368"/>
      <c r="F7883" s="368"/>
    </row>
    <row r="7884" spans="1:6" ht="25.5" x14ac:dyDescent="0.2">
      <c r="A7884" s="391">
        <v>102218</v>
      </c>
      <c r="B7884" s="478" t="s">
        <v>4663</v>
      </c>
      <c r="C7884" s="391" t="s">
        <v>255</v>
      </c>
      <c r="D7884" s="479">
        <v>16.2</v>
      </c>
      <c r="E7884" s="368"/>
      <c r="F7884" s="368"/>
    </row>
    <row r="7885" spans="1:6" ht="25.5" x14ac:dyDescent="0.2">
      <c r="A7885" s="391">
        <v>102228</v>
      </c>
      <c r="B7885" s="478" t="s">
        <v>4670</v>
      </c>
      <c r="C7885" s="391" t="s">
        <v>255</v>
      </c>
      <c r="D7885" s="479">
        <v>24.32</v>
      </c>
      <c r="E7885" s="368"/>
      <c r="F7885" s="368"/>
    </row>
    <row r="7886" spans="1:6" ht="25.5" x14ac:dyDescent="0.2">
      <c r="A7886" s="391">
        <v>102212</v>
      </c>
      <c r="B7886" s="478" t="s">
        <v>41818</v>
      </c>
      <c r="C7886" s="391" t="s">
        <v>255</v>
      </c>
      <c r="D7886" s="479">
        <v>0</v>
      </c>
      <c r="E7886" s="368"/>
      <c r="F7886" s="368"/>
    </row>
    <row r="7887" spans="1:6" ht="25.5" x14ac:dyDescent="0.2">
      <c r="A7887" s="391">
        <v>102222</v>
      </c>
      <c r="B7887" s="478" t="s">
        <v>41819</v>
      </c>
      <c r="C7887" s="391" t="s">
        <v>255</v>
      </c>
      <c r="D7887" s="479">
        <v>0</v>
      </c>
      <c r="E7887" s="368"/>
      <c r="F7887" s="368"/>
    </row>
    <row r="7888" spans="1:6" ht="25.5" x14ac:dyDescent="0.2">
      <c r="A7888" s="391">
        <v>102232</v>
      </c>
      <c r="B7888" s="478" t="s">
        <v>41820</v>
      </c>
      <c r="C7888" s="391" t="s">
        <v>255</v>
      </c>
      <c r="D7888" s="479">
        <v>0</v>
      </c>
      <c r="E7888" s="368"/>
      <c r="F7888" s="368"/>
    </row>
    <row r="7889" spans="1:6" ht="25.5" x14ac:dyDescent="0.2">
      <c r="A7889" s="391">
        <v>102203</v>
      </c>
      <c r="B7889" s="478" t="s">
        <v>4652</v>
      </c>
      <c r="C7889" s="391" t="s">
        <v>255</v>
      </c>
      <c r="D7889" s="479">
        <v>10.44</v>
      </c>
      <c r="E7889" s="368"/>
      <c r="F7889" s="368"/>
    </row>
    <row r="7890" spans="1:6" ht="25.5" x14ac:dyDescent="0.2">
      <c r="A7890" s="391">
        <v>102213</v>
      </c>
      <c r="B7890" s="478" t="s">
        <v>4659</v>
      </c>
      <c r="C7890" s="391" t="s">
        <v>255</v>
      </c>
      <c r="D7890" s="479">
        <v>20.89</v>
      </c>
      <c r="E7890" s="368"/>
      <c r="F7890" s="368"/>
    </row>
    <row r="7891" spans="1:6" ht="25.5" x14ac:dyDescent="0.2">
      <c r="A7891" s="391">
        <v>102223</v>
      </c>
      <c r="B7891" s="478" t="s">
        <v>4666</v>
      </c>
      <c r="C7891" s="391" t="s">
        <v>255</v>
      </c>
      <c r="D7891" s="479">
        <v>31.34</v>
      </c>
      <c r="E7891" s="368"/>
      <c r="F7891" s="368"/>
    </row>
    <row r="7892" spans="1:6" ht="25.5" x14ac:dyDescent="0.2">
      <c r="A7892" s="391">
        <v>102204</v>
      </c>
      <c r="B7892" s="478" t="s">
        <v>4653</v>
      </c>
      <c r="C7892" s="391" t="s">
        <v>255</v>
      </c>
      <c r="D7892" s="479">
        <v>10.78</v>
      </c>
      <c r="E7892" s="368"/>
      <c r="F7892" s="368"/>
    </row>
    <row r="7893" spans="1:6" ht="25.5" x14ac:dyDescent="0.2">
      <c r="A7893" s="391">
        <v>102214</v>
      </c>
      <c r="B7893" s="478" t="s">
        <v>4660</v>
      </c>
      <c r="C7893" s="391" t="s">
        <v>255</v>
      </c>
      <c r="D7893" s="479">
        <v>21.57</v>
      </c>
      <c r="E7893" s="368"/>
      <c r="F7893" s="368"/>
    </row>
    <row r="7894" spans="1:6" ht="25.5" x14ac:dyDescent="0.2">
      <c r="A7894" s="391">
        <v>102224</v>
      </c>
      <c r="B7894" s="478" t="s">
        <v>4667</v>
      </c>
      <c r="C7894" s="391" t="s">
        <v>255</v>
      </c>
      <c r="D7894" s="479">
        <v>32.36</v>
      </c>
      <c r="E7894" s="368"/>
      <c r="F7894" s="368"/>
    </row>
    <row r="7895" spans="1:6" ht="25.5" x14ac:dyDescent="0.2">
      <c r="A7895" s="391">
        <v>102205</v>
      </c>
      <c r="B7895" s="478" t="s">
        <v>4654</v>
      </c>
      <c r="C7895" s="391" t="s">
        <v>255</v>
      </c>
      <c r="D7895" s="479">
        <v>9.69</v>
      </c>
      <c r="E7895" s="368"/>
      <c r="F7895" s="368"/>
    </row>
    <row r="7896" spans="1:6" ht="25.5" x14ac:dyDescent="0.2">
      <c r="A7896" s="391">
        <v>102215</v>
      </c>
      <c r="B7896" s="478" t="s">
        <v>4661</v>
      </c>
      <c r="C7896" s="391" t="s">
        <v>255</v>
      </c>
      <c r="D7896" s="479">
        <v>19.399999999999999</v>
      </c>
      <c r="E7896" s="368"/>
      <c r="F7896" s="368"/>
    </row>
    <row r="7897" spans="1:6" ht="25.5" x14ac:dyDescent="0.2">
      <c r="A7897" s="391">
        <v>102225</v>
      </c>
      <c r="B7897" s="478" t="s">
        <v>4668</v>
      </c>
      <c r="C7897" s="391" t="s">
        <v>255</v>
      </c>
      <c r="D7897" s="479">
        <v>29.11</v>
      </c>
      <c r="E7897" s="368"/>
      <c r="F7897" s="368"/>
    </row>
    <row r="7898" spans="1:6" ht="25.5" x14ac:dyDescent="0.2">
      <c r="A7898" s="391">
        <v>102206</v>
      </c>
      <c r="B7898" s="478" t="s">
        <v>41821</v>
      </c>
      <c r="C7898" s="391" t="s">
        <v>255</v>
      </c>
      <c r="D7898" s="479">
        <v>0</v>
      </c>
      <c r="E7898" s="368"/>
      <c r="F7898" s="368"/>
    </row>
    <row r="7899" spans="1:6" ht="25.5" x14ac:dyDescent="0.2">
      <c r="A7899" s="391">
        <v>102216</v>
      </c>
      <c r="B7899" s="478" t="s">
        <v>41822</v>
      </c>
      <c r="C7899" s="391" t="s">
        <v>255</v>
      </c>
      <c r="D7899" s="479">
        <v>0</v>
      </c>
      <c r="E7899" s="368"/>
      <c r="F7899" s="368"/>
    </row>
    <row r="7900" spans="1:6" ht="25.5" x14ac:dyDescent="0.2">
      <c r="A7900" s="391">
        <v>102226</v>
      </c>
      <c r="B7900" s="478" t="s">
        <v>41823</v>
      </c>
      <c r="C7900" s="391" t="s">
        <v>255</v>
      </c>
      <c r="D7900" s="479">
        <v>0</v>
      </c>
      <c r="E7900" s="368"/>
      <c r="F7900" s="368"/>
    </row>
    <row r="7901" spans="1:6" x14ac:dyDescent="0.2">
      <c r="A7901" s="391">
        <v>100718</v>
      </c>
      <c r="B7901" s="478" t="s">
        <v>4677</v>
      </c>
      <c r="C7901" s="391" t="s">
        <v>0</v>
      </c>
      <c r="D7901" s="479">
        <v>1.37</v>
      </c>
      <c r="E7901" s="368"/>
      <c r="F7901" s="368"/>
    </row>
    <row r="7902" spans="1:6" ht="25.5" x14ac:dyDescent="0.2">
      <c r="A7902" s="391">
        <v>100716</v>
      </c>
      <c r="B7902" s="478" t="s">
        <v>4675</v>
      </c>
      <c r="C7902" s="391" t="s">
        <v>255</v>
      </c>
      <c r="D7902" s="479">
        <v>24.59</v>
      </c>
      <c r="E7902" s="368"/>
      <c r="F7902" s="368"/>
    </row>
    <row r="7903" spans="1:6" x14ac:dyDescent="0.2">
      <c r="A7903" s="392">
        <v>100717</v>
      </c>
      <c r="B7903" s="480" t="s">
        <v>4676</v>
      </c>
      <c r="C7903" s="392" t="s">
        <v>255</v>
      </c>
      <c r="D7903" s="481">
        <v>9.23</v>
      </c>
      <c r="E7903" s="368"/>
      <c r="F7903" s="368"/>
    </row>
    <row r="7904" spans="1:6" ht="38.25" x14ac:dyDescent="0.2">
      <c r="A7904" s="391">
        <v>100754</v>
      </c>
      <c r="B7904" s="478" t="s">
        <v>4707</v>
      </c>
      <c r="C7904" s="391" t="s">
        <v>255</v>
      </c>
      <c r="D7904" s="479">
        <v>29.28</v>
      </c>
      <c r="E7904" s="368"/>
      <c r="F7904" s="368"/>
    </row>
    <row r="7905" spans="1:6" ht="38.25" x14ac:dyDescent="0.2">
      <c r="A7905" s="391">
        <v>100736</v>
      </c>
      <c r="B7905" s="478" t="s">
        <v>4693</v>
      </c>
      <c r="C7905" s="391" t="s">
        <v>255</v>
      </c>
      <c r="D7905" s="479">
        <v>14.63</v>
      </c>
      <c r="E7905" s="368"/>
      <c r="F7905" s="368"/>
    </row>
    <row r="7906" spans="1:6" ht="38.25" x14ac:dyDescent="0.2">
      <c r="A7906" s="391">
        <v>100753</v>
      </c>
      <c r="B7906" s="478" t="s">
        <v>4706</v>
      </c>
      <c r="C7906" s="391" t="s">
        <v>255</v>
      </c>
      <c r="D7906" s="479">
        <v>22.04</v>
      </c>
      <c r="E7906" s="368"/>
      <c r="F7906" s="368"/>
    </row>
    <row r="7907" spans="1:6" ht="38.25" x14ac:dyDescent="0.2">
      <c r="A7907" s="391">
        <v>100735</v>
      </c>
      <c r="B7907" s="478" t="s">
        <v>4692</v>
      </c>
      <c r="C7907" s="391" t="s">
        <v>255</v>
      </c>
      <c r="D7907" s="479">
        <v>11.01</v>
      </c>
      <c r="E7907" s="368"/>
      <c r="F7907" s="368"/>
    </row>
    <row r="7908" spans="1:6" ht="38.25" x14ac:dyDescent="0.2">
      <c r="A7908" s="391">
        <v>100734</v>
      </c>
      <c r="B7908" s="478" t="s">
        <v>4691</v>
      </c>
      <c r="C7908" s="391" t="s">
        <v>255</v>
      </c>
      <c r="D7908" s="479">
        <v>16.260000000000002</v>
      </c>
      <c r="E7908" s="368"/>
      <c r="F7908" s="368"/>
    </row>
    <row r="7909" spans="1:6" ht="38.25" x14ac:dyDescent="0.2">
      <c r="A7909" s="391">
        <v>100733</v>
      </c>
      <c r="B7909" s="478" t="s">
        <v>4690</v>
      </c>
      <c r="C7909" s="391" t="s">
        <v>255</v>
      </c>
      <c r="D7909" s="479">
        <v>13.02</v>
      </c>
      <c r="E7909" s="368"/>
      <c r="F7909" s="368"/>
    </row>
    <row r="7910" spans="1:6" ht="38.25" x14ac:dyDescent="0.2">
      <c r="A7910" s="391">
        <v>100740</v>
      </c>
      <c r="B7910" s="478" t="s">
        <v>4695</v>
      </c>
      <c r="C7910" s="391" t="s">
        <v>255</v>
      </c>
      <c r="D7910" s="479">
        <v>11.31</v>
      </c>
      <c r="E7910" s="368"/>
      <c r="F7910" s="368"/>
    </row>
    <row r="7911" spans="1:6" ht="38.25" x14ac:dyDescent="0.2">
      <c r="A7911" s="391">
        <v>100758</v>
      </c>
      <c r="B7911" s="478" t="s">
        <v>4709</v>
      </c>
      <c r="C7911" s="391" t="s">
        <v>255</v>
      </c>
      <c r="D7911" s="479">
        <v>49.45</v>
      </c>
      <c r="E7911" s="368"/>
      <c r="F7911" s="368"/>
    </row>
    <row r="7912" spans="1:6" ht="38.25" x14ac:dyDescent="0.2">
      <c r="A7912" s="391">
        <v>100742</v>
      </c>
      <c r="B7912" s="478" t="s">
        <v>4697</v>
      </c>
      <c r="C7912" s="391" t="s">
        <v>255</v>
      </c>
      <c r="D7912" s="479">
        <v>24.71</v>
      </c>
      <c r="E7912" s="368"/>
      <c r="F7912" s="368"/>
    </row>
    <row r="7913" spans="1:6" ht="38.25" x14ac:dyDescent="0.2">
      <c r="A7913" s="391">
        <v>100739</v>
      </c>
      <c r="B7913" s="478" t="s">
        <v>4694</v>
      </c>
      <c r="C7913" s="391" t="s">
        <v>255</v>
      </c>
      <c r="D7913" s="479">
        <v>10.83</v>
      </c>
      <c r="E7913" s="368"/>
      <c r="F7913" s="368"/>
    </row>
    <row r="7914" spans="1:6" ht="38.25" x14ac:dyDescent="0.2">
      <c r="A7914" s="391">
        <v>100757</v>
      </c>
      <c r="B7914" s="478" t="s">
        <v>4708</v>
      </c>
      <c r="C7914" s="391" t="s">
        <v>255</v>
      </c>
      <c r="D7914" s="479">
        <v>49.34</v>
      </c>
      <c r="E7914" s="368"/>
      <c r="F7914" s="368"/>
    </row>
    <row r="7915" spans="1:6" ht="38.25" x14ac:dyDescent="0.2">
      <c r="A7915" s="391">
        <v>100741</v>
      </c>
      <c r="B7915" s="478" t="s">
        <v>4696</v>
      </c>
      <c r="C7915" s="391" t="s">
        <v>255</v>
      </c>
      <c r="D7915" s="479">
        <v>24.66</v>
      </c>
      <c r="E7915" s="368"/>
      <c r="F7915" s="368"/>
    </row>
    <row r="7916" spans="1:6" ht="38.25" x14ac:dyDescent="0.2">
      <c r="A7916" s="391">
        <v>100744</v>
      </c>
      <c r="B7916" s="478" t="s">
        <v>4698</v>
      </c>
      <c r="C7916" s="391" t="s">
        <v>255</v>
      </c>
      <c r="D7916" s="479">
        <v>11.15</v>
      </c>
      <c r="E7916" s="368"/>
      <c r="F7916" s="368"/>
    </row>
    <row r="7917" spans="1:6" ht="38.25" x14ac:dyDescent="0.2">
      <c r="A7917" s="391">
        <v>100760</v>
      </c>
      <c r="B7917" s="478" t="s">
        <v>4711</v>
      </c>
      <c r="C7917" s="391" t="s">
        <v>255</v>
      </c>
      <c r="D7917" s="479">
        <v>49.14</v>
      </c>
      <c r="E7917" s="368"/>
      <c r="F7917" s="368"/>
    </row>
    <row r="7918" spans="1:6" ht="38.25" x14ac:dyDescent="0.2">
      <c r="A7918" s="391">
        <v>100746</v>
      </c>
      <c r="B7918" s="478" t="s">
        <v>4699</v>
      </c>
      <c r="C7918" s="391" t="s">
        <v>255</v>
      </c>
      <c r="D7918" s="479">
        <v>24.55</v>
      </c>
      <c r="E7918" s="368"/>
      <c r="F7918" s="368"/>
    </row>
    <row r="7919" spans="1:6" ht="38.25" x14ac:dyDescent="0.2">
      <c r="A7919" s="391">
        <v>100743</v>
      </c>
      <c r="B7919" s="478" t="s">
        <v>48029</v>
      </c>
      <c r="C7919" s="391" t="s">
        <v>255</v>
      </c>
      <c r="D7919" s="479">
        <v>10.59</v>
      </c>
      <c r="E7919" s="368"/>
      <c r="F7919" s="368"/>
    </row>
    <row r="7920" spans="1:6" ht="38.25" x14ac:dyDescent="0.2">
      <c r="A7920" s="391">
        <v>100759</v>
      </c>
      <c r="B7920" s="478" t="s">
        <v>4710</v>
      </c>
      <c r="C7920" s="391" t="s">
        <v>255</v>
      </c>
      <c r="D7920" s="479">
        <v>48.82</v>
      </c>
      <c r="E7920" s="368"/>
      <c r="F7920" s="368"/>
    </row>
    <row r="7921" spans="1:6" ht="38.25" x14ac:dyDescent="0.2">
      <c r="A7921" s="391">
        <v>100745</v>
      </c>
      <c r="B7921" s="478" t="s">
        <v>48030</v>
      </c>
      <c r="C7921" s="391" t="s">
        <v>255</v>
      </c>
      <c r="D7921" s="479">
        <v>24.4</v>
      </c>
      <c r="E7921" s="368"/>
      <c r="F7921" s="368"/>
    </row>
    <row r="7922" spans="1:6" ht="38.25" x14ac:dyDescent="0.2">
      <c r="A7922" s="391">
        <v>100748</v>
      </c>
      <c r="B7922" s="478" t="s">
        <v>4701</v>
      </c>
      <c r="C7922" s="391" t="s">
        <v>255</v>
      </c>
      <c r="D7922" s="479">
        <v>11.22</v>
      </c>
      <c r="E7922" s="368"/>
      <c r="F7922" s="368"/>
    </row>
    <row r="7923" spans="1:6" ht="38.25" x14ac:dyDescent="0.2">
      <c r="A7923" s="391">
        <v>100762</v>
      </c>
      <c r="B7923" s="478" t="s">
        <v>4713</v>
      </c>
      <c r="C7923" s="391" t="s">
        <v>255</v>
      </c>
      <c r="D7923" s="479">
        <v>49.27</v>
      </c>
      <c r="E7923" s="368"/>
      <c r="F7923" s="368"/>
    </row>
    <row r="7924" spans="1:6" ht="38.25" x14ac:dyDescent="0.2">
      <c r="A7924" s="391">
        <v>100750</v>
      </c>
      <c r="B7924" s="478" t="s">
        <v>4703</v>
      </c>
      <c r="C7924" s="391" t="s">
        <v>255</v>
      </c>
      <c r="D7924" s="479">
        <v>24.62</v>
      </c>
      <c r="E7924" s="368"/>
      <c r="F7924" s="368"/>
    </row>
    <row r="7925" spans="1:6" ht="38.25" x14ac:dyDescent="0.2">
      <c r="A7925" s="391">
        <v>100747</v>
      </c>
      <c r="B7925" s="478" t="s">
        <v>4700</v>
      </c>
      <c r="C7925" s="391" t="s">
        <v>255</v>
      </c>
      <c r="D7925" s="479">
        <v>10.69</v>
      </c>
      <c r="E7925" s="368"/>
      <c r="F7925" s="368"/>
    </row>
    <row r="7926" spans="1:6" ht="38.25" x14ac:dyDescent="0.2">
      <c r="A7926" s="391">
        <v>100761</v>
      </c>
      <c r="B7926" s="478" t="s">
        <v>4712</v>
      </c>
      <c r="C7926" s="391" t="s">
        <v>255</v>
      </c>
      <c r="D7926" s="479">
        <v>49.04</v>
      </c>
      <c r="E7926" s="368"/>
      <c r="F7926" s="368"/>
    </row>
    <row r="7927" spans="1:6" ht="38.25" x14ac:dyDescent="0.2">
      <c r="A7927" s="391">
        <v>100749</v>
      </c>
      <c r="B7927" s="478" t="s">
        <v>4702</v>
      </c>
      <c r="C7927" s="391" t="s">
        <v>255</v>
      </c>
      <c r="D7927" s="479">
        <v>24.51</v>
      </c>
      <c r="E7927" s="368"/>
      <c r="F7927" s="368"/>
    </row>
    <row r="7928" spans="1:6" ht="38.25" x14ac:dyDescent="0.2">
      <c r="A7928" s="391">
        <v>100720</v>
      </c>
      <c r="B7928" s="478" t="s">
        <v>4679</v>
      </c>
      <c r="C7928" s="391" t="s">
        <v>255</v>
      </c>
      <c r="D7928" s="479">
        <v>10.75</v>
      </c>
      <c r="E7928" s="368"/>
      <c r="F7928" s="368"/>
    </row>
    <row r="7929" spans="1:6" ht="38.25" x14ac:dyDescent="0.2">
      <c r="A7929" s="391">
        <v>100722</v>
      </c>
      <c r="B7929" s="478" t="s">
        <v>4681</v>
      </c>
      <c r="C7929" s="391" t="s">
        <v>255</v>
      </c>
      <c r="D7929" s="479">
        <v>24.17</v>
      </c>
      <c r="E7929" s="368"/>
      <c r="F7929" s="368"/>
    </row>
    <row r="7930" spans="1:6" ht="25.5" x14ac:dyDescent="0.2">
      <c r="A7930" s="391">
        <v>100719</v>
      </c>
      <c r="B7930" s="478" t="s">
        <v>4678</v>
      </c>
      <c r="C7930" s="391" t="s">
        <v>255</v>
      </c>
      <c r="D7930" s="479">
        <v>10.98</v>
      </c>
      <c r="E7930" s="368"/>
      <c r="F7930" s="368"/>
    </row>
    <row r="7931" spans="1:6" ht="38.25" x14ac:dyDescent="0.2">
      <c r="A7931" s="391">
        <v>100721</v>
      </c>
      <c r="B7931" s="478" t="s">
        <v>4680</v>
      </c>
      <c r="C7931" s="391" t="s">
        <v>255</v>
      </c>
      <c r="D7931" s="479">
        <v>25.03</v>
      </c>
      <c r="E7931" s="368"/>
      <c r="F7931" s="368"/>
    </row>
    <row r="7932" spans="1:6" ht="38.25" x14ac:dyDescent="0.2">
      <c r="A7932" s="391">
        <v>100724</v>
      </c>
      <c r="B7932" s="478" t="s">
        <v>4683</v>
      </c>
      <c r="C7932" s="391" t="s">
        <v>255</v>
      </c>
      <c r="D7932" s="479">
        <v>13.97</v>
      </c>
      <c r="E7932" s="368"/>
      <c r="F7932" s="368"/>
    </row>
    <row r="7933" spans="1:6" ht="38.25" x14ac:dyDescent="0.2">
      <c r="A7933" s="391">
        <v>100726</v>
      </c>
      <c r="B7933" s="478" t="s">
        <v>4685</v>
      </c>
      <c r="C7933" s="391" t="s">
        <v>255</v>
      </c>
      <c r="D7933" s="479">
        <v>27.29</v>
      </c>
      <c r="E7933" s="368"/>
      <c r="F7933" s="368"/>
    </row>
    <row r="7934" spans="1:6" ht="38.25" x14ac:dyDescent="0.2">
      <c r="A7934" s="392">
        <v>100723</v>
      </c>
      <c r="B7934" s="480" t="s">
        <v>4682</v>
      </c>
      <c r="C7934" s="392" t="s">
        <v>255</v>
      </c>
      <c r="D7934" s="481">
        <v>11.8</v>
      </c>
      <c r="E7934" s="368"/>
      <c r="F7934" s="368"/>
    </row>
    <row r="7935" spans="1:6" ht="38.25" x14ac:dyDescent="0.2">
      <c r="A7935" s="391">
        <v>100725</v>
      </c>
      <c r="B7935" s="478" t="s">
        <v>4684</v>
      </c>
      <c r="C7935" s="391" t="s">
        <v>255</v>
      </c>
      <c r="D7935" s="479">
        <v>25.29</v>
      </c>
      <c r="E7935" s="368"/>
      <c r="F7935" s="368"/>
    </row>
    <row r="7936" spans="1:6" ht="25.5" x14ac:dyDescent="0.2">
      <c r="A7936" s="391">
        <v>100752</v>
      </c>
      <c r="B7936" s="478" t="s">
        <v>4705</v>
      </c>
      <c r="C7936" s="391" t="s">
        <v>255</v>
      </c>
      <c r="D7936" s="479">
        <v>47.21</v>
      </c>
      <c r="E7936" s="368"/>
      <c r="F7936" s="368"/>
    </row>
    <row r="7937" spans="1:6" ht="25.5" x14ac:dyDescent="0.2">
      <c r="A7937" s="391">
        <v>100730</v>
      </c>
      <c r="B7937" s="478" t="s">
        <v>4689</v>
      </c>
      <c r="C7937" s="391" t="s">
        <v>255</v>
      </c>
      <c r="D7937" s="479">
        <v>23.6</v>
      </c>
      <c r="E7937" s="368"/>
      <c r="F7937" s="368"/>
    </row>
    <row r="7938" spans="1:6" ht="25.5" x14ac:dyDescent="0.2">
      <c r="A7938" s="391">
        <v>100751</v>
      </c>
      <c r="B7938" s="478" t="s">
        <v>4704</v>
      </c>
      <c r="C7938" s="391" t="s">
        <v>255</v>
      </c>
      <c r="D7938" s="479">
        <v>40.61</v>
      </c>
      <c r="E7938" s="368"/>
      <c r="F7938" s="368"/>
    </row>
    <row r="7939" spans="1:6" ht="25.5" x14ac:dyDescent="0.2">
      <c r="A7939" s="391">
        <v>100729</v>
      </c>
      <c r="B7939" s="478" t="s">
        <v>4688</v>
      </c>
      <c r="C7939" s="391" t="s">
        <v>255</v>
      </c>
      <c r="D7939" s="479">
        <v>20.3</v>
      </c>
      <c r="E7939" s="368"/>
      <c r="F7939" s="368"/>
    </row>
    <row r="7940" spans="1:6" ht="25.5" x14ac:dyDescent="0.2">
      <c r="A7940" s="391">
        <v>100728</v>
      </c>
      <c r="B7940" s="478" t="s">
        <v>4687</v>
      </c>
      <c r="C7940" s="391" t="s">
        <v>255</v>
      </c>
      <c r="D7940" s="479">
        <v>23.92</v>
      </c>
      <c r="E7940" s="368"/>
      <c r="F7940" s="368"/>
    </row>
    <row r="7941" spans="1:6" ht="38.25" x14ac:dyDescent="0.2">
      <c r="A7941" s="391">
        <v>100732</v>
      </c>
      <c r="B7941" s="478" t="s">
        <v>41824</v>
      </c>
      <c r="C7941" s="391" t="s">
        <v>255</v>
      </c>
      <c r="D7941" s="479">
        <v>0</v>
      </c>
      <c r="E7941" s="368"/>
      <c r="F7941" s="368"/>
    </row>
    <row r="7942" spans="1:6" ht="25.5" x14ac:dyDescent="0.2">
      <c r="A7942" s="391">
        <v>100731</v>
      </c>
      <c r="B7942" s="478" t="s">
        <v>41825</v>
      </c>
      <c r="C7942" s="391" t="s">
        <v>255</v>
      </c>
      <c r="D7942" s="479">
        <v>0</v>
      </c>
      <c r="E7942" s="368"/>
      <c r="F7942" s="368"/>
    </row>
    <row r="7943" spans="1:6" ht="25.5" x14ac:dyDescent="0.2">
      <c r="A7943" s="391">
        <v>100727</v>
      </c>
      <c r="B7943" s="478" t="s">
        <v>4686</v>
      </c>
      <c r="C7943" s="391" t="s">
        <v>255</v>
      </c>
      <c r="D7943" s="479">
        <v>26.65</v>
      </c>
      <c r="E7943" s="368"/>
      <c r="F7943" s="368"/>
    </row>
    <row r="7944" spans="1:6" ht="38.25" x14ac:dyDescent="0.2">
      <c r="A7944" s="391">
        <v>100756</v>
      </c>
      <c r="B7944" s="478" t="s">
        <v>41826</v>
      </c>
      <c r="C7944" s="391" t="s">
        <v>255</v>
      </c>
      <c r="D7944" s="479">
        <v>0</v>
      </c>
      <c r="E7944" s="368"/>
      <c r="F7944" s="368"/>
    </row>
    <row r="7945" spans="1:6" ht="38.25" x14ac:dyDescent="0.2">
      <c r="A7945" s="391">
        <v>100738</v>
      </c>
      <c r="B7945" s="478" t="s">
        <v>41827</v>
      </c>
      <c r="C7945" s="391" t="s">
        <v>255</v>
      </c>
      <c r="D7945" s="479">
        <v>0</v>
      </c>
      <c r="E7945" s="368"/>
      <c r="F7945" s="368"/>
    </row>
    <row r="7946" spans="1:6" ht="25.5" x14ac:dyDescent="0.2">
      <c r="A7946" s="391">
        <v>100755</v>
      </c>
      <c r="B7946" s="478" t="s">
        <v>41828</v>
      </c>
      <c r="C7946" s="391" t="s">
        <v>255</v>
      </c>
      <c r="D7946" s="479">
        <v>0</v>
      </c>
      <c r="E7946" s="368"/>
      <c r="F7946" s="368"/>
    </row>
    <row r="7947" spans="1:6" ht="25.5" x14ac:dyDescent="0.2">
      <c r="A7947" s="391">
        <v>100737</v>
      </c>
      <c r="B7947" s="478" t="s">
        <v>41829</v>
      </c>
      <c r="C7947" s="391" t="s">
        <v>255</v>
      </c>
      <c r="D7947" s="479">
        <v>0</v>
      </c>
      <c r="E7947" s="368"/>
      <c r="F7947" s="368"/>
    </row>
    <row r="7948" spans="1:6" x14ac:dyDescent="0.2">
      <c r="A7948" s="391">
        <v>102499</v>
      </c>
      <c r="B7948" s="478" t="s">
        <v>4722</v>
      </c>
      <c r="C7948" s="391" t="s">
        <v>255</v>
      </c>
      <c r="D7948" s="479">
        <v>3.52</v>
      </c>
      <c r="E7948" s="368"/>
      <c r="F7948" s="368"/>
    </row>
    <row r="7949" spans="1:6" ht="25.5" x14ac:dyDescent="0.2">
      <c r="A7949" s="391">
        <v>102505</v>
      </c>
      <c r="B7949" s="478" t="s">
        <v>4725</v>
      </c>
      <c r="C7949" s="391" t="s">
        <v>0</v>
      </c>
      <c r="D7949" s="479">
        <v>10.43</v>
      </c>
      <c r="E7949" s="368"/>
      <c r="F7949" s="368"/>
    </row>
    <row r="7950" spans="1:6" ht="25.5" x14ac:dyDescent="0.2">
      <c r="A7950" s="391">
        <v>102504</v>
      </c>
      <c r="B7950" s="478" t="s">
        <v>4724</v>
      </c>
      <c r="C7950" s="391" t="s">
        <v>0</v>
      </c>
      <c r="D7950" s="479">
        <v>9.8000000000000007</v>
      </c>
      <c r="E7950" s="368"/>
      <c r="F7950" s="368"/>
    </row>
    <row r="7951" spans="1:6" ht="25.5" x14ac:dyDescent="0.2">
      <c r="A7951" s="391">
        <v>102506</v>
      </c>
      <c r="B7951" s="478" t="s">
        <v>4726</v>
      </c>
      <c r="C7951" s="391" t="s">
        <v>0</v>
      </c>
      <c r="D7951" s="479">
        <v>10.82</v>
      </c>
      <c r="E7951" s="368"/>
      <c r="F7951" s="368"/>
    </row>
    <row r="7952" spans="1:6" ht="25.5" x14ac:dyDescent="0.2">
      <c r="A7952" s="391">
        <v>102500</v>
      </c>
      <c r="B7952" s="478" t="s">
        <v>4723</v>
      </c>
      <c r="C7952" s="391" t="s">
        <v>0</v>
      </c>
      <c r="D7952" s="479">
        <v>4.33</v>
      </c>
      <c r="E7952" s="368"/>
      <c r="F7952" s="368"/>
    </row>
    <row r="7953" spans="1:6" ht="25.5" x14ac:dyDescent="0.2">
      <c r="A7953" s="391">
        <v>102502</v>
      </c>
      <c r="B7953" s="478" t="s">
        <v>41830</v>
      </c>
      <c r="C7953" s="391" t="s">
        <v>0</v>
      </c>
      <c r="D7953" s="479">
        <v>0</v>
      </c>
      <c r="E7953" s="368"/>
      <c r="F7953" s="368"/>
    </row>
    <row r="7954" spans="1:6" ht="25.5" x14ac:dyDescent="0.2">
      <c r="A7954" s="391">
        <v>102507</v>
      </c>
      <c r="B7954" s="478" t="s">
        <v>4727</v>
      </c>
      <c r="C7954" s="391" t="s">
        <v>0</v>
      </c>
      <c r="D7954" s="479">
        <v>6.34</v>
      </c>
      <c r="E7954" s="368"/>
      <c r="F7954" s="368"/>
    </row>
    <row r="7955" spans="1:6" ht="38.25" x14ac:dyDescent="0.2">
      <c r="A7955" s="391">
        <v>102510</v>
      </c>
      <c r="B7955" s="478" t="s">
        <v>48031</v>
      </c>
      <c r="C7955" s="391" t="s">
        <v>0</v>
      </c>
      <c r="D7955" s="479">
        <v>0</v>
      </c>
      <c r="E7955" s="368"/>
      <c r="F7955" s="368"/>
    </row>
    <row r="7956" spans="1:6" ht="38.25" x14ac:dyDescent="0.2">
      <c r="A7956" s="391">
        <v>102512</v>
      </c>
      <c r="B7956" s="478" t="s">
        <v>48032</v>
      </c>
      <c r="C7956" s="391" t="s">
        <v>0</v>
      </c>
      <c r="D7956" s="479">
        <v>6.58</v>
      </c>
      <c r="E7956" s="368"/>
      <c r="F7956" s="368"/>
    </row>
    <row r="7957" spans="1:6" ht="25.5" x14ac:dyDescent="0.2">
      <c r="A7957" s="391">
        <v>102501</v>
      </c>
      <c r="B7957" s="478" t="s">
        <v>48033</v>
      </c>
      <c r="C7957" s="391" t="s">
        <v>255</v>
      </c>
      <c r="D7957" s="479">
        <v>24.44</v>
      </c>
      <c r="E7957" s="368"/>
      <c r="F7957" s="368"/>
    </row>
    <row r="7958" spans="1:6" ht="25.5" x14ac:dyDescent="0.2">
      <c r="A7958" s="391">
        <v>102503</v>
      </c>
      <c r="B7958" s="478" t="s">
        <v>48034</v>
      </c>
      <c r="C7958" s="391" t="s">
        <v>255</v>
      </c>
      <c r="D7958" s="479">
        <v>0</v>
      </c>
      <c r="E7958" s="368"/>
      <c r="F7958" s="368"/>
    </row>
    <row r="7959" spans="1:6" ht="25.5" x14ac:dyDescent="0.2">
      <c r="A7959" s="391">
        <v>102508</v>
      </c>
      <c r="B7959" s="478" t="s">
        <v>48035</v>
      </c>
      <c r="C7959" s="391" t="s">
        <v>255</v>
      </c>
      <c r="D7959" s="479">
        <v>45.06</v>
      </c>
      <c r="E7959" s="368"/>
      <c r="F7959" s="368"/>
    </row>
    <row r="7960" spans="1:6" ht="38.25" x14ac:dyDescent="0.2">
      <c r="A7960" s="391">
        <v>102511</v>
      </c>
      <c r="B7960" s="478" t="s">
        <v>41831</v>
      </c>
      <c r="C7960" s="391" t="s">
        <v>255</v>
      </c>
      <c r="D7960" s="479">
        <v>0</v>
      </c>
      <c r="E7960" s="368"/>
      <c r="F7960" s="368"/>
    </row>
    <row r="7961" spans="1:6" ht="38.25" x14ac:dyDescent="0.2">
      <c r="A7961" s="391">
        <v>102509</v>
      </c>
      <c r="B7961" s="478" t="s">
        <v>4728</v>
      </c>
      <c r="C7961" s="391" t="s">
        <v>255</v>
      </c>
      <c r="D7961" s="479">
        <v>35.03</v>
      </c>
      <c r="E7961" s="368"/>
      <c r="F7961" s="368"/>
    </row>
    <row r="7962" spans="1:6" ht="25.5" x14ac:dyDescent="0.2">
      <c r="A7962" s="391">
        <v>102498</v>
      </c>
      <c r="B7962" s="478" t="s">
        <v>4721</v>
      </c>
      <c r="C7962" s="391" t="s">
        <v>0</v>
      </c>
      <c r="D7962" s="479">
        <v>1.61</v>
      </c>
      <c r="E7962" s="368"/>
      <c r="F7962" s="368"/>
    </row>
    <row r="7963" spans="1:6" ht="25.5" x14ac:dyDescent="0.2">
      <c r="A7963" s="391">
        <v>102519</v>
      </c>
      <c r="B7963" s="478" t="s">
        <v>48036</v>
      </c>
      <c r="C7963" s="391" t="s">
        <v>26</v>
      </c>
      <c r="D7963" s="479">
        <v>0</v>
      </c>
      <c r="E7963" s="368"/>
      <c r="F7963" s="368"/>
    </row>
    <row r="7964" spans="1:6" ht="25.5" x14ac:dyDescent="0.2">
      <c r="A7964" s="391">
        <v>102491</v>
      </c>
      <c r="B7964" s="478" t="s">
        <v>4716</v>
      </c>
      <c r="C7964" s="391" t="s">
        <v>255</v>
      </c>
      <c r="D7964" s="479">
        <v>20.37</v>
      </c>
      <c r="E7964" s="368"/>
      <c r="F7964" s="368"/>
    </row>
    <row r="7965" spans="1:6" ht="25.5" x14ac:dyDescent="0.2">
      <c r="A7965" s="391">
        <v>102492</v>
      </c>
      <c r="B7965" s="478" t="s">
        <v>4717</v>
      </c>
      <c r="C7965" s="391" t="s">
        <v>255</v>
      </c>
      <c r="D7965" s="479">
        <v>25.77</v>
      </c>
      <c r="E7965" s="368"/>
      <c r="F7965" s="368"/>
    </row>
    <row r="7966" spans="1:6" ht="25.5" x14ac:dyDescent="0.2">
      <c r="A7966" s="391">
        <v>102804</v>
      </c>
      <c r="B7966" s="478" t="s">
        <v>41832</v>
      </c>
      <c r="C7966" s="391" t="s">
        <v>255</v>
      </c>
      <c r="D7966" s="479">
        <v>0</v>
      </c>
      <c r="E7966" s="368"/>
      <c r="F7966" s="368"/>
    </row>
    <row r="7967" spans="1:6" ht="25.5" x14ac:dyDescent="0.2">
      <c r="A7967" s="391">
        <v>102494</v>
      </c>
      <c r="B7967" s="478" t="s">
        <v>4718</v>
      </c>
      <c r="C7967" s="391" t="s">
        <v>255</v>
      </c>
      <c r="D7967" s="479">
        <v>62.86</v>
      </c>
      <c r="E7967" s="368"/>
      <c r="F7967" s="368"/>
    </row>
    <row r="7968" spans="1:6" ht="25.5" x14ac:dyDescent="0.2">
      <c r="A7968" s="391">
        <v>102805</v>
      </c>
      <c r="B7968" s="478" t="s">
        <v>41833</v>
      </c>
      <c r="C7968" s="391" t="s">
        <v>255</v>
      </c>
      <c r="D7968" s="479">
        <v>0</v>
      </c>
      <c r="E7968" s="368"/>
      <c r="F7968" s="368"/>
    </row>
    <row r="7969" spans="1:6" ht="25.5" x14ac:dyDescent="0.2">
      <c r="A7969" s="391">
        <v>102490</v>
      </c>
      <c r="B7969" s="478" t="s">
        <v>41834</v>
      </c>
      <c r="C7969" s="391" t="s">
        <v>255</v>
      </c>
      <c r="D7969" s="479">
        <v>0</v>
      </c>
      <c r="E7969" s="368"/>
      <c r="F7969" s="368"/>
    </row>
    <row r="7970" spans="1:6" ht="25.5" x14ac:dyDescent="0.2">
      <c r="A7970" s="391">
        <v>102496</v>
      </c>
      <c r="B7970" s="478" t="s">
        <v>4719</v>
      </c>
      <c r="C7970" s="391" t="s">
        <v>0</v>
      </c>
      <c r="D7970" s="479">
        <v>13.21</v>
      </c>
      <c r="E7970" s="368"/>
      <c r="F7970" s="368"/>
    </row>
    <row r="7971" spans="1:6" ht="25.5" x14ac:dyDescent="0.2">
      <c r="A7971" s="391">
        <v>102497</v>
      </c>
      <c r="B7971" s="478" t="s">
        <v>4720</v>
      </c>
      <c r="C7971" s="391" t="s">
        <v>0</v>
      </c>
      <c r="D7971" s="479">
        <v>5.0199999999999996</v>
      </c>
      <c r="E7971" s="368"/>
      <c r="F7971" s="368"/>
    </row>
    <row r="7972" spans="1:6" ht="25.5" x14ac:dyDescent="0.2">
      <c r="A7972" s="391">
        <v>102520</v>
      </c>
      <c r="B7972" s="478" t="s">
        <v>4730</v>
      </c>
      <c r="C7972" s="391" t="s">
        <v>255</v>
      </c>
      <c r="D7972" s="479">
        <v>80.819999999999993</v>
      </c>
      <c r="E7972" s="368"/>
      <c r="F7972" s="368"/>
    </row>
    <row r="7973" spans="1:6" ht="25.5" x14ac:dyDescent="0.2">
      <c r="A7973" s="391">
        <v>102518</v>
      </c>
      <c r="B7973" s="478" t="s">
        <v>41835</v>
      </c>
      <c r="C7973" s="391" t="s">
        <v>26</v>
      </c>
      <c r="D7973" s="479">
        <v>0</v>
      </c>
      <c r="E7973" s="368"/>
      <c r="F7973" s="368"/>
    </row>
    <row r="7974" spans="1:6" ht="25.5" x14ac:dyDescent="0.2">
      <c r="A7974" s="391">
        <v>102514</v>
      </c>
      <c r="B7974" s="478" t="s">
        <v>41836</v>
      </c>
      <c r="C7974" s="391" t="s">
        <v>26</v>
      </c>
      <c r="D7974" s="479">
        <v>0</v>
      </c>
      <c r="E7974" s="368"/>
      <c r="F7974" s="368"/>
    </row>
    <row r="7975" spans="1:6" ht="25.5" x14ac:dyDescent="0.2">
      <c r="A7975" s="391">
        <v>102516</v>
      </c>
      <c r="B7975" s="478" t="s">
        <v>41837</v>
      </c>
      <c r="C7975" s="391" t="s">
        <v>26</v>
      </c>
      <c r="D7975" s="479">
        <v>0</v>
      </c>
      <c r="E7975" s="368"/>
      <c r="F7975" s="368"/>
    </row>
    <row r="7976" spans="1:6" ht="25.5" x14ac:dyDescent="0.2">
      <c r="A7976" s="391">
        <v>102515</v>
      </c>
      <c r="B7976" s="478" t="s">
        <v>41838</v>
      </c>
      <c r="C7976" s="391" t="s">
        <v>26</v>
      </c>
      <c r="D7976" s="479">
        <v>0</v>
      </c>
      <c r="E7976" s="368"/>
      <c r="F7976" s="368"/>
    </row>
    <row r="7977" spans="1:6" ht="25.5" x14ac:dyDescent="0.2">
      <c r="A7977" s="391">
        <v>102517</v>
      </c>
      <c r="B7977" s="478" t="s">
        <v>41839</v>
      </c>
      <c r="C7977" s="391" t="s">
        <v>26</v>
      </c>
      <c r="D7977" s="479">
        <v>0</v>
      </c>
      <c r="E7977" s="368"/>
      <c r="F7977" s="368"/>
    </row>
    <row r="7978" spans="1:6" ht="25.5" x14ac:dyDescent="0.2">
      <c r="A7978" s="391">
        <v>102513</v>
      </c>
      <c r="B7978" s="478" t="s">
        <v>4729</v>
      </c>
      <c r="C7978" s="391" t="s">
        <v>255</v>
      </c>
      <c r="D7978" s="479">
        <v>46.55</v>
      </c>
      <c r="E7978" s="368"/>
      <c r="F7978" s="368"/>
    </row>
    <row r="7979" spans="1:6" ht="25.5" x14ac:dyDescent="0.2">
      <c r="A7979" s="391">
        <v>102489</v>
      </c>
      <c r="B7979" s="478" t="s">
        <v>4715</v>
      </c>
      <c r="C7979" s="391" t="s">
        <v>255</v>
      </c>
      <c r="D7979" s="479">
        <v>30</v>
      </c>
      <c r="E7979" s="368"/>
      <c r="F7979" s="368"/>
    </row>
    <row r="7980" spans="1:6" ht="25.5" x14ac:dyDescent="0.2">
      <c r="A7980" s="391">
        <v>102488</v>
      </c>
      <c r="B7980" s="478" t="s">
        <v>4714</v>
      </c>
      <c r="C7980" s="391" t="s">
        <v>255</v>
      </c>
      <c r="D7980" s="479">
        <v>3.56</v>
      </c>
      <c r="E7980" s="368"/>
      <c r="F7980" s="368"/>
    </row>
    <row r="7981" spans="1:6" x14ac:dyDescent="0.2">
      <c r="A7981" s="391">
        <v>101730</v>
      </c>
      <c r="B7981" s="478" t="s">
        <v>41840</v>
      </c>
      <c r="C7981" s="391" t="s">
        <v>255</v>
      </c>
      <c r="D7981" s="479">
        <v>0</v>
      </c>
      <c r="E7981" s="368"/>
      <c r="F7981" s="368"/>
    </row>
    <row r="7982" spans="1:6" x14ac:dyDescent="0.2">
      <c r="A7982" s="391">
        <v>101746</v>
      </c>
      <c r="B7982" s="478" t="s">
        <v>4734</v>
      </c>
      <c r="C7982" s="391" t="s">
        <v>255</v>
      </c>
      <c r="D7982" s="479">
        <v>492.03</v>
      </c>
      <c r="E7982" s="368"/>
      <c r="F7982" s="368"/>
    </row>
    <row r="7983" spans="1:6" ht="25.5" x14ac:dyDescent="0.2">
      <c r="A7983" s="391">
        <v>98679</v>
      </c>
      <c r="B7983" s="478" t="s">
        <v>4745</v>
      </c>
      <c r="C7983" s="391" t="s">
        <v>255</v>
      </c>
      <c r="D7983" s="479">
        <v>37.200000000000003</v>
      </c>
      <c r="E7983" s="368"/>
      <c r="F7983" s="368"/>
    </row>
    <row r="7984" spans="1:6" ht="25.5" x14ac:dyDescent="0.2">
      <c r="A7984" s="391">
        <v>98680</v>
      </c>
      <c r="B7984" s="478" t="s">
        <v>4746</v>
      </c>
      <c r="C7984" s="391" t="s">
        <v>255</v>
      </c>
      <c r="D7984" s="479">
        <v>46.83</v>
      </c>
      <c r="E7984" s="368"/>
      <c r="F7984" s="368"/>
    </row>
    <row r="7985" spans="1:6" ht="25.5" x14ac:dyDescent="0.2">
      <c r="A7985" s="391">
        <v>101749</v>
      </c>
      <c r="B7985" s="478" t="s">
        <v>4731</v>
      </c>
      <c r="C7985" s="391" t="s">
        <v>255</v>
      </c>
      <c r="D7985" s="479">
        <v>54.7</v>
      </c>
      <c r="E7985" s="368"/>
      <c r="F7985" s="368"/>
    </row>
    <row r="7986" spans="1:6" ht="25.5" x14ac:dyDescent="0.2">
      <c r="A7986" s="391">
        <v>98681</v>
      </c>
      <c r="B7986" s="478" t="s">
        <v>4747</v>
      </c>
      <c r="C7986" s="391" t="s">
        <v>255</v>
      </c>
      <c r="D7986" s="479">
        <v>34.729999999999997</v>
      </c>
      <c r="E7986" s="368"/>
      <c r="F7986" s="368"/>
    </row>
    <row r="7987" spans="1:6" ht="25.5" x14ac:dyDescent="0.2">
      <c r="A7987" s="391">
        <v>98682</v>
      </c>
      <c r="B7987" s="478" t="s">
        <v>4748</v>
      </c>
      <c r="C7987" s="391" t="s">
        <v>255</v>
      </c>
      <c r="D7987" s="479">
        <v>44.35</v>
      </c>
      <c r="E7987" s="368"/>
      <c r="F7987" s="368"/>
    </row>
    <row r="7988" spans="1:6" ht="25.5" x14ac:dyDescent="0.2">
      <c r="A7988" s="391">
        <v>101750</v>
      </c>
      <c r="B7988" s="478" t="s">
        <v>4732</v>
      </c>
      <c r="C7988" s="391" t="s">
        <v>255</v>
      </c>
      <c r="D7988" s="479">
        <v>52.22</v>
      </c>
      <c r="E7988" s="368"/>
      <c r="F7988" s="368"/>
    </row>
    <row r="7989" spans="1:6" ht="25.5" x14ac:dyDescent="0.2">
      <c r="A7989" s="391">
        <v>101737</v>
      </c>
      <c r="B7989" s="478" t="s">
        <v>4764</v>
      </c>
      <c r="C7989" s="391" t="s">
        <v>255</v>
      </c>
      <c r="D7989" s="479">
        <v>129.12</v>
      </c>
      <c r="E7989" s="368"/>
      <c r="F7989" s="368"/>
    </row>
    <row r="7990" spans="1:6" ht="25.5" x14ac:dyDescent="0.2">
      <c r="A7990" s="391">
        <v>101735</v>
      </c>
      <c r="B7990" s="478" t="s">
        <v>4762</v>
      </c>
      <c r="C7990" s="391" t="s">
        <v>255</v>
      </c>
      <c r="D7990" s="479">
        <v>419.27</v>
      </c>
      <c r="E7990" s="368"/>
      <c r="F7990" s="368"/>
    </row>
    <row r="7991" spans="1:6" ht="25.5" x14ac:dyDescent="0.2">
      <c r="A7991" s="391">
        <v>101734</v>
      </c>
      <c r="B7991" s="478" t="s">
        <v>4761</v>
      </c>
      <c r="C7991" s="391" t="s">
        <v>255</v>
      </c>
      <c r="D7991" s="479">
        <v>409.19</v>
      </c>
      <c r="E7991" s="368"/>
      <c r="F7991" s="368"/>
    </row>
    <row r="7992" spans="1:6" ht="25.5" x14ac:dyDescent="0.2">
      <c r="A7992" s="391">
        <v>101736</v>
      </c>
      <c r="B7992" s="478" t="s">
        <v>4763</v>
      </c>
      <c r="C7992" s="391" t="s">
        <v>255</v>
      </c>
      <c r="D7992" s="479">
        <v>109.19</v>
      </c>
      <c r="E7992" s="368"/>
      <c r="F7992" s="368"/>
    </row>
    <row r="7993" spans="1:6" ht="25.5" x14ac:dyDescent="0.2">
      <c r="A7993" s="391">
        <v>101733</v>
      </c>
      <c r="B7993" s="478" t="s">
        <v>4760</v>
      </c>
      <c r="C7993" s="391" t="s">
        <v>255</v>
      </c>
      <c r="D7993" s="479">
        <v>270.19</v>
      </c>
      <c r="E7993" s="368"/>
      <c r="F7993" s="368"/>
    </row>
    <row r="7994" spans="1:6" ht="25.5" x14ac:dyDescent="0.2">
      <c r="A7994" s="391">
        <v>98678</v>
      </c>
      <c r="B7994" s="478" t="s">
        <v>4744</v>
      </c>
      <c r="C7994" s="391" t="s">
        <v>255</v>
      </c>
      <c r="D7994" s="479">
        <v>467.81</v>
      </c>
      <c r="E7994" s="368"/>
      <c r="F7994" s="368"/>
    </row>
    <row r="7995" spans="1:6" ht="25.5" x14ac:dyDescent="0.2">
      <c r="A7995" s="391">
        <v>98677</v>
      </c>
      <c r="B7995" s="478" t="s">
        <v>41841</v>
      </c>
      <c r="C7995" s="391" t="s">
        <v>255</v>
      </c>
      <c r="D7995" s="479">
        <v>0</v>
      </c>
      <c r="E7995" s="368"/>
      <c r="F7995" s="368"/>
    </row>
    <row r="7996" spans="1:6" ht="25.5" x14ac:dyDescent="0.2">
      <c r="A7996" s="391">
        <v>98676</v>
      </c>
      <c r="B7996" s="478" t="s">
        <v>41842</v>
      </c>
      <c r="C7996" s="391" t="s">
        <v>255</v>
      </c>
      <c r="D7996" s="479">
        <v>0</v>
      </c>
      <c r="E7996" s="368"/>
      <c r="F7996" s="368"/>
    </row>
    <row r="7997" spans="1:6" ht="25.5" x14ac:dyDescent="0.2">
      <c r="A7997" s="391">
        <v>98675</v>
      </c>
      <c r="B7997" s="478" t="s">
        <v>41843</v>
      </c>
      <c r="C7997" s="391" t="s">
        <v>255</v>
      </c>
      <c r="D7997" s="479">
        <v>0</v>
      </c>
      <c r="E7997" s="368"/>
      <c r="F7997" s="368"/>
    </row>
    <row r="7998" spans="1:6" ht="25.5" x14ac:dyDescent="0.2">
      <c r="A7998" s="391">
        <v>101747</v>
      </c>
      <c r="B7998" s="478" t="s">
        <v>4781</v>
      </c>
      <c r="C7998" s="391" t="s">
        <v>255</v>
      </c>
      <c r="D7998" s="479">
        <v>84.52</v>
      </c>
      <c r="E7998" s="368"/>
      <c r="F7998" s="368"/>
    </row>
    <row r="7999" spans="1:6" ht="51" x14ac:dyDescent="0.2">
      <c r="A7999" s="391">
        <v>104162</v>
      </c>
      <c r="B7999" s="478" t="s">
        <v>4766</v>
      </c>
      <c r="C7999" s="391" t="s">
        <v>255</v>
      </c>
      <c r="D7999" s="479">
        <v>93.6</v>
      </c>
      <c r="E7999" s="368"/>
      <c r="F7999" s="368"/>
    </row>
    <row r="8000" spans="1:6" x14ac:dyDescent="0.2">
      <c r="A8000" s="391">
        <v>98671</v>
      </c>
      <c r="B8000" s="478" t="s">
        <v>4742</v>
      </c>
      <c r="C8000" s="391" t="s">
        <v>255</v>
      </c>
      <c r="D8000" s="479">
        <v>376.08</v>
      </c>
      <c r="E8000" s="368"/>
      <c r="F8000" s="368"/>
    </row>
    <row r="8001" spans="1:6" x14ac:dyDescent="0.2">
      <c r="A8001" s="391">
        <v>101092</v>
      </c>
      <c r="B8001" s="478" t="s">
        <v>4767</v>
      </c>
      <c r="C8001" s="391" t="s">
        <v>255</v>
      </c>
      <c r="D8001" s="479">
        <v>386.81</v>
      </c>
      <c r="E8001" s="368"/>
      <c r="F8001" s="368"/>
    </row>
    <row r="8002" spans="1:6" ht="25.5" x14ac:dyDescent="0.2">
      <c r="A8002" s="391">
        <v>101091</v>
      </c>
      <c r="B8002" s="478" t="s">
        <v>4754</v>
      </c>
      <c r="C8002" s="391" t="s">
        <v>255</v>
      </c>
      <c r="D8002" s="479">
        <v>158.34</v>
      </c>
      <c r="E8002" s="368"/>
      <c r="F8002" s="368"/>
    </row>
    <row r="8003" spans="1:6" ht="25.5" x14ac:dyDescent="0.2">
      <c r="A8003" s="391">
        <v>101726</v>
      </c>
      <c r="B8003" s="478" t="s">
        <v>4756</v>
      </c>
      <c r="C8003" s="391" t="s">
        <v>255</v>
      </c>
      <c r="D8003" s="479">
        <v>199.89</v>
      </c>
      <c r="E8003" s="368"/>
      <c r="F8003" s="368"/>
    </row>
    <row r="8004" spans="1:6" ht="25.5" x14ac:dyDescent="0.2">
      <c r="A8004" s="391">
        <v>101725</v>
      </c>
      <c r="B8004" s="478" t="s">
        <v>4755</v>
      </c>
      <c r="C8004" s="391" t="s">
        <v>255</v>
      </c>
      <c r="D8004" s="479">
        <v>290.25</v>
      </c>
      <c r="E8004" s="368"/>
      <c r="F8004" s="368"/>
    </row>
    <row r="8005" spans="1:6" x14ac:dyDescent="0.2">
      <c r="A8005" s="391">
        <v>98672</v>
      </c>
      <c r="B8005" s="478" t="s">
        <v>4743</v>
      </c>
      <c r="C8005" s="391" t="s">
        <v>255</v>
      </c>
      <c r="D8005" s="479">
        <v>561.04999999999995</v>
      </c>
      <c r="E8005" s="368"/>
      <c r="F8005" s="368"/>
    </row>
    <row r="8006" spans="1:6" x14ac:dyDescent="0.2">
      <c r="A8006" s="391">
        <v>101093</v>
      </c>
      <c r="B8006" s="478" t="s">
        <v>4768</v>
      </c>
      <c r="C8006" s="391" t="s">
        <v>255</v>
      </c>
      <c r="D8006" s="479">
        <v>571.78</v>
      </c>
      <c r="E8006" s="368"/>
      <c r="F8006" s="368"/>
    </row>
    <row r="8007" spans="1:6" ht="25.5" x14ac:dyDescent="0.2">
      <c r="A8007" s="391">
        <v>101732</v>
      </c>
      <c r="B8007" s="478" t="s">
        <v>4757</v>
      </c>
      <c r="C8007" s="391" t="s">
        <v>255</v>
      </c>
      <c r="D8007" s="479">
        <v>102.23</v>
      </c>
      <c r="E8007" s="368"/>
      <c r="F8007" s="368"/>
    </row>
    <row r="8008" spans="1:6" ht="25.5" x14ac:dyDescent="0.2">
      <c r="A8008" s="391">
        <v>101731</v>
      </c>
      <c r="B8008" s="478" t="s">
        <v>48037</v>
      </c>
      <c r="C8008" s="391" t="s">
        <v>255</v>
      </c>
      <c r="D8008" s="479">
        <v>344.76</v>
      </c>
      <c r="E8008" s="368"/>
      <c r="F8008" s="368"/>
    </row>
    <row r="8009" spans="1:6" ht="25.5" x14ac:dyDescent="0.2">
      <c r="A8009" s="391">
        <v>101090</v>
      </c>
      <c r="B8009" s="478" t="s">
        <v>4753</v>
      </c>
      <c r="C8009" s="391" t="s">
        <v>255</v>
      </c>
      <c r="D8009" s="479">
        <v>232.97</v>
      </c>
      <c r="E8009" s="368"/>
      <c r="F8009" s="368"/>
    </row>
    <row r="8010" spans="1:6" ht="25.5" x14ac:dyDescent="0.2">
      <c r="A8010" s="391">
        <v>101751</v>
      </c>
      <c r="B8010" s="478" t="s">
        <v>4735</v>
      </c>
      <c r="C8010" s="391" t="s">
        <v>255</v>
      </c>
      <c r="D8010" s="479">
        <v>321.48</v>
      </c>
      <c r="E8010" s="368"/>
      <c r="F8010" s="368"/>
    </row>
    <row r="8011" spans="1:6" ht="25.5" x14ac:dyDescent="0.2">
      <c r="A8011" s="391">
        <v>101729</v>
      </c>
      <c r="B8011" s="478" t="s">
        <v>4733</v>
      </c>
      <c r="C8011" s="391" t="s">
        <v>255</v>
      </c>
      <c r="D8011" s="479">
        <v>315.10000000000002</v>
      </c>
      <c r="E8011" s="368"/>
      <c r="F8011" s="368"/>
    </row>
    <row r="8012" spans="1:6" x14ac:dyDescent="0.2">
      <c r="A8012" s="391">
        <v>98683</v>
      </c>
      <c r="B8012" s="478" t="s">
        <v>41844</v>
      </c>
      <c r="C8012" s="391" t="s">
        <v>255</v>
      </c>
      <c r="D8012" s="479">
        <v>0</v>
      </c>
      <c r="E8012" s="368"/>
      <c r="F8012" s="368"/>
    </row>
    <row r="8013" spans="1:6" ht="25.5" x14ac:dyDescent="0.2">
      <c r="A8013" s="391">
        <v>101094</v>
      </c>
      <c r="B8013" s="478" t="s">
        <v>4758</v>
      </c>
      <c r="C8013" s="391" t="s">
        <v>0</v>
      </c>
      <c r="D8013" s="479">
        <v>169.09</v>
      </c>
      <c r="E8013" s="368"/>
      <c r="F8013" s="368"/>
    </row>
    <row r="8014" spans="1:6" ht="25.5" x14ac:dyDescent="0.2">
      <c r="A8014" s="391">
        <v>101095</v>
      </c>
      <c r="B8014" s="478" t="s">
        <v>41845</v>
      </c>
      <c r="C8014" s="391" t="s">
        <v>0</v>
      </c>
      <c r="D8014" s="479">
        <v>0</v>
      </c>
      <c r="E8014" s="368"/>
      <c r="F8014" s="368"/>
    </row>
    <row r="8015" spans="1:6" ht="25.5" x14ac:dyDescent="0.2">
      <c r="A8015" s="391">
        <v>101728</v>
      </c>
      <c r="B8015" s="478" t="s">
        <v>41846</v>
      </c>
      <c r="C8015" s="391" t="s">
        <v>255</v>
      </c>
      <c r="D8015" s="479">
        <v>0</v>
      </c>
      <c r="E8015" s="368"/>
      <c r="F8015" s="368"/>
    </row>
    <row r="8016" spans="1:6" ht="25.5" x14ac:dyDescent="0.2">
      <c r="A8016" s="391">
        <v>101727</v>
      </c>
      <c r="B8016" s="478" t="s">
        <v>4759</v>
      </c>
      <c r="C8016" s="391" t="s">
        <v>255</v>
      </c>
      <c r="D8016" s="479">
        <v>197.88</v>
      </c>
      <c r="E8016" s="368"/>
      <c r="F8016" s="368"/>
    </row>
    <row r="8017" spans="1:6" x14ac:dyDescent="0.2">
      <c r="A8017" s="391">
        <v>101748</v>
      </c>
      <c r="B8017" s="478" t="s">
        <v>4765</v>
      </c>
      <c r="C8017" s="391" t="s">
        <v>255</v>
      </c>
      <c r="D8017" s="479">
        <v>3.55</v>
      </c>
      <c r="E8017" s="368"/>
      <c r="F8017" s="368"/>
    </row>
    <row r="8018" spans="1:6" ht="25.5" x14ac:dyDescent="0.2">
      <c r="A8018" s="391">
        <v>101742</v>
      </c>
      <c r="B8018" s="478" t="s">
        <v>4843</v>
      </c>
      <c r="C8018" s="391" t="s">
        <v>0</v>
      </c>
      <c r="D8018" s="479">
        <v>60.11</v>
      </c>
      <c r="E8018" s="368"/>
      <c r="F8018" s="368"/>
    </row>
    <row r="8019" spans="1:6" x14ac:dyDescent="0.2">
      <c r="A8019" s="391">
        <v>101740</v>
      </c>
      <c r="B8019" s="478" t="s">
        <v>4773</v>
      </c>
      <c r="C8019" s="391" t="s">
        <v>0</v>
      </c>
      <c r="D8019" s="479">
        <v>51.14</v>
      </c>
      <c r="E8019" s="368"/>
      <c r="F8019" s="368"/>
    </row>
    <row r="8020" spans="1:6" x14ac:dyDescent="0.2">
      <c r="A8020" s="391">
        <v>98685</v>
      </c>
      <c r="B8020" s="480" t="s">
        <v>4749</v>
      </c>
      <c r="C8020" s="391" t="s">
        <v>0</v>
      </c>
      <c r="D8020" s="479">
        <v>68.09</v>
      </c>
      <c r="E8020" s="368"/>
      <c r="F8020" s="368"/>
    </row>
    <row r="8021" spans="1:6" x14ac:dyDescent="0.2">
      <c r="A8021" s="391">
        <v>98686</v>
      </c>
      <c r="B8021" s="478" t="s">
        <v>4750</v>
      </c>
      <c r="C8021" s="391" t="s">
        <v>0</v>
      </c>
      <c r="D8021" s="479">
        <v>43.58</v>
      </c>
      <c r="E8021" s="368"/>
      <c r="F8021" s="368"/>
    </row>
    <row r="8022" spans="1:6" ht="25.5" x14ac:dyDescent="0.2">
      <c r="A8022" s="391">
        <v>101739</v>
      </c>
      <c r="B8022" s="478" t="s">
        <v>4772</v>
      </c>
      <c r="C8022" s="391" t="s">
        <v>0</v>
      </c>
      <c r="D8022" s="479">
        <v>43.9</v>
      </c>
      <c r="E8022" s="368"/>
      <c r="F8022" s="368"/>
    </row>
    <row r="8023" spans="1:6" x14ac:dyDescent="0.2">
      <c r="A8023" s="391">
        <v>101738</v>
      </c>
      <c r="B8023" s="478" t="s">
        <v>4771</v>
      </c>
      <c r="C8023" s="391" t="s">
        <v>0</v>
      </c>
      <c r="D8023" s="479">
        <v>40.700000000000003</v>
      </c>
      <c r="E8023" s="368"/>
      <c r="F8023" s="368"/>
    </row>
    <row r="8024" spans="1:6" x14ac:dyDescent="0.2">
      <c r="A8024" s="391">
        <v>101741</v>
      </c>
      <c r="B8024" s="478" t="s">
        <v>4774</v>
      </c>
      <c r="C8024" s="391" t="s">
        <v>0</v>
      </c>
      <c r="D8024" s="479">
        <v>23.54</v>
      </c>
      <c r="E8024" s="368"/>
      <c r="F8024" s="368"/>
    </row>
    <row r="8025" spans="1:6" x14ac:dyDescent="0.2">
      <c r="A8025" s="391">
        <v>98697</v>
      </c>
      <c r="B8025" s="478" t="s">
        <v>4770</v>
      </c>
      <c r="C8025" s="391" t="s">
        <v>0</v>
      </c>
      <c r="D8025" s="479">
        <v>65.64</v>
      </c>
      <c r="E8025" s="368"/>
      <c r="F8025" s="368"/>
    </row>
    <row r="8026" spans="1:6" x14ac:dyDescent="0.2">
      <c r="A8026" s="391">
        <v>98688</v>
      </c>
      <c r="B8026" s="478" t="s">
        <v>4751</v>
      </c>
      <c r="C8026" s="391" t="s">
        <v>0</v>
      </c>
      <c r="D8026" s="479">
        <v>67.89</v>
      </c>
      <c r="E8026" s="368"/>
      <c r="F8026" s="368"/>
    </row>
    <row r="8027" spans="1:6" x14ac:dyDescent="0.2">
      <c r="A8027" s="391">
        <v>98687</v>
      </c>
      <c r="B8027" s="478" t="s">
        <v>41847</v>
      </c>
      <c r="C8027" s="391" t="s">
        <v>0</v>
      </c>
      <c r="D8027" s="479">
        <v>0</v>
      </c>
      <c r="E8027" s="368"/>
      <c r="F8027" s="368"/>
    </row>
    <row r="8028" spans="1:6" x14ac:dyDescent="0.2">
      <c r="A8028" s="391">
        <v>98689</v>
      </c>
      <c r="B8028" s="478" t="s">
        <v>4752</v>
      </c>
      <c r="C8028" s="391" t="s">
        <v>0</v>
      </c>
      <c r="D8028" s="479">
        <v>97.19</v>
      </c>
      <c r="E8028" s="368"/>
      <c r="F8028" s="368"/>
    </row>
    <row r="8029" spans="1:6" x14ac:dyDescent="0.2">
      <c r="A8029" s="391">
        <v>98695</v>
      </c>
      <c r="B8029" s="478" t="s">
        <v>4769</v>
      </c>
      <c r="C8029" s="391" t="s">
        <v>0</v>
      </c>
      <c r="D8029" s="479">
        <v>99.29</v>
      </c>
      <c r="E8029" s="368"/>
      <c r="F8029" s="368"/>
    </row>
    <row r="8030" spans="1:6" ht="38.25" x14ac:dyDescent="0.2">
      <c r="A8030" s="391">
        <v>100606</v>
      </c>
      <c r="B8030" s="478" t="s">
        <v>48038</v>
      </c>
      <c r="C8030" s="391" t="s">
        <v>26</v>
      </c>
      <c r="D8030" s="479">
        <v>1586.73</v>
      </c>
      <c r="E8030" s="368"/>
      <c r="F8030" s="368"/>
    </row>
    <row r="8031" spans="1:6" ht="38.25" x14ac:dyDescent="0.2">
      <c r="A8031" s="391">
        <v>100604</v>
      </c>
      <c r="B8031" s="480" t="s">
        <v>48039</v>
      </c>
      <c r="C8031" s="391" t="s">
        <v>26</v>
      </c>
      <c r="D8031" s="479">
        <v>741.64</v>
      </c>
      <c r="E8031" s="368"/>
      <c r="F8031" s="368"/>
    </row>
    <row r="8032" spans="1:6" ht="38.25" x14ac:dyDescent="0.2">
      <c r="A8032" s="391">
        <v>100605</v>
      </c>
      <c r="B8032" s="478" t="s">
        <v>48040</v>
      </c>
      <c r="C8032" s="391" t="s">
        <v>26</v>
      </c>
      <c r="D8032" s="479">
        <v>1090.5</v>
      </c>
      <c r="E8032" s="368"/>
      <c r="F8032" s="368"/>
    </row>
    <row r="8033" spans="1:6" ht="38.25" x14ac:dyDescent="0.2">
      <c r="A8033" s="391">
        <v>100580</v>
      </c>
      <c r="B8033" s="478" t="s">
        <v>48041</v>
      </c>
      <c r="C8033" s="391" t="s">
        <v>26</v>
      </c>
      <c r="D8033" s="479">
        <v>675.16</v>
      </c>
      <c r="E8033" s="368"/>
      <c r="F8033" s="368"/>
    </row>
    <row r="8034" spans="1:6" ht="38.25" x14ac:dyDescent="0.2">
      <c r="A8034" s="391">
        <v>100579</v>
      </c>
      <c r="B8034" s="478" t="s">
        <v>48042</v>
      </c>
      <c r="C8034" s="391" t="s">
        <v>26</v>
      </c>
      <c r="D8034" s="479">
        <v>631.89</v>
      </c>
      <c r="E8034" s="368"/>
      <c r="F8034" s="368"/>
    </row>
    <row r="8035" spans="1:6" ht="51" x14ac:dyDescent="0.2">
      <c r="A8035" s="391">
        <v>100609</v>
      </c>
      <c r="B8035" s="478" t="s">
        <v>48043</v>
      </c>
      <c r="C8035" s="391" t="s">
        <v>26</v>
      </c>
      <c r="D8035" s="479">
        <v>1616.11</v>
      </c>
      <c r="E8035" s="368"/>
      <c r="F8035" s="368"/>
    </row>
    <row r="8036" spans="1:6" ht="51" x14ac:dyDescent="0.2">
      <c r="A8036" s="391">
        <v>100607</v>
      </c>
      <c r="B8036" s="478" t="s">
        <v>48044</v>
      </c>
      <c r="C8036" s="391" t="s">
        <v>26</v>
      </c>
      <c r="D8036" s="479">
        <v>761.15</v>
      </c>
      <c r="E8036" s="368"/>
      <c r="F8036" s="368"/>
    </row>
    <row r="8037" spans="1:6" ht="51" x14ac:dyDescent="0.2">
      <c r="A8037" s="391">
        <v>100608</v>
      </c>
      <c r="B8037" s="478" t="s">
        <v>48045</v>
      </c>
      <c r="C8037" s="391" t="s">
        <v>26</v>
      </c>
      <c r="D8037" s="479">
        <v>1113.6500000000001</v>
      </c>
      <c r="E8037" s="368"/>
      <c r="F8037" s="368"/>
    </row>
    <row r="8038" spans="1:6" ht="38.25" x14ac:dyDescent="0.2">
      <c r="A8038" s="391">
        <v>100582</v>
      </c>
      <c r="B8038" s="478" t="s">
        <v>48046</v>
      </c>
      <c r="C8038" s="391" t="s">
        <v>26</v>
      </c>
      <c r="D8038" s="479">
        <v>732.78</v>
      </c>
      <c r="E8038" s="368"/>
      <c r="F8038" s="368"/>
    </row>
    <row r="8039" spans="1:6" ht="38.25" x14ac:dyDescent="0.2">
      <c r="A8039" s="391">
        <v>100581</v>
      </c>
      <c r="B8039" s="478" t="s">
        <v>48047</v>
      </c>
      <c r="C8039" s="391" t="s">
        <v>26</v>
      </c>
      <c r="D8039" s="479">
        <v>656.24</v>
      </c>
      <c r="E8039" s="368"/>
      <c r="F8039" s="368"/>
    </row>
    <row r="8040" spans="1:6" ht="38.25" x14ac:dyDescent="0.2">
      <c r="A8040" s="391">
        <v>100613</v>
      </c>
      <c r="B8040" s="478" t="s">
        <v>48048</v>
      </c>
      <c r="C8040" s="391" t="s">
        <v>26</v>
      </c>
      <c r="D8040" s="479">
        <v>1645.29</v>
      </c>
      <c r="E8040" s="368"/>
      <c r="F8040" s="368"/>
    </row>
    <row r="8041" spans="1:6" ht="38.25" x14ac:dyDescent="0.2">
      <c r="A8041" s="391">
        <v>100610</v>
      </c>
      <c r="B8041" s="478" t="s">
        <v>48049</v>
      </c>
      <c r="C8041" s="391" t="s">
        <v>26</v>
      </c>
      <c r="D8041" s="479">
        <v>780.3</v>
      </c>
      <c r="E8041" s="368"/>
      <c r="F8041" s="368"/>
    </row>
    <row r="8042" spans="1:6" ht="38.25" x14ac:dyDescent="0.2">
      <c r="A8042" s="391">
        <v>100611</v>
      </c>
      <c r="B8042" s="478" t="s">
        <v>48050</v>
      </c>
      <c r="C8042" s="391" t="s">
        <v>26</v>
      </c>
      <c r="D8042" s="479">
        <v>938.58</v>
      </c>
      <c r="E8042" s="368"/>
      <c r="F8042" s="368"/>
    </row>
    <row r="8043" spans="1:6" ht="38.25" x14ac:dyDescent="0.2">
      <c r="A8043" s="391">
        <v>100612</v>
      </c>
      <c r="B8043" s="478" t="s">
        <v>48051</v>
      </c>
      <c r="C8043" s="391" t="s">
        <v>26</v>
      </c>
      <c r="D8043" s="479">
        <v>1136.43</v>
      </c>
      <c r="E8043" s="368"/>
      <c r="F8043" s="368"/>
    </row>
    <row r="8044" spans="1:6" ht="38.25" x14ac:dyDescent="0.2">
      <c r="A8044" s="391">
        <v>100584</v>
      </c>
      <c r="B8044" s="478" t="s">
        <v>48052</v>
      </c>
      <c r="C8044" s="391" t="s">
        <v>26</v>
      </c>
      <c r="D8044" s="479">
        <v>728.83</v>
      </c>
      <c r="E8044" s="368"/>
      <c r="F8044" s="368"/>
    </row>
    <row r="8045" spans="1:6" ht="38.25" x14ac:dyDescent="0.2">
      <c r="A8045" s="391">
        <v>100583</v>
      </c>
      <c r="B8045" s="478" t="s">
        <v>48053</v>
      </c>
      <c r="C8045" s="391" t="s">
        <v>26</v>
      </c>
      <c r="D8045" s="479">
        <v>681.92</v>
      </c>
      <c r="E8045" s="368"/>
      <c r="F8045" s="368"/>
    </row>
    <row r="8046" spans="1:6" ht="38.25" x14ac:dyDescent="0.2">
      <c r="A8046" s="391">
        <v>100616</v>
      </c>
      <c r="B8046" s="478" t="s">
        <v>48054</v>
      </c>
      <c r="C8046" s="391" t="s">
        <v>26</v>
      </c>
      <c r="D8046" s="479">
        <v>1706.17</v>
      </c>
      <c r="E8046" s="368"/>
      <c r="F8046" s="368"/>
    </row>
    <row r="8047" spans="1:6" ht="38.25" x14ac:dyDescent="0.2">
      <c r="A8047" s="391">
        <v>100614</v>
      </c>
      <c r="B8047" s="478" t="s">
        <v>48055</v>
      </c>
      <c r="C8047" s="391" t="s">
        <v>26</v>
      </c>
      <c r="D8047" s="479">
        <v>980</v>
      </c>
      <c r="E8047" s="368"/>
      <c r="F8047" s="368"/>
    </row>
    <row r="8048" spans="1:6" ht="38.25" x14ac:dyDescent="0.2">
      <c r="A8048" s="391">
        <v>100615</v>
      </c>
      <c r="B8048" s="478" t="s">
        <v>48056</v>
      </c>
      <c r="C8048" s="391" t="s">
        <v>26</v>
      </c>
      <c r="D8048" s="479">
        <v>1181.8900000000001</v>
      </c>
      <c r="E8048" s="368"/>
      <c r="F8048" s="368"/>
    </row>
    <row r="8049" spans="1:6" ht="38.25" x14ac:dyDescent="0.2">
      <c r="A8049" s="391">
        <v>100586</v>
      </c>
      <c r="B8049" s="478" t="s">
        <v>48057</v>
      </c>
      <c r="C8049" s="391" t="s">
        <v>26</v>
      </c>
      <c r="D8049" s="479">
        <v>807.2</v>
      </c>
      <c r="E8049" s="368"/>
      <c r="F8049" s="368"/>
    </row>
    <row r="8050" spans="1:6" ht="38.25" x14ac:dyDescent="0.2">
      <c r="A8050" s="391">
        <v>100585</v>
      </c>
      <c r="B8050" s="478" t="s">
        <v>48058</v>
      </c>
      <c r="C8050" s="391" t="s">
        <v>26</v>
      </c>
      <c r="D8050" s="479">
        <v>732.1</v>
      </c>
      <c r="E8050" s="368"/>
      <c r="F8050" s="368"/>
    </row>
    <row r="8051" spans="1:6" ht="51" x14ac:dyDescent="0.2">
      <c r="A8051" s="391">
        <v>100618</v>
      </c>
      <c r="B8051" s="478" t="s">
        <v>48059</v>
      </c>
      <c r="C8051" s="391" t="s">
        <v>26</v>
      </c>
      <c r="D8051" s="479">
        <v>1772.14</v>
      </c>
      <c r="E8051" s="368"/>
      <c r="F8051" s="368"/>
    </row>
    <row r="8052" spans="1:6" ht="38.25" x14ac:dyDescent="0.2">
      <c r="A8052" s="391">
        <v>100617</v>
      </c>
      <c r="B8052" s="478" t="s">
        <v>48060</v>
      </c>
      <c r="C8052" s="391" t="s">
        <v>26</v>
      </c>
      <c r="D8052" s="479">
        <v>1227.25</v>
      </c>
      <c r="E8052" s="368"/>
      <c r="F8052" s="368"/>
    </row>
    <row r="8053" spans="1:6" ht="38.25" x14ac:dyDescent="0.2">
      <c r="A8053" s="391">
        <v>100588</v>
      </c>
      <c r="B8053" s="478" t="s">
        <v>48061</v>
      </c>
      <c r="C8053" s="391" t="s">
        <v>26</v>
      </c>
      <c r="D8053" s="479">
        <v>842.1</v>
      </c>
      <c r="E8053" s="368"/>
      <c r="F8053" s="368"/>
    </row>
    <row r="8054" spans="1:6" ht="38.25" x14ac:dyDescent="0.2">
      <c r="A8054" s="391">
        <v>100587</v>
      </c>
      <c r="B8054" s="478" t="s">
        <v>48062</v>
      </c>
      <c r="C8054" s="391" t="s">
        <v>26</v>
      </c>
      <c r="D8054" s="479">
        <v>783.86</v>
      </c>
      <c r="E8054" s="368"/>
      <c r="F8054" s="368"/>
    </row>
    <row r="8055" spans="1:6" ht="38.25" x14ac:dyDescent="0.2">
      <c r="A8055" s="391">
        <v>100590</v>
      </c>
      <c r="B8055" s="478" t="s">
        <v>48063</v>
      </c>
      <c r="C8055" s="391" t="s">
        <v>26</v>
      </c>
      <c r="D8055" s="479">
        <v>905.8</v>
      </c>
      <c r="E8055" s="368"/>
      <c r="F8055" s="368"/>
    </row>
    <row r="8056" spans="1:6" ht="38.25" x14ac:dyDescent="0.2">
      <c r="A8056" s="391">
        <v>100589</v>
      </c>
      <c r="B8056" s="478" t="s">
        <v>48064</v>
      </c>
      <c r="C8056" s="391" t="s">
        <v>26</v>
      </c>
      <c r="D8056" s="479">
        <v>848.2</v>
      </c>
      <c r="E8056" s="368"/>
      <c r="F8056" s="368"/>
    </row>
    <row r="8057" spans="1:6" ht="38.25" x14ac:dyDescent="0.2">
      <c r="A8057" s="391">
        <v>100592</v>
      </c>
      <c r="B8057" s="478" t="s">
        <v>48065</v>
      </c>
      <c r="C8057" s="391" t="s">
        <v>26</v>
      </c>
      <c r="D8057" s="479">
        <v>898.7</v>
      </c>
      <c r="E8057" s="368"/>
      <c r="F8057" s="368"/>
    </row>
    <row r="8058" spans="1:6" ht="38.25" x14ac:dyDescent="0.2">
      <c r="A8058" s="391">
        <v>100591</v>
      </c>
      <c r="B8058" s="478" t="s">
        <v>48066</v>
      </c>
      <c r="C8058" s="391" t="s">
        <v>26</v>
      </c>
      <c r="D8058" s="479">
        <v>836.62</v>
      </c>
      <c r="E8058" s="368"/>
      <c r="F8058" s="368"/>
    </row>
    <row r="8059" spans="1:6" ht="38.25" x14ac:dyDescent="0.2">
      <c r="A8059" s="391">
        <v>100594</v>
      </c>
      <c r="B8059" s="478" t="s">
        <v>48067</v>
      </c>
      <c r="C8059" s="391" t="s">
        <v>26</v>
      </c>
      <c r="D8059" s="479">
        <v>986.48</v>
      </c>
      <c r="E8059" s="368"/>
      <c r="F8059" s="368"/>
    </row>
    <row r="8060" spans="1:6" ht="38.25" x14ac:dyDescent="0.2">
      <c r="A8060" s="391">
        <v>100593</v>
      </c>
      <c r="B8060" s="478" t="s">
        <v>48068</v>
      </c>
      <c r="C8060" s="391" t="s">
        <v>26</v>
      </c>
      <c r="D8060" s="479">
        <v>905.07</v>
      </c>
      <c r="E8060" s="368"/>
      <c r="F8060" s="368"/>
    </row>
    <row r="8061" spans="1:6" ht="38.25" x14ac:dyDescent="0.2">
      <c r="A8061" s="391">
        <v>100596</v>
      </c>
      <c r="B8061" s="478" t="s">
        <v>48069</v>
      </c>
      <c r="C8061" s="391" t="s">
        <v>26</v>
      </c>
      <c r="D8061" s="479">
        <v>1178.25</v>
      </c>
      <c r="E8061" s="368"/>
      <c r="F8061" s="368"/>
    </row>
    <row r="8062" spans="1:6" ht="38.25" x14ac:dyDescent="0.2">
      <c r="A8062" s="391">
        <v>100595</v>
      </c>
      <c r="B8062" s="478" t="s">
        <v>48070</v>
      </c>
      <c r="C8062" s="391" t="s">
        <v>26</v>
      </c>
      <c r="D8062" s="479">
        <v>1067.96</v>
      </c>
      <c r="E8062" s="368"/>
      <c r="F8062" s="368"/>
    </row>
    <row r="8063" spans="1:6" ht="38.25" x14ac:dyDescent="0.2">
      <c r="A8063" s="391">
        <v>100598</v>
      </c>
      <c r="B8063" s="478" t="s">
        <v>48071</v>
      </c>
      <c r="C8063" s="391" t="s">
        <v>26</v>
      </c>
      <c r="D8063" s="479">
        <v>1305.21</v>
      </c>
      <c r="E8063" s="368"/>
      <c r="F8063" s="368"/>
    </row>
    <row r="8064" spans="1:6" ht="38.25" x14ac:dyDescent="0.2">
      <c r="A8064" s="391">
        <v>100597</v>
      </c>
      <c r="B8064" s="478" t="s">
        <v>48072</v>
      </c>
      <c r="C8064" s="391" t="s">
        <v>26</v>
      </c>
      <c r="D8064" s="479">
        <v>1214.05</v>
      </c>
      <c r="E8064" s="368"/>
      <c r="F8064" s="368"/>
    </row>
    <row r="8065" spans="1:6" ht="38.25" x14ac:dyDescent="0.2">
      <c r="A8065" s="391">
        <v>100603</v>
      </c>
      <c r="B8065" s="478" t="s">
        <v>48073</v>
      </c>
      <c r="C8065" s="391" t="s">
        <v>26</v>
      </c>
      <c r="D8065" s="479">
        <v>1531.07</v>
      </c>
      <c r="E8065" s="368"/>
      <c r="F8065" s="368"/>
    </row>
    <row r="8066" spans="1:6" ht="38.25" x14ac:dyDescent="0.2">
      <c r="A8066" s="391">
        <v>100599</v>
      </c>
      <c r="B8066" s="478" t="s">
        <v>48074</v>
      </c>
      <c r="C8066" s="391" t="s">
        <v>26</v>
      </c>
      <c r="D8066" s="479">
        <v>612.62</v>
      </c>
      <c r="E8066" s="368"/>
      <c r="F8066" s="368"/>
    </row>
    <row r="8067" spans="1:6" ht="38.25" x14ac:dyDescent="0.2">
      <c r="A8067" s="391">
        <v>100600</v>
      </c>
      <c r="B8067" s="478" t="s">
        <v>48075</v>
      </c>
      <c r="C8067" s="391" t="s">
        <v>26</v>
      </c>
      <c r="D8067" s="479">
        <v>701.96</v>
      </c>
      <c r="E8067" s="368"/>
      <c r="F8067" s="368"/>
    </row>
    <row r="8068" spans="1:6" ht="38.25" x14ac:dyDescent="0.2">
      <c r="A8068" s="391">
        <v>100601</v>
      </c>
      <c r="B8068" s="478" t="s">
        <v>48076</v>
      </c>
      <c r="C8068" s="391" t="s">
        <v>26</v>
      </c>
      <c r="D8068" s="479">
        <v>853.78</v>
      </c>
      <c r="E8068" s="368"/>
      <c r="F8068" s="368"/>
    </row>
    <row r="8069" spans="1:6" ht="38.25" x14ac:dyDescent="0.2">
      <c r="A8069" s="391">
        <v>100602</v>
      </c>
      <c r="B8069" s="478" t="s">
        <v>48077</v>
      </c>
      <c r="C8069" s="391" t="s">
        <v>26</v>
      </c>
      <c r="D8069" s="479">
        <v>1043.55</v>
      </c>
      <c r="E8069" s="368"/>
      <c r="F8069" s="368"/>
    </row>
    <row r="8070" spans="1:6" ht="38.25" x14ac:dyDescent="0.2">
      <c r="A8070" s="391">
        <v>100578</v>
      </c>
      <c r="B8070" s="478" t="s">
        <v>48078</v>
      </c>
      <c r="C8070" s="391" t="s">
        <v>26</v>
      </c>
      <c r="D8070" s="479">
        <v>583.02</v>
      </c>
      <c r="E8070" s="368"/>
      <c r="F8070" s="368"/>
    </row>
    <row r="8071" spans="1:6" ht="25.5" x14ac:dyDescent="0.2">
      <c r="A8071" s="391">
        <v>105975</v>
      </c>
      <c r="B8071" s="478" t="s">
        <v>48079</v>
      </c>
      <c r="C8071" s="391" t="s">
        <v>0</v>
      </c>
      <c r="D8071" s="479">
        <v>0</v>
      </c>
      <c r="E8071" s="368"/>
      <c r="F8071" s="368"/>
    </row>
    <row r="8072" spans="1:6" ht="25.5" x14ac:dyDescent="0.2">
      <c r="A8072" s="391">
        <v>105976</v>
      </c>
      <c r="B8072" s="478" t="s">
        <v>48080</v>
      </c>
      <c r="C8072" s="391" t="s">
        <v>0</v>
      </c>
      <c r="D8072" s="479">
        <v>0</v>
      </c>
      <c r="E8072" s="368"/>
      <c r="F8072" s="368"/>
    </row>
    <row r="8073" spans="1:6" ht="25.5" x14ac:dyDescent="0.2">
      <c r="A8073" s="391">
        <v>105977</v>
      </c>
      <c r="B8073" s="478" t="s">
        <v>48081</v>
      </c>
      <c r="C8073" s="391" t="s">
        <v>0</v>
      </c>
      <c r="D8073" s="479">
        <v>0</v>
      </c>
      <c r="E8073" s="368"/>
      <c r="F8073" s="368"/>
    </row>
    <row r="8074" spans="1:6" ht="25.5" x14ac:dyDescent="0.2">
      <c r="A8074" s="391">
        <v>105978</v>
      </c>
      <c r="B8074" s="478" t="s">
        <v>48082</v>
      </c>
      <c r="C8074" s="391" t="s">
        <v>0</v>
      </c>
      <c r="D8074" s="479">
        <v>0</v>
      </c>
      <c r="E8074" s="368"/>
      <c r="F8074" s="368"/>
    </row>
    <row r="8075" spans="1:6" ht="25.5" x14ac:dyDescent="0.2">
      <c r="A8075" s="391">
        <v>105970</v>
      </c>
      <c r="B8075" s="478" t="s">
        <v>48083</v>
      </c>
      <c r="C8075" s="391" t="s">
        <v>26</v>
      </c>
      <c r="D8075" s="479">
        <v>0</v>
      </c>
      <c r="E8075" s="368"/>
      <c r="F8075" s="368"/>
    </row>
    <row r="8076" spans="1:6" ht="25.5" x14ac:dyDescent="0.2">
      <c r="A8076" s="391">
        <v>105972</v>
      </c>
      <c r="B8076" s="478" t="s">
        <v>48084</v>
      </c>
      <c r="C8076" s="391" t="s">
        <v>26</v>
      </c>
      <c r="D8076" s="479">
        <v>0</v>
      </c>
      <c r="E8076" s="368"/>
      <c r="F8076" s="368"/>
    </row>
    <row r="8077" spans="1:6" ht="25.5" x14ac:dyDescent="0.2">
      <c r="A8077" s="391">
        <v>105973</v>
      </c>
      <c r="B8077" s="478" t="s">
        <v>48085</v>
      </c>
      <c r="C8077" s="391" t="s">
        <v>26</v>
      </c>
      <c r="D8077" s="479">
        <v>0</v>
      </c>
      <c r="E8077" s="368"/>
      <c r="F8077" s="368"/>
    </row>
    <row r="8078" spans="1:6" ht="25.5" x14ac:dyDescent="0.2">
      <c r="A8078" s="391">
        <v>105974</v>
      </c>
      <c r="B8078" s="478" t="s">
        <v>48086</v>
      </c>
      <c r="C8078" s="391" t="s">
        <v>26</v>
      </c>
      <c r="D8078" s="479">
        <v>0</v>
      </c>
      <c r="E8078" s="368"/>
      <c r="F8078" s="368"/>
    </row>
    <row r="8079" spans="1:6" ht="25.5" x14ac:dyDescent="0.2">
      <c r="A8079" s="391">
        <v>105971</v>
      </c>
      <c r="B8079" s="478" t="s">
        <v>48087</v>
      </c>
      <c r="C8079" s="391" t="s">
        <v>26</v>
      </c>
      <c r="D8079" s="479">
        <v>0</v>
      </c>
      <c r="E8079" s="368"/>
      <c r="F8079" s="368"/>
    </row>
    <row r="8080" spans="1:6" ht="25.5" x14ac:dyDescent="0.2">
      <c r="A8080" s="391">
        <v>105967</v>
      </c>
      <c r="B8080" s="478" t="s">
        <v>48088</v>
      </c>
      <c r="C8080" s="391" t="s">
        <v>26</v>
      </c>
      <c r="D8080" s="479">
        <v>0</v>
      </c>
      <c r="E8080" s="368"/>
      <c r="F8080" s="368"/>
    </row>
    <row r="8081" spans="1:6" ht="25.5" x14ac:dyDescent="0.2">
      <c r="A8081" s="391">
        <v>105968</v>
      </c>
      <c r="B8081" s="478" t="s">
        <v>48089</v>
      </c>
      <c r="C8081" s="391" t="s">
        <v>26</v>
      </c>
      <c r="D8081" s="479">
        <v>0</v>
      </c>
      <c r="E8081" s="368"/>
      <c r="F8081" s="368"/>
    </row>
    <row r="8082" spans="1:6" ht="25.5" x14ac:dyDescent="0.2">
      <c r="A8082" s="391">
        <v>105969</v>
      </c>
      <c r="B8082" s="478" t="s">
        <v>48090</v>
      </c>
      <c r="C8082" s="391" t="s">
        <v>26</v>
      </c>
      <c r="D8082" s="479">
        <v>0</v>
      </c>
      <c r="E8082" s="368"/>
      <c r="F8082" s="368"/>
    </row>
    <row r="8083" spans="1:6" ht="25.5" x14ac:dyDescent="0.2">
      <c r="A8083" s="391">
        <v>100623</v>
      </c>
      <c r="B8083" s="478" t="s">
        <v>48091</v>
      </c>
      <c r="C8083" s="391" t="s">
        <v>26</v>
      </c>
      <c r="D8083" s="479">
        <v>2216.0300000000002</v>
      </c>
      <c r="E8083" s="368"/>
      <c r="F8083" s="368"/>
    </row>
    <row r="8084" spans="1:6" ht="25.5" x14ac:dyDescent="0.2">
      <c r="A8084" s="391">
        <v>105964</v>
      </c>
      <c r="B8084" s="478" t="s">
        <v>48092</v>
      </c>
      <c r="C8084" s="391" t="s">
        <v>26</v>
      </c>
      <c r="D8084" s="479">
        <v>0</v>
      </c>
      <c r="E8084" s="368"/>
      <c r="F8084" s="368"/>
    </row>
    <row r="8085" spans="1:6" ht="25.5" x14ac:dyDescent="0.2">
      <c r="A8085" s="391">
        <v>105965</v>
      </c>
      <c r="B8085" s="478" t="s">
        <v>48093</v>
      </c>
      <c r="C8085" s="391" t="s">
        <v>26</v>
      </c>
      <c r="D8085" s="479">
        <v>0</v>
      </c>
      <c r="E8085" s="368"/>
      <c r="F8085" s="368"/>
    </row>
    <row r="8086" spans="1:6" ht="25.5" x14ac:dyDescent="0.2">
      <c r="A8086" s="391">
        <v>105966</v>
      </c>
      <c r="B8086" s="478" t="s">
        <v>48094</v>
      </c>
      <c r="C8086" s="391" t="s">
        <v>26</v>
      </c>
      <c r="D8086" s="479">
        <v>0</v>
      </c>
      <c r="E8086" s="368"/>
      <c r="F8086" s="368"/>
    </row>
    <row r="8087" spans="1:6" ht="25.5" x14ac:dyDescent="0.2">
      <c r="A8087" s="391">
        <v>100621</v>
      </c>
      <c r="B8087" s="478" t="s">
        <v>48095</v>
      </c>
      <c r="C8087" s="391" t="s">
        <v>26</v>
      </c>
      <c r="D8087" s="479">
        <v>2848.68</v>
      </c>
      <c r="E8087" s="368"/>
      <c r="F8087" s="368"/>
    </row>
    <row r="8088" spans="1:6" ht="25.5" x14ac:dyDescent="0.2">
      <c r="A8088" s="391">
        <v>105960</v>
      </c>
      <c r="B8088" s="478" t="s">
        <v>48096</v>
      </c>
      <c r="C8088" s="391" t="s">
        <v>26</v>
      </c>
      <c r="D8088" s="479">
        <v>0</v>
      </c>
      <c r="E8088" s="368"/>
      <c r="F8088" s="368"/>
    </row>
    <row r="8089" spans="1:6" ht="25.5" x14ac:dyDescent="0.2">
      <c r="A8089" s="391">
        <v>105961</v>
      </c>
      <c r="B8089" s="478" t="s">
        <v>48097</v>
      </c>
      <c r="C8089" s="391" t="s">
        <v>26</v>
      </c>
      <c r="D8089" s="479">
        <v>0</v>
      </c>
      <c r="E8089" s="368"/>
      <c r="F8089" s="368"/>
    </row>
    <row r="8090" spans="1:6" ht="25.5" x14ac:dyDescent="0.2">
      <c r="A8090" s="391">
        <v>105962</v>
      </c>
      <c r="B8090" s="478" t="s">
        <v>48098</v>
      </c>
      <c r="C8090" s="391" t="s">
        <v>26</v>
      </c>
      <c r="D8090" s="479">
        <v>0</v>
      </c>
      <c r="E8090" s="368"/>
      <c r="F8090" s="368"/>
    </row>
    <row r="8091" spans="1:6" ht="25.5" x14ac:dyDescent="0.2">
      <c r="A8091" s="391">
        <v>105963</v>
      </c>
      <c r="B8091" s="478" t="s">
        <v>48099</v>
      </c>
      <c r="C8091" s="391" t="s">
        <v>26</v>
      </c>
      <c r="D8091" s="479">
        <v>0</v>
      </c>
      <c r="E8091" s="368"/>
      <c r="F8091" s="368"/>
    </row>
    <row r="8092" spans="1:6" ht="25.5" x14ac:dyDescent="0.2">
      <c r="A8092" s="391">
        <v>100622</v>
      </c>
      <c r="B8092" s="478" t="s">
        <v>48100</v>
      </c>
      <c r="C8092" s="391" t="s">
        <v>26</v>
      </c>
      <c r="D8092" s="479">
        <v>2156.94</v>
      </c>
      <c r="E8092" s="368"/>
      <c r="F8092" s="368"/>
    </row>
    <row r="8093" spans="1:6" ht="25.5" x14ac:dyDescent="0.2">
      <c r="A8093" s="391">
        <v>105956</v>
      </c>
      <c r="B8093" s="478" t="s">
        <v>48101</v>
      </c>
      <c r="C8093" s="391" t="s">
        <v>26</v>
      </c>
      <c r="D8093" s="479">
        <v>0</v>
      </c>
      <c r="E8093" s="368"/>
      <c r="F8093" s="368"/>
    </row>
    <row r="8094" spans="1:6" ht="25.5" x14ac:dyDescent="0.2">
      <c r="A8094" s="391">
        <v>105957</v>
      </c>
      <c r="B8094" s="478" t="s">
        <v>48102</v>
      </c>
      <c r="C8094" s="391" t="s">
        <v>26</v>
      </c>
      <c r="D8094" s="479">
        <v>0</v>
      </c>
      <c r="E8094" s="368"/>
      <c r="F8094" s="368"/>
    </row>
    <row r="8095" spans="1:6" ht="25.5" x14ac:dyDescent="0.2">
      <c r="A8095" s="391">
        <v>105958</v>
      </c>
      <c r="B8095" s="478" t="s">
        <v>48103</v>
      </c>
      <c r="C8095" s="391" t="s">
        <v>26</v>
      </c>
      <c r="D8095" s="479">
        <v>2008.24</v>
      </c>
      <c r="E8095" s="368"/>
      <c r="F8095" s="368"/>
    </row>
    <row r="8096" spans="1:6" ht="25.5" x14ac:dyDescent="0.2">
      <c r="A8096" s="391">
        <v>105959</v>
      </c>
      <c r="B8096" s="478" t="s">
        <v>48104</v>
      </c>
      <c r="C8096" s="391" t="s">
        <v>26</v>
      </c>
      <c r="D8096" s="479">
        <v>0</v>
      </c>
      <c r="E8096" s="368"/>
      <c r="F8096" s="368"/>
    </row>
    <row r="8097" spans="1:6" ht="25.5" x14ac:dyDescent="0.2">
      <c r="A8097" s="391">
        <v>100620</v>
      </c>
      <c r="B8097" s="478" t="s">
        <v>48105</v>
      </c>
      <c r="C8097" s="391" t="s">
        <v>26</v>
      </c>
      <c r="D8097" s="479">
        <v>2562.33</v>
      </c>
      <c r="E8097" s="368"/>
      <c r="F8097" s="368"/>
    </row>
    <row r="8098" spans="1:6" ht="25.5" x14ac:dyDescent="0.2">
      <c r="A8098" s="391">
        <v>105951</v>
      </c>
      <c r="B8098" s="478" t="s">
        <v>48106</v>
      </c>
      <c r="C8098" s="391" t="s">
        <v>26</v>
      </c>
      <c r="D8098" s="479">
        <v>0</v>
      </c>
      <c r="E8098" s="368"/>
      <c r="F8098" s="368"/>
    </row>
    <row r="8099" spans="1:6" ht="25.5" x14ac:dyDescent="0.2">
      <c r="A8099" s="391">
        <v>105952</v>
      </c>
      <c r="B8099" s="478" t="s">
        <v>48107</v>
      </c>
      <c r="C8099" s="391" t="s">
        <v>26</v>
      </c>
      <c r="D8099" s="479">
        <v>0</v>
      </c>
      <c r="E8099" s="368"/>
      <c r="F8099" s="368"/>
    </row>
    <row r="8100" spans="1:6" ht="25.5" x14ac:dyDescent="0.2">
      <c r="A8100" s="391">
        <v>105953</v>
      </c>
      <c r="B8100" s="478" t="s">
        <v>48108</v>
      </c>
      <c r="C8100" s="391" t="s">
        <v>26</v>
      </c>
      <c r="D8100" s="479">
        <v>1681.95</v>
      </c>
      <c r="E8100" s="368"/>
      <c r="F8100" s="368"/>
    </row>
    <row r="8101" spans="1:6" ht="25.5" x14ac:dyDescent="0.2">
      <c r="A8101" s="391">
        <v>105954</v>
      </c>
      <c r="B8101" s="478" t="s">
        <v>48109</v>
      </c>
      <c r="C8101" s="391" t="s">
        <v>26</v>
      </c>
      <c r="D8101" s="479">
        <v>0</v>
      </c>
      <c r="E8101" s="368"/>
      <c r="F8101" s="368"/>
    </row>
    <row r="8102" spans="1:6" ht="25.5" x14ac:dyDescent="0.2">
      <c r="A8102" s="391">
        <v>105955</v>
      </c>
      <c r="B8102" s="478" t="s">
        <v>48110</v>
      </c>
      <c r="C8102" s="391" t="s">
        <v>26</v>
      </c>
      <c r="D8102" s="479">
        <v>2234.63</v>
      </c>
      <c r="E8102" s="368"/>
      <c r="F8102" s="368"/>
    </row>
    <row r="8103" spans="1:6" ht="25.5" x14ac:dyDescent="0.2">
      <c r="A8103" s="391">
        <v>105946</v>
      </c>
      <c r="B8103" s="478" t="s">
        <v>48111</v>
      </c>
      <c r="C8103" s="391" t="s">
        <v>26</v>
      </c>
      <c r="D8103" s="479">
        <v>0</v>
      </c>
      <c r="E8103" s="368"/>
      <c r="F8103" s="368"/>
    </row>
    <row r="8104" spans="1:6" ht="25.5" x14ac:dyDescent="0.2">
      <c r="A8104" s="391">
        <v>105947</v>
      </c>
      <c r="B8104" s="478" t="s">
        <v>48112</v>
      </c>
      <c r="C8104" s="391" t="s">
        <v>26</v>
      </c>
      <c r="D8104" s="479">
        <v>0</v>
      </c>
      <c r="E8104" s="368"/>
      <c r="F8104" s="368"/>
    </row>
    <row r="8105" spans="1:6" ht="25.5" x14ac:dyDescent="0.2">
      <c r="A8105" s="391">
        <v>105948</v>
      </c>
      <c r="B8105" s="478" t="s">
        <v>48113</v>
      </c>
      <c r="C8105" s="391" t="s">
        <v>26</v>
      </c>
      <c r="D8105" s="479">
        <v>0</v>
      </c>
      <c r="E8105" s="368"/>
      <c r="F8105" s="368"/>
    </row>
    <row r="8106" spans="1:6" ht="25.5" x14ac:dyDescent="0.2">
      <c r="A8106" s="391">
        <v>105949</v>
      </c>
      <c r="B8106" s="478" t="s">
        <v>48114</v>
      </c>
      <c r="C8106" s="391" t="s">
        <v>26</v>
      </c>
      <c r="D8106" s="479">
        <v>0</v>
      </c>
      <c r="E8106" s="368"/>
      <c r="F8106" s="368"/>
    </row>
    <row r="8107" spans="1:6" ht="25.5" x14ac:dyDescent="0.2">
      <c r="A8107" s="391">
        <v>105950</v>
      </c>
      <c r="B8107" s="478" t="s">
        <v>48115</v>
      </c>
      <c r="C8107" s="391" t="s">
        <v>26</v>
      </c>
      <c r="D8107" s="479">
        <v>0</v>
      </c>
      <c r="E8107" s="368"/>
      <c r="F8107" s="368"/>
    </row>
    <row r="8108" spans="1:6" ht="25.5" x14ac:dyDescent="0.2">
      <c r="A8108" s="391">
        <v>100619</v>
      </c>
      <c r="B8108" s="478" t="s">
        <v>48116</v>
      </c>
      <c r="C8108" s="391" t="s">
        <v>26</v>
      </c>
      <c r="D8108" s="479">
        <v>580.19000000000005</v>
      </c>
      <c r="E8108" s="368"/>
      <c r="F8108" s="368"/>
    </row>
    <row r="8109" spans="1:6" ht="38.25" x14ac:dyDescent="0.2">
      <c r="A8109" s="391">
        <v>99283</v>
      </c>
      <c r="B8109" s="478" t="s">
        <v>1436</v>
      </c>
      <c r="C8109" s="391" t="s">
        <v>0</v>
      </c>
      <c r="D8109" s="479">
        <v>1101.81</v>
      </c>
      <c r="E8109" s="368"/>
      <c r="F8109" s="368"/>
    </row>
    <row r="8110" spans="1:6" ht="38.25" x14ac:dyDescent="0.2">
      <c r="A8110" s="391">
        <v>99293</v>
      </c>
      <c r="B8110" s="478" t="s">
        <v>1440</v>
      </c>
      <c r="C8110" s="391" t="s">
        <v>0</v>
      </c>
      <c r="D8110" s="479">
        <v>1331.65</v>
      </c>
      <c r="E8110" s="368"/>
      <c r="F8110" s="368"/>
    </row>
    <row r="8111" spans="1:6" ht="38.25" x14ac:dyDescent="0.2">
      <c r="A8111" s="391">
        <v>99243</v>
      </c>
      <c r="B8111" s="478" t="s">
        <v>1422</v>
      </c>
      <c r="C8111" s="391" t="s">
        <v>0</v>
      </c>
      <c r="D8111" s="479">
        <v>1561.46</v>
      </c>
      <c r="E8111" s="368"/>
      <c r="F8111" s="368"/>
    </row>
    <row r="8112" spans="1:6" ht="38.25" x14ac:dyDescent="0.2">
      <c r="A8112" s="391">
        <v>99249</v>
      </c>
      <c r="B8112" s="478" t="s">
        <v>1425</v>
      </c>
      <c r="C8112" s="391" t="s">
        <v>0</v>
      </c>
      <c r="D8112" s="479">
        <v>1906.23</v>
      </c>
      <c r="E8112" s="368"/>
      <c r="F8112" s="368"/>
    </row>
    <row r="8113" spans="1:6" ht="25.5" x14ac:dyDescent="0.2">
      <c r="A8113" s="391">
        <v>99278</v>
      </c>
      <c r="B8113" s="478" t="s">
        <v>1433</v>
      </c>
      <c r="C8113" s="391" t="s">
        <v>0</v>
      </c>
      <c r="D8113" s="479">
        <v>444.76</v>
      </c>
      <c r="E8113" s="368"/>
      <c r="F8113" s="368"/>
    </row>
    <row r="8114" spans="1:6" ht="25.5" x14ac:dyDescent="0.2">
      <c r="A8114" s="391">
        <v>99288</v>
      </c>
      <c r="B8114" s="478" t="s">
        <v>1437</v>
      </c>
      <c r="C8114" s="391" t="s">
        <v>0</v>
      </c>
      <c r="D8114" s="479">
        <v>588.36</v>
      </c>
      <c r="E8114" s="368"/>
      <c r="F8114" s="368"/>
    </row>
    <row r="8115" spans="1:6" ht="25.5" x14ac:dyDescent="0.2">
      <c r="A8115" s="391">
        <v>99240</v>
      </c>
      <c r="B8115" s="478" t="s">
        <v>1420</v>
      </c>
      <c r="C8115" s="391" t="s">
        <v>0</v>
      </c>
      <c r="D8115" s="479">
        <v>784.92</v>
      </c>
      <c r="E8115" s="368"/>
      <c r="F8115" s="368"/>
    </row>
    <row r="8116" spans="1:6" ht="25.5" x14ac:dyDescent="0.2">
      <c r="A8116" s="391">
        <v>99246</v>
      </c>
      <c r="B8116" s="478" t="s">
        <v>1423</v>
      </c>
      <c r="C8116" s="391" t="s">
        <v>0</v>
      </c>
      <c r="D8116" s="479">
        <v>1077.02</v>
      </c>
      <c r="E8116" s="368"/>
      <c r="F8116" s="368"/>
    </row>
    <row r="8117" spans="1:6" ht="25.5" x14ac:dyDescent="0.2">
      <c r="A8117" s="391">
        <v>97981</v>
      </c>
      <c r="B8117" s="478" t="s">
        <v>1385</v>
      </c>
      <c r="C8117" s="391" t="s">
        <v>0</v>
      </c>
      <c r="D8117" s="479">
        <v>1186.75</v>
      </c>
      <c r="E8117" s="368"/>
      <c r="F8117" s="368"/>
    </row>
    <row r="8118" spans="1:6" ht="25.5" x14ac:dyDescent="0.2">
      <c r="A8118" s="391">
        <v>97985</v>
      </c>
      <c r="B8118" s="478" t="s">
        <v>48117</v>
      </c>
      <c r="C8118" s="391" t="s">
        <v>0</v>
      </c>
      <c r="D8118" s="479">
        <v>1427.69</v>
      </c>
      <c r="E8118" s="368"/>
      <c r="F8118" s="368"/>
    </row>
    <row r="8119" spans="1:6" ht="25.5" x14ac:dyDescent="0.2">
      <c r="A8119" s="391">
        <v>97989</v>
      </c>
      <c r="B8119" s="478" t="s">
        <v>1388</v>
      </c>
      <c r="C8119" s="391" t="s">
        <v>0</v>
      </c>
      <c r="D8119" s="479">
        <v>1668.6</v>
      </c>
      <c r="E8119" s="368"/>
      <c r="F8119" s="368"/>
    </row>
    <row r="8120" spans="1:6" ht="25.5" x14ac:dyDescent="0.2">
      <c r="A8120" s="391">
        <v>97993</v>
      </c>
      <c r="B8120" s="478" t="s">
        <v>48118</v>
      </c>
      <c r="C8120" s="391" t="s">
        <v>0</v>
      </c>
      <c r="D8120" s="479">
        <v>2030.05</v>
      </c>
      <c r="E8120" s="368"/>
      <c r="F8120" s="368"/>
    </row>
    <row r="8121" spans="1:6" ht="25.5" x14ac:dyDescent="0.2">
      <c r="A8121" s="391">
        <v>98409</v>
      </c>
      <c r="B8121" s="478" t="s">
        <v>1419</v>
      </c>
      <c r="C8121" s="391" t="s">
        <v>0</v>
      </c>
      <c r="D8121" s="479">
        <v>447.17</v>
      </c>
      <c r="E8121" s="368"/>
      <c r="F8121" s="368"/>
    </row>
    <row r="8122" spans="1:6" ht="25.5" x14ac:dyDescent="0.2">
      <c r="A8122" s="391">
        <v>97983</v>
      </c>
      <c r="B8122" s="478" t="s">
        <v>1386</v>
      </c>
      <c r="C8122" s="391" t="s">
        <v>0</v>
      </c>
      <c r="D8122" s="479">
        <v>591.52</v>
      </c>
      <c r="E8122" s="368"/>
      <c r="F8122" s="368"/>
    </row>
    <row r="8123" spans="1:6" ht="25.5" x14ac:dyDescent="0.2">
      <c r="A8123" s="391">
        <v>97987</v>
      </c>
      <c r="B8123" s="478" t="s">
        <v>1387</v>
      </c>
      <c r="C8123" s="391" t="s">
        <v>0</v>
      </c>
      <c r="D8123" s="479">
        <v>788.88</v>
      </c>
      <c r="E8123" s="368"/>
      <c r="F8123" s="368"/>
    </row>
    <row r="8124" spans="1:6" ht="25.5" x14ac:dyDescent="0.2">
      <c r="A8124" s="391">
        <v>97991</v>
      </c>
      <c r="B8124" s="478" t="s">
        <v>48119</v>
      </c>
      <c r="C8124" s="391" t="s">
        <v>0</v>
      </c>
      <c r="D8124" s="479">
        <v>1082.43</v>
      </c>
      <c r="E8124" s="368"/>
      <c r="F8124" s="368"/>
    </row>
    <row r="8125" spans="1:6" ht="38.25" x14ac:dyDescent="0.2">
      <c r="A8125" s="391">
        <v>99241</v>
      </c>
      <c r="B8125" s="478" t="s">
        <v>1421</v>
      </c>
      <c r="C8125" s="391" t="s">
        <v>0</v>
      </c>
      <c r="D8125" s="479">
        <v>1817.83</v>
      </c>
      <c r="E8125" s="368"/>
      <c r="F8125" s="368"/>
    </row>
    <row r="8126" spans="1:6" ht="38.25" x14ac:dyDescent="0.2">
      <c r="A8126" s="391">
        <v>99247</v>
      </c>
      <c r="B8126" s="478" t="s">
        <v>1424</v>
      </c>
      <c r="C8126" s="391" t="s">
        <v>0</v>
      </c>
      <c r="D8126" s="479">
        <v>2072.91</v>
      </c>
      <c r="E8126" s="368"/>
      <c r="F8126" s="368"/>
    </row>
    <row r="8127" spans="1:6" ht="38.25" x14ac:dyDescent="0.2">
      <c r="A8127" s="391">
        <v>99263</v>
      </c>
      <c r="B8127" s="478" t="s">
        <v>1428</v>
      </c>
      <c r="C8127" s="391" t="s">
        <v>0</v>
      </c>
      <c r="D8127" s="479">
        <v>2328.0700000000002</v>
      </c>
      <c r="E8127" s="368"/>
      <c r="F8127" s="368"/>
    </row>
    <row r="8128" spans="1:6" ht="38.25" x14ac:dyDescent="0.2">
      <c r="A8128" s="391">
        <v>99276</v>
      </c>
      <c r="B8128" s="478" t="s">
        <v>1431</v>
      </c>
      <c r="C8128" s="391" t="s">
        <v>0</v>
      </c>
      <c r="D8128" s="479">
        <v>2583.23</v>
      </c>
      <c r="E8128" s="368"/>
      <c r="F8128" s="368"/>
    </row>
    <row r="8129" spans="1:6" ht="38.25" x14ac:dyDescent="0.2">
      <c r="A8129" s="391">
        <v>99291</v>
      </c>
      <c r="B8129" s="478" t="s">
        <v>1439</v>
      </c>
      <c r="C8129" s="391" t="s">
        <v>0</v>
      </c>
      <c r="D8129" s="479">
        <v>2838.33</v>
      </c>
      <c r="E8129" s="368"/>
      <c r="F8129" s="368"/>
    </row>
    <row r="8130" spans="1:6" ht="38.25" x14ac:dyDescent="0.2">
      <c r="A8130" s="391">
        <v>99297</v>
      </c>
      <c r="B8130" s="478" t="s">
        <v>1442</v>
      </c>
      <c r="C8130" s="391" t="s">
        <v>0</v>
      </c>
      <c r="D8130" s="479">
        <v>3114.06</v>
      </c>
      <c r="E8130" s="368"/>
      <c r="F8130" s="368"/>
    </row>
    <row r="8131" spans="1:6" ht="38.25" x14ac:dyDescent="0.2">
      <c r="A8131" s="391">
        <v>99254</v>
      </c>
      <c r="B8131" s="478" t="s">
        <v>1426</v>
      </c>
      <c r="C8131" s="391" t="s">
        <v>0</v>
      </c>
      <c r="D8131" s="479">
        <v>1307.58</v>
      </c>
      <c r="E8131" s="368"/>
      <c r="F8131" s="368"/>
    </row>
    <row r="8132" spans="1:6" ht="38.25" x14ac:dyDescent="0.2">
      <c r="A8132" s="391">
        <v>99261</v>
      </c>
      <c r="B8132" s="478" t="s">
        <v>1427</v>
      </c>
      <c r="C8132" s="391" t="s">
        <v>0</v>
      </c>
      <c r="D8132" s="479">
        <v>1562.66</v>
      </c>
      <c r="E8132" s="368"/>
      <c r="F8132" s="368"/>
    </row>
    <row r="8133" spans="1:6" ht="38.25" x14ac:dyDescent="0.2">
      <c r="A8133" s="391">
        <v>99266</v>
      </c>
      <c r="B8133" s="478" t="s">
        <v>1429</v>
      </c>
      <c r="C8133" s="391" t="s">
        <v>0</v>
      </c>
      <c r="D8133" s="479">
        <v>1817.83</v>
      </c>
      <c r="E8133" s="368"/>
      <c r="F8133" s="368"/>
    </row>
    <row r="8134" spans="1:6" ht="38.25" x14ac:dyDescent="0.2">
      <c r="A8134" s="391">
        <v>99269</v>
      </c>
      <c r="B8134" s="478" t="s">
        <v>1430</v>
      </c>
      <c r="C8134" s="391" t="s">
        <v>0</v>
      </c>
      <c r="D8134" s="479">
        <v>2072.91</v>
      </c>
      <c r="E8134" s="368"/>
      <c r="F8134" s="368"/>
    </row>
    <row r="8135" spans="1:6" ht="38.25" x14ac:dyDescent="0.2">
      <c r="A8135" s="391">
        <v>99277</v>
      </c>
      <c r="B8135" s="478" t="s">
        <v>1432</v>
      </c>
      <c r="C8135" s="391" t="s">
        <v>0</v>
      </c>
      <c r="D8135" s="479">
        <v>2328.0700000000002</v>
      </c>
      <c r="E8135" s="368"/>
      <c r="F8135" s="368"/>
    </row>
    <row r="8136" spans="1:6" ht="38.25" x14ac:dyDescent="0.2">
      <c r="A8136" s="391">
        <v>99281</v>
      </c>
      <c r="B8136" s="478" t="s">
        <v>1434</v>
      </c>
      <c r="C8136" s="391" t="s">
        <v>0</v>
      </c>
      <c r="D8136" s="479">
        <v>2583.23</v>
      </c>
      <c r="E8136" s="368"/>
      <c r="F8136" s="368"/>
    </row>
    <row r="8137" spans="1:6" ht="38.25" x14ac:dyDescent="0.2">
      <c r="A8137" s="391">
        <v>99289</v>
      </c>
      <c r="B8137" s="478" t="s">
        <v>1438</v>
      </c>
      <c r="C8137" s="391" t="s">
        <v>0</v>
      </c>
      <c r="D8137" s="479">
        <v>2838.33</v>
      </c>
      <c r="E8137" s="368"/>
      <c r="F8137" s="368"/>
    </row>
    <row r="8138" spans="1:6" ht="38.25" x14ac:dyDescent="0.2">
      <c r="A8138" s="391">
        <v>99282</v>
      </c>
      <c r="B8138" s="478" t="s">
        <v>1435</v>
      </c>
      <c r="C8138" s="391" t="s">
        <v>0</v>
      </c>
      <c r="D8138" s="479">
        <v>2863.28</v>
      </c>
      <c r="E8138" s="368"/>
      <c r="F8138" s="368"/>
    </row>
    <row r="8139" spans="1:6" ht="38.25" x14ac:dyDescent="0.2">
      <c r="A8139" s="391">
        <v>99296</v>
      </c>
      <c r="B8139" s="478" t="s">
        <v>1441</v>
      </c>
      <c r="C8139" s="391" t="s">
        <v>0</v>
      </c>
      <c r="D8139" s="479">
        <v>3118.37</v>
      </c>
      <c r="E8139" s="368"/>
      <c r="F8139" s="368"/>
    </row>
    <row r="8140" spans="1:6" ht="38.25" x14ac:dyDescent="0.2">
      <c r="A8140" s="391">
        <v>99299</v>
      </c>
      <c r="B8140" s="478" t="s">
        <v>1443</v>
      </c>
      <c r="C8140" s="391" t="s">
        <v>0</v>
      </c>
      <c r="D8140" s="479">
        <v>3373.42</v>
      </c>
      <c r="E8140" s="368"/>
      <c r="F8140" s="368"/>
    </row>
    <row r="8141" spans="1:6" ht="38.25" x14ac:dyDescent="0.2">
      <c r="A8141" s="391">
        <v>99302</v>
      </c>
      <c r="B8141" s="478" t="s">
        <v>1444</v>
      </c>
      <c r="C8141" s="391" t="s">
        <v>0</v>
      </c>
      <c r="D8141" s="479">
        <v>3632.84</v>
      </c>
      <c r="E8141" s="368"/>
      <c r="F8141" s="368"/>
    </row>
    <row r="8142" spans="1:6" ht="38.25" x14ac:dyDescent="0.2">
      <c r="A8142" s="391">
        <v>99307</v>
      </c>
      <c r="B8142" s="478" t="s">
        <v>1447</v>
      </c>
      <c r="C8142" s="391" t="s">
        <v>0</v>
      </c>
      <c r="D8142" s="479">
        <v>2348.7199999999998</v>
      </c>
      <c r="E8142" s="368"/>
      <c r="F8142" s="368"/>
    </row>
    <row r="8143" spans="1:6" ht="38.25" x14ac:dyDescent="0.2">
      <c r="A8143" s="391">
        <v>99317</v>
      </c>
      <c r="B8143" s="478" t="s">
        <v>1451</v>
      </c>
      <c r="C8143" s="391" t="s">
        <v>0</v>
      </c>
      <c r="D8143" s="479">
        <v>2603.81</v>
      </c>
      <c r="E8143" s="368"/>
      <c r="F8143" s="368"/>
    </row>
    <row r="8144" spans="1:6" ht="38.25" x14ac:dyDescent="0.2">
      <c r="A8144" s="391">
        <v>99321</v>
      </c>
      <c r="B8144" s="478" t="s">
        <v>1454</v>
      </c>
      <c r="C8144" s="391" t="s">
        <v>0</v>
      </c>
      <c r="D8144" s="479">
        <v>2858.97</v>
      </c>
      <c r="E8144" s="368"/>
      <c r="F8144" s="368"/>
    </row>
    <row r="8145" spans="1:6" ht="38.25" x14ac:dyDescent="0.2">
      <c r="A8145" s="391">
        <v>99323</v>
      </c>
      <c r="B8145" s="478" t="s">
        <v>1455</v>
      </c>
      <c r="C8145" s="391" t="s">
        <v>0</v>
      </c>
      <c r="D8145" s="479">
        <v>3114.06</v>
      </c>
      <c r="E8145" s="368"/>
      <c r="F8145" s="368"/>
    </row>
    <row r="8146" spans="1:6" ht="38.25" x14ac:dyDescent="0.2">
      <c r="A8146" s="391">
        <v>99325</v>
      </c>
      <c r="B8146" s="478" t="s">
        <v>1456</v>
      </c>
      <c r="C8146" s="391" t="s">
        <v>0</v>
      </c>
      <c r="D8146" s="479">
        <v>3373.42</v>
      </c>
      <c r="E8146" s="368"/>
      <c r="F8146" s="368"/>
    </row>
    <row r="8147" spans="1:6" ht="38.25" x14ac:dyDescent="0.2">
      <c r="A8147" s="391">
        <v>99311</v>
      </c>
      <c r="B8147" s="478" t="s">
        <v>1449</v>
      </c>
      <c r="C8147" s="391" t="s">
        <v>0</v>
      </c>
      <c r="D8147" s="479">
        <v>3892.28</v>
      </c>
      <c r="E8147" s="368"/>
      <c r="F8147" s="368"/>
    </row>
    <row r="8148" spans="1:6" ht="38.25" x14ac:dyDescent="0.2">
      <c r="A8148" s="391">
        <v>99314</v>
      </c>
      <c r="B8148" s="478" t="s">
        <v>1450</v>
      </c>
      <c r="C8148" s="391" t="s">
        <v>0</v>
      </c>
      <c r="D8148" s="479">
        <v>4151.67</v>
      </c>
      <c r="E8148" s="368"/>
      <c r="F8148" s="368"/>
    </row>
    <row r="8149" spans="1:6" ht="38.25" x14ac:dyDescent="0.2">
      <c r="A8149" s="391">
        <v>99304</v>
      </c>
      <c r="B8149" s="478" t="s">
        <v>1445</v>
      </c>
      <c r="C8149" s="391" t="s">
        <v>0</v>
      </c>
      <c r="D8149" s="479">
        <v>3377.73</v>
      </c>
      <c r="E8149" s="368"/>
      <c r="F8149" s="368"/>
    </row>
    <row r="8150" spans="1:6" ht="38.25" x14ac:dyDescent="0.2">
      <c r="A8150" s="391">
        <v>99306</v>
      </c>
      <c r="B8150" s="478" t="s">
        <v>1446</v>
      </c>
      <c r="C8150" s="391" t="s">
        <v>0</v>
      </c>
      <c r="D8150" s="479">
        <v>3632.84</v>
      </c>
      <c r="E8150" s="368"/>
      <c r="F8150" s="368"/>
    </row>
    <row r="8151" spans="1:6" ht="38.25" x14ac:dyDescent="0.2">
      <c r="A8151" s="391">
        <v>99309</v>
      </c>
      <c r="B8151" s="478" t="s">
        <v>1448</v>
      </c>
      <c r="C8151" s="391" t="s">
        <v>0</v>
      </c>
      <c r="D8151" s="479">
        <v>3892.28</v>
      </c>
      <c r="E8151" s="368"/>
      <c r="F8151" s="368"/>
    </row>
    <row r="8152" spans="1:6" ht="38.25" x14ac:dyDescent="0.2">
      <c r="A8152" s="391">
        <v>99327</v>
      </c>
      <c r="B8152" s="478" t="s">
        <v>1457</v>
      </c>
      <c r="C8152" s="391" t="s">
        <v>0</v>
      </c>
      <c r="D8152" s="479">
        <v>4369.03</v>
      </c>
      <c r="E8152" s="368"/>
      <c r="F8152" s="368"/>
    </row>
    <row r="8153" spans="1:6" ht="38.25" x14ac:dyDescent="0.2">
      <c r="A8153" s="391">
        <v>98009</v>
      </c>
      <c r="B8153" s="478" t="s">
        <v>1396</v>
      </c>
      <c r="C8153" s="391" t="s">
        <v>0</v>
      </c>
      <c r="D8153" s="479">
        <v>1901.04</v>
      </c>
      <c r="E8153" s="368"/>
      <c r="F8153" s="368"/>
    </row>
    <row r="8154" spans="1:6" ht="38.25" x14ac:dyDescent="0.2">
      <c r="A8154" s="391">
        <v>98011</v>
      </c>
      <c r="B8154" s="478" t="s">
        <v>1397</v>
      </c>
      <c r="C8154" s="391" t="s">
        <v>0</v>
      </c>
      <c r="D8154" s="479">
        <v>2168.34</v>
      </c>
      <c r="E8154" s="368"/>
      <c r="F8154" s="368"/>
    </row>
    <row r="8155" spans="1:6" ht="38.25" x14ac:dyDescent="0.2">
      <c r="A8155" s="391">
        <v>98013</v>
      </c>
      <c r="B8155" s="478" t="s">
        <v>1398</v>
      </c>
      <c r="C8155" s="391" t="s">
        <v>0</v>
      </c>
      <c r="D8155" s="479">
        <v>2435.7399999999998</v>
      </c>
      <c r="E8155" s="368"/>
      <c r="F8155" s="368"/>
    </row>
    <row r="8156" spans="1:6" ht="38.25" x14ac:dyDescent="0.2">
      <c r="A8156" s="391">
        <v>98015</v>
      </c>
      <c r="B8156" s="478" t="s">
        <v>1399</v>
      </c>
      <c r="C8156" s="391" t="s">
        <v>0</v>
      </c>
      <c r="D8156" s="479">
        <v>2703.14</v>
      </c>
      <c r="E8156" s="368"/>
      <c r="F8156" s="368"/>
    </row>
    <row r="8157" spans="1:6" ht="38.25" x14ac:dyDescent="0.2">
      <c r="A8157" s="391">
        <v>98017</v>
      </c>
      <c r="B8157" s="478" t="s">
        <v>1400</v>
      </c>
      <c r="C8157" s="391" t="s">
        <v>0</v>
      </c>
      <c r="D8157" s="479">
        <v>2970.47</v>
      </c>
      <c r="E8157" s="368"/>
      <c r="F8157" s="368"/>
    </row>
    <row r="8158" spans="1:6" ht="38.25" x14ac:dyDescent="0.2">
      <c r="A8158" s="391">
        <v>98019</v>
      </c>
      <c r="B8158" s="478" t="s">
        <v>1401</v>
      </c>
      <c r="C8158" s="391" t="s">
        <v>0</v>
      </c>
      <c r="D8158" s="479">
        <v>3262.11</v>
      </c>
      <c r="E8158" s="368"/>
      <c r="F8158" s="368"/>
    </row>
    <row r="8159" spans="1:6" ht="38.25" x14ac:dyDescent="0.2">
      <c r="A8159" s="391">
        <v>97995</v>
      </c>
      <c r="B8159" s="478" t="s">
        <v>1389</v>
      </c>
      <c r="C8159" s="391" t="s">
        <v>0</v>
      </c>
      <c r="D8159" s="479">
        <v>1366.32</v>
      </c>
      <c r="E8159" s="368"/>
      <c r="F8159" s="368"/>
    </row>
    <row r="8160" spans="1:6" ht="38.25" x14ac:dyDescent="0.2">
      <c r="A8160" s="391">
        <v>97997</v>
      </c>
      <c r="B8160" s="478" t="s">
        <v>1390</v>
      </c>
      <c r="C8160" s="391" t="s">
        <v>0</v>
      </c>
      <c r="D8160" s="479">
        <v>1633.62</v>
      </c>
      <c r="E8160" s="368"/>
      <c r="F8160" s="368"/>
    </row>
    <row r="8161" spans="1:6" ht="38.25" x14ac:dyDescent="0.2">
      <c r="A8161" s="391">
        <v>97999</v>
      </c>
      <c r="B8161" s="478" t="s">
        <v>1391</v>
      </c>
      <c r="C8161" s="391" t="s">
        <v>0</v>
      </c>
      <c r="D8161" s="479">
        <v>1901.04</v>
      </c>
      <c r="E8161" s="368"/>
      <c r="F8161" s="368"/>
    </row>
    <row r="8162" spans="1:6" ht="38.25" x14ac:dyDescent="0.2">
      <c r="A8162" s="391">
        <v>98001</v>
      </c>
      <c r="B8162" s="478" t="s">
        <v>1392</v>
      </c>
      <c r="C8162" s="391" t="s">
        <v>0</v>
      </c>
      <c r="D8162" s="479">
        <v>2168.34</v>
      </c>
      <c r="E8162" s="368"/>
      <c r="F8162" s="368"/>
    </row>
    <row r="8163" spans="1:6" ht="38.25" x14ac:dyDescent="0.2">
      <c r="A8163" s="391">
        <v>98003</v>
      </c>
      <c r="B8163" s="478" t="s">
        <v>1393</v>
      </c>
      <c r="C8163" s="391" t="s">
        <v>0</v>
      </c>
      <c r="D8163" s="479">
        <v>2435.7399999999998</v>
      </c>
      <c r="E8163" s="368"/>
      <c r="F8163" s="368"/>
    </row>
    <row r="8164" spans="1:6" ht="38.25" x14ac:dyDescent="0.2">
      <c r="A8164" s="391">
        <v>98005</v>
      </c>
      <c r="B8164" s="478" t="s">
        <v>1394</v>
      </c>
      <c r="C8164" s="391" t="s">
        <v>0</v>
      </c>
      <c r="D8164" s="479">
        <v>2703.14</v>
      </c>
      <c r="E8164" s="368"/>
      <c r="F8164" s="368"/>
    </row>
    <row r="8165" spans="1:6" ht="38.25" x14ac:dyDescent="0.2">
      <c r="A8165" s="391">
        <v>98007</v>
      </c>
      <c r="B8165" s="478" t="s">
        <v>1395</v>
      </c>
      <c r="C8165" s="391" t="s">
        <v>0</v>
      </c>
      <c r="D8165" s="479">
        <v>2970.47</v>
      </c>
      <c r="E8165" s="368"/>
      <c r="F8165" s="368"/>
    </row>
    <row r="8166" spans="1:6" ht="38.25" x14ac:dyDescent="0.2">
      <c r="A8166" s="391">
        <v>98031</v>
      </c>
      <c r="B8166" s="478" t="s">
        <v>1407</v>
      </c>
      <c r="C8166" s="391" t="s">
        <v>0</v>
      </c>
      <c r="D8166" s="479">
        <v>2999.87</v>
      </c>
      <c r="E8166" s="368"/>
      <c r="F8166" s="368"/>
    </row>
    <row r="8167" spans="1:6" ht="38.25" x14ac:dyDescent="0.2">
      <c r="A8167" s="391">
        <v>98033</v>
      </c>
      <c r="B8167" s="478" t="s">
        <v>1408</v>
      </c>
      <c r="C8167" s="391" t="s">
        <v>0</v>
      </c>
      <c r="D8167" s="479">
        <v>3267.19</v>
      </c>
      <c r="E8167" s="368"/>
      <c r="F8167" s="368"/>
    </row>
    <row r="8168" spans="1:6" ht="38.25" x14ac:dyDescent="0.2">
      <c r="A8168" s="391">
        <v>98035</v>
      </c>
      <c r="B8168" s="478" t="s">
        <v>1409</v>
      </c>
      <c r="C8168" s="391" t="s">
        <v>0</v>
      </c>
      <c r="D8168" s="479">
        <v>3534.48</v>
      </c>
      <c r="E8168" s="368"/>
      <c r="F8168" s="368"/>
    </row>
    <row r="8169" spans="1:6" ht="38.25" x14ac:dyDescent="0.2">
      <c r="A8169" s="391">
        <v>98037</v>
      </c>
      <c r="B8169" s="478" t="s">
        <v>1410</v>
      </c>
      <c r="C8169" s="391" t="s">
        <v>0</v>
      </c>
      <c r="D8169" s="479">
        <v>3806.89</v>
      </c>
      <c r="E8169" s="368"/>
      <c r="F8169" s="368"/>
    </row>
    <row r="8170" spans="1:6" ht="38.25" x14ac:dyDescent="0.2">
      <c r="A8170" s="391">
        <v>98021</v>
      </c>
      <c r="B8170" s="478" t="s">
        <v>1402</v>
      </c>
      <c r="C8170" s="391" t="s">
        <v>0</v>
      </c>
      <c r="D8170" s="479">
        <v>2460.0700000000002</v>
      </c>
      <c r="E8170" s="368"/>
      <c r="F8170" s="368"/>
    </row>
    <row r="8171" spans="1:6" ht="38.25" x14ac:dyDescent="0.2">
      <c r="A8171" s="391">
        <v>98023</v>
      </c>
      <c r="B8171" s="478" t="s">
        <v>1403</v>
      </c>
      <c r="C8171" s="391" t="s">
        <v>0</v>
      </c>
      <c r="D8171" s="479">
        <v>2727.39</v>
      </c>
      <c r="E8171" s="368"/>
      <c r="F8171" s="368"/>
    </row>
    <row r="8172" spans="1:6" ht="38.25" x14ac:dyDescent="0.2">
      <c r="A8172" s="391">
        <v>98025</v>
      </c>
      <c r="B8172" s="478" t="s">
        <v>1404</v>
      </c>
      <c r="C8172" s="391" t="s">
        <v>0</v>
      </c>
      <c r="D8172" s="479">
        <v>2994.79</v>
      </c>
      <c r="E8172" s="368"/>
      <c r="F8172" s="368"/>
    </row>
    <row r="8173" spans="1:6" ht="38.25" x14ac:dyDescent="0.2">
      <c r="A8173" s="391">
        <v>98027</v>
      </c>
      <c r="B8173" s="478" t="s">
        <v>1405</v>
      </c>
      <c r="C8173" s="391" t="s">
        <v>0</v>
      </c>
      <c r="D8173" s="479">
        <v>3262.11</v>
      </c>
      <c r="E8173" s="368"/>
      <c r="F8173" s="368"/>
    </row>
    <row r="8174" spans="1:6" ht="38.25" x14ac:dyDescent="0.2">
      <c r="A8174" s="391">
        <v>98029</v>
      </c>
      <c r="B8174" s="478" t="s">
        <v>1406</v>
      </c>
      <c r="C8174" s="391" t="s">
        <v>0</v>
      </c>
      <c r="D8174" s="479">
        <v>3534.48</v>
      </c>
      <c r="E8174" s="368"/>
      <c r="F8174" s="368"/>
    </row>
    <row r="8175" spans="1:6" ht="38.25" x14ac:dyDescent="0.2">
      <c r="A8175" s="391">
        <v>98045</v>
      </c>
      <c r="B8175" s="478" t="s">
        <v>1414</v>
      </c>
      <c r="C8175" s="391" t="s">
        <v>0</v>
      </c>
      <c r="D8175" s="479">
        <v>4079.35</v>
      </c>
      <c r="E8175" s="368"/>
      <c r="F8175" s="368"/>
    </row>
    <row r="8176" spans="1:6" ht="38.25" x14ac:dyDescent="0.2">
      <c r="A8176" s="391">
        <v>98047</v>
      </c>
      <c r="B8176" s="478" t="s">
        <v>1415</v>
      </c>
      <c r="C8176" s="391" t="s">
        <v>0</v>
      </c>
      <c r="D8176" s="479">
        <v>4351.74</v>
      </c>
      <c r="E8176" s="368"/>
      <c r="F8176" s="368"/>
    </row>
    <row r="8177" spans="1:6" ht="38.25" x14ac:dyDescent="0.2">
      <c r="A8177" s="391">
        <v>98039</v>
      </c>
      <c r="B8177" s="478" t="s">
        <v>1411</v>
      </c>
      <c r="C8177" s="391" t="s">
        <v>0</v>
      </c>
      <c r="D8177" s="479">
        <v>3539.56</v>
      </c>
      <c r="E8177" s="368"/>
      <c r="F8177" s="368"/>
    </row>
    <row r="8178" spans="1:6" ht="38.25" x14ac:dyDescent="0.2">
      <c r="A8178" s="391">
        <v>98041</v>
      </c>
      <c r="B8178" s="478" t="s">
        <v>1412</v>
      </c>
      <c r="C8178" s="391" t="s">
        <v>0</v>
      </c>
      <c r="D8178" s="479">
        <v>3806.89</v>
      </c>
      <c r="E8178" s="368"/>
      <c r="F8178" s="368"/>
    </row>
    <row r="8179" spans="1:6" ht="38.25" x14ac:dyDescent="0.2">
      <c r="A8179" s="391">
        <v>98043</v>
      </c>
      <c r="B8179" s="478" t="s">
        <v>1413</v>
      </c>
      <c r="C8179" s="391" t="s">
        <v>0</v>
      </c>
      <c r="D8179" s="479">
        <v>4079.35</v>
      </c>
      <c r="E8179" s="368"/>
      <c r="F8179" s="368"/>
    </row>
    <row r="8180" spans="1:6" ht="38.25" x14ac:dyDescent="0.2">
      <c r="A8180" s="391">
        <v>98049</v>
      </c>
      <c r="B8180" s="478" t="s">
        <v>1416</v>
      </c>
      <c r="C8180" s="391" t="s">
        <v>0</v>
      </c>
      <c r="D8180" s="479">
        <v>4574.59</v>
      </c>
      <c r="E8180" s="368"/>
      <c r="F8180" s="368"/>
    </row>
    <row r="8181" spans="1:6" ht="38.25" x14ac:dyDescent="0.2">
      <c r="A8181" s="391">
        <v>101809</v>
      </c>
      <c r="B8181" s="478" t="s">
        <v>47326</v>
      </c>
      <c r="C8181" s="391" t="s">
        <v>26</v>
      </c>
      <c r="D8181" s="479">
        <v>2913.34</v>
      </c>
      <c r="E8181" s="368"/>
      <c r="F8181" s="368"/>
    </row>
    <row r="8182" spans="1:6" ht="38.25" x14ac:dyDescent="0.2">
      <c r="A8182" s="391">
        <v>99280</v>
      </c>
      <c r="B8182" s="478" t="s">
        <v>47327</v>
      </c>
      <c r="C8182" s="391" t="s">
        <v>26</v>
      </c>
      <c r="D8182" s="479">
        <v>1975</v>
      </c>
      <c r="E8182" s="368"/>
      <c r="F8182" s="368"/>
    </row>
    <row r="8183" spans="1:6" ht="38.25" x14ac:dyDescent="0.2">
      <c r="A8183" s="391">
        <v>99292</v>
      </c>
      <c r="B8183" s="478" t="s">
        <v>47328</v>
      </c>
      <c r="C8183" s="391" t="s">
        <v>26</v>
      </c>
      <c r="D8183" s="479">
        <v>2442.54</v>
      </c>
      <c r="E8183" s="368"/>
      <c r="F8183" s="368"/>
    </row>
    <row r="8184" spans="1:6" ht="38.25" x14ac:dyDescent="0.2">
      <c r="A8184" s="391">
        <v>99242</v>
      </c>
      <c r="B8184" s="478" t="s">
        <v>47329</v>
      </c>
      <c r="C8184" s="391" t="s">
        <v>26</v>
      </c>
      <c r="D8184" s="479">
        <v>2911.94</v>
      </c>
      <c r="E8184" s="368"/>
      <c r="F8184" s="368"/>
    </row>
    <row r="8185" spans="1:6" ht="38.25" x14ac:dyDescent="0.2">
      <c r="A8185" s="391">
        <v>99248</v>
      </c>
      <c r="B8185" s="478" t="s">
        <v>47330</v>
      </c>
      <c r="C8185" s="391" t="s">
        <v>26</v>
      </c>
      <c r="D8185" s="479">
        <v>3739.17</v>
      </c>
      <c r="E8185" s="368"/>
      <c r="F8185" s="368"/>
    </row>
    <row r="8186" spans="1:6" ht="38.25" x14ac:dyDescent="0.2">
      <c r="A8186" s="391">
        <v>99275</v>
      </c>
      <c r="B8186" s="478" t="s">
        <v>47331</v>
      </c>
      <c r="C8186" s="391" t="s">
        <v>26</v>
      </c>
      <c r="D8186" s="479">
        <v>1015.27</v>
      </c>
      <c r="E8186" s="368"/>
      <c r="F8186" s="368"/>
    </row>
    <row r="8187" spans="1:6" ht="38.25" x14ac:dyDescent="0.2">
      <c r="A8187" s="391">
        <v>99285</v>
      </c>
      <c r="B8187" s="478" t="s">
        <v>47332</v>
      </c>
      <c r="C8187" s="391" t="s">
        <v>26</v>
      </c>
      <c r="D8187" s="479">
        <v>1387.84</v>
      </c>
      <c r="E8187" s="368"/>
      <c r="F8187" s="368"/>
    </row>
    <row r="8188" spans="1:6" ht="38.25" x14ac:dyDescent="0.2">
      <c r="A8188" s="391">
        <v>102457</v>
      </c>
      <c r="B8188" s="478" t="s">
        <v>47333</v>
      </c>
      <c r="C8188" s="391" t="s">
        <v>26</v>
      </c>
      <c r="D8188" s="479">
        <v>1760.81</v>
      </c>
      <c r="E8188" s="368"/>
      <c r="F8188" s="368"/>
    </row>
    <row r="8189" spans="1:6" ht="38.25" x14ac:dyDescent="0.2">
      <c r="A8189" s="391">
        <v>102142</v>
      </c>
      <c r="B8189" s="478" t="s">
        <v>47334</v>
      </c>
      <c r="C8189" s="391" t="s">
        <v>26</v>
      </c>
      <c r="D8189" s="479">
        <v>2771.65</v>
      </c>
      <c r="E8189" s="368"/>
      <c r="F8189" s="368"/>
    </row>
    <row r="8190" spans="1:6" ht="38.25" x14ac:dyDescent="0.2">
      <c r="A8190" s="391">
        <v>97980</v>
      </c>
      <c r="B8190" s="478" t="s">
        <v>48120</v>
      </c>
      <c r="C8190" s="391" t="s">
        <v>26</v>
      </c>
      <c r="D8190" s="479">
        <v>2064.23</v>
      </c>
      <c r="E8190" s="368"/>
      <c r="F8190" s="368"/>
    </row>
    <row r="8191" spans="1:6" ht="38.25" x14ac:dyDescent="0.2">
      <c r="A8191" s="391">
        <v>98405</v>
      </c>
      <c r="B8191" s="478" t="s">
        <v>48121</v>
      </c>
      <c r="C8191" s="391" t="s">
        <v>26</v>
      </c>
      <c r="D8191" s="479">
        <v>2544.2800000000002</v>
      </c>
      <c r="E8191" s="368"/>
      <c r="F8191" s="368"/>
    </row>
    <row r="8192" spans="1:6" ht="38.25" x14ac:dyDescent="0.2">
      <c r="A8192" s="391">
        <v>97988</v>
      </c>
      <c r="B8192" s="478" t="s">
        <v>48122</v>
      </c>
      <c r="C8192" s="391" t="s">
        <v>26</v>
      </c>
      <c r="D8192" s="479">
        <v>3025.08</v>
      </c>
      <c r="E8192" s="368"/>
      <c r="F8192" s="368"/>
    </row>
    <row r="8193" spans="1:6" ht="38.25" x14ac:dyDescent="0.2">
      <c r="A8193" s="391">
        <v>97992</v>
      </c>
      <c r="B8193" s="478" t="s">
        <v>47335</v>
      </c>
      <c r="C8193" s="391" t="s">
        <v>26</v>
      </c>
      <c r="D8193" s="479">
        <v>3875.71</v>
      </c>
      <c r="E8193" s="368"/>
      <c r="F8193" s="368"/>
    </row>
    <row r="8194" spans="1:6" ht="38.25" x14ac:dyDescent="0.2">
      <c r="A8194" s="391">
        <v>97978</v>
      </c>
      <c r="B8194" s="478" t="s">
        <v>47336</v>
      </c>
      <c r="C8194" s="391" t="s">
        <v>26</v>
      </c>
      <c r="D8194" s="479">
        <v>1025.21</v>
      </c>
      <c r="E8194" s="368"/>
      <c r="F8194" s="368"/>
    </row>
    <row r="8195" spans="1:6" ht="38.25" x14ac:dyDescent="0.2">
      <c r="A8195" s="391">
        <v>98410</v>
      </c>
      <c r="B8195" s="478" t="s">
        <v>47337</v>
      </c>
      <c r="C8195" s="391" t="s">
        <v>26</v>
      </c>
      <c r="D8195" s="479">
        <v>1323.15</v>
      </c>
      <c r="E8195" s="368"/>
      <c r="F8195" s="368"/>
    </row>
    <row r="8196" spans="1:6" ht="38.25" x14ac:dyDescent="0.2">
      <c r="A8196" s="391">
        <v>102139</v>
      </c>
      <c r="B8196" s="478" t="s">
        <v>48123</v>
      </c>
      <c r="C8196" s="391" t="s">
        <v>26</v>
      </c>
      <c r="D8196" s="479">
        <v>1821.7</v>
      </c>
      <c r="E8196" s="368"/>
      <c r="F8196" s="368"/>
    </row>
    <row r="8197" spans="1:6" ht="38.25" x14ac:dyDescent="0.2">
      <c r="A8197" s="391">
        <v>102141</v>
      </c>
      <c r="B8197" s="478" t="s">
        <v>48124</v>
      </c>
      <c r="C8197" s="391" t="s">
        <v>26</v>
      </c>
      <c r="D8197" s="479">
        <v>2816.54</v>
      </c>
      <c r="E8197" s="368"/>
      <c r="F8197" s="368"/>
    </row>
    <row r="8198" spans="1:6" ht="38.25" x14ac:dyDescent="0.2">
      <c r="A8198" s="391">
        <v>99290</v>
      </c>
      <c r="B8198" s="478" t="s">
        <v>47338</v>
      </c>
      <c r="C8198" s="391" t="s">
        <v>26</v>
      </c>
      <c r="D8198" s="479">
        <v>4050.53</v>
      </c>
      <c r="E8198" s="368"/>
      <c r="F8198" s="368"/>
    </row>
    <row r="8199" spans="1:6" ht="38.25" x14ac:dyDescent="0.2">
      <c r="A8199" s="391">
        <v>99244</v>
      </c>
      <c r="B8199" s="478" t="s">
        <v>47339</v>
      </c>
      <c r="C8199" s="391" t="s">
        <v>26</v>
      </c>
      <c r="D8199" s="479">
        <v>4949.72</v>
      </c>
      <c r="E8199" s="368"/>
      <c r="F8199" s="368"/>
    </row>
    <row r="8200" spans="1:6" ht="38.25" x14ac:dyDescent="0.2">
      <c r="A8200" s="391">
        <v>99256</v>
      </c>
      <c r="B8200" s="478" t="s">
        <v>47340</v>
      </c>
      <c r="C8200" s="391" t="s">
        <v>26</v>
      </c>
      <c r="D8200" s="479">
        <v>5819.75</v>
      </c>
      <c r="E8200" s="368"/>
      <c r="F8200" s="368"/>
    </row>
    <row r="8201" spans="1:6" ht="38.25" x14ac:dyDescent="0.2">
      <c r="A8201" s="391">
        <v>99271</v>
      </c>
      <c r="B8201" s="478" t="s">
        <v>47341</v>
      </c>
      <c r="C8201" s="391" t="s">
        <v>26</v>
      </c>
      <c r="D8201" s="479">
        <v>6689.69</v>
      </c>
      <c r="E8201" s="368"/>
      <c r="F8201" s="368"/>
    </row>
    <row r="8202" spans="1:6" ht="38.25" x14ac:dyDescent="0.2">
      <c r="A8202" s="391">
        <v>99284</v>
      </c>
      <c r="B8202" s="478" t="s">
        <v>47342</v>
      </c>
      <c r="C8202" s="391" t="s">
        <v>26</v>
      </c>
      <c r="D8202" s="479">
        <v>7559.77</v>
      </c>
      <c r="E8202" s="368"/>
      <c r="F8202" s="368"/>
    </row>
    <row r="8203" spans="1:6" ht="38.25" x14ac:dyDescent="0.2">
      <c r="A8203" s="391">
        <v>99294</v>
      </c>
      <c r="B8203" s="478" t="s">
        <v>47343</v>
      </c>
      <c r="C8203" s="391" t="s">
        <v>26</v>
      </c>
      <c r="D8203" s="479">
        <v>8429.74</v>
      </c>
      <c r="E8203" s="368"/>
      <c r="F8203" s="368"/>
    </row>
    <row r="8204" spans="1:6" ht="38.25" x14ac:dyDescent="0.2">
      <c r="A8204" s="391">
        <v>99252</v>
      </c>
      <c r="B8204" s="478" t="s">
        <v>47344</v>
      </c>
      <c r="C8204" s="391" t="s">
        <v>26</v>
      </c>
      <c r="D8204" s="479">
        <v>2579.6999999999998</v>
      </c>
      <c r="E8204" s="368"/>
      <c r="F8204" s="368"/>
    </row>
    <row r="8205" spans="1:6" ht="38.25" x14ac:dyDescent="0.2">
      <c r="A8205" s="391">
        <v>99259</v>
      </c>
      <c r="B8205" s="478" t="s">
        <v>47345</v>
      </c>
      <c r="C8205" s="391" t="s">
        <v>26</v>
      </c>
      <c r="D8205" s="479">
        <v>3266.19</v>
      </c>
      <c r="E8205" s="368"/>
      <c r="F8205" s="368"/>
    </row>
    <row r="8206" spans="1:6" ht="38.25" x14ac:dyDescent="0.2">
      <c r="A8206" s="391">
        <v>99265</v>
      </c>
      <c r="B8206" s="478" t="s">
        <v>47346</v>
      </c>
      <c r="C8206" s="391" t="s">
        <v>26</v>
      </c>
      <c r="D8206" s="479">
        <v>3952.64</v>
      </c>
      <c r="E8206" s="368"/>
      <c r="F8206" s="368"/>
    </row>
    <row r="8207" spans="1:6" ht="38.25" x14ac:dyDescent="0.2">
      <c r="A8207" s="391">
        <v>99267</v>
      </c>
      <c r="B8207" s="478" t="s">
        <v>47347</v>
      </c>
      <c r="C8207" s="391" t="s">
        <v>26</v>
      </c>
      <c r="D8207" s="479">
        <v>4639.12</v>
      </c>
      <c r="E8207" s="368"/>
      <c r="F8207" s="368"/>
    </row>
    <row r="8208" spans="1:6" ht="38.25" x14ac:dyDescent="0.2">
      <c r="A8208" s="391">
        <v>99274</v>
      </c>
      <c r="B8208" s="478" t="s">
        <v>47348</v>
      </c>
      <c r="C8208" s="391" t="s">
        <v>26</v>
      </c>
      <c r="D8208" s="479">
        <v>5362.49</v>
      </c>
      <c r="E8208" s="368"/>
      <c r="F8208" s="368"/>
    </row>
    <row r="8209" spans="1:6" ht="38.25" x14ac:dyDescent="0.2">
      <c r="A8209" s="391">
        <v>99279</v>
      </c>
      <c r="B8209" s="478" t="s">
        <v>47349</v>
      </c>
      <c r="C8209" s="391" t="s">
        <v>26</v>
      </c>
      <c r="D8209" s="479">
        <v>6053.58</v>
      </c>
      <c r="E8209" s="368"/>
      <c r="F8209" s="368"/>
    </row>
    <row r="8210" spans="1:6" ht="38.25" x14ac:dyDescent="0.2">
      <c r="A8210" s="391">
        <v>99286</v>
      </c>
      <c r="B8210" s="478" t="s">
        <v>47350</v>
      </c>
      <c r="C8210" s="391" t="s">
        <v>26</v>
      </c>
      <c r="D8210" s="479">
        <v>6744.76</v>
      </c>
      <c r="E8210" s="368"/>
      <c r="F8210" s="368"/>
    </row>
    <row r="8211" spans="1:6" ht="38.25" x14ac:dyDescent="0.2">
      <c r="A8211" s="391">
        <v>99326</v>
      </c>
      <c r="B8211" s="478" t="s">
        <v>47351</v>
      </c>
      <c r="C8211" s="391" t="s">
        <v>26</v>
      </c>
      <c r="D8211" s="479">
        <v>8327.66</v>
      </c>
      <c r="E8211" s="368"/>
      <c r="F8211" s="368"/>
    </row>
    <row r="8212" spans="1:6" ht="38.25" x14ac:dyDescent="0.2">
      <c r="A8212" s="391">
        <v>99287</v>
      </c>
      <c r="B8212" s="478" t="s">
        <v>47352</v>
      </c>
      <c r="C8212" s="391" t="s">
        <v>26</v>
      </c>
      <c r="D8212" s="479">
        <v>9590.16</v>
      </c>
      <c r="E8212" s="368"/>
      <c r="F8212" s="368"/>
    </row>
    <row r="8213" spans="1:6" ht="38.25" x14ac:dyDescent="0.2">
      <c r="A8213" s="391">
        <v>99298</v>
      </c>
      <c r="B8213" s="478" t="s">
        <v>47353</v>
      </c>
      <c r="C8213" s="391" t="s">
        <v>26</v>
      </c>
      <c r="D8213" s="479">
        <v>10852.65</v>
      </c>
      <c r="E8213" s="368"/>
      <c r="F8213" s="368"/>
    </row>
    <row r="8214" spans="1:6" ht="38.25" x14ac:dyDescent="0.2">
      <c r="A8214" s="391">
        <v>99300</v>
      </c>
      <c r="B8214" s="478" t="s">
        <v>47354</v>
      </c>
      <c r="C8214" s="391" t="s">
        <v>26</v>
      </c>
      <c r="D8214" s="479">
        <v>12115.17</v>
      </c>
      <c r="E8214" s="368"/>
      <c r="F8214" s="368"/>
    </row>
    <row r="8215" spans="1:6" ht="38.25" x14ac:dyDescent="0.2">
      <c r="A8215" s="391">
        <v>99301</v>
      </c>
      <c r="B8215" s="478" t="s">
        <v>47355</v>
      </c>
      <c r="C8215" s="391" t="s">
        <v>26</v>
      </c>
      <c r="D8215" s="479">
        <v>5985.3</v>
      </c>
      <c r="E8215" s="368"/>
      <c r="F8215" s="368"/>
    </row>
    <row r="8216" spans="1:6" ht="38.25" x14ac:dyDescent="0.2">
      <c r="A8216" s="391">
        <v>99312</v>
      </c>
      <c r="B8216" s="478" t="s">
        <v>47356</v>
      </c>
      <c r="C8216" s="391" t="s">
        <v>26</v>
      </c>
      <c r="D8216" s="479">
        <v>7020.7</v>
      </c>
      <c r="E8216" s="368"/>
      <c r="F8216" s="368"/>
    </row>
    <row r="8217" spans="1:6" ht="38.25" x14ac:dyDescent="0.2">
      <c r="A8217" s="391">
        <v>99320</v>
      </c>
      <c r="B8217" s="478" t="s">
        <v>47357</v>
      </c>
      <c r="C8217" s="391" t="s">
        <v>26</v>
      </c>
      <c r="D8217" s="479">
        <v>8120.81</v>
      </c>
      <c r="E8217" s="368"/>
      <c r="F8217" s="368"/>
    </row>
    <row r="8218" spans="1:6" ht="38.25" x14ac:dyDescent="0.2">
      <c r="A8218" s="391">
        <v>99322</v>
      </c>
      <c r="B8218" s="478" t="s">
        <v>47358</v>
      </c>
      <c r="C8218" s="391" t="s">
        <v>26</v>
      </c>
      <c r="D8218" s="479">
        <v>9164.41</v>
      </c>
      <c r="E8218" s="368"/>
      <c r="F8218" s="368"/>
    </row>
    <row r="8219" spans="1:6" ht="38.25" x14ac:dyDescent="0.2">
      <c r="A8219" s="391">
        <v>99324</v>
      </c>
      <c r="B8219" s="478" t="s">
        <v>47359</v>
      </c>
      <c r="C8219" s="391" t="s">
        <v>26</v>
      </c>
      <c r="D8219" s="479">
        <v>10208.030000000001</v>
      </c>
      <c r="E8219" s="368"/>
      <c r="F8219" s="368"/>
    </row>
    <row r="8220" spans="1:6" ht="38.25" x14ac:dyDescent="0.2">
      <c r="A8220" s="391">
        <v>99310</v>
      </c>
      <c r="B8220" s="478" t="s">
        <v>47360</v>
      </c>
      <c r="C8220" s="391" t="s">
        <v>26</v>
      </c>
      <c r="D8220" s="479">
        <v>14234.67</v>
      </c>
      <c r="E8220" s="368"/>
      <c r="F8220" s="368"/>
    </row>
    <row r="8221" spans="1:6" ht="38.25" x14ac:dyDescent="0.2">
      <c r="A8221" s="391">
        <v>99313</v>
      </c>
      <c r="B8221" s="478" t="s">
        <v>47361</v>
      </c>
      <c r="C8221" s="391" t="s">
        <v>26</v>
      </c>
      <c r="D8221" s="479">
        <v>15878.77</v>
      </c>
      <c r="E8221" s="368"/>
      <c r="F8221" s="368"/>
    </row>
    <row r="8222" spans="1:6" ht="38.25" x14ac:dyDescent="0.2">
      <c r="A8222" s="391">
        <v>99303</v>
      </c>
      <c r="B8222" s="478" t="s">
        <v>47362</v>
      </c>
      <c r="C8222" s="391" t="s">
        <v>26</v>
      </c>
      <c r="D8222" s="479">
        <v>11090.24</v>
      </c>
      <c r="E8222" s="368"/>
      <c r="F8222" s="368"/>
    </row>
    <row r="8223" spans="1:6" ht="38.25" x14ac:dyDescent="0.2">
      <c r="A8223" s="391">
        <v>99305</v>
      </c>
      <c r="B8223" s="478" t="s">
        <v>47363</v>
      </c>
      <c r="C8223" s="391" t="s">
        <v>26</v>
      </c>
      <c r="D8223" s="479">
        <v>12543.63</v>
      </c>
      <c r="E8223" s="368"/>
      <c r="F8223" s="368"/>
    </row>
    <row r="8224" spans="1:6" ht="38.25" x14ac:dyDescent="0.2">
      <c r="A8224" s="391">
        <v>99308</v>
      </c>
      <c r="B8224" s="478" t="s">
        <v>47364</v>
      </c>
      <c r="C8224" s="391" t="s">
        <v>26</v>
      </c>
      <c r="D8224" s="479">
        <v>13997.01</v>
      </c>
      <c r="E8224" s="368"/>
      <c r="F8224" s="368"/>
    </row>
    <row r="8225" spans="1:6" ht="38.25" x14ac:dyDescent="0.2">
      <c r="A8225" s="391">
        <v>99315</v>
      </c>
      <c r="B8225" s="478" t="s">
        <v>47365</v>
      </c>
      <c r="C8225" s="391" t="s">
        <v>26</v>
      </c>
      <c r="D8225" s="479">
        <v>17760.64</v>
      </c>
      <c r="E8225" s="368"/>
      <c r="F8225" s="368"/>
    </row>
    <row r="8226" spans="1:6" ht="38.25" x14ac:dyDescent="0.2">
      <c r="A8226" s="391">
        <v>98008</v>
      </c>
      <c r="B8226" s="478" t="s">
        <v>47366</v>
      </c>
      <c r="C8226" s="391" t="s">
        <v>26</v>
      </c>
      <c r="D8226" s="479">
        <v>4161.9399999999996</v>
      </c>
      <c r="E8226" s="368"/>
      <c r="F8226" s="368"/>
    </row>
    <row r="8227" spans="1:6" ht="38.25" x14ac:dyDescent="0.2">
      <c r="A8227" s="391">
        <v>98010</v>
      </c>
      <c r="B8227" s="478" t="s">
        <v>47367</v>
      </c>
      <c r="C8227" s="391" t="s">
        <v>26</v>
      </c>
      <c r="D8227" s="479">
        <v>5085.6499999999996</v>
      </c>
      <c r="E8227" s="368"/>
      <c r="F8227" s="368"/>
    </row>
    <row r="8228" spans="1:6" ht="38.25" x14ac:dyDescent="0.2">
      <c r="A8228" s="391">
        <v>98012</v>
      </c>
      <c r="B8228" s="478" t="s">
        <v>47368</v>
      </c>
      <c r="C8228" s="391" t="s">
        <v>26</v>
      </c>
      <c r="D8228" s="479">
        <v>5980.18</v>
      </c>
      <c r="E8228" s="368"/>
      <c r="F8228" s="368"/>
    </row>
    <row r="8229" spans="1:6" ht="38.25" x14ac:dyDescent="0.2">
      <c r="A8229" s="391">
        <v>98014</v>
      </c>
      <c r="B8229" s="478" t="s">
        <v>47369</v>
      </c>
      <c r="C8229" s="391" t="s">
        <v>26</v>
      </c>
      <c r="D8229" s="479">
        <v>6874.64</v>
      </c>
      <c r="E8229" s="368"/>
      <c r="F8229" s="368"/>
    </row>
    <row r="8230" spans="1:6" ht="38.25" x14ac:dyDescent="0.2">
      <c r="A8230" s="391">
        <v>98016</v>
      </c>
      <c r="B8230" s="478" t="s">
        <v>47370</v>
      </c>
      <c r="C8230" s="391" t="s">
        <v>26</v>
      </c>
      <c r="D8230" s="479">
        <v>7769.25</v>
      </c>
      <c r="E8230" s="368"/>
      <c r="F8230" s="368"/>
    </row>
    <row r="8231" spans="1:6" ht="38.25" x14ac:dyDescent="0.2">
      <c r="A8231" s="391">
        <v>98018</v>
      </c>
      <c r="B8231" s="478" t="s">
        <v>47371</v>
      </c>
      <c r="C8231" s="391" t="s">
        <v>26</v>
      </c>
      <c r="D8231" s="479">
        <v>8663.7199999999993</v>
      </c>
      <c r="E8231" s="368"/>
      <c r="F8231" s="368"/>
    </row>
    <row r="8232" spans="1:6" ht="38.25" x14ac:dyDescent="0.2">
      <c r="A8232" s="391">
        <v>97994</v>
      </c>
      <c r="B8232" s="478" t="s">
        <v>48125</v>
      </c>
      <c r="C8232" s="391" t="s">
        <v>26</v>
      </c>
      <c r="D8232" s="479">
        <v>2650.56</v>
      </c>
      <c r="E8232" s="368"/>
      <c r="F8232" s="368"/>
    </row>
    <row r="8233" spans="1:6" ht="38.25" x14ac:dyDescent="0.2">
      <c r="A8233" s="391">
        <v>97996</v>
      </c>
      <c r="B8233" s="478" t="s">
        <v>47372</v>
      </c>
      <c r="C8233" s="391" t="s">
        <v>26</v>
      </c>
      <c r="D8233" s="479">
        <v>3356.61</v>
      </c>
      <c r="E8233" s="368"/>
      <c r="F8233" s="368"/>
    </row>
    <row r="8234" spans="1:6" ht="38.25" x14ac:dyDescent="0.2">
      <c r="A8234" s="391">
        <v>98407</v>
      </c>
      <c r="B8234" s="478" t="s">
        <v>47373</v>
      </c>
      <c r="C8234" s="391" t="s">
        <v>26</v>
      </c>
      <c r="D8234" s="479">
        <v>4062.6</v>
      </c>
      <c r="E8234" s="368"/>
      <c r="F8234" s="368"/>
    </row>
    <row r="8235" spans="1:6" ht="38.25" x14ac:dyDescent="0.2">
      <c r="A8235" s="391">
        <v>98408</v>
      </c>
      <c r="B8235" s="478" t="s">
        <v>47374</v>
      </c>
      <c r="C8235" s="391" t="s">
        <v>26</v>
      </c>
      <c r="D8235" s="479">
        <v>4768.6400000000003</v>
      </c>
      <c r="E8235" s="368"/>
      <c r="F8235" s="368"/>
    </row>
    <row r="8236" spans="1:6" ht="38.25" x14ac:dyDescent="0.2">
      <c r="A8236" s="391">
        <v>98002</v>
      </c>
      <c r="B8236" s="478" t="s">
        <v>47375</v>
      </c>
      <c r="C8236" s="391" t="s">
        <v>26</v>
      </c>
      <c r="D8236" s="479">
        <v>5511.55</v>
      </c>
      <c r="E8236" s="368"/>
      <c r="F8236" s="368"/>
    </row>
    <row r="8237" spans="1:6" ht="38.25" x14ac:dyDescent="0.2">
      <c r="A8237" s="391">
        <v>98406</v>
      </c>
      <c r="B8237" s="478" t="s">
        <v>47376</v>
      </c>
      <c r="C8237" s="391" t="s">
        <v>26</v>
      </c>
      <c r="D8237" s="479">
        <v>6222.2</v>
      </c>
      <c r="E8237" s="368"/>
      <c r="F8237" s="368"/>
    </row>
    <row r="8238" spans="1:6" ht="38.25" x14ac:dyDescent="0.2">
      <c r="A8238" s="391">
        <v>98006</v>
      </c>
      <c r="B8238" s="478" t="s">
        <v>47377</v>
      </c>
      <c r="C8238" s="391" t="s">
        <v>26</v>
      </c>
      <c r="D8238" s="479">
        <v>6932.93</v>
      </c>
      <c r="E8238" s="368"/>
      <c r="F8238" s="368"/>
    </row>
    <row r="8239" spans="1:6" ht="38.25" x14ac:dyDescent="0.2">
      <c r="A8239" s="391">
        <v>98030</v>
      </c>
      <c r="B8239" s="478" t="s">
        <v>47378</v>
      </c>
      <c r="C8239" s="391" t="s">
        <v>26</v>
      </c>
      <c r="D8239" s="479">
        <v>8558.4500000000007</v>
      </c>
      <c r="E8239" s="368"/>
      <c r="F8239" s="368"/>
    </row>
    <row r="8240" spans="1:6" ht="38.25" x14ac:dyDescent="0.2">
      <c r="A8240" s="391">
        <v>98032</v>
      </c>
      <c r="B8240" s="478" t="s">
        <v>47379</v>
      </c>
      <c r="C8240" s="391" t="s">
        <v>26</v>
      </c>
      <c r="D8240" s="479">
        <v>9856.76</v>
      </c>
      <c r="E8240" s="368"/>
      <c r="F8240" s="368"/>
    </row>
    <row r="8241" spans="1:6" ht="38.25" x14ac:dyDescent="0.2">
      <c r="A8241" s="391">
        <v>98034</v>
      </c>
      <c r="B8241" s="478" t="s">
        <v>47380</v>
      </c>
      <c r="C8241" s="391" t="s">
        <v>26</v>
      </c>
      <c r="D8241" s="479">
        <v>11155.08</v>
      </c>
      <c r="E8241" s="368"/>
      <c r="F8241" s="368"/>
    </row>
    <row r="8242" spans="1:6" ht="38.25" x14ac:dyDescent="0.2">
      <c r="A8242" s="391">
        <v>98036</v>
      </c>
      <c r="B8242" s="478" t="s">
        <v>47381</v>
      </c>
      <c r="C8242" s="391" t="s">
        <v>26</v>
      </c>
      <c r="D8242" s="479">
        <v>12453.41</v>
      </c>
      <c r="E8242" s="368"/>
      <c r="F8242" s="368"/>
    </row>
    <row r="8243" spans="1:6" ht="38.25" x14ac:dyDescent="0.2">
      <c r="A8243" s="391">
        <v>98020</v>
      </c>
      <c r="B8243" s="478" t="s">
        <v>47382</v>
      </c>
      <c r="C8243" s="391" t="s">
        <v>26</v>
      </c>
      <c r="D8243" s="479">
        <v>6150.89</v>
      </c>
      <c r="E8243" s="368"/>
      <c r="F8243" s="368"/>
    </row>
    <row r="8244" spans="1:6" ht="38.25" x14ac:dyDescent="0.2">
      <c r="A8244" s="391">
        <v>98022</v>
      </c>
      <c r="B8244" s="478" t="s">
        <v>47383</v>
      </c>
      <c r="C8244" s="391" t="s">
        <v>26</v>
      </c>
      <c r="D8244" s="479">
        <v>7215.16</v>
      </c>
      <c r="E8244" s="368"/>
      <c r="F8244" s="368"/>
    </row>
    <row r="8245" spans="1:6" ht="38.25" x14ac:dyDescent="0.2">
      <c r="A8245" s="391">
        <v>98024</v>
      </c>
      <c r="B8245" s="478" t="s">
        <v>47384</v>
      </c>
      <c r="C8245" s="391" t="s">
        <v>26</v>
      </c>
      <c r="D8245" s="479">
        <v>8344.15</v>
      </c>
      <c r="E8245" s="368"/>
      <c r="F8245" s="368"/>
    </row>
    <row r="8246" spans="1:6" ht="38.25" x14ac:dyDescent="0.2">
      <c r="A8246" s="391">
        <v>98026</v>
      </c>
      <c r="B8246" s="478" t="s">
        <v>47385</v>
      </c>
      <c r="C8246" s="391" t="s">
        <v>26</v>
      </c>
      <c r="D8246" s="479">
        <v>9416.6200000000008</v>
      </c>
      <c r="E8246" s="368"/>
      <c r="F8246" s="368"/>
    </row>
    <row r="8247" spans="1:6" ht="38.25" x14ac:dyDescent="0.2">
      <c r="A8247" s="391">
        <v>98028</v>
      </c>
      <c r="B8247" s="478" t="s">
        <v>47386</v>
      </c>
      <c r="C8247" s="391" t="s">
        <v>26</v>
      </c>
      <c r="D8247" s="479">
        <v>10489.13</v>
      </c>
      <c r="E8247" s="368"/>
      <c r="F8247" s="368"/>
    </row>
    <row r="8248" spans="1:6" ht="38.25" x14ac:dyDescent="0.2">
      <c r="A8248" s="391">
        <v>98044</v>
      </c>
      <c r="B8248" s="478" t="s">
        <v>47387</v>
      </c>
      <c r="C8248" s="391" t="s">
        <v>26</v>
      </c>
      <c r="D8248" s="479">
        <v>14632.89</v>
      </c>
      <c r="E8248" s="368"/>
      <c r="F8248" s="368"/>
    </row>
    <row r="8249" spans="1:6" ht="38.25" x14ac:dyDescent="0.2">
      <c r="A8249" s="391">
        <v>98046</v>
      </c>
      <c r="B8249" s="478" t="s">
        <v>47388</v>
      </c>
      <c r="C8249" s="391" t="s">
        <v>26</v>
      </c>
      <c r="D8249" s="479">
        <v>16323.24</v>
      </c>
      <c r="E8249" s="368"/>
      <c r="F8249" s="368"/>
    </row>
    <row r="8250" spans="1:6" ht="38.25" x14ac:dyDescent="0.2">
      <c r="A8250" s="391">
        <v>98038</v>
      </c>
      <c r="B8250" s="478" t="s">
        <v>47389</v>
      </c>
      <c r="C8250" s="391" t="s">
        <v>26</v>
      </c>
      <c r="D8250" s="479">
        <v>11399.51</v>
      </c>
      <c r="E8250" s="368"/>
      <c r="F8250" s="368"/>
    </row>
    <row r="8251" spans="1:6" ht="38.25" x14ac:dyDescent="0.2">
      <c r="A8251" s="391">
        <v>98040</v>
      </c>
      <c r="B8251" s="478" t="s">
        <v>47390</v>
      </c>
      <c r="C8251" s="391" t="s">
        <v>26</v>
      </c>
      <c r="D8251" s="479">
        <v>12893.94</v>
      </c>
      <c r="E8251" s="368"/>
      <c r="F8251" s="368"/>
    </row>
    <row r="8252" spans="1:6" ht="38.25" x14ac:dyDescent="0.2">
      <c r="A8252" s="391">
        <v>98042</v>
      </c>
      <c r="B8252" s="478" t="s">
        <v>47391</v>
      </c>
      <c r="C8252" s="391" t="s">
        <v>26</v>
      </c>
      <c r="D8252" s="479">
        <v>14388.37</v>
      </c>
      <c r="E8252" s="368"/>
      <c r="F8252" s="368"/>
    </row>
    <row r="8253" spans="1:6" ht="38.25" x14ac:dyDescent="0.2">
      <c r="A8253" s="391">
        <v>98048</v>
      </c>
      <c r="B8253" s="478" t="s">
        <v>47392</v>
      </c>
      <c r="C8253" s="391" t="s">
        <v>26</v>
      </c>
      <c r="D8253" s="479">
        <v>18258.22</v>
      </c>
      <c r="E8253" s="368"/>
      <c r="F8253" s="368"/>
    </row>
    <row r="8254" spans="1:6" ht="25.5" x14ac:dyDescent="0.2">
      <c r="A8254" s="391">
        <v>97955</v>
      </c>
      <c r="B8254" s="478" t="s">
        <v>1380</v>
      </c>
      <c r="C8254" s="391" t="s">
        <v>26</v>
      </c>
      <c r="D8254" s="479">
        <v>3179.96</v>
      </c>
      <c r="E8254" s="368"/>
      <c r="F8254" s="368"/>
    </row>
    <row r="8255" spans="1:6" ht="25.5" x14ac:dyDescent="0.2">
      <c r="A8255" s="391">
        <v>97948</v>
      </c>
      <c r="B8255" s="478" t="s">
        <v>1374</v>
      </c>
      <c r="C8255" s="391" t="s">
        <v>26</v>
      </c>
      <c r="D8255" s="479">
        <v>3402.36</v>
      </c>
      <c r="E8255" s="368"/>
      <c r="F8255" s="368"/>
    </row>
    <row r="8256" spans="1:6" ht="25.5" x14ac:dyDescent="0.2">
      <c r="A8256" s="391">
        <v>97934</v>
      </c>
      <c r="B8256" s="478" t="s">
        <v>1370</v>
      </c>
      <c r="C8256" s="391" t="s">
        <v>26</v>
      </c>
      <c r="D8256" s="479">
        <v>2500.6999999999998</v>
      </c>
      <c r="E8256" s="368"/>
      <c r="F8256" s="368"/>
    </row>
    <row r="8257" spans="1:6" ht="25.5" x14ac:dyDescent="0.2">
      <c r="A8257" s="391">
        <v>97953</v>
      </c>
      <c r="B8257" s="478" t="s">
        <v>1379</v>
      </c>
      <c r="C8257" s="391" t="s">
        <v>26</v>
      </c>
      <c r="D8257" s="479">
        <v>1481.47</v>
      </c>
      <c r="E8257" s="368"/>
      <c r="F8257" s="368"/>
    </row>
    <row r="8258" spans="1:6" ht="25.5" x14ac:dyDescent="0.2">
      <c r="A8258" s="391">
        <v>97947</v>
      </c>
      <c r="B8258" s="478" t="s">
        <v>1373</v>
      </c>
      <c r="C8258" s="391" t="s">
        <v>26</v>
      </c>
      <c r="D8258" s="479">
        <v>1838.48</v>
      </c>
      <c r="E8258" s="368"/>
      <c r="F8258" s="368"/>
    </row>
    <row r="8259" spans="1:6" ht="25.5" x14ac:dyDescent="0.2">
      <c r="A8259" s="391">
        <v>97933</v>
      </c>
      <c r="B8259" s="478" t="s">
        <v>1369</v>
      </c>
      <c r="C8259" s="391" t="s">
        <v>26</v>
      </c>
      <c r="D8259" s="479">
        <v>1243.76</v>
      </c>
      <c r="E8259" s="368"/>
      <c r="F8259" s="368"/>
    </row>
    <row r="8260" spans="1:6" ht="38.25" x14ac:dyDescent="0.2">
      <c r="A8260" s="391">
        <v>97961</v>
      </c>
      <c r="B8260" s="478" t="s">
        <v>1383</v>
      </c>
      <c r="C8260" s="391" t="s">
        <v>26</v>
      </c>
      <c r="D8260" s="479">
        <v>2511.06</v>
      </c>
      <c r="E8260" s="368"/>
      <c r="F8260" s="368"/>
    </row>
    <row r="8261" spans="1:6" ht="38.25" x14ac:dyDescent="0.2">
      <c r="A8261" s="391">
        <v>97951</v>
      </c>
      <c r="B8261" s="478" t="s">
        <v>1377</v>
      </c>
      <c r="C8261" s="391" t="s">
        <v>26</v>
      </c>
      <c r="D8261" s="479">
        <v>2899.2</v>
      </c>
      <c r="E8261" s="368"/>
      <c r="F8261" s="368"/>
    </row>
    <row r="8262" spans="1:6" ht="38.25" x14ac:dyDescent="0.2">
      <c r="A8262" s="391">
        <v>97973</v>
      </c>
      <c r="B8262" s="478" t="s">
        <v>1384</v>
      </c>
      <c r="C8262" s="391" t="s">
        <v>26</v>
      </c>
      <c r="D8262" s="479">
        <v>4684.3999999999996</v>
      </c>
      <c r="E8262" s="368"/>
      <c r="F8262" s="368"/>
    </row>
    <row r="8263" spans="1:6" ht="38.25" x14ac:dyDescent="0.2">
      <c r="A8263" s="391">
        <v>97952</v>
      </c>
      <c r="B8263" s="478" t="s">
        <v>1378</v>
      </c>
      <c r="C8263" s="391" t="s">
        <v>26</v>
      </c>
      <c r="D8263" s="479">
        <v>5039.46</v>
      </c>
      <c r="E8263" s="368"/>
      <c r="F8263" s="368"/>
    </row>
    <row r="8264" spans="1:6" ht="25.5" x14ac:dyDescent="0.2">
      <c r="A8264" s="391">
        <v>97957</v>
      </c>
      <c r="B8264" s="478" t="s">
        <v>1382</v>
      </c>
      <c r="C8264" s="391" t="s">
        <v>26</v>
      </c>
      <c r="D8264" s="479">
        <v>2661.69</v>
      </c>
      <c r="E8264" s="368"/>
      <c r="F8264" s="368"/>
    </row>
    <row r="8265" spans="1:6" ht="25.5" x14ac:dyDescent="0.2">
      <c r="A8265" s="391">
        <v>97950</v>
      </c>
      <c r="B8265" s="478" t="s">
        <v>1376</v>
      </c>
      <c r="C8265" s="391" t="s">
        <v>26</v>
      </c>
      <c r="D8265" s="479">
        <v>3073.79</v>
      </c>
      <c r="E8265" s="368"/>
      <c r="F8265" s="368"/>
    </row>
    <row r="8266" spans="1:6" ht="25.5" x14ac:dyDescent="0.2">
      <c r="A8266" s="391">
        <v>97936</v>
      </c>
      <c r="B8266" s="478" t="s">
        <v>1372</v>
      </c>
      <c r="C8266" s="391" t="s">
        <v>26</v>
      </c>
      <c r="D8266" s="479">
        <v>1956.6</v>
      </c>
      <c r="E8266" s="368"/>
      <c r="F8266" s="368"/>
    </row>
    <row r="8267" spans="1:6" ht="25.5" x14ac:dyDescent="0.2">
      <c r="A8267" s="391">
        <v>97956</v>
      </c>
      <c r="B8267" s="478" t="s">
        <v>1381</v>
      </c>
      <c r="C8267" s="391" t="s">
        <v>26</v>
      </c>
      <c r="D8267" s="479">
        <v>1495.78</v>
      </c>
      <c r="E8267" s="368"/>
      <c r="F8267" s="368"/>
    </row>
    <row r="8268" spans="1:6" ht="25.5" x14ac:dyDescent="0.2">
      <c r="A8268" s="391">
        <v>97949</v>
      </c>
      <c r="B8268" s="478" t="s">
        <v>1375</v>
      </c>
      <c r="C8268" s="391" t="s">
        <v>26</v>
      </c>
      <c r="D8268" s="479">
        <v>1747.53</v>
      </c>
      <c r="E8268" s="368"/>
      <c r="F8268" s="368"/>
    </row>
    <row r="8269" spans="1:6" ht="25.5" x14ac:dyDescent="0.2">
      <c r="A8269" s="391">
        <v>97935</v>
      </c>
      <c r="B8269" s="478" t="s">
        <v>1371</v>
      </c>
      <c r="C8269" s="391" t="s">
        <v>26</v>
      </c>
      <c r="D8269" s="479">
        <v>956.76</v>
      </c>
      <c r="E8269" s="368"/>
      <c r="F8269" s="368"/>
    </row>
    <row r="8270" spans="1:6" ht="25.5" x14ac:dyDescent="0.2">
      <c r="A8270" s="391">
        <v>99319</v>
      </c>
      <c r="B8270" s="478" t="s">
        <v>1453</v>
      </c>
      <c r="C8270" s="391" t="s">
        <v>0</v>
      </c>
      <c r="D8270" s="479">
        <v>881.05</v>
      </c>
      <c r="E8270" s="368"/>
      <c r="F8270" s="368"/>
    </row>
    <row r="8271" spans="1:6" ht="25.5" x14ac:dyDescent="0.2">
      <c r="A8271" s="391">
        <v>99318</v>
      </c>
      <c r="B8271" s="478" t="s">
        <v>1452</v>
      </c>
      <c r="C8271" s="391" t="s">
        <v>0</v>
      </c>
      <c r="D8271" s="479">
        <v>327.02</v>
      </c>
      <c r="E8271" s="368"/>
      <c r="F8271" s="368"/>
    </row>
    <row r="8272" spans="1:6" ht="25.5" x14ac:dyDescent="0.2">
      <c r="A8272" s="391">
        <v>98051</v>
      </c>
      <c r="B8272" s="478" t="s">
        <v>1418</v>
      </c>
      <c r="C8272" s="391" t="s">
        <v>0</v>
      </c>
      <c r="D8272" s="479">
        <v>952.1</v>
      </c>
      <c r="E8272" s="368"/>
      <c r="F8272" s="368"/>
    </row>
    <row r="8273" spans="1:6" ht="25.5" x14ac:dyDescent="0.2">
      <c r="A8273" s="391">
        <v>98050</v>
      </c>
      <c r="B8273" s="478" t="s">
        <v>1417</v>
      </c>
      <c r="C8273" s="391" t="s">
        <v>0</v>
      </c>
      <c r="D8273" s="479">
        <v>328.1</v>
      </c>
      <c r="E8273" s="368"/>
      <c r="F8273" s="368"/>
    </row>
    <row r="8274" spans="1:6" ht="38.25" x14ac:dyDescent="0.2">
      <c r="A8274" s="391">
        <v>99272</v>
      </c>
      <c r="B8274" s="478" t="s">
        <v>47393</v>
      </c>
      <c r="C8274" s="391" t="s">
        <v>26</v>
      </c>
      <c r="D8274" s="479">
        <v>1068.3900000000001</v>
      </c>
      <c r="E8274" s="368"/>
      <c r="F8274" s="368"/>
    </row>
    <row r="8275" spans="1:6" ht="38.25" x14ac:dyDescent="0.2">
      <c r="A8275" s="391">
        <v>99273</v>
      </c>
      <c r="B8275" s="478" t="s">
        <v>47394</v>
      </c>
      <c r="C8275" s="391" t="s">
        <v>26</v>
      </c>
      <c r="D8275" s="479">
        <v>1511.01</v>
      </c>
      <c r="E8275" s="368"/>
      <c r="F8275" s="368"/>
    </row>
    <row r="8276" spans="1:6" ht="38.25" x14ac:dyDescent="0.2">
      <c r="A8276" s="391">
        <v>99268</v>
      </c>
      <c r="B8276" s="478" t="s">
        <v>47395</v>
      </c>
      <c r="C8276" s="391" t="s">
        <v>26</v>
      </c>
      <c r="D8276" s="479">
        <v>517.04</v>
      </c>
      <c r="E8276" s="368"/>
      <c r="F8276" s="368"/>
    </row>
    <row r="8277" spans="1:6" ht="38.25" x14ac:dyDescent="0.2">
      <c r="A8277" s="391">
        <v>99270</v>
      </c>
      <c r="B8277" s="478" t="s">
        <v>47396</v>
      </c>
      <c r="C8277" s="391" t="s">
        <v>26</v>
      </c>
      <c r="D8277" s="479">
        <v>684.05</v>
      </c>
      <c r="E8277" s="368"/>
      <c r="F8277" s="368"/>
    </row>
    <row r="8278" spans="1:6" ht="38.25" x14ac:dyDescent="0.2">
      <c r="A8278" s="391">
        <v>97976</v>
      </c>
      <c r="B8278" s="478" t="s">
        <v>47397</v>
      </c>
      <c r="C8278" s="391" t="s">
        <v>26</v>
      </c>
      <c r="D8278" s="479">
        <v>1119.32</v>
      </c>
      <c r="E8278" s="368"/>
      <c r="F8278" s="368"/>
    </row>
    <row r="8279" spans="1:6" ht="38.25" x14ac:dyDescent="0.2">
      <c r="A8279" s="391">
        <v>97977</v>
      </c>
      <c r="B8279" s="478" t="s">
        <v>47398</v>
      </c>
      <c r="C8279" s="391" t="s">
        <v>26</v>
      </c>
      <c r="D8279" s="479">
        <v>1601.29</v>
      </c>
      <c r="E8279" s="368"/>
      <c r="F8279" s="368"/>
    </row>
    <row r="8280" spans="1:6" ht="38.25" x14ac:dyDescent="0.2">
      <c r="A8280" s="391">
        <v>97974</v>
      </c>
      <c r="B8280" s="478" t="s">
        <v>47399</v>
      </c>
      <c r="C8280" s="391" t="s">
        <v>26</v>
      </c>
      <c r="D8280" s="479">
        <v>522.1</v>
      </c>
      <c r="E8280" s="368"/>
      <c r="F8280" s="368"/>
    </row>
    <row r="8281" spans="1:6" ht="38.25" x14ac:dyDescent="0.2">
      <c r="A8281" s="391">
        <v>97975</v>
      </c>
      <c r="B8281" s="478" t="s">
        <v>47400</v>
      </c>
      <c r="C8281" s="391" t="s">
        <v>26</v>
      </c>
      <c r="D8281" s="479">
        <v>689.97</v>
      </c>
      <c r="E8281" s="368"/>
      <c r="F8281" s="368"/>
    </row>
    <row r="8282" spans="1:6" ht="25.5" x14ac:dyDescent="0.2">
      <c r="A8282" s="391">
        <v>101798</v>
      </c>
      <c r="B8282" s="478" t="s">
        <v>2747</v>
      </c>
      <c r="C8282" s="391" t="s">
        <v>26</v>
      </c>
      <c r="D8282" s="479">
        <v>333.98</v>
      </c>
      <c r="E8282" s="368"/>
      <c r="F8282" s="368"/>
    </row>
    <row r="8283" spans="1:6" ht="25.5" x14ac:dyDescent="0.2">
      <c r="A8283" s="391">
        <v>101799</v>
      </c>
      <c r="B8283" s="478" t="s">
        <v>2748</v>
      </c>
      <c r="C8283" s="391" t="s">
        <v>26</v>
      </c>
      <c r="D8283" s="479">
        <v>805.68</v>
      </c>
      <c r="E8283" s="368"/>
      <c r="F8283" s="368"/>
    </row>
    <row r="8284" spans="1:6" ht="25.5" x14ac:dyDescent="0.2">
      <c r="A8284" s="391">
        <v>102487</v>
      </c>
      <c r="B8284" s="478" t="s">
        <v>2135</v>
      </c>
      <c r="C8284" s="391" t="s">
        <v>271</v>
      </c>
      <c r="D8284" s="479">
        <v>598.59</v>
      </c>
      <c r="E8284" s="368"/>
      <c r="F8284" s="368"/>
    </row>
    <row r="8285" spans="1:6" ht="25.5" x14ac:dyDescent="0.2">
      <c r="A8285" s="391">
        <v>102486</v>
      </c>
      <c r="B8285" s="478" t="s">
        <v>2134</v>
      </c>
      <c r="C8285" s="391" t="s">
        <v>271</v>
      </c>
      <c r="D8285" s="479">
        <v>665.95</v>
      </c>
      <c r="E8285" s="368"/>
      <c r="F8285" s="368"/>
    </row>
    <row r="8286" spans="1:6" ht="38.25" x14ac:dyDescent="0.2">
      <c r="A8286" s="391">
        <v>102474</v>
      </c>
      <c r="B8286" s="478" t="s">
        <v>2122</v>
      </c>
      <c r="C8286" s="391" t="s">
        <v>271</v>
      </c>
      <c r="D8286" s="479">
        <v>612.19000000000005</v>
      </c>
      <c r="E8286" s="368"/>
      <c r="F8286" s="368"/>
    </row>
    <row r="8287" spans="1:6" ht="38.25" x14ac:dyDescent="0.2">
      <c r="A8287" s="391">
        <v>102480</v>
      </c>
      <c r="B8287" s="478" t="s">
        <v>2128</v>
      </c>
      <c r="C8287" s="391" t="s">
        <v>271</v>
      </c>
      <c r="D8287" s="479">
        <v>605.67999999999995</v>
      </c>
      <c r="E8287" s="368"/>
      <c r="F8287" s="368"/>
    </row>
    <row r="8288" spans="1:6" ht="25.5" x14ac:dyDescent="0.2">
      <c r="A8288" s="391">
        <v>94975</v>
      </c>
      <c r="B8288" s="478" t="s">
        <v>2116</v>
      </c>
      <c r="C8288" s="391" t="s">
        <v>271</v>
      </c>
      <c r="D8288" s="479">
        <v>504.28</v>
      </c>
      <c r="E8288" s="368"/>
      <c r="F8288" s="368"/>
    </row>
    <row r="8289" spans="1:6" ht="38.25" x14ac:dyDescent="0.2">
      <c r="A8289" s="391">
        <v>94963</v>
      </c>
      <c r="B8289" s="478" t="s">
        <v>2104</v>
      </c>
      <c r="C8289" s="391" t="s">
        <v>271</v>
      </c>
      <c r="D8289" s="479">
        <v>451.86</v>
      </c>
      <c r="E8289" s="368"/>
      <c r="F8289" s="368"/>
    </row>
    <row r="8290" spans="1:6" ht="38.25" x14ac:dyDescent="0.2">
      <c r="A8290" s="391">
        <v>94969</v>
      </c>
      <c r="B8290" s="478" t="s">
        <v>2110</v>
      </c>
      <c r="C8290" s="391" t="s">
        <v>271</v>
      </c>
      <c r="D8290" s="479">
        <v>444.78</v>
      </c>
      <c r="E8290" s="368"/>
      <c r="F8290" s="368"/>
    </row>
    <row r="8291" spans="1:6" ht="38.25" x14ac:dyDescent="0.2">
      <c r="A8291" s="391">
        <v>102475</v>
      </c>
      <c r="B8291" s="478" t="s">
        <v>2123</v>
      </c>
      <c r="C8291" s="391" t="s">
        <v>271</v>
      </c>
      <c r="D8291" s="479">
        <v>655.91</v>
      </c>
      <c r="E8291" s="368"/>
      <c r="F8291" s="368"/>
    </row>
    <row r="8292" spans="1:6" ht="38.25" x14ac:dyDescent="0.2">
      <c r="A8292" s="391">
        <v>102481</v>
      </c>
      <c r="B8292" s="478" t="s">
        <v>2129</v>
      </c>
      <c r="C8292" s="391" t="s">
        <v>271</v>
      </c>
      <c r="D8292" s="479">
        <v>642.59</v>
      </c>
      <c r="E8292" s="368"/>
      <c r="F8292" s="368"/>
    </row>
    <row r="8293" spans="1:6" ht="25.5" x14ac:dyDescent="0.2">
      <c r="A8293" s="391">
        <v>94964</v>
      </c>
      <c r="B8293" s="478" t="s">
        <v>2105</v>
      </c>
      <c r="C8293" s="391" t="s">
        <v>271</v>
      </c>
      <c r="D8293" s="479">
        <v>490.6</v>
      </c>
      <c r="E8293" s="368"/>
      <c r="F8293" s="368"/>
    </row>
    <row r="8294" spans="1:6" ht="25.5" x14ac:dyDescent="0.2">
      <c r="A8294" s="391">
        <v>94970</v>
      </c>
      <c r="B8294" s="478" t="s">
        <v>2111</v>
      </c>
      <c r="C8294" s="391" t="s">
        <v>271</v>
      </c>
      <c r="D8294" s="479">
        <v>476.7</v>
      </c>
      <c r="E8294" s="368"/>
      <c r="F8294" s="368"/>
    </row>
    <row r="8295" spans="1:6" ht="38.25" x14ac:dyDescent="0.2">
      <c r="A8295" s="391">
        <v>102476</v>
      </c>
      <c r="B8295" s="478" t="s">
        <v>2124</v>
      </c>
      <c r="C8295" s="391" t="s">
        <v>271</v>
      </c>
      <c r="D8295" s="479">
        <v>671.59</v>
      </c>
      <c r="E8295" s="368"/>
      <c r="F8295" s="368"/>
    </row>
    <row r="8296" spans="1:6" ht="38.25" x14ac:dyDescent="0.2">
      <c r="A8296" s="391">
        <v>102482</v>
      </c>
      <c r="B8296" s="478" t="s">
        <v>2130</v>
      </c>
      <c r="C8296" s="391" t="s">
        <v>271</v>
      </c>
      <c r="D8296" s="479">
        <v>668.69</v>
      </c>
      <c r="E8296" s="368"/>
      <c r="F8296" s="368"/>
    </row>
    <row r="8297" spans="1:6" ht="38.25" x14ac:dyDescent="0.2">
      <c r="A8297" s="391">
        <v>94965</v>
      </c>
      <c r="B8297" s="478" t="s">
        <v>2106</v>
      </c>
      <c r="C8297" s="391" t="s">
        <v>271</v>
      </c>
      <c r="D8297" s="479">
        <v>507.27</v>
      </c>
      <c r="E8297" s="368"/>
      <c r="F8297" s="368"/>
    </row>
    <row r="8298" spans="1:6" ht="38.25" x14ac:dyDescent="0.2">
      <c r="A8298" s="391">
        <v>94971</v>
      </c>
      <c r="B8298" s="478" t="s">
        <v>2112</v>
      </c>
      <c r="C8298" s="391" t="s">
        <v>271</v>
      </c>
      <c r="D8298" s="479">
        <v>500.04</v>
      </c>
      <c r="E8298" s="368"/>
      <c r="F8298" s="368"/>
    </row>
    <row r="8299" spans="1:6" ht="38.25" x14ac:dyDescent="0.2">
      <c r="A8299" s="391">
        <v>102477</v>
      </c>
      <c r="B8299" s="478" t="s">
        <v>2125</v>
      </c>
      <c r="C8299" s="391" t="s">
        <v>271</v>
      </c>
      <c r="D8299" s="479">
        <v>706.37</v>
      </c>
      <c r="E8299" s="368"/>
      <c r="F8299" s="368"/>
    </row>
    <row r="8300" spans="1:6" ht="38.25" x14ac:dyDescent="0.2">
      <c r="A8300" s="391">
        <v>102483</v>
      </c>
      <c r="B8300" s="478" t="s">
        <v>2131</v>
      </c>
      <c r="C8300" s="391" t="s">
        <v>271</v>
      </c>
      <c r="D8300" s="479">
        <v>698.95</v>
      </c>
      <c r="E8300" s="368"/>
      <c r="F8300" s="368"/>
    </row>
    <row r="8301" spans="1:6" ht="38.25" x14ac:dyDescent="0.2">
      <c r="A8301" s="391">
        <v>94966</v>
      </c>
      <c r="B8301" s="478" t="s">
        <v>2107</v>
      </c>
      <c r="C8301" s="391" t="s">
        <v>271</v>
      </c>
      <c r="D8301" s="479">
        <v>523.05999999999995</v>
      </c>
      <c r="E8301" s="368"/>
      <c r="F8301" s="368"/>
    </row>
    <row r="8302" spans="1:6" ht="38.25" x14ac:dyDescent="0.2">
      <c r="A8302" s="391">
        <v>94972</v>
      </c>
      <c r="B8302" s="478" t="s">
        <v>2113</v>
      </c>
      <c r="C8302" s="391" t="s">
        <v>271</v>
      </c>
      <c r="D8302" s="479">
        <v>515.84</v>
      </c>
      <c r="E8302" s="368"/>
      <c r="F8302" s="368"/>
    </row>
    <row r="8303" spans="1:6" ht="38.25" x14ac:dyDescent="0.2">
      <c r="A8303" s="391">
        <v>102478</v>
      </c>
      <c r="B8303" s="478" t="s">
        <v>2126</v>
      </c>
      <c r="C8303" s="391" t="s">
        <v>271</v>
      </c>
      <c r="D8303" s="479">
        <v>753.51</v>
      </c>
      <c r="E8303" s="368"/>
      <c r="F8303" s="368"/>
    </row>
    <row r="8304" spans="1:6" ht="38.25" x14ac:dyDescent="0.2">
      <c r="A8304" s="391">
        <v>102484</v>
      </c>
      <c r="B8304" s="478" t="s">
        <v>2132</v>
      </c>
      <c r="C8304" s="391" t="s">
        <v>271</v>
      </c>
      <c r="D8304" s="479">
        <v>752.49</v>
      </c>
      <c r="E8304" s="368"/>
      <c r="F8304" s="368"/>
    </row>
    <row r="8305" spans="1:6" ht="38.25" x14ac:dyDescent="0.2">
      <c r="A8305" s="391">
        <v>94967</v>
      </c>
      <c r="B8305" s="478" t="s">
        <v>2108</v>
      </c>
      <c r="C8305" s="391" t="s">
        <v>271</v>
      </c>
      <c r="D8305" s="479">
        <v>591.78</v>
      </c>
      <c r="E8305" s="368"/>
      <c r="F8305" s="368"/>
    </row>
    <row r="8306" spans="1:6" ht="38.25" x14ac:dyDescent="0.2">
      <c r="A8306" s="391">
        <v>94973</v>
      </c>
      <c r="B8306" s="478" t="s">
        <v>2114</v>
      </c>
      <c r="C8306" s="391" t="s">
        <v>271</v>
      </c>
      <c r="D8306" s="479">
        <v>582.54</v>
      </c>
      <c r="E8306" s="368"/>
      <c r="F8306" s="368"/>
    </row>
    <row r="8307" spans="1:6" ht="25.5" x14ac:dyDescent="0.2">
      <c r="A8307" s="391">
        <v>94974</v>
      </c>
      <c r="B8307" s="478" t="s">
        <v>2115</v>
      </c>
      <c r="C8307" s="391" t="s">
        <v>271</v>
      </c>
      <c r="D8307" s="479">
        <v>468.85</v>
      </c>
      <c r="E8307" s="368"/>
      <c r="F8307" s="368"/>
    </row>
    <row r="8308" spans="1:6" ht="38.25" x14ac:dyDescent="0.2">
      <c r="A8308" s="391">
        <v>94962</v>
      </c>
      <c r="B8308" s="478" t="s">
        <v>2103</v>
      </c>
      <c r="C8308" s="391" t="s">
        <v>271</v>
      </c>
      <c r="D8308" s="479">
        <v>411.23</v>
      </c>
      <c r="E8308" s="368"/>
      <c r="F8308" s="368"/>
    </row>
    <row r="8309" spans="1:6" ht="38.25" x14ac:dyDescent="0.2">
      <c r="A8309" s="391">
        <v>94968</v>
      </c>
      <c r="B8309" s="478" t="s">
        <v>2109</v>
      </c>
      <c r="C8309" s="391" t="s">
        <v>271</v>
      </c>
      <c r="D8309" s="479">
        <v>407.46</v>
      </c>
      <c r="E8309" s="368"/>
      <c r="F8309" s="368"/>
    </row>
    <row r="8310" spans="1:6" ht="25.5" x14ac:dyDescent="0.2">
      <c r="A8310" s="391">
        <v>102485</v>
      </c>
      <c r="B8310" s="478" t="s">
        <v>2133</v>
      </c>
      <c r="C8310" s="391" t="s">
        <v>271</v>
      </c>
      <c r="D8310" s="479">
        <v>636.62</v>
      </c>
      <c r="E8310" s="368"/>
      <c r="F8310" s="368"/>
    </row>
    <row r="8311" spans="1:6" ht="38.25" x14ac:dyDescent="0.2">
      <c r="A8311" s="391">
        <v>102473</v>
      </c>
      <c r="B8311" s="478" t="s">
        <v>2121</v>
      </c>
      <c r="C8311" s="391" t="s">
        <v>271</v>
      </c>
      <c r="D8311" s="479">
        <v>575.39</v>
      </c>
      <c r="E8311" s="368"/>
      <c r="F8311" s="368"/>
    </row>
    <row r="8312" spans="1:6" ht="38.25" x14ac:dyDescent="0.2">
      <c r="A8312" s="391">
        <v>102479</v>
      </c>
      <c r="B8312" s="478" t="s">
        <v>2127</v>
      </c>
      <c r="C8312" s="391" t="s">
        <v>271</v>
      </c>
      <c r="D8312" s="479">
        <v>572.33000000000004</v>
      </c>
      <c r="E8312" s="368"/>
      <c r="F8312" s="368"/>
    </row>
    <row r="8313" spans="1:6" ht="51" x14ac:dyDescent="0.2">
      <c r="A8313" s="391">
        <v>104835</v>
      </c>
      <c r="B8313" s="478" t="s">
        <v>41848</v>
      </c>
      <c r="C8313" s="391" t="s">
        <v>271</v>
      </c>
      <c r="D8313" s="479">
        <v>0</v>
      </c>
      <c r="E8313" s="368"/>
      <c r="F8313" s="368"/>
    </row>
    <row r="8314" spans="1:6" ht="63.75" x14ac:dyDescent="0.2">
      <c r="A8314" s="391">
        <v>104833</v>
      </c>
      <c r="B8314" s="478" t="s">
        <v>41849</v>
      </c>
      <c r="C8314" s="391" t="s">
        <v>271</v>
      </c>
      <c r="D8314" s="479">
        <v>0</v>
      </c>
      <c r="E8314" s="368"/>
      <c r="F8314" s="368"/>
    </row>
    <row r="8315" spans="1:6" ht="51" x14ac:dyDescent="0.2">
      <c r="A8315" s="391">
        <v>104834</v>
      </c>
      <c r="B8315" s="478" t="s">
        <v>41850</v>
      </c>
      <c r="C8315" s="391" t="s">
        <v>271</v>
      </c>
      <c r="D8315" s="479">
        <v>0</v>
      </c>
      <c r="E8315" s="368"/>
      <c r="F8315" s="368"/>
    </row>
    <row r="8316" spans="1:6" ht="51" x14ac:dyDescent="0.2">
      <c r="A8316" s="391">
        <v>104836</v>
      </c>
      <c r="B8316" s="478" t="s">
        <v>41851</v>
      </c>
      <c r="C8316" s="391" t="s">
        <v>271</v>
      </c>
      <c r="D8316" s="479">
        <v>0</v>
      </c>
      <c r="E8316" s="368"/>
      <c r="F8316" s="368"/>
    </row>
    <row r="8317" spans="1:6" ht="51" x14ac:dyDescent="0.2">
      <c r="A8317" s="391">
        <v>104837</v>
      </c>
      <c r="B8317" s="478" t="s">
        <v>41852</v>
      </c>
      <c r="C8317" s="391" t="s">
        <v>271</v>
      </c>
      <c r="D8317" s="479">
        <v>0</v>
      </c>
      <c r="E8317" s="368"/>
      <c r="F8317" s="368"/>
    </row>
    <row r="8318" spans="1:6" ht="51" x14ac:dyDescent="0.2">
      <c r="A8318" s="391">
        <v>104838</v>
      </c>
      <c r="B8318" s="478" t="s">
        <v>41853</v>
      </c>
      <c r="C8318" s="391" t="s">
        <v>271</v>
      </c>
      <c r="D8318" s="479">
        <v>0</v>
      </c>
      <c r="E8318" s="368"/>
      <c r="F8318" s="368"/>
    </row>
    <row r="8319" spans="1:6" ht="38.25" x14ac:dyDescent="0.2">
      <c r="A8319" s="391">
        <v>104839</v>
      </c>
      <c r="B8319" s="478" t="s">
        <v>41854</v>
      </c>
      <c r="C8319" s="391" t="s">
        <v>271</v>
      </c>
      <c r="D8319" s="479">
        <v>0</v>
      </c>
      <c r="E8319" s="368"/>
      <c r="F8319" s="368"/>
    </row>
    <row r="8320" spans="1:6" ht="51" x14ac:dyDescent="0.2">
      <c r="A8320" s="391">
        <v>104840</v>
      </c>
      <c r="B8320" s="478" t="s">
        <v>41855</v>
      </c>
      <c r="C8320" s="391" t="s">
        <v>271</v>
      </c>
      <c r="D8320" s="479">
        <v>0</v>
      </c>
      <c r="E8320" s="368"/>
      <c r="F8320" s="368"/>
    </row>
    <row r="8321" spans="1:6" ht="51" x14ac:dyDescent="0.2">
      <c r="A8321" s="391">
        <v>104830</v>
      </c>
      <c r="B8321" s="478" t="s">
        <v>41856</v>
      </c>
      <c r="C8321" s="391" t="s">
        <v>271</v>
      </c>
      <c r="D8321" s="479">
        <v>0</v>
      </c>
      <c r="E8321" s="368"/>
      <c r="F8321" s="368"/>
    </row>
    <row r="8322" spans="1:6" ht="51" x14ac:dyDescent="0.2">
      <c r="A8322" s="391">
        <v>104829</v>
      </c>
      <c r="B8322" s="478" t="s">
        <v>41857</v>
      </c>
      <c r="C8322" s="391" t="s">
        <v>271</v>
      </c>
      <c r="D8322" s="479">
        <v>0</v>
      </c>
      <c r="E8322" s="368"/>
      <c r="F8322" s="368"/>
    </row>
    <row r="8323" spans="1:6" ht="38.25" x14ac:dyDescent="0.2">
      <c r="A8323" s="391">
        <v>104832</v>
      </c>
      <c r="B8323" s="478" t="s">
        <v>41858</v>
      </c>
      <c r="C8323" s="391" t="s">
        <v>271</v>
      </c>
      <c r="D8323" s="479">
        <v>0</v>
      </c>
      <c r="E8323" s="368"/>
      <c r="F8323" s="368"/>
    </row>
    <row r="8324" spans="1:6" ht="51" x14ac:dyDescent="0.2">
      <c r="A8324" s="391">
        <v>104831</v>
      </c>
      <c r="B8324" s="478" t="s">
        <v>41859</v>
      </c>
      <c r="C8324" s="391" t="s">
        <v>271</v>
      </c>
      <c r="D8324" s="479">
        <v>0</v>
      </c>
      <c r="E8324" s="368"/>
      <c r="F8324" s="368"/>
    </row>
    <row r="8325" spans="1:6" ht="25.5" x14ac:dyDescent="0.2">
      <c r="A8325" s="391">
        <v>103773</v>
      </c>
      <c r="B8325" s="478" t="s">
        <v>41860</v>
      </c>
      <c r="C8325" s="391" t="s">
        <v>26</v>
      </c>
      <c r="D8325" s="479">
        <v>0</v>
      </c>
      <c r="E8325" s="368"/>
      <c r="F8325" s="368"/>
    </row>
    <row r="8326" spans="1:6" ht="25.5" x14ac:dyDescent="0.2">
      <c r="A8326" s="391">
        <v>103772</v>
      </c>
      <c r="B8326" s="478" t="s">
        <v>41861</v>
      </c>
      <c r="C8326" s="391" t="s">
        <v>26</v>
      </c>
      <c r="D8326" s="479">
        <v>0</v>
      </c>
      <c r="E8326" s="368"/>
      <c r="F8326" s="368"/>
    </row>
    <row r="8327" spans="1:6" ht="38.25" x14ac:dyDescent="0.2">
      <c r="A8327" s="391">
        <v>103768</v>
      </c>
      <c r="B8327" s="478" t="s">
        <v>41862</v>
      </c>
      <c r="C8327" s="391" t="s">
        <v>26</v>
      </c>
      <c r="D8327" s="479">
        <v>0</v>
      </c>
      <c r="E8327" s="368"/>
      <c r="F8327" s="368"/>
    </row>
    <row r="8328" spans="1:6" ht="38.25" x14ac:dyDescent="0.2">
      <c r="A8328" s="391">
        <v>103767</v>
      </c>
      <c r="B8328" s="478" t="s">
        <v>41863</v>
      </c>
      <c r="C8328" s="391" t="s">
        <v>26</v>
      </c>
      <c r="D8328" s="479">
        <v>0</v>
      </c>
      <c r="E8328" s="368"/>
      <c r="F8328" s="368"/>
    </row>
    <row r="8329" spans="1:6" ht="38.25" x14ac:dyDescent="0.2">
      <c r="A8329" s="391">
        <v>103766</v>
      </c>
      <c r="B8329" s="478" t="s">
        <v>41864</v>
      </c>
      <c r="C8329" s="391" t="s">
        <v>26</v>
      </c>
      <c r="D8329" s="479">
        <v>0</v>
      </c>
      <c r="E8329" s="368"/>
      <c r="F8329" s="368"/>
    </row>
    <row r="8330" spans="1:6" x14ac:dyDescent="0.2">
      <c r="A8330" s="391">
        <v>103765</v>
      </c>
      <c r="B8330" s="478" t="s">
        <v>41865</v>
      </c>
      <c r="C8330" s="391" t="s">
        <v>26</v>
      </c>
      <c r="D8330" s="479">
        <v>0</v>
      </c>
      <c r="E8330" s="368"/>
      <c r="F8330" s="368"/>
    </row>
    <row r="8331" spans="1:6" ht="25.5" x14ac:dyDescent="0.2">
      <c r="A8331" s="391">
        <v>103771</v>
      </c>
      <c r="B8331" s="478" t="s">
        <v>41866</v>
      </c>
      <c r="C8331" s="391" t="s">
        <v>26</v>
      </c>
      <c r="D8331" s="479">
        <v>0</v>
      </c>
      <c r="E8331" s="368"/>
      <c r="F8331" s="368"/>
    </row>
    <row r="8332" spans="1:6" ht="25.5" x14ac:dyDescent="0.2">
      <c r="A8332" s="391">
        <v>103769</v>
      </c>
      <c r="B8332" s="478" t="s">
        <v>5581</v>
      </c>
      <c r="C8332" s="391" t="s">
        <v>26</v>
      </c>
      <c r="D8332" s="479">
        <v>3998.46</v>
      </c>
      <c r="E8332" s="368"/>
      <c r="F8332" s="368"/>
    </row>
    <row r="8333" spans="1:6" ht="25.5" x14ac:dyDescent="0.2">
      <c r="A8333" s="391">
        <v>103770</v>
      </c>
      <c r="B8333" s="478" t="s">
        <v>41867</v>
      </c>
      <c r="C8333" s="391" t="s">
        <v>26</v>
      </c>
      <c r="D8333" s="479">
        <v>0</v>
      </c>
      <c r="E8333" s="368"/>
      <c r="F8333" s="368"/>
    </row>
    <row r="8334" spans="1:6" ht="25.5" x14ac:dyDescent="0.2">
      <c r="A8334" s="391">
        <v>103764</v>
      </c>
      <c r="B8334" s="478" t="s">
        <v>41868</v>
      </c>
      <c r="C8334" s="391" t="s">
        <v>26</v>
      </c>
      <c r="D8334" s="479">
        <v>0</v>
      </c>
      <c r="E8334" s="368"/>
      <c r="F8334" s="368"/>
    </row>
    <row r="8335" spans="1:6" ht="25.5" x14ac:dyDescent="0.2">
      <c r="A8335" s="391">
        <v>103780</v>
      </c>
      <c r="B8335" s="478" t="s">
        <v>41869</v>
      </c>
      <c r="C8335" s="391" t="s">
        <v>255</v>
      </c>
      <c r="D8335" s="479">
        <v>0</v>
      </c>
      <c r="E8335" s="368"/>
      <c r="F8335" s="368"/>
    </row>
    <row r="8336" spans="1:6" ht="25.5" x14ac:dyDescent="0.2">
      <c r="A8336" s="391">
        <v>103781</v>
      </c>
      <c r="B8336" s="478" t="s">
        <v>41870</v>
      </c>
      <c r="C8336" s="391" t="s">
        <v>255</v>
      </c>
      <c r="D8336" s="479">
        <v>0</v>
      </c>
      <c r="E8336" s="368"/>
      <c r="F8336" s="368"/>
    </row>
    <row r="8337" spans="1:6" ht="25.5" x14ac:dyDescent="0.2">
      <c r="A8337" s="391">
        <v>103779</v>
      </c>
      <c r="B8337" s="478" t="s">
        <v>41871</v>
      </c>
      <c r="C8337" s="391" t="s">
        <v>255</v>
      </c>
      <c r="D8337" s="479">
        <v>0</v>
      </c>
      <c r="E8337" s="368"/>
      <c r="F8337" s="368"/>
    </row>
    <row r="8338" spans="1:6" ht="25.5" x14ac:dyDescent="0.2">
      <c r="A8338" s="391">
        <v>103778</v>
      </c>
      <c r="B8338" s="478" t="s">
        <v>41872</v>
      </c>
      <c r="C8338" s="391" t="s">
        <v>255</v>
      </c>
      <c r="D8338" s="479">
        <v>0</v>
      </c>
      <c r="E8338" s="368"/>
      <c r="F8338" s="368"/>
    </row>
    <row r="8339" spans="1:6" ht="25.5" x14ac:dyDescent="0.2">
      <c r="A8339" s="391">
        <v>103924</v>
      </c>
      <c r="B8339" s="478" t="s">
        <v>41873</v>
      </c>
      <c r="C8339" s="391" t="s">
        <v>255</v>
      </c>
      <c r="D8339" s="479">
        <v>0</v>
      </c>
      <c r="E8339" s="368"/>
      <c r="F8339" s="368"/>
    </row>
    <row r="8340" spans="1:6" ht="25.5" x14ac:dyDescent="0.2">
      <c r="A8340" s="391">
        <v>103776</v>
      </c>
      <c r="B8340" s="478" t="s">
        <v>41874</v>
      </c>
      <c r="C8340" s="391" t="s">
        <v>255</v>
      </c>
      <c r="D8340" s="479">
        <v>0</v>
      </c>
      <c r="E8340" s="368"/>
      <c r="F8340" s="368"/>
    </row>
    <row r="8341" spans="1:6" ht="25.5" x14ac:dyDescent="0.2">
      <c r="A8341" s="391">
        <v>103774</v>
      </c>
      <c r="B8341" s="478" t="s">
        <v>41875</v>
      </c>
      <c r="C8341" s="391" t="s">
        <v>255</v>
      </c>
      <c r="D8341" s="479">
        <v>0</v>
      </c>
      <c r="E8341" s="368"/>
      <c r="F8341" s="368"/>
    </row>
    <row r="8342" spans="1:6" ht="25.5" x14ac:dyDescent="0.2">
      <c r="A8342" s="391">
        <v>103775</v>
      </c>
      <c r="B8342" s="478" t="s">
        <v>41876</v>
      </c>
      <c r="C8342" s="391" t="s">
        <v>255</v>
      </c>
      <c r="D8342" s="479">
        <v>0</v>
      </c>
      <c r="E8342" s="368"/>
      <c r="F8342" s="368"/>
    </row>
    <row r="8343" spans="1:6" ht="25.5" x14ac:dyDescent="0.2">
      <c r="A8343" s="391">
        <v>97097</v>
      </c>
      <c r="B8343" s="478" t="s">
        <v>1787</v>
      </c>
      <c r="C8343" s="391" t="s">
        <v>255</v>
      </c>
      <c r="D8343" s="479">
        <v>43.8</v>
      </c>
      <c r="E8343" s="368"/>
      <c r="F8343" s="368"/>
    </row>
    <row r="8344" spans="1:6" ht="25.5" x14ac:dyDescent="0.2">
      <c r="A8344" s="391">
        <v>97089</v>
      </c>
      <c r="B8344" s="478" t="s">
        <v>1781</v>
      </c>
      <c r="C8344" s="391" t="s">
        <v>1284</v>
      </c>
      <c r="D8344" s="479">
        <v>12.9</v>
      </c>
      <c r="E8344" s="368"/>
      <c r="F8344" s="368"/>
    </row>
    <row r="8345" spans="1:6" ht="25.5" x14ac:dyDescent="0.2">
      <c r="A8345" s="391">
        <v>97090</v>
      </c>
      <c r="B8345" s="478" t="s">
        <v>1782</v>
      </c>
      <c r="C8345" s="391" t="s">
        <v>1284</v>
      </c>
      <c r="D8345" s="479">
        <v>12.63</v>
      </c>
      <c r="E8345" s="368"/>
      <c r="F8345" s="368"/>
    </row>
    <row r="8346" spans="1:6" ht="25.5" x14ac:dyDescent="0.2">
      <c r="A8346" s="391">
        <v>97091</v>
      </c>
      <c r="B8346" s="478" t="s">
        <v>1783</v>
      </c>
      <c r="C8346" s="391" t="s">
        <v>1284</v>
      </c>
      <c r="D8346" s="479">
        <v>12.21</v>
      </c>
      <c r="E8346" s="368"/>
      <c r="F8346" s="368"/>
    </row>
    <row r="8347" spans="1:6" ht="25.5" x14ac:dyDescent="0.2">
      <c r="A8347" s="391">
        <v>97092</v>
      </c>
      <c r="B8347" s="478" t="s">
        <v>1784</v>
      </c>
      <c r="C8347" s="391" t="s">
        <v>1284</v>
      </c>
      <c r="D8347" s="479">
        <v>11.79</v>
      </c>
      <c r="E8347" s="368"/>
      <c r="F8347" s="368"/>
    </row>
    <row r="8348" spans="1:6" ht="25.5" x14ac:dyDescent="0.2">
      <c r="A8348" s="391">
        <v>103053</v>
      </c>
      <c r="B8348" s="478" t="s">
        <v>41877</v>
      </c>
      <c r="C8348" s="391" t="s">
        <v>1284</v>
      </c>
      <c r="D8348" s="479">
        <v>0</v>
      </c>
      <c r="E8348" s="368"/>
      <c r="F8348" s="368"/>
    </row>
    <row r="8349" spans="1:6" ht="25.5" x14ac:dyDescent="0.2">
      <c r="A8349" s="391">
        <v>97093</v>
      </c>
      <c r="B8349" s="478" t="s">
        <v>1785</v>
      </c>
      <c r="C8349" s="391" t="s">
        <v>1284</v>
      </c>
      <c r="D8349" s="479">
        <v>11.01</v>
      </c>
      <c r="E8349" s="368"/>
      <c r="F8349" s="368"/>
    </row>
    <row r="8350" spans="1:6" ht="25.5" x14ac:dyDescent="0.2">
      <c r="A8350" s="391">
        <v>103054</v>
      </c>
      <c r="B8350" s="478" t="s">
        <v>41878</v>
      </c>
      <c r="C8350" s="391" t="s">
        <v>1284</v>
      </c>
      <c r="D8350" s="479">
        <v>0</v>
      </c>
      <c r="E8350" s="368"/>
      <c r="F8350" s="368"/>
    </row>
    <row r="8351" spans="1:6" ht="25.5" x14ac:dyDescent="0.2">
      <c r="A8351" s="391">
        <v>97088</v>
      </c>
      <c r="B8351" s="478" t="s">
        <v>1780</v>
      </c>
      <c r="C8351" s="391" t="s">
        <v>1284</v>
      </c>
      <c r="D8351" s="479">
        <v>14.15</v>
      </c>
      <c r="E8351" s="368"/>
      <c r="F8351" s="368"/>
    </row>
    <row r="8352" spans="1:6" ht="25.5" x14ac:dyDescent="0.2">
      <c r="A8352" s="391">
        <v>97087</v>
      </c>
      <c r="B8352" s="478" t="s">
        <v>1779</v>
      </c>
      <c r="C8352" s="391" t="s">
        <v>255</v>
      </c>
      <c r="D8352" s="479">
        <v>2.11</v>
      </c>
      <c r="E8352" s="368"/>
      <c r="F8352" s="368"/>
    </row>
    <row r="8353" spans="1:6" ht="38.25" x14ac:dyDescent="0.2">
      <c r="A8353" s="391">
        <v>97083</v>
      </c>
      <c r="B8353" s="478" t="s">
        <v>1776</v>
      </c>
      <c r="C8353" s="391" t="s">
        <v>255</v>
      </c>
      <c r="D8353" s="479">
        <v>3.33</v>
      </c>
      <c r="E8353" s="368"/>
      <c r="F8353" s="368"/>
    </row>
    <row r="8354" spans="1:6" ht="38.25" x14ac:dyDescent="0.2">
      <c r="A8354" s="391">
        <v>97084</v>
      </c>
      <c r="B8354" s="478" t="s">
        <v>1777</v>
      </c>
      <c r="C8354" s="391" t="s">
        <v>255</v>
      </c>
      <c r="D8354" s="479">
        <v>0.7</v>
      </c>
      <c r="E8354" s="368"/>
      <c r="F8354" s="368"/>
    </row>
    <row r="8355" spans="1:6" ht="25.5" x14ac:dyDescent="0.2">
      <c r="A8355" s="391">
        <v>97096</v>
      </c>
      <c r="B8355" s="478" t="s">
        <v>1786</v>
      </c>
      <c r="C8355" s="391" t="s">
        <v>271</v>
      </c>
      <c r="D8355" s="479">
        <v>604.26</v>
      </c>
      <c r="E8355" s="368"/>
      <c r="F8355" s="368"/>
    </row>
    <row r="8356" spans="1:6" x14ac:dyDescent="0.2">
      <c r="A8356" s="391">
        <v>97082</v>
      </c>
      <c r="B8356" s="478" t="s">
        <v>1775</v>
      </c>
      <c r="C8356" s="391" t="s">
        <v>271</v>
      </c>
      <c r="D8356" s="479">
        <v>63.16</v>
      </c>
      <c r="E8356" s="368"/>
      <c r="F8356" s="368"/>
    </row>
    <row r="8357" spans="1:6" ht="25.5" x14ac:dyDescent="0.2">
      <c r="A8357" s="391">
        <v>103076</v>
      </c>
      <c r="B8357" s="478" t="s">
        <v>1798</v>
      </c>
      <c r="C8357" s="391" t="s">
        <v>255</v>
      </c>
      <c r="D8357" s="479">
        <v>142.03</v>
      </c>
      <c r="E8357" s="368"/>
      <c r="F8357" s="368"/>
    </row>
    <row r="8358" spans="1:6" ht="25.5" x14ac:dyDescent="0.2">
      <c r="A8358" s="391">
        <v>103067</v>
      </c>
      <c r="B8358" s="478" t="s">
        <v>41879</v>
      </c>
      <c r="C8358" s="391" t="s">
        <v>255</v>
      </c>
      <c r="D8358" s="479">
        <v>0</v>
      </c>
      <c r="E8358" s="368"/>
      <c r="F8358" s="368"/>
    </row>
    <row r="8359" spans="1:6" ht="25.5" x14ac:dyDescent="0.2">
      <c r="A8359" s="391">
        <v>103077</v>
      </c>
      <c r="B8359" s="478" t="s">
        <v>1799</v>
      </c>
      <c r="C8359" s="391" t="s">
        <v>255</v>
      </c>
      <c r="D8359" s="479">
        <v>184</v>
      </c>
      <c r="E8359" s="368"/>
      <c r="F8359" s="368"/>
    </row>
    <row r="8360" spans="1:6" ht="25.5" x14ac:dyDescent="0.2">
      <c r="A8360" s="391">
        <v>103068</v>
      </c>
      <c r="B8360" s="478" t="s">
        <v>41880</v>
      </c>
      <c r="C8360" s="391" t="s">
        <v>255</v>
      </c>
      <c r="D8360" s="479">
        <v>0</v>
      </c>
      <c r="E8360" s="368"/>
      <c r="F8360" s="368"/>
    </row>
    <row r="8361" spans="1:6" ht="25.5" x14ac:dyDescent="0.2">
      <c r="A8361" s="391">
        <v>103078</v>
      </c>
      <c r="B8361" s="478" t="s">
        <v>1800</v>
      </c>
      <c r="C8361" s="391" t="s">
        <v>255</v>
      </c>
      <c r="D8361" s="479">
        <v>222.8</v>
      </c>
      <c r="E8361" s="368"/>
      <c r="F8361" s="368"/>
    </row>
    <row r="8362" spans="1:6" ht="25.5" x14ac:dyDescent="0.2">
      <c r="A8362" s="391">
        <v>103069</v>
      </c>
      <c r="B8362" s="478" t="s">
        <v>41881</v>
      </c>
      <c r="C8362" s="391" t="s">
        <v>255</v>
      </c>
      <c r="D8362" s="479">
        <v>0</v>
      </c>
      <c r="E8362" s="368"/>
      <c r="F8362" s="368"/>
    </row>
    <row r="8363" spans="1:6" ht="25.5" x14ac:dyDescent="0.2">
      <c r="A8363" s="391">
        <v>103079</v>
      </c>
      <c r="B8363" s="478" t="s">
        <v>1801</v>
      </c>
      <c r="C8363" s="391" t="s">
        <v>255</v>
      </c>
      <c r="D8363" s="479">
        <v>267.43</v>
      </c>
      <c r="E8363" s="368"/>
      <c r="F8363" s="368"/>
    </row>
    <row r="8364" spans="1:6" ht="25.5" x14ac:dyDescent="0.2">
      <c r="A8364" s="391">
        <v>103070</v>
      </c>
      <c r="B8364" s="478" t="s">
        <v>41882</v>
      </c>
      <c r="C8364" s="391" t="s">
        <v>255</v>
      </c>
      <c r="D8364" s="479">
        <v>0</v>
      </c>
      <c r="E8364" s="368"/>
      <c r="F8364" s="368"/>
    </row>
    <row r="8365" spans="1:6" ht="25.5" x14ac:dyDescent="0.2">
      <c r="A8365" s="391">
        <v>103080</v>
      </c>
      <c r="B8365" s="478" t="s">
        <v>1802</v>
      </c>
      <c r="C8365" s="391" t="s">
        <v>255</v>
      </c>
      <c r="D8365" s="479">
        <v>325.57</v>
      </c>
      <c r="E8365" s="368"/>
      <c r="F8365" s="368"/>
    </row>
    <row r="8366" spans="1:6" ht="25.5" x14ac:dyDescent="0.2">
      <c r="A8366" s="391">
        <v>103071</v>
      </c>
      <c r="B8366" s="478" t="s">
        <v>41883</v>
      </c>
      <c r="C8366" s="391" t="s">
        <v>255</v>
      </c>
      <c r="D8366" s="479">
        <v>0</v>
      </c>
      <c r="E8366" s="368"/>
      <c r="F8366" s="368"/>
    </row>
    <row r="8367" spans="1:6" ht="38.25" x14ac:dyDescent="0.2">
      <c r="A8367" s="391">
        <v>103075</v>
      </c>
      <c r="B8367" s="478" t="s">
        <v>1797</v>
      </c>
      <c r="C8367" s="391" t="s">
        <v>255</v>
      </c>
      <c r="D8367" s="479">
        <v>208.89</v>
      </c>
      <c r="E8367" s="368"/>
      <c r="F8367" s="368"/>
    </row>
    <row r="8368" spans="1:6" ht="38.25" x14ac:dyDescent="0.2">
      <c r="A8368" s="391">
        <v>103062</v>
      </c>
      <c r="B8368" s="478" t="s">
        <v>41884</v>
      </c>
      <c r="C8368" s="391" t="s">
        <v>255</v>
      </c>
      <c r="D8368" s="479">
        <v>0</v>
      </c>
      <c r="E8368" s="368"/>
      <c r="F8368" s="368"/>
    </row>
    <row r="8369" spans="1:6" ht="38.25" x14ac:dyDescent="0.2">
      <c r="A8369" s="391">
        <v>103065</v>
      </c>
      <c r="B8369" s="478" t="s">
        <v>41885</v>
      </c>
      <c r="C8369" s="391" t="s">
        <v>255</v>
      </c>
      <c r="D8369" s="479">
        <v>0</v>
      </c>
      <c r="E8369" s="368"/>
      <c r="F8369" s="368"/>
    </row>
    <row r="8370" spans="1:6" ht="38.25" x14ac:dyDescent="0.2">
      <c r="A8370" s="391">
        <v>103063</v>
      </c>
      <c r="B8370" s="478" t="s">
        <v>41886</v>
      </c>
      <c r="C8370" s="391" t="s">
        <v>255</v>
      </c>
      <c r="D8370" s="479">
        <v>0</v>
      </c>
      <c r="E8370" s="368"/>
      <c r="F8370" s="368"/>
    </row>
    <row r="8371" spans="1:6" ht="38.25" x14ac:dyDescent="0.2">
      <c r="A8371" s="391">
        <v>103066</v>
      </c>
      <c r="B8371" s="478" t="s">
        <v>41887</v>
      </c>
      <c r="C8371" s="391" t="s">
        <v>255</v>
      </c>
      <c r="D8371" s="479">
        <v>0</v>
      </c>
      <c r="E8371" s="368"/>
      <c r="F8371" s="368"/>
    </row>
    <row r="8372" spans="1:6" ht="38.25" x14ac:dyDescent="0.2">
      <c r="A8372" s="391">
        <v>103064</v>
      </c>
      <c r="B8372" s="478" t="s">
        <v>41888</v>
      </c>
      <c r="C8372" s="391" t="s">
        <v>255</v>
      </c>
      <c r="D8372" s="479">
        <v>0</v>
      </c>
      <c r="E8372" s="368"/>
      <c r="F8372" s="368"/>
    </row>
    <row r="8373" spans="1:6" ht="38.25" x14ac:dyDescent="0.2">
      <c r="A8373" s="391">
        <v>103074</v>
      </c>
      <c r="B8373" s="478" t="s">
        <v>1796</v>
      </c>
      <c r="C8373" s="391" t="s">
        <v>255</v>
      </c>
      <c r="D8373" s="479">
        <v>165.09</v>
      </c>
      <c r="E8373" s="368"/>
      <c r="F8373" s="368"/>
    </row>
    <row r="8374" spans="1:6" ht="38.25" x14ac:dyDescent="0.2">
      <c r="A8374" s="391">
        <v>103057</v>
      </c>
      <c r="B8374" s="478" t="s">
        <v>41889</v>
      </c>
      <c r="C8374" s="391" t="s">
        <v>255</v>
      </c>
      <c r="D8374" s="479">
        <v>0</v>
      </c>
      <c r="E8374" s="368"/>
      <c r="F8374" s="368"/>
    </row>
    <row r="8375" spans="1:6" ht="38.25" x14ac:dyDescent="0.2">
      <c r="A8375" s="391">
        <v>103060</v>
      </c>
      <c r="B8375" s="478" t="s">
        <v>41890</v>
      </c>
      <c r="C8375" s="391" t="s">
        <v>255</v>
      </c>
      <c r="D8375" s="479">
        <v>0</v>
      </c>
      <c r="E8375" s="368"/>
      <c r="F8375" s="368"/>
    </row>
    <row r="8376" spans="1:6" ht="38.25" x14ac:dyDescent="0.2">
      <c r="A8376" s="391">
        <v>103058</v>
      </c>
      <c r="B8376" s="478" t="s">
        <v>41891</v>
      </c>
      <c r="C8376" s="391" t="s">
        <v>255</v>
      </c>
      <c r="D8376" s="479">
        <v>0</v>
      </c>
      <c r="E8376" s="368"/>
      <c r="F8376" s="368"/>
    </row>
    <row r="8377" spans="1:6" ht="38.25" x14ac:dyDescent="0.2">
      <c r="A8377" s="391">
        <v>103061</v>
      </c>
      <c r="B8377" s="478" t="s">
        <v>41892</v>
      </c>
      <c r="C8377" s="391" t="s">
        <v>255</v>
      </c>
      <c r="D8377" s="479">
        <v>0</v>
      </c>
      <c r="E8377" s="368"/>
      <c r="F8377" s="368"/>
    </row>
    <row r="8378" spans="1:6" ht="38.25" x14ac:dyDescent="0.2">
      <c r="A8378" s="391">
        <v>103059</v>
      </c>
      <c r="B8378" s="478" t="s">
        <v>41893</v>
      </c>
      <c r="C8378" s="391" t="s">
        <v>255</v>
      </c>
      <c r="D8378" s="479">
        <v>0</v>
      </c>
      <c r="E8378" s="368"/>
      <c r="F8378" s="368"/>
    </row>
    <row r="8379" spans="1:6" ht="25.5" x14ac:dyDescent="0.2">
      <c r="A8379" s="391">
        <v>97101</v>
      </c>
      <c r="B8379" s="478" t="s">
        <v>1788</v>
      </c>
      <c r="C8379" s="391" t="s">
        <v>255</v>
      </c>
      <c r="D8379" s="479">
        <v>165.89</v>
      </c>
      <c r="E8379" s="368"/>
      <c r="F8379" s="368"/>
    </row>
    <row r="8380" spans="1:6" ht="25.5" x14ac:dyDescent="0.2">
      <c r="A8380" s="391">
        <v>97098</v>
      </c>
      <c r="B8380" s="478" t="s">
        <v>41894</v>
      </c>
      <c r="C8380" s="391" t="s">
        <v>255</v>
      </c>
      <c r="D8380" s="479">
        <v>0</v>
      </c>
      <c r="E8380" s="368"/>
      <c r="F8380" s="368"/>
    </row>
    <row r="8381" spans="1:6" ht="25.5" x14ac:dyDescent="0.2">
      <c r="A8381" s="391">
        <v>97102</v>
      </c>
      <c r="B8381" s="478" t="s">
        <v>1789</v>
      </c>
      <c r="C8381" s="391" t="s">
        <v>255</v>
      </c>
      <c r="D8381" s="479">
        <v>207.86</v>
      </c>
      <c r="E8381" s="368"/>
      <c r="F8381" s="368"/>
    </row>
    <row r="8382" spans="1:6" ht="25.5" x14ac:dyDescent="0.2">
      <c r="A8382" s="391">
        <v>97099</v>
      </c>
      <c r="B8382" s="478" t="s">
        <v>41895</v>
      </c>
      <c r="C8382" s="391" t="s">
        <v>255</v>
      </c>
      <c r="D8382" s="479">
        <v>0</v>
      </c>
      <c r="E8382" s="368"/>
      <c r="F8382" s="368"/>
    </row>
    <row r="8383" spans="1:6" ht="25.5" x14ac:dyDescent="0.2">
      <c r="A8383" s="391">
        <v>97103</v>
      </c>
      <c r="B8383" s="478" t="s">
        <v>1790</v>
      </c>
      <c r="C8383" s="391" t="s">
        <v>255</v>
      </c>
      <c r="D8383" s="479">
        <v>246.66</v>
      </c>
      <c r="E8383" s="368"/>
      <c r="F8383" s="368"/>
    </row>
    <row r="8384" spans="1:6" ht="25.5" x14ac:dyDescent="0.2">
      <c r="A8384" s="391">
        <v>97100</v>
      </c>
      <c r="B8384" s="478" t="s">
        <v>41896</v>
      </c>
      <c r="C8384" s="391" t="s">
        <v>255</v>
      </c>
      <c r="D8384" s="479">
        <v>0</v>
      </c>
      <c r="E8384" s="368"/>
      <c r="F8384" s="368"/>
    </row>
    <row r="8385" spans="1:6" ht="25.5" x14ac:dyDescent="0.2">
      <c r="A8385" s="391">
        <v>103072</v>
      </c>
      <c r="B8385" s="478" t="s">
        <v>1794</v>
      </c>
      <c r="C8385" s="391" t="s">
        <v>255</v>
      </c>
      <c r="D8385" s="479">
        <v>291.29000000000002</v>
      </c>
      <c r="E8385" s="368"/>
      <c r="F8385" s="368"/>
    </row>
    <row r="8386" spans="1:6" ht="25.5" x14ac:dyDescent="0.2">
      <c r="A8386" s="391">
        <v>103055</v>
      </c>
      <c r="B8386" s="478" t="s">
        <v>41897</v>
      </c>
      <c r="C8386" s="391" t="s">
        <v>255</v>
      </c>
      <c r="D8386" s="479">
        <v>0</v>
      </c>
      <c r="E8386" s="368"/>
      <c r="F8386" s="368"/>
    </row>
    <row r="8387" spans="1:6" ht="25.5" x14ac:dyDescent="0.2">
      <c r="A8387" s="391">
        <v>103073</v>
      </c>
      <c r="B8387" s="478" t="s">
        <v>1795</v>
      </c>
      <c r="C8387" s="391" t="s">
        <v>255</v>
      </c>
      <c r="D8387" s="479">
        <v>349.43</v>
      </c>
      <c r="E8387" s="368"/>
      <c r="F8387" s="368"/>
    </row>
    <row r="8388" spans="1:6" ht="25.5" x14ac:dyDescent="0.2">
      <c r="A8388" s="391">
        <v>103056</v>
      </c>
      <c r="B8388" s="478" t="s">
        <v>41898</v>
      </c>
      <c r="C8388" s="391" t="s">
        <v>255</v>
      </c>
      <c r="D8388" s="479">
        <v>0</v>
      </c>
      <c r="E8388" s="368"/>
      <c r="F8388" s="368"/>
    </row>
    <row r="8389" spans="1:6" ht="38.25" x14ac:dyDescent="0.2">
      <c r="A8389" s="391">
        <v>97086</v>
      </c>
      <c r="B8389" s="478" t="s">
        <v>1778</v>
      </c>
      <c r="C8389" s="391" t="s">
        <v>255</v>
      </c>
      <c r="D8389" s="479">
        <v>131.1</v>
      </c>
      <c r="E8389" s="368"/>
      <c r="F8389" s="368"/>
    </row>
    <row r="8390" spans="1:6" ht="38.25" x14ac:dyDescent="0.2">
      <c r="A8390" s="391">
        <v>97085</v>
      </c>
      <c r="B8390" s="478" t="s">
        <v>41899</v>
      </c>
      <c r="C8390" s="391" t="s">
        <v>255</v>
      </c>
      <c r="D8390" s="479">
        <v>0</v>
      </c>
      <c r="E8390" s="368"/>
      <c r="F8390" s="368"/>
    </row>
    <row r="8391" spans="1:6" ht="25.5" x14ac:dyDescent="0.2">
      <c r="A8391" s="391">
        <v>104766</v>
      </c>
      <c r="B8391" s="478" t="s">
        <v>2682</v>
      </c>
      <c r="C8391" s="391" t="s">
        <v>0</v>
      </c>
      <c r="D8391" s="479">
        <v>15.28</v>
      </c>
      <c r="E8391" s="368"/>
      <c r="F8391" s="368"/>
    </row>
    <row r="8392" spans="1:6" ht="38.25" x14ac:dyDescent="0.2">
      <c r="A8392" s="391">
        <v>90467</v>
      </c>
      <c r="B8392" s="478" t="s">
        <v>4178</v>
      </c>
      <c r="C8392" s="391" t="s">
        <v>0</v>
      </c>
      <c r="D8392" s="479">
        <v>22.3</v>
      </c>
      <c r="E8392" s="368"/>
      <c r="F8392" s="368"/>
    </row>
    <row r="8393" spans="1:6" ht="38.25" x14ac:dyDescent="0.2">
      <c r="A8393" s="391">
        <v>90466</v>
      </c>
      <c r="B8393" s="478" t="s">
        <v>4177</v>
      </c>
      <c r="C8393" s="391" t="s">
        <v>0</v>
      </c>
      <c r="D8393" s="479">
        <v>14.82</v>
      </c>
      <c r="E8393" s="368"/>
      <c r="F8393" s="368"/>
    </row>
    <row r="8394" spans="1:6" ht="38.25" x14ac:dyDescent="0.2">
      <c r="A8394" s="391">
        <v>90469</v>
      </c>
      <c r="B8394" s="478" t="s">
        <v>4180</v>
      </c>
      <c r="C8394" s="391" t="s">
        <v>0</v>
      </c>
      <c r="D8394" s="479">
        <v>11.23</v>
      </c>
      <c r="E8394" s="368"/>
      <c r="F8394" s="368"/>
    </row>
    <row r="8395" spans="1:6" ht="38.25" x14ac:dyDescent="0.2">
      <c r="A8395" s="391">
        <v>90470</v>
      </c>
      <c r="B8395" s="478" t="s">
        <v>4181</v>
      </c>
      <c r="C8395" s="391" t="s">
        <v>0</v>
      </c>
      <c r="D8395" s="479">
        <v>14.94</v>
      </c>
      <c r="E8395" s="368"/>
      <c r="F8395" s="368"/>
    </row>
    <row r="8396" spans="1:6" ht="38.25" x14ac:dyDescent="0.2">
      <c r="A8396" s="391">
        <v>90468</v>
      </c>
      <c r="B8396" s="478" t="s">
        <v>4179</v>
      </c>
      <c r="C8396" s="391" t="s">
        <v>0</v>
      </c>
      <c r="D8396" s="479">
        <v>7.39</v>
      </c>
      <c r="E8396" s="368"/>
      <c r="F8396" s="368"/>
    </row>
    <row r="8397" spans="1:6" ht="25.5" x14ac:dyDescent="0.2">
      <c r="A8397" s="391">
        <v>91188</v>
      </c>
      <c r="B8397" s="478" t="s">
        <v>48126</v>
      </c>
      <c r="C8397" s="391" t="s">
        <v>26</v>
      </c>
      <c r="D8397" s="479">
        <v>12.81</v>
      </c>
      <c r="E8397" s="368"/>
      <c r="F8397" s="368"/>
    </row>
    <row r="8398" spans="1:6" ht="25.5" x14ac:dyDescent="0.2">
      <c r="A8398" s="391">
        <v>91189</v>
      </c>
      <c r="B8398" s="478" t="s">
        <v>48127</v>
      </c>
      <c r="C8398" s="391" t="s">
        <v>26</v>
      </c>
      <c r="D8398" s="479">
        <v>71.59</v>
      </c>
      <c r="E8398" s="368"/>
      <c r="F8398" s="368"/>
    </row>
    <row r="8399" spans="1:6" ht="25.5" x14ac:dyDescent="0.2">
      <c r="A8399" s="391">
        <v>91192</v>
      </c>
      <c r="B8399" s="478" t="s">
        <v>4196</v>
      </c>
      <c r="C8399" s="391" t="s">
        <v>26</v>
      </c>
      <c r="D8399" s="479">
        <v>21.54</v>
      </c>
      <c r="E8399" s="368"/>
      <c r="F8399" s="368"/>
    </row>
    <row r="8400" spans="1:6" ht="25.5" x14ac:dyDescent="0.2">
      <c r="A8400" s="391">
        <v>91190</v>
      </c>
      <c r="B8400" s="478" t="s">
        <v>4194</v>
      </c>
      <c r="C8400" s="391" t="s">
        <v>26</v>
      </c>
      <c r="D8400" s="479">
        <v>10.27</v>
      </c>
      <c r="E8400" s="368"/>
      <c r="F8400" s="368"/>
    </row>
    <row r="8401" spans="1:6" ht="25.5" x14ac:dyDescent="0.2">
      <c r="A8401" s="391">
        <v>91191</v>
      </c>
      <c r="B8401" s="478" t="s">
        <v>4195</v>
      </c>
      <c r="C8401" s="391" t="s">
        <v>26</v>
      </c>
      <c r="D8401" s="479">
        <v>14.32</v>
      </c>
      <c r="E8401" s="368"/>
      <c r="F8401" s="368"/>
    </row>
    <row r="8402" spans="1:6" ht="38.25" x14ac:dyDescent="0.2">
      <c r="A8402" s="391">
        <v>95541</v>
      </c>
      <c r="B8402" s="478" t="s">
        <v>48128</v>
      </c>
      <c r="C8402" s="391" t="s">
        <v>26</v>
      </c>
      <c r="D8402" s="479">
        <v>21.98</v>
      </c>
      <c r="E8402" s="368"/>
      <c r="F8402" s="368"/>
    </row>
    <row r="8403" spans="1:6" ht="25.5" x14ac:dyDescent="0.2">
      <c r="A8403" s="391">
        <v>96564</v>
      </c>
      <c r="B8403" s="478" t="s">
        <v>48129</v>
      </c>
      <c r="C8403" s="391" t="s">
        <v>0</v>
      </c>
      <c r="D8403" s="479">
        <v>0</v>
      </c>
      <c r="E8403" s="368"/>
      <c r="F8403" s="368"/>
    </row>
    <row r="8404" spans="1:6" ht="38.25" x14ac:dyDescent="0.2">
      <c r="A8404" s="391">
        <v>104785</v>
      </c>
      <c r="B8404" s="478" t="s">
        <v>20</v>
      </c>
      <c r="C8404" s="391" t="s">
        <v>0</v>
      </c>
      <c r="D8404" s="479">
        <v>15.6</v>
      </c>
      <c r="E8404" s="368"/>
      <c r="F8404" s="368"/>
    </row>
    <row r="8405" spans="1:6" ht="38.25" x14ac:dyDescent="0.2">
      <c r="A8405" s="391">
        <v>91166</v>
      </c>
      <c r="B8405" s="478" t="s">
        <v>4182</v>
      </c>
      <c r="C8405" s="391" t="s">
        <v>0</v>
      </c>
      <c r="D8405" s="479">
        <v>4.1100000000000003</v>
      </c>
      <c r="E8405" s="368"/>
      <c r="F8405" s="368"/>
    </row>
    <row r="8406" spans="1:6" ht="38.25" x14ac:dyDescent="0.2">
      <c r="A8406" s="391">
        <v>91167</v>
      </c>
      <c r="B8406" s="478" t="s">
        <v>4183</v>
      </c>
      <c r="C8406" s="391" t="s">
        <v>0</v>
      </c>
      <c r="D8406" s="479">
        <v>12.48</v>
      </c>
      <c r="E8406" s="368"/>
      <c r="F8406" s="368"/>
    </row>
    <row r="8407" spans="1:6" ht="38.25" x14ac:dyDescent="0.2">
      <c r="A8407" s="391">
        <v>91176</v>
      </c>
      <c r="B8407" s="478" t="s">
        <v>48130</v>
      </c>
      <c r="C8407" s="391" t="s">
        <v>0</v>
      </c>
      <c r="D8407" s="479">
        <v>21.95</v>
      </c>
      <c r="E8407" s="368"/>
      <c r="F8407" s="368"/>
    </row>
    <row r="8408" spans="1:6" ht="38.25" x14ac:dyDescent="0.2">
      <c r="A8408" s="391">
        <v>91182</v>
      </c>
      <c r="B8408" s="478" t="s">
        <v>4190</v>
      </c>
      <c r="C8408" s="391" t="s">
        <v>0</v>
      </c>
      <c r="D8408" s="479">
        <v>24.68</v>
      </c>
      <c r="E8408" s="368"/>
      <c r="F8408" s="368"/>
    </row>
    <row r="8409" spans="1:6" ht="51" x14ac:dyDescent="0.2">
      <c r="A8409" s="391">
        <v>91186</v>
      </c>
      <c r="B8409" s="478" t="s">
        <v>4192</v>
      </c>
      <c r="C8409" s="391" t="s">
        <v>0</v>
      </c>
      <c r="D8409" s="479">
        <v>27.03</v>
      </c>
      <c r="E8409" s="368"/>
      <c r="F8409" s="368"/>
    </row>
    <row r="8410" spans="1:6" ht="51" x14ac:dyDescent="0.2">
      <c r="A8410" s="391">
        <v>91171</v>
      </c>
      <c r="B8410" s="478" t="s">
        <v>4185</v>
      </c>
      <c r="C8410" s="391" t="s">
        <v>0</v>
      </c>
      <c r="D8410" s="479">
        <v>21.08</v>
      </c>
      <c r="E8410" s="368"/>
      <c r="F8410" s="368"/>
    </row>
    <row r="8411" spans="1:6" ht="51" x14ac:dyDescent="0.2">
      <c r="A8411" s="391">
        <v>91187</v>
      </c>
      <c r="B8411" s="478" t="s">
        <v>4193</v>
      </c>
      <c r="C8411" s="391" t="s">
        <v>0</v>
      </c>
      <c r="D8411" s="479">
        <v>24.16</v>
      </c>
      <c r="E8411" s="368"/>
      <c r="F8411" s="368"/>
    </row>
    <row r="8412" spans="1:6" ht="51" x14ac:dyDescent="0.2">
      <c r="A8412" s="391">
        <v>91172</v>
      </c>
      <c r="B8412" s="478" t="s">
        <v>4186</v>
      </c>
      <c r="C8412" s="391" t="s">
        <v>0</v>
      </c>
      <c r="D8412" s="479">
        <v>24.43</v>
      </c>
      <c r="E8412" s="368"/>
      <c r="F8412" s="368"/>
    </row>
    <row r="8413" spans="1:6" ht="51" x14ac:dyDescent="0.2">
      <c r="A8413" s="391">
        <v>91185</v>
      </c>
      <c r="B8413" s="478" t="s">
        <v>4191</v>
      </c>
      <c r="C8413" s="391" t="s">
        <v>0</v>
      </c>
      <c r="D8413" s="479">
        <v>24.68</v>
      </c>
      <c r="E8413" s="368"/>
      <c r="F8413" s="368"/>
    </row>
    <row r="8414" spans="1:6" ht="51" x14ac:dyDescent="0.2">
      <c r="A8414" s="391">
        <v>91170</v>
      </c>
      <c r="B8414" s="478" t="s">
        <v>4184</v>
      </c>
      <c r="C8414" s="391" t="s">
        <v>0</v>
      </c>
      <c r="D8414" s="479">
        <v>12.48</v>
      </c>
      <c r="E8414" s="368"/>
      <c r="F8414" s="368"/>
    </row>
    <row r="8415" spans="1:6" ht="51" x14ac:dyDescent="0.2">
      <c r="A8415" s="391">
        <v>91180</v>
      </c>
      <c r="B8415" s="478" t="s">
        <v>48131</v>
      </c>
      <c r="C8415" s="391" t="s">
        <v>0</v>
      </c>
      <c r="D8415" s="479">
        <v>29.43</v>
      </c>
      <c r="E8415" s="368"/>
      <c r="F8415" s="368"/>
    </row>
    <row r="8416" spans="1:6" ht="51" x14ac:dyDescent="0.2">
      <c r="A8416" s="391">
        <v>91181</v>
      </c>
      <c r="B8416" s="478" t="s">
        <v>48132</v>
      </c>
      <c r="C8416" s="391" t="s">
        <v>0</v>
      </c>
      <c r="D8416" s="479">
        <v>30.87</v>
      </c>
      <c r="E8416" s="368"/>
      <c r="F8416" s="368"/>
    </row>
    <row r="8417" spans="1:6" ht="51" x14ac:dyDescent="0.2">
      <c r="A8417" s="391">
        <v>91179</v>
      </c>
      <c r="B8417" s="478" t="s">
        <v>48133</v>
      </c>
      <c r="C8417" s="391" t="s">
        <v>0</v>
      </c>
      <c r="D8417" s="479">
        <v>21.95</v>
      </c>
      <c r="E8417" s="368"/>
      <c r="F8417" s="368"/>
    </row>
    <row r="8418" spans="1:6" ht="51" x14ac:dyDescent="0.2">
      <c r="A8418" s="391">
        <v>91174</v>
      </c>
      <c r="B8418" s="478" t="s">
        <v>4188</v>
      </c>
      <c r="C8418" s="391" t="s">
        <v>0</v>
      </c>
      <c r="D8418" s="479">
        <v>8.42</v>
      </c>
      <c r="E8418" s="368"/>
      <c r="F8418" s="368"/>
    </row>
    <row r="8419" spans="1:6" ht="51" x14ac:dyDescent="0.2">
      <c r="A8419" s="391">
        <v>91175</v>
      </c>
      <c r="B8419" s="478" t="s">
        <v>4189</v>
      </c>
      <c r="C8419" s="391" t="s">
        <v>0</v>
      </c>
      <c r="D8419" s="479">
        <v>13.18</v>
      </c>
      <c r="E8419" s="368"/>
      <c r="F8419" s="368"/>
    </row>
    <row r="8420" spans="1:6" ht="51" x14ac:dyDescent="0.2">
      <c r="A8420" s="391">
        <v>91173</v>
      </c>
      <c r="B8420" s="478" t="s">
        <v>4187</v>
      </c>
      <c r="C8420" s="391" t="s">
        <v>0</v>
      </c>
      <c r="D8420" s="479">
        <v>4.6500000000000004</v>
      </c>
      <c r="E8420" s="368"/>
      <c r="F8420" s="368"/>
    </row>
    <row r="8421" spans="1:6" ht="25.5" x14ac:dyDescent="0.2">
      <c r="A8421" s="391">
        <v>104759</v>
      </c>
      <c r="B8421" s="478" t="s">
        <v>2675</v>
      </c>
      <c r="C8421" s="391" t="s">
        <v>26</v>
      </c>
      <c r="D8421" s="479">
        <v>39.4</v>
      </c>
      <c r="E8421" s="368"/>
      <c r="F8421" s="368"/>
    </row>
    <row r="8422" spans="1:6" ht="25.5" x14ac:dyDescent="0.2">
      <c r="A8422" s="391">
        <v>104760</v>
      </c>
      <c r="B8422" s="478" t="s">
        <v>2676</v>
      </c>
      <c r="C8422" s="391" t="s">
        <v>26</v>
      </c>
      <c r="D8422" s="479">
        <v>57.54</v>
      </c>
      <c r="E8422" s="368"/>
      <c r="F8422" s="368"/>
    </row>
    <row r="8423" spans="1:6" ht="25.5" x14ac:dyDescent="0.2">
      <c r="A8423" s="391">
        <v>104758</v>
      </c>
      <c r="B8423" s="478" t="s">
        <v>2674</v>
      </c>
      <c r="C8423" s="391" t="s">
        <v>26</v>
      </c>
      <c r="D8423" s="479">
        <v>14.78</v>
      </c>
      <c r="E8423" s="368"/>
      <c r="F8423" s="368"/>
    </row>
    <row r="8424" spans="1:6" ht="25.5" x14ac:dyDescent="0.2">
      <c r="A8424" s="391">
        <v>90437</v>
      </c>
      <c r="B8424" s="478" t="s">
        <v>4155</v>
      </c>
      <c r="C8424" s="391" t="s">
        <v>26</v>
      </c>
      <c r="D8424" s="479">
        <v>37.880000000000003</v>
      </c>
      <c r="E8424" s="368"/>
      <c r="F8424" s="368"/>
    </row>
    <row r="8425" spans="1:6" ht="25.5" x14ac:dyDescent="0.2">
      <c r="A8425" s="391">
        <v>90438</v>
      </c>
      <c r="B8425" s="478" t="s">
        <v>4156</v>
      </c>
      <c r="C8425" s="391" t="s">
        <v>26</v>
      </c>
      <c r="D8425" s="479">
        <v>55.31</v>
      </c>
      <c r="E8425" s="368"/>
      <c r="F8425" s="368"/>
    </row>
    <row r="8426" spans="1:6" ht="25.5" x14ac:dyDescent="0.2">
      <c r="A8426" s="391">
        <v>90436</v>
      </c>
      <c r="B8426" s="478" t="s">
        <v>4154</v>
      </c>
      <c r="C8426" s="391" t="s">
        <v>26</v>
      </c>
      <c r="D8426" s="479">
        <v>14.2</v>
      </c>
      <c r="E8426" s="368"/>
      <c r="F8426" s="368"/>
    </row>
    <row r="8427" spans="1:6" ht="25.5" x14ac:dyDescent="0.2">
      <c r="A8427" s="391">
        <v>104770</v>
      </c>
      <c r="B8427" s="478" t="s">
        <v>2684</v>
      </c>
      <c r="C8427" s="391" t="s">
        <v>26</v>
      </c>
      <c r="D8427" s="479">
        <v>1.67</v>
      </c>
      <c r="E8427" s="368"/>
      <c r="F8427" s="368"/>
    </row>
    <row r="8428" spans="1:6" ht="25.5" x14ac:dyDescent="0.2">
      <c r="A8428" s="391">
        <v>104772</v>
      </c>
      <c r="B8428" s="478" t="s">
        <v>2685</v>
      </c>
      <c r="C8428" s="391" t="s">
        <v>26</v>
      </c>
      <c r="D8428" s="479">
        <v>2.44</v>
      </c>
      <c r="E8428" s="368"/>
      <c r="F8428" s="368"/>
    </row>
    <row r="8429" spans="1:6" ht="25.5" x14ac:dyDescent="0.2">
      <c r="A8429" s="391">
        <v>104768</v>
      </c>
      <c r="B8429" s="478" t="s">
        <v>2683</v>
      </c>
      <c r="C8429" s="391" t="s">
        <v>26</v>
      </c>
      <c r="D8429" s="479">
        <v>0.62</v>
      </c>
      <c r="E8429" s="368"/>
      <c r="F8429" s="368"/>
    </row>
    <row r="8430" spans="1:6" ht="25.5" x14ac:dyDescent="0.2">
      <c r="A8430" s="391">
        <v>104769</v>
      </c>
      <c r="B8430" s="478" t="s">
        <v>4229</v>
      </c>
      <c r="C8430" s="391" t="s">
        <v>26</v>
      </c>
      <c r="D8430" s="479">
        <v>1.6</v>
      </c>
      <c r="E8430" s="368"/>
      <c r="F8430" s="368"/>
    </row>
    <row r="8431" spans="1:6" ht="25.5" x14ac:dyDescent="0.2">
      <c r="A8431" s="391">
        <v>104771</v>
      </c>
      <c r="B8431" s="478" t="s">
        <v>4230</v>
      </c>
      <c r="C8431" s="391" t="s">
        <v>26</v>
      </c>
      <c r="D8431" s="479">
        <v>2.34</v>
      </c>
      <c r="E8431" s="368"/>
      <c r="F8431" s="368"/>
    </row>
    <row r="8432" spans="1:6" ht="25.5" x14ac:dyDescent="0.2">
      <c r="A8432" s="391">
        <v>104767</v>
      </c>
      <c r="B8432" s="478" t="s">
        <v>4228</v>
      </c>
      <c r="C8432" s="391" t="s">
        <v>26</v>
      </c>
      <c r="D8432" s="479">
        <v>0.59</v>
      </c>
      <c r="E8432" s="368"/>
      <c r="F8432" s="368"/>
    </row>
    <row r="8433" spans="1:6" ht="38.25" x14ac:dyDescent="0.2">
      <c r="A8433" s="391">
        <v>104762</v>
      </c>
      <c r="B8433" s="478" t="s">
        <v>2678</v>
      </c>
      <c r="C8433" s="391" t="s">
        <v>26</v>
      </c>
      <c r="D8433" s="479">
        <v>25.81</v>
      </c>
      <c r="E8433" s="368"/>
      <c r="F8433" s="368"/>
    </row>
    <row r="8434" spans="1:6" ht="38.25" x14ac:dyDescent="0.2">
      <c r="A8434" s="391">
        <v>104763</v>
      </c>
      <c r="B8434" s="478" t="s">
        <v>2679</v>
      </c>
      <c r="C8434" s="391" t="s">
        <v>26</v>
      </c>
      <c r="D8434" s="479">
        <v>37.69</v>
      </c>
      <c r="E8434" s="368"/>
      <c r="F8434" s="368"/>
    </row>
    <row r="8435" spans="1:6" ht="38.25" x14ac:dyDescent="0.2">
      <c r="A8435" s="391">
        <v>104761</v>
      </c>
      <c r="B8435" s="478" t="s">
        <v>2677</v>
      </c>
      <c r="C8435" s="391" t="s">
        <v>26</v>
      </c>
      <c r="D8435" s="479">
        <v>9.67</v>
      </c>
      <c r="E8435" s="368"/>
      <c r="F8435" s="368"/>
    </row>
    <row r="8436" spans="1:6" ht="38.25" x14ac:dyDescent="0.2">
      <c r="A8436" s="391">
        <v>90440</v>
      </c>
      <c r="B8436" s="478" t="s">
        <v>4158</v>
      </c>
      <c r="C8436" s="391" t="s">
        <v>26</v>
      </c>
      <c r="D8436" s="479">
        <v>25.59</v>
      </c>
      <c r="E8436" s="368"/>
      <c r="F8436" s="368"/>
    </row>
    <row r="8437" spans="1:6" ht="38.25" x14ac:dyDescent="0.2">
      <c r="A8437" s="391">
        <v>90441</v>
      </c>
      <c r="B8437" s="478" t="s">
        <v>4159</v>
      </c>
      <c r="C8437" s="391" t="s">
        <v>26</v>
      </c>
      <c r="D8437" s="479">
        <v>37.380000000000003</v>
      </c>
      <c r="E8437" s="368"/>
      <c r="F8437" s="368"/>
    </row>
    <row r="8438" spans="1:6" ht="38.25" x14ac:dyDescent="0.2">
      <c r="A8438" s="391">
        <v>90439</v>
      </c>
      <c r="B8438" s="478" t="s">
        <v>4157</v>
      </c>
      <c r="C8438" s="391" t="s">
        <v>26</v>
      </c>
      <c r="D8438" s="479">
        <v>9.59</v>
      </c>
      <c r="E8438" s="368"/>
      <c r="F8438" s="368"/>
    </row>
    <row r="8439" spans="1:6" ht="38.25" x14ac:dyDescent="0.2">
      <c r="A8439" s="391">
        <v>104776</v>
      </c>
      <c r="B8439" s="478" t="s">
        <v>2687</v>
      </c>
      <c r="C8439" s="391" t="s">
        <v>26</v>
      </c>
      <c r="D8439" s="479">
        <v>5.92</v>
      </c>
      <c r="E8439" s="368"/>
      <c r="F8439" s="368"/>
    </row>
    <row r="8440" spans="1:6" ht="38.25" x14ac:dyDescent="0.2">
      <c r="A8440" s="391">
        <v>104778</v>
      </c>
      <c r="B8440" s="478" t="s">
        <v>2688</v>
      </c>
      <c r="C8440" s="391" t="s">
        <v>26</v>
      </c>
      <c r="D8440" s="479">
        <v>8.65</v>
      </c>
      <c r="E8440" s="368"/>
      <c r="F8440" s="368"/>
    </row>
    <row r="8441" spans="1:6" ht="25.5" x14ac:dyDescent="0.2">
      <c r="A8441" s="391">
        <v>104774</v>
      </c>
      <c r="B8441" s="478" t="s">
        <v>2686</v>
      </c>
      <c r="C8441" s="391" t="s">
        <v>26</v>
      </c>
      <c r="D8441" s="479">
        <v>2.21</v>
      </c>
      <c r="E8441" s="368"/>
      <c r="F8441" s="368"/>
    </row>
    <row r="8442" spans="1:6" ht="38.25" x14ac:dyDescent="0.2">
      <c r="A8442" s="391">
        <v>104775</v>
      </c>
      <c r="B8442" s="478" t="s">
        <v>4232</v>
      </c>
      <c r="C8442" s="391" t="s">
        <v>26</v>
      </c>
      <c r="D8442" s="479">
        <v>5.71</v>
      </c>
      <c r="E8442" s="368"/>
      <c r="F8442" s="368"/>
    </row>
    <row r="8443" spans="1:6" ht="38.25" x14ac:dyDescent="0.2">
      <c r="A8443" s="391">
        <v>104777</v>
      </c>
      <c r="B8443" s="478" t="s">
        <v>4233</v>
      </c>
      <c r="C8443" s="391" t="s">
        <v>26</v>
      </c>
      <c r="D8443" s="479">
        <v>8.35</v>
      </c>
      <c r="E8443" s="368"/>
      <c r="F8443" s="368"/>
    </row>
    <row r="8444" spans="1:6" ht="25.5" x14ac:dyDescent="0.2">
      <c r="A8444" s="391">
        <v>104773</v>
      </c>
      <c r="B8444" s="478" t="s">
        <v>4231</v>
      </c>
      <c r="C8444" s="391" t="s">
        <v>26</v>
      </c>
      <c r="D8444" s="479">
        <v>2.14</v>
      </c>
      <c r="E8444" s="368"/>
      <c r="F8444" s="368"/>
    </row>
    <row r="8445" spans="1:6" ht="25.5" x14ac:dyDescent="0.2">
      <c r="A8445" s="391">
        <v>104782</v>
      </c>
      <c r="B8445" s="478" t="s">
        <v>4236</v>
      </c>
      <c r="C8445" s="391" t="s">
        <v>26</v>
      </c>
      <c r="D8445" s="479">
        <v>71.739999999999995</v>
      </c>
      <c r="E8445" s="368"/>
      <c r="F8445" s="368"/>
    </row>
    <row r="8446" spans="1:6" ht="38.25" x14ac:dyDescent="0.2">
      <c r="A8446" s="391">
        <v>90451</v>
      </c>
      <c r="B8446" s="478" t="s">
        <v>4165</v>
      </c>
      <c r="C8446" s="391" t="s">
        <v>26</v>
      </c>
      <c r="D8446" s="479">
        <v>5.99</v>
      </c>
      <c r="E8446" s="368"/>
      <c r="F8446" s="368"/>
    </row>
    <row r="8447" spans="1:6" ht="25.5" x14ac:dyDescent="0.2">
      <c r="A8447" s="391">
        <v>90452</v>
      </c>
      <c r="B8447" s="478" t="s">
        <v>4166</v>
      </c>
      <c r="C8447" s="391" t="s">
        <v>26</v>
      </c>
      <c r="D8447" s="479">
        <v>22.67</v>
      </c>
      <c r="E8447" s="368"/>
      <c r="F8447" s="368"/>
    </row>
    <row r="8448" spans="1:6" ht="38.25" x14ac:dyDescent="0.2">
      <c r="A8448" s="391">
        <v>90455</v>
      </c>
      <c r="B8448" s="478" t="s">
        <v>4169</v>
      </c>
      <c r="C8448" s="391" t="s">
        <v>26</v>
      </c>
      <c r="D8448" s="479">
        <v>7.86</v>
      </c>
      <c r="E8448" s="368"/>
      <c r="F8448" s="368"/>
    </row>
    <row r="8449" spans="1:6" ht="38.25" x14ac:dyDescent="0.2">
      <c r="A8449" s="391">
        <v>104784</v>
      </c>
      <c r="B8449" s="478" t="s">
        <v>4238</v>
      </c>
      <c r="C8449" s="391" t="s">
        <v>26</v>
      </c>
      <c r="D8449" s="479">
        <v>13.69</v>
      </c>
      <c r="E8449" s="368"/>
      <c r="F8449" s="368"/>
    </row>
    <row r="8450" spans="1:6" ht="38.25" x14ac:dyDescent="0.2">
      <c r="A8450" s="391">
        <v>90453</v>
      </c>
      <c r="B8450" s="478" t="s">
        <v>4167</v>
      </c>
      <c r="C8450" s="391" t="s">
        <v>26</v>
      </c>
      <c r="D8450" s="479">
        <v>3.78</v>
      </c>
      <c r="E8450" s="368"/>
      <c r="F8450" s="368"/>
    </row>
    <row r="8451" spans="1:6" ht="38.25" x14ac:dyDescent="0.2">
      <c r="A8451" s="391">
        <v>104783</v>
      </c>
      <c r="B8451" s="478" t="s">
        <v>4237</v>
      </c>
      <c r="C8451" s="391" t="s">
        <v>26</v>
      </c>
      <c r="D8451" s="479">
        <v>4.84</v>
      </c>
      <c r="E8451" s="368"/>
      <c r="F8451" s="368"/>
    </row>
    <row r="8452" spans="1:6" ht="38.25" x14ac:dyDescent="0.2">
      <c r="A8452" s="391">
        <v>90454</v>
      </c>
      <c r="B8452" s="478" t="s">
        <v>4168</v>
      </c>
      <c r="C8452" s="391" t="s">
        <v>26</v>
      </c>
      <c r="D8452" s="479">
        <v>6.17</v>
      </c>
      <c r="E8452" s="368"/>
      <c r="F8452" s="368"/>
    </row>
    <row r="8453" spans="1:6" ht="25.5" x14ac:dyDescent="0.2">
      <c r="A8453" s="391">
        <v>90459</v>
      </c>
      <c r="B8453" s="478" t="s">
        <v>4173</v>
      </c>
      <c r="C8453" s="391" t="s">
        <v>26</v>
      </c>
      <c r="D8453" s="479">
        <v>46.59</v>
      </c>
      <c r="E8453" s="368"/>
      <c r="F8453" s="368"/>
    </row>
    <row r="8454" spans="1:6" ht="25.5" x14ac:dyDescent="0.2">
      <c r="A8454" s="391">
        <v>90456</v>
      </c>
      <c r="B8454" s="478" t="s">
        <v>4170</v>
      </c>
      <c r="C8454" s="391" t="s">
        <v>26</v>
      </c>
      <c r="D8454" s="479">
        <v>5.25</v>
      </c>
      <c r="E8454" s="368"/>
      <c r="F8454" s="368"/>
    </row>
    <row r="8455" spans="1:6" ht="25.5" x14ac:dyDescent="0.2">
      <c r="A8455" s="391">
        <v>90458</v>
      </c>
      <c r="B8455" s="478" t="s">
        <v>4172</v>
      </c>
      <c r="C8455" s="391" t="s">
        <v>26</v>
      </c>
      <c r="D8455" s="479">
        <v>34.25</v>
      </c>
      <c r="E8455" s="368"/>
      <c r="F8455" s="368"/>
    </row>
    <row r="8456" spans="1:6" ht="25.5" x14ac:dyDescent="0.2">
      <c r="A8456" s="391">
        <v>90457</v>
      </c>
      <c r="B8456" s="478" t="s">
        <v>4171</v>
      </c>
      <c r="C8456" s="391" t="s">
        <v>26</v>
      </c>
      <c r="D8456" s="479">
        <v>12</v>
      </c>
      <c r="E8456" s="368"/>
      <c r="F8456" s="368"/>
    </row>
    <row r="8457" spans="1:6" ht="25.5" x14ac:dyDescent="0.2">
      <c r="A8457" s="391">
        <v>90447</v>
      </c>
      <c r="B8457" s="478" t="s">
        <v>4164</v>
      </c>
      <c r="C8457" s="391" t="s">
        <v>0</v>
      </c>
      <c r="D8457" s="479">
        <v>7.94</v>
      </c>
      <c r="E8457" s="368"/>
      <c r="F8457" s="368"/>
    </row>
    <row r="8458" spans="1:6" ht="38.25" x14ac:dyDescent="0.2">
      <c r="A8458" s="391">
        <v>91222</v>
      </c>
      <c r="B8458" s="478" t="s">
        <v>4197</v>
      </c>
      <c r="C8458" s="391" t="s">
        <v>0</v>
      </c>
      <c r="D8458" s="479">
        <v>8.48</v>
      </c>
      <c r="E8458" s="368"/>
      <c r="F8458" s="368"/>
    </row>
    <row r="8459" spans="1:6" ht="38.25" x14ac:dyDescent="0.2">
      <c r="A8459" s="391">
        <v>90443</v>
      </c>
      <c r="B8459" s="478" t="s">
        <v>4160</v>
      </c>
      <c r="C8459" s="391" t="s">
        <v>0</v>
      </c>
      <c r="D8459" s="479">
        <v>7.62</v>
      </c>
      <c r="E8459" s="368"/>
      <c r="F8459" s="368"/>
    </row>
    <row r="8460" spans="1:6" ht="25.5" x14ac:dyDescent="0.2">
      <c r="A8460" s="391">
        <v>104780</v>
      </c>
      <c r="B8460" s="478" t="s">
        <v>2689</v>
      </c>
      <c r="C8460" s="391" t="s">
        <v>0</v>
      </c>
      <c r="D8460" s="479">
        <v>6.22</v>
      </c>
      <c r="E8460" s="368"/>
      <c r="F8460" s="368"/>
    </row>
    <row r="8461" spans="1:6" ht="38.25" x14ac:dyDescent="0.2">
      <c r="A8461" s="391">
        <v>104781</v>
      </c>
      <c r="B8461" s="478" t="s">
        <v>4235</v>
      </c>
      <c r="C8461" s="391" t="s">
        <v>0</v>
      </c>
      <c r="D8461" s="479">
        <v>7.14</v>
      </c>
      <c r="E8461" s="368"/>
      <c r="F8461" s="368"/>
    </row>
    <row r="8462" spans="1:6" ht="38.25" x14ac:dyDescent="0.2">
      <c r="A8462" s="391">
        <v>104779</v>
      </c>
      <c r="B8462" s="478" t="s">
        <v>4234</v>
      </c>
      <c r="C8462" s="391" t="s">
        <v>0</v>
      </c>
      <c r="D8462" s="479">
        <v>6.17</v>
      </c>
      <c r="E8462" s="368"/>
      <c r="F8462" s="368"/>
    </row>
    <row r="8463" spans="1:6" ht="38.25" x14ac:dyDescent="0.2">
      <c r="A8463" s="391">
        <v>104787</v>
      </c>
      <c r="B8463" s="478" t="s">
        <v>4240</v>
      </c>
      <c r="C8463" s="391" t="s">
        <v>0</v>
      </c>
      <c r="D8463" s="479">
        <v>8.4700000000000006</v>
      </c>
      <c r="E8463" s="368"/>
      <c r="F8463" s="368"/>
    </row>
    <row r="8464" spans="1:6" ht="38.25" x14ac:dyDescent="0.2">
      <c r="A8464" s="391">
        <v>104788</v>
      </c>
      <c r="B8464" s="478" t="s">
        <v>4241</v>
      </c>
      <c r="C8464" s="391" t="s">
        <v>0</v>
      </c>
      <c r="D8464" s="479">
        <v>11.25</v>
      </c>
      <c r="E8464" s="368"/>
      <c r="F8464" s="368"/>
    </row>
    <row r="8465" spans="1:6" ht="38.25" x14ac:dyDescent="0.2">
      <c r="A8465" s="391">
        <v>104786</v>
      </c>
      <c r="B8465" s="478" t="s">
        <v>4239</v>
      </c>
      <c r="C8465" s="391" t="s">
        <v>0</v>
      </c>
      <c r="D8465" s="479">
        <v>6.38</v>
      </c>
      <c r="E8465" s="368"/>
      <c r="F8465" s="368"/>
    </row>
    <row r="8466" spans="1:6" ht="38.25" x14ac:dyDescent="0.2">
      <c r="A8466" s="391">
        <v>90445</v>
      </c>
      <c r="B8466" s="478" t="s">
        <v>4162</v>
      </c>
      <c r="C8466" s="391" t="s">
        <v>0</v>
      </c>
      <c r="D8466" s="479">
        <v>17.46</v>
      </c>
      <c r="E8466" s="368"/>
      <c r="F8466" s="368"/>
    </row>
    <row r="8467" spans="1:6" ht="38.25" x14ac:dyDescent="0.2">
      <c r="A8467" s="391">
        <v>90446</v>
      </c>
      <c r="B8467" s="478" t="s">
        <v>4163</v>
      </c>
      <c r="C8467" s="391" t="s">
        <v>0</v>
      </c>
      <c r="D8467" s="479">
        <v>23.2</v>
      </c>
      <c r="E8467" s="368"/>
      <c r="F8467" s="368"/>
    </row>
    <row r="8468" spans="1:6" ht="38.25" x14ac:dyDescent="0.2">
      <c r="A8468" s="391">
        <v>90444</v>
      </c>
      <c r="B8468" s="478" t="s">
        <v>4161</v>
      </c>
      <c r="C8468" s="391" t="s">
        <v>0</v>
      </c>
      <c r="D8468" s="479">
        <v>13.17</v>
      </c>
      <c r="E8468" s="368"/>
      <c r="F8468" s="368"/>
    </row>
    <row r="8469" spans="1:6" ht="38.25" x14ac:dyDescent="0.2">
      <c r="A8469" s="391">
        <v>104764</v>
      </c>
      <c r="B8469" s="478" t="s">
        <v>2680</v>
      </c>
      <c r="C8469" s="391" t="s">
        <v>0</v>
      </c>
      <c r="D8469" s="479">
        <v>22.81</v>
      </c>
      <c r="E8469" s="368"/>
      <c r="F8469" s="368"/>
    </row>
    <row r="8470" spans="1:6" ht="38.25" x14ac:dyDescent="0.2">
      <c r="A8470" s="391">
        <v>90460</v>
      </c>
      <c r="B8470" s="478" t="s">
        <v>4174</v>
      </c>
      <c r="C8470" s="391" t="s">
        <v>0</v>
      </c>
      <c r="D8470" s="479">
        <v>28.63</v>
      </c>
      <c r="E8470" s="368"/>
      <c r="F8470" s="368"/>
    </row>
    <row r="8471" spans="1:6" ht="38.25" x14ac:dyDescent="0.2">
      <c r="A8471" s="391">
        <v>90462</v>
      </c>
      <c r="B8471" s="478" t="s">
        <v>19</v>
      </c>
      <c r="C8471" s="391" t="s">
        <v>0</v>
      </c>
      <c r="D8471" s="479">
        <v>4.92</v>
      </c>
      <c r="E8471" s="368"/>
      <c r="F8471" s="368"/>
    </row>
    <row r="8472" spans="1:6" ht="38.25" x14ac:dyDescent="0.2">
      <c r="A8472" s="391">
        <v>104765</v>
      </c>
      <c r="B8472" s="478" t="s">
        <v>2681</v>
      </c>
      <c r="C8472" s="391" t="s">
        <v>0</v>
      </c>
      <c r="D8472" s="479">
        <v>17.579999999999998</v>
      </c>
      <c r="E8472" s="368"/>
      <c r="F8472" s="368"/>
    </row>
    <row r="8473" spans="1:6" ht="38.25" x14ac:dyDescent="0.2">
      <c r="A8473" s="391">
        <v>90461</v>
      </c>
      <c r="B8473" s="478" t="s">
        <v>4175</v>
      </c>
      <c r="C8473" s="391" t="s">
        <v>0</v>
      </c>
      <c r="D8473" s="479">
        <v>20.53</v>
      </c>
      <c r="E8473" s="368"/>
      <c r="F8473" s="368"/>
    </row>
    <row r="8474" spans="1:6" ht="38.25" x14ac:dyDescent="0.2">
      <c r="A8474" s="391">
        <v>90463</v>
      </c>
      <c r="B8474" s="478" t="s">
        <v>4176</v>
      </c>
      <c r="C8474" s="391" t="s">
        <v>0</v>
      </c>
      <c r="D8474" s="479">
        <v>4.0599999999999996</v>
      </c>
      <c r="E8474" s="368"/>
      <c r="F8474" s="368"/>
    </row>
    <row r="8475" spans="1:6" ht="38.25" x14ac:dyDescent="0.2">
      <c r="A8475" s="391">
        <v>96560</v>
      </c>
      <c r="B8475" s="478" t="s">
        <v>4199</v>
      </c>
      <c r="C8475" s="391" t="s">
        <v>255</v>
      </c>
      <c r="D8475" s="479">
        <v>36.229999999999997</v>
      </c>
      <c r="E8475" s="368"/>
      <c r="F8475" s="368"/>
    </row>
    <row r="8476" spans="1:6" ht="38.25" x14ac:dyDescent="0.2">
      <c r="A8476" s="391">
        <v>96559</v>
      </c>
      <c r="B8476" s="478" t="s">
        <v>4198</v>
      </c>
      <c r="C8476" s="391" t="s">
        <v>255</v>
      </c>
      <c r="D8476" s="479">
        <v>40.14</v>
      </c>
      <c r="E8476" s="368"/>
      <c r="F8476" s="368"/>
    </row>
    <row r="8477" spans="1:6" ht="38.25" x14ac:dyDescent="0.2">
      <c r="A8477" s="391">
        <v>96562</v>
      </c>
      <c r="B8477" s="478" t="s">
        <v>4200</v>
      </c>
      <c r="C8477" s="391" t="s">
        <v>0</v>
      </c>
      <c r="D8477" s="479">
        <v>56.42</v>
      </c>
      <c r="E8477" s="368"/>
      <c r="F8477" s="368"/>
    </row>
    <row r="8478" spans="1:6" ht="38.25" x14ac:dyDescent="0.2">
      <c r="A8478" s="391">
        <v>96563</v>
      </c>
      <c r="B8478" s="478" t="s">
        <v>4201</v>
      </c>
      <c r="C8478" s="391" t="s">
        <v>0</v>
      </c>
      <c r="D8478" s="479">
        <v>64.86</v>
      </c>
      <c r="E8478" s="368"/>
      <c r="F8478" s="368"/>
    </row>
    <row r="8479" spans="1:6" ht="25.5" x14ac:dyDescent="0.2">
      <c r="A8479" s="391">
        <v>102469</v>
      </c>
      <c r="B8479" s="478" t="s">
        <v>41900</v>
      </c>
      <c r="C8479" s="391" t="s">
        <v>255</v>
      </c>
      <c r="D8479" s="479">
        <v>0</v>
      </c>
      <c r="E8479" s="368"/>
      <c r="F8479" s="368"/>
    </row>
    <row r="8480" spans="1:6" ht="25.5" x14ac:dyDescent="0.2">
      <c r="A8480" s="391">
        <v>104388</v>
      </c>
      <c r="B8480" s="478" t="s">
        <v>41901</v>
      </c>
      <c r="C8480" s="391" t="s">
        <v>255</v>
      </c>
      <c r="D8480" s="479">
        <v>0</v>
      </c>
      <c r="E8480" s="368"/>
      <c r="F8480" s="368"/>
    </row>
    <row r="8481" spans="1:6" ht="25.5" x14ac:dyDescent="0.2">
      <c r="A8481" s="391">
        <v>104387</v>
      </c>
      <c r="B8481" s="478" t="s">
        <v>41902</v>
      </c>
      <c r="C8481" s="391" t="s">
        <v>271</v>
      </c>
      <c r="D8481" s="479">
        <v>0</v>
      </c>
      <c r="E8481" s="368"/>
      <c r="F8481" s="368"/>
    </row>
    <row r="8482" spans="1:6" ht="25.5" x14ac:dyDescent="0.2">
      <c r="A8482" s="391">
        <v>104364</v>
      </c>
      <c r="B8482" s="478" t="s">
        <v>41903</v>
      </c>
      <c r="C8482" s="391" t="s">
        <v>271</v>
      </c>
      <c r="D8482" s="479">
        <v>0</v>
      </c>
      <c r="E8482" s="368"/>
      <c r="F8482" s="368"/>
    </row>
    <row r="8483" spans="1:6" ht="25.5" x14ac:dyDescent="0.2">
      <c r="A8483" s="391">
        <v>102097</v>
      </c>
      <c r="B8483" s="478" t="s">
        <v>41904</v>
      </c>
      <c r="C8483" s="391" t="s">
        <v>271</v>
      </c>
      <c r="D8483" s="479">
        <v>0</v>
      </c>
      <c r="E8483" s="368"/>
      <c r="F8483" s="368"/>
    </row>
    <row r="8484" spans="1:6" ht="25.5" x14ac:dyDescent="0.2">
      <c r="A8484" s="391">
        <v>104365</v>
      </c>
      <c r="B8484" s="478" t="s">
        <v>41905</v>
      </c>
      <c r="C8484" s="391" t="s">
        <v>271</v>
      </c>
      <c r="D8484" s="479">
        <v>0</v>
      </c>
      <c r="E8484" s="368"/>
      <c r="F8484" s="368"/>
    </row>
    <row r="8485" spans="1:6" ht="51" x14ac:dyDescent="0.2">
      <c r="A8485" s="391">
        <v>101870</v>
      </c>
      <c r="B8485" s="478" t="s">
        <v>4538</v>
      </c>
      <c r="C8485" s="391" t="s">
        <v>255</v>
      </c>
      <c r="D8485" s="479">
        <v>41.71</v>
      </c>
      <c r="E8485" s="368"/>
      <c r="F8485" s="368"/>
    </row>
    <row r="8486" spans="1:6" ht="38.25" x14ac:dyDescent="0.2">
      <c r="A8486" s="391">
        <v>101866</v>
      </c>
      <c r="B8486" s="478" t="s">
        <v>48134</v>
      </c>
      <c r="C8486" s="391" t="s">
        <v>255</v>
      </c>
      <c r="D8486" s="479">
        <v>35.729999999999997</v>
      </c>
      <c r="E8486" s="368"/>
      <c r="F8486" s="368"/>
    </row>
    <row r="8487" spans="1:6" ht="38.25" x14ac:dyDescent="0.2">
      <c r="A8487" s="391">
        <v>101867</v>
      </c>
      <c r="B8487" s="478" t="s">
        <v>4535</v>
      </c>
      <c r="C8487" s="391" t="s">
        <v>255</v>
      </c>
      <c r="D8487" s="479">
        <v>40.340000000000003</v>
      </c>
      <c r="E8487" s="368"/>
      <c r="F8487" s="368"/>
    </row>
    <row r="8488" spans="1:6" ht="51" x14ac:dyDescent="0.2">
      <c r="A8488" s="391">
        <v>101868</v>
      </c>
      <c r="B8488" s="478" t="s">
        <v>4536</v>
      </c>
      <c r="C8488" s="391" t="s">
        <v>255</v>
      </c>
      <c r="D8488" s="479">
        <v>32.54</v>
      </c>
      <c r="E8488" s="368"/>
      <c r="F8488" s="368"/>
    </row>
    <row r="8489" spans="1:6" ht="51" x14ac:dyDescent="0.2">
      <c r="A8489" s="391">
        <v>101869</v>
      </c>
      <c r="B8489" s="478" t="s">
        <v>4537</v>
      </c>
      <c r="C8489" s="391" t="s">
        <v>255</v>
      </c>
      <c r="D8489" s="479">
        <v>37.119999999999997</v>
      </c>
      <c r="E8489" s="368"/>
      <c r="F8489" s="368"/>
    </row>
    <row r="8490" spans="1:6" ht="38.25" x14ac:dyDescent="0.2">
      <c r="A8490" s="391">
        <v>101856</v>
      </c>
      <c r="B8490" s="478" t="s">
        <v>4526</v>
      </c>
      <c r="C8490" s="391" t="s">
        <v>255</v>
      </c>
      <c r="D8490" s="479">
        <v>29.71</v>
      </c>
      <c r="E8490" s="368"/>
      <c r="F8490" s="368"/>
    </row>
    <row r="8491" spans="1:6" ht="51" x14ac:dyDescent="0.2">
      <c r="A8491" s="391">
        <v>101865</v>
      </c>
      <c r="B8491" s="478" t="s">
        <v>4534</v>
      </c>
      <c r="C8491" s="391" t="s">
        <v>255</v>
      </c>
      <c r="D8491" s="479">
        <v>39.869999999999997</v>
      </c>
      <c r="E8491" s="368"/>
      <c r="F8491" s="368"/>
    </row>
    <row r="8492" spans="1:6" ht="38.25" x14ac:dyDescent="0.2">
      <c r="A8492" s="391">
        <v>101861</v>
      </c>
      <c r="B8492" s="478" t="s">
        <v>48135</v>
      </c>
      <c r="C8492" s="391" t="s">
        <v>255</v>
      </c>
      <c r="D8492" s="479">
        <v>35.51</v>
      </c>
      <c r="E8492" s="368"/>
      <c r="F8492" s="368"/>
    </row>
    <row r="8493" spans="1:6" ht="38.25" x14ac:dyDescent="0.2">
      <c r="A8493" s="391">
        <v>101862</v>
      </c>
      <c r="B8493" s="478" t="s">
        <v>4531</v>
      </c>
      <c r="C8493" s="391" t="s">
        <v>255</v>
      </c>
      <c r="D8493" s="479">
        <v>38.49</v>
      </c>
      <c r="E8493" s="368"/>
      <c r="F8493" s="368"/>
    </row>
    <row r="8494" spans="1:6" ht="51" x14ac:dyDescent="0.2">
      <c r="A8494" s="391">
        <v>101863</v>
      </c>
      <c r="B8494" s="478" t="s">
        <v>4532</v>
      </c>
      <c r="C8494" s="391" t="s">
        <v>255</v>
      </c>
      <c r="D8494" s="479">
        <v>30.7</v>
      </c>
      <c r="E8494" s="368"/>
      <c r="F8494" s="368"/>
    </row>
    <row r="8495" spans="1:6" ht="51" x14ac:dyDescent="0.2">
      <c r="A8495" s="391">
        <v>101864</v>
      </c>
      <c r="B8495" s="478" t="s">
        <v>4533</v>
      </c>
      <c r="C8495" s="391" t="s">
        <v>255</v>
      </c>
      <c r="D8495" s="479">
        <v>35.28</v>
      </c>
      <c r="E8495" s="368"/>
      <c r="F8495" s="368"/>
    </row>
    <row r="8496" spans="1:6" ht="51" x14ac:dyDescent="0.2">
      <c r="A8496" s="391">
        <v>101860</v>
      </c>
      <c r="B8496" s="478" t="s">
        <v>4530</v>
      </c>
      <c r="C8496" s="391" t="s">
        <v>255</v>
      </c>
      <c r="D8496" s="479">
        <v>37.81</v>
      </c>
      <c r="E8496" s="368"/>
      <c r="F8496" s="368"/>
    </row>
    <row r="8497" spans="1:6" ht="38.25" x14ac:dyDescent="0.2">
      <c r="A8497" s="391">
        <v>101857</v>
      </c>
      <c r="B8497" s="478" t="s">
        <v>4527</v>
      </c>
      <c r="C8497" s="391" t="s">
        <v>255</v>
      </c>
      <c r="D8497" s="479">
        <v>36.51</v>
      </c>
      <c r="E8497" s="368"/>
      <c r="F8497" s="368"/>
    </row>
    <row r="8498" spans="1:6" ht="51" x14ac:dyDescent="0.2">
      <c r="A8498" s="430">
        <v>101858</v>
      </c>
      <c r="B8498" s="482" t="s">
        <v>4528</v>
      </c>
      <c r="C8498" s="430" t="s">
        <v>255</v>
      </c>
      <c r="D8498" s="483">
        <v>30.29</v>
      </c>
      <c r="E8498" s="368"/>
      <c r="F8498" s="368"/>
    </row>
    <row r="8499" spans="1:6" ht="51" x14ac:dyDescent="0.2">
      <c r="A8499" s="391">
        <v>101859</v>
      </c>
      <c r="B8499" s="478" t="s">
        <v>4529</v>
      </c>
      <c r="C8499" s="391" t="s">
        <v>255</v>
      </c>
      <c r="D8499" s="479">
        <v>33.21</v>
      </c>
      <c r="E8499" s="368"/>
      <c r="F8499" s="368"/>
    </row>
    <row r="8500" spans="1:6" ht="38.25" x14ac:dyDescent="0.2">
      <c r="A8500" s="391">
        <v>101852</v>
      </c>
      <c r="B8500" s="478" t="s">
        <v>4524</v>
      </c>
      <c r="C8500" s="391" t="s">
        <v>255</v>
      </c>
      <c r="D8500" s="479">
        <v>80.069999999999993</v>
      </c>
      <c r="E8500" s="368"/>
      <c r="F8500" s="368"/>
    </row>
    <row r="8501" spans="1:6" ht="38.25" x14ac:dyDescent="0.2">
      <c r="A8501" s="391">
        <v>104385</v>
      </c>
      <c r="B8501" s="478" t="s">
        <v>41906</v>
      </c>
      <c r="C8501" s="391" t="s">
        <v>255</v>
      </c>
      <c r="D8501" s="479">
        <v>0</v>
      </c>
      <c r="E8501" s="368"/>
      <c r="F8501" s="368"/>
    </row>
    <row r="8502" spans="1:6" ht="38.25" x14ac:dyDescent="0.2">
      <c r="A8502" s="391">
        <v>101850</v>
      </c>
      <c r="B8502" s="478" t="s">
        <v>4523</v>
      </c>
      <c r="C8502" s="391" t="s">
        <v>255</v>
      </c>
      <c r="D8502" s="479">
        <v>65.510000000000005</v>
      </c>
      <c r="E8502" s="368"/>
      <c r="F8502" s="368"/>
    </row>
    <row r="8503" spans="1:6" ht="38.25" x14ac:dyDescent="0.2">
      <c r="A8503" s="391">
        <v>101855</v>
      </c>
      <c r="B8503" s="478" t="s">
        <v>4525</v>
      </c>
      <c r="C8503" s="391" t="s">
        <v>255</v>
      </c>
      <c r="D8503" s="479">
        <v>84.44</v>
      </c>
      <c r="E8503" s="368"/>
      <c r="F8503" s="368"/>
    </row>
    <row r="8504" spans="1:6" ht="38.25" x14ac:dyDescent="0.2">
      <c r="A8504" s="391">
        <v>104386</v>
      </c>
      <c r="B8504" s="478" t="s">
        <v>41907</v>
      </c>
      <c r="C8504" s="391" t="s">
        <v>255</v>
      </c>
      <c r="D8504" s="479">
        <v>0</v>
      </c>
      <c r="E8504" s="368"/>
      <c r="F8504" s="368"/>
    </row>
    <row r="8505" spans="1:6" ht="38.25" x14ac:dyDescent="0.2">
      <c r="A8505" s="391">
        <v>101853</v>
      </c>
      <c r="B8505" s="478" t="s">
        <v>48136</v>
      </c>
      <c r="C8505" s="391" t="s">
        <v>255</v>
      </c>
      <c r="D8505" s="479">
        <v>59.07</v>
      </c>
      <c r="E8505" s="368"/>
      <c r="F8505" s="368"/>
    </row>
    <row r="8506" spans="1:6" ht="38.25" x14ac:dyDescent="0.2">
      <c r="A8506" s="391">
        <v>101849</v>
      </c>
      <c r="B8506" s="478" t="s">
        <v>4522</v>
      </c>
      <c r="C8506" s="391" t="s">
        <v>271</v>
      </c>
      <c r="D8506" s="479">
        <v>207.18</v>
      </c>
      <c r="E8506" s="368"/>
      <c r="F8506" s="368"/>
    </row>
    <row r="8507" spans="1:6" ht="38.25" x14ac:dyDescent="0.2">
      <c r="A8507" s="391">
        <v>101841</v>
      </c>
      <c r="B8507" s="478" t="s">
        <v>4514</v>
      </c>
      <c r="C8507" s="391" t="s">
        <v>271</v>
      </c>
      <c r="D8507" s="479">
        <v>121.26</v>
      </c>
      <c r="E8507" s="368"/>
      <c r="F8507" s="368"/>
    </row>
    <row r="8508" spans="1:6" ht="38.25" x14ac:dyDescent="0.2">
      <c r="A8508" s="391">
        <v>101843</v>
      </c>
      <c r="B8508" s="478" t="s">
        <v>4516</v>
      </c>
      <c r="C8508" s="391" t="s">
        <v>271</v>
      </c>
      <c r="D8508" s="479">
        <v>184.48</v>
      </c>
      <c r="E8508" s="368"/>
      <c r="F8508" s="368"/>
    </row>
    <row r="8509" spans="1:6" ht="38.25" x14ac:dyDescent="0.2">
      <c r="A8509" s="391">
        <v>101844</v>
      </c>
      <c r="B8509" s="478" t="s">
        <v>4517</v>
      </c>
      <c r="C8509" s="391" t="s">
        <v>271</v>
      </c>
      <c r="D8509" s="479">
        <v>214.03</v>
      </c>
      <c r="E8509" s="368"/>
      <c r="F8509" s="368"/>
    </row>
    <row r="8510" spans="1:6" ht="38.25" x14ac:dyDescent="0.2">
      <c r="A8510" s="391">
        <v>101845</v>
      </c>
      <c r="B8510" s="478" t="s">
        <v>4518</v>
      </c>
      <c r="C8510" s="391" t="s">
        <v>271</v>
      </c>
      <c r="D8510" s="479">
        <v>243.16</v>
      </c>
      <c r="E8510" s="368"/>
      <c r="F8510" s="368"/>
    </row>
    <row r="8511" spans="1:6" ht="38.25" x14ac:dyDescent="0.2">
      <c r="A8511" s="391">
        <v>101842</v>
      </c>
      <c r="B8511" s="478" t="s">
        <v>4515</v>
      </c>
      <c r="C8511" s="391" t="s">
        <v>271</v>
      </c>
      <c r="D8511" s="479">
        <v>105.64</v>
      </c>
      <c r="E8511" s="368"/>
      <c r="F8511" s="368"/>
    </row>
    <row r="8512" spans="1:6" ht="38.25" x14ac:dyDescent="0.2">
      <c r="A8512" s="391">
        <v>101846</v>
      </c>
      <c r="B8512" s="478" t="s">
        <v>4519</v>
      </c>
      <c r="C8512" s="391" t="s">
        <v>271</v>
      </c>
      <c r="D8512" s="479">
        <v>169.49</v>
      </c>
      <c r="E8512" s="368"/>
      <c r="F8512" s="368"/>
    </row>
    <row r="8513" spans="1:6" ht="38.25" x14ac:dyDescent="0.2">
      <c r="A8513" s="391">
        <v>101847</v>
      </c>
      <c r="B8513" s="478" t="s">
        <v>4520</v>
      </c>
      <c r="C8513" s="391" t="s">
        <v>271</v>
      </c>
      <c r="D8513" s="479">
        <v>199.34</v>
      </c>
      <c r="E8513" s="368"/>
      <c r="F8513" s="368"/>
    </row>
    <row r="8514" spans="1:6" ht="38.25" x14ac:dyDescent="0.2">
      <c r="A8514" s="391">
        <v>101848</v>
      </c>
      <c r="B8514" s="484" t="s">
        <v>4521</v>
      </c>
      <c r="C8514" s="391" t="s">
        <v>271</v>
      </c>
      <c r="D8514" s="479">
        <v>228.8</v>
      </c>
      <c r="E8514" s="368"/>
      <c r="F8514" s="368"/>
    </row>
    <row r="8515" spans="1:6" ht="38.25" x14ac:dyDescent="0.2">
      <c r="A8515" s="391">
        <v>101839</v>
      </c>
      <c r="B8515" s="478" t="s">
        <v>4512</v>
      </c>
      <c r="C8515" s="391" t="s">
        <v>271</v>
      </c>
      <c r="D8515" s="479">
        <v>125.95</v>
      </c>
      <c r="E8515" s="368"/>
      <c r="F8515" s="368"/>
    </row>
    <row r="8516" spans="1:6" ht="38.25" x14ac:dyDescent="0.2">
      <c r="A8516" s="391">
        <v>101840</v>
      </c>
      <c r="B8516" s="478" t="s">
        <v>4513</v>
      </c>
      <c r="C8516" s="391" t="s">
        <v>271</v>
      </c>
      <c r="D8516" s="479">
        <v>205.57</v>
      </c>
      <c r="E8516" s="368"/>
      <c r="F8516" s="368"/>
    </row>
    <row r="8517" spans="1:6" ht="38.25" x14ac:dyDescent="0.2">
      <c r="A8517" s="391">
        <v>101837</v>
      </c>
      <c r="B8517" s="478" t="s">
        <v>4510</v>
      </c>
      <c r="C8517" s="391" t="s">
        <v>271</v>
      </c>
      <c r="D8517" s="479">
        <v>62.24</v>
      </c>
      <c r="E8517" s="368"/>
      <c r="F8517" s="368"/>
    </row>
    <row r="8518" spans="1:6" ht="38.25" x14ac:dyDescent="0.2">
      <c r="A8518" s="391">
        <v>101838</v>
      </c>
      <c r="B8518" s="478" t="s">
        <v>4511</v>
      </c>
      <c r="C8518" s="391" t="s">
        <v>271</v>
      </c>
      <c r="D8518" s="479">
        <v>94.53</v>
      </c>
      <c r="E8518" s="368"/>
      <c r="F8518" s="368"/>
    </row>
    <row r="8519" spans="1:6" ht="38.25" x14ac:dyDescent="0.2">
      <c r="A8519" s="391">
        <v>101836</v>
      </c>
      <c r="B8519" s="478" t="s">
        <v>4509</v>
      </c>
      <c r="C8519" s="391" t="s">
        <v>271</v>
      </c>
      <c r="D8519" s="479">
        <v>27.56</v>
      </c>
      <c r="E8519" s="368"/>
      <c r="F8519" s="368"/>
    </row>
    <row r="8520" spans="1:6" ht="38.25" x14ac:dyDescent="0.2">
      <c r="A8520" s="391">
        <v>101835</v>
      </c>
      <c r="B8520" s="478" t="s">
        <v>4508</v>
      </c>
      <c r="C8520" s="391" t="s">
        <v>271</v>
      </c>
      <c r="D8520" s="479">
        <v>304.89999999999998</v>
      </c>
      <c r="E8520" s="368"/>
      <c r="F8520" s="368"/>
    </row>
    <row r="8521" spans="1:6" ht="38.25" x14ac:dyDescent="0.2">
      <c r="A8521" s="391">
        <v>101827</v>
      </c>
      <c r="B8521" s="478" t="s">
        <v>4500</v>
      </c>
      <c r="C8521" s="391" t="s">
        <v>271</v>
      </c>
      <c r="D8521" s="479">
        <v>218.98</v>
      </c>
      <c r="E8521" s="368"/>
      <c r="F8521" s="368"/>
    </row>
    <row r="8522" spans="1:6" ht="38.25" x14ac:dyDescent="0.2">
      <c r="A8522" s="391">
        <v>101829</v>
      </c>
      <c r="B8522" s="478" t="s">
        <v>4502</v>
      </c>
      <c r="C8522" s="391" t="s">
        <v>271</v>
      </c>
      <c r="D8522" s="479">
        <v>282.2</v>
      </c>
      <c r="E8522" s="368"/>
      <c r="F8522" s="368"/>
    </row>
    <row r="8523" spans="1:6" ht="38.25" x14ac:dyDescent="0.2">
      <c r="A8523" s="391">
        <v>101830</v>
      </c>
      <c r="B8523" s="478" t="s">
        <v>4503</v>
      </c>
      <c r="C8523" s="391" t="s">
        <v>271</v>
      </c>
      <c r="D8523" s="479">
        <v>311.75</v>
      </c>
      <c r="E8523" s="368"/>
      <c r="F8523" s="368"/>
    </row>
    <row r="8524" spans="1:6" ht="38.25" x14ac:dyDescent="0.2">
      <c r="A8524" s="391">
        <v>101831</v>
      </c>
      <c r="B8524" s="478" t="s">
        <v>4504</v>
      </c>
      <c r="C8524" s="391" t="s">
        <v>271</v>
      </c>
      <c r="D8524" s="479">
        <v>340.88</v>
      </c>
      <c r="E8524" s="368"/>
      <c r="F8524" s="368"/>
    </row>
    <row r="8525" spans="1:6" ht="38.25" x14ac:dyDescent="0.2">
      <c r="A8525" s="391">
        <v>101828</v>
      </c>
      <c r="B8525" s="478" t="s">
        <v>4501</v>
      </c>
      <c r="C8525" s="391" t="s">
        <v>271</v>
      </c>
      <c r="D8525" s="479">
        <v>203.36</v>
      </c>
      <c r="E8525" s="368"/>
      <c r="F8525" s="368"/>
    </row>
    <row r="8526" spans="1:6" ht="38.25" x14ac:dyDescent="0.2">
      <c r="A8526" s="391">
        <v>101832</v>
      </c>
      <c r="B8526" s="478" t="s">
        <v>4505</v>
      </c>
      <c r="C8526" s="391" t="s">
        <v>271</v>
      </c>
      <c r="D8526" s="479">
        <v>267.20999999999998</v>
      </c>
      <c r="E8526" s="368"/>
      <c r="F8526" s="368"/>
    </row>
    <row r="8527" spans="1:6" ht="38.25" x14ac:dyDescent="0.2">
      <c r="A8527" s="391">
        <v>101833</v>
      </c>
      <c r="B8527" s="478" t="s">
        <v>4506</v>
      </c>
      <c r="C8527" s="391" t="s">
        <v>271</v>
      </c>
      <c r="D8527" s="479">
        <v>297.06</v>
      </c>
      <c r="E8527" s="368"/>
      <c r="F8527" s="368"/>
    </row>
    <row r="8528" spans="1:6" ht="38.25" x14ac:dyDescent="0.2">
      <c r="A8528" s="391">
        <v>101834</v>
      </c>
      <c r="B8528" s="478" t="s">
        <v>4507</v>
      </c>
      <c r="C8528" s="391" t="s">
        <v>271</v>
      </c>
      <c r="D8528" s="479">
        <v>326.52</v>
      </c>
      <c r="E8528" s="368"/>
      <c r="F8528" s="368"/>
    </row>
    <row r="8529" spans="1:6" ht="38.25" x14ac:dyDescent="0.2">
      <c r="A8529" s="391">
        <v>101825</v>
      </c>
      <c r="B8529" s="478" t="s">
        <v>4498</v>
      </c>
      <c r="C8529" s="391" t="s">
        <v>271</v>
      </c>
      <c r="D8529" s="479">
        <v>223.67</v>
      </c>
      <c r="E8529" s="368"/>
      <c r="F8529" s="368"/>
    </row>
    <row r="8530" spans="1:6" ht="38.25" x14ac:dyDescent="0.2">
      <c r="A8530" s="391">
        <v>101826</v>
      </c>
      <c r="B8530" s="478" t="s">
        <v>4499</v>
      </c>
      <c r="C8530" s="391" t="s">
        <v>271</v>
      </c>
      <c r="D8530" s="479">
        <v>254.68</v>
      </c>
      <c r="E8530" s="368"/>
      <c r="F8530" s="368"/>
    </row>
    <row r="8531" spans="1:6" ht="38.25" x14ac:dyDescent="0.2">
      <c r="A8531" s="391">
        <v>101823</v>
      </c>
      <c r="B8531" s="478" t="s">
        <v>4496</v>
      </c>
      <c r="C8531" s="391" t="s">
        <v>271</v>
      </c>
      <c r="D8531" s="479">
        <v>159.96</v>
      </c>
      <c r="E8531" s="368"/>
      <c r="F8531" s="368"/>
    </row>
    <row r="8532" spans="1:6" ht="38.25" x14ac:dyDescent="0.2">
      <c r="A8532" s="391">
        <v>101824</v>
      </c>
      <c r="B8532" s="478" t="s">
        <v>4497</v>
      </c>
      <c r="C8532" s="391" t="s">
        <v>271</v>
      </c>
      <c r="D8532" s="479">
        <v>192.25</v>
      </c>
      <c r="E8532" s="368"/>
      <c r="F8532" s="368"/>
    </row>
    <row r="8533" spans="1:6" ht="38.25" x14ac:dyDescent="0.2">
      <c r="A8533" s="391">
        <v>101822</v>
      </c>
      <c r="B8533" s="478" t="s">
        <v>4495</v>
      </c>
      <c r="C8533" s="391" t="s">
        <v>271</v>
      </c>
      <c r="D8533" s="479">
        <v>125.28</v>
      </c>
      <c r="E8533" s="368"/>
      <c r="F8533" s="368"/>
    </row>
    <row r="8534" spans="1:6" ht="51" x14ac:dyDescent="0.2">
      <c r="A8534" s="391">
        <v>101819</v>
      </c>
      <c r="B8534" s="478" t="s">
        <v>4493</v>
      </c>
      <c r="C8534" s="391" t="s">
        <v>255</v>
      </c>
      <c r="D8534" s="479">
        <v>67.819999999999993</v>
      </c>
      <c r="E8534" s="368"/>
      <c r="F8534" s="368"/>
    </row>
    <row r="8535" spans="1:6" ht="51" x14ac:dyDescent="0.2">
      <c r="A8535" s="391">
        <v>104370</v>
      </c>
      <c r="B8535" s="478" t="s">
        <v>41908</v>
      </c>
      <c r="C8535" s="391" t="s">
        <v>255</v>
      </c>
      <c r="D8535" s="479">
        <v>0</v>
      </c>
      <c r="E8535" s="368"/>
      <c r="F8535" s="368"/>
    </row>
    <row r="8536" spans="1:6" ht="51" x14ac:dyDescent="0.2">
      <c r="A8536" s="391">
        <v>101817</v>
      </c>
      <c r="B8536" s="478" t="s">
        <v>4492</v>
      </c>
      <c r="C8536" s="391" t="s">
        <v>255</v>
      </c>
      <c r="D8536" s="479">
        <v>53.91</v>
      </c>
      <c r="E8536" s="368"/>
      <c r="F8536" s="368"/>
    </row>
    <row r="8537" spans="1:6" ht="51" x14ac:dyDescent="0.2">
      <c r="A8537" s="391">
        <v>101816</v>
      </c>
      <c r="B8537" s="478" t="s">
        <v>4491</v>
      </c>
      <c r="C8537" s="391" t="s">
        <v>255</v>
      </c>
      <c r="D8537" s="479">
        <v>74.62</v>
      </c>
      <c r="E8537" s="368"/>
      <c r="F8537" s="368"/>
    </row>
    <row r="8538" spans="1:6" ht="51" x14ac:dyDescent="0.2">
      <c r="A8538" s="391">
        <v>104369</v>
      </c>
      <c r="B8538" s="478" t="s">
        <v>41909</v>
      </c>
      <c r="C8538" s="391" t="s">
        <v>255</v>
      </c>
      <c r="D8538" s="479">
        <v>0</v>
      </c>
      <c r="E8538" s="368"/>
      <c r="F8538" s="368"/>
    </row>
    <row r="8539" spans="1:6" ht="38.25" x14ac:dyDescent="0.2">
      <c r="A8539" s="391">
        <v>101820</v>
      </c>
      <c r="B8539" s="478" t="s">
        <v>4494</v>
      </c>
      <c r="C8539" s="391" t="s">
        <v>255</v>
      </c>
      <c r="D8539" s="479">
        <v>45.19</v>
      </c>
      <c r="E8539" s="368"/>
      <c r="F8539" s="368"/>
    </row>
    <row r="8540" spans="1:6" ht="38.25" x14ac:dyDescent="0.2">
      <c r="A8540" s="391">
        <v>102988</v>
      </c>
      <c r="B8540" s="478" t="s">
        <v>4540</v>
      </c>
      <c r="C8540" s="391" t="s">
        <v>255</v>
      </c>
      <c r="D8540" s="479">
        <v>59.2</v>
      </c>
      <c r="E8540" s="368"/>
      <c r="F8540" s="368"/>
    </row>
    <row r="8541" spans="1:6" ht="51" x14ac:dyDescent="0.2">
      <c r="A8541" s="391">
        <v>101814</v>
      </c>
      <c r="B8541" s="478" t="s">
        <v>4490</v>
      </c>
      <c r="C8541" s="391" t="s">
        <v>255</v>
      </c>
      <c r="D8541" s="479">
        <v>49.81</v>
      </c>
      <c r="E8541" s="368"/>
      <c r="F8541" s="368"/>
    </row>
    <row r="8542" spans="1:6" ht="38.25" x14ac:dyDescent="0.2">
      <c r="A8542" s="391">
        <v>102098</v>
      </c>
      <c r="B8542" s="478" t="s">
        <v>4539</v>
      </c>
      <c r="C8542" s="391" t="s">
        <v>271</v>
      </c>
      <c r="D8542" s="479">
        <v>2073.6</v>
      </c>
      <c r="E8542" s="368"/>
      <c r="F8542" s="368"/>
    </row>
    <row r="8543" spans="1:6" ht="38.25" x14ac:dyDescent="0.2">
      <c r="A8543" s="391">
        <v>104366</v>
      </c>
      <c r="B8543" s="478" t="s">
        <v>41910</v>
      </c>
      <c r="C8543" s="391" t="s">
        <v>271</v>
      </c>
      <c r="D8543" s="479">
        <v>0</v>
      </c>
      <c r="E8543" s="368"/>
      <c r="F8543" s="368"/>
    </row>
    <row r="8544" spans="1:6" ht="38.25" x14ac:dyDescent="0.2">
      <c r="A8544" s="391">
        <v>102099</v>
      </c>
      <c r="B8544" s="478" t="s">
        <v>41911</v>
      </c>
      <c r="C8544" s="391" t="s">
        <v>271</v>
      </c>
      <c r="D8544" s="479">
        <v>0</v>
      </c>
      <c r="E8544" s="368"/>
      <c r="F8544" s="368"/>
    </row>
    <row r="8545" spans="1:6" ht="38.25" x14ac:dyDescent="0.2">
      <c r="A8545" s="391">
        <v>104367</v>
      </c>
      <c r="B8545" s="478" t="s">
        <v>41912</v>
      </c>
      <c r="C8545" s="391" t="s">
        <v>271</v>
      </c>
      <c r="D8545" s="479">
        <v>0</v>
      </c>
      <c r="E8545" s="368"/>
      <c r="F8545" s="368"/>
    </row>
    <row r="8546" spans="1:6" ht="38.25" x14ac:dyDescent="0.2">
      <c r="A8546" s="391">
        <v>92994</v>
      </c>
      <c r="B8546" s="478" t="s">
        <v>2372</v>
      </c>
      <c r="C8546" s="391" t="s">
        <v>0</v>
      </c>
      <c r="D8546" s="479">
        <v>136.69999999999999</v>
      </c>
      <c r="E8546" s="368"/>
      <c r="F8546" s="368"/>
    </row>
    <row r="8547" spans="1:6" ht="38.25" x14ac:dyDescent="0.2">
      <c r="A8547" s="391">
        <v>92996</v>
      </c>
      <c r="B8547" s="478" t="s">
        <v>2373</v>
      </c>
      <c r="C8547" s="391" t="s">
        <v>0</v>
      </c>
      <c r="D8547" s="479">
        <v>165.41</v>
      </c>
      <c r="E8547" s="368"/>
      <c r="F8547" s="368"/>
    </row>
    <row r="8548" spans="1:6" ht="38.25" x14ac:dyDescent="0.2">
      <c r="A8548" s="391">
        <v>92998</v>
      </c>
      <c r="B8548" s="478" t="s">
        <v>2374</v>
      </c>
      <c r="C8548" s="391" t="s">
        <v>0</v>
      </c>
      <c r="D8548" s="479">
        <v>202.76</v>
      </c>
      <c r="E8548" s="368"/>
      <c r="F8548" s="368"/>
    </row>
    <row r="8549" spans="1:6" ht="38.25" x14ac:dyDescent="0.2">
      <c r="A8549" s="391">
        <v>93000</v>
      </c>
      <c r="B8549" s="478" t="s">
        <v>2375</v>
      </c>
      <c r="C8549" s="391" t="s">
        <v>0</v>
      </c>
      <c r="D8549" s="479">
        <v>268.52999999999997</v>
      </c>
      <c r="E8549" s="368"/>
      <c r="F8549" s="368"/>
    </row>
    <row r="8550" spans="1:6" ht="38.25" x14ac:dyDescent="0.2">
      <c r="A8550" s="391">
        <v>92984</v>
      </c>
      <c r="B8550" s="478" t="s">
        <v>48</v>
      </c>
      <c r="C8550" s="391" t="s">
        <v>0</v>
      </c>
      <c r="D8550" s="479">
        <v>29.16</v>
      </c>
      <c r="E8550" s="368"/>
      <c r="F8550" s="368"/>
    </row>
    <row r="8551" spans="1:6" ht="38.25" x14ac:dyDescent="0.2">
      <c r="A8551" s="391">
        <v>93002</v>
      </c>
      <c r="B8551" s="478" t="s">
        <v>2376</v>
      </c>
      <c r="C8551" s="391" t="s">
        <v>0</v>
      </c>
      <c r="D8551" s="479">
        <v>347.31</v>
      </c>
      <c r="E8551" s="368"/>
      <c r="F8551" s="368"/>
    </row>
    <row r="8552" spans="1:6" ht="38.25" x14ac:dyDescent="0.2">
      <c r="A8552" s="391">
        <v>92986</v>
      </c>
      <c r="B8552" s="478" t="s">
        <v>2368</v>
      </c>
      <c r="C8552" s="391" t="s">
        <v>0</v>
      </c>
      <c r="D8552" s="479">
        <v>40.369999999999997</v>
      </c>
      <c r="E8552" s="368"/>
      <c r="F8552" s="368"/>
    </row>
    <row r="8553" spans="1:6" ht="38.25" x14ac:dyDescent="0.2">
      <c r="A8553" s="391">
        <v>92988</v>
      </c>
      <c r="B8553" s="478" t="s">
        <v>2369</v>
      </c>
      <c r="C8553" s="391" t="s">
        <v>0</v>
      </c>
      <c r="D8553" s="479">
        <v>58.67</v>
      </c>
      <c r="E8553" s="368"/>
      <c r="F8553" s="368"/>
    </row>
    <row r="8554" spans="1:6" ht="38.25" x14ac:dyDescent="0.2">
      <c r="A8554" s="391">
        <v>92990</v>
      </c>
      <c r="B8554" s="478" t="s">
        <v>2370</v>
      </c>
      <c r="C8554" s="391" t="s">
        <v>0</v>
      </c>
      <c r="D8554" s="479">
        <v>81.290000000000006</v>
      </c>
      <c r="E8554" s="368"/>
      <c r="F8554" s="368"/>
    </row>
    <row r="8555" spans="1:6" ht="38.25" x14ac:dyDescent="0.2">
      <c r="A8555" s="391">
        <v>92992</v>
      </c>
      <c r="B8555" s="478" t="s">
        <v>2371</v>
      </c>
      <c r="C8555" s="391" t="s">
        <v>0</v>
      </c>
      <c r="D8555" s="479">
        <v>105.15</v>
      </c>
      <c r="E8555" s="368"/>
      <c r="F8555" s="368"/>
    </row>
    <row r="8556" spans="1:6" ht="38.25" x14ac:dyDescent="0.2">
      <c r="A8556" s="391">
        <v>103491</v>
      </c>
      <c r="B8556" s="478" t="s">
        <v>2673</v>
      </c>
      <c r="C8556" s="391" t="s">
        <v>271</v>
      </c>
      <c r="D8556" s="479">
        <v>596.4</v>
      </c>
      <c r="E8556" s="368"/>
      <c r="F8556" s="368"/>
    </row>
    <row r="8557" spans="1:6" ht="38.25" x14ac:dyDescent="0.2">
      <c r="A8557" s="391">
        <v>93026</v>
      </c>
      <c r="B8557" s="478" t="s">
        <v>2349</v>
      </c>
      <c r="C8557" s="391" t="s">
        <v>26</v>
      </c>
      <c r="D8557" s="479">
        <v>67.959999999999994</v>
      </c>
      <c r="E8557" s="368"/>
      <c r="F8557" s="368"/>
    </row>
    <row r="8558" spans="1:6" ht="38.25" x14ac:dyDescent="0.2">
      <c r="A8558" s="391">
        <v>93018</v>
      </c>
      <c r="B8558" s="478" t="s">
        <v>2345</v>
      </c>
      <c r="C8558" s="391" t="s">
        <v>26</v>
      </c>
      <c r="D8558" s="479">
        <v>21.27</v>
      </c>
      <c r="E8558" s="368"/>
      <c r="F8558" s="368"/>
    </row>
    <row r="8559" spans="1:6" ht="38.25" x14ac:dyDescent="0.2">
      <c r="A8559" s="391">
        <v>93020</v>
      </c>
      <c r="B8559" s="478" t="s">
        <v>2346</v>
      </c>
      <c r="C8559" s="391" t="s">
        <v>26</v>
      </c>
      <c r="D8559" s="479">
        <v>26.49</v>
      </c>
      <c r="E8559" s="368"/>
      <c r="F8559" s="368"/>
    </row>
    <row r="8560" spans="1:6" ht="38.25" x14ac:dyDescent="0.2">
      <c r="A8560" s="391">
        <v>93022</v>
      </c>
      <c r="B8560" s="478" t="s">
        <v>2347</v>
      </c>
      <c r="C8560" s="391" t="s">
        <v>26</v>
      </c>
      <c r="D8560" s="479">
        <v>41.09</v>
      </c>
      <c r="E8560" s="368"/>
      <c r="F8560" s="368"/>
    </row>
    <row r="8561" spans="1:6" ht="38.25" x14ac:dyDescent="0.2">
      <c r="A8561" s="391">
        <v>93024</v>
      </c>
      <c r="B8561" s="478" t="s">
        <v>2348</v>
      </c>
      <c r="C8561" s="391" t="s">
        <v>26</v>
      </c>
      <c r="D8561" s="479">
        <v>43.68</v>
      </c>
      <c r="E8561" s="368"/>
      <c r="F8561" s="368"/>
    </row>
    <row r="8562" spans="1:6" ht="38.25" x14ac:dyDescent="0.2">
      <c r="A8562" s="391">
        <v>97670</v>
      </c>
      <c r="B8562" s="478" t="s">
        <v>2303</v>
      </c>
      <c r="C8562" s="391" t="s">
        <v>0</v>
      </c>
      <c r="D8562" s="479">
        <v>22</v>
      </c>
      <c r="E8562" s="368"/>
      <c r="F8562" s="368"/>
    </row>
    <row r="8563" spans="1:6" ht="38.25" x14ac:dyDescent="0.2">
      <c r="A8563" s="391">
        <v>103486</v>
      </c>
      <c r="B8563" s="478" t="s">
        <v>41913</v>
      </c>
      <c r="C8563" s="391" t="s">
        <v>0</v>
      </c>
      <c r="D8563" s="479">
        <v>0</v>
      </c>
      <c r="E8563" s="368"/>
      <c r="F8563" s="368"/>
    </row>
    <row r="8564" spans="1:6" ht="38.25" x14ac:dyDescent="0.2">
      <c r="A8564" s="391">
        <v>103487</v>
      </c>
      <c r="B8564" s="478" t="s">
        <v>41914</v>
      </c>
      <c r="C8564" s="391" t="s">
        <v>0</v>
      </c>
      <c r="D8564" s="479">
        <v>0</v>
      </c>
      <c r="E8564" s="368"/>
      <c r="F8564" s="368"/>
    </row>
    <row r="8565" spans="1:6" ht="38.25" x14ac:dyDescent="0.2">
      <c r="A8565" s="391">
        <v>103488</v>
      </c>
      <c r="B8565" s="478" t="s">
        <v>41915</v>
      </c>
      <c r="C8565" s="391" t="s">
        <v>0</v>
      </c>
      <c r="D8565" s="479">
        <v>0</v>
      </c>
      <c r="E8565" s="368"/>
      <c r="F8565" s="368"/>
    </row>
    <row r="8566" spans="1:6" ht="38.25" x14ac:dyDescent="0.2">
      <c r="A8566" s="391">
        <v>103489</v>
      </c>
      <c r="B8566" s="478" t="s">
        <v>41916</v>
      </c>
      <c r="C8566" s="391" t="s">
        <v>0</v>
      </c>
      <c r="D8566" s="479">
        <v>0</v>
      </c>
      <c r="E8566" s="368"/>
      <c r="F8566" s="368"/>
    </row>
    <row r="8567" spans="1:6" ht="38.25" x14ac:dyDescent="0.2">
      <c r="A8567" s="391">
        <v>97667</v>
      </c>
      <c r="B8567" s="478" t="s">
        <v>2300</v>
      </c>
      <c r="C8567" s="391" t="s">
        <v>0</v>
      </c>
      <c r="D8567" s="479">
        <v>8.14</v>
      </c>
      <c r="E8567" s="368"/>
      <c r="F8567" s="368"/>
    </row>
    <row r="8568" spans="1:6" ht="38.25" x14ac:dyDescent="0.2">
      <c r="A8568" s="391">
        <v>97668</v>
      </c>
      <c r="B8568" s="478" t="s">
        <v>2301</v>
      </c>
      <c r="C8568" s="391" t="s">
        <v>0</v>
      </c>
      <c r="D8568" s="479">
        <v>11.59</v>
      </c>
      <c r="E8568" s="368"/>
      <c r="F8568" s="368"/>
    </row>
    <row r="8569" spans="1:6" ht="38.25" x14ac:dyDescent="0.2">
      <c r="A8569" s="391">
        <v>97669</v>
      </c>
      <c r="B8569" s="478" t="s">
        <v>2302</v>
      </c>
      <c r="C8569" s="391" t="s">
        <v>0</v>
      </c>
      <c r="D8569" s="479">
        <v>17.16</v>
      </c>
      <c r="E8569" s="368"/>
      <c r="F8569" s="368"/>
    </row>
    <row r="8570" spans="1:6" ht="38.25" x14ac:dyDescent="0.2">
      <c r="A8570" s="391">
        <v>93012</v>
      </c>
      <c r="B8570" s="478" t="s">
        <v>2299</v>
      </c>
      <c r="C8570" s="391" t="s">
        <v>0</v>
      </c>
      <c r="D8570" s="479">
        <v>63.86</v>
      </c>
      <c r="E8570" s="368"/>
      <c r="F8570" s="368"/>
    </row>
    <row r="8571" spans="1:6" ht="38.25" x14ac:dyDescent="0.2">
      <c r="A8571" s="391">
        <v>93008</v>
      </c>
      <c r="B8571" s="478" t="s">
        <v>2295</v>
      </c>
      <c r="C8571" s="391" t="s">
        <v>0</v>
      </c>
      <c r="D8571" s="479">
        <v>16.93</v>
      </c>
      <c r="E8571" s="368"/>
      <c r="F8571" s="368"/>
    </row>
    <row r="8572" spans="1:6" ht="38.25" x14ac:dyDescent="0.2">
      <c r="A8572" s="391">
        <v>93009</v>
      </c>
      <c r="B8572" s="478" t="s">
        <v>2296</v>
      </c>
      <c r="C8572" s="391" t="s">
        <v>0</v>
      </c>
      <c r="D8572" s="479">
        <v>24.93</v>
      </c>
      <c r="E8572" s="368"/>
      <c r="F8572" s="368"/>
    </row>
    <row r="8573" spans="1:6" ht="38.25" x14ac:dyDescent="0.2">
      <c r="A8573" s="391">
        <v>93010</v>
      </c>
      <c r="B8573" s="478" t="s">
        <v>2297</v>
      </c>
      <c r="C8573" s="391" t="s">
        <v>0</v>
      </c>
      <c r="D8573" s="479">
        <v>34.67</v>
      </c>
      <c r="E8573" s="368"/>
      <c r="F8573" s="368"/>
    </row>
    <row r="8574" spans="1:6" ht="38.25" x14ac:dyDescent="0.2">
      <c r="A8574" s="391">
        <v>93011</v>
      </c>
      <c r="B8574" s="478" t="s">
        <v>2298</v>
      </c>
      <c r="C8574" s="391" t="s">
        <v>0</v>
      </c>
      <c r="D8574" s="479">
        <v>42.35</v>
      </c>
      <c r="E8574" s="368"/>
      <c r="F8574" s="368"/>
    </row>
    <row r="8575" spans="1:6" ht="38.25" x14ac:dyDescent="0.2">
      <c r="A8575" s="391">
        <v>103492</v>
      </c>
      <c r="B8575" s="478" t="s">
        <v>41917</v>
      </c>
      <c r="C8575" s="391" t="s">
        <v>0</v>
      </c>
      <c r="D8575" s="479">
        <v>0</v>
      </c>
      <c r="E8575" s="368"/>
      <c r="F8575" s="368"/>
    </row>
    <row r="8576" spans="1:6" ht="38.25" x14ac:dyDescent="0.2">
      <c r="A8576" s="391">
        <v>93017</v>
      </c>
      <c r="B8576" s="478" t="s">
        <v>2344</v>
      </c>
      <c r="C8576" s="391" t="s">
        <v>26</v>
      </c>
      <c r="D8576" s="479">
        <v>41.8</v>
      </c>
      <c r="E8576" s="368"/>
      <c r="F8576" s="368"/>
    </row>
    <row r="8577" spans="1:6" ht="38.25" x14ac:dyDescent="0.2">
      <c r="A8577" s="391">
        <v>93013</v>
      </c>
      <c r="B8577" s="478" t="s">
        <v>2340</v>
      </c>
      <c r="C8577" s="391" t="s">
        <v>26</v>
      </c>
      <c r="D8577" s="479">
        <v>13.99</v>
      </c>
      <c r="E8577" s="368"/>
      <c r="F8577" s="368"/>
    </row>
    <row r="8578" spans="1:6" ht="38.25" x14ac:dyDescent="0.2">
      <c r="A8578" s="391">
        <v>93014</v>
      </c>
      <c r="B8578" s="478" t="s">
        <v>2341</v>
      </c>
      <c r="C8578" s="391" t="s">
        <v>26</v>
      </c>
      <c r="D8578" s="479">
        <v>16.88</v>
      </c>
      <c r="E8578" s="368"/>
      <c r="F8578" s="368"/>
    </row>
    <row r="8579" spans="1:6" ht="38.25" x14ac:dyDescent="0.2">
      <c r="A8579" s="391">
        <v>93015</v>
      </c>
      <c r="B8579" s="478" t="s">
        <v>2342</v>
      </c>
      <c r="C8579" s="391" t="s">
        <v>26</v>
      </c>
      <c r="D8579" s="479">
        <v>24.17</v>
      </c>
      <c r="E8579" s="368"/>
      <c r="F8579" s="368"/>
    </row>
    <row r="8580" spans="1:6" ht="38.25" x14ac:dyDescent="0.2">
      <c r="A8580" s="391">
        <v>93016</v>
      </c>
      <c r="B8580" s="478" t="s">
        <v>2343</v>
      </c>
      <c r="C8580" s="391" t="s">
        <v>26</v>
      </c>
      <c r="D8580" s="479">
        <v>28.82</v>
      </c>
      <c r="E8580" s="368"/>
      <c r="F8580" s="368"/>
    </row>
    <row r="8581" spans="1:6" ht="38.25" x14ac:dyDescent="0.2">
      <c r="A8581" s="391">
        <v>103490</v>
      </c>
      <c r="B8581" s="478" t="s">
        <v>2672</v>
      </c>
      <c r="C8581" s="391" t="s">
        <v>271</v>
      </c>
      <c r="D8581" s="479">
        <v>3085.15</v>
      </c>
      <c r="E8581" s="368"/>
      <c r="F8581" s="368"/>
    </row>
    <row r="8582" spans="1:6" ht="25.5" x14ac:dyDescent="0.2">
      <c r="A8582" s="391">
        <v>98306</v>
      </c>
      <c r="B8582" s="478" t="s">
        <v>2792</v>
      </c>
      <c r="C8582" s="391" t="s">
        <v>26</v>
      </c>
      <c r="D8582" s="479">
        <v>64.44</v>
      </c>
      <c r="E8582" s="368"/>
      <c r="F8582" s="368"/>
    </row>
    <row r="8583" spans="1:6" x14ac:dyDescent="0.2">
      <c r="A8583" s="391">
        <v>100553</v>
      </c>
      <c r="B8583" s="478" t="s">
        <v>2796</v>
      </c>
      <c r="C8583" s="391" t="s">
        <v>0</v>
      </c>
      <c r="D8583" s="479">
        <v>23.12</v>
      </c>
      <c r="E8583" s="368"/>
      <c r="F8583" s="368"/>
    </row>
    <row r="8584" spans="1:6" x14ac:dyDescent="0.2">
      <c r="A8584" s="391">
        <v>100554</v>
      </c>
      <c r="B8584" s="478" t="s">
        <v>2797</v>
      </c>
      <c r="C8584" s="391" t="s">
        <v>0</v>
      </c>
      <c r="D8584" s="479">
        <v>5.29</v>
      </c>
      <c r="E8584" s="368"/>
      <c r="F8584" s="368"/>
    </row>
    <row r="8585" spans="1:6" x14ac:dyDescent="0.2">
      <c r="A8585" s="391">
        <v>98300</v>
      </c>
      <c r="B8585" s="478" t="s">
        <v>2787</v>
      </c>
      <c r="C8585" s="391" t="s">
        <v>0</v>
      </c>
      <c r="D8585" s="479">
        <v>5.56</v>
      </c>
      <c r="E8585" s="368"/>
      <c r="F8585" s="368"/>
    </row>
    <row r="8586" spans="1:6" ht="25.5" x14ac:dyDescent="0.2">
      <c r="A8586" s="391">
        <v>98295</v>
      </c>
      <c r="B8586" s="478" t="s">
        <v>2782</v>
      </c>
      <c r="C8586" s="391" t="s">
        <v>0</v>
      </c>
      <c r="D8586" s="479">
        <v>5.34</v>
      </c>
      <c r="E8586" s="368"/>
      <c r="F8586" s="368"/>
    </row>
    <row r="8587" spans="1:6" ht="25.5" x14ac:dyDescent="0.2">
      <c r="A8587" s="391">
        <v>98294</v>
      </c>
      <c r="B8587" s="478" t="s">
        <v>2781</v>
      </c>
      <c r="C8587" s="391" t="s">
        <v>0</v>
      </c>
      <c r="D8587" s="479">
        <v>6.06</v>
      </c>
      <c r="E8587" s="368"/>
      <c r="F8587" s="368"/>
    </row>
    <row r="8588" spans="1:6" ht="25.5" x14ac:dyDescent="0.2">
      <c r="A8588" s="391">
        <v>98297</v>
      </c>
      <c r="B8588" s="478" t="s">
        <v>2784</v>
      </c>
      <c r="C8588" s="391" t="s">
        <v>0</v>
      </c>
      <c r="D8588" s="479">
        <v>7.72</v>
      </c>
      <c r="E8588" s="368"/>
      <c r="F8588" s="368"/>
    </row>
    <row r="8589" spans="1:6" ht="25.5" x14ac:dyDescent="0.2">
      <c r="A8589" s="391">
        <v>98296</v>
      </c>
      <c r="B8589" s="478" t="s">
        <v>2783</v>
      </c>
      <c r="C8589" s="391" t="s">
        <v>0</v>
      </c>
      <c r="D8589" s="479">
        <v>8.85</v>
      </c>
      <c r="E8589" s="368"/>
      <c r="F8589" s="368"/>
    </row>
    <row r="8590" spans="1:6" ht="25.5" x14ac:dyDescent="0.2">
      <c r="A8590" s="391">
        <v>98299</v>
      </c>
      <c r="B8590" s="478" t="s">
        <v>2786</v>
      </c>
      <c r="C8590" s="391" t="s">
        <v>0</v>
      </c>
      <c r="D8590" s="479">
        <v>20.04</v>
      </c>
      <c r="E8590" s="368"/>
      <c r="F8590" s="368"/>
    </row>
    <row r="8591" spans="1:6" ht="25.5" x14ac:dyDescent="0.2">
      <c r="A8591" s="391">
        <v>98298</v>
      </c>
      <c r="B8591" s="478" t="s">
        <v>2785</v>
      </c>
      <c r="C8591" s="391" t="s">
        <v>0</v>
      </c>
      <c r="D8591" s="479">
        <v>21.43</v>
      </c>
      <c r="E8591" s="368"/>
      <c r="F8591" s="368"/>
    </row>
    <row r="8592" spans="1:6" ht="25.5" x14ac:dyDescent="0.2">
      <c r="A8592" s="391">
        <v>98261</v>
      </c>
      <c r="B8592" s="478" t="s">
        <v>2704</v>
      </c>
      <c r="C8592" s="391" t="s">
        <v>0</v>
      </c>
      <c r="D8592" s="479">
        <v>3.76</v>
      </c>
      <c r="E8592" s="368"/>
      <c r="F8592" s="368"/>
    </row>
    <row r="8593" spans="1:6" ht="38.25" x14ac:dyDescent="0.2">
      <c r="A8593" s="391">
        <v>98287</v>
      </c>
      <c r="B8593" s="478" t="s">
        <v>2730</v>
      </c>
      <c r="C8593" s="391" t="s">
        <v>0</v>
      </c>
      <c r="D8593" s="479">
        <v>1.41</v>
      </c>
      <c r="E8593" s="368"/>
      <c r="F8593" s="368"/>
    </row>
    <row r="8594" spans="1:6" ht="38.25" x14ac:dyDescent="0.2">
      <c r="A8594" s="391">
        <v>98280</v>
      </c>
      <c r="B8594" s="478" t="s">
        <v>2723</v>
      </c>
      <c r="C8594" s="391" t="s">
        <v>0</v>
      </c>
      <c r="D8594" s="479">
        <v>7.68</v>
      </c>
      <c r="E8594" s="368"/>
      <c r="F8594" s="368"/>
    </row>
    <row r="8595" spans="1:6" ht="38.25" x14ac:dyDescent="0.2">
      <c r="A8595" s="391">
        <v>98288</v>
      </c>
      <c r="B8595" s="478" t="s">
        <v>2731</v>
      </c>
      <c r="C8595" s="391" t="s">
        <v>0</v>
      </c>
      <c r="D8595" s="479">
        <v>2.17</v>
      </c>
      <c r="E8595" s="368"/>
      <c r="F8595" s="368"/>
    </row>
    <row r="8596" spans="1:6" ht="38.25" x14ac:dyDescent="0.2">
      <c r="A8596" s="391">
        <v>98281</v>
      </c>
      <c r="B8596" s="478" t="s">
        <v>2724</v>
      </c>
      <c r="C8596" s="391" t="s">
        <v>0</v>
      </c>
      <c r="D8596" s="479">
        <v>8.43</v>
      </c>
      <c r="E8596" s="368"/>
      <c r="F8596" s="368"/>
    </row>
    <row r="8597" spans="1:6" ht="25.5" x14ac:dyDescent="0.2">
      <c r="A8597" s="392">
        <v>98262</v>
      </c>
      <c r="B8597" s="480" t="s">
        <v>2705</v>
      </c>
      <c r="C8597" s="392" t="s">
        <v>0</v>
      </c>
      <c r="D8597" s="481">
        <v>4.5199999999999996</v>
      </c>
      <c r="E8597" s="369"/>
      <c r="F8597" s="369"/>
    </row>
    <row r="8598" spans="1:6" ht="38.25" x14ac:dyDescent="0.2">
      <c r="A8598" s="391">
        <v>98289</v>
      </c>
      <c r="B8598" s="478" t="s">
        <v>2732</v>
      </c>
      <c r="C8598" s="391" t="s">
        <v>0</v>
      </c>
      <c r="D8598" s="479">
        <v>2.36</v>
      </c>
      <c r="E8598" s="368"/>
      <c r="F8598" s="368"/>
    </row>
    <row r="8599" spans="1:6" ht="38.25" x14ac:dyDescent="0.2">
      <c r="A8599" s="391">
        <v>98282</v>
      </c>
      <c r="B8599" s="478" t="s">
        <v>2725</v>
      </c>
      <c r="C8599" s="391" t="s">
        <v>0</v>
      </c>
      <c r="D8599" s="479">
        <v>8.6300000000000008</v>
      </c>
      <c r="E8599" s="368"/>
      <c r="F8599" s="368"/>
    </row>
    <row r="8600" spans="1:6" ht="25.5" x14ac:dyDescent="0.2">
      <c r="A8600" s="391">
        <v>98263</v>
      </c>
      <c r="B8600" s="478" t="s">
        <v>2706</v>
      </c>
      <c r="C8600" s="391" t="s">
        <v>0</v>
      </c>
      <c r="D8600" s="479">
        <v>4.71</v>
      </c>
      <c r="E8600" s="368"/>
      <c r="F8600" s="368"/>
    </row>
    <row r="8601" spans="1:6" ht="38.25" x14ac:dyDescent="0.2">
      <c r="A8601" s="391">
        <v>98290</v>
      </c>
      <c r="B8601" s="478" t="s">
        <v>2733</v>
      </c>
      <c r="C8601" s="391" t="s">
        <v>0</v>
      </c>
      <c r="D8601" s="479">
        <v>3.18</v>
      </c>
      <c r="E8601" s="368"/>
      <c r="F8601" s="368"/>
    </row>
    <row r="8602" spans="1:6" ht="38.25" x14ac:dyDescent="0.2">
      <c r="A8602" s="391">
        <v>98283</v>
      </c>
      <c r="B8602" s="478" t="s">
        <v>2726</v>
      </c>
      <c r="C8602" s="391" t="s">
        <v>0</v>
      </c>
      <c r="D8602" s="479">
        <v>9.44</v>
      </c>
      <c r="E8602" s="368"/>
      <c r="F8602" s="368"/>
    </row>
    <row r="8603" spans="1:6" ht="25.5" x14ac:dyDescent="0.2">
      <c r="A8603" s="391">
        <v>98264</v>
      </c>
      <c r="B8603" s="478" t="s">
        <v>2707</v>
      </c>
      <c r="C8603" s="391" t="s">
        <v>0</v>
      </c>
      <c r="D8603" s="479">
        <v>5.53</v>
      </c>
      <c r="E8603" s="368"/>
      <c r="F8603" s="368"/>
    </row>
    <row r="8604" spans="1:6" ht="25.5" x14ac:dyDescent="0.2">
      <c r="A8604" s="391">
        <v>98273</v>
      </c>
      <c r="B8604" s="478" t="s">
        <v>2716</v>
      </c>
      <c r="C8604" s="391" t="s">
        <v>0</v>
      </c>
      <c r="D8604" s="479">
        <v>2.48</v>
      </c>
      <c r="E8604" s="368"/>
      <c r="F8604" s="368"/>
    </row>
    <row r="8605" spans="1:6" ht="38.25" x14ac:dyDescent="0.2">
      <c r="A8605" s="391">
        <v>98291</v>
      </c>
      <c r="B8605" s="478" t="s">
        <v>2734</v>
      </c>
      <c r="C8605" s="391" t="s">
        <v>0</v>
      </c>
      <c r="D8605" s="479">
        <v>3.72</v>
      </c>
      <c r="E8605" s="368"/>
      <c r="F8605" s="368"/>
    </row>
    <row r="8606" spans="1:6" ht="38.25" x14ac:dyDescent="0.2">
      <c r="A8606" s="391">
        <v>98284</v>
      </c>
      <c r="B8606" s="478" t="s">
        <v>2727</v>
      </c>
      <c r="C8606" s="391" t="s">
        <v>0</v>
      </c>
      <c r="D8606" s="479">
        <v>9.98</v>
      </c>
      <c r="E8606" s="368"/>
      <c r="F8606" s="368"/>
    </row>
    <row r="8607" spans="1:6" ht="25.5" x14ac:dyDescent="0.2">
      <c r="A8607" s="391">
        <v>98265</v>
      </c>
      <c r="B8607" s="478" t="s">
        <v>2708</v>
      </c>
      <c r="C8607" s="391" t="s">
        <v>0</v>
      </c>
      <c r="D8607" s="479">
        <v>6.07</v>
      </c>
      <c r="E8607" s="368"/>
      <c r="F8607" s="368"/>
    </row>
    <row r="8608" spans="1:6" ht="25.5" x14ac:dyDescent="0.2">
      <c r="A8608" s="391">
        <v>98274</v>
      </c>
      <c r="B8608" s="478" t="s">
        <v>2717</v>
      </c>
      <c r="C8608" s="391" t="s">
        <v>0</v>
      </c>
      <c r="D8608" s="479">
        <v>3.03</v>
      </c>
      <c r="E8608" s="368"/>
      <c r="F8608" s="368"/>
    </row>
    <row r="8609" spans="1:6" ht="38.25" x14ac:dyDescent="0.2">
      <c r="A8609" s="391">
        <v>98292</v>
      </c>
      <c r="B8609" s="478" t="s">
        <v>2735</v>
      </c>
      <c r="C8609" s="391" t="s">
        <v>0</v>
      </c>
      <c r="D8609" s="479">
        <v>4.46</v>
      </c>
      <c r="E8609" s="368"/>
      <c r="F8609" s="368"/>
    </row>
    <row r="8610" spans="1:6" ht="38.25" x14ac:dyDescent="0.2">
      <c r="A8610" s="391">
        <v>98285</v>
      </c>
      <c r="B8610" s="478" t="s">
        <v>2728</v>
      </c>
      <c r="C8610" s="391" t="s">
        <v>0</v>
      </c>
      <c r="D8610" s="479">
        <v>10.72</v>
      </c>
      <c r="E8610" s="368"/>
      <c r="F8610" s="368"/>
    </row>
    <row r="8611" spans="1:6" ht="25.5" x14ac:dyDescent="0.2">
      <c r="A8611" s="391">
        <v>98266</v>
      </c>
      <c r="B8611" s="478" t="s">
        <v>2709</v>
      </c>
      <c r="C8611" s="391" t="s">
        <v>0</v>
      </c>
      <c r="D8611" s="479">
        <v>6.81</v>
      </c>
      <c r="E8611" s="368"/>
      <c r="F8611" s="368"/>
    </row>
    <row r="8612" spans="1:6" ht="25.5" x14ac:dyDescent="0.2">
      <c r="A8612" s="391">
        <v>98275</v>
      </c>
      <c r="B8612" s="478" t="s">
        <v>2718</v>
      </c>
      <c r="C8612" s="391" t="s">
        <v>0</v>
      </c>
      <c r="D8612" s="479">
        <v>3.76</v>
      </c>
      <c r="E8612" s="368"/>
      <c r="F8612" s="368"/>
    </row>
    <row r="8613" spans="1:6" ht="25.5" x14ac:dyDescent="0.2">
      <c r="A8613" s="391">
        <v>98293</v>
      </c>
      <c r="B8613" s="478" t="s">
        <v>2736</v>
      </c>
      <c r="C8613" s="391" t="s">
        <v>0</v>
      </c>
      <c r="D8613" s="479">
        <v>8.18</v>
      </c>
      <c r="E8613" s="368"/>
      <c r="F8613" s="368"/>
    </row>
    <row r="8614" spans="1:6" ht="25.5" x14ac:dyDescent="0.2">
      <c r="A8614" s="391">
        <v>98286</v>
      </c>
      <c r="B8614" s="478" t="s">
        <v>2729</v>
      </c>
      <c r="C8614" s="391" t="s">
        <v>0</v>
      </c>
      <c r="D8614" s="479">
        <v>14.45</v>
      </c>
      <c r="E8614" s="368"/>
      <c r="F8614" s="368"/>
    </row>
    <row r="8615" spans="1:6" ht="25.5" x14ac:dyDescent="0.2">
      <c r="A8615" s="391">
        <v>98267</v>
      </c>
      <c r="B8615" s="478" t="s">
        <v>2710</v>
      </c>
      <c r="C8615" s="391" t="s">
        <v>0</v>
      </c>
      <c r="D8615" s="479">
        <v>10.53</v>
      </c>
      <c r="E8615" s="368"/>
      <c r="F8615" s="368"/>
    </row>
    <row r="8616" spans="1:6" ht="25.5" x14ac:dyDescent="0.2">
      <c r="A8616" s="391">
        <v>98276</v>
      </c>
      <c r="B8616" s="478" t="s">
        <v>2719</v>
      </c>
      <c r="C8616" s="391" t="s">
        <v>0</v>
      </c>
      <c r="D8616" s="479">
        <v>7.49</v>
      </c>
      <c r="E8616" s="368"/>
      <c r="F8616" s="368"/>
    </row>
    <row r="8617" spans="1:6" ht="25.5" x14ac:dyDescent="0.2">
      <c r="A8617" s="391">
        <v>98268</v>
      </c>
      <c r="B8617" s="478" t="s">
        <v>2711</v>
      </c>
      <c r="C8617" s="391" t="s">
        <v>0</v>
      </c>
      <c r="D8617" s="479">
        <v>16.46</v>
      </c>
      <c r="E8617" s="368"/>
      <c r="F8617" s="368"/>
    </row>
    <row r="8618" spans="1:6" ht="25.5" x14ac:dyDescent="0.2">
      <c r="A8618" s="391">
        <v>98277</v>
      </c>
      <c r="B8618" s="478" t="s">
        <v>2720</v>
      </c>
      <c r="C8618" s="391" t="s">
        <v>0</v>
      </c>
      <c r="D8618" s="479">
        <v>13.41</v>
      </c>
      <c r="E8618" s="368"/>
      <c r="F8618" s="368"/>
    </row>
    <row r="8619" spans="1:6" ht="25.5" x14ac:dyDescent="0.2">
      <c r="A8619" s="391">
        <v>98272</v>
      </c>
      <c r="B8619" s="478" t="s">
        <v>2715</v>
      </c>
      <c r="C8619" s="391" t="s">
        <v>0</v>
      </c>
      <c r="D8619" s="479">
        <v>103.72</v>
      </c>
      <c r="E8619" s="368"/>
      <c r="F8619" s="368"/>
    </row>
    <row r="8620" spans="1:6" ht="25.5" x14ac:dyDescent="0.2">
      <c r="A8620" s="391">
        <v>98269</v>
      </c>
      <c r="B8620" s="478" t="s">
        <v>2712</v>
      </c>
      <c r="C8620" s="391" t="s">
        <v>0</v>
      </c>
      <c r="D8620" s="479">
        <v>22.18</v>
      </c>
      <c r="E8620" s="368"/>
      <c r="F8620" s="368"/>
    </row>
    <row r="8621" spans="1:6" ht="25.5" x14ac:dyDescent="0.2">
      <c r="A8621" s="391">
        <v>98278</v>
      </c>
      <c r="B8621" s="478" t="s">
        <v>2721</v>
      </c>
      <c r="C8621" s="391" t="s">
        <v>0</v>
      </c>
      <c r="D8621" s="479">
        <v>19.13</v>
      </c>
      <c r="E8621" s="368"/>
      <c r="F8621" s="368"/>
    </row>
    <row r="8622" spans="1:6" ht="25.5" x14ac:dyDescent="0.2">
      <c r="A8622" s="391">
        <v>98270</v>
      </c>
      <c r="B8622" s="478" t="s">
        <v>2713</v>
      </c>
      <c r="C8622" s="391" t="s">
        <v>0</v>
      </c>
      <c r="D8622" s="479">
        <v>32.909999999999997</v>
      </c>
      <c r="E8622" s="368"/>
      <c r="F8622" s="368"/>
    </row>
    <row r="8623" spans="1:6" ht="25.5" x14ac:dyDescent="0.2">
      <c r="A8623" s="391">
        <v>98279</v>
      </c>
      <c r="B8623" s="478" t="s">
        <v>2722</v>
      </c>
      <c r="C8623" s="391" t="s">
        <v>0</v>
      </c>
      <c r="D8623" s="479">
        <v>29.87</v>
      </c>
      <c r="E8623" s="368"/>
      <c r="F8623" s="368"/>
    </row>
    <row r="8624" spans="1:6" ht="25.5" x14ac:dyDescent="0.2">
      <c r="A8624" s="391">
        <v>98271</v>
      </c>
      <c r="B8624" s="478" t="s">
        <v>2714</v>
      </c>
      <c r="C8624" s="391" t="s">
        <v>0</v>
      </c>
      <c r="D8624" s="479">
        <v>45.84</v>
      </c>
      <c r="E8624" s="368"/>
      <c r="F8624" s="368"/>
    </row>
    <row r="8625" spans="1:6" ht="25.5" x14ac:dyDescent="0.2">
      <c r="A8625" s="391">
        <v>98400</v>
      </c>
      <c r="B8625" s="478" t="s">
        <v>2737</v>
      </c>
      <c r="C8625" s="391" t="s">
        <v>0</v>
      </c>
      <c r="D8625" s="479">
        <v>12.7</v>
      </c>
      <c r="E8625" s="368"/>
      <c r="F8625" s="368"/>
    </row>
    <row r="8626" spans="1:6" ht="25.5" x14ac:dyDescent="0.2">
      <c r="A8626" s="391">
        <v>98401</v>
      </c>
      <c r="B8626" s="478" t="s">
        <v>2738</v>
      </c>
      <c r="C8626" s="391" t="s">
        <v>0</v>
      </c>
      <c r="D8626" s="479">
        <v>19.47</v>
      </c>
      <c r="E8626" s="368"/>
      <c r="F8626" s="368"/>
    </row>
    <row r="8627" spans="1:6" ht="25.5" x14ac:dyDescent="0.2">
      <c r="A8627" s="391">
        <v>98402</v>
      </c>
      <c r="B8627" s="478" t="s">
        <v>2739</v>
      </c>
      <c r="C8627" s="391" t="s">
        <v>0</v>
      </c>
      <c r="D8627" s="479">
        <v>22.64</v>
      </c>
      <c r="E8627" s="368"/>
      <c r="F8627" s="368"/>
    </row>
    <row r="8628" spans="1:6" ht="25.5" x14ac:dyDescent="0.2">
      <c r="A8628" s="391">
        <v>100556</v>
      </c>
      <c r="B8628" s="478" t="s">
        <v>2740</v>
      </c>
      <c r="C8628" s="391" t="s">
        <v>26</v>
      </c>
      <c r="D8628" s="479">
        <v>37.89</v>
      </c>
      <c r="E8628" s="368"/>
      <c r="F8628" s="368"/>
    </row>
    <row r="8629" spans="1:6" ht="25.5" x14ac:dyDescent="0.2">
      <c r="A8629" s="391">
        <v>100557</v>
      </c>
      <c r="B8629" s="478" t="s">
        <v>2741</v>
      </c>
      <c r="C8629" s="391" t="s">
        <v>26</v>
      </c>
      <c r="D8629" s="479">
        <v>433.85</v>
      </c>
      <c r="E8629" s="368"/>
      <c r="F8629" s="368"/>
    </row>
    <row r="8630" spans="1:6" ht="25.5" x14ac:dyDescent="0.2">
      <c r="A8630" s="391">
        <v>98301</v>
      </c>
      <c r="B8630" s="478" t="s">
        <v>2788</v>
      </c>
      <c r="C8630" s="391" t="s">
        <v>26</v>
      </c>
      <c r="D8630" s="479">
        <v>652.20000000000005</v>
      </c>
      <c r="E8630" s="368"/>
      <c r="F8630" s="368"/>
    </row>
    <row r="8631" spans="1:6" ht="25.5" x14ac:dyDescent="0.2">
      <c r="A8631" s="391">
        <v>98302</v>
      </c>
      <c r="B8631" s="478" t="s">
        <v>2789</v>
      </c>
      <c r="C8631" s="391" t="s">
        <v>26</v>
      </c>
      <c r="D8631" s="479">
        <v>1220.8699999999999</v>
      </c>
      <c r="E8631" s="368"/>
      <c r="F8631" s="368"/>
    </row>
    <row r="8632" spans="1:6" ht="25.5" x14ac:dyDescent="0.2">
      <c r="A8632" s="391">
        <v>98593</v>
      </c>
      <c r="B8632" s="478" t="s">
        <v>2795</v>
      </c>
      <c r="C8632" s="391" t="s">
        <v>26</v>
      </c>
      <c r="D8632" s="479">
        <v>2661.83</v>
      </c>
      <c r="E8632" s="368"/>
      <c r="F8632" s="368"/>
    </row>
    <row r="8633" spans="1:6" ht="25.5" x14ac:dyDescent="0.2">
      <c r="A8633" s="391">
        <v>98304</v>
      </c>
      <c r="B8633" s="478" t="s">
        <v>2790</v>
      </c>
      <c r="C8633" s="391" t="s">
        <v>26</v>
      </c>
      <c r="D8633" s="479">
        <v>3821.36</v>
      </c>
      <c r="E8633" s="368"/>
      <c r="F8633" s="368"/>
    </row>
    <row r="8634" spans="1:6" ht="38.25" x14ac:dyDescent="0.2">
      <c r="A8634" s="391">
        <v>100561</v>
      </c>
      <c r="B8634" s="478" t="s">
        <v>2743</v>
      </c>
      <c r="C8634" s="391" t="s">
        <v>26</v>
      </c>
      <c r="D8634" s="479">
        <v>181.83</v>
      </c>
      <c r="E8634" s="368"/>
      <c r="F8634" s="368"/>
    </row>
    <row r="8635" spans="1:6" ht="38.25" x14ac:dyDescent="0.2">
      <c r="A8635" s="391">
        <v>100562</v>
      </c>
      <c r="B8635" s="478" t="s">
        <v>2744</v>
      </c>
      <c r="C8635" s="391" t="s">
        <v>26</v>
      </c>
      <c r="D8635" s="479">
        <v>277.49</v>
      </c>
      <c r="E8635" s="368"/>
      <c r="F8635" s="368"/>
    </row>
    <row r="8636" spans="1:6" ht="38.25" x14ac:dyDescent="0.2">
      <c r="A8636" s="391">
        <v>100560</v>
      </c>
      <c r="B8636" s="478" t="s">
        <v>2742</v>
      </c>
      <c r="C8636" s="391" t="s">
        <v>26</v>
      </c>
      <c r="D8636" s="479">
        <v>103.08</v>
      </c>
      <c r="E8636" s="368"/>
      <c r="F8636" s="368"/>
    </row>
    <row r="8637" spans="1:6" ht="38.25" x14ac:dyDescent="0.2">
      <c r="A8637" s="391">
        <v>100563</v>
      </c>
      <c r="B8637" s="478" t="s">
        <v>2745</v>
      </c>
      <c r="C8637" s="391" t="s">
        <v>26</v>
      </c>
      <c r="D8637" s="479">
        <v>396.79</v>
      </c>
      <c r="E8637" s="368"/>
      <c r="F8637" s="368"/>
    </row>
    <row r="8638" spans="1:6" ht="25.5" x14ac:dyDescent="0.2">
      <c r="A8638" s="391">
        <v>100555</v>
      </c>
      <c r="B8638" s="478" t="s">
        <v>2798</v>
      </c>
      <c r="C8638" s="391" t="s">
        <v>26</v>
      </c>
      <c r="D8638" s="479">
        <v>1407.11</v>
      </c>
      <c r="E8638" s="368"/>
      <c r="F8638" s="368"/>
    </row>
    <row r="8639" spans="1:6" x14ac:dyDescent="0.2">
      <c r="A8639" s="391">
        <v>98305</v>
      </c>
      <c r="B8639" s="478" t="s">
        <v>2791</v>
      </c>
      <c r="C8639" s="391" t="s">
        <v>26</v>
      </c>
      <c r="D8639" s="479">
        <v>2809.57</v>
      </c>
      <c r="E8639" s="368"/>
      <c r="F8639" s="368"/>
    </row>
    <row r="8640" spans="1:6" x14ac:dyDescent="0.2">
      <c r="A8640" s="391">
        <v>98307</v>
      </c>
      <c r="B8640" s="478" t="s">
        <v>2793</v>
      </c>
      <c r="C8640" s="391" t="s">
        <v>26</v>
      </c>
      <c r="D8640" s="479">
        <v>44.09</v>
      </c>
      <c r="E8640" s="368"/>
      <c r="F8640" s="368"/>
    </row>
    <row r="8641" spans="1:6" x14ac:dyDescent="0.2">
      <c r="A8641" s="391">
        <v>98308</v>
      </c>
      <c r="B8641" s="478" t="s">
        <v>2794</v>
      </c>
      <c r="C8641" s="391" t="s">
        <v>26</v>
      </c>
      <c r="D8641" s="479">
        <v>29.5</v>
      </c>
      <c r="E8641" s="368"/>
      <c r="F8641" s="368"/>
    </row>
    <row r="8642" spans="1:6" ht="38.25" x14ac:dyDescent="0.2">
      <c r="A8642" s="391">
        <v>103401</v>
      </c>
      <c r="B8642" s="478" t="s">
        <v>212</v>
      </c>
      <c r="C8642" s="391" t="s">
        <v>26</v>
      </c>
      <c r="D8642" s="479">
        <v>20.29</v>
      </c>
      <c r="E8642" s="368"/>
      <c r="F8642" s="368"/>
    </row>
    <row r="8643" spans="1:6" ht="38.25" x14ac:dyDescent="0.2">
      <c r="A8643" s="391">
        <v>103402</v>
      </c>
      <c r="B8643" s="478" t="s">
        <v>213</v>
      </c>
      <c r="C8643" s="391" t="s">
        <v>26</v>
      </c>
      <c r="D8643" s="479">
        <v>29.52</v>
      </c>
      <c r="E8643" s="368"/>
      <c r="F8643" s="368"/>
    </row>
    <row r="8644" spans="1:6" ht="38.25" x14ac:dyDescent="0.2">
      <c r="A8644" s="391">
        <v>103403</v>
      </c>
      <c r="B8644" s="478" t="s">
        <v>214</v>
      </c>
      <c r="C8644" s="391" t="s">
        <v>26</v>
      </c>
      <c r="D8644" s="479">
        <v>33.21</v>
      </c>
      <c r="E8644" s="368"/>
      <c r="F8644" s="368"/>
    </row>
    <row r="8645" spans="1:6" ht="38.25" x14ac:dyDescent="0.2">
      <c r="A8645" s="391">
        <v>103397</v>
      </c>
      <c r="B8645" s="478" t="s">
        <v>208</v>
      </c>
      <c r="C8645" s="391" t="s">
        <v>26</v>
      </c>
      <c r="D8645" s="479">
        <v>3.68</v>
      </c>
      <c r="E8645" s="368"/>
      <c r="F8645" s="368"/>
    </row>
    <row r="8646" spans="1:6" ht="38.25" x14ac:dyDescent="0.2">
      <c r="A8646" s="391">
        <v>103404</v>
      </c>
      <c r="B8646" s="478" t="s">
        <v>215</v>
      </c>
      <c r="C8646" s="391" t="s">
        <v>26</v>
      </c>
      <c r="D8646" s="479">
        <v>36.9</v>
      </c>
      <c r="E8646" s="368"/>
      <c r="F8646" s="368"/>
    </row>
    <row r="8647" spans="1:6" ht="38.25" x14ac:dyDescent="0.2">
      <c r="A8647" s="391">
        <v>103405</v>
      </c>
      <c r="B8647" s="478" t="s">
        <v>216</v>
      </c>
      <c r="C8647" s="391" t="s">
        <v>26</v>
      </c>
      <c r="D8647" s="479">
        <v>41.51</v>
      </c>
      <c r="E8647" s="368"/>
      <c r="F8647" s="368"/>
    </row>
    <row r="8648" spans="1:6" ht="38.25" x14ac:dyDescent="0.2">
      <c r="A8648" s="391">
        <v>103406</v>
      </c>
      <c r="B8648" s="478" t="s">
        <v>217</v>
      </c>
      <c r="C8648" s="391" t="s">
        <v>26</v>
      </c>
      <c r="D8648" s="479">
        <v>46.13</v>
      </c>
      <c r="E8648" s="368"/>
      <c r="F8648" s="368"/>
    </row>
    <row r="8649" spans="1:6" ht="38.25" x14ac:dyDescent="0.2">
      <c r="A8649" s="391">
        <v>103407</v>
      </c>
      <c r="B8649" s="478" t="s">
        <v>218</v>
      </c>
      <c r="C8649" s="391" t="s">
        <v>26</v>
      </c>
      <c r="D8649" s="479">
        <v>51.67</v>
      </c>
      <c r="E8649" s="368"/>
      <c r="F8649" s="368"/>
    </row>
    <row r="8650" spans="1:6" ht="38.25" x14ac:dyDescent="0.2">
      <c r="A8650" s="391">
        <v>103408</v>
      </c>
      <c r="B8650" s="478" t="s">
        <v>219</v>
      </c>
      <c r="C8650" s="391" t="s">
        <v>26</v>
      </c>
      <c r="D8650" s="479">
        <v>58.12</v>
      </c>
      <c r="E8650" s="368"/>
      <c r="F8650" s="368"/>
    </row>
    <row r="8651" spans="1:6" ht="38.25" x14ac:dyDescent="0.2">
      <c r="A8651" s="391">
        <v>103398</v>
      </c>
      <c r="B8651" s="478" t="s">
        <v>209</v>
      </c>
      <c r="C8651" s="391" t="s">
        <v>26</v>
      </c>
      <c r="D8651" s="479">
        <v>5.89</v>
      </c>
      <c r="E8651" s="368"/>
      <c r="F8651" s="368"/>
    </row>
    <row r="8652" spans="1:6" ht="38.25" x14ac:dyDescent="0.2">
      <c r="A8652" s="391">
        <v>103409</v>
      </c>
      <c r="B8652" s="478" t="s">
        <v>220</v>
      </c>
      <c r="C8652" s="391" t="s">
        <v>26</v>
      </c>
      <c r="D8652" s="479">
        <v>65.510000000000005</v>
      </c>
      <c r="E8652" s="368"/>
      <c r="F8652" s="368"/>
    </row>
    <row r="8653" spans="1:6" ht="38.25" x14ac:dyDescent="0.2">
      <c r="A8653" s="391">
        <v>103410</v>
      </c>
      <c r="B8653" s="478" t="s">
        <v>221</v>
      </c>
      <c r="C8653" s="391" t="s">
        <v>26</v>
      </c>
      <c r="D8653" s="479">
        <v>73.819999999999993</v>
      </c>
      <c r="E8653" s="368"/>
      <c r="F8653" s="368"/>
    </row>
    <row r="8654" spans="1:6" ht="38.25" x14ac:dyDescent="0.2">
      <c r="A8654" s="391">
        <v>103399</v>
      </c>
      <c r="B8654" s="478" t="s">
        <v>210</v>
      </c>
      <c r="C8654" s="391" t="s">
        <v>26</v>
      </c>
      <c r="D8654" s="479">
        <v>11.62</v>
      </c>
      <c r="E8654" s="368"/>
      <c r="F8654" s="368"/>
    </row>
    <row r="8655" spans="1:6" ht="38.25" x14ac:dyDescent="0.2">
      <c r="A8655" s="391">
        <v>103400</v>
      </c>
      <c r="B8655" s="478" t="s">
        <v>211</v>
      </c>
      <c r="C8655" s="391" t="s">
        <v>26</v>
      </c>
      <c r="D8655" s="479">
        <v>16.600000000000001</v>
      </c>
      <c r="E8655" s="368"/>
      <c r="F8655" s="368"/>
    </row>
    <row r="8656" spans="1:6" ht="38.25" x14ac:dyDescent="0.2">
      <c r="A8656" s="391">
        <v>103415</v>
      </c>
      <c r="B8656" s="478" t="s">
        <v>226</v>
      </c>
      <c r="C8656" s="391" t="s">
        <v>26</v>
      </c>
      <c r="D8656" s="479">
        <v>40.590000000000003</v>
      </c>
      <c r="E8656" s="368"/>
      <c r="F8656" s="368"/>
    </row>
    <row r="8657" spans="1:6" ht="38.25" x14ac:dyDescent="0.2">
      <c r="A8657" s="391">
        <v>103416</v>
      </c>
      <c r="B8657" s="478" t="s">
        <v>227</v>
      </c>
      <c r="C8657" s="391" t="s">
        <v>26</v>
      </c>
      <c r="D8657" s="479">
        <v>59.05</v>
      </c>
      <c r="E8657" s="368"/>
      <c r="F8657" s="368"/>
    </row>
    <row r="8658" spans="1:6" ht="38.25" x14ac:dyDescent="0.2">
      <c r="A8658" s="391">
        <v>103417</v>
      </c>
      <c r="B8658" s="478" t="s">
        <v>228</v>
      </c>
      <c r="C8658" s="391" t="s">
        <v>26</v>
      </c>
      <c r="D8658" s="479">
        <v>66.430000000000007</v>
      </c>
      <c r="E8658" s="368"/>
      <c r="F8658" s="368"/>
    </row>
    <row r="8659" spans="1:6" ht="38.25" x14ac:dyDescent="0.2">
      <c r="A8659" s="391">
        <v>103411</v>
      </c>
      <c r="B8659" s="478" t="s">
        <v>222</v>
      </c>
      <c r="C8659" s="391" t="s">
        <v>26</v>
      </c>
      <c r="D8659" s="479">
        <v>7.37</v>
      </c>
      <c r="E8659" s="368"/>
      <c r="F8659" s="368"/>
    </row>
    <row r="8660" spans="1:6" ht="38.25" x14ac:dyDescent="0.2">
      <c r="A8660" s="391">
        <v>103418</v>
      </c>
      <c r="B8660" s="478" t="s">
        <v>229</v>
      </c>
      <c r="C8660" s="391" t="s">
        <v>26</v>
      </c>
      <c r="D8660" s="479">
        <v>73.819999999999993</v>
      </c>
      <c r="E8660" s="368"/>
      <c r="F8660" s="368"/>
    </row>
    <row r="8661" spans="1:6" ht="38.25" x14ac:dyDescent="0.2">
      <c r="A8661" s="391">
        <v>103419</v>
      </c>
      <c r="B8661" s="478" t="s">
        <v>230</v>
      </c>
      <c r="C8661" s="391" t="s">
        <v>26</v>
      </c>
      <c r="D8661" s="479">
        <v>83.05</v>
      </c>
      <c r="E8661" s="368"/>
      <c r="F8661" s="368"/>
    </row>
    <row r="8662" spans="1:6" ht="38.25" x14ac:dyDescent="0.2">
      <c r="A8662" s="391">
        <v>103420</v>
      </c>
      <c r="B8662" s="478" t="s">
        <v>231</v>
      </c>
      <c r="C8662" s="391" t="s">
        <v>26</v>
      </c>
      <c r="D8662" s="479">
        <v>92.26</v>
      </c>
      <c r="E8662" s="368"/>
      <c r="F8662" s="368"/>
    </row>
    <row r="8663" spans="1:6" ht="38.25" x14ac:dyDescent="0.2">
      <c r="A8663" s="391">
        <v>103421</v>
      </c>
      <c r="B8663" s="478" t="s">
        <v>232</v>
      </c>
      <c r="C8663" s="391" t="s">
        <v>26</v>
      </c>
      <c r="D8663" s="479">
        <v>103.34</v>
      </c>
      <c r="E8663" s="368"/>
      <c r="F8663" s="368"/>
    </row>
    <row r="8664" spans="1:6" ht="38.25" x14ac:dyDescent="0.2">
      <c r="A8664" s="391">
        <v>103422</v>
      </c>
      <c r="B8664" s="478" t="s">
        <v>233</v>
      </c>
      <c r="C8664" s="391" t="s">
        <v>26</v>
      </c>
      <c r="D8664" s="479">
        <v>116.26</v>
      </c>
      <c r="E8664" s="368"/>
      <c r="F8664" s="368"/>
    </row>
    <row r="8665" spans="1:6" ht="38.25" x14ac:dyDescent="0.2">
      <c r="A8665" s="391">
        <v>103412</v>
      </c>
      <c r="B8665" s="478" t="s">
        <v>223</v>
      </c>
      <c r="C8665" s="391" t="s">
        <v>26</v>
      </c>
      <c r="D8665" s="479">
        <v>11.8</v>
      </c>
      <c r="E8665" s="368"/>
      <c r="F8665" s="368"/>
    </row>
    <row r="8666" spans="1:6" ht="38.25" x14ac:dyDescent="0.2">
      <c r="A8666" s="391">
        <v>103423</v>
      </c>
      <c r="B8666" s="478" t="s">
        <v>234</v>
      </c>
      <c r="C8666" s="391" t="s">
        <v>26</v>
      </c>
      <c r="D8666" s="479">
        <v>131.02000000000001</v>
      </c>
      <c r="E8666" s="368"/>
      <c r="F8666" s="368"/>
    </row>
    <row r="8667" spans="1:6" ht="38.25" x14ac:dyDescent="0.2">
      <c r="A8667" s="391">
        <v>103424</v>
      </c>
      <c r="B8667" s="478" t="s">
        <v>235</v>
      </c>
      <c r="C8667" s="391" t="s">
        <v>26</v>
      </c>
      <c r="D8667" s="479">
        <v>147.63999999999999</v>
      </c>
      <c r="E8667" s="368"/>
      <c r="F8667" s="368"/>
    </row>
    <row r="8668" spans="1:6" ht="38.25" x14ac:dyDescent="0.2">
      <c r="A8668" s="391">
        <v>103413</v>
      </c>
      <c r="B8668" s="478" t="s">
        <v>224</v>
      </c>
      <c r="C8668" s="391" t="s">
        <v>26</v>
      </c>
      <c r="D8668" s="479">
        <v>23.25</v>
      </c>
      <c r="E8668" s="368"/>
      <c r="F8668" s="368"/>
    </row>
    <row r="8669" spans="1:6" ht="38.25" x14ac:dyDescent="0.2">
      <c r="A8669" s="391">
        <v>103414</v>
      </c>
      <c r="B8669" s="478" t="s">
        <v>225</v>
      </c>
      <c r="C8669" s="391" t="s">
        <v>26</v>
      </c>
      <c r="D8669" s="479">
        <v>33.21</v>
      </c>
      <c r="E8669" s="368"/>
      <c r="F8669" s="368"/>
    </row>
    <row r="8670" spans="1:6" ht="38.25" x14ac:dyDescent="0.2">
      <c r="A8670" s="391">
        <v>103432</v>
      </c>
      <c r="B8670" s="478" t="s">
        <v>243</v>
      </c>
      <c r="C8670" s="391" t="s">
        <v>26</v>
      </c>
      <c r="D8670" s="479">
        <v>1645.74</v>
      </c>
      <c r="E8670" s="368"/>
      <c r="F8670" s="368"/>
    </row>
    <row r="8671" spans="1:6" ht="38.25" x14ac:dyDescent="0.2">
      <c r="A8671" s="391">
        <v>103430</v>
      </c>
      <c r="B8671" s="478" t="s">
        <v>241</v>
      </c>
      <c r="C8671" s="391" t="s">
        <v>26</v>
      </c>
      <c r="D8671" s="479">
        <v>34.81</v>
      </c>
      <c r="E8671" s="368"/>
      <c r="F8671" s="368"/>
    </row>
    <row r="8672" spans="1:6" ht="38.25" x14ac:dyDescent="0.2">
      <c r="A8672" s="391">
        <v>103431</v>
      </c>
      <c r="B8672" s="478" t="s">
        <v>242</v>
      </c>
      <c r="C8672" s="391" t="s">
        <v>26</v>
      </c>
      <c r="D8672" s="479">
        <v>60.98</v>
      </c>
      <c r="E8672" s="368"/>
      <c r="F8672" s="368"/>
    </row>
    <row r="8673" spans="1:6" ht="38.25" x14ac:dyDescent="0.2">
      <c r="A8673" s="391">
        <v>103433</v>
      </c>
      <c r="B8673" s="478" t="s">
        <v>244</v>
      </c>
      <c r="C8673" s="391" t="s">
        <v>26</v>
      </c>
      <c r="D8673" s="479">
        <v>34.520000000000003</v>
      </c>
      <c r="E8673" s="368"/>
      <c r="F8673" s="368"/>
    </row>
    <row r="8674" spans="1:6" ht="38.25" x14ac:dyDescent="0.2">
      <c r="A8674" s="391">
        <v>103434</v>
      </c>
      <c r="B8674" s="478" t="s">
        <v>245</v>
      </c>
      <c r="C8674" s="391" t="s">
        <v>26</v>
      </c>
      <c r="D8674" s="479">
        <v>47.72</v>
      </c>
      <c r="E8674" s="368"/>
      <c r="F8674" s="368"/>
    </row>
    <row r="8675" spans="1:6" ht="38.25" x14ac:dyDescent="0.2">
      <c r="A8675" s="391">
        <v>103435</v>
      </c>
      <c r="B8675" s="478" t="s">
        <v>246</v>
      </c>
      <c r="C8675" s="391" t="s">
        <v>26</v>
      </c>
      <c r="D8675" s="479">
        <v>88.78</v>
      </c>
      <c r="E8675" s="368"/>
      <c r="F8675" s="368"/>
    </row>
    <row r="8676" spans="1:6" ht="38.25" x14ac:dyDescent="0.2">
      <c r="A8676" s="391">
        <v>103436</v>
      </c>
      <c r="B8676" s="478" t="s">
        <v>247</v>
      </c>
      <c r="C8676" s="391" t="s">
        <v>26</v>
      </c>
      <c r="D8676" s="479">
        <v>2331.3200000000002</v>
      </c>
      <c r="E8676" s="368"/>
      <c r="F8676" s="368"/>
    </row>
    <row r="8677" spans="1:6" ht="38.25" x14ac:dyDescent="0.2">
      <c r="A8677" s="391">
        <v>103482</v>
      </c>
      <c r="B8677" s="478" t="s">
        <v>41918</v>
      </c>
      <c r="C8677" s="391" t="s">
        <v>26</v>
      </c>
      <c r="D8677" s="479">
        <v>0</v>
      </c>
      <c r="E8677" s="368"/>
      <c r="F8677" s="368"/>
    </row>
    <row r="8678" spans="1:6" ht="38.25" x14ac:dyDescent="0.2">
      <c r="A8678" s="391">
        <v>103465</v>
      </c>
      <c r="B8678" s="478" t="s">
        <v>41919</v>
      </c>
      <c r="C8678" s="391" t="s">
        <v>26</v>
      </c>
      <c r="D8678" s="479">
        <v>0</v>
      </c>
      <c r="E8678" s="368"/>
      <c r="F8678" s="368"/>
    </row>
    <row r="8679" spans="1:6" ht="38.25" x14ac:dyDescent="0.2">
      <c r="A8679" s="391">
        <v>103483</v>
      </c>
      <c r="B8679" s="478" t="s">
        <v>41920</v>
      </c>
      <c r="C8679" s="391" t="s">
        <v>26</v>
      </c>
      <c r="D8679" s="479">
        <v>0</v>
      </c>
      <c r="E8679" s="368"/>
      <c r="F8679" s="368"/>
    </row>
    <row r="8680" spans="1:6" ht="38.25" x14ac:dyDescent="0.2">
      <c r="A8680" s="391">
        <v>103484</v>
      </c>
      <c r="B8680" s="478" t="s">
        <v>41921</v>
      </c>
      <c r="C8680" s="391" t="s">
        <v>26</v>
      </c>
      <c r="D8680" s="479">
        <v>0</v>
      </c>
      <c r="E8680" s="368"/>
      <c r="F8680" s="368"/>
    </row>
    <row r="8681" spans="1:6" ht="38.25" x14ac:dyDescent="0.2">
      <c r="A8681" s="391">
        <v>103466</v>
      </c>
      <c r="B8681" s="478" t="s">
        <v>41922</v>
      </c>
      <c r="C8681" s="391" t="s">
        <v>26</v>
      </c>
      <c r="D8681" s="479">
        <v>0</v>
      </c>
      <c r="E8681" s="368"/>
      <c r="F8681" s="368"/>
    </row>
    <row r="8682" spans="1:6" ht="38.25" x14ac:dyDescent="0.2">
      <c r="A8682" s="391">
        <v>103485</v>
      </c>
      <c r="B8682" s="478" t="s">
        <v>41923</v>
      </c>
      <c r="C8682" s="391" t="s">
        <v>26</v>
      </c>
      <c r="D8682" s="479">
        <v>0</v>
      </c>
      <c r="E8682" s="368"/>
      <c r="F8682" s="368"/>
    </row>
    <row r="8683" spans="1:6" ht="38.25" x14ac:dyDescent="0.2">
      <c r="A8683" s="391">
        <v>103467</v>
      </c>
      <c r="B8683" s="478" t="s">
        <v>41924</v>
      </c>
      <c r="C8683" s="391" t="s">
        <v>26</v>
      </c>
      <c r="D8683" s="479">
        <v>0</v>
      </c>
      <c r="E8683" s="368"/>
      <c r="F8683" s="368"/>
    </row>
    <row r="8684" spans="1:6" ht="38.25" x14ac:dyDescent="0.2">
      <c r="A8684" s="391">
        <v>103461</v>
      </c>
      <c r="B8684" s="478" t="s">
        <v>41925</v>
      </c>
      <c r="C8684" s="391" t="s">
        <v>26</v>
      </c>
      <c r="D8684" s="479">
        <v>0</v>
      </c>
      <c r="E8684" s="368"/>
      <c r="F8684" s="368"/>
    </row>
    <row r="8685" spans="1:6" ht="38.25" x14ac:dyDescent="0.2">
      <c r="A8685" s="391">
        <v>103468</v>
      </c>
      <c r="B8685" s="478" t="s">
        <v>41926</v>
      </c>
      <c r="C8685" s="391" t="s">
        <v>26</v>
      </c>
      <c r="D8685" s="479">
        <v>0</v>
      </c>
      <c r="E8685" s="368"/>
      <c r="F8685" s="368"/>
    </row>
    <row r="8686" spans="1:6" ht="38.25" x14ac:dyDescent="0.2">
      <c r="A8686" s="391">
        <v>103469</v>
      </c>
      <c r="B8686" s="478" t="s">
        <v>41927</v>
      </c>
      <c r="C8686" s="391" t="s">
        <v>26</v>
      </c>
      <c r="D8686" s="479">
        <v>0</v>
      </c>
      <c r="E8686" s="368"/>
      <c r="F8686" s="368"/>
    </row>
    <row r="8687" spans="1:6" ht="38.25" x14ac:dyDescent="0.2">
      <c r="A8687" s="391">
        <v>103470</v>
      </c>
      <c r="B8687" s="478" t="s">
        <v>41928</v>
      </c>
      <c r="C8687" s="391" t="s">
        <v>26</v>
      </c>
      <c r="D8687" s="479">
        <v>0</v>
      </c>
      <c r="E8687" s="368"/>
      <c r="F8687" s="368"/>
    </row>
    <row r="8688" spans="1:6" ht="38.25" x14ac:dyDescent="0.2">
      <c r="A8688" s="391">
        <v>103471</v>
      </c>
      <c r="B8688" s="478" t="s">
        <v>41929</v>
      </c>
      <c r="C8688" s="391" t="s">
        <v>26</v>
      </c>
      <c r="D8688" s="479">
        <v>0</v>
      </c>
      <c r="E8688" s="368"/>
      <c r="F8688" s="368"/>
    </row>
    <row r="8689" spans="1:6" ht="38.25" x14ac:dyDescent="0.2">
      <c r="A8689" s="391">
        <v>103472</v>
      </c>
      <c r="B8689" s="478" t="s">
        <v>41930</v>
      </c>
      <c r="C8689" s="391" t="s">
        <v>26</v>
      </c>
      <c r="D8689" s="479">
        <v>0</v>
      </c>
      <c r="E8689" s="368"/>
      <c r="F8689" s="368"/>
    </row>
    <row r="8690" spans="1:6" ht="38.25" x14ac:dyDescent="0.2">
      <c r="A8690" s="391">
        <v>103462</v>
      </c>
      <c r="B8690" s="478" t="s">
        <v>41931</v>
      </c>
      <c r="C8690" s="391" t="s">
        <v>26</v>
      </c>
      <c r="D8690" s="479">
        <v>0</v>
      </c>
      <c r="E8690" s="368"/>
      <c r="F8690" s="368"/>
    </row>
    <row r="8691" spans="1:6" ht="38.25" x14ac:dyDescent="0.2">
      <c r="A8691" s="391">
        <v>103473</v>
      </c>
      <c r="B8691" s="478" t="s">
        <v>41932</v>
      </c>
      <c r="C8691" s="391" t="s">
        <v>26</v>
      </c>
      <c r="D8691" s="479">
        <v>0</v>
      </c>
      <c r="E8691" s="368"/>
      <c r="F8691" s="368"/>
    </row>
    <row r="8692" spans="1:6" ht="38.25" x14ac:dyDescent="0.2">
      <c r="A8692" s="391">
        <v>103474</v>
      </c>
      <c r="B8692" s="478" t="s">
        <v>41933</v>
      </c>
      <c r="C8692" s="391" t="s">
        <v>26</v>
      </c>
      <c r="D8692" s="479">
        <v>0</v>
      </c>
      <c r="E8692" s="368"/>
      <c r="F8692" s="368"/>
    </row>
    <row r="8693" spans="1:6" ht="38.25" x14ac:dyDescent="0.2">
      <c r="A8693" s="391">
        <v>103475</v>
      </c>
      <c r="B8693" s="478" t="s">
        <v>41934</v>
      </c>
      <c r="C8693" s="391" t="s">
        <v>26</v>
      </c>
      <c r="D8693" s="479">
        <v>0</v>
      </c>
      <c r="E8693" s="368"/>
      <c r="F8693" s="368"/>
    </row>
    <row r="8694" spans="1:6" ht="38.25" x14ac:dyDescent="0.2">
      <c r="A8694" s="391">
        <v>103476</v>
      </c>
      <c r="B8694" s="478" t="s">
        <v>41935</v>
      </c>
      <c r="C8694" s="391" t="s">
        <v>26</v>
      </c>
      <c r="D8694" s="479">
        <v>0</v>
      </c>
      <c r="E8694" s="368"/>
      <c r="F8694" s="368"/>
    </row>
    <row r="8695" spans="1:6" ht="38.25" x14ac:dyDescent="0.2">
      <c r="A8695" s="391">
        <v>103477</v>
      </c>
      <c r="B8695" s="478" t="s">
        <v>41936</v>
      </c>
      <c r="C8695" s="391" t="s">
        <v>26</v>
      </c>
      <c r="D8695" s="479">
        <v>0</v>
      </c>
      <c r="E8695" s="368"/>
      <c r="F8695" s="368"/>
    </row>
    <row r="8696" spans="1:6" ht="38.25" x14ac:dyDescent="0.2">
      <c r="A8696" s="391">
        <v>103463</v>
      </c>
      <c r="B8696" s="478" t="s">
        <v>41937</v>
      </c>
      <c r="C8696" s="391" t="s">
        <v>26</v>
      </c>
      <c r="D8696" s="479">
        <v>0</v>
      </c>
      <c r="E8696" s="368"/>
      <c r="F8696" s="368"/>
    </row>
    <row r="8697" spans="1:6" ht="38.25" x14ac:dyDescent="0.2">
      <c r="A8697" s="391">
        <v>103478</v>
      </c>
      <c r="B8697" s="478" t="s">
        <v>41938</v>
      </c>
      <c r="C8697" s="391" t="s">
        <v>26</v>
      </c>
      <c r="D8697" s="479">
        <v>0</v>
      </c>
      <c r="E8697" s="368"/>
      <c r="F8697" s="368"/>
    </row>
    <row r="8698" spans="1:6" ht="38.25" x14ac:dyDescent="0.2">
      <c r="A8698" s="391">
        <v>103479</v>
      </c>
      <c r="B8698" s="478" t="s">
        <v>41939</v>
      </c>
      <c r="C8698" s="391" t="s">
        <v>26</v>
      </c>
      <c r="D8698" s="479">
        <v>0</v>
      </c>
      <c r="E8698" s="368"/>
      <c r="F8698" s="368"/>
    </row>
    <row r="8699" spans="1:6" ht="38.25" x14ac:dyDescent="0.2">
      <c r="A8699" s="391">
        <v>103480</v>
      </c>
      <c r="B8699" s="478" t="s">
        <v>41940</v>
      </c>
      <c r="C8699" s="391" t="s">
        <v>26</v>
      </c>
      <c r="D8699" s="479">
        <v>0</v>
      </c>
      <c r="E8699" s="368"/>
      <c r="F8699" s="368"/>
    </row>
    <row r="8700" spans="1:6" ht="38.25" x14ac:dyDescent="0.2">
      <c r="A8700" s="391">
        <v>103464</v>
      </c>
      <c r="B8700" s="478" t="s">
        <v>41941</v>
      </c>
      <c r="C8700" s="391" t="s">
        <v>26</v>
      </c>
      <c r="D8700" s="479">
        <v>0</v>
      </c>
      <c r="E8700" s="368"/>
      <c r="F8700" s="368"/>
    </row>
    <row r="8701" spans="1:6" ht="38.25" x14ac:dyDescent="0.2">
      <c r="A8701" s="391">
        <v>103481</v>
      </c>
      <c r="B8701" s="478" t="s">
        <v>41942</v>
      </c>
      <c r="C8701" s="391" t="s">
        <v>26</v>
      </c>
      <c r="D8701" s="479">
        <v>0</v>
      </c>
      <c r="E8701" s="368"/>
      <c r="F8701" s="368"/>
    </row>
    <row r="8702" spans="1:6" ht="38.25" x14ac:dyDescent="0.2">
      <c r="A8702" s="391">
        <v>103459</v>
      </c>
      <c r="B8702" s="478" t="s">
        <v>41943</v>
      </c>
      <c r="C8702" s="391" t="s">
        <v>26</v>
      </c>
      <c r="D8702" s="479">
        <v>0</v>
      </c>
      <c r="E8702" s="368"/>
      <c r="F8702" s="368"/>
    </row>
    <row r="8703" spans="1:6" ht="38.25" x14ac:dyDescent="0.2">
      <c r="A8703" s="391">
        <v>103460</v>
      </c>
      <c r="B8703" s="478" t="s">
        <v>41944</v>
      </c>
      <c r="C8703" s="391" t="s">
        <v>26</v>
      </c>
      <c r="D8703" s="479">
        <v>0</v>
      </c>
      <c r="E8703" s="368"/>
      <c r="F8703" s="368"/>
    </row>
    <row r="8704" spans="1:6" ht="38.25" x14ac:dyDescent="0.2">
      <c r="A8704" s="391">
        <v>103443</v>
      </c>
      <c r="B8704" s="478" t="s">
        <v>41945</v>
      </c>
      <c r="C8704" s="391" t="s">
        <v>26</v>
      </c>
      <c r="D8704" s="479">
        <v>0</v>
      </c>
      <c r="E8704" s="368"/>
      <c r="F8704" s="368"/>
    </row>
    <row r="8705" spans="1:6" ht="38.25" x14ac:dyDescent="0.2">
      <c r="A8705" s="391">
        <v>103444</v>
      </c>
      <c r="B8705" s="478" t="s">
        <v>41946</v>
      </c>
      <c r="C8705" s="391" t="s">
        <v>26</v>
      </c>
      <c r="D8705" s="479">
        <v>0</v>
      </c>
      <c r="E8705" s="368"/>
      <c r="F8705" s="368"/>
    </row>
    <row r="8706" spans="1:6" ht="38.25" x14ac:dyDescent="0.2">
      <c r="A8706" s="391">
        <v>103445</v>
      </c>
      <c r="B8706" s="478" t="s">
        <v>41947</v>
      </c>
      <c r="C8706" s="391" t="s">
        <v>26</v>
      </c>
      <c r="D8706" s="479">
        <v>0</v>
      </c>
      <c r="E8706" s="368"/>
      <c r="F8706" s="368"/>
    </row>
    <row r="8707" spans="1:6" ht="38.25" x14ac:dyDescent="0.2">
      <c r="A8707" s="391">
        <v>103446</v>
      </c>
      <c r="B8707" s="478" t="s">
        <v>41948</v>
      </c>
      <c r="C8707" s="391" t="s">
        <v>26</v>
      </c>
      <c r="D8707" s="479">
        <v>0</v>
      </c>
      <c r="E8707" s="368"/>
      <c r="F8707" s="368"/>
    </row>
    <row r="8708" spans="1:6" ht="38.25" x14ac:dyDescent="0.2">
      <c r="A8708" s="391">
        <v>103447</v>
      </c>
      <c r="B8708" s="478" t="s">
        <v>41949</v>
      </c>
      <c r="C8708" s="391" t="s">
        <v>26</v>
      </c>
      <c r="D8708" s="479">
        <v>0</v>
      </c>
      <c r="E8708" s="368"/>
      <c r="F8708" s="368"/>
    </row>
    <row r="8709" spans="1:6" ht="38.25" x14ac:dyDescent="0.2">
      <c r="A8709" s="391">
        <v>103448</v>
      </c>
      <c r="B8709" s="478" t="s">
        <v>41950</v>
      </c>
      <c r="C8709" s="391" t="s">
        <v>26</v>
      </c>
      <c r="D8709" s="479">
        <v>0</v>
      </c>
      <c r="E8709" s="368"/>
      <c r="F8709" s="368"/>
    </row>
    <row r="8710" spans="1:6" ht="38.25" x14ac:dyDescent="0.2">
      <c r="A8710" s="391">
        <v>103449</v>
      </c>
      <c r="B8710" s="478" t="s">
        <v>41951</v>
      </c>
      <c r="C8710" s="391" t="s">
        <v>26</v>
      </c>
      <c r="D8710" s="479">
        <v>0</v>
      </c>
      <c r="E8710" s="368"/>
      <c r="F8710" s="368"/>
    </row>
    <row r="8711" spans="1:6" ht="38.25" x14ac:dyDescent="0.2">
      <c r="A8711" s="391">
        <v>103450</v>
      </c>
      <c r="B8711" s="478" t="s">
        <v>41952</v>
      </c>
      <c r="C8711" s="391" t="s">
        <v>26</v>
      </c>
      <c r="D8711" s="479">
        <v>0</v>
      </c>
      <c r="E8711" s="368"/>
      <c r="F8711" s="368"/>
    </row>
    <row r="8712" spans="1:6" ht="38.25" x14ac:dyDescent="0.2">
      <c r="A8712" s="391">
        <v>103451</v>
      </c>
      <c r="B8712" s="478" t="s">
        <v>41953</v>
      </c>
      <c r="C8712" s="391" t="s">
        <v>26</v>
      </c>
      <c r="D8712" s="479">
        <v>0</v>
      </c>
      <c r="E8712" s="368"/>
      <c r="F8712" s="368"/>
    </row>
    <row r="8713" spans="1:6" ht="38.25" x14ac:dyDescent="0.2">
      <c r="A8713" s="391">
        <v>103452</v>
      </c>
      <c r="B8713" s="478" t="s">
        <v>41954</v>
      </c>
      <c r="C8713" s="391" t="s">
        <v>26</v>
      </c>
      <c r="D8713" s="479">
        <v>0</v>
      </c>
      <c r="E8713" s="368"/>
      <c r="F8713" s="368"/>
    </row>
    <row r="8714" spans="1:6" ht="38.25" x14ac:dyDescent="0.2">
      <c r="A8714" s="391">
        <v>103453</v>
      </c>
      <c r="B8714" s="478" t="s">
        <v>41955</v>
      </c>
      <c r="C8714" s="391" t="s">
        <v>26</v>
      </c>
      <c r="D8714" s="479">
        <v>0</v>
      </c>
      <c r="E8714" s="368"/>
      <c r="F8714" s="368"/>
    </row>
    <row r="8715" spans="1:6" ht="38.25" x14ac:dyDescent="0.2">
      <c r="A8715" s="391">
        <v>103454</v>
      </c>
      <c r="B8715" s="478" t="s">
        <v>41956</v>
      </c>
      <c r="C8715" s="391" t="s">
        <v>26</v>
      </c>
      <c r="D8715" s="479">
        <v>0</v>
      </c>
      <c r="E8715" s="368"/>
      <c r="F8715" s="368"/>
    </row>
    <row r="8716" spans="1:6" ht="38.25" x14ac:dyDescent="0.2">
      <c r="A8716" s="391">
        <v>103455</v>
      </c>
      <c r="B8716" s="478" t="s">
        <v>41957</v>
      </c>
      <c r="C8716" s="391" t="s">
        <v>26</v>
      </c>
      <c r="D8716" s="479">
        <v>0</v>
      </c>
      <c r="E8716" s="368"/>
      <c r="F8716" s="368"/>
    </row>
    <row r="8717" spans="1:6" ht="38.25" x14ac:dyDescent="0.2">
      <c r="A8717" s="391">
        <v>103456</v>
      </c>
      <c r="B8717" s="478" t="s">
        <v>41958</v>
      </c>
      <c r="C8717" s="391" t="s">
        <v>26</v>
      </c>
      <c r="D8717" s="479">
        <v>0</v>
      </c>
      <c r="E8717" s="368"/>
      <c r="F8717" s="368"/>
    </row>
    <row r="8718" spans="1:6" ht="38.25" x14ac:dyDescent="0.2">
      <c r="A8718" s="391">
        <v>103457</v>
      </c>
      <c r="B8718" s="478" t="s">
        <v>41959</v>
      </c>
      <c r="C8718" s="391" t="s">
        <v>26</v>
      </c>
      <c r="D8718" s="479">
        <v>0</v>
      </c>
      <c r="E8718" s="368"/>
      <c r="F8718" s="368"/>
    </row>
    <row r="8719" spans="1:6" ht="38.25" x14ac:dyDescent="0.2">
      <c r="A8719" s="391">
        <v>103458</v>
      </c>
      <c r="B8719" s="478" t="s">
        <v>41960</v>
      </c>
      <c r="C8719" s="391" t="s">
        <v>26</v>
      </c>
      <c r="D8719" s="479">
        <v>0</v>
      </c>
      <c r="E8719" s="368"/>
      <c r="F8719" s="368"/>
    </row>
    <row r="8720" spans="1:6" ht="38.25" x14ac:dyDescent="0.2">
      <c r="A8720" s="391">
        <v>103425</v>
      </c>
      <c r="B8720" s="478" t="s">
        <v>236</v>
      </c>
      <c r="C8720" s="391" t="s">
        <v>26</v>
      </c>
      <c r="D8720" s="479">
        <v>16.170000000000002</v>
      </c>
      <c r="E8720" s="368"/>
      <c r="F8720" s="368"/>
    </row>
    <row r="8721" spans="1:6" ht="38.25" x14ac:dyDescent="0.2">
      <c r="A8721" s="391">
        <v>103428</v>
      </c>
      <c r="B8721" s="478" t="s">
        <v>239</v>
      </c>
      <c r="C8721" s="391" t="s">
        <v>26</v>
      </c>
      <c r="D8721" s="479">
        <v>260.29000000000002</v>
      </c>
      <c r="E8721" s="368"/>
      <c r="F8721" s="368"/>
    </row>
    <row r="8722" spans="1:6" ht="38.25" x14ac:dyDescent="0.2">
      <c r="A8722" s="391">
        <v>103426</v>
      </c>
      <c r="B8722" s="478" t="s">
        <v>237</v>
      </c>
      <c r="C8722" s="391" t="s">
        <v>26</v>
      </c>
      <c r="D8722" s="479">
        <v>19.350000000000001</v>
      </c>
      <c r="E8722" s="368"/>
      <c r="F8722" s="368"/>
    </row>
    <row r="8723" spans="1:6" ht="38.25" x14ac:dyDescent="0.2">
      <c r="A8723" s="391">
        <v>103429</v>
      </c>
      <c r="B8723" s="478" t="s">
        <v>240</v>
      </c>
      <c r="C8723" s="391" t="s">
        <v>26</v>
      </c>
      <c r="D8723" s="479">
        <v>2898.71</v>
      </c>
      <c r="E8723" s="368"/>
      <c r="F8723" s="368"/>
    </row>
    <row r="8724" spans="1:6" ht="38.25" x14ac:dyDescent="0.2">
      <c r="A8724" s="391">
        <v>103427</v>
      </c>
      <c r="B8724" s="478" t="s">
        <v>238</v>
      </c>
      <c r="C8724" s="391" t="s">
        <v>26</v>
      </c>
      <c r="D8724" s="479">
        <v>38.79</v>
      </c>
      <c r="E8724" s="368"/>
      <c r="F8724" s="368"/>
    </row>
    <row r="8725" spans="1:6" ht="38.25" x14ac:dyDescent="0.2">
      <c r="A8725" s="391">
        <v>103393</v>
      </c>
      <c r="B8725" s="478" t="s">
        <v>207</v>
      </c>
      <c r="C8725" s="391" t="s">
        <v>0</v>
      </c>
      <c r="D8725" s="479">
        <v>5466.68</v>
      </c>
      <c r="E8725" s="368"/>
      <c r="F8725" s="368"/>
    </row>
    <row r="8726" spans="1:6" ht="38.25" x14ac:dyDescent="0.2">
      <c r="A8726" s="391">
        <v>103376</v>
      </c>
      <c r="B8726" s="478" t="s">
        <v>198</v>
      </c>
      <c r="C8726" s="391" t="s">
        <v>0</v>
      </c>
      <c r="D8726" s="479">
        <v>133.87</v>
      </c>
      <c r="E8726" s="368"/>
      <c r="F8726" s="368"/>
    </row>
    <row r="8727" spans="1:6" ht="38.25" x14ac:dyDescent="0.2">
      <c r="A8727" s="391">
        <v>104804</v>
      </c>
      <c r="B8727" s="478" t="s">
        <v>41961</v>
      </c>
      <c r="C8727" s="391" t="s">
        <v>0</v>
      </c>
      <c r="D8727" s="479">
        <v>0</v>
      </c>
      <c r="E8727" s="368"/>
      <c r="F8727" s="368"/>
    </row>
    <row r="8728" spans="1:6" ht="38.25" x14ac:dyDescent="0.2">
      <c r="A8728" s="391">
        <v>104805</v>
      </c>
      <c r="B8728" s="478" t="s">
        <v>41962</v>
      </c>
      <c r="C8728" s="391" t="s">
        <v>0</v>
      </c>
      <c r="D8728" s="479">
        <v>0</v>
      </c>
      <c r="E8728" s="368"/>
      <c r="F8728" s="368"/>
    </row>
    <row r="8729" spans="1:6" ht="38.25" x14ac:dyDescent="0.2">
      <c r="A8729" s="391">
        <v>103377</v>
      </c>
      <c r="B8729" s="478" t="s">
        <v>199</v>
      </c>
      <c r="C8729" s="391" t="s">
        <v>0</v>
      </c>
      <c r="D8729" s="479">
        <v>286.57</v>
      </c>
      <c r="E8729" s="368"/>
      <c r="F8729" s="368"/>
    </row>
    <row r="8730" spans="1:6" ht="38.25" x14ac:dyDescent="0.2">
      <c r="A8730" s="391">
        <v>104806</v>
      </c>
      <c r="B8730" s="478" t="s">
        <v>41963</v>
      </c>
      <c r="C8730" s="391" t="s">
        <v>0</v>
      </c>
      <c r="D8730" s="479">
        <v>0</v>
      </c>
      <c r="E8730" s="368"/>
      <c r="F8730" s="368"/>
    </row>
    <row r="8731" spans="1:6" ht="38.25" x14ac:dyDescent="0.2">
      <c r="A8731" s="391">
        <v>103378</v>
      </c>
      <c r="B8731" s="478" t="s">
        <v>41964</v>
      </c>
      <c r="C8731" s="391" t="s">
        <v>0</v>
      </c>
      <c r="D8731" s="479">
        <v>0</v>
      </c>
      <c r="E8731" s="368"/>
      <c r="F8731" s="368"/>
    </row>
    <row r="8732" spans="1:6" ht="38.25" x14ac:dyDescent="0.2">
      <c r="A8732" s="391">
        <v>103372</v>
      </c>
      <c r="B8732" s="478" t="s">
        <v>196</v>
      </c>
      <c r="C8732" s="391" t="s">
        <v>0</v>
      </c>
      <c r="D8732" s="479">
        <v>5.71</v>
      </c>
      <c r="E8732" s="368"/>
      <c r="F8732" s="368"/>
    </row>
    <row r="8733" spans="1:6" ht="38.25" x14ac:dyDescent="0.2">
      <c r="A8733" s="391">
        <v>103379</v>
      </c>
      <c r="B8733" s="478" t="s">
        <v>200</v>
      </c>
      <c r="C8733" s="391" t="s">
        <v>0</v>
      </c>
      <c r="D8733" s="479">
        <v>446.19</v>
      </c>
      <c r="E8733" s="368"/>
      <c r="F8733" s="368"/>
    </row>
    <row r="8734" spans="1:6" ht="38.25" x14ac:dyDescent="0.2">
      <c r="A8734" s="391">
        <v>103380</v>
      </c>
      <c r="B8734" s="478" t="s">
        <v>41965</v>
      </c>
      <c r="C8734" s="391" t="s">
        <v>0</v>
      </c>
      <c r="D8734" s="479">
        <v>0</v>
      </c>
      <c r="E8734" s="368"/>
      <c r="F8734" s="368"/>
    </row>
    <row r="8735" spans="1:6" ht="38.25" x14ac:dyDescent="0.2">
      <c r="A8735" s="391">
        <v>103381</v>
      </c>
      <c r="B8735" s="478" t="s">
        <v>41966</v>
      </c>
      <c r="C8735" s="391" t="s">
        <v>0</v>
      </c>
      <c r="D8735" s="479">
        <v>0</v>
      </c>
      <c r="E8735" s="368"/>
      <c r="F8735" s="368"/>
    </row>
    <row r="8736" spans="1:6" ht="38.25" x14ac:dyDescent="0.2">
      <c r="A8736" s="391">
        <v>103382</v>
      </c>
      <c r="B8736" s="478" t="s">
        <v>41967</v>
      </c>
      <c r="C8736" s="391" t="s">
        <v>0</v>
      </c>
      <c r="D8736" s="479">
        <v>0</v>
      </c>
      <c r="E8736" s="368"/>
      <c r="F8736" s="368"/>
    </row>
    <row r="8737" spans="1:6" ht="38.25" x14ac:dyDescent="0.2">
      <c r="A8737" s="391">
        <v>103383</v>
      </c>
      <c r="B8737" s="478" t="s">
        <v>201</v>
      </c>
      <c r="C8737" s="391" t="s">
        <v>0</v>
      </c>
      <c r="D8737" s="479">
        <v>1094.24</v>
      </c>
      <c r="E8737" s="368"/>
      <c r="F8737" s="368"/>
    </row>
    <row r="8738" spans="1:6" ht="38.25" x14ac:dyDescent="0.2">
      <c r="A8738" s="391">
        <v>103373</v>
      </c>
      <c r="B8738" s="478" t="s">
        <v>197</v>
      </c>
      <c r="C8738" s="391" t="s">
        <v>0</v>
      </c>
      <c r="D8738" s="479">
        <v>11.22</v>
      </c>
      <c r="E8738" s="368"/>
      <c r="F8738" s="368"/>
    </row>
    <row r="8739" spans="1:6" ht="38.25" x14ac:dyDescent="0.2">
      <c r="A8739" s="391">
        <v>103384</v>
      </c>
      <c r="B8739" s="478" t="s">
        <v>41968</v>
      </c>
      <c r="C8739" s="391" t="s">
        <v>0</v>
      </c>
      <c r="D8739" s="479">
        <v>0</v>
      </c>
      <c r="E8739" s="368"/>
      <c r="F8739" s="368"/>
    </row>
    <row r="8740" spans="1:6" ht="38.25" x14ac:dyDescent="0.2">
      <c r="A8740" s="391">
        <v>103385</v>
      </c>
      <c r="B8740" s="478" t="s">
        <v>202</v>
      </c>
      <c r="C8740" s="391" t="s">
        <v>0</v>
      </c>
      <c r="D8740" s="479">
        <v>1764.33</v>
      </c>
      <c r="E8740" s="368"/>
      <c r="F8740" s="368"/>
    </row>
    <row r="8741" spans="1:6" ht="38.25" x14ac:dyDescent="0.2">
      <c r="A8741" s="391">
        <v>103386</v>
      </c>
      <c r="B8741" s="478" t="s">
        <v>41969</v>
      </c>
      <c r="C8741" s="391" t="s">
        <v>0</v>
      </c>
      <c r="D8741" s="479">
        <v>0</v>
      </c>
      <c r="E8741" s="368"/>
      <c r="F8741" s="368"/>
    </row>
    <row r="8742" spans="1:6" ht="38.25" x14ac:dyDescent="0.2">
      <c r="A8742" s="391">
        <v>103387</v>
      </c>
      <c r="B8742" s="478" t="s">
        <v>203</v>
      </c>
      <c r="C8742" s="391" t="s">
        <v>0</v>
      </c>
      <c r="D8742" s="479">
        <v>3095.18</v>
      </c>
      <c r="E8742" s="368"/>
      <c r="F8742" s="368"/>
    </row>
    <row r="8743" spans="1:6" ht="38.25" x14ac:dyDescent="0.2">
      <c r="A8743" s="391">
        <v>103388</v>
      </c>
      <c r="B8743" s="478" t="s">
        <v>41970</v>
      </c>
      <c r="C8743" s="391" t="s">
        <v>0</v>
      </c>
      <c r="D8743" s="479">
        <v>0</v>
      </c>
      <c r="E8743" s="368"/>
      <c r="F8743" s="368"/>
    </row>
    <row r="8744" spans="1:6" ht="38.25" x14ac:dyDescent="0.2">
      <c r="A8744" s="391">
        <v>103374</v>
      </c>
      <c r="B8744" s="478" t="s">
        <v>41971</v>
      </c>
      <c r="C8744" s="391" t="s">
        <v>0</v>
      </c>
      <c r="D8744" s="479">
        <v>0</v>
      </c>
      <c r="E8744" s="368"/>
      <c r="F8744" s="368"/>
    </row>
    <row r="8745" spans="1:6" ht="38.25" x14ac:dyDescent="0.2">
      <c r="A8745" s="391">
        <v>103389</v>
      </c>
      <c r="B8745" s="478" t="s">
        <v>204</v>
      </c>
      <c r="C8745" s="391" t="s">
        <v>0</v>
      </c>
      <c r="D8745" s="479">
        <v>4603.05</v>
      </c>
      <c r="E8745" s="368"/>
      <c r="F8745" s="368"/>
    </row>
    <row r="8746" spans="1:6" ht="38.25" x14ac:dyDescent="0.2">
      <c r="A8746" s="391">
        <v>103390</v>
      </c>
      <c r="B8746" s="478" t="s">
        <v>41972</v>
      </c>
      <c r="C8746" s="391" t="s">
        <v>0</v>
      </c>
      <c r="D8746" s="479">
        <v>0</v>
      </c>
      <c r="E8746" s="368"/>
      <c r="F8746" s="368"/>
    </row>
    <row r="8747" spans="1:6" ht="38.25" x14ac:dyDescent="0.2">
      <c r="A8747" s="391">
        <v>103391</v>
      </c>
      <c r="B8747" s="478" t="s">
        <v>205</v>
      </c>
      <c r="C8747" s="391" t="s">
        <v>0</v>
      </c>
      <c r="D8747" s="479">
        <v>3032.45</v>
      </c>
      <c r="E8747" s="368"/>
      <c r="F8747" s="368"/>
    </row>
    <row r="8748" spans="1:6" ht="38.25" x14ac:dyDescent="0.2">
      <c r="A8748" s="391">
        <v>103375</v>
      </c>
      <c r="B8748" s="478" t="s">
        <v>41973</v>
      </c>
      <c r="C8748" s="391" t="s">
        <v>0</v>
      </c>
      <c r="D8748" s="479">
        <v>0</v>
      </c>
      <c r="E8748" s="368"/>
      <c r="F8748" s="368"/>
    </row>
    <row r="8749" spans="1:6" ht="38.25" x14ac:dyDescent="0.2">
      <c r="A8749" s="391">
        <v>103392</v>
      </c>
      <c r="B8749" s="478" t="s">
        <v>206</v>
      </c>
      <c r="C8749" s="391" t="s">
        <v>0</v>
      </c>
      <c r="D8749" s="479">
        <v>4956.3900000000003</v>
      </c>
      <c r="E8749" s="368"/>
      <c r="F8749" s="368"/>
    </row>
    <row r="8750" spans="1:6" ht="38.25" x14ac:dyDescent="0.2">
      <c r="A8750" s="391">
        <v>103440</v>
      </c>
      <c r="B8750" s="478" t="s">
        <v>251</v>
      </c>
      <c r="C8750" s="391" t="s">
        <v>26</v>
      </c>
      <c r="D8750" s="479">
        <v>414.64</v>
      </c>
      <c r="E8750" s="368"/>
      <c r="F8750" s="368"/>
    </row>
    <row r="8751" spans="1:6" ht="38.25" x14ac:dyDescent="0.2">
      <c r="A8751" s="391">
        <v>103441</v>
      </c>
      <c r="B8751" s="478" t="s">
        <v>252</v>
      </c>
      <c r="C8751" s="391" t="s">
        <v>26</v>
      </c>
      <c r="D8751" s="479">
        <v>419.97</v>
      </c>
      <c r="E8751" s="368"/>
      <c r="F8751" s="368"/>
    </row>
    <row r="8752" spans="1:6" ht="38.25" x14ac:dyDescent="0.2">
      <c r="A8752" s="391">
        <v>103442</v>
      </c>
      <c r="B8752" s="478" t="s">
        <v>253</v>
      </c>
      <c r="C8752" s="391" t="s">
        <v>26</v>
      </c>
      <c r="D8752" s="479">
        <v>548.62</v>
      </c>
      <c r="E8752" s="368"/>
      <c r="F8752" s="368"/>
    </row>
    <row r="8753" spans="1:6" ht="38.25" x14ac:dyDescent="0.2">
      <c r="A8753" s="391">
        <v>103437</v>
      </c>
      <c r="B8753" s="478" t="s">
        <v>248</v>
      </c>
      <c r="C8753" s="391" t="s">
        <v>26</v>
      </c>
      <c r="D8753" s="479">
        <v>184.23</v>
      </c>
      <c r="E8753" s="368"/>
      <c r="F8753" s="368"/>
    </row>
    <row r="8754" spans="1:6" ht="38.25" x14ac:dyDescent="0.2">
      <c r="A8754" s="391">
        <v>103438</v>
      </c>
      <c r="B8754" s="478" t="s">
        <v>249</v>
      </c>
      <c r="C8754" s="391" t="s">
        <v>26</v>
      </c>
      <c r="D8754" s="479">
        <v>184.23</v>
      </c>
      <c r="E8754" s="368"/>
      <c r="F8754" s="368"/>
    </row>
    <row r="8755" spans="1:6" ht="38.25" x14ac:dyDescent="0.2">
      <c r="A8755" s="391">
        <v>103439</v>
      </c>
      <c r="B8755" s="478" t="s">
        <v>250</v>
      </c>
      <c r="C8755" s="391" t="s">
        <v>26</v>
      </c>
      <c r="D8755" s="479">
        <v>217.14</v>
      </c>
      <c r="E8755" s="368"/>
      <c r="F8755" s="368"/>
    </row>
    <row r="8756" spans="1:6" ht="38.25" x14ac:dyDescent="0.2">
      <c r="A8756" s="391">
        <v>88789</v>
      </c>
      <c r="B8756" s="478" t="s">
        <v>5037</v>
      </c>
      <c r="C8756" s="391" t="s">
        <v>255</v>
      </c>
      <c r="D8756" s="479">
        <v>499.91</v>
      </c>
      <c r="E8756" s="368"/>
      <c r="F8756" s="368"/>
    </row>
    <row r="8757" spans="1:6" ht="38.25" x14ac:dyDescent="0.2">
      <c r="A8757" s="391">
        <v>88788</v>
      </c>
      <c r="B8757" s="478" t="s">
        <v>5036</v>
      </c>
      <c r="C8757" s="391" t="s">
        <v>255</v>
      </c>
      <c r="D8757" s="479">
        <v>417.1</v>
      </c>
      <c r="E8757" s="368"/>
      <c r="F8757" s="368"/>
    </row>
    <row r="8758" spans="1:6" ht="38.25" x14ac:dyDescent="0.2">
      <c r="A8758" s="391">
        <v>87245</v>
      </c>
      <c r="B8758" s="478" t="s">
        <v>5035</v>
      </c>
      <c r="C8758" s="391" t="s">
        <v>255</v>
      </c>
      <c r="D8758" s="479">
        <v>379.94</v>
      </c>
      <c r="E8758" s="368"/>
      <c r="F8758" s="368"/>
    </row>
    <row r="8759" spans="1:6" ht="38.25" x14ac:dyDescent="0.2">
      <c r="A8759" s="391">
        <v>87244</v>
      </c>
      <c r="B8759" s="478" t="s">
        <v>5034</v>
      </c>
      <c r="C8759" s="391" t="s">
        <v>255</v>
      </c>
      <c r="D8759" s="479">
        <v>317.54000000000002</v>
      </c>
      <c r="E8759" s="368"/>
      <c r="F8759" s="368"/>
    </row>
    <row r="8760" spans="1:6" ht="38.25" x14ac:dyDescent="0.2">
      <c r="A8760" s="391">
        <v>104589</v>
      </c>
      <c r="B8760" s="478" t="s">
        <v>48137</v>
      </c>
      <c r="C8760" s="391" t="s">
        <v>255</v>
      </c>
      <c r="D8760" s="479">
        <v>312.26</v>
      </c>
      <c r="E8760" s="368"/>
      <c r="F8760" s="368"/>
    </row>
    <row r="8761" spans="1:6" ht="38.25" x14ac:dyDescent="0.2">
      <c r="A8761" s="391">
        <v>104588</v>
      </c>
      <c r="B8761" s="478" t="s">
        <v>40527</v>
      </c>
      <c r="C8761" s="391" t="s">
        <v>255</v>
      </c>
      <c r="D8761" s="479">
        <v>261.66000000000003</v>
      </c>
      <c r="E8761" s="368"/>
      <c r="F8761" s="368"/>
    </row>
    <row r="8762" spans="1:6" ht="38.25" x14ac:dyDescent="0.2">
      <c r="A8762" s="391">
        <v>104591</v>
      </c>
      <c r="B8762" s="478" t="s">
        <v>48138</v>
      </c>
      <c r="C8762" s="391" t="s">
        <v>255</v>
      </c>
      <c r="D8762" s="479">
        <v>339.32</v>
      </c>
      <c r="E8762" s="368"/>
      <c r="F8762" s="368"/>
    </row>
    <row r="8763" spans="1:6" ht="38.25" x14ac:dyDescent="0.2">
      <c r="A8763" s="391">
        <v>104590</v>
      </c>
      <c r="B8763" s="478" t="s">
        <v>40528</v>
      </c>
      <c r="C8763" s="391" t="s">
        <v>255</v>
      </c>
      <c r="D8763" s="479">
        <v>285.14999999999998</v>
      </c>
      <c r="E8763" s="368"/>
      <c r="F8763" s="368"/>
    </row>
    <row r="8764" spans="1:6" ht="38.25" x14ac:dyDescent="0.2">
      <c r="A8764" s="391">
        <v>87267</v>
      </c>
      <c r="B8764" s="478" t="s">
        <v>39767</v>
      </c>
      <c r="C8764" s="391" t="s">
        <v>255</v>
      </c>
      <c r="D8764" s="479">
        <v>70.42</v>
      </c>
      <c r="E8764" s="368"/>
      <c r="F8764" s="368"/>
    </row>
    <row r="8765" spans="1:6" ht="38.25" x14ac:dyDescent="0.2">
      <c r="A8765" s="391">
        <v>104614</v>
      </c>
      <c r="B8765" s="478" t="s">
        <v>39775</v>
      </c>
      <c r="C8765" s="391" t="s">
        <v>255</v>
      </c>
      <c r="D8765" s="479">
        <v>75.37</v>
      </c>
      <c r="E8765" s="368"/>
      <c r="F8765" s="368"/>
    </row>
    <row r="8766" spans="1:6" ht="38.25" x14ac:dyDescent="0.2">
      <c r="A8766" s="391">
        <v>104613</v>
      </c>
      <c r="B8766" s="478" t="s">
        <v>39774</v>
      </c>
      <c r="C8766" s="391" t="s">
        <v>255</v>
      </c>
      <c r="D8766" s="479">
        <v>68.81</v>
      </c>
      <c r="E8766" s="368"/>
      <c r="F8766" s="368"/>
    </row>
    <row r="8767" spans="1:6" ht="38.25" x14ac:dyDescent="0.2">
      <c r="A8767" s="391">
        <v>87265</v>
      </c>
      <c r="B8767" s="478" t="s">
        <v>48139</v>
      </c>
      <c r="C8767" s="391" t="s">
        <v>255</v>
      </c>
      <c r="D8767" s="479">
        <v>65.42</v>
      </c>
      <c r="E8767" s="368"/>
      <c r="F8767" s="368"/>
    </row>
    <row r="8768" spans="1:6" ht="38.25" x14ac:dyDescent="0.2">
      <c r="A8768" s="391">
        <v>87271</v>
      </c>
      <c r="B8768" s="478" t="s">
        <v>39769</v>
      </c>
      <c r="C8768" s="391" t="s">
        <v>255</v>
      </c>
      <c r="D8768" s="479">
        <v>73.97</v>
      </c>
      <c r="E8768" s="368"/>
      <c r="F8768" s="368"/>
    </row>
    <row r="8769" spans="1:6" ht="38.25" x14ac:dyDescent="0.2">
      <c r="A8769" s="391">
        <v>87269</v>
      </c>
      <c r="B8769" s="478" t="s">
        <v>39768</v>
      </c>
      <c r="C8769" s="391" t="s">
        <v>255</v>
      </c>
      <c r="D8769" s="479">
        <v>68.89</v>
      </c>
      <c r="E8769" s="368"/>
      <c r="F8769" s="368"/>
    </row>
    <row r="8770" spans="1:6" ht="38.25" x14ac:dyDescent="0.2">
      <c r="A8770" s="391">
        <v>87275</v>
      </c>
      <c r="B8770" s="478" t="s">
        <v>39771</v>
      </c>
      <c r="C8770" s="391" t="s">
        <v>255</v>
      </c>
      <c r="D8770" s="479">
        <v>79.290000000000006</v>
      </c>
      <c r="E8770" s="368"/>
      <c r="F8770" s="368"/>
    </row>
    <row r="8771" spans="1:6" ht="38.25" x14ac:dyDescent="0.2">
      <c r="A8771" s="391">
        <v>87273</v>
      </c>
      <c r="B8771" s="478" t="s">
        <v>39770</v>
      </c>
      <c r="C8771" s="391" t="s">
        <v>255</v>
      </c>
      <c r="D8771" s="479">
        <v>72.53</v>
      </c>
      <c r="E8771" s="368"/>
      <c r="F8771" s="368"/>
    </row>
    <row r="8772" spans="1:6" ht="38.25" x14ac:dyDescent="0.2">
      <c r="A8772" s="391">
        <v>104612</v>
      </c>
      <c r="B8772" s="478" t="s">
        <v>39773</v>
      </c>
      <c r="C8772" s="391" t="s">
        <v>255</v>
      </c>
      <c r="D8772" s="479">
        <v>103.42</v>
      </c>
      <c r="E8772" s="368"/>
      <c r="F8772" s="368"/>
    </row>
    <row r="8773" spans="1:6" ht="38.25" x14ac:dyDescent="0.2">
      <c r="A8773" s="391">
        <v>104611</v>
      </c>
      <c r="B8773" s="478" t="s">
        <v>39772</v>
      </c>
      <c r="C8773" s="391" t="s">
        <v>255</v>
      </c>
      <c r="D8773" s="479">
        <v>102.87</v>
      </c>
      <c r="E8773" s="368"/>
      <c r="F8773" s="368"/>
    </row>
    <row r="8774" spans="1:6" ht="38.25" x14ac:dyDescent="0.2">
      <c r="A8774" s="391">
        <v>104618</v>
      </c>
      <c r="B8774" s="478" t="s">
        <v>5041</v>
      </c>
      <c r="C8774" s="391" t="s">
        <v>255</v>
      </c>
      <c r="D8774" s="479">
        <v>431.94</v>
      </c>
      <c r="E8774" s="368"/>
      <c r="F8774" s="368"/>
    </row>
    <row r="8775" spans="1:6" ht="38.25" x14ac:dyDescent="0.2">
      <c r="A8775" s="391">
        <v>104616</v>
      </c>
      <c r="B8775" s="478" t="s">
        <v>5039</v>
      </c>
      <c r="C8775" s="391" t="s">
        <v>255</v>
      </c>
      <c r="D8775" s="479">
        <v>421.92</v>
      </c>
      <c r="E8775" s="368"/>
      <c r="F8775" s="368"/>
    </row>
    <row r="8776" spans="1:6" ht="38.25" x14ac:dyDescent="0.2">
      <c r="A8776" s="391">
        <v>104617</v>
      </c>
      <c r="B8776" s="478" t="s">
        <v>5040</v>
      </c>
      <c r="C8776" s="391" t="s">
        <v>255</v>
      </c>
      <c r="D8776" s="479">
        <v>327.39999999999998</v>
      </c>
      <c r="E8776" s="368"/>
      <c r="F8776" s="368"/>
    </row>
    <row r="8777" spans="1:6" ht="38.25" x14ac:dyDescent="0.2">
      <c r="A8777" s="391">
        <v>104615</v>
      </c>
      <c r="B8777" s="478" t="s">
        <v>5038</v>
      </c>
      <c r="C8777" s="391" t="s">
        <v>255</v>
      </c>
      <c r="D8777" s="479">
        <v>317.38</v>
      </c>
      <c r="E8777" s="368"/>
      <c r="F8777" s="368"/>
    </row>
    <row r="8778" spans="1:6" ht="38.25" x14ac:dyDescent="0.2">
      <c r="A8778" s="391">
        <v>87247</v>
      </c>
      <c r="B8778" s="478" t="s">
        <v>39747</v>
      </c>
      <c r="C8778" s="391" t="s">
        <v>255</v>
      </c>
      <c r="D8778" s="479">
        <v>68.150000000000006</v>
      </c>
      <c r="E8778" s="368"/>
      <c r="F8778" s="368"/>
    </row>
    <row r="8779" spans="1:6" ht="38.25" x14ac:dyDescent="0.2">
      <c r="A8779" s="391">
        <v>87248</v>
      </c>
      <c r="B8779" s="478" t="s">
        <v>39748</v>
      </c>
      <c r="C8779" s="391" t="s">
        <v>255</v>
      </c>
      <c r="D8779" s="479">
        <v>61.04</v>
      </c>
      <c r="E8779" s="368"/>
      <c r="F8779" s="368"/>
    </row>
    <row r="8780" spans="1:6" ht="38.25" x14ac:dyDescent="0.2">
      <c r="A8780" s="391">
        <v>87246</v>
      </c>
      <c r="B8780" s="478" t="s">
        <v>39746</v>
      </c>
      <c r="C8780" s="391" t="s">
        <v>255</v>
      </c>
      <c r="D8780" s="479">
        <v>75.02</v>
      </c>
      <c r="E8780" s="368"/>
      <c r="F8780" s="368"/>
    </row>
    <row r="8781" spans="1:6" ht="38.25" x14ac:dyDescent="0.2">
      <c r="A8781" s="391">
        <v>104601</v>
      </c>
      <c r="B8781" s="478" t="s">
        <v>39759</v>
      </c>
      <c r="C8781" s="391" t="s">
        <v>255</v>
      </c>
      <c r="D8781" s="479">
        <v>73.099999999999994</v>
      </c>
      <c r="E8781" s="368"/>
      <c r="F8781" s="368"/>
    </row>
    <row r="8782" spans="1:6" ht="38.25" x14ac:dyDescent="0.2">
      <c r="A8782" s="391">
        <v>104603</v>
      </c>
      <c r="B8782" s="478" t="s">
        <v>39760</v>
      </c>
      <c r="C8782" s="391" t="s">
        <v>255</v>
      </c>
      <c r="D8782" s="479">
        <v>63.49</v>
      </c>
      <c r="E8782" s="368"/>
      <c r="F8782" s="368"/>
    </row>
    <row r="8783" spans="1:6" ht="38.25" x14ac:dyDescent="0.2">
      <c r="A8783" s="391">
        <v>104599</v>
      </c>
      <c r="B8783" s="478" t="s">
        <v>39758</v>
      </c>
      <c r="C8783" s="391" t="s">
        <v>255</v>
      </c>
      <c r="D8783" s="479">
        <v>88.11</v>
      </c>
      <c r="E8783" s="368"/>
      <c r="F8783" s="368"/>
    </row>
    <row r="8784" spans="1:6" ht="38.25" x14ac:dyDescent="0.2">
      <c r="A8784" s="391">
        <v>87250</v>
      </c>
      <c r="B8784" s="478" t="s">
        <v>39750</v>
      </c>
      <c r="C8784" s="391" t="s">
        <v>255</v>
      </c>
      <c r="D8784" s="479">
        <v>69.349999999999994</v>
      </c>
      <c r="E8784" s="368"/>
      <c r="F8784" s="368"/>
    </row>
    <row r="8785" spans="1:6" ht="38.25" x14ac:dyDescent="0.2">
      <c r="A8785" s="391">
        <v>87251</v>
      </c>
      <c r="B8785" s="478" t="s">
        <v>39751</v>
      </c>
      <c r="C8785" s="391" t="s">
        <v>255</v>
      </c>
      <c r="D8785" s="479">
        <v>61.16</v>
      </c>
      <c r="E8785" s="368"/>
      <c r="F8785" s="368"/>
    </row>
    <row r="8786" spans="1:6" ht="38.25" x14ac:dyDescent="0.2">
      <c r="A8786" s="391">
        <v>87249</v>
      </c>
      <c r="B8786" s="478" t="s">
        <v>39749</v>
      </c>
      <c r="C8786" s="391" t="s">
        <v>255</v>
      </c>
      <c r="D8786" s="479">
        <v>79.650000000000006</v>
      </c>
      <c r="E8786" s="368"/>
      <c r="F8786" s="368"/>
    </row>
    <row r="8787" spans="1:6" ht="38.25" x14ac:dyDescent="0.2">
      <c r="A8787" s="391">
        <v>104606</v>
      </c>
      <c r="B8787" s="478" t="s">
        <v>39762</v>
      </c>
      <c r="C8787" s="391" t="s">
        <v>255</v>
      </c>
      <c r="D8787" s="479">
        <v>77.2</v>
      </c>
      <c r="E8787" s="368"/>
      <c r="F8787" s="368"/>
    </row>
    <row r="8788" spans="1:6" ht="38.25" x14ac:dyDescent="0.2">
      <c r="A8788" s="391">
        <v>104607</v>
      </c>
      <c r="B8788" s="478" t="s">
        <v>39763</v>
      </c>
      <c r="C8788" s="391" t="s">
        <v>255</v>
      </c>
      <c r="D8788" s="479">
        <v>64.66</v>
      </c>
      <c r="E8788" s="368"/>
      <c r="F8788" s="368"/>
    </row>
    <row r="8789" spans="1:6" ht="38.25" x14ac:dyDescent="0.2">
      <c r="A8789" s="391">
        <v>104605</v>
      </c>
      <c r="B8789" s="478" t="s">
        <v>39761</v>
      </c>
      <c r="C8789" s="391" t="s">
        <v>255</v>
      </c>
      <c r="D8789" s="479">
        <v>107.33</v>
      </c>
      <c r="E8789" s="368"/>
      <c r="F8789" s="368"/>
    </row>
    <row r="8790" spans="1:6" ht="38.25" x14ac:dyDescent="0.2">
      <c r="A8790" s="391">
        <v>87256</v>
      </c>
      <c r="B8790" s="478" t="s">
        <v>39753</v>
      </c>
      <c r="C8790" s="391" t="s">
        <v>255</v>
      </c>
      <c r="D8790" s="479">
        <v>81.430000000000007</v>
      </c>
      <c r="E8790" s="368"/>
      <c r="F8790" s="368"/>
    </row>
    <row r="8791" spans="1:6" ht="38.25" x14ac:dyDescent="0.2">
      <c r="A8791" s="391">
        <v>87257</v>
      </c>
      <c r="B8791" s="478" t="s">
        <v>39754</v>
      </c>
      <c r="C8791" s="391" t="s">
        <v>255</v>
      </c>
      <c r="D8791" s="479">
        <v>72.16</v>
      </c>
      <c r="E8791" s="368"/>
      <c r="F8791" s="368"/>
    </row>
    <row r="8792" spans="1:6" ht="38.25" x14ac:dyDescent="0.2">
      <c r="A8792" s="391">
        <v>87255</v>
      </c>
      <c r="B8792" s="478" t="s">
        <v>39752</v>
      </c>
      <c r="C8792" s="391" t="s">
        <v>255</v>
      </c>
      <c r="D8792" s="479">
        <v>92.84</v>
      </c>
      <c r="E8792" s="368"/>
      <c r="F8792" s="368"/>
    </row>
    <row r="8793" spans="1:6" ht="38.25" x14ac:dyDescent="0.2">
      <c r="A8793" s="391">
        <v>104594</v>
      </c>
      <c r="B8793" s="478" t="s">
        <v>39756</v>
      </c>
      <c r="C8793" s="391" t="s">
        <v>255</v>
      </c>
      <c r="D8793" s="479">
        <v>83.45</v>
      </c>
      <c r="E8793" s="368"/>
      <c r="F8793" s="368"/>
    </row>
    <row r="8794" spans="1:6" ht="38.25" x14ac:dyDescent="0.2">
      <c r="A8794" s="391">
        <v>104595</v>
      </c>
      <c r="B8794" s="478" t="s">
        <v>39757</v>
      </c>
      <c r="C8794" s="391" t="s">
        <v>255</v>
      </c>
      <c r="D8794" s="479">
        <v>72.53</v>
      </c>
      <c r="E8794" s="368"/>
      <c r="F8794" s="368"/>
    </row>
    <row r="8795" spans="1:6" ht="38.25" x14ac:dyDescent="0.2">
      <c r="A8795" s="391">
        <v>104593</v>
      </c>
      <c r="B8795" s="478" t="s">
        <v>39755</v>
      </c>
      <c r="C8795" s="391" t="s">
        <v>255</v>
      </c>
      <c r="D8795" s="479">
        <v>96.2</v>
      </c>
      <c r="E8795" s="368"/>
      <c r="F8795" s="368"/>
    </row>
    <row r="8796" spans="1:6" ht="38.25" x14ac:dyDescent="0.2">
      <c r="A8796" s="391">
        <v>87262</v>
      </c>
      <c r="B8796" s="478" t="s">
        <v>4737</v>
      </c>
      <c r="C8796" s="391" t="s">
        <v>255</v>
      </c>
      <c r="D8796" s="479">
        <v>143.38999999999999</v>
      </c>
      <c r="E8796" s="368"/>
      <c r="F8796" s="368"/>
    </row>
    <row r="8797" spans="1:6" ht="38.25" x14ac:dyDescent="0.2">
      <c r="A8797" s="391">
        <v>87263</v>
      </c>
      <c r="B8797" s="478" t="s">
        <v>4738</v>
      </c>
      <c r="C8797" s="391" t="s">
        <v>255</v>
      </c>
      <c r="D8797" s="479">
        <v>133.59</v>
      </c>
      <c r="E8797" s="368"/>
      <c r="F8797" s="368"/>
    </row>
    <row r="8798" spans="1:6" ht="38.25" x14ac:dyDescent="0.2">
      <c r="A8798" s="391">
        <v>87261</v>
      </c>
      <c r="B8798" s="478" t="s">
        <v>4736</v>
      </c>
      <c r="C8798" s="391" t="s">
        <v>255</v>
      </c>
      <c r="D8798" s="479">
        <v>156.19999999999999</v>
      </c>
      <c r="E8798" s="368"/>
      <c r="F8798" s="368"/>
    </row>
    <row r="8799" spans="1:6" ht="38.25" x14ac:dyDescent="0.2">
      <c r="A8799" s="391">
        <v>104597</v>
      </c>
      <c r="B8799" s="478" t="s">
        <v>4740</v>
      </c>
      <c r="C8799" s="391" t="s">
        <v>255</v>
      </c>
      <c r="D8799" s="479">
        <v>145.82</v>
      </c>
      <c r="E8799" s="368"/>
      <c r="F8799" s="368"/>
    </row>
    <row r="8800" spans="1:6" ht="38.25" x14ac:dyDescent="0.2">
      <c r="A8800" s="391">
        <v>104598</v>
      </c>
      <c r="B8800" s="478" t="s">
        <v>4741</v>
      </c>
      <c r="C8800" s="391" t="s">
        <v>255</v>
      </c>
      <c r="D8800" s="479">
        <v>134.08000000000001</v>
      </c>
      <c r="E8800" s="368"/>
      <c r="F8800" s="368"/>
    </row>
    <row r="8801" spans="1:6" ht="38.25" x14ac:dyDescent="0.2">
      <c r="A8801" s="391">
        <v>104596</v>
      </c>
      <c r="B8801" s="478" t="s">
        <v>4739</v>
      </c>
      <c r="C8801" s="391" t="s">
        <v>255</v>
      </c>
      <c r="D8801" s="479">
        <v>160.22999999999999</v>
      </c>
      <c r="E8801" s="368"/>
      <c r="F8801" s="368"/>
    </row>
    <row r="8802" spans="1:6" ht="25.5" x14ac:dyDescent="0.2">
      <c r="A8802" s="391">
        <v>88648</v>
      </c>
      <c r="B8802" s="478" t="s">
        <v>39764</v>
      </c>
      <c r="C8802" s="391" t="s">
        <v>0</v>
      </c>
      <c r="D8802" s="479">
        <v>8.51</v>
      </c>
      <c r="E8802" s="368"/>
      <c r="F8802" s="368"/>
    </row>
    <row r="8803" spans="1:6" ht="25.5" x14ac:dyDescent="0.2">
      <c r="A8803" s="391">
        <v>88649</v>
      </c>
      <c r="B8803" s="478" t="s">
        <v>39765</v>
      </c>
      <c r="C8803" s="391" t="s">
        <v>0</v>
      </c>
      <c r="D8803" s="479">
        <v>9.6300000000000008</v>
      </c>
      <c r="E8803" s="368"/>
      <c r="F8803" s="368"/>
    </row>
    <row r="8804" spans="1:6" ht="25.5" x14ac:dyDescent="0.2">
      <c r="A8804" s="391">
        <v>88650</v>
      </c>
      <c r="B8804" s="478" t="s">
        <v>39766</v>
      </c>
      <c r="C8804" s="391" t="s">
        <v>0</v>
      </c>
      <c r="D8804" s="479">
        <v>13.11</v>
      </c>
      <c r="E8804" s="368"/>
      <c r="F8804" s="368"/>
    </row>
    <row r="8805" spans="1:6" ht="25.5" x14ac:dyDescent="0.2">
      <c r="A8805" s="391">
        <v>104619</v>
      </c>
      <c r="B8805" s="478" t="s">
        <v>39776</v>
      </c>
      <c r="C8805" s="391" t="s">
        <v>0</v>
      </c>
      <c r="D8805" s="479">
        <v>15.59</v>
      </c>
      <c r="E8805" s="368"/>
      <c r="F8805" s="368"/>
    </row>
    <row r="8806" spans="1:6" x14ac:dyDescent="0.2">
      <c r="A8806" s="391">
        <v>103741</v>
      </c>
      <c r="B8806" s="478" t="s">
        <v>41974</v>
      </c>
      <c r="C8806" s="391" t="s">
        <v>26</v>
      </c>
      <c r="D8806" s="479">
        <v>0</v>
      </c>
      <c r="E8806" s="368"/>
      <c r="F8806" s="368"/>
    </row>
    <row r="8807" spans="1:6" ht="25.5" x14ac:dyDescent="0.2">
      <c r="A8807" s="391">
        <v>103755</v>
      </c>
      <c r="B8807" s="478" t="s">
        <v>41975</v>
      </c>
      <c r="C8807" s="391" t="s">
        <v>0</v>
      </c>
      <c r="D8807" s="479">
        <v>0</v>
      </c>
      <c r="E8807" s="368"/>
      <c r="F8807" s="368"/>
    </row>
    <row r="8808" spans="1:6" ht="25.5" x14ac:dyDescent="0.2">
      <c r="A8808" s="391">
        <v>103753</v>
      </c>
      <c r="B8808" s="478" t="s">
        <v>41976</v>
      </c>
      <c r="C8808" s="391" t="s">
        <v>0</v>
      </c>
      <c r="D8808" s="479">
        <v>0</v>
      </c>
      <c r="E8808" s="368"/>
      <c r="F8808" s="368"/>
    </row>
    <row r="8809" spans="1:6" ht="25.5" x14ac:dyDescent="0.2">
      <c r="A8809" s="391">
        <v>103754</v>
      </c>
      <c r="B8809" s="478" t="s">
        <v>41977</v>
      </c>
      <c r="C8809" s="391" t="s">
        <v>0</v>
      </c>
      <c r="D8809" s="479">
        <v>0</v>
      </c>
      <c r="E8809" s="368"/>
      <c r="F8809" s="368"/>
    </row>
    <row r="8810" spans="1:6" ht="25.5" x14ac:dyDescent="0.2">
      <c r="A8810" s="391">
        <v>103752</v>
      </c>
      <c r="B8810" s="478" t="s">
        <v>41978</v>
      </c>
      <c r="C8810" s="391" t="s">
        <v>0</v>
      </c>
      <c r="D8810" s="479">
        <v>0</v>
      </c>
      <c r="E8810" s="368"/>
      <c r="F8810" s="368"/>
    </row>
    <row r="8811" spans="1:6" ht="25.5" x14ac:dyDescent="0.2">
      <c r="A8811" s="391">
        <v>103759</v>
      </c>
      <c r="B8811" s="478" t="s">
        <v>41979</v>
      </c>
      <c r="C8811" s="391" t="s">
        <v>0</v>
      </c>
      <c r="D8811" s="479">
        <v>0</v>
      </c>
      <c r="E8811" s="368"/>
      <c r="F8811" s="368"/>
    </row>
    <row r="8812" spans="1:6" ht="25.5" x14ac:dyDescent="0.2">
      <c r="A8812" s="391">
        <v>103757</v>
      </c>
      <c r="B8812" s="478" t="s">
        <v>41980</v>
      </c>
      <c r="C8812" s="391" t="s">
        <v>0</v>
      </c>
      <c r="D8812" s="479">
        <v>0</v>
      </c>
      <c r="E8812" s="368"/>
      <c r="F8812" s="368"/>
    </row>
    <row r="8813" spans="1:6" ht="25.5" x14ac:dyDescent="0.2">
      <c r="A8813" s="392">
        <v>103758</v>
      </c>
      <c r="B8813" s="480" t="s">
        <v>41981</v>
      </c>
      <c r="C8813" s="392" t="s">
        <v>0</v>
      </c>
      <c r="D8813" s="481">
        <v>0</v>
      </c>
      <c r="E8813" s="369"/>
      <c r="F8813" s="369"/>
    </row>
    <row r="8814" spans="1:6" ht="25.5" x14ac:dyDescent="0.2">
      <c r="A8814" s="391">
        <v>103756</v>
      </c>
      <c r="B8814" s="478" t="s">
        <v>41982</v>
      </c>
      <c r="C8814" s="391" t="s">
        <v>0</v>
      </c>
      <c r="D8814" s="479">
        <v>0</v>
      </c>
      <c r="E8814" s="368"/>
      <c r="F8814" s="368"/>
    </row>
    <row r="8815" spans="1:6" x14ac:dyDescent="0.2">
      <c r="A8815" s="391">
        <v>103734</v>
      </c>
      <c r="B8815" s="478" t="s">
        <v>41983</v>
      </c>
      <c r="C8815" s="391" t="s">
        <v>26</v>
      </c>
      <c r="D8815" s="479">
        <v>0</v>
      </c>
      <c r="E8815" s="368"/>
      <c r="F8815" s="368"/>
    </row>
    <row r="8816" spans="1:6" x14ac:dyDescent="0.2">
      <c r="A8816" s="391">
        <v>103740</v>
      </c>
      <c r="B8816" s="478" t="s">
        <v>41984</v>
      </c>
      <c r="C8816" s="391" t="s">
        <v>26</v>
      </c>
      <c r="D8816" s="479">
        <v>0</v>
      </c>
      <c r="E8816" s="368"/>
      <c r="F8816" s="368"/>
    </row>
    <row r="8817" spans="1:6" ht="25.5" x14ac:dyDescent="0.2">
      <c r="A8817" s="391">
        <v>103747</v>
      </c>
      <c r="B8817" s="478" t="s">
        <v>41985</v>
      </c>
      <c r="C8817" s="391" t="s">
        <v>0</v>
      </c>
      <c r="D8817" s="479">
        <v>0</v>
      </c>
      <c r="E8817" s="368"/>
      <c r="F8817" s="368"/>
    </row>
    <row r="8818" spans="1:6" ht="25.5" x14ac:dyDescent="0.2">
      <c r="A8818" s="391">
        <v>103746</v>
      </c>
      <c r="B8818" s="478" t="s">
        <v>41986</v>
      </c>
      <c r="C8818" s="391" t="s">
        <v>0</v>
      </c>
      <c r="D8818" s="479">
        <v>0</v>
      </c>
      <c r="E8818" s="368"/>
      <c r="F8818" s="368"/>
    </row>
    <row r="8819" spans="1:6" ht="25.5" x14ac:dyDescent="0.2">
      <c r="A8819" s="391">
        <v>103749</v>
      </c>
      <c r="B8819" s="478" t="s">
        <v>41987</v>
      </c>
      <c r="C8819" s="391" t="s">
        <v>0</v>
      </c>
      <c r="D8819" s="479">
        <v>0</v>
      </c>
      <c r="E8819" s="368"/>
      <c r="F8819" s="368"/>
    </row>
    <row r="8820" spans="1:6" ht="25.5" x14ac:dyDescent="0.2">
      <c r="A8820" s="391">
        <v>103744</v>
      </c>
      <c r="B8820" s="478" t="s">
        <v>41988</v>
      </c>
      <c r="C8820" s="391" t="s">
        <v>0</v>
      </c>
      <c r="D8820" s="479">
        <v>0</v>
      </c>
      <c r="E8820" s="368"/>
      <c r="F8820" s="368"/>
    </row>
    <row r="8821" spans="1:6" ht="25.5" x14ac:dyDescent="0.2">
      <c r="A8821" s="391">
        <v>103748</v>
      </c>
      <c r="B8821" s="478" t="s">
        <v>41989</v>
      </c>
      <c r="C8821" s="391" t="s">
        <v>0</v>
      </c>
      <c r="D8821" s="479">
        <v>0</v>
      </c>
      <c r="E8821" s="368"/>
      <c r="F8821" s="368"/>
    </row>
    <row r="8822" spans="1:6" ht="25.5" x14ac:dyDescent="0.2">
      <c r="A8822" s="391">
        <v>103745</v>
      </c>
      <c r="B8822" s="478" t="s">
        <v>41990</v>
      </c>
      <c r="C8822" s="391" t="s">
        <v>0</v>
      </c>
      <c r="D8822" s="479">
        <v>0</v>
      </c>
      <c r="E8822" s="368"/>
      <c r="F8822" s="368"/>
    </row>
    <row r="8823" spans="1:6" ht="25.5" x14ac:dyDescent="0.2">
      <c r="A8823" s="391">
        <v>103751</v>
      </c>
      <c r="B8823" s="478" t="s">
        <v>41991</v>
      </c>
      <c r="C8823" s="391" t="s">
        <v>0</v>
      </c>
      <c r="D8823" s="479">
        <v>0</v>
      </c>
      <c r="E8823" s="368"/>
      <c r="F8823" s="368"/>
    </row>
    <row r="8824" spans="1:6" ht="25.5" x14ac:dyDescent="0.2">
      <c r="A8824" s="391">
        <v>103750</v>
      </c>
      <c r="B8824" s="478" t="s">
        <v>41992</v>
      </c>
      <c r="C8824" s="391" t="s">
        <v>0</v>
      </c>
      <c r="D8824" s="479">
        <v>0</v>
      </c>
      <c r="E8824" s="368"/>
      <c r="F8824" s="368"/>
    </row>
    <row r="8825" spans="1:6" x14ac:dyDescent="0.2">
      <c r="A8825" s="391">
        <v>103735</v>
      </c>
      <c r="B8825" s="478" t="s">
        <v>41993</v>
      </c>
      <c r="C8825" s="391" t="s">
        <v>26</v>
      </c>
      <c r="D8825" s="479">
        <v>0</v>
      </c>
      <c r="E8825" s="368"/>
      <c r="F8825" s="368"/>
    </row>
    <row r="8826" spans="1:6" x14ac:dyDescent="0.2">
      <c r="A8826" s="391">
        <v>103738</v>
      </c>
      <c r="B8826" s="478" t="s">
        <v>41994</v>
      </c>
      <c r="C8826" s="391" t="s">
        <v>26</v>
      </c>
      <c r="D8826" s="479">
        <v>0</v>
      </c>
      <c r="E8826" s="368"/>
      <c r="F8826" s="368"/>
    </row>
    <row r="8827" spans="1:6" x14ac:dyDescent="0.2">
      <c r="A8827" s="391">
        <v>103736</v>
      </c>
      <c r="B8827" s="478" t="s">
        <v>41995</v>
      </c>
      <c r="C8827" s="391" t="s">
        <v>26</v>
      </c>
      <c r="D8827" s="479">
        <v>0</v>
      </c>
      <c r="E8827" s="368"/>
      <c r="F8827" s="368"/>
    </row>
    <row r="8828" spans="1:6" x14ac:dyDescent="0.2">
      <c r="A8828" s="391">
        <v>103739</v>
      </c>
      <c r="B8828" s="478" t="s">
        <v>41996</v>
      </c>
      <c r="C8828" s="391" t="s">
        <v>26</v>
      </c>
      <c r="D8828" s="479">
        <v>0</v>
      </c>
      <c r="E8828" s="368"/>
      <c r="F8828" s="368"/>
    </row>
    <row r="8829" spans="1:6" x14ac:dyDescent="0.2">
      <c r="A8829" s="391">
        <v>103737</v>
      </c>
      <c r="B8829" s="478" t="s">
        <v>41997</v>
      </c>
      <c r="C8829" s="391" t="s">
        <v>26</v>
      </c>
      <c r="D8829" s="479">
        <v>0</v>
      </c>
      <c r="E8829" s="368"/>
      <c r="F8829" s="368"/>
    </row>
    <row r="8830" spans="1:6" ht="25.5" x14ac:dyDescent="0.2">
      <c r="A8830" s="391">
        <v>103742</v>
      </c>
      <c r="B8830" s="478" t="s">
        <v>41998</v>
      </c>
      <c r="C8830" s="391" t="s">
        <v>26</v>
      </c>
      <c r="D8830" s="479">
        <v>0</v>
      </c>
      <c r="E8830" s="368"/>
      <c r="F8830" s="368"/>
    </row>
    <row r="8831" spans="1:6" ht="25.5" x14ac:dyDescent="0.2">
      <c r="A8831" s="391">
        <v>103689</v>
      </c>
      <c r="B8831" s="478" t="s">
        <v>4591</v>
      </c>
      <c r="C8831" s="391" t="s">
        <v>255</v>
      </c>
      <c r="D8831" s="479">
        <v>464.88</v>
      </c>
      <c r="E8831" s="368"/>
      <c r="F8831" s="368"/>
    </row>
    <row r="8832" spans="1:6" ht="25.5" x14ac:dyDescent="0.2">
      <c r="A8832" s="391">
        <v>103702</v>
      </c>
      <c r="B8832" s="478" t="s">
        <v>41999</v>
      </c>
      <c r="C8832" s="391" t="s">
        <v>255</v>
      </c>
      <c r="D8832" s="479">
        <v>0</v>
      </c>
      <c r="E8832" s="368"/>
      <c r="F8832" s="368"/>
    </row>
    <row r="8833" spans="1:6" ht="25.5" x14ac:dyDescent="0.2">
      <c r="A8833" s="391">
        <v>103700</v>
      </c>
      <c r="B8833" s="478" t="s">
        <v>42000</v>
      </c>
      <c r="C8833" s="391" t="s">
        <v>255</v>
      </c>
      <c r="D8833" s="479">
        <v>0</v>
      </c>
      <c r="E8833" s="368"/>
      <c r="F8833" s="368"/>
    </row>
    <row r="8834" spans="1:6" ht="25.5" x14ac:dyDescent="0.2">
      <c r="A8834" s="391">
        <v>103698</v>
      </c>
      <c r="B8834" s="478" t="s">
        <v>42001</v>
      </c>
      <c r="C8834" s="391" t="s">
        <v>255</v>
      </c>
      <c r="D8834" s="479">
        <v>0</v>
      </c>
      <c r="E8834" s="368"/>
      <c r="F8834" s="368"/>
    </row>
    <row r="8835" spans="1:6" ht="25.5" x14ac:dyDescent="0.2">
      <c r="A8835" s="391">
        <v>103703</v>
      </c>
      <c r="B8835" s="478" t="s">
        <v>42002</v>
      </c>
      <c r="C8835" s="391" t="s">
        <v>255</v>
      </c>
      <c r="D8835" s="479">
        <v>0</v>
      </c>
      <c r="E8835" s="368"/>
      <c r="F8835" s="368"/>
    </row>
    <row r="8836" spans="1:6" ht="25.5" x14ac:dyDescent="0.2">
      <c r="A8836" s="391">
        <v>103701</v>
      </c>
      <c r="B8836" s="478" t="s">
        <v>42003</v>
      </c>
      <c r="C8836" s="391" t="s">
        <v>255</v>
      </c>
      <c r="D8836" s="479">
        <v>0</v>
      </c>
      <c r="E8836" s="368"/>
      <c r="F8836" s="368"/>
    </row>
    <row r="8837" spans="1:6" ht="25.5" x14ac:dyDescent="0.2">
      <c r="A8837" s="391">
        <v>103699</v>
      </c>
      <c r="B8837" s="478" t="s">
        <v>42004</v>
      </c>
      <c r="C8837" s="391" t="s">
        <v>255</v>
      </c>
      <c r="D8837" s="479">
        <v>0</v>
      </c>
      <c r="E8837" s="368"/>
      <c r="F8837" s="368"/>
    </row>
    <row r="8838" spans="1:6" ht="25.5" x14ac:dyDescent="0.2">
      <c r="A8838" s="391">
        <v>103704</v>
      </c>
      <c r="B8838" s="478" t="s">
        <v>42005</v>
      </c>
      <c r="C8838" s="391" t="s">
        <v>255</v>
      </c>
      <c r="D8838" s="479">
        <v>0</v>
      </c>
      <c r="E8838" s="368"/>
      <c r="F8838" s="368"/>
    </row>
    <row r="8839" spans="1:6" ht="25.5" x14ac:dyDescent="0.2">
      <c r="A8839" s="391">
        <v>103706</v>
      </c>
      <c r="B8839" s="478" t="s">
        <v>42006</v>
      </c>
      <c r="C8839" s="391" t="s">
        <v>26</v>
      </c>
      <c r="D8839" s="479">
        <v>0</v>
      </c>
      <c r="E8839" s="368"/>
      <c r="F8839" s="368"/>
    </row>
    <row r="8840" spans="1:6" ht="25.5" x14ac:dyDescent="0.2">
      <c r="A8840" s="430">
        <v>103707</v>
      </c>
      <c r="B8840" s="482" t="s">
        <v>42007</v>
      </c>
      <c r="C8840" s="430" t="s">
        <v>26</v>
      </c>
      <c r="D8840" s="483">
        <v>0</v>
      </c>
      <c r="E8840" s="368"/>
      <c r="F8840" s="368"/>
    </row>
    <row r="8841" spans="1:6" ht="25.5" x14ac:dyDescent="0.2">
      <c r="A8841" s="391">
        <v>103708</v>
      </c>
      <c r="B8841" s="478" t="s">
        <v>42008</v>
      </c>
      <c r="C8841" s="391" t="s">
        <v>26</v>
      </c>
      <c r="D8841" s="479">
        <v>0</v>
      </c>
      <c r="E8841" s="368"/>
      <c r="F8841" s="368"/>
    </row>
    <row r="8842" spans="1:6" ht="25.5" x14ac:dyDescent="0.2">
      <c r="A8842" s="391">
        <v>103709</v>
      </c>
      <c r="B8842" s="478" t="s">
        <v>42009</v>
      </c>
      <c r="C8842" s="391" t="s">
        <v>26</v>
      </c>
      <c r="D8842" s="479">
        <v>0</v>
      </c>
      <c r="E8842" s="368"/>
      <c r="F8842" s="368"/>
    </row>
    <row r="8843" spans="1:6" ht="25.5" x14ac:dyDescent="0.2">
      <c r="A8843" s="391">
        <v>103710</v>
      </c>
      <c r="B8843" s="478" t="s">
        <v>42010</v>
      </c>
      <c r="C8843" s="391" t="s">
        <v>26</v>
      </c>
      <c r="D8843" s="479">
        <v>0</v>
      </c>
      <c r="E8843" s="368"/>
      <c r="F8843" s="368"/>
    </row>
    <row r="8844" spans="1:6" ht="25.5" x14ac:dyDescent="0.2">
      <c r="A8844" s="391">
        <v>103711</v>
      </c>
      <c r="B8844" s="478" t="s">
        <v>42011</v>
      </c>
      <c r="C8844" s="391" t="s">
        <v>26</v>
      </c>
      <c r="D8844" s="479">
        <v>0</v>
      </c>
      <c r="E8844" s="368"/>
      <c r="F8844" s="368"/>
    </row>
    <row r="8845" spans="1:6" ht="25.5" x14ac:dyDescent="0.2">
      <c r="A8845" s="391">
        <v>103712</v>
      </c>
      <c r="B8845" s="478" t="s">
        <v>42012</v>
      </c>
      <c r="C8845" s="391" t="s">
        <v>26</v>
      </c>
      <c r="D8845" s="479">
        <v>0</v>
      </c>
      <c r="E8845" s="368"/>
      <c r="F8845" s="368"/>
    </row>
    <row r="8846" spans="1:6" ht="25.5" x14ac:dyDescent="0.2">
      <c r="A8846" s="391">
        <v>103713</v>
      </c>
      <c r="B8846" s="478" t="s">
        <v>42013</v>
      </c>
      <c r="C8846" s="391" t="s">
        <v>26</v>
      </c>
      <c r="D8846" s="479">
        <v>0</v>
      </c>
      <c r="E8846" s="368"/>
      <c r="F8846" s="368"/>
    </row>
    <row r="8847" spans="1:6" ht="25.5" x14ac:dyDescent="0.2">
      <c r="A8847" s="391">
        <v>103714</v>
      </c>
      <c r="B8847" s="478" t="s">
        <v>42014</v>
      </c>
      <c r="C8847" s="391" t="s">
        <v>26</v>
      </c>
      <c r="D8847" s="479">
        <v>0</v>
      </c>
      <c r="E8847" s="368"/>
      <c r="F8847" s="368"/>
    </row>
    <row r="8848" spans="1:6" ht="25.5" x14ac:dyDescent="0.2">
      <c r="A8848" s="391">
        <v>103715</v>
      </c>
      <c r="B8848" s="478" t="s">
        <v>42015</v>
      </c>
      <c r="C8848" s="391" t="s">
        <v>26</v>
      </c>
      <c r="D8848" s="479">
        <v>0</v>
      </c>
      <c r="E8848" s="368"/>
      <c r="F8848" s="368"/>
    </row>
    <row r="8849" spans="1:6" ht="25.5" x14ac:dyDescent="0.2">
      <c r="A8849" s="430">
        <v>103716</v>
      </c>
      <c r="B8849" s="482" t="s">
        <v>42016</v>
      </c>
      <c r="C8849" s="430" t="s">
        <v>26</v>
      </c>
      <c r="D8849" s="483">
        <v>0</v>
      </c>
      <c r="E8849" s="368"/>
      <c r="F8849" s="368"/>
    </row>
    <row r="8850" spans="1:6" ht="25.5" x14ac:dyDescent="0.2">
      <c r="A8850" s="430">
        <v>103717</v>
      </c>
      <c r="B8850" s="482" t="s">
        <v>42017</v>
      </c>
      <c r="C8850" s="430" t="s">
        <v>26</v>
      </c>
      <c r="D8850" s="483">
        <v>0</v>
      </c>
      <c r="E8850" s="368"/>
      <c r="F8850" s="368"/>
    </row>
    <row r="8851" spans="1:6" ht="25.5" x14ac:dyDescent="0.2">
      <c r="A8851" s="391">
        <v>103718</v>
      </c>
      <c r="B8851" s="478" t="s">
        <v>42018</v>
      </c>
      <c r="C8851" s="391" t="s">
        <v>26</v>
      </c>
      <c r="D8851" s="479">
        <v>0</v>
      </c>
      <c r="E8851" s="368"/>
      <c r="F8851" s="368"/>
    </row>
    <row r="8852" spans="1:6" ht="25.5" x14ac:dyDescent="0.2">
      <c r="A8852" s="391">
        <v>103719</v>
      </c>
      <c r="B8852" s="478" t="s">
        <v>42019</v>
      </c>
      <c r="C8852" s="391" t="s">
        <v>26</v>
      </c>
      <c r="D8852" s="479">
        <v>0</v>
      </c>
      <c r="E8852" s="368"/>
      <c r="F8852" s="368"/>
    </row>
    <row r="8853" spans="1:6" ht="25.5" x14ac:dyDescent="0.2">
      <c r="A8853" s="391">
        <v>103720</v>
      </c>
      <c r="B8853" s="478" t="s">
        <v>42020</v>
      </c>
      <c r="C8853" s="391" t="s">
        <v>26</v>
      </c>
      <c r="D8853" s="479">
        <v>0</v>
      </c>
      <c r="E8853" s="368"/>
      <c r="F8853" s="368"/>
    </row>
    <row r="8854" spans="1:6" ht="25.5" x14ac:dyDescent="0.2">
      <c r="A8854" s="391">
        <v>103721</v>
      </c>
      <c r="B8854" s="478" t="s">
        <v>42021</v>
      </c>
      <c r="C8854" s="391" t="s">
        <v>26</v>
      </c>
      <c r="D8854" s="479">
        <v>0</v>
      </c>
      <c r="E8854" s="368"/>
      <c r="F8854" s="368"/>
    </row>
    <row r="8855" spans="1:6" ht="25.5" x14ac:dyDescent="0.2">
      <c r="A8855" s="391">
        <v>103705</v>
      </c>
      <c r="B8855" s="478" t="s">
        <v>42022</v>
      </c>
      <c r="C8855" s="391" t="s">
        <v>26</v>
      </c>
      <c r="D8855" s="479">
        <v>0</v>
      </c>
      <c r="E8855" s="368"/>
      <c r="F8855" s="368"/>
    </row>
    <row r="8856" spans="1:6" ht="25.5" x14ac:dyDescent="0.2">
      <c r="A8856" s="391">
        <v>103722</v>
      </c>
      <c r="B8856" s="478" t="s">
        <v>42023</v>
      </c>
      <c r="C8856" s="391" t="s">
        <v>26</v>
      </c>
      <c r="D8856" s="479">
        <v>0</v>
      </c>
      <c r="E8856" s="368"/>
      <c r="F8856" s="368"/>
    </row>
    <row r="8857" spans="1:6" ht="25.5" x14ac:dyDescent="0.2">
      <c r="A8857" s="391">
        <v>103723</v>
      </c>
      <c r="B8857" s="478" t="s">
        <v>42024</v>
      </c>
      <c r="C8857" s="391" t="s">
        <v>26</v>
      </c>
      <c r="D8857" s="479">
        <v>0</v>
      </c>
      <c r="E8857" s="368"/>
      <c r="F8857" s="368"/>
    </row>
    <row r="8858" spans="1:6" ht="25.5" x14ac:dyDescent="0.2">
      <c r="A8858" s="391">
        <v>103724</v>
      </c>
      <c r="B8858" s="478" t="s">
        <v>42025</v>
      </c>
      <c r="C8858" s="391" t="s">
        <v>26</v>
      </c>
      <c r="D8858" s="479">
        <v>0</v>
      </c>
      <c r="E8858" s="368"/>
      <c r="F8858" s="368"/>
    </row>
    <row r="8859" spans="1:6" ht="25.5" x14ac:dyDescent="0.2">
      <c r="A8859" s="391">
        <v>103725</v>
      </c>
      <c r="B8859" s="478" t="s">
        <v>42026</v>
      </c>
      <c r="C8859" s="391" t="s">
        <v>26</v>
      </c>
      <c r="D8859" s="479">
        <v>0</v>
      </c>
      <c r="E8859" s="368"/>
      <c r="F8859" s="368"/>
    </row>
    <row r="8860" spans="1:6" ht="25.5" x14ac:dyDescent="0.2">
      <c r="A8860" s="391">
        <v>103726</v>
      </c>
      <c r="B8860" s="478" t="s">
        <v>42027</v>
      </c>
      <c r="C8860" s="391" t="s">
        <v>26</v>
      </c>
      <c r="D8860" s="479">
        <v>0</v>
      </c>
      <c r="E8860" s="368"/>
      <c r="F8860" s="368"/>
    </row>
    <row r="8861" spans="1:6" ht="25.5" x14ac:dyDescent="0.2">
      <c r="A8861" s="391">
        <v>103727</v>
      </c>
      <c r="B8861" s="478" t="s">
        <v>42028</v>
      </c>
      <c r="C8861" s="391" t="s">
        <v>26</v>
      </c>
      <c r="D8861" s="479">
        <v>0</v>
      </c>
      <c r="E8861" s="368"/>
      <c r="F8861" s="368"/>
    </row>
    <row r="8862" spans="1:6" ht="25.5" x14ac:dyDescent="0.2">
      <c r="A8862" s="391">
        <v>103728</v>
      </c>
      <c r="B8862" s="478" t="s">
        <v>42029</v>
      </c>
      <c r="C8862" s="391" t="s">
        <v>26</v>
      </c>
      <c r="D8862" s="479">
        <v>0</v>
      </c>
      <c r="E8862" s="368"/>
      <c r="F8862" s="368"/>
    </row>
    <row r="8863" spans="1:6" ht="25.5" x14ac:dyDescent="0.2">
      <c r="A8863" s="391">
        <v>103729</v>
      </c>
      <c r="B8863" s="478" t="s">
        <v>42030</v>
      </c>
      <c r="C8863" s="391" t="s">
        <v>26</v>
      </c>
      <c r="D8863" s="479">
        <v>0</v>
      </c>
      <c r="E8863" s="368"/>
      <c r="F8863" s="368"/>
    </row>
    <row r="8864" spans="1:6" ht="25.5" x14ac:dyDescent="0.2">
      <c r="A8864" s="391">
        <v>103730</v>
      </c>
      <c r="B8864" s="478" t="s">
        <v>42031</v>
      </c>
      <c r="C8864" s="391" t="s">
        <v>26</v>
      </c>
      <c r="D8864" s="479">
        <v>0</v>
      </c>
      <c r="E8864" s="368"/>
      <c r="F8864" s="368"/>
    </row>
    <row r="8865" spans="1:6" ht="25.5" x14ac:dyDescent="0.2">
      <c r="A8865" s="391">
        <v>103731</v>
      </c>
      <c r="B8865" s="478" t="s">
        <v>42032</v>
      </c>
      <c r="C8865" s="391" t="s">
        <v>26</v>
      </c>
      <c r="D8865" s="479">
        <v>0</v>
      </c>
      <c r="E8865" s="368"/>
      <c r="F8865" s="368"/>
    </row>
    <row r="8866" spans="1:6" ht="25.5" x14ac:dyDescent="0.2">
      <c r="A8866" s="391">
        <v>103732</v>
      </c>
      <c r="B8866" s="478" t="s">
        <v>42033</v>
      </c>
      <c r="C8866" s="391" t="s">
        <v>26</v>
      </c>
      <c r="D8866" s="479">
        <v>0</v>
      </c>
      <c r="E8866" s="368"/>
      <c r="F8866" s="368"/>
    </row>
    <row r="8867" spans="1:6" ht="25.5" x14ac:dyDescent="0.2">
      <c r="A8867" s="391">
        <v>103733</v>
      </c>
      <c r="B8867" s="478" t="s">
        <v>42034</v>
      </c>
      <c r="C8867" s="391" t="s">
        <v>26</v>
      </c>
      <c r="D8867" s="479">
        <v>0</v>
      </c>
      <c r="E8867" s="368"/>
      <c r="F8867" s="368"/>
    </row>
    <row r="8868" spans="1:6" ht="38.25" x14ac:dyDescent="0.2">
      <c r="A8868" s="391">
        <v>103696</v>
      </c>
      <c r="B8868" s="478" t="s">
        <v>4593</v>
      </c>
      <c r="C8868" s="391" t="s">
        <v>26</v>
      </c>
      <c r="D8868" s="479">
        <v>139.55000000000001</v>
      </c>
      <c r="E8868" s="368"/>
      <c r="F8868" s="368"/>
    </row>
    <row r="8869" spans="1:6" ht="38.25" x14ac:dyDescent="0.2">
      <c r="A8869" s="391">
        <v>103697</v>
      </c>
      <c r="B8869" s="478" t="s">
        <v>4594</v>
      </c>
      <c r="C8869" s="391" t="s">
        <v>26</v>
      </c>
      <c r="D8869" s="479">
        <v>127.83</v>
      </c>
      <c r="E8869" s="368"/>
      <c r="F8869" s="368"/>
    </row>
    <row r="8870" spans="1:6" ht="25.5" x14ac:dyDescent="0.2">
      <c r="A8870" s="391">
        <v>103695</v>
      </c>
      <c r="B8870" s="478" t="s">
        <v>4592</v>
      </c>
      <c r="C8870" s="391" t="s">
        <v>26</v>
      </c>
      <c r="D8870" s="479">
        <v>100.15</v>
      </c>
      <c r="E8870" s="368"/>
      <c r="F8870" s="368"/>
    </row>
    <row r="8871" spans="1:6" ht="25.5" x14ac:dyDescent="0.2">
      <c r="A8871" s="391">
        <v>103694</v>
      </c>
      <c r="B8871" s="478" t="s">
        <v>48140</v>
      </c>
      <c r="C8871" s="391" t="s">
        <v>26</v>
      </c>
      <c r="D8871" s="479">
        <v>111.87</v>
      </c>
      <c r="E8871" s="368"/>
      <c r="F8871" s="368"/>
    </row>
    <row r="8872" spans="1:6" ht="38.25" x14ac:dyDescent="0.2">
      <c r="A8872" s="391">
        <v>103690</v>
      </c>
      <c r="B8872" s="478" t="s">
        <v>42035</v>
      </c>
      <c r="C8872" s="391" t="s">
        <v>26</v>
      </c>
      <c r="D8872" s="479">
        <v>0</v>
      </c>
      <c r="E8872" s="368"/>
      <c r="F8872" s="368"/>
    </row>
    <row r="8873" spans="1:6" ht="38.25" x14ac:dyDescent="0.2">
      <c r="A8873" s="391">
        <v>103693</v>
      </c>
      <c r="B8873" s="478" t="s">
        <v>42036</v>
      </c>
      <c r="C8873" s="391" t="s">
        <v>26</v>
      </c>
      <c r="D8873" s="479">
        <v>0</v>
      </c>
      <c r="E8873" s="368"/>
      <c r="F8873" s="368"/>
    </row>
    <row r="8874" spans="1:6" ht="38.25" x14ac:dyDescent="0.2">
      <c r="A8874" s="391">
        <v>103692</v>
      </c>
      <c r="B8874" s="478" t="s">
        <v>42037</v>
      </c>
      <c r="C8874" s="391" t="s">
        <v>26</v>
      </c>
      <c r="D8874" s="479">
        <v>0</v>
      </c>
      <c r="E8874" s="368"/>
      <c r="F8874" s="368"/>
    </row>
    <row r="8875" spans="1:6" ht="38.25" x14ac:dyDescent="0.2">
      <c r="A8875" s="391">
        <v>103691</v>
      </c>
      <c r="B8875" s="478" t="s">
        <v>42038</v>
      </c>
      <c r="C8875" s="391" t="s">
        <v>26</v>
      </c>
      <c r="D8875" s="479">
        <v>0</v>
      </c>
      <c r="E8875" s="368"/>
      <c r="F8875" s="368"/>
    </row>
    <row r="8876" spans="1:6" ht="25.5" x14ac:dyDescent="0.2">
      <c r="A8876" s="391">
        <v>96987</v>
      </c>
      <c r="B8876" s="478" t="s">
        <v>48141</v>
      </c>
      <c r="C8876" s="391" t="s">
        <v>26</v>
      </c>
      <c r="D8876" s="479">
        <v>126.95</v>
      </c>
      <c r="E8876" s="368"/>
      <c r="F8876" s="368"/>
    </row>
    <row r="8877" spans="1:6" ht="25.5" x14ac:dyDescent="0.2">
      <c r="A8877" s="391">
        <v>96989</v>
      </c>
      <c r="B8877" s="478" t="s">
        <v>2662</v>
      </c>
      <c r="C8877" s="391" t="s">
        <v>26</v>
      </c>
      <c r="D8877" s="479">
        <v>150.32</v>
      </c>
      <c r="E8877" s="368"/>
      <c r="F8877" s="368"/>
    </row>
    <row r="8878" spans="1:6" ht="38.25" x14ac:dyDescent="0.2">
      <c r="A8878" s="391">
        <v>104749</v>
      </c>
      <c r="B8878" s="478" t="s">
        <v>2665</v>
      </c>
      <c r="C8878" s="391" t="s">
        <v>26</v>
      </c>
      <c r="D8878" s="479">
        <v>19.32</v>
      </c>
      <c r="E8878" s="368"/>
      <c r="F8878" s="368"/>
    </row>
    <row r="8879" spans="1:6" ht="38.25" x14ac:dyDescent="0.2">
      <c r="A8879" s="391">
        <v>104750</v>
      </c>
      <c r="B8879" s="478" t="s">
        <v>2666</v>
      </c>
      <c r="C8879" s="391" t="s">
        <v>26</v>
      </c>
      <c r="D8879" s="479">
        <v>15.55</v>
      </c>
      <c r="E8879" s="368"/>
      <c r="F8879" s="368"/>
    </row>
    <row r="8880" spans="1:6" ht="25.5" x14ac:dyDescent="0.2">
      <c r="A8880" s="391">
        <v>104751</v>
      </c>
      <c r="B8880" s="478" t="s">
        <v>2667</v>
      </c>
      <c r="C8880" s="391" t="s">
        <v>26</v>
      </c>
      <c r="D8880" s="479">
        <v>22.02</v>
      </c>
      <c r="E8880" s="368"/>
      <c r="F8880" s="368"/>
    </row>
    <row r="8881" spans="1:6" ht="25.5" x14ac:dyDescent="0.2">
      <c r="A8881" s="391">
        <v>104752</v>
      </c>
      <c r="B8881" s="478" t="s">
        <v>2668</v>
      </c>
      <c r="C8881" s="391" t="s">
        <v>26</v>
      </c>
      <c r="D8881" s="479">
        <v>19.87</v>
      </c>
      <c r="E8881" s="368"/>
      <c r="F8881" s="368"/>
    </row>
    <row r="8882" spans="1:6" ht="25.5" x14ac:dyDescent="0.2">
      <c r="A8882" s="391">
        <v>104753</v>
      </c>
      <c r="B8882" s="478" t="s">
        <v>2669</v>
      </c>
      <c r="C8882" s="391" t="s">
        <v>26</v>
      </c>
      <c r="D8882" s="479">
        <v>24.09</v>
      </c>
      <c r="E8882" s="368"/>
      <c r="F8882" s="368"/>
    </row>
    <row r="8883" spans="1:6" ht="25.5" x14ac:dyDescent="0.2">
      <c r="A8883" s="391">
        <v>104754</v>
      </c>
      <c r="B8883" s="478" t="s">
        <v>2670</v>
      </c>
      <c r="C8883" s="391" t="s">
        <v>26</v>
      </c>
      <c r="D8883" s="479">
        <v>31.33</v>
      </c>
      <c r="E8883" s="368"/>
      <c r="F8883" s="368"/>
    </row>
    <row r="8884" spans="1:6" ht="25.5" x14ac:dyDescent="0.2">
      <c r="A8884" s="391">
        <v>104755</v>
      </c>
      <c r="B8884" s="478" t="s">
        <v>2671</v>
      </c>
      <c r="C8884" s="391" t="s">
        <v>26</v>
      </c>
      <c r="D8884" s="479">
        <v>42.55</v>
      </c>
      <c r="E8884" s="368"/>
      <c r="F8884" s="368"/>
    </row>
    <row r="8885" spans="1:6" ht="25.5" x14ac:dyDescent="0.2">
      <c r="A8885" s="391">
        <v>96982</v>
      </c>
      <c r="B8885" s="478" t="s">
        <v>42039</v>
      </c>
      <c r="C8885" s="391" t="s">
        <v>26</v>
      </c>
      <c r="D8885" s="479">
        <v>0</v>
      </c>
      <c r="E8885" s="368"/>
      <c r="F8885" s="368"/>
    </row>
    <row r="8886" spans="1:6" ht="25.5" x14ac:dyDescent="0.2">
      <c r="A8886" s="391">
        <v>96993</v>
      </c>
      <c r="B8886" s="478" t="s">
        <v>42040</v>
      </c>
      <c r="C8886" s="391" t="s">
        <v>26</v>
      </c>
      <c r="D8886" s="479">
        <v>0</v>
      </c>
      <c r="E8886" s="368"/>
      <c r="F8886" s="368"/>
    </row>
    <row r="8887" spans="1:6" ht="25.5" x14ac:dyDescent="0.2">
      <c r="A8887" s="391">
        <v>96990</v>
      </c>
      <c r="B8887" s="478" t="s">
        <v>42041</v>
      </c>
      <c r="C8887" s="391" t="s">
        <v>26</v>
      </c>
      <c r="D8887" s="479">
        <v>0</v>
      </c>
      <c r="E8887" s="368"/>
      <c r="F8887" s="368"/>
    </row>
    <row r="8888" spans="1:6" ht="25.5" x14ac:dyDescent="0.2">
      <c r="A8888" s="391">
        <v>96991</v>
      </c>
      <c r="B8888" s="478" t="s">
        <v>42042</v>
      </c>
      <c r="C8888" s="391" t="s">
        <v>26</v>
      </c>
      <c r="D8888" s="479">
        <v>0</v>
      </c>
      <c r="E8888" s="368"/>
      <c r="F8888" s="368"/>
    </row>
    <row r="8889" spans="1:6" ht="25.5" x14ac:dyDescent="0.2">
      <c r="A8889" s="391">
        <v>96992</v>
      </c>
      <c r="B8889" s="478" t="s">
        <v>42043</v>
      </c>
      <c r="C8889" s="391" t="s">
        <v>26</v>
      </c>
      <c r="D8889" s="479">
        <v>0</v>
      </c>
      <c r="E8889" s="368"/>
      <c r="F8889" s="368"/>
    </row>
    <row r="8890" spans="1:6" ht="38.25" x14ac:dyDescent="0.2">
      <c r="A8890" s="391">
        <v>96994</v>
      </c>
      <c r="B8890" s="478" t="s">
        <v>42044</v>
      </c>
      <c r="C8890" s="391" t="s">
        <v>26</v>
      </c>
      <c r="D8890" s="479">
        <v>0</v>
      </c>
      <c r="E8890" s="368"/>
      <c r="F8890" s="368"/>
    </row>
    <row r="8891" spans="1:6" ht="25.5" x14ac:dyDescent="0.2">
      <c r="A8891" s="391">
        <v>96973</v>
      </c>
      <c r="B8891" s="478" t="s">
        <v>2651</v>
      </c>
      <c r="C8891" s="391" t="s">
        <v>0</v>
      </c>
      <c r="D8891" s="479">
        <v>71.709999999999994</v>
      </c>
      <c r="E8891" s="368"/>
      <c r="F8891" s="368"/>
    </row>
    <row r="8892" spans="1:6" ht="25.5" x14ac:dyDescent="0.2">
      <c r="A8892" s="391">
        <v>104743</v>
      </c>
      <c r="B8892" s="478" t="s">
        <v>42045</v>
      </c>
      <c r="C8892" s="391" t="s">
        <v>0</v>
      </c>
      <c r="D8892" s="479">
        <v>0</v>
      </c>
      <c r="E8892" s="368"/>
      <c r="F8892" s="368"/>
    </row>
    <row r="8893" spans="1:6" ht="25.5" x14ac:dyDescent="0.2">
      <c r="A8893" s="391">
        <v>96977</v>
      </c>
      <c r="B8893" s="478" t="s">
        <v>2655</v>
      </c>
      <c r="C8893" s="391" t="s">
        <v>0</v>
      </c>
      <c r="D8893" s="479">
        <v>60.9</v>
      </c>
      <c r="E8893" s="368"/>
      <c r="F8893" s="368"/>
    </row>
    <row r="8894" spans="1:6" ht="25.5" x14ac:dyDescent="0.2">
      <c r="A8894" s="391">
        <v>96974</v>
      </c>
      <c r="B8894" s="478" t="s">
        <v>2652</v>
      </c>
      <c r="C8894" s="391" t="s">
        <v>0</v>
      </c>
      <c r="D8894" s="479">
        <v>92.93</v>
      </c>
      <c r="E8894" s="368"/>
      <c r="F8894" s="368"/>
    </row>
    <row r="8895" spans="1:6" ht="25.5" x14ac:dyDescent="0.2">
      <c r="A8895" s="391">
        <v>104744</v>
      </c>
      <c r="B8895" s="478" t="s">
        <v>42046</v>
      </c>
      <c r="C8895" s="391" t="s">
        <v>0</v>
      </c>
      <c r="D8895" s="479">
        <v>0</v>
      </c>
      <c r="E8895" s="368"/>
      <c r="F8895" s="368"/>
    </row>
    <row r="8896" spans="1:6" ht="25.5" x14ac:dyDescent="0.2">
      <c r="A8896" s="391">
        <v>96978</v>
      </c>
      <c r="B8896" s="478" t="s">
        <v>2656</v>
      </c>
      <c r="C8896" s="391" t="s">
        <v>0</v>
      </c>
      <c r="D8896" s="479">
        <v>80.25</v>
      </c>
      <c r="E8896" s="368"/>
      <c r="F8896" s="368"/>
    </row>
    <row r="8897" spans="1:6" ht="25.5" x14ac:dyDescent="0.2">
      <c r="A8897" s="391">
        <v>96975</v>
      </c>
      <c r="B8897" s="478" t="s">
        <v>2653</v>
      </c>
      <c r="C8897" s="391" t="s">
        <v>0</v>
      </c>
      <c r="D8897" s="479">
        <v>115.29</v>
      </c>
      <c r="E8897" s="368"/>
      <c r="F8897" s="368"/>
    </row>
    <row r="8898" spans="1:6" ht="25.5" x14ac:dyDescent="0.2">
      <c r="A8898" s="391">
        <v>104745</v>
      </c>
      <c r="B8898" s="478" t="s">
        <v>42047</v>
      </c>
      <c r="C8898" s="391" t="s">
        <v>0</v>
      </c>
      <c r="D8898" s="479">
        <v>0</v>
      </c>
      <c r="E8898" s="368"/>
      <c r="F8898" s="368"/>
    </row>
    <row r="8899" spans="1:6" ht="25.5" x14ac:dyDescent="0.2">
      <c r="A8899" s="391">
        <v>96979</v>
      </c>
      <c r="B8899" s="478" t="s">
        <v>2657</v>
      </c>
      <c r="C8899" s="391" t="s">
        <v>0</v>
      </c>
      <c r="D8899" s="479">
        <v>114.87</v>
      </c>
      <c r="E8899" s="368"/>
      <c r="F8899" s="368"/>
    </row>
    <row r="8900" spans="1:6" ht="25.5" x14ac:dyDescent="0.2">
      <c r="A8900" s="391">
        <v>96976</v>
      </c>
      <c r="B8900" s="478" t="s">
        <v>2654</v>
      </c>
      <c r="C8900" s="391" t="s">
        <v>0</v>
      </c>
      <c r="D8900" s="479">
        <v>152.63</v>
      </c>
      <c r="E8900" s="368"/>
      <c r="F8900" s="368"/>
    </row>
    <row r="8901" spans="1:6" ht="25.5" x14ac:dyDescent="0.2">
      <c r="A8901" s="391">
        <v>96984</v>
      </c>
      <c r="B8901" s="478" t="s">
        <v>2658</v>
      </c>
      <c r="C8901" s="391" t="s">
        <v>26</v>
      </c>
      <c r="D8901" s="479">
        <v>54.51</v>
      </c>
      <c r="E8901" s="368"/>
      <c r="F8901" s="368"/>
    </row>
    <row r="8902" spans="1:6" ht="25.5" x14ac:dyDescent="0.2">
      <c r="A8902" s="391">
        <v>96980</v>
      </c>
      <c r="B8902" s="478" t="s">
        <v>42048</v>
      </c>
      <c r="C8902" s="391" t="s">
        <v>0</v>
      </c>
      <c r="D8902" s="479">
        <v>0</v>
      </c>
      <c r="E8902" s="368"/>
      <c r="F8902" s="368"/>
    </row>
    <row r="8903" spans="1:6" ht="25.5" x14ac:dyDescent="0.2">
      <c r="A8903" s="391">
        <v>96986</v>
      </c>
      <c r="B8903" s="478" t="s">
        <v>2660</v>
      </c>
      <c r="C8903" s="391" t="s">
        <v>26</v>
      </c>
      <c r="D8903" s="479">
        <v>115.5</v>
      </c>
      <c r="E8903" s="368"/>
      <c r="F8903" s="368"/>
    </row>
    <row r="8904" spans="1:6" ht="25.5" x14ac:dyDescent="0.2">
      <c r="A8904" s="391">
        <v>96985</v>
      </c>
      <c r="B8904" s="478" t="s">
        <v>2659</v>
      </c>
      <c r="C8904" s="391" t="s">
        <v>26</v>
      </c>
      <c r="D8904" s="479">
        <v>77.349999999999994</v>
      </c>
      <c r="E8904" s="368"/>
      <c r="F8904" s="368"/>
    </row>
    <row r="8905" spans="1:6" ht="25.5" x14ac:dyDescent="0.2">
      <c r="A8905" s="391">
        <v>96988</v>
      </c>
      <c r="B8905" s="478" t="s">
        <v>2661</v>
      </c>
      <c r="C8905" s="391" t="s">
        <v>26</v>
      </c>
      <c r="D8905" s="479">
        <v>179.54</v>
      </c>
      <c r="E8905" s="368"/>
      <c r="F8905" s="368"/>
    </row>
    <row r="8906" spans="1:6" x14ac:dyDescent="0.2">
      <c r="A8906" s="391">
        <v>104746</v>
      </c>
      <c r="B8906" s="478" t="s">
        <v>2664</v>
      </c>
      <c r="C8906" s="391" t="s">
        <v>26</v>
      </c>
      <c r="D8906" s="479">
        <v>28.33</v>
      </c>
      <c r="E8906" s="368"/>
      <c r="F8906" s="368"/>
    </row>
    <row r="8907" spans="1:6" ht="25.5" x14ac:dyDescent="0.2">
      <c r="A8907" s="391">
        <v>104747</v>
      </c>
      <c r="B8907" s="478" t="s">
        <v>42049</v>
      </c>
      <c r="C8907" s="391" t="s">
        <v>26</v>
      </c>
      <c r="D8907" s="479">
        <v>0</v>
      </c>
      <c r="E8907" s="368"/>
      <c r="F8907" s="368"/>
    </row>
    <row r="8908" spans="1:6" x14ac:dyDescent="0.2">
      <c r="A8908" s="391">
        <v>96983</v>
      </c>
      <c r="B8908" s="478" t="s">
        <v>42050</v>
      </c>
      <c r="C8908" s="391" t="s">
        <v>26</v>
      </c>
      <c r="D8908" s="479">
        <v>0</v>
      </c>
      <c r="E8908" s="368"/>
      <c r="F8908" s="368"/>
    </row>
    <row r="8909" spans="1:6" ht="25.5" x14ac:dyDescent="0.2">
      <c r="A8909" s="391">
        <v>104748</v>
      </c>
      <c r="B8909" s="478" t="s">
        <v>42051</v>
      </c>
      <c r="C8909" s="391" t="s">
        <v>26</v>
      </c>
      <c r="D8909" s="479">
        <v>0</v>
      </c>
      <c r="E8909" s="368"/>
      <c r="F8909" s="368"/>
    </row>
    <row r="8910" spans="1:6" ht="25.5" x14ac:dyDescent="0.2">
      <c r="A8910" s="391">
        <v>98463</v>
      </c>
      <c r="B8910" s="478" t="s">
        <v>2663</v>
      </c>
      <c r="C8910" s="391" t="s">
        <v>26</v>
      </c>
      <c r="D8910" s="479">
        <v>26.39</v>
      </c>
      <c r="E8910" s="368"/>
      <c r="F8910" s="368"/>
    </row>
    <row r="8911" spans="1:6" ht="25.5" x14ac:dyDescent="0.2">
      <c r="A8911" s="391">
        <v>104827</v>
      </c>
      <c r="B8911" s="478" t="s">
        <v>42052</v>
      </c>
      <c r="C8911" s="391" t="s">
        <v>26</v>
      </c>
      <c r="D8911" s="479">
        <v>0</v>
      </c>
      <c r="E8911" s="368"/>
      <c r="F8911" s="368"/>
    </row>
    <row r="8912" spans="1:6" ht="25.5" x14ac:dyDescent="0.2">
      <c r="A8912" s="391">
        <v>104828</v>
      </c>
      <c r="B8912" s="478" t="s">
        <v>42053</v>
      </c>
      <c r="C8912" s="391" t="s">
        <v>26</v>
      </c>
      <c r="D8912" s="479">
        <v>0</v>
      </c>
      <c r="E8912" s="368"/>
      <c r="F8912" s="368"/>
    </row>
    <row r="8913" spans="1:6" ht="51" x14ac:dyDescent="0.2">
      <c r="A8913" s="391">
        <v>104824</v>
      </c>
      <c r="B8913" s="478" t="s">
        <v>42054</v>
      </c>
      <c r="C8913" s="391" t="s">
        <v>26</v>
      </c>
      <c r="D8913" s="479">
        <v>0</v>
      </c>
      <c r="E8913" s="368"/>
      <c r="F8913" s="368"/>
    </row>
    <row r="8914" spans="1:6" ht="51" x14ac:dyDescent="0.2">
      <c r="A8914" s="391">
        <v>104826</v>
      </c>
      <c r="B8914" s="478" t="s">
        <v>42055</v>
      </c>
      <c r="C8914" s="391" t="s">
        <v>26</v>
      </c>
      <c r="D8914" s="479">
        <v>0</v>
      </c>
      <c r="E8914" s="368"/>
      <c r="F8914" s="368"/>
    </row>
    <row r="8915" spans="1:6" ht="51" x14ac:dyDescent="0.2">
      <c r="A8915" s="391">
        <v>104825</v>
      </c>
      <c r="B8915" s="478" t="s">
        <v>42056</v>
      </c>
      <c r="C8915" s="391" t="s">
        <v>26</v>
      </c>
      <c r="D8915" s="479">
        <v>0</v>
      </c>
      <c r="E8915" s="368"/>
      <c r="F8915" s="368"/>
    </row>
    <row r="8916" spans="1:6" ht="25.5" x14ac:dyDescent="0.2">
      <c r="A8916" s="391">
        <v>104993</v>
      </c>
      <c r="B8916" s="478" t="s">
        <v>42057</v>
      </c>
      <c r="C8916" s="391" t="s">
        <v>26</v>
      </c>
      <c r="D8916" s="479">
        <v>0</v>
      </c>
      <c r="E8916" s="368"/>
      <c r="F8916" s="368"/>
    </row>
    <row r="8917" spans="1:6" ht="25.5" x14ac:dyDescent="0.2">
      <c r="A8917" s="391">
        <v>104994</v>
      </c>
      <c r="B8917" s="478" t="s">
        <v>42058</v>
      </c>
      <c r="C8917" s="391" t="s">
        <v>26</v>
      </c>
      <c r="D8917" s="479">
        <v>0</v>
      </c>
      <c r="E8917" s="368"/>
      <c r="F8917" s="368"/>
    </row>
    <row r="8918" spans="1:6" ht="25.5" x14ac:dyDescent="0.2">
      <c r="A8918" s="391">
        <v>104995</v>
      </c>
      <c r="B8918" s="478" t="s">
        <v>42059</v>
      </c>
      <c r="C8918" s="391" t="s">
        <v>26</v>
      </c>
      <c r="D8918" s="479">
        <v>0</v>
      </c>
      <c r="E8918" s="368"/>
      <c r="F8918" s="368"/>
    </row>
    <row r="8919" spans="1:6" ht="25.5" x14ac:dyDescent="0.2">
      <c r="A8919" s="391">
        <v>104996</v>
      </c>
      <c r="B8919" s="478" t="s">
        <v>42060</v>
      </c>
      <c r="C8919" s="391" t="s">
        <v>26</v>
      </c>
      <c r="D8919" s="479">
        <v>0</v>
      </c>
      <c r="E8919" s="368"/>
      <c r="F8919" s="368"/>
    </row>
    <row r="8920" spans="1:6" ht="25.5" x14ac:dyDescent="0.2">
      <c r="A8920" s="391">
        <v>95676</v>
      </c>
      <c r="B8920" s="478" t="s">
        <v>4153</v>
      </c>
      <c r="C8920" s="391" t="s">
        <v>26</v>
      </c>
      <c r="D8920" s="479">
        <v>149.11000000000001</v>
      </c>
      <c r="E8920" s="368"/>
      <c r="F8920" s="368"/>
    </row>
    <row r="8921" spans="1:6" ht="25.5" x14ac:dyDescent="0.2">
      <c r="A8921" s="391">
        <v>95677</v>
      </c>
      <c r="B8921" s="478" t="s">
        <v>42061</v>
      </c>
      <c r="C8921" s="391" t="s">
        <v>26</v>
      </c>
      <c r="D8921" s="479">
        <v>0</v>
      </c>
      <c r="E8921" s="368"/>
      <c r="F8921" s="368"/>
    </row>
    <row r="8922" spans="1:6" x14ac:dyDescent="0.2">
      <c r="A8922" s="391">
        <v>105135</v>
      </c>
      <c r="B8922" s="478" t="s">
        <v>39057</v>
      </c>
      <c r="C8922" s="391" t="s">
        <v>26</v>
      </c>
      <c r="D8922" s="479">
        <v>974.11</v>
      </c>
      <c r="E8922" s="368"/>
      <c r="F8922" s="368"/>
    </row>
    <row r="8923" spans="1:6" x14ac:dyDescent="0.2">
      <c r="A8923" s="391">
        <v>104998</v>
      </c>
      <c r="B8923" s="478" t="s">
        <v>39056</v>
      </c>
      <c r="C8923" s="391" t="s">
        <v>26</v>
      </c>
      <c r="D8923" s="479">
        <v>595.71</v>
      </c>
      <c r="E8923" s="368"/>
      <c r="F8923" s="368"/>
    </row>
    <row r="8924" spans="1:6" x14ac:dyDescent="0.2">
      <c r="A8924" s="391">
        <v>104997</v>
      </c>
      <c r="B8924" s="478" t="s">
        <v>39055</v>
      </c>
      <c r="C8924" s="391" t="s">
        <v>26</v>
      </c>
      <c r="D8924" s="479">
        <v>444.77</v>
      </c>
      <c r="E8924" s="368"/>
      <c r="F8924" s="368"/>
    </row>
    <row r="8925" spans="1:6" x14ac:dyDescent="0.2">
      <c r="A8925" s="391">
        <v>95673</v>
      </c>
      <c r="B8925" s="478" t="s">
        <v>4150</v>
      </c>
      <c r="C8925" s="391" t="s">
        <v>26</v>
      </c>
      <c r="D8925" s="479">
        <v>129.12</v>
      </c>
      <c r="E8925" s="368"/>
      <c r="F8925" s="368"/>
    </row>
    <row r="8926" spans="1:6" x14ac:dyDescent="0.2">
      <c r="A8926" s="391">
        <v>95674</v>
      </c>
      <c r="B8926" s="478" t="s">
        <v>4151</v>
      </c>
      <c r="C8926" s="391" t="s">
        <v>26</v>
      </c>
      <c r="D8926" s="479">
        <v>137.06</v>
      </c>
      <c r="E8926" s="368"/>
      <c r="F8926" s="368"/>
    </row>
    <row r="8927" spans="1:6" x14ac:dyDescent="0.2">
      <c r="A8927" s="391">
        <v>104992</v>
      </c>
      <c r="B8927" s="478" t="s">
        <v>48142</v>
      </c>
      <c r="C8927" s="391" t="s">
        <v>26</v>
      </c>
      <c r="D8927" s="479">
        <v>1360.49</v>
      </c>
      <c r="E8927" s="368"/>
      <c r="F8927" s="368"/>
    </row>
    <row r="8928" spans="1:6" x14ac:dyDescent="0.2">
      <c r="A8928" s="391">
        <v>95675</v>
      </c>
      <c r="B8928" s="478" t="s">
        <v>4152</v>
      </c>
      <c r="C8928" s="391" t="s">
        <v>26</v>
      </c>
      <c r="D8928" s="479">
        <v>169.1</v>
      </c>
      <c r="E8928" s="368"/>
      <c r="F8928" s="368"/>
    </row>
    <row r="8929" spans="1:6" ht="38.25" x14ac:dyDescent="0.2">
      <c r="A8929" s="391">
        <v>95648</v>
      </c>
      <c r="B8929" s="478" t="s">
        <v>4126</v>
      </c>
      <c r="C8929" s="391" t="s">
        <v>26</v>
      </c>
      <c r="D8929" s="479">
        <v>575.20000000000005</v>
      </c>
      <c r="E8929" s="368"/>
      <c r="F8929" s="368"/>
    </row>
    <row r="8930" spans="1:6" ht="38.25" x14ac:dyDescent="0.2">
      <c r="A8930" s="391">
        <v>95649</v>
      </c>
      <c r="B8930" s="478" t="s">
        <v>4127</v>
      </c>
      <c r="C8930" s="391" t="s">
        <v>26</v>
      </c>
      <c r="D8930" s="479">
        <v>994.7</v>
      </c>
      <c r="E8930" s="368"/>
      <c r="F8930" s="368"/>
    </row>
    <row r="8931" spans="1:6" ht="38.25" x14ac:dyDescent="0.2">
      <c r="A8931" s="391">
        <v>95650</v>
      </c>
      <c r="B8931" s="478" t="s">
        <v>4128</v>
      </c>
      <c r="C8931" s="391" t="s">
        <v>26</v>
      </c>
      <c r="D8931" s="479">
        <v>1453.54</v>
      </c>
      <c r="E8931" s="368"/>
      <c r="F8931" s="368"/>
    </row>
    <row r="8932" spans="1:6" ht="38.25" x14ac:dyDescent="0.2">
      <c r="A8932" s="391">
        <v>95651</v>
      </c>
      <c r="B8932" s="478" t="s">
        <v>4129</v>
      </c>
      <c r="C8932" s="391" t="s">
        <v>26</v>
      </c>
      <c r="D8932" s="479">
        <v>1889</v>
      </c>
      <c r="E8932" s="368"/>
      <c r="F8932" s="368"/>
    </row>
    <row r="8933" spans="1:6" ht="38.25" x14ac:dyDescent="0.2">
      <c r="A8933" s="391">
        <v>95652</v>
      </c>
      <c r="B8933" s="478" t="s">
        <v>4130</v>
      </c>
      <c r="C8933" s="391" t="s">
        <v>26</v>
      </c>
      <c r="D8933" s="479">
        <v>711.82</v>
      </c>
      <c r="E8933" s="368"/>
      <c r="F8933" s="368"/>
    </row>
    <row r="8934" spans="1:6" ht="38.25" x14ac:dyDescent="0.2">
      <c r="A8934" s="391">
        <v>95653</v>
      </c>
      <c r="B8934" s="478" t="s">
        <v>4131</v>
      </c>
      <c r="C8934" s="391" t="s">
        <v>26</v>
      </c>
      <c r="D8934" s="479">
        <v>1266.1300000000001</v>
      </c>
      <c r="E8934" s="368"/>
      <c r="F8934" s="368"/>
    </row>
    <row r="8935" spans="1:6" ht="38.25" x14ac:dyDescent="0.2">
      <c r="A8935" s="391">
        <v>95654</v>
      </c>
      <c r="B8935" s="478" t="s">
        <v>4132</v>
      </c>
      <c r="C8935" s="391" t="s">
        <v>26</v>
      </c>
      <c r="D8935" s="479">
        <v>1865.16</v>
      </c>
      <c r="E8935" s="368"/>
      <c r="F8935" s="368"/>
    </row>
    <row r="8936" spans="1:6" ht="38.25" x14ac:dyDescent="0.2">
      <c r="A8936" s="391">
        <v>95655</v>
      </c>
      <c r="B8936" s="478" t="s">
        <v>4133</v>
      </c>
      <c r="C8936" s="391" t="s">
        <v>26</v>
      </c>
      <c r="D8936" s="479">
        <v>2434.2399999999998</v>
      </c>
      <c r="E8936" s="368"/>
      <c r="F8936" s="368"/>
    </row>
    <row r="8937" spans="1:6" ht="38.25" x14ac:dyDescent="0.2">
      <c r="A8937" s="391">
        <v>95657</v>
      </c>
      <c r="B8937" s="478" t="s">
        <v>4134</v>
      </c>
      <c r="C8937" s="391" t="s">
        <v>26</v>
      </c>
      <c r="D8937" s="479">
        <v>315.05</v>
      </c>
      <c r="E8937" s="368"/>
      <c r="F8937" s="368"/>
    </row>
    <row r="8938" spans="1:6" ht="38.25" x14ac:dyDescent="0.2">
      <c r="A8938" s="391">
        <v>95658</v>
      </c>
      <c r="B8938" s="478" t="s">
        <v>4135</v>
      </c>
      <c r="C8938" s="391" t="s">
        <v>26</v>
      </c>
      <c r="D8938" s="479">
        <v>574.13</v>
      </c>
      <c r="E8938" s="368"/>
      <c r="F8938" s="368"/>
    </row>
    <row r="8939" spans="1:6" ht="38.25" x14ac:dyDescent="0.2">
      <c r="A8939" s="391">
        <v>95659</v>
      </c>
      <c r="B8939" s="478" t="s">
        <v>4136</v>
      </c>
      <c r="C8939" s="391" t="s">
        <v>26</v>
      </c>
      <c r="D8939" s="479">
        <v>854.63</v>
      </c>
      <c r="E8939" s="368"/>
      <c r="F8939" s="368"/>
    </row>
    <row r="8940" spans="1:6" ht="38.25" x14ac:dyDescent="0.2">
      <c r="A8940" s="391">
        <v>95660</v>
      </c>
      <c r="B8940" s="478" t="s">
        <v>4137</v>
      </c>
      <c r="C8940" s="391" t="s">
        <v>26</v>
      </c>
      <c r="D8940" s="479">
        <v>1120.46</v>
      </c>
      <c r="E8940" s="368"/>
      <c r="F8940" s="368"/>
    </row>
    <row r="8941" spans="1:6" ht="38.25" x14ac:dyDescent="0.2">
      <c r="A8941" s="391">
        <v>95661</v>
      </c>
      <c r="B8941" s="478" t="s">
        <v>4138</v>
      </c>
      <c r="C8941" s="391" t="s">
        <v>26</v>
      </c>
      <c r="D8941" s="479">
        <v>391.91</v>
      </c>
      <c r="E8941" s="368"/>
      <c r="F8941" s="368"/>
    </row>
    <row r="8942" spans="1:6" ht="38.25" x14ac:dyDescent="0.2">
      <c r="A8942" s="391">
        <v>95662</v>
      </c>
      <c r="B8942" s="478" t="s">
        <v>4139</v>
      </c>
      <c r="C8942" s="391" t="s">
        <v>26</v>
      </c>
      <c r="D8942" s="479">
        <v>726.39</v>
      </c>
      <c r="E8942" s="368"/>
      <c r="F8942" s="368"/>
    </row>
    <row r="8943" spans="1:6" ht="38.25" x14ac:dyDescent="0.2">
      <c r="A8943" s="391">
        <v>95663</v>
      </c>
      <c r="B8943" s="478" t="s">
        <v>4140</v>
      </c>
      <c r="C8943" s="391" t="s">
        <v>26</v>
      </c>
      <c r="D8943" s="479">
        <v>1086.6199999999999</v>
      </c>
      <c r="E8943" s="368"/>
      <c r="F8943" s="368"/>
    </row>
    <row r="8944" spans="1:6" ht="38.25" x14ac:dyDescent="0.2">
      <c r="A8944" s="391">
        <v>95664</v>
      </c>
      <c r="B8944" s="478" t="s">
        <v>4141</v>
      </c>
      <c r="C8944" s="391" t="s">
        <v>26</v>
      </c>
      <c r="D8944" s="479">
        <v>1426.87</v>
      </c>
      <c r="E8944" s="368"/>
      <c r="F8944" s="368"/>
    </row>
    <row r="8945" spans="1:6" ht="38.25" x14ac:dyDescent="0.2">
      <c r="A8945" s="391">
        <v>95665</v>
      </c>
      <c r="B8945" s="478" t="s">
        <v>4142</v>
      </c>
      <c r="C8945" s="391" t="s">
        <v>26</v>
      </c>
      <c r="D8945" s="479">
        <v>349.42</v>
      </c>
      <c r="E8945" s="368"/>
      <c r="F8945" s="368"/>
    </row>
    <row r="8946" spans="1:6" ht="38.25" x14ac:dyDescent="0.2">
      <c r="A8946" s="391">
        <v>95666</v>
      </c>
      <c r="B8946" s="478" t="s">
        <v>4143</v>
      </c>
      <c r="C8946" s="391" t="s">
        <v>26</v>
      </c>
      <c r="D8946" s="479">
        <v>618.37</v>
      </c>
      <c r="E8946" s="368"/>
      <c r="F8946" s="368"/>
    </row>
    <row r="8947" spans="1:6" ht="38.25" x14ac:dyDescent="0.2">
      <c r="A8947" s="391">
        <v>95667</v>
      </c>
      <c r="B8947" s="478" t="s">
        <v>4144</v>
      </c>
      <c r="C8947" s="391" t="s">
        <v>26</v>
      </c>
      <c r="D8947" s="479">
        <v>915.69</v>
      </c>
      <c r="E8947" s="368"/>
      <c r="F8947" s="368"/>
    </row>
    <row r="8948" spans="1:6" ht="38.25" x14ac:dyDescent="0.2">
      <c r="A8948" s="391">
        <v>95668</v>
      </c>
      <c r="B8948" s="478" t="s">
        <v>4145</v>
      </c>
      <c r="C8948" s="391" t="s">
        <v>26</v>
      </c>
      <c r="D8948" s="479">
        <v>1196.33</v>
      </c>
      <c r="E8948" s="368"/>
      <c r="F8948" s="368"/>
    </row>
    <row r="8949" spans="1:6" ht="38.25" x14ac:dyDescent="0.2">
      <c r="A8949" s="391">
        <v>95669</v>
      </c>
      <c r="B8949" s="478" t="s">
        <v>4146</v>
      </c>
      <c r="C8949" s="391" t="s">
        <v>26</v>
      </c>
      <c r="D8949" s="479">
        <v>422.02</v>
      </c>
      <c r="E8949" s="368"/>
      <c r="F8949" s="368"/>
    </row>
    <row r="8950" spans="1:6" ht="38.25" x14ac:dyDescent="0.2">
      <c r="A8950" s="391">
        <v>95670</v>
      </c>
      <c r="B8950" s="478" t="s">
        <v>4147</v>
      </c>
      <c r="C8950" s="391" t="s">
        <v>26</v>
      </c>
      <c r="D8950" s="479">
        <v>762.37</v>
      </c>
      <c r="E8950" s="368"/>
      <c r="F8950" s="368"/>
    </row>
    <row r="8951" spans="1:6" ht="38.25" x14ac:dyDescent="0.2">
      <c r="A8951" s="391">
        <v>95671</v>
      </c>
      <c r="B8951" s="478" t="s">
        <v>4148</v>
      </c>
      <c r="C8951" s="391" t="s">
        <v>26</v>
      </c>
      <c r="D8951" s="479">
        <v>1134.76</v>
      </c>
      <c r="E8951" s="368"/>
      <c r="F8951" s="368"/>
    </row>
    <row r="8952" spans="1:6" ht="38.25" x14ac:dyDescent="0.2">
      <c r="A8952" s="391">
        <v>95672</v>
      </c>
      <c r="B8952" s="478" t="s">
        <v>4149</v>
      </c>
      <c r="C8952" s="391" t="s">
        <v>26</v>
      </c>
      <c r="D8952" s="479">
        <v>1485.98</v>
      </c>
      <c r="E8952" s="368"/>
      <c r="F8952" s="368"/>
    </row>
    <row r="8953" spans="1:6" ht="38.25" x14ac:dyDescent="0.2">
      <c r="A8953" s="391">
        <v>97741</v>
      </c>
      <c r="B8953" s="478" t="s">
        <v>39528</v>
      </c>
      <c r="C8953" s="391" t="s">
        <v>26</v>
      </c>
      <c r="D8953" s="479">
        <v>165.24</v>
      </c>
      <c r="E8953" s="368"/>
      <c r="F8953" s="368"/>
    </row>
    <row r="8954" spans="1:6" ht="38.25" x14ac:dyDescent="0.2">
      <c r="A8954" s="391">
        <v>95641</v>
      </c>
      <c r="B8954" s="478" t="s">
        <v>39521</v>
      </c>
      <c r="C8954" s="391" t="s">
        <v>26</v>
      </c>
      <c r="D8954" s="479">
        <v>295.07</v>
      </c>
      <c r="E8954" s="368"/>
      <c r="F8954" s="368"/>
    </row>
    <row r="8955" spans="1:6" ht="38.25" x14ac:dyDescent="0.2">
      <c r="A8955" s="391">
        <v>95642</v>
      </c>
      <c r="B8955" s="478" t="s">
        <v>39522</v>
      </c>
      <c r="C8955" s="391" t="s">
        <v>26</v>
      </c>
      <c r="D8955" s="479">
        <v>436.65</v>
      </c>
      <c r="E8955" s="368"/>
      <c r="F8955" s="368"/>
    </row>
    <row r="8956" spans="1:6" ht="38.25" x14ac:dyDescent="0.2">
      <c r="A8956" s="391">
        <v>95643</v>
      </c>
      <c r="B8956" s="478" t="s">
        <v>39523</v>
      </c>
      <c r="C8956" s="391" t="s">
        <v>26</v>
      </c>
      <c r="D8956" s="479">
        <v>571.24</v>
      </c>
      <c r="E8956" s="368"/>
      <c r="F8956" s="368"/>
    </row>
    <row r="8957" spans="1:6" ht="38.25" x14ac:dyDescent="0.2">
      <c r="A8957" s="391">
        <v>95644</v>
      </c>
      <c r="B8957" s="478" t="s">
        <v>39524</v>
      </c>
      <c r="C8957" s="391" t="s">
        <v>26</v>
      </c>
      <c r="D8957" s="479">
        <v>216.85</v>
      </c>
      <c r="E8957" s="368"/>
      <c r="F8957" s="368"/>
    </row>
    <row r="8958" spans="1:6" ht="38.25" x14ac:dyDescent="0.2">
      <c r="A8958" s="391">
        <v>95645</v>
      </c>
      <c r="B8958" s="478" t="s">
        <v>39525</v>
      </c>
      <c r="C8958" s="391" t="s">
        <v>26</v>
      </c>
      <c r="D8958" s="479">
        <v>397.32</v>
      </c>
      <c r="E8958" s="368"/>
      <c r="F8958" s="368"/>
    </row>
    <row r="8959" spans="1:6" ht="38.25" x14ac:dyDescent="0.2">
      <c r="A8959" s="391">
        <v>95646</v>
      </c>
      <c r="B8959" s="478" t="s">
        <v>39526</v>
      </c>
      <c r="C8959" s="391" t="s">
        <v>26</v>
      </c>
      <c r="D8959" s="479">
        <v>592.48</v>
      </c>
      <c r="E8959" s="368"/>
      <c r="F8959" s="368"/>
    </row>
    <row r="8960" spans="1:6" ht="38.25" x14ac:dyDescent="0.2">
      <c r="A8960" s="391">
        <v>95647</v>
      </c>
      <c r="B8960" s="478" t="s">
        <v>39527</v>
      </c>
      <c r="C8960" s="391" t="s">
        <v>26</v>
      </c>
      <c r="D8960" s="479">
        <v>777.05</v>
      </c>
      <c r="E8960" s="368"/>
      <c r="F8960" s="368"/>
    </row>
    <row r="8961" spans="1:6" ht="38.25" x14ac:dyDescent="0.2">
      <c r="A8961" s="391">
        <v>95636</v>
      </c>
      <c r="B8961" s="478" t="s">
        <v>4122</v>
      </c>
      <c r="C8961" s="391" t="s">
        <v>26</v>
      </c>
      <c r="D8961" s="479">
        <v>390.66</v>
      </c>
      <c r="E8961" s="368"/>
      <c r="F8961" s="368"/>
    </row>
    <row r="8962" spans="1:6" ht="38.25" x14ac:dyDescent="0.2">
      <c r="A8962" s="391">
        <v>95637</v>
      </c>
      <c r="B8962" s="478" t="s">
        <v>4123</v>
      </c>
      <c r="C8962" s="391" t="s">
        <v>26</v>
      </c>
      <c r="D8962" s="479">
        <v>519.89</v>
      </c>
      <c r="E8962" s="368"/>
      <c r="F8962" s="368"/>
    </row>
    <row r="8963" spans="1:6" ht="38.25" x14ac:dyDescent="0.2">
      <c r="A8963" s="391">
        <v>95638</v>
      </c>
      <c r="B8963" s="478" t="s">
        <v>4124</v>
      </c>
      <c r="C8963" s="391" t="s">
        <v>26</v>
      </c>
      <c r="D8963" s="479">
        <v>643.12</v>
      </c>
      <c r="E8963" s="368"/>
      <c r="F8963" s="368"/>
    </row>
    <row r="8964" spans="1:6" ht="38.25" x14ac:dyDescent="0.2">
      <c r="A8964" s="391">
        <v>95639</v>
      </c>
      <c r="B8964" s="478" t="s">
        <v>4125</v>
      </c>
      <c r="C8964" s="391" t="s">
        <v>26</v>
      </c>
      <c r="D8964" s="479">
        <v>886.14</v>
      </c>
      <c r="E8964" s="368"/>
      <c r="F8964" s="368"/>
    </row>
    <row r="8965" spans="1:6" ht="25.5" x14ac:dyDescent="0.2">
      <c r="A8965" s="391">
        <v>95634</v>
      </c>
      <c r="B8965" s="478" t="s">
        <v>39519</v>
      </c>
      <c r="C8965" s="391" t="s">
        <v>26</v>
      </c>
      <c r="D8965" s="479">
        <v>201.36</v>
      </c>
      <c r="E8965" s="368"/>
      <c r="F8965" s="368"/>
    </row>
    <row r="8966" spans="1:6" ht="25.5" x14ac:dyDescent="0.2">
      <c r="A8966" s="391">
        <v>95635</v>
      </c>
      <c r="B8966" s="478" t="s">
        <v>39520</v>
      </c>
      <c r="C8966" s="391" t="s">
        <v>26</v>
      </c>
      <c r="D8966" s="479">
        <v>211.63</v>
      </c>
      <c r="E8966" s="368"/>
      <c r="F8966" s="368"/>
    </row>
    <row r="8967" spans="1:6" ht="25.5" x14ac:dyDescent="0.2">
      <c r="A8967" s="391">
        <v>98751</v>
      </c>
      <c r="B8967" s="478" t="s">
        <v>2200</v>
      </c>
      <c r="C8967" s="391" t="s">
        <v>0</v>
      </c>
      <c r="D8967" s="479">
        <v>164.55</v>
      </c>
      <c r="E8967" s="368"/>
      <c r="F8967" s="368"/>
    </row>
    <row r="8968" spans="1:6" ht="25.5" x14ac:dyDescent="0.2">
      <c r="A8968" s="391">
        <v>98746</v>
      </c>
      <c r="B8968" s="478" t="s">
        <v>2197</v>
      </c>
      <c r="C8968" s="391" t="s">
        <v>0</v>
      </c>
      <c r="D8968" s="479">
        <v>73.14</v>
      </c>
      <c r="E8968" s="368"/>
      <c r="F8968" s="368"/>
    </row>
    <row r="8969" spans="1:6" ht="25.5" x14ac:dyDescent="0.2">
      <c r="A8969" s="391">
        <v>98753</v>
      </c>
      <c r="B8969" s="478" t="s">
        <v>2202</v>
      </c>
      <c r="C8969" s="391" t="s">
        <v>0</v>
      </c>
      <c r="D8969" s="479">
        <v>311.35000000000002</v>
      </c>
      <c r="E8969" s="368"/>
      <c r="F8969" s="368"/>
    </row>
    <row r="8970" spans="1:6" ht="25.5" x14ac:dyDescent="0.2">
      <c r="A8970" s="391">
        <v>98750</v>
      </c>
      <c r="B8970" s="478" t="s">
        <v>2199</v>
      </c>
      <c r="C8970" s="391" t="s">
        <v>0</v>
      </c>
      <c r="D8970" s="479">
        <v>110.61</v>
      </c>
      <c r="E8970" s="368"/>
      <c r="F8970" s="368"/>
    </row>
    <row r="8971" spans="1:6" ht="25.5" x14ac:dyDescent="0.2">
      <c r="A8971" s="391">
        <v>98749</v>
      </c>
      <c r="B8971" s="478" t="s">
        <v>2198</v>
      </c>
      <c r="C8971" s="391" t="s">
        <v>0</v>
      </c>
      <c r="D8971" s="479">
        <v>89.99</v>
      </c>
      <c r="E8971" s="368"/>
      <c r="F8971" s="368"/>
    </row>
    <row r="8972" spans="1:6" ht="25.5" x14ac:dyDescent="0.2">
      <c r="A8972" s="391">
        <v>98752</v>
      </c>
      <c r="B8972" s="478" t="s">
        <v>2201</v>
      </c>
      <c r="C8972" s="391" t="s">
        <v>0</v>
      </c>
      <c r="D8972" s="479">
        <v>229.85</v>
      </c>
      <c r="E8972" s="368"/>
      <c r="F8972" s="368"/>
    </row>
    <row r="8973" spans="1:6" ht="25.5" x14ac:dyDescent="0.2">
      <c r="A8973" s="391">
        <v>98529</v>
      </c>
      <c r="B8973" s="478" t="s">
        <v>5586</v>
      </c>
      <c r="C8973" s="391" t="s">
        <v>26</v>
      </c>
      <c r="D8973" s="479">
        <v>72.61</v>
      </c>
      <c r="E8973" s="368"/>
      <c r="F8973" s="368"/>
    </row>
    <row r="8974" spans="1:6" ht="25.5" x14ac:dyDescent="0.2">
      <c r="A8974" s="391">
        <v>98530</v>
      </c>
      <c r="B8974" s="478" t="s">
        <v>5587</v>
      </c>
      <c r="C8974" s="391" t="s">
        <v>26</v>
      </c>
      <c r="D8974" s="479">
        <v>142.53</v>
      </c>
      <c r="E8974" s="368"/>
      <c r="F8974" s="368"/>
    </row>
    <row r="8975" spans="1:6" ht="25.5" x14ac:dyDescent="0.2">
      <c r="A8975" s="391">
        <v>98531</v>
      </c>
      <c r="B8975" s="478" t="s">
        <v>5588</v>
      </c>
      <c r="C8975" s="391" t="s">
        <v>26</v>
      </c>
      <c r="D8975" s="479">
        <v>392.02</v>
      </c>
      <c r="E8975" s="368"/>
      <c r="F8975" s="368"/>
    </row>
    <row r="8976" spans="1:6" x14ac:dyDescent="0.2">
      <c r="A8976" s="391">
        <v>98524</v>
      </c>
      <c r="B8976" s="478" t="s">
        <v>5558</v>
      </c>
      <c r="C8976" s="391" t="s">
        <v>255</v>
      </c>
      <c r="D8976" s="479">
        <v>4.63</v>
      </c>
      <c r="E8976" s="368"/>
      <c r="F8976" s="368"/>
    </row>
    <row r="8977" spans="1:6" ht="38.25" x14ac:dyDescent="0.2">
      <c r="A8977" s="391">
        <v>98525</v>
      </c>
      <c r="B8977" s="478" t="s">
        <v>5582</v>
      </c>
      <c r="C8977" s="391" t="s">
        <v>255</v>
      </c>
      <c r="D8977" s="479">
        <v>0.66</v>
      </c>
      <c r="E8977" s="368"/>
      <c r="F8977" s="368"/>
    </row>
    <row r="8978" spans="1:6" ht="25.5" x14ac:dyDescent="0.2">
      <c r="A8978" s="391">
        <v>98533</v>
      </c>
      <c r="B8978" s="478" t="s">
        <v>5590</v>
      </c>
      <c r="C8978" s="391" t="s">
        <v>26</v>
      </c>
      <c r="D8978" s="479">
        <v>116.35</v>
      </c>
      <c r="E8978" s="368"/>
      <c r="F8978" s="368"/>
    </row>
    <row r="8979" spans="1:6" ht="25.5" x14ac:dyDescent="0.2">
      <c r="A8979" s="391">
        <v>98534</v>
      </c>
      <c r="B8979" s="478" t="s">
        <v>5591</v>
      </c>
      <c r="C8979" s="391" t="s">
        <v>26</v>
      </c>
      <c r="D8979" s="479">
        <v>322.06</v>
      </c>
      <c r="E8979" s="368"/>
      <c r="F8979" s="368"/>
    </row>
    <row r="8980" spans="1:6" ht="25.5" x14ac:dyDescent="0.2">
      <c r="A8980" s="391">
        <v>98535</v>
      </c>
      <c r="B8980" s="478" t="s">
        <v>5592</v>
      </c>
      <c r="C8980" s="391" t="s">
        <v>26</v>
      </c>
      <c r="D8980" s="479">
        <v>672.76</v>
      </c>
      <c r="E8980" s="368"/>
      <c r="F8980" s="368"/>
    </row>
    <row r="8981" spans="1:6" ht="25.5" x14ac:dyDescent="0.2">
      <c r="A8981" s="391">
        <v>98532</v>
      </c>
      <c r="B8981" s="478" t="s">
        <v>5589</v>
      </c>
      <c r="C8981" s="391" t="s">
        <v>26</v>
      </c>
      <c r="D8981" s="479">
        <v>31.05</v>
      </c>
      <c r="E8981" s="368"/>
      <c r="F8981" s="368"/>
    </row>
    <row r="8982" spans="1:6" ht="25.5" x14ac:dyDescent="0.2">
      <c r="A8982" s="391">
        <v>98526</v>
      </c>
      <c r="B8982" s="478" t="s">
        <v>5583</v>
      </c>
      <c r="C8982" s="391" t="s">
        <v>26</v>
      </c>
      <c r="D8982" s="479">
        <v>127.81</v>
      </c>
      <c r="E8982" s="368"/>
      <c r="F8982" s="368"/>
    </row>
    <row r="8983" spans="1:6" ht="25.5" x14ac:dyDescent="0.2">
      <c r="A8983" s="391">
        <v>98527</v>
      </c>
      <c r="B8983" s="478" t="s">
        <v>5584</v>
      </c>
      <c r="C8983" s="391" t="s">
        <v>26</v>
      </c>
      <c r="D8983" s="479">
        <v>212.13</v>
      </c>
      <c r="E8983" s="368"/>
      <c r="F8983" s="368"/>
    </row>
    <row r="8984" spans="1:6" ht="25.5" x14ac:dyDescent="0.2">
      <c r="A8984" s="391">
        <v>98528</v>
      </c>
      <c r="B8984" s="478" t="s">
        <v>5585</v>
      </c>
      <c r="C8984" s="391" t="s">
        <v>26</v>
      </c>
      <c r="D8984" s="479">
        <v>279.58</v>
      </c>
      <c r="E8984" s="368"/>
      <c r="F8984" s="368"/>
    </row>
    <row r="8985" spans="1:6" x14ac:dyDescent="0.2">
      <c r="A8985" s="391">
        <v>94232</v>
      </c>
      <c r="B8985" s="478" t="s">
        <v>1216</v>
      </c>
      <c r="C8985" s="391" t="s">
        <v>26</v>
      </c>
      <c r="D8985" s="479">
        <v>2.8</v>
      </c>
      <c r="E8985" s="368"/>
      <c r="F8985" s="368"/>
    </row>
    <row r="8986" spans="1:6" ht="38.25" x14ac:dyDescent="0.2">
      <c r="A8986" s="391">
        <v>100434</v>
      </c>
      <c r="B8986" s="478" t="s">
        <v>1238</v>
      </c>
      <c r="C8986" s="391" t="s">
        <v>0</v>
      </c>
      <c r="D8986" s="479">
        <v>172.07</v>
      </c>
      <c r="E8986" s="368"/>
      <c r="F8986" s="368"/>
    </row>
    <row r="8987" spans="1:6" ht="25.5" x14ac:dyDescent="0.2">
      <c r="A8987" s="391">
        <v>94229</v>
      </c>
      <c r="B8987" s="478" t="s">
        <v>1242</v>
      </c>
      <c r="C8987" s="391" t="s">
        <v>0</v>
      </c>
      <c r="D8987" s="479">
        <v>168.41</v>
      </c>
      <c r="E8987" s="368"/>
      <c r="F8987" s="368"/>
    </row>
    <row r="8988" spans="1:6" ht="25.5" x14ac:dyDescent="0.2">
      <c r="A8988" s="391">
        <v>94227</v>
      </c>
      <c r="B8988" s="478" t="s">
        <v>1240</v>
      </c>
      <c r="C8988" s="391" t="s">
        <v>0</v>
      </c>
      <c r="D8988" s="479">
        <v>63.49</v>
      </c>
      <c r="E8988" s="368"/>
      <c r="F8988" s="368"/>
    </row>
    <row r="8989" spans="1:6" ht="25.5" x14ac:dyDescent="0.2">
      <c r="A8989" s="391">
        <v>94228</v>
      </c>
      <c r="B8989" s="478" t="s">
        <v>1241</v>
      </c>
      <c r="C8989" s="391" t="s">
        <v>0</v>
      </c>
      <c r="D8989" s="479">
        <v>86.99</v>
      </c>
      <c r="E8989" s="368"/>
      <c r="F8989" s="368"/>
    </row>
    <row r="8990" spans="1:6" ht="38.25" x14ac:dyDescent="0.2">
      <c r="A8990" s="391">
        <v>94219</v>
      </c>
      <c r="B8990" s="478" t="s">
        <v>1230</v>
      </c>
      <c r="C8990" s="391" t="s">
        <v>0</v>
      </c>
      <c r="D8990" s="479">
        <v>32.64</v>
      </c>
      <c r="E8990" s="368"/>
      <c r="F8990" s="368"/>
    </row>
    <row r="8991" spans="1:6" ht="38.25" x14ac:dyDescent="0.2">
      <c r="A8991" s="391">
        <v>94220</v>
      </c>
      <c r="B8991" s="478" t="s">
        <v>1231</v>
      </c>
      <c r="C8991" s="391" t="s">
        <v>0</v>
      </c>
      <c r="D8991" s="479">
        <v>59.97</v>
      </c>
      <c r="E8991" s="368"/>
      <c r="F8991" s="368"/>
    </row>
    <row r="8992" spans="1:6" ht="25.5" x14ac:dyDescent="0.2">
      <c r="A8992" s="391">
        <v>100326</v>
      </c>
      <c r="B8992" s="478" t="s">
        <v>42062</v>
      </c>
      <c r="C8992" s="391" t="s">
        <v>0</v>
      </c>
      <c r="D8992" s="479">
        <v>0</v>
      </c>
      <c r="E8992" s="368"/>
      <c r="F8992" s="368"/>
    </row>
    <row r="8993" spans="1:6" ht="38.25" x14ac:dyDescent="0.2">
      <c r="A8993" s="391">
        <v>94221</v>
      </c>
      <c r="B8993" s="478" t="s">
        <v>1232</v>
      </c>
      <c r="C8993" s="391" t="s">
        <v>0</v>
      </c>
      <c r="D8993" s="479">
        <v>25.86</v>
      </c>
      <c r="E8993" s="368"/>
      <c r="F8993" s="368"/>
    </row>
    <row r="8994" spans="1:6" ht="38.25" x14ac:dyDescent="0.2">
      <c r="A8994" s="391">
        <v>94222</v>
      </c>
      <c r="B8994" s="478" t="s">
        <v>1233</v>
      </c>
      <c r="C8994" s="391" t="s">
        <v>0</v>
      </c>
      <c r="D8994" s="479">
        <v>53.19</v>
      </c>
      <c r="E8994" s="368"/>
      <c r="F8994" s="368"/>
    </row>
    <row r="8995" spans="1:6" ht="25.5" x14ac:dyDescent="0.2">
      <c r="A8995" s="391">
        <v>94451</v>
      </c>
      <c r="B8995" s="478" t="s">
        <v>1235</v>
      </c>
      <c r="C8995" s="391" t="s">
        <v>0</v>
      </c>
      <c r="D8995" s="479">
        <v>114.33</v>
      </c>
      <c r="E8995" s="368"/>
      <c r="F8995" s="368"/>
    </row>
    <row r="8996" spans="1:6" ht="25.5" x14ac:dyDescent="0.2">
      <c r="A8996" s="391">
        <v>94223</v>
      </c>
      <c r="B8996" s="478" t="s">
        <v>1234</v>
      </c>
      <c r="C8996" s="391" t="s">
        <v>0</v>
      </c>
      <c r="D8996" s="479">
        <v>101.09</v>
      </c>
      <c r="E8996" s="368"/>
      <c r="F8996" s="368"/>
    </row>
    <row r="8997" spans="1:6" ht="25.5" x14ac:dyDescent="0.2">
      <c r="A8997" s="391">
        <v>100325</v>
      </c>
      <c r="B8997" s="478" t="s">
        <v>1236</v>
      </c>
      <c r="C8997" s="391" t="s">
        <v>0</v>
      </c>
      <c r="D8997" s="479">
        <v>111.06</v>
      </c>
      <c r="E8997" s="368"/>
      <c r="F8997" s="368"/>
    </row>
    <row r="8998" spans="1:6" ht="25.5" x14ac:dyDescent="0.2">
      <c r="A8998" s="391">
        <v>94224</v>
      </c>
      <c r="B8998" s="478" t="s">
        <v>1214</v>
      </c>
      <c r="C8998" s="391" t="s">
        <v>0</v>
      </c>
      <c r="D8998" s="479">
        <v>26.43</v>
      </c>
      <c r="E8998" s="368"/>
      <c r="F8998" s="368"/>
    </row>
    <row r="8999" spans="1:6" ht="25.5" x14ac:dyDescent="0.2">
      <c r="A8999" s="391">
        <v>102653</v>
      </c>
      <c r="B8999" s="478" t="s">
        <v>42063</v>
      </c>
      <c r="C8999" s="391" t="s">
        <v>255</v>
      </c>
      <c r="D8999" s="479">
        <v>0</v>
      </c>
      <c r="E8999" s="368"/>
      <c r="F8999" s="368"/>
    </row>
    <row r="9000" spans="1:6" ht="25.5" x14ac:dyDescent="0.2">
      <c r="A9000" s="391">
        <v>100330</v>
      </c>
      <c r="B9000" s="478" t="s">
        <v>48143</v>
      </c>
      <c r="C9000" s="391" t="s">
        <v>255</v>
      </c>
      <c r="D9000" s="479">
        <v>18.329999999999998</v>
      </c>
      <c r="E9000" s="368"/>
      <c r="F9000" s="368"/>
    </row>
    <row r="9001" spans="1:6" ht="25.5" x14ac:dyDescent="0.2">
      <c r="A9001" s="391">
        <v>100331</v>
      </c>
      <c r="B9001" s="478" t="s">
        <v>48144</v>
      </c>
      <c r="C9001" s="391" t="s">
        <v>255</v>
      </c>
      <c r="D9001" s="479">
        <v>24.2</v>
      </c>
      <c r="E9001" s="368"/>
      <c r="F9001" s="368"/>
    </row>
    <row r="9002" spans="1:6" ht="25.5" x14ac:dyDescent="0.2">
      <c r="A9002" s="391">
        <v>100328</v>
      </c>
      <c r="B9002" s="478" t="s">
        <v>48145</v>
      </c>
      <c r="C9002" s="391" t="s">
        <v>255</v>
      </c>
      <c r="D9002" s="479">
        <v>13.53</v>
      </c>
      <c r="E9002" s="368"/>
      <c r="F9002" s="368"/>
    </row>
    <row r="9003" spans="1:6" ht="25.5" x14ac:dyDescent="0.2">
      <c r="A9003" s="391">
        <v>100329</v>
      </c>
      <c r="B9003" s="478" t="s">
        <v>48146</v>
      </c>
      <c r="C9003" s="391" t="s">
        <v>255</v>
      </c>
      <c r="D9003" s="479">
        <v>16.97</v>
      </c>
      <c r="E9003" s="368"/>
      <c r="F9003" s="368"/>
    </row>
    <row r="9004" spans="1:6" ht="25.5" x14ac:dyDescent="0.2">
      <c r="A9004" s="391">
        <v>94231</v>
      </c>
      <c r="B9004" s="478" t="s">
        <v>1243</v>
      </c>
      <c r="C9004" s="391" t="s">
        <v>0</v>
      </c>
      <c r="D9004" s="479">
        <v>52.54</v>
      </c>
      <c r="E9004" s="368"/>
      <c r="F9004" s="368"/>
    </row>
    <row r="9005" spans="1:6" ht="25.5" x14ac:dyDescent="0.2">
      <c r="A9005" s="391">
        <v>100435</v>
      </c>
      <c r="B9005" s="478" t="s">
        <v>1239</v>
      </c>
      <c r="C9005" s="391" t="s">
        <v>0</v>
      </c>
      <c r="D9005" s="479">
        <v>84.96</v>
      </c>
      <c r="E9005" s="368"/>
      <c r="F9005" s="368"/>
    </row>
    <row r="9006" spans="1:6" ht="25.5" x14ac:dyDescent="0.2">
      <c r="A9006" s="391">
        <v>100327</v>
      </c>
      <c r="B9006" s="478" t="s">
        <v>1237</v>
      </c>
      <c r="C9006" s="391" t="s">
        <v>0</v>
      </c>
      <c r="D9006" s="479">
        <v>59.83</v>
      </c>
      <c r="E9006" s="368"/>
      <c r="F9006" s="368"/>
    </row>
    <row r="9007" spans="1:6" ht="25.5" x14ac:dyDescent="0.2">
      <c r="A9007" s="391">
        <v>94226</v>
      </c>
      <c r="B9007" s="478" t="s">
        <v>1215</v>
      </c>
      <c r="C9007" s="391" t="s">
        <v>255</v>
      </c>
      <c r="D9007" s="479">
        <v>20.78</v>
      </c>
      <c r="E9007" s="368"/>
      <c r="F9007" s="368"/>
    </row>
    <row r="9008" spans="1:6" ht="25.5" x14ac:dyDescent="0.2">
      <c r="A9008" s="391">
        <v>94201</v>
      </c>
      <c r="B9008" s="478" t="s">
        <v>1212</v>
      </c>
      <c r="C9008" s="391" t="s">
        <v>255</v>
      </c>
      <c r="D9008" s="479">
        <v>48.83</v>
      </c>
      <c r="E9008" s="368"/>
      <c r="F9008" s="368"/>
    </row>
    <row r="9009" spans="1:6" ht="25.5" x14ac:dyDescent="0.2">
      <c r="A9009" s="391">
        <v>94204</v>
      </c>
      <c r="B9009" s="478" t="s">
        <v>1213</v>
      </c>
      <c r="C9009" s="391" t="s">
        <v>255</v>
      </c>
      <c r="D9009" s="479">
        <v>54.68</v>
      </c>
      <c r="E9009" s="368"/>
      <c r="F9009" s="368"/>
    </row>
    <row r="9010" spans="1:6" ht="25.5" x14ac:dyDescent="0.2">
      <c r="A9010" s="391">
        <v>94447</v>
      </c>
      <c r="B9010" s="478" t="s">
        <v>1223</v>
      </c>
      <c r="C9010" s="391" t="s">
        <v>255</v>
      </c>
      <c r="D9010" s="479">
        <v>48.83</v>
      </c>
      <c r="E9010" s="368"/>
      <c r="F9010" s="368"/>
    </row>
    <row r="9011" spans="1:6" ht="25.5" x14ac:dyDescent="0.2">
      <c r="A9011" s="391">
        <v>94448</v>
      </c>
      <c r="B9011" s="478" t="s">
        <v>1224</v>
      </c>
      <c r="C9011" s="391" t="s">
        <v>255</v>
      </c>
      <c r="D9011" s="479">
        <v>54.68</v>
      </c>
      <c r="E9011" s="368"/>
      <c r="F9011" s="368"/>
    </row>
    <row r="9012" spans="1:6" ht="25.5" x14ac:dyDescent="0.2">
      <c r="A9012" s="391">
        <v>94445</v>
      </c>
      <c r="B9012" s="478" t="s">
        <v>1221</v>
      </c>
      <c r="C9012" s="391" t="s">
        <v>255</v>
      </c>
      <c r="D9012" s="479">
        <v>48.83</v>
      </c>
      <c r="E9012" s="368"/>
      <c r="F9012" s="368"/>
    </row>
    <row r="9013" spans="1:6" ht="25.5" x14ac:dyDescent="0.2">
      <c r="A9013" s="391">
        <v>94446</v>
      </c>
      <c r="B9013" s="478" t="s">
        <v>1222</v>
      </c>
      <c r="C9013" s="391" t="s">
        <v>255</v>
      </c>
      <c r="D9013" s="479">
        <v>54.68</v>
      </c>
      <c r="E9013" s="368"/>
      <c r="F9013" s="368"/>
    </row>
    <row r="9014" spans="1:6" ht="25.5" x14ac:dyDescent="0.2">
      <c r="A9014" s="391">
        <v>94440</v>
      </c>
      <c r="B9014" s="478" t="s">
        <v>1217</v>
      </c>
      <c r="C9014" s="391" t="s">
        <v>255</v>
      </c>
      <c r="D9014" s="479">
        <v>34.15</v>
      </c>
      <c r="E9014" s="368"/>
      <c r="F9014" s="368"/>
    </row>
    <row r="9015" spans="1:6" ht="25.5" x14ac:dyDescent="0.2">
      <c r="A9015" s="391">
        <v>94441</v>
      </c>
      <c r="B9015" s="478" t="s">
        <v>1218</v>
      </c>
      <c r="C9015" s="391" t="s">
        <v>255</v>
      </c>
      <c r="D9015" s="479">
        <v>37.58</v>
      </c>
      <c r="E9015" s="368"/>
      <c r="F9015" s="368"/>
    </row>
    <row r="9016" spans="1:6" ht="25.5" x14ac:dyDescent="0.2">
      <c r="A9016" s="391">
        <v>94195</v>
      </c>
      <c r="B9016" s="478" t="s">
        <v>1210</v>
      </c>
      <c r="C9016" s="391" t="s">
        <v>255</v>
      </c>
      <c r="D9016" s="479">
        <v>34.15</v>
      </c>
      <c r="E9016" s="368"/>
      <c r="F9016" s="368"/>
    </row>
    <row r="9017" spans="1:6" ht="25.5" x14ac:dyDescent="0.2">
      <c r="A9017" s="391">
        <v>94198</v>
      </c>
      <c r="B9017" s="478" t="s">
        <v>1211</v>
      </c>
      <c r="C9017" s="391" t="s">
        <v>255</v>
      </c>
      <c r="D9017" s="479">
        <v>37.58</v>
      </c>
      <c r="E9017" s="368"/>
      <c r="F9017" s="368"/>
    </row>
    <row r="9018" spans="1:6" ht="25.5" x14ac:dyDescent="0.2">
      <c r="A9018" s="391">
        <v>94442</v>
      </c>
      <c r="B9018" s="478" t="s">
        <v>1219</v>
      </c>
      <c r="C9018" s="391" t="s">
        <v>255</v>
      </c>
      <c r="D9018" s="479">
        <v>34.15</v>
      </c>
      <c r="E9018" s="368"/>
      <c r="F9018" s="368"/>
    </row>
    <row r="9019" spans="1:6" ht="25.5" x14ac:dyDescent="0.2">
      <c r="A9019" s="391">
        <v>94443</v>
      </c>
      <c r="B9019" s="478" t="s">
        <v>1220</v>
      </c>
      <c r="C9019" s="391" t="s">
        <v>255</v>
      </c>
      <c r="D9019" s="479">
        <v>37.58</v>
      </c>
      <c r="E9019" s="368"/>
      <c r="F9019" s="368"/>
    </row>
    <row r="9020" spans="1:6" ht="25.5" x14ac:dyDescent="0.2">
      <c r="A9020" s="391">
        <v>94213</v>
      </c>
      <c r="B9020" s="478" t="s">
        <v>1228</v>
      </c>
      <c r="C9020" s="391" t="s">
        <v>255</v>
      </c>
      <c r="D9020" s="479">
        <v>68.41</v>
      </c>
      <c r="E9020" s="368"/>
      <c r="F9020" s="368"/>
    </row>
    <row r="9021" spans="1:6" ht="25.5" x14ac:dyDescent="0.2">
      <c r="A9021" s="391">
        <v>94189</v>
      </c>
      <c r="B9021" s="478" t="s">
        <v>1208</v>
      </c>
      <c r="C9021" s="391" t="s">
        <v>255</v>
      </c>
      <c r="D9021" s="479">
        <v>44.64</v>
      </c>
      <c r="E9021" s="368"/>
      <c r="F9021" s="368"/>
    </row>
    <row r="9022" spans="1:6" ht="25.5" x14ac:dyDescent="0.2">
      <c r="A9022" s="391">
        <v>94192</v>
      </c>
      <c r="B9022" s="478" t="s">
        <v>1209</v>
      </c>
      <c r="C9022" s="391" t="s">
        <v>255</v>
      </c>
      <c r="D9022" s="479">
        <v>47.24</v>
      </c>
      <c r="E9022" s="368"/>
      <c r="F9022" s="368"/>
    </row>
    <row r="9023" spans="1:6" ht="25.5" x14ac:dyDescent="0.2">
      <c r="A9023" s="391">
        <v>94444</v>
      </c>
      <c r="B9023" s="478" t="s">
        <v>1288</v>
      </c>
      <c r="C9023" s="391" t="s">
        <v>255</v>
      </c>
      <c r="D9023" s="479">
        <v>611.16999999999996</v>
      </c>
      <c r="E9023" s="368"/>
      <c r="F9023" s="368"/>
    </row>
    <row r="9024" spans="1:6" ht="25.5" x14ac:dyDescent="0.2">
      <c r="A9024" s="391">
        <v>94218</v>
      </c>
      <c r="B9024" s="478" t="s">
        <v>1227</v>
      </c>
      <c r="C9024" s="391" t="s">
        <v>255</v>
      </c>
      <c r="D9024" s="479">
        <v>166.89</v>
      </c>
      <c r="E9024" s="368"/>
      <c r="F9024" s="368"/>
    </row>
    <row r="9025" spans="1:6" ht="25.5" x14ac:dyDescent="0.2">
      <c r="A9025" s="391">
        <v>94216</v>
      </c>
      <c r="B9025" s="478" t="s">
        <v>1229</v>
      </c>
      <c r="C9025" s="391" t="s">
        <v>255</v>
      </c>
      <c r="D9025" s="479">
        <v>199.65</v>
      </c>
      <c r="E9025" s="368"/>
      <c r="F9025" s="368"/>
    </row>
    <row r="9026" spans="1:6" ht="38.25" x14ac:dyDescent="0.2">
      <c r="A9026" s="391">
        <v>94449</v>
      </c>
      <c r="B9026" s="478" t="s">
        <v>1244</v>
      </c>
      <c r="C9026" s="391" t="s">
        <v>255</v>
      </c>
      <c r="D9026" s="479">
        <v>62.63</v>
      </c>
      <c r="E9026" s="368"/>
      <c r="F9026" s="368"/>
    </row>
    <row r="9027" spans="1:6" ht="38.25" x14ac:dyDescent="0.2">
      <c r="A9027" s="391">
        <v>94210</v>
      </c>
      <c r="B9027" s="478" t="s">
        <v>1226</v>
      </c>
      <c r="C9027" s="391" t="s">
        <v>255</v>
      </c>
      <c r="D9027" s="479">
        <v>64.22</v>
      </c>
      <c r="E9027" s="368"/>
      <c r="F9027" s="368"/>
    </row>
    <row r="9028" spans="1:6" ht="38.25" x14ac:dyDescent="0.2">
      <c r="A9028" s="391">
        <v>94207</v>
      </c>
      <c r="B9028" s="478" t="s">
        <v>1225</v>
      </c>
      <c r="C9028" s="391" t="s">
        <v>255</v>
      </c>
      <c r="D9028" s="479">
        <v>60.33</v>
      </c>
      <c r="E9028" s="368"/>
      <c r="F9028" s="368"/>
    </row>
    <row r="9029" spans="1:6" ht="25.5" x14ac:dyDescent="0.2">
      <c r="A9029" s="391">
        <v>102109</v>
      </c>
      <c r="B9029" s="478" t="s">
        <v>2646</v>
      </c>
      <c r="C9029" s="391" t="s">
        <v>26</v>
      </c>
      <c r="D9029" s="479">
        <v>54.81</v>
      </c>
      <c r="E9029" s="368"/>
      <c r="F9029" s="368"/>
    </row>
    <row r="9030" spans="1:6" ht="25.5" x14ac:dyDescent="0.2">
      <c r="A9030" s="391">
        <v>102110</v>
      </c>
      <c r="B9030" s="478" t="s">
        <v>2647</v>
      </c>
      <c r="C9030" s="391" t="s">
        <v>26</v>
      </c>
      <c r="D9030" s="479">
        <v>163.71</v>
      </c>
      <c r="E9030" s="368"/>
      <c r="F9030" s="368"/>
    </row>
    <row r="9031" spans="1:6" ht="38.25" x14ac:dyDescent="0.2">
      <c r="A9031" s="391">
        <v>103656</v>
      </c>
      <c r="B9031" s="478" t="s">
        <v>2650</v>
      </c>
      <c r="C9031" s="391" t="s">
        <v>26</v>
      </c>
      <c r="D9031" s="479">
        <v>122283.39</v>
      </c>
      <c r="E9031" s="368"/>
      <c r="F9031" s="368"/>
    </row>
    <row r="9032" spans="1:6" ht="38.25" x14ac:dyDescent="0.2">
      <c r="A9032" s="391">
        <v>102105</v>
      </c>
      <c r="B9032" s="478" t="s">
        <v>2642</v>
      </c>
      <c r="C9032" s="391" t="s">
        <v>26</v>
      </c>
      <c r="D9032" s="479">
        <v>19325.79</v>
      </c>
      <c r="E9032" s="368"/>
      <c r="F9032" s="368"/>
    </row>
    <row r="9033" spans="1:6" ht="38.25" x14ac:dyDescent="0.2">
      <c r="A9033" s="391">
        <v>102106</v>
      </c>
      <c r="B9033" s="478" t="s">
        <v>2643</v>
      </c>
      <c r="C9033" s="391" t="s">
        <v>26</v>
      </c>
      <c r="D9033" s="479">
        <v>24245.7</v>
      </c>
      <c r="E9033" s="368"/>
      <c r="F9033" s="368"/>
    </row>
    <row r="9034" spans="1:6" ht="38.25" x14ac:dyDescent="0.2">
      <c r="A9034" s="391">
        <v>102107</v>
      </c>
      <c r="B9034" s="478" t="s">
        <v>2644</v>
      </c>
      <c r="C9034" s="391" t="s">
        <v>26</v>
      </c>
      <c r="D9034" s="479">
        <v>33838.42</v>
      </c>
      <c r="E9034" s="368"/>
      <c r="F9034" s="368"/>
    </row>
    <row r="9035" spans="1:6" ht="38.25" x14ac:dyDescent="0.2">
      <c r="A9035" s="391">
        <v>102102</v>
      </c>
      <c r="B9035" s="478" t="s">
        <v>2639</v>
      </c>
      <c r="C9035" s="391" t="s">
        <v>26</v>
      </c>
      <c r="D9035" s="479">
        <v>11007.78</v>
      </c>
      <c r="E9035" s="368"/>
      <c r="F9035" s="368"/>
    </row>
    <row r="9036" spans="1:6" ht="38.25" x14ac:dyDescent="0.2">
      <c r="A9036" s="391">
        <v>102108</v>
      </c>
      <c r="B9036" s="478" t="s">
        <v>2645</v>
      </c>
      <c r="C9036" s="391" t="s">
        <v>26</v>
      </c>
      <c r="D9036" s="479">
        <v>39407.61</v>
      </c>
      <c r="E9036" s="368"/>
      <c r="F9036" s="368"/>
    </row>
    <row r="9037" spans="1:6" ht="38.25" x14ac:dyDescent="0.2">
      <c r="A9037" s="391">
        <v>102103</v>
      </c>
      <c r="B9037" s="478" t="s">
        <v>2640</v>
      </c>
      <c r="C9037" s="391" t="s">
        <v>26</v>
      </c>
      <c r="D9037" s="479">
        <v>12252</v>
      </c>
      <c r="E9037" s="368"/>
      <c r="F9037" s="368"/>
    </row>
    <row r="9038" spans="1:6" ht="38.25" x14ac:dyDescent="0.2">
      <c r="A9038" s="391">
        <v>103654</v>
      </c>
      <c r="B9038" s="478" t="s">
        <v>2648</v>
      </c>
      <c r="C9038" s="391" t="s">
        <v>26</v>
      </c>
      <c r="D9038" s="479">
        <v>63844.21</v>
      </c>
      <c r="E9038" s="368"/>
      <c r="F9038" s="368"/>
    </row>
    <row r="9039" spans="1:6" ht="38.25" x14ac:dyDescent="0.2">
      <c r="A9039" s="391">
        <v>102104</v>
      </c>
      <c r="B9039" s="478" t="s">
        <v>2641</v>
      </c>
      <c r="C9039" s="391" t="s">
        <v>26</v>
      </c>
      <c r="D9039" s="479">
        <v>15721.19</v>
      </c>
      <c r="E9039" s="368"/>
      <c r="F9039" s="368"/>
    </row>
    <row r="9040" spans="1:6" ht="38.25" x14ac:dyDescent="0.2">
      <c r="A9040" s="391">
        <v>103655</v>
      </c>
      <c r="B9040" s="478" t="s">
        <v>2649</v>
      </c>
      <c r="C9040" s="391" t="s">
        <v>26</v>
      </c>
      <c r="D9040" s="479">
        <v>87459.82</v>
      </c>
      <c r="E9040" s="368"/>
      <c r="F9040" s="368"/>
    </row>
    <row r="9041" spans="1:6" ht="38.25" x14ac:dyDescent="0.2">
      <c r="A9041" s="391">
        <v>105473</v>
      </c>
      <c r="B9041" s="478" t="s">
        <v>42064</v>
      </c>
      <c r="C9041" s="391" t="s">
        <v>5477</v>
      </c>
      <c r="D9041" s="479">
        <v>0</v>
      </c>
      <c r="E9041" s="368"/>
      <c r="F9041" s="368"/>
    </row>
    <row r="9042" spans="1:6" ht="38.25" x14ac:dyDescent="0.2">
      <c r="A9042" s="391">
        <v>105414</v>
      </c>
      <c r="B9042" s="478" t="s">
        <v>42065</v>
      </c>
      <c r="C9042" s="391" t="s">
        <v>5477</v>
      </c>
      <c r="D9042" s="479">
        <v>0</v>
      </c>
      <c r="E9042" s="368"/>
      <c r="F9042" s="368"/>
    </row>
    <row r="9043" spans="1:6" ht="38.25" x14ac:dyDescent="0.2">
      <c r="A9043" s="391">
        <v>105424</v>
      </c>
      <c r="B9043" s="478" t="s">
        <v>42066</v>
      </c>
      <c r="C9043" s="391" t="s">
        <v>5477</v>
      </c>
      <c r="D9043" s="479">
        <v>0</v>
      </c>
      <c r="E9043" s="368"/>
      <c r="F9043" s="368"/>
    </row>
    <row r="9044" spans="1:6" ht="38.25" x14ac:dyDescent="0.2">
      <c r="A9044" s="391">
        <v>105448</v>
      </c>
      <c r="B9044" s="478" t="s">
        <v>42067</v>
      </c>
      <c r="C9044" s="391" t="s">
        <v>5477</v>
      </c>
      <c r="D9044" s="479">
        <v>0</v>
      </c>
      <c r="E9044" s="368"/>
      <c r="F9044" s="368"/>
    </row>
    <row r="9045" spans="1:6" ht="38.25" x14ac:dyDescent="0.2">
      <c r="A9045" s="391">
        <v>105409</v>
      </c>
      <c r="B9045" s="478" t="s">
        <v>42068</v>
      </c>
      <c r="C9045" s="391" t="s">
        <v>5477</v>
      </c>
      <c r="D9045" s="479">
        <v>0</v>
      </c>
      <c r="E9045" s="368"/>
      <c r="F9045" s="368"/>
    </row>
    <row r="9046" spans="1:6" ht="38.25" x14ac:dyDescent="0.2">
      <c r="A9046" s="391">
        <v>105415</v>
      </c>
      <c r="B9046" s="478" t="s">
        <v>42069</v>
      </c>
      <c r="C9046" s="391" t="s">
        <v>5477</v>
      </c>
      <c r="D9046" s="479">
        <v>0</v>
      </c>
      <c r="E9046" s="368"/>
      <c r="F9046" s="368"/>
    </row>
    <row r="9047" spans="1:6" ht="38.25" x14ac:dyDescent="0.2">
      <c r="A9047" s="391">
        <v>105487</v>
      </c>
      <c r="B9047" s="478" t="s">
        <v>42070</v>
      </c>
      <c r="C9047" s="391" t="s">
        <v>5477</v>
      </c>
      <c r="D9047" s="479">
        <v>0</v>
      </c>
      <c r="E9047" s="368"/>
      <c r="F9047" s="368"/>
    </row>
    <row r="9048" spans="1:6" ht="38.25" x14ac:dyDescent="0.2">
      <c r="A9048" s="391">
        <v>105451</v>
      </c>
      <c r="B9048" s="478" t="s">
        <v>42071</v>
      </c>
      <c r="C9048" s="391" t="s">
        <v>5477</v>
      </c>
      <c r="D9048" s="479">
        <v>0</v>
      </c>
      <c r="E9048" s="368"/>
      <c r="F9048" s="368"/>
    </row>
    <row r="9049" spans="1:6" ht="38.25" x14ac:dyDescent="0.2">
      <c r="A9049" s="391">
        <v>105454</v>
      </c>
      <c r="B9049" s="478" t="s">
        <v>42072</v>
      </c>
      <c r="C9049" s="391" t="s">
        <v>5477</v>
      </c>
      <c r="D9049" s="479">
        <v>0</v>
      </c>
      <c r="E9049" s="368"/>
      <c r="F9049" s="368"/>
    </row>
    <row r="9050" spans="1:6" ht="38.25" x14ac:dyDescent="0.2">
      <c r="A9050" s="391">
        <v>105411</v>
      </c>
      <c r="B9050" s="478" t="s">
        <v>42073</v>
      </c>
      <c r="C9050" s="391" t="s">
        <v>5477</v>
      </c>
      <c r="D9050" s="479">
        <v>0</v>
      </c>
      <c r="E9050" s="368"/>
      <c r="F9050" s="368"/>
    </row>
    <row r="9051" spans="1:6" ht="38.25" x14ac:dyDescent="0.2">
      <c r="A9051" s="391">
        <v>105419</v>
      </c>
      <c r="B9051" s="478" t="s">
        <v>42074</v>
      </c>
      <c r="C9051" s="391" t="s">
        <v>5477</v>
      </c>
      <c r="D9051" s="479">
        <v>0</v>
      </c>
      <c r="E9051" s="368"/>
      <c r="F9051" s="368"/>
    </row>
    <row r="9052" spans="1:6" ht="38.25" x14ac:dyDescent="0.2">
      <c r="A9052" s="391">
        <v>105443</v>
      </c>
      <c r="B9052" s="478" t="s">
        <v>42075</v>
      </c>
      <c r="C9052" s="391" t="s">
        <v>5477</v>
      </c>
      <c r="D9052" s="479">
        <v>0</v>
      </c>
      <c r="E9052" s="368"/>
      <c r="F9052" s="368"/>
    </row>
    <row r="9053" spans="1:6" ht="38.25" x14ac:dyDescent="0.2">
      <c r="A9053" s="391">
        <v>105455</v>
      </c>
      <c r="B9053" s="478" t="s">
        <v>42076</v>
      </c>
      <c r="C9053" s="391" t="s">
        <v>5477</v>
      </c>
      <c r="D9053" s="479">
        <v>0</v>
      </c>
      <c r="E9053" s="368"/>
      <c r="F9053" s="368"/>
    </row>
    <row r="9054" spans="1:6" ht="38.25" x14ac:dyDescent="0.2">
      <c r="A9054" s="391">
        <v>105412</v>
      </c>
      <c r="B9054" s="478" t="s">
        <v>42077</v>
      </c>
      <c r="C9054" s="391" t="s">
        <v>5477</v>
      </c>
      <c r="D9054" s="479">
        <v>0</v>
      </c>
      <c r="E9054" s="368"/>
      <c r="F9054" s="368"/>
    </row>
    <row r="9055" spans="1:6" ht="38.25" x14ac:dyDescent="0.2">
      <c r="A9055" s="391">
        <v>105420</v>
      </c>
      <c r="B9055" s="478" t="s">
        <v>42078</v>
      </c>
      <c r="C9055" s="391" t="s">
        <v>5477</v>
      </c>
      <c r="D9055" s="479">
        <v>0</v>
      </c>
      <c r="E9055" s="368"/>
      <c r="F9055" s="368"/>
    </row>
    <row r="9056" spans="1:6" ht="38.25" x14ac:dyDescent="0.2">
      <c r="A9056" s="391">
        <v>105444</v>
      </c>
      <c r="B9056" s="478" t="s">
        <v>42079</v>
      </c>
      <c r="C9056" s="391" t="s">
        <v>5477</v>
      </c>
      <c r="D9056" s="479">
        <v>0</v>
      </c>
      <c r="E9056" s="368"/>
      <c r="F9056" s="368"/>
    </row>
    <row r="9057" spans="1:6" ht="25.5" x14ac:dyDescent="0.2">
      <c r="A9057" s="391">
        <v>105456</v>
      </c>
      <c r="B9057" s="478" t="s">
        <v>42080</v>
      </c>
      <c r="C9057" s="391" t="s">
        <v>5477</v>
      </c>
      <c r="D9057" s="479">
        <v>0</v>
      </c>
      <c r="E9057" s="368"/>
      <c r="F9057" s="368"/>
    </row>
    <row r="9058" spans="1:6" ht="25.5" x14ac:dyDescent="0.2">
      <c r="A9058" s="391">
        <v>105478</v>
      </c>
      <c r="B9058" s="478" t="s">
        <v>42081</v>
      </c>
      <c r="C9058" s="391" t="s">
        <v>5477</v>
      </c>
      <c r="D9058" s="479">
        <v>0</v>
      </c>
      <c r="E9058" s="368"/>
      <c r="F9058" s="368"/>
    </row>
    <row r="9059" spans="1:6" ht="25.5" x14ac:dyDescent="0.2">
      <c r="A9059" s="391">
        <v>105421</v>
      </c>
      <c r="B9059" s="478" t="s">
        <v>42082</v>
      </c>
      <c r="C9059" s="391" t="s">
        <v>5477</v>
      </c>
      <c r="D9059" s="479">
        <v>0</v>
      </c>
      <c r="E9059" s="368"/>
      <c r="F9059" s="368"/>
    </row>
    <row r="9060" spans="1:6" ht="25.5" x14ac:dyDescent="0.2">
      <c r="A9060" s="391">
        <v>105445</v>
      </c>
      <c r="B9060" s="478" t="s">
        <v>42083</v>
      </c>
      <c r="C9060" s="391" t="s">
        <v>5477</v>
      </c>
      <c r="D9060" s="479">
        <v>0</v>
      </c>
      <c r="E9060" s="368"/>
      <c r="F9060" s="368"/>
    </row>
    <row r="9061" spans="1:6" ht="25.5" x14ac:dyDescent="0.2">
      <c r="A9061" s="391">
        <v>105453</v>
      </c>
      <c r="B9061" s="478" t="s">
        <v>42084</v>
      </c>
      <c r="C9061" s="391" t="s">
        <v>5477</v>
      </c>
      <c r="D9061" s="479">
        <v>0</v>
      </c>
      <c r="E9061" s="368"/>
      <c r="F9061" s="368"/>
    </row>
    <row r="9062" spans="1:6" ht="25.5" x14ac:dyDescent="0.2">
      <c r="A9062" s="391">
        <v>105497</v>
      </c>
      <c r="B9062" s="478" t="s">
        <v>42085</v>
      </c>
      <c r="C9062" s="391" t="s">
        <v>5477</v>
      </c>
      <c r="D9062" s="479">
        <v>0</v>
      </c>
      <c r="E9062" s="368"/>
      <c r="F9062" s="368"/>
    </row>
    <row r="9063" spans="1:6" ht="25.5" x14ac:dyDescent="0.2">
      <c r="A9063" s="391">
        <v>105418</v>
      </c>
      <c r="B9063" s="478" t="s">
        <v>42086</v>
      </c>
      <c r="C9063" s="391" t="s">
        <v>5477</v>
      </c>
      <c r="D9063" s="479">
        <v>0</v>
      </c>
      <c r="E9063" s="368"/>
      <c r="F9063" s="368"/>
    </row>
    <row r="9064" spans="1:6" ht="25.5" x14ac:dyDescent="0.2">
      <c r="A9064" s="391">
        <v>105442</v>
      </c>
      <c r="B9064" s="478" t="s">
        <v>42087</v>
      </c>
      <c r="C9064" s="391" t="s">
        <v>5477</v>
      </c>
      <c r="D9064" s="479">
        <v>0</v>
      </c>
      <c r="E9064" s="368"/>
      <c r="F9064" s="368"/>
    </row>
    <row r="9065" spans="1:6" ht="25.5" x14ac:dyDescent="0.2">
      <c r="A9065" s="391">
        <v>105410</v>
      </c>
      <c r="B9065" s="478" t="s">
        <v>42088</v>
      </c>
      <c r="C9065" s="391" t="s">
        <v>5477</v>
      </c>
      <c r="D9065" s="479">
        <v>0</v>
      </c>
      <c r="E9065" s="368"/>
      <c r="F9065" s="368"/>
    </row>
    <row r="9066" spans="1:6" ht="25.5" x14ac:dyDescent="0.2">
      <c r="A9066" s="391">
        <v>105416</v>
      </c>
      <c r="B9066" s="478" t="s">
        <v>42089</v>
      </c>
      <c r="C9066" s="391" t="s">
        <v>5477</v>
      </c>
      <c r="D9066" s="479">
        <v>0</v>
      </c>
      <c r="E9066" s="368"/>
      <c r="F9066" s="368"/>
    </row>
    <row r="9067" spans="1:6" ht="25.5" x14ac:dyDescent="0.2">
      <c r="A9067" s="391">
        <v>105488</v>
      </c>
      <c r="B9067" s="478" t="s">
        <v>42090</v>
      </c>
      <c r="C9067" s="391" t="s">
        <v>5477</v>
      </c>
      <c r="D9067" s="479">
        <v>0</v>
      </c>
      <c r="E9067" s="368"/>
      <c r="F9067" s="368"/>
    </row>
    <row r="9068" spans="1:6" ht="25.5" x14ac:dyDescent="0.2">
      <c r="A9068" s="391">
        <v>105452</v>
      </c>
      <c r="B9068" s="478" t="s">
        <v>42091</v>
      </c>
      <c r="C9068" s="391" t="s">
        <v>5477</v>
      </c>
      <c r="D9068" s="479">
        <v>0</v>
      </c>
      <c r="E9068" s="368"/>
      <c r="F9068" s="368"/>
    </row>
    <row r="9069" spans="1:6" ht="51" x14ac:dyDescent="0.2">
      <c r="A9069" s="391">
        <v>105475</v>
      </c>
      <c r="B9069" s="478" t="s">
        <v>42092</v>
      </c>
      <c r="C9069" s="391" t="s">
        <v>5477</v>
      </c>
      <c r="D9069" s="479">
        <v>0</v>
      </c>
      <c r="E9069" s="368"/>
      <c r="F9069" s="368"/>
    </row>
    <row r="9070" spans="1:6" ht="51" x14ac:dyDescent="0.2">
      <c r="A9070" s="391">
        <v>105498</v>
      </c>
      <c r="B9070" s="478" t="s">
        <v>42093</v>
      </c>
      <c r="C9070" s="391" t="s">
        <v>5477</v>
      </c>
      <c r="D9070" s="479">
        <v>0</v>
      </c>
      <c r="E9070" s="368"/>
      <c r="F9070" s="368"/>
    </row>
    <row r="9071" spans="1:6" ht="51" x14ac:dyDescent="0.2">
      <c r="A9071" s="391">
        <v>105486</v>
      </c>
      <c r="B9071" s="478" t="s">
        <v>42094</v>
      </c>
      <c r="C9071" s="391" t="s">
        <v>5477</v>
      </c>
      <c r="D9071" s="479">
        <v>0</v>
      </c>
      <c r="E9071" s="368"/>
      <c r="F9071" s="368"/>
    </row>
    <row r="9072" spans="1:6" ht="51" x14ac:dyDescent="0.2">
      <c r="A9072" s="391">
        <v>105450</v>
      </c>
      <c r="B9072" s="478" t="s">
        <v>42095</v>
      </c>
      <c r="C9072" s="391" t="s">
        <v>5477</v>
      </c>
      <c r="D9072" s="479">
        <v>0</v>
      </c>
      <c r="E9072" s="368"/>
      <c r="F9072" s="368"/>
    </row>
    <row r="9073" spans="1:6" ht="25.5" x14ac:dyDescent="0.2">
      <c r="A9073" s="391">
        <v>105438</v>
      </c>
      <c r="B9073" s="478" t="s">
        <v>42096</v>
      </c>
      <c r="C9073" s="391" t="s">
        <v>5477</v>
      </c>
      <c r="D9073" s="479">
        <v>0</v>
      </c>
      <c r="E9073" s="368"/>
      <c r="F9073" s="368"/>
    </row>
    <row r="9074" spans="1:6" ht="25.5" x14ac:dyDescent="0.2">
      <c r="A9074" s="391">
        <v>105463</v>
      </c>
      <c r="B9074" s="478" t="s">
        <v>42097</v>
      </c>
      <c r="C9074" s="391" t="s">
        <v>5477</v>
      </c>
      <c r="D9074" s="479">
        <v>0</v>
      </c>
      <c r="E9074" s="368"/>
      <c r="F9074" s="368"/>
    </row>
    <row r="9075" spans="1:6" ht="25.5" x14ac:dyDescent="0.2">
      <c r="A9075" s="391">
        <v>105485</v>
      </c>
      <c r="B9075" s="478" t="s">
        <v>42098</v>
      </c>
      <c r="C9075" s="391" t="s">
        <v>5477</v>
      </c>
      <c r="D9075" s="479">
        <v>0</v>
      </c>
      <c r="E9075" s="368"/>
      <c r="F9075" s="368"/>
    </row>
    <row r="9076" spans="1:6" ht="25.5" x14ac:dyDescent="0.2">
      <c r="A9076" s="391">
        <v>105428</v>
      </c>
      <c r="B9076" s="478" t="s">
        <v>42099</v>
      </c>
      <c r="C9076" s="391" t="s">
        <v>5477</v>
      </c>
      <c r="D9076" s="479">
        <v>0</v>
      </c>
      <c r="E9076" s="368"/>
      <c r="F9076" s="368"/>
    </row>
    <row r="9077" spans="1:6" ht="25.5" x14ac:dyDescent="0.2">
      <c r="A9077" s="391">
        <v>105426</v>
      </c>
      <c r="B9077" s="478" t="s">
        <v>42100</v>
      </c>
      <c r="C9077" s="391" t="s">
        <v>5477</v>
      </c>
      <c r="D9077" s="479">
        <v>0</v>
      </c>
      <c r="E9077" s="368"/>
      <c r="F9077" s="368"/>
    </row>
    <row r="9078" spans="1:6" ht="25.5" x14ac:dyDescent="0.2">
      <c r="A9078" s="391">
        <v>105491</v>
      </c>
      <c r="B9078" s="478" t="s">
        <v>42101</v>
      </c>
      <c r="C9078" s="391" t="s">
        <v>5477</v>
      </c>
      <c r="D9078" s="479">
        <v>0</v>
      </c>
      <c r="E9078" s="368"/>
      <c r="F9078" s="368"/>
    </row>
    <row r="9079" spans="1:6" ht="25.5" x14ac:dyDescent="0.2">
      <c r="A9079" s="391">
        <v>105495</v>
      </c>
      <c r="B9079" s="478" t="s">
        <v>42102</v>
      </c>
      <c r="C9079" s="391" t="s">
        <v>5477</v>
      </c>
      <c r="D9079" s="479">
        <v>0</v>
      </c>
      <c r="E9079" s="368"/>
      <c r="F9079" s="368"/>
    </row>
    <row r="9080" spans="1:6" ht="25.5" x14ac:dyDescent="0.2">
      <c r="A9080" s="391">
        <v>105407</v>
      </c>
      <c r="B9080" s="478" t="s">
        <v>42103</v>
      </c>
      <c r="C9080" s="391" t="s">
        <v>5477</v>
      </c>
      <c r="D9080" s="479">
        <v>0</v>
      </c>
      <c r="E9080" s="368"/>
      <c r="F9080" s="368"/>
    </row>
    <row r="9081" spans="1:6" ht="25.5" x14ac:dyDescent="0.2">
      <c r="A9081" s="391">
        <v>105427</v>
      </c>
      <c r="B9081" s="478" t="s">
        <v>42104</v>
      </c>
      <c r="C9081" s="391" t="s">
        <v>5477</v>
      </c>
      <c r="D9081" s="479">
        <v>0</v>
      </c>
      <c r="E9081" s="368"/>
      <c r="F9081" s="368"/>
    </row>
    <row r="9082" spans="1:6" ht="25.5" x14ac:dyDescent="0.2">
      <c r="A9082" s="391">
        <v>105492</v>
      </c>
      <c r="B9082" s="478" t="s">
        <v>42105</v>
      </c>
      <c r="C9082" s="391" t="s">
        <v>5477</v>
      </c>
      <c r="D9082" s="479">
        <v>0</v>
      </c>
      <c r="E9082" s="368"/>
      <c r="F9082" s="368"/>
    </row>
    <row r="9083" spans="1:6" ht="25.5" x14ac:dyDescent="0.2">
      <c r="A9083" s="391">
        <v>105496</v>
      </c>
      <c r="B9083" s="478" t="s">
        <v>42106</v>
      </c>
      <c r="C9083" s="391" t="s">
        <v>5477</v>
      </c>
      <c r="D9083" s="479">
        <v>0</v>
      </c>
      <c r="E9083" s="368"/>
      <c r="F9083" s="368"/>
    </row>
    <row r="9084" spans="1:6" ht="25.5" x14ac:dyDescent="0.2">
      <c r="A9084" s="391">
        <v>105425</v>
      </c>
      <c r="B9084" s="478" t="s">
        <v>42107</v>
      </c>
      <c r="C9084" s="391" t="s">
        <v>5477</v>
      </c>
      <c r="D9084" s="479">
        <v>0</v>
      </c>
      <c r="E9084" s="368"/>
      <c r="F9084" s="368"/>
    </row>
    <row r="9085" spans="1:6" ht="25.5" x14ac:dyDescent="0.2">
      <c r="A9085" s="391">
        <v>105477</v>
      </c>
      <c r="B9085" s="478" t="s">
        <v>42108</v>
      </c>
      <c r="C9085" s="391" t="s">
        <v>5477</v>
      </c>
      <c r="D9085" s="479">
        <v>0</v>
      </c>
      <c r="E9085" s="368"/>
      <c r="F9085" s="368"/>
    </row>
    <row r="9086" spans="1:6" ht="25.5" x14ac:dyDescent="0.2">
      <c r="A9086" s="391">
        <v>105490</v>
      </c>
      <c r="B9086" s="478" t="s">
        <v>42109</v>
      </c>
      <c r="C9086" s="391" t="s">
        <v>5477</v>
      </c>
      <c r="D9086" s="479">
        <v>0</v>
      </c>
      <c r="E9086" s="368"/>
      <c r="F9086" s="368"/>
    </row>
    <row r="9087" spans="1:6" ht="25.5" x14ac:dyDescent="0.2">
      <c r="A9087" s="391">
        <v>105494</v>
      </c>
      <c r="B9087" s="478" t="s">
        <v>42110</v>
      </c>
      <c r="C9087" s="391" t="s">
        <v>5477</v>
      </c>
      <c r="D9087" s="479">
        <v>0</v>
      </c>
      <c r="E9087" s="368"/>
      <c r="F9087" s="368"/>
    </row>
    <row r="9088" spans="1:6" ht="25.5" x14ac:dyDescent="0.2">
      <c r="A9088" s="391">
        <v>105417</v>
      </c>
      <c r="B9088" s="478" t="s">
        <v>42111</v>
      </c>
      <c r="C9088" s="391" t="s">
        <v>5477</v>
      </c>
      <c r="D9088" s="479">
        <v>0</v>
      </c>
      <c r="E9088" s="368"/>
      <c r="F9088" s="368"/>
    </row>
    <row r="9089" spans="1:6" ht="38.25" x14ac:dyDescent="0.2">
      <c r="A9089" s="391">
        <v>105461</v>
      </c>
      <c r="B9089" s="478" t="s">
        <v>42112</v>
      </c>
      <c r="C9089" s="391" t="s">
        <v>5477</v>
      </c>
      <c r="D9089" s="479">
        <v>0</v>
      </c>
      <c r="E9089" s="368"/>
      <c r="F9089" s="368"/>
    </row>
    <row r="9090" spans="1:6" ht="38.25" x14ac:dyDescent="0.2">
      <c r="A9090" s="391">
        <v>105436</v>
      </c>
      <c r="B9090" s="478" t="s">
        <v>42113</v>
      </c>
      <c r="C9090" s="391" t="s">
        <v>5477</v>
      </c>
      <c r="D9090" s="479">
        <v>0</v>
      </c>
      <c r="E9090" s="368"/>
      <c r="F9090" s="368"/>
    </row>
    <row r="9091" spans="1:6" ht="38.25" x14ac:dyDescent="0.2">
      <c r="A9091" s="391">
        <v>105483</v>
      </c>
      <c r="B9091" s="478" t="s">
        <v>42114</v>
      </c>
      <c r="C9091" s="391" t="s">
        <v>5477</v>
      </c>
      <c r="D9091" s="479">
        <v>0</v>
      </c>
      <c r="E9091" s="368"/>
      <c r="F9091" s="368"/>
    </row>
    <row r="9092" spans="1:6" ht="38.25" x14ac:dyDescent="0.2">
      <c r="A9092" s="391">
        <v>105505</v>
      </c>
      <c r="B9092" s="478" t="s">
        <v>42115</v>
      </c>
      <c r="C9092" s="391" t="s">
        <v>5477</v>
      </c>
      <c r="D9092" s="479">
        <v>0</v>
      </c>
      <c r="E9092" s="368"/>
      <c r="F9092" s="368"/>
    </row>
    <row r="9093" spans="1:6" ht="25.5" x14ac:dyDescent="0.2">
      <c r="A9093" s="391">
        <v>105435</v>
      </c>
      <c r="B9093" s="478" t="s">
        <v>42116</v>
      </c>
      <c r="C9093" s="391" t="s">
        <v>5477</v>
      </c>
      <c r="D9093" s="479">
        <v>0</v>
      </c>
      <c r="E9093" s="368"/>
      <c r="F9093" s="368"/>
    </row>
    <row r="9094" spans="1:6" ht="25.5" x14ac:dyDescent="0.2">
      <c r="A9094" s="391">
        <v>105460</v>
      </c>
      <c r="B9094" s="478" t="s">
        <v>42117</v>
      </c>
      <c r="C9094" s="391" t="s">
        <v>5477</v>
      </c>
      <c r="D9094" s="479">
        <v>0</v>
      </c>
      <c r="E9094" s="368"/>
      <c r="F9094" s="368"/>
    </row>
    <row r="9095" spans="1:6" ht="25.5" x14ac:dyDescent="0.2">
      <c r="A9095" s="391">
        <v>105470</v>
      </c>
      <c r="B9095" s="478" t="s">
        <v>42118</v>
      </c>
      <c r="C9095" s="391" t="s">
        <v>5477</v>
      </c>
      <c r="D9095" s="479">
        <v>0</v>
      </c>
      <c r="E9095" s="368"/>
      <c r="F9095" s="368"/>
    </row>
    <row r="9096" spans="1:6" ht="25.5" x14ac:dyDescent="0.2">
      <c r="A9096" s="391">
        <v>105504</v>
      </c>
      <c r="B9096" s="478" t="s">
        <v>42119</v>
      </c>
      <c r="C9096" s="391" t="s">
        <v>5477</v>
      </c>
      <c r="D9096" s="479">
        <v>0</v>
      </c>
      <c r="E9096" s="368"/>
      <c r="F9096" s="368"/>
    </row>
    <row r="9097" spans="1:6" ht="25.5" x14ac:dyDescent="0.2">
      <c r="A9097" s="391">
        <v>105476</v>
      </c>
      <c r="B9097" s="478" t="s">
        <v>42120</v>
      </c>
      <c r="C9097" s="391" t="s">
        <v>5477</v>
      </c>
      <c r="D9097" s="479">
        <v>0</v>
      </c>
      <c r="E9097" s="368"/>
      <c r="F9097" s="368"/>
    </row>
    <row r="9098" spans="1:6" ht="25.5" x14ac:dyDescent="0.2">
      <c r="A9098" s="391">
        <v>105471</v>
      </c>
      <c r="B9098" s="478" t="s">
        <v>42121</v>
      </c>
      <c r="C9098" s="391" t="s">
        <v>5477</v>
      </c>
      <c r="D9098" s="479">
        <v>0</v>
      </c>
      <c r="E9098" s="368"/>
      <c r="F9098" s="368"/>
    </row>
    <row r="9099" spans="1:6" ht="25.5" x14ac:dyDescent="0.2">
      <c r="A9099" s="391">
        <v>105493</v>
      </c>
      <c r="B9099" s="478" t="s">
        <v>42122</v>
      </c>
      <c r="C9099" s="391" t="s">
        <v>5477</v>
      </c>
      <c r="D9099" s="479">
        <v>0</v>
      </c>
      <c r="E9099" s="368"/>
      <c r="F9099" s="368"/>
    </row>
    <row r="9100" spans="1:6" ht="25.5" x14ac:dyDescent="0.2">
      <c r="A9100" s="391">
        <v>105482</v>
      </c>
      <c r="B9100" s="478" t="s">
        <v>42123</v>
      </c>
      <c r="C9100" s="391" t="s">
        <v>5477</v>
      </c>
      <c r="D9100" s="479">
        <v>0</v>
      </c>
      <c r="E9100" s="368"/>
      <c r="F9100" s="368"/>
    </row>
    <row r="9101" spans="1:6" ht="38.25" x14ac:dyDescent="0.2">
      <c r="A9101" s="391">
        <v>105430</v>
      </c>
      <c r="B9101" s="478" t="s">
        <v>42124</v>
      </c>
      <c r="C9101" s="391" t="s">
        <v>5477</v>
      </c>
      <c r="D9101" s="479">
        <v>0</v>
      </c>
      <c r="E9101" s="368"/>
      <c r="F9101" s="368"/>
    </row>
    <row r="9102" spans="1:6" ht="38.25" x14ac:dyDescent="0.2">
      <c r="A9102" s="391">
        <v>105440</v>
      </c>
      <c r="B9102" s="478" t="s">
        <v>42125</v>
      </c>
      <c r="C9102" s="391" t="s">
        <v>5477</v>
      </c>
      <c r="D9102" s="479">
        <v>0</v>
      </c>
      <c r="E9102" s="368"/>
      <c r="F9102" s="368"/>
    </row>
    <row r="9103" spans="1:6" ht="38.25" x14ac:dyDescent="0.2">
      <c r="A9103" s="391">
        <v>105465</v>
      </c>
      <c r="B9103" s="478" t="s">
        <v>42126</v>
      </c>
      <c r="C9103" s="391" t="s">
        <v>5477</v>
      </c>
      <c r="D9103" s="479">
        <v>0</v>
      </c>
      <c r="E9103" s="368"/>
      <c r="F9103" s="368"/>
    </row>
    <row r="9104" spans="1:6" ht="38.25" x14ac:dyDescent="0.2">
      <c r="A9104" s="391">
        <v>105499</v>
      </c>
      <c r="B9104" s="478" t="s">
        <v>42127</v>
      </c>
      <c r="C9104" s="391" t="s">
        <v>5477</v>
      </c>
      <c r="D9104" s="479">
        <v>0</v>
      </c>
      <c r="E9104" s="368"/>
      <c r="F9104" s="368"/>
    </row>
    <row r="9105" spans="1:6" ht="38.25" x14ac:dyDescent="0.2">
      <c r="A9105" s="391">
        <v>105431</v>
      </c>
      <c r="B9105" s="478" t="s">
        <v>42128</v>
      </c>
      <c r="C9105" s="391" t="s">
        <v>5477</v>
      </c>
      <c r="D9105" s="479">
        <v>0</v>
      </c>
      <c r="E9105" s="368"/>
      <c r="F9105" s="368"/>
    </row>
    <row r="9106" spans="1:6" ht="38.25" x14ac:dyDescent="0.2">
      <c r="A9106" s="391">
        <v>105441</v>
      </c>
      <c r="B9106" s="478" t="s">
        <v>42129</v>
      </c>
      <c r="C9106" s="391" t="s">
        <v>5477</v>
      </c>
      <c r="D9106" s="479">
        <v>0</v>
      </c>
      <c r="E9106" s="368"/>
      <c r="F9106" s="368"/>
    </row>
    <row r="9107" spans="1:6" ht="38.25" x14ac:dyDescent="0.2">
      <c r="A9107" s="391">
        <v>105466</v>
      </c>
      <c r="B9107" s="478" t="s">
        <v>42130</v>
      </c>
      <c r="C9107" s="391" t="s">
        <v>5477</v>
      </c>
      <c r="D9107" s="479">
        <v>0</v>
      </c>
      <c r="E9107" s="368"/>
      <c r="F9107" s="368"/>
    </row>
    <row r="9108" spans="1:6" ht="38.25" x14ac:dyDescent="0.2">
      <c r="A9108" s="391">
        <v>105500</v>
      </c>
      <c r="B9108" s="478" t="s">
        <v>42131</v>
      </c>
      <c r="C9108" s="391" t="s">
        <v>5477</v>
      </c>
      <c r="D9108" s="479">
        <v>0</v>
      </c>
      <c r="E9108" s="368"/>
      <c r="F9108" s="368"/>
    </row>
    <row r="9109" spans="1:6" ht="38.25" x14ac:dyDescent="0.2">
      <c r="A9109" s="391">
        <v>105429</v>
      </c>
      <c r="B9109" s="478" t="s">
        <v>42132</v>
      </c>
      <c r="C9109" s="391" t="s">
        <v>5477</v>
      </c>
      <c r="D9109" s="479">
        <v>0</v>
      </c>
      <c r="E9109" s="368"/>
      <c r="F9109" s="368"/>
    </row>
    <row r="9110" spans="1:6" ht="38.25" x14ac:dyDescent="0.2">
      <c r="A9110" s="391">
        <v>105439</v>
      </c>
      <c r="B9110" s="478" t="s">
        <v>42133</v>
      </c>
      <c r="C9110" s="391" t="s">
        <v>5477</v>
      </c>
      <c r="D9110" s="479">
        <v>0</v>
      </c>
      <c r="E9110" s="368"/>
      <c r="F9110" s="368"/>
    </row>
    <row r="9111" spans="1:6" ht="38.25" x14ac:dyDescent="0.2">
      <c r="A9111" s="391">
        <v>105464</v>
      </c>
      <c r="B9111" s="478" t="s">
        <v>42134</v>
      </c>
      <c r="C9111" s="391" t="s">
        <v>5477</v>
      </c>
      <c r="D9111" s="479">
        <v>0</v>
      </c>
      <c r="E9111" s="368"/>
      <c r="F9111" s="368"/>
    </row>
    <row r="9112" spans="1:6" ht="38.25" x14ac:dyDescent="0.2">
      <c r="A9112" s="391">
        <v>105489</v>
      </c>
      <c r="B9112" s="478" t="s">
        <v>42135</v>
      </c>
      <c r="C9112" s="391" t="s">
        <v>5477</v>
      </c>
      <c r="D9112" s="479">
        <v>0</v>
      </c>
      <c r="E9112" s="368"/>
      <c r="F9112" s="368"/>
    </row>
    <row r="9113" spans="1:6" ht="25.5" x14ac:dyDescent="0.2">
      <c r="A9113" s="391">
        <v>105437</v>
      </c>
      <c r="B9113" s="478" t="s">
        <v>42136</v>
      </c>
      <c r="C9113" s="391" t="s">
        <v>5477</v>
      </c>
      <c r="D9113" s="479">
        <v>0</v>
      </c>
      <c r="E9113" s="368"/>
      <c r="F9113" s="368"/>
    </row>
    <row r="9114" spans="1:6" ht="25.5" x14ac:dyDescent="0.2">
      <c r="A9114" s="391">
        <v>105462</v>
      </c>
      <c r="B9114" s="478" t="s">
        <v>42137</v>
      </c>
      <c r="C9114" s="391" t="s">
        <v>5477</v>
      </c>
      <c r="D9114" s="479">
        <v>0</v>
      </c>
      <c r="E9114" s="368"/>
      <c r="F9114" s="368"/>
    </row>
    <row r="9115" spans="1:6" ht="25.5" x14ac:dyDescent="0.2">
      <c r="A9115" s="391">
        <v>105484</v>
      </c>
      <c r="B9115" s="478" t="s">
        <v>42138</v>
      </c>
      <c r="C9115" s="391" t="s">
        <v>5477</v>
      </c>
      <c r="D9115" s="479">
        <v>0</v>
      </c>
      <c r="E9115" s="368"/>
      <c r="F9115" s="368"/>
    </row>
    <row r="9116" spans="1:6" ht="25.5" x14ac:dyDescent="0.2">
      <c r="A9116" s="391">
        <v>105506</v>
      </c>
      <c r="B9116" s="478" t="s">
        <v>42139</v>
      </c>
      <c r="C9116" s="391" t="s">
        <v>5477</v>
      </c>
      <c r="D9116" s="479">
        <v>0</v>
      </c>
      <c r="E9116" s="368"/>
      <c r="F9116" s="368"/>
    </row>
    <row r="9117" spans="1:6" ht="25.5" x14ac:dyDescent="0.2">
      <c r="A9117" s="391">
        <v>105432</v>
      </c>
      <c r="B9117" s="478" t="s">
        <v>42140</v>
      </c>
      <c r="C9117" s="391" t="s">
        <v>5477</v>
      </c>
      <c r="D9117" s="479">
        <v>0</v>
      </c>
      <c r="E9117" s="368"/>
      <c r="F9117" s="368"/>
    </row>
    <row r="9118" spans="1:6" ht="25.5" x14ac:dyDescent="0.2">
      <c r="A9118" s="391">
        <v>105457</v>
      </c>
      <c r="B9118" s="478" t="s">
        <v>42141</v>
      </c>
      <c r="C9118" s="391" t="s">
        <v>5477</v>
      </c>
      <c r="D9118" s="479">
        <v>0</v>
      </c>
      <c r="E9118" s="368"/>
      <c r="F9118" s="368"/>
    </row>
    <row r="9119" spans="1:6" ht="25.5" x14ac:dyDescent="0.2">
      <c r="A9119" s="391">
        <v>105467</v>
      </c>
      <c r="B9119" s="478" t="s">
        <v>42142</v>
      </c>
      <c r="C9119" s="391" t="s">
        <v>5477</v>
      </c>
      <c r="D9119" s="479">
        <v>0</v>
      </c>
      <c r="E9119" s="368"/>
      <c r="F9119" s="368"/>
    </row>
    <row r="9120" spans="1:6" ht="25.5" x14ac:dyDescent="0.2">
      <c r="A9120" s="391">
        <v>105501</v>
      </c>
      <c r="B9120" s="478" t="s">
        <v>42143</v>
      </c>
      <c r="C9120" s="391" t="s">
        <v>5477</v>
      </c>
      <c r="D9120" s="479">
        <v>0</v>
      </c>
      <c r="E9120" s="368"/>
      <c r="F9120" s="368"/>
    </row>
    <row r="9121" spans="1:6" ht="25.5" x14ac:dyDescent="0.2">
      <c r="A9121" s="391">
        <v>105433</v>
      </c>
      <c r="B9121" s="478" t="s">
        <v>42144</v>
      </c>
      <c r="C9121" s="391" t="s">
        <v>5477</v>
      </c>
      <c r="D9121" s="479">
        <v>0</v>
      </c>
      <c r="E9121" s="368"/>
      <c r="F9121" s="368"/>
    </row>
    <row r="9122" spans="1:6" ht="25.5" x14ac:dyDescent="0.2">
      <c r="A9122" s="391">
        <v>105458</v>
      </c>
      <c r="B9122" s="478" t="s">
        <v>42145</v>
      </c>
      <c r="C9122" s="391" t="s">
        <v>5477</v>
      </c>
      <c r="D9122" s="479">
        <v>0</v>
      </c>
      <c r="E9122" s="368"/>
      <c r="F9122" s="368"/>
    </row>
    <row r="9123" spans="1:6" ht="25.5" x14ac:dyDescent="0.2">
      <c r="A9123" s="391">
        <v>105468</v>
      </c>
      <c r="B9123" s="478" t="s">
        <v>42146</v>
      </c>
      <c r="C9123" s="391" t="s">
        <v>5477</v>
      </c>
      <c r="D9123" s="479">
        <v>0</v>
      </c>
      <c r="E9123" s="368"/>
      <c r="F9123" s="368"/>
    </row>
    <row r="9124" spans="1:6" ht="25.5" x14ac:dyDescent="0.2">
      <c r="A9124" s="391">
        <v>105502</v>
      </c>
      <c r="B9124" s="478" t="s">
        <v>42147</v>
      </c>
      <c r="C9124" s="391" t="s">
        <v>5477</v>
      </c>
      <c r="D9124" s="479">
        <v>0</v>
      </c>
      <c r="E9124" s="368"/>
      <c r="F9124" s="368"/>
    </row>
    <row r="9125" spans="1:6" ht="25.5" x14ac:dyDescent="0.2">
      <c r="A9125" s="391">
        <v>105434</v>
      </c>
      <c r="B9125" s="478" t="s">
        <v>42148</v>
      </c>
      <c r="C9125" s="391" t="s">
        <v>5477</v>
      </c>
      <c r="D9125" s="479">
        <v>0</v>
      </c>
      <c r="E9125" s="368"/>
      <c r="F9125" s="368"/>
    </row>
    <row r="9126" spans="1:6" ht="25.5" x14ac:dyDescent="0.2">
      <c r="A9126" s="391">
        <v>105459</v>
      </c>
      <c r="B9126" s="478" t="s">
        <v>42149</v>
      </c>
      <c r="C9126" s="391" t="s">
        <v>5477</v>
      </c>
      <c r="D9126" s="479">
        <v>0</v>
      </c>
      <c r="E9126" s="368"/>
      <c r="F9126" s="368"/>
    </row>
    <row r="9127" spans="1:6" ht="25.5" x14ac:dyDescent="0.2">
      <c r="A9127" s="391">
        <v>105469</v>
      </c>
      <c r="B9127" s="478" t="s">
        <v>42150</v>
      </c>
      <c r="C9127" s="391" t="s">
        <v>5477</v>
      </c>
      <c r="D9127" s="479">
        <v>0</v>
      </c>
      <c r="E9127" s="368"/>
      <c r="F9127" s="368"/>
    </row>
    <row r="9128" spans="1:6" ht="25.5" x14ac:dyDescent="0.2">
      <c r="A9128" s="391">
        <v>105503</v>
      </c>
      <c r="B9128" s="478" t="s">
        <v>42151</v>
      </c>
      <c r="C9128" s="391" t="s">
        <v>5477</v>
      </c>
      <c r="D9128" s="479">
        <v>0</v>
      </c>
      <c r="E9128" s="368"/>
      <c r="F9128" s="368"/>
    </row>
    <row r="9129" spans="1:6" ht="38.25" x14ac:dyDescent="0.2">
      <c r="A9129" s="391">
        <v>105472</v>
      </c>
      <c r="B9129" s="478" t="s">
        <v>42152</v>
      </c>
      <c r="C9129" s="391" t="s">
        <v>5477</v>
      </c>
      <c r="D9129" s="479">
        <v>0</v>
      </c>
      <c r="E9129" s="368"/>
      <c r="F9129" s="368"/>
    </row>
    <row r="9130" spans="1:6" ht="38.25" x14ac:dyDescent="0.2">
      <c r="A9130" s="391">
        <v>105413</v>
      </c>
      <c r="B9130" s="478" t="s">
        <v>42153</v>
      </c>
      <c r="C9130" s="391" t="s">
        <v>5477</v>
      </c>
      <c r="D9130" s="479">
        <v>0</v>
      </c>
      <c r="E9130" s="368"/>
      <c r="F9130" s="368"/>
    </row>
    <row r="9131" spans="1:6" ht="38.25" x14ac:dyDescent="0.2">
      <c r="A9131" s="391">
        <v>105423</v>
      </c>
      <c r="B9131" s="478" t="s">
        <v>42154</v>
      </c>
      <c r="C9131" s="391" t="s">
        <v>5477</v>
      </c>
      <c r="D9131" s="479">
        <v>0</v>
      </c>
      <c r="E9131" s="368"/>
      <c r="F9131" s="368"/>
    </row>
    <row r="9132" spans="1:6" ht="38.25" x14ac:dyDescent="0.2">
      <c r="A9132" s="391">
        <v>105447</v>
      </c>
      <c r="B9132" s="478" t="s">
        <v>42155</v>
      </c>
      <c r="C9132" s="391" t="s">
        <v>5477</v>
      </c>
      <c r="D9132" s="479">
        <v>0</v>
      </c>
      <c r="E9132" s="368"/>
      <c r="F9132" s="368"/>
    </row>
    <row r="9133" spans="1:6" ht="25.5" x14ac:dyDescent="0.2">
      <c r="A9133" s="391">
        <v>105408</v>
      </c>
      <c r="B9133" s="478" t="s">
        <v>42156</v>
      </c>
      <c r="C9133" s="391" t="s">
        <v>5477</v>
      </c>
      <c r="D9133" s="479">
        <v>0</v>
      </c>
      <c r="E9133" s="368"/>
      <c r="F9133" s="368"/>
    </row>
    <row r="9134" spans="1:6" ht="25.5" x14ac:dyDescent="0.2">
      <c r="A9134" s="391">
        <v>105479</v>
      </c>
      <c r="B9134" s="478" t="s">
        <v>42157</v>
      </c>
      <c r="C9134" s="391" t="s">
        <v>5477</v>
      </c>
      <c r="D9134" s="479">
        <v>0</v>
      </c>
      <c r="E9134" s="368"/>
      <c r="F9134" s="368"/>
    </row>
    <row r="9135" spans="1:6" ht="25.5" x14ac:dyDescent="0.2">
      <c r="A9135" s="391">
        <v>105422</v>
      </c>
      <c r="B9135" s="478" t="s">
        <v>42158</v>
      </c>
      <c r="C9135" s="391" t="s">
        <v>5477</v>
      </c>
      <c r="D9135" s="479">
        <v>0</v>
      </c>
      <c r="E9135" s="368"/>
      <c r="F9135" s="368"/>
    </row>
    <row r="9136" spans="1:6" ht="25.5" x14ac:dyDescent="0.2">
      <c r="A9136" s="391">
        <v>105446</v>
      </c>
      <c r="B9136" s="478" t="s">
        <v>42159</v>
      </c>
      <c r="C9136" s="391" t="s">
        <v>5477</v>
      </c>
      <c r="D9136" s="479">
        <v>0</v>
      </c>
      <c r="E9136" s="368"/>
      <c r="F9136" s="368"/>
    </row>
    <row r="9137" spans="1:6" ht="25.5" x14ac:dyDescent="0.2">
      <c r="A9137" s="391">
        <v>105474</v>
      </c>
      <c r="B9137" s="478" t="s">
        <v>42160</v>
      </c>
      <c r="C9137" s="391" t="s">
        <v>5477</v>
      </c>
      <c r="D9137" s="479">
        <v>0</v>
      </c>
      <c r="E9137" s="368"/>
      <c r="F9137" s="368"/>
    </row>
    <row r="9138" spans="1:6" ht="25.5" x14ac:dyDescent="0.2">
      <c r="A9138" s="391">
        <v>105480</v>
      </c>
      <c r="B9138" s="478" t="s">
        <v>42161</v>
      </c>
      <c r="C9138" s="391" t="s">
        <v>5477</v>
      </c>
      <c r="D9138" s="479">
        <v>0</v>
      </c>
      <c r="E9138" s="368"/>
      <c r="F9138" s="368"/>
    </row>
    <row r="9139" spans="1:6" ht="25.5" x14ac:dyDescent="0.2">
      <c r="A9139" s="391">
        <v>105481</v>
      </c>
      <c r="B9139" s="478" t="s">
        <v>42162</v>
      </c>
      <c r="C9139" s="391" t="s">
        <v>5477</v>
      </c>
      <c r="D9139" s="479">
        <v>0</v>
      </c>
      <c r="E9139" s="368"/>
      <c r="F9139" s="368"/>
    </row>
    <row r="9140" spans="1:6" ht="25.5" x14ac:dyDescent="0.2">
      <c r="A9140" s="391">
        <v>105449</v>
      </c>
      <c r="B9140" s="478" t="s">
        <v>42163</v>
      </c>
      <c r="C9140" s="391" t="s">
        <v>5477</v>
      </c>
      <c r="D9140" s="479">
        <v>0</v>
      </c>
      <c r="E9140" s="368"/>
      <c r="F9140" s="368"/>
    </row>
    <row r="9141" spans="1:6" ht="38.25" x14ac:dyDescent="0.2">
      <c r="A9141" s="391">
        <v>105511</v>
      </c>
      <c r="B9141" s="478" t="s">
        <v>42164</v>
      </c>
      <c r="C9141" s="391" t="s">
        <v>4398</v>
      </c>
      <c r="D9141" s="479">
        <v>0</v>
      </c>
      <c r="E9141" s="368"/>
      <c r="F9141" s="368"/>
    </row>
    <row r="9142" spans="1:6" ht="38.25" x14ac:dyDescent="0.2">
      <c r="A9142" s="391">
        <v>105507</v>
      </c>
      <c r="B9142" s="478" t="s">
        <v>42165</v>
      </c>
      <c r="C9142" s="391" t="s">
        <v>4398</v>
      </c>
      <c r="D9142" s="479">
        <v>0</v>
      </c>
      <c r="E9142" s="368"/>
      <c r="F9142" s="368"/>
    </row>
    <row r="9143" spans="1:6" ht="38.25" x14ac:dyDescent="0.2">
      <c r="A9143" s="391">
        <v>105512</v>
      </c>
      <c r="B9143" s="478" t="s">
        <v>42166</v>
      </c>
      <c r="C9143" s="391" t="s">
        <v>4398</v>
      </c>
      <c r="D9143" s="479">
        <v>0</v>
      </c>
      <c r="E9143" s="368"/>
      <c r="F9143" s="368"/>
    </row>
    <row r="9144" spans="1:6" ht="38.25" x14ac:dyDescent="0.2">
      <c r="A9144" s="391">
        <v>105508</v>
      </c>
      <c r="B9144" s="478" t="s">
        <v>42167</v>
      </c>
      <c r="C9144" s="391" t="s">
        <v>4398</v>
      </c>
      <c r="D9144" s="479">
        <v>0</v>
      </c>
      <c r="E9144" s="368"/>
      <c r="F9144" s="368"/>
    </row>
    <row r="9145" spans="1:6" ht="38.25" x14ac:dyDescent="0.2">
      <c r="A9145" s="391">
        <v>105513</v>
      </c>
      <c r="B9145" s="478" t="s">
        <v>42168</v>
      </c>
      <c r="C9145" s="391" t="s">
        <v>4398</v>
      </c>
      <c r="D9145" s="479">
        <v>0</v>
      </c>
      <c r="E9145" s="368"/>
      <c r="F9145" s="368"/>
    </row>
    <row r="9146" spans="1:6" ht="38.25" x14ac:dyDescent="0.2">
      <c r="A9146" s="391">
        <v>105509</v>
      </c>
      <c r="B9146" s="478" t="s">
        <v>42169</v>
      </c>
      <c r="C9146" s="391" t="s">
        <v>4398</v>
      </c>
      <c r="D9146" s="479">
        <v>0</v>
      </c>
      <c r="E9146" s="368"/>
      <c r="F9146" s="368"/>
    </row>
    <row r="9147" spans="1:6" ht="38.25" x14ac:dyDescent="0.2">
      <c r="A9147" s="391">
        <v>105514</v>
      </c>
      <c r="B9147" s="478" t="s">
        <v>42170</v>
      </c>
      <c r="C9147" s="391" t="s">
        <v>4398</v>
      </c>
      <c r="D9147" s="479">
        <v>0</v>
      </c>
      <c r="E9147" s="368"/>
      <c r="F9147" s="368"/>
    </row>
    <row r="9148" spans="1:6" ht="38.25" x14ac:dyDescent="0.2">
      <c r="A9148" s="391">
        <v>105510</v>
      </c>
      <c r="B9148" s="478" t="s">
        <v>42171</v>
      </c>
      <c r="C9148" s="391" t="s">
        <v>4398</v>
      </c>
      <c r="D9148" s="479">
        <v>0</v>
      </c>
      <c r="E9148" s="368"/>
      <c r="F9148" s="368"/>
    </row>
    <row r="9149" spans="1:6" ht="25.5" x14ac:dyDescent="0.2">
      <c r="A9149" s="391">
        <v>100207</v>
      </c>
      <c r="B9149" s="478" t="s">
        <v>5213</v>
      </c>
      <c r="C9149" s="391" t="s">
        <v>5211</v>
      </c>
      <c r="D9149" s="479">
        <v>518.88</v>
      </c>
      <c r="E9149" s="368"/>
      <c r="F9149" s="368"/>
    </row>
    <row r="9150" spans="1:6" ht="25.5" x14ac:dyDescent="0.2">
      <c r="A9150" s="391">
        <v>100211</v>
      </c>
      <c r="B9150" s="478" t="s">
        <v>5218</v>
      </c>
      <c r="C9150" s="391" t="s">
        <v>5215</v>
      </c>
      <c r="D9150" s="479">
        <v>6.98</v>
      </c>
      <c r="E9150" s="368"/>
      <c r="F9150" s="368"/>
    </row>
    <row r="9151" spans="1:6" ht="25.5" x14ac:dyDescent="0.2">
      <c r="A9151" s="391">
        <v>100210</v>
      </c>
      <c r="B9151" s="478" t="s">
        <v>5217</v>
      </c>
      <c r="C9151" s="391" t="s">
        <v>5215</v>
      </c>
      <c r="D9151" s="479">
        <v>18.100000000000001</v>
      </c>
      <c r="E9151" s="368"/>
      <c r="F9151" s="368"/>
    </row>
    <row r="9152" spans="1:6" ht="25.5" x14ac:dyDescent="0.2">
      <c r="A9152" s="391">
        <v>100221</v>
      </c>
      <c r="B9152" s="478" t="s">
        <v>5229</v>
      </c>
      <c r="C9152" s="391" t="s">
        <v>5228</v>
      </c>
      <c r="D9152" s="479">
        <v>32</v>
      </c>
      <c r="E9152" s="368"/>
      <c r="F9152" s="368"/>
    </row>
    <row r="9153" spans="1:6" ht="25.5" x14ac:dyDescent="0.2">
      <c r="A9153" s="391">
        <v>100203</v>
      </c>
      <c r="B9153" s="478" t="s">
        <v>5208</v>
      </c>
      <c r="C9153" s="391" t="s">
        <v>5200</v>
      </c>
      <c r="D9153" s="479">
        <v>1.1200000000000001</v>
      </c>
      <c r="E9153" s="368"/>
      <c r="F9153" s="368"/>
    </row>
    <row r="9154" spans="1:6" ht="25.5" x14ac:dyDescent="0.2">
      <c r="A9154" s="391">
        <v>100202</v>
      </c>
      <c r="B9154" s="478" t="s">
        <v>5207</v>
      </c>
      <c r="C9154" s="391" t="s">
        <v>5200</v>
      </c>
      <c r="D9154" s="479">
        <v>0.94</v>
      </c>
      <c r="E9154" s="368"/>
      <c r="F9154" s="368"/>
    </row>
    <row r="9155" spans="1:6" ht="25.5" x14ac:dyDescent="0.2">
      <c r="A9155" s="391">
        <v>100201</v>
      </c>
      <c r="B9155" s="478" t="s">
        <v>5206</v>
      </c>
      <c r="C9155" s="391" t="s">
        <v>5200</v>
      </c>
      <c r="D9155" s="479">
        <v>0.81</v>
      </c>
      <c r="E9155" s="368"/>
      <c r="F9155" s="368"/>
    </row>
    <row r="9156" spans="1:6" ht="38.25" x14ac:dyDescent="0.2">
      <c r="A9156" s="391">
        <v>100216</v>
      </c>
      <c r="B9156" s="478" t="s">
        <v>5223</v>
      </c>
      <c r="C9156" s="391" t="s">
        <v>5215</v>
      </c>
      <c r="D9156" s="479">
        <v>0.98</v>
      </c>
      <c r="E9156" s="368"/>
      <c r="F9156" s="368"/>
    </row>
    <row r="9157" spans="1:6" ht="38.25" x14ac:dyDescent="0.2">
      <c r="A9157" s="391">
        <v>100215</v>
      </c>
      <c r="B9157" s="478" t="s">
        <v>5222</v>
      </c>
      <c r="C9157" s="391" t="s">
        <v>5215</v>
      </c>
      <c r="D9157" s="479">
        <v>3.64</v>
      </c>
      <c r="E9157" s="368"/>
      <c r="F9157" s="368"/>
    </row>
    <row r="9158" spans="1:6" ht="25.5" x14ac:dyDescent="0.2">
      <c r="A9158" s="391">
        <v>100214</v>
      </c>
      <c r="B9158" s="478" t="s">
        <v>5221</v>
      </c>
      <c r="C9158" s="391" t="s">
        <v>5215</v>
      </c>
      <c r="D9158" s="479">
        <v>4.25</v>
      </c>
      <c r="E9158" s="368"/>
      <c r="F9158" s="368"/>
    </row>
    <row r="9159" spans="1:6" ht="25.5" x14ac:dyDescent="0.2">
      <c r="A9159" s="391">
        <v>100223</v>
      </c>
      <c r="B9159" s="478" t="s">
        <v>5231</v>
      </c>
      <c r="C9159" s="391" t="s">
        <v>5228</v>
      </c>
      <c r="D9159" s="479">
        <v>5.67</v>
      </c>
      <c r="E9159" s="368"/>
      <c r="F9159" s="368"/>
    </row>
    <row r="9160" spans="1:6" ht="25.5" x14ac:dyDescent="0.2">
      <c r="A9160" s="391">
        <v>100280</v>
      </c>
      <c r="B9160" s="478" t="s">
        <v>5290</v>
      </c>
      <c r="C9160" s="391" t="s">
        <v>5215</v>
      </c>
      <c r="D9160" s="479">
        <v>18.61</v>
      </c>
      <c r="E9160" s="368"/>
      <c r="F9160" s="368"/>
    </row>
    <row r="9161" spans="1:6" ht="38.25" x14ac:dyDescent="0.2">
      <c r="A9161" s="391">
        <v>100270</v>
      </c>
      <c r="B9161" s="478" t="s">
        <v>5280</v>
      </c>
      <c r="C9161" s="391" t="s">
        <v>5215</v>
      </c>
      <c r="D9161" s="479">
        <v>63.49</v>
      </c>
      <c r="E9161" s="368"/>
      <c r="F9161" s="368"/>
    </row>
    <row r="9162" spans="1:6" ht="25.5" x14ac:dyDescent="0.2">
      <c r="A9162" s="391">
        <v>100286</v>
      </c>
      <c r="B9162" s="478" t="s">
        <v>5296</v>
      </c>
      <c r="C9162" s="391" t="s">
        <v>5246</v>
      </c>
      <c r="D9162" s="479">
        <v>13.89</v>
      </c>
      <c r="E9162" s="368"/>
      <c r="F9162" s="368"/>
    </row>
    <row r="9163" spans="1:6" ht="38.25" x14ac:dyDescent="0.2">
      <c r="A9163" s="391">
        <v>100213</v>
      </c>
      <c r="B9163" s="478" t="s">
        <v>5220</v>
      </c>
      <c r="C9163" s="391" t="s">
        <v>5215</v>
      </c>
      <c r="D9163" s="479">
        <v>2.77</v>
      </c>
      <c r="E9163" s="368"/>
      <c r="F9163" s="368"/>
    </row>
    <row r="9164" spans="1:6" ht="38.25" x14ac:dyDescent="0.2">
      <c r="A9164" s="391">
        <v>100212</v>
      </c>
      <c r="B9164" s="478" t="s">
        <v>5219</v>
      </c>
      <c r="C9164" s="391" t="s">
        <v>5215</v>
      </c>
      <c r="D9164" s="479">
        <v>7.71</v>
      </c>
      <c r="E9164" s="368"/>
      <c r="F9164" s="368"/>
    </row>
    <row r="9165" spans="1:6" ht="25.5" x14ac:dyDescent="0.2">
      <c r="A9165" s="391">
        <v>100222</v>
      </c>
      <c r="B9165" s="478" t="s">
        <v>5230</v>
      </c>
      <c r="C9165" s="391" t="s">
        <v>5228</v>
      </c>
      <c r="D9165" s="479">
        <v>12.12</v>
      </c>
      <c r="E9165" s="368"/>
      <c r="F9165" s="368"/>
    </row>
    <row r="9166" spans="1:6" ht="25.5" x14ac:dyDescent="0.2">
      <c r="A9166" s="391">
        <v>100226</v>
      </c>
      <c r="B9166" s="478" t="s">
        <v>5235</v>
      </c>
      <c r="C9166" s="391" t="s">
        <v>5234</v>
      </c>
      <c r="D9166" s="479">
        <v>0.69</v>
      </c>
      <c r="E9166" s="368"/>
      <c r="F9166" s="368"/>
    </row>
    <row r="9167" spans="1:6" ht="25.5" x14ac:dyDescent="0.2">
      <c r="A9167" s="391">
        <v>100200</v>
      </c>
      <c r="B9167" s="478" t="s">
        <v>5205</v>
      </c>
      <c r="C9167" s="391" t="s">
        <v>5200</v>
      </c>
      <c r="D9167" s="479">
        <v>0.4</v>
      </c>
      <c r="E9167" s="368"/>
      <c r="F9167" s="368"/>
    </row>
    <row r="9168" spans="1:6" ht="25.5" x14ac:dyDescent="0.2">
      <c r="A9168" s="391">
        <v>100199</v>
      </c>
      <c r="B9168" s="478" t="s">
        <v>5204</v>
      </c>
      <c r="C9168" s="391" t="s">
        <v>5200</v>
      </c>
      <c r="D9168" s="479">
        <v>0.33</v>
      </c>
      <c r="E9168" s="368"/>
      <c r="F9168" s="368"/>
    </row>
    <row r="9169" spans="1:6" ht="25.5" x14ac:dyDescent="0.2">
      <c r="A9169" s="391">
        <v>100198</v>
      </c>
      <c r="B9169" s="478" t="s">
        <v>5203</v>
      </c>
      <c r="C9169" s="391" t="s">
        <v>5200</v>
      </c>
      <c r="D9169" s="479">
        <v>0.27</v>
      </c>
      <c r="E9169" s="368"/>
      <c r="F9169" s="368"/>
    </row>
    <row r="9170" spans="1:6" ht="25.5" x14ac:dyDescent="0.2">
      <c r="A9170" s="391">
        <v>100283</v>
      </c>
      <c r="B9170" s="478" t="s">
        <v>5293</v>
      </c>
      <c r="C9170" s="391" t="s">
        <v>5228</v>
      </c>
      <c r="D9170" s="479">
        <v>25.63</v>
      </c>
      <c r="E9170" s="368"/>
      <c r="F9170" s="368"/>
    </row>
    <row r="9171" spans="1:6" ht="25.5" x14ac:dyDescent="0.2">
      <c r="A9171" s="391">
        <v>100227</v>
      </c>
      <c r="B9171" s="478" t="s">
        <v>5236</v>
      </c>
      <c r="C9171" s="391" t="s">
        <v>5234</v>
      </c>
      <c r="D9171" s="479">
        <v>1.03</v>
      </c>
      <c r="E9171" s="368"/>
      <c r="F9171" s="368"/>
    </row>
    <row r="9172" spans="1:6" ht="25.5" x14ac:dyDescent="0.2">
      <c r="A9172" s="391">
        <v>100205</v>
      </c>
      <c r="B9172" s="478" t="s">
        <v>5210</v>
      </c>
      <c r="C9172" s="391" t="s">
        <v>5211</v>
      </c>
      <c r="D9172" s="479">
        <v>1485.66</v>
      </c>
      <c r="E9172" s="368"/>
      <c r="F9172" s="368"/>
    </row>
    <row r="9173" spans="1:6" ht="25.5" x14ac:dyDescent="0.2">
      <c r="A9173" s="391">
        <v>100206</v>
      </c>
      <c r="B9173" s="478" t="s">
        <v>5212</v>
      </c>
      <c r="C9173" s="391" t="s">
        <v>5211</v>
      </c>
      <c r="D9173" s="479">
        <v>1073.8800000000001</v>
      </c>
      <c r="E9173" s="368"/>
      <c r="F9173" s="368"/>
    </row>
    <row r="9174" spans="1:6" ht="25.5" x14ac:dyDescent="0.2">
      <c r="A9174" s="391">
        <v>100281</v>
      </c>
      <c r="B9174" s="478" t="s">
        <v>5291</v>
      </c>
      <c r="C9174" s="391" t="s">
        <v>5215</v>
      </c>
      <c r="D9174" s="479">
        <v>4.28</v>
      </c>
      <c r="E9174" s="368"/>
      <c r="F9174" s="368"/>
    </row>
    <row r="9175" spans="1:6" ht="38.25" x14ac:dyDescent="0.2">
      <c r="A9175" s="391">
        <v>100219</v>
      </c>
      <c r="B9175" s="478" t="s">
        <v>5226</v>
      </c>
      <c r="C9175" s="391" t="s">
        <v>5215</v>
      </c>
      <c r="D9175" s="479">
        <v>0.53</v>
      </c>
      <c r="E9175" s="368"/>
      <c r="F9175" s="368"/>
    </row>
    <row r="9176" spans="1:6" ht="38.25" x14ac:dyDescent="0.2">
      <c r="A9176" s="391">
        <v>100218</v>
      </c>
      <c r="B9176" s="478" t="s">
        <v>5225</v>
      </c>
      <c r="C9176" s="391" t="s">
        <v>5215</v>
      </c>
      <c r="D9176" s="479">
        <v>2.38</v>
      </c>
      <c r="E9176" s="368"/>
      <c r="F9176" s="368"/>
    </row>
    <row r="9177" spans="1:6" ht="25.5" x14ac:dyDescent="0.2">
      <c r="A9177" s="391">
        <v>100217</v>
      </c>
      <c r="B9177" s="478" t="s">
        <v>5224</v>
      </c>
      <c r="C9177" s="391" t="s">
        <v>5215</v>
      </c>
      <c r="D9177" s="479">
        <v>3.49</v>
      </c>
      <c r="E9177" s="368"/>
      <c r="F9177" s="368"/>
    </row>
    <row r="9178" spans="1:6" ht="25.5" x14ac:dyDescent="0.2">
      <c r="A9178" s="391">
        <v>100224</v>
      </c>
      <c r="B9178" s="478" t="s">
        <v>5232</v>
      </c>
      <c r="C9178" s="391" t="s">
        <v>5228</v>
      </c>
      <c r="D9178" s="479">
        <v>3.49</v>
      </c>
      <c r="E9178" s="368"/>
      <c r="F9178" s="368"/>
    </row>
    <row r="9179" spans="1:6" ht="25.5" x14ac:dyDescent="0.2">
      <c r="A9179" s="391">
        <v>100228</v>
      </c>
      <c r="B9179" s="478" t="s">
        <v>5237</v>
      </c>
      <c r="C9179" s="391" t="s">
        <v>5234</v>
      </c>
      <c r="D9179" s="479">
        <v>0.35</v>
      </c>
      <c r="E9179" s="368"/>
      <c r="F9179" s="368"/>
    </row>
    <row r="9180" spans="1:6" ht="25.5" x14ac:dyDescent="0.2">
      <c r="A9180" s="391">
        <v>100204</v>
      </c>
      <c r="B9180" s="478" t="s">
        <v>5209</v>
      </c>
      <c r="C9180" s="391" t="s">
        <v>5200</v>
      </c>
      <c r="D9180" s="479">
        <v>0.13</v>
      </c>
      <c r="E9180" s="368"/>
      <c r="F9180" s="368"/>
    </row>
    <row r="9181" spans="1:6" ht="25.5" x14ac:dyDescent="0.2">
      <c r="A9181" s="391">
        <v>100284</v>
      </c>
      <c r="B9181" s="478" t="s">
        <v>5294</v>
      </c>
      <c r="C9181" s="391" t="s">
        <v>5228</v>
      </c>
      <c r="D9181" s="479">
        <v>12.51</v>
      </c>
      <c r="E9181" s="368"/>
      <c r="F9181" s="368"/>
    </row>
    <row r="9182" spans="1:6" ht="38.25" x14ac:dyDescent="0.2">
      <c r="A9182" s="391">
        <v>100277</v>
      </c>
      <c r="B9182" s="478" t="s">
        <v>5287</v>
      </c>
      <c r="C9182" s="391" t="s">
        <v>5228</v>
      </c>
      <c r="D9182" s="479">
        <v>2.2200000000000002</v>
      </c>
      <c r="E9182" s="368"/>
      <c r="F9182" s="368"/>
    </row>
    <row r="9183" spans="1:6" ht="25.5" x14ac:dyDescent="0.2">
      <c r="A9183" s="391">
        <v>100278</v>
      </c>
      <c r="B9183" s="478" t="s">
        <v>5288</v>
      </c>
      <c r="C9183" s="391" t="s">
        <v>5215</v>
      </c>
      <c r="D9183" s="479">
        <v>40.520000000000003</v>
      </c>
      <c r="E9183" s="368"/>
      <c r="F9183" s="368"/>
    </row>
    <row r="9184" spans="1:6" ht="38.25" x14ac:dyDescent="0.2">
      <c r="A9184" s="391">
        <v>100268</v>
      </c>
      <c r="B9184" s="478" t="s">
        <v>5278</v>
      </c>
      <c r="C9184" s="391" t="s">
        <v>5215</v>
      </c>
      <c r="D9184" s="479">
        <v>84.7</v>
      </c>
      <c r="E9184" s="368"/>
      <c r="F9184" s="368"/>
    </row>
    <row r="9185" spans="1:6" ht="25.5" x14ac:dyDescent="0.2">
      <c r="A9185" s="391">
        <v>100285</v>
      </c>
      <c r="B9185" s="478" t="s">
        <v>5295</v>
      </c>
      <c r="C9185" s="391" t="s">
        <v>5246</v>
      </c>
      <c r="D9185" s="479">
        <v>42.64</v>
      </c>
      <c r="E9185" s="368"/>
      <c r="F9185" s="368"/>
    </row>
    <row r="9186" spans="1:6" ht="25.5" x14ac:dyDescent="0.2">
      <c r="A9186" s="391">
        <v>100209</v>
      </c>
      <c r="B9186" s="478" t="s">
        <v>5216</v>
      </c>
      <c r="C9186" s="391" t="s">
        <v>5215</v>
      </c>
      <c r="D9186" s="479">
        <v>9.82</v>
      </c>
      <c r="E9186" s="368"/>
      <c r="F9186" s="368"/>
    </row>
    <row r="9187" spans="1:6" ht="25.5" x14ac:dyDescent="0.2">
      <c r="A9187" s="391">
        <v>100208</v>
      </c>
      <c r="B9187" s="478" t="s">
        <v>5214</v>
      </c>
      <c r="C9187" s="391" t="s">
        <v>5215</v>
      </c>
      <c r="D9187" s="479">
        <v>19.649999999999999</v>
      </c>
      <c r="E9187" s="368"/>
      <c r="F9187" s="368"/>
    </row>
    <row r="9188" spans="1:6" ht="25.5" x14ac:dyDescent="0.2">
      <c r="A9188" s="391">
        <v>100256</v>
      </c>
      <c r="B9188" s="478" t="s">
        <v>5266</v>
      </c>
      <c r="C9188" s="391" t="s">
        <v>5246</v>
      </c>
      <c r="D9188" s="479">
        <v>9</v>
      </c>
      <c r="E9188" s="368"/>
      <c r="F9188" s="368"/>
    </row>
    <row r="9189" spans="1:6" ht="25.5" x14ac:dyDescent="0.2">
      <c r="A9189" s="391">
        <v>100220</v>
      </c>
      <c r="B9189" s="478" t="s">
        <v>5227</v>
      </c>
      <c r="C9189" s="391" t="s">
        <v>5228</v>
      </c>
      <c r="D9189" s="479">
        <v>28.23</v>
      </c>
      <c r="E9189" s="368"/>
      <c r="F9189" s="368"/>
    </row>
    <row r="9190" spans="1:6" ht="25.5" x14ac:dyDescent="0.2">
      <c r="A9190" s="391">
        <v>100287</v>
      </c>
      <c r="B9190" s="478" t="s">
        <v>5297</v>
      </c>
      <c r="C9190" s="391" t="s">
        <v>5246</v>
      </c>
      <c r="D9190" s="479">
        <v>13.3</v>
      </c>
      <c r="E9190" s="368"/>
      <c r="F9190" s="368"/>
    </row>
    <row r="9191" spans="1:6" ht="25.5" x14ac:dyDescent="0.2">
      <c r="A9191" s="391">
        <v>100274</v>
      </c>
      <c r="B9191" s="478" t="s">
        <v>5284</v>
      </c>
      <c r="C9191" s="391" t="s">
        <v>5228</v>
      </c>
      <c r="D9191" s="479">
        <v>28.25</v>
      </c>
      <c r="E9191" s="368"/>
      <c r="F9191" s="368"/>
    </row>
    <row r="9192" spans="1:6" x14ac:dyDescent="0.2">
      <c r="A9192" s="391">
        <v>100264</v>
      </c>
      <c r="B9192" s="478" t="s">
        <v>5274</v>
      </c>
      <c r="C9192" s="391" t="s">
        <v>5228</v>
      </c>
      <c r="D9192" s="479">
        <v>39.85</v>
      </c>
      <c r="E9192" s="368"/>
      <c r="F9192" s="368"/>
    </row>
    <row r="9193" spans="1:6" ht="25.5" x14ac:dyDescent="0.2">
      <c r="A9193" s="391">
        <v>100225</v>
      </c>
      <c r="B9193" s="478" t="s">
        <v>5233</v>
      </c>
      <c r="C9193" s="391" t="s">
        <v>5234</v>
      </c>
      <c r="D9193" s="479">
        <v>2.21</v>
      </c>
      <c r="E9193" s="368"/>
      <c r="F9193" s="368"/>
    </row>
    <row r="9194" spans="1:6" ht="25.5" x14ac:dyDescent="0.2">
      <c r="A9194" s="391">
        <v>100266</v>
      </c>
      <c r="B9194" s="478" t="s">
        <v>5276</v>
      </c>
      <c r="C9194" s="391" t="s">
        <v>5215</v>
      </c>
      <c r="D9194" s="479">
        <v>84.7</v>
      </c>
      <c r="E9194" s="368"/>
      <c r="F9194" s="368"/>
    </row>
    <row r="9195" spans="1:6" ht="25.5" x14ac:dyDescent="0.2">
      <c r="A9195" s="391">
        <v>100257</v>
      </c>
      <c r="B9195" s="478" t="s">
        <v>5267</v>
      </c>
      <c r="C9195" s="391" t="s">
        <v>5246</v>
      </c>
      <c r="D9195" s="479">
        <v>5.4</v>
      </c>
      <c r="E9195" s="368"/>
      <c r="F9195" s="368"/>
    </row>
    <row r="9196" spans="1:6" ht="25.5" x14ac:dyDescent="0.2">
      <c r="A9196" s="391">
        <v>100197</v>
      </c>
      <c r="B9196" s="478" t="s">
        <v>5202</v>
      </c>
      <c r="C9196" s="391" t="s">
        <v>5200</v>
      </c>
      <c r="D9196" s="479">
        <v>1.99</v>
      </c>
      <c r="E9196" s="368"/>
      <c r="F9196" s="368"/>
    </row>
    <row r="9197" spans="1:6" ht="25.5" x14ac:dyDescent="0.2">
      <c r="A9197" s="391">
        <v>100196</v>
      </c>
      <c r="B9197" s="478" t="s">
        <v>5201</v>
      </c>
      <c r="C9197" s="391" t="s">
        <v>5200</v>
      </c>
      <c r="D9197" s="479">
        <v>1.33</v>
      </c>
      <c r="E9197" s="368"/>
      <c r="F9197" s="368"/>
    </row>
    <row r="9198" spans="1:6" ht="25.5" x14ac:dyDescent="0.2">
      <c r="A9198" s="391">
        <v>100195</v>
      </c>
      <c r="B9198" s="478" t="s">
        <v>5199</v>
      </c>
      <c r="C9198" s="391" t="s">
        <v>5200</v>
      </c>
      <c r="D9198" s="479">
        <v>0.79</v>
      </c>
      <c r="E9198" s="368"/>
      <c r="F9198" s="368"/>
    </row>
    <row r="9199" spans="1:6" ht="25.5" x14ac:dyDescent="0.2">
      <c r="A9199" s="391">
        <v>100273</v>
      </c>
      <c r="B9199" s="478" t="s">
        <v>5283</v>
      </c>
      <c r="C9199" s="391" t="s">
        <v>5200</v>
      </c>
      <c r="D9199" s="479">
        <v>3.31</v>
      </c>
      <c r="E9199" s="368"/>
      <c r="F9199" s="368"/>
    </row>
    <row r="9200" spans="1:6" ht="25.5" x14ac:dyDescent="0.2">
      <c r="A9200" s="391">
        <v>100282</v>
      </c>
      <c r="B9200" s="478" t="s">
        <v>5292</v>
      </c>
      <c r="C9200" s="391" t="s">
        <v>5228</v>
      </c>
      <c r="D9200" s="479">
        <v>158.69999999999999</v>
      </c>
      <c r="E9200" s="368"/>
      <c r="F9200" s="368"/>
    </row>
    <row r="9201" spans="1:6" ht="38.25" x14ac:dyDescent="0.2">
      <c r="A9201" s="391">
        <v>100276</v>
      </c>
      <c r="B9201" s="478" t="s">
        <v>5286</v>
      </c>
      <c r="C9201" s="391" t="s">
        <v>5228</v>
      </c>
      <c r="D9201" s="479">
        <v>33.33</v>
      </c>
      <c r="E9201" s="368"/>
      <c r="F9201" s="368"/>
    </row>
    <row r="9202" spans="1:6" ht="25.5" x14ac:dyDescent="0.2">
      <c r="A9202" s="391">
        <v>100275</v>
      </c>
      <c r="B9202" s="478" t="s">
        <v>5285</v>
      </c>
      <c r="C9202" s="391" t="s">
        <v>5228</v>
      </c>
      <c r="D9202" s="479">
        <v>18.260000000000002</v>
      </c>
      <c r="E9202" s="368"/>
      <c r="F9202" s="368"/>
    </row>
    <row r="9203" spans="1:6" ht="38.25" x14ac:dyDescent="0.2">
      <c r="A9203" s="391">
        <v>100254</v>
      </c>
      <c r="B9203" s="478" t="s">
        <v>5264</v>
      </c>
      <c r="C9203" s="391" t="s">
        <v>5246</v>
      </c>
      <c r="D9203" s="479">
        <v>39.909999999999997</v>
      </c>
      <c r="E9203" s="368"/>
      <c r="F9203" s="368"/>
    </row>
    <row r="9204" spans="1:6" ht="38.25" x14ac:dyDescent="0.2">
      <c r="A9204" s="391">
        <v>100250</v>
      </c>
      <c r="B9204" s="478" t="s">
        <v>5260</v>
      </c>
      <c r="C9204" s="391" t="s">
        <v>5246</v>
      </c>
      <c r="D9204" s="479">
        <v>4.5</v>
      </c>
      <c r="E9204" s="368"/>
      <c r="F9204" s="368"/>
    </row>
    <row r="9205" spans="1:6" ht="38.25" x14ac:dyDescent="0.2">
      <c r="A9205" s="391">
        <v>100251</v>
      </c>
      <c r="B9205" s="478" t="s">
        <v>5261</v>
      </c>
      <c r="C9205" s="391" t="s">
        <v>5246</v>
      </c>
      <c r="D9205" s="479">
        <v>13.3</v>
      </c>
      <c r="E9205" s="368"/>
      <c r="F9205" s="368"/>
    </row>
    <row r="9206" spans="1:6" ht="38.25" x14ac:dyDescent="0.2">
      <c r="A9206" s="391">
        <v>100252</v>
      </c>
      <c r="B9206" s="478" t="s">
        <v>5262</v>
      </c>
      <c r="C9206" s="391" t="s">
        <v>5246</v>
      </c>
      <c r="D9206" s="479">
        <v>19.95</v>
      </c>
      <c r="E9206" s="368"/>
      <c r="F9206" s="368"/>
    </row>
    <row r="9207" spans="1:6" ht="38.25" x14ac:dyDescent="0.2">
      <c r="A9207" s="391">
        <v>100253</v>
      </c>
      <c r="B9207" s="478" t="s">
        <v>5263</v>
      </c>
      <c r="C9207" s="391" t="s">
        <v>5246</v>
      </c>
      <c r="D9207" s="479">
        <v>26.61</v>
      </c>
      <c r="E9207" s="368"/>
      <c r="F9207" s="368"/>
    </row>
    <row r="9208" spans="1:6" ht="38.25" x14ac:dyDescent="0.2">
      <c r="A9208" s="391">
        <v>100249</v>
      </c>
      <c r="B9208" s="478" t="s">
        <v>5259</v>
      </c>
      <c r="C9208" s="391" t="s">
        <v>5246</v>
      </c>
      <c r="D9208" s="479">
        <v>2.7</v>
      </c>
      <c r="E9208" s="368"/>
      <c r="F9208" s="368"/>
    </row>
    <row r="9209" spans="1:6" ht="38.25" x14ac:dyDescent="0.2">
      <c r="A9209" s="391">
        <v>100244</v>
      </c>
      <c r="B9209" s="478" t="s">
        <v>5254</v>
      </c>
      <c r="C9209" s="391" t="s">
        <v>5246</v>
      </c>
      <c r="D9209" s="479">
        <v>4.05</v>
      </c>
      <c r="E9209" s="368"/>
      <c r="F9209" s="368"/>
    </row>
    <row r="9210" spans="1:6" ht="38.25" x14ac:dyDescent="0.2">
      <c r="A9210" s="391">
        <v>100245</v>
      </c>
      <c r="B9210" s="478" t="s">
        <v>5255</v>
      </c>
      <c r="C9210" s="391" t="s">
        <v>5246</v>
      </c>
      <c r="D9210" s="479">
        <v>8.1</v>
      </c>
      <c r="E9210" s="368"/>
      <c r="F9210" s="368"/>
    </row>
    <row r="9211" spans="1:6" ht="25.5" x14ac:dyDescent="0.2">
      <c r="A9211" s="391">
        <v>100243</v>
      </c>
      <c r="B9211" s="478" t="s">
        <v>5253</v>
      </c>
      <c r="C9211" s="391" t="s">
        <v>5246</v>
      </c>
      <c r="D9211" s="479">
        <v>3.24</v>
      </c>
      <c r="E9211" s="368"/>
      <c r="F9211" s="368"/>
    </row>
    <row r="9212" spans="1:6" ht="25.5" x14ac:dyDescent="0.2">
      <c r="A9212" s="391">
        <v>100239</v>
      </c>
      <c r="B9212" s="478" t="s">
        <v>5249</v>
      </c>
      <c r="C9212" s="391" t="s">
        <v>5246</v>
      </c>
      <c r="D9212" s="479">
        <v>6.75</v>
      </c>
      <c r="E9212" s="368"/>
      <c r="F9212" s="368"/>
    </row>
    <row r="9213" spans="1:6" ht="25.5" x14ac:dyDescent="0.2">
      <c r="A9213" s="391">
        <v>100238</v>
      </c>
      <c r="B9213" s="478" t="s">
        <v>5248</v>
      </c>
      <c r="C9213" s="391" t="s">
        <v>5246</v>
      </c>
      <c r="D9213" s="479">
        <v>5.4</v>
      </c>
      <c r="E9213" s="368"/>
      <c r="F9213" s="368"/>
    </row>
    <row r="9214" spans="1:6" ht="38.25" x14ac:dyDescent="0.2">
      <c r="A9214" s="391">
        <v>100241</v>
      </c>
      <c r="B9214" s="478" t="s">
        <v>5251</v>
      </c>
      <c r="C9214" s="391" t="s">
        <v>5246</v>
      </c>
      <c r="D9214" s="479">
        <v>6.75</v>
      </c>
      <c r="E9214" s="368"/>
      <c r="F9214" s="368"/>
    </row>
    <row r="9215" spans="1:6" ht="38.25" x14ac:dyDescent="0.2">
      <c r="A9215" s="391">
        <v>100242</v>
      </c>
      <c r="B9215" s="478" t="s">
        <v>5252</v>
      </c>
      <c r="C9215" s="391" t="s">
        <v>5246</v>
      </c>
      <c r="D9215" s="479">
        <v>19.95</v>
      </c>
      <c r="E9215" s="368"/>
      <c r="F9215" s="368"/>
    </row>
    <row r="9216" spans="1:6" ht="25.5" x14ac:dyDescent="0.2">
      <c r="A9216" s="391">
        <v>100240</v>
      </c>
      <c r="B9216" s="478" t="s">
        <v>5250</v>
      </c>
      <c r="C9216" s="391" t="s">
        <v>5246</v>
      </c>
      <c r="D9216" s="479">
        <v>4.05</v>
      </c>
      <c r="E9216" s="368"/>
      <c r="F9216" s="368"/>
    </row>
    <row r="9217" spans="1:6" ht="38.25" x14ac:dyDescent="0.2">
      <c r="A9217" s="391">
        <v>100237</v>
      </c>
      <c r="B9217" s="478" t="s">
        <v>5247</v>
      </c>
      <c r="C9217" s="391" t="s">
        <v>5246</v>
      </c>
      <c r="D9217" s="479">
        <v>3.37</v>
      </c>
      <c r="E9217" s="368"/>
      <c r="F9217" s="368"/>
    </row>
    <row r="9218" spans="1:6" ht="25.5" x14ac:dyDescent="0.2">
      <c r="A9218" s="391">
        <v>100236</v>
      </c>
      <c r="B9218" s="478" t="s">
        <v>5245</v>
      </c>
      <c r="C9218" s="391" t="s">
        <v>5246</v>
      </c>
      <c r="D9218" s="479">
        <v>2.81</v>
      </c>
      <c r="E9218" s="368"/>
      <c r="F9218" s="368"/>
    </row>
    <row r="9219" spans="1:6" ht="51" x14ac:dyDescent="0.2">
      <c r="A9219" s="391">
        <v>100248</v>
      </c>
      <c r="B9219" s="478" t="s">
        <v>5258</v>
      </c>
      <c r="C9219" s="391" t="s">
        <v>5246</v>
      </c>
      <c r="D9219" s="479">
        <v>13.3</v>
      </c>
      <c r="E9219" s="368"/>
      <c r="F9219" s="368"/>
    </row>
    <row r="9220" spans="1:6" ht="51" x14ac:dyDescent="0.2">
      <c r="A9220" s="391">
        <v>100247</v>
      </c>
      <c r="B9220" s="478" t="s">
        <v>5257</v>
      </c>
      <c r="C9220" s="391" t="s">
        <v>5246</v>
      </c>
      <c r="D9220" s="479">
        <v>3.37</v>
      </c>
      <c r="E9220" s="368"/>
      <c r="F9220" s="368"/>
    </row>
    <row r="9221" spans="1:6" ht="51" x14ac:dyDescent="0.2">
      <c r="A9221" s="391">
        <v>100246</v>
      </c>
      <c r="B9221" s="478" t="s">
        <v>5256</v>
      </c>
      <c r="C9221" s="391" t="s">
        <v>5246</v>
      </c>
      <c r="D9221" s="479">
        <v>2.7</v>
      </c>
      <c r="E9221" s="368"/>
      <c r="F9221" s="368"/>
    </row>
    <row r="9222" spans="1:6" ht="25.5" x14ac:dyDescent="0.2">
      <c r="A9222" s="391">
        <v>100255</v>
      </c>
      <c r="B9222" s="478" t="s">
        <v>5265</v>
      </c>
      <c r="C9222" s="391" t="s">
        <v>5246</v>
      </c>
      <c r="D9222" s="479">
        <v>13.5</v>
      </c>
      <c r="E9222" s="368"/>
      <c r="F9222" s="368"/>
    </row>
    <row r="9223" spans="1:6" ht="38.25" x14ac:dyDescent="0.2">
      <c r="A9223" s="391">
        <v>100263</v>
      </c>
      <c r="B9223" s="478" t="s">
        <v>5273</v>
      </c>
      <c r="C9223" s="391" t="s">
        <v>5200</v>
      </c>
      <c r="D9223" s="479">
        <v>2.19</v>
      </c>
      <c r="E9223" s="368"/>
      <c r="F9223" s="368"/>
    </row>
    <row r="9224" spans="1:6" ht="25.5" x14ac:dyDescent="0.2">
      <c r="A9224" s="391">
        <v>100260</v>
      </c>
      <c r="B9224" s="478" t="s">
        <v>5270</v>
      </c>
      <c r="C9224" s="391" t="s">
        <v>5200</v>
      </c>
      <c r="D9224" s="479">
        <v>8.77</v>
      </c>
      <c r="E9224" s="368"/>
      <c r="F9224" s="368"/>
    </row>
    <row r="9225" spans="1:6" ht="25.5" x14ac:dyDescent="0.2">
      <c r="A9225" s="391">
        <v>100261</v>
      </c>
      <c r="B9225" s="478" t="s">
        <v>5271</v>
      </c>
      <c r="C9225" s="391" t="s">
        <v>5200</v>
      </c>
      <c r="D9225" s="479">
        <v>5.51</v>
      </c>
      <c r="E9225" s="368"/>
      <c r="F9225" s="368"/>
    </row>
    <row r="9226" spans="1:6" ht="25.5" x14ac:dyDescent="0.2">
      <c r="A9226" s="391">
        <v>100262</v>
      </c>
      <c r="B9226" s="478" t="s">
        <v>5272</v>
      </c>
      <c r="C9226" s="391" t="s">
        <v>5200</v>
      </c>
      <c r="D9226" s="479">
        <v>3.41</v>
      </c>
      <c r="E9226" s="368"/>
      <c r="F9226" s="368"/>
    </row>
    <row r="9227" spans="1:6" x14ac:dyDescent="0.2">
      <c r="A9227" s="391">
        <v>100271</v>
      </c>
      <c r="B9227" s="478" t="s">
        <v>5281</v>
      </c>
      <c r="C9227" s="391" t="s">
        <v>5228</v>
      </c>
      <c r="D9227" s="479">
        <v>63.53</v>
      </c>
      <c r="E9227" s="368"/>
      <c r="F9227" s="368"/>
    </row>
    <row r="9228" spans="1:6" ht="25.5" x14ac:dyDescent="0.2">
      <c r="A9228" s="391">
        <v>100258</v>
      </c>
      <c r="B9228" s="478" t="s">
        <v>5268</v>
      </c>
      <c r="C9228" s="391" t="s">
        <v>5246</v>
      </c>
      <c r="D9228" s="479">
        <v>13.5</v>
      </c>
      <c r="E9228" s="368"/>
      <c r="F9228" s="368"/>
    </row>
    <row r="9229" spans="1:6" ht="25.5" x14ac:dyDescent="0.2">
      <c r="A9229" s="391">
        <v>100259</v>
      </c>
      <c r="B9229" s="478" t="s">
        <v>5269</v>
      </c>
      <c r="C9229" s="391" t="s">
        <v>5246</v>
      </c>
      <c r="D9229" s="479">
        <v>26.61</v>
      </c>
      <c r="E9229" s="368"/>
      <c r="F9229" s="368"/>
    </row>
    <row r="9230" spans="1:6" ht="25.5" x14ac:dyDescent="0.2">
      <c r="A9230" s="391">
        <v>100279</v>
      </c>
      <c r="B9230" s="478" t="s">
        <v>5289</v>
      </c>
      <c r="C9230" s="391" t="s">
        <v>26</v>
      </c>
      <c r="D9230" s="479">
        <v>0.78</v>
      </c>
      <c r="E9230" s="368"/>
      <c r="F9230" s="368"/>
    </row>
    <row r="9231" spans="1:6" ht="25.5" x14ac:dyDescent="0.2">
      <c r="A9231" s="391">
        <v>100233</v>
      </c>
      <c r="B9231" s="478" t="s">
        <v>5242</v>
      </c>
      <c r="C9231" s="391" t="s">
        <v>26</v>
      </c>
      <c r="D9231" s="479">
        <v>0.18</v>
      </c>
      <c r="E9231" s="368"/>
      <c r="F9231" s="368"/>
    </row>
    <row r="9232" spans="1:6" ht="25.5" x14ac:dyDescent="0.2">
      <c r="A9232" s="391">
        <v>100232</v>
      </c>
      <c r="B9232" s="478" t="s">
        <v>5241</v>
      </c>
      <c r="C9232" s="391" t="s">
        <v>26</v>
      </c>
      <c r="D9232" s="479">
        <v>0.37</v>
      </c>
      <c r="E9232" s="368"/>
      <c r="F9232" s="368"/>
    </row>
    <row r="9233" spans="1:6" ht="25.5" x14ac:dyDescent="0.2">
      <c r="A9233" s="391">
        <v>100234</v>
      </c>
      <c r="B9233" s="478" t="s">
        <v>5243</v>
      </c>
      <c r="C9233" s="391" t="s">
        <v>255</v>
      </c>
      <c r="D9233" s="479">
        <v>0.55000000000000004</v>
      </c>
      <c r="E9233" s="368"/>
      <c r="F9233" s="368"/>
    </row>
    <row r="9234" spans="1:6" ht="25.5" x14ac:dyDescent="0.2">
      <c r="A9234" s="391">
        <v>100265</v>
      </c>
      <c r="B9234" s="478" t="s">
        <v>5275</v>
      </c>
      <c r="C9234" s="391" t="s">
        <v>255</v>
      </c>
      <c r="D9234" s="479">
        <v>0.83</v>
      </c>
      <c r="E9234" s="368"/>
      <c r="F9234" s="368"/>
    </row>
    <row r="9235" spans="1:6" ht="25.5" x14ac:dyDescent="0.2">
      <c r="A9235" s="391">
        <v>100235</v>
      </c>
      <c r="B9235" s="478" t="s">
        <v>5244</v>
      </c>
      <c r="C9235" s="391" t="s">
        <v>9</v>
      </c>
      <c r="D9235" s="479">
        <v>0.04</v>
      </c>
      <c r="E9235" s="368"/>
      <c r="F9235" s="368"/>
    </row>
    <row r="9236" spans="1:6" ht="25.5" x14ac:dyDescent="0.2">
      <c r="A9236" s="391">
        <v>100267</v>
      </c>
      <c r="B9236" s="478" t="s">
        <v>5277</v>
      </c>
      <c r="C9236" s="391" t="s">
        <v>26</v>
      </c>
      <c r="D9236" s="479">
        <v>1.67</v>
      </c>
      <c r="E9236" s="368"/>
      <c r="F9236" s="368"/>
    </row>
    <row r="9237" spans="1:6" ht="25.5" x14ac:dyDescent="0.2">
      <c r="A9237" s="391">
        <v>100231</v>
      </c>
      <c r="B9237" s="478" t="s">
        <v>5240</v>
      </c>
      <c r="C9237" s="391" t="s">
        <v>1284</v>
      </c>
      <c r="D9237" s="479">
        <v>0.03</v>
      </c>
      <c r="E9237" s="368"/>
      <c r="F9237" s="368"/>
    </row>
    <row r="9238" spans="1:6" ht="25.5" x14ac:dyDescent="0.2">
      <c r="A9238" s="391">
        <v>100230</v>
      </c>
      <c r="B9238" s="478" t="s">
        <v>5239</v>
      </c>
      <c r="C9238" s="391" t="s">
        <v>1284</v>
      </c>
      <c r="D9238" s="479">
        <v>0.02</v>
      </c>
      <c r="E9238" s="368"/>
      <c r="F9238" s="368"/>
    </row>
    <row r="9239" spans="1:6" ht="25.5" x14ac:dyDescent="0.2">
      <c r="A9239" s="391">
        <v>100229</v>
      </c>
      <c r="B9239" s="478" t="s">
        <v>5238</v>
      </c>
      <c r="C9239" s="391" t="s">
        <v>1284</v>
      </c>
      <c r="D9239" s="479">
        <v>0.01</v>
      </c>
      <c r="E9239" s="368"/>
      <c r="F9239" s="368"/>
    </row>
    <row r="9240" spans="1:6" ht="25.5" x14ac:dyDescent="0.2">
      <c r="A9240" s="391">
        <v>100272</v>
      </c>
      <c r="B9240" s="478" t="s">
        <v>5282</v>
      </c>
      <c r="C9240" s="391" t="s">
        <v>255</v>
      </c>
      <c r="D9240" s="479">
        <v>1.25</v>
      </c>
      <c r="E9240" s="368"/>
      <c r="F9240" s="368"/>
    </row>
    <row r="9241" spans="1:6" ht="38.25" x14ac:dyDescent="0.2">
      <c r="A9241" s="391">
        <v>100269</v>
      </c>
      <c r="B9241" s="478" t="s">
        <v>5279</v>
      </c>
      <c r="C9241" s="391" t="s">
        <v>26</v>
      </c>
      <c r="D9241" s="479">
        <v>1.67</v>
      </c>
      <c r="E9241" s="368"/>
      <c r="F9241" s="368"/>
    </row>
    <row r="9242" spans="1:6" ht="25.5" x14ac:dyDescent="0.2">
      <c r="A9242" s="391">
        <v>100986</v>
      </c>
      <c r="B9242" s="478" t="s">
        <v>5486</v>
      </c>
      <c r="C9242" s="391" t="s">
        <v>271</v>
      </c>
      <c r="D9242" s="479">
        <v>9.36</v>
      </c>
      <c r="E9242" s="368"/>
      <c r="F9242" s="368"/>
    </row>
    <row r="9243" spans="1:6" ht="25.5" x14ac:dyDescent="0.2">
      <c r="A9243" s="391">
        <v>101002</v>
      </c>
      <c r="B9243" s="478" t="s">
        <v>5498</v>
      </c>
      <c r="C9243" s="391" t="s">
        <v>5477</v>
      </c>
      <c r="D9243" s="479">
        <v>6.23</v>
      </c>
      <c r="E9243" s="368"/>
      <c r="F9243" s="368"/>
    </row>
    <row r="9244" spans="1:6" ht="25.5" x14ac:dyDescent="0.2">
      <c r="A9244" s="391">
        <v>100987</v>
      </c>
      <c r="B9244" s="478" t="s">
        <v>5487</v>
      </c>
      <c r="C9244" s="391" t="s">
        <v>271</v>
      </c>
      <c r="D9244" s="479">
        <v>10.82</v>
      </c>
      <c r="E9244" s="368"/>
      <c r="F9244" s="368"/>
    </row>
    <row r="9245" spans="1:6" ht="25.5" x14ac:dyDescent="0.2">
      <c r="A9245" s="391">
        <v>101003</v>
      </c>
      <c r="B9245" s="478" t="s">
        <v>5499</v>
      </c>
      <c r="C9245" s="391" t="s">
        <v>5477</v>
      </c>
      <c r="D9245" s="479">
        <v>7.2</v>
      </c>
      <c r="E9245" s="368"/>
      <c r="F9245" s="368"/>
    </row>
    <row r="9246" spans="1:6" ht="25.5" x14ac:dyDescent="0.2">
      <c r="A9246" s="391">
        <v>100988</v>
      </c>
      <c r="B9246" s="478" t="s">
        <v>5488</v>
      </c>
      <c r="C9246" s="391" t="s">
        <v>271</v>
      </c>
      <c r="D9246" s="479">
        <v>11.47</v>
      </c>
      <c r="E9246" s="368"/>
      <c r="F9246" s="368"/>
    </row>
    <row r="9247" spans="1:6" ht="25.5" x14ac:dyDescent="0.2">
      <c r="A9247" s="391">
        <v>101004</v>
      </c>
      <c r="B9247" s="478" t="s">
        <v>5500</v>
      </c>
      <c r="C9247" s="391" t="s">
        <v>5477</v>
      </c>
      <c r="D9247" s="479">
        <v>7.64</v>
      </c>
      <c r="E9247" s="368"/>
      <c r="F9247" s="368"/>
    </row>
    <row r="9248" spans="1:6" ht="25.5" x14ac:dyDescent="0.2">
      <c r="A9248" s="391">
        <v>100985</v>
      </c>
      <c r="B9248" s="478" t="s">
        <v>5485</v>
      </c>
      <c r="C9248" s="391" t="s">
        <v>271</v>
      </c>
      <c r="D9248" s="479">
        <v>7.74</v>
      </c>
      <c r="E9248" s="368"/>
      <c r="F9248" s="368"/>
    </row>
    <row r="9249" spans="1:6" ht="25.5" x14ac:dyDescent="0.2">
      <c r="A9249" s="391">
        <v>101001</v>
      </c>
      <c r="B9249" s="478" t="s">
        <v>5497</v>
      </c>
      <c r="C9249" s="391" t="s">
        <v>5477</v>
      </c>
      <c r="D9249" s="479">
        <v>5.16</v>
      </c>
      <c r="E9249" s="368"/>
      <c r="F9249" s="368"/>
    </row>
    <row r="9250" spans="1:6" x14ac:dyDescent="0.2">
      <c r="A9250" s="391">
        <v>101008</v>
      </c>
      <c r="B9250" s="478" t="s">
        <v>5504</v>
      </c>
      <c r="C9250" s="391" t="s">
        <v>271</v>
      </c>
      <c r="D9250" s="479">
        <v>5.7</v>
      </c>
      <c r="E9250" s="368"/>
      <c r="F9250" s="368"/>
    </row>
    <row r="9251" spans="1:6" x14ac:dyDescent="0.2">
      <c r="A9251" s="391">
        <v>101007</v>
      </c>
      <c r="B9251" s="478" t="s">
        <v>5503</v>
      </c>
      <c r="C9251" s="391" t="s">
        <v>271</v>
      </c>
      <c r="D9251" s="479">
        <v>5.62</v>
      </c>
      <c r="E9251" s="368"/>
      <c r="F9251" s="368"/>
    </row>
    <row r="9252" spans="1:6" ht="38.25" x14ac:dyDescent="0.2">
      <c r="A9252" s="391">
        <v>100982</v>
      </c>
      <c r="B9252" s="478" t="s">
        <v>48147</v>
      </c>
      <c r="C9252" s="391" t="s">
        <v>271</v>
      </c>
      <c r="D9252" s="479">
        <v>9.27</v>
      </c>
      <c r="E9252" s="368"/>
      <c r="F9252" s="368"/>
    </row>
    <row r="9253" spans="1:6" ht="38.25" x14ac:dyDescent="0.2">
      <c r="A9253" s="391">
        <v>100998</v>
      </c>
      <c r="B9253" s="478" t="s">
        <v>48148</v>
      </c>
      <c r="C9253" s="391" t="s">
        <v>5477</v>
      </c>
      <c r="D9253" s="479">
        <v>6.19</v>
      </c>
      <c r="E9253" s="368"/>
      <c r="F9253" s="368"/>
    </row>
    <row r="9254" spans="1:6" ht="38.25" x14ac:dyDescent="0.2">
      <c r="A9254" s="391">
        <v>100983</v>
      </c>
      <c r="B9254" s="478" t="s">
        <v>48149</v>
      </c>
      <c r="C9254" s="391" t="s">
        <v>271</v>
      </c>
      <c r="D9254" s="479">
        <v>9.34</v>
      </c>
      <c r="E9254" s="368"/>
      <c r="F9254" s="368"/>
    </row>
    <row r="9255" spans="1:6" ht="38.25" x14ac:dyDescent="0.2">
      <c r="A9255" s="391">
        <v>100999</v>
      </c>
      <c r="B9255" s="478" t="s">
        <v>48150</v>
      </c>
      <c r="C9255" s="391" t="s">
        <v>5477</v>
      </c>
      <c r="D9255" s="479">
        <v>6.26</v>
      </c>
      <c r="E9255" s="368"/>
      <c r="F9255" s="368"/>
    </row>
    <row r="9256" spans="1:6" ht="38.25" x14ac:dyDescent="0.2">
      <c r="A9256" s="391">
        <v>100984</v>
      </c>
      <c r="B9256" s="478" t="s">
        <v>48151</v>
      </c>
      <c r="C9256" s="391" t="s">
        <v>271</v>
      </c>
      <c r="D9256" s="479">
        <v>9.15</v>
      </c>
      <c r="E9256" s="368"/>
      <c r="F9256" s="368"/>
    </row>
    <row r="9257" spans="1:6" ht="38.25" x14ac:dyDescent="0.2">
      <c r="A9257" s="391">
        <v>101000</v>
      </c>
      <c r="B9257" s="478" t="s">
        <v>48152</v>
      </c>
      <c r="C9257" s="391" t="s">
        <v>5477</v>
      </c>
      <c r="D9257" s="479">
        <v>6.11</v>
      </c>
      <c r="E9257" s="368"/>
      <c r="F9257" s="368"/>
    </row>
    <row r="9258" spans="1:6" ht="38.25" x14ac:dyDescent="0.2">
      <c r="A9258" s="391">
        <v>100981</v>
      </c>
      <c r="B9258" s="478" t="s">
        <v>48153</v>
      </c>
      <c r="C9258" s="391" t="s">
        <v>271</v>
      </c>
      <c r="D9258" s="479">
        <v>9.6199999999999992</v>
      </c>
      <c r="E9258" s="368"/>
      <c r="F9258" s="368"/>
    </row>
    <row r="9259" spans="1:6" ht="38.25" x14ac:dyDescent="0.2">
      <c r="A9259" s="391">
        <v>100997</v>
      </c>
      <c r="B9259" s="478" t="s">
        <v>48154</v>
      </c>
      <c r="C9259" s="391" t="s">
        <v>5477</v>
      </c>
      <c r="D9259" s="479">
        <v>6.43</v>
      </c>
      <c r="E9259" s="368"/>
      <c r="F9259" s="368"/>
    </row>
    <row r="9260" spans="1:6" ht="25.5" x14ac:dyDescent="0.2">
      <c r="A9260" s="391">
        <v>101010</v>
      </c>
      <c r="B9260" s="478" t="s">
        <v>5506</v>
      </c>
      <c r="C9260" s="391" t="s">
        <v>5477</v>
      </c>
      <c r="D9260" s="479">
        <v>28.18</v>
      </c>
      <c r="E9260" s="368"/>
      <c r="F9260" s="368"/>
    </row>
    <row r="9261" spans="1:6" ht="25.5" x14ac:dyDescent="0.2">
      <c r="A9261" s="391">
        <v>101009</v>
      </c>
      <c r="B9261" s="478" t="s">
        <v>5505</v>
      </c>
      <c r="C9261" s="391" t="s">
        <v>5477</v>
      </c>
      <c r="D9261" s="479">
        <v>44.74</v>
      </c>
      <c r="E9261" s="368"/>
      <c r="F9261" s="368"/>
    </row>
    <row r="9262" spans="1:6" ht="38.25" x14ac:dyDescent="0.2">
      <c r="A9262" s="391">
        <v>100978</v>
      </c>
      <c r="B9262" s="478" t="s">
        <v>5482</v>
      </c>
      <c r="C9262" s="391" t="s">
        <v>271</v>
      </c>
      <c r="D9262" s="479">
        <v>7.18</v>
      </c>
      <c r="E9262" s="368"/>
      <c r="F9262" s="368"/>
    </row>
    <row r="9263" spans="1:6" ht="38.25" x14ac:dyDescent="0.2">
      <c r="A9263" s="391">
        <v>100994</v>
      </c>
      <c r="B9263" s="478" t="s">
        <v>5494</v>
      </c>
      <c r="C9263" s="391" t="s">
        <v>5477</v>
      </c>
      <c r="D9263" s="479">
        <v>4.7699999999999996</v>
      </c>
      <c r="E9263" s="368"/>
      <c r="F9263" s="368"/>
    </row>
    <row r="9264" spans="1:6" ht="38.25" x14ac:dyDescent="0.2">
      <c r="A9264" s="391">
        <v>100974</v>
      </c>
      <c r="B9264" s="478" t="s">
        <v>5469</v>
      </c>
      <c r="C9264" s="391" t="s">
        <v>271</v>
      </c>
      <c r="D9264" s="479">
        <v>8.86</v>
      </c>
      <c r="E9264" s="368"/>
      <c r="F9264" s="368"/>
    </row>
    <row r="9265" spans="1:6" ht="38.25" x14ac:dyDescent="0.2">
      <c r="A9265" s="391">
        <v>100990</v>
      </c>
      <c r="B9265" s="478" t="s">
        <v>5490</v>
      </c>
      <c r="C9265" s="391" t="s">
        <v>5477</v>
      </c>
      <c r="D9265" s="479">
        <v>5.91</v>
      </c>
      <c r="E9265" s="368"/>
      <c r="F9265" s="368"/>
    </row>
    <row r="9266" spans="1:6" ht="38.25" x14ac:dyDescent="0.2">
      <c r="A9266" s="391">
        <v>100979</v>
      </c>
      <c r="B9266" s="478" t="s">
        <v>5483</v>
      </c>
      <c r="C9266" s="391" t="s">
        <v>271</v>
      </c>
      <c r="D9266" s="479">
        <v>6.92</v>
      </c>
      <c r="E9266" s="368"/>
      <c r="F9266" s="368"/>
    </row>
    <row r="9267" spans="1:6" ht="38.25" x14ac:dyDescent="0.2">
      <c r="A9267" s="391">
        <v>100995</v>
      </c>
      <c r="B9267" s="478" t="s">
        <v>5495</v>
      </c>
      <c r="C9267" s="391" t="s">
        <v>5477</v>
      </c>
      <c r="D9267" s="479">
        <v>4.63</v>
      </c>
      <c r="E9267" s="368"/>
      <c r="F9267" s="368"/>
    </row>
    <row r="9268" spans="1:6" ht="38.25" x14ac:dyDescent="0.2">
      <c r="A9268" s="391">
        <v>100975</v>
      </c>
      <c r="B9268" s="478" t="s">
        <v>5470</v>
      </c>
      <c r="C9268" s="391" t="s">
        <v>271</v>
      </c>
      <c r="D9268" s="479">
        <v>8.9499999999999993</v>
      </c>
      <c r="E9268" s="368"/>
      <c r="F9268" s="368"/>
    </row>
    <row r="9269" spans="1:6" ht="38.25" x14ac:dyDescent="0.2">
      <c r="A9269" s="391">
        <v>100991</v>
      </c>
      <c r="B9269" s="478" t="s">
        <v>5491</v>
      </c>
      <c r="C9269" s="391" t="s">
        <v>5477</v>
      </c>
      <c r="D9269" s="479">
        <v>6</v>
      </c>
      <c r="E9269" s="368"/>
      <c r="F9269" s="368"/>
    </row>
    <row r="9270" spans="1:6" ht="38.25" x14ac:dyDescent="0.2">
      <c r="A9270" s="391">
        <v>100980</v>
      </c>
      <c r="B9270" s="478" t="s">
        <v>5484</v>
      </c>
      <c r="C9270" s="391" t="s">
        <v>271</v>
      </c>
      <c r="D9270" s="479">
        <v>6.56</v>
      </c>
      <c r="E9270" s="368"/>
      <c r="F9270" s="368"/>
    </row>
    <row r="9271" spans="1:6" ht="38.25" x14ac:dyDescent="0.2">
      <c r="A9271" s="391">
        <v>100996</v>
      </c>
      <c r="B9271" s="478" t="s">
        <v>5496</v>
      </c>
      <c r="C9271" s="391" t="s">
        <v>5477</v>
      </c>
      <c r="D9271" s="479">
        <v>4.37</v>
      </c>
      <c r="E9271" s="368"/>
      <c r="F9271" s="368"/>
    </row>
    <row r="9272" spans="1:6" ht="38.25" x14ac:dyDescent="0.2">
      <c r="A9272" s="391">
        <v>100976</v>
      </c>
      <c r="B9272" s="478" t="s">
        <v>5480</v>
      </c>
      <c r="C9272" s="391" t="s">
        <v>271</v>
      </c>
      <c r="D9272" s="479">
        <v>8.77</v>
      </c>
      <c r="E9272" s="368"/>
      <c r="F9272" s="368"/>
    </row>
    <row r="9273" spans="1:6" ht="38.25" x14ac:dyDescent="0.2">
      <c r="A9273" s="391">
        <v>100992</v>
      </c>
      <c r="B9273" s="478" t="s">
        <v>5492</v>
      </c>
      <c r="C9273" s="391" t="s">
        <v>5477</v>
      </c>
      <c r="D9273" s="479">
        <v>5.85</v>
      </c>
      <c r="E9273" s="368"/>
      <c r="F9273" s="368"/>
    </row>
    <row r="9274" spans="1:6" ht="38.25" x14ac:dyDescent="0.2">
      <c r="A9274" s="391">
        <v>100977</v>
      </c>
      <c r="B9274" s="478" t="s">
        <v>5481</v>
      </c>
      <c r="C9274" s="391" t="s">
        <v>271</v>
      </c>
      <c r="D9274" s="479">
        <v>7.92</v>
      </c>
      <c r="E9274" s="368"/>
      <c r="F9274" s="368"/>
    </row>
    <row r="9275" spans="1:6" ht="38.25" x14ac:dyDescent="0.2">
      <c r="A9275" s="391">
        <v>100993</v>
      </c>
      <c r="B9275" s="478" t="s">
        <v>5493</v>
      </c>
      <c r="C9275" s="391" t="s">
        <v>5477</v>
      </c>
      <c r="D9275" s="479">
        <v>5.28</v>
      </c>
      <c r="E9275" s="368"/>
      <c r="F9275" s="368"/>
    </row>
    <row r="9276" spans="1:6" ht="38.25" x14ac:dyDescent="0.2">
      <c r="A9276" s="391">
        <v>100973</v>
      </c>
      <c r="B9276" s="478" t="s">
        <v>5468</v>
      </c>
      <c r="C9276" s="391" t="s">
        <v>271</v>
      </c>
      <c r="D9276" s="479">
        <v>9.17</v>
      </c>
      <c r="E9276" s="368"/>
      <c r="F9276" s="368"/>
    </row>
    <row r="9277" spans="1:6" ht="38.25" x14ac:dyDescent="0.2">
      <c r="A9277" s="391">
        <v>100989</v>
      </c>
      <c r="B9277" s="478" t="s">
        <v>5489</v>
      </c>
      <c r="C9277" s="391" t="s">
        <v>5477</v>
      </c>
      <c r="D9277" s="479">
        <v>6.12</v>
      </c>
      <c r="E9277" s="368"/>
      <c r="F9277" s="368"/>
    </row>
    <row r="9278" spans="1:6" ht="25.5" x14ac:dyDescent="0.2">
      <c r="A9278" s="391">
        <v>101467</v>
      </c>
      <c r="B9278" s="478" t="s">
        <v>5517</v>
      </c>
      <c r="C9278" s="391" t="s">
        <v>5477</v>
      </c>
      <c r="D9278" s="479">
        <v>18.72</v>
      </c>
      <c r="E9278" s="368"/>
      <c r="F9278" s="368"/>
    </row>
    <row r="9279" spans="1:6" ht="25.5" x14ac:dyDescent="0.2">
      <c r="A9279" s="391">
        <v>101468</v>
      </c>
      <c r="B9279" s="478" t="s">
        <v>5518</v>
      </c>
      <c r="C9279" s="391" t="s">
        <v>5477</v>
      </c>
      <c r="D9279" s="479">
        <v>17.13</v>
      </c>
      <c r="E9279" s="368"/>
      <c r="F9279" s="368"/>
    </row>
    <row r="9280" spans="1:6" ht="25.5" x14ac:dyDescent="0.2">
      <c r="A9280" s="391">
        <v>101014</v>
      </c>
      <c r="B9280" s="478" t="s">
        <v>5508</v>
      </c>
      <c r="C9280" s="391" t="s">
        <v>5477</v>
      </c>
      <c r="D9280" s="479">
        <v>42.8</v>
      </c>
      <c r="E9280" s="368"/>
      <c r="F9280" s="368"/>
    </row>
    <row r="9281" spans="1:6" ht="25.5" x14ac:dyDescent="0.2">
      <c r="A9281" s="391">
        <v>101015</v>
      </c>
      <c r="B9281" s="478" t="s">
        <v>5509</v>
      </c>
      <c r="C9281" s="391" t="s">
        <v>5477</v>
      </c>
      <c r="D9281" s="479">
        <v>35.159999999999997</v>
      </c>
      <c r="E9281" s="368"/>
      <c r="F9281" s="368"/>
    </row>
    <row r="9282" spans="1:6" ht="25.5" x14ac:dyDescent="0.2">
      <c r="A9282" s="391">
        <v>101463</v>
      </c>
      <c r="B9282" s="478" t="s">
        <v>5513</v>
      </c>
      <c r="C9282" s="391" t="s">
        <v>5477</v>
      </c>
      <c r="D9282" s="479">
        <v>46.87</v>
      </c>
      <c r="E9282" s="368"/>
      <c r="F9282" s="368"/>
    </row>
    <row r="9283" spans="1:6" ht="25.5" x14ac:dyDescent="0.2">
      <c r="A9283" s="391">
        <v>101464</v>
      </c>
      <c r="B9283" s="478" t="s">
        <v>5514</v>
      </c>
      <c r="C9283" s="391" t="s">
        <v>5477</v>
      </c>
      <c r="D9283" s="479">
        <v>35.99</v>
      </c>
      <c r="E9283" s="368"/>
      <c r="F9283" s="368"/>
    </row>
    <row r="9284" spans="1:6" ht="25.5" x14ac:dyDescent="0.2">
      <c r="A9284" s="391">
        <v>101465</v>
      </c>
      <c r="B9284" s="478" t="s">
        <v>5515</v>
      </c>
      <c r="C9284" s="391" t="s">
        <v>5477</v>
      </c>
      <c r="D9284" s="479">
        <v>27.52</v>
      </c>
      <c r="E9284" s="368"/>
      <c r="F9284" s="368"/>
    </row>
    <row r="9285" spans="1:6" ht="25.5" x14ac:dyDescent="0.2">
      <c r="A9285" s="391">
        <v>101466</v>
      </c>
      <c r="B9285" s="478" t="s">
        <v>5516</v>
      </c>
      <c r="C9285" s="391" t="s">
        <v>5477</v>
      </c>
      <c r="D9285" s="479">
        <v>22.39</v>
      </c>
      <c r="E9285" s="368"/>
      <c r="F9285" s="368"/>
    </row>
    <row r="9286" spans="1:6" ht="38.25" x14ac:dyDescent="0.2">
      <c r="A9286" s="391">
        <v>101013</v>
      </c>
      <c r="B9286" s="478" t="s">
        <v>5507</v>
      </c>
      <c r="C9286" s="391" t="s">
        <v>5477</v>
      </c>
      <c r="D9286" s="479">
        <v>46.72</v>
      </c>
      <c r="E9286" s="368"/>
      <c r="F9286" s="368"/>
    </row>
    <row r="9287" spans="1:6" ht="25.5" x14ac:dyDescent="0.2">
      <c r="A9287" s="391">
        <v>101477</v>
      </c>
      <c r="B9287" s="478" t="s">
        <v>5527</v>
      </c>
      <c r="C9287" s="391" t="s">
        <v>5477</v>
      </c>
      <c r="D9287" s="479">
        <v>13.56</v>
      </c>
      <c r="E9287" s="368"/>
      <c r="F9287" s="368"/>
    </row>
    <row r="9288" spans="1:6" ht="25.5" x14ac:dyDescent="0.2">
      <c r="A9288" s="391">
        <v>101478</v>
      </c>
      <c r="B9288" s="478" t="s">
        <v>5528</v>
      </c>
      <c r="C9288" s="391" t="s">
        <v>5477</v>
      </c>
      <c r="D9288" s="479">
        <v>11.53</v>
      </c>
      <c r="E9288" s="368"/>
      <c r="F9288" s="368"/>
    </row>
    <row r="9289" spans="1:6" ht="25.5" x14ac:dyDescent="0.2">
      <c r="A9289" s="391">
        <v>101017</v>
      </c>
      <c r="B9289" s="478" t="s">
        <v>5511</v>
      </c>
      <c r="C9289" s="391" t="s">
        <v>5477</v>
      </c>
      <c r="D9289" s="479">
        <v>30.85</v>
      </c>
      <c r="E9289" s="368"/>
      <c r="F9289" s="368"/>
    </row>
    <row r="9290" spans="1:6" ht="25.5" x14ac:dyDescent="0.2">
      <c r="A9290" s="391">
        <v>101018</v>
      </c>
      <c r="B9290" s="478" t="s">
        <v>5512</v>
      </c>
      <c r="C9290" s="391" t="s">
        <v>5477</v>
      </c>
      <c r="D9290" s="479">
        <v>25.34</v>
      </c>
      <c r="E9290" s="368"/>
      <c r="F9290" s="368"/>
    </row>
    <row r="9291" spans="1:6" ht="25.5" x14ac:dyDescent="0.2">
      <c r="A9291" s="391">
        <v>101469</v>
      </c>
      <c r="B9291" s="478" t="s">
        <v>5519</v>
      </c>
      <c r="C9291" s="391" t="s">
        <v>5477</v>
      </c>
      <c r="D9291" s="479">
        <v>38.35</v>
      </c>
      <c r="E9291" s="368"/>
      <c r="F9291" s="368"/>
    </row>
    <row r="9292" spans="1:6" ht="25.5" x14ac:dyDescent="0.2">
      <c r="A9292" s="391">
        <v>101470</v>
      </c>
      <c r="B9292" s="478" t="s">
        <v>5520</v>
      </c>
      <c r="C9292" s="391" t="s">
        <v>5477</v>
      </c>
      <c r="D9292" s="479">
        <v>30.44</v>
      </c>
      <c r="E9292" s="368"/>
      <c r="F9292" s="368"/>
    </row>
    <row r="9293" spans="1:6" ht="25.5" x14ac:dyDescent="0.2">
      <c r="A9293" s="391">
        <v>101471</v>
      </c>
      <c r="B9293" s="478" t="s">
        <v>5521</v>
      </c>
      <c r="C9293" s="391" t="s">
        <v>5477</v>
      </c>
      <c r="D9293" s="479">
        <v>26.12</v>
      </c>
      <c r="E9293" s="368"/>
      <c r="F9293" s="368"/>
    </row>
    <row r="9294" spans="1:6" ht="25.5" x14ac:dyDescent="0.2">
      <c r="A9294" s="391">
        <v>101472</v>
      </c>
      <c r="B9294" s="478" t="s">
        <v>5522</v>
      </c>
      <c r="C9294" s="391" t="s">
        <v>5477</v>
      </c>
      <c r="D9294" s="479">
        <v>20.329999999999998</v>
      </c>
      <c r="E9294" s="368"/>
      <c r="F9294" s="368"/>
    </row>
    <row r="9295" spans="1:6" ht="25.5" x14ac:dyDescent="0.2">
      <c r="A9295" s="391">
        <v>101473</v>
      </c>
      <c r="B9295" s="478" t="s">
        <v>5523</v>
      </c>
      <c r="C9295" s="391" t="s">
        <v>5477</v>
      </c>
      <c r="D9295" s="479">
        <v>29.26</v>
      </c>
      <c r="E9295" s="368"/>
      <c r="F9295" s="368"/>
    </row>
    <row r="9296" spans="1:6" ht="25.5" x14ac:dyDescent="0.2">
      <c r="A9296" s="391">
        <v>101474</v>
      </c>
      <c r="B9296" s="478" t="s">
        <v>5524</v>
      </c>
      <c r="C9296" s="391" t="s">
        <v>5477</v>
      </c>
      <c r="D9296" s="479">
        <v>20.94</v>
      </c>
      <c r="E9296" s="368"/>
      <c r="F9296" s="368"/>
    </row>
    <row r="9297" spans="1:6" ht="25.5" x14ac:dyDescent="0.2">
      <c r="A9297" s="391">
        <v>101475</v>
      </c>
      <c r="B9297" s="478" t="s">
        <v>5525</v>
      </c>
      <c r="C9297" s="391" t="s">
        <v>5477</v>
      </c>
      <c r="D9297" s="479">
        <v>18.57</v>
      </c>
      <c r="E9297" s="368"/>
      <c r="F9297" s="368"/>
    </row>
    <row r="9298" spans="1:6" ht="25.5" x14ac:dyDescent="0.2">
      <c r="A9298" s="391">
        <v>101476</v>
      </c>
      <c r="B9298" s="478" t="s">
        <v>5526</v>
      </c>
      <c r="C9298" s="391" t="s">
        <v>5477</v>
      </c>
      <c r="D9298" s="479">
        <v>16.559999999999999</v>
      </c>
      <c r="E9298" s="368"/>
      <c r="F9298" s="368"/>
    </row>
    <row r="9299" spans="1:6" ht="38.25" x14ac:dyDescent="0.2">
      <c r="A9299" s="391">
        <v>101016</v>
      </c>
      <c r="B9299" s="478" t="s">
        <v>5510</v>
      </c>
      <c r="C9299" s="391" t="s">
        <v>5477</v>
      </c>
      <c r="D9299" s="479">
        <v>40.700000000000003</v>
      </c>
      <c r="E9299" s="368"/>
      <c r="F9299" s="368"/>
    </row>
    <row r="9300" spans="1:6" ht="25.5" x14ac:dyDescent="0.2">
      <c r="A9300" s="391">
        <v>101487</v>
      </c>
      <c r="B9300" s="478" t="s">
        <v>5536</v>
      </c>
      <c r="C9300" s="391" t="s">
        <v>5477</v>
      </c>
      <c r="D9300" s="479">
        <v>100.81</v>
      </c>
      <c r="E9300" s="368"/>
      <c r="F9300" s="368"/>
    </row>
    <row r="9301" spans="1:6" ht="25.5" x14ac:dyDescent="0.2">
      <c r="A9301" s="391">
        <v>101488</v>
      </c>
      <c r="B9301" s="478" t="s">
        <v>5537</v>
      </c>
      <c r="C9301" s="391" t="s">
        <v>5477</v>
      </c>
      <c r="D9301" s="479">
        <v>87.24</v>
      </c>
      <c r="E9301" s="368"/>
      <c r="F9301" s="368"/>
    </row>
    <row r="9302" spans="1:6" ht="25.5" x14ac:dyDescent="0.2">
      <c r="A9302" s="391">
        <v>101480</v>
      </c>
      <c r="B9302" s="478" t="s">
        <v>5529</v>
      </c>
      <c r="C9302" s="391" t="s">
        <v>5477</v>
      </c>
      <c r="D9302" s="479">
        <v>68.569999999999993</v>
      </c>
      <c r="E9302" s="368"/>
      <c r="F9302" s="368"/>
    </row>
    <row r="9303" spans="1:6" ht="25.5" x14ac:dyDescent="0.2">
      <c r="A9303" s="391">
        <v>101481</v>
      </c>
      <c r="B9303" s="478" t="s">
        <v>5530</v>
      </c>
      <c r="C9303" s="391" t="s">
        <v>5477</v>
      </c>
      <c r="D9303" s="479">
        <v>49.53</v>
      </c>
      <c r="E9303" s="368"/>
      <c r="F9303" s="368"/>
    </row>
    <row r="9304" spans="1:6" ht="25.5" x14ac:dyDescent="0.2">
      <c r="A9304" s="391">
        <v>101482</v>
      </c>
      <c r="B9304" s="478" t="s">
        <v>5531</v>
      </c>
      <c r="C9304" s="391" t="s">
        <v>5477</v>
      </c>
      <c r="D9304" s="479">
        <v>37.020000000000003</v>
      </c>
      <c r="E9304" s="368"/>
      <c r="F9304" s="368"/>
    </row>
    <row r="9305" spans="1:6" ht="25.5" x14ac:dyDescent="0.2">
      <c r="A9305" s="391">
        <v>101483</v>
      </c>
      <c r="B9305" s="478" t="s">
        <v>5532</v>
      </c>
      <c r="C9305" s="391" t="s">
        <v>5477</v>
      </c>
      <c r="D9305" s="479">
        <v>38.42</v>
      </c>
      <c r="E9305" s="368"/>
      <c r="F9305" s="368"/>
    </row>
    <row r="9306" spans="1:6" ht="25.5" x14ac:dyDescent="0.2">
      <c r="A9306" s="391">
        <v>101484</v>
      </c>
      <c r="B9306" s="478" t="s">
        <v>5533</v>
      </c>
      <c r="C9306" s="391" t="s">
        <v>5477</v>
      </c>
      <c r="D9306" s="479">
        <v>199.13</v>
      </c>
      <c r="E9306" s="368"/>
      <c r="F9306" s="368"/>
    </row>
    <row r="9307" spans="1:6" ht="25.5" x14ac:dyDescent="0.2">
      <c r="A9307" s="391">
        <v>101485</v>
      </c>
      <c r="B9307" s="478" t="s">
        <v>5534</v>
      </c>
      <c r="C9307" s="391" t="s">
        <v>5477</v>
      </c>
      <c r="D9307" s="479">
        <v>152.87</v>
      </c>
      <c r="E9307" s="368"/>
      <c r="F9307" s="368"/>
    </row>
    <row r="9308" spans="1:6" ht="25.5" x14ac:dyDescent="0.2">
      <c r="A9308" s="391">
        <v>101486</v>
      </c>
      <c r="B9308" s="478" t="s">
        <v>5535</v>
      </c>
      <c r="C9308" s="391" t="s">
        <v>5477</v>
      </c>
      <c r="D9308" s="479">
        <v>137.69</v>
      </c>
      <c r="E9308" s="368"/>
      <c r="F9308" s="368"/>
    </row>
    <row r="9309" spans="1:6" ht="25.5" x14ac:dyDescent="0.2">
      <c r="A9309" s="391">
        <v>101006</v>
      </c>
      <c r="B9309" s="478" t="s">
        <v>5502</v>
      </c>
      <c r="C9309" s="391" t="s">
        <v>271</v>
      </c>
      <c r="D9309" s="479">
        <v>21.54</v>
      </c>
      <c r="E9309" s="368"/>
      <c r="F9309" s="368"/>
    </row>
    <row r="9310" spans="1:6" x14ac:dyDescent="0.2">
      <c r="A9310" s="391">
        <v>101005</v>
      </c>
      <c r="B9310" s="478" t="s">
        <v>5501</v>
      </c>
      <c r="C9310" s="391" t="s">
        <v>271</v>
      </c>
      <c r="D9310" s="479">
        <v>19.38</v>
      </c>
      <c r="E9310" s="368"/>
      <c r="F9310" s="368"/>
    </row>
    <row r="9311" spans="1:6" ht="25.5" x14ac:dyDescent="0.2">
      <c r="A9311" s="391">
        <v>102568</v>
      </c>
      <c r="B9311" s="478" t="s">
        <v>5479</v>
      </c>
      <c r="C9311" s="391" t="s">
        <v>5477</v>
      </c>
      <c r="D9311" s="479">
        <v>292.42</v>
      </c>
      <c r="E9311" s="368"/>
      <c r="F9311" s="368"/>
    </row>
    <row r="9312" spans="1:6" ht="25.5" x14ac:dyDescent="0.2">
      <c r="A9312" s="391">
        <v>101479</v>
      </c>
      <c r="B9312" s="478" t="s">
        <v>5478</v>
      </c>
      <c r="C9312" s="391" t="s">
        <v>5477</v>
      </c>
      <c r="D9312" s="479">
        <v>171.65</v>
      </c>
      <c r="E9312" s="368"/>
      <c r="F9312" s="368"/>
    </row>
    <row r="9313" spans="1:6" ht="25.5" x14ac:dyDescent="0.2">
      <c r="A9313" s="391">
        <v>101019</v>
      </c>
      <c r="B9313" s="478" t="s">
        <v>5476</v>
      </c>
      <c r="C9313" s="391" t="s">
        <v>5477</v>
      </c>
      <c r="D9313" s="479">
        <v>589.17999999999995</v>
      </c>
      <c r="E9313" s="368"/>
      <c r="F9313" s="368"/>
    </row>
    <row r="9314" spans="1:6" ht="25.5" x14ac:dyDescent="0.2">
      <c r="A9314" s="391">
        <v>100938</v>
      </c>
      <c r="B9314" s="478" t="s">
        <v>5446</v>
      </c>
      <c r="C9314" s="391" t="s">
        <v>5211</v>
      </c>
      <c r="D9314" s="479">
        <v>7.72</v>
      </c>
      <c r="E9314" s="368"/>
      <c r="F9314" s="368"/>
    </row>
    <row r="9315" spans="1:6" ht="25.5" x14ac:dyDescent="0.2">
      <c r="A9315" s="391">
        <v>100942</v>
      </c>
      <c r="B9315" s="478" t="s">
        <v>5450</v>
      </c>
      <c r="C9315" s="391" t="s">
        <v>4398</v>
      </c>
      <c r="D9315" s="479">
        <v>5.15</v>
      </c>
      <c r="E9315" s="368"/>
      <c r="F9315" s="368"/>
    </row>
    <row r="9316" spans="1:6" ht="25.5" x14ac:dyDescent="0.2">
      <c r="A9316" s="391">
        <v>93588</v>
      </c>
      <c r="B9316" s="478" t="s">
        <v>5417</v>
      </c>
      <c r="C9316" s="391" t="s">
        <v>5211</v>
      </c>
      <c r="D9316" s="479">
        <v>3.24</v>
      </c>
      <c r="E9316" s="368"/>
      <c r="F9316" s="368"/>
    </row>
    <row r="9317" spans="1:6" ht="25.5" x14ac:dyDescent="0.2">
      <c r="A9317" s="391">
        <v>93594</v>
      </c>
      <c r="B9317" s="478" t="s">
        <v>5423</v>
      </c>
      <c r="C9317" s="391" t="s">
        <v>4398</v>
      </c>
      <c r="D9317" s="479">
        <v>2.16</v>
      </c>
      <c r="E9317" s="368"/>
      <c r="F9317" s="368"/>
    </row>
    <row r="9318" spans="1:6" ht="25.5" x14ac:dyDescent="0.2">
      <c r="A9318" s="391">
        <v>93589</v>
      </c>
      <c r="B9318" s="478" t="s">
        <v>5418</v>
      </c>
      <c r="C9318" s="391" t="s">
        <v>5211</v>
      </c>
      <c r="D9318" s="479">
        <v>2.78</v>
      </c>
      <c r="E9318" s="368"/>
      <c r="F9318" s="368"/>
    </row>
    <row r="9319" spans="1:6" ht="25.5" x14ac:dyDescent="0.2">
      <c r="A9319" s="391">
        <v>93595</v>
      </c>
      <c r="B9319" s="478" t="s">
        <v>5424</v>
      </c>
      <c r="C9319" s="391" t="s">
        <v>4398</v>
      </c>
      <c r="D9319" s="479">
        <v>1.88</v>
      </c>
      <c r="E9319" s="368"/>
      <c r="F9319" s="368"/>
    </row>
    <row r="9320" spans="1:6" ht="38.25" x14ac:dyDescent="0.2">
      <c r="A9320" s="391">
        <v>93590</v>
      </c>
      <c r="B9320" s="478" t="s">
        <v>5419</v>
      </c>
      <c r="C9320" s="391" t="s">
        <v>5211</v>
      </c>
      <c r="D9320" s="479">
        <v>1.01</v>
      </c>
      <c r="E9320" s="368"/>
      <c r="F9320" s="368"/>
    </row>
    <row r="9321" spans="1:6" ht="38.25" x14ac:dyDescent="0.2">
      <c r="A9321" s="391">
        <v>93596</v>
      </c>
      <c r="B9321" s="478" t="s">
        <v>5425</v>
      </c>
      <c r="C9321" s="391" t="s">
        <v>4398</v>
      </c>
      <c r="D9321" s="479">
        <v>0.68</v>
      </c>
      <c r="E9321" s="368"/>
      <c r="F9321" s="368"/>
    </row>
    <row r="9322" spans="1:6" ht="25.5" x14ac:dyDescent="0.2">
      <c r="A9322" s="391">
        <v>95875</v>
      </c>
      <c r="B9322" s="478" t="s">
        <v>5435</v>
      </c>
      <c r="C9322" s="391" t="s">
        <v>5211</v>
      </c>
      <c r="D9322" s="479">
        <v>2.56</v>
      </c>
      <c r="E9322" s="368"/>
      <c r="F9322" s="368"/>
    </row>
    <row r="9323" spans="1:6" ht="25.5" x14ac:dyDescent="0.2">
      <c r="A9323" s="391">
        <v>95878</v>
      </c>
      <c r="B9323" s="478" t="s">
        <v>5438</v>
      </c>
      <c r="C9323" s="391" t="s">
        <v>4398</v>
      </c>
      <c r="D9323" s="479">
        <v>1.72</v>
      </c>
      <c r="E9323" s="368"/>
      <c r="F9323" s="368"/>
    </row>
    <row r="9324" spans="1:6" ht="25.5" x14ac:dyDescent="0.2">
      <c r="A9324" s="391">
        <v>100943</v>
      </c>
      <c r="B9324" s="478" t="s">
        <v>5451</v>
      </c>
      <c r="C9324" s="391" t="s">
        <v>4398</v>
      </c>
      <c r="D9324" s="479">
        <v>4.53</v>
      </c>
      <c r="E9324" s="368"/>
      <c r="F9324" s="368"/>
    </row>
    <row r="9325" spans="1:6" ht="25.5" x14ac:dyDescent="0.2">
      <c r="A9325" s="391">
        <v>100939</v>
      </c>
      <c r="B9325" s="478" t="s">
        <v>5447</v>
      </c>
      <c r="C9325" s="391" t="s">
        <v>5211</v>
      </c>
      <c r="D9325" s="479">
        <v>6.82</v>
      </c>
      <c r="E9325" s="368"/>
      <c r="F9325" s="368"/>
    </row>
    <row r="9326" spans="1:6" ht="25.5" x14ac:dyDescent="0.2">
      <c r="A9326" s="391">
        <v>93591</v>
      </c>
      <c r="B9326" s="478" t="s">
        <v>5420</v>
      </c>
      <c r="C9326" s="391" t="s">
        <v>5211</v>
      </c>
      <c r="D9326" s="479">
        <v>2.85</v>
      </c>
      <c r="E9326" s="368"/>
      <c r="F9326" s="368"/>
    </row>
    <row r="9327" spans="1:6" ht="25.5" x14ac:dyDescent="0.2">
      <c r="A9327" s="391">
        <v>93597</v>
      </c>
      <c r="B9327" s="478" t="s">
        <v>5426</v>
      </c>
      <c r="C9327" s="391" t="s">
        <v>4398</v>
      </c>
      <c r="D9327" s="479">
        <v>1.89</v>
      </c>
      <c r="E9327" s="368"/>
      <c r="F9327" s="368"/>
    </row>
    <row r="9328" spans="1:6" ht="25.5" x14ac:dyDescent="0.2">
      <c r="A9328" s="391">
        <v>93592</v>
      </c>
      <c r="B9328" s="478" t="s">
        <v>5421</v>
      </c>
      <c r="C9328" s="391" t="s">
        <v>5211</v>
      </c>
      <c r="D9328" s="479">
        <v>2.4700000000000002</v>
      </c>
      <c r="E9328" s="368"/>
      <c r="F9328" s="368"/>
    </row>
    <row r="9329" spans="1:6" ht="25.5" x14ac:dyDescent="0.2">
      <c r="A9329" s="391">
        <v>93598</v>
      </c>
      <c r="B9329" s="478" t="s">
        <v>5427</v>
      </c>
      <c r="C9329" s="391" t="s">
        <v>4398</v>
      </c>
      <c r="D9329" s="479">
        <v>1.63</v>
      </c>
      <c r="E9329" s="368"/>
      <c r="F9329" s="368"/>
    </row>
    <row r="9330" spans="1:6" ht="38.25" x14ac:dyDescent="0.2">
      <c r="A9330" s="391">
        <v>93593</v>
      </c>
      <c r="B9330" s="478" t="s">
        <v>5422</v>
      </c>
      <c r="C9330" s="391" t="s">
        <v>5211</v>
      </c>
      <c r="D9330" s="479">
        <v>0.9</v>
      </c>
      <c r="E9330" s="368"/>
      <c r="F9330" s="368"/>
    </row>
    <row r="9331" spans="1:6" ht="38.25" x14ac:dyDescent="0.2">
      <c r="A9331" s="391">
        <v>93599</v>
      </c>
      <c r="B9331" s="478" t="s">
        <v>5428</v>
      </c>
      <c r="C9331" s="391" t="s">
        <v>4398</v>
      </c>
      <c r="D9331" s="479">
        <v>0.6</v>
      </c>
      <c r="E9331" s="368"/>
      <c r="F9331" s="368"/>
    </row>
    <row r="9332" spans="1:6" ht="25.5" x14ac:dyDescent="0.2">
      <c r="A9332" s="391">
        <v>95876</v>
      </c>
      <c r="B9332" s="478" t="s">
        <v>5436</v>
      </c>
      <c r="C9332" s="391" t="s">
        <v>5211</v>
      </c>
      <c r="D9332" s="479">
        <v>2.2400000000000002</v>
      </c>
      <c r="E9332" s="368"/>
      <c r="F9332" s="368"/>
    </row>
    <row r="9333" spans="1:6" ht="25.5" x14ac:dyDescent="0.2">
      <c r="A9333" s="391">
        <v>95879</v>
      </c>
      <c r="B9333" s="478" t="s">
        <v>5439</v>
      </c>
      <c r="C9333" s="391" t="s">
        <v>4398</v>
      </c>
      <c r="D9333" s="479">
        <v>1.52</v>
      </c>
      <c r="E9333" s="368"/>
      <c r="F9333" s="368"/>
    </row>
    <row r="9334" spans="1:6" ht="25.5" x14ac:dyDescent="0.2">
      <c r="A9334" s="391">
        <v>100940</v>
      </c>
      <c r="B9334" s="478" t="s">
        <v>5448</v>
      </c>
      <c r="C9334" s="391" t="s">
        <v>5211</v>
      </c>
      <c r="D9334" s="479">
        <v>5.83</v>
      </c>
      <c r="E9334" s="368"/>
      <c r="F9334" s="368"/>
    </row>
    <row r="9335" spans="1:6" ht="25.5" x14ac:dyDescent="0.2">
      <c r="A9335" s="391">
        <v>100944</v>
      </c>
      <c r="B9335" s="478" t="s">
        <v>5452</v>
      </c>
      <c r="C9335" s="391" t="s">
        <v>4398</v>
      </c>
      <c r="D9335" s="479">
        <v>3.9</v>
      </c>
      <c r="E9335" s="368"/>
      <c r="F9335" s="368"/>
    </row>
    <row r="9336" spans="1:6" ht="25.5" x14ac:dyDescent="0.2">
      <c r="A9336" s="391">
        <v>95425</v>
      </c>
      <c r="B9336" s="478" t="s">
        <v>5429</v>
      </c>
      <c r="C9336" s="391" t="s">
        <v>5211</v>
      </c>
      <c r="D9336" s="479">
        <v>2.4300000000000002</v>
      </c>
      <c r="E9336" s="368"/>
      <c r="F9336" s="368"/>
    </row>
    <row r="9337" spans="1:6" ht="25.5" x14ac:dyDescent="0.2">
      <c r="A9337" s="391">
        <v>95428</v>
      </c>
      <c r="B9337" s="478" t="s">
        <v>5432</v>
      </c>
      <c r="C9337" s="391" t="s">
        <v>4398</v>
      </c>
      <c r="D9337" s="479">
        <v>1.63</v>
      </c>
      <c r="E9337" s="368"/>
      <c r="F9337" s="368"/>
    </row>
    <row r="9338" spans="1:6" ht="25.5" x14ac:dyDescent="0.2">
      <c r="A9338" s="391">
        <v>95426</v>
      </c>
      <c r="B9338" s="478" t="s">
        <v>5430</v>
      </c>
      <c r="C9338" s="391" t="s">
        <v>5211</v>
      </c>
      <c r="D9338" s="479">
        <v>2.1</v>
      </c>
      <c r="E9338" s="368"/>
      <c r="F9338" s="368"/>
    </row>
    <row r="9339" spans="1:6" ht="25.5" x14ac:dyDescent="0.2">
      <c r="A9339" s="391">
        <v>95429</v>
      </c>
      <c r="B9339" s="478" t="s">
        <v>5433</v>
      </c>
      <c r="C9339" s="391" t="s">
        <v>4398</v>
      </c>
      <c r="D9339" s="479">
        <v>1.41</v>
      </c>
      <c r="E9339" s="368"/>
      <c r="F9339" s="368"/>
    </row>
    <row r="9340" spans="1:6" ht="38.25" x14ac:dyDescent="0.2">
      <c r="A9340" s="391">
        <v>95427</v>
      </c>
      <c r="B9340" s="478" t="s">
        <v>5431</v>
      </c>
      <c r="C9340" s="391" t="s">
        <v>5211</v>
      </c>
      <c r="D9340" s="479">
        <v>0.79</v>
      </c>
      <c r="E9340" s="368"/>
      <c r="F9340" s="368"/>
    </row>
    <row r="9341" spans="1:6" ht="38.25" x14ac:dyDescent="0.2">
      <c r="A9341" s="391">
        <v>95430</v>
      </c>
      <c r="B9341" s="478" t="s">
        <v>5434</v>
      </c>
      <c r="C9341" s="391" t="s">
        <v>4398</v>
      </c>
      <c r="D9341" s="479">
        <v>0.49</v>
      </c>
      <c r="E9341" s="368"/>
      <c r="F9341" s="368"/>
    </row>
    <row r="9342" spans="1:6" ht="25.5" x14ac:dyDescent="0.2">
      <c r="A9342" s="391">
        <v>95877</v>
      </c>
      <c r="B9342" s="478" t="s">
        <v>5437</v>
      </c>
      <c r="C9342" s="391" t="s">
        <v>5211</v>
      </c>
      <c r="D9342" s="479">
        <v>1.92</v>
      </c>
      <c r="E9342" s="368"/>
      <c r="F9342" s="368"/>
    </row>
    <row r="9343" spans="1:6" ht="25.5" x14ac:dyDescent="0.2">
      <c r="A9343" s="391">
        <v>95880</v>
      </c>
      <c r="B9343" s="478" t="s">
        <v>5440</v>
      </c>
      <c r="C9343" s="391" t="s">
        <v>4398</v>
      </c>
      <c r="D9343" s="479">
        <v>1.29</v>
      </c>
      <c r="E9343" s="368"/>
      <c r="F9343" s="368"/>
    </row>
    <row r="9344" spans="1:6" ht="25.5" x14ac:dyDescent="0.2">
      <c r="A9344" s="391">
        <v>100937</v>
      </c>
      <c r="B9344" s="478" t="s">
        <v>5445</v>
      </c>
      <c r="C9344" s="391" t="s">
        <v>5211</v>
      </c>
      <c r="D9344" s="479">
        <v>9.1999999999999993</v>
      </c>
      <c r="E9344" s="368"/>
      <c r="F9344" s="368"/>
    </row>
    <row r="9345" spans="1:6" ht="25.5" x14ac:dyDescent="0.2">
      <c r="A9345" s="391">
        <v>100941</v>
      </c>
      <c r="B9345" s="478" t="s">
        <v>5449</v>
      </c>
      <c r="C9345" s="391" t="s">
        <v>4398</v>
      </c>
      <c r="D9345" s="479">
        <v>6.13</v>
      </c>
      <c r="E9345" s="368"/>
      <c r="F9345" s="368"/>
    </row>
    <row r="9346" spans="1:6" ht="25.5" x14ac:dyDescent="0.2">
      <c r="A9346" s="391">
        <v>97912</v>
      </c>
      <c r="B9346" s="478" t="s">
        <v>5441</v>
      </c>
      <c r="C9346" s="391" t="s">
        <v>5211</v>
      </c>
      <c r="D9346" s="479">
        <v>3.85</v>
      </c>
      <c r="E9346" s="368"/>
      <c r="F9346" s="368"/>
    </row>
    <row r="9347" spans="1:6" ht="25.5" x14ac:dyDescent="0.2">
      <c r="A9347" s="391">
        <v>97916</v>
      </c>
      <c r="B9347" s="478" t="s">
        <v>4397</v>
      </c>
      <c r="C9347" s="391" t="s">
        <v>4398</v>
      </c>
      <c r="D9347" s="479">
        <v>2.57</v>
      </c>
      <c r="E9347" s="368"/>
      <c r="F9347" s="368"/>
    </row>
    <row r="9348" spans="1:6" ht="25.5" x14ac:dyDescent="0.2">
      <c r="A9348" s="391">
        <v>97913</v>
      </c>
      <c r="B9348" s="478" t="s">
        <v>5442</v>
      </c>
      <c r="C9348" s="391" t="s">
        <v>5211</v>
      </c>
      <c r="D9348" s="479">
        <v>3.35</v>
      </c>
      <c r="E9348" s="368"/>
      <c r="F9348" s="368"/>
    </row>
    <row r="9349" spans="1:6" ht="25.5" x14ac:dyDescent="0.2">
      <c r="A9349" s="391">
        <v>97917</v>
      </c>
      <c r="B9349" s="478" t="s">
        <v>4399</v>
      </c>
      <c r="C9349" s="391" t="s">
        <v>4398</v>
      </c>
      <c r="D9349" s="479">
        <v>2.21</v>
      </c>
      <c r="E9349" s="368"/>
      <c r="F9349" s="368"/>
    </row>
    <row r="9350" spans="1:6" ht="38.25" x14ac:dyDescent="0.2">
      <c r="A9350" s="391">
        <v>97915</v>
      </c>
      <c r="B9350" s="478" t="s">
        <v>5444</v>
      </c>
      <c r="C9350" s="391" t="s">
        <v>5211</v>
      </c>
      <c r="D9350" s="479">
        <v>1.22</v>
      </c>
      <c r="E9350" s="368"/>
      <c r="F9350" s="368"/>
    </row>
    <row r="9351" spans="1:6" ht="38.25" x14ac:dyDescent="0.2">
      <c r="A9351" s="391">
        <v>97919</v>
      </c>
      <c r="B9351" s="478" t="s">
        <v>4401</v>
      </c>
      <c r="C9351" s="391" t="s">
        <v>4398</v>
      </c>
      <c r="D9351" s="479">
        <v>0.81</v>
      </c>
      <c r="E9351" s="368"/>
      <c r="F9351" s="368"/>
    </row>
    <row r="9352" spans="1:6" ht="25.5" x14ac:dyDescent="0.2">
      <c r="A9352" s="391">
        <v>97914</v>
      </c>
      <c r="B9352" s="478" t="s">
        <v>5443</v>
      </c>
      <c r="C9352" s="391" t="s">
        <v>5211</v>
      </c>
      <c r="D9352" s="479">
        <v>3.06</v>
      </c>
      <c r="E9352" s="368"/>
      <c r="F9352" s="368"/>
    </row>
    <row r="9353" spans="1:6" ht="25.5" x14ac:dyDescent="0.2">
      <c r="A9353" s="391">
        <v>97918</v>
      </c>
      <c r="B9353" s="478" t="s">
        <v>4400</v>
      </c>
      <c r="C9353" s="391" t="s">
        <v>4398</v>
      </c>
      <c r="D9353" s="479">
        <v>2.04</v>
      </c>
      <c r="E9353" s="368"/>
      <c r="F9353" s="368"/>
    </row>
    <row r="9354" spans="1:6" ht="25.5" x14ac:dyDescent="0.2">
      <c r="A9354" s="391">
        <v>100949</v>
      </c>
      <c r="B9354" s="478" t="s">
        <v>5457</v>
      </c>
      <c r="C9354" s="391" t="s">
        <v>4398</v>
      </c>
      <c r="D9354" s="479">
        <v>6.94</v>
      </c>
      <c r="E9354" s="368"/>
      <c r="F9354" s="368"/>
    </row>
    <row r="9355" spans="1:6" ht="25.5" x14ac:dyDescent="0.2">
      <c r="A9355" s="391">
        <v>100945</v>
      </c>
      <c r="B9355" s="478" t="s">
        <v>5453</v>
      </c>
      <c r="C9355" s="391" t="s">
        <v>4398</v>
      </c>
      <c r="D9355" s="479">
        <v>2.91</v>
      </c>
      <c r="E9355" s="368"/>
      <c r="F9355" s="368"/>
    </row>
    <row r="9356" spans="1:6" ht="25.5" x14ac:dyDescent="0.2">
      <c r="A9356" s="391">
        <v>100946</v>
      </c>
      <c r="B9356" s="478" t="s">
        <v>5454</v>
      </c>
      <c r="C9356" s="391" t="s">
        <v>4398</v>
      </c>
      <c r="D9356" s="479">
        <v>2.5099999999999998</v>
      </c>
      <c r="E9356" s="368"/>
      <c r="F9356" s="368"/>
    </row>
    <row r="9357" spans="1:6" ht="25.5" x14ac:dyDescent="0.2">
      <c r="A9357" s="391">
        <v>100948</v>
      </c>
      <c r="B9357" s="478" t="s">
        <v>5456</v>
      </c>
      <c r="C9357" s="391" t="s">
        <v>4398</v>
      </c>
      <c r="D9357" s="479">
        <v>0.91</v>
      </c>
      <c r="E9357" s="368"/>
      <c r="F9357" s="368"/>
    </row>
    <row r="9358" spans="1:6" ht="25.5" x14ac:dyDescent="0.2">
      <c r="A9358" s="391">
        <v>100947</v>
      </c>
      <c r="B9358" s="478" t="s">
        <v>5455</v>
      </c>
      <c r="C9358" s="391" t="s">
        <v>4398</v>
      </c>
      <c r="D9358" s="479">
        <v>2.3199999999999998</v>
      </c>
      <c r="E9358" s="368"/>
      <c r="F9358" s="368"/>
    </row>
    <row r="9359" spans="1:6" ht="38.25" x14ac:dyDescent="0.2">
      <c r="A9359" s="391">
        <v>100954</v>
      </c>
      <c r="B9359" s="478" t="s">
        <v>48155</v>
      </c>
      <c r="C9359" s="391" t="s">
        <v>4398</v>
      </c>
      <c r="D9359" s="479">
        <v>8.83</v>
      </c>
      <c r="E9359" s="368"/>
      <c r="F9359" s="368"/>
    </row>
    <row r="9360" spans="1:6" ht="38.25" x14ac:dyDescent="0.2">
      <c r="A9360" s="391">
        <v>100950</v>
      </c>
      <c r="B9360" s="478" t="s">
        <v>48156</v>
      </c>
      <c r="C9360" s="391" t="s">
        <v>4398</v>
      </c>
      <c r="D9360" s="479">
        <v>3.71</v>
      </c>
      <c r="E9360" s="368"/>
      <c r="F9360" s="368"/>
    </row>
    <row r="9361" spans="1:6" ht="38.25" x14ac:dyDescent="0.2">
      <c r="A9361" s="391">
        <v>100951</v>
      </c>
      <c r="B9361" s="478" t="s">
        <v>48157</v>
      </c>
      <c r="C9361" s="391" t="s">
        <v>4398</v>
      </c>
      <c r="D9361" s="479">
        <v>3.2</v>
      </c>
      <c r="E9361" s="368"/>
      <c r="F9361" s="368"/>
    </row>
    <row r="9362" spans="1:6" ht="38.25" x14ac:dyDescent="0.2">
      <c r="A9362" s="391">
        <v>100953</v>
      </c>
      <c r="B9362" s="478" t="s">
        <v>48158</v>
      </c>
      <c r="C9362" s="391" t="s">
        <v>4398</v>
      </c>
      <c r="D9362" s="479">
        <v>1.17</v>
      </c>
      <c r="E9362" s="368"/>
      <c r="F9362" s="368"/>
    </row>
    <row r="9363" spans="1:6" ht="38.25" x14ac:dyDescent="0.2">
      <c r="A9363" s="391">
        <v>100952</v>
      </c>
      <c r="B9363" s="478" t="s">
        <v>48159</v>
      </c>
      <c r="C9363" s="391" t="s">
        <v>4398</v>
      </c>
      <c r="D9363" s="479">
        <v>2.95</v>
      </c>
      <c r="E9363" s="368"/>
      <c r="F9363" s="368"/>
    </row>
    <row r="9364" spans="1:6" ht="25.5" x14ac:dyDescent="0.2">
      <c r="A9364" s="391">
        <v>100964</v>
      </c>
      <c r="B9364" s="478" t="s">
        <v>5467</v>
      </c>
      <c r="C9364" s="391" t="s">
        <v>5211</v>
      </c>
      <c r="D9364" s="479">
        <v>9.07</v>
      </c>
      <c r="E9364" s="368"/>
      <c r="F9364" s="368"/>
    </row>
    <row r="9365" spans="1:6" ht="25.5" x14ac:dyDescent="0.2">
      <c r="A9365" s="391">
        <v>100960</v>
      </c>
      <c r="B9365" s="478" t="s">
        <v>5463</v>
      </c>
      <c r="C9365" s="391" t="s">
        <v>5211</v>
      </c>
      <c r="D9365" s="479">
        <v>3.78</v>
      </c>
      <c r="E9365" s="368"/>
      <c r="F9365" s="368"/>
    </row>
    <row r="9366" spans="1:6" ht="25.5" x14ac:dyDescent="0.2">
      <c r="A9366" s="391">
        <v>100961</v>
      </c>
      <c r="B9366" s="478" t="s">
        <v>5464</v>
      </c>
      <c r="C9366" s="391" t="s">
        <v>5211</v>
      </c>
      <c r="D9366" s="479">
        <v>3.27</v>
      </c>
      <c r="E9366" s="368"/>
      <c r="F9366" s="368"/>
    </row>
    <row r="9367" spans="1:6" ht="25.5" x14ac:dyDescent="0.2">
      <c r="A9367" s="391">
        <v>100963</v>
      </c>
      <c r="B9367" s="478" t="s">
        <v>5466</v>
      </c>
      <c r="C9367" s="391" t="s">
        <v>5211</v>
      </c>
      <c r="D9367" s="479">
        <v>1.18</v>
      </c>
      <c r="E9367" s="368"/>
      <c r="F9367" s="368"/>
    </row>
    <row r="9368" spans="1:6" ht="25.5" x14ac:dyDescent="0.2">
      <c r="A9368" s="391">
        <v>100962</v>
      </c>
      <c r="B9368" s="478" t="s">
        <v>5465</v>
      </c>
      <c r="C9368" s="391" t="s">
        <v>5211</v>
      </c>
      <c r="D9368" s="479">
        <v>2.99</v>
      </c>
      <c r="E9368" s="368"/>
      <c r="F9368" s="368"/>
    </row>
    <row r="9369" spans="1:6" ht="25.5" x14ac:dyDescent="0.2">
      <c r="A9369" s="391">
        <v>100959</v>
      </c>
      <c r="B9369" s="478" t="s">
        <v>5462</v>
      </c>
      <c r="C9369" s="391" t="s">
        <v>5211</v>
      </c>
      <c r="D9369" s="479">
        <v>12.16</v>
      </c>
      <c r="E9369" s="368"/>
      <c r="F9369" s="368"/>
    </row>
    <row r="9370" spans="1:6" ht="25.5" x14ac:dyDescent="0.2">
      <c r="A9370" s="391">
        <v>100955</v>
      </c>
      <c r="B9370" s="478" t="s">
        <v>5458</v>
      </c>
      <c r="C9370" s="391" t="s">
        <v>5211</v>
      </c>
      <c r="D9370" s="479">
        <v>5.09</v>
      </c>
      <c r="E9370" s="368"/>
      <c r="F9370" s="368"/>
    </row>
    <row r="9371" spans="1:6" ht="25.5" x14ac:dyDescent="0.2">
      <c r="A9371" s="391">
        <v>100956</v>
      </c>
      <c r="B9371" s="478" t="s">
        <v>5459</v>
      </c>
      <c r="C9371" s="391" t="s">
        <v>5211</v>
      </c>
      <c r="D9371" s="479">
        <v>4.42</v>
      </c>
      <c r="E9371" s="368"/>
      <c r="F9371" s="368"/>
    </row>
    <row r="9372" spans="1:6" ht="25.5" x14ac:dyDescent="0.2">
      <c r="A9372" s="391">
        <v>100958</v>
      </c>
      <c r="B9372" s="478" t="s">
        <v>5461</v>
      </c>
      <c r="C9372" s="391" t="s">
        <v>5211</v>
      </c>
      <c r="D9372" s="479">
        <v>1.62</v>
      </c>
      <c r="E9372" s="368"/>
      <c r="F9372" s="368"/>
    </row>
    <row r="9373" spans="1:6" ht="25.5" x14ac:dyDescent="0.2">
      <c r="A9373" s="391">
        <v>100957</v>
      </c>
      <c r="B9373" s="478" t="s">
        <v>5460</v>
      </c>
      <c r="C9373" s="391" t="s">
        <v>5211</v>
      </c>
      <c r="D9373" s="479">
        <v>4.05</v>
      </c>
      <c r="E9373" s="368"/>
      <c r="F9373" s="368"/>
    </row>
    <row r="9374" spans="1:6" ht="38.25" x14ac:dyDescent="0.2">
      <c r="A9374" s="391">
        <v>100969</v>
      </c>
      <c r="B9374" s="478" t="s">
        <v>5471</v>
      </c>
      <c r="C9374" s="391" t="s">
        <v>4398</v>
      </c>
      <c r="D9374" s="479">
        <v>2.4300000000000002</v>
      </c>
      <c r="E9374" s="368"/>
      <c r="F9374" s="368"/>
    </row>
    <row r="9375" spans="1:6" ht="38.25" x14ac:dyDescent="0.2">
      <c r="A9375" s="391">
        <v>100970</v>
      </c>
      <c r="B9375" s="478" t="s">
        <v>48160</v>
      </c>
      <c r="C9375" s="391" t="s">
        <v>4398</v>
      </c>
      <c r="D9375" s="479">
        <v>2.06</v>
      </c>
      <c r="E9375" s="368"/>
      <c r="F9375" s="368"/>
    </row>
    <row r="9376" spans="1:6" ht="38.25" x14ac:dyDescent="0.2">
      <c r="A9376" s="391">
        <v>102333</v>
      </c>
      <c r="B9376" s="478" t="s">
        <v>5475</v>
      </c>
      <c r="C9376" s="391" t="s">
        <v>4398</v>
      </c>
      <c r="D9376" s="479">
        <v>0.77</v>
      </c>
      <c r="E9376" s="368"/>
      <c r="F9376" s="368"/>
    </row>
    <row r="9377" spans="1:6" ht="38.25" x14ac:dyDescent="0.2">
      <c r="A9377" s="391">
        <v>102332</v>
      </c>
      <c r="B9377" s="478" t="s">
        <v>5474</v>
      </c>
      <c r="C9377" s="391" t="s">
        <v>4398</v>
      </c>
      <c r="D9377" s="479">
        <v>1.92</v>
      </c>
      <c r="E9377" s="368"/>
      <c r="F9377" s="368"/>
    </row>
    <row r="9378" spans="1:6" ht="38.25" x14ac:dyDescent="0.2">
      <c r="A9378" s="391">
        <v>100965</v>
      </c>
      <c r="B9378" s="478" t="s">
        <v>48161</v>
      </c>
      <c r="C9378" s="391" t="s">
        <v>4398</v>
      </c>
      <c r="D9378" s="479">
        <v>1.85</v>
      </c>
      <c r="E9378" s="368"/>
      <c r="F9378" s="368"/>
    </row>
    <row r="9379" spans="1:6" ht="38.25" x14ac:dyDescent="0.2">
      <c r="A9379" s="391">
        <v>100966</v>
      </c>
      <c r="B9379" s="478" t="s">
        <v>48162</v>
      </c>
      <c r="C9379" s="391" t="s">
        <v>4398</v>
      </c>
      <c r="D9379" s="479">
        <v>1.58</v>
      </c>
      <c r="E9379" s="368"/>
      <c r="F9379" s="368"/>
    </row>
    <row r="9380" spans="1:6" ht="38.25" x14ac:dyDescent="0.2">
      <c r="A9380" s="391">
        <v>102331</v>
      </c>
      <c r="B9380" s="478" t="s">
        <v>5473</v>
      </c>
      <c r="C9380" s="391" t="s">
        <v>4398</v>
      </c>
      <c r="D9380" s="479">
        <v>0.56999999999999995</v>
      </c>
      <c r="E9380" s="368"/>
      <c r="F9380" s="368"/>
    </row>
    <row r="9381" spans="1:6" ht="38.25" x14ac:dyDescent="0.2">
      <c r="A9381" s="391">
        <v>102330</v>
      </c>
      <c r="B9381" s="478" t="s">
        <v>5472</v>
      </c>
      <c r="C9381" s="391" t="s">
        <v>4398</v>
      </c>
      <c r="D9381" s="479">
        <v>1.48</v>
      </c>
      <c r="E9381" s="368"/>
      <c r="F9381" s="368"/>
    </row>
    <row r="9382" spans="1:6" ht="25.5" x14ac:dyDescent="0.2">
      <c r="A9382" s="391">
        <v>97804</v>
      </c>
      <c r="B9382" s="478" t="s">
        <v>42172</v>
      </c>
      <c r="C9382" s="391" t="s">
        <v>255</v>
      </c>
      <c r="D9382" s="479">
        <v>0</v>
      </c>
      <c r="E9382" s="368"/>
      <c r="F9382" s="368"/>
    </row>
    <row r="9383" spans="1:6" ht="25.5" x14ac:dyDescent="0.2">
      <c r="A9383" s="391">
        <v>104378</v>
      </c>
      <c r="B9383" s="478" t="s">
        <v>42173</v>
      </c>
      <c r="C9383" s="391" t="s">
        <v>255</v>
      </c>
      <c r="D9383" s="479">
        <v>0</v>
      </c>
      <c r="E9383" s="368"/>
      <c r="F9383" s="368"/>
    </row>
    <row r="9384" spans="1:6" ht="25.5" x14ac:dyDescent="0.2">
      <c r="A9384" s="391">
        <v>104379</v>
      </c>
      <c r="B9384" s="478" t="s">
        <v>42174</v>
      </c>
      <c r="C9384" s="391" t="s">
        <v>255</v>
      </c>
      <c r="D9384" s="479">
        <v>0</v>
      </c>
      <c r="E9384" s="368"/>
      <c r="F9384" s="368"/>
    </row>
    <row r="9385" spans="1:6" ht="25.5" x14ac:dyDescent="0.2">
      <c r="A9385" s="391">
        <v>104389</v>
      </c>
      <c r="B9385" s="478" t="s">
        <v>42175</v>
      </c>
      <c r="C9385" s="391" t="s">
        <v>255</v>
      </c>
      <c r="D9385" s="479">
        <v>0</v>
      </c>
      <c r="E9385" s="368"/>
      <c r="F9385" s="368"/>
    </row>
    <row r="9386" spans="1:6" ht="25.5" x14ac:dyDescent="0.2">
      <c r="A9386" s="391">
        <v>97801</v>
      </c>
      <c r="B9386" s="478" t="s">
        <v>42176</v>
      </c>
      <c r="C9386" s="391" t="s">
        <v>255</v>
      </c>
      <c r="D9386" s="479">
        <v>0</v>
      </c>
      <c r="E9386" s="368"/>
      <c r="F9386" s="368"/>
    </row>
    <row r="9387" spans="1:6" ht="25.5" x14ac:dyDescent="0.2">
      <c r="A9387" s="391">
        <v>104377</v>
      </c>
      <c r="B9387" s="478" t="s">
        <v>42177</v>
      </c>
      <c r="C9387" s="391" t="s">
        <v>255</v>
      </c>
      <c r="D9387" s="479">
        <v>0</v>
      </c>
      <c r="E9387" s="368"/>
      <c r="F9387" s="368"/>
    </row>
    <row r="9388" spans="1:6" ht="25.5" x14ac:dyDescent="0.2">
      <c r="A9388" s="391">
        <v>104376</v>
      </c>
      <c r="B9388" s="478" t="s">
        <v>42178</v>
      </c>
      <c r="C9388" s="391" t="s">
        <v>255</v>
      </c>
      <c r="D9388" s="479">
        <v>0</v>
      </c>
      <c r="E9388" s="368"/>
      <c r="F9388" s="368"/>
    </row>
    <row r="9389" spans="1:6" ht="25.5" x14ac:dyDescent="0.2">
      <c r="A9389" s="391">
        <v>97808</v>
      </c>
      <c r="B9389" s="478" t="s">
        <v>42179</v>
      </c>
      <c r="C9389" s="391" t="s">
        <v>255</v>
      </c>
      <c r="D9389" s="479">
        <v>0</v>
      </c>
      <c r="E9389" s="368"/>
      <c r="F9389" s="368"/>
    </row>
    <row r="9390" spans="1:6" ht="25.5" x14ac:dyDescent="0.2">
      <c r="A9390" s="391">
        <v>104381</v>
      </c>
      <c r="B9390" s="478" t="s">
        <v>42180</v>
      </c>
      <c r="C9390" s="391" t="s">
        <v>255</v>
      </c>
      <c r="D9390" s="479">
        <v>0</v>
      </c>
      <c r="E9390" s="368"/>
      <c r="F9390" s="368"/>
    </row>
    <row r="9391" spans="1:6" ht="25.5" x14ac:dyDescent="0.2">
      <c r="A9391" s="391">
        <v>104382</v>
      </c>
      <c r="B9391" s="478" t="s">
        <v>42181</v>
      </c>
      <c r="C9391" s="391" t="s">
        <v>255</v>
      </c>
      <c r="D9391" s="479">
        <v>0</v>
      </c>
      <c r="E9391" s="368"/>
      <c r="F9391" s="368"/>
    </row>
    <row r="9392" spans="1:6" ht="25.5" x14ac:dyDescent="0.2">
      <c r="A9392" s="391">
        <v>104380</v>
      </c>
      <c r="B9392" s="478" t="s">
        <v>42182</v>
      </c>
      <c r="C9392" s="391" t="s">
        <v>255</v>
      </c>
      <c r="D9392" s="479">
        <v>0</v>
      </c>
      <c r="E9392" s="368"/>
      <c r="F9392" s="368"/>
    </row>
    <row r="9393" spans="1:6" ht="38.25" x14ac:dyDescent="0.2">
      <c r="A9393" s="391">
        <v>103138</v>
      </c>
      <c r="B9393" s="478" t="s">
        <v>48163</v>
      </c>
      <c r="C9393" s="391" t="s">
        <v>26</v>
      </c>
      <c r="D9393" s="479">
        <v>38.82</v>
      </c>
      <c r="E9393" s="368"/>
      <c r="F9393" s="368"/>
    </row>
    <row r="9394" spans="1:6" ht="38.25" x14ac:dyDescent="0.2">
      <c r="A9394" s="391">
        <v>103151</v>
      </c>
      <c r="B9394" s="478" t="s">
        <v>48164</v>
      </c>
      <c r="C9394" s="391" t="s">
        <v>26</v>
      </c>
      <c r="D9394" s="479">
        <v>363.78</v>
      </c>
      <c r="E9394" s="368"/>
      <c r="F9394" s="368"/>
    </row>
    <row r="9395" spans="1:6" ht="38.25" x14ac:dyDescent="0.2">
      <c r="A9395" s="391">
        <v>103152</v>
      </c>
      <c r="B9395" s="478" t="s">
        <v>48165</v>
      </c>
      <c r="C9395" s="391" t="s">
        <v>26</v>
      </c>
      <c r="D9395" s="479">
        <v>433.51</v>
      </c>
      <c r="E9395" s="368"/>
      <c r="F9395" s="368"/>
    </row>
    <row r="9396" spans="1:6" ht="38.25" x14ac:dyDescent="0.2">
      <c r="A9396" s="391">
        <v>103139</v>
      </c>
      <c r="B9396" s="478" t="s">
        <v>48166</v>
      </c>
      <c r="C9396" s="391" t="s">
        <v>26</v>
      </c>
      <c r="D9396" s="479">
        <v>50.7</v>
      </c>
      <c r="E9396" s="368"/>
      <c r="F9396" s="368"/>
    </row>
    <row r="9397" spans="1:6" ht="38.25" x14ac:dyDescent="0.2">
      <c r="A9397" s="391">
        <v>103140</v>
      </c>
      <c r="B9397" s="478" t="s">
        <v>48167</v>
      </c>
      <c r="C9397" s="391" t="s">
        <v>26</v>
      </c>
      <c r="D9397" s="479">
        <v>62.55</v>
      </c>
      <c r="E9397" s="368"/>
      <c r="F9397" s="368"/>
    </row>
    <row r="9398" spans="1:6" ht="38.25" x14ac:dyDescent="0.2">
      <c r="A9398" s="391">
        <v>103141</v>
      </c>
      <c r="B9398" s="478" t="s">
        <v>48168</v>
      </c>
      <c r="C9398" s="391" t="s">
        <v>26</v>
      </c>
      <c r="D9398" s="479">
        <v>96.72</v>
      </c>
      <c r="E9398" s="368"/>
      <c r="F9398" s="368"/>
    </row>
    <row r="9399" spans="1:6" ht="38.25" x14ac:dyDescent="0.2">
      <c r="A9399" s="391">
        <v>103142</v>
      </c>
      <c r="B9399" s="478" t="s">
        <v>48169</v>
      </c>
      <c r="C9399" s="391" t="s">
        <v>26</v>
      </c>
      <c r="D9399" s="479">
        <v>108.56</v>
      </c>
      <c r="E9399" s="368"/>
      <c r="F9399" s="368"/>
    </row>
    <row r="9400" spans="1:6" ht="38.25" x14ac:dyDescent="0.2">
      <c r="A9400" s="391">
        <v>103143</v>
      </c>
      <c r="B9400" s="478" t="s">
        <v>48170</v>
      </c>
      <c r="C9400" s="391" t="s">
        <v>26</v>
      </c>
      <c r="D9400" s="479">
        <v>142.72</v>
      </c>
      <c r="E9400" s="368"/>
      <c r="F9400" s="368"/>
    </row>
    <row r="9401" spans="1:6" ht="38.25" x14ac:dyDescent="0.2">
      <c r="A9401" s="391">
        <v>103144</v>
      </c>
      <c r="B9401" s="478" t="s">
        <v>48171</v>
      </c>
      <c r="C9401" s="391" t="s">
        <v>26</v>
      </c>
      <c r="D9401" s="479">
        <v>154.57</v>
      </c>
      <c r="E9401" s="368"/>
      <c r="F9401" s="368"/>
    </row>
    <row r="9402" spans="1:6" ht="38.25" x14ac:dyDescent="0.2">
      <c r="A9402" s="391">
        <v>103145</v>
      </c>
      <c r="B9402" s="478" t="s">
        <v>48172</v>
      </c>
      <c r="C9402" s="391" t="s">
        <v>26</v>
      </c>
      <c r="D9402" s="479">
        <v>188.73</v>
      </c>
      <c r="E9402" s="368"/>
      <c r="F9402" s="368"/>
    </row>
    <row r="9403" spans="1:6" ht="38.25" x14ac:dyDescent="0.2">
      <c r="A9403" s="391">
        <v>103146</v>
      </c>
      <c r="B9403" s="478" t="s">
        <v>48173</v>
      </c>
      <c r="C9403" s="391" t="s">
        <v>26</v>
      </c>
      <c r="D9403" s="479">
        <v>200.57</v>
      </c>
      <c r="E9403" s="368"/>
      <c r="F9403" s="368"/>
    </row>
    <row r="9404" spans="1:6" ht="38.25" x14ac:dyDescent="0.2">
      <c r="A9404" s="391">
        <v>103147</v>
      </c>
      <c r="B9404" s="478" t="s">
        <v>48174</v>
      </c>
      <c r="C9404" s="391" t="s">
        <v>26</v>
      </c>
      <c r="D9404" s="479">
        <v>224.3</v>
      </c>
      <c r="E9404" s="368"/>
      <c r="F9404" s="368"/>
    </row>
    <row r="9405" spans="1:6" ht="38.25" x14ac:dyDescent="0.2">
      <c r="A9405" s="391">
        <v>103148</v>
      </c>
      <c r="B9405" s="478" t="s">
        <v>48175</v>
      </c>
      <c r="C9405" s="391" t="s">
        <v>26</v>
      </c>
      <c r="D9405" s="479">
        <v>270.31</v>
      </c>
      <c r="E9405" s="368"/>
      <c r="F9405" s="368"/>
    </row>
    <row r="9406" spans="1:6" ht="38.25" x14ac:dyDescent="0.2">
      <c r="A9406" s="391">
        <v>103137</v>
      </c>
      <c r="B9406" s="478" t="s">
        <v>48176</v>
      </c>
      <c r="C9406" s="391" t="s">
        <v>26</v>
      </c>
      <c r="D9406" s="479">
        <v>34.090000000000003</v>
      </c>
      <c r="E9406" s="368"/>
      <c r="F9406" s="368"/>
    </row>
    <row r="9407" spans="1:6" ht="38.25" x14ac:dyDescent="0.2">
      <c r="A9407" s="391">
        <v>103149</v>
      </c>
      <c r="B9407" s="478" t="s">
        <v>48177</v>
      </c>
      <c r="C9407" s="391" t="s">
        <v>26</v>
      </c>
      <c r="D9407" s="479">
        <v>294.05</v>
      </c>
      <c r="E9407" s="368"/>
      <c r="F9407" s="368"/>
    </row>
    <row r="9408" spans="1:6" ht="38.25" x14ac:dyDescent="0.2">
      <c r="A9408" s="391">
        <v>103150</v>
      </c>
      <c r="B9408" s="478" t="s">
        <v>48178</v>
      </c>
      <c r="C9408" s="391" t="s">
        <v>26</v>
      </c>
      <c r="D9408" s="479">
        <v>339.99</v>
      </c>
      <c r="E9408" s="368"/>
      <c r="F9408" s="368"/>
    </row>
    <row r="9409" spans="1:6" ht="38.25" x14ac:dyDescent="0.2">
      <c r="A9409" s="391">
        <v>103106</v>
      </c>
      <c r="B9409" s="478" t="s">
        <v>48179</v>
      </c>
      <c r="C9409" s="391" t="s">
        <v>26</v>
      </c>
      <c r="D9409" s="479">
        <v>58.92</v>
      </c>
      <c r="E9409" s="368"/>
      <c r="F9409" s="368"/>
    </row>
    <row r="9410" spans="1:6" ht="38.25" x14ac:dyDescent="0.2">
      <c r="A9410" s="391">
        <v>103119</v>
      </c>
      <c r="B9410" s="478" t="s">
        <v>48180</v>
      </c>
      <c r="C9410" s="391" t="s">
        <v>26</v>
      </c>
      <c r="D9410" s="479">
        <v>708.82</v>
      </c>
      <c r="E9410" s="368"/>
      <c r="F9410" s="368"/>
    </row>
    <row r="9411" spans="1:6" ht="38.25" x14ac:dyDescent="0.2">
      <c r="A9411" s="391">
        <v>103120</v>
      </c>
      <c r="B9411" s="478" t="s">
        <v>48181</v>
      </c>
      <c r="C9411" s="391" t="s">
        <v>26</v>
      </c>
      <c r="D9411" s="479">
        <v>848.3</v>
      </c>
      <c r="E9411" s="368"/>
      <c r="F9411" s="368"/>
    </row>
    <row r="9412" spans="1:6" ht="38.25" x14ac:dyDescent="0.2">
      <c r="A9412" s="391">
        <v>103107</v>
      </c>
      <c r="B9412" s="478" t="s">
        <v>48182</v>
      </c>
      <c r="C9412" s="391" t="s">
        <v>26</v>
      </c>
      <c r="D9412" s="479">
        <v>82.64</v>
      </c>
      <c r="E9412" s="368"/>
      <c r="F9412" s="368"/>
    </row>
    <row r="9413" spans="1:6" ht="38.25" x14ac:dyDescent="0.2">
      <c r="A9413" s="391">
        <v>103108</v>
      </c>
      <c r="B9413" s="478" t="s">
        <v>48183</v>
      </c>
      <c r="C9413" s="391" t="s">
        <v>26</v>
      </c>
      <c r="D9413" s="479">
        <v>106.37</v>
      </c>
      <c r="E9413" s="368"/>
      <c r="F9413" s="368"/>
    </row>
    <row r="9414" spans="1:6" ht="38.25" x14ac:dyDescent="0.2">
      <c r="A9414" s="391">
        <v>103109</v>
      </c>
      <c r="B9414" s="478" t="s">
        <v>48184</v>
      </c>
      <c r="C9414" s="391" t="s">
        <v>26</v>
      </c>
      <c r="D9414" s="479">
        <v>174.67</v>
      </c>
      <c r="E9414" s="368"/>
      <c r="F9414" s="368"/>
    </row>
    <row r="9415" spans="1:6" ht="38.25" x14ac:dyDescent="0.2">
      <c r="A9415" s="391">
        <v>103110</v>
      </c>
      <c r="B9415" s="478" t="s">
        <v>48185</v>
      </c>
      <c r="C9415" s="391" t="s">
        <v>26</v>
      </c>
      <c r="D9415" s="479">
        <v>198.38</v>
      </c>
      <c r="E9415" s="368"/>
      <c r="F9415" s="368"/>
    </row>
    <row r="9416" spans="1:6" ht="38.25" x14ac:dyDescent="0.2">
      <c r="A9416" s="391">
        <v>103111</v>
      </c>
      <c r="B9416" s="478" t="s">
        <v>48186</v>
      </c>
      <c r="C9416" s="391" t="s">
        <v>26</v>
      </c>
      <c r="D9416" s="479">
        <v>266.69</v>
      </c>
      <c r="E9416" s="368"/>
      <c r="F9416" s="368"/>
    </row>
    <row r="9417" spans="1:6" ht="38.25" x14ac:dyDescent="0.2">
      <c r="A9417" s="391">
        <v>103112</v>
      </c>
      <c r="B9417" s="478" t="s">
        <v>48187</v>
      </c>
      <c r="C9417" s="391" t="s">
        <v>26</v>
      </c>
      <c r="D9417" s="479">
        <v>290.42</v>
      </c>
      <c r="E9417" s="368"/>
      <c r="F9417" s="368"/>
    </row>
    <row r="9418" spans="1:6" ht="38.25" x14ac:dyDescent="0.2">
      <c r="A9418" s="391">
        <v>103113</v>
      </c>
      <c r="B9418" s="478" t="s">
        <v>48188</v>
      </c>
      <c r="C9418" s="391" t="s">
        <v>26</v>
      </c>
      <c r="D9418" s="479">
        <v>358.72</v>
      </c>
      <c r="E9418" s="368"/>
      <c r="F9418" s="368"/>
    </row>
    <row r="9419" spans="1:6" ht="38.25" x14ac:dyDescent="0.2">
      <c r="A9419" s="391">
        <v>103114</v>
      </c>
      <c r="B9419" s="478" t="s">
        <v>48189</v>
      </c>
      <c r="C9419" s="391" t="s">
        <v>26</v>
      </c>
      <c r="D9419" s="479">
        <v>382.43</v>
      </c>
      <c r="E9419" s="368"/>
      <c r="F9419" s="368"/>
    </row>
    <row r="9420" spans="1:6" ht="38.25" x14ac:dyDescent="0.2">
      <c r="A9420" s="391">
        <v>103115</v>
      </c>
      <c r="B9420" s="478" t="s">
        <v>48190</v>
      </c>
      <c r="C9420" s="391" t="s">
        <v>26</v>
      </c>
      <c r="D9420" s="479">
        <v>429.88</v>
      </c>
      <c r="E9420" s="368"/>
      <c r="F9420" s="368"/>
    </row>
    <row r="9421" spans="1:6" ht="38.25" x14ac:dyDescent="0.2">
      <c r="A9421" s="391">
        <v>103116</v>
      </c>
      <c r="B9421" s="478" t="s">
        <v>48191</v>
      </c>
      <c r="C9421" s="391" t="s">
        <v>26</v>
      </c>
      <c r="D9421" s="479">
        <v>521.91</v>
      </c>
      <c r="E9421" s="368"/>
      <c r="F9421" s="368"/>
    </row>
    <row r="9422" spans="1:6" ht="38.25" x14ac:dyDescent="0.2">
      <c r="A9422" s="391">
        <v>103105</v>
      </c>
      <c r="B9422" s="478" t="s">
        <v>48192</v>
      </c>
      <c r="C9422" s="391" t="s">
        <v>26</v>
      </c>
      <c r="D9422" s="479">
        <v>49.42</v>
      </c>
      <c r="E9422" s="368"/>
      <c r="F9422" s="368"/>
    </row>
    <row r="9423" spans="1:6" ht="38.25" x14ac:dyDescent="0.2">
      <c r="A9423" s="391">
        <v>103117</v>
      </c>
      <c r="B9423" s="478" t="s">
        <v>48193</v>
      </c>
      <c r="C9423" s="391" t="s">
        <v>26</v>
      </c>
      <c r="D9423" s="479">
        <v>569.36</v>
      </c>
      <c r="E9423" s="368"/>
      <c r="F9423" s="368"/>
    </row>
    <row r="9424" spans="1:6" ht="38.25" x14ac:dyDescent="0.2">
      <c r="A9424" s="391">
        <v>103118</v>
      </c>
      <c r="B9424" s="478" t="s">
        <v>48194</v>
      </c>
      <c r="C9424" s="391" t="s">
        <v>26</v>
      </c>
      <c r="D9424" s="479">
        <v>661.38</v>
      </c>
      <c r="E9424" s="368"/>
      <c r="F9424" s="368"/>
    </row>
    <row r="9425" spans="1:6" ht="38.25" x14ac:dyDescent="0.2">
      <c r="A9425" s="391">
        <v>103122</v>
      </c>
      <c r="B9425" s="478" t="s">
        <v>48195</v>
      </c>
      <c r="C9425" s="391" t="s">
        <v>26</v>
      </c>
      <c r="D9425" s="479">
        <v>79.010000000000005</v>
      </c>
      <c r="E9425" s="368"/>
      <c r="F9425" s="368"/>
    </row>
    <row r="9426" spans="1:6" ht="38.25" x14ac:dyDescent="0.2">
      <c r="A9426" s="391">
        <v>103135</v>
      </c>
      <c r="B9426" s="478" t="s">
        <v>48196</v>
      </c>
      <c r="C9426" s="391" t="s">
        <v>26</v>
      </c>
      <c r="D9426" s="479">
        <v>1053.8800000000001</v>
      </c>
      <c r="E9426" s="368"/>
      <c r="F9426" s="368"/>
    </row>
    <row r="9427" spans="1:6" ht="38.25" x14ac:dyDescent="0.2">
      <c r="A9427" s="391">
        <v>103136</v>
      </c>
      <c r="B9427" s="478" t="s">
        <v>48197</v>
      </c>
      <c r="C9427" s="391" t="s">
        <v>26</v>
      </c>
      <c r="D9427" s="479">
        <v>1263.0899999999999</v>
      </c>
      <c r="E9427" s="368"/>
      <c r="F9427" s="368"/>
    </row>
    <row r="9428" spans="1:6" ht="38.25" x14ac:dyDescent="0.2">
      <c r="A9428" s="391">
        <v>103123</v>
      </c>
      <c r="B9428" s="478" t="s">
        <v>48198</v>
      </c>
      <c r="C9428" s="391" t="s">
        <v>26</v>
      </c>
      <c r="D9428" s="479">
        <v>114.62</v>
      </c>
      <c r="E9428" s="368"/>
      <c r="F9428" s="368"/>
    </row>
    <row r="9429" spans="1:6" ht="38.25" x14ac:dyDescent="0.2">
      <c r="A9429" s="391">
        <v>103124</v>
      </c>
      <c r="B9429" s="478" t="s">
        <v>48199</v>
      </c>
      <c r="C9429" s="391" t="s">
        <v>26</v>
      </c>
      <c r="D9429" s="479">
        <v>150.19</v>
      </c>
      <c r="E9429" s="368"/>
      <c r="F9429" s="368"/>
    </row>
    <row r="9430" spans="1:6" ht="38.25" x14ac:dyDescent="0.2">
      <c r="A9430" s="391">
        <v>103125</v>
      </c>
      <c r="B9430" s="478" t="s">
        <v>48200</v>
      </c>
      <c r="C9430" s="391" t="s">
        <v>26</v>
      </c>
      <c r="D9430" s="479">
        <v>252.66</v>
      </c>
      <c r="E9430" s="368"/>
      <c r="F9430" s="368"/>
    </row>
    <row r="9431" spans="1:6" ht="38.25" x14ac:dyDescent="0.2">
      <c r="A9431" s="391">
        <v>103126</v>
      </c>
      <c r="B9431" s="478" t="s">
        <v>48201</v>
      </c>
      <c r="C9431" s="391" t="s">
        <v>26</v>
      </c>
      <c r="D9431" s="479">
        <v>288.23</v>
      </c>
      <c r="E9431" s="368"/>
      <c r="F9431" s="368"/>
    </row>
    <row r="9432" spans="1:6" ht="38.25" x14ac:dyDescent="0.2">
      <c r="A9432" s="391">
        <v>103127</v>
      </c>
      <c r="B9432" s="478" t="s">
        <v>48202</v>
      </c>
      <c r="C9432" s="391" t="s">
        <v>26</v>
      </c>
      <c r="D9432" s="479">
        <v>390.69</v>
      </c>
      <c r="E9432" s="368"/>
      <c r="F9432" s="368"/>
    </row>
    <row r="9433" spans="1:6" ht="38.25" x14ac:dyDescent="0.2">
      <c r="A9433" s="391">
        <v>103128</v>
      </c>
      <c r="B9433" s="478" t="s">
        <v>48203</v>
      </c>
      <c r="C9433" s="391" t="s">
        <v>26</v>
      </c>
      <c r="D9433" s="479">
        <v>426.27</v>
      </c>
      <c r="E9433" s="368"/>
      <c r="F9433" s="368"/>
    </row>
    <row r="9434" spans="1:6" ht="38.25" x14ac:dyDescent="0.2">
      <c r="A9434" s="391">
        <v>103129</v>
      </c>
      <c r="B9434" s="478" t="s">
        <v>48204</v>
      </c>
      <c r="C9434" s="391" t="s">
        <v>26</v>
      </c>
      <c r="D9434" s="479">
        <v>528.73</v>
      </c>
      <c r="E9434" s="368"/>
      <c r="F9434" s="368"/>
    </row>
    <row r="9435" spans="1:6" ht="38.25" x14ac:dyDescent="0.2">
      <c r="A9435" s="391">
        <v>103130</v>
      </c>
      <c r="B9435" s="478" t="s">
        <v>48205</v>
      </c>
      <c r="C9435" s="391" t="s">
        <v>26</v>
      </c>
      <c r="D9435" s="479">
        <v>564.29999999999995</v>
      </c>
      <c r="E9435" s="368"/>
      <c r="F9435" s="368"/>
    </row>
    <row r="9436" spans="1:6" ht="38.25" x14ac:dyDescent="0.2">
      <c r="A9436" s="391">
        <v>103131</v>
      </c>
      <c r="B9436" s="478" t="s">
        <v>48206</v>
      </c>
      <c r="C9436" s="391" t="s">
        <v>26</v>
      </c>
      <c r="D9436" s="479">
        <v>635.48</v>
      </c>
      <c r="E9436" s="368"/>
      <c r="F9436" s="368"/>
    </row>
    <row r="9437" spans="1:6" ht="38.25" x14ac:dyDescent="0.2">
      <c r="A9437" s="391">
        <v>103132</v>
      </c>
      <c r="B9437" s="478" t="s">
        <v>48207</v>
      </c>
      <c r="C9437" s="391" t="s">
        <v>26</v>
      </c>
      <c r="D9437" s="479">
        <v>773.5</v>
      </c>
      <c r="E9437" s="368"/>
      <c r="F9437" s="368"/>
    </row>
    <row r="9438" spans="1:6" ht="38.25" x14ac:dyDescent="0.2">
      <c r="A9438" s="391">
        <v>103121</v>
      </c>
      <c r="B9438" s="478" t="s">
        <v>48208</v>
      </c>
      <c r="C9438" s="391" t="s">
        <v>26</v>
      </c>
      <c r="D9438" s="479">
        <v>64.790000000000006</v>
      </c>
      <c r="E9438" s="368"/>
      <c r="F9438" s="368"/>
    </row>
    <row r="9439" spans="1:6" ht="38.25" x14ac:dyDescent="0.2">
      <c r="A9439" s="391">
        <v>103133</v>
      </c>
      <c r="B9439" s="478" t="s">
        <v>48209</v>
      </c>
      <c r="C9439" s="391" t="s">
        <v>26</v>
      </c>
      <c r="D9439" s="479">
        <v>844.68</v>
      </c>
      <c r="E9439" s="368"/>
      <c r="F9439" s="368"/>
    </row>
    <row r="9440" spans="1:6" ht="38.25" x14ac:dyDescent="0.2">
      <c r="A9440" s="391">
        <v>103134</v>
      </c>
      <c r="B9440" s="478" t="s">
        <v>48210</v>
      </c>
      <c r="C9440" s="391" t="s">
        <v>26</v>
      </c>
      <c r="D9440" s="479">
        <v>982.71</v>
      </c>
      <c r="E9440" s="368"/>
      <c r="F9440" s="368"/>
    </row>
    <row r="9441" spans="1:6" ht="25.5" x14ac:dyDescent="0.2">
      <c r="A9441" s="391">
        <v>103090</v>
      </c>
      <c r="B9441" s="478" t="s">
        <v>181</v>
      </c>
      <c r="C9441" s="391" t="s">
        <v>0</v>
      </c>
      <c r="D9441" s="479">
        <v>13.94</v>
      </c>
      <c r="E9441" s="368"/>
      <c r="F9441" s="368"/>
    </row>
    <row r="9442" spans="1:6" ht="25.5" x14ac:dyDescent="0.2">
      <c r="A9442" s="391">
        <v>103103</v>
      </c>
      <c r="B9442" s="478" t="s">
        <v>194</v>
      </c>
      <c r="C9442" s="391" t="s">
        <v>0</v>
      </c>
      <c r="D9442" s="479">
        <v>136.74</v>
      </c>
      <c r="E9442" s="368"/>
      <c r="F9442" s="368"/>
    </row>
    <row r="9443" spans="1:6" ht="25.5" x14ac:dyDescent="0.2">
      <c r="A9443" s="391">
        <v>103104</v>
      </c>
      <c r="B9443" s="478" t="s">
        <v>195</v>
      </c>
      <c r="C9443" s="391" t="s">
        <v>0</v>
      </c>
      <c r="D9443" s="479">
        <v>163.52000000000001</v>
      </c>
      <c r="E9443" s="368"/>
      <c r="F9443" s="368"/>
    </row>
    <row r="9444" spans="1:6" ht="25.5" x14ac:dyDescent="0.2">
      <c r="A9444" s="391">
        <v>103091</v>
      </c>
      <c r="B9444" s="478" t="s">
        <v>182</v>
      </c>
      <c r="C9444" s="391" t="s">
        <v>0</v>
      </c>
      <c r="D9444" s="479">
        <v>19.59</v>
      </c>
      <c r="E9444" s="368"/>
      <c r="F9444" s="368"/>
    </row>
    <row r="9445" spans="1:6" ht="25.5" x14ac:dyDescent="0.2">
      <c r="A9445" s="391">
        <v>103092</v>
      </c>
      <c r="B9445" s="484" t="s">
        <v>183</v>
      </c>
      <c r="C9445" s="391" t="s">
        <v>0</v>
      </c>
      <c r="D9445" s="479">
        <v>25.23</v>
      </c>
      <c r="E9445" s="368"/>
      <c r="F9445" s="368"/>
    </row>
    <row r="9446" spans="1:6" ht="25.5" x14ac:dyDescent="0.2">
      <c r="A9446" s="391">
        <v>103093</v>
      </c>
      <c r="B9446" s="484" t="s">
        <v>184</v>
      </c>
      <c r="C9446" s="391" t="s">
        <v>0</v>
      </c>
      <c r="D9446" s="479">
        <v>38.590000000000003</v>
      </c>
      <c r="E9446" s="368"/>
      <c r="F9446" s="368"/>
    </row>
    <row r="9447" spans="1:6" ht="25.5" x14ac:dyDescent="0.2">
      <c r="A9447" s="391">
        <v>103094</v>
      </c>
      <c r="B9447" s="484" t="s">
        <v>185</v>
      </c>
      <c r="C9447" s="391" t="s">
        <v>0</v>
      </c>
      <c r="D9447" s="479">
        <v>44.27</v>
      </c>
      <c r="E9447" s="368"/>
      <c r="F9447" s="368"/>
    </row>
    <row r="9448" spans="1:6" ht="25.5" x14ac:dyDescent="0.2">
      <c r="A9448" s="391">
        <v>103095</v>
      </c>
      <c r="B9448" s="478" t="s">
        <v>186</v>
      </c>
      <c r="C9448" s="391" t="s">
        <v>0</v>
      </c>
      <c r="D9448" s="479">
        <v>57.59</v>
      </c>
      <c r="E9448" s="368"/>
      <c r="F9448" s="368"/>
    </row>
    <row r="9449" spans="1:6" ht="25.5" x14ac:dyDescent="0.2">
      <c r="A9449" s="391">
        <v>103096</v>
      </c>
      <c r="B9449" s="484" t="s">
        <v>187</v>
      </c>
      <c r="C9449" s="391" t="s">
        <v>0</v>
      </c>
      <c r="D9449" s="479">
        <v>63.27</v>
      </c>
      <c r="E9449" s="368"/>
      <c r="F9449" s="368"/>
    </row>
    <row r="9450" spans="1:6" ht="25.5" x14ac:dyDescent="0.2">
      <c r="A9450" s="391">
        <v>103097</v>
      </c>
      <c r="B9450" s="478" t="s">
        <v>188</v>
      </c>
      <c r="C9450" s="391" t="s">
        <v>0</v>
      </c>
      <c r="D9450" s="479">
        <v>76.59</v>
      </c>
      <c r="E9450" s="368"/>
      <c r="F9450" s="368"/>
    </row>
    <row r="9451" spans="1:6" ht="25.5" x14ac:dyDescent="0.2">
      <c r="A9451" s="391">
        <v>103098</v>
      </c>
      <c r="B9451" s="478" t="s">
        <v>189</v>
      </c>
      <c r="C9451" s="391" t="s">
        <v>0</v>
      </c>
      <c r="D9451" s="479">
        <v>82.27</v>
      </c>
      <c r="E9451" s="368"/>
      <c r="F9451" s="368"/>
    </row>
    <row r="9452" spans="1:6" ht="25.5" x14ac:dyDescent="0.2">
      <c r="A9452" s="391">
        <v>103099</v>
      </c>
      <c r="B9452" s="478" t="s">
        <v>190</v>
      </c>
      <c r="C9452" s="391" t="s">
        <v>0</v>
      </c>
      <c r="D9452" s="479">
        <v>93.57</v>
      </c>
      <c r="E9452" s="368"/>
      <c r="F9452" s="368"/>
    </row>
    <row r="9453" spans="1:6" ht="25.5" x14ac:dyDescent="0.2">
      <c r="A9453" s="391">
        <v>103100</v>
      </c>
      <c r="B9453" s="478" t="s">
        <v>191</v>
      </c>
      <c r="C9453" s="391" t="s">
        <v>0</v>
      </c>
      <c r="D9453" s="479">
        <v>99.83</v>
      </c>
      <c r="E9453" s="368"/>
      <c r="F9453" s="368"/>
    </row>
    <row r="9454" spans="1:6" ht="25.5" x14ac:dyDescent="0.2">
      <c r="A9454" s="391">
        <v>103089</v>
      </c>
      <c r="B9454" s="478" t="s">
        <v>180</v>
      </c>
      <c r="C9454" s="391" t="s">
        <v>0</v>
      </c>
      <c r="D9454" s="479">
        <v>11.68</v>
      </c>
      <c r="E9454" s="368"/>
      <c r="F9454" s="368"/>
    </row>
    <row r="9455" spans="1:6" ht="25.5" x14ac:dyDescent="0.2">
      <c r="A9455" s="391">
        <v>103101</v>
      </c>
      <c r="B9455" s="478" t="s">
        <v>192</v>
      </c>
      <c r="C9455" s="391" t="s">
        <v>0</v>
      </c>
      <c r="D9455" s="479">
        <v>109.95</v>
      </c>
      <c r="E9455" s="368"/>
      <c r="F9455" s="368"/>
    </row>
    <row r="9456" spans="1:6" ht="25.5" x14ac:dyDescent="0.2">
      <c r="A9456" s="391">
        <v>103102</v>
      </c>
      <c r="B9456" s="478" t="s">
        <v>193</v>
      </c>
      <c r="C9456" s="391" t="s">
        <v>0</v>
      </c>
      <c r="D9456" s="479">
        <v>126.62</v>
      </c>
      <c r="E9456" s="368"/>
      <c r="F9456" s="368"/>
    </row>
    <row r="9457" spans="1:6" ht="25.5" x14ac:dyDescent="0.2">
      <c r="A9457" s="391">
        <v>101112</v>
      </c>
      <c r="B9457" s="478" t="s">
        <v>1744</v>
      </c>
      <c r="C9457" s="391" t="s">
        <v>271</v>
      </c>
      <c r="D9457" s="479">
        <v>899.31</v>
      </c>
      <c r="E9457" s="368"/>
      <c r="F9457" s="368"/>
    </row>
    <row r="9458" spans="1:6" ht="38.25" x14ac:dyDescent="0.2">
      <c r="A9458" s="391">
        <v>101113</v>
      </c>
      <c r="B9458" s="478" t="s">
        <v>1745</v>
      </c>
      <c r="C9458" s="391" t="s">
        <v>271</v>
      </c>
      <c r="D9458" s="479">
        <v>887.07</v>
      </c>
      <c r="E9458" s="368"/>
      <c r="F9458" s="368"/>
    </row>
    <row r="9459" spans="1:6" ht="38.25" x14ac:dyDescent="0.2">
      <c r="A9459" s="391">
        <v>101098</v>
      </c>
      <c r="B9459" s="478" t="s">
        <v>47401</v>
      </c>
      <c r="C9459" s="391" t="s">
        <v>271</v>
      </c>
      <c r="D9459" s="479">
        <v>1085.42</v>
      </c>
      <c r="E9459" s="368"/>
      <c r="F9459" s="368"/>
    </row>
    <row r="9460" spans="1:6" ht="51" x14ac:dyDescent="0.2">
      <c r="A9460" s="391">
        <v>101106</v>
      </c>
      <c r="B9460" s="478" t="s">
        <v>47402</v>
      </c>
      <c r="C9460" s="391" t="s">
        <v>271</v>
      </c>
      <c r="D9460" s="479">
        <v>1070.54</v>
      </c>
      <c r="E9460" s="368"/>
      <c r="F9460" s="368"/>
    </row>
    <row r="9461" spans="1:6" ht="51" x14ac:dyDescent="0.2">
      <c r="A9461" s="391">
        <v>101102</v>
      </c>
      <c r="B9461" s="478" t="s">
        <v>47403</v>
      </c>
      <c r="C9461" s="391" t="s">
        <v>271</v>
      </c>
      <c r="D9461" s="479">
        <v>896.81</v>
      </c>
      <c r="E9461" s="368"/>
      <c r="F9461" s="368"/>
    </row>
    <row r="9462" spans="1:6" ht="51" x14ac:dyDescent="0.2">
      <c r="A9462" s="391">
        <v>101110</v>
      </c>
      <c r="B9462" s="478" t="s">
        <v>47404</v>
      </c>
      <c r="C9462" s="391" t="s">
        <v>271</v>
      </c>
      <c r="D9462" s="479">
        <v>877.74</v>
      </c>
      <c r="E9462" s="368"/>
      <c r="F9462" s="368"/>
    </row>
    <row r="9463" spans="1:6" ht="38.25" x14ac:dyDescent="0.2">
      <c r="A9463" s="391">
        <v>101099</v>
      </c>
      <c r="B9463" s="478" t="s">
        <v>47405</v>
      </c>
      <c r="C9463" s="391" t="s">
        <v>271</v>
      </c>
      <c r="D9463" s="479">
        <v>999.6</v>
      </c>
      <c r="E9463" s="368"/>
      <c r="F9463" s="368"/>
    </row>
    <row r="9464" spans="1:6" ht="51" x14ac:dyDescent="0.2">
      <c r="A9464" s="391">
        <v>101107</v>
      </c>
      <c r="B9464" s="478" t="s">
        <v>47406</v>
      </c>
      <c r="C9464" s="391" t="s">
        <v>271</v>
      </c>
      <c r="D9464" s="479">
        <v>985.66</v>
      </c>
      <c r="E9464" s="368"/>
      <c r="F9464" s="368"/>
    </row>
    <row r="9465" spans="1:6" ht="51" x14ac:dyDescent="0.2">
      <c r="A9465" s="391">
        <v>101103</v>
      </c>
      <c r="B9465" s="478" t="s">
        <v>47407</v>
      </c>
      <c r="C9465" s="391" t="s">
        <v>271</v>
      </c>
      <c r="D9465" s="479">
        <v>845.6</v>
      </c>
      <c r="E9465" s="368"/>
      <c r="F9465" s="368"/>
    </row>
    <row r="9466" spans="1:6" ht="51" x14ac:dyDescent="0.2">
      <c r="A9466" s="391">
        <v>101111</v>
      </c>
      <c r="B9466" s="478" t="s">
        <v>47408</v>
      </c>
      <c r="C9466" s="391" t="s">
        <v>271</v>
      </c>
      <c r="D9466" s="479">
        <v>828.04</v>
      </c>
      <c r="E9466" s="368"/>
      <c r="F9466" s="368"/>
    </row>
    <row r="9467" spans="1:6" ht="38.25" x14ac:dyDescent="0.2">
      <c r="A9467" s="391">
        <v>101096</v>
      </c>
      <c r="B9467" s="478" t="s">
        <v>47409</v>
      </c>
      <c r="C9467" s="391" t="s">
        <v>271</v>
      </c>
      <c r="D9467" s="479">
        <v>1223.53</v>
      </c>
      <c r="E9467" s="368"/>
      <c r="F9467" s="368"/>
    </row>
    <row r="9468" spans="1:6" ht="51" x14ac:dyDescent="0.2">
      <c r="A9468" s="391">
        <v>101104</v>
      </c>
      <c r="B9468" s="478" t="s">
        <v>47410</v>
      </c>
      <c r="C9468" s="391" t="s">
        <v>271</v>
      </c>
      <c r="D9468" s="479">
        <v>1206.99</v>
      </c>
      <c r="E9468" s="368"/>
      <c r="F9468" s="368"/>
    </row>
    <row r="9469" spans="1:6" ht="38.25" x14ac:dyDescent="0.2">
      <c r="A9469" s="391">
        <v>101100</v>
      </c>
      <c r="B9469" s="478" t="s">
        <v>47411</v>
      </c>
      <c r="C9469" s="391" t="s">
        <v>271</v>
      </c>
      <c r="D9469" s="479">
        <v>943.04</v>
      </c>
      <c r="E9469" s="368"/>
      <c r="F9469" s="368"/>
    </row>
    <row r="9470" spans="1:6" ht="51" x14ac:dyDescent="0.2">
      <c r="A9470" s="391">
        <v>101108</v>
      </c>
      <c r="B9470" s="478" t="s">
        <v>47412</v>
      </c>
      <c r="C9470" s="391" t="s">
        <v>271</v>
      </c>
      <c r="D9470" s="479">
        <v>921.47</v>
      </c>
      <c r="E9470" s="368"/>
      <c r="F9470" s="368"/>
    </row>
    <row r="9471" spans="1:6" ht="38.25" x14ac:dyDescent="0.2">
      <c r="A9471" s="391">
        <v>101097</v>
      </c>
      <c r="B9471" s="478" t="s">
        <v>47413</v>
      </c>
      <c r="C9471" s="391" t="s">
        <v>271</v>
      </c>
      <c r="D9471" s="479">
        <v>1162.73</v>
      </c>
      <c r="E9471" s="368"/>
      <c r="F9471" s="368"/>
    </row>
    <row r="9472" spans="1:6" ht="51" x14ac:dyDescent="0.2">
      <c r="A9472" s="391">
        <v>101105</v>
      </c>
      <c r="B9472" s="478" t="s">
        <v>47414</v>
      </c>
      <c r="C9472" s="391" t="s">
        <v>271</v>
      </c>
      <c r="D9472" s="479">
        <v>1146.67</v>
      </c>
      <c r="E9472" s="368"/>
      <c r="F9472" s="368"/>
    </row>
    <row r="9473" spans="1:6" ht="51" x14ac:dyDescent="0.2">
      <c r="A9473" s="391">
        <v>101101</v>
      </c>
      <c r="B9473" s="478" t="s">
        <v>47415</v>
      </c>
      <c r="C9473" s="391" t="s">
        <v>271</v>
      </c>
      <c r="D9473" s="479">
        <v>920.81</v>
      </c>
      <c r="E9473" s="368"/>
      <c r="F9473" s="368"/>
    </row>
    <row r="9474" spans="1:6" ht="51" x14ac:dyDescent="0.2">
      <c r="A9474" s="391">
        <v>101109</v>
      </c>
      <c r="B9474" s="478" t="s">
        <v>47416</v>
      </c>
      <c r="C9474" s="391" t="s">
        <v>271</v>
      </c>
      <c r="D9474" s="479">
        <v>899.97</v>
      </c>
      <c r="E9474" s="368"/>
      <c r="F9474" s="368"/>
    </row>
    <row r="9475" spans="1:6" x14ac:dyDescent="0.2">
      <c r="A9475" s="391">
        <v>96393</v>
      </c>
      <c r="B9475" s="478" t="s">
        <v>4598</v>
      </c>
      <c r="C9475" s="391" t="s">
        <v>271</v>
      </c>
      <c r="D9475" s="479">
        <v>179.62</v>
      </c>
      <c r="E9475" s="368"/>
      <c r="F9475" s="368"/>
    </row>
    <row r="9476" spans="1:6" x14ac:dyDescent="0.2">
      <c r="A9476" s="391">
        <v>96394</v>
      </c>
      <c r="B9476" s="478" t="s">
        <v>4599</v>
      </c>
      <c r="C9476" s="391" t="s">
        <v>271</v>
      </c>
      <c r="D9476" s="479">
        <v>239.28</v>
      </c>
      <c r="E9476" s="368"/>
      <c r="F9476" s="368"/>
    </row>
    <row r="9477" spans="1:6" ht="38.25" x14ac:dyDescent="0.2">
      <c r="A9477" s="391">
        <v>104363</v>
      </c>
      <c r="B9477" s="478" t="s">
        <v>42183</v>
      </c>
      <c r="C9477" s="391" t="s">
        <v>5477</v>
      </c>
      <c r="D9477" s="479">
        <v>0</v>
      </c>
      <c r="E9477" s="368"/>
      <c r="F9477" s="368"/>
    </row>
    <row r="9478" spans="1:6" ht="38.25" x14ac:dyDescent="0.2">
      <c r="A9478" s="391">
        <v>104360</v>
      </c>
      <c r="B9478" s="478" t="s">
        <v>42184</v>
      </c>
      <c r="C9478" s="391" t="s">
        <v>5477</v>
      </c>
      <c r="D9478" s="479">
        <v>0</v>
      </c>
      <c r="E9478" s="368"/>
      <c r="F9478" s="368"/>
    </row>
    <row r="9479" spans="1:6" ht="38.25" x14ac:dyDescent="0.2">
      <c r="A9479" s="391">
        <v>104358</v>
      </c>
      <c r="B9479" s="478" t="s">
        <v>42185</v>
      </c>
      <c r="C9479" s="391" t="s">
        <v>5477</v>
      </c>
      <c r="D9479" s="479">
        <v>0</v>
      </c>
      <c r="E9479" s="368"/>
      <c r="F9479" s="368"/>
    </row>
    <row r="9480" spans="1:6" ht="38.25" x14ac:dyDescent="0.2">
      <c r="A9480" s="391">
        <v>104362</v>
      </c>
      <c r="B9480" s="478" t="s">
        <v>42186</v>
      </c>
      <c r="C9480" s="391" t="s">
        <v>5477</v>
      </c>
      <c r="D9480" s="479">
        <v>0</v>
      </c>
      <c r="E9480" s="368"/>
      <c r="F9480" s="368"/>
    </row>
    <row r="9481" spans="1:6" ht="38.25" x14ac:dyDescent="0.2">
      <c r="A9481" s="391">
        <v>104361</v>
      </c>
      <c r="B9481" s="478" t="s">
        <v>42187</v>
      </c>
      <c r="C9481" s="391" t="s">
        <v>5477</v>
      </c>
      <c r="D9481" s="479">
        <v>0</v>
      </c>
      <c r="E9481" s="368"/>
      <c r="F9481" s="368"/>
    </row>
    <row r="9482" spans="1:6" ht="38.25" x14ac:dyDescent="0.2">
      <c r="A9482" s="391">
        <v>104359</v>
      </c>
      <c r="B9482" s="478" t="s">
        <v>42188</v>
      </c>
      <c r="C9482" s="391" t="s">
        <v>5477</v>
      </c>
      <c r="D9482" s="479">
        <v>0</v>
      </c>
      <c r="E9482" s="368"/>
      <c r="F9482" s="368"/>
    </row>
    <row r="9483" spans="1:6" x14ac:dyDescent="0.2">
      <c r="A9483" s="391">
        <v>96395</v>
      </c>
      <c r="B9483" s="478" t="s">
        <v>4600</v>
      </c>
      <c r="C9483" s="391" t="s">
        <v>271</v>
      </c>
      <c r="D9483" s="479">
        <v>322.85000000000002</v>
      </c>
      <c r="E9483" s="368"/>
      <c r="F9483" s="368"/>
    </row>
    <row r="9484" spans="1:6" ht="25.5" x14ac:dyDescent="0.2">
      <c r="A9484" s="391">
        <v>104373</v>
      </c>
      <c r="B9484" s="478" t="s">
        <v>42189</v>
      </c>
      <c r="C9484" s="391" t="s">
        <v>5477</v>
      </c>
      <c r="D9484" s="479">
        <v>0</v>
      </c>
      <c r="E9484" s="368"/>
      <c r="F9484" s="368"/>
    </row>
    <row r="9485" spans="1:6" ht="25.5" x14ac:dyDescent="0.2">
      <c r="A9485" s="391">
        <v>104374</v>
      </c>
      <c r="B9485" s="478" t="s">
        <v>42190</v>
      </c>
      <c r="C9485" s="391" t="s">
        <v>5477</v>
      </c>
      <c r="D9485" s="479">
        <v>0</v>
      </c>
      <c r="E9485" s="368"/>
      <c r="F9485" s="368"/>
    </row>
    <row r="9486" spans="1:6" ht="25.5" x14ac:dyDescent="0.2">
      <c r="A9486" s="391">
        <v>105034</v>
      </c>
      <c r="B9486" s="478" t="s">
        <v>2184</v>
      </c>
      <c r="C9486" s="391" t="s">
        <v>0</v>
      </c>
      <c r="D9486" s="479">
        <v>41.2</v>
      </c>
      <c r="E9486" s="368"/>
      <c r="F9486" s="368"/>
    </row>
    <row r="9487" spans="1:6" ht="25.5" x14ac:dyDescent="0.2">
      <c r="A9487" s="391">
        <v>105033</v>
      </c>
      <c r="B9487" s="478" t="s">
        <v>2183</v>
      </c>
      <c r="C9487" s="391" t="s">
        <v>0</v>
      </c>
      <c r="D9487" s="479">
        <v>57.56</v>
      </c>
      <c r="E9487" s="368"/>
      <c r="F9487" s="368"/>
    </row>
    <row r="9488" spans="1:6" ht="25.5" x14ac:dyDescent="0.2">
      <c r="A9488" s="391">
        <v>93205</v>
      </c>
      <c r="B9488" s="478" t="s">
        <v>2170</v>
      </c>
      <c r="C9488" s="391" t="s">
        <v>0</v>
      </c>
      <c r="D9488" s="479">
        <v>69.28</v>
      </c>
      <c r="E9488" s="368"/>
      <c r="F9488" s="368"/>
    </row>
    <row r="9489" spans="1:6" ht="25.5" x14ac:dyDescent="0.2">
      <c r="A9489" s="391">
        <v>105032</v>
      </c>
      <c r="B9489" s="478" t="s">
        <v>2182</v>
      </c>
      <c r="C9489" s="391" t="s">
        <v>0</v>
      </c>
      <c r="D9489" s="479">
        <v>32.770000000000003</v>
      </c>
      <c r="E9489" s="368"/>
      <c r="F9489" s="368"/>
    </row>
    <row r="9490" spans="1:6" ht="25.5" x14ac:dyDescent="0.2">
      <c r="A9490" s="391">
        <v>105031</v>
      </c>
      <c r="B9490" s="478" t="s">
        <v>2181</v>
      </c>
      <c r="C9490" s="391" t="s">
        <v>0</v>
      </c>
      <c r="D9490" s="479">
        <v>48.02</v>
      </c>
      <c r="E9490" s="368"/>
      <c r="F9490" s="368"/>
    </row>
    <row r="9491" spans="1:6" ht="25.5" x14ac:dyDescent="0.2">
      <c r="A9491" s="391">
        <v>93199</v>
      </c>
      <c r="B9491" s="478" t="s">
        <v>2166</v>
      </c>
      <c r="C9491" s="391" t="s">
        <v>0</v>
      </c>
      <c r="D9491" s="479">
        <v>50.15</v>
      </c>
      <c r="E9491" s="368"/>
      <c r="F9491" s="368"/>
    </row>
    <row r="9492" spans="1:6" ht="25.5" x14ac:dyDescent="0.2">
      <c r="A9492" s="391">
        <v>105030</v>
      </c>
      <c r="B9492" s="478" t="s">
        <v>2180</v>
      </c>
      <c r="C9492" s="391" t="s">
        <v>0</v>
      </c>
      <c r="D9492" s="479">
        <v>41.71</v>
      </c>
      <c r="E9492" s="368"/>
      <c r="F9492" s="368"/>
    </row>
    <row r="9493" spans="1:6" ht="25.5" x14ac:dyDescent="0.2">
      <c r="A9493" s="391">
        <v>105029</v>
      </c>
      <c r="B9493" s="478" t="s">
        <v>2179</v>
      </c>
      <c r="C9493" s="391" t="s">
        <v>0</v>
      </c>
      <c r="D9493" s="479">
        <v>49.41</v>
      </c>
      <c r="E9493" s="368"/>
      <c r="F9493" s="368"/>
    </row>
    <row r="9494" spans="1:6" ht="25.5" x14ac:dyDescent="0.2">
      <c r="A9494" s="391">
        <v>93197</v>
      </c>
      <c r="B9494" s="478" t="s">
        <v>2165</v>
      </c>
      <c r="C9494" s="391" t="s">
        <v>0</v>
      </c>
      <c r="D9494" s="479">
        <v>57.14</v>
      </c>
      <c r="E9494" s="368"/>
      <c r="F9494" s="368"/>
    </row>
    <row r="9495" spans="1:6" x14ac:dyDescent="0.2">
      <c r="A9495" s="391">
        <v>105040</v>
      </c>
      <c r="B9495" s="478" t="s">
        <v>2190</v>
      </c>
      <c r="C9495" s="391" t="s">
        <v>0</v>
      </c>
      <c r="D9495" s="479">
        <v>31.46</v>
      </c>
      <c r="E9495" s="368"/>
      <c r="F9495" s="368"/>
    </row>
    <row r="9496" spans="1:6" x14ac:dyDescent="0.2">
      <c r="A9496" s="391">
        <v>105039</v>
      </c>
      <c r="B9496" s="478" t="s">
        <v>2189</v>
      </c>
      <c r="C9496" s="391" t="s">
        <v>0</v>
      </c>
      <c r="D9496" s="479">
        <v>46.49</v>
      </c>
      <c r="E9496" s="368"/>
      <c r="F9496" s="368"/>
    </row>
    <row r="9497" spans="1:6" x14ac:dyDescent="0.2">
      <c r="A9497" s="391">
        <v>105038</v>
      </c>
      <c r="B9497" s="478" t="s">
        <v>2188</v>
      </c>
      <c r="C9497" s="391" t="s">
        <v>0</v>
      </c>
      <c r="D9497" s="479">
        <v>64.58</v>
      </c>
      <c r="E9497" s="368"/>
      <c r="F9497" s="368"/>
    </row>
    <row r="9498" spans="1:6" x14ac:dyDescent="0.2">
      <c r="A9498" s="391">
        <v>105028</v>
      </c>
      <c r="B9498" s="478" t="s">
        <v>2178</v>
      </c>
      <c r="C9498" s="391" t="s">
        <v>0</v>
      </c>
      <c r="D9498" s="479">
        <v>21.68</v>
      </c>
      <c r="E9498" s="368"/>
      <c r="F9498" s="368"/>
    </row>
    <row r="9499" spans="1:6" x14ac:dyDescent="0.2">
      <c r="A9499" s="391">
        <v>105027</v>
      </c>
      <c r="B9499" s="478" t="s">
        <v>2177</v>
      </c>
      <c r="C9499" s="391" t="s">
        <v>0</v>
      </c>
      <c r="D9499" s="479">
        <v>24.71</v>
      </c>
      <c r="E9499" s="368"/>
      <c r="F9499" s="368"/>
    </row>
    <row r="9500" spans="1:6" x14ac:dyDescent="0.2">
      <c r="A9500" s="391">
        <v>93194</v>
      </c>
      <c r="B9500" s="478" t="s">
        <v>2164</v>
      </c>
      <c r="C9500" s="391" t="s">
        <v>0</v>
      </c>
      <c r="D9500" s="479">
        <v>28.15</v>
      </c>
      <c r="E9500" s="368"/>
      <c r="F9500" s="368"/>
    </row>
    <row r="9501" spans="1:6" ht="25.5" x14ac:dyDescent="0.2">
      <c r="A9501" s="391">
        <v>93200</v>
      </c>
      <c r="B9501" s="478" t="s">
        <v>2167</v>
      </c>
      <c r="C9501" s="391" t="s">
        <v>0</v>
      </c>
      <c r="D9501" s="479">
        <v>11.38</v>
      </c>
      <c r="E9501" s="368"/>
      <c r="F9501" s="368"/>
    </row>
    <row r="9502" spans="1:6" ht="25.5" x14ac:dyDescent="0.2">
      <c r="A9502" s="391">
        <v>93203</v>
      </c>
      <c r="B9502" s="478" t="s">
        <v>2169</v>
      </c>
      <c r="C9502" s="391" t="s">
        <v>0</v>
      </c>
      <c r="D9502" s="479">
        <v>17.11</v>
      </c>
      <c r="E9502" s="368"/>
      <c r="F9502" s="368"/>
    </row>
    <row r="9503" spans="1:6" ht="25.5" x14ac:dyDescent="0.2">
      <c r="A9503" s="391">
        <v>93202</v>
      </c>
      <c r="B9503" s="478" t="s">
        <v>2168</v>
      </c>
      <c r="C9503" s="391" t="s">
        <v>0</v>
      </c>
      <c r="D9503" s="479">
        <v>27.19</v>
      </c>
      <c r="E9503" s="368"/>
      <c r="F9503" s="368"/>
    </row>
    <row r="9504" spans="1:6" ht="25.5" x14ac:dyDescent="0.2">
      <c r="A9504" s="391">
        <v>105026</v>
      </c>
      <c r="B9504" s="478" t="s">
        <v>2176</v>
      </c>
      <c r="C9504" s="391" t="s">
        <v>0</v>
      </c>
      <c r="D9504" s="479">
        <v>42.4</v>
      </c>
      <c r="E9504" s="368"/>
      <c r="F9504" s="368"/>
    </row>
    <row r="9505" spans="1:6" ht="25.5" x14ac:dyDescent="0.2">
      <c r="A9505" s="391">
        <v>105025</v>
      </c>
      <c r="B9505" s="478" t="s">
        <v>2175</v>
      </c>
      <c r="C9505" s="391" t="s">
        <v>0</v>
      </c>
      <c r="D9505" s="479">
        <v>59.51</v>
      </c>
      <c r="E9505" s="368"/>
      <c r="F9505" s="368"/>
    </row>
    <row r="9506" spans="1:6" ht="25.5" x14ac:dyDescent="0.2">
      <c r="A9506" s="391">
        <v>93191</v>
      </c>
      <c r="B9506" s="478" t="s">
        <v>2163</v>
      </c>
      <c r="C9506" s="391" t="s">
        <v>0</v>
      </c>
      <c r="D9506" s="479">
        <v>71.66</v>
      </c>
      <c r="E9506" s="368"/>
      <c r="F9506" s="368"/>
    </row>
    <row r="9507" spans="1:6" x14ac:dyDescent="0.2">
      <c r="A9507" s="391">
        <v>105024</v>
      </c>
      <c r="B9507" s="478" t="s">
        <v>2174</v>
      </c>
      <c r="C9507" s="391" t="s">
        <v>0</v>
      </c>
      <c r="D9507" s="479">
        <v>54.06</v>
      </c>
      <c r="E9507" s="368"/>
      <c r="F9507" s="368"/>
    </row>
    <row r="9508" spans="1:6" x14ac:dyDescent="0.2">
      <c r="A9508" s="391">
        <v>105023</v>
      </c>
      <c r="B9508" s="478" t="s">
        <v>2173</v>
      </c>
      <c r="C9508" s="391" t="s">
        <v>0</v>
      </c>
      <c r="D9508" s="479">
        <v>65.52</v>
      </c>
      <c r="E9508" s="368"/>
      <c r="F9508" s="368"/>
    </row>
    <row r="9509" spans="1:6" x14ac:dyDescent="0.2">
      <c r="A9509" s="391">
        <v>93187</v>
      </c>
      <c r="B9509" s="478" t="s">
        <v>2162</v>
      </c>
      <c r="C9509" s="391" t="s">
        <v>0</v>
      </c>
      <c r="D9509" s="479">
        <v>76.98</v>
      </c>
      <c r="E9509" s="368"/>
      <c r="F9509" s="368"/>
    </row>
    <row r="9510" spans="1:6" ht="25.5" x14ac:dyDescent="0.2">
      <c r="A9510" s="391">
        <v>105037</v>
      </c>
      <c r="B9510" s="478" t="s">
        <v>2187</v>
      </c>
      <c r="C9510" s="391" t="s">
        <v>0</v>
      </c>
      <c r="D9510" s="479">
        <v>31.61</v>
      </c>
      <c r="E9510" s="368"/>
      <c r="F9510" s="368"/>
    </row>
    <row r="9511" spans="1:6" ht="25.5" x14ac:dyDescent="0.2">
      <c r="A9511" s="391">
        <v>105036</v>
      </c>
      <c r="B9511" s="478" t="s">
        <v>2186</v>
      </c>
      <c r="C9511" s="391" t="s">
        <v>0</v>
      </c>
      <c r="D9511" s="479">
        <v>46.7</v>
      </c>
      <c r="E9511" s="368"/>
      <c r="F9511" s="368"/>
    </row>
    <row r="9512" spans="1:6" ht="25.5" x14ac:dyDescent="0.2">
      <c r="A9512" s="391">
        <v>105035</v>
      </c>
      <c r="B9512" s="478" t="s">
        <v>2185</v>
      </c>
      <c r="C9512" s="391" t="s">
        <v>0</v>
      </c>
      <c r="D9512" s="479">
        <v>64.760000000000005</v>
      </c>
      <c r="E9512" s="368"/>
      <c r="F9512" s="368"/>
    </row>
    <row r="9513" spans="1:6" ht="25.5" x14ac:dyDescent="0.2">
      <c r="A9513" s="391">
        <v>105022</v>
      </c>
      <c r="B9513" s="478" t="s">
        <v>2172</v>
      </c>
      <c r="C9513" s="391" t="s">
        <v>0</v>
      </c>
      <c r="D9513" s="479">
        <v>22.02</v>
      </c>
      <c r="E9513" s="368"/>
      <c r="F9513" s="368"/>
    </row>
    <row r="9514" spans="1:6" ht="25.5" x14ac:dyDescent="0.2">
      <c r="A9514" s="391">
        <v>105021</v>
      </c>
      <c r="B9514" s="478" t="s">
        <v>2171</v>
      </c>
      <c r="C9514" s="391" t="s">
        <v>0</v>
      </c>
      <c r="D9514" s="479">
        <v>25.08</v>
      </c>
      <c r="E9514" s="368"/>
      <c r="F9514" s="368"/>
    </row>
    <row r="9515" spans="1:6" ht="25.5" x14ac:dyDescent="0.2">
      <c r="A9515" s="391">
        <v>93184</v>
      </c>
      <c r="B9515" s="478" t="s">
        <v>2161</v>
      </c>
      <c r="C9515" s="391" t="s">
        <v>0</v>
      </c>
      <c r="D9515" s="479">
        <v>28.91</v>
      </c>
      <c r="E9515" s="368"/>
      <c r="F9515" s="368"/>
    </row>
    <row r="9516" spans="1:6" ht="38.25" x14ac:dyDescent="0.2">
      <c r="A9516" s="391">
        <v>102149</v>
      </c>
      <c r="B9516" s="478" t="s">
        <v>42191</v>
      </c>
      <c r="C9516" s="391" t="s">
        <v>255</v>
      </c>
      <c r="D9516" s="479">
        <v>0</v>
      </c>
      <c r="E9516" s="368"/>
      <c r="F9516" s="368"/>
    </row>
    <row r="9517" spans="1:6" ht="38.25" x14ac:dyDescent="0.2">
      <c r="A9517" s="391">
        <v>102150</v>
      </c>
      <c r="B9517" s="478" t="s">
        <v>42192</v>
      </c>
      <c r="C9517" s="391" t="s">
        <v>255</v>
      </c>
      <c r="D9517" s="479">
        <v>0</v>
      </c>
      <c r="E9517" s="368"/>
      <c r="F9517" s="368"/>
    </row>
    <row r="9518" spans="1:6" ht="38.25" x14ac:dyDescent="0.2">
      <c r="A9518" s="391">
        <v>102145</v>
      </c>
      <c r="B9518" s="478" t="s">
        <v>42193</v>
      </c>
      <c r="C9518" s="391" t="s">
        <v>255</v>
      </c>
      <c r="D9518" s="479">
        <v>0</v>
      </c>
      <c r="E9518" s="368"/>
      <c r="F9518" s="368"/>
    </row>
    <row r="9519" spans="1:6" ht="25.5" x14ac:dyDescent="0.2">
      <c r="A9519" s="391">
        <v>102146</v>
      </c>
      <c r="B9519" s="478" t="s">
        <v>42194</v>
      </c>
      <c r="C9519" s="391" t="s">
        <v>255</v>
      </c>
      <c r="D9519" s="479">
        <v>0</v>
      </c>
      <c r="E9519" s="368"/>
      <c r="F9519" s="368"/>
    </row>
    <row r="9520" spans="1:6" ht="25.5" x14ac:dyDescent="0.2">
      <c r="A9520" s="391">
        <v>102147</v>
      </c>
      <c r="B9520" s="478" t="s">
        <v>42195</v>
      </c>
      <c r="C9520" s="391" t="s">
        <v>255</v>
      </c>
      <c r="D9520" s="479">
        <v>0</v>
      </c>
      <c r="E9520" s="368"/>
      <c r="F9520" s="368"/>
    </row>
    <row r="9521" spans="1:6" ht="25.5" x14ac:dyDescent="0.2">
      <c r="A9521" s="391">
        <v>102148</v>
      </c>
      <c r="B9521" s="478" t="s">
        <v>42196</v>
      </c>
      <c r="C9521" s="391" t="s">
        <v>255</v>
      </c>
      <c r="D9521" s="479">
        <v>0</v>
      </c>
      <c r="E9521" s="368"/>
      <c r="F9521" s="368"/>
    </row>
    <row r="9522" spans="1:6" ht="25.5" x14ac:dyDescent="0.2">
      <c r="A9522" s="391">
        <v>102143</v>
      </c>
      <c r="B9522" s="478" t="s">
        <v>42197</v>
      </c>
      <c r="C9522" s="391" t="s">
        <v>255</v>
      </c>
      <c r="D9522" s="479">
        <v>0</v>
      </c>
      <c r="E9522" s="368"/>
      <c r="F9522" s="368"/>
    </row>
    <row r="9523" spans="1:6" ht="38.25" x14ac:dyDescent="0.2">
      <c r="A9523" s="391">
        <v>102144</v>
      </c>
      <c r="B9523" s="478" t="s">
        <v>42198</v>
      </c>
      <c r="C9523" s="391" t="s">
        <v>255</v>
      </c>
      <c r="D9523" s="479">
        <v>0</v>
      </c>
      <c r="E9523" s="368"/>
      <c r="F9523" s="368"/>
    </row>
    <row r="9524" spans="1:6" ht="25.5" x14ac:dyDescent="0.2">
      <c r="A9524" s="391">
        <v>102171</v>
      </c>
      <c r="B9524" s="478" t="s">
        <v>1729</v>
      </c>
      <c r="C9524" s="391" t="s">
        <v>255</v>
      </c>
      <c r="D9524" s="479">
        <v>571.52</v>
      </c>
      <c r="E9524" s="368"/>
      <c r="F9524" s="368"/>
    </row>
    <row r="9525" spans="1:6" ht="25.5" x14ac:dyDescent="0.2">
      <c r="A9525" s="391">
        <v>102172</v>
      </c>
      <c r="B9525" s="478" t="s">
        <v>1730</v>
      </c>
      <c r="C9525" s="391" t="s">
        <v>255</v>
      </c>
      <c r="D9525" s="479">
        <v>558.84</v>
      </c>
      <c r="E9525" s="368"/>
      <c r="F9525" s="368"/>
    </row>
    <row r="9526" spans="1:6" ht="25.5" x14ac:dyDescent="0.2">
      <c r="A9526" s="391">
        <v>102170</v>
      </c>
      <c r="B9526" s="478" t="s">
        <v>1728</v>
      </c>
      <c r="C9526" s="391" t="s">
        <v>255</v>
      </c>
      <c r="D9526" s="479">
        <v>299.5</v>
      </c>
      <c r="E9526" s="368"/>
      <c r="F9526" s="368"/>
    </row>
    <row r="9527" spans="1:6" ht="25.5" x14ac:dyDescent="0.2">
      <c r="A9527" s="391">
        <v>102160</v>
      </c>
      <c r="B9527" s="478" t="s">
        <v>1718</v>
      </c>
      <c r="C9527" s="391" t="s">
        <v>255</v>
      </c>
      <c r="D9527" s="479">
        <v>193.68</v>
      </c>
      <c r="E9527" s="368"/>
      <c r="F9527" s="368"/>
    </row>
    <row r="9528" spans="1:6" ht="25.5" x14ac:dyDescent="0.2">
      <c r="A9528" s="391">
        <v>102177</v>
      </c>
      <c r="B9528" s="478" t="s">
        <v>1732</v>
      </c>
      <c r="C9528" s="391" t="s">
        <v>255</v>
      </c>
      <c r="D9528" s="479">
        <v>2099.4</v>
      </c>
      <c r="E9528" s="368"/>
      <c r="F9528" s="368"/>
    </row>
    <row r="9529" spans="1:6" ht="25.5" x14ac:dyDescent="0.2">
      <c r="A9529" s="391">
        <v>102174</v>
      </c>
      <c r="B9529" s="478" t="s">
        <v>42199</v>
      </c>
      <c r="C9529" s="391" t="s">
        <v>255</v>
      </c>
      <c r="D9529" s="479">
        <v>0</v>
      </c>
      <c r="E9529" s="368"/>
      <c r="F9529" s="368"/>
    </row>
    <row r="9530" spans="1:6" ht="25.5" x14ac:dyDescent="0.2">
      <c r="A9530" s="391">
        <v>102178</v>
      </c>
      <c r="B9530" s="478" t="s">
        <v>1733</v>
      </c>
      <c r="C9530" s="391" t="s">
        <v>255</v>
      </c>
      <c r="D9530" s="479">
        <v>2414.81</v>
      </c>
      <c r="E9530" s="368"/>
      <c r="F9530" s="368"/>
    </row>
    <row r="9531" spans="1:6" ht="25.5" x14ac:dyDescent="0.2">
      <c r="A9531" s="391">
        <v>102175</v>
      </c>
      <c r="B9531" s="478" t="s">
        <v>42200</v>
      </c>
      <c r="C9531" s="391" t="s">
        <v>255</v>
      </c>
      <c r="D9531" s="479">
        <v>0</v>
      </c>
      <c r="E9531" s="368"/>
      <c r="F9531" s="368"/>
    </row>
    <row r="9532" spans="1:6" ht="25.5" x14ac:dyDescent="0.2">
      <c r="A9532" s="391">
        <v>102176</v>
      </c>
      <c r="B9532" s="478" t="s">
        <v>1731</v>
      </c>
      <c r="C9532" s="391" t="s">
        <v>255</v>
      </c>
      <c r="D9532" s="479">
        <v>1030.1300000000001</v>
      </c>
      <c r="E9532" s="368"/>
      <c r="F9532" s="368"/>
    </row>
    <row r="9533" spans="1:6" ht="25.5" x14ac:dyDescent="0.2">
      <c r="A9533" s="391">
        <v>102173</v>
      </c>
      <c r="B9533" s="478" t="s">
        <v>42201</v>
      </c>
      <c r="C9533" s="391" t="s">
        <v>255</v>
      </c>
      <c r="D9533" s="479">
        <v>0</v>
      </c>
      <c r="E9533" s="368"/>
      <c r="F9533" s="368"/>
    </row>
    <row r="9534" spans="1:6" ht="25.5" x14ac:dyDescent="0.2">
      <c r="A9534" s="391">
        <v>102163</v>
      </c>
      <c r="B9534" s="478" t="s">
        <v>1721</v>
      </c>
      <c r="C9534" s="391" t="s">
        <v>255</v>
      </c>
      <c r="D9534" s="479">
        <v>389.5</v>
      </c>
      <c r="E9534" s="368"/>
      <c r="F9534" s="368"/>
    </row>
    <row r="9535" spans="1:6" ht="25.5" x14ac:dyDescent="0.2">
      <c r="A9535" s="391">
        <v>102153</v>
      </c>
      <c r="B9535" s="478" t="s">
        <v>1711</v>
      </c>
      <c r="C9535" s="391" t="s">
        <v>255</v>
      </c>
      <c r="D9535" s="479">
        <v>283.68</v>
      </c>
      <c r="E9535" s="368"/>
      <c r="F9535" s="368"/>
    </row>
    <row r="9536" spans="1:6" ht="25.5" x14ac:dyDescent="0.2">
      <c r="A9536" s="391">
        <v>102165</v>
      </c>
      <c r="B9536" s="478" t="s">
        <v>1723</v>
      </c>
      <c r="C9536" s="391" t="s">
        <v>255</v>
      </c>
      <c r="D9536" s="479">
        <v>380.59</v>
      </c>
      <c r="E9536" s="368"/>
      <c r="F9536" s="368"/>
    </row>
    <row r="9537" spans="1:6" ht="25.5" x14ac:dyDescent="0.2">
      <c r="A9537" s="391">
        <v>102155</v>
      </c>
      <c r="B9537" s="478" t="s">
        <v>1713</v>
      </c>
      <c r="C9537" s="391" t="s">
        <v>255</v>
      </c>
      <c r="D9537" s="479">
        <v>294.23</v>
      </c>
      <c r="E9537" s="368"/>
      <c r="F9537" s="368"/>
    </row>
    <row r="9538" spans="1:6" ht="25.5" x14ac:dyDescent="0.2">
      <c r="A9538" s="391">
        <v>102167</v>
      </c>
      <c r="B9538" s="478" t="s">
        <v>1725</v>
      </c>
      <c r="C9538" s="391" t="s">
        <v>255</v>
      </c>
      <c r="D9538" s="479">
        <v>453.85</v>
      </c>
      <c r="E9538" s="368"/>
      <c r="F9538" s="368"/>
    </row>
    <row r="9539" spans="1:6" ht="25.5" x14ac:dyDescent="0.2">
      <c r="A9539" s="391">
        <v>102157</v>
      </c>
      <c r="B9539" s="478" t="s">
        <v>1715</v>
      </c>
      <c r="C9539" s="391" t="s">
        <v>255</v>
      </c>
      <c r="D9539" s="479">
        <v>386.99</v>
      </c>
      <c r="E9539" s="368"/>
      <c r="F9539" s="368"/>
    </row>
    <row r="9540" spans="1:6" ht="25.5" x14ac:dyDescent="0.2">
      <c r="A9540" s="391">
        <v>102169</v>
      </c>
      <c r="B9540" s="478" t="s">
        <v>1727</v>
      </c>
      <c r="C9540" s="391" t="s">
        <v>255</v>
      </c>
      <c r="D9540" s="479">
        <v>510.69</v>
      </c>
      <c r="E9540" s="368"/>
      <c r="F9540" s="368"/>
    </row>
    <row r="9541" spans="1:6" ht="25.5" x14ac:dyDescent="0.2">
      <c r="A9541" s="391">
        <v>102159</v>
      </c>
      <c r="B9541" s="478" t="s">
        <v>1717</v>
      </c>
      <c r="C9541" s="391" t="s">
        <v>255</v>
      </c>
      <c r="D9541" s="479">
        <v>467.53</v>
      </c>
      <c r="E9541" s="368"/>
      <c r="F9541" s="368"/>
    </row>
    <row r="9542" spans="1:6" ht="25.5" x14ac:dyDescent="0.2">
      <c r="A9542" s="391">
        <v>102161</v>
      </c>
      <c r="B9542" s="478" t="s">
        <v>1719</v>
      </c>
      <c r="C9542" s="391" t="s">
        <v>255</v>
      </c>
      <c r="D9542" s="479">
        <v>307.01</v>
      </c>
      <c r="E9542" s="368"/>
      <c r="F9542" s="368"/>
    </row>
    <row r="9543" spans="1:6" ht="25.5" x14ac:dyDescent="0.2">
      <c r="A9543" s="391">
        <v>102151</v>
      </c>
      <c r="B9543" s="478" t="s">
        <v>1709</v>
      </c>
      <c r="C9543" s="391" t="s">
        <v>255</v>
      </c>
      <c r="D9543" s="479">
        <v>201.19</v>
      </c>
      <c r="E9543" s="368"/>
      <c r="F9543" s="368"/>
    </row>
    <row r="9544" spans="1:6" ht="25.5" x14ac:dyDescent="0.2">
      <c r="A9544" s="391">
        <v>102162</v>
      </c>
      <c r="B9544" s="478" t="s">
        <v>1720</v>
      </c>
      <c r="C9544" s="391" t="s">
        <v>255</v>
      </c>
      <c r="D9544" s="479">
        <v>329.51</v>
      </c>
      <c r="E9544" s="368"/>
      <c r="F9544" s="368"/>
    </row>
    <row r="9545" spans="1:6" ht="25.5" x14ac:dyDescent="0.2">
      <c r="A9545" s="391">
        <v>102164</v>
      </c>
      <c r="B9545" s="478" t="s">
        <v>1722</v>
      </c>
      <c r="C9545" s="391" t="s">
        <v>255</v>
      </c>
      <c r="D9545" s="479">
        <v>331.52</v>
      </c>
      <c r="E9545" s="368"/>
      <c r="F9545" s="368"/>
    </row>
    <row r="9546" spans="1:6" ht="25.5" x14ac:dyDescent="0.2">
      <c r="A9546" s="391">
        <v>102154</v>
      </c>
      <c r="B9546" s="478" t="s">
        <v>1712</v>
      </c>
      <c r="C9546" s="391" t="s">
        <v>255</v>
      </c>
      <c r="D9546" s="479">
        <v>245.16</v>
      </c>
      <c r="E9546" s="368"/>
      <c r="F9546" s="368"/>
    </row>
    <row r="9547" spans="1:6" ht="25.5" x14ac:dyDescent="0.2">
      <c r="A9547" s="391">
        <v>102166</v>
      </c>
      <c r="B9547" s="478" t="s">
        <v>1724</v>
      </c>
      <c r="C9547" s="391" t="s">
        <v>255</v>
      </c>
      <c r="D9547" s="479">
        <v>348.85</v>
      </c>
      <c r="E9547" s="368"/>
      <c r="F9547" s="368"/>
    </row>
    <row r="9548" spans="1:6" ht="25.5" x14ac:dyDescent="0.2">
      <c r="A9548" s="391">
        <v>102156</v>
      </c>
      <c r="B9548" s="478" t="s">
        <v>1714</v>
      </c>
      <c r="C9548" s="391" t="s">
        <v>255</v>
      </c>
      <c r="D9548" s="479">
        <v>281.99</v>
      </c>
      <c r="E9548" s="368"/>
      <c r="F9548" s="368"/>
    </row>
    <row r="9549" spans="1:6" ht="25.5" x14ac:dyDescent="0.2">
      <c r="A9549" s="391">
        <v>102168</v>
      </c>
      <c r="B9549" s="478" t="s">
        <v>1726</v>
      </c>
      <c r="C9549" s="391" t="s">
        <v>255</v>
      </c>
      <c r="D9549" s="479">
        <v>441.6</v>
      </c>
      <c r="E9549" s="368"/>
      <c r="F9549" s="368"/>
    </row>
    <row r="9550" spans="1:6" ht="25.5" x14ac:dyDescent="0.2">
      <c r="A9550" s="391">
        <v>102158</v>
      </c>
      <c r="B9550" s="478" t="s">
        <v>1716</v>
      </c>
      <c r="C9550" s="391" t="s">
        <v>255</v>
      </c>
      <c r="D9550" s="479">
        <v>392.03</v>
      </c>
      <c r="E9550" s="368"/>
      <c r="F9550" s="368"/>
    </row>
    <row r="9551" spans="1:6" ht="25.5" x14ac:dyDescent="0.2">
      <c r="A9551" s="391">
        <v>102152</v>
      </c>
      <c r="B9551" s="478" t="s">
        <v>1710</v>
      </c>
      <c r="C9551" s="391" t="s">
        <v>255</v>
      </c>
      <c r="D9551" s="479">
        <v>223.69</v>
      </c>
      <c r="E9551" s="368"/>
      <c r="F9551" s="368"/>
    </row>
    <row r="9552" spans="1:6" ht="25.5" x14ac:dyDescent="0.2">
      <c r="A9552" s="391">
        <v>102181</v>
      </c>
      <c r="B9552" s="478" t="s">
        <v>1736</v>
      </c>
      <c r="C9552" s="391" t="s">
        <v>255</v>
      </c>
      <c r="D9552" s="479">
        <v>540.14</v>
      </c>
      <c r="E9552" s="368"/>
      <c r="F9552" s="368"/>
    </row>
    <row r="9553" spans="1:6" ht="25.5" x14ac:dyDescent="0.2">
      <c r="A9553" s="391">
        <v>102179</v>
      </c>
      <c r="B9553" s="478" t="s">
        <v>1734</v>
      </c>
      <c r="C9553" s="391" t="s">
        <v>255</v>
      </c>
      <c r="D9553" s="479">
        <v>384.39</v>
      </c>
      <c r="E9553" s="368"/>
      <c r="F9553" s="368"/>
    </row>
    <row r="9554" spans="1:6" ht="25.5" x14ac:dyDescent="0.2">
      <c r="A9554" s="391">
        <v>102180</v>
      </c>
      <c r="B9554" s="478" t="s">
        <v>1735</v>
      </c>
      <c r="C9554" s="391" t="s">
        <v>255</v>
      </c>
      <c r="D9554" s="479">
        <v>450.94</v>
      </c>
      <c r="E9554" s="368"/>
      <c r="F9554" s="368"/>
    </row>
    <row r="9555" spans="1:6" ht="51" x14ac:dyDescent="0.2">
      <c r="A9555" s="391">
        <v>102189</v>
      </c>
      <c r="B9555" s="478" t="s">
        <v>1700</v>
      </c>
      <c r="C9555" s="391" t="s">
        <v>26</v>
      </c>
      <c r="D9555" s="479">
        <v>235.59</v>
      </c>
      <c r="E9555" s="368"/>
      <c r="F9555" s="368"/>
    </row>
    <row r="9556" spans="1:6" x14ac:dyDescent="0.2">
      <c r="A9556" s="391">
        <v>102188</v>
      </c>
      <c r="B9556" s="478" t="s">
        <v>1699</v>
      </c>
      <c r="C9556" s="391" t="s">
        <v>26</v>
      </c>
      <c r="D9556" s="479">
        <v>874.13</v>
      </c>
      <c r="E9556" s="368"/>
      <c r="F9556" s="368"/>
    </row>
    <row r="9557" spans="1:6" ht="25.5" x14ac:dyDescent="0.2">
      <c r="A9557" s="391">
        <v>102185</v>
      </c>
      <c r="B9557" s="478" t="s">
        <v>1740</v>
      </c>
      <c r="C9557" s="391" t="s">
        <v>26</v>
      </c>
      <c r="D9557" s="479">
        <v>3941.78</v>
      </c>
      <c r="E9557" s="368"/>
      <c r="F9557" s="368"/>
    </row>
    <row r="9558" spans="1:6" ht="25.5" x14ac:dyDescent="0.2">
      <c r="A9558" s="391">
        <v>102184</v>
      </c>
      <c r="B9558" s="478" t="s">
        <v>1739</v>
      </c>
      <c r="C9558" s="391" t="s">
        <v>26</v>
      </c>
      <c r="D9558" s="479">
        <v>1965.37</v>
      </c>
      <c r="E9558" s="368"/>
      <c r="F9558" s="368"/>
    </row>
    <row r="9559" spans="1:6" ht="25.5" x14ac:dyDescent="0.2">
      <c r="A9559" s="391">
        <v>102187</v>
      </c>
      <c r="B9559" s="478" t="s">
        <v>42202</v>
      </c>
      <c r="C9559" s="391" t="s">
        <v>26</v>
      </c>
      <c r="D9559" s="479">
        <v>0</v>
      </c>
      <c r="E9559" s="368"/>
      <c r="F9559" s="368"/>
    </row>
    <row r="9560" spans="1:6" ht="25.5" x14ac:dyDescent="0.2">
      <c r="A9560" s="391">
        <v>102186</v>
      </c>
      <c r="B9560" s="478" t="s">
        <v>42203</v>
      </c>
      <c r="C9560" s="391" t="s">
        <v>26</v>
      </c>
      <c r="D9560" s="479">
        <v>0</v>
      </c>
      <c r="E9560" s="368"/>
      <c r="F9560" s="368"/>
    </row>
    <row r="9561" spans="1:6" ht="25.5" x14ac:dyDescent="0.2">
      <c r="A9561" s="391">
        <v>102183</v>
      </c>
      <c r="B9561" s="478" t="s">
        <v>1738</v>
      </c>
      <c r="C9561" s="391" t="s">
        <v>26</v>
      </c>
      <c r="D9561" s="479">
        <v>2236.09</v>
      </c>
      <c r="E9561" s="368"/>
      <c r="F9561" s="368"/>
    </row>
    <row r="9562" spans="1:6" ht="25.5" x14ac:dyDescent="0.2">
      <c r="A9562" s="391">
        <v>102182</v>
      </c>
      <c r="B9562" s="478" t="s">
        <v>1737</v>
      </c>
      <c r="C9562" s="391" t="s">
        <v>26</v>
      </c>
      <c r="D9562" s="479">
        <v>1112.3599999999999</v>
      </c>
      <c r="E9562" s="368"/>
      <c r="F9562" s="368"/>
    </row>
    <row r="9563" spans="1:6" ht="25.5" x14ac:dyDescent="0.2">
      <c r="A9563" s="391">
        <v>102191</v>
      </c>
      <c r="B9563" s="478" t="s">
        <v>1742</v>
      </c>
      <c r="C9563" s="391" t="s">
        <v>255</v>
      </c>
      <c r="D9563" s="479">
        <v>21.21</v>
      </c>
      <c r="E9563" s="368"/>
      <c r="F9563" s="368"/>
    </row>
    <row r="9564" spans="1:6" ht="25.5" x14ac:dyDescent="0.2">
      <c r="A9564" s="391">
        <v>102190</v>
      </c>
      <c r="B9564" s="478" t="s">
        <v>1741</v>
      </c>
      <c r="C9564" s="391" t="s">
        <v>255</v>
      </c>
      <c r="D9564" s="479">
        <v>17.47</v>
      </c>
      <c r="E9564" s="368"/>
      <c r="F9564" s="368"/>
    </row>
    <row r="9565" spans="1:6" x14ac:dyDescent="0.2">
      <c r="A9565" s="391">
        <v>102192</v>
      </c>
      <c r="B9565" s="478" t="s">
        <v>1743</v>
      </c>
      <c r="C9565" s="391" t="s">
        <v>255</v>
      </c>
      <c r="D9565" s="479">
        <v>15.15</v>
      </c>
      <c r="E9565" s="368"/>
      <c r="F9565" s="368"/>
    </row>
    <row r="9566" spans="1:6" ht="25.5" x14ac:dyDescent="0.2">
      <c r="A9566" s="391">
        <v>89354</v>
      </c>
      <c r="B9566" s="478" t="s">
        <v>4055</v>
      </c>
      <c r="C9566" s="391" t="s">
        <v>26</v>
      </c>
      <c r="D9566" s="479">
        <v>516.32000000000005</v>
      </c>
      <c r="E9566" s="368"/>
      <c r="F9566" s="368"/>
    </row>
    <row r="9567" spans="1:6" ht="25.5" x14ac:dyDescent="0.2">
      <c r="A9567" s="391">
        <v>103041</v>
      </c>
      <c r="B9567" s="478" t="s">
        <v>4116</v>
      </c>
      <c r="C9567" s="391" t="s">
        <v>26</v>
      </c>
      <c r="D9567" s="479">
        <v>13.72</v>
      </c>
      <c r="E9567" s="368"/>
      <c r="F9567" s="368"/>
    </row>
    <row r="9568" spans="1:6" ht="25.5" x14ac:dyDescent="0.2">
      <c r="A9568" s="391">
        <v>103042</v>
      </c>
      <c r="B9568" s="478" t="s">
        <v>4117</v>
      </c>
      <c r="C9568" s="391" t="s">
        <v>26</v>
      </c>
      <c r="D9568" s="479">
        <v>17.39</v>
      </c>
      <c r="E9568" s="368"/>
      <c r="F9568" s="368"/>
    </row>
    <row r="9569" spans="1:6" ht="25.5" x14ac:dyDescent="0.2">
      <c r="A9569" s="391">
        <v>103043</v>
      </c>
      <c r="B9569" s="478" t="s">
        <v>4118</v>
      </c>
      <c r="C9569" s="391" t="s">
        <v>26</v>
      </c>
      <c r="D9569" s="479">
        <v>15.62</v>
      </c>
      <c r="E9569" s="368"/>
      <c r="F9569" s="368"/>
    </row>
    <row r="9570" spans="1:6" ht="25.5" x14ac:dyDescent="0.2">
      <c r="A9570" s="391">
        <v>103044</v>
      </c>
      <c r="B9570" s="478" t="s">
        <v>4119</v>
      </c>
      <c r="C9570" s="391" t="s">
        <v>26</v>
      </c>
      <c r="D9570" s="479">
        <v>21.34</v>
      </c>
      <c r="E9570" s="368"/>
      <c r="F9570" s="368"/>
    </row>
    <row r="9571" spans="1:6" ht="25.5" x14ac:dyDescent="0.2">
      <c r="A9571" s="391">
        <v>103039</v>
      </c>
      <c r="B9571" s="478" t="s">
        <v>4114</v>
      </c>
      <c r="C9571" s="391" t="s">
        <v>26</v>
      </c>
      <c r="D9571" s="479">
        <v>47.53</v>
      </c>
      <c r="E9571" s="368"/>
      <c r="F9571" s="368"/>
    </row>
    <row r="9572" spans="1:6" ht="25.5" x14ac:dyDescent="0.2">
      <c r="A9572" s="391">
        <v>103038</v>
      </c>
      <c r="B9572" s="478" t="s">
        <v>4113</v>
      </c>
      <c r="C9572" s="391" t="s">
        <v>26</v>
      </c>
      <c r="D9572" s="479">
        <v>42.86</v>
      </c>
      <c r="E9572" s="368"/>
      <c r="F9572" s="368"/>
    </row>
    <row r="9573" spans="1:6" ht="25.5" x14ac:dyDescent="0.2">
      <c r="A9573" s="391">
        <v>103037</v>
      </c>
      <c r="B9573" s="478" t="s">
        <v>4112</v>
      </c>
      <c r="C9573" s="391" t="s">
        <v>26</v>
      </c>
      <c r="D9573" s="479">
        <v>31.98</v>
      </c>
      <c r="E9573" s="368"/>
      <c r="F9573" s="368"/>
    </row>
    <row r="9574" spans="1:6" ht="25.5" x14ac:dyDescent="0.2">
      <c r="A9574" s="391">
        <v>103036</v>
      </c>
      <c r="B9574" s="478" t="s">
        <v>4111</v>
      </c>
      <c r="C9574" s="391" t="s">
        <v>26</v>
      </c>
      <c r="D9574" s="479">
        <v>16.18</v>
      </c>
      <c r="E9574" s="368"/>
      <c r="F9574" s="368"/>
    </row>
    <row r="9575" spans="1:6" ht="25.5" x14ac:dyDescent="0.2">
      <c r="A9575" s="391">
        <v>103040</v>
      </c>
      <c r="B9575" s="478" t="s">
        <v>4115</v>
      </c>
      <c r="C9575" s="391" t="s">
        <v>26</v>
      </c>
      <c r="D9575" s="479">
        <v>69.599999999999994</v>
      </c>
      <c r="E9575" s="368"/>
      <c r="F9575" s="368"/>
    </row>
    <row r="9576" spans="1:6" ht="25.5" x14ac:dyDescent="0.2">
      <c r="A9576" s="391">
        <v>90371</v>
      </c>
      <c r="B9576" s="478" t="s">
        <v>4060</v>
      </c>
      <c r="C9576" s="391" t="s">
        <v>26</v>
      </c>
      <c r="D9576" s="479">
        <v>20.56</v>
      </c>
      <c r="E9576" s="368"/>
      <c r="F9576" s="368"/>
    </row>
    <row r="9577" spans="1:6" ht="25.5" x14ac:dyDescent="0.2">
      <c r="A9577" s="391">
        <v>103047</v>
      </c>
      <c r="B9577" s="478" t="s">
        <v>48211</v>
      </c>
      <c r="C9577" s="391" t="s">
        <v>26</v>
      </c>
      <c r="D9577" s="479">
        <v>17.14</v>
      </c>
      <c r="E9577" s="368"/>
      <c r="F9577" s="368"/>
    </row>
    <row r="9578" spans="1:6" ht="25.5" x14ac:dyDescent="0.2">
      <c r="A9578" s="391">
        <v>94489</v>
      </c>
      <c r="B9578" s="478" t="s">
        <v>48212</v>
      </c>
      <c r="C9578" s="391" t="s">
        <v>26</v>
      </c>
      <c r="D9578" s="479">
        <v>20.66</v>
      </c>
      <c r="E9578" s="368"/>
      <c r="F9578" s="368"/>
    </row>
    <row r="9579" spans="1:6" ht="25.5" x14ac:dyDescent="0.2">
      <c r="A9579" s="391">
        <v>94490</v>
      </c>
      <c r="B9579" s="478" t="s">
        <v>48213</v>
      </c>
      <c r="C9579" s="391" t="s">
        <v>26</v>
      </c>
      <c r="D9579" s="479">
        <v>29.64</v>
      </c>
      <c r="E9579" s="368"/>
      <c r="F9579" s="368"/>
    </row>
    <row r="9580" spans="1:6" ht="25.5" x14ac:dyDescent="0.2">
      <c r="A9580" s="391">
        <v>94491</v>
      </c>
      <c r="B9580" s="478" t="s">
        <v>48214</v>
      </c>
      <c r="C9580" s="391" t="s">
        <v>26</v>
      </c>
      <c r="D9580" s="479">
        <v>40.78</v>
      </c>
      <c r="E9580" s="368"/>
      <c r="F9580" s="368"/>
    </row>
    <row r="9581" spans="1:6" ht="25.5" x14ac:dyDescent="0.2">
      <c r="A9581" s="391">
        <v>94492</v>
      </c>
      <c r="B9581" s="478" t="s">
        <v>48215</v>
      </c>
      <c r="C9581" s="391" t="s">
        <v>26</v>
      </c>
      <c r="D9581" s="479">
        <v>41.84</v>
      </c>
      <c r="E9581" s="368"/>
      <c r="F9581" s="368"/>
    </row>
    <row r="9582" spans="1:6" ht="25.5" x14ac:dyDescent="0.2">
      <c r="A9582" s="391">
        <v>94493</v>
      </c>
      <c r="B9582" s="478" t="s">
        <v>48216</v>
      </c>
      <c r="C9582" s="391" t="s">
        <v>26</v>
      </c>
      <c r="D9582" s="479">
        <v>76.59</v>
      </c>
      <c r="E9582" s="368"/>
      <c r="F9582" s="368"/>
    </row>
    <row r="9583" spans="1:6" ht="25.5" x14ac:dyDescent="0.2">
      <c r="A9583" s="391">
        <v>94497</v>
      </c>
      <c r="B9583" s="478" t="s">
        <v>4063</v>
      </c>
      <c r="C9583" s="391" t="s">
        <v>26</v>
      </c>
      <c r="D9583" s="479">
        <v>108.68</v>
      </c>
      <c r="E9583" s="368"/>
      <c r="F9583" s="368"/>
    </row>
    <row r="9584" spans="1:6" ht="25.5" x14ac:dyDescent="0.2">
      <c r="A9584" s="391">
        <v>94794</v>
      </c>
      <c r="B9584" s="478" t="s">
        <v>4070</v>
      </c>
      <c r="C9584" s="391" t="s">
        <v>26</v>
      </c>
      <c r="D9584" s="479">
        <v>171.35</v>
      </c>
      <c r="E9584" s="368"/>
      <c r="F9584" s="368"/>
    </row>
    <row r="9585" spans="1:6" ht="25.5" x14ac:dyDescent="0.2">
      <c r="A9585" s="391">
        <v>94496</v>
      </c>
      <c r="B9585" s="478" t="s">
        <v>4062</v>
      </c>
      <c r="C9585" s="391" t="s">
        <v>26</v>
      </c>
      <c r="D9585" s="479">
        <v>85.77</v>
      </c>
      <c r="E9585" s="368"/>
      <c r="F9585" s="368"/>
    </row>
    <row r="9586" spans="1:6" ht="25.5" x14ac:dyDescent="0.2">
      <c r="A9586" s="391">
        <v>94793</v>
      </c>
      <c r="B9586" s="478" t="s">
        <v>4069</v>
      </c>
      <c r="C9586" s="391" t="s">
        <v>26</v>
      </c>
      <c r="D9586" s="479">
        <v>161.62</v>
      </c>
      <c r="E9586" s="368"/>
      <c r="F9586" s="368"/>
    </row>
    <row r="9587" spans="1:6" ht="25.5" x14ac:dyDescent="0.2">
      <c r="A9587" s="391">
        <v>94495</v>
      </c>
      <c r="B9587" s="478" t="s">
        <v>4061</v>
      </c>
      <c r="C9587" s="391" t="s">
        <v>26</v>
      </c>
      <c r="D9587" s="479">
        <v>62.97</v>
      </c>
      <c r="E9587" s="368"/>
      <c r="F9587" s="368"/>
    </row>
    <row r="9588" spans="1:6" ht="25.5" x14ac:dyDescent="0.2">
      <c r="A9588" s="391">
        <v>94792</v>
      </c>
      <c r="B9588" s="478" t="s">
        <v>4068</v>
      </c>
      <c r="C9588" s="391" t="s">
        <v>26</v>
      </c>
      <c r="D9588" s="479">
        <v>117.92</v>
      </c>
      <c r="E9588" s="368"/>
      <c r="F9588" s="368"/>
    </row>
    <row r="9589" spans="1:6" ht="25.5" x14ac:dyDescent="0.2">
      <c r="A9589" s="391">
        <v>89352</v>
      </c>
      <c r="B9589" s="478" t="s">
        <v>4053</v>
      </c>
      <c r="C9589" s="391" t="s">
        <v>26</v>
      </c>
      <c r="D9589" s="479">
        <v>36.979999999999997</v>
      </c>
      <c r="E9589" s="368"/>
      <c r="F9589" s="368"/>
    </row>
    <row r="9590" spans="1:6" ht="25.5" x14ac:dyDescent="0.2">
      <c r="A9590" s="391">
        <v>89986</v>
      </c>
      <c r="B9590" s="478" t="s">
        <v>4058</v>
      </c>
      <c r="C9590" s="391" t="s">
        <v>26</v>
      </c>
      <c r="D9590" s="479">
        <v>85.14</v>
      </c>
      <c r="E9590" s="368"/>
      <c r="F9590" s="368"/>
    </row>
    <row r="9591" spans="1:6" ht="25.5" x14ac:dyDescent="0.2">
      <c r="A9591" s="391">
        <v>94499</v>
      </c>
      <c r="B9591" s="478" t="s">
        <v>4065</v>
      </c>
      <c r="C9591" s="391" t="s">
        <v>26</v>
      </c>
      <c r="D9591" s="479">
        <v>298.73</v>
      </c>
      <c r="E9591" s="368"/>
      <c r="F9591" s="368"/>
    </row>
    <row r="9592" spans="1:6" ht="25.5" x14ac:dyDescent="0.2">
      <c r="A9592" s="391">
        <v>94498</v>
      </c>
      <c r="B9592" s="478" t="s">
        <v>4064</v>
      </c>
      <c r="C9592" s="391" t="s">
        <v>26</v>
      </c>
      <c r="D9592" s="479">
        <v>150.03</v>
      </c>
      <c r="E9592" s="368"/>
      <c r="F9592" s="368"/>
    </row>
    <row r="9593" spans="1:6" ht="25.5" x14ac:dyDescent="0.2">
      <c r="A9593" s="391">
        <v>94500</v>
      </c>
      <c r="B9593" s="478" t="s">
        <v>4066</v>
      </c>
      <c r="C9593" s="391" t="s">
        <v>26</v>
      </c>
      <c r="D9593" s="479">
        <v>362.58</v>
      </c>
      <c r="E9593" s="368"/>
      <c r="F9593" s="368"/>
    </row>
    <row r="9594" spans="1:6" ht="25.5" x14ac:dyDescent="0.2">
      <c r="A9594" s="391">
        <v>89353</v>
      </c>
      <c r="B9594" s="478" t="s">
        <v>4054</v>
      </c>
      <c r="C9594" s="391" t="s">
        <v>26</v>
      </c>
      <c r="D9594" s="479">
        <v>40.700000000000003</v>
      </c>
      <c r="E9594" s="368"/>
      <c r="F9594" s="368"/>
    </row>
    <row r="9595" spans="1:6" ht="25.5" x14ac:dyDescent="0.2">
      <c r="A9595" s="391">
        <v>89987</v>
      </c>
      <c r="B9595" s="478" t="s">
        <v>4059</v>
      </c>
      <c r="C9595" s="391" t="s">
        <v>26</v>
      </c>
      <c r="D9595" s="479">
        <v>96.78</v>
      </c>
      <c r="E9595" s="368"/>
      <c r="F9595" s="368"/>
    </row>
    <row r="9596" spans="1:6" ht="25.5" x14ac:dyDescent="0.2">
      <c r="A9596" s="391">
        <v>94501</v>
      </c>
      <c r="B9596" s="478" t="s">
        <v>4067</v>
      </c>
      <c r="C9596" s="391" t="s">
        <v>26</v>
      </c>
      <c r="D9596" s="479">
        <v>732.57</v>
      </c>
      <c r="E9596" s="368"/>
      <c r="F9596" s="368"/>
    </row>
    <row r="9597" spans="1:6" ht="25.5" x14ac:dyDescent="0.2">
      <c r="A9597" s="391">
        <v>89349</v>
      </c>
      <c r="B9597" s="478" t="s">
        <v>4052</v>
      </c>
      <c r="C9597" s="391" t="s">
        <v>26</v>
      </c>
      <c r="D9597" s="479">
        <v>27.25</v>
      </c>
      <c r="E9597" s="368"/>
      <c r="F9597" s="368"/>
    </row>
    <row r="9598" spans="1:6" ht="25.5" x14ac:dyDescent="0.2">
      <c r="A9598" s="391">
        <v>89984</v>
      </c>
      <c r="B9598" s="478" t="s">
        <v>4056</v>
      </c>
      <c r="C9598" s="391" t="s">
        <v>26</v>
      </c>
      <c r="D9598" s="479">
        <v>87.37</v>
      </c>
      <c r="E9598" s="368"/>
      <c r="F9598" s="368"/>
    </row>
    <row r="9599" spans="1:6" ht="25.5" x14ac:dyDescent="0.2">
      <c r="A9599" s="391">
        <v>89985</v>
      </c>
      <c r="B9599" s="478" t="s">
        <v>4057</v>
      </c>
      <c r="C9599" s="391" t="s">
        <v>26</v>
      </c>
      <c r="D9599" s="479">
        <v>91.9</v>
      </c>
      <c r="E9599" s="368"/>
      <c r="F9599" s="368"/>
    </row>
    <row r="9600" spans="1:6" ht="25.5" x14ac:dyDescent="0.2">
      <c r="A9600" s="391">
        <v>89351</v>
      </c>
      <c r="B9600" s="478" t="s">
        <v>48217</v>
      </c>
      <c r="C9600" s="391" t="s">
        <v>26</v>
      </c>
      <c r="D9600" s="479">
        <v>33.729999999999997</v>
      </c>
      <c r="E9600" s="368"/>
      <c r="F9600" s="368"/>
    </row>
    <row r="9601" spans="1:6" ht="25.5" x14ac:dyDescent="0.2">
      <c r="A9601" s="391">
        <v>103045</v>
      </c>
      <c r="B9601" s="478" t="s">
        <v>4120</v>
      </c>
      <c r="C9601" s="391" t="s">
        <v>26</v>
      </c>
      <c r="D9601" s="479">
        <v>7.49</v>
      </c>
      <c r="E9601" s="368"/>
      <c r="F9601" s="368"/>
    </row>
    <row r="9602" spans="1:6" ht="25.5" x14ac:dyDescent="0.2">
      <c r="A9602" s="391">
        <v>103046</v>
      </c>
      <c r="B9602" s="478" t="s">
        <v>4121</v>
      </c>
      <c r="C9602" s="391" t="s">
        <v>26</v>
      </c>
      <c r="D9602" s="479">
        <v>16.59</v>
      </c>
      <c r="E9602" s="368"/>
      <c r="F9602" s="368"/>
    </row>
    <row r="9603" spans="1:6" ht="25.5" x14ac:dyDescent="0.2">
      <c r="A9603" s="391">
        <v>103048</v>
      </c>
      <c r="B9603" s="478" t="s">
        <v>48218</v>
      </c>
      <c r="C9603" s="391" t="s">
        <v>26</v>
      </c>
      <c r="D9603" s="479">
        <v>13.37</v>
      </c>
      <c r="E9603" s="368"/>
      <c r="F9603" s="368"/>
    </row>
    <row r="9604" spans="1:6" ht="25.5" x14ac:dyDescent="0.2">
      <c r="A9604" s="391">
        <v>103049</v>
      </c>
      <c r="B9604" s="478" t="s">
        <v>48219</v>
      </c>
      <c r="C9604" s="391" t="s">
        <v>26</v>
      </c>
      <c r="D9604" s="479">
        <v>14.39</v>
      </c>
      <c r="E9604" s="368"/>
      <c r="F9604" s="368"/>
    </row>
    <row r="9605" spans="1:6" ht="25.5" x14ac:dyDescent="0.2">
      <c r="A9605" s="391">
        <v>103029</v>
      </c>
      <c r="B9605" s="478" t="s">
        <v>4110</v>
      </c>
      <c r="C9605" s="391" t="s">
        <v>26</v>
      </c>
      <c r="D9605" s="479">
        <v>46.51</v>
      </c>
      <c r="E9605" s="368"/>
      <c r="F9605" s="368"/>
    </row>
    <row r="9606" spans="1:6" ht="38.25" x14ac:dyDescent="0.2">
      <c r="A9606" s="391">
        <v>103019</v>
      </c>
      <c r="B9606" s="478" t="s">
        <v>4109</v>
      </c>
      <c r="C9606" s="391" t="s">
        <v>26</v>
      </c>
      <c r="D9606" s="479">
        <v>226.49</v>
      </c>
      <c r="E9606" s="368"/>
      <c r="F9606" s="368"/>
    </row>
    <row r="9607" spans="1:6" x14ac:dyDescent="0.2">
      <c r="A9607" s="391">
        <v>103050</v>
      </c>
      <c r="B9607" s="480" t="s">
        <v>48220</v>
      </c>
      <c r="C9607" s="391" t="s">
        <v>26</v>
      </c>
      <c r="D9607" s="479">
        <v>24.2</v>
      </c>
      <c r="E9607" s="368"/>
      <c r="F9607" s="368"/>
    </row>
    <row r="9608" spans="1:6" x14ac:dyDescent="0.2">
      <c r="A9608" s="391">
        <v>103051</v>
      </c>
      <c r="B9608" s="478" t="s">
        <v>48221</v>
      </c>
      <c r="C9608" s="391" t="s">
        <v>26</v>
      </c>
      <c r="D9608" s="479">
        <v>29.26</v>
      </c>
      <c r="E9608" s="368"/>
      <c r="F9608" s="368"/>
    </row>
    <row r="9609" spans="1:6" x14ac:dyDescent="0.2">
      <c r="A9609" s="391">
        <v>103052</v>
      </c>
      <c r="B9609" s="478" t="s">
        <v>48222</v>
      </c>
      <c r="C9609" s="391" t="s">
        <v>26</v>
      </c>
      <c r="D9609" s="479">
        <v>39.35</v>
      </c>
      <c r="E9609" s="368"/>
      <c r="F9609" s="368"/>
    </row>
    <row r="9610" spans="1:6" ht="25.5" x14ac:dyDescent="0.2">
      <c r="A9610" s="391">
        <v>94799</v>
      </c>
      <c r="B9610" s="478" t="s">
        <v>4075</v>
      </c>
      <c r="C9610" s="391" t="s">
        <v>26</v>
      </c>
      <c r="D9610" s="479">
        <v>154.97999999999999</v>
      </c>
      <c r="E9610" s="368"/>
      <c r="F9610" s="368"/>
    </row>
    <row r="9611" spans="1:6" ht="25.5" x14ac:dyDescent="0.2">
      <c r="A9611" s="391">
        <v>94798</v>
      </c>
      <c r="B9611" s="478" t="s">
        <v>4074</v>
      </c>
      <c r="C9611" s="391" t="s">
        <v>26</v>
      </c>
      <c r="D9611" s="479">
        <v>125.98</v>
      </c>
      <c r="E9611" s="368"/>
      <c r="F9611" s="368"/>
    </row>
    <row r="9612" spans="1:6" ht="25.5" x14ac:dyDescent="0.2">
      <c r="A9612" s="391">
        <v>94797</v>
      </c>
      <c r="B9612" s="478" t="s">
        <v>4073</v>
      </c>
      <c r="C9612" s="391" t="s">
        <v>26</v>
      </c>
      <c r="D9612" s="479">
        <v>76.48</v>
      </c>
      <c r="E9612" s="368"/>
      <c r="F9612" s="368"/>
    </row>
    <row r="9613" spans="1:6" ht="25.5" x14ac:dyDescent="0.2">
      <c r="A9613" s="391">
        <v>94795</v>
      </c>
      <c r="B9613" s="478" t="s">
        <v>4071</v>
      </c>
      <c r="C9613" s="391" t="s">
        <v>26</v>
      </c>
      <c r="D9613" s="479">
        <v>32.409999999999997</v>
      </c>
      <c r="E9613" s="368"/>
      <c r="F9613" s="368"/>
    </row>
    <row r="9614" spans="1:6" ht="25.5" x14ac:dyDescent="0.2">
      <c r="A9614" s="391">
        <v>94800</v>
      </c>
      <c r="B9614" s="478" t="s">
        <v>4076</v>
      </c>
      <c r="C9614" s="391" t="s">
        <v>26</v>
      </c>
      <c r="D9614" s="479">
        <v>199.02</v>
      </c>
      <c r="E9614" s="368"/>
      <c r="F9614" s="368"/>
    </row>
    <row r="9615" spans="1:6" ht="25.5" x14ac:dyDescent="0.2">
      <c r="A9615" s="391">
        <v>94796</v>
      </c>
      <c r="B9615" s="478" t="s">
        <v>4072</v>
      </c>
      <c r="C9615" s="391" t="s">
        <v>26</v>
      </c>
      <c r="D9615" s="479">
        <v>37.729999999999997</v>
      </c>
      <c r="E9615" s="368"/>
      <c r="F9615" s="368"/>
    </row>
    <row r="9616" spans="1:6" ht="25.5" x14ac:dyDescent="0.2">
      <c r="A9616" s="391">
        <v>99635</v>
      </c>
      <c r="B9616" s="478" t="s">
        <v>4097</v>
      </c>
      <c r="C9616" s="391" t="s">
        <v>26</v>
      </c>
      <c r="D9616" s="479">
        <v>519</v>
      </c>
      <c r="E9616" s="368"/>
      <c r="F9616" s="368"/>
    </row>
    <row r="9617" spans="1:6" ht="25.5" x14ac:dyDescent="0.2">
      <c r="A9617" s="391">
        <v>103018</v>
      </c>
      <c r="B9617" s="478" t="s">
        <v>4108</v>
      </c>
      <c r="C9617" s="391" t="s">
        <v>26</v>
      </c>
      <c r="D9617" s="479">
        <v>423.05</v>
      </c>
      <c r="E9617" s="368"/>
      <c r="F9617" s="368"/>
    </row>
    <row r="9618" spans="1:6" ht="25.5" x14ac:dyDescent="0.2">
      <c r="A9618" s="391">
        <v>95252</v>
      </c>
      <c r="B9618" s="478" t="s">
        <v>4081</v>
      </c>
      <c r="C9618" s="391" t="s">
        <v>26</v>
      </c>
      <c r="D9618" s="479">
        <v>153.1</v>
      </c>
      <c r="E9618" s="368"/>
      <c r="F9618" s="368"/>
    </row>
    <row r="9619" spans="1:6" ht="25.5" x14ac:dyDescent="0.2">
      <c r="A9619" s="391">
        <v>95251</v>
      </c>
      <c r="B9619" s="478" t="s">
        <v>4080</v>
      </c>
      <c r="C9619" s="391" t="s">
        <v>26</v>
      </c>
      <c r="D9619" s="479">
        <v>126.25</v>
      </c>
      <c r="E9619" s="368"/>
      <c r="F9619" s="368"/>
    </row>
    <row r="9620" spans="1:6" ht="25.5" x14ac:dyDescent="0.2">
      <c r="A9620" s="391">
        <v>95250</v>
      </c>
      <c r="B9620" s="478" t="s">
        <v>4079</v>
      </c>
      <c r="C9620" s="391" t="s">
        <v>26</v>
      </c>
      <c r="D9620" s="479">
        <v>85.37</v>
      </c>
      <c r="E9620" s="368"/>
      <c r="F9620" s="368"/>
    </row>
    <row r="9621" spans="1:6" ht="25.5" x14ac:dyDescent="0.2">
      <c r="A9621" s="391">
        <v>95248</v>
      </c>
      <c r="B9621" s="478" t="s">
        <v>4077</v>
      </c>
      <c r="C9621" s="391" t="s">
        <v>26</v>
      </c>
      <c r="D9621" s="479">
        <v>53.64</v>
      </c>
      <c r="E9621" s="368"/>
      <c r="F9621" s="368"/>
    </row>
    <row r="9622" spans="1:6" ht="25.5" x14ac:dyDescent="0.2">
      <c r="A9622" s="391">
        <v>95253</v>
      </c>
      <c r="B9622" s="478" t="s">
        <v>4082</v>
      </c>
      <c r="C9622" s="391" t="s">
        <v>26</v>
      </c>
      <c r="D9622" s="479">
        <v>232.79</v>
      </c>
      <c r="E9622" s="368"/>
      <c r="F9622" s="368"/>
    </row>
    <row r="9623" spans="1:6" ht="25.5" x14ac:dyDescent="0.2">
      <c r="A9623" s="391">
        <v>95249</v>
      </c>
      <c r="B9623" s="478" t="s">
        <v>4078</v>
      </c>
      <c r="C9623" s="391" t="s">
        <v>26</v>
      </c>
      <c r="D9623" s="479">
        <v>63.25</v>
      </c>
      <c r="E9623" s="368"/>
      <c r="F9623" s="368"/>
    </row>
    <row r="9624" spans="1:6" ht="25.5" x14ac:dyDescent="0.2">
      <c r="A9624" s="391">
        <v>99622</v>
      </c>
      <c r="B9624" s="478" t="s">
        <v>48223</v>
      </c>
      <c r="C9624" s="391" t="s">
        <v>26</v>
      </c>
      <c r="D9624" s="479">
        <v>311.95</v>
      </c>
      <c r="E9624" s="368"/>
      <c r="F9624" s="368"/>
    </row>
    <row r="9625" spans="1:6" ht="25.5" x14ac:dyDescent="0.2">
      <c r="A9625" s="391">
        <v>99621</v>
      </c>
      <c r="B9625" s="478" t="s">
        <v>4085</v>
      </c>
      <c r="C9625" s="391" t="s">
        <v>26</v>
      </c>
      <c r="D9625" s="479">
        <v>277.48</v>
      </c>
      <c r="E9625" s="368"/>
      <c r="F9625" s="368"/>
    </row>
    <row r="9626" spans="1:6" ht="25.5" x14ac:dyDescent="0.2">
      <c r="A9626" s="391">
        <v>99620</v>
      </c>
      <c r="B9626" s="478" t="s">
        <v>4084</v>
      </c>
      <c r="C9626" s="391" t="s">
        <v>26</v>
      </c>
      <c r="D9626" s="479">
        <v>186.05</v>
      </c>
      <c r="E9626" s="368"/>
      <c r="F9626" s="368"/>
    </row>
    <row r="9627" spans="1:6" ht="25.5" x14ac:dyDescent="0.2">
      <c r="A9627" s="391">
        <v>103008</v>
      </c>
      <c r="B9627" s="478" t="s">
        <v>4098</v>
      </c>
      <c r="C9627" s="391" t="s">
        <v>26</v>
      </c>
      <c r="D9627" s="479">
        <v>112.06</v>
      </c>
      <c r="E9627" s="368"/>
      <c r="F9627" s="368"/>
    </row>
    <row r="9628" spans="1:6" ht="25.5" x14ac:dyDescent="0.2">
      <c r="A9628" s="391">
        <v>99624</v>
      </c>
      <c r="B9628" s="478" t="s">
        <v>4086</v>
      </c>
      <c r="C9628" s="391" t="s">
        <v>26</v>
      </c>
      <c r="D9628" s="479">
        <v>621.33000000000004</v>
      </c>
      <c r="E9628" s="368"/>
      <c r="F9628" s="368"/>
    </row>
    <row r="9629" spans="1:6" ht="25.5" x14ac:dyDescent="0.2">
      <c r="A9629" s="391">
        <v>99623</v>
      </c>
      <c r="B9629" s="478" t="s">
        <v>48224</v>
      </c>
      <c r="C9629" s="391" t="s">
        <v>26</v>
      </c>
      <c r="D9629" s="479">
        <v>435.58</v>
      </c>
      <c r="E9629" s="368"/>
      <c r="F9629" s="368"/>
    </row>
    <row r="9630" spans="1:6" ht="25.5" x14ac:dyDescent="0.2">
      <c r="A9630" s="391">
        <v>99625</v>
      </c>
      <c r="B9630" s="478" t="s">
        <v>4087</v>
      </c>
      <c r="C9630" s="391" t="s">
        <v>26</v>
      </c>
      <c r="D9630" s="479">
        <v>855.25</v>
      </c>
      <c r="E9630" s="368"/>
      <c r="F9630" s="368"/>
    </row>
    <row r="9631" spans="1:6" ht="25.5" x14ac:dyDescent="0.2">
      <c r="A9631" s="391">
        <v>99619</v>
      </c>
      <c r="B9631" s="478" t="s">
        <v>4083</v>
      </c>
      <c r="C9631" s="391" t="s">
        <v>26</v>
      </c>
      <c r="D9631" s="479">
        <v>136.94</v>
      </c>
      <c r="E9631" s="368"/>
      <c r="F9631" s="368"/>
    </row>
    <row r="9632" spans="1:6" ht="25.5" x14ac:dyDescent="0.2">
      <c r="A9632" s="391">
        <v>99626</v>
      </c>
      <c r="B9632" s="478" t="s">
        <v>4088</v>
      </c>
      <c r="C9632" s="391" t="s">
        <v>26</v>
      </c>
      <c r="D9632" s="479">
        <v>1318.58</v>
      </c>
      <c r="E9632" s="368"/>
      <c r="F9632" s="368"/>
    </row>
    <row r="9633" spans="1:6" ht="25.5" x14ac:dyDescent="0.2">
      <c r="A9633" s="391">
        <v>99631</v>
      </c>
      <c r="B9633" s="478" t="s">
        <v>4093</v>
      </c>
      <c r="C9633" s="391" t="s">
        <v>26</v>
      </c>
      <c r="D9633" s="479">
        <v>172.17</v>
      </c>
      <c r="E9633" s="368"/>
      <c r="F9633" s="368"/>
    </row>
    <row r="9634" spans="1:6" ht="25.5" x14ac:dyDescent="0.2">
      <c r="A9634" s="391">
        <v>99630</v>
      </c>
      <c r="B9634" s="478" t="s">
        <v>4092</v>
      </c>
      <c r="C9634" s="391" t="s">
        <v>26</v>
      </c>
      <c r="D9634" s="479">
        <v>148.15</v>
      </c>
      <c r="E9634" s="368"/>
      <c r="F9634" s="368"/>
    </row>
    <row r="9635" spans="1:6" ht="25.5" x14ac:dyDescent="0.2">
      <c r="A9635" s="391">
        <v>99629</v>
      </c>
      <c r="B9635" s="478" t="s">
        <v>4091</v>
      </c>
      <c r="C9635" s="391" t="s">
        <v>26</v>
      </c>
      <c r="D9635" s="479">
        <v>99.45</v>
      </c>
      <c r="E9635" s="368"/>
      <c r="F9635" s="368"/>
    </row>
    <row r="9636" spans="1:6" ht="25.5" x14ac:dyDescent="0.2">
      <c r="A9636" s="391">
        <v>99627</v>
      </c>
      <c r="B9636" s="478" t="s">
        <v>4089</v>
      </c>
      <c r="C9636" s="391" t="s">
        <v>26</v>
      </c>
      <c r="D9636" s="479">
        <v>82.56</v>
      </c>
      <c r="E9636" s="368"/>
      <c r="F9636" s="368"/>
    </row>
    <row r="9637" spans="1:6" ht="25.5" x14ac:dyDescent="0.2">
      <c r="A9637" s="391">
        <v>103009</v>
      </c>
      <c r="B9637" s="478" t="s">
        <v>4099</v>
      </c>
      <c r="C9637" s="391" t="s">
        <v>26</v>
      </c>
      <c r="D9637" s="479">
        <v>394.01</v>
      </c>
      <c r="E9637" s="368"/>
      <c r="F9637" s="368"/>
    </row>
    <row r="9638" spans="1:6" ht="25.5" x14ac:dyDescent="0.2">
      <c r="A9638" s="391">
        <v>99632</v>
      </c>
      <c r="B9638" s="478" t="s">
        <v>4094</v>
      </c>
      <c r="C9638" s="391" t="s">
        <v>26</v>
      </c>
      <c r="D9638" s="479">
        <v>248.68</v>
      </c>
      <c r="E9638" s="368"/>
      <c r="F9638" s="368"/>
    </row>
    <row r="9639" spans="1:6" ht="25.5" x14ac:dyDescent="0.2">
      <c r="A9639" s="391">
        <v>99633</v>
      </c>
      <c r="B9639" s="478" t="s">
        <v>4095</v>
      </c>
      <c r="C9639" s="391" t="s">
        <v>26</v>
      </c>
      <c r="D9639" s="479">
        <v>535.48</v>
      </c>
      <c r="E9639" s="368"/>
      <c r="F9639" s="368"/>
    </row>
    <row r="9640" spans="1:6" ht="25.5" x14ac:dyDescent="0.2">
      <c r="A9640" s="391">
        <v>99628</v>
      </c>
      <c r="B9640" s="478" t="s">
        <v>4090</v>
      </c>
      <c r="C9640" s="391" t="s">
        <v>26</v>
      </c>
      <c r="D9640" s="479">
        <v>89.75</v>
      </c>
      <c r="E9640" s="368"/>
      <c r="F9640" s="368"/>
    </row>
    <row r="9641" spans="1:6" ht="25.5" x14ac:dyDescent="0.2">
      <c r="A9641" s="391">
        <v>99634</v>
      </c>
      <c r="B9641" s="478" t="s">
        <v>4096</v>
      </c>
      <c r="C9641" s="391" t="s">
        <v>26</v>
      </c>
      <c r="D9641" s="479">
        <v>916.23</v>
      </c>
      <c r="E9641" s="368"/>
      <c r="F9641" s="368"/>
    </row>
    <row r="9642" spans="1:6" ht="25.5" x14ac:dyDescent="0.2">
      <c r="A9642" s="391">
        <v>103013</v>
      </c>
      <c r="B9642" s="478" t="s">
        <v>4103</v>
      </c>
      <c r="C9642" s="391" t="s">
        <v>26</v>
      </c>
      <c r="D9642" s="479">
        <v>160.56</v>
      </c>
      <c r="E9642" s="368"/>
      <c r="F9642" s="368"/>
    </row>
    <row r="9643" spans="1:6" ht="25.5" x14ac:dyDescent="0.2">
      <c r="A9643" s="391">
        <v>103012</v>
      </c>
      <c r="B9643" s="478" t="s">
        <v>4102</v>
      </c>
      <c r="C9643" s="391" t="s">
        <v>26</v>
      </c>
      <c r="D9643" s="479">
        <v>149.37</v>
      </c>
      <c r="E9643" s="368"/>
      <c r="F9643" s="368"/>
    </row>
    <row r="9644" spans="1:6" ht="25.5" x14ac:dyDescent="0.2">
      <c r="A9644" s="391">
        <v>103011</v>
      </c>
      <c r="B9644" s="478" t="s">
        <v>4101</v>
      </c>
      <c r="C9644" s="391" t="s">
        <v>26</v>
      </c>
      <c r="D9644" s="479">
        <v>94.62</v>
      </c>
      <c r="E9644" s="368"/>
      <c r="F9644" s="368"/>
    </row>
    <row r="9645" spans="1:6" ht="25.5" x14ac:dyDescent="0.2">
      <c r="A9645" s="391">
        <v>103015</v>
      </c>
      <c r="B9645" s="478" t="s">
        <v>4105</v>
      </c>
      <c r="C9645" s="391" t="s">
        <v>26</v>
      </c>
      <c r="D9645" s="479">
        <v>428.24</v>
      </c>
      <c r="E9645" s="368"/>
      <c r="F9645" s="368"/>
    </row>
    <row r="9646" spans="1:6" ht="25.5" x14ac:dyDescent="0.2">
      <c r="A9646" s="391">
        <v>103014</v>
      </c>
      <c r="B9646" s="478" t="s">
        <v>4104</v>
      </c>
      <c r="C9646" s="391" t="s">
        <v>26</v>
      </c>
      <c r="D9646" s="479">
        <v>241.76</v>
      </c>
      <c r="E9646" s="368"/>
      <c r="F9646" s="368"/>
    </row>
    <row r="9647" spans="1:6" ht="25.5" x14ac:dyDescent="0.2">
      <c r="A9647" s="391">
        <v>103016</v>
      </c>
      <c r="B9647" s="478" t="s">
        <v>4106</v>
      </c>
      <c r="C9647" s="391" t="s">
        <v>26</v>
      </c>
      <c r="D9647" s="479">
        <v>585.72</v>
      </c>
      <c r="E9647" s="368"/>
      <c r="F9647" s="368"/>
    </row>
    <row r="9648" spans="1:6" ht="25.5" x14ac:dyDescent="0.2">
      <c r="A9648" s="391">
        <v>103010</v>
      </c>
      <c r="B9648" s="478" t="s">
        <v>4100</v>
      </c>
      <c r="C9648" s="391" t="s">
        <v>26</v>
      </c>
      <c r="D9648" s="479">
        <v>84.97</v>
      </c>
      <c r="E9648" s="368"/>
      <c r="F9648" s="368"/>
    </row>
    <row r="9649" spans="1:6" ht="25.5" x14ac:dyDescent="0.2">
      <c r="A9649" s="391">
        <v>103017</v>
      </c>
      <c r="B9649" s="478" t="s">
        <v>4107</v>
      </c>
      <c r="C9649" s="391" t="s">
        <v>26</v>
      </c>
      <c r="D9649" s="479">
        <v>1023.94</v>
      </c>
      <c r="E9649" s="368"/>
      <c r="F9649" s="368"/>
    </row>
    <row r="9650" spans="1:6" ht="25.5" x14ac:dyDescent="0.2">
      <c r="A9650" s="391">
        <v>103033</v>
      </c>
      <c r="B9650" s="478" t="s">
        <v>42204</v>
      </c>
      <c r="C9650" s="391" t="s">
        <v>26</v>
      </c>
      <c r="D9650" s="479">
        <v>0</v>
      </c>
      <c r="E9650" s="368"/>
      <c r="F9650" s="368"/>
    </row>
    <row r="9651" spans="1:6" x14ac:dyDescent="0.2">
      <c r="A9651" s="391">
        <v>103032</v>
      </c>
      <c r="B9651" s="478" t="s">
        <v>42205</v>
      </c>
      <c r="C9651" s="391" t="s">
        <v>26</v>
      </c>
      <c r="D9651" s="479">
        <v>0</v>
      </c>
      <c r="E9651" s="368"/>
      <c r="F9651" s="368"/>
    </row>
    <row r="9652" spans="1:6" x14ac:dyDescent="0.2">
      <c r="A9652" s="200">
        <v>103030</v>
      </c>
      <c r="B9652" s="493" t="s">
        <v>42206</v>
      </c>
      <c r="C9652" s="200" t="s">
        <v>26</v>
      </c>
      <c r="D9652" s="494">
        <v>0</v>
      </c>
      <c r="E9652" s="368"/>
      <c r="F9652" s="368"/>
    </row>
    <row r="9653" spans="1:6" x14ac:dyDescent="0.2">
      <c r="A9653" s="471">
        <v>103031</v>
      </c>
      <c r="B9653" s="495" t="s">
        <v>42207</v>
      </c>
      <c r="C9653" s="471" t="s">
        <v>26</v>
      </c>
      <c r="D9653" s="496">
        <v>0</v>
      </c>
      <c r="E9653" s="368"/>
      <c r="F9653" s="368"/>
    </row>
    <row r="9654" spans="1:6" ht="25.5" x14ac:dyDescent="0.2">
      <c r="A9654" s="391">
        <v>103035</v>
      </c>
      <c r="B9654" s="478" t="s">
        <v>42208</v>
      </c>
      <c r="C9654" s="391" t="s">
        <v>26</v>
      </c>
      <c r="D9654" s="479">
        <v>0</v>
      </c>
      <c r="E9654" s="368"/>
      <c r="F9654" s="368"/>
    </row>
    <row r="9655" spans="1:6" ht="25.5" x14ac:dyDescent="0.2">
      <c r="A9655" s="391">
        <v>103034</v>
      </c>
      <c r="B9655" s="478" t="s">
        <v>42209</v>
      </c>
      <c r="C9655" s="391" t="s">
        <v>26</v>
      </c>
      <c r="D9655" s="479">
        <v>0</v>
      </c>
      <c r="E9655" s="368"/>
      <c r="F9655" s="368"/>
    </row>
    <row r="9656" spans="1:6" ht="25.5" x14ac:dyDescent="0.2">
      <c r="A9656" s="391">
        <v>103024</v>
      </c>
      <c r="B9656" s="478" t="s">
        <v>42210</v>
      </c>
      <c r="C9656" s="391" t="s">
        <v>26</v>
      </c>
      <c r="D9656" s="479">
        <v>0</v>
      </c>
      <c r="E9656" s="368"/>
      <c r="F9656" s="368"/>
    </row>
    <row r="9657" spans="1:6" ht="25.5" x14ac:dyDescent="0.2">
      <c r="A9657" s="391">
        <v>103023</v>
      </c>
      <c r="B9657" s="478" t="s">
        <v>42211</v>
      </c>
      <c r="C9657" s="391" t="s">
        <v>26</v>
      </c>
      <c r="D9657" s="479">
        <v>0</v>
      </c>
      <c r="E9657" s="368"/>
      <c r="F9657" s="368"/>
    </row>
    <row r="9658" spans="1:6" ht="25.5" x14ac:dyDescent="0.2">
      <c r="A9658" s="391">
        <v>103022</v>
      </c>
      <c r="B9658" s="478" t="s">
        <v>42212</v>
      </c>
      <c r="C9658" s="391" t="s">
        <v>26</v>
      </c>
      <c r="D9658" s="479">
        <v>0</v>
      </c>
      <c r="E9658" s="368"/>
      <c r="F9658" s="368"/>
    </row>
    <row r="9659" spans="1:6" ht="25.5" x14ac:dyDescent="0.2">
      <c r="A9659" s="391">
        <v>103020</v>
      </c>
      <c r="B9659" s="478" t="s">
        <v>42213</v>
      </c>
      <c r="C9659" s="391" t="s">
        <v>26</v>
      </c>
      <c r="D9659" s="479">
        <v>0</v>
      </c>
      <c r="E9659" s="368"/>
      <c r="F9659" s="368"/>
    </row>
    <row r="9660" spans="1:6" ht="25.5" x14ac:dyDescent="0.2">
      <c r="A9660" s="391">
        <v>103026</v>
      </c>
      <c r="B9660" s="478" t="s">
        <v>42214</v>
      </c>
      <c r="C9660" s="391" t="s">
        <v>26</v>
      </c>
      <c r="D9660" s="479">
        <v>0</v>
      </c>
      <c r="E9660" s="368"/>
      <c r="F9660" s="368"/>
    </row>
    <row r="9661" spans="1:6" ht="25.5" x14ac:dyDescent="0.2">
      <c r="A9661" s="391">
        <v>103025</v>
      </c>
      <c r="B9661" s="478" t="s">
        <v>42215</v>
      </c>
      <c r="C9661" s="391" t="s">
        <v>26</v>
      </c>
      <c r="D9661" s="479">
        <v>0</v>
      </c>
      <c r="E9661" s="368"/>
      <c r="F9661" s="368"/>
    </row>
    <row r="9662" spans="1:6" ht="25.5" x14ac:dyDescent="0.2">
      <c r="A9662" s="391">
        <v>103021</v>
      </c>
      <c r="B9662" s="478" t="s">
        <v>42216</v>
      </c>
      <c r="C9662" s="391" t="s">
        <v>26</v>
      </c>
      <c r="D9662" s="479">
        <v>0</v>
      </c>
      <c r="E9662" s="368"/>
      <c r="F9662" s="368"/>
    </row>
    <row r="9663" spans="1:6" ht="25.5" x14ac:dyDescent="0.2">
      <c r="A9663" s="391">
        <v>103027</v>
      </c>
      <c r="B9663" s="478" t="s">
        <v>42217</v>
      </c>
      <c r="C9663" s="391" t="s">
        <v>26</v>
      </c>
      <c r="D9663" s="479">
        <v>0</v>
      </c>
      <c r="E9663" s="368"/>
      <c r="F9663" s="368"/>
    </row>
    <row r="9664" spans="1:6" ht="25.5" x14ac:dyDescent="0.2">
      <c r="A9664" s="391">
        <v>103028</v>
      </c>
      <c r="B9664" s="478" t="s">
        <v>42218</v>
      </c>
      <c r="C9664" s="391" t="s">
        <v>26</v>
      </c>
      <c r="D9664" s="479">
        <v>0</v>
      </c>
      <c r="E9664" s="368"/>
      <c r="F9664" s="368"/>
    </row>
    <row r="9665" spans="1:6" ht="25.5" x14ac:dyDescent="0.2">
      <c r="A9665" s="391">
        <v>103563</v>
      </c>
      <c r="B9665" s="478" t="s">
        <v>42219</v>
      </c>
      <c r="C9665" s="391" t="s">
        <v>26</v>
      </c>
      <c r="D9665" s="479">
        <v>0</v>
      </c>
      <c r="E9665" s="368"/>
      <c r="F9665" s="368"/>
    </row>
    <row r="9666" spans="1:6" ht="25.5" x14ac:dyDescent="0.2">
      <c r="A9666" s="391">
        <v>103564</v>
      </c>
      <c r="B9666" s="478" t="s">
        <v>42220</v>
      </c>
      <c r="C9666" s="391" t="s">
        <v>26</v>
      </c>
      <c r="D9666" s="479">
        <v>0</v>
      </c>
      <c r="E9666" s="368"/>
      <c r="F9666" s="368"/>
    </row>
    <row r="9667" spans="1:6" ht="25.5" x14ac:dyDescent="0.2">
      <c r="A9667" s="391">
        <v>103565</v>
      </c>
      <c r="B9667" s="478" t="s">
        <v>42221</v>
      </c>
      <c r="C9667" s="391" t="s">
        <v>26</v>
      </c>
      <c r="D9667" s="479">
        <v>0</v>
      </c>
      <c r="E9667" s="368"/>
      <c r="F9667" s="368"/>
    </row>
    <row r="9668" spans="1:6" ht="25.5" x14ac:dyDescent="0.2">
      <c r="A9668" s="391">
        <v>103566</v>
      </c>
      <c r="B9668" s="478" t="s">
        <v>42222</v>
      </c>
      <c r="C9668" s="391" t="s">
        <v>26</v>
      </c>
      <c r="D9668" s="479">
        <v>0</v>
      </c>
      <c r="E9668" s="368"/>
      <c r="F9668" s="368"/>
    </row>
    <row r="9669" spans="1:6" ht="25.5" x14ac:dyDescent="0.2">
      <c r="A9669" s="391">
        <v>103567</v>
      </c>
      <c r="B9669" s="478" t="s">
        <v>42223</v>
      </c>
      <c r="C9669" s="391" t="s">
        <v>26</v>
      </c>
      <c r="D9669" s="479">
        <v>0</v>
      </c>
      <c r="E9669" s="368"/>
      <c r="F9669" s="368"/>
    </row>
    <row r="9670" spans="1:6" ht="25.5" x14ac:dyDescent="0.2">
      <c r="A9670" s="391">
        <v>103568</v>
      </c>
      <c r="B9670" s="478" t="s">
        <v>42224</v>
      </c>
      <c r="C9670" s="391" t="s">
        <v>26</v>
      </c>
      <c r="D9670" s="479">
        <v>0</v>
      </c>
      <c r="E9670" s="368"/>
      <c r="F9670" s="368"/>
    </row>
    <row r="9671" spans="1:6" ht="25.5" x14ac:dyDescent="0.2">
      <c r="A9671" s="391">
        <v>103569</v>
      </c>
      <c r="B9671" s="478" t="s">
        <v>42225</v>
      </c>
      <c r="C9671" s="391" t="s">
        <v>26</v>
      </c>
      <c r="D9671" s="479">
        <v>0</v>
      </c>
      <c r="E9671" s="368"/>
      <c r="F9671" s="368"/>
    </row>
    <row r="9672" spans="1:6" ht="25.5" x14ac:dyDescent="0.2">
      <c r="A9672" s="391">
        <v>103570</v>
      </c>
      <c r="B9672" s="478" t="s">
        <v>42226</v>
      </c>
      <c r="C9672" s="391" t="s">
        <v>26</v>
      </c>
      <c r="D9672" s="479">
        <v>0</v>
      </c>
      <c r="E9672" s="368"/>
      <c r="F9672" s="368"/>
    </row>
    <row r="9673" spans="1:6" ht="25.5" x14ac:dyDescent="0.2">
      <c r="A9673" s="391">
        <v>103571</v>
      </c>
      <c r="B9673" s="478" t="s">
        <v>42227</v>
      </c>
      <c r="C9673" s="391" t="s">
        <v>26</v>
      </c>
      <c r="D9673" s="479">
        <v>0</v>
      </c>
      <c r="E9673" s="368"/>
      <c r="F9673" s="368"/>
    </row>
    <row r="9674" spans="1:6" ht="25.5" x14ac:dyDescent="0.2">
      <c r="A9674" s="391">
        <v>103562</v>
      </c>
      <c r="B9674" s="478" t="s">
        <v>42228</v>
      </c>
      <c r="C9674" s="391" t="s">
        <v>26</v>
      </c>
      <c r="D9674" s="479">
        <v>0</v>
      </c>
      <c r="E9674" s="368"/>
      <c r="F9674" s="368"/>
    </row>
    <row r="9675" spans="1:6" ht="25.5" x14ac:dyDescent="0.2">
      <c r="A9675" s="391">
        <v>103573</v>
      </c>
      <c r="B9675" s="478" t="s">
        <v>42229</v>
      </c>
      <c r="C9675" s="391" t="s">
        <v>26</v>
      </c>
      <c r="D9675" s="479">
        <v>0</v>
      </c>
      <c r="E9675" s="368"/>
      <c r="F9675" s="368"/>
    </row>
    <row r="9676" spans="1:6" ht="25.5" x14ac:dyDescent="0.2">
      <c r="A9676" s="391">
        <v>103585</v>
      </c>
      <c r="B9676" s="478" t="s">
        <v>42230</v>
      </c>
      <c r="C9676" s="391" t="s">
        <v>26</v>
      </c>
      <c r="D9676" s="479">
        <v>0</v>
      </c>
      <c r="E9676" s="368"/>
      <c r="F9676" s="368"/>
    </row>
    <row r="9677" spans="1:6" ht="25.5" x14ac:dyDescent="0.2">
      <c r="A9677" s="391">
        <v>103586</v>
      </c>
      <c r="B9677" s="478" t="s">
        <v>42231</v>
      </c>
      <c r="C9677" s="391" t="s">
        <v>26</v>
      </c>
      <c r="D9677" s="479">
        <v>0</v>
      </c>
      <c r="E9677" s="368"/>
      <c r="F9677" s="368"/>
    </row>
    <row r="9678" spans="1:6" ht="25.5" x14ac:dyDescent="0.2">
      <c r="A9678" s="391">
        <v>103574</v>
      </c>
      <c r="B9678" s="478" t="s">
        <v>42232</v>
      </c>
      <c r="C9678" s="391" t="s">
        <v>26</v>
      </c>
      <c r="D9678" s="479">
        <v>0</v>
      </c>
      <c r="E9678" s="368"/>
      <c r="F9678" s="368"/>
    </row>
    <row r="9679" spans="1:6" ht="25.5" x14ac:dyDescent="0.2">
      <c r="A9679" s="391">
        <v>103575</v>
      </c>
      <c r="B9679" s="478" t="s">
        <v>42233</v>
      </c>
      <c r="C9679" s="391" t="s">
        <v>26</v>
      </c>
      <c r="D9679" s="479">
        <v>0</v>
      </c>
      <c r="E9679" s="368"/>
      <c r="F9679" s="368"/>
    </row>
    <row r="9680" spans="1:6" ht="25.5" x14ac:dyDescent="0.2">
      <c r="A9680" s="391">
        <v>103576</v>
      </c>
      <c r="B9680" s="478" t="s">
        <v>42234</v>
      </c>
      <c r="C9680" s="391" t="s">
        <v>26</v>
      </c>
      <c r="D9680" s="479">
        <v>0</v>
      </c>
      <c r="E9680" s="368"/>
      <c r="F9680" s="368"/>
    </row>
    <row r="9681" spans="1:6" ht="25.5" x14ac:dyDescent="0.2">
      <c r="A9681" s="391">
        <v>103577</v>
      </c>
      <c r="B9681" s="478" t="s">
        <v>42235</v>
      </c>
      <c r="C9681" s="391" t="s">
        <v>26</v>
      </c>
      <c r="D9681" s="479">
        <v>0</v>
      </c>
      <c r="E9681" s="368"/>
      <c r="F9681" s="368"/>
    </row>
    <row r="9682" spans="1:6" ht="25.5" x14ac:dyDescent="0.2">
      <c r="A9682" s="391">
        <v>103578</v>
      </c>
      <c r="B9682" s="478" t="s">
        <v>42236</v>
      </c>
      <c r="C9682" s="391" t="s">
        <v>26</v>
      </c>
      <c r="D9682" s="479">
        <v>0</v>
      </c>
      <c r="E9682" s="368"/>
      <c r="F9682" s="368"/>
    </row>
    <row r="9683" spans="1:6" ht="25.5" x14ac:dyDescent="0.2">
      <c r="A9683" s="391">
        <v>103579</v>
      </c>
      <c r="B9683" s="478" t="s">
        <v>42237</v>
      </c>
      <c r="C9683" s="391" t="s">
        <v>26</v>
      </c>
      <c r="D9683" s="479">
        <v>0</v>
      </c>
      <c r="E9683" s="368"/>
      <c r="F9683" s="368"/>
    </row>
    <row r="9684" spans="1:6" ht="25.5" x14ac:dyDescent="0.2">
      <c r="A9684" s="391">
        <v>103580</v>
      </c>
      <c r="B9684" s="478" t="s">
        <v>42238</v>
      </c>
      <c r="C9684" s="391" t="s">
        <v>26</v>
      </c>
      <c r="D9684" s="479">
        <v>0</v>
      </c>
      <c r="E9684" s="368"/>
      <c r="F9684" s="368"/>
    </row>
    <row r="9685" spans="1:6" ht="25.5" x14ac:dyDescent="0.2">
      <c r="A9685" s="391">
        <v>103581</v>
      </c>
      <c r="B9685" s="478" t="s">
        <v>42239</v>
      </c>
      <c r="C9685" s="391" t="s">
        <v>26</v>
      </c>
      <c r="D9685" s="479">
        <v>0</v>
      </c>
      <c r="E9685" s="368"/>
      <c r="F9685" s="368"/>
    </row>
    <row r="9686" spans="1:6" ht="25.5" x14ac:dyDescent="0.2">
      <c r="A9686" s="391">
        <v>103582</v>
      </c>
      <c r="B9686" s="478" t="s">
        <v>42240</v>
      </c>
      <c r="C9686" s="391" t="s">
        <v>26</v>
      </c>
      <c r="D9686" s="479">
        <v>0</v>
      </c>
      <c r="E9686" s="368"/>
      <c r="F9686" s="368"/>
    </row>
    <row r="9687" spans="1:6" ht="25.5" x14ac:dyDescent="0.2">
      <c r="A9687" s="391">
        <v>103572</v>
      </c>
      <c r="B9687" s="478" t="s">
        <v>42241</v>
      </c>
      <c r="C9687" s="391" t="s">
        <v>26</v>
      </c>
      <c r="D9687" s="479">
        <v>0</v>
      </c>
      <c r="E9687" s="368"/>
      <c r="F9687" s="368"/>
    </row>
    <row r="9688" spans="1:6" ht="25.5" x14ac:dyDescent="0.2">
      <c r="A9688" s="391">
        <v>103583</v>
      </c>
      <c r="B9688" s="478" t="s">
        <v>42242</v>
      </c>
      <c r="C9688" s="391" t="s">
        <v>26</v>
      </c>
      <c r="D9688" s="479">
        <v>0</v>
      </c>
      <c r="E9688" s="368"/>
      <c r="F9688" s="368"/>
    </row>
    <row r="9689" spans="1:6" ht="25.5" x14ac:dyDescent="0.2">
      <c r="A9689" s="391">
        <v>103584</v>
      </c>
      <c r="B9689" s="478" t="s">
        <v>42243</v>
      </c>
      <c r="C9689" s="391" t="s">
        <v>26</v>
      </c>
      <c r="D9689" s="479">
        <v>0</v>
      </c>
      <c r="E9689" s="368"/>
      <c r="F9689" s="368"/>
    </row>
    <row r="9690" spans="1:6" ht="25.5" x14ac:dyDescent="0.2">
      <c r="A9690" s="391">
        <v>103557</v>
      </c>
      <c r="B9690" s="478" t="s">
        <v>42244</v>
      </c>
      <c r="C9690" s="391" t="s">
        <v>26</v>
      </c>
      <c r="D9690" s="479">
        <v>0</v>
      </c>
      <c r="E9690" s="368"/>
      <c r="F9690" s="368"/>
    </row>
    <row r="9691" spans="1:6" ht="25.5" x14ac:dyDescent="0.2">
      <c r="A9691" s="391">
        <v>103558</v>
      </c>
      <c r="B9691" s="478" t="s">
        <v>42245</v>
      </c>
      <c r="C9691" s="391" t="s">
        <v>26</v>
      </c>
      <c r="D9691" s="479">
        <v>0</v>
      </c>
      <c r="E9691" s="368"/>
      <c r="F9691" s="368"/>
    </row>
    <row r="9692" spans="1:6" ht="25.5" x14ac:dyDescent="0.2">
      <c r="A9692" s="391">
        <v>103559</v>
      </c>
      <c r="B9692" s="478" t="s">
        <v>42246</v>
      </c>
      <c r="C9692" s="391" t="s">
        <v>26</v>
      </c>
      <c r="D9692" s="479">
        <v>0</v>
      </c>
      <c r="E9692" s="368"/>
      <c r="F9692" s="368"/>
    </row>
    <row r="9693" spans="1:6" ht="25.5" x14ac:dyDescent="0.2">
      <c r="A9693" s="391">
        <v>103560</v>
      </c>
      <c r="B9693" s="478" t="s">
        <v>42247</v>
      </c>
      <c r="C9693" s="391" t="s">
        <v>26</v>
      </c>
      <c r="D9693" s="479">
        <v>0</v>
      </c>
      <c r="E9693" s="368"/>
      <c r="F9693" s="368"/>
    </row>
    <row r="9694" spans="1:6" ht="25.5" x14ac:dyDescent="0.2">
      <c r="A9694" s="391">
        <v>103561</v>
      </c>
      <c r="B9694" s="478" t="s">
        <v>42248</v>
      </c>
      <c r="C9694" s="391" t="s">
        <v>26</v>
      </c>
      <c r="D9694" s="479">
        <v>0</v>
      </c>
      <c r="E9694" s="368"/>
      <c r="F9694" s="368"/>
    </row>
    <row r="9695" spans="1:6" ht="25.5" x14ac:dyDescent="0.2">
      <c r="A9695" s="391">
        <v>103529</v>
      </c>
      <c r="B9695" s="478" t="s">
        <v>42249</v>
      </c>
      <c r="C9695" s="391" t="s">
        <v>26</v>
      </c>
      <c r="D9695" s="479">
        <v>0</v>
      </c>
      <c r="E9695" s="368"/>
      <c r="F9695" s="368"/>
    </row>
    <row r="9696" spans="1:6" ht="25.5" x14ac:dyDescent="0.2">
      <c r="A9696" s="391">
        <v>103530</v>
      </c>
      <c r="B9696" s="478" t="s">
        <v>42250</v>
      </c>
      <c r="C9696" s="391" t="s">
        <v>26</v>
      </c>
      <c r="D9696" s="479">
        <v>0</v>
      </c>
      <c r="E9696" s="368"/>
      <c r="F9696" s="368"/>
    </row>
    <row r="9697" spans="1:6" ht="25.5" x14ac:dyDescent="0.2">
      <c r="A9697" s="391">
        <v>103531</v>
      </c>
      <c r="B9697" s="478" t="s">
        <v>42251</v>
      </c>
      <c r="C9697" s="391" t="s">
        <v>26</v>
      </c>
      <c r="D9697" s="479">
        <v>0</v>
      </c>
      <c r="E9697" s="368"/>
      <c r="F9697" s="368"/>
    </row>
    <row r="9698" spans="1:6" ht="25.5" x14ac:dyDescent="0.2">
      <c r="A9698" s="391">
        <v>103532</v>
      </c>
      <c r="B9698" s="480" t="s">
        <v>42252</v>
      </c>
      <c r="C9698" s="391" t="s">
        <v>26</v>
      </c>
      <c r="D9698" s="479">
        <v>0</v>
      </c>
      <c r="E9698" s="368"/>
      <c r="F9698" s="368"/>
    </row>
    <row r="9699" spans="1:6" ht="25.5" x14ac:dyDescent="0.2">
      <c r="A9699" s="391">
        <v>103533</v>
      </c>
      <c r="B9699" s="478" t="s">
        <v>42253</v>
      </c>
      <c r="C9699" s="391" t="s">
        <v>26</v>
      </c>
      <c r="D9699" s="479">
        <v>0</v>
      </c>
      <c r="E9699" s="368"/>
      <c r="F9699" s="368"/>
    </row>
    <row r="9700" spans="1:6" ht="25.5" x14ac:dyDescent="0.2">
      <c r="A9700" s="391">
        <v>103534</v>
      </c>
      <c r="B9700" s="478" t="s">
        <v>42254</v>
      </c>
      <c r="C9700" s="391" t="s">
        <v>26</v>
      </c>
      <c r="D9700" s="479">
        <v>0</v>
      </c>
      <c r="E9700" s="368"/>
      <c r="F9700" s="368"/>
    </row>
    <row r="9701" spans="1:6" ht="25.5" x14ac:dyDescent="0.2">
      <c r="A9701" s="391">
        <v>103535</v>
      </c>
      <c r="B9701" s="478" t="s">
        <v>42255</v>
      </c>
      <c r="C9701" s="391" t="s">
        <v>26</v>
      </c>
      <c r="D9701" s="479">
        <v>0</v>
      </c>
      <c r="E9701" s="368"/>
      <c r="F9701" s="368"/>
    </row>
    <row r="9702" spans="1:6" ht="25.5" x14ac:dyDescent="0.2">
      <c r="A9702" s="391">
        <v>103527</v>
      </c>
      <c r="B9702" s="478" t="s">
        <v>42256</v>
      </c>
      <c r="C9702" s="391" t="s">
        <v>26</v>
      </c>
      <c r="D9702" s="479">
        <v>0</v>
      </c>
      <c r="E9702" s="368"/>
      <c r="F9702" s="368"/>
    </row>
    <row r="9703" spans="1:6" ht="25.5" x14ac:dyDescent="0.2">
      <c r="A9703" s="391">
        <v>103536</v>
      </c>
      <c r="B9703" s="478" t="s">
        <v>42257</v>
      </c>
      <c r="C9703" s="391" t="s">
        <v>26</v>
      </c>
      <c r="D9703" s="479">
        <v>0</v>
      </c>
      <c r="E9703" s="368"/>
      <c r="F9703" s="368"/>
    </row>
    <row r="9704" spans="1:6" ht="25.5" x14ac:dyDescent="0.2">
      <c r="A9704" s="391">
        <v>103528</v>
      </c>
      <c r="B9704" s="478" t="s">
        <v>42258</v>
      </c>
      <c r="C9704" s="391" t="s">
        <v>26</v>
      </c>
      <c r="D9704" s="479">
        <v>0</v>
      </c>
      <c r="E9704" s="368"/>
      <c r="F9704" s="368"/>
    </row>
    <row r="9705" spans="1:6" ht="25.5" x14ac:dyDescent="0.2">
      <c r="A9705" s="391">
        <v>103541</v>
      </c>
      <c r="B9705" s="478" t="s">
        <v>42259</v>
      </c>
      <c r="C9705" s="391" t="s">
        <v>26</v>
      </c>
      <c r="D9705" s="479">
        <v>0</v>
      </c>
      <c r="E9705" s="368"/>
      <c r="F9705" s="368"/>
    </row>
    <row r="9706" spans="1:6" ht="25.5" x14ac:dyDescent="0.2">
      <c r="A9706" s="391">
        <v>103539</v>
      </c>
      <c r="B9706" s="478" t="s">
        <v>42260</v>
      </c>
      <c r="C9706" s="391" t="s">
        <v>26</v>
      </c>
      <c r="D9706" s="479">
        <v>0</v>
      </c>
      <c r="E9706" s="368"/>
      <c r="F9706" s="368"/>
    </row>
    <row r="9707" spans="1:6" ht="25.5" x14ac:dyDescent="0.2">
      <c r="A9707" s="391">
        <v>103540</v>
      </c>
      <c r="B9707" s="478" t="s">
        <v>42261</v>
      </c>
      <c r="C9707" s="391" t="s">
        <v>26</v>
      </c>
      <c r="D9707" s="479">
        <v>0</v>
      </c>
      <c r="E9707" s="368"/>
      <c r="F9707" s="368"/>
    </row>
    <row r="9708" spans="1:6" ht="25.5" x14ac:dyDescent="0.2">
      <c r="A9708" s="391">
        <v>103542</v>
      </c>
      <c r="B9708" s="478" t="s">
        <v>42262</v>
      </c>
      <c r="C9708" s="391" t="s">
        <v>26</v>
      </c>
      <c r="D9708" s="479">
        <v>0</v>
      </c>
      <c r="E9708" s="368"/>
      <c r="F9708" s="368"/>
    </row>
    <row r="9709" spans="1:6" ht="25.5" x14ac:dyDescent="0.2">
      <c r="A9709" s="391">
        <v>103543</v>
      </c>
      <c r="B9709" s="478" t="s">
        <v>42263</v>
      </c>
      <c r="C9709" s="391" t="s">
        <v>26</v>
      </c>
      <c r="D9709" s="479">
        <v>0</v>
      </c>
      <c r="E9709" s="368"/>
      <c r="F9709" s="368"/>
    </row>
    <row r="9710" spans="1:6" ht="25.5" x14ac:dyDescent="0.2">
      <c r="A9710" s="391">
        <v>103544</v>
      </c>
      <c r="B9710" s="478" t="s">
        <v>42264</v>
      </c>
      <c r="C9710" s="391" t="s">
        <v>26</v>
      </c>
      <c r="D9710" s="479">
        <v>0</v>
      </c>
      <c r="E9710" s="368"/>
      <c r="F9710" s="368"/>
    </row>
    <row r="9711" spans="1:6" ht="25.5" x14ac:dyDescent="0.2">
      <c r="A9711" s="391">
        <v>103545</v>
      </c>
      <c r="B9711" s="478" t="s">
        <v>42265</v>
      </c>
      <c r="C9711" s="391" t="s">
        <v>26</v>
      </c>
      <c r="D9711" s="479">
        <v>0</v>
      </c>
      <c r="E9711" s="368"/>
      <c r="F9711" s="368"/>
    </row>
    <row r="9712" spans="1:6" ht="25.5" x14ac:dyDescent="0.2">
      <c r="A9712" s="391">
        <v>103537</v>
      </c>
      <c r="B9712" s="478" t="s">
        <v>42266</v>
      </c>
      <c r="C9712" s="391" t="s">
        <v>26</v>
      </c>
      <c r="D9712" s="479">
        <v>0</v>
      </c>
      <c r="E9712" s="368"/>
      <c r="F9712" s="368"/>
    </row>
    <row r="9713" spans="1:6" ht="25.5" x14ac:dyDescent="0.2">
      <c r="A9713" s="391">
        <v>103546</v>
      </c>
      <c r="B9713" s="478" t="s">
        <v>42267</v>
      </c>
      <c r="C9713" s="391" t="s">
        <v>26</v>
      </c>
      <c r="D9713" s="479">
        <v>0</v>
      </c>
      <c r="E9713" s="368"/>
      <c r="F9713" s="368"/>
    </row>
    <row r="9714" spans="1:6" ht="25.5" x14ac:dyDescent="0.2">
      <c r="A9714" s="391">
        <v>103538</v>
      </c>
      <c r="B9714" s="478" t="s">
        <v>42268</v>
      </c>
      <c r="C9714" s="391" t="s">
        <v>26</v>
      </c>
      <c r="D9714" s="479">
        <v>0</v>
      </c>
      <c r="E9714" s="368"/>
      <c r="F9714" s="368"/>
    </row>
    <row r="9715" spans="1:6" ht="25.5" x14ac:dyDescent="0.2">
      <c r="A9715" s="391">
        <v>103549</v>
      </c>
      <c r="B9715" s="478" t="s">
        <v>42269</v>
      </c>
      <c r="C9715" s="391" t="s">
        <v>26</v>
      </c>
      <c r="D9715" s="479">
        <v>0</v>
      </c>
      <c r="E9715" s="368"/>
      <c r="F9715" s="368"/>
    </row>
    <row r="9716" spans="1:6" ht="25.5" x14ac:dyDescent="0.2">
      <c r="A9716" s="391">
        <v>103550</v>
      </c>
      <c r="B9716" s="478" t="s">
        <v>42270</v>
      </c>
      <c r="C9716" s="391" t="s">
        <v>26</v>
      </c>
      <c r="D9716" s="479">
        <v>0</v>
      </c>
      <c r="E9716" s="368"/>
      <c r="F9716" s="368"/>
    </row>
    <row r="9717" spans="1:6" ht="25.5" x14ac:dyDescent="0.2">
      <c r="A9717" s="391">
        <v>103551</v>
      </c>
      <c r="B9717" s="478" t="s">
        <v>42271</v>
      </c>
      <c r="C9717" s="391" t="s">
        <v>26</v>
      </c>
      <c r="D9717" s="479">
        <v>0</v>
      </c>
      <c r="E9717" s="368"/>
      <c r="F9717" s="368"/>
    </row>
    <row r="9718" spans="1:6" ht="25.5" x14ac:dyDescent="0.2">
      <c r="A9718" s="391">
        <v>103552</v>
      </c>
      <c r="B9718" s="478" t="s">
        <v>42272</v>
      </c>
      <c r="C9718" s="391" t="s">
        <v>26</v>
      </c>
      <c r="D9718" s="479">
        <v>0</v>
      </c>
      <c r="E9718" s="368"/>
      <c r="F9718" s="368"/>
    </row>
    <row r="9719" spans="1:6" ht="25.5" x14ac:dyDescent="0.2">
      <c r="A9719" s="391">
        <v>103553</v>
      </c>
      <c r="B9719" s="478" t="s">
        <v>42273</v>
      </c>
      <c r="C9719" s="391" t="s">
        <v>26</v>
      </c>
      <c r="D9719" s="479">
        <v>0</v>
      </c>
      <c r="E9719" s="368"/>
      <c r="F9719" s="368"/>
    </row>
    <row r="9720" spans="1:6" ht="25.5" x14ac:dyDescent="0.2">
      <c r="A9720" s="391">
        <v>103554</v>
      </c>
      <c r="B9720" s="478" t="s">
        <v>42274</v>
      </c>
      <c r="C9720" s="391" t="s">
        <v>26</v>
      </c>
      <c r="D9720" s="479">
        <v>0</v>
      </c>
      <c r="E9720" s="368"/>
      <c r="F9720" s="368"/>
    </row>
    <row r="9721" spans="1:6" ht="25.5" x14ac:dyDescent="0.2">
      <c r="A9721" s="391">
        <v>103555</v>
      </c>
      <c r="B9721" s="478" t="s">
        <v>42275</v>
      </c>
      <c r="C9721" s="391" t="s">
        <v>26</v>
      </c>
      <c r="D9721" s="479">
        <v>0</v>
      </c>
      <c r="E9721" s="368"/>
      <c r="F9721" s="368"/>
    </row>
    <row r="9722" spans="1:6" ht="25.5" x14ac:dyDescent="0.2">
      <c r="A9722" s="391">
        <v>103547</v>
      </c>
      <c r="B9722" s="478" t="s">
        <v>42276</v>
      </c>
      <c r="C9722" s="391" t="s">
        <v>26</v>
      </c>
      <c r="D9722" s="479">
        <v>0</v>
      </c>
      <c r="E9722" s="368"/>
      <c r="F9722" s="368"/>
    </row>
    <row r="9723" spans="1:6" ht="25.5" x14ac:dyDescent="0.2">
      <c r="A9723" s="391">
        <v>103556</v>
      </c>
      <c r="B9723" s="478" t="s">
        <v>42277</v>
      </c>
      <c r="C9723" s="391" t="s">
        <v>26</v>
      </c>
      <c r="D9723" s="479">
        <v>0</v>
      </c>
      <c r="E9723" s="368"/>
      <c r="F9723" s="368"/>
    </row>
    <row r="9724" spans="1:6" ht="25.5" x14ac:dyDescent="0.2">
      <c r="A9724" s="391">
        <v>103548</v>
      </c>
      <c r="B9724" s="478" t="s">
        <v>42278</v>
      </c>
      <c r="C9724" s="391" t="s">
        <v>26</v>
      </c>
      <c r="D9724" s="479">
        <v>0</v>
      </c>
      <c r="E9724" s="368"/>
      <c r="F9724" s="368"/>
    </row>
    <row r="9725" spans="1:6" ht="25.5" x14ac:dyDescent="0.2">
      <c r="A9725" s="391">
        <v>45333</v>
      </c>
      <c r="B9725" s="478" t="s">
        <v>48225</v>
      </c>
      <c r="C9725" s="391" t="s">
        <v>26</v>
      </c>
      <c r="D9725" s="479">
        <v>148.53</v>
      </c>
      <c r="E9725" s="368"/>
      <c r="F9725" s="368"/>
    </row>
    <row r="9726" spans="1:6" ht="25.5" x14ac:dyDescent="0.2">
      <c r="A9726" s="391">
        <v>11270</v>
      </c>
      <c r="B9726" s="478" t="s">
        <v>42279</v>
      </c>
      <c r="C9726" s="391" t="s">
        <v>26</v>
      </c>
      <c r="D9726" s="479">
        <v>3.6</v>
      </c>
      <c r="E9726" s="368"/>
      <c r="F9726" s="368"/>
    </row>
    <row r="9727" spans="1:6" ht="25.5" x14ac:dyDescent="0.2">
      <c r="A9727" s="391">
        <v>412</v>
      </c>
      <c r="B9727" s="478" t="s">
        <v>42280</v>
      </c>
      <c r="C9727" s="391" t="s">
        <v>26</v>
      </c>
      <c r="D9727" s="479">
        <v>0.87</v>
      </c>
      <c r="E9727" s="368"/>
      <c r="F9727" s="368"/>
    </row>
    <row r="9728" spans="1:6" ht="25.5" x14ac:dyDescent="0.2">
      <c r="A9728" s="391">
        <v>414</v>
      </c>
      <c r="B9728" s="478" t="s">
        <v>42281</v>
      </c>
      <c r="C9728" s="391" t="s">
        <v>26</v>
      </c>
      <c r="D9728" s="479">
        <v>0.05</v>
      </c>
      <c r="E9728" s="368"/>
      <c r="F9728" s="368"/>
    </row>
    <row r="9729" spans="1:6" ht="25.5" x14ac:dyDescent="0.2">
      <c r="A9729" s="391">
        <v>410</v>
      </c>
      <c r="B9729" s="478" t="s">
        <v>42282</v>
      </c>
      <c r="C9729" s="391" t="s">
        <v>26</v>
      </c>
      <c r="D9729" s="479">
        <v>0.13</v>
      </c>
      <c r="E9729" s="368"/>
      <c r="F9729" s="368"/>
    </row>
    <row r="9730" spans="1:6" ht="25.5" x14ac:dyDescent="0.2">
      <c r="A9730" s="391">
        <v>411</v>
      </c>
      <c r="B9730" s="478" t="s">
        <v>42283</v>
      </c>
      <c r="C9730" s="391" t="s">
        <v>26</v>
      </c>
      <c r="D9730" s="479">
        <v>0.17</v>
      </c>
      <c r="E9730" s="368"/>
      <c r="F9730" s="368"/>
    </row>
    <row r="9731" spans="1:6" ht="25.5" x14ac:dyDescent="0.2">
      <c r="A9731" s="391">
        <v>408</v>
      </c>
      <c r="B9731" s="478" t="s">
        <v>42284</v>
      </c>
      <c r="C9731" s="391" t="s">
        <v>26</v>
      </c>
      <c r="D9731" s="479">
        <v>0.84</v>
      </c>
      <c r="E9731" s="368"/>
      <c r="F9731" s="368"/>
    </row>
    <row r="9732" spans="1:6" ht="25.5" x14ac:dyDescent="0.2">
      <c r="A9732" s="391">
        <v>39131</v>
      </c>
      <c r="B9732" s="478" t="s">
        <v>42285</v>
      </c>
      <c r="C9732" s="391" t="s">
        <v>26</v>
      </c>
      <c r="D9732" s="479">
        <v>6.67</v>
      </c>
      <c r="E9732" s="368"/>
      <c r="F9732" s="368"/>
    </row>
    <row r="9733" spans="1:6" ht="25.5" x14ac:dyDescent="0.2">
      <c r="A9733" s="391">
        <v>394</v>
      </c>
      <c r="B9733" s="478" t="s">
        <v>42286</v>
      </c>
      <c r="C9733" s="391" t="s">
        <v>26</v>
      </c>
      <c r="D9733" s="479">
        <v>6.75</v>
      </c>
      <c r="E9733" s="368"/>
      <c r="F9733" s="368"/>
    </row>
    <row r="9734" spans="1:6" ht="25.5" x14ac:dyDescent="0.2">
      <c r="A9734" s="391">
        <v>39130</v>
      </c>
      <c r="B9734" s="478" t="s">
        <v>42287</v>
      </c>
      <c r="C9734" s="391" t="s">
        <v>26</v>
      </c>
      <c r="D9734" s="479">
        <v>6.08</v>
      </c>
      <c r="E9734" s="368"/>
      <c r="F9734" s="368"/>
    </row>
    <row r="9735" spans="1:6" ht="25.5" x14ac:dyDescent="0.2">
      <c r="A9735" s="391">
        <v>395</v>
      </c>
      <c r="B9735" s="478" t="s">
        <v>42288</v>
      </c>
      <c r="C9735" s="391" t="s">
        <v>26</v>
      </c>
      <c r="D9735" s="479">
        <v>6.5</v>
      </c>
      <c r="E9735" s="368"/>
      <c r="F9735" s="368"/>
    </row>
    <row r="9736" spans="1:6" ht="25.5" x14ac:dyDescent="0.2">
      <c r="A9736" s="391">
        <v>39129</v>
      </c>
      <c r="B9736" s="478" t="s">
        <v>42289</v>
      </c>
      <c r="C9736" s="391" t="s">
        <v>26</v>
      </c>
      <c r="D9736" s="479">
        <v>3.75</v>
      </c>
      <c r="E9736" s="368"/>
      <c r="F9736" s="368"/>
    </row>
    <row r="9737" spans="1:6" ht="25.5" x14ac:dyDescent="0.2">
      <c r="A9737" s="391">
        <v>393</v>
      </c>
      <c r="B9737" s="478" t="s">
        <v>42290</v>
      </c>
      <c r="C9737" s="391" t="s">
        <v>26</v>
      </c>
      <c r="D9737" s="479">
        <v>3.92</v>
      </c>
      <c r="E9737" s="368"/>
      <c r="F9737" s="368"/>
    </row>
    <row r="9738" spans="1:6" ht="25.5" x14ac:dyDescent="0.2">
      <c r="A9738" s="391">
        <v>39127</v>
      </c>
      <c r="B9738" s="478" t="s">
        <v>42291</v>
      </c>
      <c r="C9738" s="391" t="s">
        <v>26</v>
      </c>
      <c r="D9738" s="479">
        <v>3.21</v>
      </c>
      <c r="E9738" s="368"/>
      <c r="F9738" s="368"/>
    </row>
    <row r="9739" spans="1:6" ht="25.5" x14ac:dyDescent="0.2">
      <c r="A9739" s="391">
        <v>392</v>
      </c>
      <c r="B9739" s="478" t="s">
        <v>42292</v>
      </c>
      <c r="C9739" s="391" t="s">
        <v>26</v>
      </c>
      <c r="D9739" s="479">
        <v>3.29</v>
      </c>
      <c r="E9739" s="368"/>
      <c r="F9739" s="368"/>
    </row>
    <row r="9740" spans="1:6" ht="25.5" x14ac:dyDescent="0.2">
      <c r="A9740" s="391">
        <v>39133</v>
      </c>
      <c r="B9740" s="478" t="s">
        <v>42293</v>
      </c>
      <c r="C9740" s="391" t="s">
        <v>26</v>
      </c>
      <c r="D9740" s="479">
        <v>8.75</v>
      </c>
      <c r="E9740" s="368"/>
      <c r="F9740" s="368"/>
    </row>
    <row r="9741" spans="1:6" ht="25.5" x14ac:dyDescent="0.2">
      <c r="A9741" s="391">
        <v>397</v>
      </c>
      <c r="B9741" s="478" t="s">
        <v>42294</v>
      </c>
      <c r="C9741" s="391" t="s">
        <v>26</v>
      </c>
      <c r="D9741" s="479">
        <v>9.67</v>
      </c>
      <c r="E9741" s="368"/>
      <c r="F9741" s="368"/>
    </row>
    <row r="9742" spans="1:6" ht="25.5" x14ac:dyDescent="0.2">
      <c r="A9742" s="391">
        <v>39132</v>
      </c>
      <c r="B9742" s="478" t="s">
        <v>42295</v>
      </c>
      <c r="C9742" s="391" t="s">
        <v>26</v>
      </c>
      <c r="D9742" s="479">
        <v>7</v>
      </c>
      <c r="E9742" s="368"/>
      <c r="F9742" s="368"/>
    </row>
    <row r="9743" spans="1:6" ht="25.5" x14ac:dyDescent="0.2">
      <c r="A9743" s="391">
        <v>396</v>
      </c>
      <c r="B9743" s="478" t="s">
        <v>42296</v>
      </c>
      <c r="C9743" s="391" t="s">
        <v>26</v>
      </c>
      <c r="D9743" s="479">
        <v>7.5</v>
      </c>
      <c r="E9743" s="368"/>
      <c r="F9743" s="368"/>
    </row>
    <row r="9744" spans="1:6" ht="25.5" x14ac:dyDescent="0.2">
      <c r="A9744" s="391">
        <v>39135</v>
      </c>
      <c r="B9744" s="478" t="s">
        <v>42297</v>
      </c>
      <c r="C9744" s="391" t="s">
        <v>26</v>
      </c>
      <c r="D9744" s="479">
        <v>14.01</v>
      </c>
      <c r="E9744" s="368"/>
      <c r="F9744" s="368"/>
    </row>
    <row r="9745" spans="1:6" ht="25.5" x14ac:dyDescent="0.2">
      <c r="A9745" s="391">
        <v>39134</v>
      </c>
      <c r="B9745" s="478" t="s">
        <v>42298</v>
      </c>
      <c r="C9745" s="391" t="s">
        <v>26</v>
      </c>
      <c r="D9745" s="479">
        <v>11.67</v>
      </c>
      <c r="E9745" s="368"/>
      <c r="F9745" s="368"/>
    </row>
    <row r="9746" spans="1:6" ht="25.5" x14ac:dyDescent="0.2">
      <c r="A9746" s="391">
        <v>398</v>
      </c>
      <c r="B9746" s="478" t="s">
        <v>42299</v>
      </c>
      <c r="C9746" s="391" t="s">
        <v>26</v>
      </c>
      <c r="D9746" s="479">
        <v>10.75</v>
      </c>
      <c r="E9746" s="368"/>
      <c r="F9746" s="368"/>
    </row>
    <row r="9747" spans="1:6" ht="25.5" x14ac:dyDescent="0.2">
      <c r="A9747" s="391">
        <v>39128</v>
      </c>
      <c r="B9747" s="478" t="s">
        <v>42300</v>
      </c>
      <c r="C9747" s="391" t="s">
        <v>26</v>
      </c>
      <c r="D9747" s="479">
        <v>3.5</v>
      </c>
      <c r="E9747" s="368"/>
      <c r="F9747" s="368"/>
    </row>
    <row r="9748" spans="1:6" ht="25.5" x14ac:dyDescent="0.2">
      <c r="A9748" s="391">
        <v>400</v>
      </c>
      <c r="B9748" s="478" t="s">
        <v>42301</v>
      </c>
      <c r="C9748" s="391" t="s">
        <v>26</v>
      </c>
      <c r="D9748" s="479">
        <v>3.41</v>
      </c>
      <c r="E9748" s="368"/>
      <c r="F9748" s="368"/>
    </row>
    <row r="9749" spans="1:6" ht="25.5" x14ac:dyDescent="0.2">
      <c r="A9749" s="391">
        <v>39125</v>
      </c>
      <c r="B9749" s="478" t="s">
        <v>42302</v>
      </c>
      <c r="C9749" s="391" t="s">
        <v>26</v>
      </c>
      <c r="D9749" s="479">
        <v>3.5</v>
      </c>
      <c r="E9749" s="368"/>
      <c r="F9749" s="368"/>
    </row>
    <row r="9750" spans="1:6" ht="25.5" x14ac:dyDescent="0.2">
      <c r="A9750" s="391">
        <v>39126</v>
      </c>
      <c r="B9750" s="478" t="s">
        <v>42303</v>
      </c>
      <c r="C9750" s="391" t="s">
        <v>26</v>
      </c>
      <c r="D9750" s="479">
        <v>15.76</v>
      </c>
      <c r="E9750" s="368"/>
      <c r="F9750" s="368"/>
    </row>
    <row r="9751" spans="1:6" ht="25.5" x14ac:dyDescent="0.2">
      <c r="A9751" s="391">
        <v>399</v>
      </c>
      <c r="B9751" s="478" t="s">
        <v>42304</v>
      </c>
      <c r="C9751" s="391" t="s">
        <v>26</v>
      </c>
      <c r="D9751" s="479">
        <v>13.88</v>
      </c>
      <c r="E9751" s="368"/>
      <c r="F9751" s="368"/>
    </row>
    <row r="9752" spans="1:6" ht="25.5" x14ac:dyDescent="0.2">
      <c r="A9752" s="391">
        <v>39158</v>
      </c>
      <c r="B9752" s="478" t="s">
        <v>42305</v>
      </c>
      <c r="C9752" s="391" t="s">
        <v>26</v>
      </c>
      <c r="D9752" s="479">
        <v>37.28</v>
      </c>
      <c r="E9752" s="368"/>
      <c r="F9752" s="368"/>
    </row>
    <row r="9753" spans="1:6" ht="25.5" x14ac:dyDescent="0.2">
      <c r="A9753" s="391">
        <v>39141</v>
      </c>
      <c r="B9753" s="478" t="s">
        <v>42306</v>
      </c>
      <c r="C9753" s="391" t="s">
        <v>26</v>
      </c>
      <c r="D9753" s="479">
        <v>2.71</v>
      </c>
      <c r="E9753" s="368"/>
      <c r="F9753" s="368"/>
    </row>
    <row r="9754" spans="1:6" ht="25.5" x14ac:dyDescent="0.2">
      <c r="A9754" s="391">
        <v>39140</v>
      </c>
      <c r="B9754" s="478" t="s">
        <v>42307</v>
      </c>
      <c r="C9754" s="391" t="s">
        <v>26</v>
      </c>
      <c r="D9754" s="479">
        <v>2.46</v>
      </c>
      <c r="E9754" s="368"/>
      <c r="F9754" s="368"/>
    </row>
    <row r="9755" spans="1:6" ht="25.5" x14ac:dyDescent="0.2">
      <c r="A9755" s="391">
        <v>39139</v>
      </c>
      <c r="B9755" s="478" t="s">
        <v>42308</v>
      </c>
      <c r="C9755" s="391" t="s">
        <v>26</v>
      </c>
      <c r="D9755" s="479">
        <v>2.04</v>
      </c>
      <c r="E9755" s="368"/>
      <c r="F9755" s="368"/>
    </row>
    <row r="9756" spans="1:6" ht="25.5" x14ac:dyDescent="0.2">
      <c r="A9756" s="391">
        <v>39137</v>
      </c>
      <c r="B9756" s="478" t="s">
        <v>42309</v>
      </c>
      <c r="C9756" s="391" t="s">
        <v>26</v>
      </c>
      <c r="D9756" s="479">
        <v>1.41</v>
      </c>
      <c r="E9756" s="368"/>
      <c r="F9756" s="368"/>
    </row>
    <row r="9757" spans="1:6" ht="25.5" x14ac:dyDescent="0.2">
      <c r="A9757" s="391">
        <v>39143</v>
      </c>
      <c r="B9757" s="478" t="s">
        <v>42310</v>
      </c>
      <c r="C9757" s="391" t="s">
        <v>26</v>
      </c>
      <c r="D9757" s="479">
        <v>5.58</v>
      </c>
      <c r="E9757" s="368"/>
      <c r="F9757" s="368"/>
    </row>
    <row r="9758" spans="1:6" ht="25.5" x14ac:dyDescent="0.2">
      <c r="A9758" s="391">
        <v>39142</v>
      </c>
      <c r="B9758" s="478" t="s">
        <v>42311</v>
      </c>
      <c r="C9758" s="391" t="s">
        <v>26</v>
      </c>
      <c r="D9758" s="479">
        <v>4</v>
      </c>
      <c r="E9758" s="368"/>
      <c r="F9758" s="368"/>
    </row>
    <row r="9759" spans="1:6" ht="25.5" x14ac:dyDescent="0.2">
      <c r="A9759" s="391">
        <v>39144</v>
      </c>
      <c r="B9759" s="478" t="s">
        <v>42312</v>
      </c>
      <c r="C9759" s="391" t="s">
        <v>26</v>
      </c>
      <c r="D9759" s="479">
        <v>6.5</v>
      </c>
      <c r="E9759" s="368"/>
      <c r="F9759" s="368"/>
    </row>
    <row r="9760" spans="1:6" ht="25.5" x14ac:dyDescent="0.2">
      <c r="A9760" s="391">
        <v>39138</v>
      </c>
      <c r="B9760" s="478" t="s">
        <v>42313</v>
      </c>
      <c r="C9760" s="391" t="s">
        <v>26</v>
      </c>
      <c r="D9760" s="479">
        <v>1.5</v>
      </c>
      <c r="E9760" s="368"/>
      <c r="F9760" s="368"/>
    </row>
    <row r="9761" spans="1:6" ht="25.5" x14ac:dyDescent="0.2">
      <c r="A9761" s="391">
        <v>39136</v>
      </c>
      <c r="B9761" s="478" t="s">
        <v>42314</v>
      </c>
      <c r="C9761" s="391" t="s">
        <v>26</v>
      </c>
      <c r="D9761" s="479">
        <v>1</v>
      </c>
      <c r="E9761" s="368"/>
      <c r="F9761" s="368"/>
    </row>
    <row r="9762" spans="1:6" ht="25.5" x14ac:dyDescent="0.2">
      <c r="A9762" s="391">
        <v>39145</v>
      </c>
      <c r="B9762" s="478" t="s">
        <v>42315</v>
      </c>
      <c r="C9762" s="391" t="s">
        <v>26</v>
      </c>
      <c r="D9762" s="479">
        <v>10.71</v>
      </c>
      <c r="E9762" s="368"/>
      <c r="F9762" s="368"/>
    </row>
    <row r="9763" spans="1:6" ht="25.5" x14ac:dyDescent="0.2">
      <c r="A9763" s="391">
        <v>12615</v>
      </c>
      <c r="B9763" s="478" t="s">
        <v>42316</v>
      </c>
      <c r="C9763" s="391" t="s">
        <v>26</v>
      </c>
      <c r="D9763" s="479">
        <v>13.42</v>
      </c>
      <c r="E9763" s="368"/>
      <c r="F9763" s="368"/>
    </row>
    <row r="9764" spans="1:6" ht="25.5" x14ac:dyDescent="0.2">
      <c r="A9764" s="391">
        <v>11927</v>
      </c>
      <c r="B9764" s="478" t="s">
        <v>42317</v>
      </c>
      <c r="C9764" s="391" t="s">
        <v>26</v>
      </c>
      <c r="D9764" s="479">
        <v>10.74</v>
      </c>
      <c r="E9764" s="368"/>
      <c r="F9764" s="368"/>
    </row>
    <row r="9765" spans="1:6" ht="25.5" x14ac:dyDescent="0.2">
      <c r="A9765" s="391">
        <v>11928</v>
      </c>
      <c r="B9765" s="478" t="s">
        <v>42318</v>
      </c>
      <c r="C9765" s="391" t="s">
        <v>26</v>
      </c>
      <c r="D9765" s="479">
        <v>12.31</v>
      </c>
      <c r="E9765" s="368"/>
      <c r="F9765" s="368"/>
    </row>
    <row r="9766" spans="1:6" ht="25.5" x14ac:dyDescent="0.2">
      <c r="A9766" s="391">
        <v>11929</v>
      </c>
      <c r="B9766" s="478" t="s">
        <v>42319</v>
      </c>
      <c r="C9766" s="391" t="s">
        <v>26</v>
      </c>
      <c r="D9766" s="479">
        <v>19.04</v>
      </c>
      <c r="E9766" s="368"/>
      <c r="F9766" s="368"/>
    </row>
    <row r="9767" spans="1:6" ht="25.5" x14ac:dyDescent="0.2">
      <c r="A9767" s="391">
        <v>36801</v>
      </c>
      <c r="B9767" s="478" t="s">
        <v>42320</v>
      </c>
      <c r="C9767" s="391" t="s">
        <v>26</v>
      </c>
      <c r="D9767" s="479">
        <v>32.96</v>
      </c>
      <c r="E9767" s="368"/>
      <c r="F9767" s="368"/>
    </row>
    <row r="9768" spans="1:6" ht="25.5" x14ac:dyDescent="0.2">
      <c r="A9768" s="391">
        <v>36246</v>
      </c>
      <c r="B9768" s="478" t="s">
        <v>42321</v>
      </c>
      <c r="C9768" s="391" t="s">
        <v>0</v>
      </c>
      <c r="D9768" s="479"/>
      <c r="E9768" s="368"/>
      <c r="F9768" s="368"/>
    </row>
    <row r="9769" spans="1:6" ht="25.5" x14ac:dyDescent="0.2">
      <c r="A9769" s="391">
        <v>37600</v>
      </c>
      <c r="B9769" s="478" t="s">
        <v>42322</v>
      </c>
      <c r="C9769" s="391" t="s">
        <v>26</v>
      </c>
      <c r="D9769" s="479"/>
      <c r="E9769" s="368"/>
      <c r="F9769" s="368"/>
    </row>
    <row r="9770" spans="1:6" ht="25.5" x14ac:dyDescent="0.2">
      <c r="A9770" s="391">
        <v>37599</v>
      </c>
      <c r="B9770" s="478" t="s">
        <v>42323</v>
      </c>
      <c r="C9770" s="391" t="s">
        <v>26</v>
      </c>
      <c r="D9770" s="479"/>
      <c r="E9770" s="368"/>
      <c r="F9770" s="368"/>
    </row>
    <row r="9771" spans="1:6" ht="25.5" x14ac:dyDescent="0.2">
      <c r="A9771" s="391">
        <v>1</v>
      </c>
      <c r="B9771" s="478" t="s">
        <v>48226</v>
      </c>
      <c r="C9771" s="391" t="s">
        <v>1284</v>
      </c>
      <c r="D9771" s="479">
        <v>90.35</v>
      </c>
      <c r="E9771" s="368"/>
      <c r="F9771" s="368"/>
    </row>
    <row r="9772" spans="1:6" ht="25.5" x14ac:dyDescent="0.2">
      <c r="A9772" s="391">
        <v>3</v>
      </c>
      <c r="B9772" s="478" t="s">
        <v>42324</v>
      </c>
      <c r="C9772" s="391" t="s">
        <v>9</v>
      </c>
      <c r="D9772" s="479">
        <v>18.21</v>
      </c>
      <c r="E9772" s="368"/>
      <c r="F9772" s="368"/>
    </row>
    <row r="9773" spans="1:6" ht="25.5" x14ac:dyDescent="0.2">
      <c r="A9773" s="391">
        <v>43054</v>
      </c>
      <c r="B9773" s="478" t="s">
        <v>42325</v>
      </c>
      <c r="C9773" s="391" t="s">
        <v>1284</v>
      </c>
      <c r="D9773" s="479">
        <v>8.68</v>
      </c>
      <c r="E9773" s="368"/>
      <c r="F9773" s="368"/>
    </row>
    <row r="9774" spans="1:6" x14ac:dyDescent="0.2">
      <c r="A9774" s="391">
        <v>42402</v>
      </c>
      <c r="B9774" s="478" t="s">
        <v>42326</v>
      </c>
      <c r="C9774" s="391" t="s">
        <v>1284</v>
      </c>
      <c r="D9774" s="479">
        <v>8.3000000000000007</v>
      </c>
      <c r="E9774" s="368"/>
      <c r="F9774" s="368"/>
    </row>
    <row r="9775" spans="1:6" x14ac:dyDescent="0.2">
      <c r="A9775" s="391">
        <v>42403</v>
      </c>
      <c r="B9775" s="478" t="s">
        <v>42327</v>
      </c>
      <c r="C9775" s="391" t="s">
        <v>1284</v>
      </c>
      <c r="D9775" s="479">
        <v>10.64</v>
      </c>
      <c r="E9775" s="368"/>
      <c r="F9775" s="368"/>
    </row>
    <row r="9776" spans="1:6" x14ac:dyDescent="0.2">
      <c r="A9776" s="391">
        <v>42404</v>
      </c>
      <c r="B9776" s="478" t="s">
        <v>42328</v>
      </c>
      <c r="C9776" s="391" t="s">
        <v>1284</v>
      </c>
      <c r="D9776" s="479">
        <v>10.58</v>
      </c>
      <c r="E9776" s="368"/>
      <c r="F9776" s="368"/>
    </row>
    <row r="9777" spans="1:6" x14ac:dyDescent="0.2">
      <c r="A9777" s="391">
        <v>42405</v>
      </c>
      <c r="B9777" s="478" t="s">
        <v>42329</v>
      </c>
      <c r="C9777" s="391" t="s">
        <v>1284</v>
      </c>
      <c r="D9777" s="479">
        <v>11.27</v>
      </c>
      <c r="E9777" s="368"/>
      <c r="F9777" s="368"/>
    </row>
    <row r="9778" spans="1:6" x14ac:dyDescent="0.2">
      <c r="A9778" s="391">
        <v>34341</v>
      </c>
      <c r="B9778" s="478" t="s">
        <v>42330</v>
      </c>
      <c r="C9778" s="391" t="s">
        <v>1284</v>
      </c>
      <c r="D9778" s="479">
        <v>9.7899999999999991</v>
      </c>
      <c r="E9778" s="368"/>
      <c r="F9778" s="368"/>
    </row>
    <row r="9779" spans="1:6" x14ac:dyDescent="0.2">
      <c r="A9779" s="391">
        <v>43053</v>
      </c>
      <c r="B9779" s="478" t="s">
        <v>42331</v>
      </c>
      <c r="C9779" s="391" t="s">
        <v>1284</v>
      </c>
      <c r="D9779" s="479">
        <v>7.75</v>
      </c>
      <c r="E9779" s="368"/>
      <c r="F9779" s="368"/>
    </row>
    <row r="9780" spans="1:6" ht="25.5" x14ac:dyDescent="0.2">
      <c r="A9780" s="391">
        <v>43058</v>
      </c>
      <c r="B9780" s="478" t="s">
        <v>42332</v>
      </c>
      <c r="C9780" s="391" t="s">
        <v>1284</v>
      </c>
      <c r="D9780" s="479">
        <v>8.0399999999999991</v>
      </c>
      <c r="E9780" s="368"/>
      <c r="F9780" s="368"/>
    </row>
    <row r="9781" spans="1:6" x14ac:dyDescent="0.2">
      <c r="A9781" s="391">
        <v>34</v>
      </c>
      <c r="B9781" s="478" t="s">
        <v>42333</v>
      </c>
      <c r="C9781" s="391" t="s">
        <v>1284</v>
      </c>
      <c r="D9781" s="479">
        <v>8.08</v>
      </c>
      <c r="E9781" s="368"/>
      <c r="F9781" s="368"/>
    </row>
    <row r="9782" spans="1:6" x14ac:dyDescent="0.2">
      <c r="A9782" s="391">
        <v>43055</v>
      </c>
      <c r="B9782" s="478" t="s">
        <v>42334</v>
      </c>
      <c r="C9782" s="391" t="s">
        <v>1284</v>
      </c>
      <c r="D9782" s="479">
        <v>7</v>
      </c>
      <c r="E9782" s="368"/>
      <c r="F9782" s="368"/>
    </row>
    <row r="9783" spans="1:6" x14ac:dyDescent="0.2">
      <c r="A9783" s="391">
        <v>43056</v>
      </c>
      <c r="B9783" s="478" t="s">
        <v>42335</v>
      </c>
      <c r="C9783" s="391" t="s">
        <v>1284</v>
      </c>
      <c r="D9783" s="479">
        <v>8.07</v>
      </c>
      <c r="E9783" s="368"/>
      <c r="F9783" s="368"/>
    </row>
    <row r="9784" spans="1:6" x14ac:dyDescent="0.2">
      <c r="A9784" s="391">
        <v>43057</v>
      </c>
      <c r="B9784" s="478" t="s">
        <v>42336</v>
      </c>
      <c r="C9784" s="391" t="s">
        <v>1284</v>
      </c>
      <c r="D9784" s="479">
        <v>8.8699999999999992</v>
      </c>
      <c r="E9784" s="368"/>
      <c r="F9784" s="368"/>
    </row>
    <row r="9785" spans="1:6" x14ac:dyDescent="0.2">
      <c r="A9785" s="391">
        <v>34449</v>
      </c>
      <c r="B9785" s="478" t="s">
        <v>42337</v>
      </c>
      <c r="C9785" s="391" t="s">
        <v>1284</v>
      </c>
      <c r="D9785" s="479">
        <v>9.48</v>
      </c>
      <c r="E9785" s="368"/>
      <c r="F9785" s="368"/>
    </row>
    <row r="9786" spans="1:6" x14ac:dyDescent="0.2">
      <c r="A9786" s="391">
        <v>32</v>
      </c>
      <c r="B9786" s="478" t="s">
        <v>42338</v>
      </c>
      <c r="C9786" s="391" t="s">
        <v>1284</v>
      </c>
      <c r="D9786" s="479">
        <v>8.52</v>
      </c>
      <c r="E9786" s="368"/>
      <c r="F9786" s="368"/>
    </row>
    <row r="9787" spans="1:6" x14ac:dyDescent="0.2">
      <c r="A9787" s="391">
        <v>33</v>
      </c>
      <c r="B9787" s="478" t="s">
        <v>42339</v>
      </c>
      <c r="C9787" s="391" t="s">
        <v>1284</v>
      </c>
      <c r="D9787" s="479">
        <v>8.57</v>
      </c>
      <c r="E9787" s="368"/>
      <c r="F9787" s="368"/>
    </row>
    <row r="9788" spans="1:6" x14ac:dyDescent="0.2">
      <c r="A9788" s="391">
        <v>43061</v>
      </c>
      <c r="B9788" s="478" t="s">
        <v>42340</v>
      </c>
      <c r="C9788" s="391" t="s">
        <v>1284</v>
      </c>
      <c r="D9788" s="479">
        <v>8.01</v>
      </c>
      <c r="E9788" s="368"/>
      <c r="F9788" s="368"/>
    </row>
    <row r="9789" spans="1:6" x14ac:dyDescent="0.2">
      <c r="A9789" s="391">
        <v>43059</v>
      </c>
      <c r="B9789" s="478" t="s">
        <v>42341</v>
      </c>
      <c r="C9789" s="391" t="s">
        <v>1284</v>
      </c>
      <c r="D9789" s="479">
        <v>7.65</v>
      </c>
      <c r="E9789" s="368"/>
      <c r="F9789" s="368"/>
    </row>
    <row r="9790" spans="1:6" x14ac:dyDescent="0.2">
      <c r="A9790" s="391">
        <v>43062</v>
      </c>
      <c r="B9790" s="478" t="s">
        <v>42342</v>
      </c>
      <c r="C9790" s="391" t="s">
        <v>1284</v>
      </c>
      <c r="D9790" s="479">
        <v>8.4700000000000006</v>
      </c>
      <c r="E9790" s="368"/>
      <c r="F9790" s="368"/>
    </row>
    <row r="9791" spans="1:6" x14ac:dyDescent="0.2">
      <c r="A9791" s="391">
        <v>43060</v>
      </c>
      <c r="B9791" s="478" t="s">
        <v>42343</v>
      </c>
      <c r="C9791" s="391" t="s">
        <v>1284</v>
      </c>
      <c r="D9791" s="479">
        <v>6.66</v>
      </c>
      <c r="E9791" s="368"/>
      <c r="F9791" s="368"/>
    </row>
    <row r="9792" spans="1:6" ht="25.5" x14ac:dyDescent="0.2">
      <c r="A9792" s="391">
        <v>40410</v>
      </c>
      <c r="B9792" s="478" t="s">
        <v>42344</v>
      </c>
      <c r="C9792" s="391" t="s">
        <v>26</v>
      </c>
      <c r="D9792" s="479"/>
      <c r="E9792" s="368"/>
      <c r="F9792" s="368"/>
    </row>
    <row r="9793" spans="1:6" ht="25.5" x14ac:dyDescent="0.2">
      <c r="A9793" s="391">
        <v>40411</v>
      </c>
      <c r="B9793" s="478" t="s">
        <v>42345</v>
      </c>
      <c r="C9793" s="391" t="s">
        <v>26</v>
      </c>
      <c r="D9793" s="479"/>
      <c r="E9793" s="368"/>
      <c r="F9793" s="368"/>
    </row>
    <row r="9794" spans="1:6" ht="25.5" x14ac:dyDescent="0.2">
      <c r="A9794" s="391">
        <v>40412</v>
      </c>
      <c r="B9794" s="478" t="s">
        <v>42346</v>
      </c>
      <c r="C9794" s="391" t="s">
        <v>26</v>
      </c>
      <c r="D9794" s="479"/>
      <c r="E9794" s="368"/>
      <c r="F9794" s="368"/>
    </row>
    <row r="9795" spans="1:6" ht="25.5" x14ac:dyDescent="0.2">
      <c r="A9795" s="391">
        <v>44254</v>
      </c>
      <c r="B9795" s="478" t="s">
        <v>42347</v>
      </c>
      <c r="C9795" s="391" t="s">
        <v>26</v>
      </c>
      <c r="D9795" s="479">
        <v>28.1</v>
      </c>
      <c r="E9795" s="368"/>
      <c r="F9795" s="368"/>
    </row>
    <row r="9796" spans="1:6" ht="25.5" x14ac:dyDescent="0.2">
      <c r="A9796" s="391">
        <v>44255</v>
      </c>
      <c r="B9796" s="478" t="s">
        <v>42348</v>
      </c>
      <c r="C9796" s="391" t="s">
        <v>26</v>
      </c>
      <c r="D9796" s="479">
        <v>31.15</v>
      </c>
      <c r="E9796" s="368"/>
      <c r="F9796" s="368"/>
    </row>
    <row r="9797" spans="1:6" ht="25.5" x14ac:dyDescent="0.2">
      <c r="A9797" s="391">
        <v>44256</v>
      </c>
      <c r="B9797" s="478" t="s">
        <v>42349</v>
      </c>
      <c r="C9797" s="391" t="s">
        <v>26</v>
      </c>
      <c r="D9797" s="479">
        <v>35.18</v>
      </c>
      <c r="E9797" s="368"/>
      <c r="F9797" s="368"/>
    </row>
    <row r="9798" spans="1:6" ht="25.5" x14ac:dyDescent="0.2">
      <c r="A9798" s="391">
        <v>44257</v>
      </c>
      <c r="B9798" s="478" t="s">
        <v>42350</v>
      </c>
      <c r="C9798" s="391" t="s">
        <v>26</v>
      </c>
      <c r="D9798" s="479">
        <v>55.66</v>
      </c>
      <c r="E9798" s="368"/>
      <c r="F9798" s="368"/>
    </row>
    <row r="9799" spans="1:6" ht="25.5" x14ac:dyDescent="0.2">
      <c r="A9799" s="391">
        <v>44258</v>
      </c>
      <c r="B9799" s="478" t="s">
        <v>42351</v>
      </c>
      <c r="C9799" s="391" t="s">
        <v>26</v>
      </c>
      <c r="D9799" s="479">
        <v>63.61</v>
      </c>
      <c r="E9799" s="368"/>
      <c r="F9799" s="368"/>
    </row>
    <row r="9800" spans="1:6" ht="25.5" x14ac:dyDescent="0.2">
      <c r="A9800" s="391">
        <v>44259</v>
      </c>
      <c r="B9800" s="478" t="s">
        <v>42352</v>
      </c>
      <c r="C9800" s="391" t="s">
        <v>26</v>
      </c>
      <c r="D9800" s="479">
        <v>87.32</v>
      </c>
      <c r="E9800" s="368"/>
      <c r="F9800" s="368"/>
    </row>
    <row r="9801" spans="1:6" x14ac:dyDescent="0.2">
      <c r="A9801" s="391">
        <v>37997</v>
      </c>
      <c r="B9801" s="478" t="s">
        <v>42353</v>
      </c>
      <c r="C9801" s="391" t="s">
        <v>26</v>
      </c>
      <c r="D9801" s="479">
        <v>16.75</v>
      </c>
      <c r="E9801" s="368"/>
      <c r="F9801" s="368"/>
    </row>
    <row r="9802" spans="1:6" x14ac:dyDescent="0.2">
      <c r="A9802" s="391">
        <v>37998</v>
      </c>
      <c r="B9802" s="478" t="s">
        <v>42354</v>
      </c>
      <c r="C9802" s="391" t="s">
        <v>26</v>
      </c>
      <c r="D9802" s="479">
        <v>22.41</v>
      </c>
      <c r="E9802" s="368"/>
      <c r="F9802" s="368"/>
    </row>
    <row r="9803" spans="1:6" ht="25.5" x14ac:dyDescent="0.2">
      <c r="A9803" s="391">
        <v>55</v>
      </c>
      <c r="B9803" s="478" t="s">
        <v>42355</v>
      </c>
      <c r="C9803" s="391" t="s">
        <v>26</v>
      </c>
      <c r="D9803" s="479"/>
      <c r="E9803" s="368"/>
      <c r="F9803" s="368"/>
    </row>
    <row r="9804" spans="1:6" ht="25.5" x14ac:dyDescent="0.2">
      <c r="A9804" s="391">
        <v>61</v>
      </c>
      <c r="B9804" s="478" t="s">
        <v>42356</v>
      </c>
      <c r="C9804" s="391" t="s">
        <v>26</v>
      </c>
      <c r="D9804" s="479"/>
      <c r="E9804" s="368"/>
      <c r="F9804" s="368"/>
    </row>
    <row r="9805" spans="1:6" ht="25.5" x14ac:dyDescent="0.2">
      <c r="A9805" s="391">
        <v>62</v>
      </c>
      <c r="B9805" s="478" t="s">
        <v>42357</v>
      </c>
      <c r="C9805" s="391" t="s">
        <v>26</v>
      </c>
      <c r="D9805" s="479"/>
      <c r="E9805" s="368"/>
      <c r="F9805" s="368"/>
    </row>
    <row r="9806" spans="1:6" ht="25.5" x14ac:dyDescent="0.2">
      <c r="A9806" s="391">
        <v>10899</v>
      </c>
      <c r="B9806" s="478" t="s">
        <v>42358</v>
      </c>
      <c r="C9806" s="391" t="s">
        <v>26</v>
      </c>
      <c r="D9806" s="479">
        <v>89.37</v>
      </c>
      <c r="E9806" s="368"/>
      <c r="F9806" s="368"/>
    </row>
    <row r="9807" spans="1:6" ht="25.5" x14ac:dyDescent="0.2">
      <c r="A9807" s="391">
        <v>10900</v>
      </c>
      <c r="B9807" s="478" t="s">
        <v>42359</v>
      </c>
      <c r="C9807" s="391" t="s">
        <v>26</v>
      </c>
      <c r="D9807" s="479">
        <v>69.94</v>
      </c>
      <c r="E9807" s="368"/>
      <c r="F9807" s="368"/>
    </row>
    <row r="9808" spans="1:6" x14ac:dyDescent="0.2">
      <c r="A9808" s="391">
        <v>47</v>
      </c>
      <c r="B9808" s="478" t="s">
        <v>42360</v>
      </c>
      <c r="C9808" s="391" t="s">
        <v>26</v>
      </c>
      <c r="D9808" s="479"/>
      <c r="E9808" s="368"/>
      <c r="F9808" s="368"/>
    </row>
    <row r="9809" spans="1:6" x14ac:dyDescent="0.2">
      <c r="A9809" s="391">
        <v>48</v>
      </c>
      <c r="B9809" s="478" t="s">
        <v>42361</v>
      </c>
      <c r="C9809" s="391" t="s">
        <v>26</v>
      </c>
      <c r="D9809" s="479"/>
      <c r="E9809" s="368"/>
      <c r="F9809" s="368"/>
    </row>
    <row r="9810" spans="1:6" x14ac:dyDescent="0.2">
      <c r="A9810" s="391">
        <v>46</v>
      </c>
      <c r="B9810" s="478" t="s">
        <v>42362</v>
      </c>
      <c r="C9810" s="391" t="s">
        <v>26</v>
      </c>
      <c r="D9810" s="479"/>
      <c r="E9810" s="368"/>
      <c r="F9810" s="368"/>
    </row>
    <row r="9811" spans="1:6" x14ac:dyDescent="0.2">
      <c r="A9811" s="391">
        <v>52</v>
      </c>
      <c r="B9811" s="478" t="s">
        <v>42363</v>
      </c>
      <c r="C9811" s="391" t="s">
        <v>26</v>
      </c>
      <c r="D9811" s="479"/>
      <c r="E9811" s="368"/>
      <c r="F9811" s="368"/>
    </row>
    <row r="9812" spans="1:6" x14ac:dyDescent="0.2">
      <c r="A9812" s="391">
        <v>43</v>
      </c>
      <c r="B9812" s="478" t="s">
        <v>42364</v>
      </c>
      <c r="C9812" s="391" t="s">
        <v>26</v>
      </c>
      <c r="D9812" s="479"/>
      <c r="E9812" s="368"/>
      <c r="F9812" s="368"/>
    </row>
    <row r="9813" spans="1:6" ht="25.5" x14ac:dyDescent="0.2">
      <c r="A9813" s="391">
        <v>103</v>
      </c>
      <c r="B9813" s="478" t="s">
        <v>42365</v>
      </c>
      <c r="C9813" s="391" t="s">
        <v>26</v>
      </c>
      <c r="D9813" s="479">
        <v>42.91</v>
      </c>
      <c r="E9813" s="368"/>
      <c r="F9813" s="368"/>
    </row>
    <row r="9814" spans="1:6" ht="25.5" x14ac:dyDescent="0.2">
      <c r="A9814" s="391">
        <v>107</v>
      </c>
      <c r="B9814" s="478" t="s">
        <v>42366</v>
      </c>
      <c r="C9814" s="391" t="s">
        <v>26</v>
      </c>
      <c r="D9814" s="479">
        <v>0.8</v>
      </c>
      <c r="E9814" s="368"/>
      <c r="F9814" s="368"/>
    </row>
    <row r="9815" spans="1:6" ht="25.5" x14ac:dyDescent="0.2">
      <c r="A9815" s="391">
        <v>65</v>
      </c>
      <c r="B9815" s="478" t="s">
        <v>42367</v>
      </c>
      <c r="C9815" s="391" t="s">
        <v>26</v>
      </c>
      <c r="D9815" s="479">
        <v>0.88</v>
      </c>
      <c r="E9815" s="368"/>
      <c r="F9815" s="368"/>
    </row>
    <row r="9816" spans="1:6" ht="25.5" x14ac:dyDescent="0.2">
      <c r="A9816" s="391">
        <v>108</v>
      </c>
      <c r="B9816" s="478" t="s">
        <v>42368</v>
      </c>
      <c r="C9816" s="391" t="s">
        <v>26</v>
      </c>
      <c r="D9816" s="479">
        <v>1.78</v>
      </c>
      <c r="E9816" s="368"/>
      <c r="F9816" s="368"/>
    </row>
    <row r="9817" spans="1:6" ht="25.5" x14ac:dyDescent="0.2">
      <c r="A9817" s="391">
        <v>110</v>
      </c>
      <c r="B9817" s="478" t="s">
        <v>42369</v>
      </c>
      <c r="C9817" s="391" t="s">
        <v>26</v>
      </c>
      <c r="D9817" s="479">
        <v>6.17</v>
      </c>
      <c r="E9817" s="368"/>
      <c r="F9817" s="368"/>
    </row>
    <row r="9818" spans="1:6" ht="25.5" x14ac:dyDescent="0.2">
      <c r="A9818" s="391">
        <v>109</v>
      </c>
      <c r="B9818" s="478" t="s">
        <v>42370</v>
      </c>
      <c r="C9818" s="391" t="s">
        <v>26</v>
      </c>
      <c r="D9818" s="479">
        <v>3.67</v>
      </c>
      <c r="E9818" s="368"/>
      <c r="F9818" s="368"/>
    </row>
    <row r="9819" spans="1:6" ht="25.5" x14ac:dyDescent="0.2">
      <c r="A9819" s="391">
        <v>111</v>
      </c>
      <c r="B9819" s="478" t="s">
        <v>42371</v>
      </c>
      <c r="C9819" s="391" t="s">
        <v>26</v>
      </c>
      <c r="D9819" s="479">
        <v>8.35</v>
      </c>
      <c r="E9819" s="368"/>
      <c r="F9819" s="368"/>
    </row>
    <row r="9820" spans="1:6" ht="25.5" x14ac:dyDescent="0.2">
      <c r="A9820" s="391">
        <v>112</v>
      </c>
      <c r="B9820" s="478" t="s">
        <v>42372</v>
      </c>
      <c r="C9820" s="391" t="s">
        <v>26</v>
      </c>
      <c r="D9820" s="479">
        <v>4.42</v>
      </c>
      <c r="E9820" s="368"/>
      <c r="F9820" s="368"/>
    </row>
    <row r="9821" spans="1:6" ht="25.5" x14ac:dyDescent="0.2">
      <c r="A9821" s="391">
        <v>113</v>
      </c>
      <c r="B9821" s="478" t="s">
        <v>42373</v>
      </c>
      <c r="C9821" s="391" t="s">
        <v>26</v>
      </c>
      <c r="D9821" s="479">
        <v>11.08</v>
      </c>
      <c r="E9821" s="368"/>
      <c r="F9821" s="368"/>
    </row>
    <row r="9822" spans="1:6" ht="25.5" x14ac:dyDescent="0.2">
      <c r="A9822" s="391">
        <v>104</v>
      </c>
      <c r="B9822" s="478" t="s">
        <v>42374</v>
      </c>
      <c r="C9822" s="391" t="s">
        <v>26</v>
      </c>
      <c r="D9822" s="479">
        <v>19.29</v>
      </c>
      <c r="E9822" s="368"/>
      <c r="F9822" s="368"/>
    </row>
    <row r="9823" spans="1:6" ht="25.5" x14ac:dyDescent="0.2">
      <c r="A9823" s="391">
        <v>102</v>
      </c>
      <c r="B9823" s="478" t="s">
        <v>42375</v>
      </c>
      <c r="C9823" s="391" t="s">
        <v>26</v>
      </c>
      <c r="D9823" s="479">
        <v>26.59</v>
      </c>
      <c r="E9823" s="368"/>
      <c r="F9823" s="368"/>
    </row>
    <row r="9824" spans="1:6" ht="25.5" x14ac:dyDescent="0.2">
      <c r="A9824" s="391">
        <v>95</v>
      </c>
      <c r="B9824" s="478" t="s">
        <v>42376</v>
      </c>
      <c r="C9824" s="391" t="s">
        <v>26</v>
      </c>
      <c r="D9824" s="479">
        <v>11.24</v>
      </c>
      <c r="E9824" s="368"/>
      <c r="F9824" s="368"/>
    </row>
    <row r="9825" spans="1:6" ht="25.5" x14ac:dyDescent="0.2">
      <c r="A9825" s="391">
        <v>96</v>
      </c>
      <c r="B9825" s="478" t="s">
        <v>42377</v>
      </c>
      <c r="C9825" s="391" t="s">
        <v>26</v>
      </c>
      <c r="D9825" s="479">
        <v>12.22</v>
      </c>
      <c r="E9825" s="368"/>
      <c r="F9825" s="368"/>
    </row>
    <row r="9826" spans="1:6" ht="25.5" x14ac:dyDescent="0.2">
      <c r="A9826" s="391">
        <v>97</v>
      </c>
      <c r="B9826" s="478" t="s">
        <v>42378</v>
      </c>
      <c r="C9826" s="391" t="s">
        <v>26</v>
      </c>
      <c r="D9826" s="479">
        <v>18.39</v>
      </c>
      <c r="E9826" s="368"/>
      <c r="F9826" s="368"/>
    </row>
    <row r="9827" spans="1:6" ht="25.5" x14ac:dyDescent="0.2">
      <c r="A9827" s="391">
        <v>98</v>
      </c>
      <c r="B9827" s="478" t="s">
        <v>42379</v>
      </c>
      <c r="C9827" s="391" t="s">
        <v>26</v>
      </c>
      <c r="D9827" s="479">
        <v>27.53</v>
      </c>
      <c r="E9827" s="368"/>
      <c r="F9827" s="368"/>
    </row>
    <row r="9828" spans="1:6" ht="25.5" x14ac:dyDescent="0.2">
      <c r="A9828" s="391">
        <v>99</v>
      </c>
      <c r="B9828" s="478" t="s">
        <v>42380</v>
      </c>
      <c r="C9828" s="391" t="s">
        <v>26</v>
      </c>
      <c r="D9828" s="479">
        <v>26.01</v>
      </c>
      <c r="E9828" s="368"/>
      <c r="F9828" s="368"/>
    </row>
    <row r="9829" spans="1:6" ht="25.5" x14ac:dyDescent="0.2">
      <c r="A9829" s="391">
        <v>60</v>
      </c>
      <c r="B9829" s="478" t="s">
        <v>42381</v>
      </c>
      <c r="C9829" s="391" t="s">
        <v>26</v>
      </c>
      <c r="D9829" s="479"/>
      <c r="E9829" s="368"/>
      <c r="F9829" s="368"/>
    </row>
    <row r="9830" spans="1:6" ht="25.5" x14ac:dyDescent="0.2">
      <c r="A9830" s="391">
        <v>72</v>
      </c>
      <c r="B9830" s="478" t="s">
        <v>42382</v>
      </c>
      <c r="C9830" s="391" t="s">
        <v>26</v>
      </c>
      <c r="D9830" s="479">
        <v>49.89</v>
      </c>
      <c r="E9830" s="368"/>
      <c r="F9830" s="368"/>
    </row>
    <row r="9831" spans="1:6" ht="25.5" x14ac:dyDescent="0.2">
      <c r="A9831" s="391">
        <v>71</v>
      </c>
      <c r="B9831" s="478" t="s">
        <v>42383</v>
      </c>
      <c r="C9831" s="391" t="s">
        <v>26</v>
      </c>
      <c r="D9831" s="479">
        <v>30.81</v>
      </c>
      <c r="E9831" s="368"/>
      <c r="F9831" s="368"/>
    </row>
    <row r="9832" spans="1:6" ht="25.5" x14ac:dyDescent="0.2">
      <c r="A9832" s="391">
        <v>67</v>
      </c>
      <c r="B9832" s="478" t="s">
        <v>42384</v>
      </c>
      <c r="C9832" s="391" t="s">
        <v>26</v>
      </c>
      <c r="D9832" s="479">
        <v>16.13</v>
      </c>
      <c r="E9832" s="368"/>
      <c r="F9832" s="368"/>
    </row>
    <row r="9833" spans="1:6" ht="25.5" x14ac:dyDescent="0.2">
      <c r="A9833" s="391">
        <v>73</v>
      </c>
      <c r="B9833" s="478" t="s">
        <v>42385</v>
      </c>
      <c r="C9833" s="391" t="s">
        <v>26</v>
      </c>
      <c r="D9833" s="479">
        <v>15.44</v>
      </c>
      <c r="E9833" s="368"/>
      <c r="F9833" s="368"/>
    </row>
    <row r="9834" spans="1:6" ht="25.5" x14ac:dyDescent="0.2">
      <c r="A9834" s="391">
        <v>100</v>
      </c>
      <c r="B9834" s="478" t="s">
        <v>42386</v>
      </c>
      <c r="C9834" s="391" t="s">
        <v>26</v>
      </c>
      <c r="D9834" s="479">
        <v>45.45</v>
      </c>
      <c r="E9834" s="368"/>
      <c r="F9834" s="368"/>
    </row>
    <row r="9835" spans="1:6" ht="25.5" x14ac:dyDescent="0.2">
      <c r="A9835" s="391">
        <v>75</v>
      </c>
      <c r="B9835" s="478" t="s">
        <v>42387</v>
      </c>
      <c r="C9835" s="391" t="s">
        <v>26</v>
      </c>
      <c r="D9835" s="479">
        <v>265</v>
      </c>
      <c r="E9835" s="368"/>
      <c r="F9835" s="368"/>
    </row>
    <row r="9836" spans="1:6" ht="25.5" x14ac:dyDescent="0.2">
      <c r="A9836" s="391">
        <v>83</v>
      </c>
      <c r="B9836" s="478" t="s">
        <v>42388</v>
      </c>
      <c r="C9836" s="391" t="s">
        <v>26</v>
      </c>
      <c r="D9836" s="479">
        <v>211.86</v>
      </c>
      <c r="E9836" s="368"/>
      <c r="F9836" s="368"/>
    </row>
    <row r="9837" spans="1:6" ht="25.5" x14ac:dyDescent="0.2">
      <c r="A9837" s="391">
        <v>74</v>
      </c>
      <c r="B9837" s="478" t="s">
        <v>42389</v>
      </c>
      <c r="C9837" s="391" t="s">
        <v>26</v>
      </c>
      <c r="D9837" s="479">
        <v>302.89999999999998</v>
      </c>
      <c r="E9837" s="368"/>
      <c r="F9837" s="368"/>
    </row>
    <row r="9838" spans="1:6" ht="25.5" x14ac:dyDescent="0.2">
      <c r="A9838" s="391">
        <v>106</v>
      </c>
      <c r="B9838" s="478" t="s">
        <v>42390</v>
      </c>
      <c r="C9838" s="391" t="s">
        <v>26</v>
      </c>
      <c r="D9838" s="479">
        <v>383.03</v>
      </c>
      <c r="E9838" s="368"/>
      <c r="F9838" s="368"/>
    </row>
    <row r="9839" spans="1:6" ht="25.5" x14ac:dyDescent="0.2">
      <c r="A9839" s="391">
        <v>88</v>
      </c>
      <c r="B9839" s="478" t="s">
        <v>42391</v>
      </c>
      <c r="C9839" s="391" t="s">
        <v>26</v>
      </c>
      <c r="D9839" s="479">
        <v>10.76</v>
      </c>
      <c r="E9839" s="368"/>
      <c r="F9839" s="368"/>
    </row>
    <row r="9840" spans="1:6" ht="25.5" x14ac:dyDescent="0.2">
      <c r="A9840" s="391">
        <v>82</v>
      </c>
      <c r="B9840" s="478" t="s">
        <v>42392</v>
      </c>
      <c r="C9840" s="391" t="s">
        <v>26</v>
      </c>
      <c r="D9840" s="479">
        <v>201.57</v>
      </c>
      <c r="E9840" s="368"/>
      <c r="F9840" s="368"/>
    </row>
    <row r="9841" spans="1:6" ht="25.5" x14ac:dyDescent="0.2">
      <c r="A9841" s="391">
        <v>105</v>
      </c>
      <c r="B9841" s="478" t="s">
        <v>42393</v>
      </c>
      <c r="C9841" s="391" t="s">
        <v>26</v>
      </c>
      <c r="D9841" s="479">
        <v>285.62</v>
      </c>
      <c r="E9841" s="368"/>
      <c r="F9841" s="368"/>
    </row>
    <row r="9842" spans="1:6" ht="25.5" x14ac:dyDescent="0.2">
      <c r="A9842" s="391">
        <v>39719</v>
      </c>
      <c r="B9842" s="478" t="s">
        <v>42394</v>
      </c>
      <c r="C9842" s="391" t="s">
        <v>9</v>
      </c>
      <c r="D9842" s="479">
        <v>168.93</v>
      </c>
      <c r="E9842" s="368"/>
      <c r="F9842" s="368"/>
    </row>
    <row r="9843" spans="1:6" x14ac:dyDescent="0.2">
      <c r="A9843" s="391">
        <v>3410</v>
      </c>
      <c r="B9843" s="478" t="s">
        <v>42395</v>
      </c>
      <c r="C9843" s="391" t="s">
        <v>1284</v>
      </c>
      <c r="D9843" s="479">
        <v>38</v>
      </c>
      <c r="E9843" s="368"/>
      <c r="F9843" s="368"/>
    </row>
    <row r="9844" spans="1:6" x14ac:dyDescent="0.2">
      <c r="A9844" s="391">
        <v>4791</v>
      </c>
      <c r="B9844" s="478" t="s">
        <v>42396</v>
      </c>
      <c r="C9844" s="391" t="s">
        <v>1284</v>
      </c>
      <c r="D9844" s="479">
        <v>50.28</v>
      </c>
      <c r="E9844" s="368"/>
      <c r="F9844" s="368"/>
    </row>
    <row r="9845" spans="1:6" ht="25.5" x14ac:dyDescent="0.2">
      <c r="A9845" s="391">
        <v>157</v>
      </c>
      <c r="B9845" s="478" t="s">
        <v>42397</v>
      </c>
      <c r="C9845" s="391" t="s">
        <v>1284</v>
      </c>
      <c r="D9845" s="479">
        <v>174.85</v>
      </c>
      <c r="E9845" s="368"/>
      <c r="F9845" s="368"/>
    </row>
    <row r="9846" spans="1:6" x14ac:dyDescent="0.2">
      <c r="A9846" s="391">
        <v>156</v>
      </c>
      <c r="B9846" s="478" t="s">
        <v>42398</v>
      </c>
      <c r="C9846" s="391" t="s">
        <v>1284</v>
      </c>
      <c r="D9846" s="479">
        <v>62.26</v>
      </c>
      <c r="E9846" s="368"/>
      <c r="F9846" s="368"/>
    </row>
    <row r="9847" spans="1:6" ht="25.5" x14ac:dyDescent="0.2">
      <c r="A9847" s="391">
        <v>131</v>
      </c>
      <c r="B9847" s="478" t="s">
        <v>42399</v>
      </c>
      <c r="C9847" s="391" t="s">
        <v>1284</v>
      </c>
      <c r="D9847" s="479">
        <v>53.24</v>
      </c>
      <c r="E9847" s="368"/>
      <c r="F9847" s="368"/>
    </row>
    <row r="9848" spans="1:6" x14ac:dyDescent="0.2">
      <c r="A9848" s="391">
        <v>21114</v>
      </c>
      <c r="B9848" s="478" t="s">
        <v>42400</v>
      </c>
      <c r="C9848" s="391" t="s">
        <v>26</v>
      </c>
      <c r="D9848" s="479">
        <v>33.299999999999997</v>
      </c>
      <c r="E9848" s="368"/>
      <c r="F9848" s="368"/>
    </row>
    <row r="9849" spans="1:6" x14ac:dyDescent="0.2">
      <c r="A9849" s="391">
        <v>119</v>
      </c>
      <c r="B9849" s="478" t="s">
        <v>42401</v>
      </c>
      <c r="C9849" s="391" t="s">
        <v>26</v>
      </c>
      <c r="D9849" s="479">
        <v>8.44</v>
      </c>
      <c r="E9849" s="368"/>
      <c r="F9849" s="368"/>
    </row>
    <row r="9850" spans="1:6" x14ac:dyDescent="0.2">
      <c r="A9850" s="391">
        <v>122</v>
      </c>
      <c r="B9850" s="478" t="s">
        <v>42402</v>
      </c>
      <c r="C9850" s="391" t="s">
        <v>26</v>
      </c>
      <c r="D9850" s="479">
        <v>64.94</v>
      </c>
      <c r="E9850" s="368"/>
      <c r="F9850" s="368"/>
    </row>
    <row r="9851" spans="1:6" x14ac:dyDescent="0.2">
      <c r="A9851" s="391">
        <v>20080</v>
      </c>
      <c r="B9851" s="478" t="s">
        <v>42403</v>
      </c>
      <c r="C9851" s="391" t="s">
        <v>26</v>
      </c>
      <c r="D9851" s="479">
        <v>21.19</v>
      </c>
      <c r="E9851" s="368"/>
      <c r="F9851" s="368"/>
    </row>
    <row r="9852" spans="1:6" ht="25.5" x14ac:dyDescent="0.2">
      <c r="A9852" s="391">
        <v>124</v>
      </c>
      <c r="B9852" s="478" t="s">
        <v>42404</v>
      </c>
      <c r="C9852" s="391" t="s">
        <v>9</v>
      </c>
      <c r="D9852" s="479">
        <v>20.53</v>
      </c>
      <c r="E9852" s="368"/>
      <c r="F9852" s="368"/>
    </row>
    <row r="9853" spans="1:6" ht="25.5" x14ac:dyDescent="0.2">
      <c r="A9853" s="391">
        <v>7334</v>
      </c>
      <c r="B9853" s="478" t="s">
        <v>42405</v>
      </c>
      <c r="C9853" s="391" t="s">
        <v>9</v>
      </c>
      <c r="D9853" s="479"/>
      <c r="E9853" s="368"/>
      <c r="F9853" s="368"/>
    </row>
    <row r="9854" spans="1:6" x14ac:dyDescent="0.2">
      <c r="A9854" s="391">
        <v>45146</v>
      </c>
      <c r="B9854" s="478" t="s">
        <v>42406</v>
      </c>
      <c r="C9854" s="391" t="s">
        <v>1284</v>
      </c>
      <c r="D9854" s="479">
        <v>39.369999999999997</v>
      </c>
      <c r="E9854" s="368"/>
      <c r="F9854" s="368"/>
    </row>
    <row r="9855" spans="1:6" ht="25.5" x14ac:dyDescent="0.2">
      <c r="A9855" s="391">
        <v>123</v>
      </c>
      <c r="B9855" s="478" t="s">
        <v>42407</v>
      </c>
      <c r="C9855" s="391" t="s">
        <v>9</v>
      </c>
      <c r="D9855" s="479">
        <v>8.4</v>
      </c>
      <c r="E9855" s="368"/>
      <c r="F9855" s="368"/>
    </row>
    <row r="9856" spans="1:6" ht="25.5" x14ac:dyDescent="0.2">
      <c r="A9856" s="391">
        <v>127</v>
      </c>
      <c r="B9856" s="478" t="s">
        <v>42408</v>
      </c>
      <c r="C9856" s="391" t="s">
        <v>9</v>
      </c>
      <c r="D9856" s="479">
        <v>20.05</v>
      </c>
      <c r="E9856" s="368"/>
      <c r="F9856" s="368"/>
    </row>
    <row r="9857" spans="1:6" ht="25.5" x14ac:dyDescent="0.2">
      <c r="A9857" s="391">
        <v>133</v>
      </c>
      <c r="B9857" s="478" t="s">
        <v>42409</v>
      </c>
      <c r="C9857" s="391" t="s">
        <v>9</v>
      </c>
      <c r="D9857" s="479">
        <v>8.33</v>
      </c>
      <c r="E9857" s="368"/>
      <c r="F9857" s="368"/>
    </row>
    <row r="9858" spans="1:6" ht="25.5" x14ac:dyDescent="0.2">
      <c r="A9858" s="391">
        <v>43617</v>
      </c>
      <c r="B9858" s="478" t="s">
        <v>42410</v>
      </c>
      <c r="C9858" s="391" t="s">
        <v>9</v>
      </c>
      <c r="D9858" s="479">
        <v>9.3000000000000007</v>
      </c>
      <c r="E9858" s="368"/>
      <c r="F9858" s="368"/>
    </row>
    <row r="9859" spans="1:6" ht="25.5" x14ac:dyDescent="0.2">
      <c r="A9859" s="391">
        <v>132</v>
      </c>
      <c r="B9859" s="478" t="s">
        <v>42411</v>
      </c>
      <c r="C9859" s="391" t="s">
        <v>9</v>
      </c>
      <c r="D9859" s="479">
        <v>8.6300000000000008</v>
      </c>
      <c r="E9859" s="368"/>
      <c r="F9859" s="368"/>
    </row>
    <row r="9860" spans="1:6" ht="25.5" x14ac:dyDescent="0.2">
      <c r="A9860" s="391">
        <v>43618</v>
      </c>
      <c r="B9860" s="478" t="s">
        <v>42412</v>
      </c>
      <c r="C9860" s="391" t="s">
        <v>1284</v>
      </c>
      <c r="D9860" s="479">
        <v>21.74</v>
      </c>
      <c r="E9860" s="368"/>
      <c r="F9860" s="368"/>
    </row>
    <row r="9861" spans="1:6" ht="38.25" x14ac:dyDescent="0.2">
      <c r="A9861" s="391">
        <v>37476</v>
      </c>
      <c r="B9861" s="478" t="s">
        <v>42413</v>
      </c>
      <c r="C9861" s="391" t="s">
        <v>26</v>
      </c>
      <c r="D9861" s="479"/>
      <c r="E9861" s="368"/>
      <c r="F9861" s="368"/>
    </row>
    <row r="9862" spans="1:6" ht="38.25" x14ac:dyDescent="0.2">
      <c r="A9862" s="391">
        <v>37478</v>
      </c>
      <c r="B9862" s="478" t="s">
        <v>42414</v>
      </c>
      <c r="C9862" s="391" t="s">
        <v>26</v>
      </c>
      <c r="D9862" s="479"/>
      <c r="E9862" s="368"/>
      <c r="F9862" s="368"/>
    </row>
    <row r="9863" spans="1:6" ht="38.25" x14ac:dyDescent="0.2">
      <c r="A9863" s="391">
        <v>37477</v>
      </c>
      <c r="B9863" s="478" t="s">
        <v>42415</v>
      </c>
      <c r="C9863" s="391" t="s">
        <v>26</v>
      </c>
      <c r="D9863" s="479"/>
      <c r="E9863" s="368"/>
      <c r="F9863" s="368"/>
    </row>
    <row r="9864" spans="1:6" ht="38.25" x14ac:dyDescent="0.2">
      <c r="A9864" s="391">
        <v>37479</v>
      </c>
      <c r="B9864" s="478" t="s">
        <v>42416</v>
      </c>
      <c r="C9864" s="391" t="s">
        <v>26</v>
      </c>
      <c r="D9864" s="479"/>
      <c r="E9864" s="368"/>
      <c r="F9864" s="368"/>
    </row>
    <row r="9865" spans="1:6" x14ac:dyDescent="0.2">
      <c r="A9865" s="391">
        <v>4319</v>
      </c>
      <c r="B9865" s="478" t="s">
        <v>42417</v>
      </c>
      <c r="C9865" s="391" t="s">
        <v>26</v>
      </c>
      <c r="D9865" s="479">
        <v>1.27</v>
      </c>
      <c r="E9865" s="368"/>
      <c r="F9865" s="368"/>
    </row>
    <row r="9866" spans="1:6" ht="25.5" x14ac:dyDescent="0.2">
      <c r="A9866" s="391">
        <v>42409</v>
      </c>
      <c r="B9866" s="478" t="s">
        <v>42418</v>
      </c>
      <c r="C9866" s="391" t="s">
        <v>1284</v>
      </c>
      <c r="D9866" s="479">
        <v>13.69</v>
      </c>
      <c r="E9866" s="368"/>
      <c r="F9866" s="368"/>
    </row>
    <row r="9867" spans="1:6" x14ac:dyDescent="0.2">
      <c r="A9867" s="391">
        <v>40553</v>
      </c>
      <c r="B9867" s="478" t="s">
        <v>42419</v>
      </c>
      <c r="C9867" s="391" t="s">
        <v>271</v>
      </c>
      <c r="D9867" s="479"/>
      <c r="E9867" s="368"/>
      <c r="F9867" s="368"/>
    </row>
    <row r="9868" spans="1:6" x14ac:dyDescent="0.2">
      <c r="A9868" s="391">
        <v>6114</v>
      </c>
      <c r="B9868" s="478" t="s">
        <v>42420</v>
      </c>
      <c r="C9868" s="391" t="s">
        <v>558</v>
      </c>
      <c r="D9868" s="479">
        <v>14.35</v>
      </c>
      <c r="E9868" s="368"/>
      <c r="F9868" s="368"/>
    </row>
    <row r="9869" spans="1:6" x14ac:dyDescent="0.2">
      <c r="A9869" s="391">
        <v>40912</v>
      </c>
      <c r="B9869" s="478" t="s">
        <v>42421</v>
      </c>
      <c r="C9869" s="391" t="s">
        <v>5681</v>
      </c>
      <c r="D9869" s="479">
        <v>2523.52</v>
      </c>
      <c r="E9869" s="368"/>
      <c r="F9869" s="368"/>
    </row>
    <row r="9870" spans="1:6" x14ac:dyDescent="0.2">
      <c r="A9870" s="391">
        <v>247</v>
      </c>
      <c r="B9870" s="478" t="s">
        <v>42422</v>
      </c>
      <c r="C9870" s="391" t="s">
        <v>558</v>
      </c>
      <c r="D9870" s="479">
        <v>14.35</v>
      </c>
      <c r="E9870" s="368"/>
      <c r="F9870" s="368"/>
    </row>
    <row r="9871" spans="1:6" x14ac:dyDescent="0.2">
      <c r="A9871" s="391">
        <v>40919</v>
      </c>
      <c r="B9871" s="478" t="s">
        <v>42423</v>
      </c>
      <c r="C9871" s="391" t="s">
        <v>5681</v>
      </c>
      <c r="D9871" s="479">
        <v>2523.52</v>
      </c>
      <c r="E9871" s="368"/>
      <c r="F9871" s="368"/>
    </row>
    <row r="9872" spans="1:6" x14ac:dyDescent="0.2">
      <c r="A9872" s="391">
        <v>44499</v>
      </c>
      <c r="B9872" s="478" t="s">
        <v>42424</v>
      </c>
      <c r="C9872" s="391" t="s">
        <v>558</v>
      </c>
      <c r="D9872" s="479">
        <v>14.35</v>
      </c>
      <c r="E9872" s="368"/>
      <c r="F9872" s="368"/>
    </row>
    <row r="9873" spans="1:6" x14ac:dyDescent="0.2">
      <c r="A9873" s="391">
        <v>40984</v>
      </c>
      <c r="B9873" s="478" t="s">
        <v>42425</v>
      </c>
      <c r="C9873" s="391" t="s">
        <v>5681</v>
      </c>
      <c r="D9873" s="479">
        <v>2523.52</v>
      </c>
      <c r="E9873" s="368"/>
      <c r="F9873" s="368"/>
    </row>
    <row r="9874" spans="1:6" x14ac:dyDescent="0.2">
      <c r="A9874" s="391">
        <v>248</v>
      </c>
      <c r="B9874" s="478" t="s">
        <v>42426</v>
      </c>
      <c r="C9874" s="391" t="s">
        <v>558</v>
      </c>
      <c r="D9874" s="479">
        <v>13.56</v>
      </c>
      <c r="E9874" s="368"/>
      <c r="F9874" s="368"/>
    </row>
    <row r="9875" spans="1:6" x14ac:dyDescent="0.2">
      <c r="A9875" s="391">
        <v>41086</v>
      </c>
      <c r="B9875" s="478" t="s">
        <v>42427</v>
      </c>
      <c r="C9875" s="391" t="s">
        <v>5681</v>
      </c>
      <c r="D9875" s="479">
        <v>2385.83</v>
      </c>
      <c r="E9875" s="368"/>
      <c r="F9875" s="368"/>
    </row>
    <row r="9876" spans="1:6" x14ac:dyDescent="0.2">
      <c r="A9876" s="391">
        <v>34466</v>
      </c>
      <c r="B9876" s="478" t="s">
        <v>42428</v>
      </c>
      <c r="C9876" s="391" t="s">
        <v>558</v>
      </c>
      <c r="D9876" s="479">
        <v>14.35</v>
      </c>
      <c r="E9876" s="368"/>
      <c r="F9876" s="368"/>
    </row>
    <row r="9877" spans="1:6" x14ac:dyDescent="0.2">
      <c r="A9877" s="391">
        <v>41083</v>
      </c>
      <c r="B9877" s="478" t="s">
        <v>42429</v>
      </c>
      <c r="C9877" s="391" t="s">
        <v>5681</v>
      </c>
      <c r="D9877" s="479">
        <v>2523.52</v>
      </c>
      <c r="E9877" s="368"/>
      <c r="F9877" s="368"/>
    </row>
    <row r="9878" spans="1:6" x14ac:dyDescent="0.2">
      <c r="A9878" s="391">
        <v>252</v>
      </c>
      <c r="B9878" s="478" t="s">
        <v>42430</v>
      </c>
      <c r="C9878" s="391" t="s">
        <v>558</v>
      </c>
      <c r="D9878" s="479">
        <v>14.35</v>
      </c>
      <c r="E9878" s="368"/>
      <c r="F9878" s="368"/>
    </row>
    <row r="9879" spans="1:6" x14ac:dyDescent="0.2">
      <c r="A9879" s="391">
        <v>40909</v>
      </c>
      <c r="B9879" s="478" t="s">
        <v>42431</v>
      </c>
      <c r="C9879" s="391" t="s">
        <v>5681</v>
      </c>
      <c r="D9879" s="479">
        <v>2523.52</v>
      </c>
      <c r="E9879" s="368"/>
      <c r="F9879" s="368"/>
    </row>
    <row r="9880" spans="1:6" x14ac:dyDescent="0.2">
      <c r="A9880" s="391">
        <v>242</v>
      </c>
      <c r="B9880" s="478" t="s">
        <v>42432</v>
      </c>
      <c r="C9880" s="391" t="s">
        <v>558</v>
      </c>
      <c r="D9880" s="479">
        <v>13.56</v>
      </c>
      <c r="E9880" s="368"/>
      <c r="F9880" s="368"/>
    </row>
    <row r="9881" spans="1:6" x14ac:dyDescent="0.2">
      <c r="A9881" s="391">
        <v>41085</v>
      </c>
      <c r="B9881" s="478" t="s">
        <v>42433</v>
      </c>
      <c r="C9881" s="391" t="s">
        <v>5681</v>
      </c>
      <c r="D9881" s="479">
        <v>2385.83</v>
      </c>
      <c r="E9881" s="368"/>
      <c r="F9881" s="368"/>
    </row>
    <row r="9882" spans="1:6" ht="25.5" x14ac:dyDescent="0.2">
      <c r="A9882" s="391">
        <v>427</v>
      </c>
      <c r="B9882" s="478" t="s">
        <v>42434</v>
      </c>
      <c r="C9882" s="391" t="s">
        <v>26</v>
      </c>
      <c r="D9882" s="479"/>
      <c r="E9882" s="368"/>
      <c r="F9882" s="368"/>
    </row>
    <row r="9883" spans="1:6" ht="25.5" x14ac:dyDescent="0.2">
      <c r="A9883" s="391">
        <v>417</v>
      </c>
      <c r="B9883" s="478" t="s">
        <v>42435</v>
      </c>
      <c r="C9883" s="391" t="s">
        <v>26</v>
      </c>
      <c r="D9883" s="479"/>
      <c r="E9883" s="368"/>
      <c r="F9883" s="368"/>
    </row>
    <row r="9884" spans="1:6" ht="25.5" x14ac:dyDescent="0.2">
      <c r="A9884" s="391">
        <v>11273</v>
      </c>
      <c r="B9884" s="478" t="s">
        <v>42436</v>
      </c>
      <c r="C9884" s="391" t="s">
        <v>26</v>
      </c>
      <c r="D9884" s="479"/>
      <c r="E9884" s="368"/>
      <c r="F9884" s="368"/>
    </row>
    <row r="9885" spans="1:6" ht="25.5" x14ac:dyDescent="0.2">
      <c r="A9885" s="391">
        <v>11272</v>
      </c>
      <c r="B9885" s="478" t="s">
        <v>42437</v>
      </c>
      <c r="C9885" s="391" t="s">
        <v>26</v>
      </c>
      <c r="D9885" s="479"/>
      <c r="E9885" s="368"/>
      <c r="F9885" s="368"/>
    </row>
    <row r="9886" spans="1:6" ht="25.5" x14ac:dyDescent="0.2">
      <c r="A9886" s="391">
        <v>11275</v>
      </c>
      <c r="B9886" s="478" t="s">
        <v>42438</v>
      </c>
      <c r="C9886" s="391" t="s">
        <v>26</v>
      </c>
      <c r="D9886" s="479"/>
      <c r="E9886" s="368"/>
      <c r="F9886" s="368"/>
    </row>
    <row r="9887" spans="1:6" ht="25.5" x14ac:dyDescent="0.2">
      <c r="A9887" s="391">
        <v>11274</v>
      </c>
      <c r="B9887" s="478" t="s">
        <v>42439</v>
      </c>
      <c r="C9887" s="391" t="s">
        <v>26</v>
      </c>
      <c r="D9887" s="479"/>
      <c r="E9887" s="368"/>
      <c r="F9887" s="368"/>
    </row>
    <row r="9888" spans="1:6" x14ac:dyDescent="0.2">
      <c r="A9888" s="391">
        <v>45250</v>
      </c>
      <c r="B9888" s="478" t="s">
        <v>48227</v>
      </c>
      <c r="C9888" s="391" t="s">
        <v>26</v>
      </c>
      <c r="D9888" s="479"/>
      <c r="E9888" s="368"/>
      <c r="F9888" s="368"/>
    </row>
    <row r="9889" spans="1:6" x14ac:dyDescent="0.2">
      <c r="A9889" s="391">
        <v>38470</v>
      </c>
      <c r="B9889" s="478" t="s">
        <v>42440</v>
      </c>
      <c r="C9889" s="391" t="s">
        <v>26</v>
      </c>
      <c r="D9889" s="479"/>
      <c r="E9889" s="368"/>
      <c r="F9889" s="368"/>
    </row>
    <row r="9890" spans="1:6" x14ac:dyDescent="0.2">
      <c r="A9890" s="391">
        <v>38547</v>
      </c>
      <c r="B9890" s="478" t="s">
        <v>42441</v>
      </c>
      <c r="C9890" s="391" t="s">
        <v>26</v>
      </c>
      <c r="D9890" s="479"/>
      <c r="E9890" s="368"/>
      <c r="F9890" s="368"/>
    </row>
    <row r="9891" spans="1:6" x14ac:dyDescent="0.2">
      <c r="A9891" s="391">
        <v>38467</v>
      </c>
      <c r="B9891" s="478" t="s">
        <v>42442</v>
      </c>
      <c r="C9891" s="391" t="s">
        <v>26</v>
      </c>
      <c r="D9891" s="479">
        <v>143.74</v>
      </c>
      <c r="E9891" s="368"/>
      <c r="F9891" s="368"/>
    </row>
    <row r="9892" spans="1:6" x14ac:dyDescent="0.2">
      <c r="A9892" s="391">
        <v>38468</v>
      </c>
      <c r="B9892" s="478" t="s">
        <v>42443</v>
      </c>
      <c r="C9892" s="391" t="s">
        <v>26</v>
      </c>
      <c r="D9892" s="479">
        <v>179.43</v>
      </c>
      <c r="E9892" s="368"/>
      <c r="F9892" s="368"/>
    </row>
    <row r="9893" spans="1:6" x14ac:dyDescent="0.2">
      <c r="A9893" s="391">
        <v>38469</v>
      </c>
      <c r="B9893" s="478" t="s">
        <v>42444</v>
      </c>
      <c r="C9893" s="391" t="s">
        <v>26</v>
      </c>
      <c r="D9893" s="479"/>
      <c r="E9893" s="368"/>
      <c r="F9893" s="368"/>
    </row>
    <row r="9894" spans="1:6" x14ac:dyDescent="0.2">
      <c r="A9894" s="391">
        <v>45197</v>
      </c>
      <c r="B9894" s="478" t="s">
        <v>48228</v>
      </c>
      <c r="C9894" s="391" t="s">
        <v>26</v>
      </c>
      <c r="D9894" s="479"/>
      <c r="E9894" s="368"/>
      <c r="F9894" s="368"/>
    </row>
    <row r="9895" spans="1:6" x14ac:dyDescent="0.2">
      <c r="A9895" s="391">
        <v>38471</v>
      </c>
      <c r="B9895" s="478" t="s">
        <v>42445</v>
      </c>
      <c r="C9895" s="391" t="s">
        <v>26</v>
      </c>
      <c r="D9895" s="479"/>
      <c r="E9895" s="368"/>
      <c r="F9895" s="368"/>
    </row>
    <row r="9896" spans="1:6" x14ac:dyDescent="0.2">
      <c r="A9896" s="391">
        <v>45206</v>
      </c>
      <c r="B9896" s="478" t="s">
        <v>48229</v>
      </c>
      <c r="C9896" s="391" t="s">
        <v>26</v>
      </c>
      <c r="D9896" s="479"/>
      <c r="E9896" s="368"/>
      <c r="F9896" s="368"/>
    </row>
    <row r="9897" spans="1:6" x14ac:dyDescent="0.2">
      <c r="A9897" s="391">
        <v>37370</v>
      </c>
      <c r="B9897" s="478" t="s">
        <v>42446</v>
      </c>
      <c r="C9897" s="391" t="s">
        <v>558</v>
      </c>
      <c r="D9897" s="479">
        <v>3.62</v>
      </c>
      <c r="E9897" s="368"/>
      <c r="F9897" s="368"/>
    </row>
    <row r="9898" spans="1:6" ht="25.5" x14ac:dyDescent="0.2">
      <c r="A9898" s="391">
        <v>40862</v>
      </c>
      <c r="B9898" s="478" t="s">
        <v>42447</v>
      </c>
      <c r="C9898" s="391" t="s">
        <v>5681</v>
      </c>
      <c r="D9898" s="479">
        <v>682.64</v>
      </c>
      <c r="E9898" s="368"/>
      <c r="F9898" s="368"/>
    </row>
    <row r="9899" spans="1:6" ht="25.5" x14ac:dyDescent="0.2">
      <c r="A9899" s="391">
        <v>10658</v>
      </c>
      <c r="B9899" s="478" t="s">
        <v>42448</v>
      </c>
      <c r="C9899" s="391" t="s">
        <v>26</v>
      </c>
      <c r="D9899" s="479"/>
      <c r="E9899" s="368"/>
      <c r="F9899" s="368"/>
    </row>
    <row r="9900" spans="1:6" x14ac:dyDescent="0.2">
      <c r="A9900" s="391">
        <v>253</v>
      </c>
      <c r="B9900" s="478" t="s">
        <v>42449</v>
      </c>
      <c r="C9900" s="391" t="s">
        <v>558</v>
      </c>
      <c r="D9900" s="479">
        <v>18.29</v>
      </c>
      <c r="E9900" s="368"/>
      <c r="F9900" s="368"/>
    </row>
    <row r="9901" spans="1:6" x14ac:dyDescent="0.2">
      <c r="A9901" s="391">
        <v>40809</v>
      </c>
      <c r="B9901" s="478" t="s">
        <v>42450</v>
      </c>
      <c r="C9901" s="391" t="s">
        <v>5681</v>
      </c>
      <c r="D9901" s="479">
        <v>3214.9</v>
      </c>
      <c r="E9901" s="368"/>
      <c r="F9901" s="368"/>
    </row>
    <row r="9902" spans="1:6" ht="38.25" x14ac:dyDescent="0.2">
      <c r="A9902" s="391">
        <v>42428</v>
      </c>
      <c r="B9902" s="478" t="s">
        <v>42451</v>
      </c>
      <c r="C9902" s="391" t="s">
        <v>26</v>
      </c>
      <c r="D9902" s="479"/>
      <c r="E9902" s="368"/>
      <c r="F9902" s="368"/>
    </row>
    <row r="9903" spans="1:6" x14ac:dyDescent="0.2">
      <c r="A9903" s="391">
        <v>301</v>
      </c>
      <c r="B9903" s="478" t="s">
        <v>42452</v>
      </c>
      <c r="C9903" s="391" t="s">
        <v>26</v>
      </c>
      <c r="D9903" s="479">
        <v>4.3</v>
      </c>
      <c r="E9903" s="368"/>
      <c r="F9903" s="368"/>
    </row>
    <row r="9904" spans="1:6" x14ac:dyDescent="0.2">
      <c r="A9904" s="391">
        <v>296</v>
      </c>
      <c r="B9904" s="478" t="s">
        <v>42453</v>
      </c>
      <c r="C9904" s="391" t="s">
        <v>26</v>
      </c>
      <c r="D9904" s="479">
        <v>2.4300000000000002</v>
      </c>
      <c r="E9904" s="368"/>
      <c r="F9904" s="368"/>
    </row>
    <row r="9905" spans="1:6" x14ac:dyDescent="0.2">
      <c r="A9905" s="391">
        <v>297</v>
      </c>
      <c r="B9905" s="478" t="s">
        <v>42454</v>
      </c>
      <c r="C9905" s="391" t="s">
        <v>26</v>
      </c>
      <c r="D9905" s="479">
        <v>3.57</v>
      </c>
      <c r="E9905" s="368"/>
      <c r="F9905" s="368"/>
    </row>
    <row r="9906" spans="1:6" ht="25.5" x14ac:dyDescent="0.2">
      <c r="A9906" s="391">
        <v>299</v>
      </c>
      <c r="B9906" s="478" t="s">
        <v>42455</v>
      </c>
      <c r="C9906" s="391" t="s">
        <v>26</v>
      </c>
      <c r="D9906" s="479">
        <v>5.04</v>
      </c>
      <c r="E9906" s="368"/>
      <c r="F9906" s="368"/>
    </row>
    <row r="9907" spans="1:6" ht="25.5" x14ac:dyDescent="0.2">
      <c r="A9907" s="391">
        <v>300</v>
      </c>
      <c r="B9907" s="478" t="s">
        <v>42456</v>
      </c>
      <c r="C9907" s="391" t="s">
        <v>26</v>
      </c>
      <c r="D9907" s="479">
        <v>17.45</v>
      </c>
      <c r="E9907" s="368"/>
      <c r="F9907" s="368"/>
    </row>
    <row r="9908" spans="1:6" x14ac:dyDescent="0.2">
      <c r="A9908" s="391">
        <v>20085</v>
      </c>
      <c r="B9908" s="478" t="s">
        <v>42457</v>
      </c>
      <c r="C9908" s="391" t="s">
        <v>26</v>
      </c>
      <c r="D9908" s="479">
        <v>3.19</v>
      </c>
      <c r="E9908" s="368"/>
      <c r="F9908" s="368"/>
    </row>
    <row r="9909" spans="1:6" x14ac:dyDescent="0.2">
      <c r="A9909" s="391">
        <v>298</v>
      </c>
      <c r="B9909" s="478" t="s">
        <v>42458</v>
      </c>
      <c r="C9909" s="391" t="s">
        <v>26</v>
      </c>
      <c r="D9909" s="479">
        <v>3.88</v>
      </c>
      <c r="E9909" s="368"/>
      <c r="F9909" s="368"/>
    </row>
    <row r="9910" spans="1:6" x14ac:dyDescent="0.2">
      <c r="A9910" s="391">
        <v>311</v>
      </c>
      <c r="B9910" s="478" t="s">
        <v>42459</v>
      </c>
      <c r="C9910" s="391" t="s">
        <v>26</v>
      </c>
      <c r="D9910" s="479">
        <v>14.39</v>
      </c>
      <c r="E9910" s="368"/>
      <c r="F9910" s="368"/>
    </row>
    <row r="9911" spans="1:6" x14ac:dyDescent="0.2">
      <c r="A9911" s="391">
        <v>318</v>
      </c>
      <c r="B9911" s="478" t="s">
        <v>42460</v>
      </c>
      <c r="C9911" s="391" t="s">
        <v>26</v>
      </c>
      <c r="D9911" s="479">
        <v>28.99</v>
      </c>
      <c r="E9911" s="368"/>
      <c r="F9911" s="368"/>
    </row>
    <row r="9912" spans="1:6" x14ac:dyDescent="0.2">
      <c r="A9912" s="391">
        <v>319</v>
      </c>
      <c r="B9912" s="478" t="s">
        <v>42461</v>
      </c>
      <c r="C9912" s="391" t="s">
        <v>26</v>
      </c>
      <c r="D9912" s="479">
        <v>45.45</v>
      </c>
      <c r="E9912" s="368"/>
      <c r="F9912" s="368"/>
    </row>
    <row r="9913" spans="1:6" ht="25.5" x14ac:dyDescent="0.2">
      <c r="A9913" s="391">
        <v>303</v>
      </c>
      <c r="B9913" s="478" t="s">
        <v>42462</v>
      </c>
      <c r="C9913" s="391" t="s">
        <v>26</v>
      </c>
      <c r="D9913" s="479">
        <v>4.76</v>
      </c>
      <c r="E9913" s="368"/>
      <c r="F9913" s="368"/>
    </row>
    <row r="9914" spans="1:6" ht="25.5" x14ac:dyDescent="0.2">
      <c r="A9914" s="391">
        <v>305</v>
      </c>
      <c r="B9914" s="478" t="s">
        <v>42463</v>
      </c>
      <c r="C9914" s="391" t="s">
        <v>26</v>
      </c>
      <c r="D9914" s="479">
        <v>14.98</v>
      </c>
      <c r="E9914" s="368"/>
      <c r="F9914" s="368"/>
    </row>
    <row r="9915" spans="1:6" ht="25.5" x14ac:dyDescent="0.2">
      <c r="A9915" s="391">
        <v>306</v>
      </c>
      <c r="B9915" s="478" t="s">
        <v>42464</v>
      </c>
      <c r="C9915" s="391" t="s">
        <v>26</v>
      </c>
      <c r="D9915" s="479">
        <v>22.72</v>
      </c>
      <c r="E9915" s="368"/>
      <c r="F9915" s="368"/>
    </row>
    <row r="9916" spans="1:6" ht="25.5" x14ac:dyDescent="0.2">
      <c r="A9916" s="391">
        <v>307</v>
      </c>
      <c r="B9916" s="478" t="s">
        <v>42465</v>
      </c>
      <c r="C9916" s="391" t="s">
        <v>26</v>
      </c>
      <c r="D9916" s="479">
        <v>57.42</v>
      </c>
      <c r="E9916" s="368"/>
      <c r="F9916" s="368"/>
    </row>
    <row r="9917" spans="1:6" ht="25.5" x14ac:dyDescent="0.2">
      <c r="A9917" s="391">
        <v>309</v>
      </c>
      <c r="B9917" s="478" t="s">
        <v>42466</v>
      </c>
      <c r="C9917" s="391" t="s">
        <v>26</v>
      </c>
      <c r="D9917" s="479">
        <v>94.05</v>
      </c>
      <c r="E9917" s="368"/>
      <c r="F9917" s="368"/>
    </row>
    <row r="9918" spans="1:6" ht="25.5" x14ac:dyDescent="0.2">
      <c r="A9918" s="391">
        <v>310</v>
      </c>
      <c r="B9918" s="478" t="s">
        <v>42467</v>
      </c>
      <c r="C9918" s="391" t="s">
        <v>26</v>
      </c>
      <c r="D9918" s="479">
        <v>130.36000000000001</v>
      </c>
      <c r="E9918" s="368"/>
      <c r="F9918" s="368"/>
    </row>
    <row r="9919" spans="1:6" ht="25.5" x14ac:dyDescent="0.2">
      <c r="A9919" s="391">
        <v>308</v>
      </c>
      <c r="B9919" s="478" t="s">
        <v>42468</v>
      </c>
      <c r="C9919" s="391" t="s">
        <v>26</v>
      </c>
      <c r="D9919" s="479">
        <v>128.15</v>
      </c>
      <c r="E9919" s="368"/>
      <c r="F9919" s="368"/>
    </row>
    <row r="9920" spans="1:6" ht="25.5" x14ac:dyDescent="0.2">
      <c r="A9920" s="391">
        <v>328</v>
      </c>
      <c r="B9920" s="478" t="s">
        <v>42469</v>
      </c>
      <c r="C9920" s="391" t="s">
        <v>26</v>
      </c>
      <c r="D9920" s="479">
        <v>11.4</v>
      </c>
      <c r="E9920" s="368"/>
      <c r="F9920" s="368"/>
    </row>
    <row r="9921" spans="1:6" ht="25.5" x14ac:dyDescent="0.2">
      <c r="A9921" s="391">
        <v>325</v>
      </c>
      <c r="B9921" s="478" t="s">
        <v>42470</v>
      </c>
      <c r="C9921" s="391" t="s">
        <v>26</v>
      </c>
      <c r="D9921" s="479">
        <v>3.36</v>
      </c>
      <c r="E9921" s="368"/>
      <c r="F9921" s="368"/>
    </row>
    <row r="9922" spans="1:6" ht="25.5" x14ac:dyDescent="0.2">
      <c r="A9922" s="391">
        <v>20326</v>
      </c>
      <c r="B9922" s="478" t="s">
        <v>42471</v>
      </c>
      <c r="C9922" s="391" t="s">
        <v>26</v>
      </c>
      <c r="D9922" s="479">
        <v>6.15</v>
      </c>
      <c r="E9922" s="368"/>
      <c r="F9922" s="368"/>
    </row>
    <row r="9923" spans="1:6" ht="25.5" x14ac:dyDescent="0.2">
      <c r="A9923" s="391">
        <v>329</v>
      </c>
      <c r="B9923" s="478" t="s">
        <v>42472</v>
      </c>
      <c r="C9923" s="391" t="s">
        <v>26</v>
      </c>
      <c r="D9923" s="479">
        <v>9.5299999999999994</v>
      </c>
      <c r="E9923" s="368"/>
      <c r="F9923" s="368"/>
    </row>
    <row r="9924" spans="1:6" ht="25.5" x14ac:dyDescent="0.2">
      <c r="A9924" s="391">
        <v>39642</v>
      </c>
      <c r="B9924" s="478" t="s">
        <v>42473</v>
      </c>
      <c r="C9924" s="391" t="s">
        <v>26</v>
      </c>
      <c r="D9924" s="479">
        <v>4.22</v>
      </c>
      <c r="E9924" s="368"/>
      <c r="F9924" s="368"/>
    </row>
    <row r="9925" spans="1:6" ht="25.5" x14ac:dyDescent="0.2">
      <c r="A9925" s="391">
        <v>39641</v>
      </c>
      <c r="B9925" s="478" t="s">
        <v>42474</v>
      </c>
      <c r="C9925" s="391" t="s">
        <v>26</v>
      </c>
      <c r="D9925" s="479">
        <v>3.71</v>
      </c>
      <c r="E9925" s="368"/>
      <c r="F9925" s="368"/>
    </row>
    <row r="9926" spans="1:6" ht="25.5" x14ac:dyDescent="0.2">
      <c r="A9926" s="391">
        <v>39643</v>
      </c>
      <c r="B9926" s="478" t="s">
        <v>42475</v>
      </c>
      <c r="C9926" s="391" t="s">
        <v>26</v>
      </c>
      <c r="D9926" s="479">
        <v>4.96</v>
      </c>
      <c r="E9926" s="368"/>
      <c r="F9926" s="368"/>
    </row>
    <row r="9927" spans="1:6" ht="25.5" x14ac:dyDescent="0.2">
      <c r="A9927" s="391">
        <v>39644</v>
      </c>
      <c r="B9927" s="478" t="s">
        <v>42476</v>
      </c>
      <c r="C9927" s="391" t="s">
        <v>26</v>
      </c>
      <c r="D9927" s="479">
        <v>7.69</v>
      </c>
      <c r="E9927" s="368"/>
      <c r="F9927" s="368"/>
    </row>
    <row r="9928" spans="1:6" ht="25.5" x14ac:dyDescent="0.2">
      <c r="A9928" s="391">
        <v>39645</v>
      </c>
      <c r="B9928" s="478" t="s">
        <v>42477</v>
      </c>
      <c r="C9928" s="391" t="s">
        <v>26</v>
      </c>
      <c r="D9928" s="479">
        <v>8.42</v>
      </c>
      <c r="E9928" s="368"/>
      <c r="F9928" s="368"/>
    </row>
    <row r="9929" spans="1:6" ht="25.5" x14ac:dyDescent="0.2">
      <c r="A9929" s="391">
        <v>41610</v>
      </c>
      <c r="B9929" s="478" t="s">
        <v>42478</v>
      </c>
      <c r="C9929" s="391" t="s">
        <v>26</v>
      </c>
      <c r="D9929" s="479"/>
      <c r="E9929" s="368"/>
      <c r="F9929" s="368"/>
    </row>
    <row r="9930" spans="1:6" ht="25.5" x14ac:dyDescent="0.2">
      <c r="A9930" s="391">
        <v>41611</v>
      </c>
      <c r="B9930" s="478" t="s">
        <v>42479</v>
      </c>
      <c r="C9930" s="391" t="s">
        <v>26</v>
      </c>
      <c r="D9930" s="479"/>
      <c r="E9930" s="368"/>
      <c r="F9930" s="368"/>
    </row>
    <row r="9931" spans="1:6" ht="25.5" x14ac:dyDescent="0.2">
      <c r="A9931" s="391">
        <v>41612</v>
      </c>
      <c r="B9931" s="478" t="s">
        <v>42480</v>
      </c>
      <c r="C9931" s="391" t="s">
        <v>26</v>
      </c>
      <c r="D9931" s="479"/>
      <c r="E9931" s="368"/>
      <c r="F9931" s="368"/>
    </row>
    <row r="9932" spans="1:6" ht="25.5" x14ac:dyDescent="0.2">
      <c r="A9932" s="391">
        <v>41637</v>
      </c>
      <c r="B9932" s="478" t="s">
        <v>42481</v>
      </c>
      <c r="C9932" s="391" t="s">
        <v>26</v>
      </c>
      <c r="D9932" s="479"/>
      <c r="E9932" s="368"/>
      <c r="F9932" s="368"/>
    </row>
    <row r="9933" spans="1:6" ht="25.5" x14ac:dyDescent="0.2">
      <c r="A9933" s="391">
        <v>41638</v>
      </c>
      <c r="B9933" s="478" t="s">
        <v>42482</v>
      </c>
      <c r="C9933" s="391" t="s">
        <v>26</v>
      </c>
      <c r="D9933" s="479"/>
      <c r="E9933" s="368"/>
      <c r="F9933" s="368"/>
    </row>
    <row r="9934" spans="1:6" ht="25.5" x14ac:dyDescent="0.2">
      <c r="A9934" s="391">
        <v>41639</v>
      </c>
      <c r="B9934" s="478" t="s">
        <v>42483</v>
      </c>
      <c r="C9934" s="391" t="s">
        <v>26</v>
      </c>
      <c r="D9934" s="479"/>
      <c r="E9934" s="368"/>
      <c r="F9934" s="368"/>
    </row>
    <row r="9935" spans="1:6" x14ac:dyDescent="0.2">
      <c r="A9935" s="391">
        <v>11789</v>
      </c>
      <c r="B9935" s="478" t="s">
        <v>42484</v>
      </c>
      <c r="C9935" s="391" t="s">
        <v>26</v>
      </c>
      <c r="D9935" s="479"/>
      <c r="E9935" s="368"/>
      <c r="F9935" s="368"/>
    </row>
    <row r="9936" spans="1:6" ht="25.5" x14ac:dyDescent="0.2">
      <c r="A9936" s="391">
        <v>20975</v>
      </c>
      <c r="B9936" s="478" t="s">
        <v>42485</v>
      </c>
      <c r="C9936" s="391" t="s">
        <v>26</v>
      </c>
      <c r="D9936" s="479">
        <v>14.01</v>
      </c>
      <c r="E9936" s="368"/>
      <c r="F9936" s="368"/>
    </row>
    <row r="9937" spans="1:6" ht="25.5" x14ac:dyDescent="0.2">
      <c r="A9937" s="391">
        <v>20976</v>
      </c>
      <c r="B9937" s="478" t="s">
        <v>42486</v>
      </c>
      <c r="C9937" s="391" t="s">
        <v>26</v>
      </c>
      <c r="D9937" s="479">
        <v>21.17</v>
      </c>
      <c r="E9937" s="368"/>
      <c r="F9937" s="368"/>
    </row>
    <row r="9938" spans="1:6" ht="25.5" x14ac:dyDescent="0.2">
      <c r="A9938" s="391">
        <v>6138</v>
      </c>
      <c r="B9938" s="478" t="s">
        <v>42487</v>
      </c>
      <c r="C9938" s="391" t="s">
        <v>26</v>
      </c>
      <c r="D9938" s="479">
        <v>12.76</v>
      </c>
      <c r="E9938" s="368"/>
      <c r="F9938" s="368"/>
    </row>
    <row r="9939" spans="1:6" ht="25.5" x14ac:dyDescent="0.2">
      <c r="A9939" s="391">
        <v>40340</v>
      </c>
      <c r="B9939" s="478" t="s">
        <v>42488</v>
      </c>
      <c r="C9939" s="391" t="s">
        <v>26</v>
      </c>
      <c r="D9939" s="479">
        <v>31.63</v>
      </c>
      <c r="E9939" s="368"/>
      <c r="F9939" s="368"/>
    </row>
    <row r="9940" spans="1:6" ht="25.5" x14ac:dyDescent="0.2">
      <c r="A9940" s="391">
        <v>40341</v>
      </c>
      <c r="B9940" s="478" t="s">
        <v>42489</v>
      </c>
      <c r="C9940" s="391" t="s">
        <v>26</v>
      </c>
      <c r="D9940" s="479">
        <v>37.75</v>
      </c>
      <c r="E9940" s="368"/>
      <c r="F9940" s="368"/>
    </row>
    <row r="9941" spans="1:6" ht="25.5" x14ac:dyDescent="0.2">
      <c r="A9941" s="391">
        <v>40342</v>
      </c>
      <c r="B9941" s="478" t="s">
        <v>42490</v>
      </c>
      <c r="C9941" s="391" t="s">
        <v>26</v>
      </c>
      <c r="D9941" s="479">
        <v>45.02</v>
      </c>
      <c r="E9941" s="368"/>
      <c r="F9941" s="368"/>
    </row>
    <row r="9942" spans="1:6" ht="25.5" x14ac:dyDescent="0.2">
      <c r="A9942" s="391">
        <v>40343</v>
      </c>
      <c r="B9942" s="478" t="s">
        <v>42491</v>
      </c>
      <c r="C9942" s="391" t="s">
        <v>26</v>
      </c>
      <c r="D9942" s="479">
        <v>53.4</v>
      </c>
      <c r="E9942" s="368"/>
      <c r="F9942" s="368"/>
    </row>
    <row r="9943" spans="1:6" ht="25.5" x14ac:dyDescent="0.2">
      <c r="A9943" s="391">
        <v>40344</v>
      </c>
      <c r="B9943" s="478" t="s">
        <v>42492</v>
      </c>
      <c r="C9943" s="391" t="s">
        <v>26</v>
      </c>
      <c r="D9943" s="479">
        <v>72.8</v>
      </c>
      <c r="E9943" s="368"/>
      <c r="F9943" s="368"/>
    </row>
    <row r="9944" spans="1:6" ht="25.5" x14ac:dyDescent="0.2">
      <c r="A9944" s="391">
        <v>40345</v>
      </c>
      <c r="B9944" s="478" t="s">
        <v>42493</v>
      </c>
      <c r="C9944" s="391" t="s">
        <v>26</v>
      </c>
      <c r="D9944" s="479">
        <v>89.71</v>
      </c>
      <c r="E9944" s="368"/>
      <c r="F9944" s="368"/>
    </row>
    <row r="9945" spans="1:6" ht="25.5" x14ac:dyDescent="0.2">
      <c r="A9945" s="391">
        <v>40346</v>
      </c>
      <c r="B9945" s="478" t="s">
        <v>42494</v>
      </c>
      <c r="C9945" s="391" t="s">
        <v>26</v>
      </c>
      <c r="D9945" s="479">
        <v>104.06</v>
      </c>
      <c r="E9945" s="368"/>
      <c r="F9945" s="368"/>
    </row>
    <row r="9946" spans="1:6" ht="25.5" x14ac:dyDescent="0.2">
      <c r="A9946" s="391">
        <v>40347</v>
      </c>
      <c r="B9946" s="478" t="s">
        <v>42495</v>
      </c>
      <c r="C9946" s="391" t="s">
        <v>26</v>
      </c>
      <c r="D9946" s="479">
        <v>130.74</v>
      </c>
      <c r="E9946" s="368"/>
      <c r="F9946" s="368"/>
    </row>
    <row r="9947" spans="1:6" ht="25.5" x14ac:dyDescent="0.2">
      <c r="A9947" s="391">
        <v>43424</v>
      </c>
      <c r="B9947" s="478" t="s">
        <v>42496</v>
      </c>
      <c r="C9947" s="391" t="s">
        <v>26</v>
      </c>
      <c r="D9947" s="479"/>
      <c r="E9947" s="368"/>
      <c r="F9947" s="368"/>
    </row>
    <row r="9948" spans="1:6" ht="25.5" x14ac:dyDescent="0.2">
      <c r="A9948" s="391">
        <v>43426</v>
      </c>
      <c r="B9948" s="478" t="s">
        <v>42497</v>
      </c>
      <c r="C9948" s="391" t="s">
        <v>26</v>
      </c>
      <c r="D9948" s="479"/>
      <c r="E9948" s="368"/>
      <c r="F9948" s="368"/>
    </row>
    <row r="9949" spans="1:6" ht="25.5" x14ac:dyDescent="0.2">
      <c r="A9949" s="391">
        <v>12565</v>
      </c>
      <c r="B9949" s="478" t="s">
        <v>42498</v>
      </c>
      <c r="C9949" s="391" t="s">
        <v>26</v>
      </c>
      <c r="D9949" s="479"/>
      <c r="E9949" s="368"/>
      <c r="F9949" s="368"/>
    </row>
    <row r="9950" spans="1:6" ht="25.5" x14ac:dyDescent="0.2">
      <c r="A9950" s="391">
        <v>12567</v>
      </c>
      <c r="B9950" s="478" t="s">
        <v>42499</v>
      </c>
      <c r="C9950" s="391" t="s">
        <v>26</v>
      </c>
      <c r="D9950" s="479"/>
      <c r="E9950" s="368"/>
      <c r="F9950" s="368"/>
    </row>
    <row r="9951" spans="1:6" ht="25.5" x14ac:dyDescent="0.2">
      <c r="A9951" s="391">
        <v>12568</v>
      </c>
      <c r="B9951" s="478" t="s">
        <v>42500</v>
      </c>
      <c r="C9951" s="391" t="s">
        <v>26</v>
      </c>
      <c r="D9951" s="479"/>
      <c r="E9951" s="368"/>
      <c r="F9951" s="368"/>
    </row>
    <row r="9952" spans="1:6" ht="25.5" x14ac:dyDescent="0.2">
      <c r="A9952" s="391">
        <v>43441</v>
      </c>
      <c r="B9952" s="478" t="s">
        <v>42501</v>
      </c>
      <c r="C9952" s="391" t="s">
        <v>26</v>
      </c>
      <c r="D9952" s="479"/>
      <c r="E9952" s="368"/>
      <c r="F9952" s="368"/>
    </row>
    <row r="9953" spans="1:6" ht="25.5" x14ac:dyDescent="0.2">
      <c r="A9953" s="391">
        <v>43423</v>
      </c>
      <c r="B9953" s="478" t="s">
        <v>42502</v>
      </c>
      <c r="C9953" s="391" t="s">
        <v>26</v>
      </c>
      <c r="D9953" s="479"/>
      <c r="E9953" s="368"/>
      <c r="F9953" s="368"/>
    </row>
    <row r="9954" spans="1:6" ht="25.5" x14ac:dyDescent="0.2">
      <c r="A9954" s="391">
        <v>12532</v>
      </c>
      <c r="B9954" s="478" t="s">
        <v>42503</v>
      </c>
      <c r="C9954" s="391" t="s">
        <v>26</v>
      </c>
      <c r="D9954" s="479"/>
      <c r="E9954" s="368"/>
      <c r="F9954" s="368"/>
    </row>
    <row r="9955" spans="1:6" ht="38.25" x14ac:dyDescent="0.2">
      <c r="A9955" s="391">
        <v>43444</v>
      </c>
      <c r="B9955" s="478" t="s">
        <v>42504</v>
      </c>
      <c r="C9955" s="391" t="s">
        <v>26</v>
      </c>
      <c r="D9955" s="479"/>
      <c r="E9955" s="368"/>
      <c r="F9955" s="368"/>
    </row>
    <row r="9956" spans="1:6" ht="38.25" x14ac:dyDescent="0.2">
      <c r="A9956" s="391">
        <v>12551</v>
      </c>
      <c r="B9956" s="478" t="s">
        <v>42505</v>
      </c>
      <c r="C9956" s="391" t="s">
        <v>26</v>
      </c>
      <c r="D9956" s="479"/>
      <c r="E9956" s="368"/>
      <c r="F9956" s="368"/>
    </row>
    <row r="9957" spans="1:6" ht="38.25" x14ac:dyDescent="0.2">
      <c r="A9957" s="391">
        <v>43442</v>
      </c>
      <c r="B9957" s="478" t="s">
        <v>42506</v>
      </c>
      <c r="C9957" s="391" t="s">
        <v>26</v>
      </c>
      <c r="D9957" s="479"/>
      <c r="E9957" s="368"/>
      <c r="F9957" s="368"/>
    </row>
    <row r="9958" spans="1:6" ht="38.25" x14ac:dyDescent="0.2">
      <c r="A9958" s="391">
        <v>43443</v>
      </c>
      <c r="B9958" s="478" t="s">
        <v>42507</v>
      </c>
      <c r="C9958" s="391" t="s">
        <v>26</v>
      </c>
      <c r="D9958" s="479"/>
      <c r="E9958" s="368"/>
      <c r="F9958" s="368"/>
    </row>
    <row r="9959" spans="1:6" ht="38.25" x14ac:dyDescent="0.2">
      <c r="A9959" s="391">
        <v>12544</v>
      </c>
      <c r="B9959" s="478" t="s">
        <v>42508</v>
      </c>
      <c r="C9959" s="391" t="s">
        <v>26</v>
      </c>
      <c r="D9959" s="479"/>
      <c r="E9959" s="368"/>
      <c r="F9959" s="368"/>
    </row>
    <row r="9960" spans="1:6" ht="38.25" x14ac:dyDescent="0.2">
      <c r="A9960" s="391">
        <v>12547</v>
      </c>
      <c r="B9960" s="478" t="s">
        <v>42509</v>
      </c>
      <c r="C9960" s="391" t="s">
        <v>26</v>
      </c>
      <c r="D9960" s="479"/>
      <c r="E9960" s="368"/>
      <c r="F9960" s="368"/>
    </row>
    <row r="9961" spans="1:6" ht="38.25" x14ac:dyDescent="0.2">
      <c r="A9961" s="391">
        <v>43445</v>
      </c>
      <c r="B9961" s="478" t="s">
        <v>42510</v>
      </c>
      <c r="C9961" s="391" t="s">
        <v>26</v>
      </c>
      <c r="D9961" s="479"/>
      <c r="E9961" s="368"/>
      <c r="F9961" s="368"/>
    </row>
    <row r="9962" spans="1:6" ht="38.25" x14ac:dyDescent="0.2">
      <c r="A9962" s="391">
        <v>12563</v>
      </c>
      <c r="B9962" s="478" t="s">
        <v>42511</v>
      </c>
      <c r="C9962" s="391" t="s">
        <v>26</v>
      </c>
      <c r="D9962" s="479"/>
      <c r="E9962" s="368"/>
      <c r="F9962" s="368"/>
    </row>
    <row r="9963" spans="1:6" ht="25.5" x14ac:dyDescent="0.2">
      <c r="A9963" s="391">
        <v>43425</v>
      </c>
      <c r="B9963" s="478" t="s">
        <v>42512</v>
      </c>
      <c r="C9963" s="391" t="s">
        <v>26</v>
      </c>
      <c r="D9963" s="479"/>
      <c r="E9963" s="368"/>
      <c r="F9963" s="368"/>
    </row>
    <row r="9964" spans="1:6" ht="25.5" x14ac:dyDescent="0.2">
      <c r="A9964" s="391">
        <v>43446</v>
      </c>
      <c r="B9964" s="478" t="s">
        <v>42513</v>
      </c>
      <c r="C9964" s="391" t="s">
        <v>26</v>
      </c>
      <c r="D9964" s="479"/>
      <c r="E9964" s="368"/>
      <c r="F9964" s="368"/>
    </row>
    <row r="9965" spans="1:6" ht="25.5" x14ac:dyDescent="0.2">
      <c r="A9965" s="391">
        <v>43447</v>
      </c>
      <c r="B9965" s="478" t="s">
        <v>42514</v>
      </c>
      <c r="C9965" s="391" t="s">
        <v>26</v>
      </c>
      <c r="D9965" s="479"/>
      <c r="E9965" s="368"/>
      <c r="F9965" s="368"/>
    </row>
    <row r="9966" spans="1:6" ht="25.5" x14ac:dyDescent="0.2">
      <c r="A9966" s="391">
        <v>43448</v>
      </c>
      <c r="B9966" s="478" t="s">
        <v>42515</v>
      </c>
      <c r="C9966" s="391" t="s">
        <v>26</v>
      </c>
      <c r="D9966" s="479"/>
      <c r="E9966" s="368"/>
      <c r="F9966" s="368"/>
    </row>
    <row r="9967" spans="1:6" ht="38.25" x14ac:dyDescent="0.2">
      <c r="A9967" s="391">
        <v>13761</v>
      </c>
      <c r="B9967" s="478" t="s">
        <v>42516</v>
      </c>
      <c r="C9967" s="391" t="s">
        <v>26</v>
      </c>
      <c r="D9967" s="479">
        <v>3622.57</v>
      </c>
      <c r="E9967" s="368"/>
      <c r="F9967" s="368"/>
    </row>
    <row r="9968" spans="1:6" ht="25.5" x14ac:dyDescent="0.2">
      <c r="A9968" s="391">
        <v>4814</v>
      </c>
      <c r="B9968" s="478" t="s">
        <v>42517</v>
      </c>
      <c r="C9968" s="391" t="s">
        <v>26</v>
      </c>
      <c r="D9968" s="479">
        <v>49.74</v>
      </c>
      <c r="E9968" s="368"/>
      <c r="F9968" s="368"/>
    </row>
    <row r="9969" spans="1:6" x14ac:dyDescent="0.2">
      <c r="A9969" s="391">
        <v>44473</v>
      </c>
      <c r="B9969" s="478" t="s">
        <v>48230</v>
      </c>
      <c r="C9969" s="391" t="s">
        <v>26</v>
      </c>
      <c r="D9969" s="479"/>
      <c r="E9969" s="368"/>
      <c r="F9969" s="368"/>
    </row>
    <row r="9970" spans="1:6" x14ac:dyDescent="0.2">
      <c r="A9970" s="391">
        <v>6122</v>
      </c>
      <c r="B9970" s="478" t="s">
        <v>42518</v>
      </c>
      <c r="C9970" s="391" t="s">
        <v>558</v>
      </c>
      <c r="D9970" s="479">
        <v>21.06</v>
      </c>
      <c r="E9970" s="368"/>
      <c r="F9970" s="368"/>
    </row>
    <row r="9971" spans="1:6" x14ac:dyDescent="0.2">
      <c r="A9971" s="391">
        <v>40810</v>
      </c>
      <c r="B9971" s="478" t="s">
        <v>42519</v>
      </c>
      <c r="C9971" s="391" t="s">
        <v>5681</v>
      </c>
      <c r="D9971" s="479">
        <v>3704.06</v>
      </c>
      <c r="E9971" s="368"/>
      <c r="F9971" s="368"/>
    </row>
    <row r="9972" spans="1:6" ht="25.5" x14ac:dyDescent="0.2">
      <c r="A9972" s="391">
        <v>21100</v>
      </c>
      <c r="B9972" s="478" t="s">
        <v>42520</v>
      </c>
      <c r="C9972" s="391" t="s">
        <v>26</v>
      </c>
      <c r="D9972" s="479"/>
      <c r="E9972" s="368"/>
      <c r="F9972" s="368"/>
    </row>
    <row r="9973" spans="1:6" ht="38.25" x14ac:dyDescent="0.2">
      <c r="A9973" s="391">
        <v>11811</v>
      </c>
      <c r="B9973" s="478" t="s">
        <v>42521</v>
      </c>
      <c r="C9973" s="391" t="s">
        <v>26</v>
      </c>
      <c r="D9973" s="479"/>
      <c r="E9973" s="368"/>
      <c r="F9973" s="368"/>
    </row>
    <row r="9974" spans="1:6" ht="38.25" x14ac:dyDescent="0.2">
      <c r="A9974" s="391">
        <v>11816</v>
      </c>
      <c r="B9974" s="478" t="s">
        <v>42522</v>
      </c>
      <c r="C9974" s="391" t="s">
        <v>26</v>
      </c>
      <c r="D9974" s="479"/>
      <c r="E9974" s="368"/>
      <c r="F9974" s="368"/>
    </row>
    <row r="9975" spans="1:6" ht="38.25" x14ac:dyDescent="0.2">
      <c r="A9975" s="391">
        <v>11814</v>
      </c>
      <c r="B9975" s="478" t="s">
        <v>42523</v>
      </c>
      <c r="C9975" s="391" t="s">
        <v>26</v>
      </c>
      <c r="D9975" s="479"/>
      <c r="E9975" s="368"/>
      <c r="F9975" s="368"/>
    </row>
    <row r="9976" spans="1:6" ht="38.25" x14ac:dyDescent="0.2">
      <c r="A9976" s="391">
        <v>14186</v>
      </c>
      <c r="B9976" s="478" t="s">
        <v>42524</v>
      </c>
      <c r="C9976" s="391" t="s">
        <v>26</v>
      </c>
      <c r="D9976" s="479"/>
      <c r="E9976" s="368"/>
      <c r="F9976" s="368"/>
    </row>
    <row r="9977" spans="1:6" ht="38.25" x14ac:dyDescent="0.2">
      <c r="A9977" s="391">
        <v>14185</v>
      </c>
      <c r="B9977" s="478" t="s">
        <v>42525</v>
      </c>
      <c r="C9977" s="391" t="s">
        <v>26</v>
      </c>
      <c r="D9977" s="479"/>
      <c r="E9977" s="368"/>
      <c r="F9977" s="368"/>
    </row>
    <row r="9978" spans="1:6" x14ac:dyDescent="0.2">
      <c r="A9978" s="391">
        <v>44498</v>
      </c>
      <c r="B9978" s="478" t="s">
        <v>48231</v>
      </c>
      <c r="C9978" s="391" t="s">
        <v>26</v>
      </c>
      <c r="D9978" s="479"/>
      <c r="E9978" s="368"/>
      <c r="F9978" s="368"/>
    </row>
    <row r="9979" spans="1:6" ht="25.5" x14ac:dyDescent="0.2">
      <c r="A9979" s="391">
        <v>34469</v>
      </c>
      <c r="B9979" s="478" t="s">
        <v>42526</v>
      </c>
      <c r="C9979" s="391" t="s">
        <v>26</v>
      </c>
      <c r="D9979" s="479"/>
      <c r="E9979" s="368"/>
      <c r="F9979" s="368"/>
    </row>
    <row r="9980" spans="1:6" ht="25.5" x14ac:dyDescent="0.2">
      <c r="A9980" s="391">
        <v>34476</v>
      </c>
      <c r="B9980" s="478" t="s">
        <v>42527</v>
      </c>
      <c r="C9980" s="391" t="s">
        <v>26</v>
      </c>
      <c r="D9980" s="479"/>
      <c r="E9980" s="368"/>
      <c r="F9980" s="368"/>
    </row>
    <row r="9981" spans="1:6" ht="25.5" x14ac:dyDescent="0.2">
      <c r="A9981" s="391">
        <v>34477</v>
      </c>
      <c r="B9981" s="478" t="s">
        <v>42528</v>
      </c>
      <c r="C9981" s="391" t="s">
        <v>26</v>
      </c>
      <c r="D9981" s="479"/>
      <c r="E9981" s="368"/>
      <c r="F9981" s="368"/>
    </row>
    <row r="9982" spans="1:6" ht="25.5" x14ac:dyDescent="0.2">
      <c r="A9982" s="391">
        <v>34482</v>
      </c>
      <c r="B9982" s="478" t="s">
        <v>42529</v>
      </c>
      <c r="C9982" s="391" t="s">
        <v>26</v>
      </c>
      <c r="D9982" s="479"/>
      <c r="E9982" s="368"/>
      <c r="F9982" s="368"/>
    </row>
    <row r="9983" spans="1:6" ht="51" x14ac:dyDescent="0.2">
      <c r="A9983" s="391">
        <v>34472</v>
      </c>
      <c r="B9983" s="478" t="s">
        <v>42530</v>
      </c>
      <c r="C9983" s="391" t="s">
        <v>26</v>
      </c>
      <c r="D9983" s="479"/>
      <c r="E9983" s="368"/>
      <c r="F9983" s="368"/>
    </row>
    <row r="9984" spans="1:6" ht="25.5" x14ac:dyDescent="0.2">
      <c r="A9984" s="391">
        <v>42425</v>
      </c>
      <c r="B9984" s="478" t="s">
        <v>42531</v>
      </c>
      <c r="C9984" s="391" t="s">
        <v>26</v>
      </c>
      <c r="D9984" s="479"/>
      <c r="E9984" s="368"/>
      <c r="F9984" s="368"/>
    </row>
    <row r="9985" spans="1:6" ht="25.5" x14ac:dyDescent="0.2">
      <c r="A9985" s="391">
        <v>42422</v>
      </c>
      <c r="B9985" s="478" t="s">
        <v>42532</v>
      </c>
      <c r="C9985" s="391" t="s">
        <v>26</v>
      </c>
      <c r="D9985" s="479"/>
      <c r="E9985" s="368"/>
      <c r="F9985" s="368"/>
    </row>
    <row r="9986" spans="1:6" ht="25.5" x14ac:dyDescent="0.2">
      <c r="A9986" s="391">
        <v>43184</v>
      </c>
      <c r="B9986" s="478" t="s">
        <v>42533</v>
      </c>
      <c r="C9986" s="391" t="s">
        <v>26</v>
      </c>
      <c r="D9986" s="479"/>
      <c r="E9986" s="368"/>
      <c r="F9986" s="368"/>
    </row>
    <row r="9987" spans="1:6" ht="25.5" x14ac:dyDescent="0.2">
      <c r="A9987" s="391">
        <v>42424</v>
      </c>
      <c r="B9987" s="478" t="s">
        <v>42534</v>
      </c>
      <c r="C9987" s="391" t="s">
        <v>26</v>
      </c>
      <c r="D9987" s="479"/>
      <c r="E9987" s="368"/>
      <c r="F9987" s="368"/>
    </row>
    <row r="9988" spans="1:6" ht="38.25" x14ac:dyDescent="0.2">
      <c r="A9988" s="391">
        <v>42416</v>
      </c>
      <c r="B9988" s="478" t="s">
        <v>42535</v>
      </c>
      <c r="C9988" s="391" t="s">
        <v>26</v>
      </c>
      <c r="D9988" s="479"/>
      <c r="E9988" s="368"/>
      <c r="F9988" s="368"/>
    </row>
    <row r="9989" spans="1:6" ht="38.25" x14ac:dyDescent="0.2">
      <c r="A9989" s="391">
        <v>42417</v>
      </c>
      <c r="B9989" s="478" t="s">
        <v>42536</v>
      </c>
      <c r="C9989" s="391" t="s">
        <v>26</v>
      </c>
      <c r="D9989" s="479"/>
      <c r="E9989" s="368"/>
      <c r="F9989" s="368"/>
    </row>
    <row r="9990" spans="1:6" ht="38.25" x14ac:dyDescent="0.2">
      <c r="A9990" s="391">
        <v>42419</v>
      </c>
      <c r="B9990" s="478" t="s">
        <v>42537</v>
      </c>
      <c r="C9990" s="391" t="s">
        <v>26</v>
      </c>
      <c r="D9990" s="479"/>
      <c r="E9990" s="368"/>
      <c r="F9990" s="368"/>
    </row>
    <row r="9991" spans="1:6" ht="38.25" x14ac:dyDescent="0.2">
      <c r="A9991" s="391">
        <v>42420</v>
      </c>
      <c r="B9991" s="478" t="s">
        <v>42538</v>
      </c>
      <c r="C9991" s="391" t="s">
        <v>26</v>
      </c>
      <c r="D9991" s="479"/>
      <c r="E9991" s="368"/>
      <c r="F9991" s="368"/>
    </row>
    <row r="9992" spans="1:6" ht="38.25" x14ac:dyDescent="0.2">
      <c r="A9992" s="391">
        <v>42421</v>
      </c>
      <c r="B9992" s="478" t="s">
        <v>42539</v>
      </c>
      <c r="C9992" s="391" t="s">
        <v>26</v>
      </c>
      <c r="D9992" s="479"/>
      <c r="E9992" s="368"/>
      <c r="F9992" s="368"/>
    </row>
    <row r="9993" spans="1:6" ht="38.25" x14ac:dyDescent="0.2">
      <c r="A9993" s="391">
        <v>39556</v>
      </c>
      <c r="B9993" s="478" t="s">
        <v>42540</v>
      </c>
      <c r="C9993" s="391" t="s">
        <v>26</v>
      </c>
      <c r="D9993" s="479"/>
      <c r="E9993" s="368"/>
      <c r="F9993" s="368"/>
    </row>
    <row r="9994" spans="1:6" ht="38.25" x14ac:dyDescent="0.2">
      <c r="A9994" s="391">
        <v>39557</v>
      </c>
      <c r="B9994" s="478" t="s">
        <v>42541</v>
      </c>
      <c r="C9994" s="391" t="s">
        <v>26</v>
      </c>
      <c r="D9994" s="479"/>
      <c r="E9994" s="368"/>
      <c r="F9994" s="368"/>
    </row>
    <row r="9995" spans="1:6" ht="38.25" x14ac:dyDescent="0.2">
      <c r="A9995" s="391">
        <v>39559</v>
      </c>
      <c r="B9995" s="478" t="s">
        <v>42542</v>
      </c>
      <c r="C9995" s="391" t="s">
        <v>26</v>
      </c>
      <c r="D9995" s="479"/>
      <c r="E9995" s="368"/>
      <c r="F9995" s="368"/>
    </row>
    <row r="9996" spans="1:6" ht="38.25" x14ac:dyDescent="0.2">
      <c r="A9996" s="391">
        <v>39560</v>
      </c>
      <c r="B9996" s="478" t="s">
        <v>42543</v>
      </c>
      <c r="C9996" s="391" t="s">
        <v>26</v>
      </c>
      <c r="D9996" s="479"/>
      <c r="E9996" s="368"/>
      <c r="F9996" s="368"/>
    </row>
    <row r="9997" spans="1:6" ht="38.25" x14ac:dyDescent="0.2">
      <c r="A9997" s="391">
        <v>39561</v>
      </c>
      <c r="B9997" s="478" t="s">
        <v>42544</v>
      </c>
      <c r="C9997" s="391" t="s">
        <v>26</v>
      </c>
      <c r="D9997" s="479"/>
      <c r="E9997" s="368"/>
      <c r="F9997" s="368"/>
    </row>
    <row r="9998" spans="1:6" ht="25.5" x14ac:dyDescent="0.2">
      <c r="A9998" s="391">
        <v>43195</v>
      </c>
      <c r="B9998" s="478" t="s">
        <v>42545</v>
      </c>
      <c r="C9998" s="391" t="s">
        <v>26</v>
      </c>
      <c r="D9998" s="479"/>
      <c r="E9998" s="368"/>
      <c r="F9998" s="368"/>
    </row>
    <row r="9999" spans="1:6" ht="25.5" x14ac:dyDescent="0.2">
      <c r="A9999" s="391">
        <v>43196</v>
      </c>
      <c r="B9999" s="478" t="s">
        <v>42546</v>
      </c>
      <c r="C9999" s="391" t="s">
        <v>26</v>
      </c>
      <c r="D9999" s="479"/>
      <c r="E9999" s="368"/>
      <c r="F9999" s="368"/>
    </row>
    <row r="10000" spans="1:6" ht="25.5" x14ac:dyDescent="0.2">
      <c r="A10000" s="391">
        <v>43198</v>
      </c>
      <c r="B10000" s="478" t="s">
        <v>42547</v>
      </c>
      <c r="C10000" s="391" t="s">
        <v>26</v>
      </c>
      <c r="D10000" s="479"/>
      <c r="E10000" s="368"/>
      <c r="F10000" s="368"/>
    </row>
    <row r="10001" spans="1:6" ht="25.5" x14ac:dyDescent="0.2">
      <c r="A10001" s="391">
        <v>43199</v>
      </c>
      <c r="B10001" s="478" t="s">
        <v>42548</v>
      </c>
      <c r="C10001" s="391" t="s">
        <v>26</v>
      </c>
      <c r="D10001" s="479"/>
      <c r="E10001" s="368"/>
      <c r="F10001" s="368"/>
    </row>
    <row r="10002" spans="1:6" ht="25.5" x14ac:dyDescent="0.2">
      <c r="A10002" s="391">
        <v>43200</v>
      </c>
      <c r="B10002" s="478" t="s">
        <v>42549</v>
      </c>
      <c r="C10002" s="391" t="s">
        <v>26</v>
      </c>
      <c r="D10002" s="479"/>
      <c r="E10002" s="368"/>
      <c r="F10002" s="368"/>
    </row>
    <row r="10003" spans="1:6" ht="38.25" x14ac:dyDescent="0.2">
      <c r="A10003" s="391">
        <v>43190</v>
      </c>
      <c r="B10003" s="478" t="s">
        <v>42550</v>
      </c>
      <c r="C10003" s="391" t="s">
        <v>26</v>
      </c>
      <c r="D10003" s="479"/>
      <c r="E10003" s="368"/>
      <c r="F10003" s="368"/>
    </row>
    <row r="10004" spans="1:6" ht="38.25" x14ac:dyDescent="0.2">
      <c r="A10004" s="391">
        <v>39555</v>
      </c>
      <c r="B10004" s="478" t="s">
        <v>42551</v>
      </c>
      <c r="C10004" s="391" t="s">
        <v>26</v>
      </c>
      <c r="D10004" s="479"/>
      <c r="E10004" s="368"/>
      <c r="F10004" s="368"/>
    </row>
    <row r="10005" spans="1:6" ht="38.25" x14ac:dyDescent="0.2">
      <c r="A10005" s="391">
        <v>43191</v>
      </c>
      <c r="B10005" s="478" t="s">
        <v>42552</v>
      </c>
      <c r="C10005" s="391" t="s">
        <v>26</v>
      </c>
      <c r="D10005" s="479"/>
      <c r="E10005" s="368"/>
      <c r="F10005" s="368"/>
    </row>
    <row r="10006" spans="1:6" ht="38.25" x14ac:dyDescent="0.2">
      <c r="A10006" s="391">
        <v>39548</v>
      </c>
      <c r="B10006" s="478" t="s">
        <v>42553</v>
      </c>
      <c r="C10006" s="391" t="s">
        <v>26</v>
      </c>
      <c r="D10006" s="479"/>
      <c r="E10006" s="368"/>
      <c r="F10006" s="368"/>
    </row>
    <row r="10007" spans="1:6" ht="38.25" x14ac:dyDescent="0.2">
      <c r="A10007" s="391">
        <v>43192</v>
      </c>
      <c r="B10007" s="478" t="s">
        <v>42554</v>
      </c>
      <c r="C10007" s="391" t="s">
        <v>26</v>
      </c>
      <c r="D10007" s="479"/>
      <c r="E10007" s="368"/>
      <c r="F10007" s="368"/>
    </row>
    <row r="10008" spans="1:6" ht="38.25" x14ac:dyDescent="0.2">
      <c r="A10008" s="391">
        <v>39554</v>
      </c>
      <c r="B10008" s="478" t="s">
        <v>42555</v>
      </c>
      <c r="C10008" s="391" t="s">
        <v>26</v>
      </c>
      <c r="D10008" s="479"/>
      <c r="E10008" s="368"/>
      <c r="F10008" s="368"/>
    </row>
    <row r="10009" spans="1:6" ht="38.25" x14ac:dyDescent="0.2">
      <c r="A10009" s="391">
        <v>43194</v>
      </c>
      <c r="B10009" s="478" t="s">
        <v>42556</v>
      </c>
      <c r="C10009" s="391" t="s">
        <v>26</v>
      </c>
      <c r="D10009" s="479"/>
      <c r="E10009" s="368"/>
      <c r="F10009" s="368"/>
    </row>
    <row r="10010" spans="1:6" ht="38.25" x14ac:dyDescent="0.2">
      <c r="A10010" s="391">
        <v>39551</v>
      </c>
      <c r="B10010" s="478" t="s">
        <v>42557</v>
      </c>
      <c r="C10010" s="391" t="s">
        <v>26</v>
      </c>
      <c r="D10010" s="479"/>
      <c r="E10010" s="368"/>
      <c r="F10010" s="368"/>
    </row>
    <row r="10011" spans="1:6" ht="25.5" x14ac:dyDescent="0.2">
      <c r="A10011" s="391">
        <v>43185</v>
      </c>
      <c r="B10011" s="478" t="s">
        <v>42558</v>
      </c>
      <c r="C10011" s="391" t="s">
        <v>26</v>
      </c>
      <c r="D10011" s="479"/>
      <c r="E10011" s="368"/>
      <c r="F10011" s="368"/>
    </row>
    <row r="10012" spans="1:6" ht="25.5" x14ac:dyDescent="0.2">
      <c r="A10012" s="391">
        <v>43186</v>
      </c>
      <c r="B10012" s="478" t="s">
        <v>42559</v>
      </c>
      <c r="C10012" s="391" t="s">
        <v>26</v>
      </c>
      <c r="D10012" s="479"/>
      <c r="E10012" s="368"/>
      <c r="F10012" s="368"/>
    </row>
    <row r="10013" spans="1:6" ht="25.5" x14ac:dyDescent="0.2">
      <c r="A10013" s="391">
        <v>43187</v>
      </c>
      <c r="B10013" s="478" t="s">
        <v>42560</v>
      </c>
      <c r="C10013" s="391" t="s">
        <v>26</v>
      </c>
      <c r="D10013" s="479"/>
      <c r="E10013" s="368"/>
      <c r="F10013" s="368"/>
    </row>
    <row r="10014" spans="1:6" ht="25.5" x14ac:dyDescent="0.2">
      <c r="A10014" s="391">
        <v>43188</v>
      </c>
      <c r="B10014" s="478" t="s">
        <v>42561</v>
      </c>
      <c r="C10014" s="391" t="s">
        <v>26</v>
      </c>
      <c r="D10014" s="479"/>
      <c r="E10014" s="368"/>
      <c r="F10014" s="368"/>
    </row>
    <row r="10015" spans="1:6" ht="25.5" x14ac:dyDescent="0.2">
      <c r="A10015" s="391">
        <v>43189</v>
      </c>
      <c r="B10015" s="478" t="s">
        <v>42562</v>
      </c>
      <c r="C10015" s="391" t="s">
        <v>26</v>
      </c>
      <c r="D10015" s="479"/>
      <c r="E10015" s="368"/>
      <c r="F10015" s="368"/>
    </row>
    <row r="10016" spans="1:6" x14ac:dyDescent="0.2">
      <c r="A10016" s="391">
        <v>39580</v>
      </c>
      <c r="B10016" s="478" t="s">
        <v>42563</v>
      </c>
      <c r="C10016" s="391" t="s">
        <v>26</v>
      </c>
      <c r="D10016" s="479"/>
      <c r="E10016" s="368"/>
      <c r="F10016" s="368"/>
    </row>
    <row r="10017" spans="1:6" x14ac:dyDescent="0.2">
      <c r="A10017" s="391">
        <v>39577</v>
      </c>
      <c r="B10017" s="478" t="s">
        <v>42564</v>
      </c>
      <c r="C10017" s="391" t="s">
        <v>26</v>
      </c>
      <c r="D10017" s="479"/>
      <c r="E10017" s="368"/>
      <c r="F10017" s="368"/>
    </row>
    <row r="10018" spans="1:6" x14ac:dyDescent="0.2">
      <c r="A10018" s="391">
        <v>39578</v>
      </c>
      <c r="B10018" s="478" t="s">
        <v>42565</v>
      </c>
      <c r="C10018" s="391" t="s">
        <v>26</v>
      </c>
      <c r="D10018" s="479"/>
      <c r="E10018" s="368"/>
      <c r="F10018" s="368"/>
    </row>
    <row r="10019" spans="1:6" x14ac:dyDescent="0.2">
      <c r="A10019" s="391">
        <v>39579</v>
      </c>
      <c r="B10019" s="478" t="s">
        <v>42566</v>
      </c>
      <c r="C10019" s="391" t="s">
        <v>26</v>
      </c>
      <c r="D10019" s="479"/>
      <c r="E10019" s="368"/>
      <c r="F10019" s="368"/>
    </row>
    <row r="10020" spans="1:6" ht="38.25" x14ac:dyDescent="0.2">
      <c r="A10020" s="391">
        <v>39826</v>
      </c>
      <c r="B10020" s="478" t="s">
        <v>42567</v>
      </c>
      <c r="C10020" s="391" t="s">
        <v>26</v>
      </c>
      <c r="D10020" s="479"/>
      <c r="E10020" s="368"/>
      <c r="F10020" s="368"/>
    </row>
    <row r="10021" spans="1:6" x14ac:dyDescent="0.2">
      <c r="A10021" s="391">
        <v>10700</v>
      </c>
      <c r="B10021" s="478" t="s">
        <v>42568</v>
      </c>
      <c r="C10021" s="391" t="s">
        <v>26</v>
      </c>
      <c r="D10021" s="479"/>
      <c r="E10021" s="368"/>
      <c r="F10021" s="368"/>
    </row>
    <row r="10022" spans="1:6" x14ac:dyDescent="0.2">
      <c r="A10022" s="391">
        <v>346</v>
      </c>
      <c r="B10022" s="478" t="s">
        <v>42569</v>
      </c>
      <c r="C10022" s="391" t="s">
        <v>1284</v>
      </c>
      <c r="D10022" s="479">
        <v>19.059999999999999</v>
      </c>
      <c r="E10022" s="368"/>
      <c r="F10022" s="368"/>
    </row>
    <row r="10023" spans="1:6" x14ac:dyDescent="0.2">
      <c r="A10023" s="391">
        <v>3312</v>
      </c>
      <c r="B10023" s="478" t="s">
        <v>42570</v>
      </c>
      <c r="C10023" s="391" t="s">
        <v>1284</v>
      </c>
      <c r="D10023" s="479">
        <v>16.88</v>
      </c>
      <c r="E10023" s="368"/>
      <c r="F10023" s="368"/>
    </row>
    <row r="10024" spans="1:6" x14ac:dyDescent="0.2">
      <c r="A10024" s="391">
        <v>339</v>
      </c>
      <c r="B10024" s="478" t="s">
        <v>42571</v>
      </c>
      <c r="C10024" s="391" t="s">
        <v>0</v>
      </c>
      <c r="D10024" s="479">
        <v>0.98</v>
      </c>
      <c r="E10024" s="368"/>
      <c r="F10024" s="368"/>
    </row>
    <row r="10025" spans="1:6" x14ac:dyDescent="0.2">
      <c r="A10025" s="391">
        <v>340</v>
      </c>
      <c r="B10025" s="478" t="s">
        <v>42572</v>
      </c>
      <c r="C10025" s="391" t="s">
        <v>0</v>
      </c>
      <c r="D10025" s="479">
        <v>0.88</v>
      </c>
      <c r="E10025" s="368"/>
      <c r="F10025" s="368"/>
    </row>
    <row r="10026" spans="1:6" ht="25.5" x14ac:dyDescent="0.2">
      <c r="A10026" s="391">
        <v>43130</v>
      </c>
      <c r="B10026" s="478" t="s">
        <v>42573</v>
      </c>
      <c r="C10026" s="391" t="s">
        <v>1284</v>
      </c>
      <c r="D10026" s="479">
        <v>16.09</v>
      </c>
      <c r="E10026" s="368"/>
      <c r="F10026" s="368"/>
    </row>
    <row r="10027" spans="1:6" x14ac:dyDescent="0.2">
      <c r="A10027" s="391">
        <v>344</v>
      </c>
      <c r="B10027" s="478" t="s">
        <v>42574</v>
      </c>
      <c r="C10027" s="391" t="s">
        <v>1284</v>
      </c>
      <c r="D10027" s="479">
        <v>21.15</v>
      </c>
      <c r="E10027" s="368"/>
      <c r="F10027" s="368"/>
    </row>
    <row r="10028" spans="1:6" x14ac:dyDescent="0.2">
      <c r="A10028" s="391">
        <v>345</v>
      </c>
      <c r="B10028" s="478" t="s">
        <v>42575</v>
      </c>
      <c r="C10028" s="391" t="s">
        <v>1284</v>
      </c>
      <c r="D10028" s="479">
        <v>22.95</v>
      </c>
      <c r="E10028" s="368"/>
      <c r="F10028" s="368"/>
    </row>
    <row r="10029" spans="1:6" ht="25.5" x14ac:dyDescent="0.2">
      <c r="A10029" s="391">
        <v>43131</v>
      </c>
      <c r="B10029" s="478" t="s">
        <v>42576</v>
      </c>
      <c r="C10029" s="391" t="s">
        <v>1284</v>
      </c>
      <c r="D10029" s="479">
        <v>18.690000000000001</v>
      </c>
      <c r="E10029" s="368"/>
      <c r="F10029" s="368"/>
    </row>
    <row r="10030" spans="1:6" x14ac:dyDescent="0.2">
      <c r="A10030" s="391">
        <v>3313</v>
      </c>
      <c r="B10030" s="478" t="s">
        <v>42577</v>
      </c>
      <c r="C10030" s="391" t="s">
        <v>1284</v>
      </c>
      <c r="D10030" s="479">
        <v>21.72</v>
      </c>
      <c r="E10030" s="368"/>
      <c r="F10030" s="368"/>
    </row>
    <row r="10031" spans="1:6" ht="25.5" x14ac:dyDescent="0.2">
      <c r="A10031" s="391">
        <v>43132</v>
      </c>
      <c r="B10031" s="478" t="s">
        <v>42578</v>
      </c>
      <c r="C10031" s="391" t="s">
        <v>1284</v>
      </c>
      <c r="D10031" s="479">
        <v>16.09</v>
      </c>
      <c r="E10031" s="368"/>
      <c r="F10031" s="368"/>
    </row>
    <row r="10032" spans="1:6" x14ac:dyDescent="0.2">
      <c r="A10032" s="391">
        <v>45245</v>
      </c>
      <c r="B10032" s="478" t="s">
        <v>48232</v>
      </c>
      <c r="C10032" s="391" t="s">
        <v>26</v>
      </c>
      <c r="D10032" s="479"/>
      <c r="E10032" s="368"/>
      <c r="F10032" s="368"/>
    </row>
    <row r="10033" spans="1:6" ht="25.5" x14ac:dyDescent="0.2">
      <c r="A10033" s="391">
        <v>366</v>
      </c>
      <c r="B10033" s="478" t="s">
        <v>42579</v>
      </c>
      <c r="C10033" s="391" t="s">
        <v>271</v>
      </c>
      <c r="D10033" s="479">
        <v>125</v>
      </c>
      <c r="E10033" s="368"/>
      <c r="F10033" s="368"/>
    </row>
    <row r="10034" spans="1:6" ht="25.5" x14ac:dyDescent="0.2">
      <c r="A10034" s="391">
        <v>367</v>
      </c>
      <c r="B10034" s="478" t="s">
        <v>42580</v>
      </c>
      <c r="C10034" s="391" t="s">
        <v>271</v>
      </c>
      <c r="D10034" s="479">
        <v>126.63</v>
      </c>
      <c r="E10034" s="368"/>
      <c r="F10034" s="368"/>
    </row>
    <row r="10035" spans="1:6" ht="25.5" x14ac:dyDescent="0.2">
      <c r="A10035" s="391">
        <v>370</v>
      </c>
      <c r="B10035" s="478" t="s">
        <v>42581</v>
      </c>
      <c r="C10035" s="391" t="s">
        <v>271</v>
      </c>
      <c r="D10035" s="479">
        <v>125</v>
      </c>
      <c r="E10035" s="368"/>
      <c r="F10035" s="368"/>
    </row>
    <row r="10036" spans="1:6" ht="25.5" x14ac:dyDescent="0.2">
      <c r="A10036" s="391">
        <v>368</v>
      </c>
      <c r="B10036" s="478" t="s">
        <v>42582</v>
      </c>
      <c r="C10036" s="391" t="s">
        <v>271</v>
      </c>
      <c r="D10036" s="479">
        <v>62.5</v>
      </c>
      <c r="E10036" s="368"/>
      <c r="F10036" s="368"/>
    </row>
    <row r="10037" spans="1:6" ht="25.5" x14ac:dyDescent="0.2">
      <c r="A10037" s="391">
        <v>11075</v>
      </c>
      <c r="B10037" s="478" t="s">
        <v>42583</v>
      </c>
      <c r="C10037" s="391" t="s">
        <v>271</v>
      </c>
      <c r="D10037" s="479">
        <v>1434.61</v>
      </c>
      <c r="E10037" s="368"/>
      <c r="F10037" s="368"/>
    </row>
    <row r="10038" spans="1:6" x14ac:dyDescent="0.2">
      <c r="A10038" s="391">
        <v>1381</v>
      </c>
      <c r="B10038" s="478" t="s">
        <v>42584</v>
      </c>
      <c r="C10038" s="391" t="s">
        <v>1284</v>
      </c>
      <c r="D10038" s="479">
        <v>1.17</v>
      </c>
      <c r="E10038" s="368"/>
      <c r="F10038" s="368"/>
    </row>
    <row r="10039" spans="1:6" x14ac:dyDescent="0.2">
      <c r="A10039" s="391">
        <v>34353</v>
      </c>
      <c r="B10039" s="478" t="s">
        <v>42585</v>
      </c>
      <c r="C10039" s="391" t="s">
        <v>1284</v>
      </c>
      <c r="D10039" s="479">
        <v>2.17</v>
      </c>
      <c r="E10039" s="368"/>
      <c r="F10039" s="368"/>
    </row>
    <row r="10040" spans="1:6" x14ac:dyDescent="0.2">
      <c r="A10040" s="391">
        <v>37595</v>
      </c>
      <c r="B10040" s="478" t="s">
        <v>42586</v>
      </c>
      <c r="C10040" s="391" t="s">
        <v>1284</v>
      </c>
      <c r="D10040" s="479">
        <v>3.59</v>
      </c>
      <c r="E10040" s="368"/>
      <c r="F10040" s="368"/>
    </row>
    <row r="10041" spans="1:6" x14ac:dyDescent="0.2">
      <c r="A10041" s="391">
        <v>37596</v>
      </c>
      <c r="B10041" s="478" t="s">
        <v>42587</v>
      </c>
      <c r="C10041" s="391" t="s">
        <v>1284</v>
      </c>
      <c r="D10041" s="479">
        <v>4.12</v>
      </c>
      <c r="E10041" s="368"/>
      <c r="F10041" s="368"/>
    </row>
    <row r="10042" spans="1:6" ht="25.5" x14ac:dyDescent="0.2">
      <c r="A10042" s="391">
        <v>371</v>
      </c>
      <c r="B10042" s="478" t="s">
        <v>42588</v>
      </c>
      <c r="C10042" s="391" t="s">
        <v>1284</v>
      </c>
      <c r="D10042" s="479">
        <v>1.27</v>
      </c>
      <c r="E10042" s="368"/>
      <c r="F10042" s="368"/>
    </row>
    <row r="10043" spans="1:6" x14ac:dyDescent="0.2">
      <c r="A10043" s="391">
        <v>37553</v>
      </c>
      <c r="B10043" s="478" t="s">
        <v>42589</v>
      </c>
      <c r="C10043" s="391" t="s">
        <v>1284</v>
      </c>
      <c r="D10043" s="479">
        <v>2.39</v>
      </c>
      <c r="E10043" s="368"/>
      <c r="F10043" s="368"/>
    </row>
    <row r="10044" spans="1:6" x14ac:dyDescent="0.2">
      <c r="A10044" s="391">
        <v>37552</v>
      </c>
      <c r="B10044" s="478" t="s">
        <v>42590</v>
      </c>
      <c r="C10044" s="391" t="s">
        <v>1284</v>
      </c>
      <c r="D10044" s="479">
        <v>3.84</v>
      </c>
      <c r="E10044" s="368"/>
      <c r="F10044" s="368"/>
    </row>
    <row r="10045" spans="1:6" x14ac:dyDescent="0.2">
      <c r="A10045" s="391">
        <v>36880</v>
      </c>
      <c r="B10045" s="478" t="s">
        <v>42591</v>
      </c>
      <c r="C10045" s="391" t="s">
        <v>1284</v>
      </c>
      <c r="D10045" s="479">
        <v>3.9</v>
      </c>
      <c r="E10045" s="368"/>
      <c r="F10045" s="368"/>
    </row>
    <row r="10046" spans="1:6" x14ac:dyDescent="0.2">
      <c r="A10046" s="391">
        <v>34355</v>
      </c>
      <c r="B10046" s="478" t="s">
        <v>42592</v>
      </c>
      <c r="C10046" s="391" t="s">
        <v>1284</v>
      </c>
      <c r="D10046" s="479">
        <v>3.36</v>
      </c>
      <c r="E10046" s="368"/>
      <c r="F10046" s="368"/>
    </row>
    <row r="10047" spans="1:6" x14ac:dyDescent="0.2">
      <c r="A10047" s="391">
        <v>130</v>
      </c>
      <c r="B10047" s="478" t="s">
        <v>42593</v>
      </c>
      <c r="C10047" s="391" t="s">
        <v>1284</v>
      </c>
      <c r="D10047" s="479">
        <v>4.79</v>
      </c>
      <c r="E10047" s="368"/>
      <c r="F10047" s="368"/>
    </row>
    <row r="10048" spans="1:6" ht="25.5" x14ac:dyDescent="0.2">
      <c r="A10048" s="391">
        <v>135</v>
      </c>
      <c r="B10048" s="478" t="s">
        <v>42594</v>
      </c>
      <c r="C10048" s="391" t="s">
        <v>1284</v>
      </c>
      <c r="D10048" s="479">
        <v>3.85</v>
      </c>
      <c r="E10048" s="368"/>
      <c r="F10048" s="368"/>
    </row>
    <row r="10049" spans="1:6" x14ac:dyDescent="0.2">
      <c r="A10049" s="391">
        <v>36886</v>
      </c>
      <c r="B10049" s="478" t="s">
        <v>42595</v>
      </c>
      <c r="C10049" s="391" t="s">
        <v>1284</v>
      </c>
      <c r="D10049" s="479">
        <v>1.21</v>
      </c>
      <c r="E10049" s="368"/>
      <c r="F10049" s="368"/>
    </row>
    <row r="10050" spans="1:6" ht="38.25" x14ac:dyDescent="0.2">
      <c r="A10050" s="391">
        <v>38546</v>
      </c>
      <c r="B10050" s="478" t="s">
        <v>42596</v>
      </c>
      <c r="C10050" s="391" t="s">
        <v>271</v>
      </c>
      <c r="D10050" s="479">
        <v>523.75</v>
      </c>
      <c r="E10050" s="368"/>
      <c r="F10050" s="368"/>
    </row>
    <row r="10051" spans="1:6" x14ac:dyDescent="0.2">
      <c r="A10051" s="391">
        <v>34549</v>
      </c>
      <c r="B10051" s="478" t="s">
        <v>42597</v>
      </c>
      <c r="C10051" s="391" t="s">
        <v>271</v>
      </c>
      <c r="D10051" s="479"/>
      <c r="E10051" s="368"/>
      <c r="F10051" s="368"/>
    </row>
    <row r="10052" spans="1:6" x14ac:dyDescent="0.2">
      <c r="A10052" s="391">
        <v>6081</v>
      </c>
      <c r="B10052" s="478" t="s">
        <v>42598</v>
      </c>
      <c r="C10052" s="391" t="s">
        <v>271</v>
      </c>
      <c r="D10052" s="479"/>
      <c r="E10052" s="368"/>
      <c r="F10052" s="368"/>
    </row>
    <row r="10053" spans="1:6" ht="25.5" x14ac:dyDescent="0.2">
      <c r="A10053" s="391">
        <v>6077</v>
      </c>
      <c r="B10053" s="478" t="s">
        <v>42599</v>
      </c>
      <c r="C10053" s="391" t="s">
        <v>271</v>
      </c>
      <c r="D10053" s="479"/>
      <c r="E10053" s="368"/>
      <c r="F10053" s="368"/>
    </row>
    <row r="10054" spans="1:6" ht="25.5" x14ac:dyDescent="0.2">
      <c r="A10054" s="391">
        <v>6079</v>
      </c>
      <c r="B10054" s="478" t="s">
        <v>42600</v>
      </c>
      <c r="C10054" s="391" t="s">
        <v>271</v>
      </c>
      <c r="D10054" s="479"/>
      <c r="E10054" s="368"/>
      <c r="F10054" s="368"/>
    </row>
    <row r="10055" spans="1:6" ht="25.5" x14ac:dyDescent="0.2">
      <c r="A10055" s="391">
        <v>1091</v>
      </c>
      <c r="B10055" s="478" t="s">
        <v>42601</v>
      </c>
      <c r="C10055" s="391" t="s">
        <v>26</v>
      </c>
      <c r="D10055" s="479"/>
      <c r="E10055" s="368"/>
      <c r="F10055" s="368"/>
    </row>
    <row r="10056" spans="1:6" ht="25.5" x14ac:dyDescent="0.2">
      <c r="A10056" s="391">
        <v>1094</v>
      </c>
      <c r="B10056" s="478" t="s">
        <v>42602</v>
      </c>
      <c r="C10056" s="391" t="s">
        <v>26</v>
      </c>
      <c r="D10056" s="479"/>
      <c r="E10056" s="368"/>
      <c r="F10056" s="368"/>
    </row>
    <row r="10057" spans="1:6" ht="25.5" x14ac:dyDescent="0.2">
      <c r="A10057" s="391">
        <v>1095</v>
      </c>
      <c r="B10057" s="478" t="s">
        <v>42603</v>
      </c>
      <c r="C10057" s="391" t="s">
        <v>26</v>
      </c>
      <c r="D10057" s="479"/>
      <c r="E10057" s="368"/>
      <c r="F10057" s="368"/>
    </row>
    <row r="10058" spans="1:6" ht="25.5" x14ac:dyDescent="0.2">
      <c r="A10058" s="391">
        <v>1092</v>
      </c>
      <c r="B10058" s="478" t="s">
        <v>42604</v>
      </c>
      <c r="C10058" s="391" t="s">
        <v>26</v>
      </c>
      <c r="D10058" s="479"/>
      <c r="E10058" s="368"/>
      <c r="F10058" s="368"/>
    </row>
    <row r="10059" spans="1:6" ht="25.5" x14ac:dyDescent="0.2">
      <c r="A10059" s="391">
        <v>1093</v>
      </c>
      <c r="B10059" s="478" t="s">
        <v>42605</v>
      </c>
      <c r="C10059" s="391" t="s">
        <v>26</v>
      </c>
      <c r="D10059" s="479"/>
      <c r="E10059" s="368"/>
      <c r="F10059" s="368"/>
    </row>
    <row r="10060" spans="1:6" ht="25.5" x14ac:dyDescent="0.2">
      <c r="A10060" s="391">
        <v>1090</v>
      </c>
      <c r="B10060" s="478" t="s">
        <v>42606</v>
      </c>
      <c r="C10060" s="391" t="s">
        <v>26</v>
      </c>
      <c r="D10060" s="479"/>
      <c r="E10060" s="368"/>
      <c r="F10060" s="368"/>
    </row>
    <row r="10061" spans="1:6" ht="25.5" x14ac:dyDescent="0.2">
      <c r="A10061" s="391">
        <v>1096</v>
      </c>
      <c r="B10061" s="478" t="s">
        <v>42607</v>
      </c>
      <c r="C10061" s="391" t="s">
        <v>26</v>
      </c>
      <c r="D10061" s="479"/>
      <c r="E10061" s="368"/>
      <c r="F10061" s="368"/>
    </row>
    <row r="10062" spans="1:6" ht="25.5" x14ac:dyDescent="0.2">
      <c r="A10062" s="391">
        <v>1097</v>
      </c>
      <c r="B10062" s="478" t="s">
        <v>42608</v>
      </c>
      <c r="C10062" s="391" t="s">
        <v>26</v>
      </c>
      <c r="D10062" s="479"/>
      <c r="E10062" s="368"/>
      <c r="F10062" s="368"/>
    </row>
    <row r="10063" spans="1:6" x14ac:dyDescent="0.2">
      <c r="A10063" s="391">
        <v>378</v>
      </c>
      <c r="B10063" s="478" t="s">
        <v>42609</v>
      </c>
      <c r="C10063" s="391" t="s">
        <v>558</v>
      </c>
      <c r="D10063" s="479">
        <v>18.350000000000001</v>
      </c>
      <c r="E10063" s="368"/>
      <c r="F10063" s="368"/>
    </row>
    <row r="10064" spans="1:6" x14ac:dyDescent="0.2">
      <c r="A10064" s="391">
        <v>40911</v>
      </c>
      <c r="B10064" s="478" t="s">
        <v>42610</v>
      </c>
      <c r="C10064" s="391" t="s">
        <v>5681</v>
      </c>
      <c r="D10064" s="479">
        <v>3227.47</v>
      </c>
      <c r="E10064" s="368"/>
      <c r="F10064" s="368"/>
    </row>
    <row r="10065" spans="1:6" x14ac:dyDescent="0.2">
      <c r="A10065" s="391">
        <v>33939</v>
      </c>
      <c r="B10065" s="478" t="s">
        <v>42611</v>
      </c>
      <c r="C10065" s="391" t="s">
        <v>558</v>
      </c>
      <c r="D10065" s="479">
        <v>110.61</v>
      </c>
      <c r="E10065" s="368"/>
      <c r="F10065" s="368"/>
    </row>
    <row r="10066" spans="1:6" x14ac:dyDescent="0.2">
      <c r="A10066" s="391">
        <v>40815</v>
      </c>
      <c r="B10066" s="478" t="s">
        <v>42612</v>
      </c>
      <c r="C10066" s="391" t="s">
        <v>5681</v>
      </c>
      <c r="D10066" s="479">
        <v>19440.03</v>
      </c>
      <c r="E10066" s="368"/>
      <c r="F10066" s="368"/>
    </row>
    <row r="10067" spans="1:6" x14ac:dyDescent="0.2">
      <c r="A10067" s="391">
        <v>33952</v>
      </c>
      <c r="B10067" s="478" t="s">
        <v>42613</v>
      </c>
      <c r="C10067" s="391" t="s">
        <v>558</v>
      </c>
      <c r="D10067" s="479">
        <v>117.18</v>
      </c>
      <c r="E10067" s="368"/>
      <c r="F10067" s="368"/>
    </row>
    <row r="10068" spans="1:6" x14ac:dyDescent="0.2">
      <c r="A10068" s="391">
        <v>40816</v>
      </c>
      <c r="B10068" s="478" t="s">
        <v>42614</v>
      </c>
      <c r="C10068" s="391" t="s">
        <v>5681</v>
      </c>
      <c r="D10068" s="479">
        <v>20594.84</v>
      </c>
      <c r="E10068" s="368"/>
      <c r="F10068" s="368"/>
    </row>
    <row r="10069" spans="1:6" x14ac:dyDescent="0.2">
      <c r="A10069" s="391">
        <v>33953</v>
      </c>
      <c r="B10069" s="478" t="s">
        <v>42615</v>
      </c>
      <c r="C10069" s="391" t="s">
        <v>558</v>
      </c>
      <c r="D10069" s="479">
        <v>122.81</v>
      </c>
      <c r="E10069" s="368"/>
      <c r="F10069" s="368"/>
    </row>
    <row r="10070" spans="1:6" x14ac:dyDescent="0.2">
      <c r="A10070" s="391">
        <v>40817</v>
      </c>
      <c r="B10070" s="478" t="s">
        <v>42616</v>
      </c>
      <c r="C10070" s="391" t="s">
        <v>5681</v>
      </c>
      <c r="D10070" s="479">
        <v>21584.06</v>
      </c>
      <c r="E10070" s="368"/>
      <c r="F10070" s="368"/>
    </row>
    <row r="10071" spans="1:6" ht="25.5" x14ac:dyDescent="0.2">
      <c r="A10071" s="391">
        <v>13348</v>
      </c>
      <c r="B10071" s="478" t="s">
        <v>42617</v>
      </c>
      <c r="C10071" s="391" t="s">
        <v>26</v>
      </c>
      <c r="D10071" s="479"/>
      <c r="E10071" s="368"/>
      <c r="F10071" s="368"/>
    </row>
    <row r="10072" spans="1:6" x14ac:dyDescent="0.2">
      <c r="A10072" s="391">
        <v>39212</v>
      </c>
      <c r="B10072" s="478" t="s">
        <v>42618</v>
      </c>
      <c r="C10072" s="391" t="s">
        <v>26</v>
      </c>
      <c r="D10072" s="479"/>
      <c r="E10072" s="368"/>
      <c r="F10072" s="368"/>
    </row>
    <row r="10073" spans="1:6" x14ac:dyDescent="0.2">
      <c r="A10073" s="391">
        <v>39211</v>
      </c>
      <c r="B10073" s="478" t="s">
        <v>42619</v>
      </c>
      <c r="C10073" s="391" t="s">
        <v>26</v>
      </c>
      <c r="D10073" s="479"/>
      <c r="E10073" s="368"/>
      <c r="F10073" s="368"/>
    </row>
    <row r="10074" spans="1:6" x14ac:dyDescent="0.2">
      <c r="A10074" s="391">
        <v>39210</v>
      </c>
      <c r="B10074" s="478" t="s">
        <v>42620</v>
      </c>
      <c r="C10074" s="391" t="s">
        <v>26</v>
      </c>
      <c r="D10074" s="479"/>
      <c r="E10074" s="368"/>
      <c r="F10074" s="368"/>
    </row>
    <row r="10075" spans="1:6" x14ac:dyDescent="0.2">
      <c r="A10075" s="391">
        <v>39208</v>
      </c>
      <c r="B10075" s="478" t="s">
        <v>42621</v>
      </c>
      <c r="C10075" s="391" t="s">
        <v>26</v>
      </c>
      <c r="D10075" s="479"/>
      <c r="E10075" s="368"/>
      <c r="F10075" s="368"/>
    </row>
    <row r="10076" spans="1:6" x14ac:dyDescent="0.2">
      <c r="A10076" s="391">
        <v>39214</v>
      </c>
      <c r="B10076" s="478" t="s">
        <v>42622</v>
      </c>
      <c r="C10076" s="391" t="s">
        <v>26</v>
      </c>
      <c r="D10076" s="479"/>
      <c r="E10076" s="368"/>
      <c r="F10076" s="368"/>
    </row>
    <row r="10077" spans="1:6" x14ac:dyDescent="0.2">
      <c r="A10077" s="391">
        <v>39213</v>
      </c>
      <c r="B10077" s="478" t="s">
        <v>42623</v>
      </c>
      <c r="C10077" s="391" t="s">
        <v>26</v>
      </c>
      <c r="D10077" s="479"/>
      <c r="E10077" s="368"/>
      <c r="F10077" s="368"/>
    </row>
    <row r="10078" spans="1:6" x14ac:dyDescent="0.2">
      <c r="A10078" s="391">
        <v>39215</v>
      </c>
      <c r="B10078" s="478" t="s">
        <v>42624</v>
      </c>
      <c r="C10078" s="391" t="s">
        <v>26</v>
      </c>
      <c r="D10078" s="479"/>
      <c r="E10078" s="368"/>
      <c r="F10078" s="368"/>
    </row>
    <row r="10079" spans="1:6" x14ac:dyDescent="0.2">
      <c r="A10079" s="391">
        <v>39209</v>
      </c>
      <c r="B10079" s="478" t="s">
        <v>42625</v>
      </c>
      <c r="C10079" s="391" t="s">
        <v>26</v>
      </c>
      <c r="D10079" s="479"/>
      <c r="E10079" s="368"/>
      <c r="F10079" s="368"/>
    </row>
    <row r="10080" spans="1:6" x14ac:dyDescent="0.2">
      <c r="A10080" s="391">
        <v>39207</v>
      </c>
      <c r="B10080" s="478" t="s">
        <v>42626</v>
      </c>
      <c r="C10080" s="391" t="s">
        <v>26</v>
      </c>
      <c r="D10080" s="479"/>
      <c r="E10080" s="368"/>
      <c r="F10080" s="368"/>
    </row>
    <row r="10081" spans="1:6" x14ac:dyDescent="0.2">
      <c r="A10081" s="391">
        <v>39216</v>
      </c>
      <c r="B10081" s="478" t="s">
        <v>42627</v>
      </c>
      <c r="C10081" s="391" t="s">
        <v>26</v>
      </c>
      <c r="D10081" s="479"/>
      <c r="E10081" s="368"/>
      <c r="F10081" s="368"/>
    </row>
    <row r="10082" spans="1:6" ht="38.25" x14ac:dyDescent="0.2">
      <c r="A10082" s="391">
        <v>11267</v>
      </c>
      <c r="B10082" s="478" t="s">
        <v>42628</v>
      </c>
      <c r="C10082" s="391" t="s">
        <v>26</v>
      </c>
      <c r="D10082" s="479"/>
      <c r="E10082" s="368"/>
      <c r="F10082" s="368"/>
    </row>
    <row r="10083" spans="1:6" ht="25.5" x14ac:dyDescent="0.2">
      <c r="A10083" s="391">
        <v>379</v>
      </c>
      <c r="B10083" s="478" t="s">
        <v>42629</v>
      </c>
      <c r="C10083" s="391" t="s">
        <v>26</v>
      </c>
      <c r="D10083" s="479"/>
      <c r="E10083" s="368"/>
      <c r="F10083" s="368"/>
    </row>
    <row r="10084" spans="1:6" ht="25.5" x14ac:dyDescent="0.2">
      <c r="A10084" s="391">
        <v>510</v>
      </c>
      <c r="B10084" s="478" t="s">
        <v>42630</v>
      </c>
      <c r="C10084" s="391" t="s">
        <v>1284</v>
      </c>
      <c r="D10084" s="479"/>
      <c r="E10084" s="368"/>
      <c r="F10084" s="368"/>
    </row>
    <row r="10085" spans="1:6" ht="25.5" x14ac:dyDescent="0.2">
      <c r="A10085" s="391">
        <v>516</v>
      </c>
      <c r="B10085" s="478" t="s">
        <v>42631</v>
      </c>
      <c r="C10085" s="391" t="s">
        <v>1284</v>
      </c>
      <c r="D10085" s="479"/>
      <c r="E10085" s="368"/>
      <c r="F10085" s="368"/>
    </row>
    <row r="10086" spans="1:6" ht="25.5" x14ac:dyDescent="0.2">
      <c r="A10086" s="391">
        <v>509</v>
      </c>
      <c r="B10086" s="478" t="s">
        <v>42632</v>
      </c>
      <c r="C10086" s="391" t="s">
        <v>1284</v>
      </c>
      <c r="D10086" s="479"/>
      <c r="E10086" s="368"/>
      <c r="F10086" s="368"/>
    </row>
    <row r="10087" spans="1:6" x14ac:dyDescent="0.2">
      <c r="A10087" s="391">
        <v>40331</v>
      </c>
      <c r="B10087" s="478" t="s">
        <v>42633</v>
      </c>
      <c r="C10087" s="391" t="s">
        <v>558</v>
      </c>
      <c r="D10087" s="479">
        <v>13.12</v>
      </c>
      <c r="E10087" s="368"/>
      <c r="F10087" s="368"/>
    </row>
    <row r="10088" spans="1:6" x14ac:dyDescent="0.2">
      <c r="A10088" s="391">
        <v>40930</v>
      </c>
      <c r="B10088" s="478" t="s">
        <v>42634</v>
      </c>
      <c r="C10088" s="391" t="s">
        <v>5681</v>
      </c>
      <c r="D10088" s="479">
        <v>2309.0300000000002</v>
      </c>
      <c r="E10088" s="368"/>
      <c r="F10088" s="368"/>
    </row>
    <row r="10089" spans="1:6" x14ac:dyDescent="0.2">
      <c r="A10089" s="391">
        <v>377</v>
      </c>
      <c r="B10089" s="478" t="s">
        <v>42635</v>
      </c>
      <c r="C10089" s="391" t="s">
        <v>26</v>
      </c>
      <c r="D10089" s="479">
        <v>39.950000000000003</v>
      </c>
      <c r="E10089" s="368"/>
      <c r="F10089" s="368"/>
    </row>
    <row r="10090" spans="1:6" x14ac:dyDescent="0.2">
      <c r="A10090" s="391">
        <v>11761</v>
      </c>
      <c r="B10090" s="478" t="s">
        <v>42636</v>
      </c>
      <c r="C10090" s="391" t="s">
        <v>26</v>
      </c>
      <c r="D10090" s="479">
        <v>85.01</v>
      </c>
      <c r="E10090" s="368"/>
      <c r="F10090" s="368"/>
    </row>
    <row r="10091" spans="1:6" x14ac:dyDescent="0.2">
      <c r="A10091" s="391">
        <v>7588</v>
      </c>
      <c r="B10091" s="478" t="s">
        <v>42637</v>
      </c>
      <c r="C10091" s="391" t="s">
        <v>26</v>
      </c>
      <c r="D10091" s="479">
        <v>42.37</v>
      </c>
      <c r="E10091" s="368"/>
      <c r="F10091" s="368"/>
    </row>
    <row r="10092" spans="1:6" x14ac:dyDescent="0.2">
      <c r="A10092" s="391">
        <v>34551</v>
      </c>
      <c r="B10092" s="478" t="s">
        <v>42638</v>
      </c>
      <c r="C10092" s="391" t="s">
        <v>558</v>
      </c>
      <c r="D10092" s="479">
        <v>12.04</v>
      </c>
      <c r="E10092" s="368"/>
      <c r="F10092" s="368"/>
    </row>
    <row r="10093" spans="1:6" x14ac:dyDescent="0.2">
      <c r="A10093" s="391">
        <v>41078</v>
      </c>
      <c r="B10093" s="478" t="s">
        <v>42639</v>
      </c>
      <c r="C10093" s="391" t="s">
        <v>5681</v>
      </c>
      <c r="D10093" s="479">
        <v>2120.08</v>
      </c>
      <c r="E10093" s="368"/>
      <c r="F10093" s="368"/>
    </row>
    <row r="10094" spans="1:6" x14ac:dyDescent="0.2">
      <c r="A10094" s="391">
        <v>246</v>
      </c>
      <c r="B10094" s="478" t="s">
        <v>42640</v>
      </c>
      <c r="C10094" s="391" t="s">
        <v>558</v>
      </c>
      <c r="D10094" s="479">
        <v>14.35</v>
      </c>
      <c r="E10094" s="368"/>
      <c r="F10094" s="368"/>
    </row>
    <row r="10095" spans="1:6" x14ac:dyDescent="0.2">
      <c r="A10095" s="391">
        <v>40927</v>
      </c>
      <c r="B10095" s="478" t="s">
        <v>42641</v>
      </c>
      <c r="C10095" s="391" t="s">
        <v>5681</v>
      </c>
      <c r="D10095" s="479">
        <v>2523.52</v>
      </c>
      <c r="E10095" s="368"/>
      <c r="F10095" s="368"/>
    </row>
    <row r="10096" spans="1:6" x14ac:dyDescent="0.2">
      <c r="A10096" s="391">
        <v>2350</v>
      </c>
      <c r="B10096" s="478" t="s">
        <v>42642</v>
      </c>
      <c r="C10096" s="391" t="s">
        <v>558</v>
      </c>
      <c r="D10096" s="479">
        <v>14.37</v>
      </c>
      <c r="E10096" s="368"/>
      <c r="F10096" s="368"/>
    </row>
    <row r="10097" spans="1:6" x14ac:dyDescent="0.2">
      <c r="A10097" s="391">
        <v>40812</v>
      </c>
      <c r="B10097" s="478" t="s">
        <v>42643</v>
      </c>
      <c r="C10097" s="391" t="s">
        <v>5681</v>
      </c>
      <c r="D10097" s="479">
        <v>2527.27</v>
      </c>
      <c r="E10097" s="368"/>
      <c r="F10097" s="368"/>
    </row>
    <row r="10098" spans="1:6" x14ac:dyDescent="0.2">
      <c r="A10098" s="391">
        <v>245</v>
      </c>
      <c r="B10098" s="478" t="s">
        <v>42644</v>
      </c>
      <c r="C10098" s="391" t="s">
        <v>558</v>
      </c>
      <c r="D10098" s="479">
        <v>25.17</v>
      </c>
      <c r="E10098" s="368"/>
      <c r="F10098" s="368"/>
    </row>
    <row r="10099" spans="1:6" x14ac:dyDescent="0.2">
      <c r="A10099" s="391">
        <v>41090</v>
      </c>
      <c r="B10099" s="478" t="s">
        <v>42645</v>
      </c>
      <c r="C10099" s="391" t="s">
        <v>5681</v>
      </c>
      <c r="D10099" s="479">
        <v>4424.88</v>
      </c>
      <c r="E10099" s="368"/>
      <c r="F10099" s="368"/>
    </row>
    <row r="10100" spans="1:6" x14ac:dyDescent="0.2">
      <c r="A10100" s="391">
        <v>251</v>
      </c>
      <c r="B10100" s="478" t="s">
        <v>42646</v>
      </c>
      <c r="C10100" s="391" t="s">
        <v>558</v>
      </c>
      <c r="D10100" s="479">
        <v>14.35</v>
      </c>
      <c r="E10100" s="368"/>
      <c r="F10100" s="368"/>
    </row>
    <row r="10101" spans="1:6" x14ac:dyDescent="0.2">
      <c r="A10101" s="391">
        <v>40975</v>
      </c>
      <c r="B10101" s="478" t="s">
        <v>42647</v>
      </c>
      <c r="C10101" s="391" t="s">
        <v>5681</v>
      </c>
      <c r="D10101" s="479">
        <v>2523.52</v>
      </c>
      <c r="E10101" s="368"/>
      <c r="F10101" s="368"/>
    </row>
    <row r="10102" spans="1:6" x14ac:dyDescent="0.2">
      <c r="A10102" s="391">
        <v>6127</v>
      </c>
      <c r="B10102" s="478" t="s">
        <v>42648</v>
      </c>
      <c r="C10102" s="391" t="s">
        <v>558</v>
      </c>
      <c r="D10102" s="479">
        <v>14.35</v>
      </c>
      <c r="E10102" s="368"/>
      <c r="F10102" s="368"/>
    </row>
    <row r="10103" spans="1:6" x14ac:dyDescent="0.2">
      <c r="A10103" s="391">
        <v>41072</v>
      </c>
      <c r="B10103" s="478" t="s">
        <v>42649</v>
      </c>
      <c r="C10103" s="391" t="s">
        <v>5681</v>
      </c>
      <c r="D10103" s="479">
        <v>2523.52</v>
      </c>
      <c r="E10103" s="368"/>
      <c r="F10103" s="368"/>
    </row>
    <row r="10104" spans="1:6" x14ac:dyDescent="0.2">
      <c r="A10104" s="391">
        <v>6121</v>
      </c>
      <c r="B10104" s="478" t="s">
        <v>42650</v>
      </c>
      <c r="C10104" s="391" t="s">
        <v>558</v>
      </c>
      <c r="D10104" s="479">
        <v>13.25</v>
      </c>
      <c r="E10104" s="368"/>
      <c r="F10104" s="368"/>
    </row>
    <row r="10105" spans="1:6" x14ac:dyDescent="0.2">
      <c r="A10105" s="391">
        <v>41071</v>
      </c>
      <c r="B10105" s="478" t="s">
        <v>42651</v>
      </c>
      <c r="C10105" s="391" t="s">
        <v>5681</v>
      </c>
      <c r="D10105" s="479">
        <v>2330.13</v>
      </c>
      <c r="E10105" s="368"/>
      <c r="F10105" s="368"/>
    </row>
    <row r="10106" spans="1:6" x14ac:dyDescent="0.2">
      <c r="A10106" s="391">
        <v>244</v>
      </c>
      <c r="B10106" s="478" t="s">
        <v>42652</v>
      </c>
      <c r="C10106" s="391" t="s">
        <v>558</v>
      </c>
      <c r="D10106" s="479">
        <v>15.31</v>
      </c>
      <c r="E10106" s="368"/>
      <c r="F10106" s="368"/>
    </row>
    <row r="10107" spans="1:6" x14ac:dyDescent="0.2">
      <c r="A10107" s="391">
        <v>41093</v>
      </c>
      <c r="B10107" s="478" t="s">
        <v>42653</v>
      </c>
      <c r="C10107" s="391" t="s">
        <v>5681</v>
      </c>
      <c r="D10107" s="479">
        <v>2691.46</v>
      </c>
      <c r="E10107" s="368"/>
      <c r="F10107" s="368"/>
    </row>
    <row r="10108" spans="1:6" x14ac:dyDescent="0.2">
      <c r="A10108" s="391">
        <v>532</v>
      </c>
      <c r="B10108" s="478" t="s">
        <v>42654</v>
      </c>
      <c r="C10108" s="391" t="s">
        <v>558</v>
      </c>
      <c r="D10108" s="479">
        <v>26.57</v>
      </c>
      <c r="E10108" s="368"/>
      <c r="F10108" s="368"/>
    </row>
    <row r="10109" spans="1:6" x14ac:dyDescent="0.2">
      <c r="A10109" s="391">
        <v>40931</v>
      </c>
      <c r="B10109" s="478" t="s">
        <v>42655</v>
      </c>
      <c r="C10109" s="391" t="s">
        <v>5681</v>
      </c>
      <c r="D10109" s="479">
        <v>4670.9399999999996</v>
      </c>
      <c r="E10109" s="368"/>
      <c r="F10109" s="368"/>
    </row>
    <row r="10110" spans="1:6" x14ac:dyDescent="0.2">
      <c r="A10110" s="391">
        <v>36150</v>
      </c>
      <c r="B10110" s="478" t="s">
        <v>42656</v>
      </c>
      <c r="C10110" s="391" t="s">
        <v>26</v>
      </c>
      <c r="D10110" s="479">
        <v>45.39</v>
      </c>
      <c r="E10110" s="368"/>
      <c r="F10110" s="368"/>
    </row>
    <row r="10111" spans="1:6" ht="25.5" x14ac:dyDescent="0.2">
      <c r="A10111" s="391">
        <v>45262</v>
      </c>
      <c r="B10111" s="478" t="s">
        <v>48233</v>
      </c>
      <c r="C10111" s="391" t="s">
        <v>26</v>
      </c>
      <c r="D10111" s="479">
        <v>13.51</v>
      </c>
      <c r="E10111" s="368"/>
      <c r="F10111" s="368"/>
    </row>
    <row r="10112" spans="1:6" x14ac:dyDescent="0.2">
      <c r="A10112" s="391">
        <v>4760</v>
      </c>
      <c r="B10112" s="478" t="s">
        <v>42657</v>
      </c>
      <c r="C10112" s="391" t="s">
        <v>558</v>
      </c>
      <c r="D10112" s="479">
        <v>18.29</v>
      </c>
      <c r="E10112" s="368"/>
      <c r="F10112" s="368"/>
    </row>
    <row r="10113" spans="1:6" x14ac:dyDescent="0.2">
      <c r="A10113" s="391">
        <v>41069</v>
      </c>
      <c r="B10113" s="478" t="s">
        <v>42658</v>
      </c>
      <c r="C10113" s="391" t="s">
        <v>5681</v>
      </c>
      <c r="D10113" s="479">
        <v>3214.9</v>
      </c>
      <c r="E10113" s="368"/>
      <c r="F10113" s="368"/>
    </row>
    <row r="10114" spans="1:6" ht="25.5" x14ac:dyDescent="0.2">
      <c r="A10114" s="391">
        <v>10422</v>
      </c>
      <c r="B10114" s="478" t="s">
        <v>42659</v>
      </c>
      <c r="C10114" s="391" t="s">
        <v>26</v>
      </c>
      <c r="D10114" s="479">
        <v>400.94</v>
      </c>
      <c r="E10114" s="368"/>
      <c r="F10114" s="368"/>
    </row>
    <row r="10115" spans="1:6" ht="25.5" x14ac:dyDescent="0.2">
      <c r="A10115" s="391">
        <v>44019</v>
      </c>
      <c r="B10115" s="478" t="s">
        <v>42660</v>
      </c>
      <c r="C10115" s="391" t="s">
        <v>26</v>
      </c>
      <c r="D10115" s="479">
        <v>555</v>
      </c>
      <c r="E10115" s="368"/>
      <c r="F10115" s="368"/>
    </row>
    <row r="10116" spans="1:6" ht="25.5" x14ac:dyDescent="0.2">
      <c r="A10116" s="391">
        <v>36520</v>
      </c>
      <c r="B10116" s="478" t="s">
        <v>42661</v>
      </c>
      <c r="C10116" s="391" t="s">
        <v>26</v>
      </c>
      <c r="D10116" s="479">
        <v>674.82</v>
      </c>
      <c r="E10116" s="368"/>
      <c r="F10116" s="368"/>
    </row>
    <row r="10117" spans="1:6" ht="25.5" x14ac:dyDescent="0.2">
      <c r="A10117" s="391">
        <v>42319</v>
      </c>
      <c r="B10117" s="478" t="s">
        <v>42662</v>
      </c>
      <c r="C10117" s="391" t="s">
        <v>26</v>
      </c>
      <c r="D10117" s="479">
        <v>604.67999999999995</v>
      </c>
      <c r="E10117" s="368"/>
      <c r="F10117" s="368"/>
    </row>
    <row r="10118" spans="1:6" ht="25.5" x14ac:dyDescent="0.2">
      <c r="A10118" s="391">
        <v>10420</v>
      </c>
      <c r="B10118" s="478" t="s">
        <v>42663</v>
      </c>
      <c r="C10118" s="391" t="s">
        <v>26</v>
      </c>
      <c r="D10118" s="479">
        <v>214.5</v>
      </c>
      <c r="E10118" s="368"/>
      <c r="F10118" s="368"/>
    </row>
    <row r="10119" spans="1:6" ht="25.5" x14ac:dyDescent="0.2">
      <c r="A10119" s="391">
        <v>10421</v>
      </c>
      <c r="B10119" s="478" t="s">
        <v>42664</v>
      </c>
      <c r="C10119" s="391" t="s">
        <v>26</v>
      </c>
      <c r="D10119" s="479">
        <v>235.71</v>
      </c>
      <c r="E10119" s="368"/>
      <c r="F10119" s="368"/>
    </row>
    <row r="10120" spans="1:6" ht="25.5" x14ac:dyDescent="0.2">
      <c r="A10120" s="391">
        <v>11786</v>
      </c>
      <c r="B10120" s="478" t="s">
        <v>42665</v>
      </c>
      <c r="C10120" s="391" t="s">
        <v>26</v>
      </c>
      <c r="D10120" s="479">
        <v>475.28</v>
      </c>
      <c r="E10120" s="368"/>
      <c r="F10120" s="368"/>
    </row>
    <row r="10121" spans="1:6" x14ac:dyDescent="0.2">
      <c r="A10121" s="391">
        <v>45195</v>
      </c>
      <c r="B10121" s="478" t="s">
        <v>48234</v>
      </c>
      <c r="C10121" s="391" t="s">
        <v>26</v>
      </c>
      <c r="D10121" s="479"/>
      <c r="E10121" s="368"/>
      <c r="F10121" s="368"/>
    </row>
    <row r="10122" spans="1:6" x14ac:dyDescent="0.2">
      <c r="A10122" s="391">
        <v>45226</v>
      </c>
      <c r="B10122" s="478" t="s">
        <v>48235</v>
      </c>
      <c r="C10122" s="391" t="s">
        <v>26</v>
      </c>
      <c r="D10122" s="479"/>
      <c r="E10122" s="368"/>
      <c r="F10122" s="368"/>
    </row>
    <row r="10123" spans="1:6" x14ac:dyDescent="0.2">
      <c r="A10123" s="391">
        <v>4815</v>
      </c>
      <c r="B10123" s="478" t="s">
        <v>42666</v>
      </c>
      <c r="C10123" s="391" t="s">
        <v>26</v>
      </c>
      <c r="D10123" s="479">
        <v>11.12</v>
      </c>
      <c r="E10123" s="368"/>
      <c r="F10123" s="368"/>
    </row>
    <row r="10124" spans="1:6" x14ac:dyDescent="0.2">
      <c r="A10124" s="391">
        <v>541</v>
      </c>
      <c r="B10124" s="478" t="s">
        <v>42667</v>
      </c>
      <c r="C10124" s="391" t="s">
        <v>26</v>
      </c>
      <c r="D10124" s="479">
        <v>136</v>
      </c>
      <c r="E10124" s="368"/>
      <c r="F10124" s="368"/>
    </row>
    <row r="10125" spans="1:6" x14ac:dyDescent="0.2">
      <c r="A10125" s="391">
        <v>542</v>
      </c>
      <c r="B10125" s="478" t="s">
        <v>42668</v>
      </c>
      <c r="C10125" s="391" t="s">
        <v>26</v>
      </c>
      <c r="D10125" s="479">
        <v>170.47</v>
      </c>
      <c r="E10125" s="368"/>
      <c r="F10125" s="368"/>
    </row>
    <row r="10126" spans="1:6" x14ac:dyDescent="0.2">
      <c r="A10126" s="391">
        <v>540</v>
      </c>
      <c r="B10126" s="478" t="s">
        <v>42669</v>
      </c>
      <c r="C10126" s="391" t="s">
        <v>26</v>
      </c>
      <c r="D10126" s="479">
        <v>384.17</v>
      </c>
      <c r="E10126" s="368"/>
      <c r="F10126" s="368"/>
    </row>
    <row r="10127" spans="1:6" ht="38.25" x14ac:dyDescent="0.2">
      <c r="A10127" s="391">
        <v>38364</v>
      </c>
      <c r="B10127" s="478" t="s">
        <v>42670</v>
      </c>
      <c r="C10127" s="391" t="s">
        <v>26</v>
      </c>
      <c r="D10127" s="479">
        <v>718.02</v>
      </c>
      <c r="E10127" s="368"/>
      <c r="F10127" s="368"/>
    </row>
    <row r="10128" spans="1:6" ht="25.5" x14ac:dyDescent="0.2">
      <c r="A10128" s="391">
        <v>11692</v>
      </c>
      <c r="B10128" s="478" t="s">
        <v>42671</v>
      </c>
      <c r="C10128" s="391" t="s">
        <v>255</v>
      </c>
      <c r="D10128" s="479">
        <v>502.71</v>
      </c>
      <c r="E10128" s="368"/>
      <c r="F10128" s="368"/>
    </row>
    <row r="10129" spans="1:6" ht="25.5" x14ac:dyDescent="0.2">
      <c r="A10129" s="391">
        <v>1746</v>
      </c>
      <c r="B10129" s="478" t="s">
        <v>42672</v>
      </c>
      <c r="C10129" s="391" t="s">
        <v>26</v>
      </c>
      <c r="D10129" s="479">
        <v>213.9</v>
      </c>
      <c r="E10129" s="368"/>
      <c r="F10129" s="368"/>
    </row>
    <row r="10130" spans="1:6" ht="25.5" x14ac:dyDescent="0.2">
      <c r="A10130" s="391">
        <v>1748</v>
      </c>
      <c r="B10130" s="478" t="s">
        <v>42673</v>
      </c>
      <c r="C10130" s="391" t="s">
        <v>26</v>
      </c>
      <c r="D10130" s="479">
        <v>284.43</v>
      </c>
      <c r="E10130" s="368"/>
      <c r="F10130" s="368"/>
    </row>
    <row r="10131" spans="1:6" ht="25.5" x14ac:dyDescent="0.2">
      <c r="A10131" s="391">
        <v>1749</v>
      </c>
      <c r="B10131" s="478" t="s">
        <v>42674</v>
      </c>
      <c r="C10131" s="391" t="s">
        <v>26</v>
      </c>
      <c r="D10131" s="479">
        <v>412.09</v>
      </c>
      <c r="E10131" s="368"/>
      <c r="F10131" s="368"/>
    </row>
    <row r="10132" spans="1:6" ht="25.5" x14ac:dyDescent="0.2">
      <c r="A10132" s="391">
        <v>37412</v>
      </c>
      <c r="B10132" s="478" t="s">
        <v>42675</v>
      </c>
      <c r="C10132" s="391" t="s">
        <v>26</v>
      </c>
      <c r="D10132" s="479">
        <v>209.08</v>
      </c>
      <c r="E10132" s="368"/>
      <c r="F10132" s="368"/>
    </row>
    <row r="10133" spans="1:6" ht="25.5" x14ac:dyDescent="0.2">
      <c r="A10133" s="391">
        <v>1745</v>
      </c>
      <c r="B10133" s="478" t="s">
        <v>42676</v>
      </c>
      <c r="C10133" s="391" t="s">
        <v>26</v>
      </c>
      <c r="D10133" s="479">
        <v>248.63</v>
      </c>
      <c r="E10133" s="368"/>
      <c r="F10133" s="368"/>
    </row>
    <row r="10134" spans="1:6" ht="25.5" x14ac:dyDescent="0.2">
      <c r="A10134" s="391">
        <v>1750</v>
      </c>
      <c r="B10134" s="478" t="s">
        <v>42677</v>
      </c>
      <c r="C10134" s="391" t="s">
        <v>26</v>
      </c>
      <c r="D10134" s="479">
        <v>581.01</v>
      </c>
      <c r="E10134" s="368"/>
      <c r="F10134" s="368"/>
    </row>
    <row r="10135" spans="1:6" ht="25.5" x14ac:dyDescent="0.2">
      <c r="A10135" s="391">
        <v>11687</v>
      </c>
      <c r="B10135" s="478" t="s">
        <v>42678</v>
      </c>
      <c r="C10135" s="391" t="s">
        <v>0</v>
      </c>
      <c r="D10135" s="479">
        <v>925.73</v>
      </c>
      <c r="E10135" s="368"/>
      <c r="F10135" s="368"/>
    </row>
    <row r="10136" spans="1:6" ht="25.5" x14ac:dyDescent="0.2">
      <c r="A10136" s="391">
        <v>11689</v>
      </c>
      <c r="B10136" s="478" t="s">
        <v>42679</v>
      </c>
      <c r="C10136" s="391" t="s">
        <v>0</v>
      </c>
      <c r="D10136" s="479">
        <v>1159.8900000000001</v>
      </c>
      <c r="E10136" s="368"/>
      <c r="F10136" s="368"/>
    </row>
    <row r="10137" spans="1:6" x14ac:dyDescent="0.2">
      <c r="A10137" s="391">
        <v>11693</v>
      </c>
      <c r="B10137" s="478" t="s">
        <v>42680</v>
      </c>
      <c r="C10137" s="391" t="s">
        <v>255</v>
      </c>
      <c r="D10137" s="479">
        <v>150.79</v>
      </c>
      <c r="E10137" s="368"/>
      <c r="F10137" s="368"/>
    </row>
    <row r="10138" spans="1:6" x14ac:dyDescent="0.2">
      <c r="A10138" s="391">
        <v>36215</v>
      </c>
      <c r="B10138" s="478" t="s">
        <v>42681</v>
      </c>
      <c r="C10138" s="391" t="s">
        <v>26</v>
      </c>
      <c r="D10138" s="479">
        <v>1463.69</v>
      </c>
      <c r="E10138" s="368"/>
      <c r="F10138" s="368"/>
    </row>
    <row r="10139" spans="1:6" ht="38.25" x14ac:dyDescent="0.2">
      <c r="A10139" s="391">
        <v>42439</v>
      </c>
      <c r="B10139" s="478" t="s">
        <v>42682</v>
      </c>
      <c r="C10139" s="391" t="s">
        <v>26</v>
      </c>
      <c r="D10139" s="479"/>
      <c r="E10139" s="368"/>
      <c r="F10139" s="368"/>
    </row>
    <row r="10140" spans="1:6" x14ac:dyDescent="0.2">
      <c r="A10140" s="391">
        <v>38381</v>
      </c>
      <c r="B10140" s="478" t="s">
        <v>42683</v>
      </c>
      <c r="C10140" s="391" t="s">
        <v>26</v>
      </c>
      <c r="D10140" s="479"/>
      <c r="E10140" s="368"/>
      <c r="F10140" s="368"/>
    </row>
    <row r="10141" spans="1:6" x14ac:dyDescent="0.2">
      <c r="A10141" s="391">
        <v>39621</v>
      </c>
      <c r="B10141" s="478" t="s">
        <v>42684</v>
      </c>
      <c r="C10141" s="391" t="s">
        <v>12086</v>
      </c>
      <c r="D10141" s="479">
        <v>1111.78</v>
      </c>
      <c r="E10141" s="368"/>
      <c r="F10141" s="368"/>
    </row>
    <row r="10142" spans="1:6" x14ac:dyDescent="0.2">
      <c r="A10142" s="391">
        <v>39624</v>
      </c>
      <c r="B10142" s="478" t="s">
        <v>42685</v>
      </c>
      <c r="C10142" s="391" t="s">
        <v>12086</v>
      </c>
      <c r="D10142" s="479">
        <v>1226.4100000000001</v>
      </c>
      <c r="E10142" s="368"/>
      <c r="F10142" s="368"/>
    </row>
    <row r="10143" spans="1:6" x14ac:dyDescent="0.2">
      <c r="A10143" s="391">
        <v>39615</v>
      </c>
      <c r="B10143" s="478" t="s">
        <v>42686</v>
      </c>
      <c r="C10143" s="391" t="s">
        <v>26</v>
      </c>
      <c r="D10143" s="479">
        <v>495.58</v>
      </c>
      <c r="E10143" s="368"/>
      <c r="F10143" s="368"/>
    </row>
    <row r="10144" spans="1:6" x14ac:dyDescent="0.2">
      <c r="A10144" s="391">
        <v>39620</v>
      </c>
      <c r="B10144" s="478" t="s">
        <v>42687</v>
      </c>
      <c r="C10144" s="391" t="s">
        <v>26</v>
      </c>
      <c r="D10144" s="479">
        <v>756.89</v>
      </c>
      <c r="E10144" s="368"/>
      <c r="F10144" s="368"/>
    </row>
    <row r="10145" spans="1:6" x14ac:dyDescent="0.2">
      <c r="A10145" s="391">
        <v>39623</v>
      </c>
      <c r="B10145" s="478" t="s">
        <v>42688</v>
      </c>
      <c r="C10145" s="391" t="s">
        <v>26</v>
      </c>
      <c r="D10145" s="479">
        <v>810.69</v>
      </c>
      <c r="E10145" s="368"/>
      <c r="F10145" s="368"/>
    </row>
    <row r="10146" spans="1:6" x14ac:dyDescent="0.2">
      <c r="A10146" s="391">
        <v>546</v>
      </c>
      <c r="B10146" s="478" t="s">
        <v>42689</v>
      </c>
      <c r="C10146" s="391" t="s">
        <v>1284</v>
      </c>
      <c r="D10146" s="479">
        <v>9.2799999999999994</v>
      </c>
      <c r="E10146" s="368"/>
      <c r="F10146" s="368"/>
    </row>
    <row r="10147" spans="1:6" x14ac:dyDescent="0.2">
      <c r="A10147" s="391">
        <v>566</v>
      </c>
      <c r="B10147" s="478" t="s">
        <v>42690</v>
      </c>
      <c r="C10147" s="391" t="s">
        <v>0</v>
      </c>
      <c r="D10147" s="479">
        <v>4.4000000000000004</v>
      </c>
      <c r="E10147" s="368"/>
      <c r="F10147" s="368"/>
    </row>
    <row r="10148" spans="1:6" x14ac:dyDescent="0.2">
      <c r="A10148" s="391">
        <v>565</v>
      </c>
      <c r="B10148" s="478" t="s">
        <v>42691</v>
      </c>
      <c r="C10148" s="391" t="s">
        <v>0</v>
      </c>
      <c r="D10148" s="479">
        <v>16.05</v>
      </c>
      <c r="E10148" s="368"/>
      <c r="F10148" s="368"/>
    </row>
    <row r="10149" spans="1:6" x14ac:dyDescent="0.2">
      <c r="A10149" s="391">
        <v>555</v>
      </c>
      <c r="B10149" s="478" t="s">
        <v>42692</v>
      </c>
      <c r="C10149" s="391" t="s">
        <v>0</v>
      </c>
      <c r="D10149" s="479">
        <v>11.38</v>
      </c>
      <c r="E10149" s="368"/>
      <c r="F10149" s="368"/>
    </row>
    <row r="10150" spans="1:6" x14ac:dyDescent="0.2">
      <c r="A10150" s="391">
        <v>557</v>
      </c>
      <c r="B10150" s="478" t="s">
        <v>42693</v>
      </c>
      <c r="C10150" s="391" t="s">
        <v>0</v>
      </c>
      <c r="D10150" s="479">
        <v>35.700000000000003</v>
      </c>
      <c r="E10150" s="368"/>
      <c r="F10150" s="368"/>
    </row>
    <row r="10151" spans="1:6" x14ac:dyDescent="0.2">
      <c r="A10151" s="391">
        <v>552</v>
      </c>
      <c r="B10151" s="478" t="s">
        <v>42694</v>
      </c>
      <c r="C10151" s="391" t="s">
        <v>0</v>
      </c>
      <c r="D10151" s="479">
        <v>17.71</v>
      </c>
      <c r="E10151" s="368"/>
      <c r="F10151" s="368"/>
    </row>
    <row r="10152" spans="1:6" x14ac:dyDescent="0.2">
      <c r="A10152" s="391">
        <v>563</v>
      </c>
      <c r="B10152" s="478" t="s">
        <v>42695</v>
      </c>
      <c r="C10152" s="391" t="s">
        <v>0</v>
      </c>
      <c r="D10152" s="479">
        <v>26.62</v>
      </c>
      <c r="E10152" s="368"/>
      <c r="F10152" s="368"/>
    </row>
    <row r="10153" spans="1:6" x14ac:dyDescent="0.2">
      <c r="A10153" s="391">
        <v>549</v>
      </c>
      <c r="B10153" s="478" t="s">
        <v>42696</v>
      </c>
      <c r="C10153" s="391" t="s">
        <v>0</v>
      </c>
      <c r="D10153" s="479">
        <v>47.91</v>
      </c>
      <c r="E10153" s="368"/>
      <c r="F10153" s="368"/>
    </row>
    <row r="10154" spans="1:6" x14ac:dyDescent="0.2">
      <c r="A10154" s="391">
        <v>551</v>
      </c>
      <c r="B10154" s="478" t="s">
        <v>42697</v>
      </c>
      <c r="C10154" s="391" t="s">
        <v>0</v>
      </c>
      <c r="D10154" s="479">
        <v>94.87</v>
      </c>
      <c r="E10154" s="368"/>
      <c r="F10154" s="368"/>
    </row>
    <row r="10155" spans="1:6" x14ac:dyDescent="0.2">
      <c r="A10155" s="391">
        <v>559</v>
      </c>
      <c r="B10155" s="478" t="s">
        <v>42698</v>
      </c>
      <c r="C10155" s="391" t="s">
        <v>0</v>
      </c>
      <c r="D10155" s="479">
        <v>23.71</v>
      </c>
      <c r="E10155" s="368"/>
      <c r="F10155" s="368"/>
    </row>
    <row r="10156" spans="1:6" x14ac:dyDescent="0.2">
      <c r="A10156" s="391">
        <v>560</v>
      </c>
      <c r="B10156" s="478" t="s">
        <v>42699</v>
      </c>
      <c r="C10156" s="391" t="s">
        <v>0</v>
      </c>
      <c r="D10156" s="479">
        <v>29.67</v>
      </c>
      <c r="E10156" s="368"/>
      <c r="F10156" s="368"/>
    </row>
    <row r="10157" spans="1:6" x14ac:dyDescent="0.2">
      <c r="A10157" s="391">
        <v>547</v>
      </c>
      <c r="B10157" s="478" t="s">
        <v>42700</v>
      </c>
      <c r="C10157" s="391" t="s">
        <v>0</v>
      </c>
      <c r="D10157" s="479">
        <v>35.53</v>
      </c>
      <c r="E10157" s="368"/>
      <c r="F10157" s="368"/>
    </row>
    <row r="10158" spans="1:6" ht="25.5" x14ac:dyDescent="0.2">
      <c r="A10158" s="391">
        <v>36207</v>
      </c>
      <c r="B10158" s="478" t="s">
        <v>42701</v>
      </c>
      <c r="C10158" s="391" t="s">
        <v>26</v>
      </c>
      <c r="D10158" s="479">
        <v>648.30999999999995</v>
      </c>
      <c r="E10158" s="368"/>
      <c r="F10158" s="368"/>
    </row>
    <row r="10159" spans="1:6" ht="25.5" x14ac:dyDescent="0.2">
      <c r="A10159" s="391">
        <v>36209</v>
      </c>
      <c r="B10159" s="478" t="s">
        <v>42702</v>
      </c>
      <c r="C10159" s="391" t="s">
        <v>26</v>
      </c>
      <c r="D10159" s="479">
        <v>744.04</v>
      </c>
      <c r="E10159" s="368"/>
      <c r="F10159" s="368"/>
    </row>
    <row r="10160" spans="1:6" ht="25.5" x14ac:dyDescent="0.2">
      <c r="A10160" s="391">
        <v>36210</v>
      </c>
      <c r="B10160" s="478" t="s">
        <v>42703</v>
      </c>
      <c r="C10160" s="391" t="s">
        <v>26</v>
      </c>
      <c r="D10160" s="479">
        <v>805.03</v>
      </c>
      <c r="E10160" s="368"/>
      <c r="F10160" s="368"/>
    </row>
    <row r="10161" spans="1:6" ht="25.5" x14ac:dyDescent="0.2">
      <c r="A10161" s="391">
        <v>36204</v>
      </c>
      <c r="B10161" s="478" t="s">
        <v>42704</v>
      </c>
      <c r="C10161" s="391" t="s">
        <v>26</v>
      </c>
      <c r="D10161" s="479">
        <v>285.43</v>
      </c>
      <c r="E10161" s="368"/>
      <c r="F10161" s="368"/>
    </row>
    <row r="10162" spans="1:6" ht="25.5" x14ac:dyDescent="0.2">
      <c r="A10162" s="391">
        <v>36205</v>
      </c>
      <c r="B10162" s="478" t="s">
        <v>42705</v>
      </c>
      <c r="C10162" s="391" t="s">
        <v>26</v>
      </c>
      <c r="D10162" s="479">
        <v>317</v>
      </c>
      <c r="E10162" s="368"/>
      <c r="F10162" s="368"/>
    </row>
    <row r="10163" spans="1:6" ht="25.5" x14ac:dyDescent="0.2">
      <c r="A10163" s="391">
        <v>36081</v>
      </c>
      <c r="B10163" s="478" t="s">
        <v>42706</v>
      </c>
      <c r="C10163" s="391" t="s">
        <v>26</v>
      </c>
      <c r="D10163" s="479">
        <v>338</v>
      </c>
      <c r="E10163" s="368"/>
      <c r="F10163" s="368"/>
    </row>
    <row r="10164" spans="1:6" ht="25.5" x14ac:dyDescent="0.2">
      <c r="A10164" s="391">
        <v>36206</v>
      </c>
      <c r="B10164" s="478" t="s">
        <v>42707</v>
      </c>
      <c r="C10164" s="391" t="s">
        <v>26</v>
      </c>
      <c r="D10164" s="479">
        <v>354.11</v>
      </c>
      <c r="E10164" s="368"/>
      <c r="F10164" s="368"/>
    </row>
    <row r="10165" spans="1:6" ht="25.5" x14ac:dyDescent="0.2">
      <c r="A10165" s="391">
        <v>36218</v>
      </c>
      <c r="B10165" s="478" t="s">
        <v>42708</v>
      </c>
      <c r="C10165" s="391" t="s">
        <v>26</v>
      </c>
      <c r="D10165" s="479"/>
      <c r="E10165" s="368"/>
      <c r="F10165" s="368"/>
    </row>
    <row r="10166" spans="1:6" ht="25.5" x14ac:dyDescent="0.2">
      <c r="A10166" s="391">
        <v>36220</v>
      </c>
      <c r="B10166" s="478" t="s">
        <v>42709</v>
      </c>
      <c r="C10166" s="391" t="s">
        <v>26</v>
      </c>
      <c r="D10166" s="479"/>
      <c r="E10166" s="368"/>
      <c r="F10166" s="368"/>
    </row>
    <row r="10167" spans="1:6" ht="25.5" x14ac:dyDescent="0.2">
      <c r="A10167" s="391">
        <v>36080</v>
      </c>
      <c r="B10167" s="478" t="s">
        <v>42710</v>
      </c>
      <c r="C10167" s="391" t="s">
        <v>26</v>
      </c>
      <c r="D10167" s="479"/>
      <c r="E10167" s="368"/>
      <c r="F10167" s="368"/>
    </row>
    <row r="10168" spans="1:6" ht="25.5" x14ac:dyDescent="0.2">
      <c r="A10168" s="391">
        <v>36223</v>
      </c>
      <c r="B10168" s="478" t="s">
        <v>42711</v>
      </c>
      <c r="C10168" s="391" t="s">
        <v>26</v>
      </c>
      <c r="D10168" s="479"/>
      <c r="E10168" s="368"/>
      <c r="F10168" s="368"/>
    </row>
    <row r="10169" spans="1:6" ht="25.5" x14ac:dyDescent="0.2">
      <c r="A10169" s="391">
        <v>38127</v>
      </c>
      <c r="B10169" s="478" t="s">
        <v>42712</v>
      </c>
      <c r="C10169" s="391" t="s">
        <v>26</v>
      </c>
      <c r="D10169" s="479">
        <v>419.69</v>
      </c>
      <c r="E10169" s="368"/>
      <c r="F10169" s="368"/>
    </row>
    <row r="10170" spans="1:6" x14ac:dyDescent="0.2">
      <c r="A10170" s="391">
        <v>38060</v>
      </c>
      <c r="B10170" s="478" t="s">
        <v>42713</v>
      </c>
      <c r="C10170" s="391" t="s">
        <v>26</v>
      </c>
      <c r="D10170" s="479"/>
      <c r="E10170" s="368"/>
      <c r="F10170" s="368"/>
    </row>
    <row r="10171" spans="1:6" x14ac:dyDescent="0.2">
      <c r="A10171" s="391">
        <v>10956</v>
      </c>
      <c r="B10171" s="478" t="s">
        <v>42714</v>
      </c>
      <c r="C10171" s="391" t="s">
        <v>26</v>
      </c>
      <c r="D10171" s="479"/>
      <c r="E10171" s="368"/>
      <c r="F10171" s="368"/>
    </row>
    <row r="10172" spans="1:6" x14ac:dyDescent="0.2">
      <c r="A10172" s="391">
        <v>39380</v>
      </c>
      <c r="B10172" s="478" t="s">
        <v>42715</v>
      </c>
      <c r="C10172" s="391" t="s">
        <v>26</v>
      </c>
      <c r="D10172" s="479"/>
      <c r="E10172" s="368"/>
      <c r="F10172" s="368"/>
    </row>
    <row r="10173" spans="1:6" x14ac:dyDescent="0.2">
      <c r="A10173" s="391">
        <v>44172</v>
      </c>
      <c r="B10173" s="478" t="s">
        <v>42716</v>
      </c>
      <c r="C10173" s="391" t="s">
        <v>26</v>
      </c>
      <c r="D10173" s="479"/>
      <c r="E10173" s="368"/>
      <c r="F10173" s="368"/>
    </row>
    <row r="10174" spans="1:6" ht="25.5" x14ac:dyDescent="0.2">
      <c r="A10174" s="391">
        <v>37597</v>
      </c>
      <c r="B10174" s="478" t="s">
        <v>42717</v>
      </c>
      <c r="C10174" s="391" t="s">
        <v>26</v>
      </c>
      <c r="D10174" s="479"/>
      <c r="E10174" s="368"/>
      <c r="F10174" s="368"/>
    </row>
    <row r="10175" spans="1:6" ht="51" x14ac:dyDescent="0.2">
      <c r="A10175" s="391">
        <v>183</v>
      </c>
      <c r="B10175" s="478" t="s">
        <v>42718</v>
      </c>
      <c r="C10175" s="391" t="s">
        <v>15675</v>
      </c>
      <c r="D10175" s="479">
        <v>218.92</v>
      </c>
      <c r="E10175" s="368"/>
      <c r="F10175" s="368"/>
    </row>
    <row r="10176" spans="1:6" ht="51" x14ac:dyDescent="0.2">
      <c r="A10176" s="391">
        <v>184</v>
      </c>
      <c r="B10176" s="478" t="s">
        <v>42719</v>
      </c>
      <c r="C10176" s="391" t="s">
        <v>15675</v>
      </c>
      <c r="D10176" s="479">
        <v>135.58000000000001</v>
      </c>
      <c r="E10176" s="368"/>
      <c r="F10176" s="368"/>
    </row>
    <row r="10177" spans="1:6" ht="51" x14ac:dyDescent="0.2">
      <c r="A10177" s="391">
        <v>181</v>
      </c>
      <c r="B10177" s="478" t="s">
        <v>42720</v>
      </c>
      <c r="C10177" s="391" t="s">
        <v>15675</v>
      </c>
      <c r="D10177" s="479">
        <v>292.36</v>
      </c>
      <c r="E10177" s="368"/>
      <c r="F10177" s="368"/>
    </row>
    <row r="10178" spans="1:6" ht="51" x14ac:dyDescent="0.2">
      <c r="A10178" s="391">
        <v>20001</v>
      </c>
      <c r="B10178" s="478" t="s">
        <v>42721</v>
      </c>
      <c r="C10178" s="391" t="s">
        <v>15675</v>
      </c>
      <c r="D10178" s="479">
        <v>169.48</v>
      </c>
      <c r="E10178" s="368"/>
      <c r="F10178" s="368"/>
    </row>
    <row r="10179" spans="1:6" ht="38.25" x14ac:dyDescent="0.2">
      <c r="A10179" s="391">
        <v>39837</v>
      </c>
      <c r="B10179" s="478" t="s">
        <v>42722</v>
      </c>
      <c r="C10179" s="391" t="s">
        <v>15675</v>
      </c>
      <c r="D10179" s="479">
        <v>367.71</v>
      </c>
      <c r="E10179" s="368"/>
      <c r="F10179" s="368"/>
    </row>
    <row r="10180" spans="1:6" x14ac:dyDescent="0.2">
      <c r="A10180" s="391">
        <v>43366</v>
      </c>
      <c r="B10180" s="478" t="s">
        <v>48236</v>
      </c>
      <c r="C10180" s="391" t="s">
        <v>1284</v>
      </c>
      <c r="D10180" s="479"/>
      <c r="E10180" s="368"/>
      <c r="F10180" s="368"/>
    </row>
    <row r="10181" spans="1:6" ht="25.5" x14ac:dyDescent="0.2">
      <c r="A10181" s="391">
        <v>10535</v>
      </c>
      <c r="B10181" s="478" t="s">
        <v>42723</v>
      </c>
      <c r="C10181" s="391" t="s">
        <v>26</v>
      </c>
      <c r="D10181" s="479"/>
      <c r="E10181" s="368"/>
      <c r="F10181" s="368"/>
    </row>
    <row r="10182" spans="1:6" ht="25.5" x14ac:dyDescent="0.2">
      <c r="A10182" s="391">
        <v>10537</v>
      </c>
      <c r="B10182" s="478" t="s">
        <v>42724</v>
      </c>
      <c r="C10182" s="391" t="s">
        <v>26</v>
      </c>
      <c r="D10182" s="479"/>
      <c r="E10182" s="368"/>
      <c r="F10182" s="368"/>
    </row>
    <row r="10183" spans="1:6" ht="25.5" x14ac:dyDescent="0.2">
      <c r="A10183" s="391">
        <v>13891</v>
      </c>
      <c r="B10183" s="478" t="s">
        <v>42725</v>
      </c>
      <c r="C10183" s="391" t="s">
        <v>26</v>
      </c>
      <c r="D10183" s="479"/>
      <c r="E10183" s="368"/>
      <c r="F10183" s="368"/>
    </row>
    <row r="10184" spans="1:6" ht="25.5" x14ac:dyDescent="0.2">
      <c r="A10184" s="391">
        <v>44492</v>
      </c>
      <c r="B10184" s="478" t="s">
        <v>48237</v>
      </c>
      <c r="C10184" s="391" t="s">
        <v>26</v>
      </c>
      <c r="D10184" s="479"/>
      <c r="E10184" s="368"/>
      <c r="F10184" s="368"/>
    </row>
    <row r="10185" spans="1:6" ht="25.5" x14ac:dyDescent="0.2">
      <c r="A10185" s="391">
        <v>36396</v>
      </c>
      <c r="B10185" s="478" t="s">
        <v>42726</v>
      </c>
      <c r="C10185" s="391" t="s">
        <v>26</v>
      </c>
      <c r="D10185" s="479"/>
      <c r="E10185" s="368"/>
      <c r="F10185" s="368"/>
    </row>
    <row r="10186" spans="1:6" ht="25.5" x14ac:dyDescent="0.2">
      <c r="A10186" s="391">
        <v>36397</v>
      </c>
      <c r="B10186" s="478" t="s">
        <v>42727</v>
      </c>
      <c r="C10186" s="391" t="s">
        <v>26</v>
      </c>
      <c r="D10186" s="479"/>
      <c r="E10186" s="368"/>
      <c r="F10186" s="368"/>
    </row>
    <row r="10187" spans="1:6" ht="25.5" x14ac:dyDescent="0.2">
      <c r="A10187" s="391">
        <v>36398</v>
      </c>
      <c r="B10187" s="478" t="s">
        <v>42728</v>
      </c>
      <c r="C10187" s="391" t="s">
        <v>26</v>
      </c>
      <c r="D10187" s="479"/>
      <c r="E10187" s="368"/>
      <c r="F10187" s="368"/>
    </row>
    <row r="10188" spans="1:6" x14ac:dyDescent="0.2">
      <c r="A10188" s="391">
        <v>647</v>
      </c>
      <c r="B10188" s="478" t="s">
        <v>42729</v>
      </c>
      <c r="C10188" s="391" t="s">
        <v>558</v>
      </c>
      <c r="D10188" s="479">
        <v>17.96</v>
      </c>
      <c r="E10188" s="368"/>
      <c r="F10188" s="368"/>
    </row>
    <row r="10189" spans="1:6" x14ac:dyDescent="0.2">
      <c r="A10189" s="391">
        <v>40920</v>
      </c>
      <c r="B10189" s="478" t="s">
        <v>42730</v>
      </c>
      <c r="C10189" s="391" t="s">
        <v>5681</v>
      </c>
      <c r="D10189" s="479">
        <v>3160.15</v>
      </c>
      <c r="E10189" s="368"/>
      <c r="F10189" s="368"/>
    </row>
    <row r="10190" spans="1:6" ht="25.5" x14ac:dyDescent="0.2">
      <c r="A10190" s="391">
        <v>715</v>
      </c>
      <c r="B10190" s="478" t="s">
        <v>42731</v>
      </c>
      <c r="C10190" s="391" t="s">
        <v>26</v>
      </c>
      <c r="D10190" s="479"/>
      <c r="E10190" s="368"/>
      <c r="F10190" s="368"/>
    </row>
    <row r="10191" spans="1:6" x14ac:dyDescent="0.2">
      <c r="A10191" s="391">
        <v>716</v>
      </c>
      <c r="B10191" s="478" t="s">
        <v>42732</v>
      </c>
      <c r="C10191" s="391" t="s">
        <v>26</v>
      </c>
      <c r="D10191" s="479"/>
      <c r="E10191" s="368"/>
      <c r="F10191" s="368"/>
    </row>
    <row r="10192" spans="1:6" ht="25.5" x14ac:dyDescent="0.2">
      <c r="A10192" s="391">
        <v>7270</v>
      </c>
      <c r="B10192" s="478" t="s">
        <v>42733</v>
      </c>
      <c r="C10192" s="391" t="s">
        <v>26</v>
      </c>
      <c r="D10192" s="479">
        <v>0.79</v>
      </c>
      <c r="E10192" s="368"/>
      <c r="F10192" s="368"/>
    </row>
    <row r="10193" spans="1:6" ht="25.5" x14ac:dyDescent="0.2">
      <c r="A10193" s="391">
        <v>44460</v>
      </c>
      <c r="B10193" s="478" t="s">
        <v>42734</v>
      </c>
      <c r="C10193" s="391" t="s">
        <v>26</v>
      </c>
      <c r="D10193" s="479">
        <v>1.33</v>
      </c>
      <c r="E10193" s="368"/>
      <c r="F10193" s="368"/>
    </row>
    <row r="10194" spans="1:6" ht="25.5" x14ac:dyDescent="0.2">
      <c r="A10194" s="391">
        <v>44461</v>
      </c>
      <c r="B10194" s="478" t="s">
        <v>42735</v>
      </c>
      <c r="C10194" s="391" t="s">
        <v>26</v>
      </c>
      <c r="D10194" s="479">
        <v>1.82</v>
      </c>
      <c r="E10194" s="368"/>
      <c r="F10194" s="368"/>
    </row>
    <row r="10195" spans="1:6" ht="25.5" x14ac:dyDescent="0.2">
      <c r="A10195" s="391">
        <v>7267</v>
      </c>
      <c r="B10195" s="478" t="s">
        <v>42736</v>
      </c>
      <c r="C10195" s="391" t="s">
        <v>26</v>
      </c>
      <c r="D10195" s="479">
        <v>0.67</v>
      </c>
      <c r="E10195" s="368"/>
      <c r="F10195" s="368"/>
    </row>
    <row r="10196" spans="1:6" ht="25.5" x14ac:dyDescent="0.2">
      <c r="A10196" s="391">
        <v>44458</v>
      </c>
      <c r="B10196" s="478" t="s">
        <v>42737</v>
      </c>
      <c r="C10196" s="391" t="s">
        <v>26</v>
      </c>
      <c r="D10196" s="479">
        <v>0.81</v>
      </c>
      <c r="E10196" s="368"/>
      <c r="F10196" s="368"/>
    </row>
    <row r="10197" spans="1:6" ht="25.5" x14ac:dyDescent="0.2">
      <c r="A10197" s="391">
        <v>44457</v>
      </c>
      <c r="B10197" s="478" t="s">
        <v>42738</v>
      </c>
      <c r="C10197" s="391" t="s">
        <v>26</v>
      </c>
      <c r="D10197" s="479">
        <v>1.57</v>
      </c>
      <c r="E10197" s="368"/>
      <c r="F10197" s="368"/>
    </row>
    <row r="10198" spans="1:6" ht="25.5" x14ac:dyDescent="0.2">
      <c r="A10198" s="391">
        <v>7271</v>
      </c>
      <c r="B10198" s="478" t="s">
        <v>42739</v>
      </c>
      <c r="C10198" s="391" t="s">
        <v>26</v>
      </c>
      <c r="D10198" s="479">
        <v>0.85</v>
      </c>
      <c r="E10198" s="368"/>
      <c r="F10198" s="368"/>
    </row>
    <row r="10199" spans="1:6" ht="25.5" x14ac:dyDescent="0.2">
      <c r="A10199" s="391">
        <v>7268</v>
      </c>
      <c r="B10199" s="478" t="s">
        <v>42740</v>
      </c>
      <c r="C10199" s="391" t="s">
        <v>26</v>
      </c>
      <c r="D10199" s="479">
        <v>1.32</v>
      </c>
      <c r="E10199" s="368"/>
      <c r="F10199" s="368"/>
    </row>
    <row r="10200" spans="1:6" ht="25.5" x14ac:dyDescent="0.2">
      <c r="A10200" s="391">
        <v>44459</v>
      </c>
      <c r="B10200" s="478" t="s">
        <v>42741</v>
      </c>
      <c r="C10200" s="391" t="s">
        <v>26</v>
      </c>
      <c r="D10200" s="479">
        <v>0.85</v>
      </c>
      <c r="E10200" s="368"/>
      <c r="F10200" s="368"/>
    </row>
    <row r="10201" spans="1:6" ht="25.5" x14ac:dyDescent="0.2">
      <c r="A10201" s="391">
        <v>44462</v>
      </c>
      <c r="B10201" s="478" t="s">
        <v>42742</v>
      </c>
      <c r="C10201" s="391" t="s">
        <v>26</v>
      </c>
      <c r="D10201" s="479">
        <v>1.51</v>
      </c>
      <c r="E10201" s="368"/>
      <c r="F10201" s="368"/>
    </row>
    <row r="10202" spans="1:6" ht="25.5" x14ac:dyDescent="0.2">
      <c r="A10202" s="391">
        <v>44463</v>
      </c>
      <c r="B10202" s="478" t="s">
        <v>42743</v>
      </c>
      <c r="C10202" s="391" t="s">
        <v>26</v>
      </c>
      <c r="D10202" s="479">
        <v>1.95</v>
      </c>
      <c r="E10202" s="368"/>
      <c r="F10202" s="368"/>
    </row>
    <row r="10203" spans="1:6" ht="25.5" x14ac:dyDescent="0.2">
      <c r="A10203" s="391">
        <v>44464</v>
      </c>
      <c r="B10203" s="478" t="s">
        <v>42744</v>
      </c>
      <c r="C10203" s="391" t="s">
        <v>26</v>
      </c>
      <c r="D10203" s="479">
        <v>2.02</v>
      </c>
      <c r="E10203" s="368"/>
      <c r="F10203" s="368"/>
    </row>
    <row r="10204" spans="1:6" ht="25.5" x14ac:dyDescent="0.2">
      <c r="A10204" s="391">
        <v>44465</v>
      </c>
      <c r="B10204" s="478" t="s">
        <v>42745</v>
      </c>
      <c r="C10204" s="391" t="s">
        <v>26</v>
      </c>
      <c r="D10204" s="479">
        <v>2.77</v>
      </c>
      <c r="E10204" s="368"/>
      <c r="F10204" s="368"/>
    </row>
    <row r="10205" spans="1:6" ht="25.5" x14ac:dyDescent="0.2">
      <c r="A10205" s="391">
        <v>38783</v>
      </c>
      <c r="B10205" s="478" t="s">
        <v>42746</v>
      </c>
      <c r="C10205" s="391" t="s">
        <v>26</v>
      </c>
      <c r="D10205" s="479">
        <v>0.97</v>
      </c>
      <c r="E10205" s="368"/>
      <c r="F10205" s="368"/>
    </row>
    <row r="10206" spans="1:6" ht="25.5" x14ac:dyDescent="0.2">
      <c r="A10206" s="391">
        <v>44466</v>
      </c>
      <c r="B10206" s="478" t="s">
        <v>42747</v>
      </c>
      <c r="C10206" s="391" t="s">
        <v>26</v>
      </c>
      <c r="D10206" s="479">
        <v>1.97</v>
      </c>
      <c r="E10206" s="368"/>
      <c r="F10206" s="368"/>
    </row>
    <row r="10207" spans="1:6" ht="25.5" x14ac:dyDescent="0.2">
      <c r="A10207" s="391">
        <v>44467</v>
      </c>
      <c r="B10207" s="478" t="s">
        <v>42748</v>
      </c>
      <c r="C10207" s="391" t="s">
        <v>26</v>
      </c>
      <c r="D10207" s="479">
        <v>2.37</v>
      </c>
      <c r="E10207" s="368"/>
      <c r="F10207" s="368"/>
    </row>
    <row r="10208" spans="1:6" ht="25.5" x14ac:dyDescent="0.2">
      <c r="A10208" s="391">
        <v>44468</v>
      </c>
      <c r="B10208" s="478" t="s">
        <v>42749</v>
      </c>
      <c r="C10208" s="391" t="s">
        <v>26</v>
      </c>
      <c r="D10208" s="479">
        <v>2.06</v>
      </c>
      <c r="E10208" s="368"/>
      <c r="F10208" s="368"/>
    </row>
    <row r="10209" spans="1:6" ht="25.5" x14ac:dyDescent="0.2">
      <c r="A10209" s="391">
        <v>37593</v>
      </c>
      <c r="B10209" s="478" t="s">
        <v>42750</v>
      </c>
      <c r="C10209" s="391" t="s">
        <v>26</v>
      </c>
      <c r="D10209" s="479">
        <v>2.65</v>
      </c>
      <c r="E10209" s="368"/>
      <c r="F10209" s="368"/>
    </row>
    <row r="10210" spans="1:6" ht="25.5" x14ac:dyDescent="0.2">
      <c r="A10210" s="391">
        <v>37594</v>
      </c>
      <c r="B10210" s="478" t="s">
        <v>42751</v>
      </c>
      <c r="C10210" s="391" t="s">
        <v>26</v>
      </c>
      <c r="D10210" s="479">
        <v>3.15</v>
      </c>
      <c r="E10210" s="368"/>
      <c r="F10210" s="368"/>
    </row>
    <row r="10211" spans="1:6" ht="25.5" x14ac:dyDescent="0.2">
      <c r="A10211" s="391">
        <v>37592</v>
      </c>
      <c r="B10211" s="478" t="s">
        <v>42752</v>
      </c>
      <c r="C10211" s="391" t="s">
        <v>26</v>
      </c>
      <c r="D10211" s="479">
        <v>2.1</v>
      </c>
      <c r="E10211" s="368"/>
      <c r="F10211" s="368"/>
    </row>
    <row r="10212" spans="1:6" x14ac:dyDescent="0.2">
      <c r="A10212" s="391">
        <v>41372</v>
      </c>
      <c r="B10212" s="478" t="s">
        <v>42753</v>
      </c>
      <c r="C10212" s="391" t="s">
        <v>255</v>
      </c>
      <c r="D10212" s="479"/>
      <c r="E10212" s="368"/>
      <c r="F10212" s="368"/>
    </row>
    <row r="10213" spans="1:6" x14ac:dyDescent="0.2">
      <c r="A10213" s="391">
        <v>41371</v>
      </c>
      <c r="B10213" s="478" t="s">
        <v>42754</v>
      </c>
      <c r="C10213" s="391" t="s">
        <v>255</v>
      </c>
      <c r="D10213" s="479"/>
      <c r="E10213" s="368"/>
      <c r="F10213" s="368"/>
    </row>
    <row r="10214" spans="1:6" x14ac:dyDescent="0.2">
      <c r="A10214" s="391">
        <v>34556</v>
      </c>
      <c r="B10214" s="478" t="s">
        <v>42755</v>
      </c>
      <c r="C10214" s="391" t="s">
        <v>26</v>
      </c>
      <c r="D10214" s="479">
        <v>5.1100000000000003</v>
      </c>
      <c r="E10214" s="368"/>
      <c r="F10214" s="368"/>
    </row>
    <row r="10215" spans="1:6" x14ac:dyDescent="0.2">
      <c r="A10215" s="391">
        <v>37873</v>
      </c>
      <c r="B10215" s="478" t="s">
        <v>42756</v>
      </c>
      <c r="C10215" s="391" t="s">
        <v>26</v>
      </c>
      <c r="D10215" s="479">
        <v>5.2</v>
      </c>
      <c r="E10215" s="368"/>
      <c r="F10215" s="368"/>
    </row>
    <row r="10216" spans="1:6" x14ac:dyDescent="0.2">
      <c r="A10216" s="391">
        <v>34564</v>
      </c>
      <c r="B10216" s="478" t="s">
        <v>42757</v>
      </c>
      <c r="C10216" s="391" t="s">
        <v>26</v>
      </c>
      <c r="D10216" s="479">
        <v>5.45</v>
      </c>
      <c r="E10216" s="368"/>
      <c r="F10216" s="368"/>
    </row>
    <row r="10217" spans="1:6" x14ac:dyDescent="0.2">
      <c r="A10217" s="391">
        <v>34565</v>
      </c>
      <c r="B10217" s="478" t="s">
        <v>42758</v>
      </c>
      <c r="C10217" s="391" t="s">
        <v>26</v>
      </c>
      <c r="D10217" s="479">
        <v>5.76</v>
      </c>
      <c r="E10217" s="368"/>
      <c r="F10217" s="368"/>
    </row>
    <row r="10218" spans="1:6" x14ac:dyDescent="0.2">
      <c r="A10218" s="391">
        <v>38590</v>
      </c>
      <c r="B10218" s="478" t="s">
        <v>42759</v>
      </c>
      <c r="C10218" s="391" t="s">
        <v>26</v>
      </c>
      <c r="D10218" s="479">
        <v>4.26</v>
      </c>
      <c r="E10218" s="368"/>
      <c r="F10218" s="368"/>
    </row>
    <row r="10219" spans="1:6" x14ac:dyDescent="0.2">
      <c r="A10219" s="391">
        <v>34566</v>
      </c>
      <c r="B10219" s="478" t="s">
        <v>42760</v>
      </c>
      <c r="C10219" s="391" t="s">
        <v>26</v>
      </c>
      <c r="D10219" s="479">
        <v>4.47</v>
      </c>
      <c r="E10219" s="368"/>
      <c r="F10219" s="368"/>
    </row>
    <row r="10220" spans="1:6" x14ac:dyDescent="0.2">
      <c r="A10220" s="391">
        <v>34567</v>
      </c>
      <c r="B10220" s="478" t="s">
        <v>42761</v>
      </c>
      <c r="C10220" s="391" t="s">
        <v>26</v>
      </c>
      <c r="D10220" s="479">
        <v>4.74</v>
      </c>
      <c r="E10220" s="368"/>
      <c r="F10220" s="368"/>
    </row>
    <row r="10221" spans="1:6" x14ac:dyDescent="0.2">
      <c r="A10221" s="391">
        <v>38591</v>
      </c>
      <c r="B10221" s="478" t="s">
        <v>42762</v>
      </c>
      <c r="C10221" s="391" t="s">
        <v>26</v>
      </c>
      <c r="D10221" s="479">
        <v>4.3099999999999996</v>
      </c>
      <c r="E10221" s="368"/>
      <c r="F10221" s="368"/>
    </row>
    <row r="10222" spans="1:6" x14ac:dyDescent="0.2">
      <c r="A10222" s="391">
        <v>34568</v>
      </c>
      <c r="B10222" s="478" t="s">
        <v>42763</v>
      </c>
      <c r="C10222" s="391" t="s">
        <v>26</v>
      </c>
      <c r="D10222" s="479">
        <v>5.61</v>
      </c>
      <c r="E10222" s="368"/>
      <c r="F10222" s="368"/>
    </row>
    <row r="10223" spans="1:6" x14ac:dyDescent="0.2">
      <c r="A10223" s="391">
        <v>34569</v>
      </c>
      <c r="B10223" s="478" t="s">
        <v>42764</v>
      </c>
      <c r="C10223" s="391" t="s">
        <v>26</v>
      </c>
      <c r="D10223" s="479">
        <v>5.76</v>
      </c>
      <c r="E10223" s="368"/>
      <c r="F10223" s="368"/>
    </row>
    <row r="10224" spans="1:6" x14ac:dyDescent="0.2">
      <c r="A10224" s="391">
        <v>34570</v>
      </c>
      <c r="B10224" s="478" t="s">
        <v>42765</v>
      </c>
      <c r="C10224" s="391" t="s">
        <v>26</v>
      </c>
      <c r="D10224" s="479">
        <v>6.26</v>
      </c>
      <c r="E10224" s="368"/>
      <c r="F10224" s="368"/>
    </row>
    <row r="10225" spans="1:6" x14ac:dyDescent="0.2">
      <c r="A10225" s="391">
        <v>25070</v>
      </c>
      <c r="B10225" s="478" t="s">
        <v>42766</v>
      </c>
      <c r="C10225" s="391" t="s">
        <v>26</v>
      </c>
      <c r="D10225" s="479">
        <v>4.71</v>
      </c>
      <c r="E10225" s="368"/>
      <c r="F10225" s="368"/>
    </row>
    <row r="10226" spans="1:6" x14ac:dyDescent="0.2">
      <c r="A10226" s="391">
        <v>34571</v>
      </c>
      <c r="B10226" s="478" t="s">
        <v>42767</v>
      </c>
      <c r="C10226" s="391" t="s">
        <v>26</v>
      </c>
      <c r="D10226" s="479">
        <v>4.75</v>
      </c>
      <c r="E10226" s="368"/>
      <c r="F10226" s="368"/>
    </row>
    <row r="10227" spans="1:6" x14ac:dyDescent="0.2">
      <c r="A10227" s="391">
        <v>34573</v>
      </c>
      <c r="B10227" s="478" t="s">
        <v>42768</v>
      </c>
      <c r="C10227" s="391" t="s">
        <v>26</v>
      </c>
      <c r="D10227" s="479">
        <v>5</v>
      </c>
      <c r="E10227" s="368"/>
      <c r="F10227" s="368"/>
    </row>
    <row r="10228" spans="1:6" x14ac:dyDescent="0.2">
      <c r="A10228" s="391">
        <v>37107</v>
      </c>
      <c r="B10228" s="478" t="s">
        <v>42769</v>
      </c>
      <c r="C10228" s="391" t="s">
        <v>26</v>
      </c>
      <c r="D10228" s="479">
        <v>6.61</v>
      </c>
      <c r="E10228" s="368"/>
      <c r="F10228" s="368"/>
    </row>
    <row r="10229" spans="1:6" x14ac:dyDescent="0.2">
      <c r="A10229" s="391">
        <v>34576</v>
      </c>
      <c r="B10229" s="478" t="s">
        <v>42770</v>
      </c>
      <c r="C10229" s="391" t="s">
        <v>26</v>
      </c>
      <c r="D10229" s="479">
        <v>7.29</v>
      </c>
      <c r="E10229" s="368"/>
      <c r="F10229" s="368"/>
    </row>
    <row r="10230" spans="1:6" x14ac:dyDescent="0.2">
      <c r="A10230" s="391">
        <v>34577</v>
      </c>
      <c r="B10230" s="478" t="s">
        <v>42771</v>
      </c>
      <c r="C10230" s="391" t="s">
        <v>26</v>
      </c>
      <c r="D10230" s="479">
        <v>7.61</v>
      </c>
      <c r="E10230" s="368"/>
      <c r="F10230" s="368"/>
    </row>
    <row r="10231" spans="1:6" x14ac:dyDescent="0.2">
      <c r="A10231" s="391">
        <v>34578</v>
      </c>
      <c r="B10231" s="478" t="s">
        <v>42772</v>
      </c>
      <c r="C10231" s="391" t="s">
        <v>26</v>
      </c>
      <c r="D10231" s="479">
        <v>8.25</v>
      </c>
      <c r="E10231" s="368"/>
      <c r="F10231" s="368"/>
    </row>
    <row r="10232" spans="1:6" x14ac:dyDescent="0.2">
      <c r="A10232" s="391">
        <v>34579</v>
      </c>
      <c r="B10232" s="478" t="s">
        <v>42773</v>
      </c>
      <c r="C10232" s="391" t="s">
        <v>26</v>
      </c>
      <c r="D10232" s="479">
        <v>8.8000000000000007</v>
      </c>
      <c r="E10232" s="368"/>
      <c r="F10232" s="368"/>
    </row>
    <row r="10233" spans="1:6" x14ac:dyDescent="0.2">
      <c r="A10233" s="391">
        <v>25067</v>
      </c>
      <c r="B10233" s="478" t="s">
        <v>42774</v>
      </c>
      <c r="C10233" s="391" t="s">
        <v>26</v>
      </c>
      <c r="D10233" s="479">
        <v>5.89</v>
      </c>
      <c r="E10233" s="368"/>
      <c r="F10233" s="368"/>
    </row>
    <row r="10234" spans="1:6" x14ac:dyDescent="0.2">
      <c r="A10234" s="391">
        <v>34580</v>
      </c>
      <c r="B10234" s="478" t="s">
        <v>42775</v>
      </c>
      <c r="C10234" s="391" t="s">
        <v>26</v>
      </c>
      <c r="D10234" s="479">
        <v>6.57</v>
      </c>
      <c r="E10234" s="368"/>
      <c r="F10234" s="368"/>
    </row>
    <row r="10235" spans="1:6" x14ac:dyDescent="0.2">
      <c r="A10235" s="391">
        <v>25071</v>
      </c>
      <c r="B10235" s="478" t="s">
        <v>42776</v>
      </c>
      <c r="C10235" s="391" t="s">
        <v>26</v>
      </c>
      <c r="D10235" s="479">
        <v>3.27</v>
      </c>
      <c r="E10235" s="368"/>
      <c r="F10235" s="368"/>
    </row>
    <row r="10236" spans="1:6" x14ac:dyDescent="0.2">
      <c r="A10236" s="391">
        <v>44171</v>
      </c>
      <c r="B10236" s="478" t="s">
        <v>42777</v>
      </c>
      <c r="C10236" s="391" t="s">
        <v>26</v>
      </c>
      <c r="D10236" s="479"/>
      <c r="E10236" s="368"/>
      <c r="F10236" s="368"/>
    </row>
    <row r="10237" spans="1:6" x14ac:dyDescent="0.2">
      <c r="A10237" s="391">
        <v>38395</v>
      </c>
      <c r="B10237" s="478" t="s">
        <v>42778</v>
      </c>
      <c r="C10237" s="391" t="s">
        <v>26</v>
      </c>
      <c r="D10237" s="479">
        <v>6.71</v>
      </c>
      <c r="E10237" s="368"/>
      <c r="F10237" s="368"/>
    </row>
    <row r="10238" spans="1:6" ht="25.5" x14ac:dyDescent="0.2">
      <c r="A10238" s="391">
        <v>34583</v>
      </c>
      <c r="B10238" s="478" t="s">
        <v>42779</v>
      </c>
      <c r="C10238" s="391" t="s">
        <v>255</v>
      </c>
      <c r="D10238" s="479">
        <v>59.93</v>
      </c>
      <c r="E10238" s="368"/>
      <c r="F10238" s="368"/>
    </row>
    <row r="10239" spans="1:6" x14ac:dyDescent="0.2">
      <c r="A10239" s="391">
        <v>34584</v>
      </c>
      <c r="B10239" s="478" t="s">
        <v>42780</v>
      </c>
      <c r="C10239" s="391" t="s">
        <v>255</v>
      </c>
      <c r="D10239" s="479">
        <v>43.95</v>
      </c>
      <c r="E10239" s="368"/>
      <c r="F10239" s="368"/>
    </row>
    <row r="10240" spans="1:6" ht="25.5" x14ac:dyDescent="0.2">
      <c r="A10240" s="391">
        <v>709</v>
      </c>
      <c r="B10240" s="478" t="s">
        <v>42781</v>
      </c>
      <c r="C10240" s="391" t="s">
        <v>255</v>
      </c>
      <c r="D10240" s="479"/>
      <c r="E10240" s="368"/>
      <c r="F10240" s="368"/>
    </row>
    <row r="10241" spans="1:6" x14ac:dyDescent="0.2">
      <c r="A10241" s="391">
        <v>34592</v>
      </c>
      <c r="B10241" s="478" t="s">
        <v>42782</v>
      </c>
      <c r="C10241" s="391" t="s">
        <v>26</v>
      </c>
      <c r="D10241" s="479">
        <v>3.74</v>
      </c>
      <c r="E10241" s="368"/>
      <c r="F10241" s="368"/>
    </row>
    <row r="10242" spans="1:6" ht="25.5" x14ac:dyDescent="0.2">
      <c r="A10242" s="391">
        <v>34599</v>
      </c>
      <c r="B10242" s="478" t="s">
        <v>42783</v>
      </c>
      <c r="C10242" s="391" t="s">
        <v>26</v>
      </c>
      <c r="D10242" s="479">
        <v>3.36</v>
      </c>
      <c r="E10242" s="368"/>
      <c r="F10242" s="368"/>
    </row>
    <row r="10243" spans="1:6" x14ac:dyDescent="0.2">
      <c r="A10243" s="391">
        <v>651</v>
      </c>
      <c r="B10243" s="478" t="s">
        <v>42784</v>
      </c>
      <c r="C10243" s="391" t="s">
        <v>26</v>
      </c>
      <c r="D10243" s="479">
        <v>4.13</v>
      </c>
      <c r="E10243" s="368"/>
      <c r="F10243" s="368"/>
    </row>
    <row r="10244" spans="1:6" x14ac:dyDescent="0.2">
      <c r="A10244" s="391">
        <v>654</v>
      </c>
      <c r="B10244" s="478" t="s">
        <v>42785</v>
      </c>
      <c r="C10244" s="391" t="s">
        <v>26</v>
      </c>
      <c r="D10244" s="479">
        <v>5.1100000000000003</v>
      </c>
      <c r="E10244" s="368"/>
      <c r="F10244" s="368"/>
    </row>
    <row r="10245" spans="1:6" ht="25.5" x14ac:dyDescent="0.2">
      <c r="A10245" s="391">
        <v>37103</v>
      </c>
      <c r="B10245" s="478" t="s">
        <v>42786</v>
      </c>
      <c r="C10245" s="391" t="s">
        <v>26</v>
      </c>
      <c r="D10245" s="479">
        <v>4.28</v>
      </c>
      <c r="E10245" s="368"/>
      <c r="F10245" s="368"/>
    </row>
    <row r="10246" spans="1:6" ht="25.5" x14ac:dyDescent="0.2">
      <c r="A10246" s="391">
        <v>34555</v>
      </c>
      <c r="B10246" s="478" t="s">
        <v>42787</v>
      </c>
      <c r="C10246" s="391" t="s">
        <v>26</v>
      </c>
      <c r="D10246" s="479">
        <v>5.44</v>
      </c>
      <c r="E10246" s="368"/>
      <c r="F10246" s="368"/>
    </row>
    <row r="10247" spans="1:6" ht="25.5" x14ac:dyDescent="0.2">
      <c r="A10247" s="391">
        <v>674</v>
      </c>
      <c r="B10247" s="478" t="s">
        <v>42788</v>
      </c>
      <c r="C10247" s="391" t="s">
        <v>255</v>
      </c>
      <c r="D10247" s="479"/>
      <c r="E10247" s="368"/>
      <c r="F10247" s="368"/>
    </row>
    <row r="10248" spans="1:6" ht="25.5" x14ac:dyDescent="0.2">
      <c r="A10248" s="391">
        <v>34600</v>
      </c>
      <c r="B10248" s="478" t="s">
        <v>42789</v>
      </c>
      <c r="C10248" s="391" t="s">
        <v>255</v>
      </c>
      <c r="D10248" s="479"/>
      <c r="E10248" s="368"/>
      <c r="F10248" s="368"/>
    </row>
    <row r="10249" spans="1:6" ht="25.5" x14ac:dyDescent="0.2">
      <c r="A10249" s="391">
        <v>652</v>
      </c>
      <c r="B10249" s="478" t="s">
        <v>42790</v>
      </c>
      <c r="C10249" s="391" t="s">
        <v>255</v>
      </c>
      <c r="D10249" s="479"/>
      <c r="E10249" s="368"/>
      <c r="F10249" s="368"/>
    </row>
    <row r="10250" spans="1:6" x14ac:dyDescent="0.2">
      <c r="A10250" s="391">
        <v>650</v>
      </c>
      <c r="B10250" s="478" t="s">
        <v>42791</v>
      </c>
      <c r="C10250" s="391" t="s">
        <v>26</v>
      </c>
      <c r="D10250" s="479">
        <v>3.3</v>
      </c>
      <c r="E10250" s="368"/>
      <c r="F10250" s="368"/>
    </row>
    <row r="10251" spans="1:6" ht="25.5" x14ac:dyDescent="0.2">
      <c r="A10251" s="391">
        <v>718</v>
      </c>
      <c r="B10251" s="478" t="s">
        <v>42792</v>
      </c>
      <c r="C10251" s="391" t="s">
        <v>26</v>
      </c>
      <c r="D10251" s="479"/>
      <c r="E10251" s="368"/>
      <c r="F10251" s="368"/>
    </row>
    <row r="10252" spans="1:6" ht="25.5" x14ac:dyDescent="0.2">
      <c r="A10252" s="391">
        <v>11981</v>
      </c>
      <c r="B10252" s="478" t="s">
        <v>42793</v>
      </c>
      <c r="C10252" s="391" t="s">
        <v>26</v>
      </c>
      <c r="D10252" s="479"/>
      <c r="E10252" s="368"/>
      <c r="F10252" s="368"/>
    </row>
    <row r="10253" spans="1:6" x14ac:dyDescent="0.2">
      <c r="A10253" s="391">
        <v>34586</v>
      </c>
      <c r="B10253" s="478" t="s">
        <v>42794</v>
      </c>
      <c r="C10253" s="391" t="s">
        <v>26</v>
      </c>
      <c r="D10253" s="479">
        <v>2.1</v>
      </c>
      <c r="E10253" s="368"/>
      <c r="F10253" s="368"/>
    </row>
    <row r="10254" spans="1:6" x14ac:dyDescent="0.2">
      <c r="A10254" s="391">
        <v>38603</v>
      </c>
      <c r="B10254" s="478" t="s">
        <v>42795</v>
      </c>
      <c r="C10254" s="391" t="s">
        <v>26</v>
      </c>
      <c r="D10254" s="479">
        <v>2.4900000000000002</v>
      </c>
      <c r="E10254" s="368"/>
      <c r="F10254" s="368"/>
    </row>
    <row r="10255" spans="1:6" x14ac:dyDescent="0.2">
      <c r="A10255" s="391">
        <v>34588</v>
      </c>
      <c r="B10255" s="478" t="s">
        <v>42796</v>
      </c>
      <c r="C10255" s="391" t="s">
        <v>26</v>
      </c>
      <c r="D10255" s="479">
        <v>2.83</v>
      </c>
      <c r="E10255" s="368"/>
      <c r="F10255" s="368"/>
    </row>
    <row r="10256" spans="1:6" x14ac:dyDescent="0.2">
      <c r="A10256" s="391">
        <v>34590</v>
      </c>
      <c r="B10256" s="478" t="s">
        <v>42797</v>
      </c>
      <c r="C10256" s="391" t="s">
        <v>26</v>
      </c>
      <c r="D10256" s="479">
        <v>2.8</v>
      </c>
      <c r="E10256" s="368"/>
      <c r="F10256" s="368"/>
    </row>
    <row r="10257" spans="1:6" x14ac:dyDescent="0.2">
      <c r="A10257" s="391">
        <v>34591</v>
      </c>
      <c r="B10257" s="478" t="s">
        <v>42798</v>
      </c>
      <c r="C10257" s="391" t="s">
        <v>26</v>
      </c>
      <c r="D10257" s="479">
        <v>3.42</v>
      </c>
      <c r="E10257" s="368"/>
      <c r="F10257" s="368"/>
    </row>
    <row r="10258" spans="1:6" ht="38.25" x14ac:dyDescent="0.2">
      <c r="A10258" s="391">
        <v>40517</v>
      </c>
      <c r="B10258" s="478" t="s">
        <v>42799</v>
      </c>
      <c r="C10258" s="391" t="s">
        <v>255</v>
      </c>
      <c r="D10258" s="479">
        <v>60.87</v>
      </c>
      <c r="E10258" s="368"/>
      <c r="F10258" s="368"/>
    </row>
    <row r="10259" spans="1:6" ht="38.25" x14ac:dyDescent="0.2">
      <c r="A10259" s="391">
        <v>40515</v>
      </c>
      <c r="B10259" s="478" t="s">
        <v>42800</v>
      </c>
      <c r="C10259" s="391" t="s">
        <v>255</v>
      </c>
      <c r="D10259" s="479">
        <v>66.959999999999994</v>
      </c>
      <c r="E10259" s="368"/>
      <c r="F10259" s="368"/>
    </row>
    <row r="10260" spans="1:6" ht="38.25" x14ac:dyDescent="0.2">
      <c r="A10260" s="391">
        <v>40524</v>
      </c>
      <c r="B10260" s="478" t="s">
        <v>42801</v>
      </c>
      <c r="C10260" s="391" t="s">
        <v>255</v>
      </c>
      <c r="D10260" s="479">
        <v>69.56</v>
      </c>
      <c r="E10260" s="368"/>
      <c r="F10260" s="368"/>
    </row>
    <row r="10261" spans="1:6" ht="38.25" x14ac:dyDescent="0.2">
      <c r="A10261" s="391">
        <v>40529</v>
      </c>
      <c r="B10261" s="478" t="s">
        <v>42802</v>
      </c>
      <c r="C10261" s="391" t="s">
        <v>255</v>
      </c>
      <c r="D10261" s="479">
        <v>110.3</v>
      </c>
      <c r="E10261" s="368"/>
      <c r="F10261" s="368"/>
    </row>
    <row r="10262" spans="1:6" ht="38.25" x14ac:dyDescent="0.2">
      <c r="A10262" s="391">
        <v>36156</v>
      </c>
      <c r="B10262" s="478" t="s">
        <v>42803</v>
      </c>
      <c r="C10262" s="391" t="s">
        <v>255</v>
      </c>
      <c r="D10262" s="479">
        <v>65.900000000000006</v>
      </c>
      <c r="E10262" s="368"/>
      <c r="F10262" s="368"/>
    </row>
    <row r="10263" spans="1:6" ht="38.25" x14ac:dyDescent="0.2">
      <c r="A10263" s="391">
        <v>36155</v>
      </c>
      <c r="B10263" s="478" t="s">
        <v>42804</v>
      </c>
      <c r="C10263" s="391" t="s">
        <v>255</v>
      </c>
      <c r="D10263" s="479">
        <v>52.17</v>
      </c>
      <c r="E10263" s="368"/>
      <c r="F10263" s="368"/>
    </row>
    <row r="10264" spans="1:6" ht="38.25" x14ac:dyDescent="0.2">
      <c r="A10264" s="391">
        <v>36154</v>
      </c>
      <c r="B10264" s="478" t="s">
        <v>42805</v>
      </c>
      <c r="C10264" s="391" t="s">
        <v>255</v>
      </c>
      <c r="D10264" s="479">
        <v>78.72</v>
      </c>
      <c r="E10264" s="368"/>
      <c r="F10264" s="368"/>
    </row>
    <row r="10265" spans="1:6" ht="38.25" x14ac:dyDescent="0.2">
      <c r="A10265" s="391">
        <v>36170</v>
      </c>
      <c r="B10265" s="478" t="s">
        <v>42806</v>
      </c>
      <c r="C10265" s="391" t="s">
        <v>255</v>
      </c>
      <c r="D10265" s="479">
        <v>59.5</v>
      </c>
      <c r="E10265" s="368"/>
      <c r="F10265" s="368"/>
    </row>
    <row r="10266" spans="1:6" ht="25.5" x14ac:dyDescent="0.2">
      <c r="A10266" s="391">
        <v>695</v>
      </c>
      <c r="B10266" s="478" t="s">
        <v>42807</v>
      </c>
      <c r="C10266" s="391" t="s">
        <v>255</v>
      </c>
      <c r="D10266" s="479">
        <v>66.13</v>
      </c>
      <c r="E10266" s="368"/>
      <c r="F10266" s="368"/>
    </row>
    <row r="10267" spans="1:6" ht="25.5" x14ac:dyDescent="0.2">
      <c r="A10267" s="391">
        <v>679</v>
      </c>
      <c r="B10267" s="478" t="s">
        <v>42808</v>
      </c>
      <c r="C10267" s="391" t="s">
        <v>255</v>
      </c>
      <c r="D10267" s="479">
        <v>94.37</v>
      </c>
      <c r="E10267" s="368"/>
      <c r="F10267" s="368"/>
    </row>
    <row r="10268" spans="1:6" ht="25.5" x14ac:dyDescent="0.2">
      <c r="A10268" s="391">
        <v>711</v>
      </c>
      <c r="B10268" s="478" t="s">
        <v>42809</v>
      </c>
      <c r="C10268" s="391" t="s">
        <v>255</v>
      </c>
      <c r="D10268" s="479">
        <v>59.5</v>
      </c>
      <c r="E10268" s="368"/>
      <c r="F10268" s="368"/>
    </row>
    <row r="10269" spans="1:6" ht="25.5" x14ac:dyDescent="0.2">
      <c r="A10269" s="391">
        <v>712</v>
      </c>
      <c r="B10269" s="478" t="s">
        <v>42810</v>
      </c>
      <c r="C10269" s="391" t="s">
        <v>255</v>
      </c>
      <c r="D10269" s="479">
        <v>71.400000000000006</v>
      </c>
      <c r="E10269" s="368"/>
      <c r="F10269" s="368"/>
    </row>
    <row r="10270" spans="1:6" ht="25.5" x14ac:dyDescent="0.2">
      <c r="A10270" s="391">
        <v>12614</v>
      </c>
      <c r="B10270" s="478" t="s">
        <v>42811</v>
      </c>
      <c r="C10270" s="391" t="s">
        <v>26</v>
      </c>
      <c r="D10270" s="479">
        <v>57.85</v>
      </c>
      <c r="E10270" s="368"/>
      <c r="F10270" s="368"/>
    </row>
    <row r="10271" spans="1:6" x14ac:dyDescent="0.2">
      <c r="A10271" s="391">
        <v>6140</v>
      </c>
      <c r="B10271" s="478" t="s">
        <v>42812</v>
      </c>
      <c r="C10271" s="391" t="s">
        <v>26</v>
      </c>
      <c r="D10271" s="479">
        <v>3.87</v>
      </c>
      <c r="E10271" s="368"/>
      <c r="F10271" s="368"/>
    </row>
    <row r="10272" spans="1:6" x14ac:dyDescent="0.2">
      <c r="A10272" s="391">
        <v>38399</v>
      </c>
      <c r="B10272" s="478" t="s">
        <v>42813</v>
      </c>
      <c r="C10272" s="391" t="s">
        <v>26</v>
      </c>
      <c r="D10272" s="479"/>
      <c r="E10272" s="368"/>
      <c r="F10272" s="368"/>
    </row>
    <row r="10273" spans="1:6" ht="38.25" x14ac:dyDescent="0.2">
      <c r="A10273" s="391">
        <v>729</v>
      </c>
      <c r="B10273" s="478" t="s">
        <v>42814</v>
      </c>
      <c r="C10273" s="391" t="s">
        <v>26</v>
      </c>
      <c r="D10273" s="479">
        <v>994.64</v>
      </c>
      <c r="E10273" s="368"/>
      <c r="F10273" s="368"/>
    </row>
    <row r="10274" spans="1:6" ht="38.25" x14ac:dyDescent="0.2">
      <c r="A10274" s="391">
        <v>39925</v>
      </c>
      <c r="B10274" s="478" t="s">
        <v>42815</v>
      </c>
      <c r="C10274" s="391" t="s">
        <v>26</v>
      </c>
      <c r="D10274" s="479">
        <v>14372.46</v>
      </c>
      <c r="E10274" s="368"/>
      <c r="F10274" s="368"/>
    </row>
    <row r="10275" spans="1:6" ht="25.5" x14ac:dyDescent="0.2">
      <c r="A10275" s="391">
        <v>731</v>
      </c>
      <c r="B10275" s="478" t="s">
        <v>42816</v>
      </c>
      <c r="C10275" s="391" t="s">
        <v>26</v>
      </c>
      <c r="D10275" s="479">
        <v>968.03</v>
      </c>
      <c r="E10275" s="368"/>
      <c r="F10275" s="368"/>
    </row>
    <row r="10276" spans="1:6" ht="38.25" x14ac:dyDescent="0.2">
      <c r="A10276" s="391">
        <v>10575</v>
      </c>
      <c r="B10276" s="478" t="s">
        <v>42817</v>
      </c>
      <c r="C10276" s="391" t="s">
        <v>26</v>
      </c>
      <c r="D10276" s="479">
        <v>1510.68</v>
      </c>
      <c r="E10276" s="368"/>
      <c r="F10276" s="368"/>
    </row>
    <row r="10277" spans="1:6" ht="38.25" x14ac:dyDescent="0.2">
      <c r="A10277" s="391">
        <v>733</v>
      </c>
      <c r="B10277" s="478" t="s">
        <v>42818</v>
      </c>
      <c r="C10277" s="391" t="s">
        <v>26</v>
      </c>
      <c r="D10277" s="479">
        <v>1654.01</v>
      </c>
      <c r="E10277" s="368"/>
      <c r="F10277" s="368"/>
    </row>
    <row r="10278" spans="1:6" ht="38.25" x14ac:dyDescent="0.2">
      <c r="A10278" s="391">
        <v>732</v>
      </c>
      <c r="B10278" s="478" t="s">
        <v>42819</v>
      </c>
      <c r="C10278" s="391" t="s">
        <v>26</v>
      </c>
      <c r="D10278" s="479">
        <v>1631.78</v>
      </c>
      <c r="E10278" s="368"/>
      <c r="F10278" s="368"/>
    </row>
    <row r="10279" spans="1:6" ht="38.25" x14ac:dyDescent="0.2">
      <c r="A10279" s="391">
        <v>735</v>
      </c>
      <c r="B10279" s="478" t="s">
        <v>42820</v>
      </c>
      <c r="C10279" s="391" t="s">
        <v>26</v>
      </c>
      <c r="D10279" s="479">
        <v>2902.84</v>
      </c>
      <c r="E10279" s="368"/>
      <c r="F10279" s="368"/>
    </row>
    <row r="10280" spans="1:6" ht="38.25" x14ac:dyDescent="0.2">
      <c r="A10280" s="391">
        <v>737</v>
      </c>
      <c r="B10280" s="478" t="s">
        <v>42821</v>
      </c>
      <c r="C10280" s="391" t="s">
        <v>26</v>
      </c>
      <c r="D10280" s="479">
        <v>9150.52</v>
      </c>
      <c r="E10280" s="368"/>
      <c r="F10280" s="368"/>
    </row>
    <row r="10281" spans="1:6" ht="38.25" x14ac:dyDescent="0.2">
      <c r="A10281" s="391">
        <v>736</v>
      </c>
      <c r="B10281" s="478" t="s">
        <v>42822</v>
      </c>
      <c r="C10281" s="391" t="s">
        <v>26</v>
      </c>
      <c r="D10281" s="479">
        <v>2440.77</v>
      </c>
      <c r="E10281" s="368"/>
      <c r="F10281" s="368"/>
    </row>
    <row r="10282" spans="1:6" ht="38.25" x14ac:dyDescent="0.2">
      <c r="A10282" s="391">
        <v>738</v>
      </c>
      <c r="B10282" s="478" t="s">
        <v>42823</v>
      </c>
      <c r="C10282" s="391" t="s">
        <v>26</v>
      </c>
      <c r="D10282" s="479">
        <v>4243.03</v>
      </c>
      <c r="E10282" s="368"/>
      <c r="F10282" s="368"/>
    </row>
    <row r="10283" spans="1:6" ht="38.25" x14ac:dyDescent="0.2">
      <c r="A10283" s="391">
        <v>740</v>
      </c>
      <c r="B10283" s="478" t="s">
        <v>42824</v>
      </c>
      <c r="C10283" s="391" t="s">
        <v>26</v>
      </c>
      <c r="D10283" s="479">
        <v>8608.24</v>
      </c>
      <c r="E10283" s="368"/>
      <c r="F10283" s="368"/>
    </row>
    <row r="10284" spans="1:6" ht="38.25" x14ac:dyDescent="0.2">
      <c r="A10284" s="391">
        <v>734</v>
      </c>
      <c r="B10284" s="478" t="s">
        <v>42825</v>
      </c>
      <c r="C10284" s="391" t="s">
        <v>26</v>
      </c>
      <c r="D10284" s="479">
        <v>1749.26</v>
      </c>
      <c r="E10284" s="368"/>
      <c r="F10284" s="368"/>
    </row>
    <row r="10285" spans="1:6" x14ac:dyDescent="0.2">
      <c r="A10285" s="391">
        <v>39008</v>
      </c>
      <c r="B10285" s="478" t="s">
        <v>42826</v>
      </c>
      <c r="C10285" s="391" t="s">
        <v>26</v>
      </c>
      <c r="D10285" s="479"/>
      <c r="E10285" s="368"/>
      <c r="F10285" s="368"/>
    </row>
    <row r="10286" spans="1:6" x14ac:dyDescent="0.2">
      <c r="A10286" s="391">
        <v>39009</v>
      </c>
      <c r="B10286" s="478" t="s">
        <v>42827</v>
      </c>
      <c r="C10286" s="391" t="s">
        <v>26</v>
      </c>
      <c r="D10286" s="479"/>
      <c r="E10286" s="368"/>
      <c r="F10286" s="368"/>
    </row>
    <row r="10287" spans="1:6" ht="51" x14ac:dyDescent="0.2">
      <c r="A10287" s="391">
        <v>10587</v>
      </c>
      <c r="B10287" s="478" t="s">
        <v>42828</v>
      </c>
      <c r="C10287" s="391" t="s">
        <v>26</v>
      </c>
      <c r="D10287" s="479"/>
      <c r="E10287" s="368"/>
      <c r="F10287" s="368"/>
    </row>
    <row r="10288" spans="1:6" ht="51" x14ac:dyDescent="0.2">
      <c r="A10288" s="391">
        <v>759</v>
      </c>
      <c r="B10288" s="478" t="s">
        <v>42829</v>
      </c>
      <c r="C10288" s="391" t="s">
        <v>26</v>
      </c>
      <c r="D10288" s="479"/>
      <c r="E10288" s="368"/>
      <c r="F10288" s="368"/>
    </row>
    <row r="10289" spans="1:6" ht="51" x14ac:dyDescent="0.2">
      <c r="A10289" s="391">
        <v>761</v>
      </c>
      <c r="B10289" s="478" t="s">
        <v>42830</v>
      </c>
      <c r="C10289" s="391" t="s">
        <v>26</v>
      </c>
      <c r="D10289" s="479"/>
      <c r="E10289" s="368"/>
      <c r="F10289" s="368"/>
    </row>
    <row r="10290" spans="1:6" ht="51" x14ac:dyDescent="0.2">
      <c r="A10290" s="391">
        <v>750</v>
      </c>
      <c r="B10290" s="478" t="s">
        <v>42831</v>
      </c>
      <c r="C10290" s="391" t="s">
        <v>26</v>
      </c>
      <c r="D10290" s="479"/>
      <c r="E10290" s="368"/>
      <c r="F10290" s="368"/>
    </row>
    <row r="10291" spans="1:6" ht="51" x14ac:dyDescent="0.2">
      <c r="A10291" s="391">
        <v>755</v>
      </c>
      <c r="B10291" s="478" t="s">
        <v>42832</v>
      </c>
      <c r="C10291" s="391" t="s">
        <v>26</v>
      </c>
      <c r="D10291" s="479"/>
      <c r="E10291" s="368"/>
      <c r="F10291" s="368"/>
    </row>
    <row r="10292" spans="1:6" ht="51" x14ac:dyDescent="0.2">
      <c r="A10292" s="391">
        <v>749</v>
      </c>
      <c r="B10292" s="478" t="s">
        <v>42833</v>
      </c>
      <c r="C10292" s="391" t="s">
        <v>26</v>
      </c>
      <c r="D10292" s="479"/>
      <c r="E10292" s="368"/>
      <c r="F10292" s="368"/>
    </row>
    <row r="10293" spans="1:6" ht="51" x14ac:dyDescent="0.2">
      <c r="A10293" s="391">
        <v>756</v>
      </c>
      <c r="B10293" s="478" t="s">
        <v>42834</v>
      </c>
      <c r="C10293" s="391" t="s">
        <v>26</v>
      </c>
      <c r="D10293" s="479"/>
      <c r="E10293" s="368"/>
      <c r="F10293" s="368"/>
    </row>
    <row r="10294" spans="1:6" ht="38.25" x14ac:dyDescent="0.2">
      <c r="A10294" s="391">
        <v>10588</v>
      </c>
      <c r="B10294" s="478" t="s">
        <v>42835</v>
      </c>
      <c r="C10294" s="391" t="s">
        <v>26</v>
      </c>
      <c r="D10294" s="479"/>
      <c r="E10294" s="368"/>
      <c r="F10294" s="368"/>
    </row>
    <row r="10295" spans="1:6" ht="38.25" x14ac:dyDescent="0.2">
      <c r="A10295" s="391">
        <v>10592</v>
      </c>
      <c r="B10295" s="478" t="s">
        <v>42836</v>
      </c>
      <c r="C10295" s="391" t="s">
        <v>26</v>
      </c>
      <c r="D10295" s="479"/>
      <c r="E10295" s="368"/>
      <c r="F10295" s="368"/>
    </row>
    <row r="10296" spans="1:6" ht="38.25" x14ac:dyDescent="0.2">
      <c r="A10296" s="391">
        <v>10589</v>
      </c>
      <c r="B10296" s="478" t="s">
        <v>42837</v>
      </c>
      <c r="C10296" s="391" t="s">
        <v>26</v>
      </c>
      <c r="D10296" s="479"/>
      <c r="E10296" s="368"/>
      <c r="F10296" s="368"/>
    </row>
    <row r="10297" spans="1:6" ht="38.25" x14ac:dyDescent="0.2">
      <c r="A10297" s="391">
        <v>760</v>
      </c>
      <c r="B10297" s="478" t="s">
        <v>42838</v>
      </c>
      <c r="C10297" s="391" t="s">
        <v>26</v>
      </c>
      <c r="D10297" s="479"/>
      <c r="E10297" s="368"/>
      <c r="F10297" s="368"/>
    </row>
    <row r="10298" spans="1:6" ht="38.25" x14ac:dyDescent="0.2">
      <c r="A10298" s="391">
        <v>751</v>
      </c>
      <c r="B10298" s="478" t="s">
        <v>42839</v>
      </c>
      <c r="C10298" s="391" t="s">
        <v>26</v>
      </c>
      <c r="D10298" s="479"/>
      <c r="E10298" s="368"/>
      <c r="F10298" s="368"/>
    </row>
    <row r="10299" spans="1:6" ht="38.25" x14ac:dyDescent="0.2">
      <c r="A10299" s="391">
        <v>754</v>
      </c>
      <c r="B10299" s="478" t="s">
        <v>42840</v>
      </c>
      <c r="C10299" s="391" t="s">
        <v>26</v>
      </c>
      <c r="D10299" s="479"/>
      <c r="E10299" s="368"/>
      <c r="F10299" s="368"/>
    </row>
    <row r="10300" spans="1:6" ht="38.25" x14ac:dyDescent="0.2">
      <c r="A10300" s="391">
        <v>757</v>
      </c>
      <c r="B10300" s="478" t="s">
        <v>42841</v>
      </c>
      <c r="C10300" s="391" t="s">
        <v>26</v>
      </c>
      <c r="D10300" s="479"/>
      <c r="E10300" s="368"/>
      <c r="F10300" s="368"/>
    </row>
    <row r="10301" spans="1:6" ht="25.5" x14ac:dyDescent="0.2">
      <c r="A10301" s="391">
        <v>44489</v>
      </c>
      <c r="B10301" s="478" t="s">
        <v>42842</v>
      </c>
      <c r="C10301" s="391" t="s">
        <v>26</v>
      </c>
      <c r="D10301" s="479">
        <v>247267.06</v>
      </c>
      <c r="E10301" s="368"/>
      <c r="F10301" s="368"/>
    </row>
    <row r="10302" spans="1:6" ht="25.5" x14ac:dyDescent="0.2">
      <c r="A10302" s="391">
        <v>39917</v>
      </c>
      <c r="B10302" s="478" t="s">
        <v>42843</v>
      </c>
      <c r="C10302" s="391" t="s">
        <v>26</v>
      </c>
      <c r="D10302" s="479"/>
      <c r="E10302" s="368"/>
      <c r="F10302" s="368"/>
    </row>
    <row r="10303" spans="1:6" x14ac:dyDescent="0.2">
      <c r="A10303" s="391">
        <v>38167</v>
      </c>
      <c r="B10303" s="478" t="s">
        <v>42844</v>
      </c>
      <c r="C10303" s="391" t="s">
        <v>12086</v>
      </c>
      <c r="D10303" s="479">
        <v>28.61</v>
      </c>
      <c r="E10303" s="368"/>
      <c r="F10303" s="368"/>
    </row>
    <row r="10304" spans="1:6" x14ac:dyDescent="0.2">
      <c r="A10304" s="391">
        <v>36145</v>
      </c>
      <c r="B10304" s="478" t="s">
        <v>42845</v>
      </c>
      <c r="C10304" s="391" t="s">
        <v>12086</v>
      </c>
      <c r="D10304" s="479">
        <v>48.63</v>
      </c>
      <c r="E10304" s="368"/>
      <c r="F10304" s="368"/>
    </row>
    <row r="10305" spans="1:6" x14ac:dyDescent="0.2">
      <c r="A10305" s="391">
        <v>12893</v>
      </c>
      <c r="B10305" s="478" t="s">
        <v>42846</v>
      </c>
      <c r="C10305" s="391" t="s">
        <v>12086</v>
      </c>
      <c r="D10305" s="479">
        <v>85.59</v>
      </c>
      <c r="E10305" s="368"/>
      <c r="F10305" s="368"/>
    </row>
    <row r="10306" spans="1:6" x14ac:dyDescent="0.2">
      <c r="A10306" s="391">
        <v>11685</v>
      </c>
      <c r="B10306" s="478" t="s">
        <v>42847</v>
      </c>
      <c r="C10306" s="391" t="s">
        <v>26</v>
      </c>
      <c r="D10306" s="479">
        <v>37.979999999999997</v>
      </c>
      <c r="E10306" s="368"/>
      <c r="F10306" s="368"/>
    </row>
    <row r="10307" spans="1:6" x14ac:dyDescent="0.2">
      <c r="A10307" s="391">
        <v>11680</v>
      </c>
      <c r="B10307" s="478" t="s">
        <v>48238</v>
      </c>
      <c r="C10307" s="391" t="s">
        <v>26</v>
      </c>
      <c r="D10307" s="479">
        <v>19.52</v>
      </c>
      <c r="E10307" s="368"/>
      <c r="F10307" s="368"/>
    </row>
    <row r="10308" spans="1:6" ht="25.5" x14ac:dyDescent="0.2">
      <c r="A10308" s="391">
        <v>11679</v>
      </c>
      <c r="B10308" s="478" t="s">
        <v>48239</v>
      </c>
      <c r="C10308" s="391" t="s">
        <v>26</v>
      </c>
      <c r="D10308" s="479">
        <v>26.47</v>
      </c>
      <c r="E10308" s="368"/>
      <c r="F10308" s="368"/>
    </row>
    <row r="10309" spans="1:6" x14ac:dyDescent="0.2">
      <c r="A10309" s="391">
        <v>2512</v>
      </c>
      <c r="B10309" s="478" t="s">
        <v>42848</v>
      </c>
      <c r="C10309" s="391" t="s">
        <v>26</v>
      </c>
      <c r="D10309" s="479"/>
      <c r="E10309" s="368"/>
      <c r="F10309" s="368"/>
    </row>
    <row r="10310" spans="1:6" x14ac:dyDescent="0.2">
      <c r="A10310" s="391">
        <v>45203</v>
      </c>
      <c r="B10310" s="478" t="s">
        <v>48240</v>
      </c>
      <c r="C10310" s="391" t="s">
        <v>26</v>
      </c>
      <c r="D10310" s="479">
        <v>6.31</v>
      </c>
      <c r="E10310" s="368"/>
      <c r="F10310" s="368"/>
    </row>
    <row r="10311" spans="1:6" x14ac:dyDescent="0.2">
      <c r="A10311" s="391">
        <v>4374</v>
      </c>
      <c r="B10311" s="478" t="s">
        <v>42849</v>
      </c>
      <c r="C10311" s="391" t="s">
        <v>26</v>
      </c>
      <c r="D10311" s="479">
        <v>0.55000000000000004</v>
      </c>
      <c r="E10311" s="368"/>
      <c r="F10311" s="368"/>
    </row>
    <row r="10312" spans="1:6" ht="25.5" x14ac:dyDescent="0.2">
      <c r="A10312" s="391">
        <v>7568</v>
      </c>
      <c r="B10312" s="478" t="s">
        <v>42850</v>
      </c>
      <c r="C10312" s="391" t="s">
        <v>26</v>
      </c>
      <c r="D10312" s="479">
        <v>0.92</v>
      </c>
      <c r="E10312" s="368"/>
      <c r="F10312" s="368"/>
    </row>
    <row r="10313" spans="1:6" ht="25.5" x14ac:dyDescent="0.2">
      <c r="A10313" s="391">
        <v>7584</v>
      </c>
      <c r="B10313" s="478" t="s">
        <v>42851</v>
      </c>
      <c r="C10313" s="391" t="s">
        <v>26</v>
      </c>
      <c r="D10313" s="479">
        <v>1.4</v>
      </c>
      <c r="E10313" s="368"/>
      <c r="F10313" s="368"/>
    </row>
    <row r="10314" spans="1:6" x14ac:dyDescent="0.2">
      <c r="A10314" s="391">
        <v>11945</v>
      </c>
      <c r="B10314" s="478" t="s">
        <v>42852</v>
      </c>
      <c r="C10314" s="391" t="s">
        <v>26</v>
      </c>
      <c r="D10314" s="479">
        <v>0.09</v>
      </c>
      <c r="E10314" s="368"/>
      <c r="F10314" s="368"/>
    </row>
    <row r="10315" spans="1:6" x14ac:dyDescent="0.2">
      <c r="A10315" s="391">
        <v>11946</v>
      </c>
      <c r="B10315" s="478" t="s">
        <v>42853</v>
      </c>
      <c r="C10315" s="391" t="s">
        <v>26</v>
      </c>
      <c r="D10315" s="479">
        <v>0.1</v>
      </c>
      <c r="E10315" s="368"/>
      <c r="F10315" s="368"/>
    </row>
    <row r="10316" spans="1:6" x14ac:dyDescent="0.2">
      <c r="A10316" s="391">
        <v>4375</v>
      </c>
      <c r="B10316" s="478" t="s">
        <v>42854</v>
      </c>
      <c r="C10316" s="391" t="s">
        <v>26</v>
      </c>
      <c r="D10316" s="479">
        <v>0.15</v>
      </c>
      <c r="E10316" s="368"/>
      <c r="F10316" s="368"/>
    </row>
    <row r="10317" spans="1:6" ht="25.5" x14ac:dyDescent="0.2">
      <c r="A10317" s="391">
        <v>11950</v>
      </c>
      <c r="B10317" s="478" t="s">
        <v>42855</v>
      </c>
      <c r="C10317" s="391" t="s">
        <v>26</v>
      </c>
      <c r="D10317" s="479">
        <v>0.31</v>
      </c>
      <c r="E10317" s="368"/>
      <c r="F10317" s="368"/>
    </row>
    <row r="10318" spans="1:6" x14ac:dyDescent="0.2">
      <c r="A10318" s="391">
        <v>4376</v>
      </c>
      <c r="B10318" s="478" t="s">
        <v>42856</v>
      </c>
      <c r="C10318" s="391" t="s">
        <v>26</v>
      </c>
      <c r="D10318" s="479">
        <v>0.28999999999999998</v>
      </c>
      <c r="E10318" s="368"/>
      <c r="F10318" s="368"/>
    </row>
    <row r="10319" spans="1:6" ht="25.5" x14ac:dyDescent="0.2">
      <c r="A10319" s="391">
        <v>7583</v>
      </c>
      <c r="B10319" s="478" t="s">
        <v>42857</v>
      </c>
      <c r="C10319" s="391" t="s">
        <v>26</v>
      </c>
      <c r="D10319" s="479">
        <v>0.62</v>
      </c>
      <c r="E10319" s="368"/>
      <c r="F10319" s="368"/>
    </row>
    <row r="10320" spans="1:6" ht="38.25" x14ac:dyDescent="0.2">
      <c r="A10320" s="391">
        <v>4350</v>
      </c>
      <c r="B10320" s="478" t="s">
        <v>42858</v>
      </c>
      <c r="C10320" s="391" t="s">
        <v>26</v>
      </c>
      <c r="D10320" s="479">
        <v>0.88</v>
      </c>
      <c r="E10320" s="368"/>
      <c r="F10320" s="368"/>
    </row>
    <row r="10321" spans="1:6" x14ac:dyDescent="0.2">
      <c r="A10321" s="391">
        <v>44400</v>
      </c>
      <c r="B10321" s="478" t="s">
        <v>42859</v>
      </c>
      <c r="C10321" s="391" t="s">
        <v>26</v>
      </c>
      <c r="D10321" s="479">
        <v>31.04</v>
      </c>
      <c r="E10321" s="368"/>
      <c r="F10321" s="368"/>
    </row>
    <row r="10322" spans="1:6" ht="25.5" x14ac:dyDescent="0.2">
      <c r="A10322" s="391">
        <v>39886</v>
      </c>
      <c r="B10322" s="478" t="s">
        <v>42860</v>
      </c>
      <c r="C10322" s="391" t="s">
        <v>26</v>
      </c>
      <c r="D10322" s="479"/>
      <c r="E10322" s="368"/>
      <c r="F10322" s="368"/>
    </row>
    <row r="10323" spans="1:6" ht="25.5" x14ac:dyDescent="0.2">
      <c r="A10323" s="391">
        <v>39887</v>
      </c>
      <c r="B10323" s="478" t="s">
        <v>42861</v>
      </c>
      <c r="C10323" s="391" t="s">
        <v>26</v>
      </c>
      <c r="D10323" s="479"/>
      <c r="E10323" s="368"/>
      <c r="F10323" s="368"/>
    </row>
    <row r="10324" spans="1:6" ht="25.5" x14ac:dyDescent="0.2">
      <c r="A10324" s="391">
        <v>39888</v>
      </c>
      <c r="B10324" s="478" t="s">
        <v>42862</v>
      </c>
      <c r="C10324" s="391" t="s">
        <v>26</v>
      </c>
      <c r="D10324" s="479"/>
      <c r="E10324" s="368"/>
      <c r="F10324" s="368"/>
    </row>
    <row r="10325" spans="1:6" ht="25.5" x14ac:dyDescent="0.2">
      <c r="A10325" s="391">
        <v>39890</v>
      </c>
      <c r="B10325" s="478" t="s">
        <v>42863</v>
      </c>
      <c r="C10325" s="391" t="s">
        <v>26</v>
      </c>
      <c r="D10325" s="479"/>
      <c r="E10325" s="368"/>
      <c r="F10325" s="368"/>
    </row>
    <row r="10326" spans="1:6" ht="25.5" x14ac:dyDescent="0.2">
      <c r="A10326" s="391">
        <v>39891</v>
      </c>
      <c r="B10326" s="478" t="s">
        <v>42864</v>
      </c>
      <c r="C10326" s="391" t="s">
        <v>26</v>
      </c>
      <c r="D10326" s="479"/>
      <c r="E10326" s="368"/>
      <c r="F10326" s="368"/>
    </row>
    <row r="10327" spans="1:6" ht="25.5" x14ac:dyDescent="0.2">
      <c r="A10327" s="391">
        <v>39892</v>
      </c>
      <c r="B10327" s="478" t="s">
        <v>42865</v>
      </c>
      <c r="C10327" s="391" t="s">
        <v>26</v>
      </c>
      <c r="D10327" s="479"/>
      <c r="E10327" s="368"/>
      <c r="F10327" s="368"/>
    </row>
    <row r="10328" spans="1:6" ht="25.5" x14ac:dyDescent="0.2">
      <c r="A10328" s="391">
        <v>790</v>
      </c>
      <c r="B10328" s="478" t="s">
        <v>42866</v>
      </c>
      <c r="C10328" s="391" t="s">
        <v>26</v>
      </c>
      <c r="D10328" s="479"/>
      <c r="E10328" s="368"/>
      <c r="F10328" s="368"/>
    </row>
    <row r="10329" spans="1:6" x14ac:dyDescent="0.2">
      <c r="A10329" s="391">
        <v>791</v>
      </c>
      <c r="B10329" s="478" t="s">
        <v>42867</v>
      </c>
      <c r="C10329" s="391" t="s">
        <v>26</v>
      </c>
      <c r="D10329" s="479"/>
      <c r="E10329" s="368"/>
      <c r="F10329" s="368"/>
    </row>
    <row r="10330" spans="1:6" ht="25.5" x14ac:dyDescent="0.2">
      <c r="A10330" s="391">
        <v>766</v>
      </c>
      <c r="B10330" s="478" t="s">
        <v>42868</v>
      </c>
      <c r="C10330" s="391" t="s">
        <v>26</v>
      </c>
      <c r="D10330" s="479"/>
      <c r="E10330" s="368"/>
      <c r="F10330" s="368"/>
    </row>
    <row r="10331" spans="1:6" ht="25.5" x14ac:dyDescent="0.2">
      <c r="A10331" s="391">
        <v>767</v>
      </c>
      <c r="B10331" s="478" t="s">
        <v>42869</v>
      </c>
      <c r="C10331" s="391" t="s">
        <v>26</v>
      </c>
      <c r="D10331" s="479"/>
      <c r="E10331" s="368"/>
      <c r="F10331" s="368"/>
    </row>
    <row r="10332" spans="1:6" x14ac:dyDescent="0.2">
      <c r="A10332" s="391">
        <v>789</v>
      </c>
      <c r="B10332" s="478" t="s">
        <v>42870</v>
      </c>
      <c r="C10332" s="391" t="s">
        <v>26</v>
      </c>
      <c r="D10332" s="479"/>
      <c r="E10332" s="368"/>
      <c r="F10332" s="368"/>
    </row>
    <row r="10333" spans="1:6" ht="25.5" x14ac:dyDescent="0.2">
      <c r="A10333" s="391">
        <v>768</v>
      </c>
      <c r="B10333" s="478" t="s">
        <v>42871</v>
      </c>
      <c r="C10333" s="391" t="s">
        <v>26</v>
      </c>
      <c r="D10333" s="479"/>
      <c r="E10333" s="368"/>
      <c r="F10333" s="368"/>
    </row>
    <row r="10334" spans="1:6" ht="25.5" x14ac:dyDescent="0.2">
      <c r="A10334" s="391">
        <v>769</v>
      </c>
      <c r="B10334" s="478" t="s">
        <v>42872</v>
      </c>
      <c r="C10334" s="391" t="s">
        <v>26</v>
      </c>
      <c r="D10334" s="479"/>
      <c r="E10334" s="368"/>
      <c r="F10334" s="368"/>
    </row>
    <row r="10335" spans="1:6" x14ac:dyDescent="0.2">
      <c r="A10335" s="391">
        <v>764</v>
      </c>
      <c r="B10335" s="478" t="s">
        <v>42873</v>
      </c>
      <c r="C10335" s="391" t="s">
        <v>26</v>
      </c>
      <c r="D10335" s="479"/>
      <c r="E10335" s="368"/>
      <c r="F10335" s="368"/>
    </row>
    <row r="10336" spans="1:6" x14ac:dyDescent="0.2">
      <c r="A10336" s="391">
        <v>765</v>
      </c>
      <c r="B10336" s="478" t="s">
        <v>42874</v>
      </c>
      <c r="C10336" s="391" t="s">
        <v>26</v>
      </c>
      <c r="D10336" s="479"/>
      <c r="E10336" s="368"/>
      <c r="F10336" s="368"/>
    </row>
    <row r="10337" spans="1:6" x14ac:dyDescent="0.2">
      <c r="A10337" s="391">
        <v>770</v>
      </c>
      <c r="B10337" s="478" t="s">
        <v>42875</v>
      </c>
      <c r="C10337" s="391" t="s">
        <v>26</v>
      </c>
      <c r="D10337" s="479"/>
      <c r="E10337" s="368"/>
      <c r="F10337" s="368"/>
    </row>
    <row r="10338" spans="1:6" x14ac:dyDescent="0.2">
      <c r="A10338" s="391">
        <v>12394</v>
      </c>
      <c r="B10338" s="478" t="s">
        <v>42876</v>
      </c>
      <c r="C10338" s="391" t="s">
        <v>26</v>
      </c>
      <c r="D10338" s="479"/>
      <c r="E10338" s="368"/>
      <c r="F10338" s="368"/>
    </row>
    <row r="10339" spans="1:6" ht="25.5" x14ac:dyDescent="0.2">
      <c r="A10339" s="391">
        <v>787</v>
      </c>
      <c r="B10339" s="478" t="s">
        <v>42877</v>
      </c>
      <c r="C10339" s="391" t="s">
        <v>26</v>
      </c>
      <c r="D10339" s="479"/>
      <c r="E10339" s="368"/>
      <c r="F10339" s="368"/>
    </row>
    <row r="10340" spans="1:6" ht="25.5" x14ac:dyDescent="0.2">
      <c r="A10340" s="391">
        <v>774</v>
      </c>
      <c r="B10340" s="478" t="s">
        <v>42878</v>
      </c>
      <c r="C10340" s="391" t="s">
        <v>26</v>
      </c>
      <c r="D10340" s="479"/>
      <c r="E10340" s="368"/>
      <c r="F10340" s="368"/>
    </row>
    <row r="10341" spans="1:6" x14ac:dyDescent="0.2">
      <c r="A10341" s="391">
        <v>773</v>
      </c>
      <c r="B10341" s="478" t="s">
        <v>42879</v>
      </c>
      <c r="C10341" s="391" t="s">
        <v>26</v>
      </c>
      <c r="D10341" s="479"/>
      <c r="E10341" s="368"/>
      <c r="F10341" s="368"/>
    </row>
    <row r="10342" spans="1:6" x14ac:dyDescent="0.2">
      <c r="A10342" s="391">
        <v>775</v>
      </c>
      <c r="B10342" s="478" t="s">
        <v>42880</v>
      </c>
      <c r="C10342" s="391" t="s">
        <v>26</v>
      </c>
      <c r="D10342" s="479"/>
      <c r="E10342" s="368"/>
      <c r="F10342" s="368"/>
    </row>
    <row r="10343" spans="1:6" x14ac:dyDescent="0.2">
      <c r="A10343" s="391">
        <v>788</v>
      </c>
      <c r="B10343" s="478" t="s">
        <v>42881</v>
      </c>
      <c r="C10343" s="391" t="s">
        <v>26</v>
      </c>
      <c r="D10343" s="479"/>
      <c r="E10343" s="368"/>
      <c r="F10343" s="368"/>
    </row>
    <row r="10344" spans="1:6" x14ac:dyDescent="0.2">
      <c r="A10344" s="391">
        <v>772</v>
      </c>
      <c r="B10344" s="478" t="s">
        <v>42882</v>
      </c>
      <c r="C10344" s="391" t="s">
        <v>26</v>
      </c>
      <c r="D10344" s="479"/>
      <c r="E10344" s="368"/>
      <c r="F10344" s="368"/>
    </row>
    <row r="10345" spans="1:6" x14ac:dyDescent="0.2">
      <c r="A10345" s="391">
        <v>771</v>
      </c>
      <c r="B10345" s="478" t="s">
        <v>42883</v>
      </c>
      <c r="C10345" s="391" t="s">
        <v>26</v>
      </c>
      <c r="D10345" s="479"/>
      <c r="E10345" s="368"/>
      <c r="F10345" s="368"/>
    </row>
    <row r="10346" spans="1:6" x14ac:dyDescent="0.2">
      <c r="A10346" s="391">
        <v>776</v>
      </c>
      <c r="B10346" s="478" t="s">
        <v>42884</v>
      </c>
      <c r="C10346" s="391" t="s">
        <v>26</v>
      </c>
      <c r="D10346" s="479"/>
      <c r="E10346" s="368"/>
      <c r="F10346" s="368"/>
    </row>
    <row r="10347" spans="1:6" x14ac:dyDescent="0.2">
      <c r="A10347" s="391">
        <v>777</v>
      </c>
      <c r="B10347" s="478" t="s">
        <v>42885</v>
      </c>
      <c r="C10347" s="391" t="s">
        <v>26</v>
      </c>
      <c r="D10347" s="479"/>
      <c r="E10347" s="368"/>
      <c r="F10347" s="368"/>
    </row>
    <row r="10348" spans="1:6" x14ac:dyDescent="0.2">
      <c r="A10348" s="391">
        <v>780</v>
      </c>
      <c r="B10348" s="478" t="s">
        <v>42886</v>
      </c>
      <c r="C10348" s="391" t="s">
        <v>26</v>
      </c>
      <c r="D10348" s="479"/>
      <c r="E10348" s="368"/>
      <c r="F10348" s="368"/>
    </row>
    <row r="10349" spans="1:6" x14ac:dyDescent="0.2">
      <c r="A10349" s="391">
        <v>778</v>
      </c>
      <c r="B10349" s="478" t="s">
        <v>42887</v>
      </c>
      <c r="C10349" s="391" t="s">
        <v>26</v>
      </c>
      <c r="D10349" s="479"/>
      <c r="E10349" s="368"/>
      <c r="F10349" s="368"/>
    </row>
    <row r="10350" spans="1:6" x14ac:dyDescent="0.2">
      <c r="A10350" s="391">
        <v>779</v>
      </c>
      <c r="B10350" s="478" t="s">
        <v>42888</v>
      </c>
      <c r="C10350" s="391" t="s">
        <v>26</v>
      </c>
      <c r="D10350" s="479"/>
      <c r="E10350" s="368"/>
      <c r="F10350" s="368"/>
    </row>
    <row r="10351" spans="1:6" x14ac:dyDescent="0.2">
      <c r="A10351" s="391">
        <v>781</v>
      </c>
      <c r="B10351" s="478" t="s">
        <v>42889</v>
      </c>
      <c r="C10351" s="391" t="s">
        <v>26</v>
      </c>
      <c r="D10351" s="479"/>
      <c r="E10351" s="368"/>
      <c r="F10351" s="368"/>
    </row>
    <row r="10352" spans="1:6" x14ac:dyDescent="0.2">
      <c r="A10352" s="391">
        <v>786</v>
      </c>
      <c r="B10352" s="478" t="s">
        <v>42890</v>
      </c>
      <c r="C10352" s="391" t="s">
        <v>26</v>
      </c>
      <c r="D10352" s="479"/>
      <c r="E10352" s="368"/>
      <c r="F10352" s="368"/>
    </row>
    <row r="10353" spans="1:6" x14ac:dyDescent="0.2">
      <c r="A10353" s="391">
        <v>782</v>
      </c>
      <c r="B10353" s="478" t="s">
        <v>42891</v>
      </c>
      <c r="C10353" s="391" t="s">
        <v>26</v>
      </c>
      <c r="D10353" s="479"/>
      <c r="E10353" s="368"/>
      <c r="F10353" s="368"/>
    </row>
    <row r="10354" spans="1:6" x14ac:dyDescent="0.2">
      <c r="A10354" s="391">
        <v>783</v>
      </c>
      <c r="B10354" s="478" t="s">
        <v>42892</v>
      </c>
      <c r="C10354" s="391" t="s">
        <v>26</v>
      </c>
      <c r="D10354" s="479"/>
      <c r="E10354" s="368"/>
      <c r="F10354" s="368"/>
    </row>
    <row r="10355" spans="1:6" x14ac:dyDescent="0.2">
      <c r="A10355" s="391">
        <v>785</v>
      </c>
      <c r="B10355" s="478" t="s">
        <v>42893</v>
      </c>
      <c r="C10355" s="391" t="s">
        <v>26</v>
      </c>
      <c r="D10355" s="479"/>
      <c r="E10355" s="368"/>
      <c r="F10355" s="368"/>
    </row>
    <row r="10356" spans="1:6" x14ac:dyDescent="0.2">
      <c r="A10356" s="391">
        <v>784</v>
      </c>
      <c r="B10356" s="478" t="s">
        <v>42894</v>
      </c>
      <c r="C10356" s="391" t="s">
        <v>26</v>
      </c>
      <c r="D10356" s="479"/>
      <c r="E10356" s="368"/>
      <c r="F10356" s="368"/>
    </row>
    <row r="10357" spans="1:6" ht="25.5" x14ac:dyDescent="0.2">
      <c r="A10357" s="391">
        <v>828</v>
      </c>
      <c r="B10357" s="478" t="s">
        <v>42895</v>
      </c>
      <c r="C10357" s="391" t="s">
        <v>26</v>
      </c>
      <c r="D10357" s="479">
        <v>0.59</v>
      </c>
      <c r="E10357" s="368"/>
      <c r="F10357" s="368"/>
    </row>
    <row r="10358" spans="1:6" ht="25.5" x14ac:dyDescent="0.2">
      <c r="A10358" s="391">
        <v>829</v>
      </c>
      <c r="B10358" s="478" t="s">
        <v>42896</v>
      </c>
      <c r="C10358" s="391" t="s">
        <v>26</v>
      </c>
      <c r="D10358" s="479">
        <v>0.95</v>
      </c>
      <c r="E10358" s="368"/>
      <c r="F10358" s="368"/>
    </row>
    <row r="10359" spans="1:6" ht="25.5" x14ac:dyDescent="0.2">
      <c r="A10359" s="391">
        <v>812</v>
      </c>
      <c r="B10359" s="478" t="s">
        <v>42897</v>
      </c>
      <c r="C10359" s="391" t="s">
        <v>26</v>
      </c>
      <c r="D10359" s="479">
        <v>2.09</v>
      </c>
      <c r="E10359" s="368"/>
      <c r="F10359" s="368"/>
    </row>
    <row r="10360" spans="1:6" ht="25.5" x14ac:dyDescent="0.2">
      <c r="A10360" s="391">
        <v>819</v>
      </c>
      <c r="B10360" s="478" t="s">
        <v>42898</v>
      </c>
      <c r="C10360" s="391" t="s">
        <v>26</v>
      </c>
      <c r="D10360" s="479">
        <v>3.62</v>
      </c>
      <c r="E10360" s="368"/>
      <c r="F10360" s="368"/>
    </row>
    <row r="10361" spans="1:6" ht="25.5" x14ac:dyDescent="0.2">
      <c r="A10361" s="391">
        <v>818</v>
      </c>
      <c r="B10361" s="478" t="s">
        <v>42899</v>
      </c>
      <c r="C10361" s="391" t="s">
        <v>26</v>
      </c>
      <c r="D10361" s="479">
        <v>6.76</v>
      </c>
      <c r="E10361" s="368"/>
      <c r="F10361" s="368"/>
    </row>
    <row r="10362" spans="1:6" ht="25.5" x14ac:dyDescent="0.2">
      <c r="A10362" s="391">
        <v>20086</v>
      </c>
      <c r="B10362" s="478" t="s">
        <v>42900</v>
      </c>
      <c r="C10362" s="391" t="s">
        <v>26</v>
      </c>
      <c r="D10362" s="479">
        <v>3.31</v>
      </c>
      <c r="E10362" s="368"/>
      <c r="F10362" s="368"/>
    </row>
    <row r="10363" spans="1:6" ht="25.5" x14ac:dyDescent="0.2">
      <c r="A10363" s="391">
        <v>832</v>
      </c>
      <c r="B10363" s="478" t="s">
        <v>42901</v>
      </c>
      <c r="C10363" s="391" t="s">
        <v>26</v>
      </c>
      <c r="D10363" s="479">
        <v>2.79</v>
      </c>
      <c r="E10363" s="368"/>
      <c r="F10363" s="368"/>
    </row>
    <row r="10364" spans="1:6" ht="25.5" x14ac:dyDescent="0.2">
      <c r="A10364" s="391">
        <v>834</v>
      </c>
      <c r="B10364" s="478" t="s">
        <v>42902</v>
      </c>
      <c r="C10364" s="391" t="s">
        <v>26</v>
      </c>
      <c r="D10364" s="479">
        <v>3.61</v>
      </c>
      <c r="E10364" s="368"/>
      <c r="F10364" s="368"/>
    </row>
    <row r="10365" spans="1:6" ht="25.5" x14ac:dyDescent="0.2">
      <c r="A10365" s="391">
        <v>813</v>
      </c>
      <c r="B10365" s="478" t="s">
        <v>42903</v>
      </c>
      <c r="C10365" s="391" t="s">
        <v>26</v>
      </c>
      <c r="D10365" s="479">
        <v>4.21</v>
      </c>
      <c r="E10365" s="368"/>
      <c r="F10365" s="368"/>
    </row>
    <row r="10366" spans="1:6" ht="25.5" x14ac:dyDescent="0.2">
      <c r="A10366" s="391">
        <v>820</v>
      </c>
      <c r="B10366" s="478" t="s">
        <v>42904</v>
      </c>
      <c r="C10366" s="391" t="s">
        <v>26</v>
      </c>
      <c r="D10366" s="479">
        <v>5.66</v>
      </c>
      <c r="E10366" s="368"/>
      <c r="F10366" s="368"/>
    </row>
    <row r="10367" spans="1:6" ht="25.5" x14ac:dyDescent="0.2">
      <c r="A10367" s="391">
        <v>816</v>
      </c>
      <c r="B10367" s="478" t="s">
        <v>42905</v>
      </c>
      <c r="C10367" s="391" t="s">
        <v>26</v>
      </c>
      <c r="D10367" s="479">
        <v>10.09</v>
      </c>
      <c r="E10367" s="368"/>
      <c r="F10367" s="368"/>
    </row>
    <row r="10368" spans="1:6" ht="25.5" x14ac:dyDescent="0.2">
      <c r="A10368" s="391">
        <v>814</v>
      </c>
      <c r="B10368" s="478" t="s">
        <v>42906</v>
      </c>
      <c r="C10368" s="391" t="s">
        <v>26</v>
      </c>
      <c r="D10368" s="479">
        <v>12.54</v>
      </c>
      <c r="E10368" s="368"/>
      <c r="F10368" s="368"/>
    </row>
    <row r="10369" spans="1:6" ht="25.5" x14ac:dyDescent="0.2">
      <c r="A10369" s="391">
        <v>822</v>
      </c>
      <c r="B10369" s="478" t="s">
        <v>42907</v>
      </c>
      <c r="C10369" s="391" t="s">
        <v>26</v>
      </c>
      <c r="D10369" s="479">
        <v>16.37</v>
      </c>
      <c r="E10369" s="368"/>
      <c r="F10369" s="368"/>
    </row>
    <row r="10370" spans="1:6" ht="25.5" x14ac:dyDescent="0.2">
      <c r="A10370" s="391">
        <v>821</v>
      </c>
      <c r="B10370" s="478" t="s">
        <v>42908</v>
      </c>
      <c r="C10370" s="391" t="s">
        <v>26</v>
      </c>
      <c r="D10370" s="479">
        <v>18.72</v>
      </c>
      <c r="E10370" s="368"/>
      <c r="F10370" s="368"/>
    </row>
    <row r="10371" spans="1:6" ht="25.5" x14ac:dyDescent="0.2">
      <c r="A10371" s="391">
        <v>39191</v>
      </c>
      <c r="B10371" s="478" t="s">
        <v>42909</v>
      </c>
      <c r="C10371" s="391" t="s">
        <v>26</v>
      </c>
      <c r="D10371" s="479"/>
      <c r="E10371" s="368"/>
      <c r="F10371" s="368"/>
    </row>
    <row r="10372" spans="1:6" ht="25.5" x14ac:dyDescent="0.2">
      <c r="A10372" s="391">
        <v>39190</v>
      </c>
      <c r="B10372" s="478" t="s">
        <v>42910</v>
      </c>
      <c r="C10372" s="391" t="s">
        <v>26</v>
      </c>
      <c r="D10372" s="479"/>
      <c r="E10372" s="368"/>
      <c r="F10372" s="368"/>
    </row>
    <row r="10373" spans="1:6" ht="25.5" x14ac:dyDescent="0.2">
      <c r="A10373" s="391">
        <v>39189</v>
      </c>
      <c r="B10373" s="478" t="s">
        <v>42911</v>
      </c>
      <c r="C10373" s="391" t="s">
        <v>26</v>
      </c>
      <c r="D10373" s="479"/>
      <c r="E10373" s="368"/>
      <c r="F10373" s="368"/>
    </row>
    <row r="10374" spans="1:6" ht="25.5" x14ac:dyDescent="0.2">
      <c r="A10374" s="391">
        <v>39188</v>
      </c>
      <c r="B10374" s="478" t="s">
        <v>42912</v>
      </c>
      <c r="C10374" s="391" t="s">
        <v>26</v>
      </c>
      <c r="D10374" s="479"/>
      <c r="E10374" s="368"/>
      <c r="F10374" s="368"/>
    </row>
    <row r="10375" spans="1:6" ht="25.5" x14ac:dyDescent="0.2">
      <c r="A10375" s="391">
        <v>39186</v>
      </c>
      <c r="B10375" s="478" t="s">
        <v>42913</v>
      </c>
      <c r="C10375" s="391" t="s">
        <v>26</v>
      </c>
      <c r="D10375" s="479"/>
      <c r="E10375" s="368"/>
      <c r="F10375" s="368"/>
    </row>
    <row r="10376" spans="1:6" ht="25.5" x14ac:dyDescent="0.2">
      <c r="A10376" s="391">
        <v>39187</v>
      </c>
      <c r="B10376" s="478" t="s">
        <v>42914</v>
      </c>
      <c r="C10376" s="391" t="s">
        <v>26</v>
      </c>
      <c r="D10376" s="479"/>
      <c r="E10376" s="368"/>
      <c r="F10376" s="368"/>
    </row>
    <row r="10377" spans="1:6" ht="25.5" x14ac:dyDescent="0.2">
      <c r="A10377" s="391">
        <v>39184</v>
      </c>
      <c r="B10377" s="478" t="s">
        <v>42915</v>
      </c>
      <c r="C10377" s="391" t="s">
        <v>26</v>
      </c>
      <c r="D10377" s="479"/>
      <c r="E10377" s="368"/>
      <c r="F10377" s="368"/>
    </row>
    <row r="10378" spans="1:6" ht="25.5" x14ac:dyDescent="0.2">
      <c r="A10378" s="391">
        <v>39185</v>
      </c>
      <c r="B10378" s="478" t="s">
        <v>42916</v>
      </c>
      <c r="C10378" s="391" t="s">
        <v>26</v>
      </c>
      <c r="D10378" s="479"/>
      <c r="E10378" s="368"/>
      <c r="F10378" s="368"/>
    </row>
    <row r="10379" spans="1:6" ht="25.5" x14ac:dyDescent="0.2">
      <c r="A10379" s="391">
        <v>39198</v>
      </c>
      <c r="B10379" s="478" t="s">
        <v>42917</v>
      </c>
      <c r="C10379" s="391" t="s">
        <v>26</v>
      </c>
      <c r="D10379" s="479"/>
      <c r="E10379" s="368"/>
      <c r="F10379" s="368"/>
    </row>
    <row r="10380" spans="1:6" ht="25.5" x14ac:dyDescent="0.2">
      <c r="A10380" s="391">
        <v>39197</v>
      </c>
      <c r="B10380" s="478" t="s">
        <v>42918</v>
      </c>
      <c r="C10380" s="391" t="s">
        <v>26</v>
      </c>
      <c r="D10380" s="479"/>
      <c r="E10380" s="368"/>
      <c r="F10380" s="368"/>
    </row>
    <row r="10381" spans="1:6" ht="25.5" x14ac:dyDescent="0.2">
      <c r="A10381" s="391">
        <v>39196</v>
      </c>
      <c r="B10381" s="478" t="s">
        <v>42919</v>
      </c>
      <c r="C10381" s="391" t="s">
        <v>26</v>
      </c>
      <c r="D10381" s="479"/>
      <c r="E10381" s="368"/>
      <c r="F10381" s="368"/>
    </row>
    <row r="10382" spans="1:6" ht="25.5" x14ac:dyDescent="0.2">
      <c r="A10382" s="391">
        <v>39199</v>
      </c>
      <c r="B10382" s="478" t="s">
        <v>42920</v>
      </c>
      <c r="C10382" s="391" t="s">
        <v>26</v>
      </c>
      <c r="D10382" s="479"/>
      <c r="E10382" s="368"/>
      <c r="F10382" s="368"/>
    </row>
    <row r="10383" spans="1:6" ht="25.5" x14ac:dyDescent="0.2">
      <c r="A10383" s="391">
        <v>39195</v>
      </c>
      <c r="B10383" s="478" t="s">
        <v>42921</v>
      </c>
      <c r="C10383" s="391" t="s">
        <v>26</v>
      </c>
      <c r="D10383" s="479"/>
      <c r="E10383" s="368"/>
      <c r="F10383" s="368"/>
    </row>
    <row r="10384" spans="1:6" ht="25.5" x14ac:dyDescent="0.2">
      <c r="A10384" s="391">
        <v>39194</v>
      </c>
      <c r="B10384" s="478" t="s">
        <v>42922</v>
      </c>
      <c r="C10384" s="391" t="s">
        <v>26</v>
      </c>
      <c r="D10384" s="479"/>
      <c r="E10384" s="368"/>
      <c r="F10384" s="368"/>
    </row>
    <row r="10385" spans="1:6" ht="25.5" x14ac:dyDescent="0.2">
      <c r="A10385" s="391">
        <v>39193</v>
      </c>
      <c r="B10385" s="478" t="s">
        <v>42923</v>
      </c>
      <c r="C10385" s="391" t="s">
        <v>26</v>
      </c>
      <c r="D10385" s="479"/>
      <c r="E10385" s="368"/>
      <c r="F10385" s="368"/>
    </row>
    <row r="10386" spans="1:6" ht="25.5" x14ac:dyDescent="0.2">
      <c r="A10386" s="391">
        <v>39192</v>
      </c>
      <c r="B10386" s="478" t="s">
        <v>42924</v>
      </c>
      <c r="C10386" s="391" t="s">
        <v>26</v>
      </c>
      <c r="D10386" s="479"/>
      <c r="E10386" s="368"/>
      <c r="F10386" s="368"/>
    </row>
    <row r="10387" spans="1:6" ht="25.5" x14ac:dyDescent="0.2">
      <c r="A10387" s="391">
        <v>39201</v>
      </c>
      <c r="B10387" s="478" t="s">
        <v>42925</v>
      </c>
      <c r="C10387" s="391" t="s">
        <v>26</v>
      </c>
      <c r="D10387" s="479"/>
      <c r="E10387" s="368"/>
      <c r="F10387" s="368"/>
    </row>
    <row r="10388" spans="1:6" ht="25.5" x14ac:dyDescent="0.2">
      <c r="A10388" s="391">
        <v>39200</v>
      </c>
      <c r="B10388" s="478" t="s">
        <v>42926</v>
      </c>
      <c r="C10388" s="391" t="s">
        <v>26</v>
      </c>
      <c r="D10388" s="479"/>
      <c r="E10388" s="368"/>
      <c r="F10388" s="368"/>
    </row>
    <row r="10389" spans="1:6" ht="25.5" x14ac:dyDescent="0.2">
      <c r="A10389" s="391">
        <v>39203</v>
      </c>
      <c r="B10389" s="478" t="s">
        <v>42927</v>
      </c>
      <c r="C10389" s="391" t="s">
        <v>26</v>
      </c>
      <c r="D10389" s="479"/>
      <c r="E10389" s="368"/>
      <c r="F10389" s="368"/>
    </row>
    <row r="10390" spans="1:6" ht="25.5" x14ac:dyDescent="0.2">
      <c r="A10390" s="391">
        <v>39202</v>
      </c>
      <c r="B10390" s="478" t="s">
        <v>42928</v>
      </c>
      <c r="C10390" s="391" t="s">
        <v>26</v>
      </c>
      <c r="D10390" s="479"/>
      <c r="E10390" s="368"/>
      <c r="F10390" s="368"/>
    </row>
    <row r="10391" spans="1:6" ht="25.5" x14ac:dyDescent="0.2">
      <c r="A10391" s="391">
        <v>39920</v>
      </c>
      <c r="B10391" s="478" t="s">
        <v>48241</v>
      </c>
      <c r="C10391" s="391" t="s">
        <v>26</v>
      </c>
      <c r="D10391" s="479"/>
      <c r="E10391" s="368"/>
      <c r="F10391" s="368"/>
    </row>
    <row r="10392" spans="1:6" ht="25.5" x14ac:dyDescent="0.2">
      <c r="A10392" s="391">
        <v>39205</v>
      </c>
      <c r="B10392" s="478" t="s">
        <v>42929</v>
      </c>
      <c r="C10392" s="391" t="s">
        <v>26</v>
      </c>
      <c r="D10392" s="479"/>
      <c r="E10392" s="368"/>
      <c r="F10392" s="368"/>
    </row>
    <row r="10393" spans="1:6" ht="25.5" x14ac:dyDescent="0.2">
      <c r="A10393" s="391">
        <v>39204</v>
      </c>
      <c r="B10393" s="478" t="s">
        <v>42930</v>
      </c>
      <c r="C10393" s="391" t="s">
        <v>26</v>
      </c>
      <c r="D10393" s="479"/>
      <c r="E10393" s="368"/>
      <c r="F10393" s="368"/>
    </row>
    <row r="10394" spans="1:6" ht="25.5" x14ac:dyDescent="0.2">
      <c r="A10394" s="391">
        <v>39206</v>
      </c>
      <c r="B10394" s="478" t="s">
        <v>42931</v>
      </c>
      <c r="C10394" s="391" t="s">
        <v>26</v>
      </c>
      <c r="D10394" s="479"/>
      <c r="E10394" s="368"/>
      <c r="F10394" s="368"/>
    </row>
    <row r="10395" spans="1:6" x14ac:dyDescent="0.2">
      <c r="A10395" s="391">
        <v>798</v>
      </c>
      <c r="B10395" s="478" t="s">
        <v>42932</v>
      </c>
      <c r="C10395" s="391" t="s">
        <v>26</v>
      </c>
      <c r="D10395" s="479">
        <v>1.1599999999999999</v>
      </c>
      <c r="E10395" s="368"/>
      <c r="F10395" s="368"/>
    </row>
    <row r="10396" spans="1:6" x14ac:dyDescent="0.2">
      <c r="A10396" s="391">
        <v>797</v>
      </c>
      <c r="B10396" s="478" t="s">
        <v>42933</v>
      </c>
      <c r="C10396" s="391" t="s">
        <v>26</v>
      </c>
      <c r="D10396" s="479">
        <v>8.4700000000000006</v>
      </c>
      <c r="E10396" s="368"/>
      <c r="F10396" s="368"/>
    </row>
    <row r="10397" spans="1:6" x14ac:dyDescent="0.2">
      <c r="A10397" s="391">
        <v>796</v>
      </c>
      <c r="B10397" s="478" t="s">
        <v>42934</v>
      </c>
      <c r="C10397" s="391" t="s">
        <v>26</v>
      </c>
      <c r="D10397" s="479">
        <v>7.2</v>
      </c>
      <c r="E10397" s="368"/>
      <c r="F10397" s="368"/>
    </row>
    <row r="10398" spans="1:6" x14ac:dyDescent="0.2">
      <c r="A10398" s="391">
        <v>799</v>
      </c>
      <c r="B10398" s="478" t="s">
        <v>42935</v>
      </c>
      <c r="C10398" s="391" t="s">
        <v>26</v>
      </c>
      <c r="D10398" s="479">
        <v>3.48</v>
      </c>
      <c r="E10398" s="368"/>
      <c r="F10398" s="368"/>
    </row>
    <row r="10399" spans="1:6" x14ac:dyDescent="0.2">
      <c r="A10399" s="391">
        <v>792</v>
      </c>
      <c r="B10399" s="478" t="s">
        <v>42936</v>
      </c>
      <c r="C10399" s="391" t="s">
        <v>26</v>
      </c>
      <c r="D10399" s="479">
        <v>3.37</v>
      </c>
      <c r="E10399" s="368"/>
      <c r="F10399" s="368"/>
    </row>
    <row r="10400" spans="1:6" x14ac:dyDescent="0.2">
      <c r="A10400" s="391">
        <v>38001</v>
      </c>
      <c r="B10400" s="478" t="s">
        <v>42937</v>
      </c>
      <c r="C10400" s="391" t="s">
        <v>26</v>
      </c>
      <c r="D10400" s="479">
        <v>1.1499999999999999</v>
      </c>
      <c r="E10400" s="368"/>
      <c r="F10400" s="368"/>
    </row>
    <row r="10401" spans="1:6" x14ac:dyDescent="0.2">
      <c r="A10401" s="391">
        <v>38002</v>
      </c>
      <c r="B10401" s="478" t="s">
        <v>42938</v>
      </c>
      <c r="C10401" s="391" t="s">
        <v>26</v>
      </c>
      <c r="D10401" s="479">
        <v>4</v>
      </c>
      <c r="E10401" s="368"/>
      <c r="F10401" s="368"/>
    </row>
    <row r="10402" spans="1:6" x14ac:dyDescent="0.2">
      <c r="A10402" s="391">
        <v>38003</v>
      </c>
      <c r="B10402" s="478" t="s">
        <v>42939</v>
      </c>
      <c r="C10402" s="391" t="s">
        <v>26</v>
      </c>
      <c r="D10402" s="479">
        <v>27.36</v>
      </c>
      <c r="E10402" s="368"/>
      <c r="F10402" s="368"/>
    </row>
    <row r="10403" spans="1:6" x14ac:dyDescent="0.2">
      <c r="A10403" s="391">
        <v>38004</v>
      </c>
      <c r="B10403" s="478" t="s">
        <v>42940</v>
      </c>
      <c r="C10403" s="391" t="s">
        <v>26</v>
      </c>
      <c r="D10403" s="479">
        <v>31.47</v>
      </c>
      <c r="E10403" s="368"/>
      <c r="F10403" s="368"/>
    </row>
    <row r="10404" spans="1:6" x14ac:dyDescent="0.2">
      <c r="A10404" s="391">
        <v>44263</v>
      </c>
      <c r="B10404" s="478" t="s">
        <v>42941</v>
      </c>
      <c r="C10404" s="391" t="s">
        <v>26</v>
      </c>
      <c r="D10404" s="479">
        <v>56.5</v>
      </c>
      <c r="E10404" s="368"/>
      <c r="F10404" s="368"/>
    </row>
    <row r="10405" spans="1:6" x14ac:dyDescent="0.2">
      <c r="A10405" s="391">
        <v>36327</v>
      </c>
      <c r="B10405" s="478" t="s">
        <v>42942</v>
      </c>
      <c r="C10405" s="391" t="s">
        <v>26</v>
      </c>
      <c r="D10405" s="479"/>
      <c r="E10405" s="368"/>
      <c r="F10405" s="368"/>
    </row>
    <row r="10406" spans="1:6" ht="25.5" x14ac:dyDescent="0.2">
      <c r="A10406" s="391">
        <v>38992</v>
      </c>
      <c r="B10406" s="478" t="s">
        <v>42943</v>
      </c>
      <c r="C10406" s="391" t="s">
        <v>26</v>
      </c>
      <c r="D10406" s="479"/>
      <c r="E10406" s="368"/>
      <c r="F10406" s="368"/>
    </row>
    <row r="10407" spans="1:6" ht="25.5" x14ac:dyDescent="0.2">
      <c r="A10407" s="391">
        <v>38993</v>
      </c>
      <c r="B10407" s="478" t="s">
        <v>42944</v>
      </c>
      <c r="C10407" s="391" t="s">
        <v>26</v>
      </c>
      <c r="D10407" s="479"/>
      <c r="E10407" s="368"/>
      <c r="F10407" s="368"/>
    </row>
    <row r="10408" spans="1:6" ht="25.5" x14ac:dyDescent="0.2">
      <c r="A10408" s="391">
        <v>44175</v>
      </c>
      <c r="B10408" s="478" t="s">
        <v>42945</v>
      </c>
      <c r="C10408" s="391" t="s">
        <v>26</v>
      </c>
      <c r="D10408" s="479"/>
      <c r="E10408" s="368"/>
      <c r="F10408" s="368"/>
    </row>
    <row r="10409" spans="1:6" ht="25.5" x14ac:dyDescent="0.2">
      <c r="A10409" s="391">
        <v>44177</v>
      </c>
      <c r="B10409" s="478" t="s">
        <v>42946</v>
      </c>
      <c r="C10409" s="391" t="s">
        <v>26</v>
      </c>
      <c r="D10409" s="479"/>
      <c r="E10409" s="368"/>
      <c r="F10409" s="368"/>
    </row>
    <row r="10410" spans="1:6" ht="25.5" x14ac:dyDescent="0.2">
      <c r="A10410" s="391">
        <v>38418</v>
      </c>
      <c r="B10410" s="478" t="s">
        <v>42947</v>
      </c>
      <c r="C10410" s="391" t="s">
        <v>26</v>
      </c>
      <c r="D10410" s="479">
        <v>5.69</v>
      </c>
      <c r="E10410" s="368"/>
      <c r="F10410" s="368"/>
    </row>
    <row r="10411" spans="1:6" x14ac:dyDescent="0.2">
      <c r="A10411" s="391">
        <v>39178</v>
      </c>
      <c r="B10411" s="478" t="s">
        <v>42948</v>
      </c>
      <c r="C10411" s="391" t="s">
        <v>26</v>
      </c>
      <c r="D10411" s="479"/>
      <c r="E10411" s="368"/>
      <c r="F10411" s="368"/>
    </row>
    <row r="10412" spans="1:6" x14ac:dyDescent="0.2">
      <c r="A10412" s="391">
        <v>39177</v>
      </c>
      <c r="B10412" s="478" t="s">
        <v>42949</v>
      </c>
      <c r="C10412" s="391" t="s">
        <v>26</v>
      </c>
      <c r="D10412" s="479"/>
      <c r="E10412" s="368"/>
      <c r="F10412" s="368"/>
    </row>
    <row r="10413" spans="1:6" x14ac:dyDescent="0.2">
      <c r="A10413" s="391">
        <v>39176</v>
      </c>
      <c r="B10413" s="478" t="s">
        <v>42950</v>
      </c>
      <c r="C10413" s="391" t="s">
        <v>26</v>
      </c>
      <c r="D10413" s="479"/>
      <c r="E10413" s="368"/>
      <c r="F10413" s="368"/>
    </row>
    <row r="10414" spans="1:6" x14ac:dyDescent="0.2">
      <c r="A10414" s="391">
        <v>39174</v>
      </c>
      <c r="B10414" s="478" t="s">
        <v>42951</v>
      </c>
      <c r="C10414" s="391" t="s">
        <v>26</v>
      </c>
      <c r="D10414" s="479"/>
      <c r="E10414" s="368"/>
      <c r="F10414" s="368"/>
    </row>
    <row r="10415" spans="1:6" x14ac:dyDescent="0.2">
      <c r="A10415" s="391">
        <v>39180</v>
      </c>
      <c r="B10415" s="478" t="s">
        <v>42952</v>
      </c>
      <c r="C10415" s="391" t="s">
        <v>26</v>
      </c>
      <c r="D10415" s="479"/>
      <c r="E10415" s="368"/>
      <c r="F10415" s="368"/>
    </row>
    <row r="10416" spans="1:6" x14ac:dyDescent="0.2">
      <c r="A10416" s="391">
        <v>39179</v>
      </c>
      <c r="B10416" s="478" t="s">
        <v>42953</v>
      </c>
      <c r="C10416" s="391" t="s">
        <v>26</v>
      </c>
      <c r="D10416" s="479"/>
      <c r="E10416" s="368"/>
      <c r="F10416" s="368"/>
    </row>
    <row r="10417" spans="1:6" x14ac:dyDescent="0.2">
      <c r="A10417" s="391">
        <v>39181</v>
      </c>
      <c r="B10417" s="478" t="s">
        <v>42954</v>
      </c>
      <c r="C10417" s="391" t="s">
        <v>26</v>
      </c>
      <c r="D10417" s="479"/>
      <c r="E10417" s="368"/>
      <c r="F10417" s="368"/>
    </row>
    <row r="10418" spans="1:6" x14ac:dyDescent="0.2">
      <c r="A10418" s="391">
        <v>39175</v>
      </c>
      <c r="B10418" s="478" t="s">
        <v>42955</v>
      </c>
      <c r="C10418" s="391" t="s">
        <v>26</v>
      </c>
      <c r="D10418" s="479"/>
      <c r="E10418" s="368"/>
      <c r="F10418" s="368"/>
    </row>
    <row r="10419" spans="1:6" x14ac:dyDescent="0.2">
      <c r="A10419" s="391">
        <v>39217</v>
      </c>
      <c r="B10419" s="478" t="s">
        <v>42956</v>
      </c>
      <c r="C10419" s="391" t="s">
        <v>26</v>
      </c>
      <c r="D10419" s="479"/>
      <c r="E10419" s="368"/>
      <c r="F10419" s="368"/>
    </row>
    <row r="10420" spans="1:6" x14ac:dyDescent="0.2">
      <c r="A10420" s="391">
        <v>39182</v>
      </c>
      <c r="B10420" s="478" t="s">
        <v>42957</v>
      </c>
      <c r="C10420" s="391" t="s">
        <v>26</v>
      </c>
      <c r="D10420" s="479"/>
      <c r="E10420" s="368"/>
      <c r="F10420" s="368"/>
    </row>
    <row r="10421" spans="1:6" ht="25.5" x14ac:dyDescent="0.2">
      <c r="A10421" s="391">
        <v>12616</v>
      </c>
      <c r="B10421" s="478" t="s">
        <v>42958</v>
      </c>
      <c r="C10421" s="391" t="s">
        <v>26</v>
      </c>
      <c r="D10421" s="479">
        <v>17.54</v>
      </c>
      <c r="E10421" s="368"/>
      <c r="F10421" s="368"/>
    </row>
    <row r="10422" spans="1:6" ht="38.25" x14ac:dyDescent="0.2">
      <c r="A10422" s="391">
        <v>1049</v>
      </c>
      <c r="B10422" s="478" t="s">
        <v>42959</v>
      </c>
      <c r="C10422" s="391" t="s">
        <v>26</v>
      </c>
      <c r="D10422" s="479"/>
      <c r="E10422" s="368"/>
      <c r="F10422" s="368"/>
    </row>
    <row r="10423" spans="1:6" ht="38.25" x14ac:dyDescent="0.2">
      <c r="A10423" s="391">
        <v>1099</v>
      </c>
      <c r="B10423" s="478" t="s">
        <v>42960</v>
      </c>
      <c r="C10423" s="391" t="s">
        <v>26</v>
      </c>
      <c r="D10423" s="479"/>
      <c r="E10423" s="368"/>
      <c r="F10423" s="368"/>
    </row>
    <row r="10424" spans="1:6" ht="38.25" x14ac:dyDescent="0.2">
      <c r="A10424" s="391">
        <v>1050</v>
      </c>
      <c r="B10424" s="478" t="s">
        <v>42961</v>
      </c>
      <c r="C10424" s="391" t="s">
        <v>26</v>
      </c>
      <c r="D10424" s="479"/>
      <c r="E10424" s="368"/>
      <c r="F10424" s="368"/>
    </row>
    <row r="10425" spans="1:6" ht="38.25" x14ac:dyDescent="0.2">
      <c r="A10425" s="391">
        <v>39678</v>
      </c>
      <c r="B10425" s="478" t="s">
        <v>42962</v>
      </c>
      <c r="C10425" s="391" t="s">
        <v>26</v>
      </c>
      <c r="D10425" s="479"/>
      <c r="E10425" s="368"/>
      <c r="F10425" s="368"/>
    </row>
    <row r="10426" spans="1:6" ht="38.25" x14ac:dyDescent="0.2">
      <c r="A10426" s="391">
        <v>1101</v>
      </c>
      <c r="B10426" s="478" t="s">
        <v>42963</v>
      </c>
      <c r="C10426" s="391" t="s">
        <v>26</v>
      </c>
      <c r="D10426" s="479"/>
      <c r="E10426" s="368"/>
      <c r="F10426" s="368"/>
    </row>
    <row r="10427" spans="1:6" ht="38.25" x14ac:dyDescent="0.2">
      <c r="A10427" s="391">
        <v>1100</v>
      </c>
      <c r="B10427" s="478" t="s">
        <v>42964</v>
      </c>
      <c r="C10427" s="391" t="s">
        <v>26</v>
      </c>
      <c r="D10427" s="479"/>
      <c r="E10427" s="368"/>
      <c r="F10427" s="368"/>
    </row>
    <row r="10428" spans="1:6" ht="38.25" x14ac:dyDescent="0.2">
      <c r="A10428" s="391">
        <v>39679</v>
      </c>
      <c r="B10428" s="478" t="s">
        <v>42965</v>
      </c>
      <c r="C10428" s="391" t="s">
        <v>26</v>
      </c>
      <c r="D10428" s="479"/>
      <c r="E10428" s="368"/>
      <c r="F10428" s="368"/>
    </row>
    <row r="10429" spans="1:6" ht="38.25" x14ac:dyDescent="0.2">
      <c r="A10429" s="391">
        <v>1102</v>
      </c>
      <c r="B10429" s="478" t="s">
        <v>42966</v>
      </c>
      <c r="C10429" s="391" t="s">
        <v>26</v>
      </c>
      <c r="D10429" s="479"/>
      <c r="E10429" s="368"/>
      <c r="F10429" s="368"/>
    </row>
    <row r="10430" spans="1:6" ht="38.25" x14ac:dyDescent="0.2">
      <c r="A10430" s="391">
        <v>1098</v>
      </c>
      <c r="B10430" s="478" t="s">
        <v>42967</v>
      </c>
      <c r="C10430" s="391" t="s">
        <v>26</v>
      </c>
      <c r="D10430" s="479"/>
      <c r="E10430" s="368"/>
      <c r="F10430" s="368"/>
    </row>
    <row r="10431" spans="1:6" ht="38.25" x14ac:dyDescent="0.2">
      <c r="A10431" s="391">
        <v>1051</v>
      </c>
      <c r="B10431" s="478" t="s">
        <v>42968</v>
      </c>
      <c r="C10431" s="391" t="s">
        <v>26</v>
      </c>
      <c r="D10431" s="479"/>
      <c r="E10431" s="368"/>
      <c r="F10431" s="368"/>
    </row>
    <row r="10432" spans="1:6" x14ac:dyDescent="0.2">
      <c r="A10432" s="391">
        <v>37399</v>
      </c>
      <c r="B10432" s="478" t="s">
        <v>42969</v>
      </c>
      <c r="C10432" s="391" t="s">
        <v>26</v>
      </c>
      <c r="D10432" s="479">
        <v>10.29</v>
      </c>
      <c r="E10432" s="368"/>
      <c r="F10432" s="368"/>
    </row>
    <row r="10433" spans="1:6" x14ac:dyDescent="0.2">
      <c r="A10433" s="391">
        <v>43834</v>
      </c>
      <c r="B10433" s="478" t="s">
        <v>42970</v>
      </c>
      <c r="C10433" s="391" t="s">
        <v>0</v>
      </c>
      <c r="D10433" s="479">
        <v>18.38</v>
      </c>
      <c r="E10433" s="368"/>
      <c r="F10433" s="368"/>
    </row>
    <row r="10434" spans="1:6" x14ac:dyDescent="0.2">
      <c r="A10434" s="391">
        <v>43835</v>
      </c>
      <c r="B10434" s="478" t="s">
        <v>42971</v>
      </c>
      <c r="C10434" s="391" t="s">
        <v>0</v>
      </c>
      <c r="D10434" s="479">
        <v>1.64</v>
      </c>
      <c r="E10434" s="368"/>
      <c r="F10434" s="368"/>
    </row>
    <row r="10435" spans="1:6" x14ac:dyDescent="0.2">
      <c r="A10435" s="391">
        <v>43833</v>
      </c>
      <c r="B10435" s="478" t="s">
        <v>42972</v>
      </c>
      <c r="C10435" s="391" t="s">
        <v>0</v>
      </c>
      <c r="D10435" s="479">
        <v>1.71</v>
      </c>
      <c r="E10435" s="368"/>
      <c r="F10435" s="368"/>
    </row>
    <row r="10436" spans="1:6" ht="25.5" x14ac:dyDescent="0.2">
      <c r="A10436" s="391">
        <v>41955</v>
      </c>
      <c r="B10436" s="478" t="s">
        <v>42973</v>
      </c>
      <c r="C10436" s="391" t="s">
        <v>1284</v>
      </c>
      <c r="D10436" s="479">
        <v>53.85</v>
      </c>
      <c r="E10436" s="368"/>
      <c r="F10436" s="368"/>
    </row>
    <row r="10437" spans="1:6" ht="25.5" x14ac:dyDescent="0.2">
      <c r="A10437" s="391">
        <v>41953</v>
      </c>
      <c r="B10437" s="478" t="s">
        <v>42974</v>
      </c>
      <c r="C10437" s="391" t="s">
        <v>1284</v>
      </c>
      <c r="D10437" s="479">
        <v>51.39</v>
      </c>
      <c r="E10437" s="368"/>
      <c r="F10437" s="368"/>
    </row>
    <row r="10438" spans="1:6" ht="25.5" x14ac:dyDescent="0.2">
      <c r="A10438" s="391">
        <v>41954</v>
      </c>
      <c r="B10438" s="478" t="s">
        <v>42975</v>
      </c>
      <c r="C10438" s="391" t="s">
        <v>1284</v>
      </c>
      <c r="D10438" s="479">
        <v>50.9</v>
      </c>
      <c r="E10438" s="368"/>
      <c r="F10438" s="368"/>
    </row>
    <row r="10439" spans="1:6" x14ac:dyDescent="0.2">
      <c r="A10439" s="391">
        <v>25004</v>
      </c>
      <c r="B10439" s="478" t="s">
        <v>42976</v>
      </c>
      <c r="C10439" s="391" t="s">
        <v>1284</v>
      </c>
      <c r="D10439" s="479">
        <v>52.13</v>
      </c>
      <c r="E10439" s="368"/>
      <c r="F10439" s="368"/>
    </row>
    <row r="10440" spans="1:6" x14ac:dyDescent="0.2">
      <c r="A10440" s="391">
        <v>25002</v>
      </c>
      <c r="B10440" s="478" t="s">
        <v>42977</v>
      </c>
      <c r="C10440" s="391" t="s">
        <v>1284</v>
      </c>
      <c r="D10440" s="479">
        <v>52.13</v>
      </c>
      <c r="E10440" s="368"/>
      <c r="F10440" s="368"/>
    </row>
    <row r="10441" spans="1:6" x14ac:dyDescent="0.2">
      <c r="A10441" s="391">
        <v>37409</v>
      </c>
      <c r="B10441" s="478" t="s">
        <v>42978</v>
      </c>
      <c r="C10441" s="391" t="s">
        <v>1284</v>
      </c>
      <c r="D10441" s="479">
        <v>52.13</v>
      </c>
      <c r="E10441" s="368"/>
      <c r="F10441" s="368"/>
    </row>
    <row r="10442" spans="1:6" x14ac:dyDescent="0.2">
      <c r="A10442" s="391">
        <v>841</v>
      </c>
      <c r="B10442" s="478" t="s">
        <v>42979</v>
      </c>
      <c r="C10442" s="391" t="s">
        <v>1284</v>
      </c>
      <c r="D10442" s="479">
        <v>52.76</v>
      </c>
      <c r="E10442" s="368"/>
      <c r="F10442" s="368"/>
    </row>
    <row r="10443" spans="1:6" x14ac:dyDescent="0.2">
      <c r="A10443" s="391">
        <v>25005</v>
      </c>
      <c r="B10443" s="478" t="s">
        <v>42980</v>
      </c>
      <c r="C10443" s="391" t="s">
        <v>1284</v>
      </c>
      <c r="D10443" s="479">
        <v>57.2</v>
      </c>
      <c r="E10443" s="368"/>
      <c r="F10443" s="368"/>
    </row>
    <row r="10444" spans="1:6" x14ac:dyDescent="0.2">
      <c r="A10444" s="391">
        <v>25003</v>
      </c>
      <c r="B10444" s="478" t="s">
        <v>42981</v>
      </c>
      <c r="C10444" s="391" t="s">
        <v>1284</v>
      </c>
      <c r="D10444" s="479">
        <v>58.06</v>
      </c>
      <c r="E10444" s="368"/>
      <c r="F10444" s="368"/>
    </row>
    <row r="10445" spans="1:6" x14ac:dyDescent="0.2">
      <c r="A10445" s="391">
        <v>37410</v>
      </c>
      <c r="B10445" s="478" t="s">
        <v>42982</v>
      </c>
      <c r="C10445" s="391" t="s">
        <v>1284</v>
      </c>
      <c r="D10445" s="479">
        <v>57.2</v>
      </c>
      <c r="E10445" s="368"/>
      <c r="F10445" s="368"/>
    </row>
    <row r="10446" spans="1:6" x14ac:dyDescent="0.2">
      <c r="A10446" s="391">
        <v>842</v>
      </c>
      <c r="B10446" s="478" t="s">
        <v>42983</v>
      </c>
      <c r="C10446" s="391" t="s">
        <v>1284</v>
      </c>
      <c r="D10446" s="479">
        <v>58.01</v>
      </c>
      <c r="E10446" s="368"/>
      <c r="F10446" s="368"/>
    </row>
    <row r="10447" spans="1:6" ht="25.5" x14ac:dyDescent="0.2">
      <c r="A10447" s="391">
        <v>44391</v>
      </c>
      <c r="B10447" s="478" t="s">
        <v>42984</v>
      </c>
      <c r="C10447" s="391" t="s">
        <v>0</v>
      </c>
      <c r="D10447" s="479">
        <v>123.61</v>
      </c>
      <c r="E10447" s="368"/>
      <c r="F10447" s="368"/>
    </row>
    <row r="10448" spans="1:6" ht="25.5" x14ac:dyDescent="0.2">
      <c r="A10448" s="391">
        <v>44388</v>
      </c>
      <c r="B10448" s="478" t="s">
        <v>42985</v>
      </c>
      <c r="C10448" s="391" t="s">
        <v>0</v>
      </c>
      <c r="D10448" s="479">
        <v>2.67</v>
      </c>
      <c r="E10448" s="368"/>
      <c r="F10448" s="368"/>
    </row>
    <row r="10449" spans="1:6" ht="25.5" x14ac:dyDescent="0.2">
      <c r="A10449" s="391">
        <v>44392</v>
      </c>
      <c r="B10449" s="478" t="s">
        <v>42986</v>
      </c>
      <c r="C10449" s="391" t="s">
        <v>0</v>
      </c>
      <c r="D10449" s="479">
        <v>246.13</v>
      </c>
      <c r="E10449" s="368"/>
      <c r="F10449" s="368"/>
    </row>
    <row r="10450" spans="1:6" ht="25.5" x14ac:dyDescent="0.2">
      <c r="A10450" s="391">
        <v>44390</v>
      </c>
      <c r="B10450" s="478" t="s">
        <v>42987</v>
      </c>
      <c r="C10450" s="391" t="s">
        <v>0</v>
      </c>
      <c r="D10450" s="479">
        <v>52.15</v>
      </c>
      <c r="E10450" s="368"/>
      <c r="F10450" s="368"/>
    </row>
    <row r="10451" spans="1:6" ht="25.5" x14ac:dyDescent="0.2">
      <c r="A10451" s="391">
        <v>44389</v>
      </c>
      <c r="B10451" s="478" t="s">
        <v>42988</v>
      </c>
      <c r="C10451" s="391" t="s">
        <v>0</v>
      </c>
      <c r="D10451" s="479">
        <v>6.16</v>
      </c>
      <c r="E10451" s="368"/>
      <c r="F10451" s="368"/>
    </row>
    <row r="10452" spans="1:6" x14ac:dyDescent="0.2">
      <c r="A10452" s="391">
        <v>862</v>
      </c>
      <c r="B10452" s="478" t="s">
        <v>42989</v>
      </c>
      <c r="C10452" s="391" t="s">
        <v>0</v>
      </c>
      <c r="D10452" s="479">
        <v>11.28</v>
      </c>
      <c r="E10452" s="368"/>
      <c r="F10452" s="368"/>
    </row>
    <row r="10453" spans="1:6" x14ac:dyDescent="0.2">
      <c r="A10453" s="391">
        <v>866</v>
      </c>
      <c r="B10453" s="478" t="s">
        <v>42990</v>
      </c>
      <c r="C10453" s="391" t="s">
        <v>0</v>
      </c>
      <c r="D10453" s="479">
        <v>143.32</v>
      </c>
      <c r="E10453" s="368"/>
      <c r="F10453" s="368"/>
    </row>
    <row r="10454" spans="1:6" x14ac:dyDescent="0.2">
      <c r="A10454" s="391">
        <v>892</v>
      </c>
      <c r="B10454" s="478" t="s">
        <v>42991</v>
      </c>
      <c r="C10454" s="391" t="s">
        <v>0</v>
      </c>
      <c r="D10454" s="479">
        <v>173.49</v>
      </c>
      <c r="E10454" s="368"/>
      <c r="F10454" s="368"/>
    </row>
    <row r="10455" spans="1:6" x14ac:dyDescent="0.2">
      <c r="A10455" s="391">
        <v>857</v>
      </c>
      <c r="B10455" s="478" t="s">
        <v>42992</v>
      </c>
      <c r="C10455" s="391" t="s">
        <v>0</v>
      </c>
      <c r="D10455" s="479">
        <v>18.87</v>
      </c>
      <c r="E10455" s="368"/>
      <c r="F10455" s="368"/>
    </row>
    <row r="10456" spans="1:6" x14ac:dyDescent="0.2">
      <c r="A10456" s="391">
        <v>37404</v>
      </c>
      <c r="B10456" s="478" t="s">
        <v>42993</v>
      </c>
      <c r="C10456" s="391" t="s">
        <v>0</v>
      </c>
      <c r="D10456" s="479">
        <v>200.72</v>
      </c>
      <c r="E10456" s="368"/>
      <c r="F10456" s="368"/>
    </row>
    <row r="10457" spans="1:6" x14ac:dyDescent="0.2">
      <c r="A10457" s="391">
        <v>868</v>
      </c>
      <c r="B10457" s="478" t="s">
        <v>42994</v>
      </c>
      <c r="C10457" s="391" t="s">
        <v>0</v>
      </c>
      <c r="D10457" s="479">
        <v>26.89</v>
      </c>
      <c r="E10457" s="368"/>
      <c r="F10457" s="368"/>
    </row>
    <row r="10458" spans="1:6" x14ac:dyDescent="0.2">
      <c r="A10458" s="392">
        <v>863</v>
      </c>
      <c r="B10458" s="480" t="s">
        <v>42995</v>
      </c>
      <c r="C10458" s="392" t="s">
        <v>0</v>
      </c>
      <c r="D10458" s="481">
        <v>39.6</v>
      </c>
      <c r="E10458" s="368"/>
      <c r="F10458" s="368"/>
    </row>
    <row r="10459" spans="1:6" x14ac:dyDescent="0.2">
      <c r="A10459" s="391">
        <v>867</v>
      </c>
      <c r="B10459" s="478" t="s">
        <v>42996</v>
      </c>
      <c r="C10459" s="391" t="s">
        <v>0</v>
      </c>
      <c r="D10459" s="479">
        <v>56.42</v>
      </c>
      <c r="E10459" s="368"/>
      <c r="F10459" s="368"/>
    </row>
    <row r="10460" spans="1:6" x14ac:dyDescent="0.2">
      <c r="A10460" s="391">
        <v>864</v>
      </c>
      <c r="B10460" s="478" t="s">
        <v>42997</v>
      </c>
      <c r="C10460" s="391" t="s">
        <v>0</v>
      </c>
      <c r="D10460" s="479">
        <v>74.52</v>
      </c>
      <c r="E10460" s="368"/>
      <c r="F10460" s="368"/>
    </row>
    <row r="10461" spans="1:6" x14ac:dyDescent="0.2">
      <c r="A10461" s="391">
        <v>865</v>
      </c>
      <c r="B10461" s="478" t="s">
        <v>42998</v>
      </c>
      <c r="C10461" s="391" t="s">
        <v>0</v>
      </c>
      <c r="D10461" s="479">
        <v>107.19</v>
      </c>
      <c r="E10461" s="368"/>
      <c r="F10461" s="368"/>
    </row>
    <row r="10462" spans="1:6" ht="25.5" x14ac:dyDescent="0.2">
      <c r="A10462" s="391">
        <v>39251</v>
      </c>
      <c r="B10462" s="478" t="s">
        <v>42999</v>
      </c>
      <c r="C10462" s="391" t="s">
        <v>0</v>
      </c>
      <c r="D10462" s="479">
        <v>0.7</v>
      </c>
      <c r="E10462" s="368"/>
      <c r="F10462" s="368"/>
    </row>
    <row r="10463" spans="1:6" ht="25.5" x14ac:dyDescent="0.2">
      <c r="A10463" s="391">
        <v>1011</v>
      </c>
      <c r="B10463" s="478" t="s">
        <v>43000</v>
      </c>
      <c r="C10463" s="391" t="s">
        <v>0</v>
      </c>
      <c r="D10463" s="479">
        <v>0.96</v>
      </c>
      <c r="E10463" s="368"/>
      <c r="F10463" s="368"/>
    </row>
    <row r="10464" spans="1:6" ht="25.5" x14ac:dyDescent="0.2">
      <c r="A10464" s="391">
        <v>39252</v>
      </c>
      <c r="B10464" s="478" t="s">
        <v>43001</v>
      </c>
      <c r="C10464" s="391" t="s">
        <v>0</v>
      </c>
      <c r="D10464" s="479">
        <v>1.26</v>
      </c>
      <c r="E10464" s="368"/>
      <c r="F10464" s="368"/>
    </row>
    <row r="10465" spans="1:6" ht="25.5" x14ac:dyDescent="0.2">
      <c r="A10465" s="391">
        <v>1013</v>
      </c>
      <c r="B10465" s="478" t="s">
        <v>43002</v>
      </c>
      <c r="C10465" s="391" t="s">
        <v>0</v>
      </c>
      <c r="D10465" s="479">
        <v>1.51</v>
      </c>
      <c r="E10465" s="368"/>
      <c r="F10465" s="368"/>
    </row>
    <row r="10466" spans="1:6" ht="25.5" x14ac:dyDescent="0.2">
      <c r="A10466" s="391">
        <v>980</v>
      </c>
      <c r="B10466" s="478" t="s">
        <v>43003</v>
      </c>
      <c r="C10466" s="391" t="s">
        <v>0</v>
      </c>
      <c r="D10466" s="479">
        <v>10.91</v>
      </c>
      <c r="E10466" s="368"/>
      <c r="F10466" s="368"/>
    </row>
    <row r="10467" spans="1:6" ht="25.5" x14ac:dyDescent="0.2">
      <c r="A10467" s="391">
        <v>39237</v>
      </c>
      <c r="B10467" s="478" t="s">
        <v>43004</v>
      </c>
      <c r="C10467" s="391" t="s">
        <v>0</v>
      </c>
      <c r="D10467" s="479">
        <v>116.03</v>
      </c>
      <c r="E10467" s="368"/>
      <c r="F10467" s="368"/>
    </row>
    <row r="10468" spans="1:6" ht="25.5" x14ac:dyDescent="0.2">
      <c r="A10468" s="391">
        <v>39238</v>
      </c>
      <c r="B10468" s="478" t="s">
        <v>43005</v>
      </c>
      <c r="C10468" s="391" t="s">
        <v>0</v>
      </c>
      <c r="D10468" s="479">
        <v>146.34</v>
      </c>
      <c r="E10468" s="368"/>
      <c r="F10468" s="368"/>
    </row>
    <row r="10469" spans="1:6" ht="25.5" x14ac:dyDescent="0.2">
      <c r="A10469" s="391">
        <v>979</v>
      </c>
      <c r="B10469" s="478" t="s">
        <v>43006</v>
      </c>
      <c r="C10469" s="391" t="s">
        <v>0</v>
      </c>
      <c r="D10469" s="479">
        <v>15.58</v>
      </c>
      <c r="E10469" s="368"/>
      <c r="F10469" s="368"/>
    </row>
    <row r="10470" spans="1:6" ht="25.5" x14ac:dyDescent="0.2">
      <c r="A10470" s="391">
        <v>39239</v>
      </c>
      <c r="B10470" s="478" t="s">
        <v>43007</v>
      </c>
      <c r="C10470" s="391" t="s">
        <v>0</v>
      </c>
      <c r="D10470" s="479">
        <v>176.79</v>
      </c>
      <c r="E10470" s="368"/>
      <c r="F10470" s="368"/>
    </row>
    <row r="10471" spans="1:6" ht="25.5" x14ac:dyDescent="0.2">
      <c r="A10471" s="391">
        <v>1014</v>
      </c>
      <c r="B10471" s="478" t="s">
        <v>43008</v>
      </c>
      <c r="C10471" s="391" t="s">
        <v>0</v>
      </c>
      <c r="D10471" s="479">
        <v>2.39</v>
      </c>
      <c r="E10471" s="368"/>
      <c r="F10471" s="368"/>
    </row>
    <row r="10472" spans="1:6" ht="25.5" x14ac:dyDescent="0.2">
      <c r="A10472" s="391">
        <v>39240</v>
      </c>
      <c r="B10472" s="478" t="s">
        <v>43009</v>
      </c>
      <c r="C10472" s="391" t="s">
        <v>0</v>
      </c>
      <c r="D10472" s="479">
        <v>232.52</v>
      </c>
      <c r="E10472" s="368"/>
      <c r="F10472" s="368"/>
    </row>
    <row r="10473" spans="1:6" ht="25.5" x14ac:dyDescent="0.2">
      <c r="A10473" s="391">
        <v>39232</v>
      </c>
      <c r="B10473" s="478" t="s">
        <v>43010</v>
      </c>
      <c r="C10473" s="391" t="s">
        <v>0</v>
      </c>
      <c r="D10473" s="479">
        <v>24.4</v>
      </c>
      <c r="E10473" s="368"/>
      <c r="F10473" s="368"/>
    </row>
    <row r="10474" spans="1:6" ht="25.5" x14ac:dyDescent="0.2">
      <c r="A10474" s="391">
        <v>39233</v>
      </c>
      <c r="B10474" s="478" t="s">
        <v>43011</v>
      </c>
      <c r="C10474" s="391" t="s">
        <v>0</v>
      </c>
      <c r="D10474" s="479">
        <v>35.57</v>
      </c>
      <c r="E10474" s="368"/>
      <c r="F10474" s="368"/>
    </row>
    <row r="10475" spans="1:6" ht="25.5" x14ac:dyDescent="0.2">
      <c r="A10475" s="391">
        <v>981</v>
      </c>
      <c r="B10475" s="478" t="s">
        <v>43012</v>
      </c>
      <c r="C10475" s="391" t="s">
        <v>0</v>
      </c>
      <c r="D10475" s="479">
        <v>3.97</v>
      </c>
      <c r="E10475" s="368"/>
      <c r="F10475" s="368"/>
    </row>
    <row r="10476" spans="1:6" ht="25.5" x14ac:dyDescent="0.2">
      <c r="A10476" s="391">
        <v>39234</v>
      </c>
      <c r="B10476" s="478" t="s">
        <v>43013</v>
      </c>
      <c r="C10476" s="391" t="s">
        <v>0</v>
      </c>
      <c r="D10476" s="479">
        <v>49.51</v>
      </c>
      <c r="E10476" s="368"/>
      <c r="F10476" s="368"/>
    </row>
    <row r="10477" spans="1:6" ht="25.5" x14ac:dyDescent="0.2">
      <c r="A10477" s="391">
        <v>982</v>
      </c>
      <c r="B10477" s="478" t="s">
        <v>43014</v>
      </c>
      <c r="C10477" s="391" t="s">
        <v>0</v>
      </c>
      <c r="D10477" s="479">
        <v>5.71</v>
      </c>
      <c r="E10477" s="368"/>
      <c r="F10477" s="368"/>
    </row>
    <row r="10478" spans="1:6" ht="25.5" x14ac:dyDescent="0.2">
      <c r="A10478" s="391">
        <v>39235</v>
      </c>
      <c r="B10478" s="478" t="s">
        <v>43015</v>
      </c>
      <c r="C10478" s="391" t="s">
        <v>0</v>
      </c>
      <c r="D10478" s="479">
        <v>73.02</v>
      </c>
      <c r="E10478" s="368"/>
      <c r="F10478" s="368"/>
    </row>
    <row r="10479" spans="1:6" ht="25.5" x14ac:dyDescent="0.2">
      <c r="A10479" s="391">
        <v>39236</v>
      </c>
      <c r="B10479" s="478" t="s">
        <v>43016</v>
      </c>
      <c r="C10479" s="391" t="s">
        <v>0</v>
      </c>
      <c r="D10479" s="479">
        <v>96.77</v>
      </c>
      <c r="E10479" s="368"/>
      <c r="F10479" s="368"/>
    </row>
    <row r="10480" spans="1:6" ht="38.25" x14ac:dyDescent="0.2">
      <c r="A10480" s="391">
        <v>993</v>
      </c>
      <c r="B10480" s="478" t="s">
        <v>43017</v>
      </c>
      <c r="C10480" s="391" t="s">
        <v>0</v>
      </c>
      <c r="D10480" s="479">
        <v>2.04</v>
      </c>
      <c r="E10480" s="368"/>
      <c r="F10480" s="368"/>
    </row>
    <row r="10481" spans="1:6" ht="38.25" x14ac:dyDescent="0.2">
      <c r="A10481" s="391">
        <v>1020</v>
      </c>
      <c r="B10481" s="478" t="s">
        <v>43018</v>
      </c>
      <c r="C10481" s="391" t="s">
        <v>0</v>
      </c>
      <c r="D10481" s="479">
        <v>10.4</v>
      </c>
      <c r="E10481" s="368"/>
      <c r="F10481" s="368"/>
    </row>
    <row r="10482" spans="1:6" ht="38.25" x14ac:dyDescent="0.2">
      <c r="A10482" s="391">
        <v>1017</v>
      </c>
      <c r="B10482" s="478" t="s">
        <v>43019</v>
      </c>
      <c r="C10482" s="391" t="s">
        <v>0</v>
      </c>
      <c r="D10482" s="479">
        <v>127.45</v>
      </c>
      <c r="E10482" s="368"/>
      <c r="F10482" s="368"/>
    </row>
    <row r="10483" spans="1:6" ht="38.25" x14ac:dyDescent="0.2">
      <c r="A10483" s="391">
        <v>999</v>
      </c>
      <c r="B10483" s="478" t="s">
        <v>43020</v>
      </c>
      <c r="C10483" s="391" t="s">
        <v>0</v>
      </c>
      <c r="D10483" s="479">
        <v>154.41</v>
      </c>
      <c r="E10483" s="368"/>
      <c r="F10483" s="368"/>
    </row>
    <row r="10484" spans="1:6" ht="38.25" x14ac:dyDescent="0.2">
      <c r="A10484" s="391">
        <v>995</v>
      </c>
      <c r="B10484" s="478" t="s">
        <v>43021</v>
      </c>
      <c r="C10484" s="391" t="s">
        <v>0</v>
      </c>
      <c r="D10484" s="479">
        <v>16.559999999999999</v>
      </c>
      <c r="E10484" s="368"/>
      <c r="F10484" s="368"/>
    </row>
    <row r="10485" spans="1:6" ht="38.25" x14ac:dyDescent="0.2">
      <c r="A10485" s="391">
        <v>1000</v>
      </c>
      <c r="B10485" s="478" t="s">
        <v>43022</v>
      </c>
      <c r="C10485" s="391" t="s">
        <v>0</v>
      </c>
      <c r="D10485" s="479">
        <v>189.66</v>
      </c>
      <c r="E10485" s="368"/>
      <c r="F10485" s="368"/>
    </row>
    <row r="10486" spans="1:6" ht="38.25" x14ac:dyDescent="0.2">
      <c r="A10486" s="391">
        <v>1022</v>
      </c>
      <c r="B10486" s="478" t="s">
        <v>43023</v>
      </c>
      <c r="C10486" s="391" t="s">
        <v>0</v>
      </c>
      <c r="D10486" s="479">
        <v>2.84</v>
      </c>
      <c r="E10486" s="368"/>
      <c r="F10486" s="368"/>
    </row>
    <row r="10487" spans="1:6" ht="38.25" x14ac:dyDescent="0.2">
      <c r="A10487" s="391">
        <v>1015</v>
      </c>
      <c r="B10487" s="478" t="s">
        <v>43024</v>
      </c>
      <c r="C10487" s="391" t="s">
        <v>0</v>
      </c>
      <c r="D10487" s="479">
        <v>252.03</v>
      </c>
      <c r="E10487" s="368"/>
      <c r="F10487" s="368"/>
    </row>
    <row r="10488" spans="1:6" ht="38.25" x14ac:dyDescent="0.2">
      <c r="A10488" s="391">
        <v>996</v>
      </c>
      <c r="B10488" s="478" t="s">
        <v>43025</v>
      </c>
      <c r="C10488" s="391" t="s">
        <v>0</v>
      </c>
      <c r="D10488" s="479">
        <v>25.68</v>
      </c>
      <c r="E10488" s="368"/>
      <c r="F10488" s="368"/>
    </row>
    <row r="10489" spans="1:6" ht="38.25" x14ac:dyDescent="0.2">
      <c r="A10489" s="391">
        <v>1001</v>
      </c>
      <c r="B10489" s="478" t="s">
        <v>43026</v>
      </c>
      <c r="C10489" s="391" t="s">
        <v>0</v>
      </c>
      <c r="D10489" s="479">
        <v>327.01</v>
      </c>
      <c r="E10489" s="368"/>
      <c r="F10489" s="368"/>
    </row>
    <row r="10490" spans="1:6" ht="38.25" x14ac:dyDescent="0.2">
      <c r="A10490" s="391">
        <v>1019</v>
      </c>
      <c r="B10490" s="478" t="s">
        <v>43027</v>
      </c>
      <c r="C10490" s="391" t="s">
        <v>0</v>
      </c>
      <c r="D10490" s="479">
        <v>36.29</v>
      </c>
      <c r="E10490" s="368"/>
      <c r="F10490" s="368"/>
    </row>
    <row r="10491" spans="1:6" ht="38.25" x14ac:dyDescent="0.2">
      <c r="A10491" s="391">
        <v>1021</v>
      </c>
      <c r="B10491" s="478" t="s">
        <v>43028</v>
      </c>
      <c r="C10491" s="391" t="s">
        <v>0</v>
      </c>
      <c r="D10491" s="479">
        <v>4.3600000000000003</v>
      </c>
      <c r="E10491" s="368"/>
      <c r="F10491" s="368"/>
    </row>
    <row r="10492" spans="1:6" ht="38.25" x14ac:dyDescent="0.2">
      <c r="A10492" s="391">
        <v>39249</v>
      </c>
      <c r="B10492" s="478" t="s">
        <v>18570</v>
      </c>
      <c r="C10492" s="391" t="s">
        <v>0</v>
      </c>
      <c r="D10492" s="479">
        <v>439.68</v>
      </c>
      <c r="E10492" s="368"/>
      <c r="F10492" s="368"/>
    </row>
    <row r="10493" spans="1:6" ht="38.25" x14ac:dyDescent="0.2">
      <c r="A10493" s="391">
        <v>1018</v>
      </c>
      <c r="B10493" s="478" t="s">
        <v>43029</v>
      </c>
      <c r="C10493" s="391" t="s">
        <v>0</v>
      </c>
      <c r="D10493" s="479">
        <v>53.66</v>
      </c>
      <c r="E10493" s="368"/>
      <c r="F10493" s="368"/>
    </row>
    <row r="10494" spans="1:6" ht="38.25" x14ac:dyDescent="0.2">
      <c r="A10494" s="391">
        <v>39250</v>
      </c>
      <c r="B10494" s="478" t="s">
        <v>43030</v>
      </c>
      <c r="C10494" s="391" t="s">
        <v>0</v>
      </c>
      <c r="D10494" s="479">
        <v>525.96</v>
      </c>
      <c r="E10494" s="368"/>
      <c r="F10494" s="368"/>
    </row>
    <row r="10495" spans="1:6" ht="38.25" x14ac:dyDescent="0.2">
      <c r="A10495" s="391">
        <v>994</v>
      </c>
      <c r="B10495" s="478" t="s">
        <v>43031</v>
      </c>
      <c r="C10495" s="391" t="s">
        <v>0</v>
      </c>
      <c r="D10495" s="479">
        <v>6.34</v>
      </c>
      <c r="E10495" s="368"/>
      <c r="F10495" s="368"/>
    </row>
    <row r="10496" spans="1:6" ht="38.25" x14ac:dyDescent="0.2">
      <c r="A10496" s="391">
        <v>977</v>
      </c>
      <c r="B10496" s="478" t="s">
        <v>43032</v>
      </c>
      <c r="C10496" s="391" t="s">
        <v>0</v>
      </c>
      <c r="D10496" s="479">
        <v>75.06</v>
      </c>
      <c r="E10496" s="368"/>
      <c r="F10496" s="368"/>
    </row>
    <row r="10497" spans="1:6" ht="38.25" x14ac:dyDescent="0.2">
      <c r="A10497" s="391">
        <v>998</v>
      </c>
      <c r="B10497" s="478" t="s">
        <v>43033</v>
      </c>
      <c r="C10497" s="391" t="s">
        <v>0</v>
      </c>
      <c r="D10497" s="479">
        <v>97.46</v>
      </c>
      <c r="E10497" s="368"/>
      <c r="F10497" s="368"/>
    </row>
    <row r="10498" spans="1:6" ht="25.5" x14ac:dyDescent="0.2">
      <c r="A10498" s="391">
        <v>1006</v>
      </c>
      <c r="B10498" s="478" t="s">
        <v>43034</v>
      </c>
      <c r="C10498" s="391" t="s">
        <v>0</v>
      </c>
      <c r="D10498" s="479">
        <v>129.13999999999999</v>
      </c>
      <c r="E10498" s="368"/>
      <c r="F10498" s="368"/>
    </row>
    <row r="10499" spans="1:6" ht="25.5" x14ac:dyDescent="0.2">
      <c r="A10499" s="391">
        <v>990</v>
      </c>
      <c r="B10499" s="478" t="s">
        <v>43035</v>
      </c>
      <c r="C10499" s="391" t="s">
        <v>0</v>
      </c>
      <c r="D10499" s="479">
        <v>171.72</v>
      </c>
      <c r="E10499" s="368"/>
      <c r="F10499" s="368"/>
    </row>
    <row r="10500" spans="1:6" ht="25.5" x14ac:dyDescent="0.2">
      <c r="A10500" s="391">
        <v>39241</v>
      </c>
      <c r="B10500" s="478" t="s">
        <v>43036</v>
      </c>
      <c r="C10500" s="391" t="s">
        <v>0</v>
      </c>
      <c r="D10500" s="479">
        <v>16.899999999999999</v>
      </c>
      <c r="E10500" s="368"/>
      <c r="F10500" s="368"/>
    </row>
    <row r="10501" spans="1:6" ht="25.5" x14ac:dyDescent="0.2">
      <c r="A10501" s="391">
        <v>1005</v>
      </c>
      <c r="B10501" s="478" t="s">
        <v>43037</v>
      </c>
      <c r="C10501" s="391" t="s">
        <v>0</v>
      </c>
      <c r="D10501" s="479">
        <v>213.8</v>
      </c>
      <c r="E10501" s="368"/>
      <c r="F10501" s="368"/>
    </row>
    <row r="10502" spans="1:6" ht="25.5" x14ac:dyDescent="0.2">
      <c r="A10502" s="391">
        <v>991</v>
      </c>
      <c r="B10502" s="478" t="s">
        <v>43038</v>
      </c>
      <c r="C10502" s="391" t="s">
        <v>0</v>
      </c>
      <c r="D10502" s="479">
        <v>280.02999999999997</v>
      </c>
      <c r="E10502" s="368"/>
      <c r="F10502" s="368"/>
    </row>
    <row r="10503" spans="1:6" ht="25.5" x14ac:dyDescent="0.2">
      <c r="A10503" s="391">
        <v>986</v>
      </c>
      <c r="B10503" s="478" t="s">
        <v>43039</v>
      </c>
      <c r="C10503" s="391" t="s">
        <v>0</v>
      </c>
      <c r="D10503" s="479">
        <v>26.71</v>
      </c>
      <c r="E10503" s="368"/>
      <c r="F10503" s="368"/>
    </row>
    <row r="10504" spans="1:6" ht="25.5" x14ac:dyDescent="0.2">
      <c r="A10504" s="391">
        <v>987</v>
      </c>
      <c r="B10504" s="478" t="s">
        <v>43040</v>
      </c>
      <c r="C10504" s="391" t="s">
        <v>0</v>
      </c>
      <c r="D10504" s="479">
        <v>36.56</v>
      </c>
      <c r="E10504" s="368"/>
      <c r="F10504" s="368"/>
    </row>
    <row r="10505" spans="1:6" ht="25.5" x14ac:dyDescent="0.2">
      <c r="A10505" s="391">
        <v>1007</v>
      </c>
      <c r="B10505" s="478" t="s">
        <v>43041</v>
      </c>
      <c r="C10505" s="391" t="s">
        <v>0</v>
      </c>
      <c r="D10505" s="479">
        <v>50.61</v>
      </c>
      <c r="E10505" s="368"/>
      <c r="F10505" s="368"/>
    </row>
    <row r="10506" spans="1:6" ht="25.5" x14ac:dyDescent="0.2">
      <c r="A10506" s="391">
        <v>1008</v>
      </c>
      <c r="B10506" s="478" t="s">
        <v>43042</v>
      </c>
      <c r="C10506" s="391" t="s">
        <v>0</v>
      </c>
      <c r="D10506" s="479">
        <v>6.42</v>
      </c>
      <c r="E10506" s="368"/>
      <c r="F10506" s="368"/>
    </row>
    <row r="10507" spans="1:6" ht="25.5" x14ac:dyDescent="0.2">
      <c r="A10507" s="391">
        <v>988</v>
      </c>
      <c r="B10507" s="478" t="s">
        <v>43043</v>
      </c>
      <c r="C10507" s="391" t="s">
        <v>0</v>
      </c>
      <c r="D10507" s="479">
        <v>69.78</v>
      </c>
      <c r="E10507" s="368"/>
      <c r="F10507" s="368"/>
    </row>
    <row r="10508" spans="1:6" ht="25.5" x14ac:dyDescent="0.2">
      <c r="A10508" s="391">
        <v>989</v>
      </c>
      <c r="B10508" s="478" t="s">
        <v>43044</v>
      </c>
      <c r="C10508" s="391" t="s">
        <v>0</v>
      </c>
      <c r="D10508" s="479">
        <v>96.33</v>
      </c>
      <c r="E10508" s="368"/>
      <c r="F10508" s="368"/>
    </row>
    <row r="10509" spans="1:6" ht="25.5" x14ac:dyDescent="0.2">
      <c r="A10509" s="391">
        <v>43972</v>
      </c>
      <c r="B10509" s="478" t="s">
        <v>43045</v>
      </c>
      <c r="C10509" s="391" t="s">
        <v>0</v>
      </c>
      <c r="D10509" s="479">
        <v>3.51</v>
      </c>
      <c r="E10509" s="368"/>
      <c r="F10509" s="368"/>
    </row>
    <row r="10510" spans="1:6" ht="25.5" x14ac:dyDescent="0.2">
      <c r="A10510" s="391">
        <v>43971</v>
      </c>
      <c r="B10510" s="478" t="s">
        <v>43046</v>
      </c>
      <c r="C10510" s="391" t="s">
        <v>0</v>
      </c>
      <c r="D10510" s="479">
        <v>2.68</v>
      </c>
      <c r="E10510" s="368"/>
      <c r="F10510" s="368"/>
    </row>
    <row r="10511" spans="1:6" ht="25.5" x14ac:dyDescent="0.2">
      <c r="A10511" s="391">
        <v>39598</v>
      </c>
      <c r="B10511" s="478" t="s">
        <v>43047</v>
      </c>
      <c r="C10511" s="391" t="s">
        <v>0</v>
      </c>
      <c r="D10511" s="479">
        <v>4.97</v>
      </c>
      <c r="E10511" s="368"/>
      <c r="F10511" s="368"/>
    </row>
    <row r="10512" spans="1:6" ht="25.5" x14ac:dyDescent="0.2">
      <c r="A10512" s="391">
        <v>43973</v>
      </c>
      <c r="B10512" s="478" t="s">
        <v>43048</v>
      </c>
      <c r="C10512" s="391" t="s">
        <v>0</v>
      </c>
      <c r="D10512" s="479">
        <v>3.67</v>
      </c>
      <c r="E10512" s="368"/>
      <c r="F10512" s="368"/>
    </row>
    <row r="10513" spans="1:6" ht="25.5" x14ac:dyDescent="0.2">
      <c r="A10513" s="391">
        <v>39599</v>
      </c>
      <c r="B10513" s="478" t="s">
        <v>43049</v>
      </c>
      <c r="C10513" s="391" t="s">
        <v>0</v>
      </c>
      <c r="D10513" s="479">
        <v>7.15</v>
      </c>
      <c r="E10513" s="368"/>
      <c r="F10513" s="368"/>
    </row>
    <row r="10514" spans="1:6" x14ac:dyDescent="0.2">
      <c r="A10514" s="391">
        <v>43832</v>
      </c>
      <c r="B10514" s="478" t="s">
        <v>43050</v>
      </c>
      <c r="C10514" s="391" t="s">
        <v>0</v>
      </c>
      <c r="D10514" s="479">
        <v>18.829999999999998</v>
      </c>
      <c r="E10514" s="368"/>
      <c r="F10514" s="368"/>
    </row>
    <row r="10515" spans="1:6" x14ac:dyDescent="0.2">
      <c r="A10515" s="391">
        <v>34602</v>
      </c>
      <c r="B10515" s="478" t="s">
        <v>43051</v>
      </c>
      <c r="C10515" s="391" t="s">
        <v>0</v>
      </c>
      <c r="D10515" s="479">
        <v>4.42</v>
      </c>
      <c r="E10515" s="368"/>
      <c r="F10515" s="368"/>
    </row>
    <row r="10516" spans="1:6" x14ac:dyDescent="0.2">
      <c r="A10516" s="391">
        <v>34607</v>
      </c>
      <c r="B10516" s="478" t="s">
        <v>43052</v>
      </c>
      <c r="C10516" s="391" t="s">
        <v>0</v>
      </c>
      <c r="D10516" s="479">
        <v>10.83</v>
      </c>
      <c r="E10516" s="368"/>
      <c r="F10516" s="368"/>
    </row>
    <row r="10517" spans="1:6" x14ac:dyDescent="0.2">
      <c r="A10517" s="391">
        <v>34609</v>
      </c>
      <c r="B10517" s="478" t="s">
        <v>43053</v>
      </c>
      <c r="C10517" s="391" t="s">
        <v>0</v>
      </c>
      <c r="D10517" s="479">
        <v>15.75</v>
      </c>
      <c r="E10517" s="368"/>
      <c r="F10517" s="368"/>
    </row>
    <row r="10518" spans="1:6" x14ac:dyDescent="0.2">
      <c r="A10518" s="391">
        <v>34618</v>
      </c>
      <c r="B10518" s="478" t="s">
        <v>43054</v>
      </c>
      <c r="C10518" s="391" t="s">
        <v>0</v>
      </c>
      <c r="D10518" s="479">
        <v>6.02</v>
      </c>
      <c r="E10518" s="368"/>
      <c r="F10518" s="368"/>
    </row>
    <row r="10519" spans="1:6" x14ac:dyDescent="0.2">
      <c r="A10519" s="391">
        <v>34621</v>
      </c>
      <c r="B10519" s="478" t="s">
        <v>43055</v>
      </c>
      <c r="C10519" s="391" t="s">
        <v>0</v>
      </c>
      <c r="D10519" s="479">
        <v>14.93</v>
      </c>
      <c r="E10519" s="368"/>
      <c r="F10519" s="368"/>
    </row>
    <row r="10520" spans="1:6" x14ac:dyDescent="0.2">
      <c r="A10520" s="391">
        <v>34622</v>
      </c>
      <c r="B10520" s="478" t="s">
        <v>43056</v>
      </c>
      <c r="C10520" s="391" t="s">
        <v>0</v>
      </c>
      <c r="D10520" s="479">
        <v>22.18</v>
      </c>
      <c r="E10520" s="368"/>
      <c r="F10520" s="368"/>
    </row>
    <row r="10521" spans="1:6" x14ac:dyDescent="0.2">
      <c r="A10521" s="391">
        <v>34624</v>
      </c>
      <c r="B10521" s="478" t="s">
        <v>43057</v>
      </c>
      <c r="C10521" s="391" t="s">
        <v>0</v>
      </c>
      <c r="D10521" s="479">
        <v>8.0399999999999991</v>
      </c>
      <c r="E10521" s="368"/>
      <c r="F10521" s="368"/>
    </row>
    <row r="10522" spans="1:6" x14ac:dyDescent="0.2">
      <c r="A10522" s="391">
        <v>34627</v>
      </c>
      <c r="B10522" s="478" t="s">
        <v>43058</v>
      </c>
      <c r="C10522" s="391" t="s">
        <v>0</v>
      </c>
      <c r="D10522" s="479">
        <v>19.39</v>
      </c>
      <c r="E10522" s="368"/>
      <c r="F10522" s="368"/>
    </row>
    <row r="10523" spans="1:6" x14ac:dyDescent="0.2">
      <c r="A10523" s="391">
        <v>34629</v>
      </c>
      <c r="B10523" s="478" t="s">
        <v>43059</v>
      </c>
      <c r="C10523" s="391" t="s">
        <v>0</v>
      </c>
      <c r="D10523" s="479">
        <v>29.63</v>
      </c>
      <c r="E10523" s="368"/>
      <c r="F10523" s="368"/>
    </row>
    <row r="10524" spans="1:6" ht="38.25" x14ac:dyDescent="0.2">
      <c r="A10524" s="391">
        <v>39257</v>
      </c>
      <c r="B10524" s="478" t="s">
        <v>43060</v>
      </c>
      <c r="C10524" s="391" t="s">
        <v>0</v>
      </c>
      <c r="D10524" s="479">
        <v>6.03</v>
      </c>
      <c r="E10524" s="368"/>
      <c r="F10524" s="368"/>
    </row>
    <row r="10525" spans="1:6" ht="38.25" x14ac:dyDescent="0.2">
      <c r="A10525" s="391">
        <v>39261</v>
      </c>
      <c r="B10525" s="478" t="s">
        <v>43061</v>
      </c>
      <c r="C10525" s="391" t="s">
        <v>0</v>
      </c>
      <c r="D10525" s="479">
        <v>34.520000000000003</v>
      </c>
      <c r="E10525" s="368"/>
      <c r="F10525" s="368"/>
    </row>
    <row r="10526" spans="1:6" ht="38.25" x14ac:dyDescent="0.2">
      <c r="A10526" s="391">
        <v>39268</v>
      </c>
      <c r="B10526" s="478" t="s">
        <v>43062</v>
      </c>
      <c r="C10526" s="391" t="s">
        <v>0</v>
      </c>
      <c r="D10526" s="479">
        <v>539.6</v>
      </c>
      <c r="E10526" s="368"/>
      <c r="F10526" s="368"/>
    </row>
    <row r="10527" spans="1:6" ht="38.25" x14ac:dyDescent="0.2">
      <c r="A10527" s="391">
        <v>39262</v>
      </c>
      <c r="B10527" s="478" t="s">
        <v>43063</v>
      </c>
      <c r="C10527" s="391" t="s">
        <v>0</v>
      </c>
      <c r="D10527" s="479">
        <v>54.97</v>
      </c>
      <c r="E10527" s="368"/>
      <c r="F10527" s="368"/>
    </row>
    <row r="10528" spans="1:6" ht="38.25" x14ac:dyDescent="0.2">
      <c r="A10528" s="391">
        <v>39258</v>
      </c>
      <c r="B10528" s="478" t="s">
        <v>43064</v>
      </c>
      <c r="C10528" s="391" t="s">
        <v>0</v>
      </c>
      <c r="D10528" s="479">
        <v>9.09</v>
      </c>
      <c r="E10528" s="368"/>
      <c r="F10528" s="368"/>
    </row>
    <row r="10529" spans="1:6" ht="38.25" x14ac:dyDescent="0.2">
      <c r="A10529" s="391">
        <v>39263</v>
      </c>
      <c r="B10529" s="478" t="s">
        <v>43065</v>
      </c>
      <c r="C10529" s="391" t="s">
        <v>0</v>
      </c>
      <c r="D10529" s="479">
        <v>95.06</v>
      </c>
      <c r="E10529" s="368"/>
      <c r="F10529" s="368"/>
    </row>
    <row r="10530" spans="1:6" ht="38.25" x14ac:dyDescent="0.2">
      <c r="A10530" s="391">
        <v>39264</v>
      </c>
      <c r="B10530" s="478" t="s">
        <v>43066</v>
      </c>
      <c r="C10530" s="391" t="s">
        <v>0</v>
      </c>
      <c r="D10530" s="479">
        <v>131.68</v>
      </c>
      <c r="E10530" s="368"/>
      <c r="F10530" s="368"/>
    </row>
    <row r="10531" spans="1:6" ht="38.25" x14ac:dyDescent="0.2">
      <c r="A10531" s="391">
        <v>39259</v>
      </c>
      <c r="B10531" s="478" t="s">
        <v>43067</v>
      </c>
      <c r="C10531" s="391" t="s">
        <v>0</v>
      </c>
      <c r="D10531" s="479">
        <v>13.99</v>
      </c>
      <c r="E10531" s="368"/>
      <c r="F10531" s="368"/>
    </row>
    <row r="10532" spans="1:6" ht="38.25" x14ac:dyDescent="0.2">
      <c r="A10532" s="391">
        <v>39265</v>
      </c>
      <c r="B10532" s="478" t="s">
        <v>43068</v>
      </c>
      <c r="C10532" s="391" t="s">
        <v>0</v>
      </c>
      <c r="D10532" s="479">
        <v>178.78</v>
      </c>
      <c r="E10532" s="368"/>
      <c r="F10532" s="368"/>
    </row>
    <row r="10533" spans="1:6" ht="38.25" x14ac:dyDescent="0.2">
      <c r="A10533" s="391">
        <v>39260</v>
      </c>
      <c r="B10533" s="478" t="s">
        <v>43069</v>
      </c>
      <c r="C10533" s="391" t="s">
        <v>0</v>
      </c>
      <c r="D10533" s="479">
        <v>21.43</v>
      </c>
      <c r="E10533" s="368"/>
      <c r="F10533" s="368"/>
    </row>
    <row r="10534" spans="1:6" ht="38.25" x14ac:dyDescent="0.2">
      <c r="A10534" s="391">
        <v>39266</v>
      </c>
      <c r="B10534" s="478" t="s">
        <v>43070</v>
      </c>
      <c r="C10534" s="391" t="s">
        <v>0</v>
      </c>
      <c r="D10534" s="479">
        <v>269.77999999999997</v>
      </c>
      <c r="E10534" s="368"/>
      <c r="F10534" s="368"/>
    </row>
    <row r="10535" spans="1:6" ht="38.25" x14ac:dyDescent="0.2">
      <c r="A10535" s="391">
        <v>39267</v>
      </c>
      <c r="B10535" s="478" t="s">
        <v>43071</v>
      </c>
      <c r="C10535" s="391" t="s">
        <v>0</v>
      </c>
      <c r="D10535" s="479">
        <v>337.3</v>
      </c>
      <c r="E10535" s="368"/>
      <c r="F10535" s="368"/>
    </row>
    <row r="10536" spans="1:6" x14ac:dyDescent="0.2">
      <c r="A10536" s="391">
        <v>11901</v>
      </c>
      <c r="B10536" s="478" t="s">
        <v>43072</v>
      </c>
      <c r="C10536" s="391" t="s">
        <v>0</v>
      </c>
      <c r="D10536" s="479">
        <v>0.64</v>
      </c>
      <c r="E10536" s="368"/>
      <c r="F10536" s="368"/>
    </row>
    <row r="10537" spans="1:6" x14ac:dyDescent="0.2">
      <c r="A10537" s="391">
        <v>11902</v>
      </c>
      <c r="B10537" s="478" t="s">
        <v>43073</v>
      </c>
      <c r="C10537" s="391" t="s">
        <v>0</v>
      </c>
      <c r="D10537" s="479">
        <v>1.23</v>
      </c>
      <c r="E10537" s="368"/>
      <c r="F10537" s="368"/>
    </row>
    <row r="10538" spans="1:6" x14ac:dyDescent="0.2">
      <c r="A10538" s="391">
        <v>11903</v>
      </c>
      <c r="B10538" s="478" t="s">
        <v>43074</v>
      </c>
      <c r="C10538" s="391" t="s">
        <v>0</v>
      </c>
      <c r="D10538" s="479">
        <v>1.3</v>
      </c>
      <c r="E10538" s="368"/>
      <c r="F10538" s="368"/>
    </row>
    <row r="10539" spans="1:6" x14ac:dyDescent="0.2">
      <c r="A10539" s="391">
        <v>11904</v>
      </c>
      <c r="B10539" s="478" t="s">
        <v>43075</v>
      </c>
      <c r="C10539" s="391" t="s">
        <v>0</v>
      </c>
      <c r="D10539" s="479">
        <v>1.98</v>
      </c>
      <c r="E10539" s="368"/>
      <c r="F10539" s="368"/>
    </row>
    <row r="10540" spans="1:6" x14ac:dyDescent="0.2">
      <c r="A10540" s="391">
        <v>11905</v>
      </c>
      <c r="B10540" s="478" t="s">
        <v>43076</v>
      </c>
      <c r="C10540" s="391" t="s">
        <v>0</v>
      </c>
      <c r="D10540" s="479">
        <v>2.41</v>
      </c>
      <c r="E10540" s="368"/>
      <c r="F10540" s="368"/>
    </row>
    <row r="10541" spans="1:6" x14ac:dyDescent="0.2">
      <c r="A10541" s="391">
        <v>11906</v>
      </c>
      <c r="B10541" s="478" t="s">
        <v>43077</v>
      </c>
      <c r="C10541" s="391" t="s">
        <v>0</v>
      </c>
      <c r="D10541" s="479">
        <v>3.07</v>
      </c>
      <c r="E10541" s="368"/>
      <c r="F10541" s="368"/>
    </row>
    <row r="10542" spans="1:6" x14ac:dyDescent="0.2">
      <c r="A10542" s="391">
        <v>11919</v>
      </c>
      <c r="B10542" s="478" t="s">
        <v>43078</v>
      </c>
      <c r="C10542" s="391" t="s">
        <v>0</v>
      </c>
      <c r="D10542" s="479">
        <v>5.62</v>
      </c>
      <c r="E10542" s="368"/>
      <c r="F10542" s="368"/>
    </row>
    <row r="10543" spans="1:6" x14ac:dyDescent="0.2">
      <c r="A10543" s="391">
        <v>11920</v>
      </c>
      <c r="B10543" s="478" t="s">
        <v>43079</v>
      </c>
      <c r="C10543" s="391" t="s">
        <v>0</v>
      </c>
      <c r="D10543" s="479">
        <v>10.68</v>
      </c>
      <c r="E10543" s="368"/>
      <c r="F10543" s="368"/>
    </row>
    <row r="10544" spans="1:6" x14ac:dyDescent="0.2">
      <c r="A10544" s="391">
        <v>11924</v>
      </c>
      <c r="B10544" s="478" t="s">
        <v>43080</v>
      </c>
      <c r="C10544" s="391" t="s">
        <v>0</v>
      </c>
      <c r="D10544" s="479">
        <v>89.66</v>
      </c>
      <c r="E10544" s="368"/>
      <c r="F10544" s="368"/>
    </row>
    <row r="10545" spans="1:6" x14ac:dyDescent="0.2">
      <c r="A10545" s="391">
        <v>11921</v>
      </c>
      <c r="B10545" s="478" t="s">
        <v>43081</v>
      </c>
      <c r="C10545" s="391" t="s">
        <v>0</v>
      </c>
      <c r="D10545" s="479">
        <v>15.63</v>
      </c>
      <c r="E10545" s="368"/>
      <c r="F10545" s="368"/>
    </row>
    <row r="10546" spans="1:6" x14ac:dyDescent="0.2">
      <c r="A10546" s="391">
        <v>11922</v>
      </c>
      <c r="B10546" s="478" t="s">
        <v>43082</v>
      </c>
      <c r="C10546" s="391" t="s">
        <v>0</v>
      </c>
      <c r="D10546" s="479">
        <v>25.27</v>
      </c>
      <c r="E10546" s="368"/>
      <c r="F10546" s="368"/>
    </row>
    <row r="10547" spans="1:6" x14ac:dyDescent="0.2">
      <c r="A10547" s="391">
        <v>11923</v>
      </c>
      <c r="B10547" s="478" t="s">
        <v>43083</v>
      </c>
      <c r="C10547" s="391" t="s">
        <v>0</v>
      </c>
      <c r="D10547" s="479">
        <v>36.99</v>
      </c>
      <c r="E10547" s="368"/>
      <c r="F10547" s="368"/>
    </row>
    <row r="10548" spans="1:6" x14ac:dyDescent="0.2">
      <c r="A10548" s="430">
        <v>11916</v>
      </c>
      <c r="B10548" s="482" t="s">
        <v>43084</v>
      </c>
      <c r="C10548" s="430" t="s">
        <v>0</v>
      </c>
      <c r="D10548" s="483">
        <v>7.69</v>
      </c>
      <c r="E10548" s="368"/>
      <c r="F10548" s="368"/>
    </row>
    <row r="10549" spans="1:6" x14ac:dyDescent="0.2">
      <c r="A10549" s="391">
        <v>11914</v>
      </c>
      <c r="B10549" s="478" t="s">
        <v>43085</v>
      </c>
      <c r="C10549" s="391" t="s">
        <v>0</v>
      </c>
      <c r="D10549" s="479">
        <v>55.42</v>
      </c>
      <c r="E10549" s="368"/>
      <c r="F10549" s="368"/>
    </row>
    <row r="10550" spans="1:6" x14ac:dyDescent="0.2">
      <c r="A10550" s="391">
        <v>11917</v>
      </c>
      <c r="B10550" s="478" t="s">
        <v>43086</v>
      </c>
      <c r="C10550" s="391" t="s">
        <v>0</v>
      </c>
      <c r="D10550" s="479">
        <v>13.55</v>
      </c>
      <c r="E10550" s="368"/>
      <c r="F10550" s="368"/>
    </row>
    <row r="10551" spans="1:6" x14ac:dyDescent="0.2">
      <c r="A10551" s="391">
        <v>11918</v>
      </c>
      <c r="B10551" s="478" t="s">
        <v>43087</v>
      </c>
      <c r="C10551" s="391" t="s">
        <v>0</v>
      </c>
      <c r="D10551" s="479">
        <v>16.07</v>
      </c>
      <c r="E10551" s="368"/>
      <c r="F10551" s="368"/>
    </row>
    <row r="10552" spans="1:6" ht="25.5" x14ac:dyDescent="0.2">
      <c r="A10552" s="391">
        <v>37734</v>
      </c>
      <c r="B10552" s="478" t="s">
        <v>43088</v>
      </c>
      <c r="C10552" s="391" t="s">
        <v>26</v>
      </c>
      <c r="D10552" s="479"/>
      <c r="E10552" s="368"/>
      <c r="F10552" s="368"/>
    </row>
    <row r="10553" spans="1:6" ht="25.5" x14ac:dyDescent="0.2">
      <c r="A10553" s="391">
        <v>42251</v>
      </c>
      <c r="B10553" s="478" t="s">
        <v>43089</v>
      </c>
      <c r="C10553" s="391" t="s">
        <v>26</v>
      </c>
      <c r="D10553" s="479"/>
      <c r="E10553" s="368"/>
      <c r="F10553" s="368"/>
    </row>
    <row r="10554" spans="1:6" ht="25.5" x14ac:dyDescent="0.2">
      <c r="A10554" s="391">
        <v>37733</v>
      </c>
      <c r="B10554" s="478" t="s">
        <v>43090</v>
      </c>
      <c r="C10554" s="391" t="s">
        <v>26</v>
      </c>
      <c r="D10554" s="479"/>
      <c r="E10554" s="368"/>
      <c r="F10554" s="368"/>
    </row>
    <row r="10555" spans="1:6" ht="25.5" x14ac:dyDescent="0.2">
      <c r="A10555" s="391">
        <v>37735</v>
      </c>
      <c r="B10555" s="478" t="s">
        <v>43091</v>
      </c>
      <c r="C10555" s="391" t="s">
        <v>26</v>
      </c>
      <c r="D10555" s="479"/>
      <c r="E10555" s="368"/>
      <c r="F10555" s="368"/>
    </row>
    <row r="10556" spans="1:6" ht="38.25" x14ac:dyDescent="0.2">
      <c r="A10556" s="391">
        <v>5090</v>
      </c>
      <c r="B10556" s="478" t="s">
        <v>43092</v>
      </c>
      <c r="C10556" s="391" t="s">
        <v>26</v>
      </c>
      <c r="D10556" s="479">
        <v>21</v>
      </c>
      <c r="E10556" s="368"/>
      <c r="F10556" s="368"/>
    </row>
    <row r="10557" spans="1:6" ht="38.25" x14ac:dyDescent="0.2">
      <c r="A10557" s="391">
        <v>5085</v>
      </c>
      <c r="B10557" s="478" t="s">
        <v>43093</v>
      </c>
      <c r="C10557" s="391" t="s">
        <v>26</v>
      </c>
      <c r="D10557" s="479">
        <v>31.26</v>
      </c>
      <c r="E10557" s="368"/>
      <c r="F10557" s="368"/>
    </row>
    <row r="10558" spans="1:6" ht="38.25" x14ac:dyDescent="0.2">
      <c r="A10558" s="391">
        <v>43603</v>
      </c>
      <c r="B10558" s="478" t="s">
        <v>43094</v>
      </c>
      <c r="C10558" s="391" t="s">
        <v>26</v>
      </c>
      <c r="D10558" s="479">
        <v>44.66</v>
      </c>
      <c r="E10558" s="368"/>
      <c r="F10558" s="368"/>
    </row>
    <row r="10559" spans="1:6" x14ac:dyDescent="0.2">
      <c r="A10559" s="391">
        <v>38374</v>
      </c>
      <c r="B10559" s="478" t="s">
        <v>43095</v>
      </c>
      <c r="C10559" s="391" t="s">
        <v>26</v>
      </c>
      <c r="D10559" s="479">
        <v>897.11</v>
      </c>
      <c r="E10559" s="368"/>
      <c r="F10559" s="368"/>
    </row>
    <row r="10560" spans="1:6" x14ac:dyDescent="0.2">
      <c r="A10560" s="391">
        <v>4513</v>
      </c>
      <c r="B10560" s="478" t="s">
        <v>43096</v>
      </c>
      <c r="C10560" s="391" t="s">
        <v>0</v>
      </c>
      <c r="D10560" s="479">
        <v>8.06</v>
      </c>
      <c r="E10560" s="368"/>
      <c r="F10560" s="368"/>
    </row>
    <row r="10561" spans="1:6" ht="25.5" x14ac:dyDescent="0.2">
      <c r="A10561" s="391">
        <v>20212</v>
      </c>
      <c r="B10561" s="478" t="s">
        <v>43097</v>
      </c>
      <c r="C10561" s="391" t="s">
        <v>0</v>
      </c>
      <c r="D10561" s="479">
        <v>24.77</v>
      </c>
      <c r="E10561" s="368"/>
      <c r="F10561" s="368"/>
    </row>
    <row r="10562" spans="1:6" ht="25.5" x14ac:dyDescent="0.2">
      <c r="A10562" s="391">
        <v>20209</v>
      </c>
      <c r="B10562" s="478" t="s">
        <v>43098</v>
      </c>
      <c r="C10562" s="391" t="s">
        <v>0</v>
      </c>
      <c r="D10562" s="479">
        <v>29.59</v>
      </c>
      <c r="E10562" s="368"/>
      <c r="F10562" s="368"/>
    </row>
    <row r="10563" spans="1:6" ht="25.5" x14ac:dyDescent="0.2">
      <c r="A10563" s="391">
        <v>4430</v>
      </c>
      <c r="B10563" s="478" t="s">
        <v>43099</v>
      </c>
      <c r="C10563" s="391" t="s">
        <v>0</v>
      </c>
      <c r="D10563" s="479">
        <v>14.5</v>
      </c>
      <c r="E10563" s="368"/>
      <c r="F10563" s="368"/>
    </row>
    <row r="10564" spans="1:6" ht="25.5" x14ac:dyDescent="0.2">
      <c r="A10564" s="391">
        <v>4433</v>
      </c>
      <c r="B10564" s="478" t="s">
        <v>43100</v>
      </c>
      <c r="C10564" s="391" t="s">
        <v>0</v>
      </c>
      <c r="D10564" s="479">
        <v>28.35</v>
      </c>
      <c r="E10564" s="368"/>
      <c r="F10564" s="368"/>
    </row>
    <row r="10565" spans="1:6" ht="25.5" x14ac:dyDescent="0.2">
      <c r="A10565" s="391">
        <v>4400</v>
      </c>
      <c r="B10565" s="478" t="s">
        <v>43101</v>
      </c>
      <c r="C10565" s="391" t="s">
        <v>0</v>
      </c>
      <c r="D10565" s="479">
        <v>23.07</v>
      </c>
      <c r="E10565" s="368"/>
      <c r="F10565" s="368"/>
    </row>
    <row r="10566" spans="1:6" ht="25.5" x14ac:dyDescent="0.2">
      <c r="A10566" s="391">
        <v>2729</v>
      </c>
      <c r="B10566" s="478" t="s">
        <v>43102</v>
      </c>
      <c r="C10566" s="391" t="s">
        <v>26</v>
      </c>
      <c r="D10566" s="479"/>
      <c r="E10566" s="368"/>
      <c r="F10566" s="368"/>
    </row>
    <row r="10567" spans="1:6" ht="25.5" x14ac:dyDescent="0.2">
      <c r="A10567" s="391">
        <v>37106</v>
      </c>
      <c r="B10567" s="478" t="s">
        <v>43103</v>
      </c>
      <c r="C10567" s="391" t="s">
        <v>26</v>
      </c>
      <c r="D10567" s="479">
        <v>5402.19</v>
      </c>
      <c r="E10567" s="368"/>
      <c r="F10567" s="368"/>
    </row>
    <row r="10568" spans="1:6" ht="25.5" x14ac:dyDescent="0.2">
      <c r="A10568" s="391">
        <v>11869</v>
      </c>
      <c r="B10568" s="478" t="s">
        <v>43104</v>
      </c>
      <c r="C10568" s="391" t="s">
        <v>26</v>
      </c>
      <c r="D10568" s="479">
        <v>1080.43</v>
      </c>
      <c r="E10568" s="368"/>
      <c r="F10568" s="368"/>
    </row>
    <row r="10569" spans="1:6" ht="25.5" x14ac:dyDescent="0.2">
      <c r="A10569" s="391">
        <v>43981</v>
      </c>
      <c r="B10569" s="478" t="s">
        <v>43105</v>
      </c>
      <c r="C10569" s="391" t="s">
        <v>26</v>
      </c>
      <c r="D10569" s="479">
        <v>8141.05</v>
      </c>
      <c r="E10569" s="368"/>
      <c r="F10569" s="368"/>
    </row>
    <row r="10570" spans="1:6" ht="25.5" x14ac:dyDescent="0.2">
      <c r="A10570" s="391">
        <v>37104</v>
      </c>
      <c r="B10570" s="478" t="s">
        <v>43106</v>
      </c>
      <c r="C10570" s="391" t="s">
        <v>26</v>
      </c>
      <c r="D10570" s="479">
        <v>1355.97</v>
      </c>
      <c r="E10570" s="368"/>
      <c r="F10570" s="368"/>
    </row>
    <row r="10571" spans="1:6" ht="25.5" x14ac:dyDescent="0.2">
      <c r="A10571" s="391">
        <v>43982</v>
      </c>
      <c r="B10571" s="478" t="s">
        <v>43107</v>
      </c>
      <c r="C10571" s="391" t="s">
        <v>26</v>
      </c>
      <c r="D10571" s="479">
        <v>12860.81</v>
      </c>
      <c r="E10571" s="368"/>
      <c r="F10571" s="368"/>
    </row>
    <row r="10572" spans="1:6" ht="25.5" x14ac:dyDescent="0.2">
      <c r="A10572" s="391">
        <v>43978</v>
      </c>
      <c r="B10572" s="478" t="s">
        <v>43108</v>
      </c>
      <c r="C10572" s="391" t="s">
        <v>26</v>
      </c>
      <c r="D10572" s="479">
        <v>2009.52</v>
      </c>
      <c r="E10572" s="368"/>
      <c r="F10572" s="368"/>
    </row>
    <row r="10573" spans="1:6" ht="25.5" x14ac:dyDescent="0.2">
      <c r="A10573" s="391">
        <v>11871</v>
      </c>
      <c r="B10573" s="478" t="s">
        <v>43109</v>
      </c>
      <c r="C10573" s="391" t="s">
        <v>26</v>
      </c>
      <c r="D10573" s="479">
        <v>503.64</v>
      </c>
      <c r="E10573" s="368"/>
      <c r="F10573" s="368"/>
    </row>
    <row r="10574" spans="1:6" ht="25.5" x14ac:dyDescent="0.2">
      <c r="A10574" s="391">
        <v>37105</v>
      </c>
      <c r="B10574" s="478" t="s">
        <v>43110</v>
      </c>
      <c r="C10574" s="391" t="s">
        <v>26</v>
      </c>
      <c r="D10574" s="479">
        <v>3098.91</v>
      </c>
      <c r="E10574" s="368"/>
      <c r="F10574" s="368"/>
    </row>
    <row r="10575" spans="1:6" ht="25.5" x14ac:dyDescent="0.2">
      <c r="A10575" s="391">
        <v>43980</v>
      </c>
      <c r="B10575" s="478" t="s">
        <v>43111</v>
      </c>
      <c r="C10575" s="391" t="s">
        <v>26</v>
      </c>
      <c r="D10575" s="479">
        <v>3859.36</v>
      </c>
      <c r="E10575" s="368"/>
      <c r="F10575" s="368"/>
    </row>
    <row r="10576" spans="1:6" ht="25.5" x14ac:dyDescent="0.2">
      <c r="A10576" s="391">
        <v>43979</v>
      </c>
      <c r="B10576" s="478" t="s">
        <v>43112</v>
      </c>
      <c r="C10576" s="391" t="s">
        <v>26</v>
      </c>
      <c r="D10576" s="479">
        <v>725.13</v>
      </c>
      <c r="E10576" s="368"/>
      <c r="F10576" s="368"/>
    </row>
    <row r="10577" spans="1:6" ht="25.5" x14ac:dyDescent="0.2">
      <c r="A10577" s="391">
        <v>11868</v>
      </c>
      <c r="B10577" s="482" t="s">
        <v>43113</v>
      </c>
      <c r="C10577" s="391" t="s">
        <v>26</v>
      </c>
      <c r="D10577" s="479">
        <v>701.28</v>
      </c>
      <c r="E10577" s="368"/>
      <c r="F10577" s="368"/>
    </row>
    <row r="10578" spans="1:6" x14ac:dyDescent="0.2">
      <c r="A10578" s="391">
        <v>34636</v>
      </c>
      <c r="B10578" s="478" t="s">
        <v>43114</v>
      </c>
      <c r="C10578" s="391" t="s">
        <v>26</v>
      </c>
      <c r="D10578" s="479">
        <v>498</v>
      </c>
      <c r="E10578" s="368"/>
      <c r="F10578" s="368"/>
    </row>
    <row r="10579" spans="1:6" x14ac:dyDescent="0.2">
      <c r="A10579" s="391">
        <v>34639</v>
      </c>
      <c r="B10579" s="478" t="s">
        <v>43115</v>
      </c>
      <c r="C10579" s="391" t="s">
        <v>26</v>
      </c>
      <c r="D10579" s="479">
        <v>1149.47</v>
      </c>
      <c r="E10579" s="368"/>
      <c r="F10579" s="368"/>
    </row>
    <row r="10580" spans="1:6" x14ac:dyDescent="0.2">
      <c r="A10580" s="391">
        <v>34640</v>
      </c>
      <c r="B10580" s="478" t="s">
        <v>43116</v>
      </c>
      <c r="C10580" s="391" t="s">
        <v>26</v>
      </c>
      <c r="D10580" s="479">
        <v>1303.9000000000001</v>
      </c>
      <c r="E10580" s="368"/>
      <c r="F10580" s="368"/>
    </row>
    <row r="10581" spans="1:6" x14ac:dyDescent="0.2">
      <c r="A10581" s="391">
        <v>43977</v>
      </c>
      <c r="B10581" s="478" t="s">
        <v>43117</v>
      </c>
      <c r="C10581" s="391" t="s">
        <v>26</v>
      </c>
      <c r="D10581" s="479">
        <v>2247.84</v>
      </c>
      <c r="E10581" s="368"/>
      <c r="F10581" s="368"/>
    </row>
    <row r="10582" spans="1:6" x14ac:dyDescent="0.2">
      <c r="A10582" s="391">
        <v>34637</v>
      </c>
      <c r="B10582" s="478" t="s">
        <v>43118</v>
      </c>
      <c r="C10582" s="391" t="s">
        <v>26</v>
      </c>
      <c r="D10582" s="479">
        <v>301.16000000000003</v>
      </c>
      <c r="E10582" s="368"/>
      <c r="F10582" s="368"/>
    </row>
    <row r="10583" spans="1:6" x14ac:dyDescent="0.2">
      <c r="A10583" s="391">
        <v>34638</v>
      </c>
      <c r="B10583" s="478" t="s">
        <v>43119</v>
      </c>
      <c r="C10583" s="391" t="s">
        <v>26</v>
      </c>
      <c r="D10583" s="479">
        <v>465.84</v>
      </c>
      <c r="E10583" s="368"/>
      <c r="F10583" s="368"/>
    </row>
    <row r="10584" spans="1:6" ht="25.5" x14ac:dyDescent="0.2">
      <c r="A10584" s="391">
        <v>34641</v>
      </c>
      <c r="B10584" s="478" t="s">
        <v>43120</v>
      </c>
      <c r="C10584" s="391" t="s">
        <v>26</v>
      </c>
      <c r="D10584" s="479"/>
      <c r="E10584" s="368"/>
      <c r="F10584" s="368"/>
    </row>
    <row r="10585" spans="1:6" ht="25.5" x14ac:dyDescent="0.2">
      <c r="A10585" s="391">
        <v>43434</v>
      </c>
      <c r="B10585" s="478" t="s">
        <v>43121</v>
      </c>
      <c r="C10585" s="391" t="s">
        <v>26</v>
      </c>
      <c r="D10585" s="479"/>
      <c r="E10585" s="368"/>
      <c r="F10585" s="368"/>
    </row>
    <row r="10586" spans="1:6" ht="25.5" x14ac:dyDescent="0.2">
      <c r="A10586" s="391">
        <v>43435</v>
      </c>
      <c r="B10586" s="478" t="s">
        <v>43122</v>
      </c>
      <c r="C10586" s="391" t="s">
        <v>26</v>
      </c>
      <c r="D10586" s="479"/>
      <c r="E10586" s="368"/>
      <c r="F10586" s="368"/>
    </row>
    <row r="10587" spans="1:6" ht="25.5" x14ac:dyDescent="0.2">
      <c r="A10587" s="391">
        <v>43436</v>
      </c>
      <c r="B10587" s="478" t="s">
        <v>43123</v>
      </c>
      <c r="C10587" s="391" t="s">
        <v>26</v>
      </c>
      <c r="D10587" s="479"/>
      <c r="E10587" s="368"/>
      <c r="F10587" s="368"/>
    </row>
    <row r="10588" spans="1:6" ht="25.5" x14ac:dyDescent="0.2">
      <c r="A10588" s="391">
        <v>43437</v>
      </c>
      <c r="B10588" s="478" t="s">
        <v>43124</v>
      </c>
      <c r="C10588" s="391" t="s">
        <v>26</v>
      </c>
      <c r="D10588" s="479"/>
      <c r="E10588" s="368"/>
      <c r="F10588" s="368"/>
    </row>
    <row r="10589" spans="1:6" ht="25.5" x14ac:dyDescent="0.2">
      <c r="A10589" s="391">
        <v>43438</v>
      </c>
      <c r="B10589" s="478" t="s">
        <v>43125</v>
      </c>
      <c r="C10589" s="391" t="s">
        <v>26</v>
      </c>
      <c r="D10589" s="479"/>
      <c r="E10589" s="368"/>
      <c r="F10589" s="368"/>
    </row>
    <row r="10590" spans="1:6" ht="25.5" x14ac:dyDescent="0.2">
      <c r="A10590" s="391">
        <v>41627</v>
      </c>
      <c r="B10590" s="478" t="s">
        <v>43126</v>
      </c>
      <c r="C10590" s="391" t="s">
        <v>26</v>
      </c>
      <c r="D10590" s="479"/>
      <c r="E10590" s="368"/>
      <c r="F10590" s="368"/>
    </row>
    <row r="10591" spans="1:6" ht="25.5" x14ac:dyDescent="0.2">
      <c r="A10591" s="391">
        <v>41628</v>
      </c>
      <c r="B10591" s="478" t="s">
        <v>43127</v>
      </c>
      <c r="C10591" s="391" t="s">
        <v>26</v>
      </c>
      <c r="D10591" s="479"/>
      <c r="E10591" s="368"/>
      <c r="F10591" s="368"/>
    </row>
    <row r="10592" spans="1:6" ht="25.5" x14ac:dyDescent="0.2">
      <c r="A10592" s="391">
        <v>41629</v>
      </c>
      <c r="B10592" s="478" t="s">
        <v>43128</v>
      </c>
      <c r="C10592" s="391" t="s">
        <v>26</v>
      </c>
      <c r="D10592" s="479"/>
      <c r="E10592" s="368"/>
      <c r="F10592" s="368"/>
    </row>
    <row r="10593" spans="1:6" ht="25.5" x14ac:dyDescent="0.2">
      <c r="A10593" s="391">
        <v>43429</v>
      </c>
      <c r="B10593" s="478" t="s">
        <v>43129</v>
      </c>
      <c r="C10593" s="391" t="s">
        <v>26</v>
      </c>
      <c r="D10593" s="479"/>
      <c r="E10593" s="368"/>
      <c r="F10593" s="368"/>
    </row>
    <row r="10594" spans="1:6" ht="25.5" x14ac:dyDescent="0.2">
      <c r="A10594" s="391">
        <v>43430</v>
      </c>
      <c r="B10594" s="478" t="s">
        <v>43130</v>
      </c>
      <c r="C10594" s="391" t="s">
        <v>26</v>
      </c>
      <c r="D10594" s="479"/>
      <c r="E10594" s="368"/>
      <c r="F10594" s="368"/>
    </row>
    <row r="10595" spans="1:6" ht="25.5" x14ac:dyDescent="0.2">
      <c r="A10595" s="391">
        <v>43431</v>
      </c>
      <c r="B10595" s="478" t="s">
        <v>43131</v>
      </c>
      <c r="C10595" s="391" t="s">
        <v>26</v>
      </c>
      <c r="D10595" s="479"/>
      <c r="E10595" s="368"/>
      <c r="F10595" s="368"/>
    </row>
    <row r="10596" spans="1:6" ht="25.5" x14ac:dyDescent="0.2">
      <c r="A10596" s="391">
        <v>43432</v>
      </c>
      <c r="B10596" s="478" t="s">
        <v>43132</v>
      </c>
      <c r="C10596" s="391" t="s">
        <v>26</v>
      </c>
      <c r="D10596" s="479"/>
      <c r="E10596" s="368"/>
      <c r="F10596" s="368"/>
    </row>
    <row r="10597" spans="1:6" ht="25.5" x14ac:dyDescent="0.2">
      <c r="A10597" s="391">
        <v>43433</v>
      </c>
      <c r="B10597" s="478" t="s">
        <v>43133</v>
      </c>
      <c r="C10597" s="391" t="s">
        <v>26</v>
      </c>
      <c r="D10597" s="479"/>
      <c r="E10597" s="368"/>
      <c r="F10597" s="368"/>
    </row>
    <row r="10598" spans="1:6" ht="38.25" x14ac:dyDescent="0.2">
      <c r="A10598" s="391">
        <v>43094</v>
      </c>
      <c r="B10598" s="478" t="s">
        <v>43134</v>
      </c>
      <c r="C10598" s="391" t="s">
        <v>26</v>
      </c>
      <c r="D10598" s="479">
        <v>223.12</v>
      </c>
      <c r="E10598" s="368"/>
      <c r="F10598" s="368"/>
    </row>
    <row r="10599" spans="1:6" ht="38.25" x14ac:dyDescent="0.2">
      <c r="A10599" s="391">
        <v>43093</v>
      </c>
      <c r="B10599" s="478" t="s">
        <v>43135</v>
      </c>
      <c r="C10599" s="391" t="s">
        <v>26</v>
      </c>
      <c r="D10599" s="479">
        <v>237.11</v>
      </c>
      <c r="E10599" s="368"/>
      <c r="F10599" s="368"/>
    </row>
    <row r="10600" spans="1:6" ht="38.25" x14ac:dyDescent="0.2">
      <c r="A10600" s="391">
        <v>11694</v>
      </c>
      <c r="B10600" s="478" t="s">
        <v>43136</v>
      </c>
      <c r="C10600" s="391" t="s">
        <v>26</v>
      </c>
      <c r="D10600" s="479">
        <v>983.68</v>
      </c>
      <c r="E10600" s="368"/>
      <c r="F10600" s="368"/>
    </row>
    <row r="10601" spans="1:6" ht="38.25" x14ac:dyDescent="0.2">
      <c r="A10601" s="391">
        <v>1030</v>
      </c>
      <c r="B10601" s="478" t="s">
        <v>43137</v>
      </c>
      <c r="C10601" s="391" t="s">
        <v>26</v>
      </c>
      <c r="D10601" s="479">
        <v>44.5</v>
      </c>
      <c r="E10601" s="368"/>
      <c r="F10601" s="368"/>
    </row>
    <row r="10602" spans="1:6" ht="25.5" x14ac:dyDescent="0.2">
      <c r="A10602" s="391">
        <v>11881</v>
      </c>
      <c r="B10602" s="478" t="s">
        <v>43138</v>
      </c>
      <c r="C10602" s="391" t="s">
        <v>26</v>
      </c>
      <c r="D10602" s="479"/>
      <c r="E10602" s="368"/>
      <c r="F10602" s="368"/>
    </row>
    <row r="10603" spans="1:6" ht="25.5" x14ac:dyDescent="0.2">
      <c r="A10603" s="391">
        <v>35277</v>
      </c>
      <c r="B10603" s="478" t="s">
        <v>43139</v>
      </c>
      <c r="C10603" s="391" t="s">
        <v>26</v>
      </c>
      <c r="D10603" s="479">
        <v>418.74</v>
      </c>
      <c r="E10603" s="368"/>
      <c r="F10603" s="368"/>
    </row>
    <row r="10604" spans="1:6" ht="51" x14ac:dyDescent="0.2">
      <c r="A10604" s="391">
        <v>10521</v>
      </c>
      <c r="B10604" s="478" t="s">
        <v>43140</v>
      </c>
      <c r="C10604" s="391" t="s">
        <v>26</v>
      </c>
      <c r="D10604" s="479">
        <v>467.72</v>
      </c>
      <c r="E10604" s="368"/>
      <c r="F10604" s="368"/>
    </row>
    <row r="10605" spans="1:6" ht="51" x14ac:dyDescent="0.2">
      <c r="A10605" s="391">
        <v>10885</v>
      </c>
      <c r="B10605" s="478" t="s">
        <v>43141</v>
      </c>
      <c r="C10605" s="391" t="s">
        <v>26</v>
      </c>
      <c r="D10605" s="479">
        <v>591.61</v>
      </c>
      <c r="E10605" s="368"/>
      <c r="F10605" s="368"/>
    </row>
    <row r="10606" spans="1:6" ht="51" x14ac:dyDescent="0.2">
      <c r="A10606" s="391">
        <v>20962</v>
      </c>
      <c r="B10606" s="478" t="s">
        <v>43142</v>
      </c>
      <c r="C10606" s="391" t="s">
        <v>26</v>
      </c>
      <c r="D10606" s="479">
        <v>490</v>
      </c>
      <c r="E10606" s="368"/>
      <c r="F10606" s="368"/>
    </row>
    <row r="10607" spans="1:6" ht="51" x14ac:dyDescent="0.2">
      <c r="A10607" s="391">
        <v>20963</v>
      </c>
      <c r="B10607" s="478" t="s">
        <v>43143</v>
      </c>
      <c r="C10607" s="391" t="s">
        <v>26</v>
      </c>
      <c r="D10607" s="479">
        <v>598.57000000000005</v>
      </c>
      <c r="E10607" s="368"/>
      <c r="F10607" s="368"/>
    </row>
    <row r="10608" spans="1:6" ht="25.5" x14ac:dyDescent="0.2">
      <c r="A10608" s="391">
        <v>34643</v>
      </c>
      <c r="B10608" s="478" t="s">
        <v>48242</v>
      </c>
      <c r="C10608" s="391" t="s">
        <v>26</v>
      </c>
      <c r="D10608" s="479">
        <v>48.22</v>
      </c>
      <c r="E10608" s="368"/>
      <c r="F10608" s="368"/>
    </row>
    <row r="10609" spans="1:6" ht="25.5" x14ac:dyDescent="0.2">
      <c r="A10609" s="391">
        <v>41480</v>
      </c>
      <c r="B10609" s="478" t="s">
        <v>48243</v>
      </c>
      <c r="C10609" s="391" t="s">
        <v>26</v>
      </c>
      <c r="D10609" s="479">
        <v>55.91</v>
      </c>
      <c r="E10609" s="368"/>
      <c r="F10609" s="368"/>
    </row>
    <row r="10610" spans="1:6" ht="25.5" x14ac:dyDescent="0.2">
      <c r="A10610" s="391">
        <v>41474</v>
      </c>
      <c r="B10610" s="478" t="s">
        <v>48244</v>
      </c>
      <c r="C10610" s="391" t="s">
        <v>26</v>
      </c>
      <c r="D10610" s="479">
        <v>89.32</v>
      </c>
      <c r="E10610" s="368"/>
      <c r="F10610" s="368"/>
    </row>
    <row r="10611" spans="1:6" ht="25.5" x14ac:dyDescent="0.2">
      <c r="A10611" s="391">
        <v>41475</v>
      </c>
      <c r="B10611" s="478" t="s">
        <v>48245</v>
      </c>
      <c r="C10611" s="391" t="s">
        <v>26</v>
      </c>
      <c r="D10611" s="479">
        <v>76.209999999999994</v>
      </c>
      <c r="E10611" s="368"/>
      <c r="F10611" s="368"/>
    </row>
    <row r="10612" spans="1:6" ht="25.5" x14ac:dyDescent="0.2">
      <c r="A10612" s="391">
        <v>41476</v>
      </c>
      <c r="B10612" s="478" t="s">
        <v>48246</v>
      </c>
      <c r="C10612" s="391" t="s">
        <v>26</v>
      </c>
      <c r="D10612" s="479">
        <v>166.87</v>
      </c>
      <c r="E10612" s="368"/>
      <c r="F10612" s="368"/>
    </row>
    <row r="10613" spans="1:6" x14ac:dyDescent="0.2">
      <c r="A10613" s="391">
        <v>2555</v>
      </c>
      <c r="B10613" s="478" t="s">
        <v>43144</v>
      </c>
      <c r="C10613" s="391" t="s">
        <v>26</v>
      </c>
      <c r="D10613" s="479">
        <v>1.38</v>
      </c>
      <c r="E10613" s="368"/>
      <c r="F10613" s="368"/>
    </row>
    <row r="10614" spans="1:6" x14ac:dyDescent="0.2">
      <c r="A10614" s="391">
        <v>2556</v>
      </c>
      <c r="B10614" s="478" t="s">
        <v>43145</v>
      </c>
      <c r="C10614" s="391" t="s">
        <v>26</v>
      </c>
      <c r="D10614" s="479">
        <v>1.43</v>
      </c>
      <c r="E10614" s="368"/>
      <c r="F10614" s="368"/>
    </row>
    <row r="10615" spans="1:6" x14ac:dyDescent="0.2">
      <c r="A10615" s="391">
        <v>2557</v>
      </c>
      <c r="B10615" s="478" t="s">
        <v>43146</v>
      </c>
      <c r="C10615" s="391" t="s">
        <v>26</v>
      </c>
      <c r="D10615" s="479">
        <v>3.03</v>
      </c>
      <c r="E10615" s="368"/>
      <c r="F10615" s="368"/>
    </row>
    <row r="10616" spans="1:6" ht="25.5" x14ac:dyDescent="0.2">
      <c r="A10616" s="391">
        <v>10569</v>
      </c>
      <c r="B10616" s="478" t="s">
        <v>43147</v>
      </c>
      <c r="C10616" s="391" t="s">
        <v>26</v>
      </c>
      <c r="D10616" s="479">
        <v>3.03</v>
      </c>
      <c r="E10616" s="368"/>
      <c r="F10616" s="368"/>
    </row>
    <row r="10617" spans="1:6" ht="25.5" x14ac:dyDescent="0.2">
      <c r="A10617" s="391">
        <v>39810</v>
      </c>
      <c r="B10617" s="478" t="s">
        <v>43148</v>
      </c>
      <c r="C10617" s="391" t="s">
        <v>26</v>
      </c>
      <c r="D10617" s="479">
        <v>30.11</v>
      </c>
      <c r="E10617" s="368"/>
      <c r="F10617" s="368"/>
    </row>
    <row r="10618" spans="1:6" ht="25.5" x14ac:dyDescent="0.2">
      <c r="A10618" s="391">
        <v>39811</v>
      </c>
      <c r="B10618" s="478" t="s">
        <v>43149</v>
      </c>
      <c r="C10618" s="391" t="s">
        <v>26</v>
      </c>
      <c r="D10618" s="479">
        <v>36.83</v>
      </c>
      <c r="E10618" s="368"/>
      <c r="F10618" s="368"/>
    </row>
    <row r="10619" spans="1:6" ht="25.5" x14ac:dyDescent="0.2">
      <c r="A10619" s="391">
        <v>39812</v>
      </c>
      <c r="B10619" s="478" t="s">
        <v>43150</v>
      </c>
      <c r="C10619" s="391" t="s">
        <v>26</v>
      </c>
      <c r="D10619" s="479">
        <v>60.56</v>
      </c>
      <c r="E10619" s="368"/>
      <c r="F10619" s="368"/>
    </row>
    <row r="10620" spans="1:6" ht="25.5" x14ac:dyDescent="0.2">
      <c r="A10620" s="391">
        <v>43096</v>
      </c>
      <c r="B10620" s="478" t="s">
        <v>43151</v>
      </c>
      <c r="C10620" s="391" t="s">
        <v>26</v>
      </c>
      <c r="D10620" s="479">
        <v>200.74</v>
      </c>
      <c r="E10620" s="368"/>
      <c r="F10620" s="368"/>
    </row>
    <row r="10621" spans="1:6" ht="25.5" x14ac:dyDescent="0.2">
      <c r="A10621" s="391">
        <v>43102</v>
      </c>
      <c r="B10621" s="478" t="s">
        <v>43152</v>
      </c>
      <c r="C10621" s="391" t="s">
        <v>26</v>
      </c>
      <c r="D10621" s="479">
        <v>122.06</v>
      </c>
      <c r="E10621" s="368"/>
      <c r="F10621" s="368"/>
    </row>
    <row r="10622" spans="1:6" ht="25.5" x14ac:dyDescent="0.2">
      <c r="A10622" s="391">
        <v>43103</v>
      </c>
      <c r="B10622" s="478" t="s">
        <v>43153</v>
      </c>
      <c r="C10622" s="391" t="s">
        <v>26</v>
      </c>
      <c r="D10622" s="479">
        <v>179.73</v>
      </c>
      <c r="E10622" s="368"/>
      <c r="F10622" s="368"/>
    </row>
    <row r="10623" spans="1:6" ht="38.25" x14ac:dyDescent="0.2">
      <c r="A10623" s="391">
        <v>43098</v>
      </c>
      <c r="B10623" s="478" t="s">
        <v>43154</v>
      </c>
      <c r="C10623" s="391" t="s">
        <v>26</v>
      </c>
      <c r="D10623" s="479">
        <v>67.989999999999995</v>
      </c>
      <c r="E10623" s="368"/>
      <c r="F10623" s="368"/>
    </row>
    <row r="10624" spans="1:6" ht="38.25" x14ac:dyDescent="0.2">
      <c r="A10624" s="391">
        <v>43097</v>
      </c>
      <c r="B10624" s="478" t="s">
        <v>43155</v>
      </c>
      <c r="C10624" s="391" t="s">
        <v>26</v>
      </c>
      <c r="D10624" s="479">
        <v>40.28</v>
      </c>
      <c r="E10624" s="368"/>
      <c r="F10624" s="368"/>
    </row>
    <row r="10625" spans="1:6" x14ac:dyDescent="0.2">
      <c r="A10625" s="391">
        <v>43104</v>
      </c>
      <c r="B10625" s="478" t="s">
        <v>43156</v>
      </c>
      <c r="C10625" s="391" t="s">
        <v>26</v>
      </c>
      <c r="D10625" s="479">
        <v>476.52</v>
      </c>
      <c r="E10625" s="368"/>
      <c r="F10625" s="368"/>
    </row>
    <row r="10626" spans="1:6" ht="25.5" x14ac:dyDescent="0.2">
      <c r="A10626" s="391">
        <v>39771</v>
      </c>
      <c r="B10626" s="478" t="s">
        <v>43157</v>
      </c>
      <c r="C10626" s="391" t="s">
        <v>26</v>
      </c>
      <c r="D10626" s="479">
        <v>29.13</v>
      </c>
      <c r="E10626" s="368"/>
      <c r="F10626" s="368"/>
    </row>
    <row r="10627" spans="1:6" ht="25.5" x14ac:dyDescent="0.2">
      <c r="A10627" s="391">
        <v>39772</v>
      </c>
      <c r="B10627" s="478" t="s">
        <v>43158</v>
      </c>
      <c r="C10627" s="391" t="s">
        <v>26</v>
      </c>
      <c r="D10627" s="479">
        <v>57.25</v>
      </c>
      <c r="E10627" s="368"/>
      <c r="F10627" s="368"/>
    </row>
    <row r="10628" spans="1:6" ht="25.5" x14ac:dyDescent="0.2">
      <c r="A10628" s="391">
        <v>39773</v>
      </c>
      <c r="B10628" s="478" t="s">
        <v>43159</v>
      </c>
      <c r="C10628" s="391" t="s">
        <v>26</v>
      </c>
      <c r="D10628" s="479">
        <v>92.02</v>
      </c>
      <c r="E10628" s="368"/>
      <c r="F10628" s="368"/>
    </row>
    <row r="10629" spans="1:6" ht="25.5" x14ac:dyDescent="0.2">
      <c r="A10629" s="391">
        <v>39774</v>
      </c>
      <c r="B10629" s="478" t="s">
        <v>43160</v>
      </c>
      <c r="C10629" s="391" t="s">
        <v>26</v>
      </c>
      <c r="D10629" s="479">
        <v>137.63999999999999</v>
      </c>
      <c r="E10629" s="368"/>
      <c r="F10629" s="368"/>
    </row>
    <row r="10630" spans="1:6" ht="25.5" x14ac:dyDescent="0.2">
      <c r="A10630" s="391">
        <v>39775</v>
      </c>
      <c r="B10630" s="478" t="s">
        <v>43161</v>
      </c>
      <c r="C10630" s="391" t="s">
        <v>26</v>
      </c>
      <c r="D10630" s="479">
        <v>183.71</v>
      </c>
      <c r="E10630" s="368"/>
      <c r="F10630" s="368"/>
    </row>
    <row r="10631" spans="1:6" ht="25.5" x14ac:dyDescent="0.2">
      <c r="A10631" s="391">
        <v>39776</v>
      </c>
      <c r="B10631" s="478" t="s">
        <v>43162</v>
      </c>
      <c r="C10631" s="391" t="s">
        <v>26</v>
      </c>
      <c r="D10631" s="479">
        <v>222.01</v>
      </c>
      <c r="E10631" s="368"/>
      <c r="F10631" s="368"/>
    </row>
    <row r="10632" spans="1:6" ht="25.5" x14ac:dyDescent="0.2">
      <c r="A10632" s="391">
        <v>39777</v>
      </c>
      <c r="B10632" s="478" t="s">
        <v>43163</v>
      </c>
      <c r="C10632" s="391" t="s">
        <v>26</v>
      </c>
      <c r="D10632" s="479">
        <v>281.39999999999998</v>
      </c>
      <c r="E10632" s="368"/>
      <c r="F10632" s="368"/>
    </row>
    <row r="10633" spans="1:6" ht="25.5" x14ac:dyDescent="0.2">
      <c r="A10633" s="391">
        <v>20254</v>
      </c>
      <c r="B10633" s="478" t="s">
        <v>43164</v>
      </c>
      <c r="C10633" s="391" t="s">
        <v>26</v>
      </c>
      <c r="D10633" s="479">
        <v>20.420000000000002</v>
      </c>
      <c r="E10633" s="368"/>
      <c r="F10633" s="368"/>
    </row>
    <row r="10634" spans="1:6" ht="25.5" x14ac:dyDescent="0.2">
      <c r="A10634" s="391">
        <v>20253</v>
      </c>
      <c r="B10634" s="478" t="s">
        <v>43165</v>
      </c>
      <c r="C10634" s="391" t="s">
        <v>26</v>
      </c>
      <c r="D10634" s="479">
        <v>67.069999999999993</v>
      </c>
      <c r="E10634" s="368"/>
      <c r="F10634" s="368"/>
    </row>
    <row r="10635" spans="1:6" ht="25.5" x14ac:dyDescent="0.2">
      <c r="A10635" s="391">
        <v>1872</v>
      </c>
      <c r="B10635" s="478" t="s">
        <v>43166</v>
      </c>
      <c r="C10635" s="391" t="s">
        <v>26</v>
      </c>
      <c r="D10635" s="479">
        <v>1.78</v>
      </c>
      <c r="E10635" s="368"/>
      <c r="F10635" s="368"/>
    </row>
    <row r="10636" spans="1:6" ht="25.5" x14ac:dyDescent="0.2">
      <c r="A10636" s="391">
        <v>1873</v>
      </c>
      <c r="B10636" s="478" t="s">
        <v>43167</v>
      </c>
      <c r="C10636" s="391" t="s">
        <v>26</v>
      </c>
      <c r="D10636" s="479">
        <v>3.54</v>
      </c>
      <c r="E10636" s="368"/>
      <c r="F10636" s="368"/>
    </row>
    <row r="10637" spans="1:6" ht="38.25" x14ac:dyDescent="0.2">
      <c r="A10637" s="391">
        <v>14055</v>
      </c>
      <c r="B10637" s="478" t="s">
        <v>43168</v>
      </c>
      <c r="C10637" s="391" t="s">
        <v>26</v>
      </c>
      <c r="D10637" s="479">
        <v>612.88</v>
      </c>
      <c r="E10637" s="368"/>
      <c r="F10637" s="368"/>
    </row>
    <row r="10638" spans="1:6" ht="38.25" x14ac:dyDescent="0.2">
      <c r="A10638" s="391">
        <v>11247</v>
      </c>
      <c r="B10638" s="478" t="s">
        <v>43169</v>
      </c>
      <c r="C10638" s="391" t="s">
        <v>26</v>
      </c>
      <c r="D10638" s="479">
        <v>1289.6400000000001</v>
      </c>
      <c r="E10638" s="368"/>
      <c r="F10638" s="368"/>
    </row>
    <row r="10639" spans="1:6" ht="38.25" x14ac:dyDescent="0.2">
      <c r="A10639" s="391">
        <v>11250</v>
      </c>
      <c r="B10639" s="478" t="s">
        <v>43170</v>
      </c>
      <c r="C10639" s="391" t="s">
        <v>26</v>
      </c>
      <c r="D10639" s="479">
        <v>55.52</v>
      </c>
      <c r="E10639" s="368"/>
      <c r="F10639" s="368"/>
    </row>
    <row r="10640" spans="1:6" ht="38.25" x14ac:dyDescent="0.2">
      <c r="A10640" s="391">
        <v>11249</v>
      </c>
      <c r="B10640" s="478" t="s">
        <v>43171</v>
      </c>
      <c r="C10640" s="391" t="s">
        <v>26</v>
      </c>
      <c r="D10640" s="479">
        <v>2519.12</v>
      </c>
      <c r="E10640" s="368"/>
      <c r="F10640" s="368"/>
    </row>
    <row r="10641" spans="1:6" ht="38.25" x14ac:dyDescent="0.2">
      <c r="A10641" s="391">
        <v>11251</v>
      </c>
      <c r="B10641" s="478" t="s">
        <v>43172</v>
      </c>
      <c r="C10641" s="391" t="s">
        <v>26</v>
      </c>
      <c r="D10641" s="479">
        <v>122.98</v>
      </c>
      <c r="E10641" s="368"/>
      <c r="F10641" s="368"/>
    </row>
    <row r="10642" spans="1:6" ht="38.25" x14ac:dyDescent="0.2">
      <c r="A10642" s="391">
        <v>11253</v>
      </c>
      <c r="B10642" s="478" t="s">
        <v>43173</v>
      </c>
      <c r="C10642" s="391" t="s">
        <v>26</v>
      </c>
      <c r="D10642" s="479">
        <v>203.79</v>
      </c>
      <c r="E10642" s="368"/>
      <c r="F10642" s="368"/>
    </row>
    <row r="10643" spans="1:6" ht="38.25" x14ac:dyDescent="0.2">
      <c r="A10643" s="391">
        <v>11255</v>
      </c>
      <c r="B10643" s="478" t="s">
        <v>43174</v>
      </c>
      <c r="C10643" s="391" t="s">
        <v>26</v>
      </c>
      <c r="D10643" s="479">
        <v>304.67</v>
      </c>
      <c r="E10643" s="368"/>
      <c r="F10643" s="368"/>
    </row>
    <row r="10644" spans="1:6" ht="38.25" x14ac:dyDescent="0.2">
      <c r="A10644" s="391">
        <v>11256</v>
      </c>
      <c r="B10644" s="478" t="s">
        <v>43175</v>
      </c>
      <c r="C10644" s="391" t="s">
        <v>26</v>
      </c>
      <c r="D10644" s="479">
        <v>381.62</v>
      </c>
      <c r="E10644" s="368"/>
      <c r="F10644" s="368"/>
    </row>
    <row r="10645" spans="1:6" ht="38.25" x14ac:dyDescent="0.2">
      <c r="A10645" s="391">
        <v>39693</v>
      </c>
      <c r="B10645" s="478" t="s">
        <v>43176</v>
      </c>
      <c r="C10645" s="391" t="s">
        <v>26</v>
      </c>
      <c r="D10645" s="479">
        <v>2396.8000000000002</v>
      </c>
      <c r="E10645" s="368"/>
      <c r="F10645" s="368"/>
    </row>
    <row r="10646" spans="1:6" ht="25.5" x14ac:dyDescent="0.2">
      <c r="A10646" s="391">
        <v>39692</v>
      </c>
      <c r="B10646" s="478" t="s">
        <v>43177</v>
      </c>
      <c r="C10646" s="391" t="s">
        <v>26</v>
      </c>
      <c r="D10646" s="479">
        <v>766.92</v>
      </c>
      <c r="E10646" s="368"/>
      <c r="F10646" s="368"/>
    </row>
    <row r="10647" spans="1:6" ht="25.5" x14ac:dyDescent="0.2">
      <c r="A10647" s="391">
        <v>1062</v>
      </c>
      <c r="B10647" s="478" t="s">
        <v>43178</v>
      </c>
      <c r="C10647" s="391" t="s">
        <v>26</v>
      </c>
      <c r="D10647" s="479">
        <v>243.05</v>
      </c>
      <c r="E10647" s="368"/>
      <c r="F10647" s="368"/>
    </row>
    <row r="10648" spans="1:6" ht="25.5" x14ac:dyDescent="0.2">
      <c r="A10648" s="391">
        <v>39686</v>
      </c>
      <c r="B10648" s="478" t="s">
        <v>43179</v>
      </c>
      <c r="C10648" s="391" t="s">
        <v>26</v>
      </c>
      <c r="D10648" s="479">
        <v>393.55</v>
      </c>
      <c r="E10648" s="368"/>
      <c r="F10648" s="368"/>
    </row>
    <row r="10649" spans="1:6" ht="38.25" x14ac:dyDescent="0.2">
      <c r="A10649" s="391">
        <v>43095</v>
      </c>
      <c r="B10649" s="478" t="s">
        <v>43180</v>
      </c>
      <c r="C10649" s="391" t="s">
        <v>26</v>
      </c>
      <c r="D10649" s="479">
        <v>132.28</v>
      </c>
      <c r="E10649" s="368"/>
      <c r="F10649" s="368"/>
    </row>
    <row r="10650" spans="1:6" ht="25.5" x14ac:dyDescent="0.2">
      <c r="A10650" s="391">
        <v>1871</v>
      </c>
      <c r="B10650" s="478" t="s">
        <v>43181</v>
      </c>
      <c r="C10650" s="391" t="s">
        <v>26</v>
      </c>
      <c r="D10650" s="479">
        <v>3.19</v>
      </c>
      <c r="E10650" s="368"/>
      <c r="F10650" s="368"/>
    </row>
    <row r="10651" spans="1:6" ht="25.5" x14ac:dyDescent="0.2">
      <c r="A10651" s="391">
        <v>12001</v>
      </c>
      <c r="B10651" s="478" t="s">
        <v>43182</v>
      </c>
      <c r="C10651" s="391" t="s">
        <v>26</v>
      </c>
      <c r="D10651" s="479">
        <v>4.6100000000000003</v>
      </c>
      <c r="E10651" s="368"/>
      <c r="F10651" s="368"/>
    </row>
    <row r="10652" spans="1:6" ht="25.5" x14ac:dyDescent="0.2">
      <c r="A10652" s="391">
        <v>11882</v>
      </c>
      <c r="B10652" s="478" t="s">
        <v>43183</v>
      </c>
      <c r="C10652" s="391" t="s">
        <v>26</v>
      </c>
      <c r="D10652" s="479"/>
      <c r="E10652" s="368"/>
      <c r="F10652" s="368"/>
    </row>
    <row r="10653" spans="1:6" ht="38.25" x14ac:dyDescent="0.2">
      <c r="A10653" s="391">
        <v>1068</v>
      </c>
      <c r="B10653" s="478" t="s">
        <v>43184</v>
      </c>
      <c r="C10653" s="391" t="s">
        <v>26</v>
      </c>
      <c r="D10653" s="479">
        <v>1603.17</v>
      </c>
      <c r="E10653" s="368"/>
      <c r="F10653" s="368"/>
    </row>
    <row r="10654" spans="1:6" ht="38.25" x14ac:dyDescent="0.2">
      <c r="A10654" s="391">
        <v>39690</v>
      </c>
      <c r="B10654" s="478" t="s">
        <v>43185</v>
      </c>
      <c r="C10654" s="391" t="s">
        <v>26</v>
      </c>
      <c r="D10654" s="479">
        <v>2689.58</v>
      </c>
      <c r="E10654" s="368"/>
      <c r="F10654" s="368"/>
    </row>
    <row r="10655" spans="1:6" ht="38.25" x14ac:dyDescent="0.2">
      <c r="A10655" s="391">
        <v>39691</v>
      </c>
      <c r="B10655" s="478" t="s">
        <v>43186</v>
      </c>
      <c r="C10655" s="391" t="s">
        <v>26</v>
      </c>
      <c r="D10655" s="479">
        <v>3382.74</v>
      </c>
      <c r="E10655" s="368"/>
      <c r="F10655" s="368"/>
    </row>
    <row r="10656" spans="1:6" ht="25.5" x14ac:dyDescent="0.2">
      <c r="A10656" s="391">
        <v>39808</v>
      </c>
      <c r="B10656" s="478" t="s">
        <v>43187</v>
      </c>
      <c r="C10656" s="391" t="s">
        <v>26</v>
      </c>
      <c r="D10656" s="479">
        <v>69.06</v>
      </c>
      <c r="E10656" s="368"/>
      <c r="F10656" s="368"/>
    </row>
    <row r="10657" spans="1:6" ht="25.5" x14ac:dyDescent="0.2">
      <c r="A10657" s="391">
        <v>39809</v>
      </c>
      <c r="B10657" s="478" t="s">
        <v>43188</v>
      </c>
      <c r="C10657" s="391" t="s">
        <v>26</v>
      </c>
      <c r="D10657" s="479">
        <v>163.80000000000001</v>
      </c>
      <c r="E10657" s="368"/>
      <c r="F10657" s="368"/>
    </row>
    <row r="10658" spans="1:6" ht="38.25" x14ac:dyDescent="0.2">
      <c r="A10658" s="391">
        <v>43439</v>
      </c>
      <c r="B10658" s="478" t="s">
        <v>43189</v>
      </c>
      <c r="C10658" s="391" t="s">
        <v>26</v>
      </c>
      <c r="D10658" s="479"/>
      <c r="E10658" s="368"/>
      <c r="F10658" s="368"/>
    </row>
    <row r="10659" spans="1:6" x14ac:dyDescent="0.2">
      <c r="A10659" s="391">
        <v>5103</v>
      </c>
      <c r="B10659" s="478" t="s">
        <v>43190</v>
      </c>
      <c r="C10659" s="391" t="s">
        <v>26</v>
      </c>
      <c r="D10659" s="479">
        <v>26.51</v>
      </c>
      <c r="E10659" s="368"/>
      <c r="F10659" s="368"/>
    </row>
    <row r="10660" spans="1:6" ht="25.5" x14ac:dyDescent="0.2">
      <c r="A10660" s="391">
        <v>11880</v>
      </c>
      <c r="B10660" s="478" t="s">
        <v>43191</v>
      </c>
      <c r="C10660" s="391" t="s">
        <v>26</v>
      </c>
      <c r="D10660" s="479">
        <v>111.5</v>
      </c>
      <c r="E10660" s="368"/>
      <c r="F10660" s="368"/>
    </row>
    <row r="10661" spans="1:6" x14ac:dyDescent="0.2">
      <c r="A10661" s="391">
        <v>11714</v>
      </c>
      <c r="B10661" s="478" t="s">
        <v>43192</v>
      </c>
      <c r="C10661" s="391" t="s">
        <v>26</v>
      </c>
      <c r="D10661" s="479">
        <v>75.959999999999994</v>
      </c>
      <c r="E10661" s="368"/>
      <c r="F10661" s="368"/>
    </row>
    <row r="10662" spans="1:6" ht="25.5" x14ac:dyDescent="0.2">
      <c r="A10662" s="391">
        <v>11712</v>
      </c>
      <c r="B10662" s="478" t="s">
        <v>43193</v>
      </c>
      <c r="C10662" s="391" t="s">
        <v>26</v>
      </c>
      <c r="D10662" s="479">
        <v>49.6</v>
      </c>
      <c r="E10662" s="368"/>
      <c r="F10662" s="368"/>
    </row>
    <row r="10663" spans="1:6" x14ac:dyDescent="0.2">
      <c r="A10663" s="391">
        <v>11717</v>
      </c>
      <c r="B10663" s="478" t="s">
        <v>43194</v>
      </c>
      <c r="C10663" s="391" t="s">
        <v>26</v>
      </c>
      <c r="D10663" s="479">
        <v>59.79</v>
      </c>
      <c r="E10663" s="368"/>
      <c r="F10663" s="368"/>
    </row>
    <row r="10664" spans="1:6" x14ac:dyDescent="0.2">
      <c r="A10664" s="391">
        <v>1106</v>
      </c>
      <c r="B10664" s="478" t="s">
        <v>43195</v>
      </c>
      <c r="C10664" s="391" t="s">
        <v>1284</v>
      </c>
      <c r="D10664" s="479">
        <v>1.24</v>
      </c>
      <c r="E10664" s="368"/>
      <c r="F10664" s="368"/>
    </row>
    <row r="10665" spans="1:6" x14ac:dyDescent="0.2">
      <c r="A10665" s="391">
        <v>11161</v>
      </c>
      <c r="B10665" s="478" t="s">
        <v>43196</v>
      </c>
      <c r="C10665" s="391" t="s">
        <v>1284</v>
      </c>
      <c r="D10665" s="479">
        <v>2.0699999999999998</v>
      </c>
      <c r="E10665" s="368"/>
      <c r="F10665" s="368"/>
    </row>
    <row r="10666" spans="1:6" x14ac:dyDescent="0.2">
      <c r="A10666" s="391">
        <v>1107</v>
      </c>
      <c r="B10666" s="478" t="s">
        <v>43197</v>
      </c>
      <c r="C10666" s="391" t="s">
        <v>1284</v>
      </c>
      <c r="D10666" s="479">
        <v>1.05</v>
      </c>
      <c r="E10666" s="368"/>
      <c r="F10666" s="368"/>
    </row>
    <row r="10667" spans="1:6" x14ac:dyDescent="0.2">
      <c r="A10667" s="391">
        <v>44479</v>
      </c>
      <c r="B10667" s="478" t="s">
        <v>48247</v>
      </c>
      <c r="C10667" s="391" t="s">
        <v>1284</v>
      </c>
      <c r="D10667" s="479">
        <v>0.17</v>
      </c>
      <c r="E10667" s="368"/>
      <c r="F10667" s="368"/>
    </row>
    <row r="10668" spans="1:6" x14ac:dyDescent="0.2">
      <c r="A10668" s="391">
        <v>4759</v>
      </c>
      <c r="B10668" s="478" t="s">
        <v>43198</v>
      </c>
      <c r="C10668" s="391" t="s">
        <v>558</v>
      </c>
      <c r="D10668" s="479">
        <v>18.29</v>
      </c>
      <c r="E10668" s="368"/>
      <c r="F10668" s="368"/>
    </row>
    <row r="10669" spans="1:6" x14ac:dyDescent="0.2">
      <c r="A10669" s="391">
        <v>41068</v>
      </c>
      <c r="B10669" s="478" t="s">
        <v>43199</v>
      </c>
      <c r="C10669" s="391" t="s">
        <v>5681</v>
      </c>
      <c r="D10669" s="479">
        <v>3214.9</v>
      </c>
      <c r="E10669" s="368"/>
      <c r="F10669" s="368"/>
    </row>
    <row r="10670" spans="1:6" ht="25.5" x14ac:dyDescent="0.2">
      <c r="A10670" s="391">
        <v>12618</v>
      </c>
      <c r="B10670" s="478" t="s">
        <v>43200</v>
      </c>
      <c r="C10670" s="391" t="s">
        <v>26</v>
      </c>
      <c r="D10670" s="479">
        <v>179.03</v>
      </c>
      <c r="E10670" s="368"/>
      <c r="F10670" s="368"/>
    </row>
    <row r="10671" spans="1:6" ht="25.5" x14ac:dyDescent="0.2">
      <c r="A10671" s="391">
        <v>1108</v>
      </c>
      <c r="B10671" s="478" t="s">
        <v>43201</v>
      </c>
      <c r="C10671" s="391" t="s">
        <v>0</v>
      </c>
      <c r="D10671" s="479">
        <v>26.14</v>
      </c>
      <c r="E10671" s="368"/>
      <c r="F10671" s="368"/>
    </row>
    <row r="10672" spans="1:6" ht="25.5" x14ac:dyDescent="0.2">
      <c r="A10672" s="391">
        <v>1117</v>
      </c>
      <c r="B10672" s="478" t="s">
        <v>43202</v>
      </c>
      <c r="C10672" s="391" t="s">
        <v>0</v>
      </c>
      <c r="D10672" s="479">
        <v>26.35</v>
      </c>
      <c r="E10672" s="368"/>
      <c r="F10672" s="368"/>
    </row>
    <row r="10673" spans="1:6" ht="25.5" x14ac:dyDescent="0.2">
      <c r="A10673" s="391">
        <v>1118</v>
      </c>
      <c r="B10673" s="478" t="s">
        <v>43203</v>
      </c>
      <c r="C10673" s="391" t="s">
        <v>0</v>
      </c>
      <c r="D10673" s="479">
        <v>31.14</v>
      </c>
      <c r="E10673" s="368"/>
      <c r="F10673" s="368"/>
    </row>
    <row r="10674" spans="1:6" x14ac:dyDescent="0.2">
      <c r="A10674" s="391">
        <v>1110</v>
      </c>
      <c r="B10674" s="478" t="s">
        <v>43204</v>
      </c>
      <c r="C10674" s="391" t="s">
        <v>0</v>
      </c>
      <c r="D10674" s="479">
        <v>31.14</v>
      </c>
      <c r="E10674" s="368"/>
      <c r="F10674" s="368"/>
    </row>
    <row r="10675" spans="1:6" x14ac:dyDescent="0.2">
      <c r="A10675" s="391">
        <v>40784</v>
      </c>
      <c r="B10675" s="478" t="s">
        <v>43205</v>
      </c>
      <c r="C10675" s="391" t="s">
        <v>0</v>
      </c>
      <c r="D10675" s="479">
        <v>85.9</v>
      </c>
      <c r="E10675" s="368"/>
      <c r="F10675" s="368"/>
    </row>
    <row r="10676" spans="1:6" x14ac:dyDescent="0.2">
      <c r="A10676" s="391">
        <v>40782</v>
      </c>
      <c r="B10676" s="478" t="s">
        <v>43206</v>
      </c>
      <c r="C10676" s="391" t="s">
        <v>0</v>
      </c>
      <c r="D10676" s="479">
        <v>33.71</v>
      </c>
      <c r="E10676" s="368"/>
      <c r="F10676" s="368"/>
    </row>
    <row r="10677" spans="1:6" x14ac:dyDescent="0.2">
      <c r="A10677" s="391">
        <v>40783</v>
      </c>
      <c r="B10677" s="478" t="s">
        <v>43207</v>
      </c>
      <c r="C10677" s="391" t="s">
        <v>0</v>
      </c>
      <c r="D10677" s="479">
        <v>43.91</v>
      </c>
      <c r="E10677" s="368"/>
      <c r="F10677" s="368"/>
    </row>
    <row r="10678" spans="1:6" x14ac:dyDescent="0.2">
      <c r="A10678" s="391">
        <v>1109</v>
      </c>
      <c r="B10678" s="478" t="s">
        <v>43208</v>
      </c>
      <c r="C10678" s="391" t="s">
        <v>0</v>
      </c>
      <c r="D10678" s="479">
        <v>26.14</v>
      </c>
      <c r="E10678" s="368"/>
      <c r="F10678" s="368"/>
    </row>
    <row r="10679" spans="1:6" x14ac:dyDescent="0.2">
      <c r="A10679" s="391">
        <v>1119</v>
      </c>
      <c r="B10679" s="478" t="s">
        <v>43209</v>
      </c>
      <c r="C10679" s="391" t="s">
        <v>0</v>
      </c>
      <c r="D10679" s="479">
        <v>16.850000000000001</v>
      </c>
      <c r="E10679" s="368"/>
      <c r="F10679" s="368"/>
    </row>
    <row r="10680" spans="1:6" ht="25.5" x14ac:dyDescent="0.2">
      <c r="A10680" s="391">
        <v>13115</v>
      </c>
      <c r="B10680" s="478" t="s">
        <v>43210</v>
      </c>
      <c r="C10680" s="391" t="s">
        <v>0</v>
      </c>
      <c r="D10680" s="479"/>
      <c r="E10680" s="368"/>
      <c r="F10680" s="368"/>
    </row>
    <row r="10681" spans="1:6" ht="25.5" x14ac:dyDescent="0.2">
      <c r="A10681" s="391">
        <v>10541</v>
      </c>
      <c r="B10681" s="478" t="s">
        <v>43211</v>
      </c>
      <c r="C10681" s="391" t="s">
        <v>0</v>
      </c>
      <c r="D10681" s="479"/>
      <c r="E10681" s="368"/>
      <c r="F10681" s="368"/>
    </row>
    <row r="10682" spans="1:6" ht="25.5" x14ac:dyDescent="0.2">
      <c r="A10682" s="391">
        <v>10542</v>
      </c>
      <c r="B10682" s="478" t="s">
        <v>43212</v>
      </c>
      <c r="C10682" s="391" t="s">
        <v>0</v>
      </c>
      <c r="D10682" s="479"/>
      <c r="E10682" s="368"/>
      <c r="F10682" s="368"/>
    </row>
    <row r="10683" spans="1:6" ht="25.5" x14ac:dyDescent="0.2">
      <c r="A10683" s="391">
        <v>10543</v>
      </c>
      <c r="B10683" s="478" t="s">
        <v>43213</v>
      </c>
      <c r="C10683" s="391" t="s">
        <v>0</v>
      </c>
      <c r="D10683" s="479"/>
      <c r="E10683" s="368"/>
      <c r="F10683" s="368"/>
    </row>
    <row r="10684" spans="1:6" ht="25.5" x14ac:dyDescent="0.2">
      <c r="A10684" s="391">
        <v>10544</v>
      </c>
      <c r="B10684" s="478" t="s">
        <v>43214</v>
      </c>
      <c r="C10684" s="391" t="s">
        <v>0</v>
      </c>
      <c r="D10684" s="479"/>
      <c r="E10684" s="368"/>
      <c r="F10684" s="368"/>
    </row>
    <row r="10685" spans="1:6" ht="25.5" x14ac:dyDescent="0.2">
      <c r="A10685" s="391">
        <v>10545</v>
      </c>
      <c r="B10685" s="478" t="s">
        <v>43215</v>
      </c>
      <c r="C10685" s="391" t="s">
        <v>0</v>
      </c>
      <c r="D10685" s="479"/>
      <c r="E10685" s="368"/>
      <c r="F10685" s="368"/>
    </row>
    <row r="10686" spans="1:6" x14ac:dyDescent="0.2">
      <c r="A10686" s="391">
        <v>38365</v>
      </c>
      <c r="B10686" s="478" t="s">
        <v>43216</v>
      </c>
      <c r="C10686" s="391" t="s">
        <v>255</v>
      </c>
      <c r="D10686" s="479"/>
      <c r="E10686" s="368"/>
      <c r="F10686" s="368"/>
    </row>
    <row r="10687" spans="1:6" ht="38.25" x14ac:dyDescent="0.2">
      <c r="A10687" s="391">
        <v>44056</v>
      </c>
      <c r="B10687" s="478" t="s">
        <v>43217</v>
      </c>
      <c r="C10687" s="391" t="s">
        <v>26</v>
      </c>
      <c r="D10687" s="479"/>
      <c r="E10687" s="368"/>
      <c r="F10687" s="368"/>
    </row>
    <row r="10688" spans="1:6" ht="38.25" x14ac:dyDescent="0.2">
      <c r="A10688" s="391">
        <v>44057</v>
      </c>
      <c r="B10688" s="478" t="s">
        <v>43218</v>
      </c>
      <c r="C10688" s="391" t="s">
        <v>26</v>
      </c>
      <c r="D10688" s="479"/>
      <c r="E10688" s="368"/>
      <c r="F10688" s="368"/>
    </row>
    <row r="10689" spans="1:6" ht="38.25" x14ac:dyDescent="0.2">
      <c r="A10689" s="391">
        <v>37754</v>
      </c>
      <c r="B10689" s="478" t="s">
        <v>43219</v>
      </c>
      <c r="C10689" s="391" t="s">
        <v>26</v>
      </c>
      <c r="D10689" s="479"/>
      <c r="E10689" s="368"/>
      <c r="F10689" s="368"/>
    </row>
    <row r="10690" spans="1:6" ht="38.25" x14ac:dyDescent="0.2">
      <c r="A10690" s="391">
        <v>37757</v>
      </c>
      <c r="B10690" s="478" t="s">
        <v>43220</v>
      </c>
      <c r="C10690" s="391" t="s">
        <v>26</v>
      </c>
      <c r="D10690" s="479"/>
      <c r="E10690" s="368"/>
      <c r="F10690" s="368"/>
    </row>
    <row r="10691" spans="1:6" ht="38.25" x14ac:dyDescent="0.2">
      <c r="A10691" s="391">
        <v>44058</v>
      </c>
      <c r="B10691" s="478" t="s">
        <v>43221</v>
      </c>
      <c r="C10691" s="391" t="s">
        <v>26</v>
      </c>
      <c r="D10691" s="479"/>
      <c r="E10691" s="368"/>
      <c r="F10691" s="368"/>
    </row>
    <row r="10692" spans="1:6" ht="38.25" x14ac:dyDescent="0.2">
      <c r="A10692" s="391">
        <v>37752</v>
      </c>
      <c r="B10692" s="478" t="s">
        <v>43222</v>
      </c>
      <c r="C10692" s="391" t="s">
        <v>26</v>
      </c>
      <c r="D10692" s="479"/>
      <c r="E10692" s="368"/>
      <c r="F10692" s="368"/>
    </row>
    <row r="10693" spans="1:6" ht="38.25" x14ac:dyDescent="0.2">
      <c r="A10693" s="391">
        <v>44059</v>
      </c>
      <c r="B10693" s="478" t="s">
        <v>43223</v>
      </c>
      <c r="C10693" s="391" t="s">
        <v>26</v>
      </c>
      <c r="D10693" s="479"/>
      <c r="E10693" s="368"/>
      <c r="F10693" s="368"/>
    </row>
    <row r="10694" spans="1:6" ht="38.25" x14ac:dyDescent="0.2">
      <c r="A10694" s="391">
        <v>37750</v>
      </c>
      <c r="B10694" s="478" t="s">
        <v>43224</v>
      </c>
      <c r="C10694" s="391" t="s">
        <v>26</v>
      </c>
      <c r="D10694" s="479"/>
      <c r="E10694" s="368"/>
      <c r="F10694" s="368"/>
    </row>
    <row r="10695" spans="1:6" ht="38.25" x14ac:dyDescent="0.2">
      <c r="A10695" s="391">
        <v>37758</v>
      </c>
      <c r="B10695" s="478" t="s">
        <v>43225</v>
      </c>
      <c r="C10695" s="391" t="s">
        <v>26</v>
      </c>
      <c r="D10695" s="479"/>
      <c r="E10695" s="368"/>
      <c r="F10695" s="368"/>
    </row>
    <row r="10696" spans="1:6" ht="38.25" x14ac:dyDescent="0.2">
      <c r="A10696" s="391">
        <v>44060</v>
      </c>
      <c r="B10696" s="478" t="s">
        <v>43226</v>
      </c>
      <c r="C10696" s="391" t="s">
        <v>26</v>
      </c>
      <c r="D10696" s="479"/>
      <c r="E10696" s="368"/>
      <c r="F10696" s="368"/>
    </row>
    <row r="10697" spans="1:6" ht="38.25" x14ac:dyDescent="0.2">
      <c r="A10697" s="391">
        <v>37749</v>
      </c>
      <c r="B10697" s="478" t="s">
        <v>43227</v>
      </c>
      <c r="C10697" s="391" t="s">
        <v>26</v>
      </c>
      <c r="D10697" s="479"/>
      <c r="E10697" s="368"/>
      <c r="F10697" s="368"/>
    </row>
    <row r="10698" spans="1:6" ht="38.25" x14ac:dyDescent="0.2">
      <c r="A10698" s="391">
        <v>44061</v>
      </c>
      <c r="B10698" s="478" t="s">
        <v>43228</v>
      </c>
      <c r="C10698" s="391" t="s">
        <v>26</v>
      </c>
      <c r="D10698" s="479"/>
      <c r="E10698" s="368"/>
      <c r="F10698" s="368"/>
    </row>
    <row r="10699" spans="1:6" x14ac:dyDescent="0.2">
      <c r="A10699" s="391">
        <v>1159</v>
      </c>
      <c r="B10699" s="478" t="s">
        <v>43229</v>
      </c>
      <c r="C10699" s="391" t="s">
        <v>26</v>
      </c>
      <c r="D10699" s="479">
        <v>278241.67</v>
      </c>
      <c r="E10699" s="368"/>
      <c r="F10699" s="368"/>
    </row>
    <row r="10700" spans="1:6" x14ac:dyDescent="0.2">
      <c r="A10700" s="391">
        <v>12114</v>
      </c>
      <c r="B10700" s="478" t="s">
        <v>43230</v>
      </c>
      <c r="C10700" s="391" t="s">
        <v>26</v>
      </c>
      <c r="D10700" s="479">
        <v>127.7</v>
      </c>
      <c r="E10700" s="368"/>
      <c r="F10700" s="368"/>
    </row>
    <row r="10701" spans="1:6" x14ac:dyDescent="0.2">
      <c r="A10701" s="391">
        <v>38106</v>
      </c>
      <c r="B10701" s="478" t="s">
        <v>43231</v>
      </c>
      <c r="C10701" s="391" t="s">
        <v>26</v>
      </c>
      <c r="D10701" s="479">
        <v>17.350000000000001</v>
      </c>
      <c r="E10701" s="368"/>
      <c r="F10701" s="368"/>
    </row>
    <row r="10702" spans="1:6" ht="25.5" x14ac:dyDescent="0.2">
      <c r="A10702" s="391">
        <v>38085</v>
      </c>
      <c r="B10702" s="478" t="s">
        <v>43232</v>
      </c>
      <c r="C10702" s="391" t="s">
        <v>26</v>
      </c>
      <c r="D10702" s="479">
        <v>20.5</v>
      </c>
      <c r="E10702" s="368"/>
      <c r="F10702" s="368"/>
    </row>
    <row r="10703" spans="1:6" x14ac:dyDescent="0.2">
      <c r="A10703" s="391">
        <v>659</v>
      </c>
      <c r="B10703" s="478" t="s">
        <v>43233</v>
      </c>
      <c r="C10703" s="391" t="s">
        <v>26</v>
      </c>
      <c r="D10703" s="479">
        <v>3.05</v>
      </c>
      <c r="E10703" s="368"/>
      <c r="F10703" s="368"/>
    </row>
    <row r="10704" spans="1:6" x14ac:dyDescent="0.2">
      <c r="A10704" s="391">
        <v>660</v>
      </c>
      <c r="B10704" s="478" t="s">
        <v>43234</v>
      </c>
      <c r="C10704" s="391" t="s">
        <v>26</v>
      </c>
      <c r="D10704" s="479">
        <v>3.65</v>
      </c>
      <c r="E10704" s="368"/>
      <c r="F10704" s="368"/>
    </row>
    <row r="10705" spans="1:6" x14ac:dyDescent="0.2">
      <c r="A10705" s="391">
        <v>658</v>
      </c>
      <c r="B10705" s="478" t="s">
        <v>43235</v>
      </c>
      <c r="C10705" s="391" t="s">
        <v>26</v>
      </c>
      <c r="D10705" s="479">
        <v>2.06</v>
      </c>
      <c r="E10705" s="368"/>
      <c r="F10705" s="368"/>
    </row>
    <row r="10706" spans="1:6" x14ac:dyDescent="0.2">
      <c r="A10706" s="391">
        <v>38599</v>
      </c>
      <c r="B10706" s="478" t="s">
        <v>43236</v>
      </c>
      <c r="C10706" s="391" t="s">
        <v>26</v>
      </c>
      <c r="D10706" s="479">
        <v>6.35</v>
      </c>
      <c r="E10706" s="368"/>
      <c r="F10706" s="368"/>
    </row>
    <row r="10707" spans="1:6" x14ac:dyDescent="0.2">
      <c r="A10707" s="391">
        <v>38596</v>
      </c>
      <c r="B10707" s="478" t="s">
        <v>43237</v>
      </c>
      <c r="C10707" s="391" t="s">
        <v>26</v>
      </c>
      <c r="D10707" s="479">
        <v>5.27</v>
      </c>
      <c r="E10707" s="368"/>
      <c r="F10707" s="368"/>
    </row>
    <row r="10708" spans="1:6" x14ac:dyDescent="0.2">
      <c r="A10708" s="391">
        <v>38600</v>
      </c>
      <c r="B10708" s="478" t="s">
        <v>43238</v>
      </c>
      <c r="C10708" s="391" t="s">
        <v>26</v>
      </c>
      <c r="D10708" s="479">
        <v>6.73</v>
      </c>
      <c r="E10708" s="368"/>
      <c r="F10708" s="368"/>
    </row>
    <row r="10709" spans="1:6" x14ac:dyDescent="0.2">
      <c r="A10709" s="391">
        <v>38597</v>
      </c>
      <c r="B10709" s="478" t="s">
        <v>43239</v>
      </c>
      <c r="C10709" s="391" t="s">
        <v>26</v>
      </c>
      <c r="D10709" s="479">
        <v>5.3</v>
      </c>
      <c r="E10709" s="368"/>
      <c r="F10709" s="368"/>
    </row>
    <row r="10710" spans="1:6" x14ac:dyDescent="0.2">
      <c r="A10710" s="391">
        <v>38548</v>
      </c>
      <c r="B10710" s="478" t="s">
        <v>43240</v>
      </c>
      <c r="C10710" s="391" t="s">
        <v>26</v>
      </c>
      <c r="D10710" s="479">
        <v>1.91</v>
      </c>
      <c r="E10710" s="368"/>
      <c r="F10710" s="368"/>
    </row>
    <row r="10711" spans="1:6" x14ac:dyDescent="0.2">
      <c r="A10711" s="391">
        <v>34649</v>
      </c>
      <c r="B10711" s="478" t="s">
        <v>43241</v>
      </c>
      <c r="C10711" s="391" t="s">
        <v>26</v>
      </c>
      <c r="D10711" s="479">
        <v>2.79</v>
      </c>
      <c r="E10711" s="368"/>
      <c r="F10711" s="368"/>
    </row>
    <row r="10712" spans="1:6" x14ac:dyDescent="0.2">
      <c r="A10712" s="391">
        <v>34655</v>
      </c>
      <c r="B10712" s="478" t="s">
        <v>43242</v>
      </c>
      <c r="C10712" s="391" t="s">
        <v>26</v>
      </c>
      <c r="D10712" s="479">
        <v>4.1100000000000003</v>
      </c>
      <c r="E10712" s="368"/>
      <c r="F10712" s="368"/>
    </row>
    <row r="10713" spans="1:6" ht="25.5" x14ac:dyDescent="0.2">
      <c r="A10713" s="391">
        <v>40607</v>
      </c>
      <c r="B10713" s="478" t="s">
        <v>43243</v>
      </c>
      <c r="C10713" s="391" t="s">
        <v>26</v>
      </c>
      <c r="D10713" s="479">
        <v>8.99</v>
      </c>
      <c r="E10713" s="368"/>
      <c r="F10713" s="368"/>
    </row>
    <row r="10714" spans="1:6" ht="25.5" x14ac:dyDescent="0.2">
      <c r="A10714" s="391">
        <v>567</v>
      </c>
      <c r="B10714" s="478" t="s">
        <v>43244</v>
      </c>
      <c r="C10714" s="391" t="s">
        <v>0</v>
      </c>
      <c r="D10714" s="479">
        <v>11.77</v>
      </c>
      <c r="E10714" s="368"/>
      <c r="F10714" s="368"/>
    </row>
    <row r="10715" spans="1:6" ht="25.5" x14ac:dyDescent="0.2">
      <c r="A10715" s="391">
        <v>574</v>
      </c>
      <c r="B10715" s="478" t="s">
        <v>43245</v>
      </c>
      <c r="C10715" s="391" t="s">
        <v>0</v>
      </c>
      <c r="D10715" s="479">
        <v>30.94</v>
      </c>
      <c r="E10715" s="368"/>
      <c r="F10715" s="368"/>
    </row>
    <row r="10716" spans="1:6" ht="25.5" x14ac:dyDescent="0.2">
      <c r="A10716" s="391">
        <v>568</v>
      </c>
      <c r="B10716" s="478" t="s">
        <v>43246</v>
      </c>
      <c r="C10716" s="391" t="s">
        <v>0</v>
      </c>
      <c r="D10716" s="479">
        <v>65.19</v>
      </c>
      <c r="E10716" s="368"/>
      <c r="F10716" s="368"/>
    </row>
    <row r="10717" spans="1:6" ht="25.5" x14ac:dyDescent="0.2">
      <c r="A10717" s="391">
        <v>4777</v>
      </c>
      <c r="B10717" s="478" t="s">
        <v>43247</v>
      </c>
      <c r="C10717" s="391" t="s">
        <v>1284</v>
      </c>
      <c r="D10717" s="479"/>
      <c r="E10717" s="368"/>
      <c r="F10717" s="368"/>
    </row>
    <row r="10718" spans="1:6" ht="38.25" x14ac:dyDescent="0.2">
      <c r="A10718" s="391">
        <v>592</v>
      </c>
      <c r="B10718" s="478" t="s">
        <v>43248</v>
      </c>
      <c r="C10718" s="391" t="s">
        <v>1284</v>
      </c>
      <c r="D10718" s="479"/>
      <c r="E10718" s="368"/>
      <c r="F10718" s="368"/>
    </row>
    <row r="10719" spans="1:6" ht="38.25" x14ac:dyDescent="0.2">
      <c r="A10719" s="391">
        <v>586</v>
      </c>
      <c r="B10719" s="478" t="s">
        <v>43249</v>
      </c>
      <c r="C10719" s="391" t="s">
        <v>0</v>
      </c>
      <c r="D10719" s="479"/>
      <c r="E10719" s="368"/>
      <c r="F10719" s="368"/>
    </row>
    <row r="10720" spans="1:6" ht="38.25" x14ac:dyDescent="0.2">
      <c r="A10720" s="391">
        <v>588</v>
      </c>
      <c r="B10720" s="478" t="s">
        <v>43250</v>
      </c>
      <c r="C10720" s="391" t="s">
        <v>0</v>
      </c>
      <c r="D10720" s="479"/>
      <c r="E10720" s="368"/>
      <c r="F10720" s="368"/>
    </row>
    <row r="10721" spans="1:6" ht="38.25" x14ac:dyDescent="0.2">
      <c r="A10721" s="391">
        <v>591</v>
      </c>
      <c r="B10721" s="478" t="s">
        <v>43251</v>
      </c>
      <c r="C10721" s="391" t="s">
        <v>1284</v>
      </c>
      <c r="D10721" s="479"/>
      <c r="E10721" s="368"/>
      <c r="F10721" s="368"/>
    </row>
    <row r="10722" spans="1:6" ht="38.25" x14ac:dyDescent="0.2">
      <c r="A10722" s="391">
        <v>584</v>
      </c>
      <c r="B10722" s="478" t="s">
        <v>43252</v>
      </c>
      <c r="C10722" s="391" t="s">
        <v>0</v>
      </c>
      <c r="D10722" s="479"/>
      <c r="E10722" s="368"/>
      <c r="F10722" s="368"/>
    </row>
    <row r="10723" spans="1:6" ht="38.25" x14ac:dyDescent="0.2">
      <c r="A10723" s="391">
        <v>589</v>
      </c>
      <c r="B10723" s="478" t="s">
        <v>43253</v>
      </c>
      <c r="C10723" s="391" t="s">
        <v>0</v>
      </c>
      <c r="D10723" s="479"/>
      <c r="E10723" s="368"/>
      <c r="F10723" s="368"/>
    </row>
    <row r="10724" spans="1:6" x14ac:dyDescent="0.2">
      <c r="A10724" s="391">
        <v>1165</v>
      </c>
      <c r="B10724" s="478" t="s">
        <v>43254</v>
      </c>
      <c r="C10724" s="391" t="s">
        <v>26</v>
      </c>
      <c r="D10724" s="479"/>
      <c r="E10724" s="368"/>
      <c r="F10724" s="368"/>
    </row>
    <row r="10725" spans="1:6" x14ac:dyDescent="0.2">
      <c r="A10725" s="391">
        <v>1164</v>
      </c>
      <c r="B10725" s="478" t="s">
        <v>43255</v>
      </c>
      <c r="C10725" s="391" t="s">
        <v>26</v>
      </c>
      <c r="D10725" s="479"/>
      <c r="E10725" s="368"/>
      <c r="F10725" s="368"/>
    </row>
    <row r="10726" spans="1:6" x14ac:dyDescent="0.2">
      <c r="A10726" s="391">
        <v>1170</v>
      </c>
      <c r="B10726" s="478" t="s">
        <v>43256</v>
      </c>
      <c r="C10726" s="391" t="s">
        <v>26</v>
      </c>
      <c r="D10726" s="479"/>
      <c r="E10726" s="368"/>
      <c r="F10726" s="368"/>
    </row>
    <row r="10727" spans="1:6" x14ac:dyDescent="0.2">
      <c r="A10727" s="391">
        <v>1162</v>
      </c>
      <c r="B10727" s="478" t="s">
        <v>43257</v>
      </c>
      <c r="C10727" s="391" t="s">
        <v>26</v>
      </c>
      <c r="D10727" s="479"/>
      <c r="E10727" s="368"/>
      <c r="F10727" s="368"/>
    </row>
    <row r="10728" spans="1:6" x14ac:dyDescent="0.2">
      <c r="A10728" s="391">
        <v>12395</v>
      </c>
      <c r="B10728" s="478" t="s">
        <v>43258</v>
      </c>
      <c r="C10728" s="391" t="s">
        <v>26</v>
      </c>
      <c r="D10728" s="479"/>
      <c r="E10728" s="368"/>
      <c r="F10728" s="368"/>
    </row>
    <row r="10729" spans="1:6" x14ac:dyDescent="0.2">
      <c r="A10729" s="391">
        <v>1169</v>
      </c>
      <c r="B10729" s="478" t="s">
        <v>43259</v>
      </c>
      <c r="C10729" s="391" t="s">
        <v>26</v>
      </c>
      <c r="D10729" s="479"/>
      <c r="E10729" s="368"/>
      <c r="F10729" s="368"/>
    </row>
    <row r="10730" spans="1:6" x14ac:dyDescent="0.2">
      <c r="A10730" s="391">
        <v>1166</v>
      </c>
      <c r="B10730" s="478" t="s">
        <v>43260</v>
      </c>
      <c r="C10730" s="391" t="s">
        <v>26</v>
      </c>
      <c r="D10730" s="479"/>
      <c r="E10730" s="368"/>
      <c r="F10730" s="368"/>
    </row>
    <row r="10731" spans="1:6" x14ac:dyDescent="0.2">
      <c r="A10731" s="391">
        <v>1168</v>
      </c>
      <c r="B10731" s="478" t="s">
        <v>43261</v>
      </c>
      <c r="C10731" s="391" t="s">
        <v>26</v>
      </c>
      <c r="D10731" s="479"/>
      <c r="E10731" s="368"/>
      <c r="F10731" s="368"/>
    </row>
    <row r="10732" spans="1:6" x14ac:dyDescent="0.2">
      <c r="A10732" s="391">
        <v>1163</v>
      </c>
      <c r="B10732" s="478" t="s">
        <v>43262</v>
      </c>
      <c r="C10732" s="391" t="s">
        <v>26</v>
      </c>
      <c r="D10732" s="479"/>
      <c r="E10732" s="368"/>
      <c r="F10732" s="368"/>
    </row>
    <row r="10733" spans="1:6" x14ac:dyDescent="0.2">
      <c r="A10733" s="391">
        <v>12396</v>
      </c>
      <c r="B10733" s="478" t="s">
        <v>43263</v>
      </c>
      <c r="C10733" s="391" t="s">
        <v>26</v>
      </c>
      <c r="D10733" s="479"/>
      <c r="E10733" s="368"/>
      <c r="F10733" s="368"/>
    </row>
    <row r="10734" spans="1:6" x14ac:dyDescent="0.2">
      <c r="A10734" s="391">
        <v>1167</v>
      </c>
      <c r="B10734" s="478" t="s">
        <v>43264</v>
      </c>
      <c r="C10734" s="391" t="s">
        <v>26</v>
      </c>
      <c r="D10734" s="479"/>
      <c r="E10734" s="368"/>
      <c r="F10734" s="368"/>
    </row>
    <row r="10735" spans="1:6" x14ac:dyDescent="0.2">
      <c r="A10735" s="391">
        <v>36331</v>
      </c>
      <c r="B10735" s="478" t="s">
        <v>43265</v>
      </c>
      <c r="C10735" s="391" t="s">
        <v>26</v>
      </c>
      <c r="D10735" s="479"/>
      <c r="E10735" s="368"/>
      <c r="F10735" s="368"/>
    </row>
    <row r="10736" spans="1:6" x14ac:dyDescent="0.2">
      <c r="A10736" s="391">
        <v>36346</v>
      </c>
      <c r="B10736" s="478" t="s">
        <v>43266</v>
      </c>
      <c r="C10736" s="391" t="s">
        <v>26</v>
      </c>
      <c r="D10736" s="479"/>
      <c r="E10736" s="368"/>
      <c r="F10736" s="368"/>
    </row>
    <row r="10737" spans="1:6" x14ac:dyDescent="0.2">
      <c r="A10737" s="391">
        <v>1202</v>
      </c>
      <c r="B10737" s="478" t="s">
        <v>43267</v>
      </c>
      <c r="C10737" s="391" t="s">
        <v>26</v>
      </c>
      <c r="D10737" s="479">
        <v>4.93</v>
      </c>
      <c r="E10737" s="368"/>
      <c r="F10737" s="368"/>
    </row>
    <row r="10738" spans="1:6" x14ac:dyDescent="0.2">
      <c r="A10738" s="391">
        <v>1197</v>
      </c>
      <c r="B10738" s="478" t="s">
        <v>43268</v>
      </c>
      <c r="C10738" s="391" t="s">
        <v>26</v>
      </c>
      <c r="D10738" s="479">
        <v>1.74</v>
      </c>
      <c r="E10738" s="368"/>
      <c r="F10738" s="368"/>
    </row>
    <row r="10739" spans="1:6" x14ac:dyDescent="0.2">
      <c r="A10739" s="391">
        <v>1198</v>
      </c>
      <c r="B10739" s="478" t="s">
        <v>43269</v>
      </c>
      <c r="C10739" s="391" t="s">
        <v>26</v>
      </c>
      <c r="D10739" s="479">
        <v>2.2799999999999998</v>
      </c>
      <c r="E10739" s="368"/>
      <c r="F10739" s="368"/>
    </row>
    <row r="10740" spans="1:6" x14ac:dyDescent="0.2">
      <c r="A10740" s="391">
        <v>20088</v>
      </c>
      <c r="B10740" s="478" t="s">
        <v>43270</v>
      </c>
      <c r="C10740" s="391" t="s">
        <v>26</v>
      </c>
      <c r="D10740" s="479">
        <v>13.77</v>
      </c>
      <c r="E10740" s="368"/>
      <c r="F10740" s="368"/>
    </row>
    <row r="10741" spans="1:6" x14ac:dyDescent="0.2">
      <c r="A10741" s="391">
        <v>20089</v>
      </c>
      <c r="B10741" s="478" t="s">
        <v>43271</v>
      </c>
      <c r="C10741" s="391" t="s">
        <v>26</v>
      </c>
      <c r="D10741" s="479">
        <v>67.53</v>
      </c>
      <c r="E10741" s="368"/>
      <c r="F10741" s="368"/>
    </row>
    <row r="10742" spans="1:6" x14ac:dyDescent="0.2">
      <c r="A10742" s="391">
        <v>20087</v>
      </c>
      <c r="B10742" s="478" t="s">
        <v>43272</v>
      </c>
      <c r="C10742" s="391" t="s">
        <v>26</v>
      </c>
      <c r="D10742" s="479">
        <v>11.4</v>
      </c>
      <c r="E10742" s="368"/>
      <c r="F10742" s="368"/>
    </row>
    <row r="10743" spans="1:6" x14ac:dyDescent="0.2">
      <c r="A10743" s="391">
        <v>1191</v>
      </c>
      <c r="B10743" s="478" t="s">
        <v>43273</v>
      </c>
      <c r="C10743" s="391" t="s">
        <v>26</v>
      </c>
      <c r="D10743" s="479">
        <v>1.24</v>
      </c>
      <c r="E10743" s="368"/>
      <c r="F10743" s="368"/>
    </row>
    <row r="10744" spans="1:6" x14ac:dyDescent="0.2">
      <c r="A10744" s="391">
        <v>1185</v>
      </c>
      <c r="B10744" s="478" t="s">
        <v>43274</v>
      </c>
      <c r="C10744" s="391" t="s">
        <v>26</v>
      </c>
      <c r="D10744" s="479">
        <v>1.24</v>
      </c>
      <c r="E10744" s="368"/>
      <c r="F10744" s="368"/>
    </row>
    <row r="10745" spans="1:6" x14ac:dyDescent="0.2">
      <c r="A10745" s="391">
        <v>1189</v>
      </c>
      <c r="B10745" s="478" t="s">
        <v>43275</v>
      </c>
      <c r="C10745" s="391" t="s">
        <v>26</v>
      </c>
      <c r="D10745" s="479">
        <v>2.0299999999999998</v>
      </c>
      <c r="E10745" s="368"/>
      <c r="F10745" s="368"/>
    </row>
    <row r="10746" spans="1:6" x14ac:dyDescent="0.2">
      <c r="A10746" s="391">
        <v>1193</v>
      </c>
      <c r="B10746" s="478" t="s">
        <v>43276</v>
      </c>
      <c r="C10746" s="391" t="s">
        <v>26</v>
      </c>
      <c r="D10746" s="479">
        <v>3.9</v>
      </c>
      <c r="E10746" s="368"/>
      <c r="F10746" s="368"/>
    </row>
    <row r="10747" spans="1:6" x14ac:dyDescent="0.2">
      <c r="A10747" s="391">
        <v>1194</v>
      </c>
      <c r="B10747" s="478" t="s">
        <v>43277</v>
      </c>
      <c r="C10747" s="391" t="s">
        <v>26</v>
      </c>
      <c r="D10747" s="479">
        <v>7.04</v>
      </c>
      <c r="E10747" s="368"/>
      <c r="F10747" s="368"/>
    </row>
    <row r="10748" spans="1:6" x14ac:dyDescent="0.2">
      <c r="A10748" s="391">
        <v>1195</v>
      </c>
      <c r="B10748" s="478" t="s">
        <v>43278</v>
      </c>
      <c r="C10748" s="391" t="s">
        <v>26</v>
      </c>
      <c r="D10748" s="479">
        <v>11.84</v>
      </c>
      <c r="E10748" s="368"/>
      <c r="F10748" s="368"/>
    </row>
    <row r="10749" spans="1:6" x14ac:dyDescent="0.2">
      <c r="A10749" s="391">
        <v>1204</v>
      </c>
      <c r="B10749" s="478" t="s">
        <v>43279</v>
      </c>
      <c r="C10749" s="391" t="s">
        <v>26</v>
      </c>
      <c r="D10749" s="479">
        <v>20.72</v>
      </c>
      <c r="E10749" s="368"/>
      <c r="F10749" s="368"/>
    </row>
    <row r="10750" spans="1:6" x14ac:dyDescent="0.2">
      <c r="A10750" s="391">
        <v>1200</v>
      </c>
      <c r="B10750" s="478" t="s">
        <v>43280</v>
      </c>
      <c r="C10750" s="391" t="s">
        <v>26</v>
      </c>
      <c r="D10750" s="479">
        <v>10.35</v>
      </c>
      <c r="E10750" s="368"/>
      <c r="F10750" s="368"/>
    </row>
    <row r="10751" spans="1:6" x14ac:dyDescent="0.2">
      <c r="A10751" s="391">
        <v>12909</v>
      </c>
      <c r="B10751" s="478" t="s">
        <v>43281</v>
      </c>
      <c r="C10751" s="391" t="s">
        <v>26</v>
      </c>
      <c r="D10751" s="479">
        <v>4.8</v>
      </c>
      <c r="E10751" s="368"/>
      <c r="F10751" s="368"/>
    </row>
    <row r="10752" spans="1:6" x14ac:dyDescent="0.2">
      <c r="A10752" s="391">
        <v>12910</v>
      </c>
      <c r="B10752" s="478" t="s">
        <v>43282</v>
      </c>
      <c r="C10752" s="391" t="s">
        <v>26</v>
      </c>
      <c r="D10752" s="479">
        <v>8.6300000000000008</v>
      </c>
      <c r="E10752" s="368"/>
      <c r="F10752" s="368"/>
    </row>
    <row r="10753" spans="1:6" x14ac:dyDescent="0.2">
      <c r="A10753" s="391">
        <v>1207</v>
      </c>
      <c r="B10753" s="478" t="s">
        <v>43283</v>
      </c>
      <c r="C10753" s="391" t="s">
        <v>26</v>
      </c>
      <c r="D10753" s="479"/>
      <c r="E10753" s="368"/>
      <c r="F10753" s="368"/>
    </row>
    <row r="10754" spans="1:6" x14ac:dyDescent="0.2">
      <c r="A10754" s="391">
        <v>1206</v>
      </c>
      <c r="B10754" s="478" t="s">
        <v>43284</v>
      </c>
      <c r="C10754" s="391" t="s">
        <v>26</v>
      </c>
      <c r="D10754" s="479"/>
      <c r="E10754" s="368"/>
      <c r="F10754" s="368"/>
    </row>
    <row r="10755" spans="1:6" x14ac:dyDescent="0.2">
      <c r="A10755" s="391">
        <v>1183</v>
      </c>
      <c r="B10755" s="478" t="s">
        <v>43285</v>
      </c>
      <c r="C10755" s="391" t="s">
        <v>26</v>
      </c>
      <c r="D10755" s="479"/>
      <c r="E10755" s="368"/>
      <c r="F10755" s="368"/>
    </row>
    <row r="10756" spans="1:6" x14ac:dyDescent="0.2">
      <c r="A10756" s="391">
        <v>42685</v>
      </c>
      <c r="B10756" s="478" t="s">
        <v>43286</v>
      </c>
      <c r="C10756" s="391" t="s">
        <v>26</v>
      </c>
      <c r="D10756" s="479">
        <v>69.98</v>
      </c>
      <c r="E10756" s="368"/>
      <c r="F10756" s="368"/>
    </row>
    <row r="10757" spans="1:6" x14ac:dyDescent="0.2">
      <c r="A10757" s="391">
        <v>42686</v>
      </c>
      <c r="B10757" s="478" t="s">
        <v>43287</v>
      </c>
      <c r="C10757" s="391" t="s">
        <v>26</v>
      </c>
      <c r="D10757" s="479">
        <v>77.08</v>
      </c>
      <c r="E10757" s="368"/>
      <c r="F10757" s="368"/>
    </row>
    <row r="10758" spans="1:6" ht="25.5" x14ac:dyDescent="0.2">
      <c r="A10758" s="391">
        <v>12894</v>
      </c>
      <c r="B10758" s="478" t="s">
        <v>43288</v>
      </c>
      <c r="C10758" s="391" t="s">
        <v>26</v>
      </c>
      <c r="D10758" s="479">
        <v>23.28</v>
      </c>
      <c r="E10758" s="368"/>
      <c r="F10758" s="368"/>
    </row>
    <row r="10759" spans="1:6" ht="25.5" x14ac:dyDescent="0.2">
      <c r="A10759" s="391">
        <v>12895</v>
      </c>
      <c r="B10759" s="478" t="s">
        <v>43289</v>
      </c>
      <c r="C10759" s="391" t="s">
        <v>26</v>
      </c>
      <c r="D10759" s="479">
        <v>15.63</v>
      </c>
      <c r="E10759" s="368"/>
      <c r="F10759" s="368"/>
    </row>
    <row r="10760" spans="1:6" ht="25.5" x14ac:dyDescent="0.2">
      <c r="A10760" s="391">
        <v>1631</v>
      </c>
      <c r="B10760" s="478" t="s">
        <v>43290</v>
      </c>
      <c r="C10760" s="391" t="s">
        <v>26</v>
      </c>
      <c r="D10760" s="479"/>
      <c r="E10760" s="368"/>
      <c r="F10760" s="368"/>
    </row>
    <row r="10761" spans="1:6" ht="25.5" x14ac:dyDescent="0.2">
      <c r="A10761" s="391">
        <v>1633</v>
      </c>
      <c r="B10761" s="478" t="s">
        <v>43291</v>
      </c>
      <c r="C10761" s="391" t="s">
        <v>26</v>
      </c>
      <c r="D10761" s="479"/>
      <c r="E10761" s="368"/>
      <c r="F10761" s="368"/>
    </row>
    <row r="10762" spans="1:6" x14ac:dyDescent="0.2">
      <c r="A10762" s="391">
        <v>10818</v>
      </c>
      <c r="B10762" s="478" t="s">
        <v>43292</v>
      </c>
      <c r="C10762" s="391" t="s">
        <v>1284</v>
      </c>
      <c r="D10762" s="479">
        <v>49.28</v>
      </c>
      <c r="E10762" s="368"/>
      <c r="F10762" s="368"/>
    </row>
    <row r="10763" spans="1:6" ht="25.5" x14ac:dyDescent="0.2">
      <c r="A10763" s="391">
        <v>41410</v>
      </c>
      <c r="B10763" s="478" t="s">
        <v>43293</v>
      </c>
      <c r="C10763" s="391" t="s">
        <v>26</v>
      </c>
      <c r="D10763" s="479"/>
      <c r="E10763" s="368"/>
      <c r="F10763" s="368"/>
    </row>
    <row r="10764" spans="1:6" ht="25.5" x14ac:dyDescent="0.2">
      <c r="A10764" s="391">
        <v>41411</v>
      </c>
      <c r="B10764" s="478" t="s">
        <v>43294</v>
      </c>
      <c r="C10764" s="391" t="s">
        <v>26</v>
      </c>
      <c r="D10764" s="479"/>
      <c r="E10764" s="368"/>
      <c r="F10764" s="368"/>
    </row>
    <row r="10765" spans="1:6" ht="25.5" x14ac:dyDescent="0.2">
      <c r="A10765" s="391">
        <v>41412</v>
      </c>
      <c r="B10765" s="478" t="s">
        <v>43295</v>
      </c>
      <c r="C10765" s="391" t="s">
        <v>26</v>
      </c>
      <c r="D10765" s="479"/>
      <c r="E10765" s="368"/>
      <c r="F10765" s="368"/>
    </row>
    <row r="10766" spans="1:6" x14ac:dyDescent="0.2">
      <c r="A10766" s="391">
        <v>41413</v>
      </c>
      <c r="B10766" s="478" t="s">
        <v>43296</v>
      </c>
      <c r="C10766" s="391" t="s">
        <v>26</v>
      </c>
      <c r="D10766" s="479"/>
      <c r="E10766" s="368"/>
      <c r="F10766" s="368"/>
    </row>
    <row r="10767" spans="1:6" ht="38.25" x14ac:dyDescent="0.2">
      <c r="A10767" s="391">
        <v>39359</v>
      </c>
      <c r="B10767" s="478" t="s">
        <v>43297</v>
      </c>
      <c r="C10767" s="391" t="s">
        <v>26</v>
      </c>
      <c r="D10767" s="479"/>
      <c r="E10767" s="368"/>
      <c r="F10767" s="368"/>
    </row>
    <row r="10768" spans="1:6" ht="38.25" x14ac:dyDescent="0.2">
      <c r="A10768" s="391">
        <v>39360</v>
      </c>
      <c r="B10768" s="478" t="s">
        <v>43298</v>
      </c>
      <c r="C10768" s="391" t="s">
        <v>26</v>
      </c>
      <c r="D10768" s="479"/>
      <c r="E10768" s="368"/>
      <c r="F10768" s="368"/>
    </row>
    <row r="10769" spans="1:6" ht="25.5" x14ac:dyDescent="0.2">
      <c r="A10769" s="391">
        <v>10710</v>
      </c>
      <c r="B10769" s="478" t="s">
        <v>43299</v>
      </c>
      <c r="C10769" s="391" t="s">
        <v>255</v>
      </c>
      <c r="D10769" s="479"/>
      <c r="E10769" s="368"/>
      <c r="F10769" s="368"/>
    </row>
    <row r="10770" spans="1:6" ht="25.5" x14ac:dyDescent="0.2">
      <c r="A10770" s="391">
        <v>10709</v>
      </c>
      <c r="B10770" s="478" t="s">
        <v>43300</v>
      </c>
      <c r="C10770" s="391" t="s">
        <v>255</v>
      </c>
      <c r="D10770" s="479"/>
      <c r="E10770" s="368"/>
      <c r="F10770" s="368"/>
    </row>
    <row r="10771" spans="1:6" ht="25.5" x14ac:dyDescent="0.2">
      <c r="A10771" s="391">
        <v>39636</v>
      </c>
      <c r="B10771" s="478" t="s">
        <v>43301</v>
      </c>
      <c r="C10771" s="391" t="s">
        <v>255</v>
      </c>
      <c r="D10771" s="479"/>
      <c r="E10771" s="368"/>
      <c r="F10771" s="368"/>
    </row>
    <row r="10772" spans="1:6" ht="25.5" x14ac:dyDescent="0.2">
      <c r="A10772" s="391">
        <v>10708</v>
      </c>
      <c r="B10772" s="478" t="s">
        <v>43302</v>
      </c>
      <c r="C10772" s="391" t="s">
        <v>255</v>
      </c>
      <c r="D10772" s="479"/>
      <c r="E10772" s="368"/>
      <c r="F10772" s="368"/>
    </row>
    <row r="10773" spans="1:6" ht="25.5" x14ac:dyDescent="0.2">
      <c r="A10773" s="391">
        <v>39635</v>
      </c>
      <c r="B10773" s="478" t="s">
        <v>43303</v>
      </c>
      <c r="C10773" s="391" t="s">
        <v>255</v>
      </c>
      <c r="D10773" s="479"/>
      <c r="E10773" s="368"/>
      <c r="F10773" s="368"/>
    </row>
    <row r="10774" spans="1:6" x14ac:dyDescent="0.2">
      <c r="A10774" s="391">
        <v>6117</v>
      </c>
      <c r="B10774" s="478" t="s">
        <v>43304</v>
      </c>
      <c r="C10774" s="391" t="s">
        <v>558</v>
      </c>
      <c r="D10774" s="479">
        <v>14.35</v>
      </c>
      <c r="E10774" s="368"/>
      <c r="F10774" s="368"/>
    </row>
    <row r="10775" spans="1:6" x14ac:dyDescent="0.2">
      <c r="A10775" s="391">
        <v>40913</v>
      </c>
      <c r="B10775" s="478" t="s">
        <v>43305</v>
      </c>
      <c r="C10775" s="391" t="s">
        <v>5681</v>
      </c>
      <c r="D10775" s="479">
        <v>2523.52</v>
      </c>
      <c r="E10775" s="368"/>
      <c r="F10775" s="368"/>
    </row>
    <row r="10776" spans="1:6" x14ac:dyDescent="0.2">
      <c r="A10776" s="391">
        <v>1214</v>
      </c>
      <c r="B10776" s="478" t="s">
        <v>43306</v>
      </c>
      <c r="C10776" s="391" t="s">
        <v>558</v>
      </c>
      <c r="D10776" s="479">
        <v>17.420000000000002</v>
      </c>
      <c r="E10776" s="368"/>
      <c r="F10776" s="368"/>
    </row>
    <row r="10777" spans="1:6" x14ac:dyDescent="0.2">
      <c r="A10777" s="391">
        <v>40915</v>
      </c>
      <c r="B10777" s="478" t="s">
        <v>43307</v>
      </c>
      <c r="C10777" s="391" t="s">
        <v>5681</v>
      </c>
      <c r="D10777" s="479">
        <v>3062.95</v>
      </c>
      <c r="E10777" s="368"/>
      <c r="F10777" s="368"/>
    </row>
    <row r="10778" spans="1:6" x14ac:dyDescent="0.2">
      <c r="A10778" s="391">
        <v>40914</v>
      </c>
      <c r="B10778" s="478" t="s">
        <v>43308</v>
      </c>
      <c r="C10778" s="391" t="s">
        <v>5681</v>
      </c>
      <c r="D10778" s="479">
        <v>3214.9</v>
      </c>
      <c r="E10778" s="368"/>
      <c r="F10778" s="368"/>
    </row>
    <row r="10779" spans="1:6" x14ac:dyDescent="0.2">
      <c r="A10779" s="391">
        <v>1213</v>
      </c>
      <c r="B10779" s="478" t="s">
        <v>43309</v>
      </c>
      <c r="C10779" s="391" t="s">
        <v>558</v>
      </c>
      <c r="D10779" s="479">
        <v>18.29</v>
      </c>
      <c r="E10779" s="368"/>
      <c r="F10779" s="368"/>
    </row>
    <row r="10780" spans="1:6" ht="25.5" x14ac:dyDescent="0.2">
      <c r="A10780" s="391">
        <v>5091</v>
      </c>
      <c r="B10780" s="478" t="s">
        <v>43310</v>
      </c>
      <c r="C10780" s="391" t="s">
        <v>26</v>
      </c>
      <c r="D10780" s="479">
        <v>20.5</v>
      </c>
      <c r="E10780" s="368"/>
      <c r="F10780" s="368"/>
    </row>
    <row r="10781" spans="1:6" ht="38.25" x14ac:dyDescent="0.2">
      <c r="A10781" s="391">
        <v>14615</v>
      </c>
      <c r="B10781" s="478" t="s">
        <v>43311</v>
      </c>
      <c r="C10781" s="391" t="s">
        <v>26</v>
      </c>
      <c r="D10781" s="479">
        <v>4171.2299999999996</v>
      </c>
      <c r="E10781" s="368"/>
      <c r="F10781" s="368"/>
    </row>
    <row r="10782" spans="1:6" ht="25.5" x14ac:dyDescent="0.2">
      <c r="A10782" s="391">
        <v>2711</v>
      </c>
      <c r="B10782" s="478" t="s">
        <v>43312</v>
      </c>
      <c r="C10782" s="391" t="s">
        <v>26</v>
      </c>
      <c r="D10782" s="479"/>
      <c r="E10782" s="368"/>
      <c r="F10782" s="368"/>
    </row>
    <row r="10783" spans="1:6" ht="25.5" x14ac:dyDescent="0.2">
      <c r="A10783" s="391">
        <v>45235</v>
      </c>
      <c r="B10783" s="478" t="s">
        <v>48248</v>
      </c>
      <c r="C10783" s="391" t="s">
        <v>26</v>
      </c>
      <c r="D10783" s="479"/>
      <c r="E10783" s="368"/>
      <c r="F10783" s="368"/>
    </row>
    <row r="10784" spans="1:6" ht="38.25" x14ac:dyDescent="0.2">
      <c r="A10784" s="391">
        <v>37727</v>
      </c>
      <c r="B10784" s="478" t="s">
        <v>43313</v>
      </c>
      <c r="C10784" s="391" t="s">
        <v>26</v>
      </c>
      <c r="D10784" s="479"/>
      <c r="E10784" s="368"/>
      <c r="F10784" s="368"/>
    </row>
    <row r="10785" spans="1:6" ht="38.25" x14ac:dyDescent="0.2">
      <c r="A10785" s="391">
        <v>37728</v>
      </c>
      <c r="B10785" s="478" t="s">
        <v>43314</v>
      </c>
      <c r="C10785" s="391" t="s">
        <v>26</v>
      </c>
      <c r="D10785" s="479"/>
      <c r="E10785" s="368"/>
      <c r="F10785" s="368"/>
    </row>
    <row r="10786" spans="1:6" ht="38.25" x14ac:dyDescent="0.2">
      <c r="A10786" s="391">
        <v>37729</v>
      </c>
      <c r="B10786" s="478" t="s">
        <v>43315</v>
      </c>
      <c r="C10786" s="391" t="s">
        <v>26</v>
      </c>
      <c r="D10786" s="479"/>
      <c r="E10786" s="368"/>
      <c r="F10786" s="368"/>
    </row>
    <row r="10787" spans="1:6" ht="38.25" x14ac:dyDescent="0.2">
      <c r="A10787" s="391">
        <v>37730</v>
      </c>
      <c r="B10787" s="478" t="s">
        <v>43316</v>
      </c>
      <c r="C10787" s="391" t="s">
        <v>26</v>
      </c>
      <c r="D10787" s="479"/>
      <c r="E10787" s="368"/>
      <c r="F10787" s="368"/>
    </row>
    <row r="10788" spans="1:6" ht="38.25" x14ac:dyDescent="0.2">
      <c r="A10788" s="391">
        <v>37731</v>
      </c>
      <c r="B10788" s="478" t="s">
        <v>43317</v>
      </c>
      <c r="C10788" s="391" t="s">
        <v>26</v>
      </c>
      <c r="D10788" s="479"/>
      <c r="E10788" s="368"/>
      <c r="F10788" s="368"/>
    </row>
    <row r="10789" spans="1:6" ht="38.25" x14ac:dyDescent="0.2">
      <c r="A10789" s="391">
        <v>37732</v>
      </c>
      <c r="B10789" s="478" t="s">
        <v>43318</v>
      </c>
      <c r="C10789" s="391" t="s">
        <v>26</v>
      </c>
      <c r="D10789" s="479"/>
      <c r="E10789" s="368"/>
      <c r="F10789" s="368"/>
    </row>
    <row r="10790" spans="1:6" x14ac:dyDescent="0.2">
      <c r="A10790" s="391">
        <v>45194</v>
      </c>
      <c r="B10790" s="478" t="s">
        <v>48249</v>
      </c>
      <c r="C10790" s="391" t="s">
        <v>26</v>
      </c>
      <c r="D10790" s="479"/>
      <c r="E10790" s="368"/>
      <c r="F10790" s="368"/>
    </row>
    <row r="10791" spans="1:6" ht="51" x14ac:dyDescent="0.2">
      <c r="A10791" s="391">
        <v>36496</v>
      </c>
      <c r="B10791" s="478" t="s">
        <v>43319</v>
      </c>
      <c r="C10791" s="391" t="s">
        <v>26</v>
      </c>
      <c r="D10791" s="479">
        <v>10590.67</v>
      </c>
      <c r="E10791" s="368"/>
      <c r="F10791" s="368"/>
    </row>
    <row r="10792" spans="1:6" ht="38.25" x14ac:dyDescent="0.2">
      <c r="A10792" s="391">
        <v>37762</v>
      </c>
      <c r="B10792" s="478" t="s">
        <v>43320</v>
      </c>
      <c r="C10792" s="391" t="s">
        <v>26</v>
      </c>
      <c r="D10792" s="479"/>
      <c r="E10792" s="368"/>
      <c r="F10792" s="368"/>
    </row>
    <row r="10793" spans="1:6" ht="38.25" x14ac:dyDescent="0.2">
      <c r="A10793" s="391">
        <v>37763</v>
      </c>
      <c r="B10793" s="478" t="s">
        <v>43321</v>
      </c>
      <c r="C10793" s="391" t="s">
        <v>26</v>
      </c>
      <c r="D10793" s="479"/>
      <c r="E10793" s="368"/>
      <c r="F10793" s="368"/>
    </row>
    <row r="10794" spans="1:6" ht="38.25" x14ac:dyDescent="0.2">
      <c r="A10794" s="391">
        <v>41992</v>
      </c>
      <c r="B10794" s="478" t="s">
        <v>43322</v>
      </c>
      <c r="C10794" s="391" t="s">
        <v>26</v>
      </c>
      <c r="D10794" s="479"/>
      <c r="E10794" s="368"/>
      <c r="F10794" s="368"/>
    </row>
    <row r="10795" spans="1:6" ht="38.25" x14ac:dyDescent="0.2">
      <c r="A10795" s="391">
        <v>10630</v>
      </c>
      <c r="B10795" s="478" t="s">
        <v>43323</v>
      </c>
      <c r="C10795" s="391" t="s">
        <v>26</v>
      </c>
      <c r="D10795" s="479"/>
      <c r="E10795" s="368"/>
      <c r="F10795" s="368"/>
    </row>
    <row r="10796" spans="1:6" ht="38.25" x14ac:dyDescent="0.2">
      <c r="A10796" s="391">
        <v>13215</v>
      </c>
      <c r="B10796" s="478" t="s">
        <v>43324</v>
      </c>
      <c r="C10796" s="391" t="s">
        <v>26</v>
      </c>
      <c r="D10796" s="479"/>
      <c r="E10796" s="368"/>
      <c r="F10796" s="368"/>
    </row>
    <row r="10797" spans="1:6" x14ac:dyDescent="0.2">
      <c r="A10797" s="391">
        <v>4235</v>
      </c>
      <c r="B10797" s="478" t="s">
        <v>43325</v>
      </c>
      <c r="C10797" s="391" t="s">
        <v>558</v>
      </c>
      <c r="D10797" s="479">
        <v>16.14</v>
      </c>
      <c r="E10797" s="368"/>
      <c r="F10797" s="368"/>
    </row>
    <row r="10798" spans="1:6" x14ac:dyDescent="0.2">
      <c r="A10798" s="391">
        <v>40976</v>
      </c>
      <c r="B10798" s="478" t="s">
        <v>43326</v>
      </c>
      <c r="C10798" s="391" t="s">
        <v>5681</v>
      </c>
      <c r="D10798" s="479">
        <v>2838.32</v>
      </c>
      <c r="E10798" s="368"/>
      <c r="F10798" s="368"/>
    </row>
    <row r="10799" spans="1:6" ht="38.25" x14ac:dyDescent="0.2">
      <c r="A10799" s="391">
        <v>43091</v>
      </c>
      <c r="B10799" s="478" t="s">
        <v>43327</v>
      </c>
      <c r="C10799" s="391" t="s">
        <v>26</v>
      </c>
      <c r="D10799" s="479">
        <v>5524.97</v>
      </c>
      <c r="E10799" s="368"/>
      <c r="F10799" s="368"/>
    </row>
    <row r="10800" spans="1:6" ht="38.25" x14ac:dyDescent="0.2">
      <c r="A10800" s="391">
        <v>43092</v>
      </c>
      <c r="B10800" s="478" t="s">
        <v>43328</v>
      </c>
      <c r="C10800" s="391" t="s">
        <v>26</v>
      </c>
      <c r="D10800" s="479">
        <v>7366.63</v>
      </c>
      <c r="E10800" s="368"/>
      <c r="F10800" s="368"/>
    </row>
    <row r="10801" spans="1:6" ht="38.25" x14ac:dyDescent="0.2">
      <c r="A10801" s="391">
        <v>43089</v>
      </c>
      <c r="B10801" s="480" t="s">
        <v>43329</v>
      </c>
      <c r="C10801" s="391" t="s">
        <v>26</v>
      </c>
      <c r="D10801" s="479">
        <v>1283.8399999999999</v>
      </c>
      <c r="E10801" s="368"/>
      <c r="F10801" s="368"/>
    </row>
    <row r="10802" spans="1:6" ht="38.25" x14ac:dyDescent="0.2">
      <c r="A10802" s="391">
        <v>43090</v>
      </c>
      <c r="B10802" s="478" t="s">
        <v>43330</v>
      </c>
      <c r="C10802" s="391" t="s">
        <v>26</v>
      </c>
      <c r="D10802" s="479">
        <v>2833.32</v>
      </c>
      <c r="E10802" s="368"/>
      <c r="F10802" s="368"/>
    </row>
    <row r="10803" spans="1:6" x14ac:dyDescent="0.2">
      <c r="A10803" s="391">
        <v>41967</v>
      </c>
      <c r="B10803" s="478" t="s">
        <v>43331</v>
      </c>
      <c r="C10803" s="391" t="s">
        <v>9</v>
      </c>
      <c r="D10803" s="479">
        <v>25.03</v>
      </c>
      <c r="E10803" s="368"/>
      <c r="F10803" s="368"/>
    </row>
    <row r="10804" spans="1:6" ht="25.5" x14ac:dyDescent="0.2">
      <c r="A10804" s="391">
        <v>12760</v>
      </c>
      <c r="B10804" s="478" t="s">
        <v>43332</v>
      </c>
      <c r="C10804" s="391" t="s">
        <v>255</v>
      </c>
      <c r="D10804" s="479">
        <v>1243.82</v>
      </c>
      <c r="E10804" s="368"/>
      <c r="F10804" s="368"/>
    </row>
    <row r="10805" spans="1:6" ht="25.5" x14ac:dyDescent="0.2">
      <c r="A10805" s="391">
        <v>12759</v>
      </c>
      <c r="B10805" s="478" t="s">
        <v>43333</v>
      </c>
      <c r="C10805" s="391" t="s">
        <v>255</v>
      </c>
      <c r="D10805" s="479">
        <v>829.2</v>
      </c>
      <c r="E10805" s="368"/>
      <c r="F10805" s="368"/>
    </row>
    <row r="10806" spans="1:6" ht="25.5" x14ac:dyDescent="0.2">
      <c r="A10806" s="391">
        <v>43105</v>
      </c>
      <c r="B10806" s="478" t="s">
        <v>43334</v>
      </c>
      <c r="C10806" s="391" t="s">
        <v>1284</v>
      </c>
      <c r="D10806" s="479">
        <v>34</v>
      </c>
      <c r="E10806" s="368"/>
      <c r="F10806" s="368"/>
    </row>
    <row r="10807" spans="1:6" ht="25.5" x14ac:dyDescent="0.2">
      <c r="A10807" s="391">
        <v>40424</v>
      </c>
      <c r="B10807" s="478" t="s">
        <v>43335</v>
      </c>
      <c r="C10807" s="391" t="s">
        <v>1284</v>
      </c>
      <c r="D10807" s="479">
        <v>8.64</v>
      </c>
      <c r="E10807" s="368"/>
      <c r="F10807" s="368"/>
    </row>
    <row r="10808" spans="1:6" x14ac:dyDescent="0.2">
      <c r="A10808" s="391">
        <v>1325</v>
      </c>
      <c r="B10808" s="478" t="s">
        <v>43336</v>
      </c>
      <c r="C10808" s="391" t="s">
        <v>1284</v>
      </c>
      <c r="D10808" s="479">
        <v>9.4600000000000009</v>
      </c>
      <c r="E10808" s="368"/>
      <c r="F10808" s="368"/>
    </row>
    <row r="10809" spans="1:6" x14ac:dyDescent="0.2">
      <c r="A10809" s="391">
        <v>1327</v>
      </c>
      <c r="B10809" s="478" t="s">
        <v>43337</v>
      </c>
      <c r="C10809" s="391" t="s">
        <v>1284</v>
      </c>
      <c r="D10809" s="479">
        <v>10.07</v>
      </c>
      <c r="E10809" s="368"/>
      <c r="F10809" s="368"/>
    </row>
    <row r="10810" spans="1:6" x14ac:dyDescent="0.2">
      <c r="A10810" s="391">
        <v>1328</v>
      </c>
      <c r="B10810" s="478" t="s">
        <v>43338</v>
      </c>
      <c r="C10810" s="391" t="s">
        <v>1284</v>
      </c>
      <c r="D10810" s="479">
        <v>9.48</v>
      </c>
      <c r="E10810" s="368"/>
      <c r="F10810" s="368"/>
    </row>
    <row r="10811" spans="1:6" x14ac:dyDescent="0.2">
      <c r="A10811" s="391">
        <v>1321</v>
      </c>
      <c r="B10811" s="478" t="s">
        <v>43339</v>
      </c>
      <c r="C10811" s="391" t="s">
        <v>1284</v>
      </c>
      <c r="D10811" s="479">
        <v>8.7799999999999994</v>
      </c>
      <c r="E10811" s="368"/>
      <c r="F10811" s="368"/>
    </row>
    <row r="10812" spans="1:6" x14ac:dyDescent="0.2">
      <c r="A10812" s="391">
        <v>1318</v>
      </c>
      <c r="B10812" s="478" t="s">
        <v>43340</v>
      </c>
      <c r="C10812" s="391" t="s">
        <v>1284</v>
      </c>
      <c r="D10812" s="479">
        <v>8.7899999999999991</v>
      </c>
      <c r="E10812" s="368"/>
      <c r="F10812" s="368"/>
    </row>
    <row r="10813" spans="1:6" x14ac:dyDescent="0.2">
      <c r="A10813" s="391">
        <v>1322</v>
      </c>
      <c r="B10813" s="478" t="s">
        <v>43341</v>
      </c>
      <c r="C10813" s="391" t="s">
        <v>1284</v>
      </c>
      <c r="D10813" s="479">
        <v>9.2799999999999994</v>
      </c>
      <c r="E10813" s="368"/>
      <c r="F10813" s="368"/>
    </row>
    <row r="10814" spans="1:6" x14ac:dyDescent="0.2">
      <c r="A10814" s="391">
        <v>1323</v>
      </c>
      <c r="B10814" s="478" t="s">
        <v>43342</v>
      </c>
      <c r="C10814" s="391" t="s">
        <v>1284</v>
      </c>
      <c r="D10814" s="479">
        <v>9.2799999999999994</v>
      </c>
      <c r="E10814" s="368"/>
      <c r="F10814" s="368"/>
    </row>
    <row r="10815" spans="1:6" x14ac:dyDescent="0.2">
      <c r="A10815" s="391">
        <v>1319</v>
      </c>
      <c r="B10815" s="478" t="s">
        <v>43343</v>
      </c>
      <c r="C10815" s="391" t="s">
        <v>1284</v>
      </c>
      <c r="D10815" s="479">
        <v>7.82</v>
      </c>
      <c r="E10815" s="368"/>
      <c r="F10815" s="368"/>
    </row>
    <row r="10816" spans="1:6" x14ac:dyDescent="0.2">
      <c r="A10816" s="391">
        <v>11026</v>
      </c>
      <c r="B10816" s="478" t="s">
        <v>43344</v>
      </c>
      <c r="C10816" s="391" t="s">
        <v>1284</v>
      </c>
      <c r="D10816" s="479">
        <v>10.76</v>
      </c>
      <c r="E10816" s="368"/>
      <c r="F10816" s="368"/>
    </row>
    <row r="10817" spans="1:6" x14ac:dyDescent="0.2">
      <c r="A10817" s="391">
        <v>11027</v>
      </c>
      <c r="B10817" s="478" t="s">
        <v>43345</v>
      </c>
      <c r="C10817" s="391" t="s">
        <v>1284</v>
      </c>
      <c r="D10817" s="479">
        <v>11.2</v>
      </c>
      <c r="E10817" s="368"/>
      <c r="F10817" s="368"/>
    </row>
    <row r="10818" spans="1:6" x14ac:dyDescent="0.2">
      <c r="A10818" s="391">
        <v>11046</v>
      </c>
      <c r="B10818" s="478" t="s">
        <v>43346</v>
      </c>
      <c r="C10818" s="391" t="s">
        <v>1284</v>
      </c>
      <c r="D10818" s="479">
        <v>10.73</v>
      </c>
      <c r="E10818" s="368"/>
      <c r="F10818" s="368"/>
    </row>
    <row r="10819" spans="1:6" x14ac:dyDescent="0.2">
      <c r="A10819" s="391">
        <v>11047</v>
      </c>
      <c r="B10819" s="478" t="s">
        <v>43347</v>
      </c>
      <c r="C10819" s="391" t="s">
        <v>1284</v>
      </c>
      <c r="D10819" s="479">
        <v>11.69</v>
      </c>
      <c r="E10819" s="368"/>
      <c r="F10819" s="368"/>
    </row>
    <row r="10820" spans="1:6" x14ac:dyDescent="0.2">
      <c r="A10820" s="391">
        <v>43668</v>
      </c>
      <c r="B10820" s="478" t="s">
        <v>43348</v>
      </c>
      <c r="C10820" s="391" t="s">
        <v>1284</v>
      </c>
      <c r="D10820" s="479">
        <v>10.32</v>
      </c>
      <c r="E10820" s="368"/>
      <c r="F10820" s="368"/>
    </row>
    <row r="10821" spans="1:6" x14ac:dyDescent="0.2">
      <c r="A10821" s="391">
        <v>11049</v>
      </c>
      <c r="B10821" s="478" t="s">
        <v>43349</v>
      </c>
      <c r="C10821" s="391" t="s">
        <v>1284</v>
      </c>
      <c r="D10821" s="479">
        <v>11.18</v>
      </c>
      <c r="E10821" s="368"/>
      <c r="F10821" s="368"/>
    </row>
    <row r="10822" spans="1:6" x14ac:dyDescent="0.2">
      <c r="A10822" s="391">
        <v>43106</v>
      </c>
      <c r="B10822" s="478" t="s">
        <v>43350</v>
      </c>
      <c r="C10822" s="391" t="s">
        <v>1284</v>
      </c>
      <c r="D10822" s="479">
        <v>11.25</v>
      </c>
      <c r="E10822" s="368"/>
      <c r="F10822" s="368"/>
    </row>
    <row r="10823" spans="1:6" x14ac:dyDescent="0.2">
      <c r="A10823" s="391">
        <v>11051</v>
      </c>
      <c r="B10823" s="478" t="s">
        <v>43351</v>
      </c>
      <c r="C10823" s="391" t="s">
        <v>1284</v>
      </c>
      <c r="D10823" s="479">
        <v>11.73</v>
      </c>
      <c r="E10823" s="368"/>
      <c r="F10823" s="368"/>
    </row>
    <row r="10824" spans="1:6" x14ac:dyDescent="0.2">
      <c r="A10824" s="391">
        <v>11061</v>
      </c>
      <c r="B10824" s="478" t="s">
        <v>43352</v>
      </c>
      <c r="C10824" s="391" t="s">
        <v>1284</v>
      </c>
      <c r="D10824" s="479">
        <v>14.08</v>
      </c>
      <c r="E10824" s="368"/>
      <c r="F10824" s="368"/>
    </row>
    <row r="10825" spans="1:6" x14ac:dyDescent="0.2">
      <c r="A10825" s="392">
        <v>43667</v>
      </c>
      <c r="B10825" s="480" t="s">
        <v>43353</v>
      </c>
      <c r="C10825" s="392" t="s">
        <v>1284</v>
      </c>
      <c r="D10825" s="481">
        <v>10.23</v>
      </c>
      <c r="E10825" s="368"/>
      <c r="F10825" s="368"/>
    </row>
    <row r="10826" spans="1:6" x14ac:dyDescent="0.2">
      <c r="A10826" s="391">
        <v>1333</v>
      </c>
      <c r="B10826" s="478" t="s">
        <v>43354</v>
      </c>
      <c r="C10826" s="391" t="s">
        <v>1284</v>
      </c>
      <c r="D10826" s="479">
        <v>8.52</v>
      </c>
      <c r="E10826" s="368"/>
      <c r="F10826" s="368"/>
    </row>
    <row r="10827" spans="1:6" x14ac:dyDescent="0.2">
      <c r="A10827" s="391">
        <v>1330</v>
      </c>
      <c r="B10827" s="478" t="s">
        <v>43355</v>
      </c>
      <c r="C10827" s="391" t="s">
        <v>1284</v>
      </c>
      <c r="D10827" s="479">
        <v>8.44</v>
      </c>
      <c r="E10827" s="368"/>
      <c r="F10827" s="368"/>
    </row>
    <row r="10828" spans="1:6" x14ac:dyDescent="0.2">
      <c r="A10828" s="391">
        <v>10957</v>
      </c>
      <c r="B10828" s="478" t="s">
        <v>43356</v>
      </c>
      <c r="C10828" s="391" t="s">
        <v>1284</v>
      </c>
      <c r="D10828" s="479">
        <v>9.74</v>
      </c>
      <c r="E10828" s="368"/>
      <c r="F10828" s="368"/>
    </row>
    <row r="10829" spans="1:6" x14ac:dyDescent="0.2">
      <c r="A10829" s="391">
        <v>1332</v>
      </c>
      <c r="B10829" s="478" t="s">
        <v>43357</v>
      </c>
      <c r="C10829" s="391" t="s">
        <v>1284</v>
      </c>
      <c r="D10829" s="479">
        <v>8.66</v>
      </c>
      <c r="E10829" s="368"/>
      <c r="F10829" s="368"/>
    </row>
    <row r="10830" spans="1:6" x14ac:dyDescent="0.2">
      <c r="A10830" s="391">
        <v>1334</v>
      </c>
      <c r="B10830" s="478" t="s">
        <v>43358</v>
      </c>
      <c r="C10830" s="391" t="s">
        <v>1284</v>
      </c>
      <c r="D10830" s="479">
        <v>9.6</v>
      </c>
      <c r="E10830" s="368"/>
      <c r="F10830" s="368"/>
    </row>
    <row r="10831" spans="1:6" x14ac:dyDescent="0.2">
      <c r="A10831" s="391">
        <v>1335</v>
      </c>
      <c r="B10831" s="478" t="s">
        <v>43359</v>
      </c>
      <c r="C10831" s="391" t="s">
        <v>1284</v>
      </c>
      <c r="D10831" s="479">
        <v>9.92</v>
      </c>
      <c r="E10831" s="368"/>
      <c r="F10831" s="368"/>
    </row>
    <row r="10832" spans="1:6" x14ac:dyDescent="0.2">
      <c r="A10832" s="391">
        <v>40425</v>
      </c>
      <c r="B10832" s="478" t="s">
        <v>43360</v>
      </c>
      <c r="C10832" s="391" t="s">
        <v>1284</v>
      </c>
      <c r="D10832" s="479">
        <v>8.49</v>
      </c>
      <c r="E10832" s="368"/>
      <c r="F10832" s="368"/>
    </row>
    <row r="10833" spans="1:6" x14ac:dyDescent="0.2">
      <c r="A10833" s="391">
        <v>1337</v>
      </c>
      <c r="B10833" s="478" t="s">
        <v>43361</v>
      </c>
      <c r="C10833" s="391" t="s">
        <v>1284</v>
      </c>
      <c r="D10833" s="479">
        <v>9.74</v>
      </c>
      <c r="E10833" s="368"/>
      <c r="F10833" s="368"/>
    </row>
    <row r="10834" spans="1:6" ht="25.5" x14ac:dyDescent="0.2">
      <c r="A10834" s="391">
        <v>1338</v>
      </c>
      <c r="B10834" s="478" t="s">
        <v>43362</v>
      </c>
      <c r="C10834" s="391" t="s">
        <v>255</v>
      </c>
      <c r="D10834" s="479"/>
      <c r="E10834" s="368"/>
      <c r="F10834" s="368"/>
    </row>
    <row r="10835" spans="1:6" ht="25.5" x14ac:dyDescent="0.2">
      <c r="A10835" s="391">
        <v>1340</v>
      </c>
      <c r="B10835" s="478" t="s">
        <v>43363</v>
      </c>
      <c r="C10835" s="391" t="s">
        <v>255</v>
      </c>
      <c r="D10835" s="479"/>
      <c r="E10835" s="368"/>
      <c r="F10835" s="368"/>
    </row>
    <row r="10836" spans="1:6" ht="25.5" x14ac:dyDescent="0.2">
      <c r="A10836" s="391">
        <v>1341</v>
      </c>
      <c r="B10836" s="478" t="s">
        <v>43364</v>
      </c>
      <c r="C10836" s="391" t="s">
        <v>255</v>
      </c>
      <c r="D10836" s="479"/>
      <c r="E10836" s="368"/>
      <c r="F10836" s="368"/>
    </row>
    <row r="10837" spans="1:6" x14ac:dyDescent="0.2">
      <c r="A10837" s="391">
        <v>34659</v>
      </c>
      <c r="B10837" s="478" t="s">
        <v>43365</v>
      </c>
      <c r="C10837" s="391" t="s">
        <v>255</v>
      </c>
      <c r="D10837" s="479"/>
      <c r="E10837" s="368"/>
      <c r="F10837" s="368"/>
    </row>
    <row r="10838" spans="1:6" x14ac:dyDescent="0.2">
      <c r="A10838" s="391">
        <v>34514</v>
      </c>
      <c r="B10838" s="478" t="s">
        <v>43366</v>
      </c>
      <c r="C10838" s="391" t="s">
        <v>255</v>
      </c>
      <c r="D10838" s="479"/>
      <c r="E10838" s="368"/>
      <c r="F10838" s="368"/>
    </row>
    <row r="10839" spans="1:6" x14ac:dyDescent="0.2">
      <c r="A10839" s="391">
        <v>34660</v>
      </c>
      <c r="B10839" s="478" t="s">
        <v>43367</v>
      </c>
      <c r="C10839" s="391" t="s">
        <v>255</v>
      </c>
      <c r="D10839" s="479"/>
      <c r="E10839" s="368"/>
      <c r="F10839" s="368"/>
    </row>
    <row r="10840" spans="1:6" x14ac:dyDescent="0.2">
      <c r="A10840" s="391">
        <v>34661</v>
      </c>
      <c r="B10840" s="478" t="s">
        <v>43368</v>
      </c>
      <c r="C10840" s="391" t="s">
        <v>255</v>
      </c>
      <c r="D10840" s="479"/>
      <c r="E10840" s="368"/>
      <c r="F10840" s="368"/>
    </row>
    <row r="10841" spans="1:6" x14ac:dyDescent="0.2">
      <c r="A10841" s="391">
        <v>34667</v>
      </c>
      <c r="B10841" s="478" t="s">
        <v>43369</v>
      </c>
      <c r="C10841" s="391" t="s">
        <v>255</v>
      </c>
      <c r="D10841" s="479"/>
      <c r="E10841" s="368"/>
      <c r="F10841" s="368"/>
    </row>
    <row r="10842" spans="1:6" x14ac:dyDescent="0.2">
      <c r="A10842" s="391">
        <v>34668</v>
      </c>
      <c r="B10842" s="478" t="s">
        <v>43370</v>
      </c>
      <c r="C10842" s="391" t="s">
        <v>255</v>
      </c>
      <c r="D10842" s="479"/>
      <c r="E10842" s="368"/>
      <c r="F10842" s="368"/>
    </row>
    <row r="10843" spans="1:6" x14ac:dyDescent="0.2">
      <c r="A10843" s="391">
        <v>34741</v>
      </c>
      <c r="B10843" s="478" t="s">
        <v>43371</v>
      </c>
      <c r="C10843" s="391" t="s">
        <v>255</v>
      </c>
      <c r="D10843" s="479"/>
      <c r="E10843" s="368"/>
      <c r="F10843" s="368"/>
    </row>
    <row r="10844" spans="1:6" x14ac:dyDescent="0.2">
      <c r="A10844" s="391">
        <v>34664</v>
      </c>
      <c r="B10844" s="478" t="s">
        <v>43372</v>
      </c>
      <c r="C10844" s="391" t="s">
        <v>255</v>
      </c>
      <c r="D10844" s="479"/>
      <c r="E10844" s="368"/>
      <c r="F10844" s="368"/>
    </row>
    <row r="10845" spans="1:6" x14ac:dyDescent="0.2">
      <c r="A10845" s="391">
        <v>34665</v>
      </c>
      <c r="B10845" s="478" t="s">
        <v>43373</v>
      </c>
      <c r="C10845" s="391" t="s">
        <v>255</v>
      </c>
      <c r="D10845" s="479"/>
      <c r="E10845" s="368"/>
      <c r="F10845" s="368"/>
    </row>
    <row r="10846" spans="1:6" x14ac:dyDescent="0.2">
      <c r="A10846" s="391">
        <v>34666</v>
      </c>
      <c r="B10846" s="478" t="s">
        <v>43374</v>
      </c>
      <c r="C10846" s="391" t="s">
        <v>255</v>
      </c>
      <c r="D10846" s="479"/>
      <c r="E10846" s="368"/>
      <c r="F10846" s="368"/>
    </row>
    <row r="10847" spans="1:6" x14ac:dyDescent="0.2">
      <c r="A10847" s="391">
        <v>34669</v>
      </c>
      <c r="B10847" s="478" t="s">
        <v>43375</v>
      </c>
      <c r="C10847" s="391" t="s">
        <v>255</v>
      </c>
      <c r="D10847" s="479"/>
      <c r="E10847" s="368"/>
      <c r="F10847" s="368"/>
    </row>
    <row r="10848" spans="1:6" x14ac:dyDescent="0.2">
      <c r="A10848" s="391">
        <v>34670</v>
      </c>
      <c r="B10848" s="478" t="s">
        <v>43376</v>
      </c>
      <c r="C10848" s="391" t="s">
        <v>255</v>
      </c>
      <c r="D10848" s="479"/>
      <c r="E10848" s="368"/>
      <c r="F10848" s="368"/>
    </row>
    <row r="10849" spans="1:6" x14ac:dyDescent="0.2">
      <c r="A10849" s="391">
        <v>34671</v>
      </c>
      <c r="B10849" s="478" t="s">
        <v>43377</v>
      </c>
      <c r="C10849" s="391" t="s">
        <v>255</v>
      </c>
      <c r="D10849" s="479"/>
      <c r="E10849" s="368"/>
      <c r="F10849" s="368"/>
    </row>
    <row r="10850" spans="1:6" x14ac:dyDescent="0.2">
      <c r="A10850" s="391">
        <v>34672</v>
      </c>
      <c r="B10850" s="478" t="s">
        <v>43378</v>
      </c>
      <c r="C10850" s="391" t="s">
        <v>255</v>
      </c>
      <c r="D10850" s="479"/>
      <c r="E10850" s="368"/>
      <c r="F10850" s="368"/>
    </row>
    <row r="10851" spans="1:6" x14ac:dyDescent="0.2">
      <c r="A10851" s="391">
        <v>34673</v>
      </c>
      <c r="B10851" s="478" t="s">
        <v>43379</v>
      </c>
      <c r="C10851" s="391" t="s">
        <v>255</v>
      </c>
      <c r="D10851" s="479"/>
      <c r="E10851" s="368"/>
      <c r="F10851" s="368"/>
    </row>
    <row r="10852" spans="1:6" x14ac:dyDescent="0.2">
      <c r="A10852" s="391">
        <v>34674</v>
      </c>
      <c r="B10852" s="478" t="s">
        <v>43380</v>
      </c>
      <c r="C10852" s="391" t="s">
        <v>255</v>
      </c>
      <c r="D10852" s="479"/>
      <c r="E10852" s="368"/>
      <c r="F10852" s="368"/>
    </row>
    <row r="10853" spans="1:6" x14ac:dyDescent="0.2">
      <c r="A10853" s="391">
        <v>34675</v>
      </c>
      <c r="B10853" s="478" t="s">
        <v>43381</v>
      </c>
      <c r="C10853" s="391" t="s">
        <v>255</v>
      </c>
      <c r="D10853" s="479"/>
      <c r="E10853" s="368"/>
      <c r="F10853" s="368"/>
    </row>
    <row r="10854" spans="1:6" x14ac:dyDescent="0.2">
      <c r="A10854" s="391">
        <v>34676</v>
      </c>
      <c r="B10854" s="478" t="s">
        <v>43382</v>
      </c>
      <c r="C10854" s="391" t="s">
        <v>255</v>
      </c>
      <c r="D10854" s="479"/>
      <c r="E10854" s="368"/>
      <c r="F10854" s="368"/>
    </row>
    <row r="10855" spans="1:6" x14ac:dyDescent="0.2">
      <c r="A10855" s="391">
        <v>34677</v>
      </c>
      <c r="B10855" s="478" t="s">
        <v>43383</v>
      </c>
      <c r="C10855" s="391" t="s">
        <v>255</v>
      </c>
      <c r="D10855" s="479"/>
      <c r="E10855" s="368"/>
      <c r="F10855" s="368"/>
    </row>
    <row r="10856" spans="1:6" ht="25.5" x14ac:dyDescent="0.2">
      <c r="A10856" s="391">
        <v>43126</v>
      </c>
      <c r="B10856" s="478" t="s">
        <v>43384</v>
      </c>
      <c r="C10856" s="391" t="s">
        <v>255</v>
      </c>
      <c r="D10856" s="479"/>
      <c r="E10856" s="368"/>
      <c r="F10856" s="368"/>
    </row>
    <row r="10857" spans="1:6" ht="25.5" x14ac:dyDescent="0.2">
      <c r="A10857" s="391">
        <v>43124</v>
      </c>
      <c r="B10857" s="478" t="s">
        <v>43385</v>
      </c>
      <c r="C10857" s="391" t="s">
        <v>255</v>
      </c>
      <c r="D10857" s="479"/>
      <c r="E10857" s="368"/>
      <c r="F10857" s="368"/>
    </row>
    <row r="10858" spans="1:6" ht="25.5" x14ac:dyDescent="0.2">
      <c r="A10858" s="391">
        <v>43125</v>
      </c>
      <c r="B10858" s="478" t="s">
        <v>43386</v>
      </c>
      <c r="C10858" s="391" t="s">
        <v>255</v>
      </c>
      <c r="D10858" s="479"/>
      <c r="E10858" s="368"/>
      <c r="F10858" s="368"/>
    </row>
    <row r="10859" spans="1:6" ht="25.5" x14ac:dyDescent="0.2">
      <c r="A10859" s="391">
        <v>40623</v>
      </c>
      <c r="B10859" s="478" t="s">
        <v>48250</v>
      </c>
      <c r="C10859" s="391" t="s">
        <v>12086</v>
      </c>
      <c r="D10859" s="479">
        <v>94.83</v>
      </c>
      <c r="E10859" s="368"/>
      <c r="F10859" s="368"/>
    </row>
    <row r="10860" spans="1:6" ht="25.5" x14ac:dyDescent="0.2">
      <c r="A10860" s="391">
        <v>43701</v>
      </c>
      <c r="B10860" s="478" t="s">
        <v>43387</v>
      </c>
      <c r="C10860" s="391" t="s">
        <v>1284</v>
      </c>
      <c r="D10860" s="479"/>
      <c r="E10860" s="368"/>
      <c r="F10860" s="368"/>
    </row>
    <row r="10861" spans="1:6" ht="25.5" x14ac:dyDescent="0.2">
      <c r="A10861" s="391">
        <v>1345</v>
      </c>
      <c r="B10861" s="478" t="s">
        <v>43388</v>
      </c>
      <c r="C10861" s="391" t="s">
        <v>255</v>
      </c>
      <c r="D10861" s="479">
        <v>97.73</v>
      </c>
      <c r="E10861" s="368"/>
      <c r="F10861" s="368"/>
    </row>
    <row r="10862" spans="1:6" ht="25.5" x14ac:dyDescent="0.2">
      <c r="A10862" s="391">
        <v>1346</v>
      </c>
      <c r="B10862" s="478" t="s">
        <v>43389</v>
      </c>
      <c r="C10862" s="391" t="s">
        <v>255</v>
      </c>
      <c r="D10862" s="479">
        <v>56.85</v>
      </c>
      <c r="E10862" s="368"/>
      <c r="F10862" s="368"/>
    </row>
    <row r="10863" spans="1:6" ht="25.5" x14ac:dyDescent="0.2">
      <c r="A10863" s="391">
        <v>1347</v>
      </c>
      <c r="B10863" s="478" t="s">
        <v>43390</v>
      </c>
      <c r="C10863" s="391" t="s">
        <v>255</v>
      </c>
      <c r="D10863" s="479">
        <v>70.44</v>
      </c>
      <c r="E10863" s="368"/>
      <c r="F10863" s="368"/>
    </row>
    <row r="10864" spans="1:6" ht="25.5" x14ac:dyDescent="0.2">
      <c r="A10864" s="391">
        <v>43678</v>
      </c>
      <c r="B10864" s="478" t="s">
        <v>43391</v>
      </c>
      <c r="C10864" s="391" t="s">
        <v>255</v>
      </c>
      <c r="D10864" s="479">
        <v>81.709999999999994</v>
      </c>
      <c r="E10864" s="368"/>
      <c r="F10864" s="368"/>
    </row>
    <row r="10865" spans="1:6" ht="25.5" x14ac:dyDescent="0.2">
      <c r="A10865" s="391">
        <v>43680</v>
      </c>
      <c r="B10865" s="478" t="s">
        <v>43392</v>
      </c>
      <c r="C10865" s="391" t="s">
        <v>255</v>
      </c>
      <c r="D10865" s="479">
        <v>117.71</v>
      </c>
      <c r="E10865" s="368"/>
      <c r="F10865" s="368"/>
    </row>
    <row r="10866" spans="1:6" ht="25.5" x14ac:dyDescent="0.2">
      <c r="A10866" s="391">
        <v>43679</v>
      </c>
      <c r="B10866" s="478" t="s">
        <v>43393</v>
      </c>
      <c r="C10866" s="391" t="s">
        <v>255</v>
      </c>
      <c r="D10866" s="479">
        <v>41.31</v>
      </c>
      <c r="E10866" s="368"/>
      <c r="F10866" s="368"/>
    </row>
    <row r="10867" spans="1:6" ht="25.5" x14ac:dyDescent="0.2">
      <c r="A10867" s="392">
        <v>1355</v>
      </c>
      <c r="B10867" s="480" t="s">
        <v>43394</v>
      </c>
      <c r="C10867" s="392" t="s">
        <v>255</v>
      </c>
      <c r="D10867" s="481">
        <v>47.01</v>
      </c>
      <c r="E10867" s="369"/>
      <c r="F10867" s="369"/>
    </row>
    <row r="10868" spans="1:6" ht="25.5" x14ac:dyDescent="0.2">
      <c r="A10868" s="391">
        <v>1358</v>
      </c>
      <c r="B10868" s="478" t="s">
        <v>43395</v>
      </c>
      <c r="C10868" s="391" t="s">
        <v>255</v>
      </c>
      <c r="D10868" s="479">
        <v>57.71</v>
      </c>
      <c r="E10868" s="368"/>
      <c r="F10868" s="368"/>
    </row>
    <row r="10869" spans="1:6" ht="25.5" x14ac:dyDescent="0.2">
      <c r="A10869" s="391">
        <v>43677</v>
      </c>
      <c r="B10869" s="478" t="s">
        <v>43396</v>
      </c>
      <c r="C10869" s="391" t="s">
        <v>255</v>
      </c>
      <c r="D10869" s="479">
        <v>71.599999999999994</v>
      </c>
      <c r="E10869" s="368"/>
      <c r="F10869" s="368"/>
    </row>
    <row r="10870" spans="1:6" ht="25.5" x14ac:dyDescent="0.2">
      <c r="A10870" s="391">
        <v>43682</v>
      </c>
      <c r="B10870" s="478" t="s">
        <v>43397</v>
      </c>
      <c r="C10870" s="391" t="s">
        <v>255</v>
      </c>
      <c r="D10870" s="479">
        <v>21.95</v>
      </c>
      <c r="E10870" s="368"/>
      <c r="F10870" s="368"/>
    </row>
    <row r="10871" spans="1:6" ht="25.5" x14ac:dyDescent="0.2">
      <c r="A10871" s="391">
        <v>43681</v>
      </c>
      <c r="B10871" s="478" t="s">
        <v>43398</v>
      </c>
      <c r="C10871" s="391" t="s">
        <v>255</v>
      </c>
      <c r="D10871" s="479">
        <v>36.36</v>
      </c>
      <c r="E10871" s="368"/>
      <c r="F10871" s="368"/>
    </row>
    <row r="10872" spans="1:6" x14ac:dyDescent="0.2">
      <c r="A10872" s="391">
        <v>45248</v>
      </c>
      <c r="B10872" s="478" t="s">
        <v>48251</v>
      </c>
      <c r="C10872" s="391" t="s">
        <v>26</v>
      </c>
      <c r="D10872" s="479"/>
      <c r="E10872" s="368"/>
      <c r="F10872" s="368"/>
    </row>
    <row r="10873" spans="1:6" x14ac:dyDescent="0.2">
      <c r="A10873" s="391">
        <v>45243</v>
      </c>
      <c r="B10873" s="478" t="s">
        <v>48252</v>
      </c>
      <c r="C10873" s="391" t="s">
        <v>26</v>
      </c>
      <c r="D10873" s="479"/>
      <c r="E10873" s="368"/>
      <c r="F10873" s="368"/>
    </row>
    <row r="10874" spans="1:6" x14ac:dyDescent="0.2">
      <c r="A10874" s="391">
        <v>45252</v>
      </c>
      <c r="B10874" s="478" t="s">
        <v>48253</v>
      </c>
      <c r="C10874" s="391" t="s">
        <v>26</v>
      </c>
      <c r="D10874" s="479"/>
      <c r="E10874" s="368"/>
      <c r="F10874" s="368"/>
    </row>
    <row r="10875" spans="1:6" x14ac:dyDescent="0.2">
      <c r="A10875" s="391">
        <v>45246</v>
      </c>
      <c r="B10875" s="478" t="s">
        <v>48254</v>
      </c>
      <c r="C10875" s="391" t="s">
        <v>26</v>
      </c>
      <c r="D10875" s="479"/>
      <c r="E10875" s="368"/>
      <c r="F10875" s="368"/>
    </row>
    <row r="10876" spans="1:6" ht="25.5" x14ac:dyDescent="0.2">
      <c r="A10876" s="391">
        <v>20971</v>
      </c>
      <c r="B10876" s="478" t="s">
        <v>43399</v>
      </c>
      <c r="C10876" s="391" t="s">
        <v>26</v>
      </c>
      <c r="D10876" s="479">
        <v>19.420000000000002</v>
      </c>
      <c r="E10876" s="368"/>
      <c r="F10876" s="368"/>
    </row>
    <row r="10877" spans="1:6" x14ac:dyDescent="0.2">
      <c r="A10877" s="391">
        <v>45247</v>
      </c>
      <c r="B10877" s="478" t="s">
        <v>48255</v>
      </c>
      <c r="C10877" s="391" t="s">
        <v>26</v>
      </c>
      <c r="D10877" s="479"/>
      <c r="E10877" s="368"/>
      <c r="F10877" s="368"/>
    </row>
    <row r="10878" spans="1:6" ht="25.5" x14ac:dyDescent="0.2">
      <c r="A10878" s="391">
        <v>39746</v>
      </c>
      <c r="B10878" s="478" t="s">
        <v>43400</v>
      </c>
      <c r="C10878" s="391" t="s">
        <v>26</v>
      </c>
      <c r="D10878" s="479">
        <v>113.33</v>
      </c>
      <c r="E10878" s="368"/>
      <c r="F10878" s="368"/>
    </row>
    <row r="10879" spans="1:6" ht="25.5" x14ac:dyDescent="0.2">
      <c r="A10879" s="391">
        <v>13279</v>
      </c>
      <c r="B10879" s="478" t="s">
        <v>43401</v>
      </c>
      <c r="C10879" s="391" t="s">
        <v>1284</v>
      </c>
      <c r="D10879" s="479">
        <v>28.69</v>
      </c>
      <c r="E10879" s="368"/>
      <c r="F10879" s="368"/>
    </row>
    <row r="10880" spans="1:6" x14ac:dyDescent="0.2">
      <c r="A10880" s="391">
        <v>11977</v>
      </c>
      <c r="B10880" s="478" t="s">
        <v>43402</v>
      </c>
      <c r="C10880" s="391" t="s">
        <v>26</v>
      </c>
      <c r="D10880" s="479">
        <v>14.86</v>
      </c>
      <c r="E10880" s="368"/>
      <c r="F10880" s="368"/>
    </row>
    <row r="10881" spans="1:6" x14ac:dyDescent="0.2">
      <c r="A10881" s="391">
        <v>11976</v>
      </c>
      <c r="B10881" s="478" t="s">
        <v>43403</v>
      </c>
      <c r="C10881" s="391" t="s">
        <v>26</v>
      </c>
      <c r="D10881" s="479">
        <v>1.66</v>
      </c>
      <c r="E10881" s="368"/>
      <c r="F10881" s="368"/>
    </row>
    <row r="10882" spans="1:6" x14ac:dyDescent="0.2">
      <c r="A10882" s="391">
        <v>11975</v>
      </c>
      <c r="B10882" s="478" t="s">
        <v>43404</v>
      </c>
      <c r="C10882" s="391" t="s">
        <v>26</v>
      </c>
      <c r="D10882" s="479">
        <v>32.58</v>
      </c>
      <c r="E10882" s="368"/>
      <c r="F10882" s="368"/>
    </row>
    <row r="10883" spans="1:6" ht="25.5" x14ac:dyDescent="0.2">
      <c r="A10883" s="391">
        <v>1368</v>
      </c>
      <c r="B10883" s="478" t="s">
        <v>43405</v>
      </c>
      <c r="C10883" s="391" t="s">
        <v>26</v>
      </c>
      <c r="D10883" s="479">
        <v>94</v>
      </c>
      <c r="E10883" s="368"/>
      <c r="F10883" s="368"/>
    </row>
    <row r="10884" spans="1:6" ht="25.5" x14ac:dyDescent="0.2">
      <c r="A10884" s="391">
        <v>1367</v>
      </c>
      <c r="B10884" s="478" t="s">
        <v>43406</v>
      </c>
      <c r="C10884" s="391" t="s">
        <v>26</v>
      </c>
      <c r="D10884" s="479">
        <v>304.06</v>
      </c>
      <c r="E10884" s="368"/>
      <c r="F10884" s="368"/>
    </row>
    <row r="10885" spans="1:6" x14ac:dyDescent="0.2">
      <c r="A10885" s="391">
        <v>1380</v>
      </c>
      <c r="B10885" s="478" t="s">
        <v>43407</v>
      </c>
      <c r="C10885" s="391" t="s">
        <v>1284</v>
      </c>
      <c r="D10885" s="479">
        <v>4.82</v>
      </c>
      <c r="E10885" s="368"/>
      <c r="F10885" s="368"/>
    </row>
    <row r="10886" spans="1:6" ht="25.5" x14ac:dyDescent="0.2">
      <c r="A10886" s="391">
        <v>1375</v>
      </c>
      <c r="B10886" s="478" t="s">
        <v>43408</v>
      </c>
      <c r="C10886" s="391" t="s">
        <v>1284</v>
      </c>
      <c r="D10886" s="479">
        <v>19.78</v>
      </c>
      <c r="E10886" s="368"/>
      <c r="F10886" s="368"/>
    </row>
    <row r="10887" spans="1:6" x14ac:dyDescent="0.2">
      <c r="A10887" s="391">
        <v>1379</v>
      </c>
      <c r="B10887" s="478" t="s">
        <v>43409</v>
      </c>
      <c r="C10887" s="391" t="s">
        <v>1284</v>
      </c>
      <c r="D10887" s="479">
        <v>0.72</v>
      </c>
      <c r="E10887" s="368"/>
      <c r="F10887" s="368"/>
    </row>
    <row r="10888" spans="1:6" x14ac:dyDescent="0.2">
      <c r="A10888" s="391">
        <v>13284</v>
      </c>
      <c r="B10888" s="478" t="s">
        <v>43410</v>
      </c>
      <c r="C10888" s="391" t="s">
        <v>1284</v>
      </c>
      <c r="D10888" s="479">
        <v>0.65</v>
      </c>
      <c r="E10888" s="368"/>
      <c r="F10888" s="368"/>
    </row>
    <row r="10889" spans="1:6" x14ac:dyDescent="0.2">
      <c r="A10889" s="391">
        <v>44528</v>
      </c>
      <c r="B10889" s="478" t="s">
        <v>43411</v>
      </c>
      <c r="C10889" s="391" t="s">
        <v>1284</v>
      </c>
      <c r="D10889" s="479">
        <v>3.83</v>
      </c>
      <c r="E10889" s="368"/>
      <c r="F10889" s="368"/>
    </row>
    <row r="10890" spans="1:6" x14ac:dyDescent="0.2">
      <c r="A10890" s="391">
        <v>34753</v>
      </c>
      <c r="B10890" s="478" t="s">
        <v>43412</v>
      </c>
      <c r="C10890" s="391" t="s">
        <v>1284</v>
      </c>
      <c r="D10890" s="479">
        <v>0.7</v>
      </c>
      <c r="E10890" s="368"/>
      <c r="F10890" s="368"/>
    </row>
    <row r="10891" spans="1:6" ht="25.5" x14ac:dyDescent="0.2">
      <c r="A10891" s="391">
        <v>420</v>
      </c>
      <c r="B10891" s="478" t="s">
        <v>43413</v>
      </c>
      <c r="C10891" s="391" t="s">
        <v>26</v>
      </c>
      <c r="D10891" s="479"/>
      <c r="E10891" s="368"/>
      <c r="F10891" s="368"/>
    </row>
    <row r="10892" spans="1:6" ht="25.5" x14ac:dyDescent="0.2">
      <c r="A10892" s="391">
        <v>12327</v>
      </c>
      <c r="B10892" s="478" t="s">
        <v>43414</v>
      </c>
      <c r="C10892" s="391" t="s">
        <v>26</v>
      </c>
      <c r="D10892" s="479"/>
      <c r="E10892" s="368"/>
      <c r="F10892" s="368"/>
    </row>
    <row r="10893" spans="1:6" ht="25.5" x14ac:dyDescent="0.2">
      <c r="A10893" s="391">
        <v>36148</v>
      </c>
      <c r="B10893" s="478" t="s">
        <v>43415</v>
      </c>
      <c r="C10893" s="391" t="s">
        <v>26</v>
      </c>
      <c r="D10893" s="479">
        <v>172.24</v>
      </c>
      <c r="E10893" s="368"/>
      <c r="F10893" s="368"/>
    </row>
    <row r="10894" spans="1:6" x14ac:dyDescent="0.2">
      <c r="A10894" s="391">
        <v>12329</v>
      </c>
      <c r="B10894" s="478" t="s">
        <v>43416</v>
      </c>
      <c r="C10894" s="391" t="s">
        <v>1284</v>
      </c>
      <c r="D10894" s="479">
        <v>136.38</v>
      </c>
      <c r="E10894" s="368"/>
      <c r="F10894" s="368"/>
    </row>
    <row r="10895" spans="1:6" ht="25.5" x14ac:dyDescent="0.2">
      <c r="A10895" s="391">
        <v>1339</v>
      </c>
      <c r="B10895" s="478" t="s">
        <v>43417</v>
      </c>
      <c r="C10895" s="391" t="s">
        <v>1284</v>
      </c>
      <c r="D10895" s="479"/>
      <c r="E10895" s="368"/>
      <c r="F10895" s="368"/>
    </row>
    <row r="10896" spans="1:6" x14ac:dyDescent="0.2">
      <c r="A10896" s="391">
        <v>44396</v>
      </c>
      <c r="B10896" s="478" t="s">
        <v>43418</v>
      </c>
      <c r="C10896" s="391" t="s">
        <v>1284</v>
      </c>
      <c r="D10896" s="479">
        <v>45.44</v>
      </c>
      <c r="E10896" s="368"/>
      <c r="F10896" s="368"/>
    </row>
    <row r="10897" spans="1:6" x14ac:dyDescent="0.2">
      <c r="A10897" s="391">
        <v>44327</v>
      </c>
      <c r="B10897" s="478" t="s">
        <v>43419</v>
      </c>
      <c r="C10897" s="391" t="s">
        <v>9</v>
      </c>
      <c r="D10897" s="479">
        <v>154.55000000000001</v>
      </c>
      <c r="E10897" s="368"/>
      <c r="F10897" s="368"/>
    </row>
    <row r="10898" spans="1:6" ht="25.5" x14ac:dyDescent="0.2">
      <c r="A10898" s="391">
        <v>37418</v>
      </c>
      <c r="B10898" s="478" t="s">
        <v>43420</v>
      </c>
      <c r="C10898" s="391" t="s">
        <v>26</v>
      </c>
      <c r="D10898" s="479"/>
      <c r="E10898" s="368"/>
      <c r="F10898" s="368"/>
    </row>
    <row r="10899" spans="1:6" ht="25.5" x14ac:dyDescent="0.2">
      <c r="A10899" s="391">
        <v>37419</v>
      </c>
      <c r="B10899" s="478" t="s">
        <v>43421</v>
      </c>
      <c r="C10899" s="391" t="s">
        <v>26</v>
      </c>
      <c r="D10899" s="479"/>
      <c r="E10899" s="368"/>
      <c r="F10899" s="368"/>
    </row>
    <row r="10900" spans="1:6" ht="25.5" x14ac:dyDescent="0.2">
      <c r="A10900" s="391">
        <v>1427</v>
      </c>
      <c r="B10900" s="478" t="s">
        <v>43422</v>
      </c>
      <c r="C10900" s="391" t="s">
        <v>26</v>
      </c>
      <c r="D10900" s="479"/>
      <c r="E10900" s="368"/>
      <c r="F10900" s="368"/>
    </row>
    <row r="10901" spans="1:6" ht="25.5" x14ac:dyDescent="0.2">
      <c r="A10901" s="391">
        <v>1402</v>
      </c>
      <c r="B10901" s="478" t="s">
        <v>43423</v>
      </c>
      <c r="C10901" s="391" t="s">
        <v>26</v>
      </c>
      <c r="D10901" s="479"/>
      <c r="E10901" s="368"/>
      <c r="F10901" s="368"/>
    </row>
    <row r="10902" spans="1:6" ht="25.5" x14ac:dyDescent="0.2">
      <c r="A10902" s="391">
        <v>1420</v>
      </c>
      <c r="B10902" s="478" t="s">
        <v>43424</v>
      </c>
      <c r="C10902" s="391" t="s">
        <v>26</v>
      </c>
      <c r="D10902" s="479"/>
      <c r="E10902" s="368"/>
      <c r="F10902" s="368"/>
    </row>
    <row r="10903" spans="1:6" ht="25.5" x14ac:dyDescent="0.2">
      <c r="A10903" s="391">
        <v>1419</v>
      </c>
      <c r="B10903" s="478" t="s">
        <v>43425</v>
      </c>
      <c r="C10903" s="391" t="s">
        <v>26</v>
      </c>
      <c r="D10903" s="479"/>
      <c r="E10903" s="368"/>
      <c r="F10903" s="368"/>
    </row>
    <row r="10904" spans="1:6" ht="25.5" x14ac:dyDescent="0.2">
      <c r="A10904" s="391">
        <v>1414</v>
      </c>
      <c r="B10904" s="478" t="s">
        <v>43426</v>
      </c>
      <c r="C10904" s="391" t="s">
        <v>26</v>
      </c>
      <c r="D10904" s="479"/>
      <c r="E10904" s="368"/>
      <c r="F10904" s="368"/>
    </row>
    <row r="10905" spans="1:6" ht="25.5" x14ac:dyDescent="0.2">
      <c r="A10905" s="391">
        <v>1413</v>
      </c>
      <c r="B10905" s="478" t="s">
        <v>43427</v>
      </c>
      <c r="C10905" s="391" t="s">
        <v>26</v>
      </c>
      <c r="D10905" s="479"/>
      <c r="E10905" s="368"/>
      <c r="F10905" s="368"/>
    </row>
    <row r="10906" spans="1:6" ht="25.5" x14ac:dyDescent="0.2">
      <c r="A10906" s="391">
        <v>1412</v>
      </c>
      <c r="B10906" s="478" t="s">
        <v>43428</v>
      </c>
      <c r="C10906" s="391" t="s">
        <v>26</v>
      </c>
      <c r="D10906" s="479"/>
      <c r="E10906" s="368"/>
      <c r="F10906" s="368"/>
    </row>
    <row r="10907" spans="1:6" ht="25.5" x14ac:dyDescent="0.2">
      <c r="A10907" s="391">
        <v>1406</v>
      </c>
      <c r="B10907" s="478" t="s">
        <v>43429</v>
      </c>
      <c r="C10907" s="391" t="s">
        <v>26</v>
      </c>
      <c r="D10907" s="479"/>
      <c r="E10907" s="368"/>
      <c r="F10907" s="368"/>
    </row>
    <row r="10908" spans="1:6" ht="25.5" x14ac:dyDescent="0.2">
      <c r="A10908" s="391">
        <v>45237</v>
      </c>
      <c r="B10908" s="478" t="s">
        <v>48256</v>
      </c>
      <c r="C10908" s="391" t="s">
        <v>26</v>
      </c>
      <c r="D10908" s="479"/>
      <c r="E10908" s="368"/>
      <c r="F10908" s="368"/>
    </row>
    <row r="10909" spans="1:6" ht="51" x14ac:dyDescent="0.2">
      <c r="A10909" s="391">
        <v>11281</v>
      </c>
      <c r="B10909" s="478" t="s">
        <v>43430</v>
      </c>
      <c r="C10909" s="391" t="s">
        <v>26</v>
      </c>
      <c r="D10909" s="479"/>
      <c r="E10909" s="368"/>
      <c r="F10909" s="368"/>
    </row>
    <row r="10910" spans="1:6" ht="51" x14ac:dyDescent="0.2">
      <c r="A10910" s="391">
        <v>1442</v>
      </c>
      <c r="B10910" s="478" t="s">
        <v>43431</v>
      </c>
      <c r="C10910" s="391" t="s">
        <v>26</v>
      </c>
      <c r="D10910" s="479"/>
      <c r="E10910" s="368"/>
      <c r="F10910" s="368"/>
    </row>
    <row r="10911" spans="1:6" ht="51" x14ac:dyDescent="0.2">
      <c r="A10911" s="391">
        <v>13457</v>
      </c>
      <c r="B10911" s="478" t="s">
        <v>43432</v>
      </c>
      <c r="C10911" s="391" t="s">
        <v>26</v>
      </c>
      <c r="D10911" s="479"/>
      <c r="E10911" s="368"/>
      <c r="F10911" s="368"/>
    </row>
    <row r="10912" spans="1:6" ht="51" x14ac:dyDescent="0.2">
      <c r="A10912" s="391">
        <v>40699</v>
      </c>
      <c r="B10912" s="478" t="s">
        <v>43433</v>
      </c>
      <c r="C10912" s="391" t="s">
        <v>26</v>
      </c>
      <c r="D10912" s="479"/>
      <c r="E10912" s="368"/>
      <c r="F10912" s="368"/>
    </row>
    <row r="10913" spans="1:6" ht="51" x14ac:dyDescent="0.2">
      <c r="A10913" s="391">
        <v>40701</v>
      </c>
      <c r="B10913" s="478" t="s">
        <v>43434</v>
      </c>
      <c r="C10913" s="391" t="s">
        <v>26</v>
      </c>
      <c r="D10913" s="479"/>
      <c r="E10913" s="368"/>
      <c r="F10913" s="368"/>
    </row>
    <row r="10914" spans="1:6" ht="51" x14ac:dyDescent="0.2">
      <c r="A10914" s="391">
        <v>40700</v>
      </c>
      <c r="B10914" s="478" t="s">
        <v>43435</v>
      </c>
      <c r="C10914" s="391" t="s">
        <v>26</v>
      </c>
      <c r="D10914" s="479"/>
      <c r="E10914" s="368"/>
      <c r="F10914" s="368"/>
    </row>
    <row r="10915" spans="1:6" ht="25.5" x14ac:dyDescent="0.2">
      <c r="A10915" s="391">
        <v>13458</v>
      </c>
      <c r="B10915" s="478" t="s">
        <v>43436</v>
      </c>
      <c r="C10915" s="391" t="s">
        <v>26</v>
      </c>
      <c r="D10915" s="479"/>
      <c r="E10915" s="368"/>
      <c r="F10915" s="368"/>
    </row>
    <row r="10916" spans="1:6" ht="25.5" x14ac:dyDescent="0.2">
      <c r="A10916" s="391">
        <v>11134</v>
      </c>
      <c r="B10916" s="478" t="s">
        <v>43437</v>
      </c>
      <c r="C10916" s="391" t="s">
        <v>255</v>
      </c>
      <c r="D10916" s="479">
        <v>80.98</v>
      </c>
      <c r="E10916" s="368"/>
      <c r="F10916" s="368"/>
    </row>
    <row r="10917" spans="1:6" ht="25.5" x14ac:dyDescent="0.2">
      <c r="A10917" s="391">
        <v>11135</v>
      </c>
      <c r="B10917" s="478" t="s">
        <v>43438</v>
      </c>
      <c r="C10917" s="391" t="s">
        <v>255</v>
      </c>
      <c r="D10917" s="479">
        <v>87.44</v>
      </c>
      <c r="E10917" s="368"/>
      <c r="F10917" s="368"/>
    </row>
    <row r="10918" spans="1:6" ht="25.5" x14ac:dyDescent="0.2">
      <c r="A10918" s="391">
        <v>11136</v>
      </c>
      <c r="B10918" s="478" t="s">
        <v>43439</v>
      </c>
      <c r="C10918" s="391" t="s">
        <v>255</v>
      </c>
      <c r="D10918" s="479">
        <v>100.12</v>
      </c>
      <c r="E10918" s="368"/>
      <c r="F10918" s="368"/>
    </row>
    <row r="10919" spans="1:6" ht="25.5" x14ac:dyDescent="0.2">
      <c r="A10919" s="391">
        <v>34743</v>
      </c>
      <c r="B10919" s="478" t="s">
        <v>43440</v>
      </c>
      <c r="C10919" s="391" t="s">
        <v>255</v>
      </c>
      <c r="D10919" s="479">
        <v>120.8</v>
      </c>
      <c r="E10919" s="368"/>
      <c r="F10919" s="368"/>
    </row>
    <row r="10920" spans="1:6" ht="25.5" x14ac:dyDescent="0.2">
      <c r="A10920" s="391">
        <v>11137</v>
      </c>
      <c r="B10920" s="478" t="s">
        <v>43441</v>
      </c>
      <c r="C10920" s="391" t="s">
        <v>255</v>
      </c>
      <c r="D10920" s="479">
        <v>137.19999999999999</v>
      </c>
      <c r="E10920" s="368"/>
      <c r="F10920" s="368"/>
    </row>
    <row r="10921" spans="1:6" ht="25.5" x14ac:dyDescent="0.2">
      <c r="A10921" s="391">
        <v>34745</v>
      </c>
      <c r="B10921" s="478" t="s">
        <v>43442</v>
      </c>
      <c r="C10921" s="391" t="s">
        <v>255</v>
      </c>
      <c r="D10921" s="479">
        <v>163.16</v>
      </c>
      <c r="E10921" s="368"/>
      <c r="F10921" s="368"/>
    </row>
    <row r="10922" spans="1:6" ht="25.5" x14ac:dyDescent="0.2">
      <c r="A10922" s="391">
        <v>34746</v>
      </c>
      <c r="B10922" s="478" t="s">
        <v>43443</v>
      </c>
      <c r="C10922" s="391" t="s">
        <v>255</v>
      </c>
      <c r="D10922" s="479">
        <v>44.49</v>
      </c>
      <c r="E10922" s="368"/>
      <c r="F10922" s="368"/>
    </row>
    <row r="10923" spans="1:6" ht="25.5" x14ac:dyDescent="0.2">
      <c r="A10923" s="391">
        <v>1360</v>
      </c>
      <c r="B10923" s="478" t="s">
        <v>43444</v>
      </c>
      <c r="C10923" s="391" t="s">
        <v>255</v>
      </c>
      <c r="D10923" s="479">
        <v>51.91</v>
      </c>
      <c r="E10923" s="368"/>
      <c r="F10923" s="368"/>
    </row>
    <row r="10924" spans="1:6" ht="25.5" x14ac:dyDescent="0.2">
      <c r="A10924" s="391">
        <v>36524</v>
      </c>
      <c r="B10924" s="478" t="s">
        <v>43445</v>
      </c>
      <c r="C10924" s="391" t="s">
        <v>26</v>
      </c>
      <c r="D10924" s="479"/>
      <c r="E10924" s="368"/>
      <c r="F10924" s="368"/>
    </row>
    <row r="10925" spans="1:6" ht="25.5" x14ac:dyDescent="0.2">
      <c r="A10925" s="391">
        <v>36526</v>
      </c>
      <c r="B10925" s="478" t="s">
        <v>43446</v>
      </c>
      <c r="C10925" s="391" t="s">
        <v>26</v>
      </c>
      <c r="D10925" s="479"/>
      <c r="E10925" s="368"/>
      <c r="F10925" s="368"/>
    </row>
    <row r="10926" spans="1:6" ht="25.5" x14ac:dyDescent="0.2">
      <c r="A10926" s="391">
        <v>36523</v>
      </c>
      <c r="B10926" s="478" t="s">
        <v>43447</v>
      </c>
      <c r="C10926" s="391" t="s">
        <v>26</v>
      </c>
      <c r="D10926" s="479"/>
      <c r="E10926" s="368"/>
      <c r="F10926" s="368"/>
    </row>
    <row r="10927" spans="1:6" ht="25.5" x14ac:dyDescent="0.2">
      <c r="A10927" s="391">
        <v>36527</v>
      </c>
      <c r="B10927" s="478" t="s">
        <v>43448</v>
      </c>
      <c r="C10927" s="391" t="s">
        <v>26</v>
      </c>
      <c r="D10927" s="479"/>
      <c r="E10927" s="368"/>
      <c r="F10927" s="368"/>
    </row>
    <row r="10928" spans="1:6" ht="25.5" x14ac:dyDescent="0.2">
      <c r="A10928" s="391">
        <v>38642</v>
      </c>
      <c r="B10928" s="478" t="s">
        <v>43449</v>
      </c>
      <c r="C10928" s="391" t="s">
        <v>26</v>
      </c>
      <c r="D10928" s="479"/>
      <c r="E10928" s="368"/>
      <c r="F10928" s="368"/>
    </row>
    <row r="10929" spans="1:6" ht="25.5" x14ac:dyDescent="0.2">
      <c r="A10929" s="391">
        <v>36522</v>
      </c>
      <c r="B10929" s="478" t="s">
        <v>43450</v>
      </c>
      <c r="C10929" s="391" t="s">
        <v>26</v>
      </c>
      <c r="D10929" s="479"/>
      <c r="E10929" s="368"/>
      <c r="F10929" s="368"/>
    </row>
    <row r="10930" spans="1:6" ht="25.5" x14ac:dyDescent="0.2">
      <c r="A10930" s="391">
        <v>36525</v>
      </c>
      <c r="B10930" s="478" t="s">
        <v>43451</v>
      </c>
      <c r="C10930" s="391" t="s">
        <v>26</v>
      </c>
      <c r="D10930" s="479"/>
      <c r="E10930" s="368"/>
      <c r="F10930" s="368"/>
    </row>
    <row r="10931" spans="1:6" ht="25.5" x14ac:dyDescent="0.2">
      <c r="A10931" s="391">
        <v>13803</v>
      </c>
      <c r="B10931" s="478" t="s">
        <v>43452</v>
      </c>
      <c r="C10931" s="391" t="s">
        <v>26</v>
      </c>
      <c r="D10931" s="479"/>
      <c r="E10931" s="368"/>
      <c r="F10931" s="368"/>
    </row>
    <row r="10932" spans="1:6" ht="25.5" x14ac:dyDescent="0.2">
      <c r="A10932" s="391">
        <v>34348</v>
      </c>
      <c r="B10932" s="478" t="s">
        <v>43453</v>
      </c>
      <c r="C10932" s="391" t="s">
        <v>0</v>
      </c>
      <c r="D10932" s="479">
        <v>16.850000000000001</v>
      </c>
      <c r="E10932" s="368"/>
      <c r="F10932" s="368"/>
    </row>
    <row r="10933" spans="1:6" ht="25.5" x14ac:dyDescent="0.2">
      <c r="A10933" s="391">
        <v>34347</v>
      </c>
      <c r="B10933" s="478" t="s">
        <v>43454</v>
      </c>
      <c r="C10933" s="391" t="s">
        <v>0</v>
      </c>
      <c r="D10933" s="479">
        <v>12.05</v>
      </c>
      <c r="E10933" s="368"/>
      <c r="F10933" s="368"/>
    </row>
    <row r="10934" spans="1:6" ht="38.25" x14ac:dyDescent="0.2">
      <c r="A10934" s="391">
        <v>11146</v>
      </c>
      <c r="B10934" s="478" t="s">
        <v>43455</v>
      </c>
      <c r="C10934" s="391" t="s">
        <v>271</v>
      </c>
      <c r="D10934" s="479">
        <v>540.12</v>
      </c>
      <c r="E10934" s="368"/>
      <c r="F10934" s="368"/>
    </row>
    <row r="10935" spans="1:6" ht="38.25" x14ac:dyDescent="0.2">
      <c r="A10935" s="391">
        <v>11147</v>
      </c>
      <c r="B10935" s="478" t="s">
        <v>43456</v>
      </c>
      <c r="C10935" s="391" t="s">
        <v>271</v>
      </c>
      <c r="D10935" s="479">
        <v>561.26</v>
      </c>
      <c r="E10935" s="368"/>
      <c r="F10935" s="368"/>
    </row>
    <row r="10936" spans="1:6" ht="38.25" x14ac:dyDescent="0.2">
      <c r="A10936" s="391">
        <v>34872</v>
      </c>
      <c r="B10936" s="478" t="s">
        <v>43457</v>
      </c>
      <c r="C10936" s="391" t="s">
        <v>271</v>
      </c>
      <c r="D10936" s="479">
        <v>567.55999999999995</v>
      </c>
      <c r="E10936" s="368"/>
      <c r="F10936" s="368"/>
    </row>
    <row r="10937" spans="1:6" ht="38.25" x14ac:dyDescent="0.2">
      <c r="A10937" s="391">
        <v>34491</v>
      </c>
      <c r="B10937" s="478" t="s">
        <v>43458</v>
      </c>
      <c r="C10937" s="391" t="s">
        <v>271</v>
      </c>
      <c r="D10937" s="479">
        <v>584</v>
      </c>
      <c r="E10937" s="368"/>
      <c r="F10937" s="368"/>
    </row>
    <row r="10938" spans="1:6" ht="25.5" x14ac:dyDescent="0.2">
      <c r="A10938" s="391">
        <v>34770</v>
      </c>
      <c r="B10938" s="478" t="s">
        <v>43459</v>
      </c>
      <c r="C10938" s="391" t="s">
        <v>5477</v>
      </c>
      <c r="D10938" s="479">
        <v>568.91</v>
      </c>
      <c r="E10938" s="368"/>
      <c r="F10938" s="368"/>
    </row>
    <row r="10939" spans="1:6" ht="25.5" x14ac:dyDescent="0.2">
      <c r="A10939" s="391">
        <v>1518</v>
      </c>
      <c r="B10939" s="478" t="s">
        <v>43460</v>
      </c>
      <c r="C10939" s="391" t="s">
        <v>5477</v>
      </c>
      <c r="D10939" s="479">
        <v>580</v>
      </c>
      <c r="E10939" s="368"/>
      <c r="F10939" s="368"/>
    </row>
    <row r="10940" spans="1:6" ht="38.25" x14ac:dyDescent="0.2">
      <c r="A10940" s="391">
        <v>41965</v>
      </c>
      <c r="B10940" s="478" t="s">
        <v>43461</v>
      </c>
      <c r="C10940" s="391" t="s">
        <v>5477</v>
      </c>
      <c r="D10940" s="479">
        <v>508.56</v>
      </c>
      <c r="E10940" s="368"/>
      <c r="F10940" s="368"/>
    </row>
    <row r="10941" spans="1:6" ht="38.25" x14ac:dyDescent="0.2">
      <c r="A10941" s="391">
        <v>1524</v>
      </c>
      <c r="B10941" s="478" t="s">
        <v>43462</v>
      </c>
      <c r="C10941" s="391" t="s">
        <v>271</v>
      </c>
      <c r="D10941" s="479">
        <v>518.20000000000005</v>
      </c>
      <c r="E10941" s="368"/>
      <c r="F10941" s="368"/>
    </row>
    <row r="10942" spans="1:6" ht="25.5" x14ac:dyDescent="0.2">
      <c r="A10942" s="391">
        <v>34492</v>
      </c>
      <c r="B10942" s="478" t="s">
        <v>43463</v>
      </c>
      <c r="C10942" s="391" t="s">
        <v>271</v>
      </c>
      <c r="D10942" s="479">
        <v>480</v>
      </c>
      <c r="E10942" s="368"/>
      <c r="F10942" s="368"/>
    </row>
    <row r="10943" spans="1:6" ht="25.5" x14ac:dyDescent="0.2">
      <c r="A10943" s="391">
        <v>38404</v>
      </c>
      <c r="B10943" s="478" t="s">
        <v>43464</v>
      </c>
      <c r="C10943" s="391" t="s">
        <v>271</v>
      </c>
      <c r="D10943" s="479">
        <v>497.18</v>
      </c>
      <c r="E10943" s="368"/>
      <c r="F10943" s="368"/>
    </row>
    <row r="10944" spans="1:6" ht="38.25" x14ac:dyDescent="0.2">
      <c r="A10944" s="391">
        <v>39849</v>
      </c>
      <c r="B10944" s="478" t="s">
        <v>43465</v>
      </c>
      <c r="C10944" s="391" t="s">
        <v>271</v>
      </c>
      <c r="D10944" s="479">
        <v>569.77</v>
      </c>
      <c r="E10944" s="368"/>
      <c r="F10944" s="368"/>
    </row>
    <row r="10945" spans="1:6" ht="38.25" x14ac:dyDescent="0.2">
      <c r="A10945" s="391">
        <v>38464</v>
      </c>
      <c r="B10945" s="478" t="s">
        <v>43466</v>
      </c>
      <c r="C10945" s="391" t="s">
        <v>271</v>
      </c>
      <c r="D10945" s="479">
        <v>578.04</v>
      </c>
      <c r="E10945" s="368"/>
      <c r="F10945" s="368"/>
    </row>
    <row r="10946" spans="1:6" ht="38.25" x14ac:dyDescent="0.2">
      <c r="A10946" s="391">
        <v>1527</v>
      </c>
      <c r="B10946" s="478" t="s">
        <v>43467</v>
      </c>
      <c r="C10946" s="391" t="s">
        <v>271</v>
      </c>
      <c r="D10946" s="479">
        <v>534.66</v>
      </c>
      <c r="E10946" s="368"/>
      <c r="F10946" s="368"/>
    </row>
    <row r="10947" spans="1:6" ht="25.5" x14ac:dyDescent="0.2">
      <c r="A10947" s="391">
        <v>34493</v>
      </c>
      <c r="B10947" s="478" t="s">
        <v>43468</v>
      </c>
      <c r="C10947" s="391" t="s">
        <v>271</v>
      </c>
      <c r="D10947" s="479">
        <v>493.53</v>
      </c>
      <c r="E10947" s="368"/>
      <c r="F10947" s="368"/>
    </row>
    <row r="10948" spans="1:6" ht="25.5" x14ac:dyDescent="0.2">
      <c r="A10948" s="391">
        <v>38405</v>
      </c>
      <c r="B10948" s="478" t="s">
        <v>43469</v>
      </c>
      <c r="C10948" s="391" t="s">
        <v>271</v>
      </c>
      <c r="D10948" s="479">
        <v>512.52</v>
      </c>
      <c r="E10948" s="368"/>
      <c r="F10948" s="368"/>
    </row>
    <row r="10949" spans="1:6" ht="25.5" x14ac:dyDescent="0.2">
      <c r="A10949" s="391">
        <v>38408</v>
      </c>
      <c r="B10949" s="478" t="s">
        <v>43470</v>
      </c>
      <c r="C10949" s="391" t="s">
        <v>271</v>
      </c>
      <c r="D10949" s="479">
        <v>567.30999999999995</v>
      </c>
      <c r="E10949" s="368"/>
      <c r="F10949" s="368"/>
    </row>
    <row r="10950" spans="1:6" ht="38.25" x14ac:dyDescent="0.2">
      <c r="A10950" s="391">
        <v>1525</v>
      </c>
      <c r="B10950" s="478" t="s">
        <v>43471</v>
      </c>
      <c r="C10950" s="391" t="s">
        <v>271</v>
      </c>
      <c r="D10950" s="479">
        <v>551.1</v>
      </c>
      <c r="E10950" s="368"/>
      <c r="F10950" s="368"/>
    </row>
    <row r="10951" spans="1:6" ht="25.5" x14ac:dyDescent="0.2">
      <c r="A10951" s="391">
        <v>34494</v>
      </c>
      <c r="B10951" s="478" t="s">
        <v>43472</v>
      </c>
      <c r="C10951" s="391" t="s">
        <v>271</v>
      </c>
      <c r="D10951" s="479">
        <v>509.98</v>
      </c>
      <c r="E10951" s="368"/>
      <c r="F10951" s="368"/>
    </row>
    <row r="10952" spans="1:6" ht="25.5" x14ac:dyDescent="0.2">
      <c r="A10952" s="391">
        <v>38406</v>
      </c>
      <c r="B10952" s="478" t="s">
        <v>43473</v>
      </c>
      <c r="C10952" s="391" t="s">
        <v>271</v>
      </c>
      <c r="D10952" s="479">
        <v>541.17999999999995</v>
      </c>
      <c r="E10952" s="368"/>
      <c r="F10952" s="368"/>
    </row>
    <row r="10953" spans="1:6" ht="25.5" x14ac:dyDescent="0.2">
      <c r="A10953" s="391">
        <v>38409</v>
      </c>
      <c r="B10953" s="478" t="s">
        <v>43474</v>
      </c>
      <c r="C10953" s="391" t="s">
        <v>271</v>
      </c>
      <c r="D10953" s="479">
        <v>571.16999999999996</v>
      </c>
      <c r="E10953" s="368"/>
      <c r="F10953" s="368"/>
    </row>
    <row r="10954" spans="1:6" ht="25.5" x14ac:dyDescent="0.2">
      <c r="A10954" s="391">
        <v>43360</v>
      </c>
      <c r="B10954" s="478" t="s">
        <v>43475</v>
      </c>
      <c r="C10954" s="391" t="s">
        <v>271</v>
      </c>
      <c r="D10954" s="479">
        <v>595.57000000000005</v>
      </c>
      <c r="E10954" s="368"/>
      <c r="F10954" s="368"/>
    </row>
    <row r="10955" spans="1:6" ht="38.25" x14ac:dyDescent="0.2">
      <c r="A10955" s="391">
        <v>11145</v>
      </c>
      <c r="B10955" s="478" t="s">
        <v>43476</v>
      </c>
      <c r="C10955" s="391" t="s">
        <v>271</v>
      </c>
      <c r="D10955" s="479">
        <v>567.55999999999995</v>
      </c>
      <c r="E10955" s="368"/>
      <c r="F10955" s="368"/>
    </row>
    <row r="10956" spans="1:6" ht="25.5" x14ac:dyDescent="0.2">
      <c r="A10956" s="391">
        <v>34495</v>
      </c>
      <c r="B10956" s="478" t="s">
        <v>43477</v>
      </c>
      <c r="C10956" s="391" t="s">
        <v>271</v>
      </c>
      <c r="D10956" s="479">
        <v>526.42999999999995</v>
      </c>
      <c r="E10956" s="368"/>
      <c r="F10956" s="368"/>
    </row>
    <row r="10957" spans="1:6" ht="38.25" x14ac:dyDescent="0.2">
      <c r="A10957" s="391">
        <v>34479</v>
      </c>
      <c r="B10957" s="478" t="s">
        <v>43478</v>
      </c>
      <c r="C10957" s="391" t="s">
        <v>271</v>
      </c>
      <c r="D10957" s="479">
        <v>584</v>
      </c>
      <c r="E10957" s="368"/>
      <c r="F10957" s="368"/>
    </row>
    <row r="10958" spans="1:6" ht="25.5" x14ac:dyDescent="0.2">
      <c r="A10958" s="391">
        <v>34496</v>
      </c>
      <c r="B10958" s="478" t="s">
        <v>43479</v>
      </c>
      <c r="C10958" s="391" t="s">
        <v>271</v>
      </c>
      <c r="D10958" s="479">
        <v>549.15</v>
      </c>
      <c r="E10958" s="368"/>
      <c r="F10958" s="368"/>
    </row>
    <row r="10959" spans="1:6" ht="38.25" x14ac:dyDescent="0.2">
      <c r="A10959" s="391">
        <v>34481</v>
      </c>
      <c r="B10959" s="478" t="s">
        <v>43480</v>
      </c>
      <c r="C10959" s="391" t="s">
        <v>271</v>
      </c>
      <c r="D10959" s="479">
        <v>610.22</v>
      </c>
      <c r="E10959" s="368"/>
      <c r="F10959" s="368"/>
    </row>
    <row r="10960" spans="1:6" ht="38.25" x14ac:dyDescent="0.2">
      <c r="A10960" s="391">
        <v>34483</v>
      </c>
      <c r="B10960" s="478" t="s">
        <v>43481</v>
      </c>
      <c r="C10960" s="391" t="s">
        <v>271</v>
      </c>
      <c r="D10960" s="479">
        <v>651.97</v>
      </c>
      <c r="E10960" s="368"/>
      <c r="F10960" s="368"/>
    </row>
    <row r="10961" spans="1:6" ht="38.25" x14ac:dyDescent="0.2">
      <c r="A10961" s="391">
        <v>34485</v>
      </c>
      <c r="B10961" s="478" t="s">
        <v>43482</v>
      </c>
      <c r="C10961" s="391" t="s">
        <v>271</v>
      </c>
      <c r="D10961" s="479">
        <v>697.21</v>
      </c>
      <c r="E10961" s="368"/>
      <c r="F10961" s="368"/>
    </row>
    <row r="10962" spans="1:6" ht="25.5" x14ac:dyDescent="0.2">
      <c r="A10962" s="391">
        <v>14041</v>
      </c>
      <c r="B10962" s="480" t="s">
        <v>43483</v>
      </c>
      <c r="C10962" s="391" t="s">
        <v>271</v>
      </c>
      <c r="D10962" s="479">
        <v>453.22</v>
      </c>
      <c r="E10962" s="368"/>
      <c r="F10962" s="368"/>
    </row>
    <row r="10963" spans="1:6" ht="25.5" x14ac:dyDescent="0.2">
      <c r="A10963" s="391">
        <v>1523</v>
      </c>
      <c r="B10963" s="478" t="s">
        <v>43484</v>
      </c>
      <c r="C10963" s="391" t="s">
        <v>271</v>
      </c>
      <c r="D10963" s="479">
        <v>460.62</v>
      </c>
      <c r="E10963" s="368"/>
      <c r="F10963" s="368"/>
    </row>
    <row r="10964" spans="1:6" ht="25.5" x14ac:dyDescent="0.2">
      <c r="A10964" s="391">
        <v>14054</v>
      </c>
      <c r="B10964" s="478" t="s">
        <v>43485</v>
      </c>
      <c r="C10964" s="391" t="s">
        <v>26</v>
      </c>
      <c r="D10964" s="479"/>
      <c r="E10964" s="368"/>
      <c r="F10964" s="368"/>
    </row>
    <row r="10965" spans="1:6" ht="25.5" x14ac:dyDescent="0.2">
      <c r="A10965" s="391">
        <v>14052</v>
      </c>
      <c r="B10965" s="478" t="s">
        <v>43486</v>
      </c>
      <c r="C10965" s="391" t="s">
        <v>26</v>
      </c>
      <c r="D10965" s="479"/>
      <c r="E10965" s="368"/>
      <c r="F10965" s="368"/>
    </row>
    <row r="10966" spans="1:6" ht="25.5" x14ac:dyDescent="0.2">
      <c r="A10966" s="391">
        <v>14053</v>
      </c>
      <c r="B10966" s="478" t="s">
        <v>43487</v>
      </c>
      <c r="C10966" s="391" t="s">
        <v>26</v>
      </c>
      <c r="D10966" s="479"/>
      <c r="E10966" s="368"/>
      <c r="F10966" s="368"/>
    </row>
    <row r="10967" spans="1:6" ht="25.5" x14ac:dyDescent="0.2">
      <c r="A10967" s="391">
        <v>2560</v>
      </c>
      <c r="B10967" s="478" t="s">
        <v>43488</v>
      </c>
      <c r="C10967" s="391" t="s">
        <v>26</v>
      </c>
      <c r="D10967" s="479"/>
      <c r="E10967" s="368"/>
      <c r="F10967" s="368"/>
    </row>
    <row r="10968" spans="1:6" ht="25.5" x14ac:dyDescent="0.2">
      <c r="A10968" s="391">
        <v>2558</v>
      </c>
      <c r="B10968" s="478" t="s">
        <v>43489</v>
      </c>
      <c r="C10968" s="391" t="s">
        <v>26</v>
      </c>
      <c r="D10968" s="479"/>
      <c r="E10968" s="368"/>
      <c r="F10968" s="368"/>
    </row>
    <row r="10969" spans="1:6" ht="25.5" x14ac:dyDescent="0.2">
      <c r="A10969" s="391">
        <v>2559</v>
      </c>
      <c r="B10969" s="478" t="s">
        <v>43490</v>
      </c>
      <c r="C10969" s="391" t="s">
        <v>26</v>
      </c>
      <c r="D10969" s="479"/>
      <c r="E10969" s="368"/>
      <c r="F10969" s="368"/>
    </row>
    <row r="10970" spans="1:6" ht="25.5" x14ac:dyDescent="0.2">
      <c r="A10970" s="391">
        <v>2592</v>
      </c>
      <c r="B10970" s="478" t="s">
        <v>43491</v>
      </c>
      <c r="C10970" s="391" t="s">
        <v>26</v>
      </c>
      <c r="D10970" s="479"/>
      <c r="E10970" s="368"/>
      <c r="F10970" s="368"/>
    </row>
    <row r="10971" spans="1:6" ht="25.5" x14ac:dyDescent="0.2">
      <c r="A10971" s="391">
        <v>2589</v>
      </c>
      <c r="B10971" s="478" t="s">
        <v>43492</v>
      </c>
      <c r="C10971" s="391" t="s">
        <v>26</v>
      </c>
      <c r="D10971" s="479"/>
      <c r="E10971" s="368"/>
      <c r="F10971" s="368"/>
    </row>
    <row r="10972" spans="1:6" ht="25.5" x14ac:dyDescent="0.2">
      <c r="A10972" s="391">
        <v>2566</v>
      </c>
      <c r="B10972" s="478" t="s">
        <v>43493</v>
      </c>
      <c r="C10972" s="391" t="s">
        <v>26</v>
      </c>
      <c r="D10972" s="479"/>
      <c r="E10972" s="368"/>
      <c r="F10972" s="368"/>
    </row>
    <row r="10973" spans="1:6" ht="25.5" x14ac:dyDescent="0.2">
      <c r="A10973" s="391">
        <v>2590</v>
      </c>
      <c r="B10973" s="478" t="s">
        <v>43494</v>
      </c>
      <c r="C10973" s="391" t="s">
        <v>26</v>
      </c>
      <c r="D10973" s="479"/>
      <c r="E10973" s="368"/>
      <c r="F10973" s="368"/>
    </row>
    <row r="10974" spans="1:6" ht="25.5" x14ac:dyDescent="0.2">
      <c r="A10974" s="391">
        <v>2591</v>
      </c>
      <c r="B10974" s="478" t="s">
        <v>43495</v>
      </c>
      <c r="C10974" s="391" t="s">
        <v>26</v>
      </c>
      <c r="D10974" s="479"/>
      <c r="E10974" s="368"/>
      <c r="F10974" s="368"/>
    </row>
    <row r="10975" spans="1:6" ht="25.5" x14ac:dyDescent="0.2">
      <c r="A10975" s="391">
        <v>2567</v>
      </c>
      <c r="B10975" s="478" t="s">
        <v>43496</v>
      </c>
      <c r="C10975" s="391" t="s">
        <v>26</v>
      </c>
      <c r="D10975" s="479"/>
      <c r="E10975" s="368"/>
      <c r="F10975" s="368"/>
    </row>
    <row r="10976" spans="1:6" ht="25.5" x14ac:dyDescent="0.2">
      <c r="A10976" s="391">
        <v>2568</v>
      </c>
      <c r="B10976" s="478" t="s">
        <v>43497</v>
      </c>
      <c r="C10976" s="391" t="s">
        <v>26</v>
      </c>
      <c r="D10976" s="479"/>
      <c r="E10976" s="368"/>
      <c r="F10976" s="368"/>
    </row>
    <row r="10977" spans="1:6" ht="25.5" x14ac:dyDescent="0.2">
      <c r="A10977" s="391">
        <v>2565</v>
      </c>
      <c r="B10977" s="478" t="s">
        <v>43498</v>
      </c>
      <c r="C10977" s="391" t="s">
        <v>26</v>
      </c>
      <c r="D10977" s="479"/>
      <c r="E10977" s="368"/>
      <c r="F10977" s="368"/>
    </row>
    <row r="10978" spans="1:6" ht="25.5" x14ac:dyDescent="0.2">
      <c r="A10978" s="391">
        <v>2594</v>
      </c>
      <c r="B10978" s="478" t="s">
        <v>43499</v>
      </c>
      <c r="C10978" s="391" t="s">
        <v>26</v>
      </c>
      <c r="D10978" s="479"/>
      <c r="E10978" s="368"/>
      <c r="F10978" s="368"/>
    </row>
    <row r="10979" spans="1:6" ht="25.5" x14ac:dyDescent="0.2">
      <c r="A10979" s="391">
        <v>2587</v>
      </c>
      <c r="B10979" s="478" t="s">
        <v>43500</v>
      </c>
      <c r="C10979" s="391" t="s">
        <v>26</v>
      </c>
      <c r="D10979" s="479"/>
      <c r="E10979" s="368"/>
      <c r="F10979" s="368"/>
    </row>
    <row r="10980" spans="1:6" ht="25.5" x14ac:dyDescent="0.2">
      <c r="A10980" s="391">
        <v>2588</v>
      </c>
      <c r="B10980" s="478" t="s">
        <v>43501</v>
      </c>
      <c r="C10980" s="391" t="s">
        <v>26</v>
      </c>
      <c r="D10980" s="479"/>
      <c r="E10980" s="368"/>
      <c r="F10980" s="368"/>
    </row>
    <row r="10981" spans="1:6" ht="25.5" x14ac:dyDescent="0.2">
      <c r="A10981" s="391">
        <v>2570</v>
      </c>
      <c r="B10981" s="478" t="s">
        <v>43502</v>
      </c>
      <c r="C10981" s="391" t="s">
        <v>26</v>
      </c>
      <c r="D10981" s="479"/>
      <c r="E10981" s="368"/>
      <c r="F10981" s="368"/>
    </row>
    <row r="10982" spans="1:6" ht="25.5" x14ac:dyDescent="0.2">
      <c r="A10982" s="391">
        <v>2569</v>
      </c>
      <c r="B10982" s="478" t="s">
        <v>43503</v>
      </c>
      <c r="C10982" s="391" t="s">
        <v>26</v>
      </c>
      <c r="D10982" s="479"/>
      <c r="E10982" s="368"/>
      <c r="F10982" s="368"/>
    </row>
    <row r="10983" spans="1:6" ht="25.5" x14ac:dyDescent="0.2">
      <c r="A10983" s="391">
        <v>2571</v>
      </c>
      <c r="B10983" s="478" t="s">
        <v>43504</v>
      </c>
      <c r="C10983" s="391" t="s">
        <v>26</v>
      </c>
      <c r="D10983" s="479"/>
      <c r="E10983" s="368"/>
      <c r="F10983" s="368"/>
    </row>
    <row r="10984" spans="1:6" ht="25.5" x14ac:dyDescent="0.2">
      <c r="A10984" s="391">
        <v>2572</v>
      </c>
      <c r="B10984" s="478" t="s">
        <v>43505</v>
      </c>
      <c r="C10984" s="391" t="s">
        <v>26</v>
      </c>
      <c r="D10984" s="479"/>
      <c r="E10984" s="368"/>
      <c r="F10984" s="368"/>
    </row>
    <row r="10985" spans="1:6" ht="25.5" x14ac:dyDescent="0.2">
      <c r="A10985" s="391">
        <v>2593</v>
      </c>
      <c r="B10985" s="478" t="s">
        <v>43506</v>
      </c>
      <c r="C10985" s="391" t="s">
        <v>26</v>
      </c>
      <c r="D10985" s="479"/>
      <c r="E10985" s="368"/>
      <c r="F10985" s="368"/>
    </row>
    <row r="10986" spans="1:6" ht="25.5" x14ac:dyDescent="0.2">
      <c r="A10986" s="391">
        <v>2595</v>
      </c>
      <c r="B10986" s="478" t="s">
        <v>43507</v>
      </c>
      <c r="C10986" s="391" t="s">
        <v>26</v>
      </c>
      <c r="D10986" s="479"/>
      <c r="E10986" s="368"/>
      <c r="F10986" s="368"/>
    </row>
    <row r="10987" spans="1:6" ht="25.5" x14ac:dyDescent="0.2">
      <c r="A10987" s="391">
        <v>2576</v>
      </c>
      <c r="B10987" s="478" t="s">
        <v>43508</v>
      </c>
      <c r="C10987" s="391" t="s">
        <v>26</v>
      </c>
      <c r="D10987" s="479"/>
      <c r="E10987" s="368"/>
      <c r="F10987" s="368"/>
    </row>
    <row r="10988" spans="1:6" ht="25.5" x14ac:dyDescent="0.2">
      <c r="A10988" s="391">
        <v>2575</v>
      </c>
      <c r="B10988" s="478" t="s">
        <v>43509</v>
      </c>
      <c r="C10988" s="391" t="s">
        <v>26</v>
      </c>
      <c r="D10988" s="479"/>
      <c r="E10988" s="368"/>
      <c r="F10988" s="368"/>
    </row>
    <row r="10989" spans="1:6" ht="25.5" x14ac:dyDescent="0.2">
      <c r="A10989" s="391">
        <v>2586</v>
      </c>
      <c r="B10989" s="478" t="s">
        <v>43510</v>
      </c>
      <c r="C10989" s="391" t="s">
        <v>26</v>
      </c>
      <c r="D10989" s="479"/>
      <c r="E10989" s="368"/>
      <c r="F10989" s="368"/>
    </row>
    <row r="10990" spans="1:6" ht="25.5" x14ac:dyDescent="0.2">
      <c r="A10990" s="391">
        <v>2573</v>
      </c>
      <c r="B10990" s="478" t="s">
        <v>43511</v>
      </c>
      <c r="C10990" s="391" t="s">
        <v>26</v>
      </c>
      <c r="D10990" s="479"/>
      <c r="E10990" s="368"/>
      <c r="F10990" s="368"/>
    </row>
    <row r="10991" spans="1:6" ht="25.5" x14ac:dyDescent="0.2">
      <c r="A10991" s="391">
        <v>2577</v>
      </c>
      <c r="B10991" s="478" t="s">
        <v>43512</v>
      </c>
      <c r="C10991" s="391" t="s">
        <v>26</v>
      </c>
      <c r="D10991" s="479"/>
      <c r="E10991" s="368"/>
      <c r="F10991" s="368"/>
    </row>
    <row r="10992" spans="1:6" ht="25.5" x14ac:dyDescent="0.2">
      <c r="A10992" s="391">
        <v>2578</v>
      </c>
      <c r="B10992" s="478" t="s">
        <v>43513</v>
      </c>
      <c r="C10992" s="391" t="s">
        <v>26</v>
      </c>
      <c r="D10992" s="479"/>
      <c r="E10992" s="368"/>
      <c r="F10992" s="368"/>
    </row>
    <row r="10993" spans="1:6" ht="25.5" x14ac:dyDescent="0.2">
      <c r="A10993" s="391">
        <v>2574</v>
      </c>
      <c r="B10993" s="478" t="s">
        <v>43514</v>
      </c>
      <c r="C10993" s="391" t="s">
        <v>26</v>
      </c>
      <c r="D10993" s="479"/>
      <c r="E10993" s="368"/>
      <c r="F10993" s="368"/>
    </row>
    <row r="10994" spans="1:6" ht="25.5" x14ac:dyDescent="0.2">
      <c r="A10994" s="391">
        <v>2585</v>
      </c>
      <c r="B10994" s="478" t="s">
        <v>43515</v>
      </c>
      <c r="C10994" s="391" t="s">
        <v>26</v>
      </c>
      <c r="D10994" s="479"/>
      <c r="E10994" s="368"/>
      <c r="F10994" s="368"/>
    </row>
    <row r="10995" spans="1:6" ht="25.5" x14ac:dyDescent="0.2">
      <c r="A10995" s="391">
        <v>12008</v>
      </c>
      <c r="B10995" s="478" t="s">
        <v>43516</v>
      </c>
      <c r="C10995" s="391" t="s">
        <v>26</v>
      </c>
      <c r="D10995" s="479"/>
      <c r="E10995" s="368"/>
      <c r="F10995" s="368"/>
    </row>
    <row r="10996" spans="1:6" ht="25.5" x14ac:dyDescent="0.2">
      <c r="A10996" s="391">
        <v>2582</v>
      </c>
      <c r="B10996" s="478" t="s">
        <v>43517</v>
      </c>
      <c r="C10996" s="391" t="s">
        <v>26</v>
      </c>
      <c r="D10996" s="479"/>
      <c r="E10996" s="368"/>
      <c r="F10996" s="368"/>
    </row>
    <row r="10997" spans="1:6" ht="25.5" x14ac:dyDescent="0.2">
      <c r="A10997" s="391">
        <v>2597</v>
      </c>
      <c r="B10997" s="478" t="s">
        <v>43518</v>
      </c>
      <c r="C10997" s="391" t="s">
        <v>26</v>
      </c>
      <c r="D10997" s="479"/>
      <c r="E10997" s="368"/>
      <c r="F10997" s="368"/>
    </row>
    <row r="10998" spans="1:6" ht="25.5" x14ac:dyDescent="0.2">
      <c r="A10998" s="391">
        <v>2581</v>
      </c>
      <c r="B10998" s="478" t="s">
        <v>43519</v>
      </c>
      <c r="C10998" s="391" t="s">
        <v>26</v>
      </c>
      <c r="D10998" s="479"/>
      <c r="E10998" s="368"/>
      <c r="F10998" s="368"/>
    </row>
    <row r="10999" spans="1:6" ht="25.5" x14ac:dyDescent="0.2">
      <c r="A10999" s="391">
        <v>2579</v>
      </c>
      <c r="B10999" s="478" t="s">
        <v>43520</v>
      </c>
      <c r="C10999" s="391" t="s">
        <v>26</v>
      </c>
      <c r="D10999" s="479"/>
      <c r="E10999" s="368"/>
      <c r="F10999" s="368"/>
    </row>
    <row r="11000" spans="1:6" ht="25.5" x14ac:dyDescent="0.2">
      <c r="A11000" s="391">
        <v>2596</v>
      </c>
      <c r="B11000" s="478" t="s">
        <v>43521</v>
      </c>
      <c r="C11000" s="391" t="s">
        <v>26</v>
      </c>
      <c r="D11000" s="479"/>
      <c r="E11000" s="368"/>
      <c r="F11000" s="368"/>
    </row>
    <row r="11001" spans="1:6" ht="25.5" x14ac:dyDescent="0.2">
      <c r="A11001" s="391">
        <v>2583</v>
      </c>
      <c r="B11001" s="478" t="s">
        <v>43522</v>
      </c>
      <c r="C11001" s="391" t="s">
        <v>26</v>
      </c>
      <c r="D11001" s="479"/>
      <c r="E11001" s="368"/>
      <c r="F11001" s="368"/>
    </row>
    <row r="11002" spans="1:6" ht="25.5" x14ac:dyDescent="0.2">
      <c r="A11002" s="391">
        <v>2580</v>
      </c>
      <c r="B11002" s="478" t="s">
        <v>43523</v>
      </c>
      <c r="C11002" s="391" t="s">
        <v>26</v>
      </c>
      <c r="D11002" s="479"/>
      <c r="E11002" s="368"/>
      <c r="F11002" s="368"/>
    </row>
    <row r="11003" spans="1:6" ht="25.5" x14ac:dyDescent="0.2">
      <c r="A11003" s="391">
        <v>2584</v>
      </c>
      <c r="B11003" s="478" t="s">
        <v>43524</v>
      </c>
      <c r="C11003" s="391" t="s">
        <v>26</v>
      </c>
      <c r="D11003" s="479"/>
      <c r="E11003" s="368"/>
      <c r="F11003" s="368"/>
    </row>
    <row r="11004" spans="1:6" x14ac:dyDescent="0.2">
      <c r="A11004" s="391">
        <v>39329</v>
      </c>
      <c r="B11004" s="478" t="s">
        <v>43525</v>
      </c>
      <c r="C11004" s="391" t="s">
        <v>26</v>
      </c>
      <c r="D11004" s="479">
        <v>7.84</v>
      </c>
      <c r="E11004" s="368"/>
      <c r="F11004" s="368"/>
    </row>
    <row r="11005" spans="1:6" x14ac:dyDescent="0.2">
      <c r="A11005" s="391">
        <v>12010</v>
      </c>
      <c r="B11005" s="478" t="s">
        <v>43526</v>
      </c>
      <c r="C11005" s="391" t="s">
        <v>26</v>
      </c>
      <c r="D11005" s="479">
        <v>7.49</v>
      </c>
      <c r="E11005" s="368"/>
      <c r="F11005" s="368"/>
    </row>
    <row r="11006" spans="1:6" x14ac:dyDescent="0.2">
      <c r="A11006" s="391">
        <v>39332</v>
      </c>
      <c r="B11006" s="478" t="s">
        <v>43527</v>
      </c>
      <c r="C11006" s="391" t="s">
        <v>26</v>
      </c>
      <c r="D11006" s="479">
        <v>9.2100000000000009</v>
      </c>
      <c r="E11006" s="368"/>
      <c r="F11006" s="368"/>
    </row>
    <row r="11007" spans="1:6" x14ac:dyDescent="0.2">
      <c r="A11007" s="391">
        <v>39330</v>
      </c>
      <c r="B11007" s="478" t="s">
        <v>43528</v>
      </c>
      <c r="C11007" s="391" t="s">
        <v>26</v>
      </c>
      <c r="D11007" s="479">
        <v>8.24</v>
      </c>
      <c r="E11007" s="368"/>
      <c r="F11007" s="368"/>
    </row>
    <row r="11008" spans="1:6" x14ac:dyDescent="0.2">
      <c r="A11008" s="391">
        <v>39331</v>
      </c>
      <c r="B11008" s="478" t="s">
        <v>43529</v>
      </c>
      <c r="C11008" s="391" t="s">
        <v>26</v>
      </c>
      <c r="D11008" s="479">
        <v>7.33</v>
      </c>
      <c r="E11008" s="368"/>
      <c r="F11008" s="368"/>
    </row>
    <row r="11009" spans="1:6" x14ac:dyDescent="0.2">
      <c r="A11009" s="391">
        <v>39335</v>
      </c>
      <c r="B11009" s="478" t="s">
        <v>43530</v>
      </c>
      <c r="C11009" s="391" t="s">
        <v>26</v>
      </c>
      <c r="D11009" s="479">
        <v>8.27</v>
      </c>
      <c r="E11009" s="368"/>
      <c r="F11009" s="368"/>
    </row>
    <row r="11010" spans="1:6" x14ac:dyDescent="0.2">
      <c r="A11010" s="391">
        <v>39333</v>
      </c>
      <c r="B11010" s="478" t="s">
        <v>43531</v>
      </c>
      <c r="C11010" s="391" t="s">
        <v>26</v>
      </c>
      <c r="D11010" s="479">
        <v>7.15</v>
      </c>
      <c r="E11010" s="368"/>
      <c r="F11010" s="368"/>
    </row>
    <row r="11011" spans="1:6" x14ac:dyDescent="0.2">
      <c r="A11011" s="391">
        <v>39334</v>
      </c>
      <c r="B11011" s="478" t="s">
        <v>43532</v>
      </c>
      <c r="C11011" s="391" t="s">
        <v>26</v>
      </c>
      <c r="D11011" s="479">
        <v>6.58</v>
      </c>
      <c r="E11011" s="368"/>
      <c r="F11011" s="368"/>
    </row>
    <row r="11012" spans="1:6" x14ac:dyDescent="0.2">
      <c r="A11012" s="391">
        <v>12015</v>
      </c>
      <c r="B11012" s="478" t="s">
        <v>43533</v>
      </c>
      <c r="C11012" s="391" t="s">
        <v>26</v>
      </c>
      <c r="D11012" s="479">
        <v>9.61</v>
      </c>
      <c r="E11012" s="368"/>
      <c r="F11012" s="368"/>
    </row>
    <row r="11013" spans="1:6" x14ac:dyDescent="0.2">
      <c r="A11013" s="391">
        <v>12016</v>
      </c>
      <c r="B11013" s="478" t="s">
        <v>43534</v>
      </c>
      <c r="C11013" s="391" t="s">
        <v>26</v>
      </c>
      <c r="D11013" s="479">
        <v>8.26</v>
      </c>
      <c r="E11013" s="368"/>
      <c r="F11013" s="368"/>
    </row>
    <row r="11014" spans="1:6" x14ac:dyDescent="0.2">
      <c r="A11014" s="391">
        <v>12019</v>
      </c>
      <c r="B11014" s="478" t="s">
        <v>43535</v>
      </c>
      <c r="C11014" s="391" t="s">
        <v>26</v>
      </c>
      <c r="D11014" s="479">
        <v>9.61</v>
      </c>
      <c r="E11014" s="368"/>
      <c r="F11014" s="368"/>
    </row>
    <row r="11015" spans="1:6" x14ac:dyDescent="0.2">
      <c r="A11015" s="391">
        <v>12020</v>
      </c>
      <c r="B11015" s="478" t="s">
        <v>43536</v>
      </c>
      <c r="C11015" s="391" t="s">
        <v>26</v>
      </c>
      <c r="D11015" s="479">
        <v>8.26</v>
      </c>
      <c r="E11015" s="368"/>
      <c r="F11015" s="368"/>
    </row>
    <row r="11016" spans="1:6" x14ac:dyDescent="0.2">
      <c r="A11016" s="391">
        <v>39338</v>
      </c>
      <c r="B11016" s="478" t="s">
        <v>43537</v>
      </c>
      <c r="C11016" s="391" t="s">
        <v>26</v>
      </c>
      <c r="D11016" s="479">
        <v>9.2100000000000009</v>
      </c>
      <c r="E11016" s="368"/>
      <c r="F11016" s="368"/>
    </row>
    <row r="11017" spans="1:6" x14ac:dyDescent="0.2">
      <c r="A11017" s="391">
        <v>39336</v>
      </c>
      <c r="B11017" s="478" t="s">
        <v>43538</v>
      </c>
      <c r="C11017" s="391" t="s">
        <v>26</v>
      </c>
      <c r="D11017" s="479">
        <v>8.24</v>
      </c>
      <c r="E11017" s="368"/>
      <c r="F11017" s="368"/>
    </row>
    <row r="11018" spans="1:6" x14ac:dyDescent="0.2">
      <c r="A11018" s="391">
        <v>39337</v>
      </c>
      <c r="B11018" s="478" t="s">
        <v>43539</v>
      </c>
      <c r="C11018" s="391" t="s">
        <v>26</v>
      </c>
      <c r="D11018" s="479">
        <v>7.33</v>
      </c>
      <c r="E11018" s="368"/>
      <c r="F11018" s="368"/>
    </row>
    <row r="11019" spans="1:6" x14ac:dyDescent="0.2">
      <c r="A11019" s="391">
        <v>39341</v>
      </c>
      <c r="B11019" s="478" t="s">
        <v>43540</v>
      </c>
      <c r="C11019" s="391" t="s">
        <v>26</v>
      </c>
      <c r="D11019" s="479">
        <v>12.01</v>
      </c>
      <c r="E11019" s="368"/>
      <c r="F11019" s="368"/>
    </row>
    <row r="11020" spans="1:6" x14ac:dyDescent="0.2">
      <c r="A11020" s="391">
        <v>39340</v>
      </c>
      <c r="B11020" s="478" t="s">
        <v>43541</v>
      </c>
      <c r="C11020" s="391" t="s">
        <v>26</v>
      </c>
      <c r="D11020" s="479">
        <v>8.82</v>
      </c>
      <c r="E11020" s="368"/>
      <c r="F11020" s="368"/>
    </row>
    <row r="11021" spans="1:6" x14ac:dyDescent="0.2">
      <c r="A11021" s="391">
        <v>39342</v>
      </c>
      <c r="B11021" s="478" t="s">
        <v>43542</v>
      </c>
      <c r="C11021" s="391" t="s">
        <v>26</v>
      </c>
      <c r="D11021" s="479">
        <v>12.01</v>
      </c>
      <c r="E11021" s="368"/>
      <c r="F11021" s="368"/>
    </row>
    <row r="11022" spans="1:6" x14ac:dyDescent="0.2">
      <c r="A11022" s="391">
        <v>12025</v>
      </c>
      <c r="B11022" s="478" t="s">
        <v>43543</v>
      </c>
      <c r="C11022" s="391" t="s">
        <v>26</v>
      </c>
      <c r="D11022" s="479">
        <v>9.11</v>
      </c>
      <c r="E11022" s="368"/>
      <c r="F11022" s="368"/>
    </row>
    <row r="11023" spans="1:6" x14ac:dyDescent="0.2">
      <c r="A11023" s="391">
        <v>39345</v>
      </c>
      <c r="B11023" s="478" t="s">
        <v>43544</v>
      </c>
      <c r="C11023" s="391" t="s">
        <v>26</v>
      </c>
      <c r="D11023" s="479">
        <v>13.73</v>
      </c>
      <c r="E11023" s="368"/>
      <c r="F11023" s="368"/>
    </row>
    <row r="11024" spans="1:6" x14ac:dyDescent="0.2">
      <c r="A11024" s="391">
        <v>39343</v>
      </c>
      <c r="B11024" s="478" t="s">
        <v>43545</v>
      </c>
      <c r="C11024" s="391" t="s">
        <v>26</v>
      </c>
      <c r="D11024" s="479">
        <v>10.14</v>
      </c>
      <c r="E11024" s="368"/>
      <c r="F11024" s="368"/>
    </row>
    <row r="11025" spans="1:6" x14ac:dyDescent="0.2">
      <c r="A11025" s="391">
        <v>39344</v>
      </c>
      <c r="B11025" s="478" t="s">
        <v>43546</v>
      </c>
      <c r="C11025" s="391" t="s">
        <v>26</v>
      </c>
      <c r="D11025" s="479">
        <v>9.8000000000000007</v>
      </c>
      <c r="E11025" s="368"/>
      <c r="F11025" s="368"/>
    </row>
    <row r="11026" spans="1:6" ht="25.5" x14ac:dyDescent="0.2">
      <c r="A11026" s="391">
        <v>12623</v>
      </c>
      <c r="B11026" s="478" t="s">
        <v>43547</v>
      </c>
      <c r="C11026" s="391" t="s">
        <v>0</v>
      </c>
      <c r="D11026" s="479">
        <v>47.2</v>
      </c>
      <c r="E11026" s="368"/>
      <c r="F11026" s="368"/>
    </row>
    <row r="11027" spans="1:6" x14ac:dyDescent="0.2">
      <c r="A11027" s="391">
        <v>34498</v>
      </c>
      <c r="B11027" s="478" t="s">
        <v>43548</v>
      </c>
      <c r="C11027" s="391" t="s">
        <v>26</v>
      </c>
      <c r="D11027" s="479">
        <v>118.66</v>
      </c>
      <c r="E11027" s="368"/>
      <c r="F11027" s="368"/>
    </row>
    <row r="11028" spans="1:6" x14ac:dyDescent="0.2">
      <c r="A11028" s="391">
        <v>13244</v>
      </c>
      <c r="B11028" s="478" t="s">
        <v>43549</v>
      </c>
      <c r="C11028" s="391" t="s">
        <v>26</v>
      </c>
      <c r="D11028" s="479">
        <v>49.95</v>
      </c>
      <c r="E11028" s="368"/>
      <c r="F11028" s="368"/>
    </row>
    <row r="11029" spans="1:6" ht="25.5" x14ac:dyDescent="0.2">
      <c r="A11029" s="391">
        <v>38998</v>
      </c>
      <c r="B11029" s="478" t="s">
        <v>43550</v>
      </c>
      <c r="C11029" s="391" t="s">
        <v>26</v>
      </c>
      <c r="D11029" s="479"/>
      <c r="E11029" s="368"/>
      <c r="F11029" s="368"/>
    </row>
    <row r="11030" spans="1:6" ht="25.5" x14ac:dyDescent="0.2">
      <c r="A11030" s="391">
        <v>38999</v>
      </c>
      <c r="B11030" s="478" t="s">
        <v>43551</v>
      </c>
      <c r="C11030" s="391" t="s">
        <v>26</v>
      </c>
      <c r="D11030" s="479"/>
      <c r="E11030" s="368"/>
      <c r="F11030" s="368"/>
    </row>
    <row r="11031" spans="1:6" ht="25.5" x14ac:dyDescent="0.2">
      <c r="A11031" s="391">
        <v>38996</v>
      </c>
      <c r="B11031" s="478" t="s">
        <v>43552</v>
      </c>
      <c r="C11031" s="391" t="s">
        <v>26</v>
      </c>
      <c r="D11031" s="479"/>
      <c r="E11031" s="368"/>
      <c r="F11031" s="368"/>
    </row>
    <row r="11032" spans="1:6" ht="25.5" x14ac:dyDescent="0.2">
      <c r="A11032" s="391">
        <v>44173</v>
      </c>
      <c r="B11032" s="478" t="s">
        <v>43553</v>
      </c>
      <c r="C11032" s="391" t="s">
        <v>26</v>
      </c>
      <c r="D11032" s="479"/>
      <c r="E11032" s="368"/>
      <c r="F11032" s="368"/>
    </row>
    <row r="11033" spans="1:6" ht="25.5" x14ac:dyDescent="0.2">
      <c r="A11033" s="391">
        <v>44174</v>
      </c>
      <c r="B11033" s="478" t="s">
        <v>43554</v>
      </c>
      <c r="C11033" s="391" t="s">
        <v>26</v>
      </c>
      <c r="D11033" s="479"/>
      <c r="E11033" s="368"/>
      <c r="F11033" s="368"/>
    </row>
    <row r="11034" spans="1:6" ht="25.5" x14ac:dyDescent="0.2">
      <c r="A11034" s="391">
        <v>38997</v>
      </c>
      <c r="B11034" s="478" t="s">
        <v>43555</v>
      </c>
      <c r="C11034" s="391" t="s">
        <v>26</v>
      </c>
      <c r="D11034" s="479"/>
      <c r="E11034" s="368"/>
      <c r="F11034" s="368"/>
    </row>
    <row r="11035" spans="1:6" x14ac:dyDescent="0.2">
      <c r="A11035" s="391">
        <v>39600</v>
      </c>
      <c r="B11035" s="478" t="s">
        <v>43556</v>
      </c>
      <c r="C11035" s="391" t="s">
        <v>26</v>
      </c>
      <c r="D11035" s="479">
        <v>14.05</v>
      </c>
      <c r="E11035" s="368"/>
      <c r="F11035" s="368"/>
    </row>
    <row r="11036" spans="1:6" x14ac:dyDescent="0.2">
      <c r="A11036" s="391">
        <v>39601</v>
      </c>
      <c r="B11036" s="478" t="s">
        <v>43557</v>
      </c>
      <c r="C11036" s="391" t="s">
        <v>26</v>
      </c>
      <c r="D11036" s="479">
        <v>29.81</v>
      </c>
      <c r="E11036" s="368"/>
      <c r="F11036" s="368"/>
    </row>
    <row r="11037" spans="1:6" ht="25.5" x14ac:dyDescent="0.2">
      <c r="A11037" s="391">
        <v>39862</v>
      </c>
      <c r="B11037" s="478" t="s">
        <v>43558</v>
      </c>
      <c r="C11037" s="391" t="s">
        <v>26</v>
      </c>
      <c r="D11037" s="479"/>
      <c r="E11037" s="368"/>
      <c r="F11037" s="368"/>
    </row>
    <row r="11038" spans="1:6" ht="25.5" x14ac:dyDescent="0.2">
      <c r="A11038" s="391">
        <v>39863</v>
      </c>
      <c r="B11038" s="478" t="s">
        <v>43559</v>
      </c>
      <c r="C11038" s="391" t="s">
        <v>26</v>
      </c>
      <c r="D11038" s="479"/>
      <c r="E11038" s="368"/>
      <c r="F11038" s="368"/>
    </row>
    <row r="11039" spans="1:6" ht="25.5" x14ac:dyDescent="0.2">
      <c r="A11039" s="391">
        <v>39864</v>
      </c>
      <c r="B11039" s="478" t="s">
        <v>43560</v>
      </c>
      <c r="C11039" s="391" t="s">
        <v>26</v>
      </c>
      <c r="D11039" s="479"/>
      <c r="E11039" s="368"/>
      <c r="F11039" s="368"/>
    </row>
    <row r="11040" spans="1:6" ht="25.5" x14ac:dyDescent="0.2">
      <c r="A11040" s="391">
        <v>39865</v>
      </c>
      <c r="B11040" s="478" t="s">
        <v>43561</v>
      </c>
      <c r="C11040" s="391" t="s">
        <v>26</v>
      </c>
      <c r="D11040" s="479"/>
      <c r="E11040" s="368"/>
      <c r="F11040" s="368"/>
    </row>
    <row r="11041" spans="1:6" ht="25.5" x14ac:dyDescent="0.2">
      <c r="A11041" s="391">
        <v>2517</v>
      </c>
      <c r="B11041" s="478" t="s">
        <v>43562</v>
      </c>
      <c r="C11041" s="391" t="s">
        <v>26</v>
      </c>
      <c r="D11041" s="479"/>
      <c r="E11041" s="368"/>
      <c r="F11041" s="368"/>
    </row>
    <row r="11042" spans="1:6" ht="25.5" x14ac:dyDescent="0.2">
      <c r="A11042" s="391">
        <v>2522</v>
      </c>
      <c r="B11042" s="478" t="s">
        <v>43563</v>
      </c>
      <c r="C11042" s="391" t="s">
        <v>26</v>
      </c>
      <c r="D11042" s="479"/>
      <c r="E11042" s="368"/>
      <c r="F11042" s="368"/>
    </row>
    <row r="11043" spans="1:6" ht="25.5" x14ac:dyDescent="0.2">
      <c r="A11043" s="391">
        <v>2516</v>
      </c>
      <c r="B11043" s="478" t="s">
        <v>43564</v>
      </c>
      <c r="C11043" s="391" t="s">
        <v>26</v>
      </c>
      <c r="D11043" s="479"/>
      <c r="E11043" s="368"/>
      <c r="F11043" s="368"/>
    </row>
    <row r="11044" spans="1:6" ht="25.5" x14ac:dyDescent="0.2">
      <c r="A11044" s="391">
        <v>2548</v>
      </c>
      <c r="B11044" s="478" t="s">
        <v>43565</v>
      </c>
      <c r="C11044" s="391" t="s">
        <v>26</v>
      </c>
      <c r="D11044" s="479"/>
      <c r="E11044" s="368"/>
      <c r="F11044" s="368"/>
    </row>
    <row r="11045" spans="1:6" ht="25.5" x14ac:dyDescent="0.2">
      <c r="A11045" s="391">
        <v>2518</v>
      </c>
      <c r="B11045" s="478" t="s">
        <v>43566</v>
      </c>
      <c r="C11045" s="391" t="s">
        <v>26</v>
      </c>
      <c r="D11045" s="479"/>
      <c r="E11045" s="368"/>
      <c r="F11045" s="368"/>
    </row>
    <row r="11046" spans="1:6" ht="25.5" x14ac:dyDescent="0.2">
      <c r="A11046" s="391">
        <v>2521</v>
      </c>
      <c r="B11046" s="478" t="s">
        <v>43567</v>
      </c>
      <c r="C11046" s="391" t="s">
        <v>26</v>
      </c>
      <c r="D11046" s="479"/>
      <c r="E11046" s="368"/>
      <c r="F11046" s="368"/>
    </row>
    <row r="11047" spans="1:6" ht="25.5" x14ac:dyDescent="0.2">
      <c r="A11047" s="391">
        <v>2519</v>
      </c>
      <c r="B11047" s="478" t="s">
        <v>43568</v>
      </c>
      <c r="C11047" s="391" t="s">
        <v>26</v>
      </c>
      <c r="D11047" s="479"/>
      <c r="E11047" s="368"/>
      <c r="F11047" s="368"/>
    </row>
    <row r="11048" spans="1:6" ht="25.5" x14ac:dyDescent="0.2">
      <c r="A11048" s="391">
        <v>2515</v>
      </c>
      <c r="B11048" s="478" t="s">
        <v>43569</v>
      </c>
      <c r="C11048" s="391" t="s">
        <v>26</v>
      </c>
      <c r="D11048" s="479"/>
      <c r="E11048" s="368"/>
      <c r="F11048" s="368"/>
    </row>
    <row r="11049" spans="1:6" ht="25.5" x14ac:dyDescent="0.2">
      <c r="A11049" s="391">
        <v>2520</v>
      </c>
      <c r="B11049" s="478" t="s">
        <v>43570</v>
      </c>
      <c r="C11049" s="391" t="s">
        <v>26</v>
      </c>
      <c r="D11049" s="479"/>
      <c r="E11049" s="368"/>
      <c r="F11049" s="368"/>
    </row>
    <row r="11050" spans="1:6" ht="25.5" x14ac:dyDescent="0.2">
      <c r="A11050" s="391">
        <v>1602</v>
      </c>
      <c r="B11050" s="478" t="s">
        <v>43571</v>
      </c>
      <c r="C11050" s="391" t="s">
        <v>26</v>
      </c>
      <c r="D11050" s="479"/>
      <c r="E11050" s="368"/>
      <c r="F11050" s="368"/>
    </row>
    <row r="11051" spans="1:6" ht="25.5" x14ac:dyDescent="0.2">
      <c r="A11051" s="391">
        <v>1601</v>
      </c>
      <c r="B11051" s="478" t="s">
        <v>43572</v>
      </c>
      <c r="C11051" s="391" t="s">
        <v>26</v>
      </c>
      <c r="D11051" s="479"/>
      <c r="E11051" s="368"/>
      <c r="F11051" s="368"/>
    </row>
    <row r="11052" spans="1:6" ht="25.5" x14ac:dyDescent="0.2">
      <c r="A11052" s="391">
        <v>1600</v>
      </c>
      <c r="B11052" s="478" t="s">
        <v>43573</v>
      </c>
      <c r="C11052" s="391" t="s">
        <v>26</v>
      </c>
      <c r="D11052" s="479"/>
      <c r="E11052" s="368"/>
      <c r="F11052" s="368"/>
    </row>
    <row r="11053" spans="1:6" ht="25.5" x14ac:dyDescent="0.2">
      <c r="A11053" s="391">
        <v>1598</v>
      </c>
      <c r="B11053" s="478" t="s">
        <v>43574</v>
      </c>
      <c r="C11053" s="391" t="s">
        <v>26</v>
      </c>
      <c r="D11053" s="479"/>
      <c r="E11053" s="368"/>
      <c r="F11053" s="368"/>
    </row>
    <row r="11054" spans="1:6" ht="25.5" x14ac:dyDescent="0.2">
      <c r="A11054" s="391">
        <v>1603</v>
      </c>
      <c r="B11054" s="478" t="s">
        <v>43575</v>
      </c>
      <c r="C11054" s="391" t="s">
        <v>26</v>
      </c>
      <c r="D11054" s="479"/>
      <c r="E11054" s="368"/>
      <c r="F11054" s="368"/>
    </row>
    <row r="11055" spans="1:6" ht="25.5" x14ac:dyDescent="0.2">
      <c r="A11055" s="391">
        <v>1599</v>
      </c>
      <c r="B11055" s="478" t="s">
        <v>43576</v>
      </c>
      <c r="C11055" s="391" t="s">
        <v>26</v>
      </c>
      <c r="D11055" s="479"/>
      <c r="E11055" s="368"/>
      <c r="F11055" s="368"/>
    </row>
    <row r="11056" spans="1:6" ht="25.5" x14ac:dyDescent="0.2">
      <c r="A11056" s="391">
        <v>1597</v>
      </c>
      <c r="B11056" s="478" t="s">
        <v>43577</v>
      </c>
      <c r="C11056" s="391" t="s">
        <v>26</v>
      </c>
      <c r="D11056" s="479"/>
      <c r="E11056" s="368"/>
      <c r="F11056" s="368"/>
    </row>
    <row r="11057" spans="1:6" x14ac:dyDescent="0.2">
      <c r="A11057" s="391">
        <v>39602</v>
      </c>
      <c r="B11057" s="478" t="s">
        <v>43578</v>
      </c>
      <c r="C11057" s="391" t="s">
        <v>26</v>
      </c>
      <c r="D11057" s="479">
        <v>1.49</v>
      </c>
      <c r="E11057" s="368"/>
      <c r="F11057" s="368"/>
    </row>
    <row r="11058" spans="1:6" x14ac:dyDescent="0.2">
      <c r="A11058" s="391">
        <v>39603</v>
      </c>
      <c r="B11058" s="478" t="s">
        <v>43579</v>
      </c>
      <c r="C11058" s="391" t="s">
        <v>26</v>
      </c>
      <c r="D11058" s="479">
        <v>3.17</v>
      </c>
      <c r="E11058" s="368"/>
      <c r="F11058" s="368"/>
    </row>
    <row r="11059" spans="1:6" ht="25.5" x14ac:dyDescent="0.2">
      <c r="A11059" s="391">
        <v>11821</v>
      </c>
      <c r="B11059" s="478" t="s">
        <v>43580</v>
      </c>
      <c r="C11059" s="391" t="s">
        <v>26</v>
      </c>
      <c r="D11059" s="479"/>
      <c r="E11059" s="368"/>
      <c r="F11059" s="368"/>
    </row>
    <row r="11060" spans="1:6" ht="25.5" x14ac:dyDescent="0.2">
      <c r="A11060" s="391">
        <v>1562</v>
      </c>
      <c r="B11060" s="478" t="s">
        <v>43581</v>
      </c>
      <c r="C11060" s="391" t="s">
        <v>26</v>
      </c>
      <c r="D11060" s="479"/>
      <c r="E11060" s="368"/>
      <c r="F11060" s="368"/>
    </row>
    <row r="11061" spans="1:6" ht="25.5" x14ac:dyDescent="0.2">
      <c r="A11061" s="391">
        <v>1563</v>
      </c>
      <c r="B11061" s="478" t="s">
        <v>43582</v>
      </c>
      <c r="C11061" s="391" t="s">
        <v>26</v>
      </c>
      <c r="D11061" s="479"/>
      <c r="E11061" s="368"/>
      <c r="F11061" s="368"/>
    </row>
    <row r="11062" spans="1:6" ht="25.5" x14ac:dyDescent="0.2">
      <c r="A11062" s="391">
        <v>11856</v>
      </c>
      <c r="B11062" s="478" t="s">
        <v>43583</v>
      </c>
      <c r="C11062" s="391" t="s">
        <v>26</v>
      </c>
      <c r="D11062" s="479"/>
      <c r="E11062" s="368"/>
      <c r="F11062" s="368"/>
    </row>
    <row r="11063" spans="1:6" ht="25.5" x14ac:dyDescent="0.2">
      <c r="A11063" s="391">
        <v>11857</v>
      </c>
      <c r="B11063" s="478" t="s">
        <v>43584</v>
      </c>
      <c r="C11063" s="391" t="s">
        <v>26</v>
      </c>
      <c r="D11063" s="479"/>
      <c r="E11063" s="368"/>
      <c r="F11063" s="368"/>
    </row>
    <row r="11064" spans="1:6" ht="25.5" x14ac:dyDescent="0.2">
      <c r="A11064" s="391">
        <v>11858</v>
      </c>
      <c r="B11064" s="478" t="s">
        <v>43585</v>
      </c>
      <c r="C11064" s="391" t="s">
        <v>26</v>
      </c>
      <c r="D11064" s="479"/>
      <c r="E11064" s="368"/>
      <c r="F11064" s="368"/>
    </row>
    <row r="11065" spans="1:6" ht="25.5" x14ac:dyDescent="0.2">
      <c r="A11065" s="391">
        <v>1539</v>
      </c>
      <c r="B11065" s="478" t="s">
        <v>43586</v>
      </c>
      <c r="C11065" s="391" t="s">
        <v>26</v>
      </c>
      <c r="D11065" s="479"/>
      <c r="E11065" s="368"/>
      <c r="F11065" s="368"/>
    </row>
    <row r="11066" spans="1:6" ht="25.5" x14ac:dyDescent="0.2">
      <c r="A11066" s="391">
        <v>11859</v>
      </c>
      <c r="B11066" s="478" t="s">
        <v>43587</v>
      </c>
      <c r="C11066" s="391" t="s">
        <v>26</v>
      </c>
      <c r="D11066" s="479"/>
      <c r="E11066" s="368"/>
      <c r="F11066" s="368"/>
    </row>
    <row r="11067" spans="1:6" ht="25.5" x14ac:dyDescent="0.2">
      <c r="A11067" s="391">
        <v>1550</v>
      </c>
      <c r="B11067" s="478" t="s">
        <v>43588</v>
      </c>
      <c r="C11067" s="391" t="s">
        <v>26</v>
      </c>
      <c r="D11067" s="479"/>
      <c r="E11067" s="368"/>
      <c r="F11067" s="368"/>
    </row>
    <row r="11068" spans="1:6" ht="25.5" x14ac:dyDescent="0.2">
      <c r="A11068" s="391">
        <v>11854</v>
      </c>
      <c r="B11068" s="478" t="s">
        <v>43589</v>
      </c>
      <c r="C11068" s="391" t="s">
        <v>26</v>
      </c>
      <c r="D11068" s="479"/>
      <c r="E11068" s="368"/>
      <c r="F11068" s="368"/>
    </row>
    <row r="11069" spans="1:6" ht="25.5" x14ac:dyDescent="0.2">
      <c r="A11069" s="391">
        <v>11862</v>
      </c>
      <c r="B11069" s="478" t="s">
        <v>43590</v>
      </c>
      <c r="C11069" s="391" t="s">
        <v>26</v>
      </c>
      <c r="D11069" s="479"/>
      <c r="E11069" s="368"/>
      <c r="F11069" s="368"/>
    </row>
    <row r="11070" spans="1:6" ht="25.5" x14ac:dyDescent="0.2">
      <c r="A11070" s="391">
        <v>11863</v>
      </c>
      <c r="B11070" s="478" t="s">
        <v>43591</v>
      </c>
      <c r="C11070" s="391" t="s">
        <v>26</v>
      </c>
      <c r="D11070" s="479"/>
      <c r="E11070" s="368"/>
      <c r="F11070" s="368"/>
    </row>
    <row r="11071" spans="1:6" ht="25.5" x14ac:dyDescent="0.2">
      <c r="A11071" s="391">
        <v>11855</v>
      </c>
      <c r="B11071" s="478" t="s">
        <v>43592</v>
      </c>
      <c r="C11071" s="391" t="s">
        <v>26</v>
      </c>
      <c r="D11071" s="479"/>
      <c r="E11071" s="368"/>
      <c r="F11071" s="368"/>
    </row>
    <row r="11072" spans="1:6" ht="25.5" x14ac:dyDescent="0.2">
      <c r="A11072" s="391">
        <v>11864</v>
      </c>
      <c r="B11072" s="478" t="s">
        <v>43593</v>
      </c>
      <c r="C11072" s="391" t="s">
        <v>26</v>
      </c>
      <c r="D11072" s="479"/>
      <c r="E11072" s="368"/>
      <c r="F11072" s="368"/>
    </row>
    <row r="11073" spans="1:6" ht="25.5" x14ac:dyDescent="0.2">
      <c r="A11073" s="391">
        <v>2527</v>
      </c>
      <c r="B11073" s="478" t="s">
        <v>43594</v>
      </c>
      <c r="C11073" s="391" t="s">
        <v>26</v>
      </c>
      <c r="D11073" s="479"/>
      <c r="E11073" s="368"/>
      <c r="F11073" s="368"/>
    </row>
    <row r="11074" spans="1:6" ht="25.5" x14ac:dyDescent="0.2">
      <c r="A11074" s="391">
        <v>2526</v>
      </c>
      <c r="B11074" s="478" t="s">
        <v>43595</v>
      </c>
      <c r="C11074" s="391" t="s">
        <v>26</v>
      </c>
      <c r="D11074" s="479"/>
      <c r="E11074" s="368"/>
      <c r="F11074" s="368"/>
    </row>
    <row r="11075" spans="1:6" ht="25.5" x14ac:dyDescent="0.2">
      <c r="A11075" s="391">
        <v>2483</v>
      </c>
      <c r="B11075" s="478" t="s">
        <v>43596</v>
      </c>
      <c r="C11075" s="391" t="s">
        <v>26</v>
      </c>
      <c r="D11075" s="479"/>
      <c r="E11075" s="368"/>
      <c r="F11075" s="368"/>
    </row>
    <row r="11076" spans="1:6" ht="25.5" x14ac:dyDescent="0.2">
      <c r="A11076" s="391">
        <v>2487</v>
      </c>
      <c r="B11076" s="478" t="s">
        <v>43597</v>
      </c>
      <c r="C11076" s="391" t="s">
        <v>26</v>
      </c>
      <c r="D11076" s="479"/>
      <c r="E11076" s="368"/>
      <c r="F11076" s="368"/>
    </row>
    <row r="11077" spans="1:6" ht="25.5" x14ac:dyDescent="0.2">
      <c r="A11077" s="391">
        <v>2528</v>
      </c>
      <c r="B11077" s="478" t="s">
        <v>43598</v>
      </c>
      <c r="C11077" s="391" t="s">
        <v>26</v>
      </c>
      <c r="D11077" s="479"/>
      <c r="E11077" s="368"/>
      <c r="F11077" s="368"/>
    </row>
    <row r="11078" spans="1:6" ht="25.5" x14ac:dyDescent="0.2">
      <c r="A11078" s="391">
        <v>2489</v>
      </c>
      <c r="B11078" s="478" t="s">
        <v>43599</v>
      </c>
      <c r="C11078" s="391" t="s">
        <v>26</v>
      </c>
      <c r="D11078" s="479"/>
      <c r="E11078" s="368"/>
      <c r="F11078" s="368"/>
    </row>
    <row r="11079" spans="1:6" ht="25.5" x14ac:dyDescent="0.2">
      <c r="A11079" s="391">
        <v>2484</v>
      </c>
      <c r="B11079" s="478" t="s">
        <v>43600</v>
      </c>
      <c r="C11079" s="391" t="s">
        <v>26</v>
      </c>
      <c r="D11079" s="479"/>
      <c r="E11079" s="368"/>
      <c r="F11079" s="368"/>
    </row>
    <row r="11080" spans="1:6" ht="25.5" x14ac:dyDescent="0.2">
      <c r="A11080" s="391">
        <v>2488</v>
      </c>
      <c r="B11080" s="478" t="s">
        <v>43601</v>
      </c>
      <c r="C11080" s="391" t="s">
        <v>26</v>
      </c>
      <c r="D11080" s="479"/>
      <c r="E11080" s="368"/>
      <c r="F11080" s="368"/>
    </row>
    <row r="11081" spans="1:6" ht="25.5" x14ac:dyDescent="0.2">
      <c r="A11081" s="391">
        <v>2485</v>
      </c>
      <c r="B11081" s="478" t="s">
        <v>43602</v>
      </c>
      <c r="C11081" s="391" t="s">
        <v>26</v>
      </c>
      <c r="D11081" s="479"/>
      <c r="E11081" s="368"/>
      <c r="F11081" s="368"/>
    </row>
    <row r="11082" spans="1:6" x14ac:dyDescent="0.2">
      <c r="A11082" s="391">
        <v>44247</v>
      </c>
      <c r="B11082" s="478" t="s">
        <v>43603</v>
      </c>
      <c r="C11082" s="391" t="s">
        <v>26</v>
      </c>
      <c r="D11082" s="479">
        <v>1543.6</v>
      </c>
      <c r="E11082" s="368"/>
      <c r="F11082" s="368"/>
    </row>
    <row r="11083" spans="1:6" x14ac:dyDescent="0.2">
      <c r="A11083" s="391">
        <v>38005</v>
      </c>
      <c r="B11083" s="478" t="s">
        <v>43604</v>
      </c>
      <c r="C11083" s="391" t="s">
        <v>26</v>
      </c>
      <c r="D11083" s="479">
        <v>18.350000000000001</v>
      </c>
      <c r="E11083" s="368"/>
      <c r="F11083" s="368"/>
    </row>
    <row r="11084" spans="1:6" x14ac:dyDescent="0.2">
      <c r="A11084" s="391">
        <v>38006</v>
      </c>
      <c r="B11084" s="478" t="s">
        <v>43605</v>
      </c>
      <c r="C11084" s="391" t="s">
        <v>26</v>
      </c>
      <c r="D11084" s="479">
        <v>24.39</v>
      </c>
      <c r="E11084" s="368"/>
      <c r="F11084" s="368"/>
    </row>
    <row r="11085" spans="1:6" x14ac:dyDescent="0.2">
      <c r="A11085" s="391">
        <v>38428</v>
      </c>
      <c r="B11085" s="478" t="s">
        <v>43606</v>
      </c>
      <c r="C11085" s="391" t="s">
        <v>26</v>
      </c>
      <c r="D11085" s="479">
        <v>21.84</v>
      </c>
      <c r="E11085" s="368"/>
      <c r="F11085" s="368"/>
    </row>
    <row r="11086" spans="1:6" x14ac:dyDescent="0.2">
      <c r="A11086" s="391">
        <v>38007</v>
      </c>
      <c r="B11086" s="478" t="s">
        <v>43607</v>
      </c>
      <c r="C11086" s="391" t="s">
        <v>26</v>
      </c>
      <c r="D11086" s="479">
        <v>28.14</v>
      </c>
      <c r="E11086" s="368"/>
      <c r="F11086" s="368"/>
    </row>
    <row r="11087" spans="1:6" x14ac:dyDescent="0.2">
      <c r="A11087" s="391">
        <v>38008</v>
      </c>
      <c r="B11087" s="478" t="s">
        <v>43608</v>
      </c>
      <c r="C11087" s="391" t="s">
        <v>26</v>
      </c>
      <c r="D11087" s="479">
        <v>45.03</v>
      </c>
      <c r="E11087" s="368"/>
      <c r="F11087" s="368"/>
    </row>
    <row r="11088" spans="1:6" x14ac:dyDescent="0.2">
      <c r="A11088" s="391">
        <v>38009</v>
      </c>
      <c r="B11088" s="478" t="s">
        <v>43609</v>
      </c>
      <c r="C11088" s="391" t="s">
        <v>26</v>
      </c>
      <c r="D11088" s="479">
        <v>55.12</v>
      </c>
      <c r="E11088" s="368"/>
      <c r="F11088" s="368"/>
    </row>
    <row r="11089" spans="1:6" x14ac:dyDescent="0.2">
      <c r="A11089" s="391">
        <v>44248</v>
      </c>
      <c r="B11089" s="478" t="s">
        <v>43610</v>
      </c>
      <c r="C11089" s="391" t="s">
        <v>26</v>
      </c>
      <c r="D11089" s="479">
        <v>89.85</v>
      </c>
      <c r="E11089" s="368"/>
      <c r="F11089" s="368"/>
    </row>
    <row r="11090" spans="1:6" x14ac:dyDescent="0.2">
      <c r="A11090" s="391">
        <v>44249</v>
      </c>
      <c r="B11090" s="478" t="s">
        <v>43611</v>
      </c>
      <c r="C11090" s="391" t="s">
        <v>26</v>
      </c>
      <c r="D11090" s="479">
        <v>346.67</v>
      </c>
      <c r="E11090" s="368"/>
      <c r="F11090" s="368"/>
    </row>
    <row r="11091" spans="1:6" x14ac:dyDescent="0.2">
      <c r="A11091" s="391">
        <v>44250</v>
      </c>
      <c r="B11091" s="478" t="s">
        <v>43612</v>
      </c>
      <c r="C11091" s="391" t="s">
        <v>26</v>
      </c>
      <c r="D11091" s="479">
        <v>503.44</v>
      </c>
      <c r="E11091" s="368"/>
      <c r="F11091" s="368"/>
    </row>
    <row r="11092" spans="1:6" ht="38.25" x14ac:dyDescent="0.2">
      <c r="A11092" s="391">
        <v>39279</v>
      </c>
      <c r="B11092" s="478" t="s">
        <v>43613</v>
      </c>
      <c r="C11092" s="391" t="s">
        <v>26</v>
      </c>
      <c r="D11092" s="479"/>
      <c r="E11092" s="368"/>
      <c r="F11092" s="368"/>
    </row>
    <row r="11093" spans="1:6" ht="38.25" x14ac:dyDescent="0.2">
      <c r="A11093" s="391">
        <v>39280</v>
      </c>
      <c r="B11093" s="478" t="s">
        <v>43614</v>
      </c>
      <c r="C11093" s="391" t="s">
        <v>26</v>
      </c>
      <c r="D11093" s="479"/>
      <c r="E11093" s="368"/>
      <c r="F11093" s="368"/>
    </row>
    <row r="11094" spans="1:6" ht="38.25" x14ac:dyDescent="0.2">
      <c r="A11094" s="391">
        <v>39281</v>
      </c>
      <c r="B11094" s="478" t="s">
        <v>43615</v>
      </c>
      <c r="C11094" s="391" t="s">
        <v>26</v>
      </c>
      <c r="D11094" s="479"/>
      <c r="E11094" s="368"/>
      <c r="F11094" s="368"/>
    </row>
    <row r="11095" spans="1:6" ht="38.25" x14ac:dyDescent="0.2">
      <c r="A11095" s="391">
        <v>39282</v>
      </c>
      <c r="B11095" s="478" t="s">
        <v>43616</v>
      </c>
      <c r="C11095" s="391" t="s">
        <v>26</v>
      </c>
      <c r="D11095" s="479"/>
      <c r="E11095" s="368"/>
      <c r="F11095" s="368"/>
    </row>
    <row r="11096" spans="1:6" ht="25.5" x14ac:dyDescent="0.2">
      <c r="A11096" s="391">
        <v>38844</v>
      </c>
      <c r="B11096" s="478" t="s">
        <v>43617</v>
      </c>
      <c r="C11096" s="391" t="s">
        <v>26</v>
      </c>
      <c r="D11096" s="479"/>
      <c r="E11096" s="368"/>
      <c r="F11096" s="368"/>
    </row>
    <row r="11097" spans="1:6" ht="25.5" x14ac:dyDescent="0.2">
      <c r="A11097" s="391">
        <v>38846</v>
      </c>
      <c r="B11097" s="478" t="s">
        <v>43618</v>
      </c>
      <c r="C11097" s="391" t="s">
        <v>26</v>
      </c>
      <c r="D11097" s="479"/>
      <c r="E11097" s="368"/>
      <c r="F11097" s="368"/>
    </row>
    <row r="11098" spans="1:6" ht="25.5" x14ac:dyDescent="0.2">
      <c r="A11098" s="391">
        <v>38847</v>
      </c>
      <c r="B11098" s="478" t="s">
        <v>43619</v>
      </c>
      <c r="C11098" s="391" t="s">
        <v>26</v>
      </c>
      <c r="D11098" s="479"/>
      <c r="E11098" s="368"/>
      <c r="F11098" s="368"/>
    </row>
    <row r="11099" spans="1:6" ht="25.5" x14ac:dyDescent="0.2">
      <c r="A11099" s="391">
        <v>38850</v>
      </c>
      <c r="B11099" s="478" t="s">
        <v>43620</v>
      </c>
      <c r="C11099" s="391" t="s">
        <v>26</v>
      </c>
      <c r="D11099" s="479"/>
      <c r="E11099" s="368"/>
      <c r="F11099" s="368"/>
    </row>
    <row r="11100" spans="1:6" ht="25.5" x14ac:dyDescent="0.2">
      <c r="A11100" s="391">
        <v>38848</v>
      </c>
      <c r="B11100" s="478" t="s">
        <v>43621</v>
      </c>
      <c r="C11100" s="391" t="s">
        <v>26</v>
      </c>
      <c r="D11100" s="479"/>
      <c r="E11100" s="368"/>
      <c r="F11100" s="368"/>
    </row>
    <row r="11101" spans="1:6" ht="25.5" x14ac:dyDescent="0.2">
      <c r="A11101" s="391">
        <v>38851</v>
      </c>
      <c r="B11101" s="478" t="s">
        <v>43622</v>
      </c>
      <c r="C11101" s="391" t="s">
        <v>26</v>
      </c>
      <c r="D11101" s="479"/>
      <c r="E11101" s="368"/>
      <c r="F11101" s="368"/>
    </row>
    <row r="11102" spans="1:6" ht="25.5" x14ac:dyDescent="0.2">
      <c r="A11102" s="391">
        <v>38854</v>
      </c>
      <c r="B11102" s="478" t="s">
        <v>43623</v>
      </c>
      <c r="C11102" s="497" t="s">
        <v>26</v>
      </c>
      <c r="D11102" s="479"/>
      <c r="E11102" s="368"/>
      <c r="F11102" s="368"/>
    </row>
    <row r="11103" spans="1:6" ht="51" x14ac:dyDescent="0.2">
      <c r="A11103" s="391">
        <v>3104</v>
      </c>
      <c r="B11103" s="478" t="s">
        <v>43624</v>
      </c>
      <c r="C11103" s="497" t="s">
        <v>8321</v>
      </c>
      <c r="D11103" s="479">
        <v>147.51</v>
      </c>
      <c r="E11103" s="368"/>
      <c r="F11103" s="368"/>
    </row>
    <row r="11104" spans="1:6" ht="25.5" x14ac:dyDescent="0.2">
      <c r="A11104" s="391">
        <v>1607</v>
      </c>
      <c r="B11104" s="478" t="s">
        <v>43625</v>
      </c>
      <c r="C11104" s="497" t="s">
        <v>8321</v>
      </c>
      <c r="D11104" s="479">
        <v>0.18</v>
      </c>
      <c r="E11104" s="368"/>
      <c r="F11104" s="368"/>
    </row>
    <row r="11105" spans="1:6" ht="25.5" x14ac:dyDescent="0.2">
      <c r="A11105" s="391">
        <v>38169</v>
      </c>
      <c r="B11105" s="478" t="s">
        <v>43626</v>
      </c>
      <c r="C11105" s="497" t="s">
        <v>8321</v>
      </c>
      <c r="D11105" s="479">
        <v>82.99</v>
      </c>
      <c r="E11105" s="368"/>
      <c r="F11105" s="368"/>
    </row>
    <row r="11106" spans="1:6" ht="25.5" x14ac:dyDescent="0.2">
      <c r="A11106" s="391">
        <v>6142</v>
      </c>
      <c r="B11106" s="478" t="s">
        <v>43627</v>
      </c>
      <c r="C11106" s="497" t="s">
        <v>26</v>
      </c>
      <c r="D11106" s="479">
        <v>8.41</v>
      </c>
      <c r="E11106" s="368"/>
      <c r="F11106" s="368"/>
    </row>
    <row r="11107" spans="1:6" ht="25.5" x14ac:dyDescent="0.2">
      <c r="A11107" s="391">
        <v>11686</v>
      </c>
      <c r="B11107" s="478" t="s">
        <v>43628</v>
      </c>
      <c r="C11107" s="497" t="s">
        <v>26</v>
      </c>
      <c r="D11107" s="479">
        <v>11.68</v>
      </c>
      <c r="E11107" s="368"/>
      <c r="F11107" s="368"/>
    </row>
    <row r="11108" spans="1:6" ht="25.5" x14ac:dyDescent="0.2">
      <c r="A11108" s="391">
        <v>37598</v>
      </c>
      <c r="B11108" s="478" t="s">
        <v>43629</v>
      </c>
      <c r="C11108" s="497" t="s">
        <v>26</v>
      </c>
      <c r="D11108" s="479"/>
      <c r="E11108" s="368"/>
      <c r="F11108" s="368"/>
    </row>
    <row r="11109" spans="1:6" ht="38.25" x14ac:dyDescent="0.2">
      <c r="A11109" s="391">
        <v>25398</v>
      </c>
      <c r="B11109" s="478" t="s">
        <v>43630</v>
      </c>
      <c r="C11109" s="497" t="s">
        <v>26</v>
      </c>
      <c r="D11109" s="479"/>
      <c r="E11109" s="368"/>
      <c r="F11109" s="368"/>
    </row>
    <row r="11110" spans="1:6" ht="51" x14ac:dyDescent="0.2">
      <c r="A11110" s="391">
        <v>25399</v>
      </c>
      <c r="B11110" s="478" t="s">
        <v>43631</v>
      </c>
      <c r="C11110" s="497" t="s">
        <v>26</v>
      </c>
      <c r="D11110" s="479"/>
      <c r="E11110" s="368"/>
      <c r="F11110" s="368"/>
    </row>
    <row r="11111" spans="1:6" ht="38.25" x14ac:dyDescent="0.2">
      <c r="A11111" s="391">
        <v>43440</v>
      </c>
      <c r="B11111" s="478" t="s">
        <v>43632</v>
      </c>
      <c r="C11111" s="497" t="s">
        <v>26</v>
      </c>
      <c r="D11111" s="479"/>
      <c r="E11111" s="368"/>
      <c r="F11111" s="368"/>
    </row>
    <row r="11112" spans="1:6" ht="38.25" x14ac:dyDescent="0.2">
      <c r="A11112" s="391">
        <v>10667</v>
      </c>
      <c r="B11112" s="478" t="s">
        <v>43633</v>
      </c>
      <c r="C11112" s="497" t="s">
        <v>26</v>
      </c>
      <c r="D11112" s="479"/>
      <c r="E11112" s="368"/>
      <c r="F11112" s="368"/>
    </row>
    <row r="11113" spans="1:6" ht="25.5" x14ac:dyDescent="0.2">
      <c r="A11113" s="391">
        <v>1613</v>
      </c>
      <c r="B11113" s="478" t="s">
        <v>43634</v>
      </c>
      <c r="C11113" s="497" t="s">
        <v>26</v>
      </c>
      <c r="D11113" s="479"/>
      <c r="E11113" s="368"/>
      <c r="F11113" s="368"/>
    </row>
    <row r="11114" spans="1:6" ht="25.5" x14ac:dyDescent="0.2">
      <c r="A11114" s="391">
        <v>1626</v>
      </c>
      <c r="B11114" s="478" t="s">
        <v>43635</v>
      </c>
      <c r="C11114" s="497" t="s">
        <v>26</v>
      </c>
      <c r="D11114" s="479"/>
      <c r="E11114" s="368"/>
      <c r="F11114" s="368"/>
    </row>
    <row r="11115" spans="1:6" ht="25.5" x14ac:dyDescent="0.2">
      <c r="A11115" s="391">
        <v>1625</v>
      </c>
      <c r="B11115" s="478" t="s">
        <v>43636</v>
      </c>
      <c r="C11115" s="497" t="s">
        <v>26</v>
      </c>
      <c r="D11115" s="479"/>
      <c r="E11115" s="368"/>
      <c r="F11115" s="368"/>
    </row>
    <row r="11116" spans="1:6" ht="25.5" x14ac:dyDescent="0.2">
      <c r="A11116" s="391">
        <v>1622</v>
      </c>
      <c r="B11116" s="478" t="s">
        <v>43637</v>
      </c>
      <c r="C11116" s="497" t="s">
        <v>26</v>
      </c>
      <c r="D11116" s="479"/>
      <c r="E11116" s="368"/>
      <c r="F11116" s="368"/>
    </row>
    <row r="11117" spans="1:6" ht="25.5" x14ac:dyDescent="0.2">
      <c r="A11117" s="391">
        <v>1620</v>
      </c>
      <c r="B11117" s="478" t="s">
        <v>43638</v>
      </c>
      <c r="C11117" s="497" t="s">
        <v>26</v>
      </c>
      <c r="D11117" s="479"/>
      <c r="E11117" s="368"/>
      <c r="F11117" s="368"/>
    </row>
    <row r="11118" spans="1:6" ht="25.5" x14ac:dyDescent="0.2">
      <c r="A11118" s="391">
        <v>1629</v>
      </c>
      <c r="B11118" s="478" t="s">
        <v>43639</v>
      </c>
      <c r="C11118" s="497" t="s">
        <v>26</v>
      </c>
      <c r="D11118" s="479"/>
      <c r="E11118" s="368"/>
      <c r="F11118" s="368"/>
    </row>
    <row r="11119" spans="1:6" ht="25.5" x14ac:dyDescent="0.2">
      <c r="A11119" s="391">
        <v>1627</v>
      </c>
      <c r="B11119" s="478" t="s">
        <v>43640</v>
      </c>
      <c r="C11119" s="497" t="s">
        <v>26</v>
      </c>
      <c r="D11119" s="479"/>
      <c r="E11119" s="368"/>
      <c r="F11119" s="368"/>
    </row>
    <row r="11120" spans="1:6" ht="25.5" x14ac:dyDescent="0.2">
      <c r="A11120" s="391">
        <v>1623</v>
      </c>
      <c r="B11120" s="478" t="s">
        <v>43641</v>
      </c>
      <c r="C11120" s="497" t="s">
        <v>26</v>
      </c>
      <c r="D11120" s="479"/>
      <c r="E11120" s="368"/>
      <c r="F11120" s="368"/>
    </row>
    <row r="11121" spans="1:6" ht="25.5" x14ac:dyDescent="0.2">
      <c r="A11121" s="391">
        <v>1619</v>
      </c>
      <c r="B11121" s="478" t="s">
        <v>43642</v>
      </c>
      <c r="C11121" s="497" t="s">
        <v>26</v>
      </c>
      <c r="D11121" s="479"/>
      <c r="E11121" s="368"/>
      <c r="F11121" s="368"/>
    </row>
    <row r="11122" spans="1:6" ht="25.5" x14ac:dyDescent="0.2">
      <c r="A11122" s="391">
        <v>1630</v>
      </c>
      <c r="B11122" s="478" t="s">
        <v>43643</v>
      </c>
      <c r="C11122" s="497" t="s">
        <v>26</v>
      </c>
      <c r="D11122" s="479"/>
      <c r="E11122" s="368"/>
      <c r="F11122" s="368"/>
    </row>
    <row r="11123" spans="1:6" ht="25.5" x14ac:dyDescent="0.2">
      <c r="A11123" s="391">
        <v>1616</v>
      </c>
      <c r="B11123" s="478" t="s">
        <v>43644</v>
      </c>
      <c r="C11123" s="497" t="s">
        <v>26</v>
      </c>
      <c r="D11123" s="479"/>
      <c r="E11123" s="368"/>
      <c r="F11123" s="368"/>
    </row>
    <row r="11124" spans="1:6" ht="25.5" x14ac:dyDescent="0.2">
      <c r="A11124" s="391">
        <v>1614</v>
      </c>
      <c r="B11124" s="478" t="s">
        <v>43645</v>
      </c>
      <c r="C11124" s="497" t="s">
        <v>26</v>
      </c>
      <c r="D11124" s="479"/>
      <c r="E11124" s="368"/>
      <c r="F11124" s="368"/>
    </row>
    <row r="11125" spans="1:6" ht="25.5" x14ac:dyDescent="0.2">
      <c r="A11125" s="391">
        <v>1617</v>
      </c>
      <c r="B11125" s="478" t="s">
        <v>43646</v>
      </c>
      <c r="C11125" s="497" t="s">
        <v>26</v>
      </c>
      <c r="D11125" s="479"/>
      <c r="E11125" s="368"/>
      <c r="F11125" s="368"/>
    </row>
    <row r="11126" spans="1:6" ht="25.5" x14ac:dyDescent="0.2">
      <c r="A11126" s="391">
        <v>1621</v>
      </c>
      <c r="B11126" s="478" t="s">
        <v>43647</v>
      </c>
      <c r="C11126" s="497" t="s">
        <v>26</v>
      </c>
      <c r="D11126" s="479"/>
      <c r="E11126" s="368"/>
      <c r="F11126" s="368"/>
    </row>
    <row r="11127" spans="1:6" ht="25.5" x14ac:dyDescent="0.2">
      <c r="A11127" s="391">
        <v>1624</v>
      </c>
      <c r="B11127" s="478" t="s">
        <v>43648</v>
      </c>
      <c r="C11127" s="497" t="s">
        <v>26</v>
      </c>
      <c r="D11127" s="479"/>
      <c r="E11127" s="368"/>
      <c r="F11127" s="368"/>
    </row>
    <row r="11128" spans="1:6" ht="25.5" x14ac:dyDescent="0.2">
      <c r="A11128" s="391">
        <v>1615</v>
      </c>
      <c r="B11128" s="478" t="s">
        <v>43649</v>
      </c>
      <c r="C11128" s="497" t="s">
        <v>26</v>
      </c>
      <c r="D11128" s="479"/>
      <c r="E11128" s="368"/>
      <c r="F11128" s="368"/>
    </row>
    <row r="11129" spans="1:6" ht="25.5" x14ac:dyDescent="0.2">
      <c r="A11129" s="391">
        <v>1612</v>
      </c>
      <c r="B11129" s="478" t="s">
        <v>43650</v>
      </c>
      <c r="C11129" s="497" t="s">
        <v>26</v>
      </c>
      <c r="D11129" s="479"/>
      <c r="E11129" s="368"/>
      <c r="F11129" s="368"/>
    </row>
    <row r="11130" spans="1:6" ht="25.5" x14ac:dyDescent="0.2">
      <c r="A11130" s="391">
        <v>1618</v>
      </c>
      <c r="B11130" s="478" t="s">
        <v>43651</v>
      </c>
      <c r="C11130" s="497" t="s">
        <v>26</v>
      </c>
      <c r="D11130" s="479"/>
      <c r="E11130" s="368"/>
      <c r="F11130" s="368"/>
    </row>
    <row r="11131" spans="1:6" x14ac:dyDescent="0.2">
      <c r="A11131" s="391">
        <v>14211</v>
      </c>
      <c r="B11131" s="478" t="s">
        <v>43652</v>
      </c>
      <c r="C11131" s="497" t="s">
        <v>26</v>
      </c>
      <c r="D11131" s="479">
        <v>62.08</v>
      </c>
      <c r="E11131" s="368"/>
      <c r="F11131" s="368"/>
    </row>
    <row r="11132" spans="1:6" ht="38.25" x14ac:dyDescent="0.2">
      <c r="A11132" s="391">
        <v>43657</v>
      </c>
      <c r="B11132" s="478" t="s">
        <v>43653</v>
      </c>
      <c r="C11132" s="497" t="s">
        <v>0</v>
      </c>
      <c r="D11132" s="479">
        <v>8.75</v>
      </c>
      <c r="E11132" s="368"/>
      <c r="F11132" s="368"/>
    </row>
    <row r="11133" spans="1:6" x14ac:dyDescent="0.2">
      <c r="A11133" s="391">
        <v>38200</v>
      </c>
      <c r="B11133" s="478" t="s">
        <v>43654</v>
      </c>
      <c r="C11133" s="497" t="s">
        <v>43655</v>
      </c>
      <c r="D11133" s="479">
        <v>444.63</v>
      </c>
      <c r="E11133" s="368"/>
      <c r="F11133" s="368"/>
    </row>
    <row r="11134" spans="1:6" ht="25.5" x14ac:dyDescent="0.2">
      <c r="A11134" s="391">
        <v>39269</v>
      </c>
      <c r="B11134" s="478" t="s">
        <v>43656</v>
      </c>
      <c r="C11134" s="497" t="s">
        <v>0</v>
      </c>
      <c r="D11134" s="479">
        <v>1.44</v>
      </c>
      <c r="E11134" s="368"/>
      <c r="F11134" s="368"/>
    </row>
    <row r="11135" spans="1:6" ht="25.5" x14ac:dyDescent="0.2">
      <c r="A11135" s="391">
        <v>11889</v>
      </c>
      <c r="B11135" s="478" t="s">
        <v>43657</v>
      </c>
      <c r="C11135" s="497" t="s">
        <v>0</v>
      </c>
      <c r="D11135" s="479">
        <v>1.97</v>
      </c>
      <c r="E11135" s="368"/>
      <c r="F11135" s="368"/>
    </row>
    <row r="11136" spans="1:6" ht="25.5" x14ac:dyDescent="0.2">
      <c r="A11136" s="391">
        <v>39270</v>
      </c>
      <c r="B11136" s="478" t="s">
        <v>43658</v>
      </c>
      <c r="C11136" s="497" t="s">
        <v>0</v>
      </c>
      <c r="D11136" s="479">
        <v>2.56</v>
      </c>
      <c r="E11136" s="368"/>
      <c r="F11136" s="368"/>
    </row>
    <row r="11137" spans="1:6" ht="25.5" x14ac:dyDescent="0.2">
      <c r="A11137" s="391">
        <v>11890</v>
      </c>
      <c r="B11137" s="478" t="s">
        <v>43659</v>
      </c>
      <c r="C11137" s="497" t="s">
        <v>0</v>
      </c>
      <c r="D11137" s="479">
        <v>3.49</v>
      </c>
      <c r="E11137" s="368"/>
      <c r="F11137" s="368"/>
    </row>
    <row r="11138" spans="1:6" ht="25.5" x14ac:dyDescent="0.2">
      <c r="A11138" s="391">
        <v>11891</v>
      </c>
      <c r="B11138" s="478" t="s">
        <v>43660</v>
      </c>
      <c r="C11138" s="497" t="s">
        <v>0</v>
      </c>
      <c r="D11138" s="479">
        <v>5.66</v>
      </c>
      <c r="E11138" s="368"/>
      <c r="F11138" s="368"/>
    </row>
    <row r="11139" spans="1:6" ht="25.5" x14ac:dyDescent="0.2">
      <c r="A11139" s="391">
        <v>11892</v>
      </c>
      <c r="B11139" s="478" t="s">
        <v>43661</v>
      </c>
      <c r="C11139" s="497" t="s">
        <v>0</v>
      </c>
      <c r="D11139" s="479">
        <v>9.25</v>
      </c>
      <c r="E11139" s="368"/>
      <c r="F11139" s="368"/>
    </row>
    <row r="11140" spans="1:6" x14ac:dyDescent="0.2">
      <c r="A11140" s="391">
        <v>37601</v>
      </c>
      <c r="B11140" s="478" t="s">
        <v>43662</v>
      </c>
      <c r="C11140" s="497" t="s">
        <v>0</v>
      </c>
      <c r="D11140" s="479"/>
      <c r="E11140" s="368"/>
      <c r="F11140" s="368"/>
    </row>
    <row r="11141" spans="1:6" x14ac:dyDescent="0.2">
      <c r="A11141" s="391">
        <v>1634</v>
      </c>
      <c r="B11141" s="478" t="s">
        <v>43663</v>
      </c>
      <c r="C11141" s="497" t="s">
        <v>0</v>
      </c>
      <c r="D11141" s="479"/>
      <c r="E11141" s="368"/>
      <c r="F11141" s="368"/>
    </row>
    <row r="11142" spans="1:6" ht="25.5" x14ac:dyDescent="0.2">
      <c r="A11142" s="391">
        <v>44274</v>
      </c>
      <c r="B11142" s="478" t="s">
        <v>43664</v>
      </c>
      <c r="C11142" s="497" t="s">
        <v>26</v>
      </c>
      <c r="D11142" s="479"/>
      <c r="E11142" s="368"/>
      <c r="F11142" s="368"/>
    </row>
    <row r="11143" spans="1:6" ht="25.5" x14ac:dyDescent="0.2">
      <c r="A11143" s="391">
        <v>5086</v>
      </c>
      <c r="B11143" s="478" t="s">
        <v>43665</v>
      </c>
      <c r="C11143" s="497" t="s">
        <v>1284</v>
      </c>
      <c r="D11143" s="479">
        <v>34.36</v>
      </c>
      <c r="E11143" s="368"/>
      <c r="F11143" s="368"/>
    </row>
    <row r="11144" spans="1:6" x14ac:dyDescent="0.2">
      <c r="A11144" s="391">
        <v>45244</v>
      </c>
      <c r="B11144" s="478" t="s">
        <v>48257</v>
      </c>
      <c r="C11144" s="497" t="s">
        <v>26</v>
      </c>
      <c r="D11144" s="479"/>
      <c r="E11144" s="368"/>
      <c r="F11144" s="368"/>
    </row>
    <row r="11145" spans="1:6" ht="38.25" x14ac:dyDescent="0.2">
      <c r="A11145" s="391">
        <v>11280</v>
      </c>
      <c r="B11145" s="478" t="s">
        <v>43666</v>
      </c>
      <c r="C11145" s="497" t="s">
        <v>26</v>
      </c>
      <c r="D11145" s="479">
        <v>16578.53</v>
      </c>
      <c r="E11145" s="368"/>
      <c r="F11145" s="368"/>
    </row>
    <row r="11146" spans="1:6" ht="25.5" x14ac:dyDescent="0.2">
      <c r="A11146" s="391">
        <v>40519</v>
      </c>
      <c r="B11146" s="478" t="s">
        <v>43667</v>
      </c>
      <c r="C11146" s="497" t="s">
        <v>26</v>
      </c>
      <c r="D11146" s="479">
        <v>136667.76</v>
      </c>
      <c r="E11146" s="368"/>
      <c r="F11146" s="368"/>
    </row>
    <row r="11147" spans="1:6" x14ac:dyDescent="0.2">
      <c r="A11147" s="391">
        <v>3446</v>
      </c>
      <c r="B11147" s="478" t="s">
        <v>43668</v>
      </c>
      <c r="C11147" s="497" t="s">
        <v>26</v>
      </c>
      <c r="D11147" s="479"/>
      <c r="E11147" s="368"/>
      <c r="F11147" s="368"/>
    </row>
    <row r="11148" spans="1:6" x14ac:dyDescent="0.2">
      <c r="A11148" s="391">
        <v>3445</v>
      </c>
      <c r="B11148" s="478" t="s">
        <v>43669</v>
      </c>
      <c r="C11148" s="497" t="s">
        <v>26</v>
      </c>
      <c r="D11148" s="479"/>
      <c r="E11148" s="368"/>
      <c r="F11148" s="368"/>
    </row>
    <row r="11149" spans="1:6" x14ac:dyDescent="0.2">
      <c r="A11149" s="391">
        <v>3444</v>
      </c>
      <c r="B11149" s="478" t="s">
        <v>43670</v>
      </c>
      <c r="C11149" s="497" t="s">
        <v>26</v>
      </c>
      <c r="D11149" s="479"/>
      <c r="E11149" s="368"/>
      <c r="F11149" s="368"/>
    </row>
    <row r="11150" spans="1:6" x14ac:dyDescent="0.2">
      <c r="A11150" s="391">
        <v>3441</v>
      </c>
      <c r="B11150" s="478" t="s">
        <v>43671</v>
      </c>
      <c r="C11150" s="497" t="s">
        <v>26</v>
      </c>
      <c r="D11150" s="479"/>
      <c r="E11150" s="368"/>
      <c r="F11150" s="368"/>
    </row>
    <row r="11151" spans="1:6" x14ac:dyDescent="0.2">
      <c r="A11151" s="391">
        <v>12402</v>
      </c>
      <c r="B11151" s="478" t="s">
        <v>43672</v>
      </c>
      <c r="C11151" s="497" t="s">
        <v>26</v>
      </c>
      <c r="D11151" s="479"/>
      <c r="E11151" s="368"/>
      <c r="F11151" s="368"/>
    </row>
    <row r="11152" spans="1:6" x14ac:dyDescent="0.2">
      <c r="A11152" s="391">
        <v>3447</v>
      </c>
      <c r="B11152" s="478" t="s">
        <v>43673</v>
      </c>
      <c r="C11152" s="497" t="s">
        <v>26</v>
      </c>
      <c r="D11152" s="479"/>
      <c r="E11152" s="368"/>
      <c r="F11152" s="368"/>
    </row>
    <row r="11153" spans="1:6" x14ac:dyDescent="0.2">
      <c r="A11153" s="391">
        <v>3448</v>
      </c>
      <c r="B11153" s="478" t="s">
        <v>43674</v>
      </c>
      <c r="C11153" s="497" t="s">
        <v>26</v>
      </c>
      <c r="D11153" s="479"/>
      <c r="E11153" s="368"/>
      <c r="F11153" s="368"/>
    </row>
    <row r="11154" spans="1:6" x14ac:dyDescent="0.2">
      <c r="A11154" s="391">
        <v>3442</v>
      </c>
      <c r="B11154" s="478" t="s">
        <v>43675</v>
      </c>
      <c r="C11154" s="497" t="s">
        <v>26</v>
      </c>
      <c r="D11154" s="479"/>
      <c r="E11154" s="368"/>
      <c r="F11154" s="368"/>
    </row>
    <row r="11155" spans="1:6" x14ac:dyDescent="0.2">
      <c r="A11155" s="391">
        <v>3449</v>
      </c>
      <c r="B11155" s="478" t="s">
        <v>43676</v>
      </c>
      <c r="C11155" s="497" t="s">
        <v>26</v>
      </c>
      <c r="D11155" s="479"/>
      <c r="E11155" s="368"/>
      <c r="F11155" s="368"/>
    </row>
    <row r="11156" spans="1:6" x14ac:dyDescent="0.2">
      <c r="A11156" s="391">
        <v>37438</v>
      </c>
      <c r="B11156" s="478" t="s">
        <v>43677</v>
      </c>
      <c r="C11156" s="497" t="s">
        <v>26</v>
      </c>
      <c r="D11156" s="479"/>
      <c r="E11156" s="368"/>
      <c r="F11156" s="368"/>
    </row>
    <row r="11157" spans="1:6" x14ac:dyDescent="0.2">
      <c r="A11157" s="391">
        <v>37439</v>
      </c>
      <c r="B11157" s="478" t="s">
        <v>43678</v>
      </c>
      <c r="C11157" s="497" t="s">
        <v>26</v>
      </c>
      <c r="D11157" s="479"/>
      <c r="E11157" s="368"/>
      <c r="F11157" s="368"/>
    </row>
    <row r="11158" spans="1:6" x14ac:dyDescent="0.2">
      <c r="A11158" s="391">
        <v>37435</v>
      </c>
      <c r="B11158" s="478" t="s">
        <v>43679</v>
      </c>
      <c r="C11158" s="497" t="s">
        <v>26</v>
      </c>
      <c r="D11158" s="479"/>
      <c r="E11158" s="368"/>
      <c r="F11158" s="368"/>
    </row>
    <row r="11159" spans="1:6" x14ac:dyDescent="0.2">
      <c r="A11159" s="391">
        <v>37436</v>
      </c>
      <c r="B11159" s="478" t="s">
        <v>43680</v>
      </c>
      <c r="C11159" s="497" t="s">
        <v>26</v>
      </c>
      <c r="D11159" s="479"/>
      <c r="E11159" s="368"/>
      <c r="F11159" s="368"/>
    </row>
    <row r="11160" spans="1:6" x14ac:dyDescent="0.2">
      <c r="A11160" s="391">
        <v>37437</v>
      </c>
      <c r="B11160" s="478" t="s">
        <v>43681</v>
      </c>
      <c r="C11160" s="497" t="s">
        <v>26</v>
      </c>
      <c r="D11160" s="479"/>
      <c r="E11160" s="368"/>
      <c r="F11160" s="368"/>
    </row>
    <row r="11161" spans="1:6" ht="25.5" x14ac:dyDescent="0.2">
      <c r="A11161" s="391">
        <v>3473</v>
      </c>
      <c r="B11161" s="478" t="s">
        <v>43682</v>
      </c>
      <c r="C11161" s="391" t="s">
        <v>26</v>
      </c>
      <c r="D11161" s="479"/>
      <c r="E11161" s="368"/>
      <c r="F11161" s="368"/>
    </row>
    <row r="11162" spans="1:6" ht="25.5" x14ac:dyDescent="0.2">
      <c r="A11162" s="391">
        <v>3474</v>
      </c>
      <c r="B11162" s="478" t="s">
        <v>43683</v>
      </c>
      <c r="C11162" s="391" t="s">
        <v>26</v>
      </c>
      <c r="D11162" s="479"/>
      <c r="E11162" s="368"/>
      <c r="F11162" s="368"/>
    </row>
    <row r="11163" spans="1:6" ht="25.5" x14ac:dyDescent="0.2">
      <c r="A11163" s="391">
        <v>3443</v>
      </c>
      <c r="B11163" s="478" t="s">
        <v>43684</v>
      </c>
      <c r="C11163" s="391" t="s">
        <v>26</v>
      </c>
      <c r="D11163" s="479"/>
      <c r="E11163" s="368"/>
      <c r="F11163" s="368"/>
    </row>
    <row r="11164" spans="1:6" ht="25.5" x14ac:dyDescent="0.2">
      <c r="A11164" s="391">
        <v>3450</v>
      </c>
      <c r="B11164" s="478" t="s">
        <v>43685</v>
      </c>
      <c r="C11164" s="391" t="s">
        <v>26</v>
      </c>
      <c r="D11164" s="479"/>
      <c r="E11164" s="368"/>
      <c r="F11164" s="368"/>
    </row>
    <row r="11165" spans="1:6" ht="25.5" x14ac:dyDescent="0.2">
      <c r="A11165" s="391">
        <v>3453</v>
      </c>
      <c r="B11165" s="478" t="s">
        <v>43686</v>
      </c>
      <c r="C11165" s="391" t="s">
        <v>26</v>
      </c>
      <c r="D11165" s="479"/>
      <c r="E11165" s="368"/>
      <c r="F11165" s="368"/>
    </row>
    <row r="11166" spans="1:6" ht="25.5" x14ac:dyDescent="0.2">
      <c r="A11166" s="391">
        <v>3452</v>
      </c>
      <c r="B11166" s="478" t="s">
        <v>43687</v>
      </c>
      <c r="C11166" s="391" t="s">
        <v>26</v>
      </c>
      <c r="D11166" s="479"/>
      <c r="E11166" s="368"/>
      <c r="F11166" s="368"/>
    </row>
    <row r="11167" spans="1:6" ht="25.5" x14ac:dyDescent="0.2">
      <c r="A11167" s="391">
        <v>3454</v>
      </c>
      <c r="B11167" s="478" t="s">
        <v>43688</v>
      </c>
      <c r="C11167" s="391" t="s">
        <v>26</v>
      </c>
      <c r="D11167" s="479"/>
      <c r="E11167" s="368"/>
      <c r="F11167" s="368"/>
    </row>
    <row r="11168" spans="1:6" ht="25.5" x14ac:dyDescent="0.2">
      <c r="A11168" s="391">
        <v>3451</v>
      </c>
      <c r="B11168" s="478" t="s">
        <v>43689</v>
      </c>
      <c r="C11168" s="391" t="s">
        <v>26</v>
      </c>
      <c r="D11168" s="479"/>
      <c r="E11168" s="368"/>
      <c r="F11168" s="368"/>
    </row>
    <row r="11169" spans="1:6" x14ac:dyDescent="0.2">
      <c r="A11169" s="391">
        <v>3458</v>
      </c>
      <c r="B11169" s="478" t="s">
        <v>43690</v>
      </c>
      <c r="C11169" s="391" t="s">
        <v>26</v>
      </c>
      <c r="D11169" s="479"/>
      <c r="E11169" s="368"/>
      <c r="F11169" s="368"/>
    </row>
    <row r="11170" spans="1:6" x14ac:dyDescent="0.2">
      <c r="A11170" s="391">
        <v>3457</v>
      </c>
      <c r="B11170" s="478" t="s">
        <v>43691</v>
      </c>
      <c r="C11170" s="391" t="s">
        <v>26</v>
      </c>
      <c r="D11170" s="479"/>
      <c r="E11170" s="368"/>
      <c r="F11170" s="368"/>
    </row>
    <row r="11171" spans="1:6" x14ac:dyDescent="0.2">
      <c r="A11171" s="391">
        <v>3472</v>
      </c>
      <c r="B11171" s="478" t="s">
        <v>43692</v>
      </c>
      <c r="C11171" s="391" t="s">
        <v>26</v>
      </c>
      <c r="D11171" s="479"/>
      <c r="E11171" s="368"/>
      <c r="F11171" s="368"/>
    </row>
    <row r="11172" spans="1:6" x14ac:dyDescent="0.2">
      <c r="A11172" s="391">
        <v>3455</v>
      </c>
      <c r="B11172" s="478" t="s">
        <v>43693</v>
      </c>
      <c r="C11172" s="391" t="s">
        <v>26</v>
      </c>
      <c r="D11172" s="479"/>
      <c r="E11172" s="368"/>
      <c r="F11172" s="368"/>
    </row>
    <row r="11173" spans="1:6" x14ac:dyDescent="0.2">
      <c r="A11173" s="391">
        <v>3470</v>
      </c>
      <c r="B11173" s="478" t="s">
        <v>43694</v>
      </c>
      <c r="C11173" s="391" t="s">
        <v>26</v>
      </c>
      <c r="D11173" s="479"/>
      <c r="E11173" s="368"/>
      <c r="F11173" s="368"/>
    </row>
    <row r="11174" spans="1:6" x14ac:dyDescent="0.2">
      <c r="A11174" s="391">
        <v>3471</v>
      </c>
      <c r="B11174" s="478" t="s">
        <v>43695</v>
      </c>
      <c r="C11174" s="391" t="s">
        <v>26</v>
      </c>
      <c r="D11174" s="479"/>
      <c r="E11174" s="368"/>
      <c r="F11174" s="368"/>
    </row>
    <row r="11175" spans="1:6" x14ac:dyDescent="0.2">
      <c r="A11175" s="391">
        <v>3459</v>
      </c>
      <c r="B11175" s="478" t="s">
        <v>43696</v>
      </c>
      <c r="C11175" s="391" t="s">
        <v>26</v>
      </c>
      <c r="D11175" s="479"/>
      <c r="E11175" s="368"/>
      <c r="F11175" s="368"/>
    </row>
    <row r="11176" spans="1:6" x14ac:dyDescent="0.2">
      <c r="A11176" s="391">
        <v>3456</v>
      </c>
      <c r="B11176" s="478" t="s">
        <v>43697</v>
      </c>
      <c r="C11176" s="391" t="s">
        <v>26</v>
      </c>
      <c r="D11176" s="479"/>
      <c r="E11176" s="368"/>
      <c r="F11176" s="368"/>
    </row>
    <row r="11177" spans="1:6" x14ac:dyDescent="0.2">
      <c r="A11177" s="391">
        <v>3469</v>
      </c>
      <c r="B11177" s="478" t="s">
        <v>43698</v>
      </c>
      <c r="C11177" s="391" t="s">
        <v>26</v>
      </c>
      <c r="D11177" s="479"/>
      <c r="E11177" s="368"/>
      <c r="F11177" s="368"/>
    </row>
    <row r="11178" spans="1:6" x14ac:dyDescent="0.2">
      <c r="A11178" s="391">
        <v>3460</v>
      </c>
      <c r="B11178" s="478" t="s">
        <v>43699</v>
      </c>
      <c r="C11178" s="391" t="s">
        <v>26</v>
      </c>
      <c r="D11178" s="479"/>
      <c r="E11178" s="368"/>
      <c r="F11178" s="368"/>
    </row>
    <row r="11179" spans="1:6" x14ac:dyDescent="0.2">
      <c r="A11179" s="391">
        <v>3461</v>
      </c>
      <c r="B11179" s="478" t="s">
        <v>43700</v>
      </c>
      <c r="C11179" s="391" t="s">
        <v>26</v>
      </c>
      <c r="D11179" s="479"/>
      <c r="E11179" s="368"/>
      <c r="F11179" s="368"/>
    </row>
    <row r="11180" spans="1:6" x14ac:dyDescent="0.2">
      <c r="A11180" s="391">
        <v>37433</v>
      </c>
      <c r="B11180" s="478" t="s">
        <v>43701</v>
      </c>
      <c r="C11180" s="391" t="s">
        <v>26</v>
      </c>
      <c r="D11180" s="479"/>
      <c r="E11180" s="368"/>
      <c r="F11180" s="368"/>
    </row>
    <row r="11181" spans="1:6" x14ac:dyDescent="0.2">
      <c r="A11181" s="391">
        <v>37430</v>
      </c>
      <c r="B11181" s="478" t="s">
        <v>43702</v>
      </c>
      <c r="C11181" s="391" t="s">
        <v>26</v>
      </c>
      <c r="D11181" s="479"/>
      <c r="E11181" s="368"/>
      <c r="F11181" s="368"/>
    </row>
    <row r="11182" spans="1:6" x14ac:dyDescent="0.2">
      <c r="A11182" s="391">
        <v>37434</v>
      </c>
      <c r="B11182" s="478" t="s">
        <v>43703</v>
      </c>
      <c r="C11182" s="391" t="s">
        <v>26</v>
      </c>
      <c r="D11182" s="479"/>
      <c r="E11182" s="368"/>
      <c r="F11182" s="368"/>
    </row>
    <row r="11183" spans="1:6" x14ac:dyDescent="0.2">
      <c r="A11183" s="391">
        <v>37431</v>
      </c>
      <c r="B11183" s="478" t="s">
        <v>43704</v>
      </c>
      <c r="C11183" s="391" t="s">
        <v>26</v>
      </c>
      <c r="D11183" s="479"/>
      <c r="E11183" s="368"/>
      <c r="F11183" s="368"/>
    </row>
    <row r="11184" spans="1:6" x14ac:dyDescent="0.2">
      <c r="A11184" s="391">
        <v>37432</v>
      </c>
      <c r="B11184" s="478" t="s">
        <v>43705</v>
      </c>
      <c r="C11184" s="391" t="s">
        <v>26</v>
      </c>
      <c r="D11184" s="479"/>
      <c r="E11184" s="368"/>
      <c r="F11184" s="368"/>
    </row>
    <row r="11185" spans="1:6" ht="25.5" x14ac:dyDescent="0.2">
      <c r="A11185" s="391">
        <v>39869</v>
      </c>
      <c r="B11185" s="478" t="s">
        <v>43706</v>
      </c>
      <c r="C11185" s="391" t="s">
        <v>26</v>
      </c>
      <c r="D11185" s="479"/>
      <c r="E11185" s="368"/>
      <c r="F11185" s="368"/>
    </row>
    <row r="11186" spans="1:6" ht="25.5" x14ac:dyDescent="0.2">
      <c r="A11186" s="391">
        <v>39870</v>
      </c>
      <c r="B11186" s="478" t="s">
        <v>43707</v>
      </c>
      <c r="C11186" s="391" t="s">
        <v>26</v>
      </c>
      <c r="D11186" s="479"/>
      <c r="E11186" s="368"/>
      <c r="F11186" s="368"/>
    </row>
    <row r="11187" spans="1:6" ht="25.5" x14ac:dyDescent="0.2">
      <c r="A11187" s="391">
        <v>39871</v>
      </c>
      <c r="B11187" s="478" t="s">
        <v>43708</v>
      </c>
      <c r="C11187" s="391" t="s">
        <v>26</v>
      </c>
      <c r="D11187" s="479"/>
      <c r="E11187" s="368"/>
      <c r="F11187" s="368"/>
    </row>
    <row r="11188" spans="1:6" ht="25.5" x14ac:dyDescent="0.2">
      <c r="A11188" s="391">
        <v>12722</v>
      </c>
      <c r="B11188" s="478" t="s">
        <v>43709</v>
      </c>
      <c r="C11188" s="391" t="s">
        <v>26</v>
      </c>
      <c r="D11188" s="479"/>
      <c r="E11188" s="368"/>
      <c r="F11188" s="368"/>
    </row>
    <row r="11189" spans="1:6" x14ac:dyDescent="0.2">
      <c r="A11189" s="391">
        <v>12714</v>
      </c>
      <c r="B11189" s="478" t="s">
        <v>43710</v>
      </c>
      <c r="C11189" s="391" t="s">
        <v>26</v>
      </c>
      <c r="D11189" s="479"/>
      <c r="E11189" s="368"/>
      <c r="F11189" s="368"/>
    </row>
    <row r="11190" spans="1:6" x14ac:dyDescent="0.2">
      <c r="A11190" s="391">
        <v>12715</v>
      </c>
      <c r="B11190" s="478" t="s">
        <v>43711</v>
      </c>
      <c r="C11190" s="391" t="s">
        <v>26</v>
      </c>
      <c r="D11190" s="479"/>
      <c r="E11190" s="368"/>
      <c r="F11190" s="368"/>
    </row>
    <row r="11191" spans="1:6" x14ac:dyDescent="0.2">
      <c r="A11191" s="391">
        <v>12716</v>
      </c>
      <c r="B11191" s="478" t="s">
        <v>43712</v>
      </c>
      <c r="C11191" s="391" t="s">
        <v>26</v>
      </c>
      <c r="D11191" s="479"/>
      <c r="E11191" s="368"/>
      <c r="F11191" s="368"/>
    </row>
    <row r="11192" spans="1:6" x14ac:dyDescent="0.2">
      <c r="A11192" s="391">
        <v>12717</v>
      </c>
      <c r="B11192" s="478" t="s">
        <v>43713</v>
      </c>
      <c r="C11192" s="391" t="s">
        <v>26</v>
      </c>
      <c r="D11192" s="479"/>
      <c r="E11192" s="368"/>
      <c r="F11192" s="368"/>
    </row>
    <row r="11193" spans="1:6" x14ac:dyDescent="0.2">
      <c r="A11193" s="391">
        <v>12718</v>
      </c>
      <c r="B11193" s="478" t="s">
        <v>43714</v>
      </c>
      <c r="C11193" s="391" t="s">
        <v>26</v>
      </c>
      <c r="D11193" s="479"/>
      <c r="E11193" s="368"/>
      <c r="F11193" s="368"/>
    </row>
    <row r="11194" spans="1:6" x14ac:dyDescent="0.2">
      <c r="A11194" s="391">
        <v>12719</v>
      </c>
      <c r="B11194" s="478" t="s">
        <v>43715</v>
      </c>
      <c r="C11194" s="391" t="s">
        <v>26</v>
      </c>
      <c r="D11194" s="479"/>
      <c r="E11194" s="368"/>
      <c r="F11194" s="368"/>
    </row>
    <row r="11195" spans="1:6" x14ac:dyDescent="0.2">
      <c r="A11195" s="391">
        <v>12720</v>
      </c>
      <c r="B11195" s="478" t="s">
        <v>43716</v>
      </c>
      <c r="C11195" s="391" t="s">
        <v>26</v>
      </c>
      <c r="D11195" s="479"/>
      <c r="E11195" s="368"/>
      <c r="F11195" s="368"/>
    </row>
    <row r="11196" spans="1:6" x14ac:dyDescent="0.2">
      <c r="A11196" s="391">
        <v>12721</v>
      </c>
      <c r="B11196" s="478" t="s">
        <v>43717</v>
      </c>
      <c r="C11196" s="391" t="s">
        <v>26</v>
      </c>
      <c r="D11196" s="479"/>
      <c r="E11196" s="368"/>
      <c r="F11196" s="368"/>
    </row>
    <row r="11197" spans="1:6" ht="25.5" x14ac:dyDescent="0.2">
      <c r="A11197" s="391">
        <v>3468</v>
      </c>
      <c r="B11197" s="478" t="s">
        <v>43718</v>
      </c>
      <c r="C11197" s="391" t="s">
        <v>26</v>
      </c>
      <c r="D11197" s="479"/>
      <c r="E11197" s="368"/>
      <c r="F11197" s="368"/>
    </row>
    <row r="11198" spans="1:6" ht="25.5" x14ac:dyDescent="0.2">
      <c r="A11198" s="391">
        <v>3465</v>
      </c>
      <c r="B11198" s="478" t="s">
        <v>43719</v>
      </c>
      <c r="C11198" s="391" t="s">
        <v>26</v>
      </c>
      <c r="D11198" s="479"/>
      <c r="E11198" s="368"/>
      <c r="F11198" s="368"/>
    </row>
    <row r="11199" spans="1:6" ht="25.5" x14ac:dyDescent="0.2">
      <c r="A11199" s="391">
        <v>12403</v>
      </c>
      <c r="B11199" s="478" t="s">
        <v>43720</v>
      </c>
      <c r="C11199" s="391" t="s">
        <v>26</v>
      </c>
      <c r="D11199" s="479"/>
      <c r="E11199" s="368"/>
      <c r="F11199" s="368"/>
    </row>
    <row r="11200" spans="1:6" ht="25.5" x14ac:dyDescent="0.2">
      <c r="A11200" s="391">
        <v>3463</v>
      </c>
      <c r="B11200" s="478" t="s">
        <v>43721</v>
      </c>
      <c r="C11200" s="391" t="s">
        <v>26</v>
      </c>
      <c r="D11200" s="479"/>
      <c r="E11200" s="368"/>
      <c r="F11200" s="368"/>
    </row>
    <row r="11201" spans="1:6" ht="25.5" x14ac:dyDescent="0.2">
      <c r="A11201" s="391">
        <v>3464</v>
      </c>
      <c r="B11201" s="478" t="s">
        <v>43722</v>
      </c>
      <c r="C11201" s="391" t="s">
        <v>26</v>
      </c>
      <c r="D11201" s="479"/>
      <c r="E11201" s="368"/>
      <c r="F11201" s="368"/>
    </row>
    <row r="11202" spans="1:6" ht="25.5" x14ac:dyDescent="0.2">
      <c r="A11202" s="391">
        <v>3466</v>
      </c>
      <c r="B11202" s="478" t="s">
        <v>43723</v>
      </c>
      <c r="C11202" s="391" t="s">
        <v>26</v>
      </c>
      <c r="D11202" s="479"/>
      <c r="E11202" s="368"/>
      <c r="F11202" s="368"/>
    </row>
    <row r="11203" spans="1:6" ht="25.5" x14ac:dyDescent="0.2">
      <c r="A11203" s="391">
        <v>3467</v>
      </c>
      <c r="B11203" s="478" t="s">
        <v>43724</v>
      </c>
      <c r="C11203" s="391" t="s">
        <v>26</v>
      </c>
      <c r="D11203" s="479"/>
      <c r="E11203" s="368"/>
      <c r="F11203" s="368"/>
    </row>
    <row r="11204" spans="1:6" ht="25.5" x14ac:dyDescent="0.2">
      <c r="A11204" s="391">
        <v>3462</v>
      </c>
      <c r="B11204" s="478" t="s">
        <v>43725</v>
      </c>
      <c r="C11204" s="391" t="s">
        <v>26</v>
      </c>
      <c r="D11204" s="479"/>
      <c r="E11204" s="368"/>
      <c r="F11204" s="368"/>
    </row>
    <row r="11205" spans="1:6" ht="25.5" x14ac:dyDescent="0.2">
      <c r="A11205" s="391">
        <v>37416</v>
      </c>
      <c r="B11205" s="478" t="s">
        <v>43726</v>
      </c>
      <c r="C11205" s="391" t="s">
        <v>26</v>
      </c>
      <c r="D11205" s="479"/>
      <c r="E11205" s="368"/>
      <c r="F11205" s="368"/>
    </row>
    <row r="11206" spans="1:6" ht="25.5" x14ac:dyDescent="0.2">
      <c r="A11206" s="391">
        <v>37417</v>
      </c>
      <c r="B11206" s="480" t="s">
        <v>43727</v>
      </c>
      <c r="C11206" s="391" t="s">
        <v>26</v>
      </c>
      <c r="D11206" s="479"/>
      <c r="E11206" s="368"/>
      <c r="F11206" s="368"/>
    </row>
    <row r="11207" spans="1:6" ht="25.5" x14ac:dyDescent="0.2">
      <c r="A11207" s="391">
        <v>37413</v>
      </c>
      <c r="B11207" s="478" t="s">
        <v>43728</v>
      </c>
      <c r="C11207" s="391" t="s">
        <v>26</v>
      </c>
      <c r="D11207" s="479"/>
      <c r="E11207" s="368"/>
      <c r="F11207" s="368"/>
    </row>
    <row r="11208" spans="1:6" ht="25.5" x14ac:dyDescent="0.2">
      <c r="A11208" s="391">
        <v>37414</v>
      </c>
      <c r="B11208" s="478" t="s">
        <v>43729</v>
      </c>
      <c r="C11208" s="391" t="s">
        <v>26</v>
      </c>
      <c r="D11208" s="479"/>
      <c r="E11208" s="368"/>
      <c r="F11208" s="368"/>
    </row>
    <row r="11209" spans="1:6" ht="25.5" x14ac:dyDescent="0.2">
      <c r="A11209" s="391">
        <v>37415</v>
      </c>
      <c r="B11209" s="478" t="s">
        <v>43730</v>
      </c>
      <c r="C11209" s="391" t="s">
        <v>26</v>
      </c>
      <c r="D11209" s="479"/>
      <c r="E11209" s="368"/>
      <c r="F11209" s="368"/>
    </row>
    <row r="11210" spans="1:6" ht="25.5" x14ac:dyDescent="0.2">
      <c r="A11210" s="391">
        <v>43590</v>
      </c>
      <c r="B11210" s="478" t="s">
        <v>43731</v>
      </c>
      <c r="C11210" s="391" t="s">
        <v>26</v>
      </c>
      <c r="D11210" s="479">
        <v>159.74</v>
      </c>
      <c r="E11210" s="368"/>
      <c r="F11210" s="368"/>
    </row>
    <row r="11211" spans="1:6" ht="25.5" x14ac:dyDescent="0.2">
      <c r="A11211" s="391">
        <v>43589</v>
      </c>
      <c r="B11211" s="478" t="s">
        <v>43732</v>
      </c>
      <c r="C11211" s="391" t="s">
        <v>26</v>
      </c>
      <c r="D11211" s="479">
        <v>28.9</v>
      </c>
      <c r="E11211" s="368"/>
      <c r="F11211" s="368"/>
    </row>
    <row r="11212" spans="1:6" x14ac:dyDescent="0.2">
      <c r="A11212" s="391">
        <v>34519</v>
      </c>
      <c r="B11212" s="478" t="s">
        <v>43733</v>
      </c>
      <c r="C11212" s="391" t="s">
        <v>26</v>
      </c>
      <c r="D11212" s="479"/>
      <c r="E11212" s="368"/>
      <c r="F11212" s="368"/>
    </row>
    <row r="11213" spans="1:6" x14ac:dyDescent="0.2">
      <c r="A11213" s="391">
        <v>1649</v>
      </c>
      <c r="B11213" s="478" t="s">
        <v>43734</v>
      </c>
      <c r="C11213" s="391" t="s">
        <v>26</v>
      </c>
      <c r="D11213" s="479"/>
      <c r="E11213" s="368"/>
      <c r="F11213" s="368"/>
    </row>
    <row r="11214" spans="1:6" x14ac:dyDescent="0.2">
      <c r="A11214" s="391">
        <v>1653</v>
      </c>
      <c r="B11214" s="478" t="s">
        <v>43735</v>
      </c>
      <c r="C11214" s="391" t="s">
        <v>26</v>
      </c>
      <c r="D11214" s="479"/>
      <c r="E11214" s="368"/>
      <c r="F11214" s="368"/>
    </row>
    <row r="11215" spans="1:6" x14ac:dyDescent="0.2">
      <c r="A11215" s="391">
        <v>1648</v>
      </c>
      <c r="B11215" s="478" t="s">
        <v>43736</v>
      </c>
      <c r="C11215" s="391" t="s">
        <v>26</v>
      </c>
      <c r="D11215" s="479"/>
      <c r="E11215" s="368"/>
      <c r="F11215" s="368"/>
    </row>
    <row r="11216" spans="1:6" x14ac:dyDescent="0.2">
      <c r="A11216" s="391">
        <v>1647</v>
      </c>
      <c r="B11216" s="478" t="s">
        <v>43737</v>
      </c>
      <c r="C11216" s="391" t="s">
        <v>26</v>
      </c>
      <c r="D11216" s="479"/>
      <c r="E11216" s="368"/>
      <c r="F11216" s="368"/>
    </row>
    <row r="11217" spans="1:6" x14ac:dyDescent="0.2">
      <c r="A11217" s="391">
        <v>1651</v>
      </c>
      <c r="B11217" s="478" t="s">
        <v>43738</v>
      </c>
      <c r="C11217" s="391" t="s">
        <v>26</v>
      </c>
      <c r="D11217" s="479"/>
      <c r="E11217" s="368"/>
      <c r="F11217" s="368"/>
    </row>
    <row r="11218" spans="1:6" x14ac:dyDescent="0.2">
      <c r="A11218" s="391">
        <v>1650</v>
      </c>
      <c r="B11218" s="478" t="s">
        <v>43739</v>
      </c>
      <c r="C11218" s="391" t="s">
        <v>26</v>
      </c>
      <c r="D11218" s="479"/>
      <c r="E11218" s="368"/>
      <c r="F11218" s="368"/>
    </row>
    <row r="11219" spans="1:6" x14ac:dyDescent="0.2">
      <c r="A11219" s="391">
        <v>1652</v>
      </c>
      <c r="B11219" s="478" t="s">
        <v>43740</v>
      </c>
      <c r="C11219" s="391" t="s">
        <v>26</v>
      </c>
      <c r="D11219" s="479"/>
      <c r="E11219" s="368"/>
      <c r="F11219" s="368"/>
    </row>
    <row r="11220" spans="1:6" x14ac:dyDescent="0.2">
      <c r="A11220" s="391">
        <v>1654</v>
      </c>
      <c r="B11220" s="478" t="s">
        <v>43741</v>
      </c>
      <c r="C11220" s="391" t="s">
        <v>26</v>
      </c>
      <c r="D11220" s="479"/>
      <c r="E11220" s="368"/>
      <c r="F11220" s="368"/>
    </row>
    <row r="11221" spans="1:6" ht="25.5" x14ac:dyDescent="0.2">
      <c r="A11221" s="391">
        <v>10510</v>
      </c>
      <c r="B11221" s="478" t="s">
        <v>43742</v>
      </c>
      <c r="C11221" s="391" t="s">
        <v>26</v>
      </c>
      <c r="D11221" s="479"/>
      <c r="E11221" s="368"/>
      <c r="F11221" s="368"/>
    </row>
    <row r="11222" spans="1:6" ht="25.5" x14ac:dyDescent="0.2">
      <c r="A11222" s="391">
        <v>1744</v>
      </c>
      <c r="B11222" s="478" t="s">
        <v>48258</v>
      </c>
      <c r="C11222" s="391" t="s">
        <v>26</v>
      </c>
      <c r="D11222" s="479">
        <v>118.18</v>
      </c>
      <c r="E11222" s="368"/>
      <c r="F11222" s="368"/>
    </row>
    <row r="11223" spans="1:6" ht="25.5" x14ac:dyDescent="0.2">
      <c r="A11223" s="391">
        <v>1743</v>
      </c>
      <c r="B11223" s="478" t="s">
        <v>48259</v>
      </c>
      <c r="C11223" s="391" t="s">
        <v>26</v>
      </c>
      <c r="D11223" s="479">
        <v>155.19</v>
      </c>
      <c r="E11223" s="368"/>
      <c r="F11223" s="368"/>
    </row>
    <row r="11224" spans="1:6" ht="25.5" x14ac:dyDescent="0.2">
      <c r="A11224" s="391">
        <v>1747</v>
      </c>
      <c r="B11224" s="478" t="s">
        <v>48260</v>
      </c>
      <c r="C11224" s="391" t="s">
        <v>26</v>
      </c>
      <c r="D11224" s="479">
        <v>170.62</v>
      </c>
      <c r="E11224" s="368"/>
      <c r="F11224" s="368"/>
    </row>
    <row r="11225" spans="1:6" ht="25.5" x14ac:dyDescent="0.2">
      <c r="A11225" s="391">
        <v>39640</v>
      </c>
      <c r="B11225" s="478" t="s">
        <v>43743</v>
      </c>
      <c r="C11225" s="391" t="s">
        <v>26</v>
      </c>
      <c r="D11225" s="479">
        <v>17.8</v>
      </c>
      <c r="E11225" s="368"/>
      <c r="F11225" s="368"/>
    </row>
    <row r="11226" spans="1:6" ht="25.5" x14ac:dyDescent="0.2">
      <c r="A11226" s="391">
        <v>7216</v>
      </c>
      <c r="B11226" s="478" t="s">
        <v>43744</v>
      </c>
      <c r="C11226" s="391" t="s">
        <v>26</v>
      </c>
      <c r="D11226" s="479">
        <v>95.64</v>
      </c>
      <c r="E11226" s="368"/>
      <c r="F11226" s="368"/>
    </row>
    <row r="11227" spans="1:6" ht="25.5" x14ac:dyDescent="0.2">
      <c r="A11227" s="391">
        <v>20235</v>
      </c>
      <c r="B11227" s="478" t="s">
        <v>43745</v>
      </c>
      <c r="C11227" s="391" t="s">
        <v>26</v>
      </c>
      <c r="D11227" s="479">
        <v>76.89</v>
      </c>
      <c r="E11227" s="368"/>
      <c r="F11227" s="368"/>
    </row>
    <row r="11228" spans="1:6" ht="25.5" x14ac:dyDescent="0.2">
      <c r="A11228" s="391">
        <v>7181</v>
      </c>
      <c r="B11228" s="478" t="s">
        <v>43746</v>
      </c>
      <c r="C11228" s="391" t="s">
        <v>26</v>
      </c>
      <c r="D11228" s="479">
        <v>3.23</v>
      </c>
      <c r="E11228" s="368"/>
      <c r="F11228" s="368"/>
    </row>
    <row r="11229" spans="1:6" ht="25.5" x14ac:dyDescent="0.2">
      <c r="A11229" s="391">
        <v>40742</v>
      </c>
      <c r="B11229" s="478" t="s">
        <v>43747</v>
      </c>
      <c r="C11229" s="391" t="s">
        <v>26</v>
      </c>
      <c r="D11229" s="479">
        <v>12.34</v>
      </c>
      <c r="E11229" s="368"/>
      <c r="F11229" s="368"/>
    </row>
    <row r="11230" spans="1:6" ht="25.5" x14ac:dyDescent="0.2">
      <c r="A11230" s="391">
        <v>7214</v>
      </c>
      <c r="B11230" s="478" t="s">
        <v>43748</v>
      </c>
      <c r="C11230" s="391" t="s">
        <v>26</v>
      </c>
      <c r="D11230" s="479">
        <v>93.4</v>
      </c>
      <c r="E11230" s="368"/>
      <c r="F11230" s="368"/>
    </row>
    <row r="11231" spans="1:6" ht="25.5" x14ac:dyDescent="0.2">
      <c r="A11231" s="391">
        <v>7219</v>
      </c>
      <c r="B11231" s="478" t="s">
        <v>43749</v>
      </c>
      <c r="C11231" s="391" t="s">
        <v>26</v>
      </c>
      <c r="D11231" s="479">
        <v>82.84</v>
      </c>
      <c r="E11231" s="368"/>
      <c r="F11231" s="368"/>
    </row>
    <row r="11232" spans="1:6" ht="25.5" x14ac:dyDescent="0.2">
      <c r="A11232" s="391">
        <v>2628</v>
      </c>
      <c r="B11232" s="478" t="s">
        <v>43750</v>
      </c>
      <c r="C11232" s="391" t="s">
        <v>26</v>
      </c>
      <c r="D11232" s="479"/>
      <c r="E11232" s="368"/>
      <c r="F11232" s="368"/>
    </row>
    <row r="11233" spans="1:6" ht="25.5" x14ac:dyDescent="0.2">
      <c r="A11233" s="391">
        <v>2622</v>
      </c>
      <c r="B11233" s="478" t="s">
        <v>43751</v>
      </c>
      <c r="C11233" s="391" t="s">
        <v>26</v>
      </c>
      <c r="D11233" s="479"/>
      <c r="E11233" s="368"/>
      <c r="F11233" s="368"/>
    </row>
    <row r="11234" spans="1:6" ht="25.5" x14ac:dyDescent="0.2">
      <c r="A11234" s="391">
        <v>2623</v>
      </c>
      <c r="B11234" s="478" t="s">
        <v>43752</v>
      </c>
      <c r="C11234" s="391" t="s">
        <v>26</v>
      </c>
      <c r="D11234" s="479"/>
      <c r="E11234" s="368"/>
      <c r="F11234" s="368"/>
    </row>
    <row r="11235" spans="1:6" ht="25.5" x14ac:dyDescent="0.2">
      <c r="A11235" s="391">
        <v>2624</v>
      </c>
      <c r="B11235" s="478" t="s">
        <v>43753</v>
      </c>
      <c r="C11235" s="391" t="s">
        <v>26</v>
      </c>
      <c r="D11235" s="479"/>
      <c r="E11235" s="368"/>
      <c r="F11235" s="368"/>
    </row>
    <row r="11236" spans="1:6" ht="25.5" x14ac:dyDescent="0.2">
      <c r="A11236" s="391">
        <v>2625</v>
      </c>
      <c r="B11236" s="478" t="s">
        <v>43754</v>
      </c>
      <c r="C11236" s="391" t="s">
        <v>26</v>
      </c>
      <c r="D11236" s="479"/>
      <c r="E11236" s="368"/>
      <c r="F11236" s="368"/>
    </row>
    <row r="11237" spans="1:6" ht="25.5" x14ac:dyDescent="0.2">
      <c r="A11237" s="391">
        <v>2626</v>
      </c>
      <c r="B11237" s="478" t="s">
        <v>43755</v>
      </c>
      <c r="C11237" s="391" t="s">
        <v>26</v>
      </c>
      <c r="D11237" s="479"/>
      <c r="E11237" s="368"/>
      <c r="F11237" s="368"/>
    </row>
    <row r="11238" spans="1:6" ht="25.5" x14ac:dyDescent="0.2">
      <c r="A11238" s="391">
        <v>2630</v>
      </c>
      <c r="B11238" s="478" t="s">
        <v>43756</v>
      </c>
      <c r="C11238" s="391" t="s">
        <v>26</v>
      </c>
      <c r="D11238" s="479"/>
      <c r="E11238" s="368"/>
      <c r="F11238" s="368"/>
    </row>
    <row r="11239" spans="1:6" ht="25.5" x14ac:dyDescent="0.2">
      <c r="A11239" s="391">
        <v>2627</v>
      </c>
      <c r="B11239" s="478" t="s">
        <v>43757</v>
      </c>
      <c r="C11239" s="391" t="s">
        <v>26</v>
      </c>
      <c r="D11239" s="479"/>
      <c r="E11239" s="368"/>
      <c r="F11239" s="368"/>
    </row>
    <row r="11240" spans="1:6" ht="25.5" x14ac:dyDescent="0.2">
      <c r="A11240" s="391">
        <v>2629</v>
      </c>
      <c r="B11240" s="478" t="s">
        <v>43758</v>
      </c>
      <c r="C11240" s="391" t="s">
        <v>26</v>
      </c>
      <c r="D11240" s="479"/>
      <c r="E11240" s="368"/>
      <c r="F11240" s="368"/>
    </row>
    <row r="11241" spans="1:6" x14ac:dyDescent="0.2">
      <c r="A11241" s="391">
        <v>1880</v>
      </c>
      <c r="B11241" s="478" t="s">
        <v>43759</v>
      </c>
      <c r="C11241" s="391" t="s">
        <v>26</v>
      </c>
      <c r="D11241" s="479">
        <v>2.4500000000000002</v>
      </c>
      <c r="E11241" s="368"/>
      <c r="F11241" s="368"/>
    </row>
    <row r="11242" spans="1:6" x14ac:dyDescent="0.2">
      <c r="A11242" s="391">
        <v>39274</v>
      </c>
      <c r="B11242" s="478" t="s">
        <v>43760</v>
      </c>
      <c r="C11242" s="391" t="s">
        <v>26</v>
      </c>
      <c r="D11242" s="479">
        <v>1.9</v>
      </c>
      <c r="E11242" s="368"/>
      <c r="F11242" s="368"/>
    </row>
    <row r="11243" spans="1:6" x14ac:dyDescent="0.2">
      <c r="A11243" s="391">
        <v>12033</v>
      </c>
      <c r="B11243" s="478" t="s">
        <v>43761</v>
      </c>
      <c r="C11243" s="391" t="s">
        <v>26</v>
      </c>
      <c r="D11243" s="479">
        <v>7.82</v>
      </c>
      <c r="E11243" s="368"/>
      <c r="F11243" s="368"/>
    </row>
    <row r="11244" spans="1:6" x14ac:dyDescent="0.2">
      <c r="A11244" s="391">
        <v>40408</v>
      </c>
      <c r="B11244" s="478" t="s">
        <v>43762</v>
      </c>
      <c r="C11244" s="391" t="s">
        <v>26</v>
      </c>
      <c r="D11244" s="479">
        <v>5.14</v>
      </c>
      <c r="E11244" s="368"/>
      <c r="F11244" s="368"/>
    </row>
    <row r="11245" spans="1:6" x14ac:dyDescent="0.2">
      <c r="A11245" s="391">
        <v>39276</v>
      </c>
      <c r="B11245" s="478" t="s">
        <v>43763</v>
      </c>
      <c r="C11245" s="391" t="s">
        <v>26</v>
      </c>
      <c r="D11245" s="479">
        <v>4.63</v>
      </c>
      <c r="E11245" s="368"/>
      <c r="F11245" s="368"/>
    </row>
    <row r="11246" spans="1:6" x14ac:dyDescent="0.2">
      <c r="A11246" s="391">
        <v>40409</v>
      </c>
      <c r="B11246" s="478" t="s">
        <v>43764</v>
      </c>
      <c r="C11246" s="391" t="s">
        <v>26</v>
      </c>
      <c r="D11246" s="479">
        <v>1.82</v>
      </c>
      <c r="E11246" s="368"/>
      <c r="F11246" s="368"/>
    </row>
    <row r="11247" spans="1:6" x14ac:dyDescent="0.2">
      <c r="A11247" s="391">
        <v>39277</v>
      </c>
      <c r="B11247" s="478" t="s">
        <v>43765</v>
      </c>
      <c r="C11247" s="391" t="s">
        <v>26</v>
      </c>
      <c r="D11247" s="479">
        <v>12.51</v>
      </c>
      <c r="E11247" s="368"/>
      <c r="F11247" s="368"/>
    </row>
    <row r="11248" spans="1:6" x14ac:dyDescent="0.2">
      <c r="A11248" s="391">
        <v>12034</v>
      </c>
      <c r="B11248" s="478" t="s">
        <v>43766</v>
      </c>
      <c r="C11248" s="391" t="s">
        <v>26</v>
      </c>
      <c r="D11248" s="479">
        <v>3.54</v>
      </c>
      <c r="E11248" s="368"/>
      <c r="F11248" s="368"/>
    </row>
    <row r="11249" spans="1:6" x14ac:dyDescent="0.2">
      <c r="A11249" s="391">
        <v>39879</v>
      </c>
      <c r="B11249" s="478" t="s">
        <v>43767</v>
      </c>
      <c r="C11249" s="391" t="s">
        <v>26</v>
      </c>
      <c r="D11249" s="479"/>
      <c r="E11249" s="368"/>
      <c r="F11249" s="368"/>
    </row>
    <row r="11250" spans="1:6" x14ac:dyDescent="0.2">
      <c r="A11250" s="391">
        <v>39880</v>
      </c>
      <c r="B11250" s="478" t="s">
        <v>43768</v>
      </c>
      <c r="C11250" s="391" t="s">
        <v>26</v>
      </c>
      <c r="D11250" s="479"/>
      <c r="E11250" s="368"/>
      <c r="F11250" s="368"/>
    </row>
    <row r="11251" spans="1:6" x14ac:dyDescent="0.2">
      <c r="A11251" s="391">
        <v>39881</v>
      </c>
      <c r="B11251" s="478" t="s">
        <v>43769</v>
      </c>
      <c r="C11251" s="391" t="s">
        <v>26</v>
      </c>
      <c r="D11251" s="479"/>
      <c r="E11251" s="368"/>
      <c r="F11251" s="368"/>
    </row>
    <row r="11252" spans="1:6" x14ac:dyDescent="0.2">
      <c r="A11252" s="391">
        <v>39882</v>
      </c>
      <c r="B11252" s="478" t="s">
        <v>43770</v>
      </c>
      <c r="C11252" s="391" t="s">
        <v>26</v>
      </c>
      <c r="D11252" s="479"/>
      <c r="E11252" s="368"/>
      <c r="F11252" s="368"/>
    </row>
    <row r="11253" spans="1:6" x14ac:dyDescent="0.2">
      <c r="A11253" s="391">
        <v>39883</v>
      </c>
      <c r="B11253" s="478" t="s">
        <v>43771</v>
      </c>
      <c r="C11253" s="391" t="s">
        <v>26</v>
      </c>
      <c r="D11253" s="479"/>
      <c r="E11253" s="368"/>
      <c r="F11253" s="368"/>
    </row>
    <row r="11254" spans="1:6" x14ac:dyDescent="0.2">
      <c r="A11254" s="391">
        <v>39884</v>
      </c>
      <c r="B11254" s="478" t="s">
        <v>43772</v>
      </c>
      <c r="C11254" s="391" t="s">
        <v>26</v>
      </c>
      <c r="D11254" s="479"/>
      <c r="E11254" s="368"/>
      <c r="F11254" s="368"/>
    </row>
    <row r="11255" spans="1:6" x14ac:dyDescent="0.2">
      <c r="A11255" s="391">
        <v>39885</v>
      </c>
      <c r="B11255" s="478" t="s">
        <v>43773</v>
      </c>
      <c r="C11255" s="391" t="s">
        <v>26</v>
      </c>
      <c r="D11255" s="479"/>
      <c r="E11255" s="368"/>
      <c r="F11255" s="368"/>
    </row>
    <row r="11256" spans="1:6" x14ac:dyDescent="0.2">
      <c r="A11256" s="391">
        <v>1777</v>
      </c>
      <c r="B11256" s="478" t="s">
        <v>43774</v>
      </c>
      <c r="C11256" s="391" t="s">
        <v>26</v>
      </c>
      <c r="D11256" s="479"/>
      <c r="E11256" s="368"/>
      <c r="F11256" s="368"/>
    </row>
    <row r="11257" spans="1:6" x14ac:dyDescent="0.2">
      <c r="A11257" s="391">
        <v>1819</v>
      </c>
      <c r="B11257" s="478" t="s">
        <v>43775</v>
      </c>
      <c r="C11257" s="391" t="s">
        <v>26</v>
      </c>
      <c r="D11257" s="479"/>
      <c r="E11257" s="368"/>
      <c r="F11257" s="368"/>
    </row>
    <row r="11258" spans="1:6" x14ac:dyDescent="0.2">
      <c r="A11258" s="391">
        <v>1776</v>
      </c>
      <c r="B11258" s="478" t="s">
        <v>43776</v>
      </c>
      <c r="C11258" s="391" t="s">
        <v>26</v>
      </c>
      <c r="D11258" s="479"/>
      <c r="E11258" s="368"/>
      <c r="F11258" s="368"/>
    </row>
    <row r="11259" spans="1:6" x14ac:dyDescent="0.2">
      <c r="A11259" s="391">
        <v>1775</v>
      </c>
      <c r="B11259" s="478" t="s">
        <v>43777</v>
      </c>
      <c r="C11259" s="391" t="s">
        <v>26</v>
      </c>
      <c r="D11259" s="479"/>
      <c r="E11259" s="368"/>
      <c r="F11259" s="368"/>
    </row>
    <row r="11260" spans="1:6" x14ac:dyDescent="0.2">
      <c r="A11260" s="391">
        <v>1778</v>
      </c>
      <c r="B11260" s="478" t="s">
        <v>43778</v>
      </c>
      <c r="C11260" s="391" t="s">
        <v>26</v>
      </c>
      <c r="D11260" s="479"/>
      <c r="E11260" s="368"/>
      <c r="F11260" s="368"/>
    </row>
    <row r="11261" spans="1:6" x14ac:dyDescent="0.2">
      <c r="A11261" s="391">
        <v>1818</v>
      </c>
      <c r="B11261" s="478" t="s">
        <v>43779</v>
      </c>
      <c r="C11261" s="391" t="s">
        <v>26</v>
      </c>
      <c r="D11261" s="479"/>
      <c r="E11261" s="368"/>
      <c r="F11261" s="368"/>
    </row>
    <row r="11262" spans="1:6" x14ac:dyDescent="0.2">
      <c r="A11262" s="391">
        <v>1779</v>
      </c>
      <c r="B11262" s="478" t="s">
        <v>43780</v>
      </c>
      <c r="C11262" s="391" t="s">
        <v>26</v>
      </c>
      <c r="D11262" s="479"/>
      <c r="E11262" s="368"/>
      <c r="F11262" s="368"/>
    </row>
    <row r="11263" spans="1:6" x14ac:dyDescent="0.2">
      <c r="A11263" s="391">
        <v>1820</v>
      </c>
      <c r="B11263" s="478" t="s">
        <v>43781</v>
      </c>
      <c r="C11263" s="391" t="s">
        <v>26</v>
      </c>
      <c r="D11263" s="479"/>
      <c r="E11263" s="368"/>
      <c r="F11263" s="368"/>
    </row>
    <row r="11264" spans="1:6" x14ac:dyDescent="0.2">
      <c r="A11264" s="391">
        <v>1780</v>
      </c>
      <c r="B11264" s="478" t="s">
        <v>43782</v>
      </c>
      <c r="C11264" s="391" t="s">
        <v>26</v>
      </c>
      <c r="D11264" s="479"/>
      <c r="E11264" s="368"/>
      <c r="F11264" s="368"/>
    </row>
    <row r="11265" spans="1:6" ht="25.5" x14ac:dyDescent="0.2">
      <c r="A11265" s="391">
        <v>1783</v>
      </c>
      <c r="B11265" s="478" t="s">
        <v>43783</v>
      </c>
      <c r="C11265" s="391" t="s">
        <v>26</v>
      </c>
      <c r="D11265" s="479"/>
      <c r="E11265" s="368"/>
      <c r="F11265" s="368"/>
    </row>
    <row r="11266" spans="1:6" ht="25.5" x14ac:dyDescent="0.2">
      <c r="A11266" s="391">
        <v>1782</v>
      </c>
      <c r="B11266" s="478" t="s">
        <v>43784</v>
      </c>
      <c r="C11266" s="391" t="s">
        <v>26</v>
      </c>
      <c r="D11266" s="479"/>
      <c r="E11266" s="368"/>
      <c r="F11266" s="368"/>
    </row>
    <row r="11267" spans="1:6" ht="25.5" x14ac:dyDescent="0.2">
      <c r="A11267" s="391">
        <v>1781</v>
      </c>
      <c r="B11267" s="478" t="s">
        <v>43785</v>
      </c>
      <c r="C11267" s="391" t="s">
        <v>26</v>
      </c>
      <c r="D11267" s="479"/>
      <c r="E11267" s="368"/>
      <c r="F11267" s="368"/>
    </row>
    <row r="11268" spans="1:6" ht="25.5" x14ac:dyDescent="0.2">
      <c r="A11268" s="391">
        <v>1817</v>
      </c>
      <c r="B11268" s="478" t="s">
        <v>43786</v>
      </c>
      <c r="C11268" s="391" t="s">
        <v>26</v>
      </c>
      <c r="D11268" s="479"/>
      <c r="E11268" s="368"/>
      <c r="F11268" s="368"/>
    </row>
    <row r="11269" spans="1:6" ht="25.5" x14ac:dyDescent="0.2">
      <c r="A11269" s="391">
        <v>1784</v>
      </c>
      <c r="B11269" s="478" t="s">
        <v>43787</v>
      </c>
      <c r="C11269" s="391" t="s">
        <v>26</v>
      </c>
      <c r="D11269" s="479"/>
      <c r="E11269" s="368"/>
      <c r="F11269" s="368"/>
    </row>
    <row r="11270" spans="1:6" ht="25.5" x14ac:dyDescent="0.2">
      <c r="A11270" s="391">
        <v>1810</v>
      </c>
      <c r="B11270" s="478" t="s">
        <v>43788</v>
      </c>
      <c r="C11270" s="391" t="s">
        <v>26</v>
      </c>
      <c r="D11270" s="479"/>
      <c r="E11270" s="368"/>
      <c r="F11270" s="368"/>
    </row>
    <row r="11271" spans="1:6" ht="25.5" x14ac:dyDescent="0.2">
      <c r="A11271" s="391">
        <v>1812</v>
      </c>
      <c r="B11271" s="478" t="s">
        <v>43789</v>
      </c>
      <c r="C11271" s="391" t="s">
        <v>26</v>
      </c>
      <c r="D11271" s="479"/>
      <c r="E11271" s="368"/>
      <c r="F11271" s="368"/>
    </row>
    <row r="11272" spans="1:6" ht="25.5" x14ac:dyDescent="0.2">
      <c r="A11272" s="391">
        <v>1811</v>
      </c>
      <c r="B11272" s="478" t="s">
        <v>43790</v>
      </c>
      <c r="C11272" s="391" t="s">
        <v>26</v>
      </c>
      <c r="D11272" s="479"/>
      <c r="E11272" s="368"/>
      <c r="F11272" s="368"/>
    </row>
    <row r="11273" spans="1:6" ht="25.5" x14ac:dyDescent="0.2">
      <c r="A11273" s="391">
        <v>40386</v>
      </c>
      <c r="B11273" s="478" t="s">
        <v>43791</v>
      </c>
      <c r="C11273" s="391" t="s">
        <v>26</v>
      </c>
      <c r="D11273" s="479"/>
      <c r="E11273" s="368"/>
      <c r="F11273" s="368"/>
    </row>
    <row r="11274" spans="1:6" ht="25.5" x14ac:dyDescent="0.2">
      <c r="A11274" s="391">
        <v>40384</v>
      </c>
      <c r="B11274" s="478" t="s">
        <v>43792</v>
      </c>
      <c r="C11274" s="391" t="s">
        <v>26</v>
      </c>
      <c r="D11274" s="479"/>
      <c r="E11274" s="368"/>
      <c r="F11274" s="368"/>
    </row>
    <row r="11275" spans="1:6" x14ac:dyDescent="0.2">
      <c r="A11275" s="391">
        <v>40423</v>
      </c>
      <c r="B11275" s="478" t="s">
        <v>43793</v>
      </c>
      <c r="C11275" s="391" t="s">
        <v>26</v>
      </c>
      <c r="D11275" s="479"/>
      <c r="E11275" s="368"/>
      <c r="F11275" s="368"/>
    </row>
    <row r="11276" spans="1:6" x14ac:dyDescent="0.2">
      <c r="A11276" s="391">
        <v>40379</v>
      </c>
      <c r="B11276" s="478" t="s">
        <v>43794</v>
      </c>
      <c r="C11276" s="391" t="s">
        <v>26</v>
      </c>
      <c r="D11276" s="479"/>
      <c r="E11276" s="368"/>
      <c r="F11276" s="368"/>
    </row>
    <row r="11277" spans="1:6" ht="25.5" x14ac:dyDescent="0.2">
      <c r="A11277" s="391">
        <v>40389</v>
      </c>
      <c r="B11277" s="478" t="s">
        <v>43795</v>
      </c>
      <c r="C11277" s="391" t="s">
        <v>26</v>
      </c>
      <c r="D11277" s="479"/>
      <c r="E11277" s="368"/>
      <c r="F11277" s="368"/>
    </row>
    <row r="11278" spans="1:6" x14ac:dyDescent="0.2">
      <c r="A11278" s="391">
        <v>40388</v>
      </c>
      <c r="B11278" s="478" t="s">
        <v>43796</v>
      </c>
      <c r="C11278" s="391" t="s">
        <v>26</v>
      </c>
      <c r="D11278" s="479"/>
      <c r="E11278" s="368"/>
      <c r="F11278" s="368"/>
    </row>
    <row r="11279" spans="1:6" x14ac:dyDescent="0.2">
      <c r="A11279" s="391">
        <v>40391</v>
      </c>
      <c r="B11279" s="478" t="s">
        <v>43797</v>
      </c>
      <c r="C11279" s="391" t="s">
        <v>26</v>
      </c>
      <c r="D11279" s="479"/>
      <c r="E11279" s="368"/>
      <c r="F11279" s="368"/>
    </row>
    <row r="11280" spans="1:6" x14ac:dyDescent="0.2">
      <c r="A11280" s="391">
        <v>40381</v>
      </c>
      <c r="B11280" s="478" t="s">
        <v>43798</v>
      </c>
      <c r="C11280" s="391" t="s">
        <v>26</v>
      </c>
      <c r="D11280" s="479"/>
      <c r="E11280" s="368"/>
      <c r="F11280" s="368"/>
    </row>
    <row r="11281" spans="1:6" ht="25.5" x14ac:dyDescent="0.2">
      <c r="A11281" s="391">
        <v>2609</v>
      </c>
      <c r="B11281" s="478" t="s">
        <v>43799</v>
      </c>
      <c r="C11281" s="391" t="s">
        <v>26</v>
      </c>
      <c r="D11281" s="479"/>
      <c r="E11281" s="368"/>
      <c r="F11281" s="368"/>
    </row>
    <row r="11282" spans="1:6" ht="25.5" x14ac:dyDescent="0.2">
      <c r="A11282" s="391">
        <v>2634</v>
      </c>
      <c r="B11282" s="478" t="s">
        <v>43800</v>
      </c>
      <c r="C11282" s="391" t="s">
        <v>26</v>
      </c>
      <c r="D11282" s="479"/>
      <c r="E11282" s="368"/>
      <c r="F11282" s="368"/>
    </row>
    <row r="11283" spans="1:6" ht="25.5" x14ac:dyDescent="0.2">
      <c r="A11283" s="391">
        <v>2611</v>
      </c>
      <c r="B11283" s="478" t="s">
        <v>43801</v>
      </c>
      <c r="C11283" s="391" t="s">
        <v>26</v>
      </c>
      <c r="D11283" s="479"/>
      <c r="E11283" s="368"/>
      <c r="F11283" s="368"/>
    </row>
    <row r="11284" spans="1:6" x14ac:dyDescent="0.2">
      <c r="A11284" s="391">
        <v>40414</v>
      </c>
      <c r="B11284" s="478" t="s">
        <v>43802</v>
      </c>
      <c r="C11284" s="391" t="s">
        <v>26</v>
      </c>
      <c r="D11284" s="479"/>
      <c r="E11284" s="368"/>
      <c r="F11284" s="368"/>
    </row>
    <row r="11285" spans="1:6" x14ac:dyDescent="0.2">
      <c r="A11285" s="391">
        <v>40416</v>
      </c>
      <c r="B11285" s="478" t="s">
        <v>43803</v>
      </c>
      <c r="C11285" s="391" t="s">
        <v>26</v>
      </c>
      <c r="D11285" s="479"/>
      <c r="E11285" s="368"/>
      <c r="F11285" s="368"/>
    </row>
    <row r="11286" spans="1:6" x14ac:dyDescent="0.2">
      <c r="A11286" s="391">
        <v>40418</v>
      </c>
      <c r="B11286" s="478" t="s">
        <v>43804</v>
      </c>
      <c r="C11286" s="391" t="s">
        <v>26</v>
      </c>
      <c r="D11286" s="479"/>
      <c r="E11286" s="368"/>
      <c r="F11286" s="368"/>
    </row>
    <row r="11287" spans="1:6" x14ac:dyDescent="0.2">
      <c r="A11287" s="391">
        <v>34359</v>
      </c>
      <c r="B11287" s="478" t="s">
        <v>43805</v>
      </c>
      <c r="C11287" s="391" t="s">
        <v>26</v>
      </c>
      <c r="D11287" s="479"/>
      <c r="E11287" s="368"/>
      <c r="F11287" s="368"/>
    </row>
    <row r="11288" spans="1:6" x14ac:dyDescent="0.2">
      <c r="A11288" s="391">
        <v>1789</v>
      </c>
      <c r="B11288" s="478" t="s">
        <v>43806</v>
      </c>
      <c r="C11288" s="391" t="s">
        <v>26</v>
      </c>
      <c r="D11288" s="479"/>
      <c r="E11288" s="368"/>
      <c r="F11288" s="368"/>
    </row>
    <row r="11289" spans="1:6" x14ac:dyDescent="0.2">
      <c r="A11289" s="391">
        <v>1788</v>
      </c>
      <c r="B11289" s="478" t="s">
        <v>43807</v>
      </c>
      <c r="C11289" s="391" t="s">
        <v>26</v>
      </c>
      <c r="D11289" s="479"/>
      <c r="E11289" s="368"/>
      <c r="F11289" s="368"/>
    </row>
    <row r="11290" spans="1:6" x14ac:dyDescent="0.2">
      <c r="A11290" s="391">
        <v>1787</v>
      </c>
      <c r="B11290" s="478" t="s">
        <v>43808</v>
      </c>
      <c r="C11290" s="391" t="s">
        <v>26</v>
      </c>
      <c r="D11290" s="479"/>
      <c r="E11290" s="368"/>
      <c r="F11290" s="368"/>
    </row>
    <row r="11291" spans="1:6" x14ac:dyDescent="0.2">
      <c r="A11291" s="391">
        <v>1786</v>
      </c>
      <c r="B11291" s="478" t="s">
        <v>43809</v>
      </c>
      <c r="C11291" s="391" t="s">
        <v>26</v>
      </c>
      <c r="D11291" s="479"/>
      <c r="E11291" s="368"/>
      <c r="F11291" s="368"/>
    </row>
    <row r="11292" spans="1:6" x14ac:dyDescent="0.2">
      <c r="A11292" s="391">
        <v>1791</v>
      </c>
      <c r="B11292" s="478" t="s">
        <v>43810</v>
      </c>
      <c r="C11292" s="391" t="s">
        <v>26</v>
      </c>
      <c r="D11292" s="479"/>
      <c r="E11292" s="368"/>
      <c r="F11292" s="368"/>
    </row>
    <row r="11293" spans="1:6" x14ac:dyDescent="0.2">
      <c r="A11293" s="391">
        <v>1790</v>
      </c>
      <c r="B11293" s="478" t="s">
        <v>43811</v>
      </c>
      <c r="C11293" s="391" t="s">
        <v>26</v>
      </c>
      <c r="D11293" s="479"/>
      <c r="E11293" s="368"/>
      <c r="F11293" s="368"/>
    </row>
    <row r="11294" spans="1:6" x14ac:dyDescent="0.2">
      <c r="A11294" s="391">
        <v>1792</v>
      </c>
      <c r="B11294" s="478" t="s">
        <v>43812</v>
      </c>
      <c r="C11294" s="391" t="s">
        <v>26</v>
      </c>
      <c r="D11294" s="479"/>
      <c r="E11294" s="368"/>
      <c r="F11294" s="368"/>
    </row>
    <row r="11295" spans="1:6" x14ac:dyDescent="0.2">
      <c r="A11295" s="391">
        <v>1813</v>
      </c>
      <c r="B11295" s="478" t="s">
        <v>43813</v>
      </c>
      <c r="C11295" s="391" t="s">
        <v>26</v>
      </c>
      <c r="D11295" s="479"/>
      <c r="E11295" s="368"/>
      <c r="F11295" s="368"/>
    </row>
    <row r="11296" spans="1:6" x14ac:dyDescent="0.2">
      <c r="A11296" s="391">
        <v>1793</v>
      </c>
      <c r="B11296" s="478" t="s">
        <v>43814</v>
      </c>
      <c r="C11296" s="391" t="s">
        <v>26</v>
      </c>
      <c r="D11296" s="479"/>
      <c r="E11296" s="368"/>
      <c r="F11296" s="368"/>
    </row>
    <row r="11297" spans="1:6" x14ac:dyDescent="0.2">
      <c r="A11297" s="391">
        <v>1797</v>
      </c>
      <c r="B11297" s="478" t="s">
        <v>43815</v>
      </c>
      <c r="C11297" s="391" t="s">
        <v>26</v>
      </c>
      <c r="D11297" s="479"/>
      <c r="E11297" s="368"/>
      <c r="F11297" s="368"/>
    </row>
    <row r="11298" spans="1:6" x14ac:dyDescent="0.2">
      <c r="A11298" s="391">
        <v>1796</v>
      </c>
      <c r="B11298" s="478" t="s">
        <v>43816</v>
      </c>
      <c r="C11298" s="391" t="s">
        <v>26</v>
      </c>
      <c r="D11298" s="479"/>
      <c r="E11298" s="368"/>
      <c r="F11298" s="368"/>
    </row>
    <row r="11299" spans="1:6" x14ac:dyDescent="0.2">
      <c r="A11299" s="391">
        <v>1816</v>
      </c>
      <c r="B11299" s="478" t="s">
        <v>43817</v>
      </c>
      <c r="C11299" s="391" t="s">
        <v>26</v>
      </c>
      <c r="D11299" s="479"/>
      <c r="E11299" s="368"/>
      <c r="F11299" s="368"/>
    </row>
    <row r="11300" spans="1:6" x14ac:dyDescent="0.2">
      <c r="A11300" s="391">
        <v>1794</v>
      </c>
      <c r="B11300" s="478" t="s">
        <v>43818</v>
      </c>
      <c r="C11300" s="391" t="s">
        <v>26</v>
      </c>
      <c r="D11300" s="479"/>
      <c r="E11300" s="368"/>
      <c r="F11300" s="368"/>
    </row>
    <row r="11301" spans="1:6" x14ac:dyDescent="0.2">
      <c r="A11301" s="391">
        <v>1815</v>
      </c>
      <c r="B11301" s="478" t="s">
        <v>43819</v>
      </c>
      <c r="C11301" s="391" t="s">
        <v>26</v>
      </c>
      <c r="D11301" s="479"/>
      <c r="E11301" s="368"/>
      <c r="F11301" s="368"/>
    </row>
    <row r="11302" spans="1:6" x14ac:dyDescent="0.2">
      <c r="A11302" s="391">
        <v>1798</v>
      </c>
      <c r="B11302" s="478" t="s">
        <v>43820</v>
      </c>
      <c r="C11302" s="391" t="s">
        <v>26</v>
      </c>
      <c r="D11302" s="479"/>
      <c r="E11302" s="368"/>
      <c r="F11302" s="368"/>
    </row>
    <row r="11303" spans="1:6" x14ac:dyDescent="0.2">
      <c r="A11303" s="391">
        <v>1799</v>
      </c>
      <c r="B11303" s="478" t="s">
        <v>43821</v>
      </c>
      <c r="C11303" s="391" t="s">
        <v>26</v>
      </c>
      <c r="D11303" s="479"/>
      <c r="E11303" s="368"/>
      <c r="F11303" s="368"/>
    </row>
    <row r="11304" spans="1:6" x14ac:dyDescent="0.2">
      <c r="A11304" s="391">
        <v>1795</v>
      </c>
      <c r="B11304" s="478" t="s">
        <v>43822</v>
      </c>
      <c r="C11304" s="391" t="s">
        <v>26</v>
      </c>
      <c r="D11304" s="479"/>
      <c r="E11304" s="368"/>
      <c r="F11304" s="368"/>
    </row>
    <row r="11305" spans="1:6" x14ac:dyDescent="0.2">
      <c r="A11305" s="391">
        <v>1800</v>
      </c>
      <c r="B11305" s="478" t="s">
        <v>43823</v>
      </c>
      <c r="C11305" s="391" t="s">
        <v>26</v>
      </c>
      <c r="D11305" s="479"/>
      <c r="E11305" s="368"/>
      <c r="F11305" s="368"/>
    </row>
    <row r="11306" spans="1:6" x14ac:dyDescent="0.2">
      <c r="A11306" s="391">
        <v>1802</v>
      </c>
      <c r="B11306" s="478" t="s">
        <v>43824</v>
      </c>
      <c r="C11306" s="391" t="s">
        <v>26</v>
      </c>
      <c r="D11306" s="479"/>
      <c r="E11306" s="368"/>
      <c r="F11306" s="368"/>
    </row>
    <row r="11307" spans="1:6" ht="25.5" x14ac:dyDescent="0.2">
      <c r="A11307" s="391">
        <v>1809</v>
      </c>
      <c r="B11307" s="478" t="s">
        <v>43825</v>
      </c>
      <c r="C11307" s="391" t="s">
        <v>26</v>
      </c>
      <c r="D11307" s="479"/>
      <c r="E11307" s="368"/>
      <c r="F11307" s="368"/>
    </row>
    <row r="11308" spans="1:6" ht="25.5" x14ac:dyDescent="0.2">
      <c r="A11308" s="391">
        <v>1814</v>
      </c>
      <c r="B11308" s="478" t="s">
        <v>43826</v>
      </c>
      <c r="C11308" s="391" t="s">
        <v>26</v>
      </c>
      <c r="D11308" s="479"/>
      <c r="E11308" s="368"/>
      <c r="F11308" s="368"/>
    </row>
    <row r="11309" spans="1:6" ht="25.5" x14ac:dyDescent="0.2">
      <c r="A11309" s="391">
        <v>1805</v>
      </c>
      <c r="B11309" s="478" t="s">
        <v>43827</v>
      </c>
      <c r="C11309" s="391" t="s">
        <v>26</v>
      </c>
      <c r="D11309" s="479"/>
      <c r="E11309" s="368"/>
      <c r="F11309" s="368"/>
    </row>
    <row r="11310" spans="1:6" ht="25.5" x14ac:dyDescent="0.2">
      <c r="A11310" s="391">
        <v>1803</v>
      </c>
      <c r="B11310" s="478" t="s">
        <v>43828</v>
      </c>
      <c r="C11310" s="391" t="s">
        <v>26</v>
      </c>
      <c r="D11310" s="479"/>
      <c r="E11310" s="368"/>
      <c r="F11310" s="368"/>
    </row>
    <row r="11311" spans="1:6" ht="25.5" x14ac:dyDescent="0.2">
      <c r="A11311" s="391">
        <v>1821</v>
      </c>
      <c r="B11311" s="478" t="s">
        <v>43829</v>
      </c>
      <c r="C11311" s="391" t="s">
        <v>26</v>
      </c>
      <c r="D11311" s="479"/>
      <c r="E11311" s="368"/>
      <c r="F11311" s="368"/>
    </row>
    <row r="11312" spans="1:6" ht="25.5" x14ac:dyDescent="0.2">
      <c r="A11312" s="391">
        <v>1806</v>
      </c>
      <c r="B11312" s="478" t="s">
        <v>43830</v>
      </c>
      <c r="C11312" s="391" t="s">
        <v>26</v>
      </c>
      <c r="D11312" s="479"/>
      <c r="E11312" s="368"/>
      <c r="F11312" s="368"/>
    </row>
    <row r="11313" spans="1:6" ht="25.5" x14ac:dyDescent="0.2">
      <c r="A11313" s="391">
        <v>1807</v>
      </c>
      <c r="B11313" s="478" t="s">
        <v>43831</v>
      </c>
      <c r="C11313" s="391" t="s">
        <v>26</v>
      </c>
      <c r="D11313" s="479"/>
      <c r="E11313" s="368"/>
      <c r="F11313" s="368"/>
    </row>
    <row r="11314" spans="1:6" ht="25.5" x14ac:dyDescent="0.2">
      <c r="A11314" s="391">
        <v>1804</v>
      </c>
      <c r="B11314" s="478" t="s">
        <v>43832</v>
      </c>
      <c r="C11314" s="391" t="s">
        <v>26</v>
      </c>
      <c r="D11314" s="479"/>
      <c r="E11314" s="368"/>
      <c r="F11314" s="368"/>
    </row>
    <row r="11315" spans="1:6" ht="25.5" x14ac:dyDescent="0.2">
      <c r="A11315" s="391">
        <v>1808</v>
      </c>
      <c r="B11315" s="478" t="s">
        <v>43833</v>
      </c>
      <c r="C11315" s="391" t="s">
        <v>26</v>
      </c>
      <c r="D11315" s="479"/>
      <c r="E11315" s="368"/>
      <c r="F11315" s="368"/>
    </row>
    <row r="11316" spans="1:6" ht="25.5" x14ac:dyDescent="0.2">
      <c r="A11316" s="391">
        <v>40385</v>
      </c>
      <c r="B11316" s="478" t="s">
        <v>43834</v>
      </c>
      <c r="C11316" s="391" t="s">
        <v>26</v>
      </c>
      <c r="D11316" s="479"/>
      <c r="E11316" s="368"/>
      <c r="F11316" s="368"/>
    </row>
    <row r="11317" spans="1:6" ht="25.5" x14ac:dyDescent="0.2">
      <c r="A11317" s="391">
        <v>40383</v>
      </c>
      <c r="B11317" s="478" t="s">
        <v>43835</v>
      </c>
      <c r="C11317" s="391" t="s">
        <v>26</v>
      </c>
      <c r="D11317" s="479"/>
      <c r="E11317" s="368"/>
      <c r="F11317" s="368"/>
    </row>
    <row r="11318" spans="1:6" ht="25.5" x14ac:dyDescent="0.2">
      <c r="A11318" s="391">
        <v>40382</v>
      </c>
      <c r="B11318" s="478" t="s">
        <v>43836</v>
      </c>
      <c r="C11318" s="391" t="s">
        <v>26</v>
      </c>
      <c r="D11318" s="479"/>
      <c r="E11318" s="368"/>
      <c r="F11318" s="368"/>
    </row>
    <row r="11319" spans="1:6" ht="25.5" x14ac:dyDescent="0.2">
      <c r="A11319" s="391">
        <v>40378</v>
      </c>
      <c r="B11319" s="478" t="s">
        <v>43837</v>
      </c>
      <c r="C11319" s="391" t="s">
        <v>26</v>
      </c>
      <c r="D11319" s="479"/>
      <c r="E11319" s="368"/>
      <c r="F11319" s="368"/>
    </row>
    <row r="11320" spans="1:6" ht="25.5" x14ac:dyDescent="0.2">
      <c r="A11320" s="391">
        <v>40422</v>
      </c>
      <c r="B11320" s="478" t="s">
        <v>43838</v>
      </c>
      <c r="C11320" s="391" t="s">
        <v>26</v>
      </c>
      <c r="D11320" s="479"/>
      <c r="E11320" s="368"/>
      <c r="F11320" s="368"/>
    </row>
    <row r="11321" spans="1:6" ht="25.5" x14ac:dyDescent="0.2">
      <c r="A11321" s="391">
        <v>40387</v>
      </c>
      <c r="B11321" s="478" t="s">
        <v>43839</v>
      </c>
      <c r="C11321" s="391" t="s">
        <v>26</v>
      </c>
      <c r="D11321" s="479"/>
      <c r="E11321" s="368"/>
      <c r="F11321" s="368"/>
    </row>
    <row r="11322" spans="1:6" ht="25.5" x14ac:dyDescent="0.2">
      <c r="A11322" s="391">
        <v>40390</v>
      </c>
      <c r="B11322" s="478" t="s">
        <v>43840</v>
      </c>
      <c r="C11322" s="391" t="s">
        <v>26</v>
      </c>
      <c r="D11322" s="479"/>
      <c r="E11322" s="368"/>
      <c r="F11322" s="368"/>
    </row>
    <row r="11323" spans="1:6" ht="25.5" x14ac:dyDescent="0.2">
      <c r="A11323" s="391">
        <v>40380</v>
      </c>
      <c r="B11323" s="478" t="s">
        <v>43841</v>
      </c>
      <c r="C11323" s="391" t="s">
        <v>26</v>
      </c>
      <c r="D11323" s="479"/>
      <c r="E11323" s="368"/>
      <c r="F11323" s="368"/>
    </row>
    <row r="11324" spans="1:6" ht="25.5" x14ac:dyDescent="0.2">
      <c r="A11324" s="391">
        <v>2621</v>
      </c>
      <c r="B11324" s="478" t="s">
        <v>43842</v>
      </c>
      <c r="C11324" s="391" t="s">
        <v>26</v>
      </c>
      <c r="D11324" s="479"/>
      <c r="E11324" s="368"/>
      <c r="F11324" s="368"/>
    </row>
    <row r="11325" spans="1:6" ht="25.5" x14ac:dyDescent="0.2">
      <c r="A11325" s="391">
        <v>2616</v>
      </c>
      <c r="B11325" s="478" t="s">
        <v>43843</v>
      </c>
      <c r="C11325" s="391" t="s">
        <v>26</v>
      </c>
      <c r="D11325" s="479"/>
      <c r="E11325" s="368"/>
      <c r="F11325" s="368"/>
    </row>
    <row r="11326" spans="1:6" ht="25.5" x14ac:dyDescent="0.2">
      <c r="A11326" s="391">
        <v>2633</v>
      </c>
      <c r="B11326" s="478" t="s">
        <v>43844</v>
      </c>
      <c r="C11326" s="391" t="s">
        <v>26</v>
      </c>
      <c r="D11326" s="479"/>
      <c r="E11326" s="368"/>
      <c r="F11326" s="368"/>
    </row>
    <row r="11327" spans="1:6" ht="25.5" x14ac:dyDescent="0.2">
      <c r="A11327" s="391">
        <v>2617</v>
      </c>
      <c r="B11327" s="478" t="s">
        <v>43845</v>
      </c>
      <c r="C11327" s="391" t="s">
        <v>26</v>
      </c>
      <c r="D11327" s="479"/>
      <c r="E11327" s="368"/>
      <c r="F11327" s="368"/>
    </row>
    <row r="11328" spans="1:6" ht="25.5" x14ac:dyDescent="0.2">
      <c r="A11328" s="391">
        <v>2618</v>
      </c>
      <c r="B11328" s="478" t="s">
        <v>43846</v>
      </c>
      <c r="C11328" s="391" t="s">
        <v>26</v>
      </c>
      <c r="D11328" s="479"/>
      <c r="E11328" s="368"/>
      <c r="F11328" s="368"/>
    </row>
    <row r="11329" spans="1:6" ht="25.5" x14ac:dyDescent="0.2">
      <c r="A11329" s="391">
        <v>2632</v>
      </c>
      <c r="B11329" s="478" t="s">
        <v>43847</v>
      </c>
      <c r="C11329" s="391" t="s">
        <v>26</v>
      </c>
      <c r="D11329" s="479"/>
      <c r="E11329" s="368"/>
      <c r="F11329" s="368"/>
    </row>
    <row r="11330" spans="1:6" ht="25.5" x14ac:dyDescent="0.2">
      <c r="A11330" s="391">
        <v>2631</v>
      </c>
      <c r="B11330" s="478" t="s">
        <v>43848</v>
      </c>
      <c r="C11330" s="391" t="s">
        <v>26</v>
      </c>
      <c r="D11330" s="479"/>
      <c r="E11330" s="368"/>
      <c r="F11330" s="368"/>
    </row>
    <row r="11331" spans="1:6" ht="25.5" x14ac:dyDescent="0.2">
      <c r="A11331" s="391">
        <v>2619</v>
      </c>
      <c r="B11331" s="478" t="s">
        <v>43849</v>
      </c>
      <c r="C11331" s="391" t="s">
        <v>26</v>
      </c>
      <c r="D11331" s="479"/>
      <c r="E11331" s="368"/>
      <c r="F11331" s="368"/>
    </row>
    <row r="11332" spans="1:6" ht="25.5" x14ac:dyDescent="0.2">
      <c r="A11332" s="391">
        <v>2620</v>
      </c>
      <c r="B11332" s="478" t="s">
        <v>43850</v>
      </c>
      <c r="C11332" s="391" t="s">
        <v>26</v>
      </c>
      <c r="D11332" s="479"/>
      <c r="E11332" s="368"/>
      <c r="F11332" s="368"/>
    </row>
    <row r="11333" spans="1:6" x14ac:dyDescent="0.2">
      <c r="A11333" s="391">
        <v>40413</v>
      </c>
      <c r="B11333" s="478" t="s">
        <v>43851</v>
      </c>
      <c r="C11333" s="391" t="s">
        <v>26</v>
      </c>
      <c r="D11333" s="479"/>
      <c r="E11333" s="368"/>
      <c r="F11333" s="368"/>
    </row>
    <row r="11334" spans="1:6" x14ac:dyDescent="0.2">
      <c r="A11334" s="391">
        <v>40415</v>
      </c>
      <c r="B11334" s="478" t="s">
        <v>43852</v>
      </c>
      <c r="C11334" s="391" t="s">
        <v>26</v>
      </c>
      <c r="D11334" s="479"/>
      <c r="E11334" s="368"/>
      <c r="F11334" s="368"/>
    </row>
    <row r="11335" spans="1:6" x14ac:dyDescent="0.2">
      <c r="A11335" s="391">
        <v>40417</v>
      </c>
      <c r="B11335" s="478" t="s">
        <v>43853</v>
      </c>
      <c r="C11335" s="391" t="s">
        <v>26</v>
      </c>
      <c r="D11335" s="479"/>
      <c r="E11335" s="368"/>
      <c r="F11335" s="368"/>
    </row>
    <row r="11336" spans="1:6" ht="25.5" x14ac:dyDescent="0.2">
      <c r="A11336" s="391">
        <v>39273</v>
      </c>
      <c r="B11336" s="478" t="s">
        <v>43854</v>
      </c>
      <c r="C11336" s="391" t="s">
        <v>26</v>
      </c>
      <c r="D11336" s="479">
        <v>2.67</v>
      </c>
      <c r="E11336" s="368"/>
      <c r="F11336" s="368"/>
    </row>
    <row r="11337" spans="1:6" ht="25.5" x14ac:dyDescent="0.2">
      <c r="A11337" s="391">
        <v>39271</v>
      </c>
      <c r="B11337" s="478" t="s">
        <v>43855</v>
      </c>
      <c r="C11337" s="391" t="s">
        <v>26</v>
      </c>
      <c r="D11337" s="479">
        <v>1.57</v>
      </c>
      <c r="E11337" s="368"/>
      <c r="F11337" s="368"/>
    </row>
    <row r="11338" spans="1:6" ht="25.5" x14ac:dyDescent="0.2">
      <c r="A11338" s="391">
        <v>39272</v>
      </c>
      <c r="B11338" s="478" t="s">
        <v>43856</v>
      </c>
      <c r="C11338" s="391" t="s">
        <v>26</v>
      </c>
      <c r="D11338" s="479">
        <v>1.93</v>
      </c>
      <c r="E11338" s="368"/>
      <c r="F11338" s="368"/>
    </row>
    <row r="11339" spans="1:6" ht="25.5" x14ac:dyDescent="0.2">
      <c r="A11339" s="391">
        <v>1875</v>
      </c>
      <c r="B11339" s="478" t="s">
        <v>43857</v>
      </c>
      <c r="C11339" s="391" t="s">
        <v>26</v>
      </c>
      <c r="D11339" s="479">
        <v>4.28</v>
      </c>
      <c r="E11339" s="368"/>
      <c r="F11339" s="368"/>
    </row>
    <row r="11340" spans="1:6" ht="25.5" x14ac:dyDescent="0.2">
      <c r="A11340" s="391">
        <v>1874</v>
      </c>
      <c r="B11340" s="478" t="s">
        <v>43858</v>
      </c>
      <c r="C11340" s="391" t="s">
        <v>26</v>
      </c>
      <c r="D11340" s="479">
        <v>3.53</v>
      </c>
      <c r="E11340" s="368"/>
      <c r="F11340" s="368"/>
    </row>
    <row r="11341" spans="1:6" ht="25.5" x14ac:dyDescent="0.2">
      <c r="A11341" s="391">
        <v>1884</v>
      </c>
      <c r="B11341" s="478" t="s">
        <v>43859</v>
      </c>
      <c r="C11341" s="391" t="s">
        <v>26</v>
      </c>
      <c r="D11341" s="479">
        <v>3.13</v>
      </c>
      <c r="E11341" s="368"/>
      <c r="F11341" s="368"/>
    </row>
    <row r="11342" spans="1:6" ht="25.5" x14ac:dyDescent="0.2">
      <c r="A11342" s="391">
        <v>1870</v>
      </c>
      <c r="B11342" s="478" t="s">
        <v>43860</v>
      </c>
      <c r="C11342" s="391" t="s">
        <v>26</v>
      </c>
      <c r="D11342" s="479">
        <v>2.04</v>
      </c>
      <c r="E11342" s="368"/>
      <c r="F11342" s="368"/>
    </row>
    <row r="11343" spans="1:6" ht="25.5" x14ac:dyDescent="0.2">
      <c r="A11343" s="391">
        <v>1887</v>
      </c>
      <c r="B11343" s="478" t="s">
        <v>43861</v>
      </c>
      <c r="C11343" s="391" t="s">
        <v>26</v>
      </c>
      <c r="D11343" s="479">
        <v>17.73</v>
      </c>
      <c r="E11343" s="368"/>
      <c r="F11343" s="368"/>
    </row>
    <row r="11344" spans="1:6" ht="25.5" x14ac:dyDescent="0.2">
      <c r="A11344" s="391">
        <v>1876</v>
      </c>
      <c r="B11344" s="478" t="s">
        <v>43862</v>
      </c>
      <c r="C11344" s="391" t="s">
        <v>26</v>
      </c>
      <c r="D11344" s="479">
        <v>6.95</v>
      </c>
      <c r="E11344" s="368"/>
      <c r="F11344" s="368"/>
    </row>
    <row r="11345" spans="1:6" ht="25.5" x14ac:dyDescent="0.2">
      <c r="A11345" s="391">
        <v>1877</v>
      </c>
      <c r="B11345" s="478" t="s">
        <v>43863</v>
      </c>
      <c r="C11345" s="391" t="s">
        <v>26</v>
      </c>
      <c r="D11345" s="479">
        <v>17.760000000000002</v>
      </c>
      <c r="E11345" s="368"/>
      <c r="F11345" s="368"/>
    </row>
    <row r="11346" spans="1:6" ht="25.5" x14ac:dyDescent="0.2">
      <c r="A11346" s="391">
        <v>1879</v>
      </c>
      <c r="B11346" s="478" t="s">
        <v>43864</v>
      </c>
      <c r="C11346" s="391" t="s">
        <v>26</v>
      </c>
      <c r="D11346" s="479">
        <v>2.06</v>
      </c>
      <c r="E11346" s="368"/>
      <c r="F11346" s="368"/>
    </row>
    <row r="11347" spans="1:6" ht="25.5" x14ac:dyDescent="0.2">
      <c r="A11347" s="391">
        <v>1878</v>
      </c>
      <c r="B11347" s="478" t="s">
        <v>43865</v>
      </c>
      <c r="C11347" s="391" t="s">
        <v>26</v>
      </c>
      <c r="D11347" s="479">
        <v>35.68</v>
      </c>
      <c r="E11347" s="368"/>
      <c r="F11347" s="368"/>
    </row>
    <row r="11348" spans="1:6" x14ac:dyDescent="0.2">
      <c r="A11348" s="391">
        <v>37971</v>
      </c>
      <c r="B11348" s="478" t="s">
        <v>43866</v>
      </c>
      <c r="C11348" s="391" t="s">
        <v>26</v>
      </c>
      <c r="D11348" s="479">
        <v>4.99</v>
      </c>
      <c r="E11348" s="368"/>
      <c r="F11348" s="368"/>
    </row>
    <row r="11349" spans="1:6" x14ac:dyDescent="0.2">
      <c r="A11349" s="391">
        <v>37972</v>
      </c>
      <c r="B11349" s="478" t="s">
        <v>43867</v>
      </c>
      <c r="C11349" s="391" t="s">
        <v>26</v>
      </c>
      <c r="D11349" s="479">
        <v>7.07</v>
      </c>
      <c r="E11349" s="368"/>
      <c r="F11349" s="368"/>
    </row>
    <row r="11350" spans="1:6" x14ac:dyDescent="0.2">
      <c r="A11350" s="391">
        <v>37973</v>
      </c>
      <c r="B11350" s="478" t="s">
        <v>43868</v>
      </c>
      <c r="C11350" s="391" t="s">
        <v>26</v>
      </c>
      <c r="D11350" s="479">
        <v>13.29</v>
      </c>
      <c r="E11350" s="368"/>
      <c r="F11350" s="368"/>
    </row>
    <row r="11351" spans="1:6" ht="25.5" x14ac:dyDescent="0.2">
      <c r="A11351" s="391">
        <v>1926</v>
      </c>
      <c r="B11351" s="478" t="s">
        <v>43869</v>
      </c>
      <c r="C11351" s="391" t="s">
        <v>26</v>
      </c>
      <c r="D11351" s="479">
        <v>2.17</v>
      </c>
      <c r="E11351" s="368"/>
      <c r="F11351" s="368"/>
    </row>
    <row r="11352" spans="1:6" ht="25.5" x14ac:dyDescent="0.2">
      <c r="A11352" s="391">
        <v>1927</v>
      </c>
      <c r="B11352" s="478" t="s">
        <v>43870</v>
      </c>
      <c r="C11352" s="391" t="s">
        <v>26</v>
      </c>
      <c r="D11352" s="479">
        <v>2.4300000000000002</v>
      </c>
      <c r="E11352" s="368"/>
      <c r="F11352" s="368"/>
    </row>
    <row r="11353" spans="1:6" ht="25.5" x14ac:dyDescent="0.2">
      <c r="A11353" s="391">
        <v>1923</v>
      </c>
      <c r="B11353" s="478" t="s">
        <v>43871</v>
      </c>
      <c r="C11353" s="391" t="s">
        <v>26</v>
      </c>
      <c r="D11353" s="479">
        <v>4.43</v>
      </c>
      <c r="E11353" s="368"/>
      <c r="F11353" s="368"/>
    </row>
    <row r="11354" spans="1:6" ht="25.5" x14ac:dyDescent="0.2">
      <c r="A11354" s="391">
        <v>1929</v>
      </c>
      <c r="B11354" s="478" t="s">
        <v>43872</v>
      </c>
      <c r="C11354" s="391" t="s">
        <v>26</v>
      </c>
      <c r="D11354" s="479">
        <v>5.38</v>
      </c>
      <c r="E11354" s="368"/>
      <c r="F11354" s="368"/>
    </row>
    <row r="11355" spans="1:6" ht="25.5" x14ac:dyDescent="0.2">
      <c r="A11355" s="391">
        <v>1930</v>
      </c>
      <c r="B11355" s="478" t="s">
        <v>43873</v>
      </c>
      <c r="C11355" s="391" t="s">
        <v>26</v>
      </c>
      <c r="D11355" s="479">
        <v>9.1999999999999993</v>
      </c>
      <c r="E11355" s="368"/>
      <c r="F11355" s="368"/>
    </row>
    <row r="11356" spans="1:6" ht="25.5" x14ac:dyDescent="0.2">
      <c r="A11356" s="391">
        <v>1924</v>
      </c>
      <c r="B11356" s="478" t="s">
        <v>43874</v>
      </c>
      <c r="C11356" s="391" t="s">
        <v>26</v>
      </c>
      <c r="D11356" s="479">
        <v>14.85</v>
      </c>
      <c r="E11356" s="368"/>
      <c r="F11356" s="368"/>
    </row>
    <row r="11357" spans="1:6" ht="25.5" x14ac:dyDescent="0.2">
      <c r="A11357" s="391">
        <v>1922</v>
      </c>
      <c r="B11357" s="478" t="s">
        <v>43875</v>
      </c>
      <c r="C11357" s="391" t="s">
        <v>26</v>
      </c>
      <c r="D11357" s="479">
        <v>30.71</v>
      </c>
      <c r="E11357" s="368"/>
      <c r="F11357" s="368"/>
    </row>
    <row r="11358" spans="1:6" ht="25.5" x14ac:dyDescent="0.2">
      <c r="A11358" s="391">
        <v>1953</v>
      </c>
      <c r="B11358" s="478" t="s">
        <v>43876</v>
      </c>
      <c r="C11358" s="391" t="s">
        <v>26</v>
      </c>
      <c r="D11358" s="479">
        <v>37.49</v>
      </c>
      <c r="E11358" s="368"/>
      <c r="F11358" s="368"/>
    </row>
    <row r="11359" spans="1:6" ht="25.5" x14ac:dyDescent="0.2">
      <c r="A11359" s="391">
        <v>1962</v>
      </c>
      <c r="B11359" s="478" t="s">
        <v>43877</v>
      </c>
      <c r="C11359" s="391" t="s">
        <v>26</v>
      </c>
      <c r="D11359" s="479">
        <v>182.13</v>
      </c>
      <c r="E11359" s="368"/>
      <c r="F11359" s="368"/>
    </row>
    <row r="11360" spans="1:6" ht="25.5" x14ac:dyDescent="0.2">
      <c r="A11360" s="391">
        <v>1955</v>
      </c>
      <c r="B11360" s="478" t="s">
        <v>43878</v>
      </c>
      <c r="C11360" s="391" t="s">
        <v>26</v>
      </c>
      <c r="D11360" s="479">
        <v>2.09</v>
      </c>
      <c r="E11360" s="368"/>
      <c r="F11360" s="368"/>
    </row>
    <row r="11361" spans="1:6" ht="25.5" x14ac:dyDescent="0.2">
      <c r="A11361" s="391">
        <v>1956</v>
      </c>
      <c r="B11361" s="478" t="s">
        <v>43879</v>
      </c>
      <c r="C11361" s="391" t="s">
        <v>26</v>
      </c>
      <c r="D11361" s="479">
        <v>2.96</v>
      </c>
      <c r="E11361" s="368"/>
      <c r="F11361" s="368"/>
    </row>
    <row r="11362" spans="1:6" ht="25.5" x14ac:dyDescent="0.2">
      <c r="A11362" s="391">
        <v>1957</v>
      </c>
      <c r="B11362" s="478" t="s">
        <v>43880</v>
      </c>
      <c r="C11362" s="391" t="s">
        <v>26</v>
      </c>
      <c r="D11362" s="479">
        <v>6.4</v>
      </c>
      <c r="E11362" s="368"/>
      <c r="F11362" s="368"/>
    </row>
    <row r="11363" spans="1:6" ht="25.5" x14ac:dyDescent="0.2">
      <c r="A11363" s="391">
        <v>1958</v>
      </c>
      <c r="B11363" s="478" t="s">
        <v>43881</v>
      </c>
      <c r="C11363" s="391" t="s">
        <v>26</v>
      </c>
      <c r="D11363" s="479">
        <v>11.93</v>
      </c>
      <c r="E11363" s="368"/>
      <c r="F11363" s="368"/>
    </row>
    <row r="11364" spans="1:6" ht="25.5" x14ac:dyDescent="0.2">
      <c r="A11364" s="391">
        <v>1959</v>
      </c>
      <c r="B11364" s="478" t="s">
        <v>43882</v>
      </c>
      <c r="C11364" s="391" t="s">
        <v>26</v>
      </c>
      <c r="D11364" s="479">
        <v>12.94</v>
      </c>
      <c r="E11364" s="368"/>
      <c r="F11364" s="368"/>
    </row>
    <row r="11365" spans="1:6" ht="25.5" x14ac:dyDescent="0.2">
      <c r="A11365" s="391">
        <v>1925</v>
      </c>
      <c r="B11365" s="478" t="s">
        <v>43883</v>
      </c>
      <c r="C11365" s="391" t="s">
        <v>26</v>
      </c>
      <c r="D11365" s="479">
        <v>33.82</v>
      </c>
      <c r="E11365" s="368"/>
      <c r="F11365" s="368"/>
    </row>
    <row r="11366" spans="1:6" ht="25.5" x14ac:dyDescent="0.2">
      <c r="A11366" s="391">
        <v>1960</v>
      </c>
      <c r="B11366" s="478" t="s">
        <v>43884</v>
      </c>
      <c r="C11366" s="391" t="s">
        <v>26</v>
      </c>
      <c r="D11366" s="479">
        <v>51.94</v>
      </c>
      <c r="E11366" s="368"/>
      <c r="F11366" s="368"/>
    </row>
    <row r="11367" spans="1:6" ht="25.5" x14ac:dyDescent="0.2">
      <c r="A11367" s="391">
        <v>1961</v>
      </c>
      <c r="B11367" s="478" t="s">
        <v>43885</v>
      </c>
      <c r="C11367" s="391" t="s">
        <v>26</v>
      </c>
      <c r="D11367" s="479">
        <v>66.53</v>
      </c>
      <c r="E11367" s="368"/>
      <c r="F11367" s="368"/>
    </row>
    <row r="11368" spans="1:6" x14ac:dyDescent="0.2">
      <c r="A11368" s="391">
        <v>38423</v>
      </c>
      <c r="B11368" s="478" t="s">
        <v>43886</v>
      </c>
      <c r="C11368" s="391" t="s">
        <v>26</v>
      </c>
      <c r="D11368" s="479">
        <v>38.020000000000003</v>
      </c>
      <c r="E11368" s="368"/>
      <c r="F11368" s="368"/>
    </row>
    <row r="11369" spans="1:6" ht="25.5" x14ac:dyDescent="0.2">
      <c r="A11369" s="391">
        <v>39866</v>
      </c>
      <c r="B11369" s="478" t="s">
        <v>43887</v>
      </c>
      <c r="C11369" s="391" t="s">
        <v>26</v>
      </c>
      <c r="D11369" s="479"/>
      <c r="E11369" s="368"/>
      <c r="F11369" s="368"/>
    </row>
    <row r="11370" spans="1:6" ht="25.5" x14ac:dyDescent="0.2">
      <c r="A11370" s="391">
        <v>39867</v>
      </c>
      <c r="B11370" s="478" t="s">
        <v>43888</v>
      </c>
      <c r="C11370" s="391" t="s">
        <v>26</v>
      </c>
      <c r="D11370" s="479"/>
      <c r="E11370" s="368"/>
      <c r="F11370" s="368"/>
    </row>
    <row r="11371" spans="1:6" ht="25.5" x14ac:dyDescent="0.2">
      <c r="A11371" s="391">
        <v>39868</v>
      </c>
      <c r="B11371" s="478" t="s">
        <v>43889</v>
      </c>
      <c r="C11371" s="391" t="s">
        <v>26</v>
      </c>
      <c r="D11371" s="479"/>
      <c r="E11371" s="368"/>
      <c r="F11371" s="368"/>
    </row>
    <row r="11372" spans="1:6" x14ac:dyDescent="0.2">
      <c r="A11372" s="391">
        <v>37999</v>
      </c>
      <c r="B11372" s="478" t="s">
        <v>43890</v>
      </c>
      <c r="C11372" s="391" t="s">
        <v>26</v>
      </c>
      <c r="D11372" s="479">
        <v>8.4</v>
      </c>
      <c r="E11372" s="368"/>
      <c r="F11372" s="368"/>
    </row>
    <row r="11373" spans="1:6" x14ac:dyDescent="0.2">
      <c r="A11373" s="391">
        <v>38000</v>
      </c>
      <c r="B11373" s="478" t="s">
        <v>43891</v>
      </c>
      <c r="C11373" s="391" t="s">
        <v>26</v>
      </c>
      <c r="D11373" s="479">
        <v>9.82</v>
      </c>
      <c r="E11373" s="368"/>
      <c r="F11373" s="368"/>
    </row>
    <row r="11374" spans="1:6" ht="25.5" x14ac:dyDescent="0.2">
      <c r="A11374" s="391">
        <v>38129</v>
      </c>
      <c r="B11374" s="478" t="s">
        <v>43892</v>
      </c>
      <c r="C11374" s="391" t="s">
        <v>26</v>
      </c>
      <c r="D11374" s="479">
        <v>4.88</v>
      </c>
      <c r="E11374" s="368"/>
      <c r="F11374" s="368"/>
    </row>
    <row r="11375" spans="1:6" ht="25.5" x14ac:dyDescent="0.2">
      <c r="A11375" s="391">
        <v>38025</v>
      </c>
      <c r="B11375" s="480" t="s">
        <v>43893</v>
      </c>
      <c r="C11375" s="391" t="s">
        <v>26</v>
      </c>
      <c r="D11375" s="479">
        <v>6.63</v>
      </c>
      <c r="E11375" s="368"/>
      <c r="F11375" s="368"/>
    </row>
    <row r="11376" spans="1:6" ht="25.5" x14ac:dyDescent="0.2">
      <c r="A11376" s="391">
        <v>38026</v>
      </c>
      <c r="B11376" s="478" t="s">
        <v>43894</v>
      </c>
      <c r="C11376" s="391" t="s">
        <v>26</v>
      </c>
      <c r="D11376" s="479">
        <v>16.37</v>
      </c>
      <c r="E11376" s="368"/>
      <c r="F11376" s="368"/>
    </row>
    <row r="11377" spans="1:6" ht="25.5" x14ac:dyDescent="0.2">
      <c r="A11377" s="391">
        <v>1858</v>
      </c>
      <c r="B11377" s="478" t="s">
        <v>43895</v>
      </c>
      <c r="C11377" s="391" t="s">
        <v>26</v>
      </c>
      <c r="D11377" s="479">
        <v>58.92</v>
      </c>
      <c r="E11377" s="368"/>
      <c r="F11377" s="368"/>
    </row>
    <row r="11378" spans="1:6" ht="25.5" x14ac:dyDescent="0.2">
      <c r="A11378" s="391">
        <v>1844</v>
      </c>
      <c r="B11378" s="478" t="s">
        <v>43896</v>
      </c>
      <c r="C11378" s="391" t="s">
        <v>26</v>
      </c>
      <c r="D11378" s="479">
        <v>134.93</v>
      </c>
      <c r="E11378" s="368"/>
      <c r="F11378" s="368"/>
    </row>
    <row r="11379" spans="1:6" ht="25.5" x14ac:dyDescent="0.2">
      <c r="A11379" s="391">
        <v>1863</v>
      </c>
      <c r="B11379" s="478" t="s">
        <v>43897</v>
      </c>
      <c r="C11379" s="391" t="s">
        <v>26</v>
      </c>
      <c r="D11379" s="479">
        <v>62.7</v>
      </c>
      <c r="E11379" s="368"/>
      <c r="F11379" s="368"/>
    </row>
    <row r="11380" spans="1:6" ht="25.5" x14ac:dyDescent="0.2">
      <c r="A11380" s="391">
        <v>1865</v>
      </c>
      <c r="B11380" s="478" t="s">
        <v>43898</v>
      </c>
      <c r="C11380" s="391" t="s">
        <v>26</v>
      </c>
      <c r="D11380" s="479">
        <v>163.36000000000001</v>
      </c>
      <c r="E11380" s="368"/>
      <c r="F11380" s="368"/>
    </row>
    <row r="11381" spans="1:6" x14ac:dyDescent="0.2">
      <c r="A11381" s="391">
        <v>36355</v>
      </c>
      <c r="B11381" s="478" t="s">
        <v>43899</v>
      </c>
      <c r="C11381" s="391" t="s">
        <v>26</v>
      </c>
      <c r="D11381" s="479"/>
      <c r="E11381" s="368"/>
      <c r="F11381" s="368"/>
    </row>
    <row r="11382" spans="1:6" x14ac:dyDescent="0.2">
      <c r="A11382" s="391">
        <v>36356</v>
      </c>
      <c r="B11382" s="478" t="s">
        <v>43900</v>
      </c>
      <c r="C11382" s="391" t="s">
        <v>26</v>
      </c>
      <c r="D11382" s="479"/>
      <c r="E11382" s="368"/>
      <c r="F11382" s="368"/>
    </row>
    <row r="11383" spans="1:6" x14ac:dyDescent="0.2">
      <c r="A11383" s="391">
        <v>1940</v>
      </c>
      <c r="B11383" s="478" t="s">
        <v>43901</v>
      </c>
      <c r="C11383" s="391" t="s">
        <v>26</v>
      </c>
      <c r="D11383" s="479">
        <v>33.049999999999997</v>
      </c>
      <c r="E11383" s="368"/>
      <c r="F11383" s="368"/>
    </row>
    <row r="11384" spans="1:6" x14ac:dyDescent="0.2">
      <c r="A11384" s="391">
        <v>1939</v>
      </c>
      <c r="B11384" s="478" t="s">
        <v>43902</v>
      </c>
      <c r="C11384" s="391" t="s">
        <v>26</v>
      </c>
      <c r="D11384" s="479">
        <v>9.06</v>
      </c>
      <c r="E11384" s="368"/>
      <c r="F11384" s="368"/>
    </row>
    <row r="11385" spans="1:6" x14ac:dyDescent="0.2">
      <c r="A11385" s="391">
        <v>1937</v>
      </c>
      <c r="B11385" s="478" t="s">
        <v>43903</v>
      </c>
      <c r="C11385" s="391" t="s">
        <v>26</v>
      </c>
      <c r="D11385" s="479">
        <v>5.58</v>
      </c>
      <c r="E11385" s="368"/>
      <c r="F11385" s="368"/>
    </row>
    <row r="11386" spans="1:6" x14ac:dyDescent="0.2">
      <c r="A11386" s="391">
        <v>1938</v>
      </c>
      <c r="B11386" s="478" t="s">
        <v>43904</v>
      </c>
      <c r="C11386" s="391" t="s">
        <v>26</v>
      </c>
      <c r="D11386" s="479">
        <v>6.34</v>
      </c>
      <c r="E11386" s="368"/>
      <c r="F11386" s="368"/>
    </row>
    <row r="11387" spans="1:6" x14ac:dyDescent="0.2">
      <c r="A11387" s="391">
        <v>1966</v>
      </c>
      <c r="B11387" s="478" t="s">
        <v>43905</v>
      </c>
      <c r="C11387" s="391" t="s">
        <v>26</v>
      </c>
      <c r="D11387" s="479">
        <v>25</v>
      </c>
      <c r="E11387" s="368"/>
      <c r="F11387" s="368"/>
    </row>
    <row r="11388" spans="1:6" x14ac:dyDescent="0.2">
      <c r="A11388" s="391">
        <v>1933</v>
      </c>
      <c r="B11388" s="478" t="s">
        <v>43906</v>
      </c>
      <c r="C11388" s="391" t="s">
        <v>26</v>
      </c>
      <c r="D11388" s="479">
        <v>5.39</v>
      </c>
      <c r="E11388" s="368"/>
      <c r="F11388" s="368"/>
    </row>
    <row r="11389" spans="1:6" x14ac:dyDescent="0.2">
      <c r="A11389" s="391">
        <v>1932</v>
      </c>
      <c r="B11389" s="478" t="s">
        <v>43907</v>
      </c>
      <c r="C11389" s="391" t="s">
        <v>26</v>
      </c>
      <c r="D11389" s="479">
        <v>12.33</v>
      </c>
      <c r="E11389" s="368"/>
      <c r="F11389" s="368"/>
    </row>
    <row r="11390" spans="1:6" x14ac:dyDescent="0.2">
      <c r="A11390" s="391">
        <v>1951</v>
      </c>
      <c r="B11390" s="478" t="s">
        <v>43908</v>
      </c>
      <c r="C11390" s="391" t="s">
        <v>26</v>
      </c>
      <c r="D11390" s="479">
        <v>25.72</v>
      </c>
      <c r="E11390" s="368"/>
      <c r="F11390" s="368"/>
    </row>
    <row r="11391" spans="1:6" x14ac:dyDescent="0.2">
      <c r="A11391" s="391">
        <v>1970</v>
      </c>
      <c r="B11391" s="478" t="s">
        <v>43909</v>
      </c>
      <c r="C11391" s="391" t="s">
        <v>26</v>
      </c>
      <c r="D11391" s="479">
        <v>62.5</v>
      </c>
      <c r="E11391" s="368"/>
      <c r="F11391" s="368"/>
    </row>
    <row r="11392" spans="1:6" x14ac:dyDescent="0.2">
      <c r="A11392" s="391">
        <v>1967</v>
      </c>
      <c r="B11392" s="478" t="s">
        <v>43910</v>
      </c>
      <c r="C11392" s="391" t="s">
        <v>26</v>
      </c>
      <c r="D11392" s="479">
        <v>7.42</v>
      </c>
      <c r="E11392" s="368"/>
      <c r="F11392" s="368"/>
    </row>
    <row r="11393" spans="1:6" x14ac:dyDescent="0.2">
      <c r="A11393" s="391">
        <v>1968</v>
      </c>
      <c r="B11393" s="478" t="s">
        <v>43911</v>
      </c>
      <c r="C11393" s="391" t="s">
        <v>26</v>
      </c>
      <c r="D11393" s="479">
        <v>14.67</v>
      </c>
      <c r="E11393" s="368"/>
      <c r="F11393" s="368"/>
    </row>
    <row r="11394" spans="1:6" x14ac:dyDescent="0.2">
      <c r="A11394" s="430">
        <v>1969</v>
      </c>
      <c r="B11394" s="482" t="s">
        <v>43912</v>
      </c>
      <c r="C11394" s="430" t="s">
        <v>26</v>
      </c>
      <c r="D11394" s="483">
        <v>47.75</v>
      </c>
      <c r="E11394" s="368"/>
      <c r="F11394" s="368"/>
    </row>
    <row r="11395" spans="1:6" x14ac:dyDescent="0.2">
      <c r="A11395" s="391">
        <v>1827</v>
      </c>
      <c r="B11395" s="478" t="s">
        <v>43913</v>
      </c>
      <c r="C11395" s="391" t="s">
        <v>26</v>
      </c>
      <c r="D11395" s="479"/>
      <c r="E11395" s="368"/>
      <c r="F11395" s="368"/>
    </row>
    <row r="11396" spans="1:6" x14ac:dyDescent="0.2">
      <c r="A11396" s="391">
        <v>1831</v>
      </c>
      <c r="B11396" s="478" t="s">
        <v>43914</v>
      </c>
      <c r="C11396" s="391" t="s">
        <v>26</v>
      </c>
      <c r="D11396" s="479"/>
      <c r="E11396" s="368"/>
      <c r="F11396" s="368"/>
    </row>
    <row r="11397" spans="1:6" x14ac:dyDescent="0.2">
      <c r="A11397" s="391">
        <v>1825</v>
      </c>
      <c r="B11397" s="478" t="s">
        <v>43915</v>
      </c>
      <c r="C11397" s="391" t="s">
        <v>26</v>
      </c>
      <c r="D11397" s="479"/>
      <c r="E11397" s="368"/>
      <c r="F11397" s="368"/>
    </row>
    <row r="11398" spans="1:6" x14ac:dyDescent="0.2">
      <c r="A11398" s="391">
        <v>1828</v>
      </c>
      <c r="B11398" s="478" t="s">
        <v>43916</v>
      </c>
      <c r="C11398" s="391" t="s">
        <v>26</v>
      </c>
      <c r="D11398" s="479"/>
      <c r="E11398" s="368"/>
      <c r="F11398" s="368"/>
    </row>
    <row r="11399" spans="1:6" x14ac:dyDescent="0.2">
      <c r="A11399" s="391">
        <v>1845</v>
      </c>
      <c r="B11399" s="478" t="s">
        <v>43917</v>
      </c>
      <c r="C11399" s="391" t="s">
        <v>26</v>
      </c>
      <c r="D11399" s="479"/>
      <c r="E11399" s="368"/>
      <c r="F11399" s="368"/>
    </row>
    <row r="11400" spans="1:6" x14ac:dyDescent="0.2">
      <c r="A11400" s="391">
        <v>1824</v>
      </c>
      <c r="B11400" s="478" t="s">
        <v>43918</v>
      </c>
      <c r="C11400" s="391" t="s">
        <v>26</v>
      </c>
      <c r="D11400" s="479"/>
      <c r="E11400" s="368"/>
      <c r="F11400" s="368"/>
    </row>
    <row r="11401" spans="1:6" ht="25.5" x14ac:dyDescent="0.2">
      <c r="A11401" s="391">
        <v>42693</v>
      </c>
      <c r="B11401" s="478" t="s">
        <v>43919</v>
      </c>
      <c r="C11401" s="391" t="s">
        <v>26</v>
      </c>
      <c r="D11401" s="479">
        <v>458.91</v>
      </c>
      <c r="E11401" s="368"/>
      <c r="F11401" s="368"/>
    </row>
    <row r="11402" spans="1:6" ht="25.5" x14ac:dyDescent="0.2">
      <c r="A11402" s="391">
        <v>42695</v>
      </c>
      <c r="B11402" s="478" t="s">
        <v>43920</v>
      </c>
      <c r="C11402" s="391" t="s">
        <v>26</v>
      </c>
      <c r="D11402" s="479">
        <v>320.62</v>
      </c>
      <c r="E11402" s="368"/>
      <c r="F11402" s="368"/>
    </row>
    <row r="11403" spans="1:6" ht="25.5" x14ac:dyDescent="0.2">
      <c r="A11403" s="391">
        <v>42694</v>
      </c>
      <c r="B11403" s="478" t="s">
        <v>43921</v>
      </c>
      <c r="C11403" s="391" t="s">
        <v>26</v>
      </c>
      <c r="D11403" s="479">
        <v>614.12</v>
      </c>
      <c r="E11403" s="368"/>
      <c r="F11403" s="368"/>
    </row>
    <row r="11404" spans="1:6" ht="25.5" x14ac:dyDescent="0.2">
      <c r="A11404" s="391">
        <v>20097</v>
      </c>
      <c r="B11404" s="478" t="s">
        <v>43922</v>
      </c>
      <c r="C11404" s="391" t="s">
        <v>26</v>
      </c>
      <c r="D11404" s="479">
        <v>26.63</v>
      </c>
      <c r="E11404" s="368"/>
      <c r="F11404" s="368"/>
    </row>
    <row r="11405" spans="1:6" ht="25.5" x14ac:dyDescent="0.2">
      <c r="A11405" s="391">
        <v>20098</v>
      </c>
      <c r="B11405" s="478" t="s">
        <v>43923</v>
      </c>
      <c r="C11405" s="391" t="s">
        <v>26</v>
      </c>
      <c r="D11405" s="479">
        <v>108.83</v>
      </c>
      <c r="E11405" s="368"/>
      <c r="F11405" s="368"/>
    </row>
    <row r="11406" spans="1:6" ht="25.5" x14ac:dyDescent="0.2">
      <c r="A11406" s="391">
        <v>20096</v>
      </c>
      <c r="B11406" s="478" t="s">
        <v>43924</v>
      </c>
      <c r="C11406" s="391" t="s">
        <v>26</v>
      </c>
      <c r="D11406" s="479">
        <v>27.56</v>
      </c>
      <c r="E11406" s="368"/>
      <c r="F11406" s="368"/>
    </row>
    <row r="11407" spans="1:6" x14ac:dyDescent="0.2">
      <c r="A11407" s="391">
        <v>44472</v>
      </c>
      <c r="B11407" s="478" t="s">
        <v>48261</v>
      </c>
      <c r="C11407" s="391" t="s">
        <v>26</v>
      </c>
      <c r="D11407" s="479"/>
      <c r="E11407" s="368"/>
      <c r="F11407" s="368"/>
    </row>
    <row r="11408" spans="1:6" ht="25.5" x14ac:dyDescent="0.2">
      <c r="A11408" s="391">
        <v>38369</v>
      </c>
      <c r="B11408" s="478" t="s">
        <v>43925</v>
      </c>
      <c r="C11408" s="391" t="s">
        <v>26</v>
      </c>
      <c r="D11408" s="479"/>
      <c r="E11408" s="368"/>
      <c r="F11408" s="368"/>
    </row>
    <row r="11409" spans="1:6" ht="25.5" x14ac:dyDescent="0.2">
      <c r="A11409" s="391">
        <v>38370</v>
      </c>
      <c r="B11409" s="478" t="s">
        <v>43926</v>
      </c>
      <c r="C11409" s="391" t="s">
        <v>26</v>
      </c>
      <c r="D11409" s="479"/>
      <c r="E11409" s="368"/>
      <c r="F11409" s="368"/>
    </row>
    <row r="11410" spans="1:6" x14ac:dyDescent="0.2">
      <c r="A11410" s="391">
        <v>45199</v>
      </c>
      <c r="B11410" s="478" t="s">
        <v>48262</v>
      </c>
      <c r="C11410" s="391" t="s">
        <v>26</v>
      </c>
      <c r="D11410" s="479">
        <v>23.15</v>
      </c>
      <c r="E11410" s="368"/>
      <c r="F11410" s="368"/>
    </row>
    <row r="11411" spans="1:6" x14ac:dyDescent="0.2">
      <c r="A11411" s="391">
        <v>38372</v>
      </c>
      <c r="B11411" s="478" t="s">
        <v>43927</v>
      </c>
      <c r="C11411" s="391" t="s">
        <v>26</v>
      </c>
      <c r="D11411" s="479"/>
      <c r="E11411" s="368"/>
      <c r="F11411" s="368"/>
    </row>
    <row r="11412" spans="1:6" x14ac:dyDescent="0.2">
      <c r="A11412" s="391">
        <v>2358</v>
      </c>
      <c r="B11412" s="478" t="s">
        <v>43928</v>
      </c>
      <c r="C11412" s="391" t="s">
        <v>558</v>
      </c>
      <c r="D11412" s="479">
        <v>24.44</v>
      </c>
      <c r="E11412" s="368"/>
      <c r="F11412" s="368"/>
    </row>
    <row r="11413" spans="1:6" x14ac:dyDescent="0.2">
      <c r="A11413" s="391">
        <v>40807</v>
      </c>
      <c r="B11413" s="478" t="s">
        <v>43929</v>
      </c>
      <c r="C11413" s="391" t="s">
        <v>5681</v>
      </c>
      <c r="D11413" s="479">
        <v>4295.8900000000003</v>
      </c>
      <c r="E11413" s="368"/>
      <c r="F11413" s="368"/>
    </row>
    <row r="11414" spans="1:6" x14ac:dyDescent="0.2">
      <c r="A11414" s="391">
        <v>44330</v>
      </c>
      <c r="B11414" s="478" t="s">
        <v>43930</v>
      </c>
      <c r="C11414" s="391" t="s">
        <v>9</v>
      </c>
      <c r="D11414" s="479">
        <v>11.32</v>
      </c>
      <c r="E11414" s="368"/>
      <c r="F11414" s="368"/>
    </row>
    <row r="11415" spans="1:6" x14ac:dyDescent="0.2">
      <c r="A11415" s="430">
        <v>43144</v>
      </c>
      <c r="B11415" s="482" t="s">
        <v>43931</v>
      </c>
      <c r="C11415" s="430" t="s">
        <v>1284</v>
      </c>
      <c r="D11415" s="483">
        <v>43.9</v>
      </c>
      <c r="E11415" s="368"/>
      <c r="F11415" s="368"/>
    </row>
    <row r="11416" spans="1:6" x14ac:dyDescent="0.2">
      <c r="A11416" s="430">
        <v>39397</v>
      </c>
      <c r="B11416" s="482" t="s">
        <v>43932</v>
      </c>
      <c r="C11416" s="430" t="s">
        <v>9</v>
      </c>
      <c r="D11416" s="483">
        <v>20.010000000000002</v>
      </c>
      <c r="E11416" s="368"/>
      <c r="F11416" s="368"/>
    </row>
    <row r="11417" spans="1:6" ht="25.5" x14ac:dyDescent="0.2">
      <c r="A11417" s="391">
        <v>2692</v>
      </c>
      <c r="B11417" s="478" t="s">
        <v>43933</v>
      </c>
      <c r="C11417" s="391" t="s">
        <v>9</v>
      </c>
      <c r="D11417" s="479">
        <v>8.07</v>
      </c>
      <c r="E11417" s="368"/>
      <c r="F11417" s="368"/>
    </row>
    <row r="11418" spans="1:6" x14ac:dyDescent="0.2">
      <c r="A11418" s="391">
        <v>44329</v>
      </c>
      <c r="B11418" s="478" t="s">
        <v>43934</v>
      </c>
      <c r="C11418" s="391" t="s">
        <v>9</v>
      </c>
      <c r="D11418" s="479">
        <v>14.83</v>
      </c>
      <c r="E11418" s="368"/>
      <c r="F11418" s="368"/>
    </row>
    <row r="11419" spans="1:6" x14ac:dyDescent="0.2">
      <c r="A11419" s="391">
        <v>5318</v>
      </c>
      <c r="B11419" s="478" t="s">
        <v>43935</v>
      </c>
      <c r="C11419" s="391" t="s">
        <v>9</v>
      </c>
      <c r="D11419" s="479">
        <v>23.98</v>
      </c>
      <c r="E11419" s="368"/>
      <c r="F11419" s="368"/>
    </row>
    <row r="11420" spans="1:6" x14ac:dyDescent="0.2">
      <c r="A11420" s="391">
        <v>5330</v>
      </c>
      <c r="B11420" s="478" t="s">
        <v>43936</v>
      </c>
      <c r="C11420" s="391" t="s">
        <v>9</v>
      </c>
      <c r="D11420" s="479">
        <v>54.66</v>
      </c>
      <c r="E11420" s="368"/>
      <c r="F11420" s="368"/>
    </row>
    <row r="11421" spans="1:6" x14ac:dyDescent="0.2">
      <c r="A11421" s="391">
        <v>44532</v>
      </c>
      <c r="B11421" s="478" t="s">
        <v>43937</v>
      </c>
      <c r="C11421" s="391" t="s">
        <v>26</v>
      </c>
      <c r="D11421" s="479"/>
      <c r="E11421" s="368"/>
      <c r="F11421" s="368"/>
    </row>
    <row r="11422" spans="1:6" ht="25.5" x14ac:dyDescent="0.2">
      <c r="A11422" s="391">
        <v>44531</v>
      </c>
      <c r="B11422" s="478" t="s">
        <v>43938</v>
      </c>
      <c r="C11422" s="391" t="s">
        <v>26</v>
      </c>
      <c r="D11422" s="479"/>
      <c r="E11422" s="368"/>
      <c r="F11422" s="368"/>
    </row>
    <row r="11423" spans="1:6" ht="25.5" x14ac:dyDescent="0.2">
      <c r="A11423" s="391">
        <v>13887</v>
      </c>
      <c r="B11423" s="478" t="s">
        <v>43939</v>
      </c>
      <c r="C11423" s="391" t="s">
        <v>26</v>
      </c>
      <c r="D11423" s="479"/>
      <c r="E11423" s="368"/>
      <c r="F11423" s="368"/>
    </row>
    <row r="11424" spans="1:6" ht="25.5" x14ac:dyDescent="0.2">
      <c r="A11424" s="391">
        <v>38140</v>
      </c>
      <c r="B11424" s="478" t="s">
        <v>43940</v>
      </c>
      <c r="C11424" s="391" t="s">
        <v>26</v>
      </c>
      <c r="D11424" s="479"/>
      <c r="E11424" s="368"/>
      <c r="F11424" s="368"/>
    </row>
    <row r="11425" spans="1:6" ht="25.5" x14ac:dyDescent="0.2">
      <c r="A11425" s="391">
        <v>44495</v>
      </c>
      <c r="B11425" s="478" t="s">
        <v>43941</v>
      </c>
      <c r="C11425" s="391" t="s">
        <v>26</v>
      </c>
      <c r="D11425" s="479"/>
      <c r="E11425" s="368"/>
      <c r="F11425" s="368"/>
    </row>
    <row r="11426" spans="1:6" ht="25.5" x14ac:dyDescent="0.2">
      <c r="A11426" s="391">
        <v>44533</v>
      </c>
      <c r="B11426" s="478" t="s">
        <v>43942</v>
      </c>
      <c r="C11426" s="391" t="s">
        <v>26</v>
      </c>
      <c r="D11426" s="479"/>
      <c r="E11426" s="368"/>
      <c r="F11426" s="368"/>
    </row>
    <row r="11427" spans="1:6" x14ac:dyDescent="0.2">
      <c r="A11427" s="391">
        <v>44534</v>
      </c>
      <c r="B11427" s="478" t="s">
        <v>48263</v>
      </c>
      <c r="C11427" s="391" t="s">
        <v>26</v>
      </c>
      <c r="D11427" s="479"/>
      <c r="E11427" s="368"/>
      <c r="F11427" s="368"/>
    </row>
    <row r="11428" spans="1:6" ht="25.5" x14ac:dyDescent="0.2">
      <c r="A11428" s="391">
        <v>34729</v>
      </c>
      <c r="B11428" s="478" t="s">
        <v>43943</v>
      </c>
      <c r="C11428" s="391" t="s">
        <v>26</v>
      </c>
      <c r="D11428" s="479">
        <v>1171.2</v>
      </c>
      <c r="E11428" s="368"/>
      <c r="F11428" s="368"/>
    </row>
    <row r="11429" spans="1:6" ht="25.5" x14ac:dyDescent="0.2">
      <c r="A11429" s="391">
        <v>34734</v>
      </c>
      <c r="B11429" s="478" t="s">
        <v>43944</v>
      </c>
      <c r="C11429" s="391" t="s">
        <v>26</v>
      </c>
      <c r="D11429" s="479">
        <v>1813.39</v>
      </c>
      <c r="E11429" s="368"/>
      <c r="F11429" s="368"/>
    </row>
    <row r="11430" spans="1:6" ht="25.5" x14ac:dyDescent="0.2">
      <c r="A11430" s="391">
        <v>34738</v>
      </c>
      <c r="B11430" s="478" t="s">
        <v>43945</v>
      </c>
      <c r="C11430" s="391" t="s">
        <v>26</v>
      </c>
      <c r="D11430" s="479">
        <v>4236.6499999999996</v>
      </c>
      <c r="E11430" s="368"/>
      <c r="F11430" s="368"/>
    </row>
    <row r="11431" spans="1:6" x14ac:dyDescent="0.2">
      <c r="A11431" s="391">
        <v>34623</v>
      </c>
      <c r="B11431" s="478" t="s">
        <v>43946</v>
      </c>
      <c r="C11431" s="391" t="s">
        <v>26</v>
      </c>
      <c r="D11431" s="479">
        <v>50.77</v>
      </c>
      <c r="E11431" s="368"/>
      <c r="F11431" s="368"/>
    </row>
    <row r="11432" spans="1:6" x14ac:dyDescent="0.2">
      <c r="A11432" s="391">
        <v>34616</v>
      </c>
      <c r="B11432" s="478" t="s">
        <v>43947</v>
      </c>
      <c r="C11432" s="391" t="s">
        <v>26</v>
      </c>
      <c r="D11432" s="479">
        <v>51.56</v>
      </c>
      <c r="E11432" s="368"/>
      <c r="F11432" s="368"/>
    </row>
    <row r="11433" spans="1:6" x14ac:dyDescent="0.2">
      <c r="A11433" s="391">
        <v>34628</v>
      </c>
      <c r="B11433" s="478" t="s">
        <v>43948</v>
      </c>
      <c r="C11433" s="391" t="s">
        <v>26</v>
      </c>
      <c r="D11433" s="479">
        <v>72.72</v>
      </c>
      <c r="E11433" s="368"/>
      <c r="F11433" s="368"/>
    </row>
    <row r="11434" spans="1:6" x14ac:dyDescent="0.2">
      <c r="A11434" s="391">
        <v>34686</v>
      </c>
      <c r="B11434" s="478" t="s">
        <v>43949</v>
      </c>
      <c r="C11434" s="391" t="s">
        <v>26</v>
      </c>
      <c r="D11434" s="479">
        <v>13.34</v>
      </c>
      <c r="E11434" s="368"/>
      <c r="F11434" s="368"/>
    </row>
    <row r="11435" spans="1:6" x14ac:dyDescent="0.2">
      <c r="A11435" s="391">
        <v>34653</v>
      </c>
      <c r="B11435" s="478" t="s">
        <v>43950</v>
      </c>
      <c r="C11435" s="391" t="s">
        <v>26</v>
      </c>
      <c r="D11435" s="479">
        <v>8.99</v>
      </c>
      <c r="E11435" s="368"/>
      <c r="F11435" s="368"/>
    </row>
    <row r="11436" spans="1:6" x14ac:dyDescent="0.2">
      <c r="A11436" s="391">
        <v>34688</v>
      </c>
      <c r="B11436" s="478" t="s">
        <v>43951</v>
      </c>
      <c r="C11436" s="391" t="s">
        <v>26</v>
      </c>
      <c r="D11436" s="479">
        <v>16.3</v>
      </c>
      <c r="E11436" s="368"/>
      <c r="F11436" s="368"/>
    </row>
    <row r="11437" spans="1:6" x14ac:dyDescent="0.2">
      <c r="A11437" s="391">
        <v>34709</v>
      </c>
      <c r="B11437" s="478" t="s">
        <v>43952</v>
      </c>
      <c r="C11437" s="391" t="s">
        <v>26</v>
      </c>
      <c r="D11437" s="479">
        <v>63.17</v>
      </c>
      <c r="E11437" s="368"/>
      <c r="F11437" s="368"/>
    </row>
    <row r="11438" spans="1:6" x14ac:dyDescent="0.2">
      <c r="A11438" s="391">
        <v>34714</v>
      </c>
      <c r="B11438" s="478" t="s">
        <v>43953</v>
      </c>
      <c r="C11438" s="391" t="s">
        <v>26</v>
      </c>
      <c r="D11438" s="479">
        <v>75.45</v>
      </c>
      <c r="E11438" s="368"/>
      <c r="F11438" s="368"/>
    </row>
    <row r="11439" spans="1:6" x14ac:dyDescent="0.2">
      <c r="A11439" s="391">
        <v>2391</v>
      </c>
      <c r="B11439" s="478" t="s">
        <v>43954</v>
      </c>
      <c r="C11439" s="391" t="s">
        <v>26</v>
      </c>
      <c r="D11439" s="479">
        <v>344.58</v>
      </c>
      <c r="E11439" s="368"/>
      <c r="F11439" s="368"/>
    </row>
    <row r="11440" spans="1:6" x14ac:dyDescent="0.2">
      <c r="A11440" s="391">
        <v>2374</v>
      </c>
      <c r="B11440" s="478" t="s">
        <v>43955</v>
      </c>
      <c r="C11440" s="391" t="s">
        <v>26</v>
      </c>
      <c r="D11440" s="479">
        <v>390.91</v>
      </c>
      <c r="E11440" s="368"/>
      <c r="F11440" s="368"/>
    </row>
    <row r="11441" spans="1:6" x14ac:dyDescent="0.2">
      <c r="A11441" s="391">
        <v>2377</v>
      </c>
      <c r="B11441" s="478" t="s">
        <v>43956</v>
      </c>
      <c r="C11441" s="391" t="s">
        <v>26</v>
      </c>
      <c r="D11441" s="479">
        <v>548.61</v>
      </c>
      <c r="E11441" s="368"/>
      <c r="F11441" s="368"/>
    </row>
    <row r="11442" spans="1:6" x14ac:dyDescent="0.2">
      <c r="A11442" s="391">
        <v>2393</v>
      </c>
      <c r="B11442" s="478" t="s">
        <v>43957</v>
      </c>
      <c r="C11442" s="391" t="s">
        <v>26</v>
      </c>
      <c r="D11442" s="479">
        <v>918.72</v>
      </c>
      <c r="E11442" s="368"/>
      <c r="F11442" s="368"/>
    </row>
    <row r="11443" spans="1:6" x14ac:dyDescent="0.2">
      <c r="A11443" s="391">
        <v>34705</v>
      </c>
      <c r="B11443" s="478" t="s">
        <v>43958</v>
      </c>
      <c r="C11443" s="391" t="s">
        <v>26</v>
      </c>
      <c r="D11443" s="479">
        <v>803.55</v>
      </c>
      <c r="E11443" s="368"/>
      <c r="F11443" s="368"/>
    </row>
    <row r="11444" spans="1:6" x14ac:dyDescent="0.2">
      <c r="A11444" s="391">
        <v>34707</v>
      </c>
      <c r="B11444" s="478" t="s">
        <v>43959</v>
      </c>
      <c r="C11444" s="391" t="s">
        <v>26</v>
      </c>
      <c r="D11444" s="479">
        <v>1488.99</v>
      </c>
      <c r="E11444" s="368"/>
      <c r="F11444" s="368"/>
    </row>
    <row r="11445" spans="1:6" x14ac:dyDescent="0.2">
      <c r="A11445" s="391">
        <v>34544</v>
      </c>
      <c r="B11445" s="478" t="s">
        <v>43960</v>
      </c>
      <c r="C11445" s="391" t="s">
        <v>26</v>
      </c>
      <c r="D11445" s="479">
        <v>1488.84</v>
      </c>
      <c r="E11445" s="368"/>
      <c r="F11445" s="368"/>
    </row>
    <row r="11446" spans="1:6" x14ac:dyDescent="0.2">
      <c r="A11446" s="391">
        <v>2378</v>
      </c>
      <c r="B11446" s="478" t="s">
        <v>43961</v>
      </c>
      <c r="C11446" s="391" t="s">
        <v>26</v>
      </c>
      <c r="D11446" s="479">
        <v>1261.98</v>
      </c>
      <c r="E11446" s="368"/>
      <c r="F11446" s="368"/>
    </row>
    <row r="11447" spans="1:6" x14ac:dyDescent="0.2">
      <c r="A11447" s="391">
        <v>2379</v>
      </c>
      <c r="B11447" s="478" t="s">
        <v>43962</v>
      </c>
      <c r="C11447" s="391" t="s">
        <v>26</v>
      </c>
      <c r="D11447" s="479">
        <v>1261.98</v>
      </c>
      <c r="E11447" s="368"/>
      <c r="F11447" s="368"/>
    </row>
    <row r="11448" spans="1:6" x14ac:dyDescent="0.2">
      <c r="A11448" s="391">
        <v>2376</v>
      </c>
      <c r="B11448" s="478" t="s">
        <v>43963</v>
      </c>
      <c r="C11448" s="391" t="s">
        <v>26</v>
      </c>
      <c r="D11448" s="479">
        <v>2078.4699999999998</v>
      </c>
      <c r="E11448" s="368"/>
      <c r="F11448" s="368"/>
    </row>
    <row r="11449" spans="1:6" x14ac:dyDescent="0.2">
      <c r="A11449" s="391">
        <v>2394</v>
      </c>
      <c r="B11449" s="478" t="s">
        <v>43964</v>
      </c>
      <c r="C11449" s="391" t="s">
        <v>26</v>
      </c>
      <c r="D11449" s="479">
        <v>4443.3999999999996</v>
      </c>
      <c r="E11449" s="368"/>
      <c r="F11449" s="368"/>
    </row>
    <row r="11450" spans="1:6" x14ac:dyDescent="0.2">
      <c r="A11450" s="391">
        <v>2388</v>
      </c>
      <c r="B11450" s="478" t="s">
        <v>43965</v>
      </c>
      <c r="C11450" s="391" t="s">
        <v>26</v>
      </c>
      <c r="D11450" s="479">
        <v>62.7</v>
      </c>
      <c r="E11450" s="368"/>
      <c r="F11450" s="368"/>
    </row>
    <row r="11451" spans="1:6" x14ac:dyDescent="0.2">
      <c r="A11451" s="391">
        <v>34606</v>
      </c>
      <c r="B11451" s="478" t="s">
        <v>43966</v>
      </c>
      <c r="C11451" s="391" t="s">
        <v>26</v>
      </c>
      <c r="D11451" s="479">
        <v>96.17</v>
      </c>
      <c r="E11451" s="368"/>
      <c r="F11451" s="368"/>
    </row>
    <row r="11452" spans="1:6" x14ac:dyDescent="0.2">
      <c r="A11452" s="391">
        <v>2370</v>
      </c>
      <c r="B11452" s="478" t="s">
        <v>43967</v>
      </c>
      <c r="C11452" s="391" t="s">
        <v>26</v>
      </c>
      <c r="D11452" s="479">
        <v>11.65</v>
      </c>
      <c r="E11452" s="368"/>
      <c r="F11452" s="368"/>
    </row>
    <row r="11453" spans="1:6" x14ac:dyDescent="0.2">
      <c r="A11453" s="391">
        <v>2386</v>
      </c>
      <c r="B11453" s="478" t="s">
        <v>43968</v>
      </c>
      <c r="C11453" s="391" t="s">
        <v>26</v>
      </c>
      <c r="D11453" s="479">
        <v>19.54</v>
      </c>
      <c r="E11453" s="368"/>
      <c r="F11453" s="368"/>
    </row>
    <row r="11454" spans="1:6" x14ac:dyDescent="0.2">
      <c r="A11454" s="391">
        <v>34689</v>
      </c>
      <c r="B11454" s="478" t="s">
        <v>43969</v>
      </c>
      <c r="C11454" s="391" t="s">
        <v>26</v>
      </c>
      <c r="D11454" s="479">
        <v>30.62</v>
      </c>
      <c r="E11454" s="368"/>
      <c r="F11454" s="368"/>
    </row>
    <row r="11455" spans="1:6" x14ac:dyDescent="0.2">
      <c r="A11455" s="391">
        <v>2392</v>
      </c>
      <c r="B11455" s="478" t="s">
        <v>43970</v>
      </c>
      <c r="C11455" s="391" t="s">
        <v>26</v>
      </c>
      <c r="D11455" s="479">
        <v>78.2</v>
      </c>
      <c r="E11455" s="368"/>
      <c r="F11455" s="368"/>
    </row>
    <row r="11456" spans="1:6" x14ac:dyDescent="0.2">
      <c r="A11456" s="391">
        <v>2373</v>
      </c>
      <c r="B11456" s="478" t="s">
        <v>43971</v>
      </c>
      <c r="C11456" s="391" t="s">
        <v>26</v>
      </c>
      <c r="D11456" s="479">
        <v>110.18</v>
      </c>
      <c r="E11456" s="368"/>
      <c r="F11456" s="368"/>
    </row>
    <row r="11457" spans="1:6" ht="25.5" x14ac:dyDescent="0.2">
      <c r="A11457" s="391">
        <v>39465</v>
      </c>
      <c r="B11457" s="478" t="s">
        <v>43972</v>
      </c>
      <c r="C11457" s="391" t="s">
        <v>26</v>
      </c>
      <c r="D11457" s="479">
        <v>67.31</v>
      </c>
      <c r="E11457" s="368"/>
      <c r="F11457" s="368"/>
    </row>
    <row r="11458" spans="1:6" ht="25.5" x14ac:dyDescent="0.2">
      <c r="A11458" s="391">
        <v>39466</v>
      </c>
      <c r="B11458" s="478" t="s">
        <v>43973</v>
      </c>
      <c r="C11458" s="391" t="s">
        <v>26</v>
      </c>
      <c r="D11458" s="479">
        <v>75.72</v>
      </c>
      <c r="E11458" s="368"/>
      <c r="F11458" s="368"/>
    </row>
    <row r="11459" spans="1:6" ht="25.5" x14ac:dyDescent="0.2">
      <c r="A11459" s="391">
        <v>39467</v>
      </c>
      <c r="B11459" s="478" t="s">
        <v>43974</v>
      </c>
      <c r="C11459" s="391" t="s">
        <v>26</v>
      </c>
      <c r="D11459" s="479">
        <v>96.86</v>
      </c>
      <c r="E11459" s="368"/>
      <c r="F11459" s="368"/>
    </row>
    <row r="11460" spans="1:6" ht="25.5" x14ac:dyDescent="0.2">
      <c r="A11460" s="391">
        <v>39468</v>
      </c>
      <c r="B11460" s="478" t="s">
        <v>43975</v>
      </c>
      <c r="C11460" s="391" t="s">
        <v>26</v>
      </c>
      <c r="D11460" s="479">
        <v>172.16</v>
      </c>
      <c r="E11460" s="368"/>
      <c r="F11460" s="368"/>
    </row>
    <row r="11461" spans="1:6" ht="25.5" x14ac:dyDescent="0.2">
      <c r="A11461" s="391">
        <v>39469</v>
      </c>
      <c r="B11461" s="478" t="s">
        <v>43976</v>
      </c>
      <c r="C11461" s="391" t="s">
        <v>26</v>
      </c>
      <c r="D11461" s="479">
        <v>70.13</v>
      </c>
      <c r="E11461" s="368"/>
      <c r="F11461" s="368"/>
    </row>
    <row r="11462" spans="1:6" ht="25.5" x14ac:dyDescent="0.2">
      <c r="A11462" s="391">
        <v>39470</v>
      </c>
      <c r="B11462" s="478" t="s">
        <v>43977</v>
      </c>
      <c r="C11462" s="391" t="s">
        <v>26</v>
      </c>
      <c r="D11462" s="479">
        <v>86.17</v>
      </c>
      <c r="E11462" s="368"/>
      <c r="F11462" s="368"/>
    </row>
    <row r="11463" spans="1:6" ht="25.5" x14ac:dyDescent="0.2">
      <c r="A11463" s="391">
        <v>39471</v>
      </c>
      <c r="B11463" s="478" t="s">
        <v>43978</v>
      </c>
      <c r="C11463" s="391" t="s">
        <v>26</v>
      </c>
      <c r="D11463" s="479">
        <v>103.55</v>
      </c>
      <c r="E11463" s="368"/>
      <c r="F11463" s="368"/>
    </row>
    <row r="11464" spans="1:6" ht="25.5" x14ac:dyDescent="0.2">
      <c r="A11464" s="391">
        <v>39472</v>
      </c>
      <c r="B11464" s="478" t="s">
        <v>43979</v>
      </c>
      <c r="C11464" s="391" t="s">
        <v>26</v>
      </c>
      <c r="D11464" s="479">
        <v>179.92</v>
      </c>
      <c r="E11464" s="368"/>
      <c r="F11464" s="368"/>
    </row>
    <row r="11465" spans="1:6" ht="25.5" x14ac:dyDescent="0.2">
      <c r="A11465" s="391">
        <v>39473</v>
      </c>
      <c r="B11465" s="478" t="s">
        <v>43980</v>
      </c>
      <c r="C11465" s="391" t="s">
        <v>26</v>
      </c>
      <c r="D11465" s="479">
        <v>116.23</v>
      </c>
      <c r="E11465" s="368"/>
      <c r="F11465" s="368"/>
    </row>
    <row r="11466" spans="1:6" ht="25.5" x14ac:dyDescent="0.2">
      <c r="A11466" s="391">
        <v>39474</v>
      </c>
      <c r="B11466" s="478" t="s">
        <v>43981</v>
      </c>
      <c r="C11466" s="391" t="s">
        <v>26</v>
      </c>
      <c r="D11466" s="479">
        <v>123.91</v>
      </c>
      <c r="E11466" s="368"/>
      <c r="F11466" s="368"/>
    </row>
    <row r="11467" spans="1:6" ht="25.5" x14ac:dyDescent="0.2">
      <c r="A11467" s="391">
        <v>39475</v>
      </c>
      <c r="B11467" s="478" t="s">
        <v>43982</v>
      </c>
      <c r="C11467" s="391" t="s">
        <v>26</v>
      </c>
      <c r="D11467" s="479">
        <v>140.58000000000001</v>
      </c>
      <c r="E11467" s="368"/>
      <c r="F11467" s="368"/>
    </row>
    <row r="11468" spans="1:6" ht="25.5" x14ac:dyDescent="0.2">
      <c r="A11468" s="391">
        <v>39476</v>
      </c>
      <c r="B11468" s="478" t="s">
        <v>43983</v>
      </c>
      <c r="C11468" s="391" t="s">
        <v>26</v>
      </c>
      <c r="D11468" s="479">
        <v>264.64</v>
      </c>
      <c r="E11468" s="368"/>
      <c r="F11468" s="368"/>
    </row>
    <row r="11469" spans="1:6" ht="25.5" x14ac:dyDescent="0.2">
      <c r="A11469" s="391">
        <v>39477</v>
      </c>
      <c r="B11469" s="478" t="s">
        <v>43984</v>
      </c>
      <c r="C11469" s="391" t="s">
        <v>26</v>
      </c>
      <c r="D11469" s="479">
        <v>129.66999999999999</v>
      </c>
      <c r="E11469" s="368"/>
      <c r="F11469" s="368"/>
    </row>
    <row r="11470" spans="1:6" ht="25.5" x14ac:dyDescent="0.2">
      <c r="A11470" s="391">
        <v>39478</v>
      </c>
      <c r="B11470" s="478" t="s">
        <v>43985</v>
      </c>
      <c r="C11470" s="391" t="s">
        <v>26</v>
      </c>
      <c r="D11470" s="479">
        <v>133.68</v>
      </c>
      <c r="E11470" s="368"/>
      <c r="F11470" s="368"/>
    </row>
    <row r="11471" spans="1:6" ht="25.5" x14ac:dyDescent="0.2">
      <c r="A11471" s="391">
        <v>39479</v>
      </c>
      <c r="B11471" s="478" t="s">
        <v>43986</v>
      </c>
      <c r="C11471" s="391" t="s">
        <v>26</v>
      </c>
      <c r="D11471" s="479">
        <v>157.5</v>
      </c>
      <c r="E11471" s="368"/>
      <c r="F11471" s="368"/>
    </row>
    <row r="11472" spans="1:6" ht="25.5" x14ac:dyDescent="0.2">
      <c r="A11472" s="391">
        <v>39480</v>
      </c>
      <c r="B11472" s="478" t="s">
        <v>43987</v>
      </c>
      <c r="C11472" s="391" t="s">
        <v>26</v>
      </c>
      <c r="D11472" s="479">
        <v>325</v>
      </c>
      <c r="E11472" s="368"/>
      <c r="F11472" s="368"/>
    </row>
    <row r="11473" spans="1:6" ht="25.5" x14ac:dyDescent="0.2">
      <c r="A11473" s="391">
        <v>39459</v>
      </c>
      <c r="B11473" s="478" t="s">
        <v>43988</v>
      </c>
      <c r="C11473" s="391" t="s">
        <v>26</v>
      </c>
      <c r="D11473" s="479">
        <v>275.85000000000002</v>
      </c>
      <c r="E11473" s="368"/>
      <c r="F11473" s="368"/>
    </row>
    <row r="11474" spans="1:6" ht="25.5" x14ac:dyDescent="0.2">
      <c r="A11474" s="391">
        <v>39445</v>
      </c>
      <c r="B11474" s="478" t="s">
        <v>43989</v>
      </c>
      <c r="C11474" s="391" t="s">
        <v>26</v>
      </c>
      <c r="D11474" s="479">
        <v>138.5</v>
      </c>
      <c r="E11474" s="368"/>
      <c r="F11474" s="368"/>
    </row>
    <row r="11475" spans="1:6" ht="25.5" x14ac:dyDescent="0.2">
      <c r="A11475" s="391">
        <v>39446</v>
      </c>
      <c r="B11475" s="478" t="s">
        <v>43990</v>
      </c>
      <c r="C11475" s="391" t="s">
        <v>26</v>
      </c>
      <c r="D11475" s="479">
        <v>140.97</v>
      </c>
      <c r="E11475" s="368"/>
      <c r="F11475" s="368"/>
    </row>
    <row r="11476" spans="1:6" ht="25.5" x14ac:dyDescent="0.2">
      <c r="A11476" s="391">
        <v>39447</v>
      </c>
      <c r="B11476" s="478" t="s">
        <v>43991</v>
      </c>
      <c r="C11476" s="391" t="s">
        <v>26</v>
      </c>
      <c r="D11476" s="479">
        <v>150.75</v>
      </c>
      <c r="E11476" s="368"/>
      <c r="F11476" s="368"/>
    </row>
    <row r="11477" spans="1:6" ht="25.5" x14ac:dyDescent="0.2">
      <c r="A11477" s="391">
        <v>39448</v>
      </c>
      <c r="B11477" s="478" t="s">
        <v>43992</v>
      </c>
      <c r="C11477" s="391" t="s">
        <v>26</v>
      </c>
      <c r="D11477" s="479">
        <v>257.05</v>
      </c>
      <c r="E11477" s="368"/>
      <c r="F11477" s="368"/>
    </row>
    <row r="11478" spans="1:6" ht="25.5" x14ac:dyDescent="0.2">
      <c r="A11478" s="391">
        <v>39450</v>
      </c>
      <c r="B11478" s="478" t="s">
        <v>43993</v>
      </c>
      <c r="C11478" s="391" t="s">
        <v>26</v>
      </c>
      <c r="D11478" s="479">
        <v>156.83000000000001</v>
      </c>
      <c r="E11478" s="368"/>
      <c r="F11478" s="368"/>
    </row>
    <row r="11479" spans="1:6" ht="25.5" x14ac:dyDescent="0.2">
      <c r="A11479" s="391">
        <v>39451</v>
      </c>
      <c r="B11479" s="478" t="s">
        <v>43994</v>
      </c>
      <c r="C11479" s="391" t="s">
        <v>26</v>
      </c>
      <c r="D11479" s="479">
        <v>171.06</v>
      </c>
      <c r="E11479" s="368"/>
      <c r="F11479" s="368"/>
    </row>
    <row r="11480" spans="1:6" ht="25.5" x14ac:dyDescent="0.2">
      <c r="A11480" s="391">
        <v>39452</v>
      </c>
      <c r="B11480" s="478" t="s">
        <v>43995</v>
      </c>
      <c r="C11480" s="391" t="s">
        <v>26</v>
      </c>
      <c r="D11480" s="479">
        <v>172.08</v>
      </c>
      <c r="E11480" s="368"/>
      <c r="F11480" s="368"/>
    </row>
    <row r="11481" spans="1:6" ht="25.5" x14ac:dyDescent="0.2">
      <c r="A11481" s="391">
        <v>39523</v>
      </c>
      <c r="B11481" s="478" t="s">
        <v>48264</v>
      </c>
      <c r="C11481" s="391" t="s">
        <v>26</v>
      </c>
      <c r="D11481" s="479">
        <v>287.97000000000003</v>
      </c>
      <c r="E11481" s="368"/>
      <c r="F11481" s="368"/>
    </row>
    <row r="11482" spans="1:6" ht="25.5" x14ac:dyDescent="0.2">
      <c r="A11482" s="391">
        <v>39449</v>
      </c>
      <c r="B11482" s="478" t="s">
        <v>43996</v>
      </c>
      <c r="C11482" s="391" t="s">
        <v>26</v>
      </c>
      <c r="D11482" s="479">
        <v>318.91000000000003</v>
      </c>
      <c r="E11482" s="368"/>
      <c r="F11482" s="368"/>
    </row>
    <row r="11483" spans="1:6" ht="25.5" x14ac:dyDescent="0.2">
      <c r="A11483" s="391">
        <v>39455</v>
      </c>
      <c r="B11483" s="478" t="s">
        <v>43997</v>
      </c>
      <c r="C11483" s="391" t="s">
        <v>26</v>
      </c>
      <c r="D11483" s="479">
        <v>157.80000000000001</v>
      </c>
      <c r="E11483" s="368"/>
      <c r="F11483" s="368"/>
    </row>
    <row r="11484" spans="1:6" ht="25.5" x14ac:dyDescent="0.2">
      <c r="A11484" s="391">
        <v>39456</v>
      </c>
      <c r="B11484" s="480" t="s">
        <v>43998</v>
      </c>
      <c r="C11484" s="391" t="s">
        <v>26</v>
      </c>
      <c r="D11484" s="479">
        <v>157.91999999999999</v>
      </c>
      <c r="E11484" s="368"/>
      <c r="F11484" s="368"/>
    </row>
    <row r="11485" spans="1:6" ht="25.5" x14ac:dyDescent="0.2">
      <c r="A11485" s="391">
        <v>39457</v>
      </c>
      <c r="B11485" s="478" t="s">
        <v>43999</v>
      </c>
      <c r="C11485" s="391" t="s">
        <v>26</v>
      </c>
      <c r="D11485" s="479">
        <v>172.16</v>
      </c>
      <c r="E11485" s="368"/>
      <c r="F11485" s="368"/>
    </row>
    <row r="11486" spans="1:6" ht="25.5" x14ac:dyDescent="0.2">
      <c r="A11486" s="391">
        <v>39458</v>
      </c>
      <c r="B11486" s="478" t="s">
        <v>44000</v>
      </c>
      <c r="C11486" s="391" t="s">
        <v>26</v>
      </c>
      <c r="D11486" s="479">
        <v>321.26</v>
      </c>
      <c r="E11486" s="368"/>
      <c r="F11486" s="368"/>
    </row>
    <row r="11487" spans="1:6" ht="25.5" x14ac:dyDescent="0.2">
      <c r="A11487" s="391">
        <v>39464</v>
      </c>
      <c r="B11487" s="478" t="s">
        <v>44001</v>
      </c>
      <c r="C11487" s="391" t="s">
        <v>26</v>
      </c>
      <c r="D11487" s="479">
        <v>516.61</v>
      </c>
      <c r="E11487" s="368"/>
      <c r="F11487" s="368"/>
    </row>
    <row r="11488" spans="1:6" ht="25.5" x14ac:dyDescent="0.2">
      <c r="A11488" s="391">
        <v>39460</v>
      </c>
      <c r="B11488" s="478" t="s">
        <v>44002</v>
      </c>
      <c r="C11488" s="391" t="s">
        <v>26</v>
      </c>
      <c r="D11488" s="479">
        <v>195.94</v>
      </c>
      <c r="E11488" s="368"/>
      <c r="F11488" s="368"/>
    </row>
    <row r="11489" spans="1:6" ht="25.5" x14ac:dyDescent="0.2">
      <c r="A11489" s="391">
        <v>39461</v>
      </c>
      <c r="B11489" s="478" t="s">
        <v>44003</v>
      </c>
      <c r="C11489" s="391" t="s">
        <v>26</v>
      </c>
      <c r="D11489" s="479">
        <v>229.59</v>
      </c>
      <c r="E11489" s="368"/>
      <c r="F11489" s="368"/>
    </row>
    <row r="11490" spans="1:6" ht="25.5" x14ac:dyDescent="0.2">
      <c r="A11490" s="391">
        <v>39462</v>
      </c>
      <c r="B11490" s="478" t="s">
        <v>44004</v>
      </c>
      <c r="C11490" s="391" t="s">
        <v>26</v>
      </c>
      <c r="D11490" s="479">
        <v>221.27</v>
      </c>
      <c r="E11490" s="368"/>
      <c r="F11490" s="368"/>
    </row>
    <row r="11491" spans="1:6" ht="25.5" x14ac:dyDescent="0.2">
      <c r="A11491" s="391">
        <v>39463</v>
      </c>
      <c r="B11491" s="478" t="s">
        <v>44005</v>
      </c>
      <c r="C11491" s="391" t="s">
        <v>26</v>
      </c>
      <c r="D11491" s="479">
        <v>512.6</v>
      </c>
      <c r="E11491" s="368"/>
      <c r="F11491" s="368"/>
    </row>
    <row r="11492" spans="1:6" ht="25.5" x14ac:dyDescent="0.2">
      <c r="A11492" s="391">
        <v>26039</v>
      </c>
      <c r="B11492" s="478" t="s">
        <v>44006</v>
      </c>
      <c r="C11492" s="391" t="s">
        <v>26</v>
      </c>
      <c r="D11492" s="479"/>
      <c r="E11492" s="368"/>
      <c r="F11492" s="368"/>
    </row>
    <row r="11493" spans="1:6" ht="25.5" x14ac:dyDescent="0.2">
      <c r="A11493" s="391">
        <v>2401</v>
      </c>
      <c r="B11493" s="478" t="s">
        <v>44007</v>
      </c>
      <c r="C11493" s="391" t="s">
        <v>26</v>
      </c>
      <c r="D11493" s="479"/>
      <c r="E11493" s="368"/>
      <c r="F11493" s="368"/>
    </row>
    <row r="11494" spans="1:6" ht="25.5" x14ac:dyDescent="0.2">
      <c r="A11494" s="391">
        <v>38870</v>
      </c>
      <c r="B11494" s="478" t="s">
        <v>44008</v>
      </c>
      <c r="C11494" s="391" t="s">
        <v>26</v>
      </c>
      <c r="D11494" s="479"/>
      <c r="E11494" s="368"/>
      <c r="F11494" s="368"/>
    </row>
    <row r="11495" spans="1:6" ht="38.25" x14ac:dyDescent="0.2">
      <c r="A11495" s="391">
        <v>38869</v>
      </c>
      <c r="B11495" s="478" t="s">
        <v>44009</v>
      </c>
      <c r="C11495" s="391" t="s">
        <v>26</v>
      </c>
      <c r="D11495" s="479"/>
      <c r="E11495" s="368"/>
      <c r="F11495" s="368"/>
    </row>
    <row r="11496" spans="1:6" ht="25.5" x14ac:dyDescent="0.2">
      <c r="A11496" s="391">
        <v>38872</v>
      </c>
      <c r="B11496" s="478" t="s">
        <v>44010</v>
      </c>
      <c r="C11496" s="391" t="s">
        <v>26</v>
      </c>
      <c r="D11496" s="479"/>
      <c r="E11496" s="368"/>
      <c r="F11496" s="368"/>
    </row>
    <row r="11497" spans="1:6" ht="38.25" x14ac:dyDescent="0.2">
      <c r="A11497" s="391">
        <v>38871</v>
      </c>
      <c r="B11497" s="478" t="s">
        <v>44011</v>
      </c>
      <c r="C11497" s="391" t="s">
        <v>26</v>
      </c>
      <c r="D11497" s="479"/>
      <c r="E11497" s="368"/>
      <c r="F11497" s="368"/>
    </row>
    <row r="11498" spans="1:6" ht="25.5" x14ac:dyDescent="0.2">
      <c r="A11498" s="391">
        <v>39283</v>
      </c>
      <c r="B11498" s="478" t="s">
        <v>44012</v>
      </c>
      <c r="C11498" s="391" t="s">
        <v>26</v>
      </c>
      <c r="D11498" s="479"/>
      <c r="E11498" s="368"/>
      <c r="F11498" s="368"/>
    </row>
    <row r="11499" spans="1:6" ht="25.5" x14ac:dyDescent="0.2">
      <c r="A11499" s="391">
        <v>39285</v>
      </c>
      <c r="B11499" s="478" t="s">
        <v>44013</v>
      </c>
      <c r="C11499" s="391" t="s">
        <v>26</v>
      </c>
      <c r="D11499" s="479"/>
      <c r="E11499" s="368"/>
      <c r="F11499" s="368"/>
    </row>
    <row r="11500" spans="1:6" ht="25.5" x14ac:dyDescent="0.2">
      <c r="A11500" s="391">
        <v>39286</v>
      </c>
      <c r="B11500" s="478" t="s">
        <v>44014</v>
      </c>
      <c r="C11500" s="391" t="s">
        <v>26</v>
      </c>
      <c r="D11500" s="479"/>
      <c r="E11500" s="368"/>
      <c r="F11500" s="368"/>
    </row>
    <row r="11501" spans="1:6" ht="25.5" x14ac:dyDescent="0.2">
      <c r="A11501" s="391">
        <v>39288</v>
      </c>
      <c r="B11501" s="478" t="s">
        <v>44015</v>
      </c>
      <c r="C11501" s="391" t="s">
        <v>26</v>
      </c>
      <c r="D11501" s="479"/>
      <c r="E11501" s="368"/>
      <c r="F11501" s="368"/>
    </row>
    <row r="11502" spans="1:6" ht="38.25" x14ac:dyDescent="0.2">
      <c r="A11502" s="391">
        <v>44476</v>
      </c>
      <c r="B11502" s="478" t="s">
        <v>44016</v>
      </c>
      <c r="C11502" s="391" t="s">
        <v>255</v>
      </c>
      <c r="D11502" s="479">
        <v>572.98</v>
      </c>
      <c r="E11502" s="368"/>
      <c r="F11502" s="368"/>
    </row>
    <row r="11503" spans="1:6" ht="25.5" x14ac:dyDescent="0.2">
      <c r="A11503" s="391">
        <v>10629</v>
      </c>
      <c r="B11503" s="478" t="s">
        <v>44017</v>
      </c>
      <c r="C11503" s="391" t="s">
        <v>255</v>
      </c>
      <c r="D11503" s="479">
        <v>637.05999999999995</v>
      </c>
      <c r="E11503" s="368"/>
      <c r="F11503" s="368"/>
    </row>
    <row r="11504" spans="1:6" ht="25.5" x14ac:dyDescent="0.2">
      <c r="A11504" s="391">
        <v>10698</v>
      </c>
      <c r="B11504" s="478" t="s">
        <v>44018</v>
      </c>
      <c r="C11504" s="391" t="s">
        <v>255</v>
      </c>
      <c r="D11504" s="479"/>
      <c r="E11504" s="368"/>
      <c r="F11504" s="368"/>
    </row>
    <row r="11505" spans="1:6" ht="25.5" x14ac:dyDescent="0.2">
      <c r="A11505" s="391">
        <v>40521</v>
      </c>
      <c r="B11505" s="478" t="s">
        <v>44019</v>
      </c>
      <c r="C11505" s="391" t="s">
        <v>26</v>
      </c>
      <c r="D11505" s="479">
        <v>144845.85</v>
      </c>
      <c r="E11505" s="368"/>
      <c r="F11505" s="368"/>
    </row>
    <row r="11506" spans="1:6" ht="25.5" x14ac:dyDescent="0.2">
      <c r="A11506" s="391">
        <v>2432</v>
      </c>
      <c r="B11506" s="478" t="s">
        <v>44020</v>
      </c>
      <c r="C11506" s="391" t="s">
        <v>26</v>
      </c>
      <c r="D11506" s="479">
        <v>30.18</v>
      </c>
      <c r="E11506" s="368"/>
      <c r="F11506" s="368"/>
    </row>
    <row r="11507" spans="1:6" ht="25.5" x14ac:dyDescent="0.2">
      <c r="A11507" s="391">
        <v>2418</v>
      </c>
      <c r="B11507" s="480" t="s">
        <v>44021</v>
      </c>
      <c r="C11507" s="391" t="s">
        <v>26</v>
      </c>
      <c r="D11507" s="479">
        <v>14</v>
      </c>
      <c r="E11507" s="368"/>
      <c r="F11507" s="368"/>
    </row>
    <row r="11508" spans="1:6" ht="25.5" x14ac:dyDescent="0.2">
      <c r="A11508" s="391">
        <v>2433</v>
      </c>
      <c r="B11508" s="478" t="s">
        <v>44022</v>
      </c>
      <c r="C11508" s="391" t="s">
        <v>26</v>
      </c>
      <c r="D11508" s="479">
        <v>10.220000000000001</v>
      </c>
      <c r="E11508" s="368"/>
      <c r="F11508" s="368"/>
    </row>
    <row r="11509" spans="1:6" ht="25.5" x14ac:dyDescent="0.2">
      <c r="A11509" s="391">
        <v>2420</v>
      </c>
      <c r="B11509" s="478" t="s">
        <v>44023</v>
      </c>
      <c r="C11509" s="391" t="s">
        <v>26</v>
      </c>
      <c r="D11509" s="479">
        <v>17.559999999999999</v>
      </c>
      <c r="E11509" s="368"/>
      <c r="F11509" s="368"/>
    </row>
    <row r="11510" spans="1:6" ht="25.5" x14ac:dyDescent="0.2">
      <c r="A11510" s="391">
        <v>11447</v>
      </c>
      <c r="B11510" s="478" t="s">
        <v>48265</v>
      </c>
      <c r="C11510" s="391" t="s">
        <v>26</v>
      </c>
      <c r="D11510" s="479">
        <v>34.700000000000003</v>
      </c>
      <c r="E11510" s="368"/>
      <c r="F11510" s="368"/>
    </row>
    <row r="11511" spans="1:6" ht="25.5" x14ac:dyDescent="0.2">
      <c r="A11511" s="391">
        <v>11451</v>
      </c>
      <c r="B11511" s="478" t="s">
        <v>44024</v>
      </c>
      <c r="C11511" s="391" t="s">
        <v>26</v>
      </c>
      <c r="D11511" s="479">
        <v>93.03</v>
      </c>
      <c r="E11511" s="368"/>
      <c r="F11511" s="368"/>
    </row>
    <row r="11512" spans="1:6" ht="25.5" x14ac:dyDescent="0.2">
      <c r="A11512" s="391">
        <v>11116</v>
      </c>
      <c r="B11512" s="478" t="s">
        <v>44025</v>
      </c>
      <c r="C11512" s="391" t="s">
        <v>26</v>
      </c>
      <c r="D11512" s="479"/>
      <c r="E11512" s="368"/>
      <c r="F11512" s="368"/>
    </row>
    <row r="11513" spans="1:6" x14ac:dyDescent="0.2">
      <c r="A11513" s="391">
        <v>38411</v>
      </c>
      <c r="B11513" s="478" t="s">
        <v>44026</v>
      </c>
      <c r="C11513" s="391" t="s">
        <v>26</v>
      </c>
      <c r="D11513" s="479"/>
      <c r="E11513" s="368"/>
      <c r="F11513" s="368"/>
    </row>
    <row r="11514" spans="1:6" ht="25.5" x14ac:dyDescent="0.2">
      <c r="A11514" s="391">
        <v>38189</v>
      </c>
      <c r="B11514" s="478" t="s">
        <v>44027</v>
      </c>
      <c r="C11514" s="391" t="s">
        <v>26</v>
      </c>
      <c r="D11514" s="479">
        <v>163.6</v>
      </c>
      <c r="E11514" s="368"/>
      <c r="F11514" s="368"/>
    </row>
    <row r="11515" spans="1:6" ht="25.5" x14ac:dyDescent="0.2">
      <c r="A11515" s="391">
        <v>38190</v>
      </c>
      <c r="B11515" s="478" t="s">
        <v>44028</v>
      </c>
      <c r="C11515" s="391" t="s">
        <v>26</v>
      </c>
      <c r="D11515" s="479">
        <v>344.67</v>
      </c>
      <c r="E11515" s="368"/>
      <c r="F11515" s="368"/>
    </row>
    <row r="11516" spans="1:6" ht="25.5" x14ac:dyDescent="0.2">
      <c r="A11516" s="391">
        <v>7608</v>
      </c>
      <c r="B11516" s="478" t="s">
        <v>44029</v>
      </c>
      <c r="C11516" s="391" t="s">
        <v>26</v>
      </c>
      <c r="D11516" s="479">
        <v>13.57</v>
      </c>
      <c r="E11516" s="368"/>
      <c r="F11516" s="368"/>
    </row>
    <row r="11517" spans="1:6" x14ac:dyDescent="0.2">
      <c r="A11517" s="391">
        <v>1370</v>
      </c>
      <c r="B11517" s="478" t="s">
        <v>44030</v>
      </c>
      <c r="C11517" s="391" t="s">
        <v>26</v>
      </c>
      <c r="D11517" s="479">
        <v>128</v>
      </c>
      <c r="E11517" s="368"/>
      <c r="F11517" s="368"/>
    </row>
    <row r="11518" spans="1:6" ht="25.5" x14ac:dyDescent="0.2">
      <c r="A11518" s="391">
        <v>36516</v>
      </c>
      <c r="B11518" s="478" t="s">
        <v>44031</v>
      </c>
      <c r="C11518" s="391" t="s">
        <v>26</v>
      </c>
      <c r="D11518" s="479"/>
      <c r="E11518" s="368"/>
      <c r="F11518" s="368"/>
    </row>
    <row r="11519" spans="1:6" ht="25.5" x14ac:dyDescent="0.2">
      <c r="A11519" s="391">
        <v>34777</v>
      </c>
      <c r="B11519" s="478" t="s">
        <v>44032</v>
      </c>
      <c r="C11519" s="391" t="s">
        <v>26</v>
      </c>
      <c r="D11519" s="479">
        <v>3.14</v>
      </c>
      <c r="E11519" s="368"/>
      <c r="F11519" s="368"/>
    </row>
    <row r="11520" spans="1:6" ht="25.5" x14ac:dyDescent="0.2">
      <c r="A11520" s="391">
        <v>7272</v>
      </c>
      <c r="B11520" s="478" t="s">
        <v>44033</v>
      </c>
      <c r="C11520" s="391" t="s">
        <v>26</v>
      </c>
      <c r="D11520" s="479">
        <v>2.36</v>
      </c>
      <c r="E11520" s="368"/>
      <c r="F11520" s="368"/>
    </row>
    <row r="11521" spans="1:6" x14ac:dyDescent="0.2">
      <c r="A11521" s="391">
        <v>10605</v>
      </c>
      <c r="B11521" s="478" t="s">
        <v>44034</v>
      </c>
      <c r="C11521" s="391" t="s">
        <v>26</v>
      </c>
      <c r="D11521" s="479">
        <v>5.78</v>
      </c>
      <c r="E11521" s="368"/>
      <c r="F11521" s="368"/>
    </row>
    <row r="11522" spans="1:6" x14ac:dyDescent="0.2">
      <c r="A11522" s="391">
        <v>10604</v>
      </c>
      <c r="B11522" s="478" t="s">
        <v>44035</v>
      </c>
      <c r="C11522" s="391" t="s">
        <v>26</v>
      </c>
      <c r="D11522" s="479">
        <v>13.46</v>
      </c>
      <c r="E11522" s="368"/>
      <c r="F11522" s="368"/>
    </row>
    <row r="11523" spans="1:6" x14ac:dyDescent="0.2">
      <c r="A11523" s="391">
        <v>672</v>
      </c>
      <c r="B11523" s="478" t="s">
        <v>44036</v>
      </c>
      <c r="C11523" s="391" t="s">
        <v>26</v>
      </c>
      <c r="D11523" s="479">
        <v>18.52</v>
      </c>
      <c r="E11523" s="368"/>
      <c r="F11523" s="368"/>
    </row>
    <row r="11524" spans="1:6" x14ac:dyDescent="0.2">
      <c r="A11524" s="391">
        <v>668</v>
      </c>
      <c r="B11524" s="478" t="s">
        <v>44037</v>
      </c>
      <c r="C11524" s="391" t="s">
        <v>26</v>
      </c>
      <c r="D11524" s="479">
        <v>22.35</v>
      </c>
      <c r="E11524" s="368"/>
      <c r="F11524" s="368"/>
    </row>
    <row r="11525" spans="1:6" ht="25.5" x14ac:dyDescent="0.2">
      <c r="A11525" s="391">
        <v>10578</v>
      </c>
      <c r="B11525" s="478" t="s">
        <v>44038</v>
      </c>
      <c r="C11525" s="391" t="s">
        <v>26</v>
      </c>
      <c r="D11525" s="479">
        <v>26.04</v>
      </c>
      <c r="E11525" s="368"/>
      <c r="F11525" s="368"/>
    </row>
    <row r="11526" spans="1:6" x14ac:dyDescent="0.2">
      <c r="A11526" s="391">
        <v>666</v>
      </c>
      <c r="B11526" s="478" t="s">
        <v>44039</v>
      </c>
      <c r="C11526" s="391" t="s">
        <v>26</v>
      </c>
      <c r="D11526" s="479">
        <v>28.95</v>
      </c>
      <c r="E11526" s="368"/>
      <c r="F11526" s="368"/>
    </row>
    <row r="11527" spans="1:6" x14ac:dyDescent="0.2">
      <c r="A11527" s="391">
        <v>665</v>
      </c>
      <c r="B11527" s="478" t="s">
        <v>44040</v>
      </c>
      <c r="C11527" s="391" t="s">
        <v>26</v>
      </c>
      <c r="D11527" s="479">
        <v>38.72</v>
      </c>
      <c r="E11527" s="368"/>
      <c r="F11527" s="368"/>
    </row>
    <row r="11528" spans="1:6" x14ac:dyDescent="0.2">
      <c r="A11528" s="391">
        <v>10577</v>
      </c>
      <c r="B11528" s="478" t="s">
        <v>44041</v>
      </c>
      <c r="C11528" s="391" t="s">
        <v>26</v>
      </c>
      <c r="D11528" s="479">
        <v>34.340000000000003</v>
      </c>
      <c r="E11528" s="368"/>
      <c r="F11528" s="368"/>
    </row>
    <row r="11529" spans="1:6" x14ac:dyDescent="0.2">
      <c r="A11529" s="391">
        <v>10583</v>
      </c>
      <c r="B11529" s="478" t="s">
        <v>44042</v>
      </c>
      <c r="C11529" s="391" t="s">
        <v>26</v>
      </c>
      <c r="D11529" s="479">
        <v>17.84</v>
      </c>
      <c r="E11529" s="368"/>
      <c r="F11529" s="368"/>
    </row>
    <row r="11530" spans="1:6" x14ac:dyDescent="0.2">
      <c r="A11530" s="391">
        <v>10579</v>
      </c>
      <c r="B11530" s="478" t="s">
        <v>44043</v>
      </c>
      <c r="C11530" s="391" t="s">
        <v>26</v>
      </c>
      <c r="D11530" s="479">
        <v>31.1</v>
      </c>
      <c r="E11530" s="368"/>
      <c r="F11530" s="368"/>
    </row>
    <row r="11531" spans="1:6" x14ac:dyDescent="0.2">
      <c r="A11531" s="391">
        <v>10582</v>
      </c>
      <c r="B11531" s="478" t="s">
        <v>44044</v>
      </c>
      <c r="C11531" s="391" t="s">
        <v>26</v>
      </c>
      <c r="D11531" s="479">
        <v>15.71</v>
      </c>
      <c r="E11531" s="368"/>
      <c r="F11531" s="368"/>
    </row>
    <row r="11532" spans="1:6" x14ac:dyDescent="0.2">
      <c r="A11532" s="391">
        <v>2436</v>
      </c>
      <c r="B11532" s="478" t="s">
        <v>44045</v>
      </c>
      <c r="C11532" s="391" t="s">
        <v>558</v>
      </c>
      <c r="D11532" s="479">
        <v>18.29</v>
      </c>
      <c r="E11532" s="368"/>
      <c r="F11532" s="368"/>
    </row>
    <row r="11533" spans="1:6" x14ac:dyDescent="0.2">
      <c r="A11533" s="391">
        <v>40918</v>
      </c>
      <c r="B11533" s="478" t="s">
        <v>44046</v>
      </c>
      <c r="C11533" s="391" t="s">
        <v>5681</v>
      </c>
      <c r="D11533" s="479">
        <v>3214.9</v>
      </c>
      <c r="E11533" s="368"/>
      <c r="F11533" s="368"/>
    </row>
    <row r="11534" spans="1:6" x14ac:dyDescent="0.2">
      <c r="A11534" s="391">
        <v>10998</v>
      </c>
      <c r="B11534" s="478" t="s">
        <v>44047</v>
      </c>
      <c r="C11534" s="391" t="s">
        <v>1284</v>
      </c>
      <c r="D11534" s="479">
        <v>50.61</v>
      </c>
      <c r="E11534" s="368"/>
      <c r="F11534" s="368"/>
    </row>
    <row r="11535" spans="1:6" x14ac:dyDescent="0.2">
      <c r="A11535" s="391">
        <v>11002</v>
      </c>
      <c r="B11535" s="478" t="s">
        <v>44048</v>
      </c>
      <c r="C11535" s="391" t="s">
        <v>1284</v>
      </c>
      <c r="D11535" s="479">
        <v>46.36</v>
      </c>
      <c r="E11535" s="368"/>
      <c r="F11535" s="368"/>
    </row>
    <row r="11536" spans="1:6" x14ac:dyDescent="0.2">
      <c r="A11536" s="391">
        <v>10999</v>
      </c>
      <c r="B11536" s="478" t="s">
        <v>44049</v>
      </c>
      <c r="C11536" s="391" t="s">
        <v>1284</v>
      </c>
      <c r="D11536" s="479">
        <v>44.54</v>
      </c>
      <c r="E11536" s="368"/>
      <c r="F11536" s="368"/>
    </row>
    <row r="11537" spans="1:6" x14ac:dyDescent="0.2">
      <c r="A11537" s="391">
        <v>10997</v>
      </c>
      <c r="B11537" s="478" t="s">
        <v>44050</v>
      </c>
      <c r="C11537" s="391" t="s">
        <v>1284</v>
      </c>
      <c r="D11537" s="479">
        <v>48.28</v>
      </c>
      <c r="E11537" s="368"/>
      <c r="F11537" s="368"/>
    </row>
    <row r="11538" spans="1:6" x14ac:dyDescent="0.2">
      <c r="A11538" s="391">
        <v>2680</v>
      </c>
      <c r="B11538" s="478" t="s">
        <v>48266</v>
      </c>
      <c r="C11538" s="391" t="s">
        <v>0</v>
      </c>
      <c r="D11538" s="479">
        <v>10.25</v>
      </c>
      <c r="E11538" s="368"/>
      <c r="F11538" s="368"/>
    </row>
    <row r="11539" spans="1:6" x14ac:dyDescent="0.2">
      <c r="A11539" s="391">
        <v>2684</v>
      </c>
      <c r="B11539" s="478" t="s">
        <v>48267</v>
      </c>
      <c r="C11539" s="391" t="s">
        <v>0</v>
      </c>
      <c r="D11539" s="479">
        <v>9.32</v>
      </c>
      <c r="E11539" s="368"/>
      <c r="F11539" s="368"/>
    </row>
    <row r="11540" spans="1:6" x14ac:dyDescent="0.2">
      <c r="A11540" s="391">
        <v>2685</v>
      </c>
      <c r="B11540" s="478" t="s">
        <v>48268</v>
      </c>
      <c r="C11540" s="391" t="s">
        <v>0</v>
      </c>
      <c r="D11540" s="479">
        <v>7</v>
      </c>
      <c r="E11540" s="368"/>
      <c r="F11540" s="368"/>
    </row>
    <row r="11541" spans="1:6" x14ac:dyDescent="0.2">
      <c r="A11541" s="391">
        <v>2673</v>
      </c>
      <c r="B11541" s="478" t="s">
        <v>48269</v>
      </c>
      <c r="C11541" s="391" t="s">
        <v>0</v>
      </c>
      <c r="D11541" s="479">
        <v>3.6</v>
      </c>
      <c r="E11541" s="368"/>
      <c r="F11541" s="368"/>
    </row>
    <row r="11542" spans="1:6" x14ac:dyDescent="0.2">
      <c r="A11542" s="391">
        <v>2682</v>
      </c>
      <c r="B11542" s="478" t="s">
        <v>48270</v>
      </c>
      <c r="C11542" s="391" t="s">
        <v>0</v>
      </c>
      <c r="D11542" s="479">
        <v>24.44</v>
      </c>
      <c r="E11542" s="368"/>
      <c r="F11542" s="368"/>
    </row>
    <row r="11543" spans="1:6" x14ac:dyDescent="0.2">
      <c r="A11543" s="391">
        <v>2681</v>
      </c>
      <c r="B11543" s="478" t="s">
        <v>48271</v>
      </c>
      <c r="C11543" s="391" t="s">
        <v>0</v>
      </c>
      <c r="D11543" s="479">
        <v>16.75</v>
      </c>
      <c r="E11543" s="368"/>
      <c r="F11543" s="368"/>
    </row>
    <row r="11544" spans="1:6" x14ac:dyDescent="0.2">
      <c r="A11544" s="391">
        <v>2686</v>
      </c>
      <c r="B11544" s="478" t="s">
        <v>48272</v>
      </c>
      <c r="C11544" s="391" t="s">
        <v>0</v>
      </c>
      <c r="D11544" s="479">
        <v>30.65</v>
      </c>
      <c r="E11544" s="368"/>
      <c r="F11544" s="368"/>
    </row>
    <row r="11545" spans="1:6" x14ac:dyDescent="0.2">
      <c r="A11545" s="391">
        <v>2674</v>
      </c>
      <c r="B11545" s="478" t="s">
        <v>48273</v>
      </c>
      <c r="C11545" s="391" t="s">
        <v>0</v>
      </c>
      <c r="D11545" s="479">
        <v>4.4800000000000004</v>
      </c>
      <c r="E11545" s="368"/>
      <c r="F11545" s="368"/>
    </row>
    <row r="11546" spans="1:6" x14ac:dyDescent="0.2">
      <c r="A11546" s="391">
        <v>2683</v>
      </c>
      <c r="B11546" s="478" t="s">
        <v>48274</v>
      </c>
      <c r="C11546" s="391" t="s">
        <v>0</v>
      </c>
      <c r="D11546" s="479">
        <v>48.29</v>
      </c>
      <c r="E11546" s="368"/>
      <c r="F11546" s="368"/>
    </row>
    <row r="11547" spans="1:6" x14ac:dyDescent="0.2">
      <c r="A11547" s="391">
        <v>2676</v>
      </c>
      <c r="B11547" s="478" t="s">
        <v>44051</v>
      </c>
      <c r="C11547" s="391" t="s">
        <v>0</v>
      </c>
      <c r="D11547" s="479">
        <v>2.09</v>
      </c>
      <c r="E11547" s="368"/>
      <c r="F11547" s="368"/>
    </row>
    <row r="11548" spans="1:6" x14ac:dyDescent="0.2">
      <c r="A11548" s="391">
        <v>2678</v>
      </c>
      <c r="B11548" s="478" t="s">
        <v>44052</v>
      </c>
      <c r="C11548" s="391" t="s">
        <v>0</v>
      </c>
      <c r="D11548" s="479">
        <v>2.62</v>
      </c>
      <c r="E11548" s="368"/>
      <c r="F11548" s="368"/>
    </row>
    <row r="11549" spans="1:6" x14ac:dyDescent="0.2">
      <c r="A11549" s="391">
        <v>2679</v>
      </c>
      <c r="B11549" s="478" t="s">
        <v>44053</v>
      </c>
      <c r="C11549" s="391" t="s">
        <v>0</v>
      </c>
      <c r="D11549" s="479">
        <v>4.04</v>
      </c>
      <c r="E11549" s="368"/>
      <c r="F11549" s="368"/>
    </row>
    <row r="11550" spans="1:6" x14ac:dyDescent="0.2">
      <c r="A11550" s="391">
        <v>12070</v>
      </c>
      <c r="B11550" s="478" t="s">
        <v>44054</v>
      </c>
      <c r="C11550" s="391" t="s">
        <v>0</v>
      </c>
      <c r="D11550" s="479">
        <v>5.62</v>
      </c>
      <c r="E11550" s="368"/>
      <c r="F11550" s="368"/>
    </row>
    <row r="11551" spans="1:6" x14ac:dyDescent="0.2">
      <c r="A11551" s="391">
        <v>2675</v>
      </c>
      <c r="B11551" s="478" t="s">
        <v>44055</v>
      </c>
      <c r="C11551" s="391" t="s">
        <v>0</v>
      </c>
      <c r="D11551" s="479">
        <v>7.31</v>
      </c>
      <c r="E11551" s="368"/>
      <c r="F11551" s="368"/>
    </row>
    <row r="11552" spans="1:6" x14ac:dyDescent="0.2">
      <c r="A11552" s="391">
        <v>12067</v>
      </c>
      <c r="B11552" s="478" t="s">
        <v>44056</v>
      </c>
      <c r="C11552" s="391" t="s">
        <v>0</v>
      </c>
      <c r="D11552" s="479">
        <v>9.92</v>
      </c>
      <c r="E11552" s="368"/>
      <c r="F11552" s="368"/>
    </row>
    <row r="11553" spans="1:6" ht="25.5" x14ac:dyDescent="0.2">
      <c r="A11553" s="391">
        <v>21128</v>
      </c>
      <c r="B11553" s="478" t="s">
        <v>44057</v>
      </c>
      <c r="C11553" s="391" t="s">
        <v>0</v>
      </c>
      <c r="D11553" s="479"/>
      <c r="E11553" s="368"/>
      <c r="F11553" s="368"/>
    </row>
    <row r="11554" spans="1:6" ht="25.5" x14ac:dyDescent="0.2">
      <c r="A11554" s="391">
        <v>40400</v>
      </c>
      <c r="B11554" s="478" t="s">
        <v>44058</v>
      </c>
      <c r="C11554" s="391" t="s">
        <v>0</v>
      </c>
      <c r="D11554" s="479"/>
      <c r="E11554" s="368"/>
      <c r="F11554" s="368"/>
    </row>
    <row r="11555" spans="1:6" ht="25.5" x14ac:dyDescent="0.2">
      <c r="A11555" s="391">
        <v>40401</v>
      </c>
      <c r="B11555" s="478" t="s">
        <v>44059</v>
      </c>
      <c r="C11555" s="391" t="s">
        <v>0</v>
      </c>
      <c r="D11555" s="479"/>
      <c r="E11555" s="368"/>
      <c r="F11555" s="368"/>
    </row>
    <row r="11556" spans="1:6" ht="25.5" x14ac:dyDescent="0.2">
      <c r="A11556" s="391">
        <v>40402</v>
      </c>
      <c r="B11556" s="478" t="s">
        <v>44060</v>
      </c>
      <c r="C11556" s="391" t="s">
        <v>0</v>
      </c>
      <c r="D11556" s="479"/>
      <c r="E11556" s="368"/>
      <c r="F11556" s="368"/>
    </row>
    <row r="11557" spans="1:6" ht="25.5" x14ac:dyDescent="0.2">
      <c r="A11557" s="391">
        <v>21137</v>
      </c>
      <c r="B11557" s="478" t="s">
        <v>44061</v>
      </c>
      <c r="C11557" s="391" t="s">
        <v>0</v>
      </c>
      <c r="D11557" s="479"/>
      <c r="E11557" s="368"/>
      <c r="F11557" s="368"/>
    </row>
    <row r="11558" spans="1:6" ht="25.5" x14ac:dyDescent="0.2">
      <c r="A11558" s="391">
        <v>2504</v>
      </c>
      <c r="B11558" s="478" t="s">
        <v>44062</v>
      </c>
      <c r="C11558" s="391" t="s">
        <v>0</v>
      </c>
      <c r="D11558" s="479"/>
      <c r="E11558" s="368"/>
      <c r="F11558" s="368"/>
    </row>
    <row r="11559" spans="1:6" ht="25.5" x14ac:dyDescent="0.2">
      <c r="A11559" s="391">
        <v>2501</v>
      </c>
      <c r="B11559" s="478" t="s">
        <v>44063</v>
      </c>
      <c r="C11559" s="391" t="s">
        <v>0</v>
      </c>
      <c r="D11559" s="479"/>
      <c r="E11559" s="368"/>
      <c r="F11559" s="368"/>
    </row>
    <row r="11560" spans="1:6" ht="25.5" x14ac:dyDescent="0.2">
      <c r="A11560" s="391">
        <v>2502</v>
      </c>
      <c r="B11560" s="478" t="s">
        <v>44064</v>
      </c>
      <c r="C11560" s="391" t="s">
        <v>0</v>
      </c>
      <c r="D11560" s="479"/>
      <c r="E11560" s="368"/>
      <c r="F11560" s="368"/>
    </row>
    <row r="11561" spans="1:6" ht="25.5" x14ac:dyDescent="0.2">
      <c r="A11561" s="391">
        <v>2503</v>
      </c>
      <c r="B11561" s="478" t="s">
        <v>44065</v>
      </c>
      <c r="C11561" s="391" t="s">
        <v>0</v>
      </c>
      <c r="D11561" s="479"/>
      <c r="E11561" s="368"/>
      <c r="F11561" s="368"/>
    </row>
    <row r="11562" spans="1:6" ht="25.5" x14ac:dyDescent="0.2">
      <c r="A11562" s="391">
        <v>2500</v>
      </c>
      <c r="B11562" s="478" t="s">
        <v>44066</v>
      </c>
      <c r="C11562" s="391" t="s">
        <v>0</v>
      </c>
      <c r="D11562" s="479"/>
      <c r="E11562" s="368"/>
      <c r="F11562" s="368"/>
    </row>
    <row r="11563" spans="1:6" ht="25.5" x14ac:dyDescent="0.2">
      <c r="A11563" s="391">
        <v>2505</v>
      </c>
      <c r="B11563" s="478" t="s">
        <v>44067</v>
      </c>
      <c r="C11563" s="391" t="s">
        <v>0</v>
      </c>
      <c r="D11563" s="479"/>
      <c r="E11563" s="368"/>
      <c r="F11563" s="368"/>
    </row>
    <row r="11564" spans="1:6" ht="25.5" x14ac:dyDescent="0.2">
      <c r="A11564" s="391">
        <v>12056</v>
      </c>
      <c r="B11564" s="478" t="s">
        <v>44068</v>
      </c>
      <c r="C11564" s="391" t="s">
        <v>0</v>
      </c>
      <c r="D11564" s="479"/>
      <c r="E11564" s="368"/>
      <c r="F11564" s="368"/>
    </row>
    <row r="11565" spans="1:6" ht="25.5" x14ac:dyDescent="0.2">
      <c r="A11565" s="391">
        <v>12057</v>
      </c>
      <c r="B11565" s="478" t="s">
        <v>44069</v>
      </c>
      <c r="C11565" s="391" t="s">
        <v>0</v>
      </c>
      <c r="D11565" s="479"/>
      <c r="E11565" s="368"/>
      <c r="F11565" s="368"/>
    </row>
    <row r="11566" spans="1:6" ht="25.5" x14ac:dyDescent="0.2">
      <c r="A11566" s="391">
        <v>12058</v>
      </c>
      <c r="B11566" s="478" t="s">
        <v>44070</v>
      </c>
      <c r="C11566" s="391" t="s">
        <v>0</v>
      </c>
      <c r="D11566" s="479"/>
      <c r="E11566" s="368"/>
      <c r="F11566" s="368"/>
    </row>
    <row r="11567" spans="1:6" ht="25.5" x14ac:dyDescent="0.2">
      <c r="A11567" s="391">
        <v>12059</v>
      </c>
      <c r="B11567" s="478" t="s">
        <v>44071</v>
      </c>
      <c r="C11567" s="391" t="s">
        <v>0</v>
      </c>
      <c r="D11567" s="479"/>
      <c r="E11567" s="368"/>
      <c r="F11567" s="368"/>
    </row>
    <row r="11568" spans="1:6" ht="25.5" x14ac:dyDescent="0.2">
      <c r="A11568" s="391">
        <v>12060</v>
      </c>
      <c r="B11568" s="478" t="s">
        <v>44072</v>
      </c>
      <c r="C11568" s="391" t="s">
        <v>0</v>
      </c>
      <c r="D11568" s="479"/>
      <c r="E11568" s="368"/>
      <c r="F11568" s="368"/>
    </row>
    <row r="11569" spans="1:6" ht="25.5" x14ac:dyDescent="0.2">
      <c r="A11569" s="391">
        <v>12061</v>
      </c>
      <c r="B11569" s="478" t="s">
        <v>44073</v>
      </c>
      <c r="C11569" s="391" t="s">
        <v>0</v>
      </c>
      <c r="D11569" s="479"/>
      <c r="E11569" s="368"/>
      <c r="F11569" s="368"/>
    </row>
    <row r="11570" spans="1:6" ht="25.5" x14ac:dyDescent="0.2">
      <c r="A11570" s="391">
        <v>12062</v>
      </c>
      <c r="B11570" s="478" t="s">
        <v>44074</v>
      </c>
      <c r="C11570" s="391" t="s">
        <v>0</v>
      </c>
      <c r="D11570" s="479"/>
      <c r="E11570" s="368"/>
      <c r="F11570" s="368"/>
    </row>
    <row r="11571" spans="1:6" x14ac:dyDescent="0.2">
      <c r="A11571" s="391">
        <v>2687</v>
      </c>
      <c r="B11571" s="478" t="s">
        <v>44075</v>
      </c>
      <c r="C11571" s="391" t="s">
        <v>0</v>
      </c>
      <c r="D11571" s="479">
        <v>1.83</v>
      </c>
      <c r="E11571" s="368"/>
      <c r="F11571" s="368"/>
    </row>
    <row r="11572" spans="1:6" x14ac:dyDescent="0.2">
      <c r="A11572" s="391">
        <v>2689</v>
      </c>
      <c r="B11572" s="478" t="s">
        <v>44076</v>
      </c>
      <c r="C11572" s="391" t="s">
        <v>0</v>
      </c>
      <c r="D11572" s="479">
        <v>2.17</v>
      </c>
      <c r="E11572" s="368"/>
      <c r="F11572" s="368"/>
    </row>
    <row r="11573" spans="1:6" x14ac:dyDescent="0.2">
      <c r="A11573" s="391">
        <v>2688</v>
      </c>
      <c r="B11573" s="478" t="s">
        <v>44077</v>
      </c>
      <c r="C11573" s="391" t="s">
        <v>0</v>
      </c>
      <c r="D11573" s="479">
        <v>2.35</v>
      </c>
      <c r="E11573" s="368"/>
      <c r="F11573" s="368"/>
    </row>
    <row r="11574" spans="1:6" x14ac:dyDescent="0.2">
      <c r="A11574" s="391">
        <v>2690</v>
      </c>
      <c r="B11574" s="478" t="s">
        <v>44078</v>
      </c>
      <c r="C11574" s="391" t="s">
        <v>0</v>
      </c>
      <c r="D11574" s="479">
        <v>4.03</v>
      </c>
      <c r="E11574" s="368"/>
      <c r="F11574" s="368"/>
    </row>
    <row r="11575" spans="1:6" ht="25.5" x14ac:dyDescent="0.2">
      <c r="A11575" s="391">
        <v>39243</v>
      </c>
      <c r="B11575" s="478" t="s">
        <v>44079</v>
      </c>
      <c r="C11575" s="391" t="s">
        <v>0</v>
      </c>
      <c r="D11575" s="479">
        <v>2.66</v>
      </c>
      <c r="E11575" s="368"/>
      <c r="F11575" s="368"/>
    </row>
    <row r="11576" spans="1:6" ht="25.5" x14ac:dyDescent="0.2">
      <c r="A11576" s="391">
        <v>39244</v>
      </c>
      <c r="B11576" s="478" t="s">
        <v>44080</v>
      </c>
      <c r="C11576" s="391" t="s">
        <v>0</v>
      </c>
      <c r="D11576" s="479">
        <v>3.59</v>
      </c>
      <c r="E11576" s="368"/>
      <c r="F11576" s="368"/>
    </row>
    <row r="11577" spans="1:6" ht="25.5" x14ac:dyDescent="0.2">
      <c r="A11577" s="391">
        <v>39245</v>
      </c>
      <c r="B11577" s="478" t="s">
        <v>44081</v>
      </c>
      <c r="C11577" s="391" t="s">
        <v>0</v>
      </c>
      <c r="D11577" s="479">
        <v>6.91</v>
      </c>
      <c r="E11577" s="368"/>
      <c r="F11577" s="368"/>
    </row>
    <row r="11578" spans="1:6" ht="25.5" x14ac:dyDescent="0.2">
      <c r="A11578" s="391">
        <v>39255</v>
      </c>
      <c r="B11578" s="478" t="s">
        <v>44082</v>
      </c>
      <c r="C11578" s="391" t="s">
        <v>0</v>
      </c>
      <c r="D11578" s="479">
        <v>19.13</v>
      </c>
      <c r="E11578" s="368"/>
      <c r="F11578" s="368"/>
    </row>
    <row r="11579" spans="1:6" ht="25.5" x14ac:dyDescent="0.2">
      <c r="A11579" s="391">
        <v>39254</v>
      </c>
      <c r="B11579" s="478" t="s">
        <v>44083</v>
      </c>
      <c r="C11579" s="391" t="s">
        <v>0</v>
      </c>
      <c r="D11579" s="479">
        <v>10.34</v>
      </c>
      <c r="E11579" s="368"/>
      <c r="F11579" s="368"/>
    </row>
    <row r="11580" spans="1:6" ht="25.5" x14ac:dyDescent="0.2">
      <c r="A11580" s="391">
        <v>39253</v>
      </c>
      <c r="B11580" s="478" t="s">
        <v>44084</v>
      </c>
      <c r="C11580" s="391" t="s">
        <v>0</v>
      </c>
      <c r="D11580" s="479">
        <v>13.17</v>
      </c>
      <c r="E11580" s="368"/>
      <c r="F11580" s="368"/>
    </row>
    <row r="11581" spans="1:6" ht="38.25" x14ac:dyDescent="0.2">
      <c r="A11581" s="391">
        <v>39246</v>
      </c>
      <c r="B11581" s="478" t="s">
        <v>44085</v>
      </c>
      <c r="C11581" s="391" t="s">
        <v>0</v>
      </c>
      <c r="D11581" s="479"/>
      <c r="E11581" s="368"/>
      <c r="F11581" s="368"/>
    </row>
    <row r="11582" spans="1:6" ht="38.25" x14ac:dyDescent="0.2">
      <c r="A11582" s="391">
        <v>39247</v>
      </c>
      <c r="B11582" s="478" t="s">
        <v>44086</v>
      </c>
      <c r="C11582" s="391" t="s">
        <v>0</v>
      </c>
      <c r="D11582" s="479"/>
      <c r="E11582" s="368"/>
      <c r="F11582" s="368"/>
    </row>
    <row r="11583" spans="1:6" ht="38.25" x14ac:dyDescent="0.2">
      <c r="A11583" s="391">
        <v>2446</v>
      </c>
      <c r="B11583" s="478" t="s">
        <v>44087</v>
      </c>
      <c r="C11583" s="391" t="s">
        <v>0</v>
      </c>
      <c r="D11583" s="479"/>
      <c r="E11583" s="368"/>
      <c r="F11583" s="368"/>
    </row>
    <row r="11584" spans="1:6" ht="38.25" x14ac:dyDescent="0.2">
      <c r="A11584" s="391">
        <v>2442</v>
      </c>
      <c r="B11584" s="478" t="s">
        <v>44088</v>
      </c>
      <c r="C11584" s="391" t="s">
        <v>0</v>
      </c>
      <c r="D11584" s="479"/>
      <c r="E11584" s="368"/>
      <c r="F11584" s="368"/>
    </row>
    <row r="11585" spans="1:6" ht="38.25" x14ac:dyDescent="0.2">
      <c r="A11585" s="391">
        <v>39248</v>
      </c>
      <c r="B11585" s="478" t="s">
        <v>44089</v>
      </c>
      <c r="C11585" s="391" t="s">
        <v>0</v>
      </c>
      <c r="D11585" s="479"/>
      <c r="E11585" s="368"/>
      <c r="F11585" s="368"/>
    </row>
    <row r="11586" spans="1:6" x14ac:dyDescent="0.2">
      <c r="A11586" s="391">
        <v>2438</v>
      </c>
      <c r="B11586" s="478" t="s">
        <v>44090</v>
      </c>
      <c r="C11586" s="391" t="s">
        <v>558</v>
      </c>
      <c r="D11586" s="479">
        <v>27.61</v>
      </c>
      <c r="E11586" s="368"/>
      <c r="F11586" s="368"/>
    </row>
    <row r="11587" spans="1:6" x14ac:dyDescent="0.2">
      <c r="A11587" s="391">
        <v>40922</v>
      </c>
      <c r="B11587" s="478" t="s">
        <v>44091</v>
      </c>
      <c r="C11587" s="391" t="s">
        <v>5681</v>
      </c>
      <c r="D11587" s="479">
        <v>4854.3900000000003</v>
      </c>
      <c r="E11587" s="368"/>
      <c r="F11587" s="368"/>
    </row>
    <row r="11588" spans="1:6" ht="38.25" x14ac:dyDescent="0.2">
      <c r="A11588" s="391">
        <v>36486</v>
      </c>
      <c r="B11588" s="478" t="s">
        <v>44092</v>
      </c>
      <c r="C11588" s="391" t="s">
        <v>26</v>
      </c>
      <c r="D11588" s="479"/>
      <c r="E11588" s="368"/>
      <c r="F11588" s="368"/>
    </row>
    <row r="11589" spans="1:6" ht="38.25" x14ac:dyDescent="0.2">
      <c r="A11589" s="391">
        <v>37777</v>
      </c>
      <c r="B11589" s="478" t="s">
        <v>44093</v>
      </c>
      <c r="C11589" s="391" t="s">
        <v>26</v>
      </c>
      <c r="D11589" s="479"/>
      <c r="E11589" s="368"/>
      <c r="F11589" s="368"/>
    </row>
    <row r="11590" spans="1:6" ht="25.5" x14ac:dyDescent="0.2">
      <c r="A11590" s="391">
        <v>12624</v>
      </c>
      <c r="B11590" s="478" t="s">
        <v>44094</v>
      </c>
      <c r="C11590" s="391" t="s">
        <v>26</v>
      </c>
      <c r="D11590" s="479">
        <v>34.380000000000003</v>
      </c>
      <c r="E11590" s="368"/>
      <c r="F11590" s="368"/>
    </row>
    <row r="11591" spans="1:6" x14ac:dyDescent="0.2">
      <c r="A11591" s="391">
        <v>517</v>
      </c>
      <c r="B11591" s="478" t="s">
        <v>44095</v>
      </c>
      <c r="C11591" s="391" t="s">
        <v>9</v>
      </c>
      <c r="D11591" s="479"/>
      <c r="E11591" s="368"/>
      <c r="F11591" s="368"/>
    </row>
    <row r="11592" spans="1:6" ht="25.5" x14ac:dyDescent="0.2">
      <c r="A11592" s="391">
        <v>37534</v>
      </c>
      <c r="B11592" s="478" t="s">
        <v>44096</v>
      </c>
      <c r="C11592" s="391" t="s">
        <v>1284</v>
      </c>
      <c r="D11592" s="479"/>
      <c r="E11592" s="368"/>
      <c r="F11592" s="368"/>
    </row>
    <row r="11593" spans="1:6" ht="25.5" x14ac:dyDescent="0.2">
      <c r="A11593" s="391">
        <v>37535</v>
      </c>
      <c r="B11593" s="478" t="s">
        <v>44097</v>
      </c>
      <c r="C11593" s="391" t="s">
        <v>1284</v>
      </c>
      <c r="D11593" s="479"/>
      <c r="E11593" s="368"/>
      <c r="F11593" s="368"/>
    </row>
    <row r="11594" spans="1:6" ht="25.5" x14ac:dyDescent="0.2">
      <c r="A11594" s="391">
        <v>37533</v>
      </c>
      <c r="B11594" s="478" t="s">
        <v>44098</v>
      </c>
      <c r="C11594" s="391" t="s">
        <v>1284</v>
      </c>
      <c r="D11594" s="479"/>
      <c r="E11594" s="368"/>
      <c r="F11594" s="368"/>
    </row>
    <row r="11595" spans="1:6" ht="25.5" x14ac:dyDescent="0.2">
      <c r="A11595" s="391">
        <v>37537</v>
      </c>
      <c r="B11595" s="478" t="s">
        <v>44099</v>
      </c>
      <c r="C11595" s="391" t="s">
        <v>1284</v>
      </c>
      <c r="D11595" s="479"/>
      <c r="E11595" s="368"/>
      <c r="F11595" s="368"/>
    </row>
    <row r="11596" spans="1:6" ht="25.5" x14ac:dyDescent="0.2">
      <c r="A11596" s="391">
        <v>37536</v>
      </c>
      <c r="B11596" s="478" t="s">
        <v>44100</v>
      </c>
      <c r="C11596" s="391" t="s">
        <v>1284</v>
      </c>
      <c r="D11596" s="479"/>
      <c r="E11596" s="368"/>
      <c r="F11596" s="368"/>
    </row>
    <row r="11597" spans="1:6" ht="25.5" x14ac:dyDescent="0.2">
      <c r="A11597" s="391">
        <v>37532</v>
      </c>
      <c r="B11597" s="478" t="s">
        <v>44101</v>
      </c>
      <c r="C11597" s="391" t="s">
        <v>1284</v>
      </c>
      <c r="D11597" s="479"/>
      <c r="E11597" s="368"/>
      <c r="F11597" s="368"/>
    </row>
    <row r="11598" spans="1:6" x14ac:dyDescent="0.2">
      <c r="A11598" s="391">
        <v>2696</v>
      </c>
      <c r="B11598" s="478" t="s">
        <v>44102</v>
      </c>
      <c r="C11598" s="391" t="s">
        <v>558</v>
      </c>
      <c r="D11598" s="479">
        <v>18.29</v>
      </c>
      <c r="E11598" s="368"/>
      <c r="F11598" s="368"/>
    </row>
    <row r="11599" spans="1:6" x14ac:dyDescent="0.2">
      <c r="A11599" s="391">
        <v>40928</v>
      </c>
      <c r="B11599" s="478" t="s">
        <v>44103</v>
      </c>
      <c r="C11599" s="391" t="s">
        <v>5681</v>
      </c>
      <c r="D11599" s="479">
        <v>3214.9</v>
      </c>
      <c r="E11599" s="368"/>
      <c r="F11599" s="368"/>
    </row>
    <row r="11600" spans="1:6" x14ac:dyDescent="0.2">
      <c r="A11600" s="391">
        <v>4083</v>
      </c>
      <c r="B11600" s="478" t="s">
        <v>44104</v>
      </c>
      <c r="C11600" s="391" t="s">
        <v>558</v>
      </c>
      <c r="D11600" s="479">
        <v>21.5</v>
      </c>
      <c r="E11600" s="368"/>
      <c r="F11600" s="368"/>
    </row>
    <row r="11601" spans="1:6" x14ac:dyDescent="0.2">
      <c r="A11601" s="391">
        <v>40818</v>
      </c>
      <c r="B11601" s="478" t="s">
        <v>44105</v>
      </c>
      <c r="C11601" s="391" t="s">
        <v>5681</v>
      </c>
      <c r="D11601" s="479">
        <v>3778.86</v>
      </c>
      <c r="E11601" s="368"/>
      <c r="F11601" s="368"/>
    </row>
    <row r="11602" spans="1:6" x14ac:dyDescent="0.2">
      <c r="A11602" s="391">
        <v>43146</v>
      </c>
      <c r="B11602" s="478" t="s">
        <v>44106</v>
      </c>
      <c r="C11602" s="391" t="s">
        <v>1284</v>
      </c>
      <c r="D11602" s="479">
        <v>10.34</v>
      </c>
      <c r="E11602" s="368"/>
      <c r="F11602" s="368"/>
    </row>
    <row r="11603" spans="1:6" x14ac:dyDescent="0.2">
      <c r="A11603" s="391">
        <v>2705</v>
      </c>
      <c r="B11603" s="478" t="s">
        <v>44107</v>
      </c>
      <c r="C11603" s="391" t="s">
        <v>19113</v>
      </c>
      <c r="D11603" s="479">
        <v>0.92</v>
      </c>
      <c r="E11603" s="368"/>
      <c r="F11603" s="368"/>
    </row>
    <row r="11604" spans="1:6" ht="25.5" x14ac:dyDescent="0.2">
      <c r="A11604" s="391">
        <v>14250</v>
      </c>
      <c r="B11604" s="478" t="s">
        <v>44108</v>
      </c>
      <c r="C11604" s="391" t="s">
        <v>19113</v>
      </c>
      <c r="D11604" s="479">
        <v>0.94</v>
      </c>
      <c r="E11604" s="368"/>
      <c r="F11604" s="368"/>
    </row>
    <row r="11605" spans="1:6" x14ac:dyDescent="0.2">
      <c r="A11605" s="391">
        <v>11683</v>
      </c>
      <c r="B11605" s="478" t="s">
        <v>44109</v>
      </c>
      <c r="C11605" s="391" t="s">
        <v>26</v>
      </c>
      <c r="D11605" s="479">
        <v>53.87</v>
      </c>
      <c r="E11605" s="368"/>
      <c r="F11605" s="368"/>
    </row>
    <row r="11606" spans="1:6" x14ac:dyDescent="0.2">
      <c r="A11606" s="391">
        <v>11684</v>
      </c>
      <c r="B11606" s="478" t="s">
        <v>44110</v>
      </c>
      <c r="C11606" s="391" t="s">
        <v>26</v>
      </c>
      <c r="D11606" s="479">
        <v>58.96</v>
      </c>
      <c r="E11606" s="368"/>
      <c r="F11606" s="368"/>
    </row>
    <row r="11607" spans="1:6" x14ac:dyDescent="0.2">
      <c r="A11607" s="391">
        <v>6141</v>
      </c>
      <c r="B11607" s="478" t="s">
        <v>44111</v>
      </c>
      <c r="C11607" s="391" t="s">
        <v>26</v>
      </c>
      <c r="D11607" s="479">
        <v>5.62</v>
      </c>
      <c r="E11607" s="368"/>
      <c r="F11607" s="368"/>
    </row>
    <row r="11608" spans="1:6" x14ac:dyDescent="0.2">
      <c r="A11608" s="391">
        <v>11681</v>
      </c>
      <c r="B11608" s="478" t="s">
        <v>44112</v>
      </c>
      <c r="C11608" s="391" t="s">
        <v>26</v>
      </c>
      <c r="D11608" s="479">
        <v>7.09</v>
      </c>
      <c r="E11608" s="368"/>
      <c r="F11608" s="368"/>
    </row>
    <row r="11609" spans="1:6" x14ac:dyDescent="0.2">
      <c r="A11609" s="391">
        <v>2706</v>
      </c>
      <c r="B11609" s="478" t="s">
        <v>44113</v>
      </c>
      <c r="C11609" s="391" t="s">
        <v>558</v>
      </c>
      <c r="D11609" s="479">
        <v>112.7</v>
      </c>
      <c r="E11609" s="368"/>
      <c r="F11609" s="368"/>
    </row>
    <row r="11610" spans="1:6" x14ac:dyDescent="0.2">
      <c r="A11610" s="391">
        <v>40811</v>
      </c>
      <c r="B11610" s="478" t="s">
        <v>44114</v>
      </c>
      <c r="C11610" s="391" t="s">
        <v>5681</v>
      </c>
      <c r="D11610" s="479">
        <v>19806.099999999999</v>
      </c>
      <c r="E11610" s="368"/>
      <c r="F11610" s="368"/>
    </row>
    <row r="11611" spans="1:6" x14ac:dyDescent="0.2">
      <c r="A11611" s="391">
        <v>2707</v>
      </c>
      <c r="B11611" s="478" t="s">
        <v>44115</v>
      </c>
      <c r="C11611" s="391" t="s">
        <v>558</v>
      </c>
      <c r="D11611" s="479">
        <v>122.6</v>
      </c>
      <c r="E11611" s="368"/>
      <c r="F11611" s="368"/>
    </row>
    <row r="11612" spans="1:6" x14ac:dyDescent="0.2">
      <c r="A11612" s="391">
        <v>40813</v>
      </c>
      <c r="B11612" s="478" t="s">
        <v>44116</v>
      </c>
      <c r="C11612" s="391" t="s">
        <v>5681</v>
      </c>
      <c r="D11612" s="479">
        <v>21547.8</v>
      </c>
      <c r="E11612" s="368"/>
      <c r="F11612" s="368"/>
    </row>
    <row r="11613" spans="1:6" x14ac:dyDescent="0.2">
      <c r="A11613" s="391">
        <v>2708</v>
      </c>
      <c r="B11613" s="478" t="s">
        <v>44117</v>
      </c>
      <c r="C11613" s="391" t="s">
        <v>558</v>
      </c>
      <c r="D11613" s="479">
        <v>143.12</v>
      </c>
      <c r="E11613" s="368"/>
      <c r="F11613" s="368"/>
    </row>
    <row r="11614" spans="1:6" x14ac:dyDescent="0.2">
      <c r="A11614" s="391">
        <v>40814</v>
      </c>
      <c r="B11614" s="478" t="s">
        <v>44118</v>
      </c>
      <c r="C11614" s="391" t="s">
        <v>5681</v>
      </c>
      <c r="D11614" s="479">
        <v>25152.29</v>
      </c>
      <c r="E11614" s="368"/>
      <c r="F11614" s="368"/>
    </row>
    <row r="11615" spans="1:6" x14ac:dyDescent="0.2">
      <c r="A11615" s="391">
        <v>38403</v>
      </c>
      <c r="B11615" s="478" t="s">
        <v>44119</v>
      </c>
      <c r="C11615" s="391" t="s">
        <v>26</v>
      </c>
      <c r="D11615" s="479"/>
      <c r="E11615" s="368"/>
      <c r="F11615" s="368"/>
    </row>
    <row r="11616" spans="1:6" ht="25.5" x14ac:dyDescent="0.2">
      <c r="A11616" s="391">
        <v>43482</v>
      </c>
      <c r="B11616" s="478" t="s">
        <v>44120</v>
      </c>
      <c r="C11616" s="391" t="s">
        <v>558</v>
      </c>
      <c r="D11616" s="479">
        <v>0.81</v>
      </c>
      <c r="E11616" s="368"/>
      <c r="F11616" s="368"/>
    </row>
    <row r="11617" spans="1:6" ht="25.5" x14ac:dyDescent="0.2">
      <c r="A11617" s="391">
        <v>43494</v>
      </c>
      <c r="B11617" s="478" t="s">
        <v>44121</v>
      </c>
      <c r="C11617" s="391" t="s">
        <v>5681</v>
      </c>
      <c r="D11617" s="479">
        <v>153.54</v>
      </c>
      <c r="E11617" s="368"/>
      <c r="F11617" s="368"/>
    </row>
    <row r="11618" spans="1:6" ht="25.5" x14ac:dyDescent="0.2">
      <c r="A11618" s="391">
        <v>43483</v>
      </c>
      <c r="B11618" s="478" t="s">
        <v>44122</v>
      </c>
      <c r="C11618" s="391" t="s">
        <v>558</v>
      </c>
      <c r="D11618" s="479">
        <v>1.43</v>
      </c>
      <c r="E11618" s="368"/>
      <c r="F11618" s="368"/>
    </row>
    <row r="11619" spans="1:6" ht="25.5" x14ac:dyDescent="0.2">
      <c r="A11619" s="391">
        <v>43495</v>
      </c>
      <c r="B11619" s="478" t="s">
        <v>44123</v>
      </c>
      <c r="C11619" s="391" t="s">
        <v>5681</v>
      </c>
      <c r="D11619" s="479">
        <v>270.51</v>
      </c>
      <c r="E11619" s="368"/>
      <c r="F11619" s="368"/>
    </row>
    <row r="11620" spans="1:6" ht="25.5" x14ac:dyDescent="0.2">
      <c r="A11620" s="391">
        <v>43484</v>
      </c>
      <c r="B11620" s="478" t="s">
        <v>44124</v>
      </c>
      <c r="C11620" s="391" t="s">
        <v>558</v>
      </c>
      <c r="D11620" s="479">
        <v>1.26</v>
      </c>
      <c r="E11620" s="368"/>
      <c r="F11620" s="368"/>
    </row>
    <row r="11621" spans="1:6" ht="25.5" x14ac:dyDescent="0.2">
      <c r="A11621" s="391">
        <v>43496</v>
      </c>
      <c r="B11621" s="478" t="s">
        <v>44125</v>
      </c>
      <c r="C11621" s="391" t="s">
        <v>5681</v>
      </c>
      <c r="D11621" s="479">
        <v>238.02</v>
      </c>
      <c r="E11621" s="368"/>
      <c r="F11621" s="368"/>
    </row>
    <row r="11622" spans="1:6" ht="25.5" x14ac:dyDescent="0.2">
      <c r="A11622" s="391">
        <v>43485</v>
      </c>
      <c r="B11622" s="478" t="s">
        <v>44126</v>
      </c>
      <c r="C11622" s="391" t="s">
        <v>558</v>
      </c>
      <c r="D11622" s="479">
        <v>1.1299999999999999</v>
      </c>
      <c r="E11622" s="368"/>
      <c r="F11622" s="368"/>
    </row>
    <row r="11623" spans="1:6" ht="25.5" x14ac:dyDescent="0.2">
      <c r="A11623" s="391">
        <v>43497</v>
      </c>
      <c r="B11623" s="478" t="s">
        <v>44127</v>
      </c>
      <c r="C11623" s="391" t="s">
        <v>5681</v>
      </c>
      <c r="D11623" s="479">
        <v>212.45</v>
      </c>
      <c r="E11623" s="368"/>
      <c r="F11623" s="368"/>
    </row>
    <row r="11624" spans="1:6" ht="25.5" x14ac:dyDescent="0.2">
      <c r="A11624" s="391">
        <v>43487</v>
      </c>
      <c r="B11624" s="478" t="s">
        <v>44128</v>
      </c>
      <c r="C11624" s="391" t="s">
        <v>558</v>
      </c>
      <c r="D11624" s="479">
        <v>1.28</v>
      </c>
      <c r="E11624" s="368"/>
      <c r="F11624" s="368"/>
    </row>
    <row r="11625" spans="1:6" ht="25.5" x14ac:dyDescent="0.2">
      <c r="A11625" s="391">
        <v>43499</v>
      </c>
      <c r="B11625" s="478" t="s">
        <v>44129</v>
      </c>
      <c r="C11625" s="391" t="s">
        <v>5681</v>
      </c>
      <c r="D11625" s="479">
        <v>241.99</v>
      </c>
      <c r="E11625" s="368"/>
      <c r="F11625" s="368"/>
    </row>
    <row r="11626" spans="1:6" ht="25.5" x14ac:dyDescent="0.2">
      <c r="A11626" s="391">
        <v>43486</v>
      </c>
      <c r="B11626" s="478" t="s">
        <v>44130</v>
      </c>
      <c r="C11626" s="391" t="s">
        <v>558</v>
      </c>
      <c r="D11626" s="479">
        <v>0.77</v>
      </c>
      <c r="E11626" s="368"/>
      <c r="F11626" s="368"/>
    </row>
    <row r="11627" spans="1:6" ht="25.5" x14ac:dyDescent="0.2">
      <c r="A11627" s="391">
        <v>43498</v>
      </c>
      <c r="B11627" s="478" t="s">
        <v>44131</v>
      </c>
      <c r="C11627" s="391" t="s">
        <v>5681</v>
      </c>
      <c r="D11627" s="479">
        <v>146</v>
      </c>
      <c r="E11627" s="368"/>
      <c r="F11627" s="368"/>
    </row>
    <row r="11628" spans="1:6" ht="25.5" x14ac:dyDescent="0.2">
      <c r="A11628" s="391">
        <v>43488</v>
      </c>
      <c r="B11628" s="478" t="s">
        <v>44132</v>
      </c>
      <c r="C11628" s="391" t="s">
        <v>558</v>
      </c>
      <c r="D11628" s="479">
        <v>0.89</v>
      </c>
      <c r="E11628" s="368"/>
      <c r="F11628" s="368"/>
    </row>
    <row r="11629" spans="1:6" ht="25.5" x14ac:dyDescent="0.2">
      <c r="A11629" s="391">
        <v>43500</v>
      </c>
      <c r="B11629" s="478" t="s">
        <v>44133</v>
      </c>
      <c r="C11629" s="391" t="s">
        <v>5681</v>
      </c>
      <c r="D11629" s="479">
        <v>167.95</v>
      </c>
      <c r="E11629" s="368"/>
      <c r="F11629" s="368"/>
    </row>
    <row r="11630" spans="1:6" ht="25.5" x14ac:dyDescent="0.2">
      <c r="A11630" s="391">
        <v>43489</v>
      </c>
      <c r="B11630" s="478" t="s">
        <v>44134</v>
      </c>
      <c r="C11630" s="391" t="s">
        <v>558</v>
      </c>
      <c r="D11630" s="479">
        <v>1.31</v>
      </c>
      <c r="E11630" s="368"/>
      <c r="F11630" s="368"/>
    </row>
    <row r="11631" spans="1:6" ht="25.5" x14ac:dyDescent="0.2">
      <c r="A11631" s="391">
        <v>43501</v>
      </c>
      <c r="B11631" s="478" t="s">
        <v>44135</v>
      </c>
      <c r="C11631" s="391" t="s">
        <v>5681</v>
      </c>
      <c r="D11631" s="479">
        <v>247.11</v>
      </c>
      <c r="E11631" s="368"/>
      <c r="F11631" s="368"/>
    </row>
    <row r="11632" spans="1:6" ht="25.5" x14ac:dyDescent="0.2">
      <c r="A11632" s="391">
        <v>43490</v>
      </c>
      <c r="B11632" s="478" t="s">
        <v>44136</v>
      </c>
      <c r="C11632" s="391" t="s">
        <v>558</v>
      </c>
      <c r="D11632" s="479">
        <v>1.85</v>
      </c>
      <c r="E11632" s="368"/>
      <c r="F11632" s="368"/>
    </row>
    <row r="11633" spans="1:6" ht="25.5" x14ac:dyDescent="0.2">
      <c r="A11633" s="391">
        <v>43502</v>
      </c>
      <c r="B11633" s="478" t="s">
        <v>44137</v>
      </c>
      <c r="C11633" s="391" t="s">
        <v>5681</v>
      </c>
      <c r="D11633" s="479">
        <v>348.39</v>
      </c>
      <c r="E11633" s="368"/>
      <c r="F11633" s="368"/>
    </row>
    <row r="11634" spans="1:6" ht="25.5" x14ac:dyDescent="0.2">
      <c r="A11634" s="391">
        <v>43491</v>
      </c>
      <c r="B11634" s="478" t="s">
        <v>44138</v>
      </c>
      <c r="C11634" s="391" t="s">
        <v>558</v>
      </c>
      <c r="D11634" s="479">
        <v>1.39</v>
      </c>
      <c r="E11634" s="368"/>
      <c r="F11634" s="368"/>
    </row>
    <row r="11635" spans="1:6" ht="25.5" x14ac:dyDescent="0.2">
      <c r="A11635" s="391">
        <v>43503</v>
      </c>
      <c r="B11635" s="478" t="s">
        <v>44139</v>
      </c>
      <c r="C11635" s="391" t="s">
        <v>5681</v>
      </c>
      <c r="D11635" s="479">
        <v>261.93</v>
      </c>
      <c r="E11635" s="368"/>
      <c r="F11635" s="368"/>
    </row>
    <row r="11636" spans="1:6" ht="25.5" x14ac:dyDescent="0.2">
      <c r="A11636" s="391">
        <v>43492</v>
      </c>
      <c r="B11636" s="478" t="s">
        <v>44140</v>
      </c>
      <c r="C11636" s="391" t="s">
        <v>558</v>
      </c>
      <c r="D11636" s="479">
        <v>1.82</v>
      </c>
      <c r="E11636" s="368"/>
      <c r="F11636" s="368"/>
    </row>
    <row r="11637" spans="1:6" ht="25.5" x14ac:dyDescent="0.2">
      <c r="A11637" s="391">
        <v>43504</v>
      </c>
      <c r="B11637" s="478" t="s">
        <v>44141</v>
      </c>
      <c r="C11637" s="391" t="s">
        <v>5681</v>
      </c>
      <c r="D11637" s="479">
        <v>342.83</v>
      </c>
      <c r="E11637" s="368"/>
      <c r="F11637" s="368"/>
    </row>
    <row r="11638" spans="1:6" ht="25.5" x14ac:dyDescent="0.2">
      <c r="A11638" s="391">
        <v>43493</v>
      </c>
      <c r="B11638" s="478" t="s">
        <v>44142</v>
      </c>
      <c r="C11638" s="391" t="s">
        <v>558</v>
      </c>
      <c r="D11638" s="479">
        <v>0.74</v>
      </c>
      <c r="E11638" s="368"/>
      <c r="F11638" s="368"/>
    </row>
    <row r="11639" spans="1:6" ht="25.5" x14ac:dyDescent="0.2">
      <c r="A11639" s="391">
        <v>43505</v>
      </c>
      <c r="B11639" s="478" t="s">
        <v>44143</v>
      </c>
      <c r="C11639" s="391" t="s">
        <v>5681</v>
      </c>
      <c r="D11639" s="479">
        <v>138.97999999999999</v>
      </c>
      <c r="E11639" s="368"/>
      <c r="F11639" s="368"/>
    </row>
    <row r="11640" spans="1:6" ht="38.25" x14ac:dyDescent="0.2">
      <c r="A11640" s="391">
        <v>37774</v>
      </c>
      <c r="B11640" s="478" t="s">
        <v>44144</v>
      </c>
      <c r="C11640" s="391" t="s">
        <v>26</v>
      </c>
      <c r="D11640" s="479"/>
      <c r="E11640" s="368"/>
      <c r="F11640" s="368"/>
    </row>
    <row r="11641" spans="1:6" ht="51" x14ac:dyDescent="0.2">
      <c r="A11641" s="391">
        <v>38629</v>
      </c>
      <c r="B11641" s="478" t="s">
        <v>44145</v>
      </c>
      <c r="C11641" s="391" t="s">
        <v>26</v>
      </c>
      <c r="D11641" s="479"/>
      <c r="E11641" s="368"/>
      <c r="F11641" s="368"/>
    </row>
    <row r="11642" spans="1:6" ht="51" x14ac:dyDescent="0.2">
      <c r="A11642" s="391">
        <v>38630</v>
      </c>
      <c r="B11642" s="478" t="s">
        <v>44146</v>
      </c>
      <c r="C11642" s="391" t="s">
        <v>26</v>
      </c>
      <c r="D11642" s="479"/>
      <c r="E11642" s="368"/>
      <c r="F11642" s="368"/>
    </row>
    <row r="11643" spans="1:6" ht="38.25" x14ac:dyDescent="0.2">
      <c r="A11643" s="391">
        <v>38476</v>
      </c>
      <c r="B11643" s="478" t="s">
        <v>44147</v>
      </c>
      <c r="C11643" s="391" t="s">
        <v>26</v>
      </c>
      <c r="D11643" s="479"/>
      <c r="E11643" s="368"/>
      <c r="F11643" s="368"/>
    </row>
    <row r="11644" spans="1:6" ht="38.25" x14ac:dyDescent="0.2">
      <c r="A11644" s="391">
        <v>38477</v>
      </c>
      <c r="B11644" s="478" t="s">
        <v>44148</v>
      </c>
      <c r="C11644" s="391" t="s">
        <v>26</v>
      </c>
      <c r="D11644" s="479"/>
      <c r="E11644" s="368"/>
      <c r="F11644" s="368"/>
    </row>
    <row r="11645" spans="1:6" ht="38.25" x14ac:dyDescent="0.2">
      <c r="A11645" s="391">
        <v>45112</v>
      </c>
      <c r="B11645" s="478" t="s">
        <v>44149</v>
      </c>
      <c r="C11645" s="391" t="s">
        <v>26</v>
      </c>
      <c r="D11645" s="479"/>
      <c r="E11645" s="368"/>
      <c r="F11645" s="368"/>
    </row>
    <row r="11646" spans="1:6" ht="25.5" x14ac:dyDescent="0.2">
      <c r="A11646" s="391">
        <v>14525</v>
      </c>
      <c r="B11646" s="478" t="s">
        <v>44150</v>
      </c>
      <c r="C11646" s="391" t="s">
        <v>26</v>
      </c>
      <c r="D11646" s="479"/>
      <c r="E11646" s="368"/>
      <c r="F11646" s="368"/>
    </row>
    <row r="11647" spans="1:6" ht="25.5" x14ac:dyDescent="0.2">
      <c r="A11647" s="391">
        <v>36408</v>
      </c>
      <c r="B11647" s="478" t="s">
        <v>44151</v>
      </c>
      <c r="C11647" s="391" t="s">
        <v>26</v>
      </c>
      <c r="D11647" s="479"/>
      <c r="E11647" s="368"/>
      <c r="F11647" s="368"/>
    </row>
    <row r="11648" spans="1:6" ht="25.5" x14ac:dyDescent="0.2">
      <c r="A11648" s="391">
        <v>2723</v>
      </c>
      <c r="B11648" s="478" t="s">
        <v>44152</v>
      </c>
      <c r="C11648" s="391" t="s">
        <v>26</v>
      </c>
      <c r="D11648" s="479"/>
      <c r="E11648" s="368"/>
      <c r="F11648" s="368"/>
    </row>
    <row r="11649" spans="1:6" ht="25.5" x14ac:dyDescent="0.2">
      <c r="A11649" s="391">
        <v>10685</v>
      </c>
      <c r="B11649" s="478" t="s">
        <v>44153</v>
      </c>
      <c r="C11649" s="391" t="s">
        <v>26</v>
      </c>
      <c r="D11649" s="479"/>
      <c r="E11649" s="368"/>
      <c r="F11649" s="368"/>
    </row>
    <row r="11650" spans="1:6" ht="38.25" x14ac:dyDescent="0.2">
      <c r="A11650" s="391">
        <v>40636</v>
      </c>
      <c r="B11650" s="478" t="s">
        <v>44154</v>
      </c>
      <c r="C11650" s="391" t="s">
        <v>26</v>
      </c>
      <c r="D11650" s="479"/>
      <c r="E11650" s="368"/>
      <c r="F11650" s="368"/>
    </row>
    <row r="11651" spans="1:6" x14ac:dyDescent="0.2">
      <c r="A11651" s="391">
        <v>4111</v>
      </c>
      <c r="B11651" s="478" t="s">
        <v>44155</v>
      </c>
      <c r="C11651" s="391" t="s">
        <v>26</v>
      </c>
      <c r="D11651" s="479">
        <v>48.26</v>
      </c>
      <c r="E11651" s="368"/>
      <c r="F11651" s="368"/>
    </row>
    <row r="11652" spans="1:6" ht="25.5" x14ac:dyDescent="0.2">
      <c r="A11652" s="391">
        <v>44538</v>
      </c>
      <c r="B11652" s="478" t="s">
        <v>48275</v>
      </c>
      <c r="C11652" s="391" t="s">
        <v>26</v>
      </c>
      <c r="D11652" s="479"/>
      <c r="E11652" s="368"/>
      <c r="F11652" s="368"/>
    </row>
    <row r="11653" spans="1:6" x14ac:dyDescent="0.2">
      <c r="A11653" s="391">
        <v>12</v>
      </c>
      <c r="B11653" s="478" t="s">
        <v>44156</v>
      </c>
      <c r="C11653" s="391" t="s">
        <v>26</v>
      </c>
      <c r="D11653" s="479"/>
      <c r="E11653" s="368"/>
      <c r="F11653" s="368"/>
    </row>
    <row r="11654" spans="1:6" ht="25.5" x14ac:dyDescent="0.2">
      <c r="A11654" s="391">
        <v>37554</v>
      </c>
      <c r="B11654" s="478" t="s">
        <v>44157</v>
      </c>
      <c r="C11654" s="391" t="s">
        <v>26</v>
      </c>
      <c r="D11654" s="479">
        <v>239.57</v>
      </c>
      <c r="E11654" s="368"/>
      <c r="F11654" s="368"/>
    </row>
    <row r="11655" spans="1:6" ht="25.5" x14ac:dyDescent="0.2">
      <c r="A11655" s="391">
        <v>37555</v>
      </c>
      <c r="B11655" s="478" t="s">
        <v>44158</v>
      </c>
      <c r="C11655" s="391" t="s">
        <v>26</v>
      </c>
      <c r="D11655" s="479">
        <v>291.42</v>
      </c>
      <c r="E11655" s="368"/>
      <c r="F11655" s="368"/>
    </row>
    <row r="11656" spans="1:6" ht="25.5" x14ac:dyDescent="0.2">
      <c r="A11656" s="391">
        <v>10902</v>
      </c>
      <c r="B11656" s="478" t="s">
        <v>44159</v>
      </c>
      <c r="C11656" s="391" t="s">
        <v>26</v>
      </c>
      <c r="D11656" s="479">
        <v>73.12</v>
      </c>
      <c r="E11656" s="368"/>
      <c r="F11656" s="368"/>
    </row>
    <row r="11657" spans="1:6" ht="25.5" x14ac:dyDescent="0.2">
      <c r="A11657" s="391">
        <v>20965</v>
      </c>
      <c r="B11657" s="478" t="s">
        <v>44160</v>
      </c>
      <c r="C11657" s="391" t="s">
        <v>26</v>
      </c>
      <c r="D11657" s="479">
        <v>73.8</v>
      </c>
      <c r="E11657" s="368"/>
      <c r="F11657" s="368"/>
    </row>
    <row r="11658" spans="1:6" ht="25.5" x14ac:dyDescent="0.2">
      <c r="A11658" s="391">
        <v>20966</v>
      </c>
      <c r="B11658" s="478" t="s">
        <v>44161</v>
      </c>
      <c r="C11658" s="391" t="s">
        <v>26</v>
      </c>
      <c r="D11658" s="479">
        <v>79.47</v>
      </c>
      <c r="E11658" s="368"/>
      <c r="F11658" s="368"/>
    </row>
    <row r="11659" spans="1:6" ht="25.5" x14ac:dyDescent="0.2">
      <c r="A11659" s="391">
        <v>10903</v>
      </c>
      <c r="B11659" s="478" t="s">
        <v>44162</v>
      </c>
      <c r="C11659" s="391" t="s">
        <v>26</v>
      </c>
      <c r="D11659" s="479">
        <v>120.45</v>
      </c>
      <c r="E11659" s="368"/>
      <c r="F11659" s="368"/>
    </row>
    <row r="11660" spans="1:6" ht="25.5" x14ac:dyDescent="0.2">
      <c r="A11660" s="391">
        <v>20967</v>
      </c>
      <c r="B11660" s="478" t="s">
        <v>44163</v>
      </c>
      <c r="C11660" s="391" t="s">
        <v>26</v>
      </c>
      <c r="D11660" s="479">
        <v>120.45</v>
      </c>
      <c r="E11660" s="368"/>
      <c r="F11660" s="368"/>
    </row>
    <row r="11661" spans="1:6" ht="25.5" x14ac:dyDescent="0.2">
      <c r="A11661" s="391">
        <v>20968</v>
      </c>
      <c r="B11661" s="478" t="s">
        <v>44164</v>
      </c>
      <c r="C11661" s="391" t="s">
        <v>26</v>
      </c>
      <c r="D11661" s="479">
        <v>132.11000000000001</v>
      </c>
      <c r="E11661" s="368"/>
      <c r="F11661" s="368"/>
    </row>
    <row r="11662" spans="1:6" ht="25.5" x14ac:dyDescent="0.2">
      <c r="A11662" s="391">
        <v>11359</v>
      </c>
      <c r="B11662" s="478" t="s">
        <v>44165</v>
      </c>
      <c r="C11662" s="391" t="s">
        <v>26</v>
      </c>
      <c r="D11662" s="479">
        <v>1199.99</v>
      </c>
      <c r="E11662" s="368"/>
      <c r="F11662" s="368"/>
    </row>
    <row r="11663" spans="1:6" ht="25.5" x14ac:dyDescent="0.2">
      <c r="A11663" s="391">
        <v>39017</v>
      </c>
      <c r="B11663" s="478" t="s">
        <v>44166</v>
      </c>
      <c r="C11663" s="391" t="s">
        <v>26</v>
      </c>
      <c r="D11663" s="479"/>
      <c r="E11663" s="368"/>
      <c r="F11663" s="368"/>
    </row>
    <row r="11664" spans="1:6" ht="25.5" x14ac:dyDescent="0.2">
      <c r="A11664" s="391">
        <v>39315</v>
      </c>
      <c r="B11664" s="478" t="s">
        <v>44167</v>
      </c>
      <c r="C11664" s="391" t="s">
        <v>26</v>
      </c>
      <c r="D11664" s="479"/>
      <c r="E11664" s="368"/>
      <c r="F11664" s="368"/>
    </row>
    <row r="11665" spans="1:6" ht="25.5" x14ac:dyDescent="0.2">
      <c r="A11665" s="391">
        <v>39016</v>
      </c>
      <c r="B11665" s="478" t="s">
        <v>44168</v>
      </c>
      <c r="C11665" s="391" t="s">
        <v>26</v>
      </c>
      <c r="D11665" s="479"/>
      <c r="E11665" s="368"/>
      <c r="F11665" s="368"/>
    </row>
    <row r="11666" spans="1:6" ht="38.25" x14ac:dyDescent="0.2">
      <c r="A11666" s="391">
        <v>39481</v>
      </c>
      <c r="B11666" s="478" t="s">
        <v>44169</v>
      </c>
      <c r="C11666" s="391" t="s">
        <v>26</v>
      </c>
      <c r="D11666" s="479"/>
      <c r="E11666" s="368"/>
      <c r="F11666" s="368"/>
    </row>
    <row r="11667" spans="1:6" ht="25.5" x14ac:dyDescent="0.2">
      <c r="A11667" s="391">
        <v>39013</v>
      </c>
      <c r="B11667" s="478" t="s">
        <v>44170</v>
      </c>
      <c r="C11667" s="391" t="s">
        <v>26</v>
      </c>
      <c r="D11667" s="479"/>
      <c r="E11667" s="368"/>
      <c r="F11667" s="368"/>
    </row>
    <row r="11668" spans="1:6" ht="25.5" x14ac:dyDescent="0.2">
      <c r="A11668" s="391">
        <v>44919</v>
      </c>
      <c r="B11668" s="478" t="s">
        <v>44171</v>
      </c>
      <c r="C11668" s="391" t="s">
        <v>26</v>
      </c>
      <c r="D11668" s="479"/>
      <c r="E11668" s="368"/>
      <c r="F11668" s="368"/>
    </row>
    <row r="11669" spans="1:6" ht="25.5" x14ac:dyDescent="0.2">
      <c r="A11669" s="391">
        <v>40433</v>
      </c>
      <c r="B11669" s="478" t="s">
        <v>44172</v>
      </c>
      <c r="C11669" s="391" t="s">
        <v>26</v>
      </c>
      <c r="D11669" s="479"/>
      <c r="E11669" s="368"/>
      <c r="F11669" s="368"/>
    </row>
    <row r="11670" spans="1:6" ht="25.5" x14ac:dyDescent="0.2">
      <c r="A11670" s="391">
        <v>20219</v>
      </c>
      <c r="B11670" s="478" t="s">
        <v>44173</v>
      </c>
      <c r="C11670" s="391" t="s">
        <v>26</v>
      </c>
      <c r="D11670" s="479"/>
      <c r="E11670" s="368"/>
      <c r="F11670" s="368"/>
    </row>
    <row r="11671" spans="1:6" ht="38.25" x14ac:dyDescent="0.2">
      <c r="A11671" s="391">
        <v>36484</v>
      </c>
      <c r="B11671" s="478" t="s">
        <v>44174</v>
      </c>
      <c r="C11671" s="391" t="s">
        <v>26</v>
      </c>
      <c r="D11671" s="479"/>
      <c r="E11671" s="368"/>
      <c r="F11671" s="368"/>
    </row>
    <row r="11672" spans="1:6" x14ac:dyDescent="0.2">
      <c r="A11672" s="391">
        <v>38368</v>
      </c>
      <c r="B11672" s="478" t="s">
        <v>44175</v>
      </c>
      <c r="C11672" s="391" t="s">
        <v>26</v>
      </c>
      <c r="D11672" s="479"/>
      <c r="E11672" s="368"/>
      <c r="F11672" s="368"/>
    </row>
    <row r="11673" spans="1:6" x14ac:dyDescent="0.2">
      <c r="A11673" s="391">
        <v>38367</v>
      </c>
      <c r="B11673" s="478" t="s">
        <v>44176</v>
      </c>
      <c r="C11673" s="391" t="s">
        <v>26</v>
      </c>
      <c r="D11673" s="479"/>
      <c r="E11673" s="368"/>
      <c r="F11673" s="368"/>
    </row>
    <row r="11674" spans="1:6" ht="25.5" x14ac:dyDescent="0.2">
      <c r="A11674" s="391">
        <v>38091</v>
      </c>
      <c r="B11674" s="478" t="s">
        <v>44177</v>
      </c>
      <c r="C11674" s="391" t="s">
        <v>26</v>
      </c>
      <c r="D11674" s="479">
        <v>2.2799999999999998</v>
      </c>
      <c r="E11674" s="368"/>
      <c r="F11674" s="368"/>
    </row>
    <row r="11675" spans="1:6" ht="25.5" x14ac:dyDescent="0.2">
      <c r="A11675" s="391">
        <v>38095</v>
      </c>
      <c r="B11675" s="478" t="s">
        <v>44178</v>
      </c>
      <c r="C11675" s="391" t="s">
        <v>26</v>
      </c>
      <c r="D11675" s="479">
        <v>4.83</v>
      </c>
      <c r="E11675" s="368"/>
      <c r="F11675" s="368"/>
    </row>
    <row r="11676" spans="1:6" ht="25.5" x14ac:dyDescent="0.2">
      <c r="A11676" s="391">
        <v>38092</v>
      </c>
      <c r="B11676" s="478" t="s">
        <v>44179</v>
      </c>
      <c r="C11676" s="391" t="s">
        <v>26</v>
      </c>
      <c r="D11676" s="479">
        <v>2.16</v>
      </c>
      <c r="E11676" s="368"/>
      <c r="F11676" s="368"/>
    </row>
    <row r="11677" spans="1:6" ht="25.5" x14ac:dyDescent="0.2">
      <c r="A11677" s="391">
        <v>38093</v>
      </c>
      <c r="B11677" s="478" t="s">
        <v>44180</v>
      </c>
      <c r="C11677" s="391" t="s">
        <v>26</v>
      </c>
      <c r="D11677" s="479">
        <v>2.2400000000000002</v>
      </c>
      <c r="E11677" s="368"/>
      <c r="F11677" s="368"/>
    </row>
    <row r="11678" spans="1:6" ht="25.5" x14ac:dyDescent="0.2">
      <c r="A11678" s="391">
        <v>38096</v>
      </c>
      <c r="B11678" s="478" t="s">
        <v>44181</v>
      </c>
      <c r="C11678" s="391" t="s">
        <v>26</v>
      </c>
      <c r="D11678" s="479">
        <v>5.2</v>
      </c>
      <c r="E11678" s="368"/>
      <c r="F11678" s="368"/>
    </row>
    <row r="11679" spans="1:6" ht="25.5" x14ac:dyDescent="0.2">
      <c r="A11679" s="391">
        <v>38094</v>
      </c>
      <c r="B11679" s="478" t="s">
        <v>44182</v>
      </c>
      <c r="C11679" s="391" t="s">
        <v>26</v>
      </c>
      <c r="D11679" s="479">
        <v>2.74</v>
      </c>
      <c r="E11679" s="368"/>
      <c r="F11679" s="368"/>
    </row>
    <row r="11680" spans="1:6" ht="25.5" x14ac:dyDescent="0.2">
      <c r="A11680" s="391">
        <v>38097</v>
      </c>
      <c r="B11680" s="478" t="s">
        <v>44183</v>
      </c>
      <c r="C11680" s="391" t="s">
        <v>26</v>
      </c>
      <c r="D11680" s="479">
        <v>5.57</v>
      </c>
      <c r="E11680" s="368"/>
      <c r="F11680" s="368"/>
    </row>
    <row r="11681" spans="1:6" ht="25.5" x14ac:dyDescent="0.2">
      <c r="A11681" s="391">
        <v>38098</v>
      </c>
      <c r="B11681" s="478" t="s">
        <v>44184</v>
      </c>
      <c r="C11681" s="391" t="s">
        <v>26</v>
      </c>
      <c r="D11681" s="479">
        <v>5.57</v>
      </c>
      <c r="E11681" s="368"/>
      <c r="F11681" s="368"/>
    </row>
    <row r="11682" spans="1:6" x14ac:dyDescent="0.2">
      <c r="A11682" s="391">
        <v>11186</v>
      </c>
      <c r="B11682" s="478" t="s">
        <v>38390</v>
      </c>
      <c r="C11682" s="391" t="s">
        <v>255</v>
      </c>
      <c r="D11682" s="479"/>
      <c r="E11682" s="368"/>
      <c r="F11682" s="368"/>
    </row>
    <row r="11683" spans="1:6" ht="25.5" x14ac:dyDescent="0.2">
      <c r="A11683" s="391">
        <v>11558</v>
      </c>
      <c r="B11683" s="478" t="s">
        <v>44185</v>
      </c>
      <c r="C11683" s="391" t="s">
        <v>12086</v>
      </c>
      <c r="D11683" s="479">
        <v>15.05</v>
      </c>
      <c r="E11683" s="368"/>
      <c r="F11683" s="368"/>
    </row>
    <row r="11684" spans="1:6" ht="25.5" x14ac:dyDescent="0.2">
      <c r="A11684" s="391">
        <v>11557</v>
      </c>
      <c r="B11684" s="478" t="s">
        <v>44186</v>
      </c>
      <c r="C11684" s="391" t="s">
        <v>12086</v>
      </c>
      <c r="D11684" s="479">
        <v>38.11</v>
      </c>
      <c r="E11684" s="368"/>
      <c r="F11684" s="368"/>
    </row>
    <row r="11685" spans="1:6" x14ac:dyDescent="0.2">
      <c r="A11685" s="391">
        <v>2759</v>
      </c>
      <c r="B11685" s="478" t="s">
        <v>44187</v>
      </c>
      <c r="C11685" s="391" t="s">
        <v>26</v>
      </c>
      <c r="D11685" s="479"/>
      <c r="E11685" s="368"/>
      <c r="F11685" s="368"/>
    </row>
    <row r="11686" spans="1:6" x14ac:dyDescent="0.2">
      <c r="A11686" s="391">
        <v>38124</v>
      </c>
      <c r="B11686" s="478" t="s">
        <v>44188</v>
      </c>
      <c r="C11686" s="391" t="s">
        <v>26</v>
      </c>
      <c r="D11686" s="479">
        <v>37.950000000000003</v>
      </c>
      <c r="E11686" s="368"/>
      <c r="F11686" s="368"/>
    </row>
    <row r="11687" spans="1:6" x14ac:dyDescent="0.2">
      <c r="A11687" s="391">
        <v>38380</v>
      </c>
      <c r="B11687" s="478" t="s">
        <v>44189</v>
      </c>
      <c r="C11687" s="391" t="s">
        <v>26</v>
      </c>
      <c r="D11687" s="479"/>
      <c r="E11687" s="368"/>
      <c r="F11687" s="368"/>
    </row>
    <row r="11688" spans="1:6" ht="25.5" x14ac:dyDescent="0.2">
      <c r="A11688" s="391">
        <v>45278</v>
      </c>
      <c r="B11688" s="478" t="s">
        <v>48276</v>
      </c>
      <c r="C11688" s="391" t="s">
        <v>26</v>
      </c>
      <c r="D11688" s="479">
        <v>113.5</v>
      </c>
      <c r="E11688" s="368"/>
      <c r="F11688" s="368"/>
    </row>
    <row r="11689" spans="1:6" ht="38.25" x14ac:dyDescent="0.2">
      <c r="A11689" s="391">
        <v>42429</v>
      </c>
      <c r="B11689" s="478" t="s">
        <v>44190</v>
      </c>
      <c r="C11689" s="391" t="s">
        <v>26</v>
      </c>
      <c r="D11689" s="479"/>
      <c r="E11689" s="368"/>
      <c r="F11689" s="368"/>
    </row>
    <row r="11690" spans="1:6" x14ac:dyDescent="0.2">
      <c r="A11690" s="391">
        <v>39616</v>
      </c>
      <c r="B11690" s="478" t="s">
        <v>44191</v>
      </c>
      <c r="C11690" s="391" t="s">
        <v>26</v>
      </c>
      <c r="D11690" s="479">
        <v>365.45</v>
      </c>
      <c r="E11690" s="368"/>
      <c r="F11690" s="368"/>
    </row>
    <row r="11691" spans="1:6" x14ac:dyDescent="0.2">
      <c r="A11691" s="391">
        <v>39618</v>
      </c>
      <c r="B11691" s="478" t="s">
        <v>44192</v>
      </c>
      <c r="C11691" s="391" t="s">
        <v>26</v>
      </c>
      <c r="D11691" s="479">
        <v>662.86</v>
      </c>
      <c r="E11691" s="368"/>
      <c r="F11691" s="368"/>
    </row>
    <row r="11692" spans="1:6" x14ac:dyDescent="0.2">
      <c r="A11692" s="391">
        <v>39619</v>
      </c>
      <c r="B11692" s="478" t="s">
        <v>44193</v>
      </c>
      <c r="C11692" s="391" t="s">
        <v>26</v>
      </c>
      <c r="D11692" s="479">
        <v>907.85</v>
      </c>
      <c r="E11692" s="368"/>
      <c r="F11692" s="368"/>
    </row>
    <row r="11693" spans="1:6" x14ac:dyDescent="0.2">
      <c r="A11693" s="391">
        <v>39613</v>
      </c>
      <c r="B11693" s="478" t="s">
        <v>44194</v>
      </c>
      <c r="C11693" s="391" t="s">
        <v>26</v>
      </c>
      <c r="D11693" s="479">
        <v>145.16</v>
      </c>
      <c r="E11693" s="368"/>
      <c r="F11693" s="368"/>
    </row>
    <row r="11694" spans="1:6" x14ac:dyDescent="0.2">
      <c r="A11694" s="391">
        <v>39614</v>
      </c>
      <c r="B11694" s="478" t="s">
        <v>44195</v>
      </c>
      <c r="C11694" s="391" t="s">
        <v>26</v>
      </c>
      <c r="D11694" s="479">
        <v>211.78</v>
      </c>
      <c r="E11694" s="368"/>
      <c r="F11694" s="368"/>
    </row>
    <row r="11695" spans="1:6" ht="38.25" x14ac:dyDescent="0.2">
      <c r="A11695" s="391">
        <v>38538</v>
      </c>
      <c r="B11695" s="478" t="s">
        <v>44196</v>
      </c>
      <c r="C11695" s="391" t="s">
        <v>0</v>
      </c>
      <c r="D11695" s="479"/>
      <c r="E11695" s="368"/>
      <c r="F11695" s="368"/>
    </row>
    <row r="11696" spans="1:6" ht="38.25" x14ac:dyDescent="0.2">
      <c r="A11696" s="391">
        <v>38539</v>
      </c>
      <c r="B11696" s="478" t="s">
        <v>44197</v>
      </c>
      <c r="C11696" s="391" t="s">
        <v>0</v>
      </c>
      <c r="D11696" s="479"/>
      <c r="E11696" s="368"/>
      <c r="F11696" s="368"/>
    </row>
    <row r="11697" spans="1:6" ht="38.25" x14ac:dyDescent="0.2">
      <c r="A11697" s="391">
        <v>38540</v>
      </c>
      <c r="B11697" s="478" t="s">
        <v>44198</v>
      </c>
      <c r="C11697" s="391" t="s">
        <v>0</v>
      </c>
      <c r="D11697" s="479"/>
      <c r="E11697" s="368"/>
      <c r="F11697" s="368"/>
    </row>
    <row r="11698" spans="1:6" x14ac:dyDescent="0.2">
      <c r="A11698" s="391">
        <v>38384</v>
      </c>
      <c r="B11698" s="478" t="s">
        <v>44199</v>
      </c>
      <c r="C11698" s="391" t="s">
        <v>26</v>
      </c>
      <c r="D11698" s="479"/>
      <c r="E11698" s="368"/>
      <c r="F11698" s="368"/>
    </row>
    <row r="11699" spans="1:6" x14ac:dyDescent="0.2">
      <c r="A11699" s="391">
        <v>13</v>
      </c>
      <c r="B11699" s="478" t="s">
        <v>44200</v>
      </c>
      <c r="C11699" s="391" t="s">
        <v>1284</v>
      </c>
      <c r="D11699" s="479">
        <v>14.2</v>
      </c>
      <c r="E11699" s="368"/>
      <c r="F11699" s="368"/>
    </row>
    <row r="11700" spans="1:6" x14ac:dyDescent="0.2">
      <c r="A11700" s="391">
        <v>2762</v>
      </c>
      <c r="B11700" s="478" t="s">
        <v>44201</v>
      </c>
      <c r="C11700" s="391" t="s">
        <v>0</v>
      </c>
      <c r="D11700" s="479"/>
      <c r="E11700" s="368"/>
      <c r="F11700" s="368"/>
    </row>
    <row r="11701" spans="1:6" ht="25.5" x14ac:dyDescent="0.2">
      <c r="A11701" s="391">
        <v>21142</v>
      </c>
      <c r="B11701" s="478" t="s">
        <v>44202</v>
      </c>
      <c r="C11701" s="391" t="s">
        <v>26</v>
      </c>
      <c r="D11701" s="479">
        <v>23.33</v>
      </c>
      <c r="E11701" s="368"/>
      <c r="F11701" s="368"/>
    </row>
    <row r="11702" spans="1:6" x14ac:dyDescent="0.2">
      <c r="A11702" s="391">
        <v>4223</v>
      </c>
      <c r="B11702" s="478" t="s">
        <v>44203</v>
      </c>
      <c r="C11702" s="391" t="s">
        <v>9</v>
      </c>
      <c r="D11702" s="479">
        <v>5.28</v>
      </c>
      <c r="E11702" s="368"/>
      <c r="F11702" s="368"/>
    </row>
    <row r="11703" spans="1:6" x14ac:dyDescent="0.2">
      <c r="A11703" s="391">
        <v>37372</v>
      </c>
      <c r="B11703" s="478" t="s">
        <v>44204</v>
      </c>
      <c r="C11703" s="391" t="s">
        <v>558</v>
      </c>
      <c r="D11703" s="479">
        <v>1.43</v>
      </c>
      <c r="E11703" s="368"/>
      <c r="F11703" s="368"/>
    </row>
    <row r="11704" spans="1:6" x14ac:dyDescent="0.2">
      <c r="A11704" s="391">
        <v>40863</v>
      </c>
      <c r="B11704" s="478" t="s">
        <v>44205</v>
      </c>
      <c r="C11704" s="391" t="s">
        <v>5681</v>
      </c>
      <c r="D11704" s="479">
        <v>270.51</v>
      </c>
      <c r="E11704" s="368"/>
      <c r="F11704" s="368"/>
    </row>
    <row r="11705" spans="1:6" x14ac:dyDescent="0.2">
      <c r="A11705" s="391">
        <v>38475</v>
      </c>
      <c r="B11705" s="478" t="s">
        <v>48277</v>
      </c>
      <c r="C11705" s="391" t="s">
        <v>26</v>
      </c>
      <c r="D11705" s="479">
        <v>59.94</v>
      </c>
      <c r="E11705" s="368"/>
      <c r="F11705" s="368"/>
    </row>
    <row r="11706" spans="1:6" x14ac:dyDescent="0.2">
      <c r="A11706" s="391">
        <v>38474</v>
      </c>
      <c r="B11706" s="478" t="s">
        <v>48278</v>
      </c>
      <c r="C11706" s="391" t="s">
        <v>26</v>
      </c>
      <c r="D11706" s="479">
        <v>60.77</v>
      </c>
      <c r="E11706" s="368"/>
      <c r="F11706" s="368"/>
    </row>
    <row r="11707" spans="1:6" ht="25.5" x14ac:dyDescent="0.2">
      <c r="A11707" s="391">
        <v>10886</v>
      </c>
      <c r="B11707" s="478" t="s">
        <v>44206</v>
      </c>
      <c r="C11707" s="391" t="s">
        <v>26</v>
      </c>
      <c r="D11707" s="479">
        <v>260.75</v>
      </c>
      <c r="E11707" s="368"/>
      <c r="F11707" s="368"/>
    </row>
    <row r="11708" spans="1:6" ht="25.5" x14ac:dyDescent="0.2">
      <c r="A11708" s="391">
        <v>10888</v>
      </c>
      <c r="B11708" s="478" t="s">
        <v>44207</v>
      </c>
      <c r="C11708" s="391" t="s">
        <v>26</v>
      </c>
      <c r="D11708" s="479">
        <v>825.23</v>
      </c>
      <c r="E11708" s="368"/>
      <c r="F11708" s="368"/>
    </row>
    <row r="11709" spans="1:6" ht="25.5" x14ac:dyDescent="0.2">
      <c r="A11709" s="391">
        <v>10889</v>
      </c>
      <c r="B11709" s="478" t="s">
        <v>44208</v>
      </c>
      <c r="C11709" s="391" t="s">
        <v>26</v>
      </c>
      <c r="D11709" s="479">
        <v>894</v>
      </c>
      <c r="E11709" s="368"/>
      <c r="F11709" s="368"/>
    </row>
    <row r="11710" spans="1:6" ht="25.5" x14ac:dyDescent="0.2">
      <c r="A11710" s="391">
        <v>10890</v>
      </c>
      <c r="B11710" s="478" t="s">
        <v>44209</v>
      </c>
      <c r="C11710" s="391" t="s">
        <v>26</v>
      </c>
      <c r="D11710" s="479">
        <v>412.61</v>
      </c>
      <c r="E11710" s="368"/>
      <c r="F11710" s="368"/>
    </row>
    <row r="11711" spans="1:6" ht="25.5" x14ac:dyDescent="0.2">
      <c r="A11711" s="391">
        <v>10891</v>
      </c>
      <c r="B11711" s="478" t="s">
        <v>44210</v>
      </c>
      <c r="C11711" s="391" t="s">
        <v>26</v>
      </c>
      <c r="D11711" s="479">
        <v>252.15</v>
      </c>
      <c r="E11711" s="368"/>
      <c r="F11711" s="368"/>
    </row>
    <row r="11712" spans="1:6" ht="25.5" x14ac:dyDescent="0.2">
      <c r="A11712" s="391">
        <v>10892</v>
      </c>
      <c r="B11712" s="478" t="s">
        <v>44211</v>
      </c>
      <c r="C11712" s="391" t="s">
        <v>26</v>
      </c>
      <c r="D11712" s="479">
        <v>298</v>
      </c>
      <c r="E11712" s="368"/>
      <c r="F11712" s="368"/>
    </row>
    <row r="11713" spans="1:6" ht="25.5" x14ac:dyDescent="0.2">
      <c r="A11713" s="391">
        <v>20977</v>
      </c>
      <c r="B11713" s="478" t="s">
        <v>44212</v>
      </c>
      <c r="C11713" s="391" t="s">
        <v>26</v>
      </c>
      <c r="D11713" s="479">
        <v>355.3</v>
      </c>
      <c r="E11713" s="368"/>
      <c r="F11713" s="368"/>
    </row>
    <row r="11714" spans="1:6" x14ac:dyDescent="0.2">
      <c r="A11714" s="391">
        <v>3073</v>
      </c>
      <c r="B11714" s="478" t="s">
        <v>44213</v>
      </c>
      <c r="C11714" s="391" t="s">
        <v>26</v>
      </c>
      <c r="D11714" s="479"/>
      <c r="E11714" s="368"/>
      <c r="F11714" s="368"/>
    </row>
    <row r="11715" spans="1:6" x14ac:dyDescent="0.2">
      <c r="A11715" s="391">
        <v>3074</v>
      </c>
      <c r="B11715" s="478" t="s">
        <v>44214</v>
      </c>
      <c r="C11715" s="391" t="s">
        <v>26</v>
      </c>
      <c r="D11715" s="479"/>
      <c r="E11715" s="368"/>
      <c r="F11715" s="368"/>
    </row>
    <row r="11716" spans="1:6" x14ac:dyDescent="0.2">
      <c r="A11716" s="391">
        <v>3076</v>
      </c>
      <c r="B11716" s="478" t="s">
        <v>44215</v>
      </c>
      <c r="C11716" s="391" t="s">
        <v>26</v>
      </c>
      <c r="D11716" s="479"/>
      <c r="E11716" s="368"/>
      <c r="F11716" s="368"/>
    </row>
    <row r="11717" spans="1:6" x14ac:dyDescent="0.2">
      <c r="A11717" s="391">
        <v>3075</v>
      </c>
      <c r="B11717" s="478" t="s">
        <v>44216</v>
      </c>
      <c r="C11717" s="391" t="s">
        <v>26</v>
      </c>
      <c r="D11717" s="479"/>
      <c r="E11717" s="368"/>
      <c r="F11717" s="368"/>
    </row>
    <row r="11718" spans="1:6" ht="25.5" x14ac:dyDescent="0.2">
      <c r="A11718" s="391">
        <v>10781</v>
      </c>
      <c r="B11718" s="478" t="s">
        <v>44217</v>
      </c>
      <c r="C11718" s="391" t="s">
        <v>26</v>
      </c>
      <c r="D11718" s="479"/>
      <c r="E11718" s="368"/>
      <c r="F11718" s="368"/>
    </row>
    <row r="11719" spans="1:6" ht="38.25" x14ac:dyDescent="0.2">
      <c r="A11719" s="391">
        <v>11480</v>
      </c>
      <c r="B11719" s="478" t="s">
        <v>44218</v>
      </c>
      <c r="C11719" s="391" t="s">
        <v>8321</v>
      </c>
      <c r="D11719" s="479">
        <v>118.37</v>
      </c>
      <c r="E11719" s="368"/>
      <c r="F11719" s="368"/>
    </row>
    <row r="11720" spans="1:6" ht="38.25" x14ac:dyDescent="0.2">
      <c r="A11720" s="391">
        <v>43612</v>
      </c>
      <c r="B11720" s="478" t="s">
        <v>44219</v>
      </c>
      <c r="C11720" s="391" t="s">
        <v>8321</v>
      </c>
      <c r="D11720" s="479">
        <v>93.17</v>
      </c>
      <c r="E11720" s="368"/>
      <c r="F11720" s="368"/>
    </row>
    <row r="11721" spans="1:6" ht="38.25" x14ac:dyDescent="0.2">
      <c r="A11721" s="391">
        <v>43613</v>
      </c>
      <c r="B11721" s="478" t="s">
        <v>44220</v>
      </c>
      <c r="C11721" s="391" t="s">
        <v>8321</v>
      </c>
      <c r="D11721" s="479">
        <v>77.13</v>
      </c>
      <c r="E11721" s="368"/>
      <c r="F11721" s="368"/>
    </row>
    <row r="11722" spans="1:6" ht="38.25" x14ac:dyDescent="0.2">
      <c r="A11722" s="391">
        <v>11469</v>
      </c>
      <c r="B11722" s="478" t="s">
        <v>44221</v>
      </c>
      <c r="C11722" s="391" t="s">
        <v>26</v>
      </c>
      <c r="D11722" s="479">
        <v>12.63</v>
      </c>
      <c r="E11722" s="368"/>
      <c r="F11722" s="368"/>
    </row>
    <row r="11723" spans="1:6" ht="25.5" x14ac:dyDescent="0.2">
      <c r="A11723" s="391">
        <v>11468</v>
      </c>
      <c r="B11723" s="478" t="s">
        <v>44222</v>
      </c>
      <c r="C11723" s="391" t="s">
        <v>26</v>
      </c>
      <c r="D11723" s="479">
        <v>12.64</v>
      </c>
      <c r="E11723" s="368"/>
      <c r="F11723" s="368"/>
    </row>
    <row r="11724" spans="1:6" ht="25.5" x14ac:dyDescent="0.2">
      <c r="A11724" s="391">
        <v>11484</v>
      </c>
      <c r="B11724" s="478" t="s">
        <v>44223</v>
      </c>
      <c r="C11724" s="391" t="s">
        <v>26</v>
      </c>
      <c r="D11724" s="479">
        <v>55.53</v>
      </c>
      <c r="E11724" s="368"/>
      <c r="F11724" s="368"/>
    </row>
    <row r="11725" spans="1:6" ht="25.5" x14ac:dyDescent="0.2">
      <c r="A11725" s="391">
        <v>38155</v>
      </c>
      <c r="B11725" s="478" t="s">
        <v>44224</v>
      </c>
      <c r="C11725" s="391" t="s">
        <v>26</v>
      </c>
      <c r="D11725" s="479">
        <v>86.22</v>
      </c>
      <c r="E11725" s="368"/>
      <c r="F11725" s="368"/>
    </row>
    <row r="11726" spans="1:6" ht="25.5" x14ac:dyDescent="0.2">
      <c r="A11726" s="391">
        <v>11467</v>
      </c>
      <c r="B11726" s="478" t="s">
        <v>44225</v>
      </c>
      <c r="C11726" s="391" t="s">
        <v>26</v>
      </c>
      <c r="D11726" s="479">
        <v>19.7</v>
      </c>
      <c r="E11726" s="368"/>
      <c r="F11726" s="368"/>
    </row>
    <row r="11727" spans="1:6" ht="51" x14ac:dyDescent="0.2">
      <c r="A11727" s="391">
        <v>38153</v>
      </c>
      <c r="B11727" s="478" t="s">
        <v>44226</v>
      </c>
      <c r="C11727" s="391" t="s">
        <v>8321</v>
      </c>
      <c r="D11727" s="479">
        <v>50.32</v>
      </c>
      <c r="E11727" s="368"/>
      <c r="F11727" s="368"/>
    </row>
    <row r="11728" spans="1:6" ht="51" x14ac:dyDescent="0.2">
      <c r="A11728" s="391">
        <v>43607</v>
      </c>
      <c r="B11728" s="478" t="s">
        <v>44227</v>
      </c>
      <c r="C11728" s="391" t="s">
        <v>8321</v>
      </c>
      <c r="D11728" s="479">
        <v>95.19</v>
      </c>
      <c r="E11728" s="368"/>
      <c r="F11728" s="368"/>
    </row>
    <row r="11729" spans="1:6" ht="51" x14ac:dyDescent="0.2">
      <c r="A11729" s="391">
        <v>3080</v>
      </c>
      <c r="B11729" s="478" t="s">
        <v>44228</v>
      </c>
      <c r="C11729" s="391" t="s">
        <v>8321</v>
      </c>
      <c r="D11729" s="479">
        <v>64</v>
      </c>
      <c r="E11729" s="368"/>
      <c r="F11729" s="368"/>
    </row>
    <row r="11730" spans="1:6" ht="51" x14ac:dyDescent="0.2">
      <c r="A11730" s="391">
        <v>3081</v>
      </c>
      <c r="B11730" s="478" t="s">
        <v>44229</v>
      </c>
      <c r="C11730" s="391" t="s">
        <v>8321</v>
      </c>
      <c r="D11730" s="479">
        <v>126.62</v>
      </c>
      <c r="E11730" s="368"/>
      <c r="F11730" s="368"/>
    </row>
    <row r="11731" spans="1:6" ht="38.25" x14ac:dyDescent="0.2">
      <c r="A11731" s="391">
        <v>3090</v>
      </c>
      <c r="B11731" s="478" t="s">
        <v>44230</v>
      </c>
      <c r="C11731" s="391" t="s">
        <v>8321</v>
      </c>
      <c r="D11731" s="479">
        <v>57.12</v>
      </c>
      <c r="E11731" s="368"/>
      <c r="F11731" s="368"/>
    </row>
    <row r="11732" spans="1:6" ht="38.25" x14ac:dyDescent="0.2">
      <c r="A11732" s="391">
        <v>43611</v>
      </c>
      <c r="B11732" s="478" t="s">
        <v>44231</v>
      </c>
      <c r="C11732" s="391" t="s">
        <v>8321</v>
      </c>
      <c r="D11732" s="479">
        <v>94.79</v>
      </c>
      <c r="E11732" s="368"/>
      <c r="F11732" s="368"/>
    </row>
    <row r="11733" spans="1:6" ht="38.25" x14ac:dyDescent="0.2">
      <c r="A11733" s="391">
        <v>3103</v>
      </c>
      <c r="B11733" s="478" t="s">
        <v>44232</v>
      </c>
      <c r="C11733" s="391" t="s">
        <v>26</v>
      </c>
      <c r="D11733" s="479">
        <v>47.36</v>
      </c>
      <c r="E11733" s="368"/>
      <c r="F11733" s="368"/>
    </row>
    <row r="11734" spans="1:6" ht="51" x14ac:dyDescent="0.2">
      <c r="A11734" s="391">
        <v>3097</v>
      </c>
      <c r="B11734" s="478" t="s">
        <v>44233</v>
      </c>
      <c r="C11734" s="391" t="s">
        <v>8321</v>
      </c>
      <c r="D11734" s="479">
        <v>71.66</v>
      </c>
      <c r="E11734" s="368"/>
      <c r="F11734" s="368"/>
    </row>
    <row r="11735" spans="1:6" ht="51" x14ac:dyDescent="0.2">
      <c r="A11735" s="391">
        <v>3099</v>
      </c>
      <c r="B11735" s="478" t="s">
        <v>44234</v>
      </c>
      <c r="C11735" s="391" t="s">
        <v>8321</v>
      </c>
      <c r="D11735" s="479">
        <v>114.74</v>
      </c>
      <c r="E11735" s="368"/>
      <c r="F11735" s="368"/>
    </row>
    <row r="11736" spans="1:6" ht="51" x14ac:dyDescent="0.2">
      <c r="A11736" s="391">
        <v>38151</v>
      </c>
      <c r="B11736" s="478" t="s">
        <v>44235</v>
      </c>
      <c r="C11736" s="391" t="s">
        <v>8321</v>
      </c>
      <c r="D11736" s="479">
        <v>83.18</v>
      </c>
      <c r="E11736" s="368"/>
      <c r="F11736" s="368"/>
    </row>
    <row r="11737" spans="1:6" ht="51" x14ac:dyDescent="0.2">
      <c r="A11737" s="391">
        <v>38152</v>
      </c>
      <c r="B11737" s="478" t="s">
        <v>44236</v>
      </c>
      <c r="C11737" s="391" t="s">
        <v>8321</v>
      </c>
      <c r="D11737" s="479">
        <v>134.18</v>
      </c>
      <c r="E11737" s="368"/>
      <c r="F11737" s="368"/>
    </row>
    <row r="11738" spans="1:6" ht="51" x14ac:dyDescent="0.2">
      <c r="A11738" s="391">
        <v>43610</v>
      </c>
      <c r="B11738" s="478" t="s">
        <v>44237</v>
      </c>
      <c r="C11738" s="391" t="s">
        <v>8321</v>
      </c>
      <c r="D11738" s="479">
        <v>71.099999999999994</v>
      </c>
      <c r="E11738" s="368"/>
      <c r="F11738" s="368"/>
    </row>
    <row r="11739" spans="1:6" ht="51" x14ac:dyDescent="0.2">
      <c r="A11739" s="391">
        <v>3093</v>
      </c>
      <c r="B11739" s="478" t="s">
        <v>44238</v>
      </c>
      <c r="C11739" s="391" t="s">
        <v>8321</v>
      </c>
      <c r="D11739" s="479">
        <v>114.74</v>
      </c>
      <c r="E11739" s="368"/>
      <c r="F11739" s="368"/>
    </row>
    <row r="11740" spans="1:6" ht="38.25" x14ac:dyDescent="0.2">
      <c r="A11740" s="391">
        <v>38165</v>
      </c>
      <c r="B11740" s="478" t="s">
        <v>44239</v>
      </c>
      <c r="C11740" s="391" t="s">
        <v>8321</v>
      </c>
      <c r="D11740" s="479">
        <v>72.42</v>
      </c>
      <c r="E11740" s="368"/>
      <c r="F11740" s="368"/>
    </row>
    <row r="11741" spans="1:6" ht="25.5" x14ac:dyDescent="0.2">
      <c r="A11741" s="391">
        <v>38177</v>
      </c>
      <c r="B11741" s="478" t="s">
        <v>44240</v>
      </c>
      <c r="C11741" s="391" t="s">
        <v>26</v>
      </c>
      <c r="D11741" s="479">
        <v>21.52</v>
      </c>
      <c r="E11741" s="368"/>
      <c r="F11741" s="368"/>
    </row>
    <row r="11742" spans="1:6" ht="25.5" x14ac:dyDescent="0.2">
      <c r="A11742" s="391">
        <v>11458</v>
      </c>
      <c r="B11742" s="478" t="s">
        <v>44241</v>
      </c>
      <c r="C11742" s="391" t="s">
        <v>26</v>
      </c>
      <c r="D11742" s="479">
        <v>25.69</v>
      </c>
      <c r="E11742" s="368"/>
      <c r="F11742" s="368"/>
    </row>
    <row r="11743" spans="1:6" ht="51" x14ac:dyDescent="0.2">
      <c r="A11743" s="391">
        <v>3108</v>
      </c>
      <c r="B11743" s="478" t="s">
        <v>44242</v>
      </c>
      <c r="C11743" s="391" t="s">
        <v>26</v>
      </c>
      <c r="D11743" s="479">
        <v>109.21</v>
      </c>
      <c r="E11743" s="368"/>
      <c r="F11743" s="368"/>
    </row>
    <row r="11744" spans="1:6" ht="51" x14ac:dyDescent="0.2">
      <c r="A11744" s="391">
        <v>3105</v>
      </c>
      <c r="B11744" s="478" t="s">
        <v>44243</v>
      </c>
      <c r="C11744" s="391" t="s">
        <v>26</v>
      </c>
      <c r="D11744" s="479">
        <v>142.84</v>
      </c>
      <c r="E11744" s="368"/>
      <c r="F11744" s="368"/>
    </row>
    <row r="11745" spans="1:6" ht="38.25" x14ac:dyDescent="0.2">
      <c r="A11745" s="391">
        <v>38178</v>
      </c>
      <c r="B11745" s="478" t="s">
        <v>44244</v>
      </c>
      <c r="C11745" s="391" t="s">
        <v>26</v>
      </c>
      <c r="D11745" s="479">
        <v>23.67</v>
      </c>
      <c r="E11745" s="368"/>
      <c r="F11745" s="368"/>
    </row>
    <row r="11746" spans="1:6" ht="38.25" x14ac:dyDescent="0.2">
      <c r="A11746" s="391">
        <v>43575</v>
      </c>
      <c r="B11746" s="478" t="s">
        <v>44245</v>
      </c>
      <c r="C11746" s="391" t="s">
        <v>26</v>
      </c>
      <c r="D11746" s="479">
        <v>51.3</v>
      </c>
      <c r="E11746" s="368"/>
      <c r="F11746" s="368"/>
    </row>
    <row r="11747" spans="1:6" ht="38.25" x14ac:dyDescent="0.2">
      <c r="A11747" s="391">
        <v>43577</v>
      </c>
      <c r="B11747" s="478" t="s">
        <v>44246</v>
      </c>
      <c r="C11747" s="391" t="s">
        <v>26</v>
      </c>
      <c r="D11747" s="479">
        <v>89.19</v>
      </c>
      <c r="E11747" s="368"/>
      <c r="F11747" s="368"/>
    </row>
    <row r="11748" spans="1:6" ht="25.5" x14ac:dyDescent="0.2">
      <c r="A11748" s="391">
        <v>43458</v>
      </c>
      <c r="B11748" s="478" t="s">
        <v>44247</v>
      </c>
      <c r="C11748" s="391" t="s">
        <v>558</v>
      </c>
      <c r="D11748" s="479">
        <v>0.06</v>
      </c>
      <c r="E11748" s="368"/>
      <c r="F11748" s="368"/>
    </row>
    <row r="11749" spans="1:6" ht="25.5" x14ac:dyDescent="0.2">
      <c r="A11749" s="391">
        <v>43470</v>
      </c>
      <c r="B11749" s="478" t="s">
        <v>44248</v>
      </c>
      <c r="C11749" s="391" t="s">
        <v>5681</v>
      </c>
      <c r="D11749" s="479">
        <v>11.14</v>
      </c>
      <c r="E11749" s="368"/>
      <c r="F11749" s="368"/>
    </row>
    <row r="11750" spans="1:6" ht="25.5" x14ac:dyDescent="0.2">
      <c r="A11750" s="391">
        <v>43459</v>
      </c>
      <c r="B11750" s="478" t="s">
        <v>44249</v>
      </c>
      <c r="C11750" s="391" t="s">
        <v>558</v>
      </c>
      <c r="D11750" s="479">
        <v>0.44</v>
      </c>
      <c r="E11750" s="368"/>
      <c r="F11750" s="368"/>
    </row>
    <row r="11751" spans="1:6" ht="25.5" x14ac:dyDescent="0.2">
      <c r="A11751" s="391">
        <v>43471</v>
      </c>
      <c r="B11751" s="478" t="s">
        <v>44250</v>
      </c>
      <c r="C11751" s="391" t="s">
        <v>5681</v>
      </c>
      <c r="D11751" s="479">
        <v>82.31</v>
      </c>
      <c r="E11751" s="368"/>
      <c r="F11751" s="368"/>
    </row>
    <row r="11752" spans="1:6" ht="25.5" x14ac:dyDescent="0.2">
      <c r="A11752" s="391">
        <v>43460</v>
      </c>
      <c r="B11752" s="478" t="s">
        <v>44251</v>
      </c>
      <c r="C11752" s="391" t="s">
        <v>558</v>
      </c>
      <c r="D11752" s="479">
        <v>0.86</v>
      </c>
      <c r="E11752" s="368"/>
      <c r="F11752" s="368"/>
    </row>
    <row r="11753" spans="1:6" ht="25.5" x14ac:dyDescent="0.2">
      <c r="A11753" s="391">
        <v>43472</v>
      </c>
      <c r="B11753" s="478" t="s">
        <v>44252</v>
      </c>
      <c r="C11753" s="391" t="s">
        <v>5681</v>
      </c>
      <c r="D11753" s="479">
        <v>161.72999999999999</v>
      </c>
      <c r="E11753" s="368"/>
      <c r="F11753" s="368"/>
    </row>
    <row r="11754" spans="1:6" ht="25.5" x14ac:dyDescent="0.2">
      <c r="A11754" s="391">
        <v>43461</v>
      </c>
      <c r="B11754" s="478" t="s">
        <v>44253</v>
      </c>
      <c r="C11754" s="391" t="s">
        <v>558</v>
      </c>
      <c r="D11754" s="479">
        <v>0.31</v>
      </c>
      <c r="E11754" s="368"/>
      <c r="F11754" s="368"/>
    </row>
    <row r="11755" spans="1:6" ht="25.5" x14ac:dyDescent="0.2">
      <c r="A11755" s="391">
        <v>43473</v>
      </c>
      <c r="B11755" s="478" t="s">
        <v>44254</v>
      </c>
      <c r="C11755" s="391" t="s">
        <v>5681</v>
      </c>
      <c r="D11755" s="479">
        <v>59.01</v>
      </c>
      <c r="E11755" s="368"/>
      <c r="F11755" s="368"/>
    </row>
    <row r="11756" spans="1:6" ht="25.5" x14ac:dyDescent="0.2">
      <c r="A11756" s="391">
        <v>43463</v>
      </c>
      <c r="B11756" s="478" t="s">
        <v>44255</v>
      </c>
      <c r="C11756" s="391" t="s">
        <v>558</v>
      </c>
      <c r="D11756" s="479">
        <v>0.08</v>
      </c>
      <c r="E11756" s="368"/>
      <c r="F11756" s="368"/>
    </row>
    <row r="11757" spans="1:6" ht="25.5" x14ac:dyDescent="0.2">
      <c r="A11757" s="391">
        <v>43475</v>
      </c>
      <c r="B11757" s="478" t="s">
        <v>44256</v>
      </c>
      <c r="C11757" s="391" t="s">
        <v>5681</v>
      </c>
      <c r="D11757" s="479">
        <v>15.46</v>
      </c>
      <c r="E11757" s="368"/>
      <c r="F11757" s="368"/>
    </row>
    <row r="11758" spans="1:6" ht="25.5" x14ac:dyDescent="0.2">
      <c r="A11758" s="391">
        <v>43462</v>
      </c>
      <c r="B11758" s="478" t="s">
        <v>44257</v>
      </c>
      <c r="C11758" s="391" t="s">
        <v>558</v>
      </c>
      <c r="D11758" s="479">
        <v>0.01</v>
      </c>
      <c r="E11758" s="368"/>
      <c r="F11758" s="368"/>
    </row>
    <row r="11759" spans="1:6" ht="25.5" x14ac:dyDescent="0.2">
      <c r="A11759" s="391">
        <v>43474</v>
      </c>
      <c r="B11759" s="478" t="s">
        <v>44258</v>
      </c>
      <c r="C11759" s="391" t="s">
        <v>5681</v>
      </c>
      <c r="D11759" s="479">
        <v>2.35</v>
      </c>
      <c r="E11759" s="368"/>
      <c r="F11759" s="368"/>
    </row>
    <row r="11760" spans="1:6" ht="25.5" x14ac:dyDescent="0.2">
      <c r="A11760" s="391">
        <v>43464</v>
      </c>
      <c r="B11760" s="478" t="s">
        <v>44259</v>
      </c>
      <c r="C11760" s="391" t="s">
        <v>558</v>
      </c>
      <c r="D11760" s="479">
        <v>0.01</v>
      </c>
      <c r="E11760" s="368"/>
      <c r="F11760" s="368"/>
    </row>
    <row r="11761" spans="1:6" ht="25.5" x14ac:dyDescent="0.2">
      <c r="A11761" s="391">
        <v>43476</v>
      </c>
      <c r="B11761" s="478" t="s">
        <v>44260</v>
      </c>
      <c r="C11761" s="391" t="s">
        <v>5681</v>
      </c>
      <c r="D11761" s="479">
        <v>0.01</v>
      </c>
      <c r="E11761" s="368"/>
      <c r="F11761" s="368"/>
    </row>
    <row r="11762" spans="1:6" ht="25.5" x14ac:dyDescent="0.2">
      <c r="A11762" s="391">
        <v>43465</v>
      </c>
      <c r="B11762" s="478" t="s">
        <v>44261</v>
      </c>
      <c r="C11762" s="391" t="s">
        <v>558</v>
      </c>
      <c r="D11762" s="479">
        <v>0.78</v>
      </c>
      <c r="E11762" s="368"/>
      <c r="F11762" s="368"/>
    </row>
    <row r="11763" spans="1:6" ht="25.5" x14ac:dyDescent="0.2">
      <c r="A11763" s="391">
        <v>43477</v>
      </c>
      <c r="B11763" s="478" t="s">
        <v>44262</v>
      </c>
      <c r="C11763" s="391" t="s">
        <v>5681</v>
      </c>
      <c r="D11763" s="479">
        <v>147.87</v>
      </c>
      <c r="E11763" s="368"/>
      <c r="F11763" s="368"/>
    </row>
    <row r="11764" spans="1:6" ht="25.5" x14ac:dyDescent="0.2">
      <c r="A11764" s="391">
        <v>43466</v>
      </c>
      <c r="B11764" s="478" t="s">
        <v>44263</v>
      </c>
      <c r="C11764" s="391" t="s">
        <v>558</v>
      </c>
      <c r="D11764" s="479">
        <v>2.0499999999999998</v>
      </c>
      <c r="E11764" s="368"/>
      <c r="F11764" s="368"/>
    </row>
    <row r="11765" spans="1:6" ht="25.5" x14ac:dyDescent="0.2">
      <c r="A11765" s="391">
        <v>43478</v>
      </c>
      <c r="B11765" s="478" t="s">
        <v>44264</v>
      </c>
      <c r="C11765" s="391" t="s">
        <v>5681</v>
      </c>
      <c r="D11765" s="479">
        <v>387.36</v>
      </c>
      <c r="E11765" s="368"/>
      <c r="F11765" s="368"/>
    </row>
    <row r="11766" spans="1:6" ht="25.5" x14ac:dyDescent="0.2">
      <c r="A11766" s="391">
        <v>43467</v>
      </c>
      <c r="B11766" s="478" t="s">
        <v>44265</v>
      </c>
      <c r="C11766" s="391" t="s">
        <v>558</v>
      </c>
      <c r="D11766" s="479">
        <v>0.61</v>
      </c>
      <c r="E11766" s="368"/>
      <c r="F11766" s="368"/>
    </row>
    <row r="11767" spans="1:6" ht="25.5" x14ac:dyDescent="0.2">
      <c r="A11767" s="391">
        <v>43479</v>
      </c>
      <c r="B11767" s="478" t="s">
        <v>44266</v>
      </c>
      <c r="C11767" s="391" t="s">
        <v>5681</v>
      </c>
      <c r="D11767" s="479">
        <v>114.77</v>
      </c>
      <c r="E11767" s="368"/>
      <c r="F11767" s="368"/>
    </row>
    <row r="11768" spans="1:6" ht="25.5" x14ac:dyDescent="0.2">
      <c r="A11768" s="391">
        <v>43468</v>
      </c>
      <c r="B11768" s="478" t="s">
        <v>44267</v>
      </c>
      <c r="C11768" s="391" t="s">
        <v>558</v>
      </c>
      <c r="D11768" s="479">
        <v>1.21</v>
      </c>
      <c r="E11768" s="368"/>
      <c r="F11768" s="368"/>
    </row>
    <row r="11769" spans="1:6" ht="25.5" x14ac:dyDescent="0.2">
      <c r="A11769" s="391">
        <v>43480</v>
      </c>
      <c r="B11769" s="478" t="s">
        <v>44268</v>
      </c>
      <c r="C11769" s="391" t="s">
        <v>5681</v>
      </c>
      <c r="D11769" s="479">
        <v>228.92</v>
      </c>
      <c r="E11769" s="368"/>
      <c r="F11769" s="368"/>
    </row>
    <row r="11770" spans="1:6" ht="25.5" x14ac:dyDescent="0.2">
      <c r="A11770" s="391">
        <v>43469</v>
      </c>
      <c r="B11770" s="478" t="s">
        <v>44269</v>
      </c>
      <c r="C11770" s="391" t="s">
        <v>558</v>
      </c>
      <c r="D11770" s="479">
        <v>0.05</v>
      </c>
      <c r="E11770" s="368"/>
      <c r="F11770" s="368"/>
    </row>
    <row r="11771" spans="1:6" ht="25.5" x14ac:dyDescent="0.2">
      <c r="A11771" s="391">
        <v>43481</v>
      </c>
      <c r="B11771" s="478" t="s">
        <v>44270</v>
      </c>
      <c r="C11771" s="391" t="s">
        <v>5681</v>
      </c>
      <c r="D11771" s="479">
        <v>9.89</v>
      </c>
      <c r="E11771" s="368"/>
      <c r="F11771" s="368"/>
    </row>
    <row r="11772" spans="1:6" x14ac:dyDescent="0.2">
      <c r="A11772" s="391">
        <v>45204</v>
      </c>
      <c r="B11772" s="478" t="s">
        <v>48279</v>
      </c>
      <c r="C11772" s="391" t="s">
        <v>26</v>
      </c>
      <c r="D11772" s="479">
        <v>44.35</v>
      </c>
      <c r="E11772" s="368"/>
      <c r="F11772" s="368"/>
    </row>
    <row r="11773" spans="1:6" ht="38.25" x14ac:dyDescent="0.2">
      <c r="A11773" s="391">
        <v>3119</v>
      </c>
      <c r="B11773" s="478" t="s">
        <v>44271</v>
      </c>
      <c r="C11773" s="391" t="s">
        <v>26</v>
      </c>
      <c r="D11773" s="479">
        <v>2.78</v>
      </c>
      <c r="E11773" s="368"/>
      <c r="F11773" s="368"/>
    </row>
    <row r="11774" spans="1:6" ht="38.25" x14ac:dyDescent="0.2">
      <c r="A11774" s="391">
        <v>3122</v>
      </c>
      <c r="B11774" s="478" t="s">
        <v>44272</v>
      </c>
      <c r="C11774" s="391" t="s">
        <v>26</v>
      </c>
      <c r="D11774" s="479">
        <v>5.66</v>
      </c>
      <c r="E11774" s="368"/>
      <c r="F11774" s="368"/>
    </row>
    <row r="11775" spans="1:6" ht="38.25" x14ac:dyDescent="0.2">
      <c r="A11775" s="391">
        <v>3121</v>
      </c>
      <c r="B11775" s="478" t="s">
        <v>44273</v>
      </c>
      <c r="C11775" s="391" t="s">
        <v>26</v>
      </c>
      <c r="D11775" s="479">
        <v>6.41</v>
      </c>
      <c r="E11775" s="368"/>
      <c r="F11775" s="368"/>
    </row>
    <row r="11776" spans="1:6" ht="38.25" x14ac:dyDescent="0.2">
      <c r="A11776" s="391">
        <v>3120</v>
      </c>
      <c r="B11776" s="478" t="s">
        <v>44274</v>
      </c>
      <c r="C11776" s="391" t="s">
        <v>26</v>
      </c>
      <c r="D11776" s="479">
        <v>12.16</v>
      </c>
      <c r="E11776" s="368"/>
      <c r="F11776" s="368"/>
    </row>
    <row r="11777" spans="1:6" ht="38.25" x14ac:dyDescent="0.2">
      <c r="A11777" s="391">
        <v>11455</v>
      </c>
      <c r="B11777" s="478" t="s">
        <v>44275</v>
      </c>
      <c r="C11777" s="391" t="s">
        <v>26</v>
      </c>
      <c r="D11777" s="479">
        <v>17.59</v>
      </c>
      <c r="E11777" s="368"/>
      <c r="F11777" s="368"/>
    </row>
    <row r="11778" spans="1:6" ht="38.25" x14ac:dyDescent="0.2">
      <c r="A11778" s="391">
        <v>11456</v>
      </c>
      <c r="B11778" s="478" t="s">
        <v>44276</v>
      </c>
      <c r="C11778" s="391" t="s">
        <v>26</v>
      </c>
      <c r="D11778" s="479">
        <v>21.02</v>
      </c>
      <c r="E11778" s="368"/>
      <c r="F11778" s="368"/>
    </row>
    <row r="11779" spans="1:6" ht="51" x14ac:dyDescent="0.2">
      <c r="A11779" s="391">
        <v>3107</v>
      </c>
      <c r="B11779" s="478" t="s">
        <v>44277</v>
      </c>
      <c r="C11779" s="391" t="s">
        <v>26</v>
      </c>
      <c r="D11779" s="479">
        <v>8.8699999999999992</v>
      </c>
      <c r="E11779" s="368"/>
      <c r="F11779" s="368"/>
    </row>
    <row r="11780" spans="1:6" ht="51" x14ac:dyDescent="0.2">
      <c r="A11780" s="391">
        <v>43583</v>
      </c>
      <c r="B11780" s="478" t="s">
        <v>44278</v>
      </c>
      <c r="C11780" s="391" t="s">
        <v>26</v>
      </c>
      <c r="D11780" s="479">
        <v>10</v>
      </c>
      <c r="E11780" s="368"/>
      <c r="F11780" s="368"/>
    </row>
    <row r="11781" spans="1:6" ht="38.25" x14ac:dyDescent="0.2">
      <c r="A11781" s="391">
        <v>43586</v>
      </c>
      <c r="B11781" s="478" t="s">
        <v>44279</v>
      </c>
      <c r="C11781" s="391" t="s">
        <v>26</v>
      </c>
      <c r="D11781" s="479">
        <v>10.25</v>
      </c>
      <c r="E11781" s="368"/>
      <c r="F11781" s="368"/>
    </row>
    <row r="11782" spans="1:6" ht="38.25" x14ac:dyDescent="0.2">
      <c r="A11782" s="391">
        <v>11461</v>
      </c>
      <c r="B11782" s="478" t="s">
        <v>44280</v>
      </c>
      <c r="C11782" s="391" t="s">
        <v>26</v>
      </c>
      <c r="D11782" s="479">
        <v>11.17</v>
      </c>
      <c r="E11782" s="368"/>
      <c r="F11782" s="368"/>
    </row>
    <row r="11783" spans="1:6" ht="38.25" x14ac:dyDescent="0.2">
      <c r="A11783" s="391">
        <v>43587</v>
      </c>
      <c r="B11783" s="478" t="s">
        <v>44281</v>
      </c>
      <c r="C11783" s="391" t="s">
        <v>26</v>
      </c>
      <c r="D11783" s="479">
        <v>12.89</v>
      </c>
      <c r="E11783" s="368"/>
      <c r="F11783" s="368"/>
    </row>
    <row r="11784" spans="1:6" ht="51" x14ac:dyDescent="0.2">
      <c r="A11784" s="391">
        <v>3106</v>
      </c>
      <c r="B11784" s="478" t="s">
        <v>44282</v>
      </c>
      <c r="C11784" s="391" t="s">
        <v>26</v>
      </c>
      <c r="D11784" s="479">
        <v>16.350000000000001</v>
      </c>
      <c r="E11784" s="368"/>
      <c r="F11784" s="368"/>
    </row>
    <row r="11785" spans="1:6" x14ac:dyDescent="0.2">
      <c r="A11785" s="391">
        <v>44539</v>
      </c>
      <c r="B11785" s="478" t="s">
        <v>48280</v>
      </c>
      <c r="C11785" s="391" t="s">
        <v>1284</v>
      </c>
      <c r="D11785" s="479">
        <v>4.72</v>
      </c>
      <c r="E11785" s="368"/>
      <c r="F11785" s="368"/>
    </row>
    <row r="11786" spans="1:6" x14ac:dyDescent="0.2">
      <c r="A11786" s="391">
        <v>3123</v>
      </c>
      <c r="B11786" s="478" t="s">
        <v>44283</v>
      </c>
      <c r="C11786" s="391" t="s">
        <v>1284</v>
      </c>
      <c r="D11786" s="479">
        <v>4.4000000000000004</v>
      </c>
      <c r="E11786" s="368"/>
      <c r="F11786" s="368"/>
    </row>
    <row r="11787" spans="1:6" x14ac:dyDescent="0.2">
      <c r="A11787" s="391">
        <v>38125</v>
      </c>
      <c r="B11787" s="478" t="s">
        <v>44284</v>
      </c>
      <c r="C11787" s="391" t="s">
        <v>1284</v>
      </c>
      <c r="D11787" s="479">
        <v>2.48</v>
      </c>
      <c r="E11787" s="368"/>
      <c r="F11787" s="368"/>
    </row>
    <row r="11788" spans="1:6" ht="38.25" x14ac:dyDescent="0.2">
      <c r="A11788" s="391">
        <v>39014</v>
      </c>
      <c r="B11788" s="478" t="s">
        <v>44285</v>
      </c>
      <c r="C11788" s="391" t="s">
        <v>1284</v>
      </c>
      <c r="D11788" s="479"/>
      <c r="E11788" s="368"/>
      <c r="F11788" s="368"/>
    </row>
    <row r="11789" spans="1:6" ht="25.5" x14ac:dyDescent="0.2">
      <c r="A11789" s="391">
        <v>39365</v>
      </c>
      <c r="B11789" s="478" t="s">
        <v>44286</v>
      </c>
      <c r="C11789" s="391" t="s">
        <v>26</v>
      </c>
      <c r="D11789" s="479">
        <v>2135.5500000000002</v>
      </c>
      <c r="E11789" s="368"/>
      <c r="F11789" s="368"/>
    </row>
    <row r="11790" spans="1:6" ht="25.5" x14ac:dyDescent="0.2">
      <c r="A11790" s="391">
        <v>39366</v>
      </c>
      <c r="B11790" s="478" t="s">
        <v>44287</v>
      </c>
      <c r="C11790" s="391" t="s">
        <v>26</v>
      </c>
      <c r="D11790" s="479">
        <v>3239.98</v>
      </c>
      <c r="E11790" s="368"/>
      <c r="F11790" s="368"/>
    </row>
    <row r="11791" spans="1:6" ht="25.5" x14ac:dyDescent="0.2">
      <c r="A11791" s="391">
        <v>39367</v>
      </c>
      <c r="B11791" s="478" t="s">
        <v>44288</v>
      </c>
      <c r="C11791" s="391" t="s">
        <v>26</v>
      </c>
      <c r="D11791" s="479">
        <v>5551.48</v>
      </c>
      <c r="E11791" s="368"/>
      <c r="F11791" s="368"/>
    </row>
    <row r="11792" spans="1:6" ht="25.5" x14ac:dyDescent="0.2">
      <c r="A11792" s="391">
        <v>45263</v>
      </c>
      <c r="B11792" s="478" t="s">
        <v>48281</v>
      </c>
      <c r="C11792" s="391" t="s">
        <v>26</v>
      </c>
      <c r="D11792" s="479">
        <v>19.45</v>
      </c>
      <c r="E11792" s="368"/>
      <c r="F11792" s="368"/>
    </row>
    <row r="11793" spans="1:6" ht="25.5" x14ac:dyDescent="0.2">
      <c r="A11793" s="391">
        <v>37394</v>
      </c>
      <c r="B11793" s="478" t="s">
        <v>44289</v>
      </c>
      <c r="C11793" s="391" t="s">
        <v>44290</v>
      </c>
      <c r="D11793" s="479"/>
      <c r="E11793" s="368"/>
      <c r="F11793" s="368"/>
    </row>
    <row r="11794" spans="1:6" ht="25.5" x14ac:dyDescent="0.2">
      <c r="A11794" s="391">
        <v>14146</v>
      </c>
      <c r="B11794" s="478" t="s">
        <v>44291</v>
      </c>
      <c r="C11794" s="391" t="s">
        <v>44290</v>
      </c>
      <c r="D11794" s="479"/>
      <c r="E11794" s="368"/>
      <c r="F11794" s="368"/>
    </row>
    <row r="11795" spans="1:6" ht="25.5" x14ac:dyDescent="0.2">
      <c r="A11795" s="391">
        <v>938</v>
      </c>
      <c r="B11795" s="478" t="s">
        <v>44292</v>
      </c>
      <c r="C11795" s="391" t="s">
        <v>0</v>
      </c>
      <c r="D11795" s="479">
        <v>1.65</v>
      </c>
      <c r="E11795" s="368"/>
      <c r="F11795" s="368"/>
    </row>
    <row r="11796" spans="1:6" ht="25.5" x14ac:dyDescent="0.2">
      <c r="A11796" s="391">
        <v>937</v>
      </c>
      <c r="B11796" s="478" t="s">
        <v>44293</v>
      </c>
      <c r="C11796" s="391" t="s">
        <v>0</v>
      </c>
      <c r="D11796" s="479">
        <v>9.6300000000000008</v>
      </c>
      <c r="E11796" s="368"/>
      <c r="F11796" s="368"/>
    </row>
    <row r="11797" spans="1:6" ht="25.5" x14ac:dyDescent="0.2">
      <c r="A11797" s="391">
        <v>939</v>
      </c>
      <c r="B11797" s="478" t="s">
        <v>44294</v>
      </c>
      <c r="C11797" s="391" t="s">
        <v>0</v>
      </c>
      <c r="D11797" s="479">
        <v>2.67</v>
      </c>
      <c r="E11797" s="368"/>
      <c r="F11797" s="368"/>
    </row>
    <row r="11798" spans="1:6" ht="25.5" x14ac:dyDescent="0.2">
      <c r="A11798" s="391">
        <v>944</v>
      </c>
      <c r="B11798" s="478" t="s">
        <v>44295</v>
      </c>
      <c r="C11798" s="391" t="s">
        <v>0</v>
      </c>
      <c r="D11798" s="479">
        <v>4.22</v>
      </c>
      <c r="E11798" s="368"/>
      <c r="F11798" s="368"/>
    </row>
    <row r="11799" spans="1:6" ht="25.5" x14ac:dyDescent="0.2">
      <c r="A11799" s="391">
        <v>940</v>
      </c>
      <c r="B11799" s="478" t="s">
        <v>44296</v>
      </c>
      <c r="C11799" s="391" t="s">
        <v>0</v>
      </c>
      <c r="D11799" s="479">
        <v>6.1</v>
      </c>
      <c r="E11799" s="368"/>
      <c r="F11799" s="368"/>
    </row>
    <row r="11800" spans="1:6" ht="25.5" x14ac:dyDescent="0.2">
      <c r="A11800" s="391">
        <v>44397</v>
      </c>
      <c r="B11800" s="478" t="s">
        <v>44297</v>
      </c>
      <c r="C11800" s="391" t="s">
        <v>0</v>
      </c>
      <c r="D11800" s="479">
        <v>4</v>
      </c>
      <c r="E11800" s="368"/>
      <c r="F11800" s="368"/>
    </row>
    <row r="11801" spans="1:6" x14ac:dyDescent="0.2">
      <c r="A11801" s="391">
        <v>406</v>
      </c>
      <c r="B11801" s="478" t="s">
        <v>44298</v>
      </c>
      <c r="C11801" s="391" t="s">
        <v>26</v>
      </c>
      <c r="D11801" s="479">
        <v>73.73</v>
      </c>
      <c r="E11801" s="368"/>
      <c r="F11801" s="368"/>
    </row>
    <row r="11802" spans="1:6" ht="25.5" x14ac:dyDescent="0.2">
      <c r="A11802" s="391">
        <v>42529</v>
      </c>
      <c r="B11802" s="478" t="s">
        <v>44299</v>
      </c>
      <c r="C11802" s="391" t="s">
        <v>0</v>
      </c>
      <c r="D11802" s="479"/>
      <c r="E11802" s="368"/>
      <c r="F11802" s="368"/>
    </row>
    <row r="11803" spans="1:6" ht="25.5" x14ac:dyDescent="0.2">
      <c r="A11803" s="391">
        <v>39634</v>
      </c>
      <c r="B11803" s="478" t="s">
        <v>44300</v>
      </c>
      <c r="C11803" s="391" t="s">
        <v>0</v>
      </c>
      <c r="D11803" s="479">
        <v>7.75</v>
      </c>
      <c r="E11803" s="368"/>
      <c r="F11803" s="368"/>
    </row>
    <row r="11804" spans="1:6" x14ac:dyDescent="0.2">
      <c r="A11804" s="391">
        <v>39701</v>
      </c>
      <c r="B11804" s="478" t="s">
        <v>44301</v>
      </c>
      <c r="C11804" s="391" t="s">
        <v>26</v>
      </c>
      <c r="D11804" s="479"/>
      <c r="E11804" s="368"/>
      <c r="F11804" s="368"/>
    </row>
    <row r="11805" spans="1:6" x14ac:dyDescent="0.2">
      <c r="A11805" s="391">
        <v>12815</v>
      </c>
      <c r="B11805" s="478" t="s">
        <v>44302</v>
      </c>
      <c r="C11805" s="391" t="s">
        <v>26</v>
      </c>
      <c r="D11805" s="479">
        <v>9.98</v>
      </c>
      <c r="E11805" s="368"/>
      <c r="F11805" s="368"/>
    </row>
    <row r="11806" spans="1:6" ht="25.5" x14ac:dyDescent="0.2">
      <c r="A11806" s="391">
        <v>39431</v>
      </c>
      <c r="B11806" s="478" t="s">
        <v>44303</v>
      </c>
      <c r="C11806" s="391" t="s">
        <v>0</v>
      </c>
      <c r="D11806" s="479">
        <v>0.32</v>
      </c>
      <c r="E11806" s="368"/>
      <c r="F11806" s="368"/>
    </row>
    <row r="11807" spans="1:6" ht="25.5" x14ac:dyDescent="0.2">
      <c r="A11807" s="391">
        <v>39432</v>
      </c>
      <c r="B11807" s="478" t="s">
        <v>44304</v>
      </c>
      <c r="C11807" s="391" t="s">
        <v>0</v>
      </c>
      <c r="D11807" s="479">
        <v>2.9</v>
      </c>
      <c r="E11807" s="368"/>
      <c r="F11807" s="368"/>
    </row>
    <row r="11808" spans="1:6" ht="25.5" x14ac:dyDescent="0.2">
      <c r="A11808" s="391">
        <v>20111</v>
      </c>
      <c r="B11808" s="478" t="s">
        <v>44305</v>
      </c>
      <c r="C11808" s="391" t="s">
        <v>26</v>
      </c>
      <c r="D11808" s="479">
        <v>10</v>
      </c>
      <c r="E11808" s="368"/>
      <c r="F11808" s="368"/>
    </row>
    <row r="11809" spans="1:6" x14ac:dyDescent="0.2">
      <c r="A11809" s="391">
        <v>21127</v>
      </c>
      <c r="B11809" s="478" t="s">
        <v>44306</v>
      </c>
      <c r="C11809" s="391" t="s">
        <v>26</v>
      </c>
      <c r="D11809" s="479">
        <v>3.78</v>
      </c>
      <c r="E11809" s="368"/>
      <c r="F11809" s="368"/>
    </row>
    <row r="11810" spans="1:6" ht="25.5" x14ac:dyDescent="0.2">
      <c r="A11810" s="391">
        <v>404</v>
      </c>
      <c r="B11810" s="478" t="s">
        <v>44307</v>
      </c>
      <c r="C11810" s="391" t="s">
        <v>0</v>
      </c>
      <c r="D11810" s="479">
        <v>1.36</v>
      </c>
      <c r="E11810" s="368"/>
      <c r="F11810" s="368"/>
    </row>
    <row r="11811" spans="1:6" ht="25.5" x14ac:dyDescent="0.2">
      <c r="A11811" s="391">
        <v>14151</v>
      </c>
      <c r="B11811" s="478" t="s">
        <v>44308</v>
      </c>
      <c r="C11811" s="391" t="s">
        <v>26</v>
      </c>
      <c r="D11811" s="479"/>
      <c r="E11811" s="368"/>
      <c r="F11811" s="368"/>
    </row>
    <row r="11812" spans="1:6" ht="25.5" x14ac:dyDescent="0.2">
      <c r="A11812" s="391">
        <v>14153</v>
      </c>
      <c r="B11812" s="478" t="s">
        <v>44309</v>
      </c>
      <c r="C11812" s="391" t="s">
        <v>26</v>
      </c>
      <c r="D11812" s="479"/>
      <c r="E11812" s="368"/>
      <c r="F11812" s="368"/>
    </row>
    <row r="11813" spans="1:6" ht="25.5" x14ac:dyDescent="0.2">
      <c r="A11813" s="391">
        <v>14152</v>
      </c>
      <c r="B11813" s="478" t="s">
        <v>44310</v>
      </c>
      <c r="C11813" s="391" t="s">
        <v>26</v>
      </c>
      <c r="D11813" s="479"/>
      <c r="E11813" s="368"/>
      <c r="F11813" s="368"/>
    </row>
    <row r="11814" spans="1:6" ht="25.5" x14ac:dyDescent="0.2">
      <c r="A11814" s="391">
        <v>14154</v>
      </c>
      <c r="B11814" s="478" t="s">
        <v>44311</v>
      </c>
      <c r="C11814" s="391" t="s">
        <v>26</v>
      </c>
      <c r="D11814" s="479"/>
      <c r="E11814" s="368"/>
      <c r="F11814" s="368"/>
    </row>
    <row r="11815" spans="1:6" x14ac:dyDescent="0.2">
      <c r="A11815" s="391">
        <v>3146</v>
      </c>
      <c r="B11815" s="478" t="s">
        <v>44312</v>
      </c>
      <c r="C11815" s="391" t="s">
        <v>26</v>
      </c>
      <c r="D11815" s="479">
        <v>3.98</v>
      </c>
      <c r="E11815" s="368"/>
      <c r="F11815" s="368"/>
    </row>
    <row r="11816" spans="1:6" x14ac:dyDescent="0.2">
      <c r="A11816" s="391">
        <v>3143</v>
      </c>
      <c r="B11816" s="478" t="s">
        <v>48282</v>
      </c>
      <c r="C11816" s="391" t="s">
        <v>26</v>
      </c>
      <c r="D11816" s="479">
        <v>9.0500000000000007</v>
      </c>
      <c r="E11816" s="368"/>
      <c r="F11816" s="368"/>
    </row>
    <row r="11817" spans="1:6" x14ac:dyDescent="0.2">
      <c r="A11817" s="391">
        <v>3148</v>
      </c>
      <c r="B11817" s="478" t="s">
        <v>44313</v>
      </c>
      <c r="C11817" s="391" t="s">
        <v>26</v>
      </c>
      <c r="D11817" s="479">
        <v>14.67</v>
      </c>
      <c r="E11817" s="368"/>
      <c r="F11817" s="368"/>
    </row>
    <row r="11818" spans="1:6" ht="25.5" x14ac:dyDescent="0.2">
      <c r="A11818" s="391">
        <v>4310</v>
      </c>
      <c r="B11818" s="478" t="s">
        <v>44314</v>
      </c>
      <c r="C11818" s="391" t="s">
        <v>26</v>
      </c>
      <c r="D11818" s="479">
        <v>2.23</v>
      </c>
      <c r="E11818" s="368"/>
      <c r="F11818" s="368"/>
    </row>
    <row r="11819" spans="1:6" ht="25.5" x14ac:dyDescent="0.2">
      <c r="A11819" s="391">
        <v>4311</v>
      </c>
      <c r="B11819" s="478" t="s">
        <v>44315</v>
      </c>
      <c r="C11819" s="391" t="s">
        <v>26</v>
      </c>
      <c r="D11819" s="479">
        <v>1.57</v>
      </c>
      <c r="E11819" s="368"/>
      <c r="F11819" s="368"/>
    </row>
    <row r="11820" spans="1:6" ht="25.5" x14ac:dyDescent="0.2">
      <c r="A11820" s="391">
        <v>4312</v>
      </c>
      <c r="B11820" s="478" t="s">
        <v>44316</v>
      </c>
      <c r="C11820" s="391" t="s">
        <v>26</v>
      </c>
      <c r="D11820" s="479">
        <v>2.19</v>
      </c>
      <c r="E11820" s="368"/>
      <c r="F11820" s="368"/>
    </row>
    <row r="11821" spans="1:6" x14ac:dyDescent="0.2">
      <c r="A11821" s="391">
        <v>13261</v>
      </c>
      <c r="B11821" s="478" t="s">
        <v>44317</v>
      </c>
      <c r="C11821" s="391" t="s">
        <v>26</v>
      </c>
      <c r="D11821" s="479">
        <v>1.8</v>
      </c>
      <c r="E11821" s="368"/>
      <c r="F11821" s="368"/>
    </row>
    <row r="11822" spans="1:6" x14ac:dyDescent="0.2">
      <c r="A11822" s="391">
        <v>3272</v>
      </c>
      <c r="B11822" s="478" t="s">
        <v>44318</v>
      </c>
      <c r="C11822" s="391" t="s">
        <v>26</v>
      </c>
      <c r="D11822" s="479"/>
      <c r="E11822" s="368"/>
      <c r="F11822" s="368"/>
    </row>
    <row r="11823" spans="1:6" x14ac:dyDescent="0.2">
      <c r="A11823" s="391">
        <v>3265</v>
      </c>
      <c r="B11823" s="478" t="s">
        <v>44319</v>
      </c>
      <c r="C11823" s="391" t="s">
        <v>26</v>
      </c>
      <c r="D11823" s="479"/>
      <c r="E11823" s="368"/>
      <c r="F11823" s="368"/>
    </row>
    <row r="11824" spans="1:6" x14ac:dyDescent="0.2">
      <c r="A11824" s="391">
        <v>3264</v>
      </c>
      <c r="B11824" s="478" t="s">
        <v>44320</v>
      </c>
      <c r="C11824" s="391" t="s">
        <v>26</v>
      </c>
      <c r="D11824" s="479"/>
      <c r="E11824" s="368"/>
      <c r="F11824" s="368"/>
    </row>
    <row r="11825" spans="1:6" x14ac:dyDescent="0.2">
      <c r="A11825" s="391">
        <v>3262</v>
      </c>
      <c r="B11825" s="478" t="s">
        <v>44321</v>
      </c>
      <c r="C11825" s="391" t="s">
        <v>26</v>
      </c>
      <c r="D11825" s="479"/>
      <c r="E11825" s="368"/>
      <c r="F11825" s="368"/>
    </row>
    <row r="11826" spans="1:6" x14ac:dyDescent="0.2">
      <c r="A11826" s="391">
        <v>3267</v>
      </c>
      <c r="B11826" s="478" t="s">
        <v>44322</v>
      </c>
      <c r="C11826" s="391" t="s">
        <v>26</v>
      </c>
      <c r="D11826" s="479"/>
      <c r="E11826" s="368"/>
      <c r="F11826" s="368"/>
    </row>
    <row r="11827" spans="1:6" x14ac:dyDescent="0.2">
      <c r="A11827" s="391">
        <v>3266</v>
      </c>
      <c r="B11827" s="478" t="s">
        <v>44323</v>
      </c>
      <c r="C11827" s="391" t="s">
        <v>26</v>
      </c>
      <c r="D11827" s="479"/>
      <c r="E11827" s="368"/>
      <c r="F11827" s="368"/>
    </row>
    <row r="11828" spans="1:6" x14ac:dyDescent="0.2">
      <c r="A11828" s="391">
        <v>3268</v>
      </c>
      <c r="B11828" s="478" t="s">
        <v>44324</v>
      </c>
      <c r="C11828" s="391" t="s">
        <v>26</v>
      </c>
      <c r="D11828" s="479"/>
      <c r="E11828" s="368"/>
      <c r="F11828" s="368"/>
    </row>
    <row r="11829" spans="1:6" x14ac:dyDescent="0.2">
      <c r="A11829" s="391">
        <v>3263</v>
      </c>
      <c r="B11829" s="478" t="s">
        <v>44325</v>
      </c>
      <c r="C11829" s="391" t="s">
        <v>26</v>
      </c>
      <c r="D11829" s="479"/>
      <c r="E11829" s="368"/>
      <c r="F11829" s="368"/>
    </row>
    <row r="11830" spans="1:6" x14ac:dyDescent="0.2">
      <c r="A11830" s="391">
        <v>3271</v>
      </c>
      <c r="B11830" s="478" t="s">
        <v>44326</v>
      </c>
      <c r="C11830" s="391" t="s">
        <v>26</v>
      </c>
      <c r="D11830" s="479"/>
      <c r="E11830" s="368"/>
      <c r="F11830" s="368"/>
    </row>
    <row r="11831" spans="1:6" x14ac:dyDescent="0.2">
      <c r="A11831" s="391">
        <v>3270</v>
      </c>
      <c r="B11831" s="478" t="s">
        <v>44327</v>
      </c>
      <c r="C11831" s="391" t="s">
        <v>26</v>
      </c>
      <c r="D11831" s="479"/>
      <c r="E11831" s="368"/>
      <c r="F11831" s="368"/>
    </row>
    <row r="11832" spans="1:6" x14ac:dyDescent="0.2">
      <c r="A11832" s="391">
        <v>45256</v>
      </c>
      <c r="B11832" s="478" t="s">
        <v>48283</v>
      </c>
      <c r="C11832" s="391" t="s">
        <v>26</v>
      </c>
      <c r="D11832" s="479"/>
      <c r="E11832" s="368"/>
      <c r="F11832" s="368"/>
    </row>
    <row r="11833" spans="1:6" ht="25.5" x14ac:dyDescent="0.2">
      <c r="A11833" s="391">
        <v>3275</v>
      </c>
      <c r="B11833" s="478" t="s">
        <v>44328</v>
      </c>
      <c r="C11833" s="391" t="s">
        <v>255</v>
      </c>
      <c r="D11833" s="479"/>
      <c r="E11833" s="368"/>
      <c r="F11833" s="368"/>
    </row>
    <row r="11834" spans="1:6" ht="38.25" x14ac:dyDescent="0.2">
      <c r="A11834" s="391">
        <v>39512</v>
      </c>
      <c r="B11834" s="478" t="s">
        <v>44329</v>
      </c>
      <c r="C11834" s="391" t="s">
        <v>255</v>
      </c>
      <c r="D11834" s="479"/>
      <c r="E11834" s="368"/>
      <c r="F11834" s="368"/>
    </row>
    <row r="11835" spans="1:6" ht="38.25" x14ac:dyDescent="0.2">
      <c r="A11835" s="391">
        <v>39511</v>
      </c>
      <c r="B11835" s="478" t="s">
        <v>44330</v>
      </c>
      <c r="C11835" s="391" t="s">
        <v>255</v>
      </c>
      <c r="D11835" s="479"/>
      <c r="E11835" s="368"/>
      <c r="F11835" s="368"/>
    </row>
    <row r="11836" spans="1:6" ht="38.25" x14ac:dyDescent="0.2">
      <c r="A11836" s="391">
        <v>39513</v>
      </c>
      <c r="B11836" s="478" t="s">
        <v>44331</v>
      </c>
      <c r="C11836" s="497" t="s">
        <v>255</v>
      </c>
      <c r="D11836" s="479"/>
      <c r="E11836" s="368"/>
      <c r="F11836" s="368"/>
    </row>
    <row r="11837" spans="1:6" ht="25.5" x14ac:dyDescent="0.2">
      <c r="A11837" s="391">
        <v>3286</v>
      </c>
      <c r="B11837" s="478" t="s">
        <v>44332</v>
      </c>
      <c r="C11837" s="391" t="s">
        <v>255</v>
      </c>
      <c r="D11837" s="479"/>
      <c r="E11837" s="368"/>
      <c r="F11837" s="368"/>
    </row>
    <row r="11838" spans="1:6" ht="25.5" x14ac:dyDescent="0.2">
      <c r="A11838" s="391">
        <v>3287</v>
      </c>
      <c r="B11838" s="478" t="s">
        <v>44333</v>
      </c>
      <c r="C11838" s="391" t="s">
        <v>255</v>
      </c>
      <c r="D11838" s="479"/>
      <c r="E11838" s="368"/>
      <c r="F11838" s="368"/>
    </row>
    <row r="11839" spans="1:6" ht="25.5" x14ac:dyDescent="0.2">
      <c r="A11839" s="391">
        <v>3283</v>
      </c>
      <c r="B11839" s="478" t="s">
        <v>44334</v>
      </c>
      <c r="C11839" s="391" t="s">
        <v>255</v>
      </c>
      <c r="D11839" s="479"/>
      <c r="E11839" s="368"/>
      <c r="F11839" s="368"/>
    </row>
    <row r="11840" spans="1:6" ht="25.5" x14ac:dyDescent="0.2">
      <c r="A11840" s="391">
        <v>11587</v>
      </c>
      <c r="B11840" s="478" t="s">
        <v>44335</v>
      </c>
      <c r="C11840" s="391" t="s">
        <v>255</v>
      </c>
      <c r="D11840" s="479"/>
      <c r="E11840" s="368"/>
      <c r="F11840" s="368"/>
    </row>
    <row r="11841" spans="1:6" ht="25.5" x14ac:dyDescent="0.2">
      <c r="A11841" s="391">
        <v>36225</v>
      </c>
      <c r="B11841" s="478" t="s">
        <v>44336</v>
      </c>
      <c r="C11841" s="391" t="s">
        <v>255</v>
      </c>
      <c r="D11841" s="479"/>
      <c r="E11841" s="368"/>
      <c r="F11841" s="368"/>
    </row>
    <row r="11842" spans="1:6" ht="25.5" x14ac:dyDescent="0.2">
      <c r="A11842" s="391">
        <v>36230</v>
      </c>
      <c r="B11842" s="478" t="s">
        <v>44337</v>
      </c>
      <c r="C11842" s="391" t="s">
        <v>255</v>
      </c>
      <c r="D11842" s="479"/>
      <c r="E11842" s="368"/>
      <c r="F11842" s="368"/>
    </row>
    <row r="11843" spans="1:6" ht="25.5" x14ac:dyDescent="0.2">
      <c r="A11843" s="391">
        <v>36238</v>
      </c>
      <c r="B11843" s="478" t="s">
        <v>44338</v>
      </c>
      <c r="C11843" s="391" t="s">
        <v>255</v>
      </c>
      <c r="D11843" s="479"/>
      <c r="E11843" s="368"/>
      <c r="F11843" s="368"/>
    </row>
    <row r="11844" spans="1:6" ht="38.25" x14ac:dyDescent="0.2">
      <c r="A11844" s="391">
        <v>39363</v>
      </c>
      <c r="B11844" s="478" t="s">
        <v>44339</v>
      </c>
      <c r="C11844" s="391" t="s">
        <v>26</v>
      </c>
      <c r="D11844" s="479">
        <v>6294.87</v>
      </c>
      <c r="E11844" s="368"/>
      <c r="F11844" s="368"/>
    </row>
    <row r="11845" spans="1:6" ht="38.25" x14ac:dyDescent="0.2">
      <c r="A11845" s="391">
        <v>39361</v>
      </c>
      <c r="B11845" s="478" t="s">
        <v>44340</v>
      </c>
      <c r="C11845" s="391" t="s">
        <v>26</v>
      </c>
      <c r="D11845" s="479">
        <v>1923.12</v>
      </c>
      <c r="E11845" s="368"/>
      <c r="F11845" s="368"/>
    </row>
    <row r="11846" spans="1:6" ht="38.25" x14ac:dyDescent="0.2">
      <c r="A11846" s="391">
        <v>39362</v>
      </c>
      <c r="B11846" s="478" t="s">
        <v>44341</v>
      </c>
      <c r="C11846" s="391" t="s">
        <v>26</v>
      </c>
      <c r="D11846" s="479">
        <v>3397.3</v>
      </c>
      <c r="E11846" s="368"/>
      <c r="F11846" s="368"/>
    </row>
    <row r="11847" spans="1:6" ht="38.25" x14ac:dyDescent="0.2">
      <c r="A11847" s="391">
        <v>39364</v>
      </c>
      <c r="B11847" s="478" t="s">
        <v>44342</v>
      </c>
      <c r="C11847" s="391" t="s">
        <v>26</v>
      </c>
      <c r="D11847" s="479">
        <v>13277.54</v>
      </c>
      <c r="E11847" s="368"/>
      <c r="F11847" s="368"/>
    </row>
    <row r="11848" spans="1:6" ht="25.5" x14ac:dyDescent="0.2">
      <c r="A11848" s="391">
        <v>14576</v>
      </c>
      <c r="B11848" s="478" t="s">
        <v>44343</v>
      </c>
      <c r="C11848" s="391" t="s">
        <v>26</v>
      </c>
      <c r="D11848" s="479"/>
      <c r="E11848" s="368"/>
      <c r="F11848" s="368"/>
    </row>
    <row r="11849" spans="1:6" ht="25.5" x14ac:dyDescent="0.2">
      <c r="A11849" s="391">
        <v>13877</v>
      </c>
      <c r="B11849" s="478" t="s">
        <v>44344</v>
      </c>
      <c r="C11849" s="391" t="s">
        <v>26</v>
      </c>
      <c r="D11849" s="479"/>
      <c r="E11849" s="368"/>
      <c r="F11849" s="368"/>
    </row>
    <row r="11850" spans="1:6" x14ac:dyDescent="0.2">
      <c r="A11850" s="391">
        <v>7307</v>
      </c>
      <c r="B11850" s="478" t="s">
        <v>44345</v>
      </c>
      <c r="C11850" s="391" t="s">
        <v>9</v>
      </c>
      <c r="D11850" s="479">
        <v>40.880000000000003</v>
      </c>
      <c r="E11850" s="368"/>
      <c r="F11850" s="368"/>
    </row>
    <row r="11851" spans="1:6" x14ac:dyDescent="0.2">
      <c r="A11851" s="391">
        <v>38122</v>
      </c>
      <c r="B11851" s="478" t="s">
        <v>44346</v>
      </c>
      <c r="C11851" s="391" t="s">
        <v>9</v>
      </c>
      <c r="D11851" s="479">
        <v>20.89</v>
      </c>
      <c r="E11851" s="368"/>
      <c r="F11851" s="368"/>
    </row>
    <row r="11852" spans="1:6" x14ac:dyDescent="0.2">
      <c r="A11852" s="391">
        <v>43653</v>
      </c>
      <c r="B11852" s="478" t="s">
        <v>44347</v>
      </c>
      <c r="C11852" s="391" t="s">
        <v>9</v>
      </c>
      <c r="D11852" s="479">
        <v>22.03</v>
      </c>
      <c r="E11852" s="368"/>
      <c r="F11852" s="368"/>
    </row>
    <row r="11853" spans="1:6" ht="25.5" x14ac:dyDescent="0.2">
      <c r="A11853" s="391">
        <v>45334</v>
      </c>
      <c r="B11853" s="478" t="s">
        <v>48284</v>
      </c>
      <c r="C11853" s="391" t="s">
        <v>26</v>
      </c>
      <c r="D11853" s="479">
        <v>22.28</v>
      </c>
      <c r="E11853" s="368"/>
      <c r="F11853" s="368"/>
    </row>
    <row r="11854" spans="1:6" ht="25.5" x14ac:dyDescent="0.2">
      <c r="A11854" s="391">
        <v>12344</v>
      </c>
      <c r="B11854" s="478" t="s">
        <v>44348</v>
      </c>
      <c r="C11854" s="391" t="s">
        <v>26</v>
      </c>
      <c r="D11854" s="479"/>
      <c r="E11854" s="368"/>
      <c r="F11854" s="368"/>
    </row>
    <row r="11855" spans="1:6" ht="25.5" x14ac:dyDescent="0.2">
      <c r="A11855" s="391">
        <v>12343</v>
      </c>
      <c r="B11855" s="478" t="s">
        <v>44349</v>
      </c>
      <c r="C11855" s="391" t="s">
        <v>26</v>
      </c>
      <c r="D11855" s="479"/>
      <c r="E11855" s="368"/>
      <c r="F11855" s="368"/>
    </row>
    <row r="11856" spans="1:6" ht="25.5" x14ac:dyDescent="0.2">
      <c r="A11856" s="391">
        <v>3295</v>
      </c>
      <c r="B11856" s="478" t="s">
        <v>44350</v>
      </c>
      <c r="C11856" s="391" t="s">
        <v>26</v>
      </c>
      <c r="D11856" s="479"/>
      <c r="E11856" s="368"/>
      <c r="F11856" s="368"/>
    </row>
    <row r="11857" spans="1:6" ht="25.5" x14ac:dyDescent="0.2">
      <c r="A11857" s="391">
        <v>3302</v>
      </c>
      <c r="B11857" s="478" t="s">
        <v>44351</v>
      </c>
      <c r="C11857" s="391" t="s">
        <v>26</v>
      </c>
      <c r="D11857" s="479"/>
      <c r="E11857" s="368"/>
      <c r="F11857" s="368"/>
    </row>
    <row r="11858" spans="1:6" ht="25.5" x14ac:dyDescent="0.2">
      <c r="A11858" s="391">
        <v>3297</v>
      </c>
      <c r="B11858" s="478" t="s">
        <v>44352</v>
      </c>
      <c r="C11858" s="391" t="s">
        <v>26</v>
      </c>
      <c r="D11858" s="479"/>
      <c r="E11858" s="368"/>
      <c r="F11858" s="368"/>
    </row>
    <row r="11859" spans="1:6" ht="25.5" x14ac:dyDescent="0.2">
      <c r="A11859" s="391">
        <v>3294</v>
      </c>
      <c r="B11859" s="478" t="s">
        <v>44353</v>
      </c>
      <c r="C11859" s="391" t="s">
        <v>26</v>
      </c>
      <c r="D11859" s="479"/>
      <c r="E11859" s="368"/>
      <c r="F11859" s="368"/>
    </row>
    <row r="11860" spans="1:6" ht="25.5" x14ac:dyDescent="0.2">
      <c r="A11860" s="391">
        <v>3292</v>
      </c>
      <c r="B11860" s="478" t="s">
        <v>44354</v>
      </c>
      <c r="C11860" s="391" t="s">
        <v>26</v>
      </c>
      <c r="D11860" s="479"/>
      <c r="E11860" s="368"/>
      <c r="F11860" s="368"/>
    </row>
    <row r="11861" spans="1:6" ht="25.5" x14ac:dyDescent="0.2">
      <c r="A11861" s="391">
        <v>3298</v>
      </c>
      <c r="B11861" s="478" t="s">
        <v>44355</v>
      </c>
      <c r="C11861" s="391" t="s">
        <v>26</v>
      </c>
      <c r="D11861" s="479"/>
      <c r="E11861" s="368"/>
      <c r="F11861" s="368"/>
    </row>
    <row r="11862" spans="1:6" ht="25.5" x14ac:dyDescent="0.2">
      <c r="A11862" s="391">
        <v>34802</v>
      </c>
      <c r="B11862" s="478" t="s">
        <v>44356</v>
      </c>
      <c r="C11862" s="391" t="s">
        <v>26</v>
      </c>
      <c r="D11862" s="479">
        <v>938.12</v>
      </c>
      <c r="E11862" s="368"/>
      <c r="F11862" s="368"/>
    </row>
    <row r="11863" spans="1:6" ht="25.5" x14ac:dyDescent="0.2">
      <c r="A11863" s="391">
        <v>11588</v>
      </c>
      <c r="B11863" s="478" t="s">
        <v>44357</v>
      </c>
      <c r="C11863" s="391" t="s">
        <v>26</v>
      </c>
      <c r="D11863" s="479">
        <v>1012.07</v>
      </c>
      <c r="E11863" s="368"/>
      <c r="F11863" s="368"/>
    </row>
    <row r="11864" spans="1:6" ht="25.5" x14ac:dyDescent="0.2">
      <c r="A11864" s="391">
        <v>34383</v>
      </c>
      <c r="B11864" s="478" t="s">
        <v>44358</v>
      </c>
      <c r="C11864" s="391" t="s">
        <v>26</v>
      </c>
      <c r="D11864" s="479">
        <v>1113.3599999999999</v>
      </c>
      <c r="E11864" s="368"/>
      <c r="F11864" s="368"/>
    </row>
    <row r="11865" spans="1:6" ht="25.5" x14ac:dyDescent="0.2">
      <c r="A11865" s="391">
        <v>40451</v>
      </c>
      <c r="B11865" s="478" t="s">
        <v>44359</v>
      </c>
      <c r="C11865" s="391" t="s">
        <v>255</v>
      </c>
      <c r="D11865" s="479">
        <v>89.99</v>
      </c>
      <c r="E11865" s="368"/>
      <c r="F11865" s="368"/>
    </row>
    <row r="11866" spans="1:6" ht="25.5" x14ac:dyDescent="0.2">
      <c r="A11866" s="391">
        <v>40453</v>
      </c>
      <c r="B11866" s="478" t="s">
        <v>44360</v>
      </c>
      <c r="C11866" s="391" t="s">
        <v>255</v>
      </c>
      <c r="D11866" s="479">
        <v>97.37</v>
      </c>
      <c r="E11866" s="368"/>
      <c r="F11866" s="368"/>
    </row>
    <row r="11867" spans="1:6" ht="25.5" x14ac:dyDescent="0.2">
      <c r="A11867" s="391">
        <v>40452</v>
      </c>
      <c r="B11867" s="478" t="s">
        <v>44361</v>
      </c>
      <c r="C11867" s="391" t="s">
        <v>255</v>
      </c>
      <c r="D11867" s="479">
        <v>106.81</v>
      </c>
      <c r="E11867" s="368"/>
      <c r="F11867" s="368"/>
    </row>
    <row r="11868" spans="1:6" ht="25.5" x14ac:dyDescent="0.2">
      <c r="A11868" s="391">
        <v>11594</v>
      </c>
      <c r="B11868" s="478" t="s">
        <v>44362</v>
      </c>
      <c r="C11868" s="391" t="s">
        <v>26</v>
      </c>
      <c r="D11868" s="479">
        <v>322.58</v>
      </c>
      <c r="E11868" s="368"/>
      <c r="F11868" s="368"/>
    </row>
    <row r="11869" spans="1:6" ht="25.5" x14ac:dyDescent="0.2">
      <c r="A11869" s="391">
        <v>3311</v>
      </c>
      <c r="B11869" s="478" t="s">
        <v>44363</v>
      </c>
      <c r="C11869" s="391" t="s">
        <v>271</v>
      </c>
      <c r="D11869" s="479">
        <v>322.58</v>
      </c>
      <c r="E11869" s="368"/>
      <c r="F11869" s="368"/>
    </row>
    <row r="11870" spans="1:6" ht="25.5" x14ac:dyDescent="0.2">
      <c r="A11870" s="391">
        <v>11599</v>
      </c>
      <c r="B11870" s="478" t="s">
        <v>44364</v>
      </c>
      <c r="C11870" s="391" t="s">
        <v>26</v>
      </c>
      <c r="D11870" s="479">
        <v>428.99</v>
      </c>
      <c r="E11870" s="368"/>
      <c r="F11870" s="368"/>
    </row>
    <row r="11871" spans="1:6" ht="25.5" x14ac:dyDescent="0.2">
      <c r="A11871" s="391">
        <v>11593</v>
      </c>
      <c r="B11871" s="478" t="s">
        <v>44365</v>
      </c>
      <c r="C11871" s="391" t="s">
        <v>26</v>
      </c>
      <c r="D11871" s="479">
        <v>601.41999999999996</v>
      </c>
      <c r="E11871" s="368"/>
      <c r="F11871" s="368"/>
    </row>
    <row r="11872" spans="1:6" ht="25.5" x14ac:dyDescent="0.2">
      <c r="A11872" s="391">
        <v>3314</v>
      </c>
      <c r="B11872" s="478" t="s">
        <v>44366</v>
      </c>
      <c r="C11872" s="391" t="s">
        <v>271</v>
      </c>
      <c r="D11872" s="479">
        <v>430.14</v>
      </c>
      <c r="E11872" s="368"/>
      <c r="F11872" s="368"/>
    </row>
    <row r="11873" spans="1:6" ht="25.5" x14ac:dyDescent="0.2">
      <c r="A11873" s="391">
        <v>11597</v>
      </c>
      <c r="B11873" s="478" t="s">
        <v>44367</v>
      </c>
      <c r="C11873" s="391" t="s">
        <v>26</v>
      </c>
      <c r="D11873" s="479">
        <v>500.19</v>
      </c>
      <c r="E11873" s="368"/>
      <c r="F11873" s="368"/>
    </row>
    <row r="11874" spans="1:6" ht="25.5" x14ac:dyDescent="0.2">
      <c r="A11874" s="391">
        <v>3309</v>
      </c>
      <c r="B11874" s="478" t="s">
        <v>44368</v>
      </c>
      <c r="C11874" s="391" t="s">
        <v>271</v>
      </c>
      <c r="D11874" s="479">
        <v>341.59</v>
      </c>
      <c r="E11874" s="368"/>
      <c r="F11874" s="368"/>
    </row>
    <row r="11875" spans="1:6" ht="38.25" x14ac:dyDescent="0.2">
      <c r="A11875" s="391">
        <v>40440</v>
      </c>
      <c r="B11875" s="478" t="s">
        <v>44369</v>
      </c>
      <c r="C11875" s="391" t="s">
        <v>271</v>
      </c>
      <c r="D11875" s="479">
        <v>448.03</v>
      </c>
      <c r="E11875" s="368"/>
      <c r="F11875" s="368"/>
    </row>
    <row r="11876" spans="1:6" ht="38.25" x14ac:dyDescent="0.2">
      <c r="A11876" s="391">
        <v>40441</v>
      </c>
      <c r="B11876" s="478" t="s">
        <v>44370</v>
      </c>
      <c r="C11876" s="391" t="s">
        <v>271</v>
      </c>
      <c r="D11876" s="479">
        <v>286.04000000000002</v>
      </c>
      <c r="E11876" s="368"/>
      <c r="F11876" s="368"/>
    </row>
    <row r="11877" spans="1:6" ht="38.25" x14ac:dyDescent="0.2">
      <c r="A11877" s="391">
        <v>34612</v>
      </c>
      <c r="B11877" s="478" t="s">
        <v>44371</v>
      </c>
      <c r="C11877" s="391" t="s">
        <v>26</v>
      </c>
      <c r="D11877" s="479">
        <v>618.65</v>
      </c>
      <c r="E11877" s="368"/>
      <c r="F11877" s="368"/>
    </row>
    <row r="11878" spans="1:6" ht="38.25" x14ac:dyDescent="0.2">
      <c r="A11878" s="391">
        <v>34635</v>
      </c>
      <c r="B11878" s="478" t="s">
        <v>44372</v>
      </c>
      <c r="C11878" s="391" t="s">
        <v>26</v>
      </c>
      <c r="D11878" s="479">
        <v>795.56</v>
      </c>
      <c r="E11878" s="368"/>
      <c r="F11878" s="368"/>
    </row>
    <row r="11879" spans="1:6" ht="38.25" x14ac:dyDescent="0.2">
      <c r="A11879" s="391">
        <v>34633</v>
      </c>
      <c r="B11879" s="478" t="s">
        <v>44373</v>
      </c>
      <c r="C11879" s="391" t="s">
        <v>26</v>
      </c>
      <c r="D11879" s="479">
        <v>876.92</v>
      </c>
      <c r="E11879" s="368"/>
      <c r="F11879" s="368"/>
    </row>
    <row r="11880" spans="1:6" ht="38.25" x14ac:dyDescent="0.2">
      <c r="A11880" s="391">
        <v>40449</v>
      </c>
      <c r="B11880" s="478" t="s">
        <v>44374</v>
      </c>
      <c r="C11880" s="391" t="s">
        <v>271</v>
      </c>
      <c r="D11880" s="479">
        <v>240.46</v>
      </c>
      <c r="E11880" s="368"/>
      <c r="F11880" s="368"/>
    </row>
    <row r="11881" spans="1:6" ht="25.5" x14ac:dyDescent="0.2">
      <c r="A11881" s="391">
        <v>11592</v>
      </c>
      <c r="B11881" s="478" t="s">
        <v>44375</v>
      </c>
      <c r="C11881" s="391" t="s">
        <v>26</v>
      </c>
      <c r="D11881" s="479">
        <v>430.14</v>
      </c>
      <c r="E11881" s="368"/>
      <c r="F11881" s="368"/>
    </row>
    <row r="11882" spans="1:6" ht="25.5" x14ac:dyDescent="0.2">
      <c r="A11882" s="391">
        <v>34800</v>
      </c>
      <c r="B11882" s="478" t="s">
        <v>44376</v>
      </c>
      <c r="C11882" s="391" t="s">
        <v>271</v>
      </c>
      <c r="D11882" s="479">
        <v>300.7</v>
      </c>
      <c r="E11882" s="368"/>
      <c r="F11882" s="368"/>
    </row>
    <row r="11883" spans="1:6" ht="25.5" x14ac:dyDescent="0.2">
      <c r="A11883" s="391">
        <v>11596</v>
      </c>
      <c r="B11883" s="478" t="s">
        <v>44377</v>
      </c>
      <c r="C11883" s="391" t="s">
        <v>26</v>
      </c>
      <c r="D11883" s="479">
        <v>341.59</v>
      </c>
      <c r="E11883" s="368"/>
      <c r="F11883" s="368"/>
    </row>
    <row r="11884" spans="1:6" ht="25.5" x14ac:dyDescent="0.2">
      <c r="A11884" s="391">
        <v>40438</v>
      </c>
      <c r="B11884" s="478" t="s">
        <v>44378</v>
      </c>
      <c r="C11884" s="391" t="s">
        <v>271</v>
      </c>
      <c r="D11884" s="479">
        <v>200.33</v>
      </c>
      <c r="E11884" s="368"/>
      <c r="F11884" s="368"/>
    </row>
    <row r="11885" spans="1:6" ht="25.5" x14ac:dyDescent="0.2">
      <c r="A11885" s="391">
        <v>40436</v>
      </c>
      <c r="B11885" s="478" t="s">
        <v>44379</v>
      </c>
      <c r="C11885" s="391" t="s">
        <v>271</v>
      </c>
      <c r="D11885" s="479">
        <v>249.8</v>
      </c>
      <c r="E11885" s="368"/>
      <c r="F11885" s="368"/>
    </row>
    <row r="11886" spans="1:6" ht="38.25" x14ac:dyDescent="0.2">
      <c r="A11886" s="391">
        <v>4315</v>
      </c>
      <c r="B11886" s="478" t="s">
        <v>44380</v>
      </c>
      <c r="C11886" s="391" t="s">
        <v>26</v>
      </c>
      <c r="D11886" s="479">
        <v>1.61</v>
      </c>
      <c r="E11886" s="368"/>
      <c r="F11886" s="368"/>
    </row>
    <row r="11887" spans="1:6" x14ac:dyDescent="0.2">
      <c r="A11887" s="391">
        <v>402</v>
      </c>
      <c r="B11887" s="478" t="s">
        <v>44381</v>
      </c>
      <c r="C11887" s="391" t="s">
        <v>26</v>
      </c>
      <c r="D11887" s="479"/>
      <c r="E11887" s="368"/>
      <c r="F11887" s="368"/>
    </row>
    <row r="11888" spans="1:6" x14ac:dyDescent="0.2">
      <c r="A11888" s="391">
        <v>4226</v>
      </c>
      <c r="B11888" s="478" t="s">
        <v>44382</v>
      </c>
      <c r="C11888" s="391" t="s">
        <v>1284</v>
      </c>
      <c r="D11888" s="479">
        <v>8.25</v>
      </c>
      <c r="E11888" s="368"/>
      <c r="F11888" s="368"/>
    </row>
    <row r="11889" spans="1:6" x14ac:dyDescent="0.2">
      <c r="A11889" s="391">
        <v>4222</v>
      </c>
      <c r="B11889" s="478" t="s">
        <v>44383</v>
      </c>
      <c r="C11889" s="391" t="s">
        <v>9</v>
      </c>
      <c r="D11889" s="479">
        <v>6.4</v>
      </c>
      <c r="E11889" s="368"/>
      <c r="F11889" s="368"/>
    </row>
    <row r="11890" spans="1:6" ht="38.25" x14ac:dyDescent="0.2">
      <c r="A11890" s="391">
        <v>34804</v>
      </c>
      <c r="B11890" s="478" t="s">
        <v>44384</v>
      </c>
      <c r="C11890" s="391" t="s">
        <v>255</v>
      </c>
      <c r="D11890" s="479">
        <v>36.31</v>
      </c>
      <c r="E11890" s="368"/>
      <c r="F11890" s="368"/>
    </row>
    <row r="11891" spans="1:6" ht="25.5" x14ac:dyDescent="0.2">
      <c r="A11891" s="391">
        <v>4013</v>
      </c>
      <c r="B11891" s="478" t="s">
        <v>44385</v>
      </c>
      <c r="C11891" s="391" t="s">
        <v>255</v>
      </c>
      <c r="D11891" s="479"/>
      <c r="E11891" s="368"/>
      <c r="F11891" s="368"/>
    </row>
    <row r="11892" spans="1:6" ht="25.5" x14ac:dyDescent="0.2">
      <c r="A11892" s="391">
        <v>4011</v>
      </c>
      <c r="B11892" s="478" t="s">
        <v>44386</v>
      </c>
      <c r="C11892" s="391" t="s">
        <v>255</v>
      </c>
      <c r="D11892" s="479"/>
      <c r="E11892" s="368"/>
      <c r="F11892" s="368"/>
    </row>
    <row r="11893" spans="1:6" ht="25.5" x14ac:dyDescent="0.2">
      <c r="A11893" s="391">
        <v>4021</v>
      </c>
      <c r="B11893" s="478" t="s">
        <v>44387</v>
      </c>
      <c r="C11893" s="391" t="s">
        <v>255</v>
      </c>
      <c r="D11893" s="479"/>
      <c r="E11893" s="368"/>
      <c r="F11893" s="368"/>
    </row>
    <row r="11894" spans="1:6" ht="25.5" x14ac:dyDescent="0.2">
      <c r="A11894" s="391">
        <v>4019</v>
      </c>
      <c r="B11894" s="478" t="s">
        <v>44388</v>
      </c>
      <c r="C11894" s="391" t="s">
        <v>255</v>
      </c>
      <c r="D11894" s="479"/>
      <c r="E11894" s="368"/>
      <c r="F11894" s="368"/>
    </row>
    <row r="11895" spans="1:6" ht="25.5" x14ac:dyDescent="0.2">
      <c r="A11895" s="391">
        <v>4012</v>
      </c>
      <c r="B11895" s="478" t="s">
        <v>44389</v>
      </c>
      <c r="C11895" s="391" t="s">
        <v>255</v>
      </c>
      <c r="D11895" s="479"/>
      <c r="E11895" s="368"/>
      <c r="F11895" s="368"/>
    </row>
    <row r="11896" spans="1:6" ht="25.5" x14ac:dyDescent="0.2">
      <c r="A11896" s="391">
        <v>4020</v>
      </c>
      <c r="B11896" s="478" t="s">
        <v>44390</v>
      </c>
      <c r="C11896" s="391" t="s">
        <v>255</v>
      </c>
      <c r="D11896" s="479"/>
      <c r="E11896" s="368"/>
      <c r="F11896" s="368"/>
    </row>
    <row r="11897" spans="1:6" ht="25.5" x14ac:dyDescent="0.2">
      <c r="A11897" s="391">
        <v>4018</v>
      </c>
      <c r="B11897" s="478" t="s">
        <v>44391</v>
      </c>
      <c r="C11897" s="391" t="s">
        <v>255</v>
      </c>
      <c r="D11897" s="479"/>
      <c r="E11897" s="368"/>
      <c r="F11897" s="368"/>
    </row>
    <row r="11898" spans="1:6" ht="25.5" x14ac:dyDescent="0.2">
      <c r="A11898" s="391">
        <v>36498</v>
      </c>
      <c r="B11898" s="478" t="s">
        <v>44392</v>
      </c>
      <c r="C11898" s="391" t="s">
        <v>26</v>
      </c>
      <c r="D11898" s="479"/>
      <c r="E11898" s="368"/>
      <c r="F11898" s="368"/>
    </row>
    <row r="11899" spans="1:6" x14ac:dyDescent="0.2">
      <c r="A11899" s="391">
        <v>12872</v>
      </c>
      <c r="B11899" s="478" t="s">
        <v>44393</v>
      </c>
      <c r="C11899" s="391" t="s">
        <v>558</v>
      </c>
      <c r="D11899" s="479">
        <v>18.29</v>
      </c>
      <c r="E11899" s="368"/>
      <c r="F11899" s="368"/>
    </row>
    <row r="11900" spans="1:6" x14ac:dyDescent="0.2">
      <c r="A11900" s="391">
        <v>41075</v>
      </c>
      <c r="B11900" s="478" t="s">
        <v>44394</v>
      </c>
      <c r="C11900" s="391" t="s">
        <v>5681</v>
      </c>
      <c r="D11900" s="479">
        <v>3214.9</v>
      </c>
      <c r="E11900" s="368"/>
      <c r="F11900" s="368"/>
    </row>
    <row r="11901" spans="1:6" ht="25.5" x14ac:dyDescent="0.2">
      <c r="A11901" s="391">
        <v>44324</v>
      </c>
      <c r="B11901" s="478" t="s">
        <v>44395</v>
      </c>
      <c r="C11901" s="391" t="s">
        <v>1284</v>
      </c>
      <c r="D11901" s="479">
        <v>2.88</v>
      </c>
      <c r="E11901" s="368"/>
      <c r="F11901" s="368"/>
    </row>
    <row r="11902" spans="1:6" x14ac:dyDescent="0.2">
      <c r="A11902" s="391">
        <v>3315</v>
      </c>
      <c r="B11902" s="478" t="s">
        <v>44396</v>
      </c>
      <c r="C11902" s="391" t="s">
        <v>1284</v>
      </c>
      <c r="D11902" s="479">
        <v>0.83</v>
      </c>
      <c r="E11902" s="368"/>
      <c r="F11902" s="368"/>
    </row>
    <row r="11903" spans="1:6" x14ac:dyDescent="0.2">
      <c r="A11903" s="391">
        <v>36870</v>
      </c>
      <c r="B11903" s="478" t="s">
        <v>44397</v>
      </c>
      <c r="C11903" s="391" t="s">
        <v>1284</v>
      </c>
      <c r="D11903" s="479">
        <v>0.64</v>
      </c>
      <c r="E11903" s="368"/>
      <c r="F11903" s="368"/>
    </row>
    <row r="11904" spans="1:6" ht="25.5" x14ac:dyDescent="0.2">
      <c r="A11904" s="391">
        <v>5092</v>
      </c>
      <c r="B11904" s="478" t="s">
        <v>44398</v>
      </c>
      <c r="C11904" s="391" t="s">
        <v>12086</v>
      </c>
      <c r="D11904" s="479">
        <v>18.420000000000002</v>
      </c>
      <c r="E11904" s="368"/>
      <c r="F11904" s="368"/>
    </row>
    <row r="11905" spans="1:6" ht="25.5" x14ac:dyDescent="0.2">
      <c r="A11905" s="391">
        <v>11462</v>
      </c>
      <c r="B11905" s="478" t="s">
        <v>44399</v>
      </c>
      <c r="C11905" s="391" t="s">
        <v>12086</v>
      </c>
      <c r="D11905" s="479">
        <v>18.84</v>
      </c>
      <c r="E11905" s="368"/>
      <c r="F11905" s="368"/>
    </row>
    <row r="11906" spans="1:6" ht="25.5" x14ac:dyDescent="0.2">
      <c r="A11906" s="391">
        <v>36529</v>
      </c>
      <c r="B11906" s="478" t="s">
        <v>44400</v>
      </c>
      <c r="C11906" s="391" t="s">
        <v>26</v>
      </c>
      <c r="D11906" s="479"/>
      <c r="E11906" s="368"/>
      <c r="F11906" s="368"/>
    </row>
    <row r="11907" spans="1:6" ht="25.5" x14ac:dyDescent="0.2">
      <c r="A11907" s="391">
        <v>3318</v>
      </c>
      <c r="B11907" s="478" t="s">
        <v>44401</v>
      </c>
      <c r="C11907" s="391" t="s">
        <v>26</v>
      </c>
      <c r="D11907" s="479"/>
      <c r="E11907" s="368"/>
      <c r="F11907" s="368"/>
    </row>
    <row r="11908" spans="1:6" x14ac:dyDescent="0.2">
      <c r="A11908" s="391">
        <v>3324</v>
      </c>
      <c r="B11908" s="478" t="s">
        <v>44402</v>
      </c>
      <c r="C11908" s="391" t="s">
        <v>255</v>
      </c>
      <c r="D11908" s="479">
        <v>10.71</v>
      </c>
      <c r="E11908" s="368"/>
      <c r="F11908" s="368"/>
    </row>
    <row r="11909" spans="1:6" ht="25.5" x14ac:dyDescent="0.2">
      <c r="A11909" s="391">
        <v>3322</v>
      </c>
      <c r="B11909" s="478" t="s">
        <v>44403</v>
      </c>
      <c r="C11909" s="391" t="s">
        <v>255</v>
      </c>
      <c r="D11909" s="479">
        <v>15</v>
      </c>
      <c r="E11909" s="368"/>
      <c r="F11909" s="368"/>
    </row>
    <row r="11910" spans="1:6" x14ac:dyDescent="0.2">
      <c r="A11910" s="391">
        <v>5076</v>
      </c>
      <c r="B11910" s="478" t="s">
        <v>44404</v>
      </c>
      <c r="C11910" s="391" t="s">
        <v>1284</v>
      </c>
      <c r="D11910" s="479">
        <v>14.16</v>
      </c>
      <c r="E11910" s="368"/>
      <c r="F11910" s="368"/>
    </row>
    <row r="11911" spans="1:6" x14ac:dyDescent="0.2">
      <c r="A11911" s="391">
        <v>5077</v>
      </c>
      <c r="B11911" s="478" t="s">
        <v>44405</v>
      </c>
      <c r="C11911" s="391" t="s">
        <v>1284</v>
      </c>
      <c r="D11911" s="479">
        <v>15.65</v>
      </c>
      <c r="E11911" s="368"/>
      <c r="F11911" s="368"/>
    </row>
    <row r="11912" spans="1:6" x14ac:dyDescent="0.2">
      <c r="A11912" s="391">
        <v>45242</v>
      </c>
      <c r="B11912" s="478" t="s">
        <v>48285</v>
      </c>
      <c r="C11912" s="391" t="s">
        <v>26</v>
      </c>
      <c r="D11912" s="479"/>
      <c r="E11912" s="368"/>
      <c r="F11912" s="368"/>
    </row>
    <row r="11913" spans="1:6" ht="25.5" x14ac:dyDescent="0.2">
      <c r="A11913" s="391">
        <v>11837</v>
      </c>
      <c r="B11913" s="478" t="s">
        <v>44406</v>
      </c>
      <c r="C11913" s="391" t="s">
        <v>26</v>
      </c>
      <c r="D11913" s="479">
        <v>66.069999999999993</v>
      </c>
      <c r="E11913" s="368"/>
      <c r="F11913" s="368"/>
    </row>
    <row r="11914" spans="1:6" ht="25.5" x14ac:dyDescent="0.2">
      <c r="A11914" s="391">
        <v>415</v>
      </c>
      <c r="B11914" s="478" t="s">
        <v>44407</v>
      </c>
      <c r="C11914" s="391" t="s">
        <v>26</v>
      </c>
      <c r="D11914" s="479">
        <v>27.09</v>
      </c>
      <c r="E11914" s="368"/>
      <c r="F11914" s="368"/>
    </row>
    <row r="11915" spans="1:6" ht="25.5" x14ac:dyDescent="0.2">
      <c r="A11915" s="391">
        <v>38055</v>
      </c>
      <c r="B11915" s="478" t="s">
        <v>44408</v>
      </c>
      <c r="C11915" s="391" t="s">
        <v>26</v>
      </c>
      <c r="D11915" s="479">
        <v>5.99</v>
      </c>
      <c r="E11915" s="368"/>
      <c r="F11915" s="368"/>
    </row>
    <row r="11916" spans="1:6" ht="25.5" x14ac:dyDescent="0.2">
      <c r="A11916" s="391">
        <v>416</v>
      </c>
      <c r="B11916" s="478" t="s">
        <v>44409</v>
      </c>
      <c r="C11916" s="391" t="s">
        <v>26</v>
      </c>
      <c r="D11916" s="479">
        <v>9.92</v>
      </c>
      <c r="E11916" s="368"/>
      <c r="F11916" s="368"/>
    </row>
    <row r="11917" spans="1:6" ht="25.5" x14ac:dyDescent="0.2">
      <c r="A11917" s="391">
        <v>425</v>
      </c>
      <c r="B11917" s="478" t="s">
        <v>44410</v>
      </c>
      <c r="C11917" s="391" t="s">
        <v>26</v>
      </c>
      <c r="D11917" s="479">
        <v>6.15</v>
      </c>
      <c r="E11917" s="368"/>
      <c r="F11917" s="368"/>
    </row>
    <row r="11918" spans="1:6" ht="25.5" x14ac:dyDescent="0.2">
      <c r="A11918" s="391">
        <v>426</v>
      </c>
      <c r="B11918" s="478" t="s">
        <v>44411</v>
      </c>
      <c r="C11918" s="391" t="s">
        <v>26</v>
      </c>
      <c r="D11918" s="479">
        <v>33.86</v>
      </c>
      <c r="E11918" s="368"/>
      <c r="F11918" s="368"/>
    </row>
    <row r="11919" spans="1:6" ht="25.5" x14ac:dyDescent="0.2">
      <c r="A11919" s="391">
        <v>38056</v>
      </c>
      <c r="B11919" s="478" t="s">
        <v>44412</v>
      </c>
      <c r="C11919" s="391" t="s">
        <v>26</v>
      </c>
      <c r="D11919" s="479">
        <v>33.06</v>
      </c>
      <c r="E11919" s="368"/>
      <c r="F11919" s="368"/>
    </row>
    <row r="11920" spans="1:6" x14ac:dyDescent="0.2">
      <c r="A11920" s="391">
        <v>1564</v>
      </c>
      <c r="B11920" s="478" t="s">
        <v>44413</v>
      </c>
      <c r="C11920" s="391" t="s">
        <v>26</v>
      </c>
      <c r="D11920" s="479">
        <v>12.62</v>
      </c>
      <c r="E11920" s="368"/>
      <c r="F11920" s="368"/>
    </row>
    <row r="11921" spans="1:6" x14ac:dyDescent="0.2">
      <c r="A11921" s="391">
        <v>11032</v>
      </c>
      <c r="B11921" s="478" t="s">
        <v>44414</v>
      </c>
      <c r="C11921" s="391" t="s">
        <v>26</v>
      </c>
      <c r="D11921" s="479">
        <v>9.11</v>
      </c>
      <c r="E11921" s="368"/>
      <c r="F11921" s="368"/>
    </row>
    <row r="11922" spans="1:6" ht="25.5" x14ac:dyDescent="0.2">
      <c r="A11922" s="391">
        <v>36786</v>
      </c>
      <c r="B11922" s="478" t="s">
        <v>44415</v>
      </c>
      <c r="C11922" s="391" t="s">
        <v>5914</v>
      </c>
      <c r="D11922" s="479"/>
      <c r="E11922" s="368"/>
      <c r="F11922" s="368"/>
    </row>
    <row r="11923" spans="1:6" ht="25.5" x14ac:dyDescent="0.2">
      <c r="A11923" s="391">
        <v>36785</v>
      </c>
      <c r="B11923" s="478" t="s">
        <v>44416</v>
      </c>
      <c r="C11923" s="391" t="s">
        <v>5914</v>
      </c>
      <c r="D11923" s="479"/>
      <c r="E11923" s="368"/>
      <c r="F11923" s="368"/>
    </row>
    <row r="11924" spans="1:6" ht="25.5" x14ac:dyDescent="0.2">
      <c r="A11924" s="391">
        <v>36782</v>
      </c>
      <c r="B11924" s="478" t="s">
        <v>44417</v>
      </c>
      <c r="C11924" s="391" t="s">
        <v>5914</v>
      </c>
      <c r="D11924" s="479"/>
      <c r="E11924" s="368"/>
      <c r="F11924" s="368"/>
    </row>
    <row r="11925" spans="1:6" ht="25.5" x14ac:dyDescent="0.2">
      <c r="A11925" s="391">
        <v>44481</v>
      </c>
      <c r="B11925" s="478" t="s">
        <v>48286</v>
      </c>
      <c r="C11925" s="391" t="s">
        <v>5914</v>
      </c>
      <c r="D11925" s="479"/>
      <c r="E11925" s="368"/>
      <c r="F11925" s="368"/>
    </row>
    <row r="11926" spans="1:6" ht="25.5" x14ac:dyDescent="0.2">
      <c r="A11926" s="391">
        <v>4824</v>
      </c>
      <c r="B11926" s="478" t="s">
        <v>44418</v>
      </c>
      <c r="C11926" s="391" t="s">
        <v>1284</v>
      </c>
      <c r="D11926" s="479">
        <v>0.59</v>
      </c>
      <c r="E11926" s="368"/>
      <c r="F11926" s="368"/>
    </row>
    <row r="11927" spans="1:6" ht="25.5" x14ac:dyDescent="0.2">
      <c r="A11927" s="391">
        <v>11795</v>
      </c>
      <c r="B11927" s="478" t="s">
        <v>44419</v>
      </c>
      <c r="C11927" s="391" t="s">
        <v>255</v>
      </c>
      <c r="D11927" s="479">
        <v>516.98</v>
      </c>
      <c r="E11927" s="368"/>
      <c r="F11927" s="368"/>
    </row>
    <row r="11928" spans="1:6" x14ac:dyDescent="0.2">
      <c r="A11928" s="391">
        <v>134</v>
      </c>
      <c r="B11928" s="480" t="s">
        <v>44420</v>
      </c>
      <c r="C11928" s="391" t="s">
        <v>1284</v>
      </c>
      <c r="D11928" s="479">
        <v>1.98</v>
      </c>
      <c r="E11928" s="368"/>
      <c r="F11928" s="368"/>
    </row>
    <row r="11929" spans="1:6" ht="25.5" x14ac:dyDescent="0.2">
      <c r="A11929" s="391">
        <v>4229</v>
      </c>
      <c r="B11929" s="478" t="s">
        <v>44421</v>
      </c>
      <c r="C11929" s="391" t="s">
        <v>1284</v>
      </c>
      <c r="D11929" s="479">
        <v>47.22</v>
      </c>
      <c r="E11929" s="368"/>
      <c r="F11929" s="368"/>
    </row>
    <row r="11930" spans="1:6" ht="25.5" x14ac:dyDescent="0.2">
      <c r="A11930" s="391">
        <v>11731</v>
      </c>
      <c r="B11930" s="478" t="s">
        <v>44422</v>
      </c>
      <c r="C11930" s="391" t="s">
        <v>26</v>
      </c>
      <c r="D11930" s="479">
        <v>11.33</v>
      </c>
      <c r="E11930" s="368"/>
      <c r="F11930" s="368"/>
    </row>
    <row r="11931" spans="1:6" x14ac:dyDescent="0.2">
      <c r="A11931" s="391">
        <v>11732</v>
      </c>
      <c r="B11931" s="478" t="s">
        <v>44423</v>
      </c>
      <c r="C11931" s="391" t="s">
        <v>26</v>
      </c>
      <c r="D11931" s="479">
        <v>29.69</v>
      </c>
      <c r="E11931" s="368"/>
      <c r="F11931" s="368"/>
    </row>
    <row r="11932" spans="1:6" x14ac:dyDescent="0.2">
      <c r="A11932" s="391">
        <v>11244</v>
      </c>
      <c r="B11932" s="478" t="s">
        <v>44424</v>
      </c>
      <c r="C11932" s="391" t="s">
        <v>26</v>
      </c>
      <c r="D11932" s="479"/>
      <c r="E11932" s="368"/>
      <c r="F11932" s="368"/>
    </row>
    <row r="11933" spans="1:6" ht="25.5" x14ac:dyDescent="0.2">
      <c r="A11933" s="391">
        <v>11235</v>
      </c>
      <c r="B11933" s="478" t="s">
        <v>44425</v>
      </c>
      <c r="C11933" s="391" t="s">
        <v>26</v>
      </c>
      <c r="D11933" s="479"/>
      <c r="E11933" s="368"/>
      <c r="F11933" s="368"/>
    </row>
    <row r="11934" spans="1:6" ht="25.5" x14ac:dyDescent="0.2">
      <c r="A11934" s="391">
        <v>11236</v>
      </c>
      <c r="B11934" s="478" t="s">
        <v>44426</v>
      </c>
      <c r="C11934" s="391" t="s">
        <v>26</v>
      </c>
      <c r="D11934" s="479"/>
      <c r="E11934" s="368"/>
      <c r="F11934" s="368"/>
    </row>
    <row r="11935" spans="1:6" ht="25.5" x14ac:dyDescent="0.2">
      <c r="A11935" s="391">
        <v>11245</v>
      </c>
      <c r="B11935" s="478" t="s">
        <v>44427</v>
      </c>
      <c r="C11935" s="391" t="s">
        <v>26</v>
      </c>
      <c r="D11935" s="479"/>
      <c r="E11935" s="368"/>
      <c r="F11935" s="368"/>
    </row>
    <row r="11936" spans="1:6" ht="25.5" x14ac:dyDescent="0.2">
      <c r="A11936" s="391">
        <v>36494</v>
      </c>
      <c r="B11936" s="478" t="s">
        <v>44428</v>
      </c>
      <c r="C11936" s="391" t="s">
        <v>26</v>
      </c>
      <c r="D11936" s="479"/>
      <c r="E11936" s="368"/>
      <c r="F11936" s="368"/>
    </row>
    <row r="11937" spans="1:6" ht="25.5" x14ac:dyDescent="0.2">
      <c r="A11937" s="391">
        <v>36493</v>
      </c>
      <c r="B11937" s="478" t="s">
        <v>44429</v>
      </c>
      <c r="C11937" s="391" t="s">
        <v>26</v>
      </c>
      <c r="D11937" s="479"/>
      <c r="E11937" s="368"/>
      <c r="F11937" s="368"/>
    </row>
    <row r="11938" spans="1:6" ht="25.5" x14ac:dyDescent="0.2">
      <c r="A11938" s="391">
        <v>36492</v>
      </c>
      <c r="B11938" s="478" t="s">
        <v>44430</v>
      </c>
      <c r="C11938" s="391" t="s">
        <v>26</v>
      </c>
      <c r="D11938" s="479"/>
      <c r="E11938" s="368"/>
      <c r="F11938" s="368"/>
    </row>
    <row r="11939" spans="1:6" ht="25.5" x14ac:dyDescent="0.2">
      <c r="A11939" s="391">
        <v>36499</v>
      </c>
      <c r="B11939" s="478" t="s">
        <v>44431</v>
      </c>
      <c r="C11939" s="391" t="s">
        <v>26</v>
      </c>
      <c r="D11939" s="479"/>
      <c r="E11939" s="368"/>
      <c r="F11939" s="368"/>
    </row>
    <row r="11940" spans="1:6" ht="38.25" x14ac:dyDescent="0.2">
      <c r="A11940" s="391">
        <v>13533</v>
      </c>
      <c r="B11940" s="478" t="s">
        <v>44432</v>
      </c>
      <c r="C11940" s="391" t="s">
        <v>26</v>
      </c>
      <c r="D11940" s="479"/>
      <c r="E11940" s="368"/>
      <c r="F11940" s="368"/>
    </row>
    <row r="11941" spans="1:6" ht="38.25" x14ac:dyDescent="0.2">
      <c r="A11941" s="391">
        <v>13333</v>
      </c>
      <c r="B11941" s="478" t="s">
        <v>44433</v>
      </c>
      <c r="C11941" s="391" t="s">
        <v>26</v>
      </c>
      <c r="D11941" s="479"/>
      <c r="E11941" s="368"/>
      <c r="F11941" s="368"/>
    </row>
    <row r="11942" spans="1:6" ht="25.5" x14ac:dyDescent="0.2">
      <c r="A11942" s="391">
        <v>39585</v>
      </c>
      <c r="B11942" s="478" t="s">
        <v>44434</v>
      </c>
      <c r="C11942" s="391" t="s">
        <v>26</v>
      </c>
      <c r="D11942" s="479"/>
      <c r="E11942" s="368"/>
      <c r="F11942" s="368"/>
    </row>
    <row r="11943" spans="1:6" ht="25.5" x14ac:dyDescent="0.2">
      <c r="A11943" s="391">
        <v>39586</v>
      </c>
      <c r="B11943" s="478" t="s">
        <v>44435</v>
      </c>
      <c r="C11943" s="391" t="s">
        <v>26</v>
      </c>
      <c r="D11943" s="479"/>
      <c r="E11943" s="368"/>
      <c r="F11943" s="368"/>
    </row>
    <row r="11944" spans="1:6" ht="25.5" x14ac:dyDescent="0.2">
      <c r="A11944" s="391">
        <v>39587</v>
      </c>
      <c r="B11944" s="478" t="s">
        <v>44436</v>
      </c>
      <c r="C11944" s="391" t="s">
        <v>26</v>
      </c>
      <c r="D11944" s="479"/>
      <c r="E11944" s="368"/>
      <c r="F11944" s="368"/>
    </row>
    <row r="11945" spans="1:6" ht="25.5" x14ac:dyDescent="0.2">
      <c r="A11945" s="391">
        <v>39588</v>
      </c>
      <c r="B11945" s="478" t="s">
        <v>44437</v>
      </c>
      <c r="C11945" s="391" t="s">
        <v>26</v>
      </c>
      <c r="D11945" s="479"/>
      <c r="E11945" s="368"/>
      <c r="F11945" s="368"/>
    </row>
    <row r="11946" spans="1:6" ht="25.5" x14ac:dyDescent="0.2">
      <c r="A11946" s="391">
        <v>39584</v>
      </c>
      <c r="B11946" s="478" t="s">
        <v>44438</v>
      </c>
      <c r="C11946" s="391" t="s">
        <v>26</v>
      </c>
      <c r="D11946" s="479"/>
      <c r="E11946" s="368"/>
      <c r="F11946" s="368"/>
    </row>
    <row r="11947" spans="1:6" ht="25.5" x14ac:dyDescent="0.2">
      <c r="A11947" s="391">
        <v>39590</v>
      </c>
      <c r="B11947" s="478" t="s">
        <v>44439</v>
      </c>
      <c r="C11947" s="391" t="s">
        <v>26</v>
      </c>
      <c r="D11947" s="479"/>
      <c r="E11947" s="368"/>
      <c r="F11947" s="368"/>
    </row>
    <row r="11948" spans="1:6" ht="25.5" x14ac:dyDescent="0.2">
      <c r="A11948" s="391">
        <v>39592</v>
      </c>
      <c r="B11948" s="478" t="s">
        <v>44440</v>
      </c>
      <c r="C11948" s="391" t="s">
        <v>26</v>
      </c>
      <c r="D11948" s="479"/>
      <c r="E11948" s="368"/>
      <c r="F11948" s="368"/>
    </row>
    <row r="11949" spans="1:6" ht="25.5" x14ac:dyDescent="0.2">
      <c r="A11949" s="391">
        <v>39593</v>
      </c>
      <c r="B11949" s="478" t="s">
        <v>44441</v>
      </c>
      <c r="C11949" s="391" t="s">
        <v>26</v>
      </c>
      <c r="D11949" s="479"/>
      <c r="E11949" s="368"/>
      <c r="F11949" s="368"/>
    </row>
    <row r="11950" spans="1:6" ht="25.5" x14ac:dyDescent="0.2">
      <c r="A11950" s="391">
        <v>14254</v>
      </c>
      <c r="B11950" s="478" t="s">
        <v>44442</v>
      </c>
      <c r="C11950" s="391" t="s">
        <v>26</v>
      </c>
      <c r="D11950" s="479"/>
      <c r="E11950" s="368"/>
      <c r="F11950" s="368"/>
    </row>
    <row r="11951" spans="1:6" ht="25.5" x14ac:dyDescent="0.2">
      <c r="A11951" s="391">
        <v>44494</v>
      </c>
      <c r="B11951" s="478" t="s">
        <v>48287</v>
      </c>
      <c r="C11951" s="391" t="s">
        <v>26</v>
      </c>
      <c r="D11951" s="479"/>
      <c r="E11951" s="368"/>
      <c r="F11951" s="368"/>
    </row>
    <row r="11952" spans="1:6" x14ac:dyDescent="0.2">
      <c r="A11952" s="391">
        <v>25019</v>
      </c>
      <c r="B11952" s="478" t="s">
        <v>44443</v>
      </c>
      <c r="C11952" s="391" t="s">
        <v>26</v>
      </c>
      <c r="D11952" s="479"/>
      <c r="E11952" s="368"/>
      <c r="F11952" s="368"/>
    </row>
    <row r="11953" spans="1:6" x14ac:dyDescent="0.2">
      <c r="A11953" s="391">
        <v>36501</v>
      </c>
      <c r="B11953" s="478" t="s">
        <v>44444</v>
      </c>
      <c r="C11953" s="391" t="s">
        <v>26</v>
      </c>
      <c r="D11953" s="479"/>
      <c r="E11953" s="368"/>
      <c r="F11953" s="368"/>
    </row>
    <row r="11954" spans="1:6" ht="25.5" x14ac:dyDescent="0.2">
      <c r="A11954" s="391">
        <v>44493</v>
      </c>
      <c r="B11954" s="478" t="s">
        <v>48288</v>
      </c>
      <c r="C11954" s="391" t="s">
        <v>26</v>
      </c>
      <c r="D11954" s="479"/>
      <c r="E11954" s="368"/>
      <c r="F11954" s="368"/>
    </row>
    <row r="11955" spans="1:6" x14ac:dyDescent="0.2">
      <c r="A11955" s="391">
        <v>36500</v>
      </c>
      <c r="B11955" s="478" t="s">
        <v>44445</v>
      </c>
      <c r="C11955" s="391" t="s">
        <v>26</v>
      </c>
      <c r="D11955" s="479"/>
      <c r="E11955" s="368"/>
      <c r="F11955" s="368"/>
    </row>
    <row r="11956" spans="1:6" ht="38.25" x14ac:dyDescent="0.2">
      <c r="A11956" s="391">
        <v>20017</v>
      </c>
      <c r="B11956" s="478" t="s">
        <v>44446</v>
      </c>
      <c r="C11956" s="391" t="s">
        <v>0</v>
      </c>
      <c r="D11956" s="479">
        <v>7.96</v>
      </c>
      <c r="E11956" s="368"/>
      <c r="F11956" s="368"/>
    </row>
    <row r="11957" spans="1:6" ht="25.5" x14ac:dyDescent="0.2">
      <c r="A11957" s="391">
        <v>20007</v>
      </c>
      <c r="B11957" s="478" t="s">
        <v>44447</v>
      </c>
      <c r="C11957" s="391" t="s">
        <v>0</v>
      </c>
      <c r="D11957" s="479">
        <v>4.75</v>
      </c>
      <c r="E11957" s="368"/>
      <c r="F11957" s="368"/>
    </row>
    <row r="11958" spans="1:6" ht="25.5" x14ac:dyDescent="0.2">
      <c r="A11958" s="391">
        <v>39831</v>
      </c>
      <c r="B11958" s="478" t="s">
        <v>44448</v>
      </c>
      <c r="C11958" s="391" t="s">
        <v>15675</v>
      </c>
      <c r="D11958" s="479">
        <v>287.79000000000002</v>
      </c>
      <c r="E11958" s="368"/>
      <c r="F11958" s="368"/>
    </row>
    <row r="11959" spans="1:6" ht="38.25" x14ac:dyDescent="0.2">
      <c r="A11959" s="391">
        <v>36888</v>
      </c>
      <c r="B11959" s="478" t="s">
        <v>44449</v>
      </c>
      <c r="C11959" s="391" t="s">
        <v>0</v>
      </c>
      <c r="D11959" s="479">
        <v>33.36</v>
      </c>
      <c r="E11959" s="368"/>
      <c r="F11959" s="368"/>
    </row>
    <row r="11960" spans="1:6" ht="38.25" x14ac:dyDescent="0.2">
      <c r="A11960" s="391">
        <v>39836</v>
      </c>
      <c r="B11960" s="478" t="s">
        <v>44450</v>
      </c>
      <c r="C11960" s="391" t="s">
        <v>15675</v>
      </c>
      <c r="D11960" s="479">
        <v>252.88</v>
      </c>
      <c r="E11960" s="368"/>
      <c r="F11960" s="368"/>
    </row>
    <row r="11961" spans="1:6" ht="25.5" x14ac:dyDescent="0.2">
      <c r="A11961" s="391">
        <v>39830</v>
      </c>
      <c r="B11961" s="478" t="s">
        <v>44451</v>
      </c>
      <c r="C11961" s="391" t="s">
        <v>15675</v>
      </c>
      <c r="D11961" s="479">
        <v>288.39999999999998</v>
      </c>
      <c r="E11961" s="368"/>
      <c r="F11961" s="368"/>
    </row>
    <row r="11962" spans="1:6" ht="25.5" x14ac:dyDescent="0.2">
      <c r="A11962" s="391">
        <v>36497</v>
      </c>
      <c r="B11962" s="478" t="s">
        <v>44452</v>
      </c>
      <c r="C11962" s="391" t="s">
        <v>26</v>
      </c>
      <c r="D11962" s="479">
        <v>3108.14</v>
      </c>
      <c r="E11962" s="368"/>
      <c r="F11962" s="368"/>
    </row>
    <row r="11963" spans="1:6" ht="25.5" x14ac:dyDescent="0.2">
      <c r="A11963" s="391">
        <v>40527</v>
      </c>
      <c r="B11963" s="478" t="s">
        <v>44453</v>
      </c>
      <c r="C11963" s="391" t="s">
        <v>26</v>
      </c>
      <c r="D11963" s="479">
        <v>2722.6</v>
      </c>
      <c r="E11963" s="368"/>
      <c r="F11963" s="368"/>
    </row>
    <row r="11964" spans="1:6" ht="25.5" x14ac:dyDescent="0.2">
      <c r="A11964" s="391">
        <v>36487</v>
      </c>
      <c r="B11964" s="478" t="s">
        <v>44454</v>
      </c>
      <c r="C11964" s="391" t="s">
        <v>26</v>
      </c>
      <c r="D11964" s="479">
        <v>5411.76</v>
      </c>
      <c r="E11964" s="368"/>
      <c r="F11964" s="368"/>
    </row>
    <row r="11965" spans="1:6" ht="25.5" x14ac:dyDescent="0.2">
      <c r="A11965" s="391">
        <v>44475</v>
      </c>
      <c r="B11965" s="478" t="s">
        <v>48289</v>
      </c>
      <c r="C11965" s="391" t="s">
        <v>26</v>
      </c>
      <c r="D11965" s="479"/>
      <c r="E11965" s="368"/>
      <c r="F11965" s="368"/>
    </row>
    <row r="11966" spans="1:6" ht="25.5" x14ac:dyDescent="0.2">
      <c r="A11966" s="391">
        <v>44474</v>
      </c>
      <c r="B11966" s="478" t="s">
        <v>48290</v>
      </c>
      <c r="C11966" s="391" t="s">
        <v>26</v>
      </c>
      <c r="D11966" s="479"/>
      <c r="E11966" s="368"/>
      <c r="F11966" s="368"/>
    </row>
    <row r="11967" spans="1:6" ht="25.5" x14ac:dyDescent="0.2">
      <c r="A11967" s="391">
        <v>44490</v>
      </c>
      <c r="B11967" s="478" t="s">
        <v>48291</v>
      </c>
      <c r="C11967" s="391" t="s">
        <v>26</v>
      </c>
      <c r="D11967" s="479"/>
      <c r="E11967" s="368"/>
      <c r="F11967" s="368"/>
    </row>
    <row r="11968" spans="1:6" ht="51" x14ac:dyDescent="0.2">
      <c r="A11968" s="391">
        <v>37776</v>
      </c>
      <c r="B11968" s="478" t="s">
        <v>44455</v>
      </c>
      <c r="C11968" s="391" t="s">
        <v>26</v>
      </c>
      <c r="D11968" s="479"/>
      <c r="E11968" s="368"/>
      <c r="F11968" s="368"/>
    </row>
    <row r="11969" spans="1:6" ht="51" x14ac:dyDescent="0.2">
      <c r="A11969" s="391">
        <v>37775</v>
      </c>
      <c r="B11969" s="478" t="s">
        <v>44456</v>
      </c>
      <c r="C11969" s="391" t="s">
        <v>26</v>
      </c>
      <c r="D11969" s="479"/>
      <c r="E11969" s="368"/>
      <c r="F11969" s="368"/>
    </row>
    <row r="11970" spans="1:6" ht="51" x14ac:dyDescent="0.2">
      <c r="A11970" s="391">
        <v>36491</v>
      </c>
      <c r="B11970" s="478" t="s">
        <v>44457</v>
      </c>
      <c r="C11970" s="391" t="s">
        <v>26</v>
      </c>
      <c r="D11970" s="479"/>
      <c r="E11970" s="368"/>
      <c r="F11970" s="368"/>
    </row>
    <row r="11971" spans="1:6" ht="51" x14ac:dyDescent="0.2">
      <c r="A11971" s="391">
        <v>10712</v>
      </c>
      <c r="B11971" s="478" t="s">
        <v>44458</v>
      </c>
      <c r="C11971" s="391" t="s">
        <v>26</v>
      </c>
      <c r="D11971" s="479"/>
      <c r="E11971" s="368"/>
      <c r="F11971" s="368"/>
    </row>
    <row r="11972" spans="1:6" ht="51" x14ac:dyDescent="0.2">
      <c r="A11972" s="391">
        <v>3363</v>
      </c>
      <c r="B11972" s="478" t="s">
        <v>44459</v>
      </c>
      <c r="C11972" s="391" t="s">
        <v>26</v>
      </c>
      <c r="D11972" s="479"/>
      <c r="E11972" s="368"/>
      <c r="F11972" s="368"/>
    </row>
    <row r="11973" spans="1:6" ht="51" x14ac:dyDescent="0.2">
      <c r="A11973" s="391">
        <v>3365</v>
      </c>
      <c r="B11973" s="478" t="s">
        <v>44460</v>
      </c>
      <c r="C11973" s="391" t="s">
        <v>26</v>
      </c>
      <c r="D11973" s="479"/>
      <c r="E11973" s="368"/>
      <c r="F11973" s="368"/>
    </row>
    <row r="11974" spans="1:6" x14ac:dyDescent="0.2">
      <c r="A11974" s="391">
        <v>7569</v>
      </c>
      <c r="B11974" s="478" t="s">
        <v>44461</v>
      </c>
      <c r="C11974" s="391" t="s">
        <v>26</v>
      </c>
      <c r="D11974" s="479"/>
      <c r="E11974" s="368"/>
      <c r="F11974" s="368"/>
    </row>
    <row r="11975" spans="1:6" ht="25.5" x14ac:dyDescent="0.2">
      <c r="A11975" s="391">
        <v>3378</v>
      </c>
      <c r="B11975" s="478" t="s">
        <v>44462</v>
      </c>
      <c r="C11975" s="391" t="s">
        <v>26</v>
      </c>
      <c r="D11975" s="479">
        <v>95.89</v>
      </c>
      <c r="E11975" s="368"/>
      <c r="F11975" s="368"/>
    </row>
    <row r="11976" spans="1:6" ht="25.5" x14ac:dyDescent="0.2">
      <c r="A11976" s="391">
        <v>3380</v>
      </c>
      <c r="B11976" s="478" t="s">
        <v>44463</v>
      </c>
      <c r="C11976" s="391" t="s">
        <v>26</v>
      </c>
      <c r="D11976" s="479">
        <v>67.13</v>
      </c>
      <c r="E11976" s="368"/>
      <c r="F11976" s="368"/>
    </row>
    <row r="11977" spans="1:6" ht="25.5" x14ac:dyDescent="0.2">
      <c r="A11977" s="391">
        <v>3379</v>
      </c>
      <c r="B11977" s="478" t="s">
        <v>44464</v>
      </c>
      <c r="C11977" s="391" t="s">
        <v>26</v>
      </c>
      <c r="D11977" s="479">
        <v>64.81</v>
      </c>
      <c r="E11977" s="368"/>
      <c r="F11977" s="368"/>
    </row>
    <row r="11978" spans="1:6" ht="25.5" x14ac:dyDescent="0.2">
      <c r="A11978" s="391">
        <v>11991</v>
      </c>
      <c r="B11978" s="478" t="s">
        <v>44465</v>
      </c>
      <c r="C11978" s="391" t="s">
        <v>26</v>
      </c>
      <c r="D11978" s="479">
        <v>75.25</v>
      </c>
      <c r="E11978" s="368"/>
      <c r="F11978" s="368"/>
    </row>
    <row r="11979" spans="1:6" ht="25.5" x14ac:dyDescent="0.2">
      <c r="A11979" s="391">
        <v>44305</v>
      </c>
      <c r="B11979" s="478" t="s">
        <v>44466</v>
      </c>
      <c r="C11979" s="391" t="s">
        <v>26</v>
      </c>
      <c r="D11979" s="479"/>
      <c r="E11979" s="368"/>
      <c r="F11979" s="368"/>
    </row>
    <row r="11980" spans="1:6" ht="25.5" x14ac:dyDescent="0.2">
      <c r="A11980" s="391">
        <v>34349</v>
      </c>
      <c r="B11980" s="478" t="s">
        <v>44467</v>
      </c>
      <c r="C11980" s="391" t="s">
        <v>26</v>
      </c>
      <c r="D11980" s="479">
        <v>20.63</v>
      </c>
      <c r="E11980" s="368"/>
      <c r="F11980" s="368"/>
    </row>
    <row r="11981" spans="1:6" ht="38.25" x14ac:dyDescent="0.2">
      <c r="A11981" s="391">
        <v>11029</v>
      </c>
      <c r="B11981" s="478" t="s">
        <v>44468</v>
      </c>
      <c r="C11981" s="391" t="s">
        <v>8321</v>
      </c>
      <c r="D11981" s="479">
        <v>1.39</v>
      </c>
      <c r="E11981" s="368"/>
      <c r="F11981" s="368"/>
    </row>
    <row r="11982" spans="1:6" ht="38.25" x14ac:dyDescent="0.2">
      <c r="A11982" s="391">
        <v>4316</v>
      </c>
      <c r="B11982" s="478" t="s">
        <v>44469</v>
      </c>
      <c r="C11982" s="391" t="s">
        <v>26</v>
      </c>
      <c r="D11982" s="479">
        <v>1.41</v>
      </c>
      <c r="E11982" s="368"/>
      <c r="F11982" s="368"/>
    </row>
    <row r="11983" spans="1:6" ht="38.25" x14ac:dyDescent="0.2">
      <c r="A11983" s="391">
        <v>4313</v>
      </c>
      <c r="B11983" s="478" t="s">
        <v>44470</v>
      </c>
      <c r="C11983" s="391" t="s">
        <v>8321</v>
      </c>
      <c r="D11983" s="479">
        <v>2.02</v>
      </c>
      <c r="E11983" s="368"/>
      <c r="F11983" s="368"/>
    </row>
    <row r="11984" spans="1:6" ht="38.25" x14ac:dyDescent="0.2">
      <c r="A11984" s="391">
        <v>4317</v>
      </c>
      <c r="B11984" s="478" t="s">
        <v>44471</v>
      </c>
      <c r="C11984" s="391" t="s">
        <v>26</v>
      </c>
      <c r="D11984" s="479">
        <v>2.2999999999999998</v>
      </c>
      <c r="E11984" s="368"/>
      <c r="F11984" s="368"/>
    </row>
    <row r="11985" spans="1:6" ht="38.25" x14ac:dyDescent="0.2">
      <c r="A11985" s="391">
        <v>4314</v>
      </c>
      <c r="B11985" s="478" t="s">
        <v>44472</v>
      </c>
      <c r="C11985" s="391" t="s">
        <v>8321</v>
      </c>
      <c r="D11985" s="479">
        <v>2.7</v>
      </c>
      <c r="E11985" s="368"/>
      <c r="F11985" s="368"/>
    </row>
    <row r="11986" spans="1:6" ht="38.25" x14ac:dyDescent="0.2">
      <c r="A11986" s="391">
        <v>10921</v>
      </c>
      <c r="B11986" s="478" t="s">
        <v>44473</v>
      </c>
      <c r="C11986" s="391" t="s">
        <v>26</v>
      </c>
      <c r="D11986" s="479"/>
      <c r="E11986" s="368"/>
      <c r="F11986" s="368"/>
    </row>
    <row r="11987" spans="1:6" ht="38.25" x14ac:dyDescent="0.2">
      <c r="A11987" s="391">
        <v>10922</v>
      </c>
      <c r="B11987" s="478" t="s">
        <v>44474</v>
      </c>
      <c r="C11987" s="391" t="s">
        <v>26</v>
      </c>
      <c r="D11987" s="479"/>
      <c r="E11987" s="368"/>
      <c r="F11987" s="368"/>
    </row>
    <row r="11988" spans="1:6" ht="25.5" x14ac:dyDescent="0.2">
      <c r="A11988" s="391">
        <v>10923</v>
      </c>
      <c r="B11988" s="478" t="s">
        <v>44475</v>
      </c>
      <c r="C11988" s="391" t="s">
        <v>26</v>
      </c>
      <c r="D11988" s="479"/>
      <c r="E11988" s="368"/>
      <c r="F11988" s="368"/>
    </row>
    <row r="11989" spans="1:6" ht="25.5" x14ac:dyDescent="0.2">
      <c r="A11989" s="391">
        <v>10924</v>
      </c>
      <c r="B11989" s="478" t="s">
        <v>44476</v>
      </c>
      <c r="C11989" s="391" t="s">
        <v>26</v>
      </c>
      <c r="D11989" s="479"/>
      <c r="E11989" s="368"/>
      <c r="F11989" s="368"/>
    </row>
    <row r="11990" spans="1:6" ht="38.25" x14ac:dyDescent="0.2">
      <c r="A11990" s="391">
        <v>37772</v>
      </c>
      <c r="B11990" s="478" t="s">
        <v>44477</v>
      </c>
      <c r="C11990" s="391" t="s">
        <v>26</v>
      </c>
      <c r="D11990" s="479"/>
      <c r="E11990" s="368"/>
      <c r="F11990" s="368"/>
    </row>
    <row r="11991" spans="1:6" ht="51" x14ac:dyDescent="0.2">
      <c r="A11991" s="391">
        <v>37771</v>
      </c>
      <c r="B11991" s="478" t="s">
        <v>44478</v>
      </c>
      <c r="C11991" s="391" t="s">
        <v>26</v>
      </c>
      <c r="D11991" s="479"/>
      <c r="E11991" s="368"/>
      <c r="F11991" s="368"/>
    </row>
    <row r="11992" spans="1:6" ht="38.25" x14ac:dyDescent="0.2">
      <c r="A11992" s="392">
        <v>12772</v>
      </c>
      <c r="B11992" s="480" t="s">
        <v>44479</v>
      </c>
      <c r="C11992" s="391" t="s">
        <v>26</v>
      </c>
      <c r="D11992" s="481"/>
      <c r="E11992" s="369"/>
      <c r="F11992" s="369"/>
    </row>
    <row r="11993" spans="1:6" ht="38.25" x14ac:dyDescent="0.2">
      <c r="A11993" s="391">
        <v>12770</v>
      </c>
      <c r="B11993" s="478" t="s">
        <v>44480</v>
      </c>
      <c r="C11993" s="391" t="s">
        <v>26</v>
      </c>
      <c r="D11993" s="479"/>
      <c r="E11993" s="368"/>
      <c r="F11993" s="368"/>
    </row>
    <row r="11994" spans="1:6" ht="38.25" x14ac:dyDescent="0.2">
      <c r="A11994" s="391">
        <v>12775</v>
      </c>
      <c r="B11994" s="478" t="s">
        <v>44481</v>
      </c>
      <c r="C11994" s="391" t="s">
        <v>26</v>
      </c>
      <c r="D11994" s="479"/>
      <c r="E11994" s="368"/>
      <c r="F11994" s="368"/>
    </row>
    <row r="11995" spans="1:6" ht="38.25" x14ac:dyDescent="0.2">
      <c r="A11995" s="391">
        <v>12768</v>
      </c>
      <c r="B11995" s="478" t="s">
        <v>44482</v>
      </c>
      <c r="C11995" s="391" t="s">
        <v>26</v>
      </c>
      <c r="D11995" s="479"/>
      <c r="E11995" s="368"/>
      <c r="F11995" s="368"/>
    </row>
    <row r="11996" spans="1:6" ht="38.25" x14ac:dyDescent="0.2">
      <c r="A11996" s="391">
        <v>12769</v>
      </c>
      <c r="B11996" s="478" t="s">
        <v>44483</v>
      </c>
      <c r="C11996" s="391" t="s">
        <v>26</v>
      </c>
      <c r="D11996" s="479"/>
      <c r="E11996" s="368"/>
      <c r="F11996" s="368"/>
    </row>
    <row r="11997" spans="1:6" ht="38.25" x14ac:dyDescent="0.2">
      <c r="A11997" s="391">
        <v>12773</v>
      </c>
      <c r="B11997" s="478" t="s">
        <v>44484</v>
      </c>
      <c r="C11997" s="391" t="s">
        <v>26</v>
      </c>
      <c r="D11997" s="479"/>
      <c r="E11997" s="368"/>
      <c r="F11997" s="368"/>
    </row>
    <row r="11998" spans="1:6" ht="38.25" x14ac:dyDescent="0.2">
      <c r="A11998" s="391">
        <v>12774</v>
      </c>
      <c r="B11998" s="478" t="s">
        <v>44485</v>
      </c>
      <c r="C11998" s="391" t="s">
        <v>26</v>
      </c>
      <c r="D11998" s="479"/>
      <c r="E11998" s="368"/>
      <c r="F11998" s="368"/>
    </row>
    <row r="11999" spans="1:6" ht="38.25" x14ac:dyDescent="0.2">
      <c r="A11999" s="391">
        <v>12776</v>
      </c>
      <c r="B11999" s="478" t="s">
        <v>44486</v>
      </c>
      <c r="C11999" s="391" t="s">
        <v>26</v>
      </c>
      <c r="D11999" s="479"/>
      <c r="E11999" s="368"/>
      <c r="F11999" s="368"/>
    </row>
    <row r="12000" spans="1:6" ht="38.25" x14ac:dyDescent="0.2">
      <c r="A12000" s="391">
        <v>12777</v>
      </c>
      <c r="B12000" s="478" t="s">
        <v>44487</v>
      </c>
      <c r="C12000" s="391" t="s">
        <v>26</v>
      </c>
      <c r="D12000" s="479"/>
      <c r="E12000" s="368"/>
      <c r="F12000" s="368"/>
    </row>
    <row r="12001" spans="1:6" x14ac:dyDescent="0.2">
      <c r="A12001" s="391">
        <v>12873</v>
      </c>
      <c r="B12001" s="478" t="s">
        <v>44488</v>
      </c>
      <c r="C12001" s="391" t="s">
        <v>558</v>
      </c>
      <c r="D12001" s="479">
        <v>18.29</v>
      </c>
      <c r="E12001" s="368"/>
      <c r="F12001" s="368"/>
    </row>
    <row r="12002" spans="1:6" x14ac:dyDescent="0.2">
      <c r="A12002" s="391">
        <v>41076</v>
      </c>
      <c r="B12002" s="478" t="s">
        <v>44489</v>
      </c>
      <c r="C12002" s="391" t="s">
        <v>5681</v>
      </c>
      <c r="D12002" s="479">
        <v>3214.9</v>
      </c>
      <c r="E12002" s="368"/>
      <c r="F12002" s="368"/>
    </row>
    <row r="12003" spans="1:6" x14ac:dyDescent="0.2">
      <c r="A12003" s="391">
        <v>140</v>
      </c>
      <c r="B12003" s="478" t="s">
        <v>44490</v>
      </c>
      <c r="C12003" s="391" t="s">
        <v>1284</v>
      </c>
      <c r="D12003" s="479">
        <v>22.08</v>
      </c>
      <c r="E12003" s="368"/>
      <c r="F12003" s="368"/>
    </row>
    <row r="12004" spans="1:6" ht="25.5" x14ac:dyDescent="0.2">
      <c r="A12004" s="391">
        <v>151</v>
      </c>
      <c r="B12004" s="478" t="s">
        <v>44491</v>
      </c>
      <c r="C12004" s="391" t="s">
        <v>9</v>
      </c>
      <c r="D12004" s="479">
        <v>32.590000000000003</v>
      </c>
      <c r="E12004" s="368"/>
      <c r="F12004" s="368"/>
    </row>
    <row r="12005" spans="1:6" x14ac:dyDescent="0.2">
      <c r="A12005" s="391">
        <v>7340</v>
      </c>
      <c r="B12005" s="478" t="s">
        <v>44492</v>
      </c>
      <c r="C12005" s="391" t="s">
        <v>9</v>
      </c>
      <c r="D12005" s="479"/>
      <c r="E12005" s="368"/>
      <c r="F12005" s="368"/>
    </row>
    <row r="12006" spans="1:6" x14ac:dyDescent="0.2">
      <c r="A12006" s="391">
        <v>40929</v>
      </c>
      <c r="B12006" s="478" t="s">
        <v>44493</v>
      </c>
      <c r="C12006" s="391" t="s">
        <v>5681</v>
      </c>
      <c r="D12006" s="479">
        <v>3443.84</v>
      </c>
      <c r="E12006" s="368"/>
      <c r="F12006" s="368"/>
    </row>
    <row r="12007" spans="1:6" x14ac:dyDescent="0.2">
      <c r="A12007" s="391">
        <v>2701</v>
      </c>
      <c r="B12007" s="478" t="s">
        <v>44494</v>
      </c>
      <c r="C12007" s="391" t="s">
        <v>558</v>
      </c>
      <c r="D12007" s="479">
        <v>19.579999999999998</v>
      </c>
      <c r="E12007" s="368"/>
      <c r="F12007" s="368"/>
    </row>
    <row r="12008" spans="1:6" ht="25.5" x14ac:dyDescent="0.2">
      <c r="A12008" s="391">
        <v>38064</v>
      </c>
      <c r="B12008" s="478" t="s">
        <v>44495</v>
      </c>
      <c r="C12008" s="391" t="s">
        <v>26</v>
      </c>
      <c r="D12008" s="479">
        <v>18.760000000000002</v>
      </c>
      <c r="E12008" s="368"/>
      <c r="F12008" s="368"/>
    </row>
    <row r="12009" spans="1:6" x14ac:dyDescent="0.2">
      <c r="A12009" s="391">
        <v>38114</v>
      </c>
      <c r="B12009" s="478" t="s">
        <v>44496</v>
      </c>
      <c r="C12009" s="391" t="s">
        <v>26</v>
      </c>
      <c r="D12009" s="479">
        <v>16.78</v>
      </c>
      <c r="E12009" s="368"/>
      <c r="F12009" s="368"/>
    </row>
    <row r="12010" spans="1:6" x14ac:dyDescent="0.2">
      <c r="A12010" s="391">
        <v>38115</v>
      </c>
      <c r="B12010" s="480" t="s">
        <v>44497</v>
      </c>
      <c r="C12010" s="391" t="s">
        <v>26</v>
      </c>
      <c r="D12010" s="479">
        <v>17.91</v>
      </c>
      <c r="E12010" s="368"/>
      <c r="F12010" s="368"/>
    </row>
    <row r="12011" spans="1:6" ht="25.5" x14ac:dyDescent="0.2">
      <c r="A12011" s="391">
        <v>38065</v>
      </c>
      <c r="B12011" s="478" t="s">
        <v>44498</v>
      </c>
      <c r="C12011" s="391" t="s">
        <v>26</v>
      </c>
      <c r="D12011" s="479">
        <v>26.61</v>
      </c>
      <c r="E12011" s="368"/>
      <c r="F12011" s="368"/>
    </row>
    <row r="12012" spans="1:6" ht="25.5" x14ac:dyDescent="0.2">
      <c r="A12012" s="391">
        <v>38078</v>
      </c>
      <c r="B12012" s="478" t="s">
        <v>44499</v>
      </c>
      <c r="C12012" s="391" t="s">
        <v>26</v>
      </c>
      <c r="D12012" s="479">
        <v>15.53</v>
      </c>
      <c r="E12012" s="368"/>
      <c r="F12012" s="368"/>
    </row>
    <row r="12013" spans="1:6" x14ac:dyDescent="0.2">
      <c r="A12013" s="391">
        <v>38113</v>
      </c>
      <c r="B12013" s="478" t="s">
        <v>44500</v>
      </c>
      <c r="C12013" s="391" t="s">
        <v>26</v>
      </c>
      <c r="D12013" s="479">
        <v>8.43</v>
      </c>
      <c r="E12013" s="368"/>
      <c r="F12013" s="368"/>
    </row>
    <row r="12014" spans="1:6" ht="25.5" x14ac:dyDescent="0.2">
      <c r="A12014" s="391">
        <v>38063</v>
      </c>
      <c r="B12014" s="478" t="s">
        <v>44501</v>
      </c>
      <c r="C12014" s="391" t="s">
        <v>26</v>
      </c>
      <c r="D12014" s="479">
        <v>9.0500000000000007</v>
      </c>
      <c r="E12014" s="368"/>
      <c r="F12014" s="368"/>
    </row>
    <row r="12015" spans="1:6" ht="25.5" x14ac:dyDescent="0.2">
      <c r="A12015" s="391">
        <v>38073</v>
      </c>
      <c r="B12015" s="478" t="s">
        <v>44502</v>
      </c>
      <c r="C12015" s="391" t="s">
        <v>26</v>
      </c>
      <c r="D12015" s="479">
        <v>21.96</v>
      </c>
      <c r="E12015" s="368"/>
      <c r="F12015" s="368"/>
    </row>
    <row r="12016" spans="1:6" ht="25.5" x14ac:dyDescent="0.2">
      <c r="A12016" s="391">
        <v>38080</v>
      </c>
      <c r="B12016" s="478" t="s">
        <v>44503</v>
      </c>
      <c r="C12016" s="391" t="s">
        <v>26</v>
      </c>
      <c r="D12016" s="479">
        <v>26.97</v>
      </c>
      <c r="E12016" s="368"/>
      <c r="F12016" s="368"/>
    </row>
    <row r="12017" spans="1:6" ht="25.5" x14ac:dyDescent="0.2">
      <c r="A12017" s="391">
        <v>38069</v>
      </c>
      <c r="B12017" s="478" t="s">
        <v>44504</v>
      </c>
      <c r="C12017" s="391" t="s">
        <v>26</v>
      </c>
      <c r="D12017" s="479">
        <v>14.75</v>
      </c>
      <c r="E12017" s="368"/>
      <c r="F12017" s="368"/>
    </row>
    <row r="12018" spans="1:6" ht="25.5" x14ac:dyDescent="0.2">
      <c r="A12018" s="391">
        <v>38077</v>
      </c>
      <c r="B12018" s="478" t="s">
        <v>44505</v>
      </c>
      <c r="C12018" s="391" t="s">
        <v>26</v>
      </c>
      <c r="D12018" s="479">
        <v>14.41</v>
      </c>
      <c r="E12018" s="368"/>
      <c r="F12018" s="368"/>
    </row>
    <row r="12019" spans="1:6" x14ac:dyDescent="0.2">
      <c r="A12019" s="391">
        <v>38112</v>
      </c>
      <c r="B12019" s="478" t="s">
        <v>44506</v>
      </c>
      <c r="C12019" s="391" t="s">
        <v>26</v>
      </c>
      <c r="D12019" s="479">
        <v>6.47</v>
      </c>
      <c r="E12019" s="368"/>
      <c r="F12019" s="368"/>
    </row>
    <row r="12020" spans="1:6" ht="25.5" x14ac:dyDescent="0.2">
      <c r="A12020" s="391">
        <v>38062</v>
      </c>
      <c r="B12020" s="478" t="s">
        <v>44507</v>
      </c>
      <c r="C12020" s="391" t="s">
        <v>26</v>
      </c>
      <c r="D12020" s="479">
        <v>6.65</v>
      </c>
      <c r="E12020" s="368"/>
      <c r="F12020" s="368"/>
    </row>
    <row r="12021" spans="1:6" ht="25.5" x14ac:dyDescent="0.2">
      <c r="A12021" s="391">
        <v>12129</v>
      </c>
      <c r="B12021" s="478" t="s">
        <v>44508</v>
      </c>
      <c r="C12021" s="391" t="s">
        <v>26</v>
      </c>
      <c r="D12021" s="479">
        <v>11.74</v>
      </c>
      <c r="E12021" s="368"/>
      <c r="F12021" s="368"/>
    </row>
    <row r="12022" spans="1:6" ht="25.5" x14ac:dyDescent="0.2">
      <c r="A12022" s="391">
        <v>12128</v>
      </c>
      <c r="B12022" s="478" t="s">
        <v>44509</v>
      </c>
      <c r="C12022" s="391" t="s">
        <v>26</v>
      </c>
      <c r="D12022" s="479">
        <v>8.8800000000000008</v>
      </c>
      <c r="E12022" s="368"/>
      <c r="F12022" s="368"/>
    </row>
    <row r="12023" spans="1:6" ht="25.5" x14ac:dyDescent="0.2">
      <c r="A12023" s="391">
        <v>38081</v>
      </c>
      <c r="B12023" s="478" t="s">
        <v>44510</v>
      </c>
      <c r="C12023" s="391" t="s">
        <v>26</v>
      </c>
      <c r="D12023" s="479">
        <v>22.88</v>
      </c>
      <c r="E12023" s="368"/>
      <c r="F12023" s="368"/>
    </row>
    <row r="12024" spans="1:6" ht="25.5" x14ac:dyDescent="0.2">
      <c r="A12024" s="391">
        <v>38070</v>
      </c>
      <c r="B12024" s="478" t="s">
        <v>44511</v>
      </c>
      <c r="C12024" s="391" t="s">
        <v>26</v>
      </c>
      <c r="D12024" s="479">
        <v>15.76</v>
      </c>
      <c r="E12024" s="368"/>
      <c r="F12024" s="368"/>
    </row>
    <row r="12025" spans="1:6" ht="25.5" x14ac:dyDescent="0.2">
      <c r="A12025" s="391">
        <v>38074</v>
      </c>
      <c r="B12025" s="478" t="s">
        <v>44512</v>
      </c>
      <c r="C12025" s="391" t="s">
        <v>26</v>
      </c>
      <c r="D12025" s="479">
        <v>23.97</v>
      </c>
      <c r="E12025" s="368"/>
      <c r="F12025" s="368"/>
    </row>
    <row r="12026" spans="1:6" ht="38.25" x14ac:dyDescent="0.2">
      <c r="A12026" s="391">
        <v>38072</v>
      </c>
      <c r="B12026" s="478" t="s">
        <v>44513</v>
      </c>
      <c r="C12026" s="391" t="s">
        <v>26</v>
      </c>
      <c r="D12026" s="479">
        <v>19.77</v>
      </c>
      <c r="E12026" s="368"/>
      <c r="F12026" s="368"/>
    </row>
    <row r="12027" spans="1:6" ht="25.5" x14ac:dyDescent="0.2">
      <c r="A12027" s="391">
        <v>38079</v>
      </c>
      <c r="B12027" s="478" t="s">
        <v>44514</v>
      </c>
      <c r="C12027" s="391" t="s">
        <v>26</v>
      </c>
      <c r="D12027" s="479">
        <v>20.57</v>
      </c>
      <c r="E12027" s="368"/>
      <c r="F12027" s="368"/>
    </row>
    <row r="12028" spans="1:6" ht="25.5" x14ac:dyDescent="0.2">
      <c r="A12028" s="391">
        <v>38068</v>
      </c>
      <c r="B12028" s="478" t="s">
        <v>44515</v>
      </c>
      <c r="C12028" s="391" t="s">
        <v>26</v>
      </c>
      <c r="D12028" s="479">
        <v>13.65</v>
      </c>
      <c r="E12028" s="368"/>
      <c r="F12028" s="368"/>
    </row>
    <row r="12029" spans="1:6" ht="25.5" x14ac:dyDescent="0.2">
      <c r="A12029" s="391">
        <v>38071</v>
      </c>
      <c r="B12029" s="478" t="s">
        <v>44516</v>
      </c>
      <c r="C12029" s="391" t="s">
        <v>26</v>
      </c>
      <c r="D12029" s="479">
        <v>16.309999999999999</v>
      </c>
      <c r="E12029" s="368"/>
      <c r="F12029" s="368"/>
    </row>
    <row r="12030" spans="1:6" ht="38.25" x14ac:dyDescent="0.2">
      <c r="A12030" s="391">
        <v>45279</v>
      </c>
      <c r="B12030" s="478" t="s">
        <v>48292</v>
      </c>
      <c r="C12030" s="391" t="s">
        <v>26</v>
      </c>
      <c r="D12030" s="479">
        <v>981.99</v>
      </c>
      <c r="E12030" s="368"/>
      <c r="F12030" s="368"/>
    </row>
    <row r="12031" spans="1:6" ht="38.25" x14ac:dyDescent="0.2">
      <c r="A12031" s="391">
        <v>38412</v>
      </c>
      <c r="B12031" s="478" t="s">
        <v>44517</v>
      </c>
      <c r="C12031" s="391" t="s">
        <v>26</v>
      </c>
      <c r="D12031" s="479">
        <v>981.99</v>
      </c>
      <c r="E12031" s="368"/>
      <c r="F12031" s="368"/>
    </row>
    <row r="12032" spans="1:6" ht="38.25" x14ac:dyDescent="0.2">
      <c r="A12032" s="391">
        <v>45280</v>
      </c>
      <c r="B12032" s="478" t="s">
        <v>48293</v>
      </c>
      <c r="C12032" s="391" t="s">
        <v>26</v>
      </c>
      <c r="D12032" s="479">
        <v>2460.6999999999998</v>
      </c>
      <c r="E12032" s="368"/>
      <c r="F12032" s="368"/>
    </row>
    <row r="12033" spans="1:6" ht="25.5" x14ac:dyDescent="0.2">
      <c r="A12033" s="391">
        <v>3405</v>
      </c>
      <c r="B12033" s="478" t="s">
        <v>44518</v>
      </c>
      <c r="C12033" s="391" t="s">
        <v>26</v>
      </c>
      <c r="D12033" s="479"/>
      <c r="E12033" s="368"/>
      <c r="F12033" s="368"/>
    </row>
    <row r="12034" spans="1:6" x14ac:dyDescent="0.2">
      <c r="A12034" s="391">
        <v>3394</v>
      </c>
      <c r="B12034" s="478" t="s">
        <v>44519</v>
      </c>
      <c r="C12034" s="391" t="s">
        <v>26</v>
      </c>
      <c r="D12034" s="479"/>
      <c r="E12034" s="368"/>
      <c r="F12034" s="368"/>
    </row>
    <row r="12035" spans="1:6" x14ac:dyDescent="0.2">
      <c r="A12035" s="391">
        <v>3393</v>
      </c>
      <c r="B12035" s="478" t="s">
        <v>44520</v>
      </c>
      <c r="C12035" s="391" t="s">
        <v>26</v>
      </c>
      <c r="D12035" s="479"/>
      <c r="E12035" s="368"/>
      <c r="F12035" s="368"/>
    </row>
    <row r="12036" spans="1:6" x14ac:dyDescent="0.2">
      <c r="A12036" s="391">
        <v>3406</v>
      </c>
      <c r="B12036" s="478" t="s">
        <v>44521</v>
      </c>
      <c r="C12036" s="391" t="s">
        <v>26</v>
      </c>
      <c r="D12036" s="479"/>
      <c r="E12036" s="368"/>
      <c r="F12036" s="368"/>
    </row>
    <row r="12037" spans="1:6" x14ac:dyDescent="0.2">
      <c r="A12037" s="391">
        <v>3395</v>
      </c>
      <c r="B12037" s="478" t="s">
        <v>44522</v>
      </c>
      <c r="C12037" s="391" t="s">
        <v>26</v>
      </c>
      <c r="D12037" s="479"/>
      <c r="E12037" s="368"/>
      <c r="F12037" s="368"/>
    </row>
    <row r="12038" spans="1:6" ht="25.5" x14ac:dyDescent="0.2">
      <c r="A12038" s="391">
        <v>3398</v>
      </c>
      <c r="B12038" s="478" t="s">
        <v>44523</v>
      </c>
      <c r="C12038" s="391" t="s">
        <v>26</v>
      </c>
      <c r="D12038" s="479"/>
      <c r="E12038" s="368"/>
      <c r="F12038" s="368"/>
    </row>
    <row r="12039" spans="1:6" ht="51" x14ac:dyDescent="0.2">
      <c r="A12039" s="391">
        <v>40662</v>
      </c>
      <c r="B12039" s="478" t="s">
        <v>44524</v>
      </c>
      <c r="C12039" s="391" t="s">
        <v>26</v>
      </c>
      <c r="D12039" s="479">
        <v>114.67</v>
      </c>
      <c r="E12039" s="368"/>
      <c r="F12039" s="368"/>
    </row>
    <row r="12040" spans="1:6" ht="51" x14ac:dyDescent="0.2">
      <c r="A12040" s="391">
        <v>3437</v>
      </c>
      <c r="B12040" s="478" t="s">
        <v>44525</v>
      </c>
      <c r="C12040" s="391" t="s">
        <v>255</v>
      </c>
      <c r="D12040" s="479">
        <v>318.54000000000002</v>
      </c>
      <c r="E12040" s="368"/>
      <c r="F12040" s="368"/>
    </row>
    <row r="12041" spans="1:6" ht="25.5" x14ac:dyDescent="0.2">
      <c r="A12041" s="391">
        <v>11190</v>
      </c>
      <c r="B12041" s="478" t="s">
        <v>44526</v>
      </c>
      <c r="C12041" s="391" t="s">
        <v>26</v>
      </c>
      <c r="D12041" s="479"/>
      <c r="E12041" s="368"/>
      <c r="F12041" s="368"/>
    </row>
    <row r="12042" spans="1:6" ht="38.25" x14ac:dyDescent="0.2">
      <c r="A12042" s="391">
        <v>34377</v>
      </c>
      <c r="B12042" s="478" t="s">
        <v>44527</v>
      </c>
      <c r="C12042" s="391" t="s">
        <v>26</v>
      </c>
      <c r="D12042" s="479">
        <v>234.9</v>
      </c>
      <c r="E12042" s="368"/>
      <c r="F12042" s="368"/>
    </row>
    <row r="12043" spans="1:6" ht="63.75" x14ac:dyDescent="0.2">
      <c r="A12043" s="391">
        <v>40659</v>
      </c>
      <c r="B12043" s="478" t="s">
        <v>44528</v>
      </c>
      <c r="C12043" s="391" t="s">
        <v>255</v>
      </c>
      <c r="D12043" s="479">
        <v>450.69</v>
      </c>
      <c r="E12043" s="368"/>
      <c r="F12043" s="368"/>
    </row>
    <row r="12044" spans="1:6" ht="63.75" x14ac:dyDescent="0.2">
      <c r="A12044" s="391">
        <v>40660</v>
      </c>
      <c r="B12044" s="478" t="s">
        <v>44529</v>
      </c>
      <c r="C12044" s="391" t="s">
        <v>255</v>
      </c>
      <c r="D12044" s="479">
        <v>571.19000000000005</v>
      </c>
      <c r="E12044" s="368"/>
      <c r="F12044" s="368"/>
    </row>
    <row r="12045" spans="1:6" ht="63.75" x14ac:dyDescent="0.2">
      <c r="A12045" s="391">
        <v>40661</v>
      </c>
      <c r="B12045" s="478" t="s">
        <v>44530</v>
      </c>
      <c r="C12045" s="391" t="s">
        <v>255</v>
      </c>
      <c r="D12045" s="479">
        <v>351.18</v>
      </c>
      <c r="E12045" s="368"/>
      <c r="F12045" s="368"/>
    </row>
    <row r="12046" spans="1:6" ht="51" x14ac:dyDescent="0.2">
      <c r="A12046" s="391">
        <v>3428</v>
      </c>
      <c r="B12046" s="478" t="s">
        <v>44531</v>
      </c>
      <c r="C12046" s="391" t="s">
        <v>255</v>
      </c>
      <c r="D12046" s="479">
        <v>472.5</v>
      </c>
      <c r="E12046" s="368"/>
      <c r="F12046" s="368"/>
    </row>
    <row r="12047" spans="1:6" ht="51" x14ac:dyDescent="0.2">
      <c r="A12047" s="391">
        <v>3429</v>
      </c>
      <c r="B12047" s="478" t="s">
        <v>44532</v>
      </c>
      <c r="C12047" s="391" t="s">
        <v>255</v>
      </c>
      <c r="D12047" s="479">
        <v>269.95999999999998</v>
      </c>
      <c r="E12047" s="368"/>
      <c r="F12047" s="368"/>
    </row>
    <row r="12048" spans="1:6" ht="38.25" x14ac:dyDescent="0.2">
      <c r="A12048" s="391">
        <v>11199</v>
      </c>
      <c r="B12048" s="478" t="s">
        <v>44533</v>
      </c>
      <c r="C12048" s="391" t="s">
        <v>26</v>
      </c>
      <c r="D12048" s="479"/>
      <c r="E12048" s="368"/>
      <c r="F12048" s="368"/>
    </row>
    <row r="12049" spans="1:6" ht="38.25" x14ac:dyDescent="0.2">
      <c r="A12049" s="391">
        <v>36896</v>
      </c>
      <c r="B12049" s="478" t="s">
        <v>44534</v>
      </c>
      <c r="C12049" s="391" t="s">
        <v>26</v>
      </c>
      <c r="D12049" s="479">
        <v>454.95</v>
      </c>
      <c r="E12049" s="368"/>
      <c r="F12049" s="368"/>
    </row>
    <row r="12050" spans="1:6" ht="38.25" x14ac:dyDescent="0.2">
      <c r="A12050" s="391">
        <v>34367</v>
      </c>
      <c r="B12050" s="478" t="s">
        <v>44535</v>
      </c>
      <c r="C12050" s="391" t="s">
        <v>26</v>
      </c>
      <c r="D12050" s="479">
        <v>586.36</v>
      </c>
      <c r="E12050" s="368"/>
      <c r="F12050" s="368"/>
    </row>
    <row r="12051" spans="1:6" ht="38.25" x14ac:dyDescent="0.2">
      <c r="A12051" s="391">
        <v>36897</v>
      </c>
      <c r="B12051" s="478" t="s">
        <v>44536</v>
      </c>
      <c r="C12051" s="391" t="s">
        <v>26</v>
      </c>
      <c r="D12051" s="479">
        <v>709.94</v>
      </c>
      <c r="E12051" s="368"/>
      <c r="F12051" s="368"/>
    </row>
    <row r="12052" spans="1:6" ht="38.25" x14ac:dyDescent="0.2">
      <c r="A12052" s="391">
        <v>34369</v>
      </c>
      <c r="B12052" s="478" t="s">
        <v>44537</v>
      </c>
      <c r="C12052" s="391" t="s">
        <v>26</v>
      </c>
      <c r="D12052" s="479">
        <v>817.01</v>
      </c>
      <c r="E12052" s="368"/>
      <c r="F12052" s="368"/>
    </row>
    <row r="12053" spans="1:6" ht="38.25" x14ac:dyDescent="0.2">
      <c r="A12053" s="391">
        <v>34364</v>
      </c>
      <c r="B12053" s="478" t="s">
        <v>44538</v>
      </c>
      <c r="C12053" s="391" t="s">
        <v>26</v>
      </c>
      <c r="D12053" s="479">
        <v>770.75</v>
      </c>
      <c r="E12053" s="368"/>
      <c r="F12053" s="368"/>
    </row>
    <row r="12054" spans="1:6" ht="51" x14ac:dyDescent="0.2">
      <c r="A12054" s="391">
        <v>3421</v>
      </c>
      <c r="B12054" s="478" t="s">
        <v>44539</v>
      </c>
      <c r="C12054" s="391" t="s">
        <v>255</v>
      </c>
      <c r="D12054" s="479">
        <v>353.87</v>
      </c>
      <c r="E12054" s="368"/>
      <c r="F12054" s="368"/>
    </row>
    <row r="12055" spans="1:6" ht="38.25" x14ac:dyDescent="0.2">
      <c r="A12055" s="391">
        <v>599</v>
      </c>
      <c r="B12055" s="478" t="s">
        <v>44540</v>
      </c>
      <c r="C12055" s="391" t="s">
        <v>255</v>
      </c>
      <c r="D12055" s="479">
        <v>829.73</v>
      </c>
      <c r="E12055" s="368"/>
      <c r="F12055" s="368"/>
    </row>
    <row r="12056" spans="1:6" ht="51" x14ac:dyDescent="0.2">
      <c r="A12056" s="391">
        <v>44053</v>
      </c>
      <c r="B12056" s="478" t="s">
        <v>44541</v>
      </c>
      <c r="C12056" s="391" t="s">
        <v>26</v>
      </c>
      <c r="D12056" s="479">
        <v>1841.61</v>
      </c>
      <c r="E12056" s="368"/>
      <c r="F12056" s="368"/>
    </row>
    <row r="12057" spans="1:6" ht="51" x14ac:dyDescent="0.2">
      <c r="A12057" s="391">
        <v>3423</v>
      </c>
      <c r="B12057" s="478" t="s">
        <v>44542</v>
      </c>
      <c r="C12057" s="391" t="s">
        <v>255</v>
      </c>
      <c r="D12057" s="479">
        <v>499.04</v>
      </c>
      <c r="E12057" s="368"/>
      <c r="F12057" s="368"/>
    </row>
    <row r="12058" spans="1:6" ht="38.25" x14ac:dyDescent="0.2">
      <c r="A12058" s="391">
        <v>34797</v>
      </c>
      <c r="B12058" s="478" t="s">
        <v>44543</v>
      </c>
      <c r="C12058" s="391" t="s">
        <v>26</v>
      </c>
      <c r="D12058" s="479"/>
      <c r="E12058" s="368"/>
      <c r="F12058" s="368"/>
    </row>
    <row r="12059" spans="1:6" ht="38.25" x14ac:dyDescent="0.2">
      <c r="A12059" s="391">
        <v>34381</v>
      </c>
      <c r="B12059" s="478" t="s">
        <v>44544</v>
      </c>
      <c r="C12059" s="391" t="s">
        <v>26</v>
      </c>
      <c r="D12059" s="479">
        <v>335.03</v>
      </c>
      <c r="E12059" s="368"/>
      <c r="F12059" s="368"/>
    </row>
    <row r="12060" spans="1:6" ht="38.25" x14ac:dyDescent="0.2">
      <c r="A12060" s="391">
        <v>44054</v>
      </c>
      <c r="B12060" s="478" t="s">
        <v>44545</v>
      </c>
      <c r="C12060" s="391" t="s">
        <v>26</v>
      </c>
      <c r="D12060" s="479">
        <v>660.66</v>
      </c>
      <c r="E12060" s="368"/>
      <c r="F12060" s="368"/>
    </row>
    <row r="12061" spans="1:6" ht="38.25" x14ac:dyDescent="0.2">
      <c r="A12061" s="391">
        <v>44399</v>
      </c>
      <c r="B12061" s="478" t="s">
        <v>44546</v>
      </c>
      <c r="C12061" s="391" t="s">
        <v>26</v>
      </c>
      <c r="D12061" s="479">
        <v>902.67</v>
      </c>
      <c r="E12061" s="368"/>
      <c r="F12061" s="368"/>
    </row>
    <row r="12062" spans="1:6" x14ac:dyDescent="0.2">
      <c r="A12062" s="391">
        <v>44503</v>
      </c>
      <c r="B12062" s="478" t="s">
        <v>44547</v>
      </c>
      <c r="C12062" s="391" t="s">
        <v>558</v>
      </c>
      <c r="D12062" s="479">
        <v>13.7</v>
      </c>
      <c r="E12062" s="368"/>
      <c r="F12062" s="368"/>
    </row>
    <row r="12063" spans="1:6" x14ac:dyDescent="0.2">
      <c r="A12063" s="391">
        <v>41077</v>
      </c>
      <c r="B12063" s="478" t="s">
        <v>44548</v>
      </c>
      <c r="C12063" s="391" t="s">
        <v>5681</v>
      </c>
      <c r="D12063" s="479">
        <v>2408.35</v>
      </c>
      <c r="E12063" s="368"/>
      <c r="F12063" s="368"/>
    </row>
    <row r="12064" spans="1:6" x14ac:dyDescent="0.2">
      <c r="A12064" s="391">
        <v>37963</v>
      </c>
      <c r="B12064" s="478" t="s">
        <v>44549</v>
      </c>
      <c r="C12064" s="391" t="s">
        <v>26</v>
      </c>
      <c r="D12064" s="479">
        <v>4.3499999999999996</v>
      </c>
      <c r="E12064" s="368"/>
      <c r="F12064" s="368"/>
    </row>
    <row r="12065" spans="1:6" x14ac:dyDescent="0.2">
      <c r="A12065" s="391">
        <v>37964</v>
      </c>
      <c r="B12065" s="478" t="s">
        <v>44550</v>
      </c>
      <c r="C12065" s="391" t="s">
        <v>26</v>
      </c>
      <c r="D12065" s="479">
        <v>5.82</v>
      </c>
      <c r="E12065" s="368"/>
      <c r="F12065" s="368"/>
    </row>
    <row r="12066" spans="1:6" x14ac:dyDescent="0.2">
      <c r="A12066" s="391">
        <v>37965</v>
      </c>
      <c r="B12066" s="478" t="s">
        <v>44551</v>
      </c>
      <c r="C12066" s="391" t="s">
        <v>26</v>
      </c>
      <c r="D12066" s="479">
        <v>8.4</v>
      </c>
      <c r="E12066" s="368"/>
      <c r="F12066" s="368"/>
    </row>
    <row r="12067" spans="1:6" x14ac:dyDescent="0.2">
      <c r="A12067" s="391">
        <v>37966</v>
      </c>
      <c r="B12067" s="478" t="s">
        <v>44552</v>
      </c>
      <c r="C12067" s="391" t="s">
        <v>26</v>
      </c>
      <c r="D12067" s="479">
        <v>14.75</v>
      </c>
      <c r="E12067" s="368"/>
      <c r="F12067" s="368"/>
    </row>
    <row r="12068" spans="1:6" x14ac:dyDescent="0.2">
      <c r="A12068" s="391">
        <v>37967</v>
      </c>
      <c r="B12068" s="478" t="s">
        <v>44553</v>
      </c>
      <c r="C12068" s="391" t="s">
        <v>26</v>
      </c>
      <c r="D12068" s="479">
        <v>24.78</v>
      </c>
      <c r="E12068" s="368"/>
      <c r="F12068" s="368"/>
    </row>
    <row r="12069" spans="1:6" x14ac:dyDescent="0.2">
      <c r="A12069" s="391">
        <v>37968</v>
      </c>
      <c r="B12069" s="478" t="s">
        <v>44554</v>
      </c>
      <c r="C12069" s="391" t="s">
        <v>26</v>
      </c>
      <c r="D12069" s="479">
        <v>52.62</v>
      </c>
      <c r="E12069" s="368"/>
      <c r="F12069" s="368"/>
    </row>
    <row r="12070" spans="1:6" x14ac:dyDescent="0.2">
      <c r="A12070" s="391">
        <v>37969</v>
      </c>
      <c r="B12070" s="478" t="s">
        <v>44555</v>
      </c>
      <c r="C12070" s="391" t="s">
        <v>26</v>
      </c>
      <c r="D12070" s="479">
        <v>132.97</v>
      </c>
      <c r="E12070" s="368"/>
      <c r="F12070" s="368"/>
    </row>
    <row r="12071" spans="1:6" x14ac:dyDescent="0.2">
      <c r="A12071" s="391">
        <v>37970</v>
      </c>
      <c r="B12071" s="478" t="s">
        <v>44556</v>
      </c>
      <c r="C12071" s="391" t="s">
        <v>26</v>
      </c>
      <c r="D12071" s="479">
        <v>192.38</v>
      </c>
      <c r="E12071" s="368"/>
      <c r="F12071" s="368"/>
    </row>
    <row r="12072" spans="1:6" x14ac:dyDescent="0.2">
      <c r="A12072" s="391">
        <v>44251</v>
      </c>
      <c r="B12072" s="478" t="s">
        <v>44557</v>
      </c>
      <c r="C12072" s="391" t="s">
        <v>26</v>
      </c>
      <c r="D12072" s="479">
        <v>222.21</v>
      </c>
      <c r="E12072" s="368"/>
      <c r="F12072" s="368"/>
    </row>
    <row r="12073" spans="1:6" x14ac:dyDescent="0.2">
      <c r="A12073" s="391">
        <v>21118</v>
      </c>
      <c r="B12073" s="478" t="s">
        <v>44558</v>
      </c>
      <c r="C12073" s="391" t="s">
        <v>26</v>
      </c>
      <c r="D12073" s="479">
        <v>3.46</v>
      </c>
      <c r="E12073" s="368"/>
      <c r="F12073" s="368"/>
    </row>
    <row r="12074" spans="1:6" x14ac:dyDescent="0.2">
      <c r="A12074" s="391">
        <v>37956</v>
      </c>
      <c r="B12074" s="478" t="s">
        <v>44559</v>
      </c>
      <c r="C12074" s="391" t="s">
        <v>26</v>
      </c>
      <c r="D12074" s="479">
        <v>4.25</v>
      </c>
      <c r="E12074" s="368"/>
      <c r="F12074" s="368"/>
    </row>
    <row r="12075" spans="1:6" x14ac:dyDescent="0.2">
      <c r="A12075" s="391">
        <v>37957</v>
      </c>
      <c r="B12075" s="478" t="s">
        <v>44560</v>
      </c>
      <c r="C12075" s="391" t="s">
        <v>26</v>
      </c>
      <c r="D12075" s="479">
        <v>9.0500000000000007</v>
      </c>
      <c r="E12075" s="368"/>
      <c r="F12075" s="368"/>
    </row>
    <row r="12076" spans="1:6" x14ac:dyDescent="0.2">
      <c r="A12076" s="391">
        <v>37958</v>
      </c>
      <c r="B12076" s="478" t="s">
        <v>44561</v>
      </c>
      <c r="C12076" s="391" t="s">
        <v>26</v>
      </c>
      <c r="D12076" s="479">
        <v>16.36</v>
      </c>
      <c r="E12076" s="368"/>
      <c r="F12076" s="368"/>
    </row>
    <row r="12077" spans="1:6" x14ac:dyDescent="0.2">
      <c r="A12077" s="391">
        <v>37959</v>
      </c>
      <c r="B12077" s="478" t="s">
        <v>44562</v>
      </c>
      <c r="C12077" s="391" t="s">
        <v>26</v>
      </c>
      <c r="D12077" s="479">
        <v>25.18</v>
      </c>
      <c r="E12077" s="368"/>
      <c r="F12077" s="368"/>
    </row>
    <row r="12078" spans="1:6" x14ac:dyDescent="0.2">
      <c r="A12078" s="391">
        <v>37960</v>
      </c>
      <c r="B12078" s="478" t="s">
        <v>44563</v>
      </c>
      <c r="C12078" s="391" t="s">
        <v>26</v>
      </c>
      <c r="D12078" s="479">
        <v>64.34</v>
      </c>
      <c r="E12078" s="368"/>
      <c r="F12078" s="368"/>
    </row>
    <row r="12079" spans="1:6" x14ac:dyDescent="0.2">
      <c r="A12079" s="391">
        <v>37961</v>
      </c>
      <c r="B12079" s="478" t="s">
        <v>44564</v>
      </c>
      <c r="C12079" s="391" t="s">
        <v>26</v>
      </c>
      <c r="D12079" s="479">
        <v>138.27000000000001</v>
      </c>
      <c r="E12079" s="368"/>
      <c r="F12079" s="368"/>
    </row>
    <row r="12080" spans="1:6" x14ac:dyDescent="0.2">
      <c r="A12080" s="391">
        <v>37962</v>
      </c>
      <c r="B12080" s="478" t="s">
        <v>44565</v>
      </c>
      <c r="C12080" s="391" t="s">
        <v>26</v>
      </c>
      <c r="D12080" s="479">
        <v>159.41</v>
      </c>
      <c r="E12080" s="368"/>
      <c r="F12080" s="368"/>
    </row>
    <row r="12081" spans="1:6" ht="25.5" x14ac:dyDescent="0.2">
      <c r="A12081" s="391">
        <v>3533</v>
      </c>
      <c r="B12081" s="478" t="s">
        <v>44566</v>
      </c>
      <c r="C12081" s="391" t="s">
        <v>26</v>
      </c>
      <c r="D12081" s="479">
        <v>2.71</v>
      </c>
      <c r="E12081" s="368"/>
      <c r="F12081" s="368"/>
    </row>
    <row r="12082" spans="1:6" ht="25.5" x14ac:dyDescent="0.2">
      <c r="A12082" s="391">
        <v>3538</v>
      </c>
      <c r="B12082" s="478" t="s">
        <v>44567</v>
      </c>
      <c r="C12082" s="391" t="s">
        <v>26</v>
      </c>
      <c r="D12082" s="479">
        <v>5.14</v>
      </c>
      <c r="E12082" s="368"/>
      <c r="F12082" s="368"/>
    </row>
    <row r="12083" spans="1:6" ht="25.5" x14ac:dyDescent="0.2">
      <c r="A12083" s="391">
        <v>3498</v>
      </c>
      <c r="B12083" s="478" t="s">
        <v>44568</v>
      </c>
      <c r="C12083" s="391" t="s">
        <v>26</v>
      </c>
      <c r="D12083" s="479">
        <v>4.9800000000000004</v>
      </c>
      <c r="E12083" s="368"/>
      <c r="F12083" s="368"/>
    </row>
    <row r="12084" spans="1:6" ht="25.5" x14ac:dyDescent="0.2">
      <c r="A12084" s="391">
        <v>3496</v>
      </c>
      <c r="B12084" s="478" t="s">
        <v>44569</v>
      </c>
      <c r="C12084" s="391" t="s">
        <v>26</v>
      </c>
      <c r="D12084" s="479">
        <v>3.33</v>
      </c>
      <c r="E12084" s="368"/>
      <c r="F12084" s="368"/>
    </row>
    <row r="12085" spans="1:6" ht="25.5" x14ac:dyDescent="0.2">
      <c r="A12085" s="391">
        <v>38429</v>
      </c>
      <c r="B12085" s="478" t="s">
        <v>44570</v>
      </c>
      <c r="C12085" s="391" t="s">
        <v>26</v>
      </c>
      <c r="D12085" s="479">
        <v>11.77</v>
      </c>
      <c r="E12085" s="368"/>
      <c r="F12085" s="368"/>
    </row>
    <row r="12086" spans="1:6" ht="25.5" x14ac:dyDescent="0.2">
      <c r="A12086" s="391">
        <v>38431</v>
      </c>
      <c r="B12086" s="478" t="s">
        <v>44571</v>
      </c>
      <c r="C12086" s="391" t="s">
        <v>26</v>
      </c>
      <c r="D12086" s="479">
        <v>14.77</v>
      </c>
      <c r="E12086" s="368"/>
      <c r="F12086" s="368"/>
    </row>
    <row r="12087" spans="1:6" ht="25.5" x14ac:dyDescent="0.2">
      <c r="A12087" s="391">
        <v>38430</v>
      </c>
      <c r="B12087" s="478" t="s">
        <v>44572</v>
      </c>
      <c r="C12087" s="391" t="s">
        <v>26</v>
      </c>
      <c r="D12087" s="479">
        <v>22.9</v>
      </c>
      <c r="E12087" s="368"/>
      <c r="F12087" s="368"/>
    </row>
    <row r="12088" spans="1:6" ht="25.5" x14ac:dyDescent="0.2">
      <c r="A12088" s="391">
        <v>36348</v>
      </c>
      <c r="B12088" s="478" t="s">
        <v>44573</v>
      </c>
      <c r="C12088" s="391" t="s">
        <v>26</v>
      </c>
      <c r="D12088" s="479"/>
      <c r="E12088" s="368"/>
      <c r="F12088" s="368"/>
    </row>
    <row r="12089" spans="1:6" ht="25.5" x14ac:dyDescent="0.2">
      <c r="A12089" s="391">
        <v>36349</v>
      </c>
      <c r="B12089" s="478" t="s">
        <v>44574</v>
      </c>
      <c r="C12089" s="391" t="s">
        <v>26</v>
      </c>
      <c r="D12089" s="479"/>
      <c r="E12089" s="368"/>
      <c r="F12089" s="368"/>
    </row>
    <row r="12090" spans="1:6" ht="25.5" x14ac:dyDescent="0.2">
      <c r="A12090" s="391">
        <v>38987</v>
      </c>
      <c r="B12090" s="478" t="s">
        <v>44575</v>
      </c>
      <c r="C12090" s="391" t="s">
        <v>26</v>
      </c>
      <c r="D12090" s="479"/>
      <c r="E12090" s="368"/>
      <c r="F12090" s="368"/>
    </row>
    <row r="12091" spans="1:6" ht="25.5" x14ac:dyDescent="0.2">
      <c r="A12091" s="391">
        <v>38988</v>
      </c>
      <c r="B12091" s="478" t="s">
        <v>44576</v>
      </c>
      <c r="C12091" s="391" t="s">
        <v>26</v>
      </c>
      <c r="D12091" s="479"/>
      <c r="E12091" s="368"/>
      <c r="F12091" s="368"/>
    </row>
    <row r="12092" spans="1:6" ht="25.5" x14ac:dyDescent="0.2">
      <c r="A12092" s="391">
        <v>38989</v>
      </c>
      <c r="B12092" s="478" t="s">
        <v>44577</v>
      </c>
      <c r="C12092" s="391" t="s">
        <v>26</v>
      </c>
      <c r="D12092" s="479"/>
      <c r="E12092" s="368"/>
      <c r="F12092" s="368"/>
    </row>
    <row r="12093" spans="1:6" ht="25.5" x14ac:dyDescent="0.2">
      <c r="A12093" s="391">
        <v>38990</v>
      </c>
      <c r="B12093" s="478" t="s">
        <v>44578</v>
      </c>
      <c r="C12093" s="391" t="s">
        <v>26</v>
      </c>
      <c r="D12093" s="479"/>
      <c r="E12093" s="368"/>
      <c r="F12093" s="368"/>
    </row>
    <row r="12094" spans="1:6" ht="25.5" x14ac:dyDescent="0.2">
      <c r="A12094" s="391">
        <v>38991</v>
      </c>
      <c r="B12094" s="478" t="s">
        <v>44579</v>
      </c>
      <c r="C12094" s="391" t="s">
        <v>26</v>
      </c>
      <c r="D12094" s="479"/>
      <c r="E12094" s="368"/>
      <c r="F12094" s="368"/>
    </row>
    <row r="12095" spans="1:6" ht="25.5" x14ac:dyDescent="0.2">
      <c r="A12095" s="391">
        <v>38433</v>
      </c>
      <c r="B12095" s="478" t="s">
        <v>44580</v>
      </c>
      <c r="C12095" s="391" t="s">
        <v>26</v>
      </c>
      <c r="D12095" s="479"/>
      <c r="E12095" s="368"/>
      <c r="F12095" s="368"/>
    </row>
    <row r="12096" spans="1:6" ht="25.5" x14ac:dyDescent="0.2">
      <c r="A12096" s="391">
        <v>38440</v>
      </c>
      <c r="B12096" s="478" t="s">
        <v>44581</v>
      </c>
      <c r="C12096" s="391" t="s">
        <v>26</v>
      </c>
      <c r="D12096" s="479"/>
      <c r="E12096" s="368"/>
      <c r="F12096" s="368"/>
    </row>
    <row r="12097" spans="1:6" ht="25.5" x14ac:dyDescent="0.2">
      <c r="A12097" s="391">
        <v>36359</v>
      </c>
      <c r="B12097" s="478" t="s">
        <v>44582</v>
      </c>
      <c r="C12097" s="391" t="s">
        <v>26</v>
      </c>
      <c r="D12097" s="479"/>
      <c r="E12097" s="368"/>
      <c r="F12097" s="368"/>
    </row>
    <row r="12098" spans="1:6" ht="25.5" x14ac:dyDescent="0.2">
      <c r="A12098" s="391">
        <v>36360</v>
      </c>
      <c r="B12098" s="478" t="s">
        <v>44583</v>
      </c>
      <c r="C12098" s="391" t="s">
        <v>26</v>
      </c>
      <c r="D12098" s="479"/>
      <c r="E12098" s="368"/>
      <c r="F12098" s="368"/>
    </row>
    <row r="12099" spans="1:6" ht="25.5" x14ac:dyDescent="0.2">
      <c r="A12099" s="391">
        <v>38434</v>
      </c>
      <c r="B12099" s="478" t="s">
        <v>44584</v>
      </c>
      <c r="C12099" s="391" t="s">
        <v>26</v>
      </c>
      <c r="D12099" s="479"/>
      <c r="E12099" s="368"/>
      <c r="F12099" s="368"/>
    </row>
    <row r="12100" spans="1:6" ht="25.5" x14ac:dyDescent="0.2">
      <c r="A12100" s="391">
        <v>38435</v>
      </c>
      <c r="B12100" s="478" t="s">
        <v>44585</v>
      </c>
      <c r="C12100" s="391" t="s">
        <v>26</v>
      </c>
      <c r="D12100" s="479"/>
      <c r="E12100" s="368"/>
      <c r="F12100" s="368"/>
    </row>
    <row r="12101" spans="1:6" ht="25.5" x14ac:dyDescent="0.2">
      <c r="A12101" s="391">
        <v>38436</v>
      </c>
      <c r="B12101" s="478" t="s">
        <v>44586</v>
      </c>
      <c r="C12101" s="391" t="s">
        <v>26</v>
      </c>
      <c r="D12101" s="479"/>
      <c r="E12101" s="368"/>
      <c r="F12101" s="368"/>
    </row>
    <row r="12102" spans="1:6" ht="25.5" x14ac:dyDescent="0.2">
      <c r="A12102" s="391">
        <v>38437</v>
      </c>
      <c r="B12102" s="478" t="s">
        <v>44587</v>
      </c>
      <c r="C12102" s="391" t="s">
        <v>26</v>
      </c>
      <c r="D12102" s="479"/>
      <c r="E12102" s="368"/>
      <c r="F12102" s="368"/>
    </row>
    <row r="12103" spans="1:6" ht="25.5" x14ac:dyDescent="0.2">
      <c r="A12103" s="391">
        <v>38438</v>
      </c>
      <c r="B12103" s="478" t="s">
        <v>44588</v>
      </c>
      <c r="C12103" s="391" t="s">
        <v>26</v>
      </c>
      <c r="D12103" s="479"/>
      <c r="E12103" s="368"/>
      <c r="F12103" s="368"/>
    </row>
    <row r="12104" spans="1:6" ht="25.5" x14ac:dyDescent="0.2">
      <c r="A12104" s="391">
        <v>38439</v>
      </c>
      <c r="B12104" s="478" t="s">
        <v>44589</v>
      </c>
      <c r="C12104" s="391" t="s">
        <v>26</v>
      </c>
      <c r="D12104" s="479"/>
      <c r="E12104" s="368"/>
      <c r="F12104" s="368"/>
    </row>
    <row r="12105" spans="1:6" ht="25.5" x14ac:dyDescent="0.2">
      <c r="A12105" s="391">
        <v>10836</v>
      </c>
      <c r="B12105" s="478" t="s">
        <v>44590</v>
      </c>
      <c r="C12105" s="391" t="s">
        <v>26</v>
      </c>
      <c r="D12105" s="479">
        <v>21.77</v>
      </c>
      <c r="E12105" s="368"/>
      <c r="F12105" s="368"/>
    </row>
    <row r="12106" spans="1:6" x14ac:dyDescent="0.2">
      <c r="A12106" s="391">
        <v>3510</v>
      </c>
      <c r="B12106" s="478" t="s">
        <v>44591</v>
      </c>
      <c r="C12106" s="391" t="s">
        <v>26</v>
      </c>
      <c r="D12106" s="479">
        <v>12.5</v>
      </c>
      <c r="E12106" s="368"/>
      <c r="F12106" s="368"/>
    </row>
    <row r="12107" spans="1:6" ht="25.5" x14ac:dyDescent="0.2">
      <c r="A12107" s="391">
        <v>10835</v>
      </c>
      <c r="B12107" s="478" t="s">
        <v>44592</v>
      </c>
      <c r="C12107" s="391" t="s">
        <v>26</v>
      </c>
      <c r="D12107" s="479">
        <v>6.08</v>
      </c>
      <c r="E12107" s="368"/>
      <c r="F12107" s="368"/>
    </row>
    <row r="12108" spans="1:6" ht="25.5" x14ac:dyDescent="0.2">
      <c r="A12108" s="391">
        <v>3485</v>
      </c>
      <c r="B12108" s="478" t="s">
        <v>44593</v>
      </c>
      <c r="C12108" s="391" t="s">
        <v>26</v>
      </c>
      <c r="D12108" s="479">
        <v>13.15</v>
      </c>
      <c r="E12108" s="368"/>
      <c r="F12108" s="368"/>
    </row>
    <row r="12109" spans="1:6" ht="25.5" x14ac:dyDescent="0.2">
      <c r="A12109" s="391">
        <v>3475</v>
      </c>
      <c r="B12109" s="478" t="s">
        <v>44594</v>
      </c>
      <c r="C12109" s="391" t="s">
        <v>26</v>
      </c>
      <c r="D12109" s="479">
        <v>4.76</v>
      </c>
      <c r="E12109" s="368"/>
      <c r="F12109" s="368"/>
    </row>
    <row r="12110" spans="1:6" ht="25.5" x14ac:dyDescent="0.2">
      <c r="A12110" s="391">
        <v>3534</v>
      </c>
      <c r="B12110" s="478" t="s">
        <v>44595</v>
      </c>
      <c r="C12110" s="391" t="s">
        <v>26</v>
      </c>
      <c r="D12110" s="479">
        <v>7.54</v>
      </c>
      <c r="E12110" s="368"/>
      <c r="F12110" s="368"/>
    </row>
    <row r="12111" spans="1:6" ht="25.5" x14ac:dyDescent="0.2">
      <c r="A12111" s="391">
        <v>3482</v>
      </c>
      <c r="B12111" s="478" t="s">
        <v>44596</v>
      </c>
      <c r="C12111" s="391" t="s">
        <v>26</v>
      </c>
      <c r="D12111" s="479">
        <v>5.39</v>
      </c>
      <c r="E12111" s="368"/>
      <c r="F12111" s="368"/>
    </row>
    <row r="12112" spans="1:6" ht="25.5" x14ac:dyDescent="0.2">
      <c r="A12112" s="391">
        <v>3543</v>
      </c>
      <c r="B12112" s="478" t="s">
        <v>44597</v>
      </c>
      <c r="C12112" s="391" t="s">
        <v>26</v>
      </c>
      <c r="D12112" s="479">
        <v>1.75</v>
      </c>
      <c r="E12112" s="368"/>
      <c r="F12112" s="368"/>
    </row>
    <row r="12113" spans="1:6" ht="25.5" x14ac:dyDescent="0.2">
      <c r="A12113" s="391">
        <v>3505</v>
      </c>
      <c r="B12113" s="478" t="s">
        <v>44598</v>
      </c>
      <c r="C12113" s="391" t="s">
        <v>26</v>
      </c>
      <c r="D12113" s="479">
        <v>2.6</v>
      </c>
      <c r="E12113" s="368"/>
      <c r="F12113" s="368"/>
    </row>
    <row r="12114" spans="1:6" ht="25.5" x14ac:dyDescent="0.2">
      <c r="A12114" s="391">
        <v>3521</v>
      </c>
      <c r="B12114" s="478" t="s">
        <v>44599</v>
      </c>
      <c r="C12114" s="391" t="s">
        <v>26</v>
      </c>
      <c r="D12114" s="479">
        <v>1.96</v>
      </c>
      <c r="E12114" s="368"/>
      <c r="F12114" s="368"/>
    </row>
    <row r="12115" spans="1:6" ht="25.5" x14ac:dyDescent="0.2">
      <c r="A12115" s="391">
        <v>3531</v>
      </c>
      <c r="B12115" s="478" t="s">
        <v>44600</v>
      </c>
      <c r="C12115" s="391" t="s">
        <v>26</v>
      </c>
      <c r="D12115" s="479">
        <v>3.73</v>
      </c>
      <c r="E12115" s="368"/>
      <c r="F12115" s="368"/>
    </row>
    <row r="12116" spans="1:6" ht="25.5" x14ac:dyDescent="0.2">
      <c r="A12116" s="391">
        <v>3522</v>
      </c>
      <c r="B12116" s="478" t="s">
        <v>44601</v>
      </c>
      <c r="C12116" s="391" t="s">
        <v>26</v>
      </c>
      <c r="D12116" s="479">
        <v>2.41</v>
      </c>
      <c r="E12116" s="368"/>
      <c r="F12116" s="368"/>
    </row>
    <row r="12117" spans="1:6" ht="25.5" x14ac:dyDescent="0.2">
      <c r="A12117" s="391">
        <v>3527</v>
      </c>
      <c r="B12117" s="478" t="s">
        <v>44602</v>
      </c>
      <c r="C12117" s="391" t="s">
        <v>26</v>
      </c>
      <c r="D12117" s="479">
        <v>12.67</v>
      </c>
      <c r="E12117" s="368"/>
      <c r="F12117" s="368"/>
    </row>
    <row r="12118" spans="1:6" ht="25.5" x14ac:dyDescent="0.2">
      <c r="A12118" s="391">
        <v>3530</v>
      </c>
      <c r="B12118" s="478" t="s">
        <v>44603</v>
      </c>
      <c r="C12118" s="391" t="s">
        <v>26</v>
      </c>
      <c r="D12118" s="479">
        <v>205.17</v>
      </c>
      <c r="E12118" s="368"/>
      <c r="F12118" s="368"/>
    </row>
    <row r="12119" spans="1:6" ht="25.5" x14ac:dyDescent="0.2">
      <c r="A12119" s="391">
        <v>3542</v>
      </c>
      <c r="B12119" s="478" t="s">
        <v>44604</v>
      </c>
      <c r="C12119" s="391" t="s">
        <v>26</v>
      </c>
      <c r="D12119" s="479">
        <v>0.59</v>
      </c>
      <c r="E12119" s="368"/>
      <c r="F12119" s="368"/>
    </row>
    <row r="12120" spans="1:6" ht="25.5" x14ac:dyDescent="0.2">
      <c r="A12120" s="391">
        <v>3529</v>
      </c>
      <c r="B12120" s="478" t="s">
        <v>44605</v>
      </c>
      <c r="C12120" s="391" t="s">
        <v>26</v>
      </c>
      <c r="D12120" s="479">
        <v>0.72</v>
      </c>
      <c r="E12120" s="368"/>
      <c r="F12120" s="368"/>
    </row>
    <row r="12121" spans="1:6" ht="25.5" x14ac:dyDescent="0.2">
      <c r="A12121" s="391">
        <v>3536</v>
      </c>
      <c r="B12121" s="478" t="s">
        <v>44606</v>
      </c>
      <c r="C12121" s="391" t="s">
        <v>26</v>
      </c>
      <c r="D12121" s="479">
        <v>2.4</v>
      </c>
      <c r="E12121" s="368"/>
      <c r="F12121" s="368"/>
    </row>
    <row r="12122" spans="1:6" ht="25.5" x14ac:dyDescent="0.2">
      <c r="A12122" s="391">
        <v>3535</v>
      </c>
      <c r="B12122" s="478" t="s">
        <v>44607</v>
      </c>
      <c r="C12122" s="391" t="s">
        <v>26</v>
      </c>
      <c r="D12122" s="479">
        <v>5.85</v>
      </c>
      <c r="E12122" s="368"/>
      <c r="F12122" s="368"/>
    </row>
    <row r="12123" spans="1:6" ht="25.5" x14ac:dyDescent="0.2">
      <c r="A12123" s="391">
        <v>3540</v>
      </c>
      <c r="B12123" s="478" t="s">
        <v>44608</v>
      </c>
      <c r="C12123" s="391" t="s">
        <v>26</v>
      </c>
      <c r="D12123" s="479">
        <v>4.95</v>
      </c>
      <c r="E12123" s="368"/>
      <c r="F12123" s="368"/>
    </row>
    <row r="12124" spans="1:6" ht="25.5" x14ac:dyDescent="0.2">
      <c r="A12124" s="391">
        <v>3539</v>
      </c>
      <c r="B12124" s="478" t="s">
        <v>44609</v>
      </c>
      <c r="C12124" s="391" t="s">
        <v>26</v>
      </c>
      <c r="D12124" s="479">
        <v>28.72</v>
      </c>
      <c r="E12124" s="368"/>
      <c r="F12124" s="368"/>
    </row>
    <row r="12125" spans="1:6" ht="25.5" x14ac:dyDescent="0.2">
      <c r="A12125" s="391">
        <v>3513</v>
      </c>
      <c r="B12125" s="478" t="s">
        <v>44610</v>
      </c>
      <c r="C12125" s="391" t="s">
        <v>26</v>
      </c>
      <c r="D12125" s="479">
        <v>101.26</v>
      </c>
      <c r="E12125" s="368"/>
      <c r="F12125" s="368"/>
    </row>
    <row r="12126" spans="1:6" x14ac:dyDescent="0.2">
      <c r="A12126" s="391">
        <v>3516</v>
      </c>
      <c r="B12126" s="478" t="s">
        <v>44611</v>
      </c>
      <c r="C12126" s="391" t="s">
        <v>26</v>
      </c>
      <c r="D12126" s="479">
        <v>2.5099999999999998</v>
      </c>
      <c r="E12126" s="368"/>
      <c r="F12126" s="368"/>
    </row>
    <row r="12127" spans="1:6" ht="25.5" x14ac:dyDescent="0.2">
      <c r="A12127" s="391">
        <v>3517</v>
      </c>
      <c r="B12127" s="478" t="s">
        <v>44612</v>
      </c>
      <c r="C12127" s="391" t="s">
        <v>26</v>
      </c>
      <c r="D12127" s="479">
        <v>2.2599999999999998</v>
      </c>
      <c r="E12127" s="368"/>
      <c r="F12127" s="368"/>
    </row>
    <row r="12128" spans="1:6" ht="25.5" x14ac:dyDescent="0.2">
      <c r="A12128" s="391">
        <v>3515</v>
      </c>
      <c r="B12128" s="478" t="s">
        <v>44613</v>
      </c>
      <c r="C12128" s="391" t="s">
        <v>26</v>
      </c>
      <c r="D12128" s="479">
        <v>6.46</v>
      </c>
      <c r="E12128" s="368"/>
      <c r="F12128" s="368"/>
    </row>
    <row r="12129" spans="1:6" ht="25.5" x14ac:dyDescent="0.2">
      <c r="A12129" s="391">
        <v>20147</v>
      </c>
      <c r="B12129" s="478" t="s">
        <v>44614</v>
      </c>
      <c r="C12129" s="391" t="s">
        <v>26</v>
      </c>
      <c r="D12129" s="479">
        <v>5.31</v>
      </c>
      <c r="E12129" s="368"/>
      <c r="F12129" s="368"/>
    </row>
    <row r="12130" spans="1:6" ht="25.5" x14ac:dyDescent="0.2">
      <c r="A12130" s="391">
        <v>3524</v>
      </c>
      <c r="B12130" s="478" t="s">
        <v>44615</v>
      </c>
      <c r="C12130" s="391" t="s">
        <v>26</v>
      </c>
      <c r="D12130" s="479">
        <v>8</v>
      </c>
      <c r="E12130" s="368"/>
      <c r="F12130" s="368"/>
    </row>
    <row r="12131" spans="1:6" ht="25.5" x14ac:dyDescent="0.2">
      <c r="A12131" s="391">
        <v>3532</v>
      </c>
      <c r="B12131" s="478" t="s">
        <v>44616</v>
      </c>
      <c r="C12131" s="391" t="s">
        <v>26</v>
      </c>
      <c r="D12131" s="479">
        <v>18.48</v>
      </c>
      <c r="E12131" s="368"/>
      <c r="F12131" s="368"/>
    </row>
    <row r="12132" spans="1:6" x14ac:dyDescent="0.2">
      <c r="A12132" s="391">
        <v>3528</v>
      </c>
      <c r="B12132" s="478" t="s">
        <v>44617</v>
      </c>
      <c r="C12132" s="391" t="s">
        <v>26</v>
      </c>
      <c r="D12132" s="479">
        <v>9.8000000000000007</v>
      </c>
      <c r="E12132" s="368"/>
      <c r="F12132" s="368"/>
    </row>
    <row r="12133" spans="1:6" x14ac:dyDescent="0.2">
      <c r="A12133" s="391">
        <v>37952</v>
      </c>
      <c r="B12133" s="478" t="s">
        <v>44618</v>
      </c>
      <c r="C12133" s="391" t="s">
        <v>26</v>
      </c>
      <c r="D12133" s="479">
        <v>70.25</v>
      </c>
      <c r="E12133" s="368"/>
      <c r="F12133" s="368"/>
    </row>
    <row r="12134" spans="1:6" x14ac:dyDescent="0.2">
      <c r="A12134" s="391">
        <v>37951</v>
      </c>
      <c r="B12134" s="478" t="s">
        <v>44619</v>
      </c>
      <c r="C12134" s="391" t="s">
        <v>26</v>
      </c>
      <c r="D12134" s="479">
        <v>2.64</v>
      </c>
      <c r="E12134" s="368"/>
      <c r="F12134" s="368"/>
    </row>
    <row r="12135" spans="1:6" x14ac:dyDescent="0.2">
      <c r="A12135" s="391">
        <v>3518</v>
      </c>
      <c r="B12135" s="478" t="s">
        <v>44620</v>
      </c>
      <c r="C12135" s="391" t="s">
        <v>26</v>
      </c>
      <c r="D12135" s="479">
        <v>4.0599999999999996</v>
      </c>
      <c r="E12135" s="368"/>
      <c r="F12135" s="368"/>
    </row>
    <row r="12136" spans="1:6" x14ac:dyDescent="0.2">
      <c r="A12136" s="391">
        <v>3519</v>
      </c>
      <c r="B12136" s="478" t="s">
        <v>44621</v>
      </c>
      <c r="C12136" s="391" t="s">
        <v>26</v>
      </c>
      <c r="D12136" s="479">
        <v>8.5</v>
      </c>
      <c r="E12136" s="368"/>
      <c r="F12136" s="368"/>
    </row>
    <row r="12137" spans="1:6" x14ac:dyDescent="0.2">
      <c r="A12137" s="391">
        <v>3520</v>
      </c>
      <c r="B12137" s="478" t="s">
        <v>44622</v>
      </c>
      <c r="C12137" s="391" t="s">
        <v>26</v>
      </c>
      <c r="D12137" s="479">
        <v>8.91</v>
      </c>
      <c r="E12137" s="368"/>
      <c r="F12137" s="368"/>
    </row>
    <row r="12138" spans="1:6" x14ac:dyDescent="0.2">
      <c r="A12138" s="391">
        <v>37950</v>
      </c>
      <c r="B12138" s="478" t="s">
        <v>44623</v>
      </c>
      <c r="C12138" s="391" t="s">
        <v>26</v>
      </c>
      <c r="D12138" s="479">
        <v>64.67</v>
      </c>
      <c r="E12138" s="368"/>
      <c r="F12138" s="368"/>
    </row>
    <row r="12139" spans="1:6" x14ac:dyDescent="0.2">
      <c r="A12139" s="391">
        <v>37949</v>
      </c>
      <c r="B12139" s="478" t="s">
        <v>44624</v>
      </c>
      <c r="C12139" s="391" t="s">
        <v>26</v>
      </c>
      <c r="D12139" s="479">
        <v>2.38</v>
      </c>
      <c r="E12139" s="368"/>
      <c r="F12139" s="368"/>
    </row>
    <row r="12140" spans="1:6" x14ac:dyDescent="0.2">
      <c r="A12140" s="391">
        <v>3526</v>
      </c>
      <c r="B12140" s="478" t="s">
        <v>44625</v>
      </c>
      <c r="C12140" s="391" t="s">
        <v>26</v>
      </c>
      <c r="D12140" s="479">
        <v>3.28</v>
      </c>
      <c r="E12140" s="368"/>
      <c r="F12140" s="368"/>
    </row>
    <row r="12141" spans="1:6" x14ac:dyDescent="0.2">
      <c r="A12141" s="391">
        <v>3509</v>
      </c>
      <c r="B12141" s="478" t="s">
        <v>44626</v>
      </c>
      <c r="C12141" s="391" t="s">
        <v>26</v>
      </c>
      <c r="D12141" s="479">
        <v>7.46</v>
      </c>
      <c r="E12141" s="368"/>
      <c r="F12141" s="368"/>
    </row>
    <row r="12142" spans="1:6" x14ac:dyDescent="0.2">
      <c r="A12142" s="391">
        <v>20151</v>
      </c>
      <c r="B12142" s="478" t="s">
        <v>44627</v>
      </c>
      <c r="C12142" s="391" t="s">
        <v>26</v>
      </c>
      <c r="D12142" s="479">
        <v>21.91</v>
      </c>
      <c r="E12142" s="368"/>
      <c r="F12142" s="368"/>
    </row>
    <row r="12143" spans="1:6" x14ac:dyDescent="0.2">
      <c r="A12143" s="391">
        <v>20152</v>
      </c>
      <c r="B12143" s="478" t="s">
        <v>44628</v>
      </c>
      <c r="C12143" s="391" t="s">
        <v>26</v>
      </c>
      <c r="D12143" s="479">
        <v>79.27</v>
      </c>
      <c r="E12143" s="368"/>
      <c r="F12143" s="368"/>
    </row>
    <row r="12144" spans="1:6" x14ac:dyDescent="0.2">
      <c r="A12144" s="391">
        <v>20148</v>
      </c>
      <c r="B12144" s="478" t="s">
        <v>44629</v>
      </c>
      <c r="C12144" s="391" t="s">
        <v>26</v>
      </c>
      <c r="D12144" s="479">
        <v>4.3099999999999996</v>
      </c>
      <c r="E12144" s="368"/>
      <c r="F12144" s="368"/>
    </row>
    <row r="12145" spans="1:6" x14ac:dyDescent="0.2">
      <c r="A12145" s="391">
        <v>20149</v>
      </c>
      <c r="B12145" s="478" t="s">
        <v>44630</v>
      </c>
      <c r="C12145" s="391" t="s">
        <v>26</v>
      </c>
      <c r="D12145" s="479">
        <v>7.19</v>
      </c>
      <c r="E12145" s="368"/>
      <c r="F12145" s="368"/>
    </row>
    <row r="12146" spans="1:6" x14ac:dyDescent="0.2">
      <c r="A12146" s="391">
        <v>20150</v>
      </c>
      <c r="B12146" s="478" t="s">
        <v>44631</v>
      </c>
      <c r="C12146" s="391" t="s">
        <v>26</v>
      </c>
      <c r="D12146" s="479">
        <v>18.54</v>
      </c>
      <c r="E12146" s="368"/>
      <c r="F12146" s="368"/>
    </row>
    <row r="12147" spans="1:6" x14ac:dyDescent="0.2">
      <c r="A12147" s="391">
        <v>20157</v>
      </c>
      <c r="B12147" s="478" t="s">
        <v>44632</v>
      </c>
      <c r="C12147" s="391" t="s">
        <v>26</v>
      </c>
      <c r="D12147" s="479">
        <v>20.81</v>
      </c>
      <c r="E12147" s="368"/>
      <c r="F12147" s="368"/>
    </row>
    <row r="12148" spans="1:6" x14ac:dyDescent="0.2">
      <c r="A12148" s="391">
        <v>20158</v>
      </c>
      <c r="B12148" s="478" t="s">
        <v>44633</v>
      </c>
      <c r="C12148" s="391" t="s">
        <v>26</v>
      </c>
      <c r="D12148" s="479">
        <v>82.64</v>
      </c>
      <c r="E12148" s="368"/>
      <c r="F12148" s="368"/>
    </row>
    <row r="12149" spans="1:6" x14ac:dyDescent="0.2">
      <c r="A12149" s="391">
        <v>20154</v>
      </c>
      <c r="B12149" s="478" t="s">
        <v>44634</v>
      </c>
      <c r="C12149" s="391" t="s">
        <v>26</v>
      </c>
      <c r="D12149" s="479">
        <v>4.22</v>
      </c>
      <c r="E12149" s="368"/>
      <c r="F12149" s="368"/>
    </row>
    <row r="12150" spans="1:6" x14ac:dyDescent="0.2">
      <c r="A12150" s="391">
        <v>20155</v>
      </c>
      <c r="B12150" s="478" t="s">
        <v>44635</v>
      </c>
      <c r="C12150" s="391" t="s">
        <v>26</v>
      </c>
      <c r="D12150" s="479">
        <v>6.42</v>
      </c>
      <c r="E12150" s="368"/>
      <c r="F12150" s="368"/>
    </row>
    <row r="12151" spans="1:6" x14ac:dyDescent="0.2">
      <c r="A12151" s="391">
        <v>20156</v>
      </c>
      <c r="B12151" s="478" t="s">
        <v>44636</v>
      </c>
      <c r="C12151" s="391" t="s">
        <v>26</v>
      </c>
      <c r="D12151" s="479">
        <v>18.05</v>
      </c>
      <c r="E12151" s="368"/>
      <c r="F12151" s="368"/>
    </row>
    <row r="12152" spans="1:6" ht="25.5" x14ac:dyDescent="0.2">
      <c r="A12152" s="391">
        <v>3499</v>
      </c>
      <c r="B12152" s="478" t="s">
        <v>44637</v>
      </c>
      <c r="C12152" s="391" t="s">
        <v>26</v>
      </c>
      <c r="D12152" s="479">
        <v>1.1200000000000001</v>
      </c>
      <c r="E12152" s="368"/>
      <c r="F12152" s="368"/>
    </row>
    <row r="12153" spans="1:6" ht="25.5" x14ac:dyDescent="0.2">
      <c r="A12153" s="391">
        <v>3500</v>
      </c>
      <c r="B12153" s="478" t="s">
        <v>44638</v>
      </c>
      <c r="C12153" s="391" t="s">
        <v>26</v>
      </c>
      <c r="D12153" s="479">
        <v>1.49</v>
      </c>
      <c r="E12153" s="368"/>
      <c r="F12153" s="368"/>
    </row>
    <row r="12154" spans="1:6" ht="25.5" x14ac:dyDescent="0.2">
      <c r="A12154" s="391">
        <v>3501</v>
      </c>
      <c r="B12154" s="478" t="s">
        <v>44639</v>
      </c>
      <c r="C12154" s="391" t="s">
        <v>26</v>
      </c>
      <c r="D12154" s="479">
        <v>4.1100000000000003</v>
      </c>
      <c r="E12154" s="368"/>
      <c r="F12154" s="368"/>
    </row>
    <row r="12155" spans="1:6" ht="25.5" x14ac:dyDescent="0.2">
      <c r="A12155" s="391">
        <v>3502</v>
      </c>
      <c r="B12155" s="478" t="s">
        <v>44640</v>
      </c>
      <c r="C12155" s="391" t="s">
        <v>26</v>
      </c>
      <c r="D12155" s="479">
        <v>5.91</v>
      </c>
      <c r="E12155" s="368"/>
      <c r="F12155" s="368"/>
    </row>
    <row r="12156" spans="1:6" ht="25.5" x14ac:dyDescent="0.2">
      <c r="A12156" s="391">
        <v>3503</v>
      </c>
      <c r="B12156" s="478" t="s">
        <v>44641</v>
      </c>
      <c r="C12156" s="391" t="s">
        <v>26</v>
      </c>
      <c r="D12156" s="479">
        <v>7.43</v>
      </c>
      <c r="E12156" s="368"/>
      <c r="F12156" s="368"/>
    </row>
    <row r="12157" spans="1:6" ht="25.5" x14ac:dyDescent="0.2">
      <c r="A12157" s="391">
        <v>3477</v>
      </c>
      <c r="B12157" s="478" t="s">
        <v>44642</v>
      </c>
      <c r="C12157" s="391" t="s">
        <v>26</v>
      </c>
      <c r="D12157" s="479">
        <v>26.98</v>
      </c>
      <c r="E12157" s="368"/>
      <c r="F12157" s="368"/>
    </row>
    <row r="12158" spans="1:6" ht="25.5" x14ac:dyDescent="0.2">
      <c r="A12158" s="391">
        <v>3478</v>
      </c>
      <c r="B12158" s="478" t="s">
        <v>44643</v>
      </c>
      <c r="C12158" s="391" t="s">
        <v>26</v>
      </c>
      <c r="D12158" s="479">
        <v>64.7</v>
      </c>
      <c r="E12158" s="368"/>
      <c r="F12158" s="368"/>
    </row>
    <row r="12159" spans="1:6" ht="25.5" x14ac:dyDescent="0.2">
      <c r="A12159" s="391">
        <v>3525</v>
      </c>
      <c r="B12159" s="478" t="s">
        <v>44644</v>
      </c>
      <c r="C12159" s="391" t="s">
        <v>26</v>
      </c>
      <c r="D12159" s="479">
        <v>79.849999999999994</v>
      </c>
      <c r="E12159" s="368"/>
      <c r="F12159" s="368"/>
    </row>
    <row r="12160" spans="1:6" ht="25.5" x14ac:dyDescent="0.2">
      <c r="A12160" s="391">
        <v>3511</v>
      </c>
      <c r="B12160" s="478" t="s">
        <v>44645</v>
      </c>
      <c r="C12160" s="391" t="s">
        <v>26</v>
      </c>
      <c r="D12160" s="479">
        <v>84.69</v>
      </c>
      <c r="E12160" s="368"/>
      <c r="F12160" s="368"/>
    </row>
    <row r="12161" spans="1:6" ht="25.5" x14ac:dyDescent="0.2">
      <c r="A12161" s="391">
        <v>38913</v>
      </c>
      <c r="B12161" s="478" t="s">
        <v>44646</v>
      </c>
      <c r="C12161" s="391" t="s">
        <v>26</v>
      </c>
      <c r="D12161" s="479"/>
      <c r="E12161" s="368"/>
      <c r="F12161" s="368"/>
    </row>
    <row r="12162" spans="1:6" ht="25.5" x14ac:dyDescent="0.2">
      <c r="A12162" s="391">
        <v>38914</v>
      </c>
      <c r="B12162" s="478" t="s">
        <v>44647</v>
      </c>
      <c r="C12162" s="391" t="s">
        <v>26</v>
      </c>
      <c r="D12162" s="479"/>
      <c r="E12162" s="368"/>
      <c r="F12162" s="368"/>
    </row>
    <row r="12163" spans="1:6" ht="25.5" x14ac:dyDescent="0.2">
      <c r="A12163" s="391">
        <v>38915</v>
      </c>
      <c r="B12163" s="478" t="s">
        <v>44648</v>
      </c>
      <c r="C12163" s="391" t="s">
        <v>26</v>
      </c>
      <c r="D12163" s="479"/>
      <c r="E12163" s="368"/>
      <c r="F12163" s="368"/>
    </row>
    <row r="12164" spans="1:6" ht="25.5" x14ac:dyDescent="0.2">
      <c r="A12164" s="391">
        <v>38916</v>
      </c>
      <c r="B12164" s="478" t="s">
        <v>44649</v>
      </c>
      <c r="C12164" s="391" t="s">
        <v>26</v>
      </c>
      <c r="D12164" s="479"/>
      <c r="E12164" s="368"/>
      <c r="F12164" s="368"/>
    </row>
    <row r="12165" spans="1:6" ht="25.5" x14ac:dyDescent="0.2">
      <c r="A12165" s="391">
        <v>39300</v>
      </c>
      <c r="B12165" s="478" t="s">
        <v>44650</v>
      </c>
      <c r="C12165" s="391" t="s">
        <v>26</v>
      </c>
      <c r="D12165" s="479"/>
      <c r="E12165" s="368"/>
      <c r="F12165" s="368"/>
    </row>
    <row r="12166" spans="1:6" ht="25.5" x14ac:dyDescent="0.2">
      <c r="A12166" s="391">
        <v>39301</v>
      </c>
      <c r="B12166" s="478" t="s">
        <v>44651</v>
      </c>
      <c r="C12166" s="391" t="s">
        <v>26</v>
      </c>
      <c r="D12166" s="479"/>
      <c r="E12166" s="368"/>
      <c r="F12166" s="368"/>
    </row>
    <row r="12167" spans="1:6" ht="25.5" x14ac:dyDescent="0.2">
      <c r="A12167" s="391">
        <v>39302</v>
      </c>
      <c r="B12167" s="478" t="s">
        <v>44652</v>
      </c>
      <c r="C12167" s="391" t="s">
        <v>26</v>
      </c>
      <c r="D12167" s="479"/>
      <c r="E12167" s="368"/>
      <c r="F12167" s="368"/>
    </row>
    <row r="12168" spans="1:6" ht="38.25" x14ac:dyDescent="0.2">
      <c r="A12168" s="391">
        <v>38941</v>
      </c>
      <c r="B12168" s="478" t="s">
        <v>44653</v>
      </c>
      <c r="C12168" s="391" t="s">
        <v>26</v>
      </c>
      <c r="D12168" s="479"/>
      <c r="E12168" s="368"/>
      <c r="F12168" s="368"/>
    </row>
    <row r="12169" spans="1:6" ht="38.25" x14ac:dyDescent="0.2">
      <c r="A12169" s="391">
        <v>38923</v>
      </c>
      <c r="B12169" s="478" t="s">
        <v>44654</v>
      </c>
      <c r="C12169" s="391" t="s">
        <v>26</v>
      </c>
      <c r="D12169" s="479"/>
      <c r="E12169" s="368"/>
      <c r="F12169" s="368"/>
    </row>
    <row r="12170" spans="1:6" ht="38.25" x14ac:dyDescent="0.2">
      <c r="A12170" s="391">
        <v>38925</v>
      </c>
      <c r="B12170" s="478" t="s">
        <v>44655</v>
      </c>
      <c r="C12170" s="391" t="s">
        <v>26</v>
      </c>
      <c r="D12170" s="479"/>
      <c r="E12170" s="368"/>
      <c r="F12170" s="368"/>
    </row>
    <row r="12171" spans="1:6" ht="38.25" x14ac:dyDescent="0.2">
      <c r="A12171" s="391">
        <v>38926</v>
      </c>
      <c r="B12171" s="478" t="s">
        <v>44656</v>
      </c>
      <c r="C12171" s="391" t="s">
        <v>26</v>
      </c>
      <c r="D12171" s="479"/>
      <c r="E12171" s="368"/>
      <c r="F12171" s="368"/>
    </row>
    <row r="12172" spans="1:6" ht="38.25" x14ac:dyDescent="0.2">
      <c r="A12172" s="391">
        <v>38927</v>
      </c>
      <c r="B12172" s="478" t="s">
        <v>44657</v>
      </c>
      <c r="C12172" s="391" t="s">
        <v>26</v>
      </c>
      <c r="D12172" s="479"/>
      <c r="E12172" s="368"/>
      <c r="F12172" s="368"/>
    </row>
    <row r="12173" spans="1:6" ht="38.25" x14ac:dyDescent="0.2">
      <c r="A12173" s="391">
        <v>39304</v>
      </c>
      <c r="B12173" s="478" t="s">
        <v>44658</v>
      </c>
      <c r="C12173" s="391" t="s">
        <v>26</v>
      </c>
      <c r="D12173" s="479"/>
      <c r="E12173" s="368"/>
      <c r="F12173" s="368"/>
    </row>
    <row r="12174" spans="1:6" ht="38.25" x14ac:dyDescent="0.2">
      <c r="A12174" s="391">
        <v>39305</v>
      </c>
      <c r="B12174" s="478" t="s">
        <v>44659</v>
      </c>
      <c r="C12174" s="391" t="s">
        <v>26</v>
      </c>
      <c r="D12174" s="479"/>
      <c r="E12174" s="368"/>
      <c r="F12174" s="368"/>
    </row>
    <row r="12175" spans="1:6" ht="38.25" x14ac:dyDescent="0.2">
      <c r="A12175" s="391">
        <v>39306</v>
      </c>
      <c r="B12175" s="478" t="s">
        <v>44660</v>
      </c>
      <c r="C12175" s="391" t="s">
        <v>26</v>
      </c>
      <c r="D12175" s="479"/>
      <c r="E12175" s="368"/>
      <c r="F12175" s="368"/>
    </row>
    <row r="12176" spans="1:6" ht="38.25" x14ac:dyDescent="0.2">
      <c r="A12176" s="391">
        <v>38928</v>
      </c>
      <c r="B12176" s="478" t="s">
        <v>44661</v>
      </c>
      <c r="C12176" s="391" t="s">
        <v>26</v>
      </c>
      <c r="D12176" s="479"/>
      <c r="E12176" s="368"/>
      <c r="F12176" s="368"/>
    </row>
    <row r="12177" spans="1:6" ht="38.25" x14ac:dyDescent="0.2">
      <c r="A12177" s="391">
        <v>38917</v>
      </c>
      <c r="B12177" s="478" t="s">
        <v>44662</v>
      </c>
      <c r="C12177" s="391" t="s">
        <v>26</v>
      </c>
      <c r="D12177" s="479"/>
      <c r="E12177" s="368"/>
      <c r="F12177" s="368"/>
    </row>
    <row r="12178" spans="1:6" ht="38.25" x14ac:dyDescent="0.2">
      <c r="A12178" s="391">
        <v>38919</v>
      </c>
      <c r="B12178" s="478" t="s">
        <v>44663</v>
      </c>
      <c r="C12178" s="391" t="s">
        <v>26</v>
      </c>
      <c r="D12178" s="479"/>
      <c r="E12178" s="368"/>
      <c r="F12178" s="368"/>
    </row>
    <row r="12179" spans="1:6" ht="38.25" x14ac:dyDescent="0.2">
      <c r="A12179" s="391">
        <v>38922</v>
      </c>
      <c r="B12179" s="478" t="s">
        <v>44664</v>
      </c>
      <c r="C12179" s="391" t="s">
        <v>26</v>
      </c>
      <c r="D12179" s="479"/>
      <c r="E12179" s="368"/>
      <c r="F12179" s="368"/>
    </row>
    <row r="12180" spans="1:6" x14ac:dyDescent="0.2">
      <c r="A12180" s="391">
        <v>45198</v>
      </c>
      <c r="B12180" s="478" t="s">
        <v>48294</v>
      </c>
      <c r="C12180" s="391" t="s">
        <v>26</v>
      </c>
      <c r="D12180" s="479"/>
      <c r="E12180" s="368"/>
      <c r="F12180" s="368"/>
    </row>
    <row r="12181" spans="1:6" x14ac:dyDescent="0.2">
      <c r="A12181" s="391">
        <v>45196</v>
      </c>
      <c r="B12181" s="478" t="s">
        <v>48295</v>
      </c>
      <c r="C12181" s="391" t="s">
        <v>26</v>
      </c>
      <c r="D12181" s="479"/>
      <c r="E12181" s="368"/>
      <c r="F12181" s="368"/>
    </row>
    <row r="12182" spans="1:6" ht="25.5" x14ac:dyDescent="0.2">
      <c r="A12182" s="391">
        <v>12032</v>
      </c>
      <c r="B12182" s="478" t="s">
        <v>44665</v>
      </c>
      <c r="C12182" s="391" t="s">
        <v>15675</v>
      </c>
      <c r="D12182" s="479">
        <v>57.34</v>
      </c>
      <c r="E12182" s="368"/>
      <c r="F12182" s="368"/>
    </row>
    <row r="12183" spans="1:6" ht="38.25" x14ac:dyDescent="0.2">
      <c r="A12183" s="391">
        <v>12030</v>
      </c>
      <c r="B12183" s="478" t="s">
        <v>44666</v>
      </c>
      <c r="C12183" s="391" t="s">
        <v>15675</v>
      </c>
      <c r="D12183" s="479">
        <v>53.88</v>
      </c>
      <c r="E12183" s="368"/>
      <c r="F12183" s="368"/>
    </row>
    <row r="12184" spans="1:6" x14ac:dyDescent="0.2">
      <c r="A12184" s="391">
        <v>45207</v>
      </c>
      <c r="B12184" s="478" t="s">
        <v>48296</v>
      </c>
      <c r="C12184" s="391" t="s">
        <v>26</v>
      </c>
      <c r="D12184" s="479"/>
      <c r="E12184" s="368"/>
      <c r="F12184" s="368"/>
    </row>
    <row r="12185" spans="1:6" x14ac:dyDescent="0.2">
      <c r="A12185" s="391">
        <v>14157</v>
      </c>
      <c r="B12185" s="478" t="s">
        <v>44667</v>
      </c>
      <c r="C12185" s="391" t="s">
        <v>26</v>
      </c>
      <c r="D12185" s="479"/>
      <c r="E12185" s="368"/>
      <c r="F12185" s="368"/>
    </row>
    <row r="12186" spans="1:6" ht="25.5" x14ac:dyDescent="0.2">
      <c r="A12186" s="391">
        <v>10908</v>
      </c>
      <c r="B12186" s="478" t="s">
        <v>44668</v>
      </c>
      <c r="C12186" s="391" t="s">
        <v>26</v>
      </c>
      <c r="D12186" s="479">
        <v>20.45</v>
      </c>
      <c r="E12186" s="368"/>
      <c r="F12186" s="368"/>
    </row>
    <row r="12187" spans="1:6" ht="25.5" x14ac:dyDescent="0.2">
      <c r="A12187" s="391">
        <v>10909</v>
      </c>
      <c r="B12187" s="478" t="s">
        <v>44669</v>
      </c>
      <c r="C12187" s="391" t="s">
        <v>26</v>
      </c>
      <c r="D12187" s="479">
        <v>23.79</v>
      </c>
      <c r="E12187" s="368"/>
      <c r="F12187" s="368"/>
    </row>
    <row r="12188" spans="1:6" ht="25.5" x14ac:dyDescent="0.2">
      <c r="A12188" s="391">
        <v>3669</v>
      </c>
      <c r="B12188" s="478" t="s">
        <v>44670</v>
      </c>
      <c r="C12188" s="391" t="s">
        <v>26</v>
      </c>
      <c r="D12188" s="479">
        <v>14.62</v>
      </c>
      <c r="E12188" s="368"/>
      <c r="F12188" s="368"/>
    </row>
    <row r="12189" spans="1:6" x14ac:dyDescent="0.2">
      <c r="A12189" s="391">
        <v>20139</v>
      </c>
      <c r="B12189" s="478" t="s">
        <v>44671</v>
      </c>
      <c r="C12189" s="391" t="s">
        <v>26</v>
      </c>
      <c r="D12189" s="479">
        <v>125.72</v>
      </c>
      <c r="E12189" s="368"/>
      <c r="F12189" s="368"/>
    </row>
    <row r="12190" spans="1:6" ht="25.5" x14ac:dyDescent="0.2">
      <c r="A12190" s="391">
        <v>3668</v>
      </c>
      <c r="B12190" s="478" t="s">
        <v>44672</v>
      </c>
      <c r="C12190" s="391" t="s">
        <v>26</v>
      </c>
      <c r="D12190" s="479">
        <v>44.91</v>
      </c>
      <c r="E12190" s="368"/>
      <c r="F12190" s="368"/>
    </row>
    <row r="12191" spans="1:6" ht="25.5" x14ac:dyDescent="0.2">
      <c r="A12191" s="391">
        <v>10911</v>
      </c>
      <c r="B12191" s="478" t="s">
        <v>44673</v>
      </c>
      <c r="C12191" s="391" t="s">
        <v>26</v>
      </c>
      <c r="D12191" s="479">
        <v>19.690000000000001</v>
      </c>
      <c r="E12191" s="368"/>
      <c r="F12191" s="368"/>
    </row>
    <row r="12192" spans="1:6" ht="25.5" x14ac:dyDescent="0.2">
      <c r="A12192" s="391">
        <v>3659</v>
      </c>
      <c r="B12192" s="478" t="s">
        <v>44674</v>
      </c>
      <c r="C12192" s="391" t="s">
        <v>26</v>
      </c>
      <c r="D12192" s="479">
        <v>20.059999999999999</v>
      </c>
      <c r="E12192" s="368"/>
      <c r="F12192" s="368"/>
    </row>
    <row r="12193" spans="1:6" ht="25.5" x14ac:dyDescent="0.2">
      <c r="A12193" s="391">
        <v>3660</v>
      </c>
      <c r="B12193" s="478" t="s">
        <v>44675</v>
      </c>
      <c r="C12193" s="391" t="s">
        <v>26</v>
      </c>
      <c r="D12193" s="479">
        <v>25.94</v>
      </c>
      <c r="E12193" s="368"/>
      <c r="F12193" s="368"/>
    </row>
    <row r="12194" spans="1:6" x14ac:dyDescent="0.2">
      <c r="A12194" s="391">
        <v>20144</v>
      </c>
      <c r="B12194" s="478" t="s">
        <v>44676</v>
      </c>
      <c r="C12194" s="391" t="s">
        <v>26</v>
      </c>
      <c r="D12194" s="479">
        <v>58.09</v>
      </c>
      <c r="E12194" s="368"/>
      <c r="F12194" s="368"/>
    </row>
    <row r="12195" spans="1:6" x14ac:dyDescent="0.2">
      <c r="A12195" s="391">
        <v>20143</v>
      </c>
      <c r="B12195" s="478" t="s">
        <v>44677</v>
      </c>
      <c r="C12195" s="391" t="s">
        <v>26</v>
      </c>
      <c r="D12195" s="479">
        <v>74.319999999999993</v>
      </c>
      <c r="E12195" s="368"/>
      <c r="F12195" s="368"/>
    </row>
    <row r="12196" spans="1:6" x14ac:dyDescent="0.2">
      <c r="A12196" s="391">
        <v>20145</v>
      </c>
      <c r="B12196" s="478" t="s">
        <v>44678</v>
      </c>
      <c r="C12196" s="391" t="s">
        <v>26</v>
      </c>
      <c r="D12196" s="479">
        <v>143.36000000000001</v>
      </c>
      <c r="E12196" s="368"/>
      <c r="F12196" s="368"/>
    </row>
    <row r="12197" spans="1:6" x14ac:dyDescent="0.2">
      <c r="A12197" s="391">
        <v>20146</v>
      </c>
      <c r="B12197" s="478" t="s">
        <v>44679</v>
      </c>
      <c r="C12197" s="391" t="s">
        <v>26</v>
      </c>
      <c r="D12197" s="479">
        <v>195.97</v>
      </c>
      <c r="E12197" s="368"/>
      <c r="F12197" s="368"/>
    </row>
    <row r="12198" spans="1:6" x14ac:dyDescent="0.2">
      <c r="A12198" s="391">
        <v>20140</v>
      </c>
      <c r="B12198" s="478" t="s">
        <v>44680</v>
      </c>
      <c r="C12198" s="391" t="s">
        <v>26</v>
      </c>
      <c r="D12198" s="479">
        <v>9.19</v>
      </c>
      <c r="E12198" s="368"/>
      <c r="F12198" s="368"/>
    </row>
    <row r="12199" spans="1:6" x14ac:dyDescent="0.2">
      <c r="A12199" s="391">
        <v>20141</v>
      </c>
      <c r="B12199" s="478" t="s">
        <v>44681</v>
      </c>
      <c r="C12199" s="391" t="s">
        <v>26</v>
      </c>
      <c r="D12199" s="479">
        <v>22.51</v>
      </c>
      <c r="E12199" s="368"/>
      <c r="F12199" s="368"/>
    </row>
    <row r="12200" spans="1:6" x14ac:dyDescent="0.2">
      <c r="A12200" s="391">
        <v>20142</v>
      </c>
      <c r="B12200" s="478" t="s">
        <v>44682</v>
      </c>
      <c r="C12200" s="391" t="s">
        <v>26</v>
      </c>
      <c r="D12200" s="479">
        <v>39.61</v>
      </c>
      <c r="E12200" s="368"/>
      <c r="F12200" s="368"/>
    </row>
    <row r="12201" spans="1:6" ht="25.5" x14ac:dyDescent="0.2">
      <c r="A12201" s="391">
        <v>3670</v>
      </c>
      <c r="B12201" s="478" t="s">
        <v>44683</v>
      </c>
      <c r="C12201" s="391" t="s">
        <v>26</v>
      </c>
      <c r="D12201" s="479">
        <v>25.76</v>
      </c>
      <c r="E12201" s="368"/>
      <c r="F12201" s="368"/>
    </row>
    <row r="12202" spans="1:6" ht="25.5" x14ac:dyDescent="0.2">
      <c r="A12202" s="391">
        <v>3666</v>
      </c>
      <c r="B12202" s="478" t="s">
        <v>44684</v>
      </c>
      <c r="C12202" s="391" t="s">
        <v>26</v>
      </c>
      <c r="D12202" s="479">
        <v>4.05</v>
      </c>
      <c r="E12202" s="368"/>
      <c r="F12202" s="368"/>
    </row>
    <row r="12203" spans="1:6" ht="25.5" x14ac:dyDescent="0.2">
      <c r="A12203" s="391">
        <v>3662</v>
      </c>
      <c r="B12203" s="478" t="s">
        <v>44685</v>
      </c>
      <c r="C12203" s="391" t="s">
        <v>26</v>
      </c>
      <c r="D12203" s="479">
        <v>10.57</v>
      </c>
      <c r="E12203" s="368"/>
      <c r="F12203" s="368"/>
    </row>
    <row r="12204" spans="1:6" ht="25.5" x14ac:dyDescent="0.2">
      <c r="A12204" s="391">
        <v>3658</v>
      </c>
      <c r="B12204" s="478" t="s">
        <v>44686</v>
      </c>
      <c r="C12204" s="391" t="s">
        <v>26</v>
      </c>
      <c r="D12204" s="479">
        <v>20.02</v>
      </c>
      <c r="E12204" s="368"/>
      <c r="F12204" s="368"/>
    </row>
    <row r="12205" spans="1:6" ht="25.5" x14ac:dyDescent="0.2">
      <c r="A12205" s="391">
        <v>42696</v>
      </c>
      <c r="B12205" s="478" t="s">
        <v>44687</v>
      </c>
      <c r="C12205" s="391" t="s">
        <v>26</v>
      </c>
      <c r="D12205" s="479">
        <v>158.80000000000001</v>
      </c>
      <c r="E12205" s="368"/>
      <c r="F12205" s="368"/>
    </row>
    <row r="12206" spans="1:6" x14ac:dyDescent="0.2">
      <c r="A12206" s="391">
        <v>39875</v>
      </c>
      <c r="B12206" s="478" t="s">
        <v>44688</v>
      </c>
      <c r="C12206" s="391" t="s">
        <v>26</v>
      </c>
      <c r="D12206" s="479"/>
      <c r="E12206" s="368"/>
      <c r="F12206" s="368"/>
    </row>
    <row r="12207" spans="1:6" x14ac:dyDescent="0.2">
      <c r="A12207" s="391">
        <v>39876</v>
      </c>
      <c r="B12207" s="478" t="s">
        <v>44689</v>
      </c>
      <c r="C12207" s="391" t="s">
        <v>26</v>
      </c>
      <c r="D12207" s="479"/>
      <c r="E12207" s="368"/>
      <c r="F12207" s="368"/>
    </row>
    <row r="12208" spans="1:6" x14ac:dyDescent="0.2">
      <c r="A12208" s="391">
        <v>39877</v>
      </c>
      <c r="B12208" s="478" t="s">
        <v>44690</v>
      </c>
      <c r="C12208" s="391" t="s">
        <v>26</v>
      </c>
      <c r="D12208" s="479"/>
      <c r="E12208" s="368"/>
      <c r="F12208" s="368"/>
    </row>
    <row r="12209" spans="1:6" x14ac:dyDescent="0.2">
      <c r="A12209" s="391">
        <v>39878</v>
      </c>
      <c r="B12209" s="478" t="s">
        <v>44691</v>
      </c>
      <c r="C12209" s="391" t="s">
        <v>26</v>
      </c>
      <c r="D12209" s="479"/>
      <c r="E12209" s="368"/>
      <c r="F12209" s="368"/>
    </row>
    <row r="12210" spans="1:6" x14ac:dyDescent="0.2">
      <c r="A12210" s="391">
        <v>39872</v>
      </c>
      <c r="B12210" s="478" t="s">
        <v>44692</v>
      </c>
      <c r="C12210" s="391" t="s">
        <v>26</v>
      </c>
      <c r="D12210" s="479"/>
      <c r="E12210" s="368"/>
      <c r="F12210" s="368"/>
    </row>
    <row r="12211" spans="1:6" x14ac:dyDescent="0.2">
      <c r="A12211" s="391">
        <v>39873</v>
      </c>
      <c r="B12211" s="478" t="s">
        <v>44693</v>
      </c>
      <c r="C12211" s="391" t="s">
        <v>26</v>
      </c>
      <c r="D12211" s="479"/>
      <c r="E12211" s="368"/>
      <c r="F12211" s="368"/>
    </row>
    <row r="12212" spans="1:6" x14ac:dyDescent="0.2">
      <c r="A12212" s="391">
        <v>39874</v>
      </c>
      <c r="B12212" s="478" t="s">
        <v>44694</v>
      </c>
      <c r="C12212" s="391" t="s">
        <v>26</v>
      </c>
      <c r="D12212" s="479"/>
      <c r="E12212" s="368"/>
      <c r="F12212" s="368"/>
    </row>
    <row r="12213" spans="1:6" x14ac:dyDescent="0.2">
      <c r="A12213" s="391">
        <v>3674</v>
      </c>
      <c r="B12213" s="478" t="s">
        <v>44695</v>
      </c>
      <c r="C12213" s="391" t="s">
        <v>0</v>
      </c>
      <c r="D12213" s="479"/>
      <c r="E12213" s="368"/>
      <c r="F12213" s="368"/>
    </row>
    <row r="12214" spans="1:6" x14ac:dyDescent="0.2">
      <c r="A12214" s="391">
        <v>3681</v>
      </c>
      <c r="B12214" s="478" t="s">
        <v>44696</v>
      </c>
      <c r="C12214" s="391" t="s">
        <v>0</v>
      </c>
      <c r="D12214" s="479"/>
      <c r="E12214" s="368"/>
      <c r="F12214" s="368"/>
    </row>
    <row r="12215" spans="1:6" ht="25.5" x14ac:dyDescent="0.2">
      <c r="A12215" s="391">
        <v>3676</v>
      </c>
      <c r="B12215" s="478" t="s">
        <v>44697</v>
      </c>
      <c r="C12215" s="391" t="s">
        <v>0</v>
      </c>
      <c r="D12215" s="479"/>
      <c r="E12215" s="368"/>
      <c r="F12215" s="368"/>
    </row>
    <row r="12216" spans="1:6" ht="25.5" x14ac:dyDescent="0.2">
      <c r="A12216" s="391">
        <v>3679</v>
      </c>
      <c r="B12216" s="478" t="s">
        <v>44698</v>
      </c>
      <c r="C12216" s="391" t="s">
        <v>0</v>
      </c>
      <c r="D12216" s="479"/>
      <c r="E12216" s="368"/>
      <c r="F12216" s="368"/>
    </row>
    <row r="12217" spans="1:6" ht="25.5" x14ac:dyDescent="0.2">
      <c r="A12217" s="391">
        <v>3672</v>
      </c>
      <c r="B12217" s="478" t="s">
        <v>44699</v>
      </c>
      <c r="C12217" s="391" t="s">
        <v>0</v>
      </c>
      <c r="D12217" s="479"/>
      <c r="E12217" s="368"/>
      <c r="F12217" s="368"/>
    </row>
    <row r="12218" spans="1:6" ht="25.5" x14ac:dyDescent="0.2">
      <c r="A12218" s="391">
        <v>3671</v>
      </c>
      <c r="B12218" s="478" t="s">
        <v>44700</v>
      </c>
      <c r="C12218" s="391" t="s">
        <v>0</v>
      </c>
      <c r="D12218" s="479"/>
      <c r="E12218" s="368"/>
      <c r="F12218" s="368"/>
    </row>
    <row r="12219" spans="1:6" ht="25.5" x14ac:dyDescent="0.2">
      <c r="A12219" s="391">
        <v>3673</v>
      </c>
      <c r="B12219" s="478" t="s">
        <v>44701</v>
      </c>
      <c r="C12219" s="391" t="s">
        <v>0</v>
      </c>
      <c r="D12219" s="479"/>
      <c r="E12219" s="368"/>
      <c r="F12219" s="368"/>
    </row>
    <row r="12220" spans="1:6" ht="25.5" x14ac:dyDescent="0.2">
      <c r="A12220" s="391">
        <v>38394</v>
      </c>
      <c r="B12220" s="478" t="s">
        <v>44702</v>
      </c>
      <c r="C12220" s="391" t="s">
        <v>26</v>
      </c>
      <c r="D12220" s="479"/>
      <c r="E12220" s="368"/>
      <c r="F12220" s="368"/>
    </row>
    <row r="12221" spans="1:6" ht="25.5" x14ac:dyDescent="0.2">
      <c r="A12221" s="391">
        <v>3729</v>
      </c>
      <c r="B12221" s="478" t="s">
        <v>44703</v>
      </c>
      <c r="C12221" s="391" t="s">
        <v>26</v>
      </c>
      <c r="D12221" s="479">
        <v>137.57</v>
      </c>
      <c r="E12221" s="368"/>
      <c r="F12221" s="368"/>
    </row>
    <row r="12222" spans="1:6" ht="51" x14ac:dyDescent="0.2">
      <c r="A12222" s="391">
        <v>39357</v>
      </c>
      <c r="B12222" s="478" t="s">
        <v>44704</v>
      </c>
      <c r="C12222" s="391" t="s">
        <v>26</v>
      </c>
      <c r="D12222" s="479"/>
      <c r="E12222" s="368"/>
      <c r="F12222" s="368"/>
    </row>
    <row r="12223" spans="1:6" ht="51" x14ac:dyDescent="0.2">
      <c r="A12223" s="391">
        <v>39358</v>
      </c>
      <c r="B12223" s="478" t="s">
        <v>44705</v>
      </c>
      <c r="C12223" s="391" t="s">
        <v>26</v>
      </c>
      <c r="D12223" s="479"/>
      <c r="E12223" s="368"/>
      <c r="F12223" s="368"/>
    </row>
    <row r="12224" spans="1:6" ht="51" x14ac:dyDescent="0.2">
      <c r="A12224" s="391">
        <v>39355</v>
      </c>
      <c r="B12224" s="478" t="s">
        <v>44706</v>
      </c>
      <c r="C12224" s="391" t="s">
        <v>26</v>
      </c>
      <c r="D12224" s="479"/>
      <c r="E12224" s="368"/>
      <c r="F12224" s="368"/>
    </row>
    <row r="12225" spans="1:6" ht="51" x14ac:dyDescent="0.2">
      <c r="A12225" s="391">
        <v>39356</v>
      </c>
      <c r="B12225" s="478" t="s">
        <v>44707</v>
      </c>
      <c r="C12225" s="391" t="s">
        <v>26</v>
      </c>
      <c r="D12225" s="479"/>
      <c r="E12225" s="368"/>
      <c r="F12225" s="368"/>
    </row>
    <row r="12226" spans="1:6" ht="38.25" x14ac:dyDescent="0.2">
      <c r="A12226" s="391">
        <v>39353</v>
      </c>
      <c r="B12226" s="478" t="s">
        <v>48297</v>
      </c>
      <c r="C12226" s="391" t="s">
        <v>26</v>
      </c>
      <c r="D12226" s="479"/>
      <c r="E12226" s="368"/>
      <c r="F12226" s="368"/>
    </row>
    <row r="12227" spans="1:6" ht="38.25" x14ac:dyDescent="0.2">
      <c r="A12227" s="391">
        <v>39354</v>
      </c>
      <c r="B12227" s="478" t="s">
        <v>48298</v>
      </c>
      <c r="C12227" s="391" t="s">
        <v>26</v>
      </c>
      <c r="D12227" s="479"/>
      <c r="E12227" s="368"/>
      <c r="F12227" s="368"/>
    </row>
    <row r="12228" spans="1:6" x14ac:dyDescent="0.2">
      <c r="A12228" s="391">
        <v>39398</v>
      </c>
      <c r="B12228" s="478" t="s">
        <v>44708</v>
      </c>
      <c r="C12228" s="391" t="s">
        <v>26</v>
      </c>
      <c r="D12228" s="479">
        <v>39.94</v>
      </c>
      <c r="E12228" s="368"/>
      <c r="F12228" s="368"/>
    </row>
    <row r="12229" spans="1:6" ht="25.5" x14ac:dyDescent="0.2">
      <c r="A12229" s="391">
        <v>13343</v>
      </c>
      <c r="B12229" s="478" t="s">
        <v>44709</v>
      </c>
      <c r="C12229" s="391" t="s">
        <v>26</v>
      </c>
      <c r="D12229" s="479">
        <v>61.82</v>
      </c>
      <c r="E12229" s="368"/>
      <c r="F12229" s="368"/>
    </row>
    <row r="12230" spans="1:6" ht="25.5" x14ac:dyDescent="0.2">
      <c r="A12230" s="391">
        <v>12118</v>
      </c>
      <c r="B12230" s="478" t="s">
        <v>44710</v>
      </c>
      <c r="C12230" s="391" t="s">
        <v>26</v>
      </c>
      <c r="D12230" s="479">
        <v>21.32</v>
      </c>
      <c r="E12230" s="368"/>
      <c r="F12230" s="368"/>
    </row>
    <row r="12231" spans="1:6" ht="51" x14ac:dyDescent="0.2">
      <c r="A12231" s="391">
        <v>39482</v>
      </c>
      <c r="B12231" s="478" t="s">
        <v>44711</v>
      </c>
      <c r="C12231" s="391" t="s">
        <v>26</v>
      </c>
      <c r="D12231" s="479">
        <v>749.94</v>
      </c>
      <c r="E12231" s="368"/>
      <c r="F12231" s="368"/>
    </row>
    <row r="12232" spans="1:6" ht="51" x14ac:dyDescent="0.2">
      <c r="A12232" s="391">
        <v>39486</v>
      </c>
      <c r="B12232" s="478" t="s">
        <v>44712</v>
      </c>
      <c r="C12232" s="391" t="s">
        <v>26</v>
      </c>
      <c r="D12232" s="479">
        <v>612.04999999999995</v>
      </c>
      <c r="E12232" s="368"/>
      <c r="F12232" s="368"/>
    </row>
    <row r="12233" spans="1:6" ht="51" x14ac:dyDescent="0.2">
      <c r="A12233" s="391">
        <v>39484</v>
      </c>
      <c r="B12233" s="478" t="s">
        <v>44713</v>
      </c>
      <c r="C12233" s="391" t="s">
        <v>26</v>
      </c>
      <c r="D12233" s="479">
        <v>749.94</v>
      </c>
      <c r="E12233" s="368"/>
      <c r="F12233" s="368"/>
    </row>
    <row r="12234" spans="1:6" ht="51" x14ac:dyDescent="0.2">
      <c r="A12234" s="391">
        <v>39488</v>
      </c>
      <c r="B12234" s="478" t="s">
        <v>44714</v>
      </c>
      <c r="C12234" s="391" t="s">
        <v>26</v>
      </c>
      <c r="D12234" s="479">
        <v>622.08000000000004</v>
      </c>
      <c r="E12234" s="368"/>
      <c r="F12234" s="368"/>
    </row>
    <row r="12235" spans="1:6" ht="51" x14ac:dyDescent="0.2">
      <c r="A12235" s="391">
        <v>39485</v>
      </c>
      <c r="B12235" s="478" t="s">
        <v>44715</v>
      </c>
      <c r="C12235" s="391" t="s">
        <v>26</v>
      </c>
      <c r="D12235" s="479">
        <v>749.94</v>
      </c>
      <c r="E12235" s="368"/>
      <c r="F12235" s="368"/>
    </row>
    <row r="12236" spans="1:6" ht="51" x14ac:dyDescent="0.2">
      <c r="A12236" s="391">
        <v>39489</v>
      </c>
      <c r="B12236" s="478" t="s">
        <v>44716</v>
      </c>
      <c r="C12236" s="391" t="s">
        <v>26</v>
      </c>
      <c r="D12236" s="479">
        <v>632.62</v>
      </c>
      <c r="E12236" s="368"/>
      <c r="F12236" s="368"/>
    </row>
    <row r="12237" spans="1:6" ht="51" x14ac:dyDescent="0.2">
      <c r="A12237" s="391">
        <v>39490</v>
      </c>
      <c r="B12237" s="478" t="s">
        <v>44717</v>
      </c>
      <c r="C12237" s="391" t="s">
        <v>26</v>
      </c>
      <c r="D12237" s="479">
        <v>942.69</v>
      </c>
      <c r="E12237" s="368"/>
      <c r="F12237" s="368"/>
    </row>
    <row r="12238" spans="1:6" ht="51" x14ac:dyDescent="0.2">
      <c r="A12238" s="391">
        <v>39494</v>
      </c>
      <c r="B12238" s="478" t="s">
        <v>44718</v>
      </c>
      <c r="C12238" s="391" t="s">
        <v>26</v>
      </c>
      <c r="D12238" s="479">
        <v>676.93</v>
      </c>
      <c r="E12238" s="368"/>
      <c r="F12238" s="368"/>
    </row>
    <row r="12239" spans="1:6" ht="51" x14ac:dyDescent="0.2">
      <c r="A12239" s="391">
        <v>39495</v>
      </c>
      <c r="B12239" s="478" t="s">
        <v>44719</v>
      </c>
      <c r="C12239" s="391" t="s">
        <v>26</v>
      </c>
      <c r="D12239" s="479">
        <v>762.81</v>
      </c>
      <c r="E12239" s="368"/>
      <c r="F12239" s="368"/>
    </row>
    <row r="12240" spans="1:6" ht="51" x14ac:dyDescent="0.2">
      <c r="A12240" s="391">
        <v>39496</v>
      </c>
      <c r="B12240" s="478" t="s">
        <v>44720</v>
      </c>
      <c r="C12240" s="391" t="s">
        <v>26</v>
      </c>
      <c r="D12240" s="479">
        <v>839.09</v>
      </c>
      <c r="E12240" s="368"/>
      <c r="F12240" s="368"/>
    </row>
    <row r="12241" spans="1:6" ht="51" x14ac:dyDescent="0.2">
      <c r="A12241" s="391">
        <v>39492</v>
      </c>
      <c r="B12241" s="478" t="s">
        <v>44721</v>
      </c>
      <c r="C12241" s="391" t="s">
        <v>26</v>
      </c>
      <c r="D12241" s="479">
        <v>971.43</v>
      </c>
      <c r="E12241" s="368"/>
      <c r="F12241" s="368"/>
    </row>
    <row r="12242" spans="1:6" ht="51" x14ac:dyDescent="0.2">
      <c r="A12242" s="391">
        <v>39497</v>
      </c>
      <c r="B12242" s="478" t="s">
        <v>44722</v>
      </c>
      <c r="C12242" s="391" t="s">
        <v>26</v>
      </c>
      <c r="D12242" s="479">
        <v>877.46</v>
      </c>
      <c r="E12242" s="368"/>
      <c r="F12242" s="368"/>
    </row>
    <row r="12243" spans="1:6" ht="51" x14ac:dyDescent="0.2">
      <c r="A12243" s="391">
        <v>39493</v>
      </c>
      <c r="B12243" s="478" t="s">
        <v>44723</v>
      </c>
      <c r="C12243" s="391" t="s">
        <v>26</v>
      </c>
      <c r="D12243" s="479">
        <v>1041.96</v>
      </c>
      <c r="E12243" s="368"/>
      <c r="F12243" s="368"/>
    </row>
    <row r="12244" spans="1:6" ht="51" x14ac:dyDescent="0.2">
      <c r="A12244" s="391">
        <v>43628</v>
      </c>
      <c r="B12244" s="478" t="s">
        <v>44724</v>
      </c>
      <c r="C12244" s="391" t="s">
        <v>26</v>
      </c>
      <c r="D12244" s="479">
        <v>1105.17</v>
      </c>
      <c r="E12244" s="368"/>
      <c r="F12244" s="368"/>
    </row>
    <row r="12245" spans="1:6" ht="51" x14ac:dyDescent="0.2">
      <c r="A12245" s="391">
        <v>39500</v>
      </c>
      <c r="B12245" s="478" t="s">
        <v>44725</v>
      </c>
      <c r="C12245" s="391" t="s">
        <v>26</v>
      </c>
      <c r="D12245" s="479">
        <v>1136.8599999999999</v>
      </c>
      <c r="E12245" s="368"/>
      <c r="F12245" s="368"/>
    </row>
    <row r="12246" spans="1:6" ht="51" x14ac:dyDescent="0.2">
      <c r="A12246" s="391">
        <v>39498</v>
      </c>
      <c r="B12246" s="478" t="s">
        <v>44726</v>
      </c>
      <c r="C12246" s="391" t="s">
        <v>26</v>
      </c>
      <c r="D12246" s="479">
        <v>1402.13</v>
      </c>
      <c r="E12246" s="368"/>
      <c r="F12246" s="368"/>
    </row>
    <row r="12247" spans="1:6" ht="51" x14ac:dyDescent="0.2">
      <c r="A12247" s="391">
        <v>43621</v>
      </c>
      <c r="B12247" s="478" t="s">
        <v>44727</v>
      </c>
      <c r="C12247" s="391" t="s">
        <v>26</v>
      </c>
      <c r="D12247" s="479">
        <v>1174.25</v>
      </c>
      <c r="E12247" s="368"/>
      <c r="F12247" s="368"/>
    </row>
    <row r="12248" spans="1:6" ht="51" x14ac:dyDescent="0.2">
      <c r="A12248" s="391">
        <v>39501</v>
      </c>
      <c r="B12248" s="478" t="s">
        <v>44728</v>
      </c>
      <c r="C12248" s="391" t="s">
        <v>26</v>
      </c>
      <c r="D12248" s="479">
        <v>1167.6500000000001</v>
      </c>
      <c r="E12248" s="368"/>
      <c r="F12248" s="368"/>
    </row>
    <row r="12249" spans="1:6" ht="51" x14ac:dyDescent="0.2">
      <c r="A12249" s="391">
        <v>39499</v>
      </c>
      <c r="B12249" s="478" t="s">
        <v>44729</v>
      </c>
      <c r="C12249" s="391" t="s">
        <v>26</v>
      </c>
      <c r="D12249" s="479">
        <v>1422.04</v>
      </c>
      <c r="E12249" s="368"/>
      <c r="F12249" s="368"/>
    </row>
    <row r="12250" spans="1:6" ht="25.5" x14ac:dyDescent="0.2">
      <c r="A12250" s="391">
        <v>3733</v>
      </c>
      <c r="B12250" s="478" t="s">
        <v>44730</v>
      </c>
      <c r="C12250" s="391" t="s">
        <v>255</v>
      </c>
      <c r="D12250" s="479">
        <v>78.260000000000005</v>
      </c>
      <c r="E12250" s="368"/>
      <c r="F12250" s="368"/>
    </row>
    <row r="12251" spans="1:6" x14ac:dyDescent="0.2">
      <c r="A12251" s="391">
        <v>3731</v>
      </c>
      <c r="B12251" s="478" t="s">
        <v>44731</v>
      </c>
      <c r="C12251" s="391" t="s">
        <v>255</v>
      </c>
      <c r="D12251" s="479">
        <v>70.02</v>
      </c>
      <c r="E12251" s="368"/>
      <c r="F12251" s="368"/>
    </row>
    <row r="12252" spans="1:6" x14ac:dyDescent="0.2">
      <c r="A12252" s="391">
        <v>38137</v>
      </c>
      <c r="B12252" s="478" t="s">
        <v>44732</v>
      </c>
      <c r="C12252" s="391" t="s">
        <v>255</v>
      </c>
      <c r="D12252" s="479">
        <v>83.75</v>
      </c>
      <c r="E12252" s="368"/>
      <c r="F12252" s="368"/>
    </row>
    <row r="12253" spans="1:6" x14ac:dyDescent="0.2">
      <c r="A12253" s="391">
        <v>38138</v>
      </c>
      <c r="B12253" s="478" t="s">
        <v>44733</v>
      </c>
      <c r="C12253" s="391" t="s">
        <v>255</v>
      </c>
      <c r="D12253" s="479">
        <v>86.96</v>
      </c>
      <c r="E12253" s="368"/>
      <c r="F12253" s="368"/>
    </row>
    <row r="12254" spans="1:6" ht="25.5" x14ac:dyDescent="0.2">
      <c r="A12254" s="391">
        <v>3745</v>
      </c>
      <c r="B12254" s="478" t="s">
        <v>44734</v>
      </c>
      <c r="C12254" s="391" t="s">
        <v>255</v>
      </c>
      <c r="D12254" s="479">
        <v>57.56</v>
      </c>
      <c r="E12254" s="368"/>
      <c r="F12254" s="368"/>
    </row>
    <row r="12255" spans="1:6" ht="38.25" x14ac:dyDescent="0.2">
      <c r="A12255" s="391">
        <v>3736</v>
      </c>
      <c r="B12255" s="478" t="s">
        <v>44735</v>
      </c>
      <c r="C12255" s="391" t="s">
        <v>255</v>
      </c>
      <c r="D12255" s="479">
        <v>51.21</v>
      </c>
      <c r="E12255" s="368"/>
      <c r="F12255" s="368"/>
    </row>
    <row r="12256" spans="1:6" ht="38.25" x14ac:dyDescent="0.2">
      <c r="A12256" s="391">
        <v>3741</v>
      </c>
      <c r="B12256" s="478" t="s">
        <v>44736</v>
      </c>
      <c r="C12256" s="391" t="s">
        <v>255</v>
      </c>
      <c r="D12256" s="479">
        <v>53.38</v>
      </c>
      <c r="E12256" s="368"/>
      <c r="F12256" s="368"/>
    </row>
    <row r="12257" spans="1:6" ht="25.5" x14ac:dyDescent="0.2">
      <c r="A12257" s="391">
        <v>3747</v>
      </c>
      <c r="B12257" s="478" t="s">
        <v>44737</v>
      </c>
      <c r="C12257" s="391" t="s">
        <v>255</v>
      </c>
      <c r="D12257" s="479">
        <v>58.55</v>
      </c>
      <c r="E12257" s="368"/>
      <c r="F12257" s="368"/>
    </row>
    <row r="12258" spans="1:6" ht="38.25" x14ac:dyDescent="0.2">
      <c r="A12258" s="391">
        <v>3743</v>
      </c>
      <c r="B12258" s="478" t="s">
        <v>44738</v>
      </c>
      <c r="C12258" s="391" t="s">
        <v>255</v>
      </c>
      <c r="D12258" s="479">
        <v>53.19</v>
      </c>
      <c r="E12258" s="368"/>
      <c r="F12258" s="368"/>
    </row>
    <row r="12259" spans="1:6" ht="38.25" x14ac:dyDescent="0.2">
      <c r="A12259" s="391">
        <v>3744</v>
      </c>
      <c r="B12259" s="478" t="s">
        <v>44739</v>
      </c>
      <c r="C12259" s="391" t="s">
        <v>255</v>
      </c>
      <c r="D12259" s="479">
        <v>58.55</v>
      </c>
      <c r="E12259" s="368"/>
      <c r="F12259" s="368"/>
    </row>
    <row r="12260" spans="1:6" ht="38.25" x14ac:dyDescent="0.2">
      <c r="A12260" s="391">
        <v>3739</v>
      </c>
      <c r="B12260" s="478" t="s">
        <v>44740</v>
      </c>
      <c r="C12260" s="391" t="s">
        <v>255</v>
      </c>
      <c r="D12260" s="479">
        <v>61.53</v>
      </c>
      <c r="E12260" s="368"/>
      <c r="F12260" s="368"/>
    </row>
    <row r="12261" spans="1:6" ht="38.25" x14ac:dyDescent="0.2">
      <c r="A12261" s="391">
        <v>3737</v>
      </c>
      <c r="B12261" s="478" t="s">
        <v>44741</v>
      </c>
      <c r="C12261" s="391" t="s">
        <v>255</v>
      </c>
      <c r="D12261" s="479">
        <v>64.5</v>
      </c>
      <c r="E12261" s="368"/>
      <c r="F12261" s="368"/>
    </row>
    <row r="12262" spans="1:6" ht="38.25" x14ac:dyDescent="0.2">
      <c r="A12262" s="391">
        <v>3738</v>
      </c>
      <c r="B12262" s="478" t="s">
        <v>44742</v>
      </c>
      <c r="C12262" s="391" t="s">
        <v>255</v>
      </c>
      <c r="D12262" s="479">
        <v>74.430000000000007</v>
      </c>
      <c r="E12262" s="368"/>
      <c r="F12262" s="368"/>
    </row>
    <row r="12263" spans="1:6" ht="25.5" x14ac:dyDescent="0.2">
      <c r="A12263" s="391">
        <v>11649</v>
      </c>
      <c r="B12263" s="478" t="s">
        <v>44743</v>
      </c>
      <c r="C12263" s="391" t="s">
        <v>26</v>
      </c>
      <c r="D12263" s="479">
        <v>424.76</v>
      </c>
      <c r="E12263" s="368"/>
      <c r="F12263" s="368"/>
    </row>
    <row r="12264" spans="1:6" ht="25.5" x14ac:dyDescent="0.2">
      <c r="A12264" s="430">
        <v>11650</v>
      </c>
      <c r="B12264" s="482" t="s">
        <v>44744</v>
      </c>
      <c r="C12264" s="430" t="s">
        <v>26</v>
      </c>
      <c r="D12264" s="483">
        <v>723.98</v>
      </c>
      <c r="E12264" s="368"/>
      <c r="F12264" s="368"/>
    </row>
    <row r="12265" spans="1:6" ht="38.25" x14ac:dyDescent="0.2">
      <c r="A12265" s="391">
        <v>3742</v>
      </c>
      <c r="B12265" s="478" t="s">
        <v>44745</v>
      </c>
      <c r="C12265" s="391" t="s">
        <v>255</v>
      </c>
      <c r="D12265" s="479">
        <v>77.209999999999994</v>
      </c>
      <c r="E12265" s="368"/>
      <c r="F12265" s="368"/>
    </row>
    <row r="12266" spans="1:6" ht="38.25" x14ac:dyDescent="0.2">
      <c r="A12266" s="391">
        <v>3746</v>
      </c>
      <c r="B12266" s="478" t="s">
        <v>44746</v>
      </c>
      <c r="C12266" s="391" t="s">
        <v>255</v>
      </c>
      <c r="D12266" s="479">
        <v>90.15</v>
      </c>
      <c r="E12266" s="368"/>
      <c r="F12266" s="368"/>
    </row>
    <row r="12267" spans="1:6" ht="38.25" x14ac:dyDescent="0.2">
      <c r="A12267" s="391">
        <v>21106</v>
      </c>
      <c r="B12267" s="478" t="s">
        <v>44747</v>
      </c>
      <c r="C12267" s="391" t="s">
        <v>1284</v>
      </c>
      <c r="D12267" s="479"/>
      <c r="E12267" s="368"/>
      <c r="F12267" s="368"/>
    </row>
    <row r="12268" spans="1:6" x14ac:dyDescent="0.2">
      <c r="A12268" s="391">
        <v>38194</v>
      </c>
      <c r="B12268" s="478" t="s">
        <v>44748</v>
      </c>
      <c r="C12268" s="391" t="s">
        <v>26</v>
      </c>
      <c r="D12268" s="479">
        <v>4.5</v>
      </c>
      <c r="E12268" s="368"/>
      <c r="F12268" s="368"/>
    </row>
    <row r="12269" spans="1:6" x14ac:dyDescent="0.2">
      <c r="A12269" s="391">
        <v>38193</v>
      </c>
      <c r="B12269" s="478" t="s">
        <v>44749</v>
      </c>
      <c r="C12269" s="391" t="s">
        <v>26</v>
      </c>
      <c r="D12269" s="479">
        <v>3.91</v>
      </c>
      <c r="E12269" s="368"/>
      <c r="F12269" s="368"/>
    </row>
    <row r="12270" spans="1:6" x14ac:dyDescent="0.2">
      <c r="A12270" s="391">
        <v>39388</v>
      </c>
      <c r="B12270" s="478" t="s">
        <v>44750</v>
      </c>
      <c r="C12270" s="391" t="s">
        <v>26</v>
      </c>
      <c r="D12270" s="479">
        <v>5.53</v>
      </c>
      <c r="E12270" s="368"/>
      <c r="F12270" s="368"/>
    </row>
    <row r="12271" spans="1:6" x14ac:dyDescent="0.2">
      <c r="A12271" s="391">
        <v>39387</v>
      </c>
      <c r="B12271" s="478" t="s">
        <v>44751</v>
      </c>
      <c r="C12271" s="391" t="s">
        <v>26</v>
      </c>
      <c r="D12271" s="479">
        <v>8.6199999999999992</v>
      </c>
      <c r="E12271" s="368"/>
      <c r="F12271" s="368"/>
    </row>
    <row r="12272" spans="1:6" x14ac:dyDescent="0.2">
      <c r="A12272" s="391">
        <v>39386</v>
      </c>
      <c r="B12272" s="478" t="s">
        <v>44752</v>
      </c>
      <c r="C12272" s="391" t="s">
        <v>26</v>
      </c>
      <c r="D12272" s="479">
        <v>6.01</v>
      </c>
      <c r="E12272" s="368"/>
      <c r="F12272" s="368"/>
    </row>
    <row r="12273" spans="1:6" x14ac:dyDescent="0.2">
      <c r="A12273" s="391">
        <v>45229</v>
      </c>
      <c r="B12273" s="478" t="s">
        <v>48299</v>
      </c>
      <c r="C12273" s="391" t="s">
        <v>26</v>
      </c>
      <c r="D12273" s="479">
        <v>1.81</v>
      </c>
      <c r="E12273" s="368"/>
      <c r="F12273" s="368"/>
    </row>
    <row r="12274" spans="1:6" ht="38.25" x14ac:dyDescent="0.2">
      <c r="A12274" s="391">
        <v>746</v>
      </c>
      <c r="B12274" s="478" t="s">
        <v>44753</v>
      </c>
      <c r="C12274" s="391" t="s">
        <v>26</v>
      </c>
      <c r="D12274" s="479">
        <v>1349.5</v>
      </c>
      <c r="E12274" s="368"/>
      <c r="F12274" s="368"/>
    </row>
    <row r="12275" spans="1:6" ht="25.5" x14ac:dyDescent="0.2">
      <c r="A12275" s="391">
        <v>20269</v>
      </c>
      <c r="B12275" s="478" t="s">
        <v>44754</v>
      </c>
      <c r="C12275" s="391" t="s">
        <v>26</v>
      </c>
      <c r="D12275" s="479">
        <v>100.91</v>
      </c>
      <c r="E12275" s="368"/>
      <c r="F12275" s="368"/>
    </row>
    <row r="12276" spans="1:6" ht="25.5" x14ac:dyDescent="0.2">
      <c r="A12276" s="391">
        <v>20270</v>
      </c>
      <c r="B12276" s="478" t="s">
        <v>44755</v>
      </c>
      <c r="C12276" s="391" t="s">
        <v>26</v>
      </c>
      <c r="D12276" s="479">
        <v>111.5</v>
      </c>
      <c r="E12276" s="368"/>
      <c r="F12276" s="368"/>
    </row>
    <row r="12277" spans="1:6" ht="25.5" x14ac:dyDescent="0.2">
      <c r="A12277" s="391">
        <v>11696</v>
      </c>
      <c r="B12277" s="478" t="s">
        <v>44756</v>
      </c>
      <c r="C12277" s="391" t="s">
        <v>26</v>
      </c>
      <c r="D12277" s="479">
        <v>178.49</v>
      </c>
      <c r="E12277" s="368"/>
      <c r="F12277" s="368"/>
    </row>
    <row r="12278" spans="1:6" ht="25.5" x14ac:dyDescent="0.2">
      <c r="A12278" s="391">
        <v>10427</v>
      </c>
      <c r="B12278" s="478" t="s">
        <v>44757</v>
      </c>
      <c r="C12278" s="391" t="s">
        <v>26</v>
      </c>
      <c r="D12278" s="479">
        <v>499.5</v>
      </c>
      <c r="E12278" s="368"/>
      <c r="F12278" s="368"/>
    </row>
    <row r="12279" spans="1:6" ht="25.5" x14ac:dyDescent="0.2">
      <c r="A12279" s="391">
        <v>10428</v>
      </c>
      <c r="B12279" s="478" t="s">
        <v>44758</v>
      </c>
      <c r="C12279" s="391" t="s">
        <v>26</v>
      </c>
      <c r="D12279" s="479">
        <v>514.64</v>
      </c>
      <c r="E12279" s="368"/>
      <c r="F12279" s="368"/>
    </row>
    <row r="12280" spans="1:6" ht="25.5" x14ac:dyDescent="0.2">
      <c r="A12280" s="391">
        <v>36521</v>
      </c>
      <c r="B12280" s="478" t="s">
        <v>44759</v>
      </c>
      <c r="C12280" s="391" t="s">
        <v>26</v>
      </c>
      <c r="D12280" s="479">
        <v>160.58000000000001</v>
      </c>
      <c r="E12280" s="368"/>
      <c r="F12280" s="368"/>
    </row>
    <row r="12281" spans="1:6" x14ac:dyDescent="0.2">
      <c r="A12281" s="391">
        <v>36794</v>
      </c>
      <c r="B12281" s="478" t="s">
        <v>44760</v>
      </c>
      <c r="C12281" s="391" t="s">
        <v>26</v>
      </c>
      <c r="D12281" s="479">
        <v>170.95</v>
      </c>
      <c r="E12281" s="368"/>
      <c r="F12281" s="368"/>
    </row>
    <row r="12282" spans="1:6" x14ac:dyDescent="0.2">
      <c r="A12282" s="391">
        <v>10426</v>
      </c>
      <c r="B12282" s="478" t="s">
        <v>44761</v>
      </c>
      <c r="C12282" s="391" t="s">
        <v>26</v>
      </c>
      <c r="D12282" s="479">
        <v>191.42</v>
      </c>
      <c r="E12282" s="368"/>
      <c r="F12282" s="368"/>
    </row>
    <row r="12283" spans="1:6" ht="25.5" x14ac:dyDescent="0.2">
      <c r="A12283" s="391">
        <v>10425</v>
      </c>
      <c r="B12283" s="478" t="s">
        <v>44762</v>
      </c>
      <c r="C12283" s="391" t="s">
        <v>26</v>
      </c>
      <c r="D12283" s="479">
        <v>97.11</v>
      </c>
      <c r="E12283" s="368"/>
      <c r="F12283" s="368"/>
    </row>
    <row r="12284" spans="1:6" ht="25.5" x14ac:dyDescent="0.2">
      <c r="A12284" s="391">
        <v>10431</v>
      </c>
      <c r="B12284" s="478" t="s">
        <v>44763</v>
      </c>
      <c r="C12284" s="391" t="s">
        <v>26</v>
      </c>
      <c r="D12284" s="479">
        <v>332.48</v>
      </c>
      <c r="E12284" s="368"/>
      <c r="F12284" s="368"/>
    </row>
    <row r="12285" spans="1:6" ht="25.5" x14ac:dyDescent="0.2">
      <c r="A12285" s="391">
        <v>10429</v>
      </c>
      <c r="B12285" s="478" t="s">
        <v>44764</v>
      </c>
      <c r="C12285" s="391" t="s">
        <v>26</v>
      </c>
      <c r="D12285" s="479">
        <v>164.02</v>
      </c>
      <c r="E12285" s="368"/>
      <c r="F12285" s="368"/>
    </row>
    <row r="12286" spans="1:6" ht="25.5" x14ac:dyDescent="0.2">
      <c r="A12286" s="391">
        <v>10853</v>
      </c>
      <c r="B12286" s="478" t="s">
        <v>44765</v>
      </c>
      <c r="C12286" s="391" t="s">
        <v>26</v>
      </c>
      <c r="D12286" s="479">
        <v>87.12</v>
      </c>
      <c r="E12286" s="368"/>
      <c r="F12286" s="368"/>
    </row>
    <row r="12287" spans="1:6" x14ac:dyDescent="0.2">
      <c r="A12287" s="391">
        <v>5093</v>
      </c>
      <c r="B12287" s="478" t="s">
        <v>44766</v>
      </c>
      <c r="C12287" s="391" t="s">
        <v>12086</v>
      </c>
      <c r="D12287" s="479">
        <v>18.22</v>
      </c>
      <c r="E12287" s="368"/>
      <c r="F12287" s="368"/>
    </row>
    <row r="12288" spans="1:6" x14ac:dyDescent="0.2">
      <c r="A12288" s="391">
        <v>45254</v>
      </c>
      <c r="B12288" s="478" t="s">
        <v>48300</v>
      </c>
      <c r="C12288" s="391" t="s">
        <v>26</v>
      </c>
      <c r="D12288" s="479"/>
      <c r="E12288" s="368"/>
      <c r="F12288" s="368"/>
    </row>
    <row r="12289" spans="1:6" x14ac:dyDescent="0.2">
      <c r="A12289" s="391">
        <v>45253</v>
      </c>
      <c r="B12289" s="478" t="s">
        <v>48301</v>
      </c>
      <c r="C12289" s="391" t="s">
        <v>26</v>
      </c>
      <c r="D12289" s="479"/>
      <c r="E12289" s="368"/>
      <c r="F12289" s="368"/>
    </row>
    <row r="12290" spans="1:6" x14ac:dyDescent="0.2">
      <c r="A12290" s="391">
        <v>44331</v>
      </c>
      <c r="B12290" s="478" t="s">
        <v>44767</v>
      </c>
      <c r="C12290" s="391" t="s">
        <v>9</v>
      </c>
      <c r="D12290" s="479">
        <v>59.07</v>
      </c>
      <c r="E12290" s="368"/>
      <c r="F12290" s="368"/>
    </row>
    <row r="12291" spans="1:6" ht="25.5" x14ac:dyDescent="0.2">
      <c r="A12291" s="391">
        <v>37768</v>
      </c>
      <c r="B12291" s="478" t="s">
        <v>44768</v>
      </c>
      <c r="C12291" s="391" t="s">
        <v>26</v>
      </c>
      <c r="D12291" s="479"/>
      <c r="E12291" s="368"/>
      <c r="F12291" s="368"/>
    </row>
    <row r="12292" spans="1:6" ht="25.5" x14ac:dyDescent="0.2">
      <c r="A12292" s="391">
        <v>37773</v>
      </c>
      <c r="B12292" s="478" t="s">
        <v>44769</v>
      </c>
      <c r="C12292" s="391" t="s">
        <v>26</v>
      </c>
      <c r="D12292" s="479"/>
      <c r="E12292" s="368"/>
      <c r="F12292" s="368"/>
    </row>
    <row r="12293" spans="1:6" ht="25.5" x14ac:dyDescent="0.2">
      <c r="A12293" s="391">
        <v>37769</v>
      </c>
      <c r="B12293" s="478" t="s">
        <v>44770</v>
      </c>
      <c r="C12293" s="391" t="s">
        <v>26</v>
      </c>
      <c r="D12293" s="479"/>
      <c r="E12293" s="368"/>
      <c r="F12293" s="368"/>
    </row>
    <row r="12294" spans="1:6" ht="25.5" x14ac:dyDescent="0.2">
      <c r="A12294" s="391">
        <v>37770</v>
      </c>
      <c r="B12294" s="478" t="s">
        <v>44771</v>
      </c>
      <c r="C12294" s="391" t="s">
        <v>26</v>
      </c>
      <c r="D12294" s="479"/>
      <c r="E12294" s="368"/>
      <c r="F12294" s="368"/>
    </row>
    <row r="12295" spans="1:6" x14ac:dyDescent="0.2">
      <c r="A12295" s="391">
        <v>38382</v>
      </c>
      <c r="B12295" s="478" t="s">
        <v>44772</v>
      </c>
      <c r="C12295" s="391" t="s">
        <v>26</v>
      </c>
      <c r="D12295" s="479">
        <v>10.41</v>
      </c>
      <c r="E12295" s="368"/>
      <c r="F12295" s="368"/>
    </row>
    <row r="12296" spans="1:6" x14ac:dyDescent="0.2">
      <c r="A12296" s="391">
        <v>38383</v>
      </c>
      <c r="B12296" s="478" t="s">
        <v>44773</v>
      </c>
      <c r="C12296" s="391" t="s">
        <v>26</v>
      </c>
      <c r="D12296" s="479">
        <v>1.65</v>
      </c>
      <c r="E12296" s="368"/>
      <c r="F12296" s="368"/>
    </row>
    <row r="12297" spans="1:6" x14ac:dyDescent="0.2">
      <c r="A12297" s="391">
        <v>3768</v>
      </c>
      <c r="B12297" s="478" t="s">
        <v>44774</v>
      </c>
      <c r="C12297" s="391" t="s">
        <v>26</v>
      </c>
      <c r="D12297" s="479">
        <v>2.2599999999999998</v>
      </c>
      <c r="E12297" s="368"/>
      <c r="F12297" s="368"/>
    </row>
    <row r="12298" spans="1:6" x14ac:dyDescent="0.2">
      <c r="A12298" s="391">
        <v>3767</v>
      </c>
      <c r="B12298" s="478" t="s">
        <v>44775</v>
      </c>
      <c r="C12298" s="391" t="s">
        <v>26</v>
      </c>
      <c r="D12298" s="479">
        <v>0.75</v>
      </c>
      <c r="E12298" s="368"/>
      <c r="F12298" s="368"/>
    </row>
    <row r="12299" spans="1:6" ht="25.5" x14ac:dyDescent="0.2">
      <c r="A12299" s="391">
        <v>13192</v>
      </c>
      <c r="B12299" s="478" t="s">
        <v>44776</v>
      </c>
      <c r="C12299" s="391" t="s">
        <v>26</v>
      </c>
      <c r="D12299" s="479">
        <v>7480.59</v>
      </c>
      <c r="E12299" s="368"/>
      <c r="F12299" s="368"/>
    </row>
    <row r="12300" spans="1:6" ht="25.5" x14ac:dyDescent="0.2">
      <c r="A12300" s="391">
        <v>38413</v>
      </c>
      <c r="B12300" s="478" t="s">
        <v>44777</v>
      </c>
      <c r="C12300" s="391" t="s">
        <v>26</v>
      </c>
      <c r="D12300" s="479">
        <v>1237.18</v>
      </c>
      <c r="E12300" s="368"/>
      <c r="F12300" s="368"/>
    </row>
    <row r="12301" spans="1:6" ht="51" x14ac:dyDescent="0.2">
      <c r="A12301" s="391">
        <v>42440</v>
      </c>
      <c r="B12301" s="478" t="s">
        <v>44778</v>
      </c>
      <c r="C12301" s="391" t="s">
        <v>26</v>
      </c>
      <c r="D12301" s="479"/>
      <c r="E12301" s="368"/>
      <c r="F12301" s="368"/>
    </row>
    <row r="12302" spans="1:6" ht="51" x14ac:dyDescent="0.2">
      <c r="A12302" s="391">
        <v>20193</v>
      </c>
      <c r="B12302" s="478" t="s">
        <v>44779</v>
      </c>
      <c r="C12302" s="391" t="s">
        <v>5915</v>
      </c>
      <c r="D12302" s="479">
        <v>19.420000000000002</v>
      </c>
      <c r="E12302" s="368"/>
      <c r="F12302" s="368"/>
    </row>
    <row r="12303" spans="1:6" ht="51" x14ac:dyDescent="0.2">
      <c r="A12303" s="391">
        <v>10527</v>
      </c>
      <c r="B12303" s="478" t="s">
        <v>44780</v>
      </c>
      <c r="C12303" s="391" t="s">
        <v>44781</v>
      </c>
      <c r="D12303" s="479">
        <v>25.9</v>
      </c>
      <c r="E12303" s="368"/>
      <c r="F12303" s="368"/>
    </row>
    <row r="12304" spans="1:6" ht="38.25" x14ac:dyDescent="0.2">
      <c r="A12304" s="391">
        <v>41805</v>
      </c>
      <c r="B12304" s="478" t="s">
        <v>44782</v>
      </c>
      <c r="C12304" s="391" t="s">
        <v>5681</v>
      </c>
      <c r="D12304" s="479">
        <v>744.62</v>
      </c>
      <c r="E12304" s="368"/>
      <c r="F12304" s="368"/>
    </row>
    <row r="12305" spans="1:6" ht="25.5" x14ac:dyDescent="0.2">
      <c r="A12305" s="391">
        <v>40271</v>
      </c>
      <c r="B12305" s="478" t="s">
        <v>44783</v>
      </c>
      <c r="C12305" s="391" t="s">
        <v>5916</v>
      </c>
      <c r="D12305" s="479">
        <v>19.82</v>
      </c>
      <c r="E12305" s="368"/>
      <c r="F12305" s="368"/>
    </row>
    <row r="12306" spans="1:6" ht="25.5" x14ac:dyDescent="0.2">
      <c r="A12306" s="391">
        <v>40287</v>
      </c>
      <c r="B12306" s="478" t="s">
        <v>44784</v>
      </c>
      <c r="C12306" s="391" t="s">
        <v>5681</v>
      </c>
      <c r="D12306" s="479">
        <v>7.63</v>
      </c>
      <c r="E12306" s="368"/>
      <c r="F12306" s="368"/>
    </row>
    <row r="12307" spans="1:6" ht="51" x14ac:dyDescent="0.2">
      <c r="A12307" s="391">
        <v>4084</v>
      </c>
      <c r="B12307" s="478" t="s">
        <v>44785</v>
      </c>
      <c r="C12307" s="391" t="s">
        <v>558</v>
      </c>
      <c r="D12307" s="479">
        <v>1.55</v>
      </c>
      <c r="E12307" s="368"/>
      <c r="F12307" s="368"/>
    </row>
    <row r="12308" spans="1:6" ht="51" x14ac:dyDescent="0.2">
      <c r="A12308" s="391">
        <v>743</v>
      </c>
      <c r="B12308" s="478" t="s">
        <v>44786</v>
      </c>
      <c r="C12308" s="391" t="s">
        <v>558</v>
      </c>
      <c r="D12308" s="479">
        <v>1.55</v>
      </c>
      <c r="E12308" s="368"/>
      <c r="F12308" s="368"/>
    </row>
    <row r="12309" spans="1:6" ht="51" x14ac:dyDescent="0.2">
      <c r="A12309" s="391">
        <v>40293</v>
      </c>
      <c r="B12309" s="478" t="s">
        <v>44787</v>
      </c>
      <c r="C12309" s="391" t="s">
        <v>558</v>
      </c>
      <c r="D12309" s="479">
        <v>1.86</v>
      </c>
      <c r="E12309" s="368"/>
      <c r="F12309" s="368"/>
    </row>
    <row r="12310" spans="1:6" ht="51" x14ac:dyDescent="0.2">
      <c r="A12310" s="391">
        <v>40294</v>
      </c>
      <c r="B12310" s="478" t="s">
        <v>44788</v>
      </c>
      <c r="C12310" s="391" t="s">
        <v>558</v>
      </c>
      <c r="D12310" s="479">
        <v>1.55</v>
      </c>
      <c r="E12310" s="368"/>
      <c r="F12310" s="368"/>
    </row>
    <row r="12311" spans="1:6" ht="51" x14ac:dyDescent="0.2">
      <c r="A12311" s="391">
        <v>4085</v>
      </c>
      <c r="B12311" s="478" t="s">
        <v>44789</v>
      </c>
      <c r="C12311" s="391" t="s">
        <v>558</v>
      </c>
      <c r="D12311" s="479">
        <v>2.17</v>
      </c>
      <c r="E12311" s="368"/>
      <c r="F12311" s="368"/>
    </row>
    <row r="12312" spans="1:6" ht="25.5" x14ac:dyDescent="0.2">
      <c r="A12312" s="391">
        <v>10779</v>
      </c>
      <c r="B12312" s="478" t="s">
        <v>44790</v>
      </c>
      <c r="C12312" s="391" t="s">
        <v>5681</v>
      </c>
      <c r="D12312" s="479">
        <v>1875</v>
      </c>
      <c r="E12312" s="368"/>
      <c r="F12312" s="368"/>
    </row>
    <row r="12313" spans="1:6" ht="38.25" x14ac:dyDescent="0.2">
      <c r="A12313" s="391">
        <v>10777</v>
      </c>
      <c r="B12313" s="478" t="s">
        <v>44791</v>
      </c>
      <c r="C12313" s="391" t="s">
        <v>5681</v>
      </c>
      <c r="D12313" s="479">
        <v>1703.12</v>
      </c>
      <c r="E12313" s="368"/>
      <c r="F12313" s="368"/>
    </row>
    <row r="12314" spans="1:6" ht="38.25" x14ac:dyDescent="0.2">
      <c r="A12314" s="391">
        <v>10775</v>
      </c>
      <c r="B12314" s="478" t="s">
        <v>44792</v>
      </c>
      <c r="C12314" s="391" t="s">
        <v>5681</v>
      </c>
      <c r="D12314" s="479">
        <v>1500</v>
      </c>
      <c r="E12314" s="368"/>
      <c r="F12314" s="368"/>
    </row>
    <row r="12315" spans="1:6" ht="38.25" x14ac:dyDescent="0.2">
      <c r="A12315" s="391">
        <v>10776</v>
      </c>
      <c r="B12315" s="478" t="s">
        <v>44793</v>
      </c>
      <c r="C12315" s="391" t="s">
        <v>5681</v>
      </c>
      <c r="D12315" s="479">
        <v>1171.8699999999999</v>
      </c>
      <c r="E12315" s="368"/>
      <c r="F12315" s="368"/>
    </row>
    <row r="12316" spans="1:6" ht="38.25" x14ac:dyDescent="0.2">
      <c r="A12316" s="391">
        <v>10778</v>
      </c>
      <c r="B12316" s="478" t="s">
        <v>44794</v>
      </c>
      <c r="C12316" s="391" t="s">
        <v>5681</v>
      </c>
      <c r="D12316" s="479">
        <v>1875</v>
      </c>
      <c r="E12316" s="368"/>
      <c r="F12316" s="368"/>
    </row>
    <row r="12317" spans="1:6" ht="38.25" x14ac:dyDescent="0.2">
      <c r="A12317" s="391">
        <v>40339</v>
      </c>
      <c r="B12317" s="478" t="s">
        <v>44795</v>
      </c>
      <c r="C12317" s="391" t="s">
        <v>5916</v>
      </c>
      <c r="D12317" s="479">
        <v>6.95</v>
      </c>
      <c r="E12317" s="368"/>
      <c r="F12317" s="368"/>
    </row>
    <row r="12318" spans="1:6" ht="38.25" x14ac:dyDescent="0.2">
      <c r="A12318" s="391">
        <v>10749</v>
      </c>
      <c r="B12318" s="478" t="s">
        <v>44796</v>
      </c>
      <c r="C12318" s="391" t="s">
        <v>5916</v>
      </c>
      <c r="D12318" s="479">
        <v>22.98</v>
      </c>
      <c r="E12318" s="368"/>
      <c r="F12318" s="368"/>
    </row>
    <row r="12319" spans="1:6" ht="25.5" x14ac:dyDescent="0.2">
      <c r="A12319" s="391">
        <v>40290</v>
      </c>
      <c r="B12319" s="478" t="s">
        <v>44797</v>
      </c>
      <c r="C12319" s="391" t="s">
        <v>5916</v>
      </c>
      <c r="D12319" s="479">
        <v>12.43</v>
      </c>
      <c r="E12319" s="368"/>
      <c r="F12319" s="368"/>
    </row>
    <row r="12320" spans="1:6" ht="25.5" x14ac:dyDescent="0.2">
      <c r="A12320" s="391">
        <v>3346</v>
      </c>
      <c r="B12320" s="478" t="s">
        <v>44798</v>
      </c>
      <c r="C12320" s="391" t="s">
        <v>558</v>
      </c>
      <c r="D12320" s="479"/>
      <c r="E12320" s="368"/>
      <c r="F12320" s="368"/>
    </row>
    <row r="12321" spans="1:6" ht="25.5" x14ac:dyDescent="0.2">
      <c r="A12321" s="391">
        <v>3348</v>
      </c>
      <c r="B12321" s="478" t="s">
        <v>44799</v>
      </c>
      <c r="C12321" s="391" t="s">
        <v>558</v>
      </c>
      <c r="D12321" s="479"/>
      <c r="E12321" s="368"/>
      <c r="F12321" s="368"/>
    </row>
    <row r="12322" spans="1:6" ht="25.5" x14ac:dyDescent="0.2">
      <c r="A12322" s="391">
        <v>39833</v>
      </c>
      <c r="B12322" s="478" t="s">
        <v>44800</v>
      </c>
      <c r="C12322" s="391" t="s">
        <v>558</v>
      </c>
      <c r="D12322" s="479"/>
      <c r="E12322" s="368"/>
      <c r="F12322" s="368"/>
    </row>
    <row r="12323" spans="1:6" x14ac:dyDescent="0.2">
      <c r="A12323" s="391">
        <v>7252</v>
      </c>
      <c r="B12323" s="478" t="s">
        <v>44801</v>
      </c>
      <c r="C12323" s="391" t="s">
        <v>558</v>
      </c>
      <c r="D12323" s="479"/>
      <c r="E12323" s="368"/>
      <c r="F12323" s="368"/>
    </row>
    <row r="12324" spans="1:6" ht="25.5" x14ac:dyDescent="0.2">
      <c r="A12324" s="391">
        <v>7247</v>
      </c>
      <c r="B12324" s="478" t="s">
        <v>44802</v>
      </c>
      <c r="C12324" s="391" t="s">
        <v>558</v>
      </c>
      <c r="D12324" s="479"/>
      <c r="E12324" s="368"/>
      <c r="F12324" s="368"/>
    </row>
    <row r="12325" spans="1:6" ht="25.5" x14ac:dyDescent="0.2">
      <c r="A12325" s="391">
        <v>40291</v>
      </c>
      <c r="B12325" s="478" t="s">
        <v>44803</v>
      </c>
      <c r="C12325" s="391" t="s">
        <v>5916</v>
      </c>
      <c r="D12325" s="479">
        <v>647.5</v>
      </c>
      <c r="E12325" s="368"/>
      <c r="F12325" s="368"/>
    </row>
    <row r="12326" spans="1:6" ht="25.5" x14ac:dyDescent="0.2">
      <c r="A12326" s="391">
        <v>40275</v>
      </c>
      <c r="B12326" s="478" t="s">
        <v>44804</v>
      </c>
      <c r="C12326" s="391" t="s">
        <v>5916</v>
      </c>
      <c r="D12326" s="479">
        <v>20.72</v>
      </c>
      <c r="E12326" s="368"/>
      <c r="F12326" s="368"/>
    </row>
    <row r="12327" spans="1:6" x14ac:dyDescent="0.2">
      <c r="A12327" s="391">
        <v>42408</v>
      </c>
      <c r="B12327" s="478" t="s">
        <v>44805</v>
      </c>
      <c r="C12327" s="391" t="s">
        <v>255</v>
      </c>
      <c r="D12327" s="479">
        <v>1.58</v>
      </c>
      <c r="E12327" s="368"/>
      <c r="F12327" s="368"/>
    </row>
    <row r="12328" spans="1:6" x14ac:dyDescent="0.2">
      <c r="A12328" s="391">
        <v>3777</v>
      </c>
      <c r="B12328" s="478" t="s">
        <v>44806</v>
      </c>
      <c r="C12328" s="391" t="s">
        <v>255</v>
      </c>
      <c r="D12328" s="479">
        <v>1.39</v>
      </c>
      <c r="E12328" s="368"/>
      <c r="F12328" s="368"/>
    </row>
    <row r="12329" spans="1:6" ht="25.5" x14ac:dyDescent="0.2">
      <c r="A12329" s="391">
        <v>44699</v>
      </c>
      <c r="B12329" s="478" t="s">
        <v>44807</v>
      </c>
      <c r="C12329" s="391" t="s">
        <v>1284</v>
      </c>
      <c r="D12329" s="479">
        <v>50.62</v>
      </c>
      <c r="E12329" s="368"/>
      <c r="F12329" s="368"/>
    </row>
    <row r="12330" spans="1:6" x14ac:dyDescent="0.2">
      <c r="A12330" s="391">
        <v>3798</v>
      </c>
      <c r="B12330" s="478" t="s">
        <v>44808</v>
      </c>
      <c r="C12330" s="391" t="s">
        <v>26</v>
      </c>
      <c r="D12330" s="479"/>
      <c r="E12330" s="368"/>
      <c r="F12330" s="368"/>
    </row>
    <row r="12331" spans="1:6" ht="25.5" x14ac:dyDescent="0.2">
      <c r="A12331" s="391">
        <v>38769</v>
      </c>
      <c r="B12331" s="478" t="s">
        <v>44809</v>
      </c>
      <c r="C12331" s="391" t="s">
        <v>26</v>
      </c>
      <c r="D12331" s="479"/>
      <c r="E12331" s="368"/>
      <c r="F12331" s="368"/>
    </row>
    <row r="12332" spans="1:6" ht="25.5" x14ac:dyDescent="0.2">
      <c r="A12332" s="391">
        <v>38774</v>
      </c>
      <c r="B12332" s="478" t="s">
        <v>44810</v>
      </c>
      <c r="C12332" s="391" t="s">
        <v>26</v>
      </c>
      <c r="D12332" s="479">
        <v>11.3</v>
      </c>
      <c r="E12332" s="368"/>
      <c r="F12332" s="368"/>
    </row>
    <row r="12333" spans="1:6" ht="25.5" x14ac:dyDescent="0.2">
      <c r="A12333" s="391">
        <v>42247</v>
      </c>
      <c r="B12333" s="478" t="s">
        <v>44811</v>
      </c>
      <c r="C12333" s="391" t="s">
        <v>26</v>
      </c>
      <c r="D12333" s="479">
        <v>385.87</v>
      </c>
      <c r="E12333" s="368"/>
      <c r="F12333" s="368"/>
    </row>
    <row r="12334" spans="1:6" ht="25.5" x14ac:dyDescent="0.2">
      <c r="A12334" s="391">
        <v>42248</v>
      </c>
      <c r="B12334" s="478" t="s">
        <v>44812</v>
      </c>
      <c r="C12334" s="391" t="s">
        <v>26</v>
      </c>
      <c r="D12334" s="479">
        <v>448.21</v>
      </c>
      <c r="E12334" s="368"/>
      <c r="F12334" s="368"/>
    </row>
    <row r="12335" spans="1:6" ht="25.5" x14ac:dyDescent="0.2">
      <c r="A12335" s="391">
        <v>42249</v>
      </c>
      <c r="B12335" s="478" t="s">
        <v>44813</v>
      </c>
      <c r="C12335" s="391" t="s">
        <v>26</v>
      </c>
      <c r="D12335" s="479">
        <v>742.53</v>
      </c>
      <c r="E12335" s="368"/>
      <c r="F12335" s="368"/>
    </row>
    <row r="12336" spans="1:6" ht="25.5" x14ac:dyDescent="0.2">
      <c r="A12336" s="391">
        <v>42244</v>
      </c>
      <c r="B12336" s="478" t="s">
        <v>44814</v>
      </c>
      <c r="C12336" s="391" t="s">
        <v>26</v>
      </c>
      <c r="D12336" s="479">
        <v>115.96</v>
      </c>
      <c r="E12336" s="368"/>
      <c r="F12336" s="368"/>
    </row>
    <row r="12337" spans="1:6" ht="25.5" x14ac:dyDescent="0.2">
      <c r="A12337" s="391">
        <v>42245</v>
      </c>
      <c r="B12337" s="478" t="s">
        <v>44815</v>
      </c>
      <c r="C12337" s="391" t="s">
        <v>26</v>
      </c>
      <c r="D12337" s="479">
        <v>213.98</v>
      </c>
      <c r="E12337" s="368"/>
      <c r="F12337" s="368"/>
    </row>
    <row r="12338" spans="1:6" ht="25.5" x14ac:dyDescent="0.2">
      <c r="A12338" s="391">
        <v>42246</v>
      </c>
      <c r="B12338" s="478" t="s">
        <v>44816</v>
      </c>
      <c r="C12338" s="391" t="s">
        <v>26</v>
      </c>
      <c r="D12338" s="479">
        <v>236.87</v>
      </c>
      <c r="E12338" s="368"/>
      <c r="F12338" s="368"/>
    </row>
    <row r="12339" spans="1:6" ht="25.5" x14ac:dyDescent="0.2">
      <c r="A12339" s="391">
        <v>42243</v>
      </c>
      <c r="B12339" s="478" t="s">
        <v>44817</v>
      </c>
      <c r="C12339" s="391" t="s">
        <v>26</v>
      </c>
      <c r="D12339" s="479">
        <v>285.62</v>
      </c>
      <c r="E12339" s="368"/>
      <c r="F12339" s="368"/>
    </row>
    <row r="12340" spans="1:6" ht="25.5" x14ac:dyDescent="0.2">
      <c r="A12340" s="391">
        <v>38889</v>
      </c>
      <c r="B12340" s="478" t="s">
        <v>44818</v>
      </c>
      <c r="C12340" s="391" t="s">
        <v>26</v>
      </c>
      <c r="D12340" s="479"/>
      <c r="E12340" s="368"/>
      <c r="F12340" s="368"/>
    </row>
    <row r="12341" spans="1:6" ht="25.5" x14ac:dyDescent="0.2">
      <c r="A12341" s="391">
        <v>38784</v>
      </c>
      <c r="B12341" s="478" t="s">
        <v>44819</v>
      </c>
      <c r="C12341" s="391" t="s">
        <v>26</v>
      </c>
      <c r="D12341" s="479"/>
      <c r="E12341" s="368"/>
      <c r="F12341" s="368"/>
    </row>
    <row r="12342" spans="1:6" ht="38.25" x14ac:dyDescent="0.2">
      <c r="A12342" s="391">
        <v>3780</v>
      </c>
      <c r="B12342" s="478" t="s">
        <v>44820</v>
      </c>
      <c r="C12342" s="391" t="s">
        <v>26</v>
      </c>
      <c r="D12342" s="479"/>
      <c r="E12342" s="368"/>
      <c r="F12342" s="368"/>
    </row>
    <row r="12343" spans="1:6" ht="25.5" x14ac:dyDescent="0.2">
      <c r="A12343" s="391">
        <v>38773</v>
      </c>
      <c r="B12343" s="478" t="s">
        <v>44821</v>
      </c>
      <c r="C12343" s="391" t="s">
        <v>26</v>
      </c>
      <c r="D12343" s="479"/>
      <c r="E12343" s="368"/>
      <c r="F12343" s="368"/>
    </row>
    <row r="12344" spans="1:6" x14ac:dyDescent="0.2">
      <c r="A12344" s="391">
        <v>12271</v>
      </c>
      <c r="B12344" s="478" t="s">
        <v>44822</v>
      </c>
      <c r="C12344" s="391" t="s">
        <v>26</v>
      </c>
      <c r="D12344" s="479"/>
      <c r="E12344" s="368"/>
      <c r="F12344" s="368"/>
    </row>
    <row r="12345" spans="1:6" x14ac:dyDescent="0.2">
      <c r="A12345" s="391">
        <v>39385</v>
      </c>
      <c r="B12345" s="478" t="s">
        <v>44823</v>
      </c>
      <c r="C12345" s="391" t="s">
        <v>26</v>
      </c>
      <c r="D12345" s="479">
        <v>10.34</v>
      </c>
      <c r="E12345" s="368"/>
      <c r="F12345" s="368"/>
    </row>
    <row r="12346" spans="1:6" x14ac:dyDescent="0.2">
      <c r="A12346" s="391">
        <v>39389</v>
      </c>
      <c r="B12346" s="478" t="s">
        <v>44824</v>
      </c>
      <c r="C12346" s="391" t="s">
        <v>26</v>
      </c>
      <c r="D12346" s="479">
        <v>11.22</v>
      </c>
      <c r="E12346" s="368"/>
      <c r="F12346" s="368"/>
    </row>
    <row r="12347" spans="1:6" x14ac:dyDescent="0.2">
      <c r="A12347" s="391">
        <v>39390</v>
      </c>
      <c r="B12347" s="478" t="s">
        <v>44825</v>
      </c>
      <c r="C12347" s="391" t="s">
        <v>26</v>
      </c>
      <c r="D12347" s="479">
        <v>23.51</v>
      </c>
      <c r="E12347" s="368"/>
      <c r="F12347" s="368"/>
    </row>
    <row r="12348" spans="1:6" x14ac:dyDescent="0.2">
      <c r="A12348" s="391">
        <v>39391</v>
      </c>
      <c r="B12348" s="478" t="s">
        <v>44826</v>
      </c>
      <c r="C12348" s="391" t="s">
        <v>26</v>
      </c>
      <c r="D12348" s="479">
        <v>26.4</v>
      </c>
      <c r="E12348" s="368"/>
      <c r="F12348" s="368"/>
    </row>
    <row r="12349" spans="1:6" ht="25.5" x14ac:dyDescent="0.2">
      <c r="A12349" s="391">
        <v>3803</v>
      </c>
      <c r="B12349" s="478" t="s">
        <v>44827</v>
      </c>
      <c r="C12349" s="391" t="s">
        <v>26</v>
      </c>
      <c r="D12349" s="479"/>
      <c r="E12349" s="368"/>
      <c r="F12349" s="368"/>
    </row>
    <row r="12350" spans="1:6" ht="25.5" x14ac:dyDescent="0.2">
      <c r="A12350" s="391">
        <v>38770</v>
      </c>
      <c r="B12350" s="478" t="s">
        <v>44828</v>
      </c>
      <c r="C12350" s="391" t="s">
        <v>26</v>
      </c>
      <c r="D12350" s="479"/>
      <c r="E12350" s="368"/>
      <c r="F12350" s="368"/>
    </row>
    <row r="12351" spans="1:6" x14ac:dyDescent="0.2">
      <c r="A12351" s="391">
        <v>12267</v>
      </c>
      <c r="B12351" s="478" t="s">
        <v>44829</v>
      </c>
      <c r="C12351" s="391" t="s">
        <v>26</v>
      </c>
      <c r="D12351" s="479"/>
      <c r="E12351" s="368"/>
      <c r="F12351" s="368"/>
    </row>
    <row r="12352" spans="1:6" ht="63.75" x14ac:dyDescent="0.2">
      <c r="A12352" s="391">
        <v>43265</v>
      </c>
      <c r="B12352" s="478" t="s">
        <v>44830</v>
      </c>
      <c r="C12352" s="391" t="s">
        <v>26</v>
      </c>
      <c r="D12352" s="479">
        <v>32.33</v>
      </c>
      <c r="E12352" s="368"/>
      <c r="F12352" s="368"/>
    </row>
    <row r="12353" spans="1:6" ht="25.5" x14ac:dyDescent="0.2">
      <c r="A12353" s="391">
        <v>12266</v>
      </c>
      <c r="B12353" s="478" t="s">
        <v>44831</v>
      </c>
      <c r="C12353" s="391" t="s">
        <v>26</v>
      </c>
      <c r="D12353" s="479"/>
      <c r="E12353" s="368"/>
      <c r="F12353" s="368"/>
    </row>
    <row r="12354" spans="1:6" ht="25.5" x14ac:dyDescent="0.2">
      <c r="A12354" s="391">
        <v>39378</v>
      </c>
      <c r="B12354" s="478" t="s">
        <v>44832</v>
      </c>
      <c r="C12354" s="391" t="s">
        <v>26</v>
      </c>
      <c r="D12354" s="479"/>
      <c r="E12354" s="368"/>
      <c r="F12354" s="368"/>
    </row>
    <row r="12355" spans="1:6" ht="38.25" x14ac:dyDescent="0.2">
      <c r="A12355" s="391">
        <v>43543</v>
      </c>
      <c r="B12355" s="478" t="s">
        <v>44833</v>
      </c>
      <c r="C12355" s="391" t="s">
        <v>26</v>
      </c>
      <c r="D12355" s="479"/>
      <c r="E12355" s="368"/>
      <c r="F12355" s="368"/>
    </row>
    <row r="12356" spans="1:6" ht="38.25" x14ac:dyDescent="0.2">
      <c r="A12356" s="391">
        <v>38775</v>
      </c>
      <c r="B12356" s="478" t="s">
        <v>44834</v>
      </c>
      <c r="C12356" s="391" t="s">
        <v>26</v>
      </c>
      <c r="D12356" s="479"/>
      <c r="E12356" s="368"/>
      <c r="F12356" s="368"/>
    </row>
    <row r="12357" spans="1:6" x14ac:dyDescent="0.2">
      <c r="A12357" s="391">
        <v>44252</v>
      </c>
      <c r="B12357" s="478" t="s">
        <v>44835</v>
      </c>
      <c r="C12357" s="391" t="s">
        <v>26</v>
      </c>
      <c r="D12357" s="479">
        <v>181.86</v>
      </c>
      <c r="E12357" s="368"/>
      <c r="F12357" s="368"/>
    </row>
    <row r="12358" spans="1:6" x14ac:dyDescent="0.2">
      <c r="A12358" s="391">
        <v>21119</v>
      </c>
      <c r="B12358" s="478" t="s">
        <v>44836</v>
      </c>
      <c r="C12358" s="391" t="s">
        <v>26</v>
      </c>
      <c r="D12358" s="479">
        <v>1.82</v>
      </c>
      <c r="E12358" s="368"/>
      <c r="F12358" s="368"/>
    </row>
    <row r="12359" spans="1:6" x14ac:dyDescent="0.2">
      <c r="A12359" s="391">
        <v>37974</v>
      </c>
      <c r="B12359" s="478" t="s">
        <v>44837</v>
      </c>
      <c r="C12359" s="391" t="s">
        <v>26</v>
      </c>
      <c r="D12359" s="479">
        <v>2.36</v>
      </c>
      <c r="E12359" s="368"/>
      <c r="F12359" s="368"/>
    </row>
    <row r="12360" spans="1:6" x14ac:dyDescent="0.2">
      <c r="A12360" s="391">
        <v>37975</v>
      </c>
      <c r="B12360" s="478" t="s">
        <v>44838</v>
      </c>
      <c r="C12360" s="391" t="s">
        <v>26</v>
      </c>
      <c r="D12360" s="479">
        <v>5.25</v>
      </c>
      <c r="E12360" s="368"/>
      <c r="F12360" s="368"/>
    </row>
    <row r="12361" spans="1:6" x14ac:dyDescent="0.2">
      <c r="A12361" s="391">
        <v>37976</v>
      </c>
      <c r="B12361" s="478" t="s">
        <v>44839</v>
      </c>
      <c r="C12361" s="391" t="s">
        <v>26</v>
      </c>
      <c r="D12361" s="479">
        <v>11.69</v>
      </c>
      <c r="E12361" s="368"/>
      <c r="F12361" s="368"/>
    </row>
    <row r="12362" spans="1:6" x14ac:dyDescent="0.2">
      <c r="A12362" s="391">
        <v>37977</v>
      </c>
      <c r="B12362" s="478" t="s">
        <v>44840</v>
      </c>
      <c r="C12362" s="391" t="s">
        <v>26</v>
      </c>
      <c r="D12362" s="479">
        <v>16.18</v>
      </c>
      <c r="E12362" s="368"/>
      <c r="F12362" s="368"/>
    </row>
    <row r="12363" spans="1:6" x14ac:dyDescent="0.2">
      <c r="A12363" s="391">
        <v>37978</v>
      </c>
      <c r="B12363" s="478" t="s">
        <v>44841</v>
      </c>
      <c r="C12363" s="391" t="s">
        <v>26</v>
      </c>
      <c r="D12363" s="479">
        <v>32.08</v>
      </c>
      <c r="E12363" s="368"/>
      <c r="F12363" s="368"/>
    </row>
    <row r="12364" spans="1:6" x14ac:dyDescent="0.2">
      <c r="A12364" s="391">
        <v>37979</v>
      </c>
      <c r="B12364" s="478" t="s">
        <v>44842</v>
      </c>
      <c r="C12364" s="391" t="s">
        <v>26</v>
      </c>
      <c r="D12364" s="479">
        <v>136.15</v>
      </c>
      <c r="E12364" s="368"/>
      <c r="F12364" s="368"/>
    </row>
    <row r="12365" spans="1:6" x14ac:dyDescent="0.2">
      <c r="A12365" s="391">
        <v>37980</v>
      </c>
      <c r="B12365" s="478" t="s">
        <v>44843</v>
      </c>
      <c r="C12365" s="391" t="s">
        <v>26</v>
      </c>
      <c r="D12365" s="479">
        <v>156.38999999999999</v>
      </c>
      <c r="E12365" s="368"/>
      <c r="F12365" s="368"/>
    </row>
    <row r="12366" spans="1:6" ht="25.5" x14ac:dyDescent="0.2">
      <c r="A12366" s="391">
        <v>36147</v>
      </c>
      <c r="B12366" s="478" t="s">
        <v>44844</v>
      </c>
      <c r="C12366" s="391" t="s">
        <v>12086</v>
      </c>
      <c r="D12366" s="479">
        <v>297.87</v>
      </c>
      <c r="E12366" s="368"/>
      <c r="F12366" s="368"/>
    </row>
    <row r="12367" spans="1:6" x14ac:dyDescent="0.2">
      <c r="A12367" s="391">
        <v>12731</v>
      </c>
      <c r="B12367" s="478" t="s">
        <v>44845</v>
      </c>
      <c r="C12367" s="391" t="s">
        <v>26</v>
      </c>
      <c r="D12367" s="479"/>
      <c r="E12367" s="368"/>
      <c r="F12367" s="368"/>
    </row>
    <row r="12368" spans="1:6" x14ac:dyDescent="0.2">
      <c r="A12368" s="391">
        <v>12723</v>
      </c>
      <c r="B12368" s="478" t="s">
        <v>44846</v>
      </c>
      <c r="C12368" s="391" t="s">
        <v>26</v>
      </c>
      <c r="D12368" s="479"/>
      <c r="E12368" s="368"/>
      <c r="F12368" s="368"/>
    </row>
    <row r="12369" spans="1:6" x14ac:dyDescent="0.2">
      <c r="A12369" s="391">
        <v>12724</v>
      </c>
      <c r="B12369" s="478" t="s">
        <v>44847</v>
      </c>
      <c r="C12369" s="391" t="s">
        <v>26</v>
      </c>
      <c r="D12369" s="479"/>
      <c r="E12369" s="368"/>
      <c r="F12369" s="368"/>
    </row>
    <row r="12370" spans="1:6" x14ac:dyDescent="0.2">
      <c r="A12370" s="391">
        <v>12725</v>
      </c>
      <c r="B12370" s="478" t="s">
        <v>44848</v>
      </c>
      <c r="C12370" s="391" t="s">
        <v>26</v>
      </c>
      <c r="D12370" s="479"/>
      <c r="E12370" s="368"/>
      <c r="F12370" s="368"/>
    </row>
    <row r="12371" spans="1:6" x14ac:dyDescent="0.2">
      <c r="A12371" s="391">
        <v>12726</v>
      </c>
      <c r="B12371" s="478" t="s">
        <v>44849</v>
      </c>
      <c r="C12371" s="391" t="s">
        <v>26</v>
      </c>
      <c r="D12371" s="479"/>
      <c r="E12371" s="368"/>
      <c r="F12371" s="368"/>
    </row>
    <row r="12372" spans="1:6" x14ac:dyDescent="0.2">
      <c r="A12372" s="391">
        <v>12727</v>
      </c>
      <c r="B12372" s="478" t="s">
        <v>44850</v>
      </c>
      <c r="C12372" s="391" t="s">
        <v>26</v>
      </c>
      <c r="D12372" s="479"/>
      <c r="E12372" s="368"/>
      <c r="F12372" s="368"/>
    </row>
    <row r="12373" spans="1:6" x14ac:dyDescent="0.2">
      <c r="A12373" s="391">
        <v>12728</v>
      </c>
      <c r="B12373" s="478" t="s">
        <v>44851</v>
      </c>
      <c r="C12373" s="391" t="s">
        <v>26</v>
      </c>
      <c r="D12373" s="479"/>
      <c r="E12373" s="368"/>
      <c r="F12373" s="368"/>
    </row>
    <row r="12374" spans="1:6" x14ac:dyDescent="0.2">
      <c r="A12374" s="391">
        <v>12729</v>
      </c>
      <c r="B12374" s="478" t="s">
        <v>44852</v>
      </c>
      <c r="C12374" s="391" t="s">
        <v>26</v>
      </c>
      <c r="D12374" s="479"/>
      <c r="E12374" s="368"/>
      <c r="F12374" s="368"/>
    </row>
    <row r="12375" spans="1:6" x14ac:dyDescent="0.2">
      <c r="A12375" s="391">
        <v>12730</v>
      </c>
      <c r="B12375" s="478" t="s">
        <v>44853</v>
      </c>
      <c r="C12375" s="391" t="s">
        <v>26</v>
      </c>
      <c r="D12375" s="479"/>
      <c r="E12375" s="368"/>
      <c r="F12375" s="368"/>
    </row>
    <row r="12376" spans="1:6" x14ac:dyDescent="0.2">
      <c r="A12376" s="391">
        <v>3840</v>
      </c>
      <c r="B12376" s="478" t="s">
        <v>44854</v>
      </c>
      <c r="C12376" s="391" t="s">
        <v>26</v>
      </c>
      <c r="D12376" s="479"/>
      <c r="E12376" s="368"/>
      <c r="F12376" s="368"/>
    </row>
    <row r="12377" spans="1:6" x14ac:dyDescent="0.2">
      <c r="A12377" s="391">
        <v>3838</v>
      </c>
      <c r="B12377" s="478" t="s">
        <v>44855</v>
      </c>
      <c r="C12377" s="391" t="s">
        <v>26</v>
      </c>
      <c r="D12377" s="479"/>
      <c r="E12377" s="368"/>
      <c r="F12377" s="368"/>
    </row>
    <row r="12378" spans="1:6" x14ac:dyDescent="0.2">
      <c r="A12378" s="391">
        <v>3844</v>
      </c>
      <c r="B12378" s="478" t="s">
        <v>44856</v>
      </c>
      <c r="C12378" s="391" t="s">
        <v>26</v>
      </c>
      <c r="D12378" s="479"/>
      <c r="E12378" s="368"/>
      <c r="F12378" s="368"/>
    </row>
    <row r="12379" spans="1:6" x14ac:dyDescent="0.2">
      <c r="A12379" s="391">
        <v>3839</v>
      </c>
      <c r="B12379" s="478" t="s">
        <v>44857</v>
      </c>
      <c r="C12379" s="391" t="s">
        <v>26</v>
      </c>
      <c r="D12379" s="479"/>
      <c r="E12379" s="368"/>
      <c r="F12379" s="368"/>
    </row>
    <row r="12380" spans="1:6" x14ac:dyDescent="0.2">
      <c r="A12380" s="391">
        <v>3843</v>
      </c>
      <c r="B12380" s="478" t="s">
        <v>44858</v>
      </c>
      <c r="C12380" s="391" t="s">
        <v>26</v>
      </c>
      <c r="D12380" s="479"/>
      <c r="E12380" s="368"/>
      <c r="F12380" s="368"/>
    </row>
    <row r="12381" spans="1:6" ht="25.5" x14ac:dyDescent="0.2">
      <c r="A12381" s="391">
        <v>3900</v>
      </c>
      <c r="B12381" s="478" t="s">
        <v>44859</v>
      </c>
      <c r="C12381" s="391" t="s">
        <v>26</v>
      </c>
      <c r="D12381" s="479">
        <v>46.26</v>
      </c>
      <c r="E12381" s="368"/>
      <c r="F12381" s="368"/>
    </row>
    <row r="12382" spans="1:6" x14ac:dyDescent="0.2">
      <c r="A12382" s="391">
        <v>3846</v>
      </c>
      <c r="B12382" s="478" t="s">
        <v>44860</v>
      </c>
      <c r="C12382" s="391" t="s">
        <v>26</v>
      </c>
      <c r="D12382" s="479">
        <v>13.9</v>
      </c>
      <c r="E12382" s="368"/>
      <c r="F12382" s="368"/>
    </row>
    <row r="12383" spans="1:6" x14ac:dyDescent="0.2">
      <c r="A12383" s="391">
        <v>3886</v>
      </c>
      <c r="B12383" s="478" t="s">
        <v>44861</v>
      </c>
      <c r="C12383" s="391" t="s">
        <v>26</v>
      </c>
      <c r="D12383" s="479">
        <v>18.45</v>
      </c>
      <c r="E12383" s="368"/>
      <c r="F12383" s="368"/>
    </row>
    <row r="12384" spans="1:6" ht="25.5" x14ac:dyDescent="0.2">
      <c r="A12384" s="391">
        <v>3854</v>
      </c>
      <c r="B12384" s="478" t="s">
        <v>44862</v>
      </c>
      <c r="C12384" s="391" t="s">
        <v>26</v>
      </c>
      <c r="D12384" s="479">
        <v>10.52</v>
      </c>
      <c r="E12384" s="368"/>
      <c r="F12384" s="368"/>
    </row>
    <row r="12385" spans="1:6" ht="25.5" x14ac:dyDescent="0.2">
      <c r="A12385" s="391">
        <v>3873</v>
      </c>
      <c r="B12385" s="478" t="s">
        <v>44863</v>
      </c>
      <c r="C12385" s="391" t="s">
        <v>26</v>
      </c>
      <c r="D12385" s="479">
        <v>12.24</v>
      </c>
      <c r="E12385" s="368"/>
      <c r="F12385" s="368"/>
    </row>
    <row r="12386" spans="1:6" ht="25.5" x14ac:dyDescent="0.2">
      <c r="A12386" s="391">
        <v>38021</v>
      </c>
      <c r="B12386" s="478" t="s">
        <v>44864</v>
      </c>
      <c r="C12386" s="391" t="s">
        <v>26</v>
      </c>
      <c r="D12386" s="479">
        <v>21.74</v>
      </c>
      <c r="E12386" s="368"/>
      <c r="F12386" s="368"/>
    </row>
    <row r="12387" spans="1:6" ht="25.5" x14ac:dyDescent="0.2">
      <c r="A12387" s="391">
        <v>43838</v>
      </c>
      <c r="B12387" s="478" t="s">
        <v>44865</v>
      </c>
      <c r="C12387" s="391" t="s">
        <v>26</v>
      </c>
      <c r="D12387" s="479">
        <v>28.1</v>
      </c>
      <c r="E12387" s="368"/>
      <c r="F12387" s="368"/>
    </row>
    <row r="12388" spans="1:6" ht="25.5" x14ac:dyDescent="0.2">
      <c r="A12388" s="391">
        <v>3847</v>
      </c>
      <c r="B12388" s="478" t="s">
        <v>44866</v>
      </c>
      <c r="C12388" s="391" t="s">
        <v>26</v>
      </c>
      <c r="D12388" s="479">
        <v>28.33</v>
      </c>
      <c r="E12388" s="368"/>
      <c r="F12388" s="368"/>
    </row>
    <row r="12389" spans="1:6" ht="25.5" x14ac:dyDescent="0.2">
      <c r="A12389" s="391">
        <v>38022</v>
      </c>
      <c r="B12389" s="478" t="s">
        <v>44867</v>
      </c>
      <c r="C12389" s="391" t="s">
        <v>26</v>
      </c>
      <c r="D12389" s="479">
        <v>38.94</v>
      </c>
      <c r="E12389" s="368"/>
      <c r="F12389" s="368"/>
    </row>
    <row r="12390" spans="1:6" x14ac:dyDescent="0.2">
      <c r="A12390" s="391">
        <v>3826</v>
      </c>
      <c r="B12390" s="478" t="s">
        <v>44868</v>
      </c>
      <c r="C12390" s="391" t="s">
        <v>26</v>
      </c>
      <c r="D12390" s="479"/>
      <c r="E12390" s="368"/>
      <c r="F12390" s="368"/>
    </row>
    <row r="12391" spans="1:6" x14ac:dyDescent="0.2">
      <c r="A12391" s="391">
        <v>3825</v>
      </c>
      <c r="B12391" s="478" t="s">
        <v>44869</v>
      </c>
      <c r="C12391" s="391" t="s">
        <v>26</v>
      </c>
      <c r="D12391" s="479"/>
      <c r="E12391" s="368"/>
      <c r="F12391" s="368"/>
    </row>
    <row r="12392" spans="1:6" x14ac:dyDescent="0.2">
      <c r="A12392" s="391">
        <v>3827</v>
      </c>
      <c r="B12392" s="478" t="s">
        <v>44870</v>
      </c>
      <c r="C12392" s="391" t="s">
        <v>26</v>
      </c>
      <c r="D12392" s="479"/>
      <c r="E12392" s="368"/>
      <c r="F12392" s="368"/>
    </row>
    <row r="12393" spans="1:6" x14ac:dyDescent="0.2">
      <c r="A12393" s="391">
        <v>3830</v>
      </c>
      <c r="B12393" s="478" t="s">
        <v>44871</v>
      </c>
      <c r="C12393" s="391" t="s">
        <v>26</v>
      </c>
      <c r="D12393" s="479">
        <v>211.95</v>
      </c>
      <c r="E12393" s="368"/>
      <c r="F12393" s="368"/>
    </row>
    <row r="12394" spans="1:6" x14ac:dyDescent="0.2">
      <c r="A12394" s="391">
        <v>37981</v>
      </c>
      <c r="B12394" s="478" t="s">
        <v>44872</v>
      </c>
      <c r="C12394" s="391" t="s">
        <v>26</v>
      </c>
      <c r="D12394" s="479">
        <v>6.81</v>
      </c>
      <c r="E12394" s="368"/>
      <c r="F12394" s="368"/>
    </row>
    <row r="12395" spans="1:6" x14ac:dyDescent="0.2">
      <c r="A12395" s="391">
        <v>37982</v>
      </c>
      <c r="B12395" s="478" t="s">
        <v>44873</v>
      </c>
      <c r="C12395" s="391" t="s">
        <v>26</v>
      </c>
      <c r="D12395" s="479">
        <v>9.8800000000000008</v>
      </c>
      <c r="E12395" s="368"/>
      <c r="F12395" s="368"/>
    </row>
    <row r="12396" spans="1:6" x14ac:dyDescent="0.2">
      <c r="A12396" s="391">
        <v>37983</v>
      </c>
      <c r="B12396" s="478" t="s">
        <v>44874</v>
      </c>
      <c r="C12396" s="391" t="s">
        <v>26</v>
      </c>
      <c r="D12396" s="479">
        <v>14.61</v>
      </c>
      <c r="E12396" s="368"/>
      <c r="F12396" s="368"/>
    </row>
    <row r="12397" spans="1:6" x14ac:dyDescent="0.2">
      <c r="A12397" s="391">
        <v>37984</v>
      </c>
      <c r="B12397" s="478" t="s">
        <v>44875</v>
      </c>
      <c r="C12397" s="391" t="s">
        <v>26</v>
      </c>
      <c r="D12397" s="479">
        <v>20.53</v>
      </c>
      <c r="E12397" s="368"/>
      <c r="F12397" s="368"/>
    </row>
    <row r="12398" spans="1:6" x14ac:dyDescent="0.2">
      <c r="A12398" s="391">
        <v>37985</v>
      </c>
      <c r="B12398" s="478" t="s">
        <v>44876</v>
      </c>
      <c r="C12398" s="391" t="s">
        <v>26</v>
      </c>
      <c r="D12398" s="479">
        <v>29.17</v>
      </c>
      <c r="E12398" s="368"/>
      <c r="F12398" s="368"/>
    </row>
    <row r="12399" spans="1:6" x14ac:dyDescent="0.2">
      <c r="A12399" s="391">
        <v>20165</v>
      </c>
      <c r="B12399" s="478" t="s">
        <v>44877</v>
      </c>
      <c r="C12399" s="391" t="s">
        <v>26</v>
      </c>
      <c r="D12399" s="479">
        <v>26.27</v>
      </c>
      <c r="E12399" s="368"/>
      <c r="F12399" s="368"/>
    </row>
    <row r="12400" spans="1:6" x14ac:dyDescent="0.2">
      <c r="A12400" s="391">
        <v>20166</v>
      </c>
      <c r="B12400" s="478" t="s">
        <v>44878</v>
      </c>
      <c r="C12400" s="391" t="s">
        <v>26</v>
      </c>
      <c r="D12400" s="479">
        <v>80.239999999999995</v>
      </c>
      <c r="E12400" s="368"/>
      <c r="F12400" s="368"/>
    </row>
    <row r="12401" spans="1:6" x14ac:dyDescent="0.2">
      <c r="A12401" s="391">
        <v>20164</v>
      </c>
      <c r="B12401" s="478" t="s">
        <v>44879</v>
      </c>
      <c r="C12401" s="391" t="s">
        <v>26</v>
      </c>
      <c r="D12401" s="479">
        <v>12.62</v>
      </c>
      <c r="E12401" s="368"/>
      <c r="F12401" s="368"/>
    </row>
    <row r="12402" spans="1:6" x14ac:dyDescent="0.2">
      <c r="A12402" s="391">
        <v>3893</v>
      </c>
      <c r="B12402" s="478" t="s">
        <v>44880</v>
      </c>
      <c r="C12402" s="391" t="s">
        <v>26</v>
      </c>
      <c r="D12402" s="479">
        <v>19.78</v>
      </c>
      <c r="E12402" s="368"/>
      <c r="F12402" s="368"/>
    </row>
    <row r="12403" spans="1:6" x14ac:dyDescent="0.2">
      <c r="A12403" s="391">
        <v>3848</v>
      </c>
      <c r="B12403" s="478" t="s">
        <v>44881</v>
      </c>
      <c r="C12403" s="391" t="s">
        <v>26</v>
      </c>
      <c r="D12403" s="479">
        <v>12.06</v>
      </c>
      <c r="E12403" s="368"/>
      <c r="F12403" s="368"/>
    </row>
    <row r="12404" spans="1:6" x14ac:dyDescent="0.2">
      <c r="A12404" s="391">
        <v>3895</v>
      </c>
      <c r="B12404" s="478" t="s">
        <v>44882</v>
      </c>
      <c r="C12404" s="391" t="s">
        <v>26</v>
      </c>
      <c r="D12404" s="479">
        <v>13.4</v>
      </c>
      <c r="E12404" s="368"/>
      <c r="F12404" s="368"/>
    </row>
    <row r="12405" spans="1:6" x14ac:dyDescent="0.2">
      <c r="A12405" s="391">
        <v>12404</v>
      </c>
      <c r="B12405" s="478" t="s">
        <v>44883</v>
      </c>
      <c r="C12405" s="391" t="s">
        <v>26</v>
      </c>
      <c r="D12405" s="479"/>
      <c r="E12405" s="368"/>
      <c r="F12405" s="368"/>
    </row>
    <row r="12406" spans="1:6" x14ac:dyDescent="0.2">
      <c r="A12406" s="391">
        <v>3939</v>
      </c>
      <c r="B12406" s="478" t="s">
        <v>44884</v>
      </c>
      <c r="C12406" s="391" t="s">
        <v>26</v>
      </c>
      <c r="D12406" s="479"/>
      <c r="E12406" s="368"/>
      <c r="F12406" s="368"/>
    </row>
    <row r="12407" spans="1:6" x14ac:dyDescent="0.2">
      <c r="A12407" s="391">
        <v>3911</v>
      </c>
      <c r="B12407" s="478" t="s">
        <v>44885</v>
      </c>
      <c r="C12407" s="391" t="s">
        <v>26</v>
      </c>
      <c r="D12407" s="479"/>
      <c r="E12407" s="368"/>
      <c r="F12407" s="368"/>
    </row>
    <row r="12408" spans="1:6" x14ac:dyDescent="0.2">
      <c r="A12408" s="391">
        <v>3910</v>
      </c>
      <c r="B12408" s="478" t="s">
        <v>44886</v>
      </c>
      <c r="C12408" s="391" t="s">
        <v>26</v>
      </c>
      <c r="D12408" s="479"/>
      <c r="E12408" s="368"/>
      <c r="F12408" s="368"/>
    </row>
    <row r="12409" spans="1:6" x14ac:dyDescent="0.2">
      <c r="A12409" s="391">
        <v>3908</v>
      </c>
      <c r="B12409" s="478" t="s">
        <v>44887</v>
      </c>
      <c r="C12409" s="391" t="s">
        <v>26</v>
      </c>
      <c r="D12409" s="479"/>
      <c r="E12409" s="368"/>
      <c r="F12409" s="368"/>
    </row>
    <row r="12410" spans="1:6" x14ac:dyDescent="0.2">
      <c r="A12410" s="391">
        <v>3913</v>
      </c>
      <c r="B12410" s="478" t="s">
        <v>44888</v>
      </c>
      <c r="C12410" s="391" t="s">
        <v>26</v>
      </c>
      <c r="D12410" s="479"/>
      <c r="E12410" s="368"/>
      <c r="F12410" s="368"/>
    </row>
    <row r="12411" spans="1:6" x14ac:dyDescent="0.2">
      <c r="A12411" s="391">
        <v>3912</v>
      </c>
      <c r="B12411" s="478" t="s">
        <v>44889</v>
      </c>
      <c r="C12411" s="391" t="s">
        <v>26</v>
      </c>
      <c r="D12411" s="479"/>
      <c r="E12411" s="368"/>
      <c r="F12411" s="368"/>
    </row>
    <row r="12412" spans="1:6" x14ac:dyDescent="0.2">
      <c r="A12412" s="391">
        <v>3914</v>
      </c>
      <c r="B12412" s="478" t="s">
        <v>44890</v>
      </c>
      <c r="C12412" s="391" t="s">
        <v>26</v>
      </c>
      <c r="D12412" s="479"/>
      <c r="E12412" s="368"/>
      <c r="F12412" s="368"/>
    </row>
    <row r="12413" spans="1:6" x14ac:dyDescent="0.2">
      <c r="A12413" s="391">
        <v>3909</v>
      </c>
      <c r="B12413" s="478" t="s">
        <v>44891</v>
      </c>
      <c r="C12413" s="391" t="s">
        <v>26</v>
      </c>
      <c r="D12413" s="479"/>
      <c r="E12413" s="368"/>
      <c r="F12413" s="368"/>
    </row>
    <row r="12414" spans="1:6" x14ac:dyDescent="0.2">
      <c r="A12414" s="391">
        <v>3915</v>
      </c>
      <c r="B12414" s="478" t="s">
        <v>44892</v>
      </c>
      <c r="C12414" s="391" t="s">
        <v>26</v>
      </c>
      <c r="D12414" s="479"/>
      <c r="E12414" s="368"/>
      <c r="F12414" s="368"/>
    </row>
    <row r="12415" spans="1:6" x14ac:dyDescent="0.2">
      <c r="A12415" s="391">
        <v>3916</v>
      </c>
      <c r="B12415" s="478" t="s">
        <v>44893</v>
      </c>
      <c r="C12415" s="391" t="s">
        <v>26</v>
      </c>
      <c r="D12415" s="479"/>
      <c r="E12415" s="368"/>
      <c r="F12415" s="368"/>
    </row>
    <row r="12416" spans="1:6" x14ac:dyDescent="0.2">
      <c r="A12416" s="391">
        <v>3917</v>
      </c>
      <c r="B12416" s="478" t="s">
        <v>44894</v>
      </c>
      <c r="C12416" s="391" t="s">
        <v>26</v>
      </c>
      <c r="D12416" s="479"/>
      <c r="E12416" s="368"/>
      <c r="F12416" s="368"/>
    </row>
    <row r="12417" spans="1:6" x14ac:dyDescent="0.2">
      <c r="A12417" s="391">
        <v>45266</v>
      </c>
      <c r="B12417" s="478" t="s">
        <v>48302</v>
      </c>
      <c r="C12417" s="391" t="s">
        <v>12086</v>
      </c>
      <c r="D12417" s="479">
        <v>3.33</v>
      </c>
      <c r="E12417" s="368"/>
      <c r="F12417" s="368"/>
    </row>
    <row r="12418" spans="1:6" x14ac:dyDescent="0.2">
      <c r="A12418" s="391">
        <v>1904</v>
      </c>
      <c r="B12418" s="478" t="s">
        <v>44895</v>
      </c>
      <c r="C12418" s="391" t="s">
        <v>26</v>
      </c>
      <c r="D12418" s="479">
        <v>0.7</v>
      </c>
      <c r="E12418" s="368"/>
      <c r="F12418" s="368"/>
    </row>
    <row r="12419" spans="1:6" x14ac:dyDescent="0.2">
      <c r="A12419" s="391">
        <v>1899</v>
      </c>
      <c r="B12419" s="478" t="s">
        <v>44896</v>
      </c>
      <c r="C12419" s="391" t="s">
        <v>26</v>
      </c>
      <c r="D12419" s="479">
        <v>0.8</v>
      </c>
      <c r="E12419" s="368"/>
      <c r="F12419" s="368"/>
    </row>
    <row r="12420" spans="1:6" x14ac:dyDescent="0.2">
      <c r="A12420" s="391">
        <v>1900</v>
      </c>
      <c r="B12420" s="478" t="s">
        <v>44897</v>
      </c>
      <c r="C12420" s="391" t="s">
        <v>26</v>
      </c>
      <c r="D12420" s="479">
        <v>1.3</v>
      </c>
      <c r="E12420" s="368"/>
      <c r="F12420" s="368"/>
    </row>
    <row r="12421" spans="1:6" ht="25.5" x14ac:dyDescent="0.2">
      <c r="A12421" s="391">
        <v>12407</v>
      </c>
      <c r="B12421" s="478" t="s">
        <v>44898</v>
      </c>
      <c r="C12421" s="391" t="s">
        <v>26</v>
      </c>
      <c r="D12421" s="479"/>
      <c r="E12421" s="368"/>
      <c r="F12421" s="368"/>
    </row>
    <row r="12422" spans="1:6" ht="25.5" x14ac:dyDescent="0.2">
      <c r="A12422" s="391">
        <v>12408</v>
      </c>
      <c r="B12422" s="478" t="s">
        <v>44899</v>
      </c>
      <c r="C12422" s="391" t="s">
        <v>26</v>
      </c>
      <c r="D12422" s="479"/>
      <c r="E12422" s="368"/>
      <c r="F12422" s="368"/>
    </row>
    <row r="12423" spans="1:6" ht="25.5" x14ac:dyDescent="0.2">
      <c r="A12423" s="391">
        <v>12409</v>
      </c>
      <c r="B12423" s="478" t="s">
        <v>44900</v>
      </c>
      <c r="C12423" s="391" t="s">
        <v>26</v>
      </c>
      <c r="D12423" s="479"/>
      <c r="E12423" s="368"/>
      <c r="F12423" s="368"/>
    </row>
    <row r="12424" spans="1:6" ht="25.5" x14ac:dyDescent="0.2">
      <c r="A12424" s="391">
        <v>12410</v>
      </c>
      <c r="B12424" s="478" t="s">
        <v>44901</v>
      </c>
      <c r="C12424" s="391" t="s">
        <v>26</v>
      </c>
      <c r="D12424" s="479"/>
      <c r="E12424" s="368"/>
      <c r="F12424" s="368"/>
    </row>
    <row r="12425" spans="1:6" ht="25.5" x14ac:dyDescent="0.2">
      <c r="A12425" s="391">
        <v>3936</v>
      </c>
      <c r="B12425" s="478" t="s">
        <v>44902</v>
      </c>
      <c r="C12425" s="391" t="s">
        <v>26</v>
      </c>
      <c r="D12425" s="479"/>
      <c r="E12425" s="368"/>
      <c r="F12425" s="368"/>
    </row>
    <row r="12426" spans="1:6" x14ac:dyDescent="0.2">
      <c r="A12426" s="391">
        <v>3924</v>
      </c>
      <c r="B12426" s="478" t="s">
        <v>44903</v>
      </c>
      <c r="C12426" s="391" t="s">
        <v>26</v>
      </c>
      <c r="D12426" s="479"/>
      <c r="E12426" s="368"/>
      <c r="F12426" s="368"/>
    </row>
    <row r="12427" spans="1:6" x14ac:dyDescent="0.2">
      <c r="A12427" s="391">
        <v>3922</v>
      </c>
      <c r="B12427" s="478" t="s">
        <v>44904</v>
      </c>
      <c r="C12427" s="391" t="s">
        <v>26</v>
      </c>
      <c r="D12427" s="479"/>
      <c r="E12427" s="368"/>
      <c r="F12427" s="368"/>
    </row>
    <row r="12428" spans="1:6" x14ac:dyDescent="0.2">
      <c r="A12428" s="391">
        <v>3923</v>
      </c>
      <c r="B12428" s="478" t="s">
        <v>44905</v>
      </c>
      <c r="C12428" s="391" t="s">
        <v>26</v>
      </c>
      <c r="D12428" s="479"/>
      <c r="E12428" s="368"/>
      <c r="F12428" s="368"/>
    </row>
    <row r="12429" spans="1:6" x14ac:dyDescent="0.2">
      <c r="A12429" s="391">
        <v>3921</v>
      </c>
      <c r="B12429" s="478" t="s">
        <v>44906</v>
      </c>
      <c r="C12429" s="391" t="s">
        <v>26</v>
      </c>
      <c r="D12429" s="479"/>
      <c r="E12429" s="368"/>
      <c r="F12429" s="368"/>
    </row>
    <row r="12430" spans="1:6" x14ac:dyDescent="0.2">
      <c r="A12430" s="391">
        <v>3937</v>
      </c>
      <c r="B12430" s="478" t="s">
        <v>44907</v>
      </c>
      <c r="C12430" s="391" t="s">
        <v>26</v>
      </c>
      <c r="D12430" s="479"/>
      <c r="E12430" s="368"/>
      <c r="F12430" s="368"/>
    </row>
    <row r="12431" spans="1:6" x14ac:dyDescent="0.2">
      <c r="A12431" s="391">
        <v>3920</v>
      </c>
      <c r="B12431" s="478" t="s">
        <v>44908</v>
      </c>
      <c r="C12431" s="391" t="s">
        <v>26</v>
      </c>
      <c r="D12431" s="479"/>
      <c r="E12431" s="368"/>
      <c r="F12431" s="368"/>
    </row>
    <row r="12432" spans="1:6" x14ac:dyDescent="0.2">
      <c r="A12432" s="391">
        <v>3938</v>
      </c>
      <c r="B12432" s="478" t="s">
        <v>44909</v>
      </c>
      <c r="C12432" s="391" t="s">
        <v>26</v>
      </c>
      <c r="D12432" s="479"/>
      <c r="E12432" s="368"/>
      <c r="F12432" s="368"/>
    </row>
    <row r="12433" spans="1:6" x14ac:dyDescent="0.2">
      <c r="A12433" s="391">
        <v>3919</v>
      </c>
      <c r="B12433" s="478" t="s">
        <v>44910</v>
      </c>
      <c r="C12433" s="391" t="s">
        <v>26</v>
      </c>
      <c r="D12433" s="479"/>
      <c r="E12433" s="368"/>
      <c r="F12433" s="368"/>
    </row>
    <row r="12434" spans="1:6" ht="25.5" x14ac:dyDescent="0.2">
      <c r="A12434" s="391">
        <v>3927</v>
      </c>
      <c r="B12434" s="478" t="s">
        <v>44911</v>
      </c>
      <c r="C12434" s="391" t="s">
        <v>26</v>
      </c>
      <c r="D12434" s="479"/>
      <c r="E12434" s="368"/>
      <c r="F12434" s="368"/>
    </row>
    <row r="12435" spans="1:6" x14ac:dyDescent="0.2">
      <c r="A12435" s="391">
        <v>3928</v>
      </c>
      <c r="B12435" s="478" t="s">
        <v>44912</v>
      </c>
      <c r="C12435" s="391" t="s">
        <v>26</v>
      </c>
      <c r="D12435" s="479"/>
      <c r="E12435" s="368"/>
      <c r="F12435" s="368"/>
    </row>
    <row r="12436" spans="1:6" x14ac:dyDescent="0.2">
      <c r="A12436" s="391">
        <v>3926</v>
      </c>
      <c r="B12436" s="478" t="s">
        <v>44913</v>
      </c>
      <c r="C12436" s="391" t="s">
        <v>26</v>
      </c>
      <c r="D12436" s="479"/>
      <c r="E12436" s="368"/>
      <c r="F12436" s="368"/>
    </row>
    <row r="12437" spans="1:6" x14ac:dyDescent="0.2">
      <c r="A12437" s="391">
        <v>3935</v>
      </c>
      <c r="B12437" s="478" t="s">
        <v>44914</v>
      </c>
      <c r="C12437" s="391" t="s">
        <v>26</v>
      </c>
      <c r="D12437" s="479"/>
      <c r="E12437" s="368"/>
      <c r="F12437" s="368"/>
    </row>
    <row r="12438" spans="1:6" x14ac:dyDescent="0.2">
      <c r="A12438" s="391">
        <v>3925</v>
      </c>
      <c r="B12438" s="478" t="s">
        <v>44915</v>
      </c>
      <c r="C12438" s="391" t="s">
        <v>26</v>
      </c>
      <c r="D12438" s="479"/>
      <c r="E12438" s="368"/>
      <c r="F12438" s="368"/>
    </row>
    <row r="12439" spans="1:6" x14ac:dyDescent="0.2">
      <c r="A12439" s="391">
        <v>3929</v>
      </c>
      <c r="B12439" s="478" t="s">
        <v>44916</v>
      </c>
      <c r="C12439" s="391" t="s">
        <v>26</v>
      </c>
      <c r="D12439" s="479"/>
      <c r="E12439" s="368"/>
      <c r="F12439" s="368"/>
    </row>
    <row r="12440" spans="1:6" x14ac:dyDescent="0.2">
      <c r="A12440" s="391">
        <v>3931</v>
      </c>
      <c r="B12440" s="478" t="s">
        <v>44917</v>
      </c>
      <c r="C12440" s="391" t="s">
        <v>26</v>
      </c>
      <c r="D12440" s="479"/>
      <c r="E12440" s="368"/>
      <c r="F12440" s="368"/>
    </row>
    <row r="12441" spans="1:6" x14ac:dyDescent="0.2">
      <c r="A12441" s="391">
        <v>3930</v>
      </c>
      <c r="B12441" s="478" t="s">
        <v>44918</v>
      </c>
      <c r="C12441" s="391" t="s">
        <v>26</v>
      </c>
      <c r="D12441" s="479"/>
      <c r="E12441" s="368"/>
      <c r="F12441" s="368"/>
    </row>
    <row r="12442" spans="1:6" x14ac:dyDescent="0.2">
      <c r="A12442" s="391">
        <v>12406</v>
      </c>
      <c r="B12442" s="478" t="s">
        <v>44919</v>
      </c>
      <c r="C12442" s="391" t="s">
        <v>26</v>
      </c>
      <c r="D12442" s="479"/>
      <c r="E12442" s="368"/>
      <c r="F12442" s="368"/>
    </row>
    <row r="12443" spans="1:6" x14ac:dyDescent="0.2">
      <c r="A12443" s="391">
        <v>3932</v>
      </c>
      <c r="B12443" s="478" t="s">
        <v>44920</v>
      </c>
      <c r="C12443" s="391" t="s">
        <v>26</v>
      </c>
      <c r="D12443" s="479"/>
      <c r="E12443" s="368"/>
      <c r="F12443" s="368"/>
    </row>
    <row r="12444" spans="1:6" x14ac:dyDescent="0.2">
      <c r="A12444" s="391">
        <v>3933</v>
      </c>
      <c r="B12444" s="478" t="s">
        <v>44921</v>
      </c>
      <c r="C12444" s="391" t="s">
        <v>26</v>
      </c>
      <c r="D12444" s="479"/>
      <c r="E12444" s="368"/>
      <c r="F12444" s="368"/>
    </row>
    <row r="12445" spans="1:6" x14ac:dyDescent="0.2">
      <c r="A12445" s="391">
        <v>3934</v>
      </c>
      <c r="B12445" s="478" t="s">
        <v>44922</v>
      </c>
      <c r="C12445" s="391" t="s">
        <v>26</v>
      </c>
      <c r="D12445" s="479"/>
      <c r="E12445" s="368"/>
      <c r="F12445" s="368"/>
    </row>
    <row r="12446" spans="1:6" ht="25.5" x14ac:dyDescent="0.2">
      <c r="A12446" s="391">
        <v>40355</v>
      </c>
      <c r="B12446" s="478" t="s">
        <v>44923</v>
      </c>
      <c r="C12446" s="391" t="s">
        <v>26</v>
      </c>
      <c r="D12446" s="479"/>
      <c r="E12446" s="368"/>
      <c r="F12446" s="368"/>
    </row>
    <row r="12447" spans="1:6" ht="25.5" x14ac:dyDescent="0.2">
      <c r="A12447" s="391">
        <v>40364</v>
      </c>
      <c r="B12447" s="478" t="s">
        <v>44924</v>
      </c>
      <c r="C12447" s="391" t="s">
        <v>26</v>
      </c>
      <c r="D12447" s="479"/>
      <c r="E12447" s="368"/>
      <c r="F12447" s="368"/>
    </row>
    <row r="12448" spans="1:6" ht="25.5" x14ac:dyDescent="0.2">
      <c r="A12448" s="391">
        <v>40361</v>
      </c>
      <c r="B12448" s="478" t="s">
        <v>44925</v>
      </c>
      <c r="C12448" s="391" t="s">
        <v>26</v>
      </c>
      <c r="D12448" s="479"/>
      <c r="E12448" s="368"/>
      <c r="F12448" s="368"/>
    </row>
    <row r="12449" spans="1:6" ht="25.5" x14ac:dyDescent="0.2">
      <c r="A12449" s="391">
        <v>40358</v>
      </c>
      <c r="B12449" s="478" t="s">
        <v>44926</v>
      </c>
      <c r="C12449" s="391" t="s">
        <v>26</v>
      </c>
      <c r="D12449" s="479"/>
      <c r="E12449" s="368"/>
      <c r="F12449" s="368"/>
    </row>
    <row r="12450" spans="1:6" ht="25.5" x14ac:dyDescent="0.2">
      <c r="A12450" s="391">
        <v>40370</v>
      </c>
      <c r="B12450" s="478" t="s">
        <v>44927</v>
      </c>
      <c r="C12450" s="391" t="s">
        <v>26</v>
      </c>
      <c r="D12450" s="479"/>
      <c r="E12450" s="368"/>
      <c r="F12450" s="368"/>
    </row>
    <row r="12451" spans="1:6" ht="25.5" x14ac:dyDescent="0.2">
      <c r="A12451" s="391">
        <v>40367</v>
      </c>
      <c r="B12451" s="478" t="s">
        <v>44928</v>
      </c>
      <c r="C12451" s="391" t="s">
        <v>26</v>
      </c>
      <c r="D12451" s="479"/>
      <c r="E12451" s="368"/>
      <c r="F12451" s="368"/>
    </row>
    <row r="12452" spans="1:6" ht="25.5" x14ac:dyDescent="0.2">
      <c r="A12452" s="391">
        <v>40373</v>
      </c>
      <c r="B12452" s="478" t="s">
        <v>44929</v>
      </c>
      <c r="C12452" s="391" t="s">
        <v>26</v>
      </c>
      <c r="D12452" s="479"/>
      <c r="E12452" s="368"/>
      <c r="F12452" s="368"/>
    </row>
    <row r="12453" spans="1:6" x14ac:dyDescent="0.2">
      <c r="A12453" s="391">
        <v>3907</v>
      </c>
      <c r="B12453" s="478" t="s">
        <v>44930</v>
      </c>
      <c r="C12453" s="391" t="s">
        <v>26</v>
      </c>
      <c r="D12453" s="479">
        <v>5.33</v>
      </c>
      <c r="E12453" s="368"/>
      <c r="F12453" s="368"/>
    </row>
    <row r="12454" spans="1:6" x14ac:dyDescent="0.2">
      <c r="A12454" s="391">
        <v>3889</v>
      </c>
      <c r="B12454" s="478" t="s">
        <v>44931</v>
      </c>
      <c r="C12454" s="391" t="s">
        <v>26</v>
      </c>
      <c r="D12454" s="479">
        <v>3.79</v>
      </c>
      <c r="E12454" s="368"/>
      <c r="F12454" s="368"/>
    </row>
    <row r="12455" spans="1:6" x14ac:dyDescent="0.2">
      <c r="A12455" s="391">
        <v>3868</v>
      </c>
      <c r="B12455" s="478" t="s">
        <v>44932</v>
      </c>
      <c r="C12455" s="391" t="s">
        <v>26</v>
      </c>
      <c r="D12455" s="479">
        <v>1.39</v>
      </c>
      <c r="E12455" s="368"/>
      <c r="F12455" s="368"/>
    </row>
    <row r="12456" spans="1:6" x14ac:dyDescent="0.2">
      <c r="A12456" s="391">
        <v>3869</v>
      </c>
      <c r="B12456" s="478" t="s">
        <v>44933</v>
      </c>
      <c r="C12456" s="391" t="s">
        <v>26</v>
      </c>
      <c r="D12456" s="479">
        <v>3.08</v>
      </c>
      <c r="E12456" s="368"/>
      <c r="F12456" s="368"/>
    </row>
    <row r="12457" spans="1:6" x14ac:dyDescent="0.2">
      <c r="A12457" s="391">
        <v>3872</v>
      </c>
      <c r="B12457" s="478" t="s">
        <v>44934</v>
      </c>
      <c r="C12457" s="391" t="s">
        <v>26</v>
      </c>
      <c r="D12457" s="479">
        <v>5.26</v>
      </c>
      <c r="E12457" s="368"/>
      <c r="F12457" s="368"/>
    </row>
    <row r="12458" spans="1:6" x14ac:dyDescent="0.2">
      <c r="A12458" s="391">
        <v>3850</v>
      </c>
      <c r="B12458" s="478" t="s">
        <v>44935</v>
      </c>
      <c r="C12458" s="391" t="s">
        <v>26</v>
      </c>
      <c r="D12458" s="479">
        <v>12.13</v>
      </c>
      <c r="E12458" s="368"/>
      <c r="F12458" s="368"/>
    </row>
    <row r="12459" spans="1:6" x14ac:dyDescent="0.2">
      <c r="A12459" s="391">
        <v>38023</v>
      </c>
      <c r="B12459" s="478" t="s">
        <v>44936</v>
      </c>
      <c r="C12459" s="391" t="s">
        <v>26</v>
      </c>
      <c r="D12459" s="479">
        <v>6.17</v>
      </c>
      <c r="E12459" s="368"/>
      <c r="F12459" s="368"/>
    </row>
    <row r="12460" spans="1:6" ht="25.5" x14ac:dyDescent="0.2">
      <c r="A12460" s="391">
        <v>37986</v>
      </c>
      <c r="B12460" s="478" t="s">
        <v>44937</v>
      </c>
      <c r="C12460" s="391" t="s">
        <v>26</v>
      </c>
      <c r="D12460" s="479">
        <v>2.3199999999999998</v>
      </c>
      <c r="E12460" s="368"/>
      <c r="F12460" s="368"/>
    </row>
    <row r="12461" spans="1:6" x14ac:dyDescent="0.2">
      <c r="A12461" s="391">
        <v>21120</v>
      </c>
      <c r="B12461" s="478" t="s">
        <v>44938</v>
      </c>
      <c r="C12461" s="391" t="s">
        <v>26</v>
      </c>
      <c r="D12461" s="479">
        <v>11.86</v>
      </c>
      <c r="E12461" s="368"/>
      <c r="F12461" s="368"/>
    </row>
    <row r="12462" spans="1:6" x14ac:dyDescent="0.2">
      <c r="A12462" s="391">
        <v>39318</v>
      </c>
      <c r="B12462" s="478" t="s">
        <v>44939</v>
      </c>
      <c r="C12462" s="391" t="s">
        <v>26</v>
      </c>
      <c r="D12462" s="479">
        <v>11.03</v>
      </c>
      <c r="E12462" s="368"/>
      <c r="F12462" s="368"/>
    </row>
    <row r="12463" spans="1:6" x14ac:dyDescent="0.2">
      <c r="A12463" s="391">
        <v>37987</v>
      </c>
      <c r="B12463" s="478" t="s">
        <v>44940</v>
      </c>
      <c r="C12463" s="391" t="s">
        <v>26</v>
      </c>
      <c r="D12463" s="479">
        <v>116.01</v>
      </c>
      <c r="E12463" s="368"/>
      <c r="F12463" s="368"/>
    </row>
    <row r="12464" spans="1:6" ht="25.5" x14ac:dyDescent="0.2">
      <c r="A12464" s="391">
        <v>37988</v>
      </c>
      <c r="B12464" s="478" t="s">
        <v>44941</v>
      </c>
      <c r="C12464" s="391" t="s">
        <v>26</v>
      </c>
      <c r="D12464" s="479">
        <v>184.35</v>
      </c>
      <c r="E12464" s="368"/>
      <c r="F12464" s="368"/>
    </row>
    <row r="12465" spans="1:7" x14ac:dyDescent="0.2">
      <c r="A12465" s="391">
        <v>40366</v>
      </c>
      <c r="B12465" s="478" t="s">
        <v>44942</v>
      </c>
      <c r="C12465" s="391" t="s">
        <v>26</v>
      </c>
      <c r="D12465" s="479"/>
      <c r="E12465" s="368"/>
      <c r="F12465" s="368"/>
    </row>
    <row r="12466" spans="1:7" x14ac:dyDescent="0.2">
      <c r="A12466" s="391">
        <v>40363</v>
      </c>
      <c r="B12466" s="478" t="s">
        <v>44943</v>
      </c>
      <c r="C12466" s="391" t="s">
        <v>26</v>
      </c>
      <c r="D12466" s="479"/>
      <c r="E12466" s="368"/>
      <c r="F12466" s="368"/>
    </row>
    <row r="12467" spans="1:7" x14ac:dyDescent="0.2">
      <c r="A12467" s="391">
        <v>40360</v>
      </c>
      <c r="B12467" s="478" t="s">
        <v>44944</v>
      </c>
      <c r="C12467" s="391" t="s">
        <v>26</v>
      </c>
      <c r="D12467" s="479"/>
      <c r="E12467" s="368"/>
      <c r="F12467" s="368"/>
    </row>
    <row r="12468" spans="1:7" x14ac:dyDescent="0.2">
      <c r="A12468" s="391">
        <v>40354</v>
      </c>
      <c r="B12468" s="478" t="s">
        <v>44945</v>
      </c>
      <c r="C12468" s="391" t="s">
        <v>26</v>
      </c>
      <c r="D12468" s="479"/>
      <c r="E12468" s="368"/>
      <c r="F12468" s="368"/>
    </row>
    <row r="12469" spans="1:7" x14ac:dyDescent="0.2">
      <c r="A12469" s="391">
        <v>40372</v>
      </c>
      <c r="B12469" s="478" t="s">
        <v>44946</v>
      </c>
      <c r="C12469" s="391" t="s">
        <v>26</v>
      </c>
      <c r="D12469" s="479"/>
      <c r="E12469" s="368"/>
      <c r="F12469" s="368"/>
    </row>
    <row r="12470" spans="1:7" x14ac:dyDescent="0.2">
      <c r="A12470" s="391">
        <v>40369</v>
      </c>
      <c r="B12470" s="478" t="s">
        <v>44947</v>
      </c>
      <c r="C12470" s="391" t="s">
        <v>26</v>
      </c>
      <c r="D12470" s="479"/>
      <c r="E12470" s="368"/>
      <c r="F12470" s="368"/>
    </row>
    <row r="12471" spans="1:7" x14ac:dyDescent="0.2">
      <c r="A12471" s="391">
        <v>40375</v>
      </c>
      <c r="B12471" s="478" t="s">
        <v>44948</v>
      </c>
      <c r="C12471" s="391" t="s">
        <v>26</v>
      </c>
      <c r="D12471" s="479"/>
      <c r="E12471" s="368"/>
      <c r="F12471" s="368"/>
    </row>
    <row r="12472" spans="1:7" x14ac:dyDescent="0.2">
      <c r="A12472" s="391">
        <v>40357</v>
      </c>
      <c r="B12472" s="478" t="s">
        <v>44949</v>
      </c>
      <c r="C12472" s="391" t="s">
        <v>26</v>
      </c>
      <c r="D12472" s="479"/>
      <c r="E12472" s="368"/>
      <c r="F12472" s="368"/>
    </row>
    <row r="12473" spans="1:7" x14ac:dyDescent="0.2">
      <c r="A12473" s="391">
        <v>1893</v>
      </c>
      <c r="B12473" s="478" t="s">
        <v>44950</v>
      </c>
      <c r="C12473" s="391" t="s">
        <v>26</v>
      </c>
      <c r="D12473" s="479">
        <v>2.67</v>
      </c>
      <c r="E12473" s="368"/>
      <c r="F12473" s="368"/>
    </row>
    <row r="12474" spans="1:7" x14ac:dyDescent="0.2">
      <c r="A12474" s="391">
        <v>1902</v>
      </c>
      <c r="B12474" s="478" t="s">
        <v>44951</v>
      </c>
      <c r="C12474" s="391" t="s">
        <v>26</v>
      </c>
      <c r="D12474" s="479">
        <v>1.94</v>
      </c>
      <c r="E12474" s="368"/>
      <c r="F12474" s="368"/>
    </row>
    <row r="12475" spans="1:7" x14ac:dyDescent="0.2">
      <c r="A12475" s="391">
        <v>1892</v>
      </c>
      <c r="B12475" s="478" t="s">
        <v>44952</v>
      </c>
      <c r="C12475" s="391" t="s">
        <v>26</v>
      </c>
      <c r="D12475" s="479">
        <v>1.25</v>
      </c>
      <c r="E12475" s="368"/>
      <c r="F12475" s="368"/>
    </row>
    <row r="12476" spans="1:7" x14ac:dyDescent="0.2">
      <c r="A12476" s="391">
        <v>1901</v>
      </c>
      <c r="B12476" s="478" t="s">
        <v>44953</v>
      </c>
      <c r="C12476" s="391" t="s">
        <v>26</v>
      </c>
      <c r="D12476" s="479">
        <v>0.6</v>
      </c>
      <c r="E12476" s="368"/>
      <c r="F12476" s="368"/>
      <c r="G12476" s="7"/>
    </row>
    <row r="12477" spans="1:7" x14ac:dyDescent="0.2">
      <c r="A12477" s="391">
        <v>1907</v>
      </c>
      <c r="B12477" s="478" t="s">
        <v>44954</v>
      </c>
      <c r="C12477" s="391" t="s">
        <v>26</v>
      </c>
      <c r="D12477" s="479">
        <v>8.59</v>
      </c>
      <c r="E12477" s="368"/>
      <c r="F12477" s="368"/>
    </row>
    <row r="12478" spans="1:7" x14ac:dyDescent="0.2">
      <c r="A12478" s="391">
        <v>1894</v>
      </c>
      <c r="B12478" s="478" t="s">
        <v>44955</v>
      </c>
      <c r="C12478" s="391" t="s">
        <v>26</v>
      </c>
      <c r="D12478" s="479">
        <v>3.86</v>
      </c>
      <c r="E12478" s="368"/>
      <c r="F12478" s="368"/>
    </row>
    <row r="12479" spans="1:7" x14ac:dyDescent="0.2">
      <c r="A12479" s="391">
        <v>1896</v>
      </c>
      <c r="B12479" s="478" t="s">
        <v>44956</v>
      </c>
      <c r="C12479" s="391" t="s">
        <v>26</v>
      </c>
      <c r="D12479" s="479">
        <v>11.54</v>
      </c>
      <c r="E12479" s="368"/>
      <c r="F12479" s="368"/>
    </row>
    <row r="12480" spans="1:7" x14ac:dyDescent="0.2">
      <c r="A12480" s="391">
        <v>1891</v>
      </c>
      <c r="B12480" s="478" t="s">
        <v>44957</v>
      </c>
      <c r="C12480" s="391" t="s">
        <v>26</v>
      </c>
      <c r="D12480" s="479">
        <v>0.89</v>
      </c>
      <c r="E12480" s="368"/>
      <c r="F12480" s="368"/>
    </row>
    <row r="12481" spans="1:6" x14ac:dyDescent="0.2">
      <c r="A12481" s="391">
        <v>1895</v>
      </c>
      <c r="B12481" s="478" t="s">
        <v>44958</v>
      </c>
      <c r="C12481" s="391" t="s">
        <v>26</v>
      </c>
      <c r="D12481" s="479">
        <v>20.28</v>
      </c>
      <c r="E12481" s="368"/>
      <c r="F12481" s="368"/>
    </row>
    <row r="12482" spans="1:6" ht="25.5" x14ac:dyDescent="0.2">
      <c r="A12482" s="391">
        <v>2641</v>
      </c>
      <c r="B12482" s="478" t="s">
        <v>44959</v>
      </c>
      <c r="C12482" s="391" t="s">
        <v>26</v>
      </c>
      <c r="D12482" s="479"/>
      <c r="E12482" s="368"/>
      <c r="F12482" s="368"/>
    </row>
    <row r="12483" spans="1:6" ht="25.5" x14ac:dyDescent="0.2">
      <c r="A12483" s="391">
        <v>2636</v>
      </c>
      <c r="B12483" s="478" t="s">
        <v>44960</v>
      </c>
      <c r="C12483" s="391" t="s">
        <v>26</v>
      </c>
      <c r="D12483" s="479"/>
      <c r="E12483" s="368"/>
      <c r="F12483" s="368"/>
    </row>
    <row r="12484" spans="1:6" ht="25.5" x14ac:dyDescent="0.2">
      <c r="A12484" s="391">
        <v>2637</v>
      </c>
      <c r="B12484" s="478" t="s">
        <v>44961</v>
      </c>
      <c r="C12484" s="391" t="s">
        <v>26</v>
      </c>
      <c r="D12484" s="479"/>
      <c r="E12484" s="368"/>
      <c r="F12484" s="368"/>
    </row>
    <row r="12485" spans="1:6" ht="25.5" x14ac:dyDescent="0.2">
      <c r="A12485" s="391">
        <v>2638</v>
      </c>
      <c r="B12485" s="478" t="s">
        <v>44962</v>
      </c>
      <c r="C12485" s="391" t="s">
        <v>26</v>
      </c>
      <c r="D12485" s="479"/>
      <c r="E12485" s="368"/>
      <c r="F12485" s="368"/>
    </row>
    <row r="12486" spans="1:6" ht="25.5" x14ac:dyDescent="0.2">
      <c r="A12486" s="391">
        <v>2639</v>
      </c>
      <c r="B12486" s="478" t="s">
        <v>44963</v>
      </c>
      <c r="C12486" s="391" t="s">
        <v>26</v>
      </c>
      <c r="D12486" s="479"/>
      <c r="E12486" s="368"/>
      <c r="F12486" s="368"/>
    </row>
    <row r="12487" spans="1:6" ht="25.5" x14ac:dyDescent="0.2">
      <c r="A12487" s="391">
        <v>2644</v>
      </c>
      <c r="B12487" s="478" t="s">
        <v>44964</v>
      </c>
      <c r="C12487" s="391" t="s">
        <v>26</v>
      </c>
      <c r="D12487" s="479"/>
      <c r="E12487" s="368"/>
      <c r="F12487" s="368"/>
    </row>
    <row r="12488" spans="1:6" ht="25.5" x14ac:dyDescent="0.2">
      <c r="A12488" s="391">
        <v>2640</v>
      </c>
      <c r="B12488" s="478" t="s">
        <v>44965</v>
      </c>
      <c r="C12488" s="391" t="s">
        <v>26</v>
      </c>
      <c r="D12488" s="479"/>
      <c r="E12488" s="368"/>
      <c r="F12488" s="368"/>
    </row>
    <row r="12489" spans="1:6" ht="25.5" x14ac:dyDescent="0.2">
      <c r="A12489" s="319">
        <v>2642</v>
      </c>
      <c r="B12489" s="498" t="s">
        <v>44966</v>
      </c>
      <c r="C12489" s="319" t="s">
        <v>26</v>
      </c>
      <c r="D12489" s="499"/>
      <c r="E12489" s="373"/>
      <c r="F12489" s="373"/>
    </row>
    <row r="12490" spans="1:6" ht="25.5" x14ac:dyDescent="0.2">
      <c r="A12490" s="319">
        <v>2643</v>
      </c>
      <c r="B12490" s="498" t="s">
        <v>44967</v>
      </c>
      <c r="C12490" s="319" t="s">
        <v>26</v>
      </c>
      <c r="D12490" s="499"/>
      <c r="E12490" s="373"/>
      <c r="F12490" s="373"/>
    </row>
    <row r="12491" spans="1:6" x14ac:dyDescent="0.2">
      <c r="A12491" s="319">
        <v>44281</v>
      </c>
      <c r="B12491" s="498" t="s">
        <v>44968</v>
      </c>
      <c r="C12491" s="319" t="s">
        <v>26</v>
      </c>
      <c r="D12491" s="499"/>
      <c r="E12491" s="373"/>
      <c r="F12491" s="373"/>
    </row>
    <row r="12492" spans="1:6" x14ac:dyDescent="0.2">
      <c r="A12492" s="319">
        <v>39855</v>
      </c>
      <c r="B12492" s="498" t="s">
        <v>44969</v>
      </c>
      <c r="C12492" s="319" t="s">
        <v>26</v>
      </c>
      <c r="D12492" s="499"/>
      <c r="E12492" s="373"/>
      <c r="F12492" s="373"/>
    </row>
    <row r="12493" spans="1:6" x14ac:dyDescent="0.2">
      <c r="A12493" s="319">
        <v>39856</v>
      </c>
      <c r="B12493" s="498" t="s">
        <v>44970</v>
      </c>
      <c r="C12493" s="319" t="s">
        <v>26</v>
      </c>
      <c r="D12493" s="499"/>
      <c r="E12493" s="373"/>
      <c r="F12493" s="373"/>
    </row>
    <row r="12494" spans="1:6" x14ac:dyDescent="0.2">
      <c r="A12494" s="319">
        <v>39857</v>
      </c>
      <c r="B12494" s="498" t="s">
        <v>44971</v>
      </c>
      <c r="C12494" s="319" t="s">
        <v>26</v>
      </c>
      <c r="D12494" s="499"/>
      <c r="E12494" s="373"/>
      <c r="F12494" s="373"/>
    </row>
    <row r="12495" spans="1:6" x14ac:dyDescent="0.2">
      <c r="A12495" s="319">
        <v>39858</v>
      </c>
      <c r="B12495" s="498" t="s">
        <v>44972</v>
      </c>
      <c r="C12495" s="319" t="s">
        <v>26</v>
      </c>
      <c r="D12495" s="499"/>
      <c r="E12495" s="373"/>
      <c r="F12495" s="373"/>
    </row>
    <row r="12496" spans="1:6" x14ac:dyDescent="0.2">
      <c r="A12496" s="319">
        <v>39859</v>
      </c>
      <c r="B12496" s="498" t="s">
        <v>44973</v>
      </c>
      <c r="C12496" s="319" t="s">
        <v>26</v>
      </c>
      <c r="D12496" s="499"/>
      <c r="E12496" s="373"/>
      <c r="F12496" s="373"/>
    </row>
    <row r="12497" spans="1:6" x14ac:dyDescent="0.2">
      <c r="A12497" s="319">
        <v>39860</v>
      </c>
      <c r="B12497" s="498" t="s">
        <v>44974</v>
      </c>
      <c r="C12497" s="319" t="s">
        <v>26</v>
      </c>
      <c r="D12497" s="499"/>
      <c r="E12497" s="373"/>
      <c r="F12497" s="373"/>
    </row>
    <row r="12498" spans="1:6" x14ac:dyDescent="0.2">
      <c r="A12498" s="319">
        <v>39861</v>
      </c>
      <c r="B12498" s="498" t="s">
        <v>44975</v>
      </c>
      <c r="C12498" s="319" t="s">
        <v>26</v>
      </c>
      <c r="D12498" s="499"/>
      <c r="E12498" s="373"/>
      <c r="F12498" s="373"/>
    </row>
    <row r="12499" spans="1:6" x14ac:dyDescent="0.2">
      <c r="A12499" s="319">
        <v>3867</v>
      </c>
      <c r="B12499" s="498" t="s">
        <v>44976</v>
      </c>
      <c r="C12499" s="319" t="s">
        <v>26</v>
      </c>
      <c r="D12499" s="499">
        <v>73.87</v>
      </c>
      <c r="E12499" s="373"/>
      <c r="F12499" s="373"/>
    </row>
    <row r="12500" spans="1:6" x14ac:dyDescent="0.2">
      <c r="A12500" s="319">
        <v>3861</v>
      </c>
      <c r="B12500" s="498" t="s">
        <v>44977</v>
      </c>
      <c r="C12500" s="319" t="s">
        <v>26</v>
      </c>
      <c r="D12500" s="499">
        <v>0.76</v>
      </c>
      <c r="E12500" s="373"/>
      <c r="F12500" s="373"/>
    </row>
    <row r="12501" spans="1:6" x14ac:dyDescent="0.2">
      <c r="A12501" s="319">
        <v>3904</v>
      </c>
      <c r="B12501" s="498" t="s">
        <v>44978</v>
      </c>
      <c r="C12501" s="319" t="s">
        <v>26</v>
      </c>
      <c r="D12501" s="499">
        <v>0.81</v>
      </c>
      <c r="E12501" s="373"/>
      <c r="F12501" s="373"/>
    </row>
    <row r="12502" spans="1:6" x14ac:dyDescent="0.2">
      <c r="A12502" s="319">
        <v>3903</v>
      </c>
      <c r="B12502" s="498" t="s">
        <v>44979</v>
      </c>
      <c r="C12502" s="319" t="s">
        <v>26</v>
      </c>
      <c r="D12502" s="499">
        <v>1.98</v>
      </c>
      <c r="E12502" s="373"/>
      <c r="F12502" s="373"/>
    </row>
    <row r="12503" spans="1:6" x14ac:dyDescent="0.2">
      <c r="A12503" s="319">
        <v>3862</v>
      </c>
      <c r="B12503" s="498" t="s">
        <v>44980</v>
      </c>
      <c r="C12503" s="319" t="s">
        <v>26</v>
      </c>
      <c r="D12503" s="499">
        <v>4.22</v>
      </c>
      <c r="E12503" s="373"/>
      <c r="F12503" s="373"/>
    </row>
    <row r="12504" spans="1:6" x14ac:dyDescent="0.2">
      <c r="A12504" s="319">
        <v>3863</v>
      </c>
      <c r="B12504" s="498" t="s">
        <v>44981</v>
      </c>
      <c r="C12504" s="319" t="s">
        <v>26</v>
      </c>
      <c r="D12504" s="499">
        <v>4.33</v>
      </c>
      <c r="E12504" s="373"/>
      <c r="F12504" s="373"/>
    </row>
    <row r="12505" spans="1:6" x14ac:dyDescent="0.2">
      <c r="A12505" s="319">
        <v>3864</v>
      </c>
      <c r="B12505" s="498" t="s">
        <v>44982</v>
      </c>
      <c r="C12505" s="319" t="s">
        <v>26</v>
      </c>
      <c r="D12505" s="499">
        <v>13.25</v>
      </c>
      <c r="E12505" s="373"/>
      <c r="F12505" s="373"/>
    </row>
    <row r="12506" spans="1:6" x14ac:dyDescent="0.2">
      <c r="A12506" s="319">
        <v>3865</v>
      </c>
      <c r="B12506" s="498" t="s">
        <v>44983</v>
      </c>
      <c r="C12506" s="319" t="s">
        <v>26</v>
      </c>
      <c r="D12506" s="499">
        <v>19.38</v>
      </c>
      <c r="E12506" s="373"/>
      <c r="F12506" s="373"/>
    </row>
    <row r="12507" spans="1:6" x14ac:dyDescent="0.2">
      <c r="A12507" s="319">
        <v>3866</v>
      </c>
      <c r="B12507" s="498" t="s">
        <v>44984</v>
      </c>
      <c r="C12507" s="319" t="s">
        <v>26</v>
      </c>
      <c r="D12507" s="499">
        <v>43.51</v>
      </c>
      <c r="E12507" s="373"/>
      <c r="F12507" s="373"/>
    </row>
    <row r="12508" spans="1:6" x14ac:dyDescent="0.2">
      <c r="A12508" s="319">
        <v>3878</v>
      </c>
      <c r="B12508" s="498" t="s">
        <v>44985</v>
      </c>
      <c r="C12508" s="319" t="s">
        <v>26</v>
      </c>
      <c r="D12508" s="499">
        <v>11.86</v>
      </c>
      <c r="E12508" s="373"/>
      <c r="F12508" s="373"/>
    </row>
    <row r="12509" spans="1:6" x14ac:dyDescent="0.2">
      <c r="A12509" s="319">
        <v>3876</v>
      </c>
      <c r="B12509" s="498" t="s">
        <v>44986</v>
      </c>
      <c r="C12509" s="319" t="s">
        <v>26</v>
      </c>
      <c r="D12509" s="499">
        <v>4.72</v>
      </c>
      <c r="E12509" s="373"/>
      <c r="F12509" s="373"/>
    </row>
    <row r="12510" spans="1:6" x14ac:dyDescent="0.2">
      <c r="A12510" s="319">
        <v>3883</v>
      </c>
      <c r="B12510" s="498" t="s">
        <v>44987</v>
      </c>
      <c r="C12510" s="319" t="s">
        <v>26</v>
      </c>
      <c r="D12510" s="499">
        <v>1.52</v>
      </c>
      <c r="E12510" s="373"/>
      <c r="F12510" s="373"/>
    </row>
    <row r="12511" spans="1:6" x14ac:dyDescent="0.2">
      <c r="A12511" s="319">
        <v>3884</v>
      </c>
      <c r="B12511" s="498" t="s">
        <v>44988</v>
      </c>
      <c r="C12511" s="319" t="s">
        <v>26</v>
      </c>
      <c r="D12511" s="499">
        <v>2.4</v>
      </c>
      <c r="E12511" s="373"/>
      <c r="F12511" s="373"/>
    </row>
    <row r="12512" spans="1:6" x14ac:dyDescent="0.2">
      <c r="A12512" s="319">
        <v>12892</v>
      </c>
      <c r="B12512" s="498" t="s">
        <v>44989</v>
      </c>
      <c r="C12512" s="319" t="s">
        <v>12086</v>
      </c>
      <c r="D12512" s="499">
        <v>12.59</v>
      </c>
      <c r="E12512" s="373"/>
      <c r="F12512" s="373"/>
    </row>
    <row r="12513" spans="1:6" x14ac:dyDescent="0.2">
      <c r="A12513" s="319">
        <v>38447</v>
      </c>
      <c r="B12513" s="498" t="s">
        <v>44990</v>
      </c>
      <c r="C12513" s="319" t="s">
        <v>26</v>
      </c>
      <c r="D12513" s="499"/>
      <c r="E12513" s="373"/>
      <c r="F12513" s="373"/>
    </row>
    <row r="12514" spans="1:6" x14ac:dyDescent="0.2">
      <c r="A12514" s="319">
        <v>36320</v>
      </c>
      <c r="B12514" s="498" t="s">
        <v>44991</v>
      </c>
      <c r="C12514" s="319" t="s">
        <v>26</v>
      </c>
      <c r="D12514" s="499"/>
      <c r="E12514" s="373"/>
      <c r="F12514" s="373"/>
    </row>
    <row r="12515" spans="1:6" x14ac:dyDescent="0.2">
      <c r="A12515" s="319">
        <v>36324</v>
      </c>
      <c r="B12515" s="498" t="s">
        <v>44992</v>
      </c>
      <c r="C12515" s="319" t="s">
        <v>26</v>
      </c>
      <c r="D12515" s="499"/>
      <c r="E12515" s="373"/>
      <c r="F12515" s="373"/>
    </row>
    <row r="12516" spans="1:6" x14ac:dyDescent="0.2">
      <c r="A12516" s="319">
        <v>38441</v>
      </c>
      <c r="B12516" s="498" t="s">
        <v>44993</v>
      </c>
      <c r="C12516" s="319" t="s">
        <v>26</v>
      </c>
      <c r="D12516" s="499"/>
      <c r="E12516" s="373"/>
      <c r="F12516" s="373"/>
    </row>
    <row r="12517" spans="1:6" x14ac:dyDescent="0.2">
      <c r="A12517" s="319">
        <v>38442</v>
      </c>
      <c r="B12517" s="498" t="s">
        <v>44994</v>
      </c>
      <c r="C12517" s="319" t="s">
        <v>26</v>
      </c>
      <c r="D12517" s="499"/>
      <c r="E12517" s="373"/>
      <c r="F12517" s="373"/>
    </row>
    <row r="12518" spans="1:6" x14ac:dyDescent="0.2">
      <c r="A12518" s="319">
        <v>38443</v>
      </c>
      <c r="B12518" s="498" t="s">
        <v>44995</v>
      </c>
      <c r="C12518" s="319" t="s">
        <v>26</v>
      </c>
      <c r="D12518" s="499"/>
      <c r="E12518" s="373"/>
      <c r="F12518" s="373"/>
    </row>
    <row r="12519" spans="1:6" x14ac:dyDescent="0.2">
      <c r="A12519" s="319">
        <v>38444</v>
      </c>
      <c r="B12519" s="498" t="s">
        <v>44996</v>
      </c>
      <c r="C12519" s="319" t="s">
        <v>26</v>
      </c>
      <c r="D12519" s="499"/>
      <c r="E12519" s="373"/>
      <c r="F12519" s="373"/>
    </row>
    <row r="12520" spans="1:6" x14ac:dyDescent="0.2">
      <c r="A12520" s="319">
        <v>38445</v>
      </c>
      <c r="B12520" s="498" t="s">
        <v>44997</v>
      </c>
      <c r="C12520" s="319" t="s">
        <v>26</v>
      </c>
      <c r="D12520" s="499"/>
      <c r="E12520" s="373"/>
      <c r="F12520" s="373"/>
    </row>
    <row r="12521" spans="1:6" x14ac:dyDescent="0.2">
      <c r="A12521" s="319">
        <v>38446</v>
      </c>
      <c r="B12521" s="498" t="s">
        <v>44998</v>
      </c>
      <c r="C12521" s="319" t="s">
        <v>26</v>
      </c>
      <c r="D12521" s="499"/>
      <c r="E12521" s="373"/>
      <c r="F12521" s="373"/>
    </row>
    <row r="12522" spans="1:6" x14ac:dyDescent="0.2">
      <c r="A12522" s="319">
        <v>3837</v>
      </c>
      <c r="B12522" s="498" t="s">
        <v>44999</v>
      </c>
      <c r="C12522" s="319" t="s">
        <v>26</v>
      </c>
      <c r="D12522" s="499"/>
      <c r="E12522" s="373"/>
      <c r="F12522" s="373"/>
    </row>
    <row r="12523" spans="1:6" x14ac:dyDescent="0.2">
      <c r="A12523" s="319">
        <v>3845</v>
      </c>
      <c r="B12523" s="498" t="s">
        <v>45000</v>
      </c>
      <c r="C12523" s="319" t="s">
        <v>26</v>
      </c>
      <c r="D12523" s="499"/>
      <c r="E12523" s="373"/>
      <c r="F12523" s="373"/>
    </row>
    <row r="12524" spans="1:6" x14ac:dyDescent="0.2">
      <c r="A12524" s="319">
        <v>11045</v>
      </c>
      <c r="B12524" s="498" t="s">
        <v>45001</v>
      </c>
      <c r="C12524" s="319" t="s">
        <v>26</v>
      </c>
      <c r="D12524" s="499"/>
      <c r="E12524" s="373"/>
      <c r="F12524" s="373"/>
    </row>
    <row r="12525" spans="1:6" x14ac:dyDescent="0.2">
      <c r="A12525" s="319">
        <v>20170</v>
      </c>
      <c r="B12525" s="498" t="s">
        <v>45002</v>
      </c>
      <c r="C12525" s="319" t="s">
        <v>26</v>
      </c>
      <c r="D12525" s="499">
        <v>14.55</v>
      </c>
      <c r="E12525" s="373"/>
      <c r="F12525" s="373"/>
    </row>
    <row r="12526" spans="1:6" x14ac:dyDescent="0.2">
      <c r="A12526" s="319">
        <v>20171</v>
      </c>
      <c r="B12526" s="498" t="s">
        <v>45003</v>
      </c>
      <c r="C12526" s="319" t="s">
        <v>26</v>
      </c>
      <c r="D12526" s="499">
        <v>41.97</v>
      </c>
      <c r="E12526" s="373"/>
      <c r="F12526" s="373"/>
    </row>
    <row r="12527" spans="1:6" x14ac:dyDescent="0.2">
      <c r="A12527" s="319">
        <v>20167</v>
      </c>
      <c r="B12527" s="498" t="s">
        <v>45004</v>
      </c>
      <c r="C12527" s="319" t="s">
        <v>26</v>
      </c>
      <c r="D12527" s="499">
        <v>5.28</v>
      </c>
      <c r="E12527" s="373"/>
      <c r="F12527" s="373"/>
    </row>
    <row r="12528" spans="1:6" x14ac:dyDescent="0.2">
      <c r="A12528" s="319">
        <v>20168</v>
      </c>
      <c r="B12528" s="498" t="s">
        <v>45005</v>
      </c>
      <c r="C12528" s="319" t="s">
        <v>26</v>
      </c>
      <c r="D12528" s="499">
        <v>10.86</v>
      </c>
      <c r="E12528" s="373"/>
      <c r="F12528" s="373"/>
    </row>
    <row r="12529" spans="1:6" x14ac:dyDescent="0.2">
      <c r="A12529" s="319">
        <v>20169</v>
      </c>
      <c r="B12529" s="498" t="s">
        <v>45006</v>
      </c>
      <c r="C12529" s="319" t="s">
        <v>26</v>
      </c>
      <c r="D12529" s="499">
        <v>12.68</v>
      </c>
      <c r="E12529" s="373"/>
      <c r="F12529" s="373"/>
    </row>
    <row r="12530" spans="1:6" ht="25.5" x14ac:dyDescent="0.2">
      <c r="A12530" s="319">
        <v>3899</v>
      </c>
      <c r="B12530" s="498" t="s">
        <v>45007</v>
      </c>
      <c r="C12530" s="319" t="s">
        <v>26</v>
      </c>
      <c r="D12530" s="499">
        <v>7.03</v>
      </c>
      <c r="E12530" s="373"/>
      <c r="F12530" s="373"/>
    </row>
    <row r="12531" spans="1:6" ht="25.5" x14ac:dyDescent="0.2">
      <c r="A12531" s="319">
        <v>38676</v>
      </c>
      <c r="B12531" s="498" t="s">
        <v>45008</v>
      </c>
      <c r="C12531" s="319" t="s">
        <v>26</v>
      </c>
      <c r="D12531" s="499">
        <v>35.17</v>
      </c>
      <c r="E12531" s="373"/>
      <c r="F12531" s="373"/>
    </row>
    <row r="12532" spans="1:6" ht="25.5" x14ac:dyDescent="0.2">
      <c r="A12532" s="319">
        <v>3897</v>
      </c>
      <c r="B12532" s="498" t="s">
        <v>45009</v>
      </c>
      <c r="C12532" s="319" t="s">
        <v>26</v>
      </c>
      <c r="D12532" s="499">
        <v>1.72</v>
      </c>
      <c r="E12532" s="373"/>
      <c r="F12532" s="373"/>
    </row>
    <row r="12533" spans="1:6" ht="25.5" x14ac:dyDescent="0.2">
      <c r="A12533" s="319">
        <v>3875</v>
      </c>
      <c r="B12533" s="498" t="s">
        <v>45010</v>
      </c>
      <c r="C12533" s="319" t="s">
        <v>26</v>
      </c>
      <c r="D12533" s="499">
        <v>3.54</v>
      </c>
      <c r="E12533" s="373"/>
      <c r="F12533" s="373"/>
    </row>
    <row r="12534" spans="1:6" ht="25.5" x14ac:dyDescent="0.2">
      <c r="A12534" s="319">
        <v>3898</v>
      </c>
      <c r="B12534" s="498" t="s">
        <v>45011</v>
      </c>
      <c r="C12534" s="319" t="s">
        <v>26</v>
      </c>
      <c r="D12534" s="499">
        <v>7.19</v>
      </c>
      <c r="E12534" s="373"/>
      <c r="F12534" s="373"/>
    </row>
    <row r="12535" spans="1:6" x14ac:dyDescent="0.2">
      <c r="A12535" s="319">
        <v>3855</v>
      </c>
      <c r="B12535" s="498" t="s">
        <v>45012</v>
      </c>
      <c r="C12535" s="319" t="s">
        <v>26</v>
      </c>
      <c r="D12535" s="499">
        <v>5.12</v>
      </c>
      <c r="E12535" s="373"/>
      <c r="F12535" s="373"/>
    </row>
    <row r="12536" spans="1:6" x14ac:dyDescent="0.2">
      <c r="A12536" s="319">
        <v>3874</v>
      </c>
      <c r="B12536" s="498" t="s">
        <v>45013</v>
      </c>
      <c r="C12536" s="319" t="s">
        <v>26</v>
      </c>
      <c r="D12536" s="499">
        <v>5.94</v>
      </c>
      <c r="E12536" s="373"/>
      <c r="F12536" s="373"/>
    </row>
    <row r="12537" spans="1:6" x14ac:dyDescent="0.2">
      <c r="A12537" s="319">
        <v>3870</v>
      </c>
      <c r="B12537" s="498" t="s">
        <v>45014</v>
      </c>
      <c r="C12537" s="319" t="s">
        <v>26</v>
      </c>
      <c r="D12537" s="499">
        <v>6.51</v>
      </c>
      <c r="E12537" s="373"/>
      <c r="F12537" s="373"/>
    </row>
    <row r="12538" spans="1:6" x14ac:dyDescent="0.2">
      <c r="A12538" s="319">
        <v>38678</v>
      </c>
      <c r="B12538" s="498" t="s">
        <v>45015</v>
      </c>
      <c r="C12538" s="319" t="s">
        <v>26</v>
      </c>
      <c r="D12538" s="499">
        <v>17.239999999999998</v>
      </c>
      <c r="E12538" s="373"/>
      <c r="F12538" s="373"/>
    </row>
    <row r="12539" spans="1:6" x14ac:dyDescent="0.2">
      <c r="A12539" s="319">
        <v>3859</v>
      </c>
      <c r="B12539" s="498" t="s">
        <v>45016</v>
      </c>
      <c r="C12539" s="319" t="s">
        <v>26</v>
      </c>
      <c r="D12539" s="499">
        <v>1.31</v>
      </c>
      <c r="E12539" s="373"/>
      <c r="F12539" s="373"/>
    </row>
    <row r="12540" spans="1:6" x14ac:dyDescent="0.2">
      <c r="A12540" s="319">
        <v>3856</v>
      </c>
      <c r="B12540" s="498" t="s">
        <v>45017</v>
      </c>
      <c r="C12540" s="319" t="s">
        <v>26</v>
      </c>
      <c r="D12540" s="499">
        <v>1.82</v>
      </c>
      <c r="E12540" s="373"/>
      <c r="F12540" s="373"/>
    </row>
    <row r="12541" spans="1:6" x14ac:dyDescent="0.2">
      <c r="A12541" s="319">
        <v>3906</v>
      </c>
      <c r="B12541" s="498" t="s">
        <v>45018</v>
      </c>
      <c r="C12541" s="319" t="s">
        <v>26</v>
      </c>
      <c r="D12541" s="499">
        <v>1.5</v>
      </c>
      <c r="E12541" s="373"/>
      <c r="F12541" s="373"/>
    </row>
    <row r="12542" spans="1:6" x14ac:dyDescent="0.2">
      <c r="A12542" s="319">
        <v>3860</v>
      </c>
      <c r="B12542" s="498" t="s">
        <v>45019</v>
      </c>
      <c r="C12542" s="319" t="s">
        <v>26</v>
      </c>
      <c r="D12542" s="499">
        <v>4.47</v>
      </c>
      <c r="E12542" s="373"/>
      <c r="F12542" s="373"/>
    </row>
    <row r="12543" spans="1:6" x14ac:dyDescent="0.2">
      <c r="A12543" s="319">
        <v>3905</v>
      </c>
      <c r="B12543" s="498" t="s">
        <v>45020</v>
      </c>
      <c r="C12543" s="319" t="s">
        <v>26</v>
      </c>
      <c r="D12543" s="499">
        <v>10.24</v>
      </c>
      <c r="E12543" s="373"/>
      <c r="F12543" s="373"/>
    </row>
    <row r="12544" spans="1:6" x14ac:dyDescent="0.2">
      <c r="A12544" s="319">
        <v>3871</v>
      </c>
      <c r="B12544" s="498" t="s">
        <v>45021</v>
      </c>
      <c r="C12544" s="319" t="s">
        <v>26</v>
      </c>
      <c r="D12544" s="499">
        <v>18.12</v>
      </c>
      <c r="E12544" s="373"/>
      <c r="F12544" s="373"/>
    </row>
    <row r="12545" spans="1:6" x14ac:dyDescent="0.2">
      <c r="A12545" s="319">
        <v>37427</v>
      </c>
      <c r="B12545" s="498" t="s">
        <v>45022</v>
      </c>
      <c r="C12545" s="319" t="s">
        <v>26</v>
      </c>
      <c r="D12545" s="499"/>
      <c r="E12545" s="373"/>
      <c r="F12545" s="373"/>
    </row>
    <row r="12546" spans="1:6" x14ac:dyDescent="0.2">
      <c r="A12546" s="319">
        <v>37424</v>
      </c>
      <c r="B12546" s="498" t="s">
        <v>45023</v>
      </c>
      <c r="C12546" s="319" t="s">
        <v>26</v>
      </c>
      <c r="D12546" s="499"/>
      <c r="E12546" s="373"/>
      <c r="F12546" s="373"/>
    </row>
    <row r="12547" spans="1:6" x14ac:dyDescent="0.2">
      <c r="A12547" s="319">
        <v>37428</v>
      </c>
      <c r="B12547" s="498" t="s">
        <v>45024</v>
      </c>
      <c r="C12547" s="319" t="s">
        <v>26</v>
      </c>
      <c r="D12547" s="499"/>
      <c r="E12547" s="373"/>
      <c r="F12547" s="373"/>
    </row>
    <row r="12548" spans="1:6" x14ac:dyDescent="0.2">
      <c r="A12548" s="319">
        <v>37425</v>
      </c>
      <c r="B12548" s="498" t="s">
        <v>45025</v>
      </c>
      <c r="C12548" s="319" t="s">
        <v>26</v>
      </c>
      <c r="D12548" s="499"/>
      <c r="E12548" s="373"/>
      <c r="F12548" s="373"/>
    </row>
    <row r="12549" spans="1:6" x14ac:dyDescent="0.2">
      <c r="A12549" s="319">
        <v>37429</v>
      </c>
      <c r="B12549" s="498" t="s">
        <v>45026</v>
      </c>
      <c r="C12549" s="319" t="s">
        <v>26</v>
      </c>
      <c r="D12549" s="499"/>
      <c r="E12549" s="373"/>
      <c r="F12549" s="373"/>
    </row>
    <row r="12550" spans="1:6" x14ac:dyDescent="0.2">
      <c r="A12550" s="319">
        <v>37426</v>
      </c>
      <c r="B12550" s="498" t="s">
        <v>45027</v>
      </c>
      <c r="C12550" s="319" t="s">
        <v>26</v>
      </c>
      <c r="D12550" s="499"/>
      <c r="E12550" s="373"/>
      <c r="F12550" s="373"/>
    </row>
    <row r="12551" spans="1:6" ht="25.5" x14ac:dyDescent="0.2">
      <c r="A12551" s="319">
        <v>39292</v>
      </c>
      <c r="B12551" s="498" t="s">
        <v>45028</v>
      </c>
      <c r="C12551" s="319" t="s">
        <v>26</v>
      </c>
      <c r="D12551" s="499"/>
      <c r="E12551" s="373"/>
      <c r="F12551" s="373"/>
    </row>
    <row r="12552" spans="1:6" ht="25.5" x14ac:dyDescent="0.2">
      <c r="A12552" s="319">
        <v>39293</v>
      </c>
      <c r="B12552" s="498" t="s">
        <v>45029</v>
      </c>
      <c r="C12552" s="319" t="s">
        <v>26</v>
      </c>
      <c r="D12552" s="499"/>
      <c r="E12552" s="373"/>
      <c r="F12552" s="373"/>
    </row>
    <row r="12553" spans="1:6" ht="25.5" x14ac:dyDescent="0.2">
      <c r="A12553" s="319">
        <v>39294</v>
      </c>
      <c r="B12553" s="498" t="s">
        <v>45030</v>
      </c>
      <c r="C12553" s="319" t="s">
        <v>26</v>
      </c>
      <c r="D12553" s="499"/>
      <c r="E12553" s="373"/>
      <c r="F12553" s="373"/>
    </row>
    <row r="12554" spans="1:6" ht="25.5" x14ac:dyDescent="0.2">
      <c r="A12554" s="319">
        <v>39295</v>
      </c>
      <c r="B12554" s="498" t="s">
        <v>45031</v>
      </c>
      <c r="C12554" s="319" t="s">
        <v>26</v>
      </c>
      <c r="D12554" s="499"/>
      <c r="E12554" s="373"/>
      <c r="F12554" s="373"/>
    </row>
    <row r="12555" spans="1:6" ht="25.5" x14ac:dyDescent="0.2">
      <c r="A12555" s="319">
        <v>39312</v>
      </c>
      <c r="B12555" s="498" t="s">
        <v>45032</v>
      </c>
      <c r="C12555" s="319" t="s">
        <v>26</v>
      </c>
      <c r="D12555" s="499"/>
      <c r="E12555" s="373"/>
      <c r="F12555" s="373"/>
    </row>
    <row r="12556" spans="1:6" ht="25.5" x14ac:dyDescent="0.2">
      <c r="A12556" s="319">
        <v>39313</v>
      </c>
      <c r="B12556" s="498" t="s">
        <v>45033</v>
      </c>
      <c r="C12556" s="319" t="s">
        <v>26</v>
      </c>
      <c r="D12556" s="499"/>
      <c r="E12556" s="373"/>
      <c r="F12556" s="373"/>
    </row>
    <row r="12557" spans="1:6" ht="25.5" x14ac:dyDescent="0.2">
      <c r="A12557" s="319">
        <v>39314</v>
      </c>
      <c r="B12557" s="498" t="s">
        <v>45034</v>
      </c>
      <c r="C12557" s="319" t="s">
        <v>26</v>
      </c>
      <c r="D12557" s="499"/>
      <c r="E12557" s="373"/>
      <c r="F12557" s="373"/>
    </row>
    <row r="12558" spans="1:6" ht="25.5" x14ac:dyDescent="0.2">
      <c r="A12558" s="319">
        <v>39296</v>
      </c>
      <c r="B12558" s="498" t="s">
        <v>45035</v>
      </c>
      <c r="C12558" s="319" t="s">
        <v>26</v>
      </c>
      <c r="D12558" s="499"/>
      <c r="E12558" s="373"/>
      <c r="F12558" s="373"/>
    </row>
    <row r="12559" spans="1:6" ht="25.5" x14ac:dyDescent="0.2">
      <c r="A12559" s="319">
        <v>39297</v>
      </c>
      <c r="B12559" s="498" t="s">
        <v>45036</v>
      </c>
      <c r="C12559" s="319" t="s">
        <v>26</v>
      </c>
      <c r="D12559" s="499"/>
      <c r="E12559" s="373"/>
      <c r="F12559" s="373"/>
    </row>
    <row r="12560" spans="1:6" ht="25.5" x14ac:dyDescent="0.2">
      <c r="A12560" s="319">
        <v>39298</v>
      </c>
      <c r="B12560" s="498" t="s">
        <v>45037</v>
      </c>
      <c r="C12560" s="319" t="s">
        <v>26</v>
      </c>
      <c r="D12560" s="499"/>
      <c r="E12560" s="373"/>
      <c r="F12560" s="373"/>
    </row>
    <row r="12561" spans="1:4" ht="25.5" x14ac:dyDescent="0.2">
      <c r="A12561" s="319">
        <v>39299</v>
      </c>
      <c r="B12561" s="498" t="s">
        <v>45038</v>
      </c>
      <c r="C12561" s="319" t="s">
        <v>26</v>
      </c>
      <c r="D12561" s="499"/>
    </row>
    <row r="12562" spans="1:4" ht="25.5" x14ac:dyDescent="0.2">
      <c r="A12562" s="319">
        <v>39308</v>
      </c>
      <c r="B12562" s="498" t="s">
        <v>45039</v>
      </c>
      <c r="C12562" s="319" t="s">
        <v>26</v>
      </c>
      <c r="D12562" s="499"/>
    </row>
    <row r="12563" spans="1:4" ht="25.5" x14ac:dyDescent="0.2">
      <c r="A12563" s="319">
        <v>39309</v>
      </c>
      <c r="B12563" s="498" t="s">
        <v>45040</v>
      </c>
      <c r="C12563" s="319" t="s">
        <v>26</v>
      </c>
      <c r="D12563" s="499"/>
    </row>
    <row r="12564" spans="1:4" ht="25.5" x14ac:dyDescent="0.2">
      <c r="A12564" s="319">
        <v>39310</v>
      </c>
      <c r="B12564" s="498" t="s">
        <v>45041</v>
      </c>
      <c r="C12564" s="319" t="s">
        <v>26</v>
      </c>
      <c r="D12564" s="499"/>
    </row>
    <row r="12565" spans="1:4" ht="25.5" x14ac:dyDescent="0.2">
      <c r="A12565" s="319">
        <v>39311</v>
      </c>
      <c r="B12565" s="498" t="s">
        <v>45042</v>
      </c>
      <c r="C12565" s="319" t="s">
        <v>26</v>
      </c>
      <c r="D12565" s="499"/>
    </row>
    <row r="12566" spans="1:4" ht="25.5" x14ac:dyDescent="0.2">
      <c r="A12566" s="319">
        <v>45261</v>
      </c>
      <c r="B12566" s="498" t="s">
        <v>48303</v>
      </c>
      <c r="C12566" s="319" t="s">
        <v>12086</v>
      </c>
      <c r="D12566" s="499">
        <v>21.98</v>
      </c>
    </row>
    <row r="12567" spans="1:4" ht="25.5" x14ac:dyDescent="0.2">
      <c r="A12567" s="319">
        <v>11519</v>
      </c>
      <c r="B12567" s="498" t="s">
        <v>45043</v>
      </c>
      <c r="C12567" s="319" t="s">
        <v>12086</v>
      </c>
      <c r="D12567" s="499">
        <v>47.9</v>
      </c>
    </row>
    <row r="12568" spans="1:4" ht="25.5" x14ac:dyDescent="0.2">
      <c r="A12568" s="319">
        <v>11520</v>
      </c>
      <c r="B12568" s="498" t="s">
        <v>45044</v>
      </c>
      <c r="C12568" s="319" t="s">
        <v>12086</v>
      </c>
      <c r="D12568" s="499">
        <v>22.14</v>
      </c>
    </row>
    <row r="12569" spans="1:4" ht="25.5" x14ac:dyDescent="0.2">
      <c r="A12569" s="319">
        <v>11518</v>
      </c>
      <c r="B12569" s="498" t="s">
        <v>45045</v>
      </c>
      <c r="C12569" s="319" t="s">
        <v>12086</v>
      </c>
      <c r="D12569" s="499">
        <v>80.510000000000005</v>
      </c>
    </row>
    <row r="12570" spans="1:4" x14ac:dyDescent="0.2">
      <c r="A12570" s="319">
        <v>38473</v>
      </c>
      <c r="B12570" s="498" t="s">
        <v>45046</v>
      </c>
      <c r="C12570" s="319" t="s">
        <v>26</v>
      </c>
      <c r="D12570" s="499">
        <v>283.13</v>
      </c>
    </row>
    <row r="12571" spans="1:4" x14ac:dyDescent="0.2">
      <c r="A12571" s="319">
        <v>4244</v>
      </c>
      <c r="B12571" s="498" t="s">
        <v>45047</v>
      </c>
      <c r="C12571" s="319" t="s">
        <v>558</v>
      </c>
      <c r="D12571" s="499">
        <v>17.829999999999998</v>
      </c>
    </row>
    <row r="12572" spans="1:4" x14ac:dyDescent="0.2">
      <c r="A12572" s="319">
        <v>40977</v>
      </c>
      <c r="B12572" s="498" t="s">
        <v>45048</v>
      </c>
      <c r="C12572" s="319" t="s">
        <v>5681</v>
      </c>
      <c r="D12572" s="499">
        <v>3134</v>
      </c>
    </row>
    <row r="12573" spans="1:4" ht="25.5" x14ac:dyDescent="0.2">
      <c r="A12573" s="319">
        <v>4115</v>
      </c>
      <c r="B12573" s="498" t="s">
        <v>45049</v>
      </c>
      <c r="C12573" s="319" t="s">
        <v>0</v>
      </c>
      <c r="D12573" s="499"/>
    </row>
    <row r="12574" spans="1:4" ht="25.5" x14ac:dyDescent="0.2">
      <c r="A12574" s="319">
        <v>4119</v>
      </c>
      <c r="B12574" s="498" t="s">
        <v>45050</v>
      </c>
      <c r="C12574" s="319" t="s">
        <v>0</v>
      </c>
      <c r="D12574" s="499"/>
    </row>
    <row r="12575" spans="1:4" ht="25.5" x14ac:dyDescent="0.2">
      <c r="A12575" s="319">
        <v>2794</v>
      </c>
      <c r="B12575" s="498" t="s">
        <v>45051</v>
      </c>
      <c r="C12575" s="319" t="s">
        <v>0</v>
      </c>
      <c r="D12575" s="499"/>
    </row>
    <row r="12576" spans="1:4" ht="25.5" x14ac:dyDescent="0.2">
      <c r="A12576" s="319">
        <v>2788</v>
      </c>
      <c r="B12576" s="498" t="s">
        <v>45052</v>
      </c>
      <c r="C12576" s="319" t="s">
        <v>0</v>
      </c>
      <c r="D12576" s="499"/>
    </row>
    <row r="12577" spans="1:4" x14ac:dyDescent="0.2">
      <c r="A12577" s="319">
        <v>4006</v>
      </c>
      <c r="B12577" s="498" t="s">
        <v>45053</v>
      </c>
      <c r="C12577" s="319" t="s">
        <v>271</v>
      </c>
      <c r="D12577" s="499">
        <v>2579.09</v>
      </c>
    </row>
    <row r="12578" spans="1:4" x14ac:dyDescent="0.2">
      <c r="A12578" s="319">
        <v>45395</v>
      </c>
      <c r="B12578" s="498" t="s">
        <v>45054</v>
      </c>
      <c r="C12578" s="319" t="s">
        <v>12086</v>
      </c>
      <c r="D12578" s="499">
        <v>33.340000000000003</v>
      </c>
    </row>
    <row r="12579" spans="1:4" ht="25.5" x14ac:dyDescent="0.2">
      <c r="A12579" s="319">
        <v>37461</v>
      </c>
      <c r="B12579" s="498" t="s">
        <v>45055</v>
      </c>
      <c r="C12579" s="319" t="s">
        <v>0</v>
      </c>
      <c r="D12579" s="499"/>
    </row>
    <row r="12580" spans="1:4" ht="25.5" x14ac:dyDescent="0.2">
      <c r="A12580" s="319">
        <v>37460</v>
      </c>
      <c r="B12580" s="498" t="s">
        <v>45056</v>
      </c>
      <c r="C12580" s="319" t="s">
        <v>0</v>
      </c>
      <c r="D12580" s="499"/>
    </row>
    <row r="12581" spans="1:4" x14ac:dyDescent="0.2">
      <c r="A12581" s="319">
        <v>37458</v>
      </c>
      <c r="B12581" s="498" t="s">
        <v>45057</v>
      </c>
      <c r="C12581" s="319" t="s">
        <v>0</v>
      </c>
      <c r="D12581" s="499"/>
    </row>
    <row r="12582" spans="1:4" x14ac:dyDescent="0.2">
      <c r="A12582" s="319">
        <v>37454</v>
      </c>
      <c r="B12582" s="498" t="s">
        <v>45058</v>
      </c>
      <c r="C12582" s="319" t="s">
        <v>0</v>
      </c>
      <c r="D12582" s="499"/>
    </row>
    <row r="12583" spans="1:4" x14ac:dyDescent="0.2">
      <c r="A12583" s="319">
        <v>37455</v>
      </c>
      <c r="B12583" s="498" t="s">
        <v>45059</v>
      </c>
      <c r="C12583" s="319" t="s">
        <v>0</v>
      </c>
      <c r="D12583" s="499"/>
    </row>
    <row r="12584" spans="1:4" x14ac:dyDescent="0.2">
      <c r="A12584" s="319">
        <v>37459</v>
      </c>
      <c r="B12584" s="498" t="s">
        <v>45060</v>
      </c>
      <c r="C12584" s="319" t="s">
        <v>0</v>
      </c>
      <c r="D12584" s="499"/>
    </row>
    <row r="12585" spans="1:4" x14ac:dyDescent="0.2">
      <c r="A12585" s="319">
        <v>37457</v>
      </c>
      <c r="B12585" s="498" t="s">
        <v>45061</v>
      </c>
      <c r="C12585" s="319" t="s">
        <v>0</v>
      </c>
      <c r="D12585" s="499"/>
    </row>
    <row r="12586" spans="1:4" x14ac:dyDescent="0.2">
      <c r="A12586" s="319">
        <v>37456</v>
      </c>
      <c r="B12586" s="498" t="s">
        <v>45062</v>
      </c>
      <c r="C12586" s="319" t="s">
        <v>0</v>
      </c>
      <c r="D12586" s="499"/>
    </row>
    <row r="12587" spans="1:4" ht="38.25" x14ac:dyDescent="0.2">
      <c r="A12587" s="319">
        <v>21029</v>
      </c>
      <c r="B12587" s="498" t="s">
        <v>45063</v>
      </c>
      <c r="C12587" s="319" t="s">
        <v>26</v>
      </c>
      <c r="D12587" s="499">
        <v>437.5</v>
      </c>
    </row>
    <row r="12588" spans="1:4" ht="38.25" x14ac:dyDescent="0.2">
      <c r="A12588" s="319">
        <v>21030</v>
      </c>
      <c r="B12588" s="498" t="s">
        <v>45064</v>
      </c>
      <c r="C12588" s="319" t="s">
        <v>26</v>
      </c>
      <c r="D12588" s="499">
        <v>539.29</v>
      </c>
    </row>
    <row r="12589" spans="1:4" ht="38.25" x14ac:dyDescent="0.2">
      <c r="A12589" s="319">
        <v>21031</v>
      </c>
      <c r="B12589" s="498" t="s">
        <v>45065</v>
      </c>
      <c r="C12589" s="319" t="s">
        <v>26</v>
      </c>
      <c r="D12589" s="499">
        <v>671.41</v>
      </c>
    </row>
    <row r="12590" spans="1:4" ht="38.25" x14ac:dyDescent="0.2">
      <c r="A12590" s="319">
        <v>21032</v>
      </c>
      <c r="B12590" s="498" t="s">
        <v>45066</v>
      </c>
      <c r="C12590" s="319" t="s">
        <v>26</v>
      </c>
      <c r="D12590" s="499">
        <v>716.89</v>
      </c>
    </row>
    <row r="12591" spans="1:4" ht="38.25" x14ac:dyDescent="0.2">
      <c r="A12591" s="319">
        <v>37527</v>
      </c>
      <c r="B12591" s="498" t="s">
        <v>45067</v>
      </c>
      <c r="C12591" s="319" t="s">
        <v>26</v>
      </c>
      <c r="D12591" s="499">
        <v>647.58000000000004</v>
      </c>
    </row>
    <row r="12592" spans="1:4" ht="25.5" x14ac:dyDescent="0.2">
      <c r="A12592" s="319">
        <v>37528</v>
      </c>
      <c r="B12592" s="498" t="s">
        <v>45068</v>
      </c>
      <c r="C12592" s="319" t="s">
        <v>26</v>
      </c>
      <c r="D12592" s="499">
        <v>772.12</v>
      </c>
    </row>
    <row r="12593" spans="1:4" ht="25.5" x14ac:dyDescent="0.2">
      <c r="A12593" s="319">
        <v>37529</v>
      </c>
      <c r="B12593" s="498" t="s">
        <v>45069</v>
      </c>
      <c r="C12593" s="319" t="s">
        <v>26</v>
      </c>
      <c r="D12593" s="499">
        <v>779.7</v>
      </c>
    </row>
    <row r="12594" spans="1:4" ht="25.5" x14ac:dyDescent="0.2">
      <c r="A12594" s="319">
        <v>37530</v>
      </c>
      <c r="B12594" s="498" t="s">
        <v>45070</v>
      </c>
      <c r="C12594" s="319" t="s">
        <v>26</v>
      </c>
      <c r="D12594" s="499">
        <v>1017.94</v>
      </c>
    </row>
    <row r="12595" spans="1:4" ht="38.25" x14ac:dyDescent="0.2">
      <c r="A12595" s="319">
        <v>21034</v>
      </c>
      <c r="B12595" s="498" t="s">
        <v>45071</v>
      </c>
      <c r="C12595" s="319" t="s">
        <v>26</v>
      </c>
      <c r="D12595" s="499">
        <v>868.5</v>
      </c>
    </row>
    <row r="12596" spans="1:4" ht="25.5" x14ac:dyDescent="0.2">
      <c r="A12596" s="319">
        <v>37531</v>
      </c>
      <c r="B12596" s="498" t="s">
        <v>45072</v>
      </c>
      <c r="C12596" s="319" t="s">
        <v>26</v>
      </c>
      <c r="D12596" s="499">
        <v>1093.75</v>
      </c>
    </row>
    <row r="12597" spans="1:4" ht="38.25" x14ac:dyDescent="0.2">
      <c r="A12597" s="319">
        <v>21036</v>
      </c>
      <c r="B12597" s="498" t="s">
        <v>45073</v>
      </c>
      <c r="C12597" s="319" t="s">
        <v>26</v>
      </c>
      <c r="D12597" s="499">
        <v>1329.82</v>
      </c>
    </row>
    <row r="12598" spans="1:4" ht="38.25" x14ac:dyDescent="0.2">
      <c r="A12598" s="319">
        <v>21037</v>
      </c>
      <c r="B12598" s="498" t="s">
        <v>45074</v>
      </c>
      <c r="C12598" s="319" t="s">
        <v>26</v>
      </c>
      <c r="D12598" s="499">
        <v>1516.08</v>
      </c>
    </row>
    <row r="12599" spans="1:4" ht="25.5" x14ac:dyDescent="0.2">
      <c r="A12599" s="319">
        <v>20185</v>
      </c>
      <c r="B12599" s="498" t="s">
        <v>45075</v>
      </c>
      <c r="C12599" s="319" t="s">
        <v>0</v>
      </c>
      <c r="D12599" s="499"/>
    </row>
    <row r="12600" spans="1:4" ht="25.5" x14ac:dyDescent="0.2">
      <c r="A12600" s="319">
        <v>44909</v>
      </c>
      <c r="B12600" s="498" t="s">
        <v>48304</v>
      </c>
      <c r="C12600" s="319" t="s">
        <v>0</v>
      </c>
      <c r="D12600" s="499"/>
    </row>
    <row r="12601" spans="1:4" ht="25.5" x14ac:dyDescent="0.2">
      <c r="A12601" s="319">
        <v>44115</v>
      </c>
      <c r="B12601" s="498" t="s">
        <v>48305</v>
      </c>
      <c r="C12601" s="319" t="s">
        <v>0</v>
      </c>
      <c r="D12601" s="499"/>
    </row>
    <row r="12602" spans="1:4" ht="25.5" x14ac:dyDescent="0.2">
      <c r="A12602" s="319">
        <v>44333</v>
      </c>
      <c r="B12602" s="498" t="s">
        <v>48306</v>
      </c>
      <c r="C12602" s="319" t="s">
        <v>0</v>
      </c>
      <c r="D12602" s="499"/>
    </row>
    <row r="12603" spans="1:4" ht="25.5" x14ac:dyDescent="0.2">
      <c r="A12603" s="319">
        <v>44907</v>
      </c>
      <c r="B12603" s="498" t="s">
        <v>48307</v>
      </c>
      <c r="C12603" s="319" t="s">
        <v>0</v>
      </c>
      <c r="D12603" s="499"/>
    </row>
    <row r="12604" spans="1:4" ht="25.5" x14ac:dyDescent="0.2">
      <c r="A12604" s="319">
        <v>20260</v>
      </c>
      <c r="B12604" s="498" t="s">
        <v>45076</v>
      </c>
      <c r="C12604" s="319" t="s">
        <v>26</v>
      </c>
      <c r="D12604" s="499"/>
    </row>
    <row r="12605" spans="1:4" ht="25.5" x14ac:dyDescent="0.2">
      <c r="A12605" s="319">
        <v>37523</v>
      </c>
      <c r="B12605" s="498" t="s">
        <v>45077</v>
      </c>
      <c r="C12605" s="319" t="s">
        <v>26</v>
      </c>
      <c r="D12605" s="499"/>
    </row>
    <row r="12606" spans="1:4" ht="25.5" x14ac:dyDescent="0.2">
      <c r="A12606" s="319">
        <v>37515</v>
      </c>
      <c r="B12606" s="498" t="s">
        <v>45078</v>
      </c>
      <c r="C12606" s="319" t="s">
        <v>26</v>
      </c>
      <c r="D12606" s="499"/>
    </row>
    <row r="12607" spans="1:4" ht="25.5" x14ac:dyDescent="0.2">
      <c r="A12607" s="319">
        <v>12899</v>
      </c>
      <c r="B12607" s="498" t="s">
        <v>45079</v>
      </c>
      <c r="C12607" s="319" t="s">
        <v>26</v>
      </c>
      <c r="D12607" s="499"/>
    </row>
    <row r="12608" spans="1:4" ht="25.5" x14ac:dyDescent="0.2">
      <c r="A12608" s="319">
        <v>12898</v>
      </c>
      <c r="B12608" s="498" t="s">
        <v>45080</v>
      </c>
      <c r="C12608" s="319" t="s">
        <v>26</v>
      </c>
      <c r="D12608" s="499"/>
    </row>
    <row r="12609" spans="1:4" x14ac:dyDescent="0.2">
      <c r="A12609" s="319">
        <v>39699</v>
      </c>
      <c r="B12609" s="498" t="s">
        <v>45081</v>
      </c>
      <c r="C12609" s="319" t="s">
        <v>255</v>
      </c>
      <c r="D12609" s="499">
        <v>16.5</v>
      </c>
    </row>
    <row r="12610" spans="1:4" x14ac:dyDescent="0.2">
      <c r="A12610" s="319">
        <v>39696</v>
      </c>
      <c r="B12610" s="498" t="s">
        <v>45082</v>
      </c>
      <c r="C12610" s="319" t="s">
        <v>255</v>
      </c>
      <c r="D12610" s="499"/>
    </row>
    <row r="12611" spans="1:4" x14ac:dyDescent="0.2">
      <c r="A12611" s="319">
        <v>42528</v>
      </c>
      <c r="B12611" s="498" t="s">
        <v>48308</v>
      </c>
      <c r="C12611" s="319" t="s">
        <v>255</v>
      </c>
      <c r="D12611" s="499"/>
    </row>
    <row r="12612" spans="1:4" x14ac:dyDescent="0.2">
      <c r="A12612" s="319">
        <v>39700</v>
      </c>
      <c r="B12612" s="498" t="s">
        <v>45083</v>
      </c>
      <c r="C12612" s="319" t="s">
        <v>255</v>
      </c>
      <c r="D12612" s="499"/>
    </row>
    <row r="12613" spans="1:4" ht="25.5" x14ac:dyDescent="0.2">
      <c r="A12613" s="319">
        <v>4014</v>
      </c>
      <c r="B12613" s="498" t="s">
        <v>45084</v>
      </c>
      <c r="C12613" s="319" t="s">
        <v>255</v>
      </c>
      <c r="D12613" s="499"/>
    </row>
    <row r="12614" spans="1:4" ht="25.5" x14ac:dyDescent="0.2">
      <c r="A12614" s="319">
        <v>4015</v>
      </c>
      <c r="B12614" s="498" t="s">
        <v>45085</v>
      </c>
      <c r="C12614" s="319" t="s">
        <v>255</v>
      </c>
      <c r="D12614" s="499"/>
    </row>
    <row r="12615" spans="1:4" ht="25.5" x14ac:dyDescent="0.2">
      <c r="A12615" s="319">
        <v>4017</v>
      </c>
      <c r="B12615" s="498" t="s">
        <v>45086</v>
      </c>
      <c r="C12615" s="319" t="s">
        <v>255</v>
      </c>
      <c r="D12615" s="499"/>
    </row>
    <row r="12616" spans="1:4" ht="25.5" x14ac:dyDescent="0.2">
      <c r="A12616" s="319">
        <v>11621</v>
      </c>
      <c r="B12616" s="498" t="s">
        <v>45087</v>
      </c>
      <c r="C12616" s="319" t="s">
        <v>255</v>
      </c>
      <c r="D12616" s="499"/>
    </row>
    <row r="12617" spans="1:4" ht="25.5" x14ac:dyDescent="0.2">
      <c r="A12617" s="319">
        <v>4016</v>
      </c>
      <c r="B12617" s="498" t="s">
        <v>45088</v>
      </c>
      <c r="C12617" s="319" t="s">
        <v>255</v>
      </c>
      <c r="D12617" s="499"/>
    </row>
    <row r="12618" spans="1:4" x14ac:dyDescent="0.2">
      <c r="A12618" s="319">
        <v>38544</v>
      </c>
      <c r="B12618" s="498" t="s">
        <v>45089</v>
      </c>
      <c r="C12618" s="319" t="s">
        <v>255</v>
      </c>
      <c r="D12618" s="499"/>
    </row>
    <row r="12619" spans="1:4" x14ac:dyDescent="0.2">
      <c r="A12619" s="319">
        <v>38545</v>
      </c>
      <c r="B12619" s="498" t="s">
        <v>45090</v>
      </c>
      <c r="C12619" s="319" t="s">
        <v>255</v>
      </c>
      <c r="D12619" s="499"/>
    </row>
    <row r="12620" spans="1:4" ht="25.5" x14ac:dyDescent="0.2">
      <c r="A12620" s="319">
        <v>42527</v>
      </c>
      <c r="B12620" s="498" t="s">
        <v>45091</v>
      </c>
      <c r="C12620" s="319" t="s">
        <v>255</v>
      </c>
      <c r="D12620" s="499"/>
    </row>
    <row r="12621" spans="1:4" ht="25.5" x14ac:dyDescent="0.2">
      <c r="A12621" s="319">
        <v>39323</v>
      </c>
      <c r="B12621" s="498" t="s">
        <v>45092</v>
      </c>
      <c r="C12621" s="319" t="s">
        <v>255</v>
      </c>
      <c r="D12621" s="499"/>
    </row>
    <row r="12622" spans="1:4" ht="38.25" x14ac:dyDescent="0.2">
      <c r="A12622" s="319">
        <v>626</v>
      </c>
      <c r="B12622" s="498" t="s">
        <v>45093</v>
      </c>
      <c r="C12622" s="319" t="s">
        <v>1284</v>
      </c>
      <c r="D12622" s="499"/>
    </row>
    <row r="12623" spans="1:4" x14ac:dyDescent="0.2">
      <c r="A12623" s="319">
        <v>44504</v>
      </c>
      <c r="B12623" s="498" t="s">
        <v>45094</v>
      </c>
      <c r="C12623" s="319" t="s">
        <v>255</v>
      </c>
      <c r="D12623" s="499"/>
    </row>
    <row r="12624" spans="1:4" x14ac:dyDescent="0.2">
      <c r="A12624" s="319">
        <v>44505</v>
      </c>
      <c r="B12624" s="498" t="s">
        <v>45095</v>
      </c>
      <c r="C12624" s="319" t="s">
        <v>255</v>
      </c>
      <c r="D12624" s="499"/>
    </row>
    <row r="12625" spans="1:4" x14ac:dyDescent="0.2">
      <c r="A12625" s="319">
        <v>44506</v>
      </c>
      <c r="B12625" s="498" t="s">
        <v>45096</v>
      </c>
      <c r="C12625" s="319" t="s">
        <v>255</v>
      </c>
      <c r="D12625" s="499"/>
    </row>
    <row r="12626" spans="1:4" x14ac:dyDescent="0.2">
      <c r="A12626" s="319">
        <v>44507</v>
      </c>
      <c r="B12626" s="498" t="s">
        <v>45097</v>
      </c>
      <c r="C12626" s="319" t="s">
        <v>255</v>
      </c>
      <c r="D12626" s="499"/>
    </row>
    <row r="12627" spans="1:4" x14ac:dyDescent="0.2">
      <c r="A12627" s="319">
        <v>44508</v>
      </c>
      <c r="B12627" s="498" t="s">
        <v>45098</v>
      </c>
      <c r="C12627" s="319" t="s">
        <v>255</v>
      </c>
      <c r="D12627" s="499"/>
    </row>
    <row r="12628" spans="1:4" x14ac:dyDescent="0.2">
      <c r="A12628" s="319">
        <v>44509</v>
      </c>
      <c r="B12628" s="498" t="s">
        <v>45099</v>
      </c>
      <c r="C12628" s="319" t="s">
        <v>255</v>
      </c>
      <c r="D12628" s="499"/>
    </row>
    <row r="12629" spans="1:4" x14ac:dyDescent="0.2">
      <c r="A12629" s="319">
        <v>44510</v>
      </c>
      <c r="B12629" s="498" t="s">
        <v>45100</v>
      </c>
      <c r="C12629" s="319" t="s">
        <v>255</v>
      </c>
      <c r="D12629" s="499"/>
    </row>
    <row r="12630" spans="1:4" ht="25.5" x14ac:dyDescent="0.2">
      <c r="A12630" s="319">
        <v>44512</v>
      </c>
      <c r="B12630" s="498" t="s">
        <v>48309</v>
      </c>
      <c r="C12630" s="319" t="s">
        <v>255</v>
      </c>
      <c r="D12630" s="499"/>
    </row>
    <row r="12631" spans="1:4" ht="25.5" x14ac:dyDescent="0.2">
      <c r="A12631" s="319">
        <v>44513</v>
      </c>
      <c r="B12631" s="498" t="s">
        <v>48310</v>
      </c>
      <c r="C12631" s="319" t="s">
        <v>255</v>
      </c>
      <c r="D12631" s="499"/>
    </row>
    <row r="12632" spans="1:4" ht="25.5" x14ac:dyDescent="0.2">
      <c r="A12632" s="319">
        <v>44514</v>
      </c>
      <c r="B12632" s="498" t="s">
        <v>48311</v>
      </c>
      <c r="C12632" s="319" t="s">
        <v>255</v>
      </c>
      <c r="D12632" s="499"/>
    </row>
    <row r="12633" spans="1:4" ht="25.5" x14ac:dyDescent="0.2">
      <c r="A12633" s="319">
        <v>44515</v>
      </c>
      <c r="B12633" s="498" t="s">
        <v>48312</v>
      </c>
      <c r="C12633" s="319" t="s">
        <v>255</v>
      </c>
      <c r="D12633" s="499"/>
    </row>
    <row r="12634" spans="1:4" ht="25.5" x14ac:dyDescent="0.2">
      <c r="A12634" s="319">
        <v>44511</v>
      </c>
      <c r="B12634" s="498" t="s">
        <v>48313</v>
      </c>
      <c r="C12634" s="319" t="s">
        <v>255</v>
      </c>
      <c r="D12634" s="499"/>
    </row>
    <row r="12635" spans="1:4" ht="25.5" x14ac:dyDescent="0.2">
      <c r="A12635" s="319">
        <v>44516</v>
      </c>
      <c r="B12635" s="498" t="s">
        <v>48314</v>
      </c>
      <c r="C12635" s="319" t="s">
        <v>255</v>
      </c>
      <c r="D12635" s="499"/>
    </row>
    <row r="12636" spans="1:4" ht="25.5" x14ac:dyDescent="0.2">
      <c r="A12636" s="319">
        <v>44517</v>
      </c>
      <c r="B12636" s="498" t="s">
        <v>48315</v>
      </c>
      <c r="C12636" s="319" t="s">
        <v>255</v>
      </c>
      <c r="D12636" s="499"/>
    </row>
    <row r="12637" spans="1:4" x14ac:dyDescent="0.2">
      <c r="A12637" s="319">
        <v>11479</v>
      </c>
      <c r="B12637" s="498" t="s">
        <v>45101</v>
      </c>
      <c r="C12637" s="319" t="s">
        <v>26</v>
      </c>
      <c r="D12637" s="499">
        <v>33.630000000000003</v>
      </c>
    </row>
    <row r="12638" spans="1:4" ht="25.5" x14ac:dyDescent="0.2">
      <c r="A12638" s="319">
        <v>11481</v>
      </c>
      <c r="B12638" s="498" t="s">
        <v>45102</v>
      </c>
      <c r="C12638" s="319" t="s">
        <v>26</v>
      </c>
      <c r="D12638" s="499">
        <v>30.42</v>
      </c>
    </row>
    <row r="12639" spans="1:4" x14ac:dyDescent="0.2">
      <c r="A12639" s="319">
        <v>43609</v>
      </c>
      <c r="B12639" s="498" t="s">
        <v>45103</v>
      </c>
      <c r="C12639" s="319" t="s">
        <v>26</v>
      </c>
      <c r="D12639" s="499">
        <v>30.42</v>
      </c>
    </row>
    <row r="12640" spans="1:4" x14ac:dyDescent="0.2">
      <c r="A12640" s="319">
        <v>11478</v>
      </c>
      <c r="B12640" s="498" t="s">
        <v>45104</v>
      </c>
      <c r="C12640" s="319" t="s">
        <v>26</v>
      </c>
      <c r="D12640" s="499">
        <v>57.7</v>
      </c>
    </row>
    <row r="12641" spans="1:4" ht="25.5" x14ac:dyDescent="0.2">
      <c r="A12641" s="319">
        <v>43608</v>
      </c>
      <c r="B12641" s="498" t="s">
        <v>45105</v>
      </c>
      <c r="C12641" s="319" t="s">
        <v>26</v>
      </c>
      <c r="D12641" s="499">
        <v>44.03</v>
      </c>
    </row>
    <row r="12642" spans="1:4" x14ac:dyDescent="0.2">
      <c r="A12642" s="319">
        <v>11476</v>
      </c>
      <c r="B12642" s="498" t="s">
        <v>45106</v>
      </c>
      <c r="C12642" s="319" t="s">
        <v>26</v>
      </c>
      <c r="D12642" s="499">
        <v>44.03</v>
      </c>
    </row>
    <row r="12643" spans="1:4" ht="25.5" x14ac:dyDescent="0.2">
      <c r="A12643" s="319">
        <v>40637</v>
      </c>
      <c r="B12643" s="498" t="s">
        <v>45107</v>
      </c>
      <c r="C12643" s="319" t="s">
        <v>26</v>
      </c>
      <c r="D12643" s="499"/>
    </row>
    <row r="12644" spans="1:4" ht="25.5" x14ac:dyDescent="0.2">
      <c r="A12644" s="319">
        <v>13836</v>
      </c>
      <c r="B12644" s="498" t="s">
        <v>45108</v>
      </c>
      <c r="C12644" s="319" t="s">
        <v>26</v>
      </c>
      <c r="D12644" s="499"/>
    </row>
    <row r="12645" spans="1:4" ht="38.25" x14ac:dyDescent="0.2">
      <c r="A12645" s="319">
        <v>14534</v>
      </c>
      <c r="B12645" s="498" t="s">
        <v>45109</v>
      </c>
      <c r="C12645" s="319" t="s">
        <v>26</v>
      </c>
      <c r="D12645" s="499"/>
    </row>
    <row r="12646" spans="1:4" ht="25.5" x14ac:dyDescent="0.2">
      <c r="A12646" s="473">
        <v>14619</v>
      </c>
      <c r="B12646" s="500" t="s">
        <v>45110</v>
      </c>
      <c r="C12646" s="473" t="s">
        <v>26</v>
      </c>
      <c r="D12646" s="501">
        <v>21145.56</v>
      </c>
    </row>
    <row r="12647" spans="1:4" ht="38.25" x14ac:dyDescent="0.2">
      <c r="A12647" s="473">
        <v>14535</v>
      </c>
      <c r="B12647" s="500" t="s">
        <v>45111</v>
      </c>
      <c r="C12647" s="473" t="s">
        <v>26</v>
      </c>
      <c r="D12647" s="501"/>
    </row>
    <row r="12648" spans="1:4" ht="51" x14ac:dyDescent="0.2">
      <c r="A12648" s="319">
        <v>39813</v>
      </c>
      <c r="B12648" s="498" t="s">
        <v>45112</v>
      </c>
      <c r="C12648" s="319" t="s">
        <v>26</v>
      </c>
      <c r="D12648" s="499"/>
    </row>
    <row r="12649" spans="1:4" x14ac:dyDescent="0.2">
      <c r="A12649" s="319">
        <v>12868</v>
      </c>
      <c r="B12649" s="498" t="s">
        <v>45113</v>
      </c>
      <c r="C12649" s="319" t="s">
        <v>558</v>
      </c>
      <c r="D12649" s="499">
        <v>17.579999999999998</v>
      </c>
    </row>
    <row r="12650" spans="1:4" x14ac:dyDescent="0.2">
      <c r="A12650" s="319">
        <v>40916</v>
      </c>
      <c r="B12650" s="498" t="s">
        <v>45114</v>
      </c>
      <c r="C12650" s="319" t="s">
        <v>5681</v>
      </c>
      <c r="D12650" s="499">
        <v>3093.04</v>
      </c>
    </row>
    <row r="12651" spans="1:4" x14ac:dyDescent="0.2">
      <c r="A12651" s="319">
        <v>4755</v>
      </c>
      <c r="B12651" s="498" t="s">
        <v>45115</v>
      </c>
      <c r="C12651" s="319" t="s">
        <v>558</v>
      </c>
      <c r="D12651" s="499">
        <v>17.89</v>
      </c>
    </row>
    <row r="12652" spans="1:4" x14ac:dyDescent="0.2">
      <c r="A12652" s="319">
        <v>41067</v>
      </c>
      <c r="B12652" s="498" t="s">
        <v>45116</v>
      </c>
      <c r="C12652" s="319" t="s">
        <v>5681</v>
      </c>
      <c r="D12652" s="499">
        <v>3145</v>
      </c>
    </row>
    <row r="12653" spans="1:4" x14ac:dyDescent="0.2">
      <c r="A12653" s="319">
        <v>45240</v>
      </c>
      <c r="B12653" s="498" t="s">
        <v>48316</v>
      </c>
      <c r="C12653" s="319" t="s">
        <v>26</v>
      </c>
      <c r="D12653" s="499"/>
    </row>
    <row r="12654" spans="1:4" ht="25.5" x14ac:dyDescent="0.2">
      <c r="A12654" s="319">
        <v>45228</v>
      </c>
      <c r="B12654" s="498" t="s">
        <v>48317</v>
      </c>
      <c r="C12654" s="319" t="s">
        <v>26</v>
      </c>
      <c r="D12654" s="499"/>
    </row>
    <row r="12655" spans="1:4" ht="25.5" x14ac:dyDescent="0.2">
      <c r="A12655" s="319">
        <v>45241</v>
      </c>
      <c r="B12655" s="498" t="s">
        <v>48318</v>
      </c>
      <c r="C12655" s="319" t="s">
        <v>26</v>
      </c>
      <c r="D12655" s="499"/>
    </row>
    <row r="12656" spans="1:4" x14ac:dyDescent="0.2">
      <c r="A12656" s="319">
        <v>38463</v>
      </c>
      <c r="B12656" s="498" t="s">
        <v>45117</v>
      </c>
      <c r="C12656" s="319" t="s">
        <v>26</v>
      </c>
      <c r="D12656" s="499">
        <v>46.48</v>
      </c>
    </row>
    <row r="12657" spans="1:7" ht="38.25" x14ac:dyDescent="0.2">
      <c r="A12657" s="319">
        <v>40703</v>
      </c>
      <c r="B12657" s="498" t="s">
        <v>45118</v>
      </c>
      <c r="C12657" s="319" t="s">
        <v>26</v>
      </c>
      <c r="D12657" s="499">
        <v>13160</v>
      </c>
    </row>
    <row r="12658" spans="1:7" ht="25.5" x14ac:dyDescent="0.2">
      <c r="A12658" s="319">
        <v>14531</v>
      </c>
      <c r="B12658" s="498" t="s">
        <v>45119</v>
      </c>
      <c r="C12658" s="319" t="s">
        <v>26</v>
      </c>
      <c r="D12658" s="499">
        <v>24535.200000000001</v>
      </c>
    </row>
    <row r="12659" spans="1:7" ht="25.5" x14ac:dyDescent="0.2">
      <c r="A12659" s="319">
        <v>36533</v>
      </c>
      <c r="B12659" s="498" t="s">
        <v>45120</v>
      </c>
      <c r="C12659" s="319" t="s">
        <v>26</v>
      </c>
      <c r="D12659" s="499">
        <v>28233.74</v>
      </c>
    </row>
    <row r="12660" spans="1:7" x14ac:dyDescent="0.2">
      <c r="A12660" s="319">
        <v>11616</v>
      </c>
      <c r="B12660" s="498" t="s">
        <v>45121</v>
      </c>
      <c r="C12660" s="319" t="s">
        <v>26</v>
      </c>
      <c r="D12660" s="499">
        <v>26666.35</v>
      </c>
    </row>
    <row r="12661" spans="1:7" ht="25.5" x14ac:dyDescent="0.2">
      <c r="A12661" s="319">
        <v>41898</v>
      </c>
      <c r="B12661" s="498" t="s">
        <v>45122</v>
      </c>
      <c r="C12661" s="319" t="s">
        <v>26</v>
      </c>
      <c r="D12661" s="499">
        <v>30003.27</v>
      </c>
    </row>
    <row r="12662" spans="1:7" ht="25.5" x14ac:dyDescent="0.2">
      <c r="A12662" s="319">
        <v>13447</v>
      </c>
      <c r="B12662" s="498" t="s">
        <v>45123</v>
      </c>
      <c r="C12662" s="319" t="s">
        <v>26</v>
      </c>
      <c r="D12662" s="499">
        <v>55208.08</v>
      </c>
    </row>
    <row r="12663" spans="1:7" x14ac:dyDescent="0.2">
      <c r="A12663" s="319">
        <v>14529</v>
      </c>
      <c r="B12663" s="498" t="s">
        <v>45124</v>
      </c>
      <c r="C12663" s="319" t="s">
        <v>26</v>
      </c>
      <c r="D12663" s="499">
        <v>30876.48</v>
      </c>
    </row>
    <row r="12664" spans="1:7" ht="25.5" x14ac:dyDescent="0.2">
      <c r="A12664" s="319">
        <v>10747</v>
      </c>
      <c r="B12664" s="498" t="s">
        <v>45125</v>
      </c>
      <c r="C12664" s="319" t="s">
        <v>26</v>
      </c>
      <c r="D12664" s="499">
        <v>30294.54</v>
      </c>
    </row>
    <row r="12665" spans="1:7" ht="25.5" x14ac:dyDescent="0.2">
      <c r="A12665" s="319">
        <v>36141</v>
      </c>
      <c r="B12665" s="498" t="s">
        <v>45126</v>
      </c>
      <c r="C12665" s="319" t="s">
        <v>26</v>
      </c>
      <c r="D12665" s="499">
        <v>104.76</v>
      </c>
    </row>
    <row r="12666" spans="1:7" x14ac:dyDescent="0.2">
      <c r="A12666" s="319">
        <v>45211</v>
      </c>
      <c r="B12666" s="498" t="s">
        <v>48319</v>
      </c>
      <c r="C12666" s="319" t="s">
        <v>26</v>
      </c>
      <c r="D12666" s="499">
        <v>95.21</v>
      </c>
    </row>
    <row r="12667" spans="1:7" x14ac:dyDescent="0.2">
      <c r="A12667" s="319">
        <v>43651</v>
      </c>
      <c r="B12667" s="498" t="s">
        <v>45127</v>
      </c>
      <c r="C12667" s="319" t="s">
        <v>1284</v>
      </c>
      <c r="D12667" s="499">
        <v>4.03</v>
      </c>
    </row>
    <row r="12668" spans="1:7" x14ac:dyDescent="0.2">
      <c r="A12668" s="319">
        <v>43626</v>
      </c>
      <c r="B12668" s="498" t="s">
        <v>45128</v>
      </c>
      <c r="C12668" s="319" t="s">
        <v>1284</v>
      </c>
      <c r="D12668" s="499">
        <v>2.2400000000000002</v>
      </c>
    </row>
    <row r="12669" spans="1:7" ht="38.25" x14ac:dyDescent="0.2">
      <c r="A12669" s="319">
        <v>39434</v>
      </c>
      <c r="B12669" s="498" t="s">
        <v>45129</v>
      </c>
      <c r="C12669" s="319" t="s">
        <v>1284</v>
      </c>
      <c r="D12669" s="499">
        <v>3.63</v>
      </c>
    </row>
    <row r="12670" spans="1:7" ht="25.5" x14ac:dyDescent="0.2">
      <c r="A12670" s="319">
        <v>39433</v>
      </c>
      <c r="B12670" s="498" t="s">
        <v>45130</v>
      </c>
      <c r="C12670" s="319" t="s">
        <v>1284</v>
      </c>
      <c r="D12670" s="499">
        <v>2.89</v>
      </c>
    </row>
    <row r="12671" spans="1:7" x14ac:dyDescent="0.2">
      <c r="A12671" s="319">
        <v>4049</v>
      </c>
      <c r="B12671" s="498" t="s">
        <v>45131</v>
      </c>
      <c r="C12671" s="319" t="s">
        <v>9</v>
      </c>
      <c r="D12671" s="499">
        <v>44.96</v>
      </c>
    </row>
    <row r="12672" spans="1:7" x14ac:dyDescent="0.2">
      <c r="A12672" s="319">
        <v>38120</v>
      </c>
      <c r="B12672" s="498" t="s">
        <v>45132</v>
      </c>
      <c r="C12672" s="319" t="s">
        <v>1284</v>
      </c>
      <c r="D12672" s="499"/>
      <c r="G12672" s="368"/>
    </row>
    <row r="12673" spans="1:4" x14ac:dyDescent="0.2">
      <c r="A12673" s="319">
        <v>43652</v>
      </c>
      <c r="B12673" s="498" t="s">
        <v>45133</v>
      </c>
      <c r="C12673" s="319" t="s">
        <v>1284</v>
      </c>
      <c r="D12673" s="499">
        <v>9.02</v>
      </c>
    </row>
    <row r="12674" spans="1:4" x14ac:dyDescent="0.2">
      <c r="A12674" s="319">
        <v>10498</v>
      </c>
      <c r="B12674" s="498" t="s">
        <v>38394</v>
      </c>
      <c r="C12674" s="319" t="s">
        <v>1284</v>
      </c>
      <c r="D12674" s="499"/>
    </row>
    <row r="12675" spans="1:4" x14ac:dyDescent="0.2">
      <c r="A12675" s="319">
        <v>4823</v>
      </c>
      <c r="B12675" s="498" t="s">
        <v>45134</v>
      </c>
      <c r="C12675" s="319" t="s">
        <v>1284</v>
      </c>
      <c r="D12675" s="499">
        <v>48.46</v>
      </c>
    </row>
    <row r="12676" spans="1:4" ht="25.5" x14ac:dyDescent="0.2">
      <c r="A12676" s="319">
        <v>38877</v>
      </c>
      <c r="B12676" s="498" t="s">
        <v>45135</v>
      </c>
      <c r="C12676" s="319" t="s">
        <v>1284</v>
      </c>
      <c r="D12676" s="499">
        <v>6.71</v>
      </c>
    </row>
    <row r="12677" spans="1:4" ht="25.5" x14ac:dyDescent="0.2">
      <c r="A12677" s="319">
        <v>34546</v>
      </c>
      <c r="B12677" s="498" t="s">
        <v>45136</v>
      </c>
      <c r="C12677" s="319" t="s">
        <v>1284</v>
      </c>
      <c r="D12677" s="499">
        <v>6.9</v>
      </c>
    </row>
    <row r="12678" spans="1:4" x14ac:dyDescent="0.2">
      <c r="A12678" s="319">
        <v>41387</v>
      </c>
      <c r="B12678" s="498" t="s">
        <v>45137</v>
      </c>
      <c r="C12678" s="319" t="s">
        <v>0</v>
      </c>
      <c r="D12678" s="499"/>
    </row>
    <row r="12679" spans="1:4" x14ac:dyDescent="0.2">
      <c r="A12679" s="319">
        <v>41388</v>
      </c>
      <c r="B12679" s="498" t="s">
        <v>45138</v>
      </c>
      <c r="C12679" s="319" t="s">
        <v>0</v>
      </c>
      <c r="D12679" s="499"/>
    </row>
    <row r="12680" spans="1:4" x14ac:dyDescent="0.2">
      <c r="A12680" s="319">
        <v>41380</v>
      </c>
      <c r="B12680" s="498" t="s">
        <v>45139</v>
      </c>
      <c r="C12680" s="319" t="s">
        <v>26</v>
      </c>
      <c r="D12680" s="499"/>
    </row>
    <row r="12681" spans="1:4" ht="25.5" x14ac:dyDescent="0.2">
      <c r="A12681" s="319">
        <v>41381</v>
      </c>
      <c r="B12681" s="498" t="s">
        <v>45140</v>
      </c>
      <c r="C12681" s="319" t="s">
        <v>26</v>
      </c>
      <c r="D12681" s="499"/>
    </row>
    <row r="12682" spans="1:4" ht="25.5" x14ac:dyDescent="0.2">
      <c r="A12682" s="319">
        <v>41382</v>
      </c>
      <c r="B12682" s="498" t="s">
        <v>45141</v>
      </c>
      <c r="C12682" s="319" t="s">
        <v>26</v>
      </c>
      <c r="D12682" s="499"/>
    </row>
    <row r="12683" spans="1:4" ht="25.5" x14ac:dyDescent="0.2">
      <c r="A12683" s="319">
        <v>41383</v>
      </c>
      <c r="B12683" s="498" t="s">
        <v>45142</v>
      </c>
      <c r="C12683" s="319" t="s">
        <v>26</v>
      </c>
      <c r="D12683" s="499"/>
    </row>
    <row r="12684" spans="1:4" ht="25.5" x14ac:dyDescent="0.2">
      <c r="A12684" s="319">
        <v>41385</v>
      </c>
      <c r="B12684" s="498" t="s">
        <v>45143</v>
      </c>
      <c r="C12684" s="319" t="s">
        <v>26</v>
      </c>
      <c r="D12684" s="499"/>
    </row>
    <row r="12685" spans="1:4" x14ac:dyDescent="0.2">
      <c r="A12685" s="319">
        <v>4058</v>
      </c>
      <c r="B12685" s="498" t="s">
        <v>45144</v>
      </c>
      <c r="C12685" s="319" t="s">
        <v>558</v>
      </c>
      <c r="D12685" s="499">
        <v>26.65</v>
      </c>
    </row>
    <row r="12686" spans="1:4" x14ac:dyDescent="0.2">
      <c r="A12686" s="319">
        <v>40974</v>
      </c>
      <c r="B12686" s="498" t="s">
        <v>45145</v>
      </c>
      <c r="C12686" s="319" t="s">
        <v>5681</v>
      </c>
      <c r="D12686" s="499">
        <v>4684.05</v>
      </c>
    </row>
    <row r="12687" spans="1:4" x14ac:dyDescent="0.2">
      <c r="A12687" s="319">
        <v>34794</v>
      </c>
      <c r="B12687" s="498" t="s">
        <v>45146</v>
      </c>
      <c r="C12687" s="319" t="s">
        <v>558</v>
      </c>
      <c r="D12687" s="499">
        <v>18.059999999999999</v>
      </c>
    </row>
    <row r="12688" spans="1:4" x14ac:dyDescent="0.2">
      <c r="A12688" s="319">
        <v>40925</v>
      </c>
      <c r="B12688" s="498" t="s">
        <v>45147</v>
      </c>
      <c r="C12688" s="319" t="s">
        <v>5681</v>
      </c>
      <c r="D12688" s="499">
        <v>3176.63</v>
      </c>
    </row>
    <row r="12689" spans="1:4" ht="25.5" x14ac:dyDescent="0.2">
      <c r="A12689" s="319">
        <v>13741</v>
      </c>
      <c r="B12689" s="498" t="s">
        <v>45148</v>
      </c>
      <c r="C12689" s="319" t="s">
        <v>26</v>
      </c>
      <c r="D12689" s="499">
        <v>2258.11</v>
      </c>
    </row>
    <row r="12690" spans="1:4" ht="25.5" x14ac:dyDescent="0.2">
      <c r="A12690" s="319">
        <v>3288</v>
      </c>
      <c r="B12690" s="498" t="s">
        <v>45149</v>
      </c>
      <c r="C12690" s="319" t="s">
        <v>0</v>
      </c>
      <c r="D12690" s="499"/>
    </row>
    <row r="12691" spans="1:4" ht="25.5" x14ac:dyDescent="0.2">
      <c r="A12691" s="319">
        <v>13587</v>
      </c>
      <c r="B12691" s="498" t="s">
        <v>45150</v>
      </c>
      <c r="C12691" s="319" t="s">
        <v>0</v>
      </c>
      <c r="D12691" s="499"/>
    </row>
    <row r="12692" spans="1:4" ht="25.5" x14ac:dyDescent="0.2">
      <c r="A12692" s="319">
        <v>38598</v>
      </c>
      <c r="B12692" s="498" t="s">
        <v>45151</v>
      </c>
      <c r="C12692" s="319" t="s">
        <v>26</v>
      </c>
      <c r="D12692" s="499">
        <v>3.74</v>
      </c>
    </row>
    <row r="12693" spans="1:4" ht="25.5" x14ac:dyDescent="0.2">
      <c r="A12693" s="319">
        <v>38595</v>
      </c>
      <c r="B12693" s="498" t="s">
        <v>45152</v>
      </c>
      <c r="C12693" s="319" t="s">
        <v>26</v>
      </c>
      <c r="D12693" s="499">
        <v>3.17</v>
      </c>
    </row>
    <row r="12694" spans="1:4" ht="25.5" x14ac:dyDescent="0.2">
      <c r="A12694" s="319">
        <v>38592</v>
      </c>
      <c r="B12694" s="498" t="s">
        <v>45153</v>
      </c>
      <c r="C12694" s="319" t="s">
        <v>26</v>
      </c>
      <c r="D12694" s="499">
        <v>3.21</v>
      </c>
    </row>
    <row r="12695" spans="1:4" ht="25.5" x14ac:dyDescent="0.2">
      <c r="A12695" s="319">
        <v>38588</v>
      </c>
      <c r="B12695" s="498" t="s">
        <v>45154</v>
      </c>
      <c r="C12695" s="319" t="s">
        <v>26</v>
      </c>
      <c r="D12695" s="499">
        <v>2.57</v>
      </c>
    </row>
    <row r="12696" spans="1:4" ht="25.5" x14ac:dyDescent="0.2">
      <c r="A12696" s="319">
        <v>38593</v>
      </c>
      <c r="B12696" s="498" t="s">
        <v>45155</v>
      </c>
      <c r="C12696" s="319" t="s">
        <v>26</v>
      </c>
      <c r="D12696" s="499">
        <v>3.54</v>
      </c>
    </row>
    <row r="12697" spans="1:4" ht="25.5" x14ac:dyDescent="0.2">
      <c r="A12697" s="319">
        <v>38589</v>
      </c>
      <c r="B12697" s="498" t="s">
        <v>45156</v>
      </c>
      <c r="C12697" s="319" t="s">
        <v>26</v>
      </c>
      <c r="D12697" s="499">
        <v>2.69</v>
      </c>
    </row>
    <row r="12698" spans="1:4" ht="25.5" x14ac:dyDescent="0.2">
      <c r="A12698" s="319">
        <v>38594</v>
      </c>
      <c r="B12698" s="498" t="s">
        <v>45157</v>
      </c>
      <c r="C12698" s="319" t="s">
        <v>26</v>
      </c>
      <c r="D12698" s="499">
        <v>5.58</v>
      </c>
    </row>
    <row r="12699" spans="1:4" ht="25.5" x14ac:dyDescent="0.2">
      <c r="A12699" s="319">
        <v>34774</v>
      </c>
      <c r="B12699" s="498" t="s">
        <v>45158</v>
      </c>
      <c r="C12699" s="319" t="s">
        <v>26</v>
      </c>
      <c r="D12699" s="499">
        <v>2.5099999999999998</v>
      </c>
    </row>
    <row r="12700" spans="1:4" ht="25.5" x14ac:dyDescent="0.2">
      <c r="A12700" s="319">
        <v>34771</v>
      </c>
      <c r="B12700" s="498" t="s">
        <v>45159</v>
      </c>
      <c r="C12700" s="319" t="s">
        <v>26</v>
      </c>
      <c r="D12700" s="499">
        <v>3.03</v>
      </c>
    </row>
    <row r="12701" spans="1:4" x14ac:dyDescent="0.2">
      <c r="A12701" s="319">
        <v>34764</v>
      </c>
      <c r="B12701" s="498" t="s">
        <v>45160</v>
      </c>
      <c r="C12701" s="319" t="s">
        <v>26</v>
      </c>
      <c r="D12701" s="499">
        <v>1.98</v>
      </c>
    </row>
    <row r="12702" spans="1:4" ht="25.5" x14ac:dyDescent="0.2">
      <c r="A12702" s="319">
        <v>34773</v>
      </c>
      <c r="B12702" s="498" t="s">
        <v>45161</v>
      </c>
      <c r="C12702" s="319" t="s">
        <v>26</v>
      </c>
      <c r="D12702" s="499">
        <v>2.64</v>
      </c>
    </row>
    <row r="12703" spans="1:4" ht="25.5" x14ac:dyDescent="0.2">
      <c r="A12703" s="319">
        <v>34769</v>
      </c>
      <c r="B12703" s="498" t="s">
        <v>45162</v>
      </c>
      <c r="C12703" s="319" t="s">
        <v>26</v>
      </c>
      <c r="D12703" s="499">
        <v>3.27</v>
      </c>
    </row>
    <row r="12704" spans="1:4" ht="25.5" x14ac:dyDescent="0.2">
      <c r="A12704" s="319">
        <v>34763</v>
      </c>
      <c r="B12704" s="498" t="s">
        <v>45163</v>
      </c>
      <c r="C12704" s="319" t="s">
        <v>26</v>
      </c>
      <c r="D12704" s="499">
        <v>2.02</v>
      </c>
    </row>
    <row r="12705" spans="1:4" x14ac:dyDescent="0.2">
      <c r="A12705" s="319">
        <v>34788</v>
      </c>
      <c r="B12705" s="498" t="s">
        <v>45164</v>
      </c>
      <c r="C12705" s="319" t="s">
        <v>26</v>
      </c>
      <c r="D12705" s="499">
        <v>1.29</v>
      </c>
    </row>
    <row r="12706" spans="1:4" x14ac:dyDescent="0.2">
      <c r="A12706" s="319">
        <v>34781</v>
      </c>
      <c r="B12706" s="498" t="s">
        <v>45165</v>
      </c>
      <c r="C12706" s="319" t="s">
        <v>26</v>
      </c>
      <c r="D12706" s="499">
        <v>1.77</v>
      </c>
    </row>
    <row r="12707" spans="1:4" ht="25.5" x14ac:dyDescent="0.2">
      <c r="A12707" s="319">
        <v>41682</v>
      </c>
      <c r="B12707" s="498" t="s">
        <v>45166</v>
      </c>
      <c r="C12707" s="319" t="s">
        <v>26</v>
      </c>
      <c r="D12707" s="499">
        <v>29.89</v>
      </c>
    </row>
    <row r="12708" spans="1:4" ht="25.5" x14ac:dyDescent="0.2">
      <c r="A12708" s="319">
        <v>41683</v>
      </c>
      <c r="B12708" s="498" t="s">
        <v>45167</v>
      </c>
      <c r="C12708" s="319" t="s">
        <v>26</v>
      </c>
      <c r="D12708" s="499">
        <v>21.99</v>
      </c>
    </row>
    <row r="12709" spans="1:4" ht="25.5" x14ac:dyDescent="0.2">
      <c r="A12709" s="319">
        <v>41680</v>
      </c>
      <c r="B12709" s="498" t="s">
        <v>45168</v>
      </c>
      <c r="C12709" s="319" t="s">
        <v>26</v>
      </c>
      <c r="D12709" s="499">
        <v>11.84</v>
      </c>
    </row>
    <row r="12710" spans="1:4" ht="25.5" x14ac:dyDescent="0.2">
      <c r="A12710" s="319">
        <v>41679</v>
      </c>
      <c r="B12710" s="498" t="s">
        <v>45169</v>
      </c>
      <c r="C12710" s="319" t="s">
        <v>26</v>
      </c>
      <c r="D12710" s="499">
        <v>27.06</v>
      </c>
    </row>
    <row r="12711" spans="1:4" ht="25.5" x14ac:dyDescent="0.2">
      <c r="A12711" s="319">
        <v>41681</v>
      </c>
      <c r="B12711" s="498" t="s">
        <v>45170</v>
      </c>
      <c r="C12711" s="319" t="s">
        <v>26</v>
      </c>
      <c r="D12711" s="499">
        <v>18.52</v>
      </c>
    </row>
    <row r="12712" spans="1:4" ht="25.5" x14ac:dyDescent="0.2">
      <c r="A12712" s="319">
        <v>43386</v>
      </c>
      <c r="B12712" s="498" t="s">
        <v>48320</v>
      </c>
      <c r="C12712" s="319" t="s">
        <v>26</v>
      </c>
      <c r="D12712" s="499">
        <v>42.29</v>
      </c>
    </row>
    <row r="12713" spans="1:4" ht="25.5" x14ac:dyDescent="0.2">
      <c r="A12713" s="319">
        <v>4059</v>
      </c>
      <c r="B12713" s="498" t="s">
        <v>45171</v>
      </c>
      <c r="C12713" s="319" t="s">
        <v>0</v>
      </c>
      <c r="D12713" s="499">
        <v>29.89</v>
      </c>
    </row>
    <row r="12714" spans="1:4" ht="25.5" x14ac:dyDescent="0.2">
      <c r="A12714" s="319">
        <v>4062</v>
      </c>
      <c r="B12714" s="498" t="s">
        <v>45172</v>
      </c>
      <c r="C12714" s="319" t="s">
        <v>26</v>
      </c>
      <c r="D12714" s="499">
        <v>29.89</v>
      </c>
    </row>
    <row r="12715" spans="1:4" ht="25.5" x14ac:dyDescent="0.2">
      <c r="A12715" s="319">
        <v>4061</v>
      </c>
      <c r="B12715" s="498" t="s">
        <v>45173</v>
      </c>
      <c r="C12715" s="319" t="s">
        <v>26</v>
      </c>
      <c r="D12715" s="499">
        <v>37.21</v>
      </c>
    </row>
    <row r="12716" spans="1:4" ht="25.5" x14ac:dyDescent="0.2">
      <c r="A12716" s="319">
        <v>41315</v>
      </c>
      <c r="B12716" s="498" t="s">
        <v>45174</v>
      </c>
      <c r="C12716" s="319" t="s">
        <v>1284</v>
      </c>
      <c r="D12716" s="499">
        <v>102.93</v>
      </c>
    </row>
    <row r="12717" spans="1:4" x14ac:dyDescent="0.2">
      <c r="A12717" s="319">
        <v>43148</v>
      </c>
      <c r="B12717" s="498" t="s">
        <v>45175</v>
      </c>
      <c r="C12717" s="319" t="s">
        <v>1284</v>
      </c>
      <c r="D12717" s="499">
        <v>69.87</v>
      </c>
    </row>
    <row r="12718" spans="1:4" x14ac:dyDescent="0.2">
      <c r="A12718" s="319">
        <v>43147</v>
      </c>
      <c r="B12718" s="498" t="s">
        <v>45176</v>
      </c>
      <c r="C12718" s="319" t="s">
        <v>1284</v>
      </c>
      <c r="D12718" s="499">
        <v>27.06</v>
      </c>
    </row>
    <row r="12719" spans="1:4" ht="25.5" x14ac:dyDescent="0.2">
      <c r="A12719" s="319">
        <v>10608</v>
      </c>
      <c r="B12719" s="498" t="s">
        <v>45177</v>
      </c>
      <c r="C12719" s="319" t="s">
        <v>26</v>
      </c>
      <c r="D12719" s="499"/>
    </row>
    <row r="12720" spans="1:4" x14ac:dyDescent="0.2">
      <c r="A12720" s="319">
        <v>4069</v>
      </c>
      <c r="B12720" s="498" t="s">
        <v>45178</v>
      </c>
      <c r="C12720" s="319" t="s">
        <v>558</v>
      </c>
      <c r="D12720" s="499">
        <v>33.53</v>
      </c>
    </row>
    <row r="12721" spans="1:4" x14ac:dyDescent="0.2">
      <c r="A12721" s="319">
        <v>40819</v>
      </c>
      <c r="B12721" s="498" t="s">
        <v>45179</v>
      </c>
      <c r="C12721" s="319" t="s">
        <v>5681</v>
      </c>
      <c r="D12721" s="499">
        <v>5896.18</v>
      </c>
    </row>
    <row r="12722" spans="1:4" x14ac:dyDescent="0.2">
      <c r="A12722" s="319">
        <v>34361</v>
      </c>
      <c r="B12722" s="498" t="s">
        <v>45180</v>
      </c>
      <c r="C12722" s="319" t="s">
        <v>1284</v>
      </c>
      <c r="D12722" s="499">
        <v>19.7</v>
      </c>
    </row>
    <row r="12723" spans="1:4" ht="25.5" x14ac:dyDescent="0.2">
      <c r="A12723" s="319">
        <v>36512</v>
      </c>
      <c r="B12723" s="498" t="s">
        <v>45181</v>
      </c>
      <c r="C12723" s="319" t="s">
        <v>26</v>
      </c>
      <c r="D12723" s="499"/>
    </row>
    <row r="12724" spans="1:4" ht="25.5" x14ac:dyDescent="0.2">
      <c r="A12724" s="319">
        <v>44478</v>
      </c>
      <c r="B12724" s="498" t="s">
        <v>48321</v>
      </c>
      <c r="C12724" s="319" t="s">
        <v>1284</v>
      </c>
      <c r="D12724" s="499"/>
    </row>
    <row r="12725" spans="1:4" ht="25.5" x14ac:dyDescent="0.2">
      <c r="A12725" s="319">
        <v>44477</v>
      </c>
      <c r="B12725" s="498" t="s">
        <v>48322</v>
      </c>
      <c r="C12725" s="319" t="s">
        <v>1284</v>
      </c>
      <c r="D12725" s="499"/>
    </row>
    <row r="12726" spans="1:4" ht="25.5" x14ac:dyDescent="0.2">
      <c r="A12726" s="319">
        <v>11697</v>
      </c>
      <c r="B12726" s="498" t="s">
        <v>45182</v>
      </c>
      <c r="C12726" s="319" t="s">
        <v>26</v>
      </c>
      <c r="D12726" s="499">
        <v>596.12</v>
      </c>
    </row>
    <row r="12727" spans="1:4" ht="25.5" x14ac:dyDescent="0.2">
      <c r="A12727" s="319">
        <v>11698</v>
      </c>
      <c r="B12727" s="498" t="s">
        <v>45183</v>
      </c>
      <c r="C12727" s="319" t="s">
        <v>26</v>
      </c>
      <c r="D12727" s="499">
        <v>711.13</v>
      </c>
    </row>
    <row r="12728" spans="1:4" ht="25.5" x14ac:dyDescent="0.2">
      <c r="A12728" s="319">
        <v>11699</v>
      </c>
      <c r="B12728" s="498" t="s">
        <v>45184</v>
      </c>
      <c r="C12728" s="319" t="s">
        <v>26</v>
      </c>
      <c r="D12728" s="499">
        <v>785.96</v>
      </c>
    </row>
    <row r="12729" spans="1:4" x14ac:dyDescent="0.2">
      <c r="A12729" s="319">
        <v>10432</v>
      </c>
      <c r="B12729" s="498" t="s">
        <v>45185</v>
      </c>
      <c r="C12729" s="319" t="s">
        <v>26</v>
      </c>
      <c r="D12729" s="499">
        <v>373.46</v>
      </c>
    </row>
    <row r="12730" spans="1:4" ht="25.5" x14ac:dyDescent="0.2">
      <c r="A12730" s="319">
        <v>44020</v>
      </c>
      <c r="B12730" s="498" t="s">
        <v>45186</v>
      </c>
      <c r="C12730" s="319" t="s">
        <v>26</v>
      </c>
      <c r="D12730" s="499">
        <v>921.37</v>
      </c>
    </row>
    <row r="12731" spans="1:4" ht="25.5" x14ac:dyDescent="0.2">
      <c r="A12731" s="319">
        <v>41419</v>
      </c>
      <c r="B12731" s="498" t="s">
        <v>45187</v>
      </c>
      <c r="C12731" s="319" t="s">
        <v>26</v>
      </c>
      <c r="D12731" s="499"/>
    </row>
    <row r="12732" spans="1:4" ht="25.5" x14ac:dyDescent="0.2">
      <c r="A12732" s="319">
        <v>41420</v>
      </c>
      <c r="B12732" s="498" t="s">
        <v>45188</v>
      </c>
      <c r="C12732" s="319" t="s">
        <v>26</v>
      </c>
      <c r="D12732" s="499"/>
    </row>
    <row r="12733" spans="1:4" ht="25.5" x14ac:dyDescent="0.2">
      <c r="A12733" s="319">
        <v>41421</v>
      </c>
      <c r="B12733" s="498" t="s">
        <v>45189</v>
      </c>
      <c r="C12733" s="319" t="s">
        <v>26</v>
      </c>
      <c r="D12733" s="499"/>
    </row>
    <row r="12734" spans="1:4" ht="25.5" x14ac:dyDescent="0.2">
      <c r="A12734" s="319">
        <v>41422</v>
      </c>
      <c r="B12734" s="498" t="s">
        <v>45190</v>
      </c>
      <c r="C12734" s="319" t="s">
        <v>26</v>
      </c>
      <c r="D12734" s="499"/>
    </row>
    <row r="12735" spans="1:4" ht="25.5" x14ac:dyDescent="0.2">
      <c r="A12735" s="319">
        <v>41425</v>
      </c>
      <c r="B12735" s="498" t="s">
        <v>45191</v>
      </c>
      <c r="C12735" s="319" t="s">
        <v>26</v>
      </c>
      <c r="D12735" s="499"/>
    </row>
    <row r="12736" spans="1:4" ht="25.5" x14ac:dyDescent="0.2">
      <c r="A12736" s="319">
        <v>41426</v>
      </c>
      <c r="B12736" s="498" t="s">
        <v>45192</v>
      </c>
      <c r="C12736" s="319" t="s">
        <v>26</v>
      </c>
      <c r="D12736" s="499"/>
    </row>
    <row r="12737" spans="1:4" ht="25.5" x14ac:dyDescent="0.2">
      <c r="A12737" s="319">
        <v>41414</v>
      </c>
      <c r="B12737" s="498" t="s">
        <v>45193</v>
      </c>
      <c r="C12737" s="319" t="s">
        <v>26</v>
      </c>
      <c r="D12737" s="499"/>
    </row>
    <row r="12738" spans="1:4" ht="25.5" x14ac:dyDescent="0.2">
      <c r="A12738" s="319">
        <v>41415</v>
      </c>
      <c r="B12738" s="498" t="s">
        <v>45194</v>
      </c>
      <c r="C12738" s="319" t="s">
        <v>26</v>
      </c>
      <c r="D12738" s="499"/>
    </row>
    <row r="12739" spans="1:4" ht="25.5" x14ac:dyDescent="0.2">
      <c r="A12739" s="319">
        <v>37514</v>
      </c>
      <c r="B12739" s="498" t="s">
        <v>45195</v>
      </c>
      <c r="C12739" s="319" t="s">
        <v>26</v>
      </c>
      <c r="D12739" s="499">
        <v>351000</v>
      </c>
    </row>
    <row r="12740" spans="1:4" ht="25.5" x14ac:dyDescent="0.2">
      <c r="A12740" s="319">
        <v>37519</v>
      </c>
      <c r="B12740" s="498" t="s">
        <v>45196</v>
      </c>
      <c r="C12740" s="319" t="s">
        <v>26</v>
      </c>
      <c r="D12740" s="499">
        <v>541695.98</v>
      </c>
    </row>
    <row r="12741" spans="1:4" ht="25.5" x14ac:dyDescent="0.2">
      <c r="A12741" s="319">
        <v>37520</v>
      </c>
      <c r="B12741" s="498" t="s">
        <v>45197</v>
      </c>
      <c r="C12741" s="319" t="s">
        <v>26</v>
      </c>
      <c r="D12741" s="499">
        <v>532815.71</v>
      </c>
    </row>
    <row r="12742" spans="1:4" ht="25.5" x14ac:dyDescent="0.2">
      <c r="A12742" s="319">
        <v>37521</v>
      </c>
      <c r="B12742" s="498" t="s">
        <v>45198</v>
      </c>
      <c r="C12742" s="319" t="s">
        <v>26</v>
      </c>
      <c r="D12742" s="499">
        <v>650035.18000000005</v>
      </c>
    </row>
    <row r="12743" spans="1:4" ht="25.5" x14ac:dyDescent="0.2">
      <c r="A12743" s="319">
        <v>37522</v>
      </c>
      <c r="B12743" s="498" t="s">
        <v>45199</v>
      </c>
      <c r="C12743" s="319" t="s">
        <v>26</v>
      </c>
      <c r="D12743" s="499">
        <v>669591.99</v>
      </c>
    </row>
    <row r="12744" spans="1:4" ht="25.5" x14ac:dyDescent="0.2">
      <c r="A12744" s="319">
        <v>37546</v>
      </c>
      <c r="B12744" s="498" t="s">
        <v>45200</v>
      </c>
      <c r="C12744" s="319" t="s">
        <v>26</v>
      </c>
      <c r="D12744" s="499"/>
    </row>
    <row r="12745" spans="1:4" ht="25.5" x14ac:dyDescent="0.2">
      <c r="A12745" s="319">
        <v>37544</v>
      </c>
      <c r="B12745" s="498" t="s">
        <v>45201</v>
      </c>
      <c r="C12745" s="319" t="s">
        <v>26</v>
      </c>
      <c r="D12745" s="499"/>
    </row>
    <row r="12746" spans="1:4" ht="25.5" x14ac:dyDescent="0.2">
      <c r="A12746" s="319">
        <v>37545</v>
      </c>
      <c r="B12746" s="498" t="s">
        <v>45202</v>
      </c>
      <c r="C12746" s="319" t="s">
        <v>26</v>
      </c>
      <c r="D12746" s="499"/>
    </row>
    <row r="12747" spans="1:4" x14ac:dyDescent="0.2">
      <c r="A12747" s="319">
        <v>36793</v>
      </c>
      <c r="B12747" s="498" t="s">
        <v>45203</v>
      </c>
      <c r="C12747" s="319" t="s">
        <v>26</v>
      </c>
      <c r="D12747" s="499">
        <v>833.03</v>
      </c>
    </row>
    <row r="12748" spans="1:4" ht="25.5" x14ac:dyDescent="0.2">
      <c r="A12748" s="319">
        <v>11769</v>
      </c>
      <c r="B12748" s="498" t="s">
        <v>45204</v>
      </c>
      <c r="C12748" s="319" t="s">
        <v>26</v>
      </c>
      <c r="D12748" s="499">
        <v>368.13</v>
      </c>
    </row>
    <row r="12749" spans="1:4" ht="25.5" x14ac:dyDescent="0.2">
      <c r="A12749" s="319">
        <v>11771</v>
      </c>
      <c r="B12749" s="498" t="s">
        <v>45205</v>
      </c>
      <c r="C12749" s="319" t="s">
        <v>26</v>
      </c>
      <c r="D12749" s="499">
        <v>450.92</v>
      </c>
    </row>
    <row r="12750" spans="1:4" ht="38.25" x14ac:dyDescent="0.2">
      <c r="A12750" s="319">
        <v>39919</v>
      </c>
      <c r="B12750" s="498" t="s">
        <v>45206</v>
      </c>
      <c r="C12750" s="319" t="s">
        <v>26</v>
      </c>
      <c r="D12750" s="499"/>
    </row>
    <row r="12751" spans="1:4" ht="25.5" x14ac:dyDescent="0.2">
      <c r="A12751" s="319">
        <v>38385</v>
      </c>
      <c r="B12751" s="498" t="s">
        <v>45207</v>
      </c>
      <c r="C12751" s="319" t="s">
        <v>26</v>
      </c>
      <c r="D12751" s="499"/>
    </row>
    <row r="12752" spans="1:4" ht="25.5" x14ac:dyDescent="0.2">
      <c r="A12752" s="319">
        <v>36800</v>
      </c>
      <c r="B12752" s="498" t="s">
        <v>48323</v>
      </c>
      <c r="C12752" s="319" t="s">
        <v>26</v>
      </c>
      <c r="D12752" s="499">
        <v>221.2</v>
      </c>
    </row>
    <row r="12753" spans="1:4" ht="25.5" x14ac:dyDescent="0.2">
      <c r="A12753" s="319">
        <v>37587</v>
      </c>
      <c r="B12753" s="498" t="s">
        <v>45208</v>
      </c>
      <c r="C12753" s="319" t="s">
        <v>26</v>
      </c>
      <c r="D12753" s="499">
        <v>485.99</v>
      </c>
    </row>
    <row r="12754" spans="1:4" ht="25.5" x14ac:dyDescent="0.2">
      <c r="A12754" s="319">
        <v>11561</v>
      </c>
      <c r="B12754" s="498" t="s">
        <v>45209</v>
      </c>
      <c r="C12754" s="319" t="s">
        <v>26</v>
      </c>
      <c r="D12754" s="499">
        <v>243.17</v>
      </c>
    </row>
    <row r="12755" spans="1:4" ht="25.5" x14ac:dyDescent="0.2">
      <c r="A12755" s="319">
        <v>43604</v>
      </c>
      <c r="B12755" s="498" t="s">
        <v>45210</v>
      </c>
      <c r="C12755" s="319" t="s">
        <v>26</v>
      </c>
      <c r="D12755" s="499">
        <v>129.63999999999999</v>
      </c>
    </row>
    <row r="12756" spans="1:4" ht="25.5" x14ac:dyDescent="0.2">
      <c r="A12756" s="319">
        <v>11560</v>
      </c>
      <c r="B12756" s="498" t="s">
        <v>45211</v>
      </c>
      <c r="C12756" s="319" t="s">
        <v>26</v>
      </c>
      <c r="D12756" s="499">
        <v>187.69</v>
      </c>
    </row>
    <row r="12757" spans="1:4" ht="25.5" x14ac:dyDescent="0.2">
      <c r="A12757" s="319">
        <v>11499</v>
      </c>
      <c r="B12757" s="498" t="s">
        <v>45212</v>
      </c>
      <c r="C12757" s="319" t="s">
        <v>26</v>
      </c>
      <c r="D12757" s="499">
        <v>794.95</v>
      </c>
    </row>
    <row r="12758" spans="1:4" x14ac:dyDescent="0.2">
      <c r="A12758" s="319">
        <v>34761</v>
      </c>
      <c r="B12758" s="498" t="s">
        <v>45213</v>
      </c>
      <c r="C12758" s="319" t="s">
        <v>558</v>
      </c>
      <c r="D12758" s="499">
        <v>15.48</v>
      </c>
    </row>
    <row r="12759" spans="1:4" x14ac:dyDescent="0.2">
      <c r="A12759" s="319">
        <v>40924</v>
      </c>
      <c r="B12759" s="498" t="s">
        <v>45214</v>
      </c>
      <c r="C12759" s="319" t="s">
        <v>5681</v>
      </c>
      <c r="D12759" s="499">
        <v>2722.7</v>
      </c>
    </row>
    <row r="12760" spans="1:4" x14ac:dyDescent="0.2">
      <c r="A12760" s="319">
        <v>40983</v>
      </c>
      <c r="B12760" s="498" t="s">
        <v>45215</v>
      </c>
      <c r="C12760" s="319" t="s">
        <v>5681</v>
      </c>
      <c r="D12760" s="499">
        <v>2838.44</v>
      </c>
    </row>
    <row r="12761" spans="1:4" x14ac:dyDescent="0.2">
      <c r="A12761" s="319">
        <v>44497</v>
      </c>
      <c r="B12761" s="498" t="s">
        <v>45216</v>
      </c>
      <c r="C12761" s="319" t="s">
        <v>558</v>
      </c>
      <c r="D12761" s="499">
        <v>16.14</v>
      </c>
    </row>
    <row r="12762" spans="1:4" x14ac:dyDescent="0.2">
      <c r="A12762" s="319">
        <v>2437</v>
      </c>
      <c r="B12762" s="498" t="s">
        <v>45217</v>
      </c>
      <c r="C12762" s="319" t="s">
        <v>558</v>
      </c>
      <c r="D12762" s="499">
        <v>19.149999999999999</v>
      </c>
    </row>
    <row r="12763" spans="1:4" x14ac:dyDescent="0.2">
      <c r="A12763" s="319">
        <v>40921</v>
      </c>
      <c r="B12763" s="498" t="s">
        <v>45218</v>
      </c>
      <c r="C12763" s="319" t="s">
        <v>5681</v>
      </c>
      <c r="D12763" s="499">
        <v>3368.03</v>
      </c>
    </row>
    <row r="12764" spans="1:4" ht="25.5" x14ac:dyDescent="0.2">
      <c r="A12764" s="319">
        <v>14252</v>
      </c>
      <c r="B12764" s="498" t="s">
        <v>45219</v>
      </c>
      <c r="C12764" s="319" t="s">
        <v>26</v>
      </c>
      <c r="D12764" s="499">
        <v>3291.22</v>
      </c>
    </row>
    <row r="12765" spans="1:4" ht="38.25" x14ac:dyDescent="0.2">
      <c r="A12765" s="319">
        <v>730</v>
      </c>
      <c r="B12765" s="498" t="s">
        <v>45220</v>
      </c>
      <c r="C12765" s="319" t="s">
        <v>26</v>
      </c>
      <c r="D12765" s="499">
        <v>8793.52</v>
      </c>
    </row>
    <row r="12766" spans="1:4" ht="38.25" x14ac:dyDescent="0.2">
      <c r="A12766" s="319">
        <v>723</v>
      </c>
      <c r="B12766" s="498" t="s">
        <v>45221</v>
      </c>
      <c r="C12766" s="319" t="s">
        <v>26</v>
      </c>
      <c r="D12766" s="499">
        <v>4370.6899999999996</v>
      </c>
    </row>
    <row r="12767" spans="1:4" ht="38.25" x14ac:dyDescent="0.2">
      <c r="A12767" s="319">
        <v>36502</v>
      </c>
      <c r="B12767" s="498" t="s">
        <v>45222</v>
      </c>
      <c r="C12767" s="319" t="s">
        <v>26</v>
      </c>
      <c r="D12767" s="499">
        <v>4107.93</v>
      </c>
    </row>
    <row r="12768" spans="1:4" ht="38.25" x14ac:dyDescent="0.2">
      <c r="A12768" s="319">
        <v>36503</v>
      </c>
      <c r="B12768" s="498" t="s">
        <v>45223</v>
      </c>
      <c r="C12768" s="319" t="s">
        <v>26</v>
      </c>
      <c r="D12768" s="499">
        <v>5065.5600000000004</v>
      </c>
    </row>
    <row r="12769" spans="1:4" ht="25.5" x14ac:dyDescent="0.2">
      <c r="A12769" s="319">
        <v>4090</v>
      </c>
      <c r="B12769" s="498" t="s">
        <v>45224</v>
      </c>
      <c r="C12769" s="319" t="s">
        <v>26</v>
      </c>
      <c r="D12769" s="499">
        <v>1265000</v>
      </c>
    </row>
    <row r="12770" spans="1:4" ht="25.5" x14ac:dyDescent="0.2">
      <c r="A12770" s="319">
        <v>13227</v>
      </c>
      <c r="B12770" s="498" t="s">
        <v>45225</v>
      </c>
      <c r="C12770" s="319" t="s">
        <v>26</v>
      </c>
      <c r="D12770" s="499">
        <v>1571920.24</v>
      </c>
    </row>
    <row r="12771" spans="1:4" ht="25.5" x14ac:dyDescent="0.2">
      <c r="A12771" s="319">
        <v>10597</v>
      </c>
      <c r="B12771" s="498" t="s">
        <v>45226</v>
      </c>
      <c r="C12771" s="319" t="s">
        <v>26</v>
      </c>
      <c r="D12771" s="499">
        <v>1654648.84</v>
      </c>
    </row>
    <row r="12772" spans="1:4" x14ac:dyDescent="0.2">
      <c r="A12772" s="319">
        <v>39628</v>
      </c>
      <c r="B12772" s="498" t="s">
        <v>45227</v>
      </c>
      <c r="C12772" s="319" t="s">
        <v>26</v>
      </c>
      <c r="D12772" s="499"/>
    </row>
    <row r="12773" spans="1:4" x14ac:dyDescent="0.2">
      <c r="A12773" s="319">
        <v>39404</v>
      </c>
      <c r="B12773" s="498" t="s">
        <v>45228</v>
      </c>
      <c r="C12773" s="319" t="s">
        <v>26</v>
      </c>
      <c r="D12773" s="499"/>
    </row>
    <row r="12774" spans="1:4" ht="25.5" x14ac:dyDescent="0.2">
      <c r="A12774" s="319">
        <v>39402</v>
      </c>
      <c r="B12774" s="498" t="s">
        <v>45229</v>
      </c>
      <c r="C12774" s="319" t="s">
        <v>26</v>
      </c>
      <c r="D12774" s="499"/>
    </row>
    <row r="12775" spans="1:4" x14ac:dyDescent="0.2">
      <c r="A12775" s="319">
        <v>39403</v>
      </c>
      <c r="B12775" s="498" t="s">
        <v>45230</v>
      </c>
      <c r="C12775" s="319" t="s">
        <v>26</v>
      </c>
      <c r="D12775" s="499"/>
    </row>
    <row r="12776" spans="1:4" x14ac:dyDescent="0.2">
      <c r="A12776" s="319">
        <v>4093</v>
      </c>
      <c r="B12776" s="498" t="s">
        <v>45231</v>
      </c>
      <c r="C12776" s="319" t="s">
        <v>558</v>
      </c>
      <c r="D12776" s="499">
        <v>21.44</v>
      </c>
    </row>
    <row r="12777" spans="1:4" x14ac:dyDescent="0.2">
      <c r="A12777" s="319">
        <v>10512</v>
      </c>
      <c r="B12777" s="498" t="s">
        <v>45232</v>
      </c>
      <c r="C12777" s="319" t="s">
        <v>5681</v>
      </c>
      <c r="D12777" s="499">
        <v>3768.73</v>
      </c>
    </row>
    <row r="12778" spans="1:4" x14ac:dyDescent="0.2">
      <c r="A12778" s="319">
        <v>4243</v>
      </c>
      <c r="B12778" s="498" t="s">
        <v>45233</v>
      </c>
      <c r="C12778" s="319" t="s">
        <v>558</v>
      </c>
      <c r="D12778" s="499">
        <v>19.329999999999998</v>
      </c>
    </row>
    <row r="12779" spans="1:4" x14ac:dyDescent="0.2">
      <c r="A12779" s="319">
        <v>20020</v>
      </c>
      <c r="B12779" s="498" t="s">
        <v>45234</v>
      </c>
      <c r="C12779" s="319" t="s">
        <v>558</v>
      </c>
      <c r="D12779" s="499">
        <v>22.27</v>
      </c>
    </row>
    <row r="12780" spans="1:4" x14ac:dyDescent="0.2">
      <c r="A12780" s="319">
        <v>41038</v>
      </c>
      <c r="B12780" s="498" t="s">
        <v>45235</v>
      </c>
      <c r="C12780" s="319" t="s">
        <v>5681</v>
      </c>
      <c r="D12780" s="499">
        <v>3916.47</v>
      </c>
    </row>
    <row r="12781" spans="1:4" x14ac:dyDescent="0.2">
      <c r="A12781" s="319">
        <v>4094</v>
      </c>
      <c r="B12781" s="498" t="s">
        <v>45236</v>
      </c>
      <c r="C12781" s="319" t="s">
        <v>558</v>
      </c>
      <c r="D12781" s="499">
        <v>26.67</v>
      </c>
    </row>
    <row r="12782" spans="1:4" x14ac:dyDescent="0.2">
      <c r="A12782" s="319">
        <v>40988</v>
      </c>
      <c r="B12782" s="498" t="s">
        <v>45237</v>
      </c>
      <c r="C12782" s="319" t="s">
        <v>5681</v>
      </c>
      <c r="D12782" s="499">
        <v>4687.62</v>
      </c>
    </row>
    <row r="12783" spans="1:4" x14ac:dyDescent="0.2">
      <c r="A12783" s="319">
        <v>4095</v>
      </c>
      <c r="B12783" s="498" t="s">
        <v>45238</v>
      </c>
      <c r="C12783" s="319" t="s">
        <v>558</v>
      </c>
      <c r="D12783" s="499">
        <v>16.14</v>
      </c>
    </row>
    <row r="12784" spans="1:4" x14ac:dyDescent="0.2">
      <c r="A12784" s="319">
        <v>40990</v>
      </c>
      <c r="B12784" s="498" t="s">
        <v>45239</v>
      </c>
      <c r="C12784" s="319" t="s">
        <v>5681</v>
      </c>
      <c r="D12784" s="499">
        <v>2839.67</v>
      </c>
    </row>
    <row r="12785" spans="1:4" x14ac:dyDescent="0.2">
      <c r="A12785" s="319">
        <v>4096</v>
      </c>
      <c r="B12785" s="498" t="s">
        <v>45240</v>
      </c>
      <c r="C12785" s="319" t="s">
        <v>558</v>
      </c>
      <c r="D12785" s="499">
        <v>24.04</v>
      </c>
    </row>
    <row r="12786" spans="1:4" x14ac:dyDescent="0.2">
      <c r="A12786" s="319">
        <v>40992</v>
      </c>
      <c r="B12786" s="498" t="s">
        <v>45241</v>
      </c>
      <c r="C12786" s="319" t="s">
        <v>5681</v>
      </c>
      <c r="D12786" s="499">
        <v>4226.1400000000003</v>
      </c>
    </row>
    <row r="12787" spans="1:4" ht="25.5" x14ac:dyDescent="0.2">
      <c r="A12787" s="319">
        <v>4114</v>
      </c>
      <c r="B12787" s="498" t="s">
        <v>45242</v>
      </c>
      <c r="C12787" s="319" t="s">
        <v>26</v>
      </c>
      <c r="D12787" s="499">
        <v>68.510000000000005</v>
      </c>
    </row>
    <row r="12788" spans="1:4" x14ac:dyDescent="0.2">
      <c r="A12788" s="319">
        <v>36797</v>
      </c>
      <c r="B12788" s="498" t="s">
        <v>45243</v>
      </c>
      <c r="C12788" s="319" t="s">
        <v>26</v>
      </c>
      <c r="D12788" s="499">
        <v>61</v>
      </c>
    </row>
    <row r="12789" spans="1:4" x14ac:dyDescent="0.2">
      <c r="A12789" s="319">
        <v>4107</v>
      </c>
      <c r="B12789" s="498" t="s">
        <v>45244</v>
      </c>
      <c r="C12789" s="319" t="s">
        <v>26</v>
      </c>
      <c r="D12789" s="499">
        <v>57.52</v>
      </c>
    </row>
    <row r="12790" spans="1:4" x14ac:dyDescent="0.2">
      <c r="A12790" s="319">
        <v>4102</v>
      </c>
      <c r="B12790" s="498" t="s">
        <v>45245</v>
      </c>
      <c r="C12790" s="319" t="s">
        <v>26</v>
      </c>
      <c r="D12790" s="499">
        <v>70.209999999999994</v>
      </c>
    </row>
    <row r="12791" spans="1:4" x14ac:dyDescent="0.2">
      <c r="A12791" s="319">
        <v>36799</v>
      </c>
      <c r="B12791" s="498" t="s">
        <v>45246</v>
      </c>
      <c r="C12791" s="319" t="s">
        <v>26</v>
      </c>
      <c r="D12791" s="499">
        <v>59.21</v>
      </c>
    </row>
    <row r="12792" spans="1:4" ht="25.5" x14ac:dyDescent="0.2">
      <c r="A12792" s="319">
        <v>2747</v>
      </c>
      <c r="B12792" s="498" t="s">
        <v>45247</v>
      </c>
      <c r="C12792" s="319" t="s">
        <v>0</v>
      </c>
      <c r="D12792" s="499"/>
    </row>
    <row r="12793" spans="1:4" ht="25.5" x14ac:dyDescent="0.2">
      <c r="A12793" s="319">
        <v>21138</v>
      </c>
      <c r="B12793" s="498" t="s">
        <v>45248</v>
      </c>
      <c r="C12793" s="319" t="s">
        <v>0</v>
      </c>
      <c r="D12793" s="499"/>
    </row>
    <row r="12794" spans="1:4" ht="25.5" x14ac:dyDescent="0.2">
      <c r="A12794" s="319">
        <v>10826</v>
      </c>
      <c r="B12794" s="498" t="s">
        <v>45249</v>
      </c>
      <c r="C12794" s="319" t="s">
        <v>26</v>
      </c>
      <c r="D12794" s="499">
        <v>129.31</v>
      </c>
    </row>
    <row r="12795" spans="1:4" ht="25.5" x14ac:dyDescent="0.2">
      <c r="A12795" s="319">
        <v>365</v>
      </c>
      <c r="B12795" s="498" t="s">
        <v>45250</v>
      </c>
      <c r="C12795" s="319" t="s">
        <v>26</v>
      </c>
      <c r="D12795" s="499">
        <v>80.17</v>
      </c>
    </row>
    <row r="12796" spans="1:4" x14ac:dyDescent="0.2">
      <c r="A12796" s="319">
        <v>38639</v>
      </c>
      <c r="B12796" s="498" t="s">
        <v>45251</v>
      </c>
      <c r="C12796" s="319" t="s">
        <v>26</v>
      </c>
      <c r="D12796" s="499">
        <v>310.33999999999997</v>
      </c>
    </row>
    <row r="12797" spans="1:4" x14ac:dyDescent="0.2">
      <c r="A12797" s="319">
        <v>38640</v>
      </c>
      <c r="B12797" s="498" t="s">
        <v>45252</v>
      </c>
      <c r="C12797" s="319" t="s">
        <v>26</v>
      </c>
      <c r="D12797" s="499">
        <v>4.6500000000000004</v>
      </c>
    </row>
    <row r="12798" spans="1:4" ht="25.5" x14ac:dyDescent="0.2">
      <c r="A12798" s="319">
        <v>358</v>
      </c>
      <c r="B12798" s="498" t="s">
        <v>45253</v>
      </c>
      <c r="C12798" s="319" t="s">
        <v>26</v>
      </c>
      <c r="D12798" s="499">
        <v>95.68</v>
      </c>
    </row>
    <row r="12799" spans="1:4" ht="25.5" x14ac:dyDescent="0.2">
      <c r="A12799" s="319">
        <v>359</v>
      </c>
      <c r="B12799" s="498" t="s">
        <v>45254</v>
      </c>
      <c r="C12799" s="319" t="s">
        <v>26</v>
      </c>
      <c r="D12799" s="499">
        <v>196.55</v>
      </c>
    </row>
    <row r="12800" spans="1:4" x14ac:dyDescent="0.2">
      <c r="A12800" s="319">
        <v>38641</v>
      </c>
      <c r="B12800" s="498" t="s">
        <v>45255</v>
      </c>
      <c r="C12800" s="319" t="s">
        <v>26</v>
      </c>
      <c r="D12800" s="499">
        <v>193.96</v>
      </c>
    </row>
    <row r="12801" spans="1:4" ht="25.5" x14ac:dyDescent="0.2">
      <c r="A12801" s="319">
        <v>360</v>
      </c>
      <c r="B12801" s="498" t="s">
        <v>45256</v>
      </c>
      <c r="C12801" s="319" t="s">
        <v>26</v>
      </c>
      <c r="D12801" s="499">
        <v>4.5</v>
      </c>
    </row>
    <row r="12802" spans="1:4" ht="38.25" x14ac:dyDescent="0.2">
      <c r="A12802" s="319">
        <v>42430</v>
      </c>
      <c r="B12802" s="498" t="s">
        <v>45257</v>
      </c>
      <c r="C12802" s="319" t="s">
        <v>26</v>
      </c>
      <c r="D12802" s="499"/>
    </row>
    <row r="12803" spans="1:4" x14ac:dyDescent="0.2">
      <c r="A12803" s="319">
        <v>4209</v>
      </c>
      <c r="B12803" s="498" t="s">
        <v>45258</v>
      </c>
      <c r="C12803" s="319" t="s">
        <v>26</v>
      </c>
      <c r="D12803" s="499"/>
    </row>
    <row r="12804" spans="1:4" x14ac:dyDescent="0.2">
      <c r="A12804" s="319">
        <v>4180</v>
      </c>
      <c r="B12804" s="498" t="s">
        <v>45259</v>
      </c>
      <c r="C12804" s="319" t="s">
        <v>26</v>
      </c>
      <c r="D12804" s="499"/>
    </row>
    <row r="12805" spans="1:4" x14ac:dyDescent="0.2">
      <c r="A12805" s="319">
        <v>4179</v>
      </c>
      <c r="B12805" s="498" t="s">
        <v>45260</v>
      </c>
      <c r="C12805" s="319" t="s">
        <v>26</v>
      </c>
      <c r="D12805" s="499"/>
    </row>
    <row r="12806" spans="1:4" x14ac:dyDescent="0.2">
      <c r="A12806" s="319">
        <v>4177</v>
      </c>
      <c r="B12806" s="498" t="s">
        <v>45261</v>
      </c>
      <c r="C12806" s="319" t="s">
        <v>26</v>
      </c>
      <c r="D12806" s="499"/>
    </row>
    <row r="12807" spans="1:4" x14ac:dyDescent="0.2">
      <c r="A12807" s="319">
        <v>4208</v>
      </c>
      <c r="B12807" s="498" t="s">
        <v>45262</v>
      </c>
      <c r="C12807" s="319" t="s">
        <v>26</v>
      </c>
      <c r="D12807" s="499"/>
    </row>
    <row r="12808" spans="1:4" x14ac:dyDescent="0.2">
      <c r="A12808" s="319">
        <v>4181</v>
      </c>
      <c r="B12808" s="498" t="s">
        <v>45263</v>
      </c>
      <c r="C12808" s="319" t="s">
        <v>26</v>
      </c>
      <c r="D12808" s="499"/>
    </row>
    <row r="12809" spans="1:4" x14ac:dyDescent="0.2">
      <c r="A12809" s="319">
        <v>4182</v>
      </c>
      <c r="B12809" s="498" t="s">
        <v>45264</v>
      </c>
      <c r="C12809" s="319" t="s">
        <v>26</v>
      </c>
      <c r="D12809" s="499"/>
    </row>
    <row r="12810" spans="1:4" x14ac:dyDescent="0.2">
      <c r="A12810" s="319">
        <v>4178</v>
      </c>
      <c r="B12810" s="498" t="s">
        <v>45265</v>
      </c>
      <c r="C12810" s="319" t="s">
        <v>26</v>
      </c>
      <c r="D12810" s="499"/>
    </row>
    <row r="12811" spans="1:4" x14ac:dyDescent="0.2">
      <c r="A12811" s="319">
        <v>4183</v>
      </c>
      <c r="B12811" s="498" t="s">
        <v>45266</v>
      </c>
      <c r="C12811" s="319" t="s">
        <v>26</v>
      </c>
      <c r="D12811" s="499"/>
    </row>
    <row r="12812" spans="1:4" x14ac:dyDescent="0.2">
      <c r="A12812" s="319">
        <v>4184</v>
      </c>
      <c r="B12812" s="498" t="s">
        <v>45267</v>
      </c>
      <c r="C12812" s="319" t="s">
        <v>26</v>
      </c>
      <c r="D12812" s="499"/>
    </row>
    <row r="12813" spans="1:4" x14ac:dyDescent="0.2">
      <c r="A12813" s="319">
        <v>4185</v>
      </c>
      <c r="B12813" s="498" t="s">
        <v>45268</v>
      </c>
      <c r="C12813" s="319" t="s">
        <v>26</v>
      </c>
      <c r="D12813" s="499"/>
    </row>
    <row r="12814" spans="1:4" ht="25.5" x14ac:dyDescent="0.2">
      <c r="A12814" s="319">
        <v>4205</v>
      </c>
      <c r="B12814" s="498" t="s">
        <v>45269</v>
      </c>
      <c r="C12814" s="319" t="s">
        <v>26</v>
      </c>
      <c r="D12814" s="499"/>
    </row>
    <row r="12815" spans="1:4" x14ac:dyDescent="0.2">
      <c r="A12815" s="319">
        <v>4192</v>
      </c>
      <c r="B12815" s="498" t="s">
        <v>45270</v>
      </c>
      <c r="C12815" s="319" t="s">
        <v>26</v>
      </c>
      <c r="D12815" s="499"/>
    </row>
    <row r="12816" spans="1:4" x14ac:dyDescent="0.2">
      <c r="A12816" s="319">
        <v>4191</v>
      </c>
      <c r="B12816" s="498" t="s">
        <v>45271</v>
      </c>
      <c r="C12816" s="319" t="s">
        <v>26</v>
      </c>
      <c r="D12816" s="499"/>
    </row>
    <row r="12817" spans="1:4" x14ac:dyDescent="0.2">
      <c r="A12817" s="319">
        <v>4206</v>
      </c>
      <c r="B12817" s="498" t="s">
        <v>45272</v>
      </c>
      <c r="C12817" s="319" t="s">
        <v>26</v>
      </c>
      <c r="D12817" s="499"/>
    </row>
    <row r="12818" spans="1:4" x14ac:dyDescent="0.2">
      <c r="A12818" s="319">
        <v>4207</v>
      </c>
      <c r="B12818" s="498" t="s">
        <v>45273</v>
      </c>
      <c r="C12818" s="319" t="s">
        <v>26</v>
      </c>
      <c r="D12818" s="499"/>
    </row>
    <row r="12819" spans="1:4" x14ac:dyDescent="0.2">
      <c r="A12819" s="319">
        <v>4190</v>
      </c>
      <c r="B12819" s="498" t="s">
        <v>45274</v>
      </c>
      <c r="C12819" s="319" t="s">
        <v>26</v>
      </c>
      <c r="D12819" s="499"/>
    </row>
    <row r="12820" spans="1:4" x14ac:dyDescent="0.2">
      <c r="A12820" s="319">
        <v>4188</v>
      </c>
      <c r="B12820" s="498" t="s">
        <v>45275</v>
      </c>
      <c r="C12820" s="319" t="s">
        <v>26</v>
      </c>
      <c r="D12820" s="499"/>
    </row>
    <row r="12821" spans="1:4" x14ac:dyDescent="0.2">
      <c r="A12821" s="319">
        <v>4189</v>
      </c>
      <c r="B12821" s="498" t="s">
        <v>45276</v>
      </c>
      <c r="C12821" s="319" t="s">
        <v>26</v>
      </c>
      <c r="D12821" s="499"/>
    </row>
    <row r="12822" spans="1:4" x14ac:dyDescent="0.2">
      <c r="A12822" s="319">
        <v>4186</v>
      </c>
      <c r="B12822" s="498" t="s">
        <v>45277</v>
      </c>
      <c r="C12822" s="319" t="s">
        <v>26</v>
      </c>
      <c r="D12822" s="499"/>
    </row>
    <row r="12823" spans="1:4" x14ac:dyDescent="0.2">
      <c r="A12823" s="319">
        <v>4197</v>
      </c>
      <c r="B12823" s="498" t="s">
        <v>45278</v>
      </c>
      <c r="C12823" s="319" t="s">
        <v>26</v>
      </c>
      <c r="D12823" s="499"/>
    </row>
    <row r="12824" spans="1:4" x14ac:dyDescent="0.2">
      <c r="A12824" s="319">
        <v>4194</v>
      </c>
      <c r="B12824" s="498" t="s">
        <v>45279</v>
      </c>
      <c r="C12824" s="319" t="s">
        <v>26</v>
      </c>
      <c r="D12824" s="499"/>
    </row>
    <row r="12825" spans="1:4" x14ac:dyDescent="0.2">
      <c r="A12825" s="319">
        <v>4193</v>
      </c>
      <c r="B12825" s="498" t="s">
        <v>45280</v>
      </c>
      <c r="C12825" s="319" t="s">
        <v>26</v>
      </c>
      <c r="D12825" s="499"/>
    </row>
    <row r="12826" spans="1:4" x14ac:dyDescent="0.2">
      <c r="A12826" s="319">
        <v>4204</v>
      </c>
      <c r="B12826" s="498" t="s">
        <v>45281</v>
      </c>
      <c r="C12826" s="319" t="s">
        <v>26</v>
      </c>
      <c r="D12826" s="499"/>
    </row>
    <row r="12827" spans="1:4" x14ac:dyDescent="0.2">
      <c r="A12827" s="319">
        <v>4202</v>
      </c>
      <c r="B12827" s="498" t="s">
        <v>45282</v>
      </c>
      <c r="C12827" s="319" t="s">
        <v>26</v>
      </c>
      <c r="D12827" s="499"/>
    </row>
    <row r="12828" spans="1:4" x14ac:dyDescent="0.2">
      <c r="A12828" s="319">
        <v>4203</v>
      </c>
      <c r="B12828" s="498" t="s">
        <v>45283</v>
      </c>
      <c r="C12828" s="319" t="s">
        <v>26</v>
      </c>
      <c r="D12828" s="499"/>
    </row>
    <row r="12829" spans="1:4" x14ac:dyDescent="0.2">
      <c r="A12829" s="319">
        <v>4187</v>
      </c>
      <c r="B12829" s="498" t="s">
        <v>45284</v>
      </c>
      <c r="C12829" s="319" t="s">
        <v>26</v>
      </c>
      <c r="D12829" s="499"/>
    </row>
    <row r="12830" spans="1:4" ht="25.5" x14ac:dyDescent="0.2">
      <c r="A12830" s="319">
        <v>40368</v>
      </c>
      <c r="B12830" s="498" t="s">
        <v>45285</v>
      </c>
      <c r="C12830" s="319" t="s">
        <v>26</v>
      </c>
      <c r="D12830" s="499"/>
    </row>
    <row r="12831" spans="1:4" ht="25.5" x14ac:dyDescent="0.2">
      <c r="A12831" s="319">
        <v>40365</v>
      </c>
      <c r="B12831" s="498" t="s">
        <v>45286</v>
      </c>
      <c r="C12831" s="319" t="s">
        <v>26</v>
      </c>
      <c r="D12831" s="499"/>
    </row>
    <row r="12832" spans="1:4" ht="25.5" x14ac:dyDescent="0.2">
      <c r="A12832" s="319">
        <v>40362</v>
      </c>
      <c r="B12832" s="498" t="s">
        <v>45287</v>
      </c>
      <c r="C12832" s="319" t="s">
        <v>26</v>
      </c>
      <c r="D12832" s="499"/>
    </row>
    <row r="12833" spans="1:4" ht="25.5" x14ac:dyDescent="0.2">
      <c r="A12833" s="319">
        <v>40356</v>
      </c>
      <c r="B12833" s="498" t="s">
        <v>45288</v>
      </c>
      <c r="C12833" s="319" t="s">
        <v>26</v>
      </c>
      <c r="D12833" s="499"/>
    </row>
    <row r="12834" spans="1:4" ht="25.5" x14ac:dyDescent="0.2">
      <c r="A12834" s="319">
        <v>40374</v>
      </c>
      <c r="B12834" s="498" t="s">
        <v>45289</v>
      </c>
      <c r="C12834" s="319" t="s">
        <v>26</v>
      </c>
      <c r="D12834" s="499"/>
    </row>
    <row r="12835" spans="1:4" ht="25.5" x14ac:dyDescent="0.2">
      <c r="A12835" s="319">
        <v>40371</v>
      </c>
      <c r="B12835" s="498" t="s">
        <v>45290</v>
      </c>
      <c r="C12835" s="319" t="s">
        <v>26</v>
      </c>
      <c r="D12835" s="499"/>
    </row>
    <row r="12836" spans="1:4" ht="25.5" x14ac:dyDescent="0.2">
      <c r="A12836" s="319">
        <v>40359</v>
      </c>
      <c r="B12836" s="498" t="s">
        <v>45291</v>
      </c>
      <c r="C12836" s="319" t="s">
        <v>26</v>
      </c>
      <c r="D12836" s="499"/>
    </row>
    <row r="12837" spans="1:4" x14ac:dyDescent="0.2">
      <c r="A12837" s="319">
        <v>45201</v>
      </c>
      <c r="B12837" s="498" t="s">
        <v>48324</v>
      </c>
      <c r="C12837" s="319" t="s">
        <v>26</v>
      </c>
      <c r="D12837" s="499"/>
    </row>
    <row r="12838" spans="1:4" x14ac:dyDescent="0.2">
      <c r="A12838" s="319">
        <v>7595</v>
      </c>
      <c r="B12838" s="498" t="s">
        <v>45292</v>
      </c>
      <c r="C12838" s="319" t="s">
        <v>558</v>
      </c>
      <c r="D12838" s="499">
        <v>14.35</v>
      </c>
    </row>
    <row r="12839" spans="1:4" x14ac:dyDescent="0.2">
      <c r="A12839" s="319">
        <v>41094</v>
      </c>
      <c r="B12839" s="498" t="s">
        <v>45293</v>
      </c>
      <c r="C12839" s="319" t="s">
        <v>5681</v>
      </c>
      <c r="D12839" s="499">
        <v>2523.52</v>
      </c>
    </row>
    <row r="12840" spans="1:4" ht="25.5" x14ac:dyDescent="0.2">
      <c r="A12840" s="319">
        <v>39609</v>
      </c>
      <c r="B12840" s="498" t="s">
        <v>45294</v>
      </c>
      <c r="C12840" s="319" t="s">
        <v>26</v>
      </c>
      <c r="D12840" s="499">
        <v>50618.99</v>
      </c>
    </row>
    <row r="12841" spans="1:4" ht="25.5" x14ac:dyDescent="0.2">
      <c r="A12841" s="319">
        <v>39610</v>
      </c>
      <c r="B12841" s="498" t="s">
        <v>45295</v>
      </c>
      <c r="C12841" s="319" t="s">
        <v>26</v>
      </c>
      <c r="D12841" s="499">
        <v>73887.929999999993</v>
      </c>
    </row>
    <row r="12842" spans="1:4" ht="25.5" x14ac:dyDescent="0.2">
      <c r="A12842" s="319">
        <v>39611</v>
      </c>
      <c r="B12842" s="498" t="s">
        <v>45296</v>
      </c>
      <c r="C12842" s="319" t="s">
        <v>26</v>
      </c>
      <c r="D12842" s="499">
        <v>89416.49</v>
      </c>
    </row>
    <row r="12843" spans="1:4" ht="25.5" x14ac:dyDescent="0.2">
      <c r="A12843" s="319">
        <v>39612</v>
      </c>
      <c r="B12843" s="498" t="s">
        <v>45297</v>
      </c>
      <c r="C12843" s="319" t="s">
        <v>26</v>
      </c>
      <c r="D12843" s="499">
        <v>140072.95000000001</v>
      </c>
    </row>
    <row r="12844" spans="1:4" ht="25.5" x14ac:dyDescent="0.2">
      <c r="A12844" s="319">
        <v>39608</v>
      </c>
      <c r="B12844" s="498" t="s">
        <v>45298</v>
      </c>
      <c r="C12844" s="319" t="s">
        <v>26</v>
      </c>
      <c r="D12844" s="499">
        <v>40474.410000000003</v>
      </c>
    </row>
    <row r="12845" spans="1:4" ht="25.5" x14ac:dyDescent="0.2">
      <c r="A12845" s="319">
        <v>38175</v>
      </c>
      <c r="B12845" s="498" t="s">
        <v>45299</v>
      </c>
      <c r="C12845" s="319" t="s">
        <v>26</v>
      </c>
      <c r="D12845" s="499">
        <v>4.87</v>
      </c>
    </row>
    <row r="12846" spans="1:4" ht="25.5" x14ac:dyDescent="0.2">
      <c r="A12846" s="319">
        <v>38176</v>
      </c>
      <c r="B12846" s="498" t="s">
        <v>45300</v>
      </c>
      <c r="C12846" s="319" t="s">
        <v>26</v>
      </c>
      <c r="D12846" s="499">
        <v>14.34</v>
      </c>
    </row>
    <row r="12847" spans="1:4" ht="25.5" x14ac:dyDescent="0.2">
      <c r="A12847" s="319">
        <v>36152</v>
      </c>
      <c r="B12847" s="498" t="s">
        <v>45301</v>
      </c>
      <c r="C12847" s="319" t="s">
        <v>26</v>
      </c>
      <c r="D12847" s="499">
        <v>6</v>
      </c>
    </row>
    <row r="12848" spans="1:4" x14ac:dyDescent="0.2">
      <c r="A12848" s="319">
        <v>45212</v>
      </c>
      <c r="B12848" s="498" t="s">
        <v>48325</v>
      </c>
      <c r="C12848" s="319" t="s">
        <v>26</v>
      </c>
      <c r="D12848" s="499">
        <v>60.06</v>
      </c>
    </row>
    <row r="12849" spans="1:4" x14ac:dyDescent="0.2">
      <c r="A12849" s="319">
        <v>4221</v>
      </c>
      <c r="B12849" s="498" t="s">
        <v>45302</v>
      </c>
      <c r="C12849" s="319" t="s">
        <v>9</v>
      </c>
      <c r="D12849" s="499">
        <v>6.34</v>
      </c>
    </row>
    <row r="12850" spans="1:4" ht="25.5" x14ac:dyDescent="0.2">
      <c r="A12850" s="319">
        <v>4227</v>
      </c>
      <c r="B12850" s="498" t="s">
        <v>45303</v>
      </c>
      <c r="C12850" s="319" t="s">
        <v>9</v>
      </c>
      <c r="D12850" s="499">
        <v>29.56</v>
      </c>
    </row>
    <row r="12851" spans="1:4" ht="38.25" x14ac:dyDescent="0.2">
      <c r="A12851" s="319">
        <v>38170</v>
      </c>
      <c r="B12851" s="498" t="s">
        <v>45304</v>
      </c>
      <c r="C12851" s="319" t="s">
        <v>26</v>
      </c>
      <c r="D12851" s="499">
        <v>21.31</v>
      </c>
    </row>
    <row r="12852" spans="1:4" x14ac:dyDescent="0.2">
      <c r="A12852" s="319">
        <v>4252</v>
      </c>
      <c r="B12852" s="498" t="s">
        <v>45305</v>
      </c>
      <c r="C12852" s="319" t="s">
        <v>558</v>
      </c>
      <c r="D12852" s="499">
        <v>19.829999999999998</v>
      </c>
    </row>
    <row r="12853" spans="1:4" x14ac:dyDescent="0.2">
      <c r="A12853" s="319">
        <v>40980</v>
      </c>
      <c r="B12853" s="498" t="s">
        <v>45306</v>
      </c>
      <c r="C12853" s="319" t="s">
        <v>5681</v>
      </c>
      <c r="D12853" s="499">
        <v>3485.29</v>
      </c>
    </row>
    <row r="12854" spans="1:4" x14ac:dyDescent="0.2">
      <c r="A12854" s="319">
        <v>41031</v>
      </c>
      <c r="B12854" s="498" t="s">
        <v>45307</v>
      </c>
      <c r="C12854" s="319" t="s">
        <v>5681</v>
      </c>
      <c r="D12854" s="499">
        <v>3400.27</v>
      </c>
    </row>
    <row r="12855" spans="1:4" x14ac:dyDescent="0.2">
      <c r="A12855" s="319">
        <v>37666</v>
      </c>
      <c r="B12855" s="498" t="s">
        <v>45308</v>
      </c>
      <c r="C12855" s="319" t="s">
        <v>558</v>
      </c>
      <c r="D12855" s="499">
        <v>17.670000000000002</v>
      </c>
    </row>
    <row r="12856" spans="1:4" x14ac:dyDescent="0.2">
      <c r="A12856" s="319">
        <v>40986</v>
      </c>
      <c r="B12856" s="498" t="s">
        <v>45309</v>
      </c>
      <c r="C12856" s="319" t="s">
        <v>5681</v>
      </c>
      <c r="D12856" s="499">
        <v>3109.54</v>
      </c>
    </row>
    <row r="12857" spans="1:4" x14ac:dyDescent="0.2">
      <c r="A12857" s="319">
        <v>4250</v>
      </c>
      <c r="B12857" s="498" t="s">
        <v>45310</v>
      </c>
      <c r="C12857" s="319" t="s">
        <v>558</v>
      </c>
      <c r="D12857" s="499">
        <v>15.71</v>
      </c>
    </row>
    <row r="12858" spans="1:4" x14ac:dyDescent="0.2">
      <c r="A12858" s="319">
        <v>40978</v>
      </c>
      <c r="B12858" s="498" t="s">
        <v>45311</v>
      </c>
      <c r="C12858" s="319" t="s">
        <v>5681</v>
      </c>
      <c r="D12858" s="499">
        <v>2765.19</v>
      </c>
    </row>
    <row r="12859" spans="1:4" x14ac:dyDescent="0.2">
      <c r="A12859" s="319">
        <v>44501</v>
      </c>
      <c r="B12859" s="498" t="s">
        <v>45312</v>
      </c>
      <c r="C12859" s="319" t="s">
        <v>558</v>
      </c>
      <c r="D12859" s="499">
        <v>19.329999999999998</v>
      </c>
    </row>
    <row r="12860" spans="1:4" x14ac:dyDescent="0.2">
      <c r="A12860" s="319">
        <v>41043</v>
      </c>
      <c r="B12860" s="498" t="s">
        <v>45313</v>
      </c>
      <c r="C12860" s="319" t="s">
        <v>5681</v>
      </c>
      <c r="D12860" s="499">
        <v>3400.27</v>
      </c>
    </row>
    <row r="12861" spans="1:4" x14ac:dyDescent="0.2">
      <c r="A12861" s="319">
        <v>4234</v>
      </c>
      <c r="B12861" s="498" t="s">
        <v>45314</v>
      </c>
      <c r="C12861" s="319" t="s">
        <v>558</v>
      </c>
      <c r="D12861" s="499">
        <v>22.92</v>
      </c>
    </row>
    <row r="12862" spans="1:4" x14ac:dyDescent="0.2">
      <c r="A12862" s="319">
        <v>40987</v>
      </c>
      <c r="B12862" s="498" t="s">
        <v>45315</v>
      </c>
      <c r="C12862" s="319" t="s">
        <v>5681</v>
      </c>
      <c r="D12862" s="499">
        <v>4028.76</v>
      </c>
    </row>
    <row r="12863" spans="1:4" x14ac:dyDescent="0.2">
      <c r="A12863" s="319">
        <v>4253</v>
      </c>
      <c r="B12863" s="498" t="s">
        <v>45316</v>
      </c>
      <c r="C12863" s="319" t="s">
        <v>558</v>
      </c>
      <c r="D12863" s="499">
        <v>17.670000000000002</v>
      </c>
    </row>
    <row r="12864" spans="1:4" x14ac:dyDescent="0.2">
      <c r="A12864" s="319">
        <v>40981</v>
      </c>
      <c r="B12864" s="498" t="s">
        <v>45317</v>
      </c>
      <c r="C12864" s="319" t="s">
        <v>5681</v>
      </c>
      <c r="D12864" s="499">
        <v>3109.54</v>
      </c>
    </row>
    <row r="12865" spans="1:4" x14ac:dyDescent="0.2">
      <c r="A12865" s="319">
        <v>4254</v>
      </c>
      <c r="B12865" s="498" t="s">
        <v>45318</v>
      </c>
      <c r="C12865" s="319" t="s">
        <v>558</v>
      </c>
      <c r="D12865" s="499">
        <v>32.24</v>
      </c>
    </row>
    <row r="12866" spans="1:4" x14ac:dyDescent="0.2">
      <c r="A12866" s="319">
        <v>41036</v>
      </c>
      <c r="B12866" s="498" t="s">
        <v>45319</v>
      </c>
      <c r="C12866" s="319" t="s">
        <v>5681</v>
      </c>
      <c r="D12866" s="499">
        <v>5668.46</v>
      </c>
    </row>
    <row r="12867" spans="1:4" x14ac:dyDescent="0.2">
      <c r="A12867" s="319">
        <v>4251</v>
      </c>
      <c r="B12867" s="498" t="s">
        <v>45320</v>
      </c>
      <c r="C12867" s="319" t="s">
        <v>558</v>
      </c>
      <c r="D12867" s="499">
        <v>19.309999999999999</v>
      </c>
    </row>
    <row r="12868" spans="1:4" x14ac:dyDescent="0.2">
      <c r="A12868" s="319">
        <v>40979</v>
      </c>
      <c r="B12868" s="498" t="s">
        <v>45321</v>
      </c>
      <c r="C12868" s="319" t="s">
        <v>5681</v>
      </c>
      <c r="D12868" s="499">
        <v>3396.7</v>
      </c>
    </row>
    <row r="12869" spans="1:4" ht="25.5" x14ac:dyDescent="0.2">
      <c r="A12869" s="319">
        <v>4230</v>
      </c>
      <c r="B12869" s="498" t="s">
        <v>45322</v>
      </c>
      <c r="C12869" s="319" t="s">
        <v>558</v>
      </c>
      <c r="D12869" s="499">
        <v>22.48</v>
      </c>
    </row>
    <row r="12870" spans="1:4" ht="25.5" x14ac:dyDescent="0.2">
      <c r="A12870" s="319">
        <v>40998</v>
      </c>
      <c r="B12870" s="498" t="s">
        <v>45323</v>
      </c>
      <c r="C12870" s="319" t="s">
        <v>5681</v>
      </c>
      <c r="D12870" s="499">
        <v>3954.28</v>
      </c>
    </row>
    <row r="12871" spans="1:4" x14ac:dyDescent="0.2">
      <c r="A12871" s="319">
        <v>4257</v>
      </c>
      <c r="B12871" s="498" t="s">
        <v>45324</v>
      </c>
      <c r="C12871" s="319" t="s">
        <v>558</v>
      </c>
      <c r="D12871" s="499">
        <v>17.41</v>
      </c>
    </row>
    <row r="12872" spans="1:4" x14ac:dyDescent="0.2">
      <c r="A12872" s="319">
        <v>40982</v>
      </c>
      <c r="B12872" s="498" t="s">
        <v>45325</v>
      </c>
      <c r="C12872" s="319" t="s">
        <v>5681</v>
      </c>
      <c r="D12872" s="499">
        <v>3061.84</v>
      </c>
    </row>
    <row r="12873" spans="1:4" x14ac:dyDescent="0.2">
      <c r="A12873" s="319">
        <v>4240</v>
      </c>
      <c r="B12873" s="498" t="s">
        <v>45326</v>
      </c>
      <c r="C12873" s="319" t="s">
        <v>558</v>
      </c>
      <c r="D12873" s="499">
        <v>33.49</v>
      </c>
    </row>
    <row r="12874" spans="1:4" x14ac:dyDescent="0.2">
      <c r="A12874" s="319">
        <v>41026</v>
      </c>
      <c r="B12874" s="498" t="s">
        <v>45327</v>
      </c>
      <c r="C12874" s="319" t="s">
        <v>5681</v>
      </c>
      <c r="D12874" s="499">
        <v>5887.69</v>
      </c>
    </row>
    <row r="12875" spans="1:4" x14ac:dyDescent="0.2">
      <c r="A12875" s="319">
        <v>4239</v>
      </c>
      <c r="B12875" s="498" t="s">
        <v>45328</v>
      </c>
      <c r="C12875" s="319" t="s">
        <v>558</v>
      </c>
      <c r="D12875" s="499">
        <v>33.49</v>
      </c>
    </row>
    <row r="12876" spans="1:4" x14ac:dyDescent="0.2">
      <c r="A12876" s="319">
        <v>41024</v>
      </c>
      <c r="B12876" s="498" t="s">
        <v>45329</v>
      </c>
      <c r="C12876" s="319" t="s">
        <v>5681</v>
      </c>
      <c r="D12876" s="499">
        <v>5887.69</v>
      </c>
    </row>
    <row r="12877" spans="1:4" x14ac:dyDescent="0.2">
      <c r="A12877" s="319">
        <v>4248</v>
      </c>
      <c r="B12877" s="498" t="s">
        <v>45330</v>
      </c>
      <c r="C12877" s="319" t="s">
        <v>558</v>
      </c>
      <c r="D12877" s="499">
        <v>20.75</v>
      </c>
    </row>
    <row r="12878" spans="1:4" x14ac:dyDescent="0.2">
      <c r="A12878" s="319">
        <v>41033</v>
      </c>
      <c r="B12878" s="498" t="s">
        <v>45331</v>
      </c>
      <c r="C12878" s="319" t="s">
        <v>5681</v>
      </c>
      <c r="D12878" s="499">
        <v>3648.28</v>
      </c>
    </row>
    <row r="12879" spans="1:4" x14ac:dyDescent="0.2">
      <c r="A12879" s="319">
        <v>44500</v>
      </c>
      <c r="B12879" s="498" t="s">
        <v>45332</v>
      </c>
      <c r="C12879" s="319" t="s">
        <v>558</v>
      </c>
      <c r="D12879" s="499">
        <v>19.329999999999998</v>
      </c>
    </row>
    <row r="12880" spans="1:4" x14ac:dyDescent="0.2">
      <c r="A12880" s="319">
        <v>41040</v>
      </c>
      <c r="B12880" s="498" t="s">
        <v>45333</v>
      </c>
      <c r="C12880" s="319" t="s">
        <v>5681</v>
      </c>
      <c r="D12880" s="499">
        <v>3400.27</v>
      </c>
    </row>
    <row r="12881" spans="1:4" x14ac:dyDescent="0.2">
      <c r="A12881" s="319">
        <v>4238</v>
      </c>
      <c r="B12881" s="498" t="s">
        <v>45334</v>
      </c>
      <c r="C12881" s="319" t="s">
        <v>558</v>
      </c>
      <c r="D12881" s="499">
        <v>22.69</v>
      </c>
    </row>
    <row r="12882" spans="1:4" x14ac:dyDescent="0.2">
      <c r="A12882" s="319">
        <v>41012</v>
      </c>
      <c r="B12882" s="498" t="s">
        <v>45335</v>
      </c>
      <c r="C12882" s="319" t="s">
        <v>5681</v>
      </c>
      <c r="D12882" s="499">
        <v>3988.46</v>
      </c>
    </row>
    <row r="12883" spans="1:4" x14ac:dyDescent="0.2">
      <c r="A12883" s="319">
        <v>4233</v>
      </c>
      <c r="B12883" s="498" t="s">
        <v>45336</v>
      </c>
      <c r="C12883" s="319" t="s">
        <v>558</v>
      </c>
      <c r="D12883" s="499">
        <v>33.49</v>
      </c>
    </row>
    <row r="12884" spans="1:4" x14ac:dyDescent="0.2">
      <c r="A12884" s="319">
        <v>41001</v>
      </c>
      <c r="B12884" s="498" t="s">
        <v>45337</v>
      </c>
      <c r="C12884" s="319" t="s">
        <v>5681</v>
      </c>
      <c r="D12884" s="499">
        <v>5887.69</v>
      </c>
    </row>
    <row r="12885" spans="1:4" ht="25.5" x14ac:dyDescent="0.2">
      <c r="A12885" s="319">
        <v>2</v>
      </c>
      <c r="B12885" s="498" t="s">
        <v>48326</v>
      </c>
      <c r="C12885" s="319" t="s">
        <v>271</v>
      </c>
      <c r="D12885" s="499">
        <v>19.8</v>
      </c>
    </row>
    <row r="12886" spans="1:4" ht="25.5" x14ac:dyDescent="0.2">
      <c r="A12886" s="319">
        <v>14221</v>
      </c>
      <c r="B12886" s="498" t="s">
        <v>45338</v>
      </c>
      <c r="C12886" s="319" t="s">
        <v>26</v>
      </c>
      <c r="D12886" s="499">
        <v>688696.64</v>
      </c>
    </row>
    <row r="12887" spans="1:4" ht="25.5" x14ac:dyDescent="0.2">
      <c r="A12887" s="319">
        <v>36517</v>
      </c>
      <c r="B12887" s="498" t="s">
        <v>45339</v>
      </c>
      <c r="C12887" s="319" t="s">
        <v>26</v>
      </c>
      <c r="D12887" s="499">
        <v>663780</v>
      </c>
    </row>
    <row r="12888" spans="1:4" ht="25.5" x14ac:dyDescent="0.2">
      <c r="A12888" s="319">
        <v>4262</v>
      </c>
      <c r="B12888" s="498" t="s">
        <v>45340</v>
      </c>
      <c r="C12888" s="319" t="s">
        <v>26</v>
      </c>
      <c r="D12888" s="499">
        <v>747500</v>
      </c>
    </row>
    <row r="12889" spans="1:4" ht="25.5" x14ac:dyDescent="0.2">
      <c r="A12889" s="319">
        <v>4263</v>
      </c>
      <c r="B12889" s="498" t="s">
        <v>45341</v>
      </c>
      <c r="C12889" s="319" t="s">
        <v>26</v>
      </c>
      <c r="D12889" s="499">
        <v>1036533.28</v>
      </c>
    </row>
    <row r="12890" spans="1:4" ht="25.5" x14ac:dyDescent="0.2">
      <c r="A12890" s="319">
        <v>36518</v>
      </c>
      <c r="B12890" s="498" t="s">
        <v>45342</v>
      </c>
      <c r="C12890" s="319" t="s">
        <v>26</v>
      </c>
      <c r="D12890" s="499">
        <v>1180053.28</v>
      </c>
    </row>
    <row r="12891" spans="1:4" x14ac:dyDescent="0.2">
      <c r="A12891" s="319">
        <v>38402</v>
      </c>
      <c r="B12891" s="498" t="s">
        <v>45343</v>
      </c>
      <c r="C12891" s="319" t="s">
        <v>26</v>
      </c>
      <c r="D12891" s="499"/>
    </row>
    <row r="12892" spans="1:4" x14ac:dyDescent="0.2">
      <c r="A12892" s="319">
        <v>45234</v>
      </c>
      <c r="B12892" s="498" t="s">
        <v>48327</v>
      </c>
      <c r="C12892" s="319" t="s">
        <v>26</v>
      </c>
      <c r="D12892" s="499"/>
    </row>
    <row r="12893" spans="1:4" ht="25.5" x14ac:dyDescent="0.2">
      <c r="A12893" s="319">
        <v>3412</v>
      </c>
      <c r="B12893" s="498" t="s">
        <v>45344</v>
      </c>
      <c r="C12893" s="319" t="s">
        <v>255</v>
      </c>
      <c r="D12893" s="499"/>
    </row>
    <row r="12894" spans="1:4" ht="25.5" x14ac:dyDescent="0.2">
      <c r="A12894" s="319">
        <v>3413</v>
      </c>
      <c r="B12894" s="498" t="s">
        <v>45345</v>
      </c>
      <c r="C12894" s="319" t="s">
        <v>255</v>
      </c>
      <c r="D12894" s="499"/>
    </row>
    <row r="12895" spans="1:4" ht="25.5" x14ac:dyDescent="0.2">
      <c r="A12895" s="319">
        <v>39744</v>
      </c>
      <c r="B12895" s="498" t="s">
        <v>45346</v>
      </c>
      <c r="C12895" s="319" t="s">
        <v>255</v>
      </c>
      <c r="D12895" s="499"/>
    </row>
    <row r="12896" spans="1:4" ht="25.5" x14ac:dyDescent="0.2">
      <c r="A12896" s="319">
        <v>39745</v>
      </c>
      <c r="B12896" s="498" t="s">
        <v>45347</v>
      </c>
      <c r="C12896" s="319" t="s">
        <v>255</v>
      </c>
      <c r="D12896" s="499"/>
    </row>
    <row r="12897" spans="1:4" ht="25.5" x14ac:dyDescent="0.2">
      <c r="A12897" s="319">
        <v>39637</v>
      </c>
      <c r="B12897" s="498" t="s">
        <v>45348</v>
      </c>
      <c r="C12897" s="319" t="s">
        <v>255</v>
      </c>
      <c r="D12897" s="499">
        <v>136.5</v>
      </c>
    </row>
    <row r="12898" spans="1:4" ht="25.5" x14ac:dyDescent="0.2">
      <c r="A12898" s="319">
        <v>39638</v>
      </c>
      <c r="B12898" s="498" t="s">
        <v>45349</v>
      </c>
      <c r="C12898" s="319" t="s">
        <v>255</v>
      </c>
      <c r="D12898" s="499">
        <v>154.46</v>
      </c>
    </row>
    <row r="12899" spans="1:4" ht="25.5" x14ac:dyDescent="0.2">
      <c r="A12899" s="319">
        <v>39639</v>
      </c>
      <c r="B12899" s="498" t="s">
        <v>45350</v>
      </c>
      <c r="C12899" s="319" t="s">
        <v>255</v>
      </c>
      <c r="D12899" s="499">
        <v>233.04</v>
      </c>
    </row>
    <row r="12900" spans="1:4" ht="51" x14ac:dyDescent="0.2">
      <c r="A12900" s="319">
        <v>39517</v>
      </c>
      <c r="B12900" s="498" t="s">
        <v>45351</v>
      </c>
      <c r="C12900" s="319" t="s">
        <v>255</v>
      </c>
      <c r="D12900" s="499"/>
    </row>
    <row r="12901" spans="1:4" ht="51" x14ac:dyDescent="0.2">
      <c r="A12901" s="319">
        <v>39518</v>
      </c>
      <c r="B12901" s="498" t="s">
        <v>45352</v>
      </c>
      <c r="C12901" s="319" t="s">
        <v>255</v>
      </c>
      <c r="D12901" s="499"/>
    </row>
    <row r="12902" spans="1:4" x14ac:dyDescent="0.2">
      <c r="A12902" s="319">
        <v>38366</v>
      </c>
      <c r="B12902" s="498" t="s">
        <v>45353</v>
      </c>
      <c r="C12902" s="319" t="s">
        <v>255</v>
      </c>
      <c r="D12902" s="499"/>
    </row>
    <row r="12903" spans="1:4" x14ac:dyDescent="0.2">
      <c r="A12903" s="319">
        <v>11703</v>
      </c>
      <c r="B12903" s="498" t="s">
        <v>45354</v>
      </c>
      <c r="C12903" s="319" t="s">
        <v>26</v>
      </c>
      <c r="D12903" s="499">
        <v>15.54</v>
      </c>
    </row>
    <row r="12904" spans="1:4" x14ac:dyDescent="0.2">
      <c r="A12904" s="319">
        <v>37400</v>
      </c>
      <c r="B12904" s="498" t="s">
        <v>45355</v>
      </c>
      <c r="C12904" s="319" t="s">
        <v>26</v>
      </c>
      <c r="D12904" s="499">
        <v>44.75</v>
      </c>
    </row>
    <row r="12905" spans="1:4" ht="38.25" x14ac:dyDescent="0.2">
      <c r="A12905" s="319">
        <v>25400</v>
      </c>
      <c r="B12905" s="498" t="s">
        <v>45356</v>
      </c>
      <c r="C12905" s="319" t="s">
        <v>26</v>
      </c>
      <c r="D12905" s="499">
        <v>3550.48</v>
      </c>
    </row>
    <row r="12906" spans="1:4" ht="25.5" x14ac:dyDescent="0.2">
      <c r="A12906" s="319">
        <v>4276</v>
      </c>
      <c r="B12906" s="498" t="s">
        <v>45357</v>
      </c>
      <c r="C12906" s="319" t="s">
        <v>26</v>
      </c>
      <c r="D12906" s="499"/>
    </row>
    <row r="12907" spans="1:4" ht="25.5" x14ac:dyDescent="0.2">
      <c r="A12907" s="319">
        <v>4273</v>
      </c>
      <c r="B12907" s="498" t="s">
        <v>45358</v>
      </c>
      <c r="C12907" s="319" t="s">
        <v>26</v>
      </c>
      <c r="D12907" s="499"/>
    </row>
    <row r="12908" spans="1:4" ht="25.5" x14ac:dyDescent="0.2">
      <c r="A12908" s="319">
        <v>4274</v>
      </c>
      <c r="B12908" s="498" t="s">
        <v>45359</v>
      </c>
      <c r="C12908" s="319" t="s">
        <v>26</v>
      </c>
      <c r="D12908" s="499"/>
    </row>
    <row r="12909" spans="1:4" ht="38.25" x14ac:dyDescent="0.2">
      <c r="A12909" s="319">
        <v>39438</v>
      </c>
      <c r="B12909" s="498" t="s">
        <v>45360</v>
      </c>
      <c r="C12909" s="319" t="s">
        <v>26</v>
      </c>
      <c r="D12909" s="499">
        <v>0.36</v>
      </c>
    </row>
    <row r="12910" spans="1:4" ht="25.5" x14ac:dyDescent="0.2">
      <c r="A12910" s="319">
        <v>4379</v>
      </c>
      <c r="B12910" s="498" t="s">
        <v>45361</v>
      </c>
      <c r="C12910" s="319" t="s">
        <v>26</v>
      </c>
      <c r="D12910" s="499">
        <v>7.0000000000000007E-2</v>
      </c>
    </row>
    <row r="12911" spans="1:4" ht="25.5" x14ac:dyDescent="0.2">
      <c r="A12911" s="319">
        <v>4377</v>
      </c>
      <c r="B12911" s="498" t="s">
        <v>45362</v>
      </c>
      <c r="C12911" s="319" t="s">
        <v>26</v>
      </c>
      <c r="D12911" s="499">
        <v>0.26</v>
      </c>
    </row>
    <row r="12912" spans="1:4" ht="25.5" x14ac:dyDescent="0.2">
      <c r="A12912" s="319">
        <v>4356</v>
      </c>
      <c r="B12912" s="498" t="s">
        <v>45363</v>
      </c>
      <c r="C12912" s="319" t="s">
        <v>26</v>
      </c>
      <c r="D12912" s="499">
        <v>0.36</v>
      </c>
    </row>
    <row r="12913" spans="1:4" ht="25.5" x14ac:dyDescent="0.2">
      <c r="A12913" s="319">
        <v>13246</v>
      </c>
      <c r="B12913" s="498" t="s">
        <v>45364</v>
      </c>
      <c r="C12913" s="319" t="s">
        <v>26</v>
      </c>
      <c r="D12913" s="499">
        <v>0.62</v>
      </c>
    </row>
    <row r="12914" spans="1:4" ht="25.5" x14ac:dyDescent="0.2">
      <c r="A12914" s="319">
        <v>13294</v>
      </c>
      <c r="B12914" s="498" t="s">
        <v>45365</v>
      </c>
      <c r="C12914" s="319" t="s">
        <v>26</v>
      </c>
      <c r="D12914" s="499">
        <v>2.08</v>
      </c>
    </row>
    <row r="12915" spans="1:4" ht="25.5" x14ac:dyDescent="0.2">
      <c r="A12915" s="319">
        <v>11963</v>
      </c>
      <c r="B12915" s="498" t="s">
        <v>45366</v>
      </c>
      <c r="C12915" s="319" t="s">
        <v>26</v>
      </c>
      <c r="D12915" s="499">
        <v>13.12</v>
      </c>
    </row>
    <row r="12916" spans="1:4" ht="25.5" x14ac:dyDescent="0.2">
      <c r="A12916" s="319">
        <v>11964</v>
      </c>
      <c r="B12916" s="498" t="s">
        <v>45367</v>
      </c>
      <c r="C12916" s="319" t="s">
        <v>26</v>
      </c>
      <c r="D12916" s="499">
        <v>3.31</v>
      </c>
    </row>
    <row r="12917" spans="1:4" ht="25.5" x14ac:dyDescent="0.2">
      <c r="A12917" s="319">
        <v>4346</v>
      </c>
      <c r="B12917" s="498" t="s">
        <v>45368</v>
      </c>
      <c r="C12917" s="319" t="s">
        <v>26</v>
      </c>
      <c r="D12917" s="499">
        <v>14.06</v>
      </c>
    </row>
    <row r="12918" spans="1:4" ht="25.5" x14ac:dyDescent="0.2">
      <c r="A12918" s="319">
        <v>11955</v>
      </c>
      <c r="B12918" s="498" t="s">
        <v>45369</v>
      </c>
      <c r="C12918" s="319" t="s">
        <v>26</v>
      </c>
      <c r="D12918" s="499">
        <v>6.15</v>
      </c>
    </row>
    <row r="12919" spans="1:4" ht="25.5" x14ac:dyDescent="0.2">
      <c r="A12919" s="319">
        <v>11960</v>
      </c>
      <c r="B12919" s="498" t="s">
        <v>45370</v>
      </c>
      <c r="C12919" s="319" t="s">
        <v>26</v>
      </c>
      <c r="D12919" s="499">
        <v>0.2</v>
      </c>
    </row>
    <row r="12920" spans="1:4" ht="25.5" x14ac:dyDescent="0.2">
      <c r="A12920" s="319">
        <v>4333</v>
      </c>
      <c r="B12920" s="498" t="s">
        <v>45371</v>
      </c>
      <c r="C12920" s="319" t="s">
        <v>26</v>
      </c>
      <c r="D12920" s="499">
        <v>0.36</v>
      </c>
    </row>
    <row r="12921" spans="1:4" ht="25.5" x14ac:dyDescent="0.2">
      <c r="A12921" s="319">
        <v>4358</v>
      </c>
      <c r="B12921" s="498" t="s">
        <v>45372</v>
      </c>
      <c r="C12921" s="319" t="s">
        <v>26</v>
      </c>
      <c r="D12921" s="499">
        <v>2.81</v>
      </c>
    </row>
    <row r="12922" spans="1:4" ht="25.5" x14ac:dyDescent="0.2">
      <c r="A12922" s="319">
        <v>39435</v>
      </c>
      <c r="B12922" s="498" t="s">
        <v>45373</v>
      </c>
      <c r="C12922" s="319" t="s">
        <v>26</v>
      </c>
      <c r="D12922" s="499">
        <v>0.14000000000000001</v>
      </c>
    </row>
    <row r="12923" spans="1:4" ht="25.5" x14ac:dyDescent="0.2">
      <c r="A12923" s="319">
        <v>39436</v>
      </c>
      <c r="B12923" s="498" t="s">
        <v>45374</v>
      </c>
      <c r="C12923" s="319" t="s">
        <v>26</v>
      </c>
      <c r="D12923" s="499">
        <v>0.24</v>
      </c>
    </row>
    <row r="12924" spans="1:4" ht="25.5" x14ac:dyDescent="0.2">
      <c r="A12924" s="319">
        <v>39437</v>
      </c>
      <c r="B12924" s="498" t="s">
        <v>45375</v>
      </c>
      <c r="C12924" s="319" t="s">
        <v>26</v>
      </c>
      <c r="D12924" s="499">
        <v>0.32</v>
      </c>
    </row>
    <row r="12925" spans="1:4" ht="25.5" x14ac:dyDescent="0.2">
      <c r="A12925" s="319">
        <v>39439</v>
      </c>
      <c r="B12925" s="498" t="s">
        <v>45376</v>
      </c>
      <c r="C12925" s="319" t="s">
        <v>26</v>
      </c>
      <c r="D12925" s="499">
        <v>0.21</v>
      </c>
    </row>
    <row r="12926" spans="1:4" ht="25.5" x14ac:dyDescent="0.2">
      <c r="A12926" s="319">
        <v>39440</v>
      </c>
      <c r="B12926" s="498" t="s">
        <v>45377</v>
      </c>
      <c r="C12926" s="319" t="s">
        <v>26</v>
      </c>
      <c r="D12926" s="499">
        <v>0.28000000000000003</v>
      </c>
    </row>
    <row r="12927" spans="1:4" ht="25.5" x14ac:dyDescent="0.2">
      <c r="A12927" s="319">
        <v>39441</v>
      </c>
      <c r="B12927" s="498" t="s">
        <v>45378</v>
      </c>
      <c r="C12927" s="319" t="s">
        <v>26</v>
      </c>
      <c r="D12927" s="499">
        <v>0.35</v>
      </c>
    </row>
    <row r="12928" spans="1:4" ht="25.5" x14ac:dyDescent="0.2">
      <c r="A12928" s="319">
        <v>39442</v>
      </c>
      <c r="B12928" s="498" t="s">
        <v>45379</v>
      </c>
      <c r="C12928" s="319" t="s">
        <v>26</v>
      </c>
      <c r="D12928" s="499">
        <v>0.25</v>
      </c>
    </row>
    <row r="12929" spans="1:4" ht="25.5" x14ac:dyDescent="0.2">
      <c r="A12929" s="319">
        <v>39443</v>
      </c>
      <c r="B12929" s="498" t="s">
        <v>45380</v>
      </c>
      <c r="C12929" s="319" t="s">
        <v>26</v>
      </c>
      <c r="D12929" s="499">
        <v>0.33</v>
      </c>
    </row>
    <row r="12930" spans="1:4" ht="25.5" x14ac:dyDescent="0.2">
      <c r="A12930" s="319">
        <v>4329</v>
      </c>
      <c r="B12930" s="498" t="s">
        <v>45381</v>
      </c>
      <c r="C12930" s="319" t="s">
        <v>26</v>
      </c>
      <c r="D12930" s="499">
        <v>3</v>
      </c>
    </row>
    <row r="12931" spans="1:4" ht="25.5" x14ac:dyDescent="0.2">
      <c r="A12931" s="319">
        <v>436</v>
      </c>
      <c r="B12931" s="498" t="s">
        <v>45382</v>
      </c>
      <c r="C12931" s="319" t="s">
        <v>26</v>
      </c>
      <c r="D12931" s="499"/>
    </row>
    <row r="12932" spans="1:4" ht="25.5" x14ac:dyDescent="0.2">
      <c r="A12932" s="319">
        <v>442</v>
      </c>
      <c r="B12932" s="498" t="s">
        <v>45383</v>
      </c>
      <c r="C12932" s="319" t="s">
        <v>26</v>
      </c>
      <c r="D12932" s="499"/>
    </row>
    <row r="12933" spans="1:4" ht="25.5" x14ac:dyDescent="0.2">
      <c r="A12933" s="319">
        <v>4383</v>
      </c>
      <c r="B12933" s="498" t="s">
        <v>45384</v>
      </c>
      <c r="C12933" s="319" t="s">
        <v>26</v>
      </c>
      <c r="D12933" s="499">
        <v>27.13</v>
      </c>
    </row>
    <row r="12934" spans="1:4" ht="25.5" x14ac:dyDescent="0.2">
      <c r="A12934" s="319">
        <v>4344</v>
      </c>
      <c r="B12934" s="498" t="s">
        <v>45385</v>
      </c>
      <c r="C12934" s="319" t="s">
        <v>26</v>
      </c>
      <c r="D12934" s="499">
        <v>28.43</v>
      </c>
    </row>
    <row r="12935" spans="1:4" ht="25.5" x14ac:dyDescent="0.2">
      <c r="A12935" s="319">
        <v>4335</v>
      </c>
      <c r="B12935" s="498" t="s">
        <v>45386</v>
      </c>
      <c r="C12935" s="319" t="s">
        <v>26</v>
      </c>
      <c r="D12935" s="499">
        <v>19.09</v>
      </c>
    </row>
    <row r="12936" spans="1:4" ht="25.5" x14ac:dyDescent="0.2">
      <c r="A12936" s="319">
        <v>4334</v>
      </c>
      <c r="B12936" s="498" t="s">
        <v>45387</v>
      </c>
      <c r="C12936" s="319" t="s">
        <v>26</v>
      </c>
      <c r="D12936" s="499">
        <v>26.19</v>
      </c>
    </row>
    <row r="12937" spans="1:4" ht="25.5" x14ac:dyDescent="0.2">
      <c r="A12937" s="319">
        <v>11953</v>
      </c>
      <c r="B12937" s="498" t="s">
        <v>45388</v>
      </c>
      <c r="C12937" s="319" t="s">
        <v>26</v>
      </c>
      <c r="D12937" s="499">
        <v>4.51</v>
      </c>
    </row>
    <row r="12938" spans="1:4" ht="25.5" x14ac:dyDescent="0.2">
      <c r="A12938" s="319">
        <v>4343</v>
      </c>
      <c r="B12938" s="498" t="s">
        <v>45389</v>
      </c>
      <c r="C12938" s="319" t="s">
        <v>26</v>
      </c>
      <c r="D12938" s="499">
        <v>6.44</v>
      </c>
    </row>
    <row r="12939" spans="1:4" ht="25.5" x14ac:dyDescent="0.2">
      <c r="A12939" s="319">
        <v>430</v>
      </c>
      <c r="B12939" s="498" t="s">
        <v>45390</v>
      </c>
      <c r="C12939" s="319" t="s">
        <v>26</v>
      </c>
      <c r="D12939" s="499"/>
    </row>
    <row r="12940" spans="1:4" ht="25.5" x14ac:dyDescent="0.2">
      <c r="A12940" s="319">
        <v>441</v>
      </c>
      <c r="B12940" s="498" t="s">
        <v>45391</v>
      </c>
      <c r="C12940" s="319" t="s">
        <v>26</v>
      </c>
      <c r="D12940" s="499"/>
    </row>
    <row r="12941" spans="1:4" ht="25.5" x14ac:dyDescent="0.2">
      <c r="A12941" s="319">
        <v>431</v>
      </c>
      <c r="B12941" s="498" t="s">
        <v>45392</v>
      </c>
      <c r="C12941" s="319" t="s">
        <v>26</v>
      </c>
      <c r="D12941" s="499"/>
    </row>
    <row r="12942" spans="1:4" ht="25.5" x14ac:dyDescent="0.2">
      <c r="A12942" s="319">
        <v>432</v>
      </c>
      <c r="B12942" s="498" t="s">
        <v>45393</v>
      </c>
      <c r="C12942" s="319" t="s">
        <v>26</v>
      </c>
      <c r="D12942" s="499"/>
    </row>
    <row r="12943" spans="1:4" ht="25.5" x14ac:dyDescent="0.2">
      <c r="A12943" s="319">
        <v>429</v>
      </c>
      <c r="B12943" s="498" t="s">
        <v>45394</v>
      </c>
      <c r="C12943" s="319" t="s">
        <v>26</v>
      </c>
      <c r="D12943" s="499"/>
    </row>
    <row r="12944" spans="1:4" ht="25.5" x14ac:dyDescent="0.2">
      <c r="A12944" s="319">
        <v>439</v>
      </c>
      <c r="B12944" s="498" t="s">
        <v>45395</v>
      </c>
      <c r="C12944" s="319" t="s">
        <v>26</v>
      </c>
      <c r="D12944" s="499"/>
    </row>
    <row r="12945" spans="1:4" ht="25.5" x14ac:dyDescent="0.2">
      <c r="A12945" s="319">
        <v>433</v>
      </c>
      <c r="B12945" s="498" t="s">
        <v>45396</v>
      </c>
      <c r="C12945" s="319" t="s">
        <v>26</v>
      </c>
      <c r="D12945" s="499"/>
    </row>
    <row r="12946" spans="1:4" ht="25.5" x14ac:dyDescent="0.2">
      <c r="A12946" s="319">
        <v>437</v>
      </c>
      <c r="B12946" s="498" t="s">
        <v>45397</v>
      </c>
      <c r="C12946" s="319" t="s">
        <v>26</v>
      </c>
      <c r="D12946" s="499"/>
    </row>
    <row r="12947" spans="1:4" ht="25.5" x14ac:dyDescent="0.2">
      <c r="A12947" s="319">
        <v>11790</v>
      </c>
      <c r="B12947" s="498" t="s">
        <v>45398</v>
      </c>
      <c r="C12947" s="319" t="s">
        <v>26</v>
      </c>
      <c r="D12947" s="499"/>
    </row>
    <row r="12948" spans="1:4" ht="25.5" x14ac:dyDescent="0.2">
      <c r="A12948" s="319">
        <v>428</v>
      </c>
      <c r="B12948" s="498" t="s">
        <v>45399</v>
      </c>
      <c r="C12948" s="319" t="s">
        <v>26</v>
      </c>
      <c r="D12948" s="499"/>
    </row>
    <row r="12949" spans="1:4" ht="25.5" x14ac:dyDescent="0.2">
      <c r="A12949" s="319">
        <v>4351</v>
      </c>
      <c r="B12949" s="498" t="s">
        <v>45400</v>
      </c>
      <c r="C12949" s="319" t="s">
        <v>26</v>
      </c>
      <c r="D12949" s="499">
        <v>23.11</v>
      </c>
    </row>
    <row r="12950" spans="1:4" ht="25.5" x14ac:dyDescent="0.2">
      <c r="A12950" s="319">
        <v>4384</v>
      </c>
      <c r="B12950" s="498" t="s">
        <v>45401</v>
      </c>
      <c r="C12950" s="319" t="s">
        <v>26</v>
      </c>
      <c r="D12950" s="499">
        <v>31.17</v>
      </c>
    </row>
    <row r="12951" spans="1:4" ht="25.5" x14ac:dyDescent="0.2">
      <c r="A12951" s="319">
        <v>11054</v>
      </c>
      <c r="B12951" s="498" t="s">
        <v>48328</v>
      </c>
      <c r="C12951" s="319" t="s">
        <v>26</v>
      </c>
      <c r="D12951" s="499">
        <v>0.03</v>
      </c>
    </row>
    <row r="12952" spans="1:4" ht="25.5" x14ac:dyDescent="0.2">
      <c r="A12952" s="319">
        <v>11055</v>
      </c>
      <c r="B12952" s="498" t="s">
        <v>48329</v>
      </c>
      <c r="C12952" s="319" t="s">
        <v>26</v>
      </c>
      <c r="D12952" s="499">
        <v>0.05</v>
      </c>
    </row>
    <row r="12953" spans="1:4" ht="25.5" x14ac:dyDescent="0.2">
      <c r="A12953" s="319">
        <v>11056</v>
      </c>
      <c r="B12953" s="498" t="s">
        <v>48330</v>
      </c>
      <c r="C12953" s="319" t="s">
        <v>26</v>
      </c>
      <c r="D12953" s="499">
        <v>0.06</v>
      </c>
    </row>
    <row r="12954" spans="1:4" ht="25.5" x14ac:dyDescent="0.2">
      <c r="A12954" s="319">
        <v>11057</v>
      </c>
      <c r="B12954" s="498" t="s">
        <v>48331</v>
      </c>
      <c r="C12954" s="319" t="s">
        <v>26</v>
      </c>
      <c r="D12954" s="499">
        <v>0.12</v>
      </c>
    </row>
    <row r="12955" spans="1:4" ht="25.5" x14ac:dyDescent="0.2">
      <c r="A12955" s="319">
        <v>11059</v>
      </c>
      <c r="B12955" s="498" t="s">
        <v>48332</v>
      </c>
      <c r="C12955" s="319" t="s">
        <v>26</v>
      </c>
      <c r="D12955" s="499">
        <v>0.24</v>
      </c>
    </row>
    <row r="12956" spans="1:4" ht="25.5" x14ac:dyDescent="0.2">
      <c r="A12956" s="431">
        <v>11058</v>
      </c>
      <c r="B12956" s="502" t="s">
        <v>48333</v>
      </c>
      <c r="C12956" s="431" t="s">
        <v>26</v>
      </c>
      <c r="D12956" s="503">
        <v>0.31</v>
      </c>
    </row>
    <row r="12957" spans="1:4" ht="25.5" x14ac:dyDescent="0.2">
      <c r="A12957" s="319">
        <v>4320</v>
      </c>
      <c r="B12957" s="498" t="s">
        <v>45402</v>
      </c>
      <c r="C12957" s="319" t="s">
        <v>26</v>
      </c>
      <c r="D12957" s="499">
        <v>2.4900000000000002</v>
      </c>
    </row>
    <row r="12958" spans="1:4" ht="25.5" x14ac:dyDescent="0.2">
      <c r="A12958" s="319">
        <v>4318</v>
      </c>
      <c r="B12958" s="498" t="s">
        <v>45403</v>
      </c>
      <c r="C12958" s="319" t="s">
        <v>26</v>
      </c>
      <c r="D12958" s="499">
        <v>1.21</v>
      </c>
    </row>
    <row r="12959" spans="1:4" ht="25.5" x14ac:dyDescent="0.2">
      <c r="A12959" s="319">
        <v>4380</v>
      </c>
      <c r="B12959" s="498" t="s">
        <v>45404</v>
      </c>
      <c r="C12959" s="319" t="s">
        <v>26</v>
      </c>
      <c r="D12959" s="499">
        <v>1.05</v>
      </c>
    </row>
    <row r="12960" spans="1:4" ht="25.5" x14ac:dyDescent="0.2">
      <c r="A12960" s="319">
        <v>4299</v>
      </c>
      <c r="B12960" s="498" t="s">
        <v>45405</v>
      </c>
      <c r="C12960" s="319" t="s">
        <v>26</v>
      </c>
      <c r="D12960" s="499">
        <v>0.99</v>
      </c>
    </row>
    <row r="12961" spans="1:4" ht="25.5" x14ac:dyDescent="0.2">
      <c r="A12961" s="319">
        <v>4304</v>
      </c>
      <c r="B12961" s="498" t="s">
        <v>45406</v>
      </c>
      <c r="C12961" s="319" t="s">
        <v>26</v>
      </c>
      <c r="D12961" s="499">
        <v>1.35</v>
      </c>
    </row>
    <row r="12962" spans="1:4" ht="25.5" x14ac:dyDescent="0.2">
      <c r="A12962" s="319">
        <v>4305</v>
      </c>
      <c r="B12962" s="498" t="s">
        <v>45407</v>
      </c>
      <c r="C12962" s="319" t="s">
        <v>26</v>
      </c>
      <c r="D12962" s="499">
        <v>1.57</v>
      </c>
    </row>
    <row r="12963" spans="1:4" ht="25.5" x14ac:dyDescent="0.2">
      <c r="A12963" s="319">
        <v>4306</v>
      </c>
      <c r="B12963" s="498" t="s">
        <v>45408</v>
      </c>
      <c r="C12963" s="319" t="s">
        <v>26</v>
      </c>
      <c r="D12963" s="499">
        <v>1.82</v>
      </c>
    </row>
    <row r="12964" spans="1:4" ht="25.5" x14ac:dyDescent="0.2">
      <c r="A12964" s="319">
        <v>4308</v>
      </c>
      <c r="B12964" s="498" t="s">
        <v>45409</v>
      </c>
      <c r="C12964" s="319" t="s">
        <v>26</v>
      </c>
      <c r="D12964" s="499">
        <v>3.77</v>
      </c>
    </row>
    <row r="12965" spans="1:4" ht="25.5" x14ac:dyDescent="0.2">
      <c r="A12965" s="319">
        <v>4302</v>
      </c>
      <c r="B12965" s="498" t="s">
        <v>45410</v>
      </c>
      <c r="C12965" s="319" t="s">
        <v>26</v>
      </c>
      <c r="D12965" s="499">
        <v>2.82</v>
      </c>
    </row>
    <row r="12966" spans="1:4" ht="25.5" x14ac:dyDescent="0.2">
      <c r="A12966" s="319">
        <v>4300</v>
      </c>
      <c r="B12966" s="498" t="s">
        <v>45411</v>
      </c>
      <c r="C12966" s="319" t="s">
        <v>26</v>
      </c>
      <c r="D12966" s="499">
        <v>0.67</v>
      </c>
    </row>
    <row r="12967" spans="1:4" ht="25.5" x14ac:dyDescent="0.2">
      <c r="A12967" s="319">
        <v>4301</v>
      </c>
      <c r="B12967" s="498" t="s">
        <v>45412</v>
      </c>
      <c r="C12967" s="319" t="s">
        <v>26</v>
      </c>
      <c r="D12967" s="499">
        <v>0.82</v>
      </c>
    </row>
    <row r="12968" spans="1:4" x14ac:dyDescent="0.2">
      <c r="A12968" s="319">
        <v>40547</v>
      </c>
      <c r="B12968" s="498" t="s">
        <v>45413</v>
      </c>
      <c r="C12968" s="319" t="s">
        <v>44290</v>
      </c>
      <c r="D12968" s="499">
        <v>37.869999999999997</v>
      </c>
    </row>
    <row r="12969" spans="1:4" ht="25.5" x14ac:dyDescent="0.2">
      <c r="A12969" s="319">
        <v>11962</v>
      </c>
      <c r="B12969" s="498" t="s">
        <v>45414</v>
      </c>
      <c r="C12969" s="319" t="s">
        <v>26</v>
      </c>
      <c r="D12969" s="499">
        <v>0.31</v>
      </c>
    </row>
    <row r="12970" spans="1:4" ht="25.5" x14ac:dyDescent="0.2">
      <c r="A12970" s="319">
        <v>4332</v>
      </c>
      <c r="B12970" s="498" t="s">
        <v>45415</v>
      </c>
      <c r="C12970" s="319" t="s">
        <v>26</v>
      </c>
      <c r="D12970" s="499">
        <v>1.51</v>
      </c>
    </row>
    <row r="12971" spans="1:4" ht="25.5" x14ac:dyDescent="0.2">
      <c r="A12971" s="319">
        <v>4331</v>
      </c>
      <c r="B12971" s="498" t="s">
        <v>45416</v>
      </c>
      <c r="C12971" s="319" t="s">
        <v>26</v>
      </c>
      <c r="D12971" s="499">
        <v>5.68</v>
      </c>
    </row>
    <row r="12972" spans="1:4" ht="25.5" x14ac:dyDescent="0.2">
      <c r="A12972" s="319">
        <v>4336</v>
      </c>
      <c r="B12972" s="498" t="s">
        <v>45417</v>
      </c>
      <c r="C12972" s="319" t="s">
        <v>26</v>
      </c>
      <c r="D12972" s="499">
        <v>7.27</v>
      </c>
    </row>
    <row r="12973" spans="1:4" ht="25.5" x14ac:dyDescent="0.2">
      <c r="A12973" s="319">
        <v>11948</v>
      </c>
      <c r="B12973" s="498" t="s">
        <v>45418</v>
      </c>
      <c r="C12973" s="319" t="s">
        <v>26</v>
      </c>
      <c r="D12973" s="499">
        <v>0.93</v>
      </c>
    </row>
    <row r="12974" spans="1:4" ht="25.5" x14ac:dyDescent="0.2">
      <c r="A12974" s="319">
        <v>4382</v>
      </c>
      <c r="B12974" s="498" t="s">
        <v>45419</v>
      </c>
      <c r="C12974" s="319" t="s">
        <v>26</v>
      </c>
      <c r="D12974" s="499">
        <v>1.56</v>
      </c>
    </row>
    <row r="12975" spans="1:4" ht="25.5" x14ac:dyDescent="0.2">
      <c r="A12975" s="319">
        <v>4354</v>
      </c>
      <c r="B12975" s="498" t="s">
        <v>45420</v>
      </c>
      <c r="C12975" s="319" t="s">
        <v>26</v>
      </c>
      <c r="D12975" s="499">
        <v>65.209999999999994</v>
      </c>
    </row>
    <row r="12976" spans="1:4" ht="25.5" x14ac:dyDescent="0.2">
      <c r="A12976" s="319">
        <v>40839</v>
      </c>
      <c r="B12976" s="498" t="s">
        <v>45421</v>
      </c>
      <c r="C12976" s="319" t="s">
        <v>44290</v>
      </c>
      <c r="D12976" s="499">
        <v>156.91999999999999</v>
      </c>
    </row>
    <row r="12977" spans="1:4" ht="25.5" x14ac:dyDescent="0.2">
      <c r="A12977" s="319">
        <v>40552</v>
      </c>
      <c r="B12977" s="498" t="s">
        <v>45422</v>
      </c>
      <c r="C12977" s="319" t="s">
        <v>44290</v>
      </c>
      <c r="D12977" s="499">
        <v>64.930000000000007</v>
      </c>
    </row>
    <row r="12978" spans="1:4" ht="25.5" x14ac:dyDescent="0.2">
      <c r="A12978" s="319">
        <v>40549</v>
      </c>
      <c r="B12978" s="498" t="s">
        <v>45423</v>
      </c>
      <c r="C12978" s="319" t="s">
        <v>44290</v>
      </c>
      <c r="D12978" s="499">
        <v>257.02999999999997</v>
      </c>
    </row>
    <row r="12979" spans="1:4" ht="25.5" x14ac:dyDescent="0.2">
      <c r="A12979" s="319">
        <v>4385</v>
      </c>
      <c r="B12979" s="498" t="s">
        <v>45424</v>
      </c>
      <c r="C12979" s="319" t="s">
        <v>25264</v>
      </c>
      <c r="D12979" s="499">
        <v>1059.3900000000001</v>
      </c>
    </row>
    <row r="12980" spans="1:4" x14ac:dyDescent="0.2">
      <c r="A12980" s="319">
        <v>45236</v>
      </c>
      <c r="B12980" s="498" t="s">
        <v>48334</v>
      </c>
      <c r="C12980" s="319" t="s">
        <v>1284</v>
      </c>
      <c r="D12980" s="499">
        <v>14.83</v>
      </c>
    </row>
    <row r="12981" spans="1:4" ht="25.5" x14ac:dyDescent="0.2">
      <c r="A12981" s="319">
        <v>20078</v>
      </c>
      <c r="B12981" s="498" t="s">
        <v>45425</v>
      </c>
      <c r="C12981" s="319" t="s">
        <v>26</v>
      </c>
      <c r="D12981" s="499">
        <v>26.8</v>
      </c>
    </row>
    <row r="12982" spans="1:4" ht="25.5" x14ac:dyDescent="0.2">
      <c r="A12982" s="319">
        <v>39897</v>
      </c>
      <c r="B12982" s="498" t="s">
        <v>45426</v>
      </c>
      <c r="C12982" s="319" t="s">
        <v>26</v>
      </c>
      <c r="D12982" s="499"/>
    </row>
    <row r="12983" spans="1:4" ht="25.5" x14ac:dyDescent="0.2">
      <c r="A12983" s="319">
        <v>118</v>
      </c>
      <c r="B12983" s="498" t="s">
        <v>45427</v>
      </c>
      <c r="C12983" s="319" t="s">
        <v>26</v>
      </c>
      <c r="D12983" s="499">
        <v>56.66</v>
      </c>
    </row>
    <row r="12984" spans="1:4" ht="38.25" x14ac:dyDescent="0.2">
      <c r="A12984" s="319">
        <v>4396</v>
      </c>
      <c r="B12984" s="498" t="s">
        <v>45428</v>
      </c>
      <c r="C12984" s="319" t="s">
        <v>255</v>
      </c>
      <c r="D12984" s="499">
        <v>315.82</v>
      </c>
    </row>
    <row r="12985" spans="1:4" ht="25.5" x14ac:dyDescent="0.2">
      <c r="A12985" s="319">
        <v>36881</v>
      </c>
      <c r="B12985" s="498" t="s">
        <v>45429</v>
      </c>
      <c r="C12985" s="319" t="s">
        <v>255</v>
      </c>
      <c r="D12985" s="499">
        <v>230.56</v>
      </c>
    </row>
    <row r="12986" spans="1:4" ht="25.5" x14ac:dyDescent="0.2">
      <c r="A12986" s="319">
        <v>4397</v>
      </c>
      <c r="B12986" s="498" t="s">
        <v>45430</v>
      </c>
      <c r="C12986" s="319" t="s">
        <v>255</v>
      </c>
      <c r="D12986" s="499">
        <v>321.08</v>
      </c>
    </row>
    <row r="12987" spans="1:4" ht="25.5" x14ac:dyDescent="0.2">
      <c r="A12987" s="319">
        <v>36882</v>
      </c>
      <c r="B12987" s="498" t="s">
        <v>45431</v>
      </c>
      <c r="C12987" s="319" t="s">
        <v>255</v>
      </c>
      <c r="D12987" s="499">
        <v>235.1</v>
      </c>
    </row>
    <row r="12988" spans="1:4" x14ac:dyDescent="0.2">
      <c r="A12988" s="319">
        <v>4751</v>
      </c>
      <c r="B12988" s="498" t="s">
        <v>45432</v>
      </c>
      <c r="C12988" s="319" t="s">
        <v>558</v>
      </c>
      <c r="D12988" s="499">
        <v>18.29</v>
      </c>
    </row>
    <row r="12989" spans="1:4" x14ac:dyDescent="0.2">
      <c r="A12989" s="319">
        <v>41066</v>
      </c>
      <c r="B12989" s="498" t="s">
        <v>45433</v>
      </c>
      <c r="C12989" s="319" t="s">
        <v>5681</v>
      </c>
      <c r="D12989" s="499">
        <v>3214.9</v>
      </c>
    </row>
    <row r="12990" spans="1:4" ht="25.5" x14ac:dyDescent="0.2">
      <c r="A12990" s="319">
        <v>39604</v>
      </c>
      <c r="B12990" s="498" t="s">
        <v>45434</v>
      </c>
      <c r="C12990" s="319" t="s">
        <v>26</v>
      </c>
      <c r="D12990" s="499">
        <v>11.87</v>
      </c>
    </row>
    <row r="12991" spans="1:4" ht="25.5" x14ac:dyDescent="0.2">
      <c r="A12991" s="319">
        <v>39605</v>
      </c>
      <c r="B12991" s="498" t="s">
        <v>45435</v>
      </c>
      <c r="C12991" s="319" t="s">
        <v>26</v>
      </c>
      <c r="D12991" s="499">
        <v>12.9</v>
      </c>
    </row>
    <row r="12992" spans="1:4" ht="25.5" x14ac:dyDescent="0.2">
      <c r="A12992" s="319">
        <v>39606</v>
      </c>
      <c r="B12992" s="498" t="s">
        <v>45436</v>
      </c>
      <c r="C12992" s="319" t="s">
        <v>26</v>
      </c>
      <c r="D12992" s="499">
        <v>22.59</v>
      </c>
    </row>
    <row r="12993" spans="1:4" ht="25.5" x14ac:dyDescent="0.2">
      <c r="A12993" s="319">
        <v>39607</v>
      </c>
      <c r="B12993" s="498" t="s">
        <v>45437</v>
      </c>
      <c r="C12993" s="319" t="s">
        <v>26</v>
      </c>
      <c r="D12993" s="499">
        <v>30.56</v>
      </c>
    </row>
    <row r="12994" spans="1:4" ht="25.5" x14ac:dyDescent="0.2">
      <c r="A12994" s="319">
        <v>39594</v>
      </c>
      <c r="B12994" s="498" t="s">
        <v>45438</v>
      </c>
      <c r="C12994" s="319" t="s">
        <v>26</v>
      </c>
      <c r="D12994" s="499"/>
    </row>
    <row r="12995" spans="1:4" ht="25.5" x14ac:dyDescent="0.2">
      <c r="A12995" s="319">
        <v>39596</v>
      </c>
      <c r="B12995" s="498" t="s">
        <v>45439</v>
      </c>
      <c r="C12995" s="319" t="s">
        <v>26</v>
      </c>
      <c r="D12995" s="499"/>
    </row>
    <row r="12996" spans="1:4" ht="25.5" x14ac:dyDescent="0.2">
      <c r="A12996" s="319">
        <v>39595</v>
      </c>
      <c r="B12996" s="498" t="s">
        <v>45440</v>
      </c>
      <c r="C12996" s="319" t="s">
        <v>26</v>
      </c>
      <c r="D12996" s="499"/>
    </row>
    <row r="12997" spans="1:4" ht="25.5" x14ac:dyDescent="0.2">
      <c r="A12997" s="319">
        <v>39597</v>
      </c>
      <c r="B12997" s="498" t="s">
        <v>45441</v>
      </c>
      <c r="C12997" s="319" t="s">
        <v>26</v>
      </c>
      <c r="D12997" s="499"/>
    </row>
    <row r="12998" spans="1:4" x14ac:dyDescent="0.2">
      <c r="A12998" s="319">
        <v>10731</v>
      </c>
      <c r="B12998" s="498" t="s">
        <v>45442</v>
      </c>
      <c r="C12998" s="319" t="s">
        <v>255</v>
      </c>
      <c r="D12998" s="499"/>
    </row>
    <row r="12999" spans="1:4" x14ac:dyDescent="0.2">
      <c r="A12999" s="319">
        <v>4704</v>
      </c>
      <c r="B12999" s="498" t="s">
        <v>45443</v>
      </c>
      <c r="C12999" s="319" t="s">
        <v>255</v>
      </c>
      <c r="D12999" s="499"/>
    </row>
    <row r="13000" spans="1:4" x14ac:dyDescent="0.2">
      <c r="A13000" s="319">
        <v>10730</v>
      </c>
      <c r="B13000" s="498" t="s">
        <v>45444</v>
      </c>
      <c r="C13000" s="319" t="s">
        <v>255</v>
      </c>
      <c r="D13000" s="499"/>
    </row>
    <row r="13001" spans="1:4" ht="25.5" x14ac:dyDescent="0.2">
      <c r="A13001" s="319">
        <v>4720</v>
      </c>
      <c r="B13001" s="498" t="s">
        <v>45445</v>
      </c>
      <c r="C13001" s="319" t="s">
        <v>271</v>
      </c>
      <c r="D13001" s="499">
        <v>131.1</v>
      </c>
    </row>
    <row r="13002" spans="1:4" ht="25.5" x14ac:dyDescent="0.2">
      <c r="A13002" s="319">
        <v>4721</v>
      </c>
      <c r="B13002" s="498" t="s">
        <v>45446</v>
      </c>
      <c r="C13002" s="319" t="s">
        <v>271</v>
      </c>
      <c r="D13002" s="499">
        <v>113.55</v>
      </c>
    </row>
    <row r="13003" spans="1:4" x14ac:dyDescent="0.2">
      <c r="A13003" s="319">
        <v>4718</v>
      </c>
      <c r="B13003" s="498" t="s">
        <v>45447</v>
      </c>
      <c r="C13003" s="319" t="s">
        <v>271</v>
      </c>
      <c r="D13003" s="499">
        <v>114.15</v>
      </c>
    </row>
    <row r="13004" spans="1:4" x14ac:dyDescent="0.2">
      <c r="A13004" s="319">
        <v>4722</v>
      </c>
      <c r="B13004" s="498" t="s">
        <v>45448</v>
      </c>
      <c r="C13004" s="319" t="s">
        <v>271</v>
      </c>
      <c r="D13004" s="499">
        <v>107.26</v>
      </c>
    </row>
    <row r="13005" spans="1:4" ht="25.5" x14ac:dyDescent="0.2">
      <c r="A13005" s="319">
        <v>4730</v>
      </c>
      <c r="B13005" s="498" t="s">
        <v>45449</v>
      </c>
      <c r="C13005" s="319" t="s">
        <v>271</v>
      </c>
      <c r="D13005" s="499">
        <v>106.73</v>
      </c>
    </row>
    <row r="13006" spans="1:4" ht="38.25" x14ac:dyDescent="0.2">
      <c r="A13006" s="319">
        <v>13186</v>
      </c>
      <c r="B13006" s="498" t="s">
        <v>45450</v>
      </c>
      <c r="C13006" s="319" t="s">
        <v>271</v>
      </c>
      <c r="D13006" s="499">
        <v>123.15</v>
      </c>
    </row>
    <row r="13007" spans="1:4" ht="38.25" x14ac:dyDescent="0.2">
      <c r="A13007" s="319">
        <v>10737</v>
      </c>
      <c r="B13007" s="498" t="s">
        <v>45451</v>
      </c>
      <c r="C13007" s="319" t="s">
        <v>255</v>
      </c>
      <c r="D13007" s="499"/>
    </row>
    <row r="13008" spans="1:4" ht="38.25" x14ac:dyDescent="0.2">
      <c r="A13008" s="319">
        <v>10734</v>
      </c>
      <c r="B13008" s="498" t="s">
        <v>45452</v>
      </c>
      <c r="C13008" s="319" t="s">
        <v>255</v>
      </c>
      <c r="D13008" s="499"/>
    </row>
    <row r="13009" spans="1:4" x14ac:dyDescent="0.2">
      <c r="A13009" s="319">
        <v>4708</v>
      </c>
      <c r="B13009" s="498" t="s">
        <v>45453</v>
      </c>
      <c r="C13009" s="319" t="s">
        <v>255</v>
      </c>
      <c r="D13009" s="499"/>
    </row>
    <row r="13010" spans="1:4" ht="38.25" x14ac:dyDescent="0.2">
      <c r="A13010" s="319">
        <v>4712</v>
      </c>
      <c r="B13010" s="498" t="s">
        <v>45454</v>
      </c>
      <c r="C13010" s="319" t="s">
        <v>255</v>
      </c>
      <c r="D13010" s="499"/>
    </row>
    <row r="13011" spans="1:4" ht="38.25" x14ac:dyDescent="0.2">
      <c r="A13011" s="319">
        <v>4710</v>
      </c>
      <c r="B13011" s="498" t="s">
        <v>45455</v>
      </c>
      <c r="C13011" s="319" t="s">
        <v>255</v>
      </c>
      <c r="D13011" s="499"/>
    </row>
    <row r="13012" spans="1:4" x14ac:dyDescent="0.2">
      <c r="A13012" s="319">
        <v>4750</v>
      </c>
      <c r="B13012" s="498" t="s">
        <v>45456</v>
      </c>
      <c r="C13012" s="319" t="s">
        <v>558</v>
      </c>
      <c r="D13012" s="499">
        <v>18.29</v>
      </c>
    </row>
    <row r="13013" spans="1:4" x14ac:dyDescent="0.2">
      <c r="A13013" s="319">
        <v>41065</v>
      </c>
      <c r="B13013" s="498" t="s">
        <v>45457</v>
      </c>
      <c r="C13013" s="319" t="s">
        <v>5681</v>
      </c>
      <c r="D13013" s="499">
        <v>3214.9</v>
      </c>
    </row>
    <row r="13014" spans="1:4" ht="25.5" x14ac:dyDescent="0.2">
      <c r="A13014" s="319">
        <v>34747</v>
      </c>
      <c r="B13014" s="498" t="s">
        <v>45458</v>
      </c>
      <c r="C13014" s="319" t="s">
        <v>0</v>
      </c>
      <c r="D13014" s="499">
        <v>98.7</v>
      </c>
    </row>
    <row r="13015" spans="1:4" ht="25.5" x14ac:dyDescent="0.2">
      <c r="A13015" s="319">
        <v>4826</v>
      </c>
      <c r="B13015" s="498" t="s">
        <v>45459</v>
      </c>
      <c r="C13015" s="319" t="s">
        <v>0</v>
      </c>
      <c r="D13015" s="499">
        <v>106.12</v>
      </c>
    </row>
    <row r="13016" spans="1:4" x14ac:dyDescent="0.2">
      <c r="A13016" s="319">
        <v>41975</v>
      </c>
      <c r="B13016" s="498" t="s">
        <v>45460</v>
      </c>
      <c r="C13016" s="319" t="s">
        <v>255</v>
      </c>
      <c r="D13016" s="499"/>
    </row>
    <row r="13017" spans="1:4" ht="25.5" x14ac:dyDescent="0.2">
      <c r="A13017" s="319">
        <v>4825</v>
      </c>
      <c r="B13017" s="498" t="s">
        <v>45461</v>
      </c>
      <c r="C13017" s="319" t="s">
        <v>0</v>
      </c>
      <c r="D13017" s="499">
        <v>146.9</v>
      </c>
    </row>
    <row r="13018" spans="1:4" x14ac:dyDescent="0.2">
      <c r="A13018" s="319">
        <v>34744</v>
      </c>
      <c r="B13018" s="498" t="s">
        <v>45462</v>
      </c>
      <c r="C13018" s="319" t="s">
        <v>255</v>
      </c>
      <c r="D13018" s="499"/>
    </row>
    <row r="13019" spans="1:4" ht="38.25" x14ac:dyDescent="0.2">
      <c r="A13019" s="319">
        <v>39430</v>
      </c>
      <c r="B13019" s="498" t="s">
        <v>45463</v>
      </c>
      <c r="C13019" s="319" t="s">
        <v>26</v>
      </c>
      <c r="D13019" s="499">
        <v>2.52</v>
      </c>
    </row>
    <row r="13020" spans="1:4" ht="25.5" x14ac:dyDescent="0.2">
      <c r="A13020" s="319">
        <v>39573</v>
      </c>
      <c r="B13020" s="498" t="s">
        <v>45464</v>
      </c>
      <c r="C13020" s="319" t="s">
        <v>26</v>
      </c>
      <c r="D13020" s="499">
        <v>2.48</v>
      </c>
    </row>
    <row r="13021" spans="1:4" ht="25.5" x14ac:dyDescent="0.2">
      <c r="A13021" s="319">
        <v>38410</v>
      </c>
      <c r="B13021" s="498" t="s">
        <v>45465</v>
      </c>
      <c r="C13021" s="319" t="s">
        <v>26</v>
      </c>
      <c r="D13021" s="499"/>
    </row>
    <row r="13022" spans="1:4" x14ac:dyDescent="0.2">
      <c r="A13022" s="319">
        <v>43082</v>
      </c>
      <c r="B13022" s="498" t="s">
        <v>45466</v>
      </c>
      <c r="C13022" s="319" t="s">
        <v>1284</v>
      </c>
      <c r="D13022" s="499"/>
    </row>
    <row r="13023" spans="1:4" ht="25.5" x14ac:dyDescent="0.2">
      <c r="A13023" s="319">
        <v>43083</v>
      </c>
      <c r="B13023" s="498" t="s">
        <v>45467</v>
      </c>
      <c r="C13023" s="319" t="s">
        <v>1284</v>
      </c>
      <c r="D13023" s="499"/>
    </row>
    <row r="13024" spans="1:4" ht="25.5" x14ac:dyDescent="0.2">
      <c r="A13024" s="319">
        <v>40535</v>
      </c>
      <c r="B13024" s="498" t="s">
        <v>45468</v>
      </c>
      <c r="C13024" s="319" t="s">
        <v>1284</v>
      </c>
      <c r="D13024" s="499"/>
    </row>
    <row r="13025" spans="1:4" ht="25.5" x14ac:dyDescent="0.2">
      <c r="A13025" s="513">
        <v>40598</v>
      </c>
      <c r="B13025" s="514" t="s">
        <v>45469</v>
      </c>
      <c r="C13025" s="513" t="s">
        <v>1284</v>
      </c>
      <c r="D13025" s="515"/>
    </row>
    <row r="13026" spans="1:4" ht="25.5" x14ac:dyDescent="0.2">
      <c r="A13026" s="319">
        <v>43692</v>
      </c>
      <c r="B13026" s="498" t="s">
        <v>45470</v>
      </c>
      <c r="C13026" s="319" t="s">
        <v>1284</v>
      </c>
      <c r="D13026" s="499"/>
    </row>
    <row r="13027" spans="1:4" ht="25.5" x14ac:dyDescent="0.2">
      <c r="A13027" s="319">
        <v>43665</v>
      </c>
      <c r="B13027" s="498" t="s">
        <v>45471</v>
      </c>
      <c r="C13027" s="319" t="s">
        <v>1284</v>
      </c>
      <c r="D13027" s="499"/>
    </row>
    <row r="13028" spans="1:4" ht="25.5" x14ac:dyDescent="0.2">
      <c r="A13028" s="319">
        <v>10966</v>
      </c>
      <c r="B13028" s="498" t="s">
        <v>45472</v>
      </c>
      <c r="C13028" s="319" t="s">
        <v>1284</v>
      </c>
      <c r="D13028" s="499"/>
    </row>
    <row r="13029" spans="1:4" ht="25.5" x14ac:dyDescent="0.2">
      <c r="A13029" s="319">
        <v>39427</v>
      </c>
      <c r="B13029" s="498" t="s">
        <v>45473</v>
      </c>
      <c r="C13029" s="319" t="s">
        <v>0</v>
      </c>
      <c r="D13029" s="499">
        <v>6.69</v>
      </c>
    </row>
    <row r="13030" spans="1:4" ht="25.5" x14ac:dyDescent="0.2">
      <c r="A13030" s="319">
        <v>39424</v>
      </c>
      <c r="B13030" s="498" t="s">
        <v>45474</v>
      </c>
      <c r="C13030" s="319" t="s">
        <v>0</v>
      </c>
      <c r="D13030" s="499">
        <v>3.97</v>
      </c>
    </row>
    <row r="13031" spans="1:4" ht="25.5" x14ac:dyDescent="0.2">
      <c r="A13031" s="319">
        <v>39425</v>
      </c>
      <c r="B13031" s="498" t="s">
        <v>45475</v>
      </c>
      <c r="C13031" s="319" t="s">
        <v>0</v>
      </c>
      <c r="D13031" s="499">
        <v>3.92</v>
      </c>
    </row>
    <row r="13032" spans="1:4" x14ac:dyDescent="0.2">
      <c r="A13032" s="319">
        <v>40664</v>
      </c>
      <c r="B13032" s="498" t="s">
        <v>45476</v>
      </c>
      <c r="C13032" s="319" t="s">
        <v>1284</v>
      </c>
      <c r="D13032" s="499"/>
    </row>
    <row r="13033" spans="1:4" x14ac:dyDescent="0.2">
      <c r="A13033" s="319">
        <v>34360</v>
      </c>
      <c r="B13033" s="498" t="s">
        <v>45477</v>
      </c>
      <c r="C13033" s="319" t="s">
        <v>1284</v>
      </c>
      <c r="D13033" s="499"/>
    </row>
    <row r="13034" spans="1:4" x14ac:dyDescent="0.2">
      <c r="A13034" s="319">
        <v>20259</v>
      </c>
      <c r="B13034" s="498" t="s">
        <v>45478</v>
      </c>
      <c r="C13034" s="319" t="s">
        <v>0</v>
      </c>
      <c r="D13034" s="499"/>
    </row>
    <row r="13035" spans="1:4" ht="38.25" x14ac:dyDescent="0.2">
      <c r="A13035" s="319">
        <v>14077</v>
      </c>
      <c r="B13035" s="498" t="s">
        <v>45479</v>
      </c>
      <c r="C13035" s="319" t="s">
        <v>0</v>
      </c>
      <c r="D13035" s="499"/>
    </row>
    <row r="13036" spans="1:4" ht="38.25" x14ac:dyDescent="0.2">
      <c r="A13036" s="319">
        <v>3678</v>
      </c>
      <c r="B13036" s="498" t="s">
        <v>45480</v>
      </c>
      <c r="C13036" s="319" t="s">
        <v>0</v>
      </c>
      <c r="D13036" s="499"/>
    </row>
    <row r="13037" spans="1:4" ht="38.25" x14ac:dyDescent="0.2">
      <c r="A13037" s="319">
        <v>11552</v>
      </c>
      <c r="B13037" s="498" t="s">
        <v>45481</v>
      </c>
      <c r="C13037" s="319" t="s">
        <v>0</v>
      </c>
      <c r="D13037" s="499">
        <v>7.52</v>
      </c>
    </row>
    <row r="13038" spans="1:4" ht="38.25" x14ac:dyDescent="0.2">
      <c r="A13038" s="319">
        <v>585</v>
      </c>
      <c r="B13038" s="498" t="s">
        <v>45482</v>
      </c>
      <c r="C13038" s="319" t="s">
        <v>1284</v>
      </c>
      <c r="D13038" s="499"/>
    </row>
    <row r="13039" spans="1:4" ht="25.5" x14ac:dyDescent="0.2">
      <c r="A13039" s="319">
        <v>39418</v>
      </c>
      <c r="B13039" s="498" t="s">
        <v>45483</v>
      </c>
      <c r="C13039" s="319" t="s">
        <v>0</v>
      </c>
      <c r="D13039" s="499">
        <v>7.46</v>
      </c>
    </row>
    <row r="13040" spans="1:4" ht="25.5" x14ac:dyDescent="0.2">
      <c r="A13040" s="319">
        <v>39419</v>
      </c>
      <c r="B13040" s="498" t="s">
        <v>45484</v>
      </c>
      <c r="C13040" s="319" t="s">
        <v>0</v>
      </c>
      <c r="D13040" s="499">
        <v>9.09</v>
      </c>
    </row>
    <row r="13041" spans="1:4" ht="25.5" x14ac:dyDescent="0.2">
      <c r="A13041" s="319">
        <v>39420</v>
      </c>
      <c r="B13041" s="498" t="s">
        <v>45485</v>
      </c>
      <c r="C13041" s="319" t="s">
        <v>0</v>
      </c>
      <c r="D13041" s="499">
        <v>10.029999999999999</v>
      </c>
    </row>
    <row r="13042" spans="1:4" ht="25.5" x14ac:dyDescent="0.2">
      <c r="A13042" s="319">
        <v>39571</v>
      </c>
      <c r="B13042" s="498" t="s">
        <v>45486</v>
      </c>
      <c r="C13042" s="319" t="s">
        <v>0</v>
      </c>
      <c r="D13042" s="499">
        <v>6.06</v>
      </c>
    </row>
    <row r="13043" spans="1:4" ht="25.5" x14ac:dyDescent="0.2">
      <c r="A13043" s="319">
        <v>39421</v>
      </c>
      <c r="B13043" s="498" t="s">
        <v>45487</v>
      </c>
      <c r="C13043" s="319" t="s">
        <v>0</v>
      </c>
      <c r="D13043" s="499">
        <v>8.83</v>
      </c>
    </row>
    <row r="13044" spans="1:4" ht="25.5" x14ac:dyDescent="0.2">
      <c r="A13044" s="319">
        <v>39422</v>
      </c>
      <c r="B13044" s="498" t="s">
        <v>45488</v>
      </c>
      <c r="C13044" s="319" t="s">
        <v>0</v>
      </c>
      <c r="D13044" s="499">
        <v>10.31</v>
      </c>
    </row>
    <row r="13045" spans="1:4" ht="25.5" x14ac:dyDescent="0.2">
      <c r="A13045" s="319">
        <v>39423</v>
      </c>
      <c r="B13045" s="498" t="s">
        <v>45489</v>
      </c>
      <c r="C13045" s="319" t="s">
        <v>0</v>
      </c>
      <c r="D13045" s="499">
        <v>11.97</v>
      </c>
    </row>
    <row r="13046" spans="1:4" ht="25.5" x14ac:dyDescent="0.2">
      <c r="A13046" s="319">
        <v>39426</v>
      </c>
      <c r="B13046" s="498" t="s">
        <v>45490</v>
      </c>
      <c r="C13046" s="319" t="s">
        <v>0</v>
      </c>
      <c r="D13046" s="499">
        <v>26.91</v>
      </c>
    </row>
    <row r="13047" spans="1:4" ht="25.5" x14ac:dyDescent="0.2">
      <c r="A13047" s="319">
        <v>39429</v>
      </c>
      <c r="B13047" s="498" t="s">
        <v>45491</v>
      </c>
      <c r="C13047" s="319" t="s">
        <v>0</v>
      </c>
      <c r="D13047" s="499">
        <v>8.49</v>
      </c>
    </row>
    <row r="13048" spans="1:4" ht="25.5" x14ac:dyDescent="0.2">
      <c r="A13048" s="319">
        <v>39428</v>
      </c>
      <c r="B13048" s="498" t="s">
        <v>45492</v>
      </c>
      <c r="C13048" s="319" t="s">
        <v>0</v>
      </c>
      <c r="D13048" s="499">
        <v>6.48</v>
      </c>
    </row>
    <row r="13049" spans="1:4" ht="25.5" x14ac:dyDescent="0.2">
      <c r="A13049" s="319">
        <v>39572</v>
      </c>
      <c r="B13049" s="498" t="s">
        <v>45493</v>
      </c>
      <c r="C13049" s="319" t="s">
        <v>0</v>
      </c>
      <c r="D13049" s="499">
        <v>5.61</v>
      </c>
    </row>
    <row r="13050" spans="1:4" ht="25.5" x14ac:dyDescent="0.2">
      <c r="A13050" s="319">
        <v>39570</v>
      </c>
      <c r="B13050" s="498" t="s">
        <v>45494</v>
      </c>
      <c r="C13050" s="319" t="s">
        <v>0</v>
      </c>
      <c r="D13050" s="499">
        <v>5.95</v>
      </c>
    </row>
    <row r="13051" spans="1:4" ht="25.5" x14ac:dyDescent="0.2">
      <c r="A13051" s="319">
        <v>39569</v>
      </c>
      <c r="B13051" s="498" t="s">
        <v>45495</v>
      </c>
      <c r="C13051" s="319" t="s">
        <v>0</v>
      </c>
      <c r="D13051" s="499">
        <v>5.88</v>
      </c>
    </row>
    <row r="13052" spans="1:4" x14ac:dyDescent="0.2">
      <c r="A13052" s="319">
        <v>39328</v>
      </c>
      <c r="B13052" s="498" t="s">
        <v>45496</v>
      </c>
      <c r="C13052" s="319" t="s">
        <v>0</v>
      </c>
      <c r="D13052" s="499">
        <v>6.08</v>
      </c>
    </row>
    <row r="13053" spans="1:4" x14ac:dyDescent="0.2">
      <c r="A13053" s="319">
        <v>39029</v>
      </c>
      <c r="B13053" s="498" t="s">
        <v>45497</v>
      </c>
      <c r="C13053" s="319" t="s">
        <v>0</v>
      </c>
      <c r="D13053" s="499">
        <v>19</v>
      </c>
    </row>
    <row r="13054" spans="1:4" x14ac:dyDescent="0.2">
      <c r="A13054" s="319">
        <v>39028</v>
      </c>
      <c r="B13054" s="498" t="s">
        <v>45498</v>
      </c>
      <c r="C13054" s="319" t="s">
        <v>0</v>
      </c>
      <c r="D13054" s="499">
        <v>11.06</v>
      </c>
    </row>
    <row r="13055" spans="1:4" ht="51" x14ac:dyDescent="0.2">
      <c r="A13055" s="319">
        <v>38541</v>
      </c>
      <c r="B13055" s="498" t="s">
        <v>45499</v>
      </c>
      <c r="C13055" s="319" t="s">
        <v>26</v>
      </c>
      <c r="D13055" s="499"/>
    </row>
    <row r="13056" spans="1:4" ht="51" x14ac:dyDescent="0.2">
      <c r="A13056" s="319">
        <v>38542</v>
      </c>
      <c r="B13056" s="498" t="s">
        <v>45500</v>
      </c>
      <c r="C13056" s="319" t="s">
        <v>26</v>
      </c>
      <c r="D13056" s="499"/>
    </row>
    <row r="13057" spans="1:4" ht="25.5" x14ac:dyDescent="0.2">
      <c r="A13057" s="319">
        <v>45080</v>
      </c>
      <c r="B13057" s="498" t="s">
        <v>45501</v>
      </c>
      <c r="C13057" s="319" t="s">
        <v>26</v>
      </c>
      <c r="D13057" s="499"/>
    </row>
    <row r="13058" spans="1:4" ht="51" x14ac:dyDescent="0.2">
      <c r="A13058" s="319">
        <v>38543</v>
      </c>
      <c r="B13058" s="498" t="s">
        <v>45502</v>
      </c>
      <c r="C13058" s="319" t="s">
        <v>26</v>
      </c>
      <c r="D13058" s="499"/>
    </row>
    <row r="13059" spans="1:4" ht="38.25" x14ac:dyDescent="0.2">
      <c r="A13059" s="319">
        <v>44002</v>
      </c>
      <c r="B13059" s="498" t="s">
        <v>45503</v>
      </c>
      <c r="C13059" s="319" t="s">
        <v>26</v>
      </c>
      <c r="D13059" s="499"/>
    </row>
    <row r="13060" spans="1:4" ht="38.25" x14ac:dyDescent="0.2">
      <c r="A13060" s="319">
        <v>43886</v>
      </c>
      <c r="B13060" s="498" t="s">
        <v>45504</v>
      </c>
      <c r="C13060" s="319" t="s">
        <v>26</v>
      </c>
      <c r="D13060" s="499"/>
    </row>
    <row r="13061" spans="1:4" ht="25.5" x14ac:dyDescent="0.2">
      <c r="A13061" s="319">
        <v>40406</v>
      </c>
      <c r="B13061" s="498" t="s">
        <v>45505</v>
      </c>
      <c r="C13061" s="319" t="s">
        <v>26</v>
      </c>
      <c r="D13061" s="499">
        <v>88622.51</v>
      </c>
    </row>
    <row r="13062" spans="1:4" ht="25.5" x14ac:dyDescent="0.2">
      <c r="A13062" s="319">
        <v>40789</v>
      </c>
      <c r="B13062" s="498" t="s">
        <v>45506</v>
      </c>
      <c r="C13062" s="319" t="s">
        <v>26</v>
      </c>
      <c r="D13062" s="499">
        <v>12771.41</v>
      </c>
    </row>
    <row r="13063" spans="1:4" ht="38.25" x14ac:dyDescent="0.2">
      <c r="A13063" s="319">
        <v>40791</v>
      </c>
      <c r="B13063" s="498" t="s">
        <v>45507</v>
      </c>
      <c r="C13063" s="319" t="s">
        <v>26</v>
      </c>
      <c r="D13063" s="499">
        <v>39980.080000000002</v>
      </c>
    </row>
    <row r="13064" spans="1:4" ht="25.5" x14ac:dyDescent="0.2">
      <c r="A13064" s="319">
        <v>44003</v>
      </c>
      <c r="B13064" s="498" t="s">
        <v>45508</v>
      </c>
      <c r="C13064" s="319" t="s">
        <v>26</v>
      </c>
      <c r="D13064" s="499"/>
    </row>
    <row r="13065" spans="1:4" ht="38.25" x14ac:dyDescent="0.2">
      <c r="A13065" s="319">
        <v>44548</v>
      </c>
      <c r="B13065" s="498" t="s">
        <v>45509</v>
      </c>
      <c r="C13065" s="319" t="s">
        <v>26</v>
      </c>
      <c r="D13065" s="499"/>
    </row>
    <row r="13066" spans="1:4" ht="38.25" x14ac:dyDescent="0.2">
      <c r="A13066" s="319">
        <v>44550</v>
      </c>
      <c r="B13066" s="498" t="s">
        <v>45510</v>
      </c>
      <c r="C13066" s="319" t="s">
        <v>26</v>
      </c>
      <c r="D13066" s="499"/>
    </row>
    <row r="13067" spans="1:4" ht="38.25" x14ac:dyDescent="0.2">
      <c r="A13067" s="319">
        <v>44549</v>
      </c>
      <c r="B13067" s="498" t="s">
        <v>45511</v>
      </c>
      <c r="C13067" s="319" t="s">
        <v>26</v>
      </c>
      <c r="D13067" s="499"/>
    </row>
    <row r="13068" spans="1:4" ht="25.5" x14ac:dyDescent="0.2">
      <c r="A13068" s="319">
        <v>11651</v>
      </c>
      <c r="B13068" s="498" t="s">
        <v>45512</v>
      </c>
      <c r="C13068" s="319" t="s">
        <v>26</v>
      </c>
      <c r="D13068" s="499">
        <v>21865.67</v>
      </c>
    </row>
    <row r="13069" spans="1:4" ht="25.5" x14ac:dyDescent="0.2">
      <c r="A13069" s="319">
        <v>41982</v>
      </c>
      <c r="B13069" s="498" t="s">
        <v>45513</v>
      </c>
      <c r="C13069" s="319" t="s">
        <v>26</v>
      </c>
      <c r="D13069" s="499"/>
    </row>
    <row r="13070" spans="1:4" ht="25.5" x14ac:dyDescent="0.2">
      <c r="A13070" s="319">
        <v>39012</v>
      </c>
      <c r="B13070" s="498" t="s">
        <v>45514</v>
      </c>
      <c r="C13070" s="319" t="s">
        <v>26</v>
      </c>
      <c r="D13070" s="499"/>
    </row>
    <row r="13071" spans="1:4" ht="25.5" x14ac:dyDescent="0.2">
      <c r="A13071" s="319">
        <v>40435</v>
      </c>
      <c r="B13071" s="498" t="s">
        <v>45515</v>
      </c>
      <c r="C13071" s="319" t="s">
        <v>26</v>
      </c>
      <c r="D13071" s="499"/>
    </row>
    <row r="13072" spans="1:4" x14ac:dyDescent="0.2">
      <c r="A13072" s="319">
        <v>45265</v>
      </c>
      <c r="B13072" s="498" t="s">
        <v>48335</v>
      </c>
      <c r="C13072" s="319" t="s">
        <v>12086</v>
      </c>
      <c r="D13072" s="499">
        <v>36.619999999999997</v>
      </c>
    </row>
    <row r="13073" spans="1:4" ht="25.5" x14ac:dyDescent="0.2">
      <c r="A13073" s="319">
        <v>13617</v>
      </c>
      <c r="B13073" s="498" t="s">
        <v>45516</v>
      </c>
      <c r="C13073" s="319" t="s">
        <v>26</v>
      </c>
      <c r="D13073" s="499">
        <v>101951.92</v>
      </c>
    </row>
    <row r="13074" spans="1:4" ht="38.25" x14ac:dyDescent="0.2">
      <c r="A13074" s="319">
        <v>35274</v>
      </c>
      <c r="B13074" s="498" t="s">
        <v>45517</v>
      </c>
      <c r="C13074" s="319" t="s">
        <v>0</v>
      </c>
      <c r="D13074" s="499">
        <v>55.19</v>
      </c>
    </row>
    <row r="13075" spans="1:4" ht="38.25" x14ac:dyDescent="0.2">
      <c r="A13075" s="319">
        <v>35275</v>
      </c>
      <c r="B13075" s="498" t="s">
        <v>45518</v>
      </c>
      <c r="C13075" s="319" t="s">
        <v>0</v>
      </c>
      <c r="D13075" s="499">
        <v>117.14</v>
      </c>
    </row>
    <row r="13076" spans="1:4" ht="38.25" x14ac:dyDescent="0.2">
      <c r="A13076" s="319">
        <v>35276</v>
      </c>
      <c r="B13076" s="498" t="s">
        <v>45519</v>
      </c>
      <c r="C13076" s="319" t="s">
        <v>0</v>
      </c>
      <c r="D13076" s="499">
        <v>203.81</v>
      </c>
    </row>
    <row r="13077" spans="1:4" ht="25.5" x14ac:dyDescent="0.2">
      <c r="A13077" s="319">
        <v>11091</v>
      </c>
      <c r="B13077" s="498" t="s">
        <v>45520</v>
      </c>
      <c r="C13077" s="319" t="s">
        <v>26</v>
      </c>
      <c r="D13077" s="499">
        <v>1.2</v>
      </c>
    </row>
    <row r="13078" spans="1:4" ht="25.5" x14ac:dyDescent="0.2">
      <c r="A13078" s="319">
        <v>37586</v>
      </c>
      <c r="B13078" s="498" t="s">
        <v>45521</v>
      </c>
      <c r="C13078" s="319" t="s">
        <v>44290</v>
      </c>
      <c r="D13078" s="499"/>
    </row>
    <row r="13079" spans="1:4" x14ac:dyDescent="0.2">
      <c r="A13079" s="319">
        <v>37395</v>
      </c>
      <c r="B13079" s="498" t="s">
        <v>45522</v>
      </c>
      <c r="C13079" s="319" t="s">
        <v>44290</v>
      </c>
      <c r="D13079" s="499"/>
    </row>
    <row r="13080" spans="1:4" ht="25.5" x14ac:dyDescent="0.2">
      <c r="A13080" s="319">
        <v>14147</v>
      </c>
      <c r="B13080" s="498" t="s">
        <v>48336</v>
      </c>
      <c r="C13080" s="319" t="s">
        <v>44290</v>
      </c>
      <c r="D13080" s="499"/>
    </row>
    <row r="13081" spans="1:4" x14ac:dyDescent="0.2">
      <c r="A13081" s="319">
        <v>37396</v>
      </c>
      <c r="B13081" s="498" t="s">
        <v>48337</v>
      </c>
      <c r="C13081" s="319" t="s">
        <v>44290</v>
      </c>
      <c r="D13081" s="499"/>
    </row>
    <row r="13082" spans="1:4" x14ac:dyDescent="0.2">
      <c r="A13082" s="319">
        <v>37397</v>
      </c>
      <c r="B13082" s="498" t="s">
        <v>48338</v>
      </c>
      <c r="C13082" s="319" t="s">
        <v>44290</v>
      </c>
      <c r="D13082" s="499"/>
    </row>
    <row r="13083" spans="1:4" ht="25.5" x14ac:dyDescent="0.2">
      <c r="A13083" s="319">
        <v>43606</v>
      </c>
      <c r="B13083" s="498" t="s">
        <v>45523</v>
      </c>
      <c r="C13083" s="319" t="s">
        <v>26</v>
      </c>
      <c r="D13083" s="499">
        <v>9.01</v>
      </c>
    </row>
    <row r="13084" spans="1:4" ht="25.5" x14ac:dyDescent="0.2">
      <c r="A13084" s="319">
        <v>444</v>
      </c>
      <c r="B13084" s="498" t="s">
        <v>45524</v>
      </c>
      <c r="C13084" s="319" t="s">
        <v>26</v>
      </c>
      <c r="D13084" s="499"/>
    </row>
    <row r="13085" spans="1:4" ht="25.5" x14ac:dyDescent="0.2">
      <c r="A13085" s="319">
        <v>445</v>
      </c>
      <c r="B13085" s="498" t="s">
        <v>45525</v>
      </c>
      <c r="C13085" s="319" t="s">
        <v>26</v>
      </c>
      <c r="D13085" s="499"/>
    </row>
    <row r="13086" spans="1:4" x14ac:dyDescent="0.2">
      <c r="A13086" s="319">
        <v>4783</v>
      </c>
      <c r="B13086" s="498" t="s">
        <v>45526</v>
      </c>
      <c r="C13086" s="319" t="s">
        <v>558</v>
      </c>
      <c r="D13086" s="499">
        <v>18.29</v>
      </c>
    </row>
    <row r="13087" spans="1:4" x14ac:dyDescent="0.2">
      <c r="A13087" s="319">
        <v>41079</v>
      </c>
      <c r="B13087" s="498" t="s">
        <v>45527</v>
      </c>
      <c r="C13087" s="319" t="s">
        <v>5681</v>
      </c>
      <c r="D13087" s="499">
        <v>3214.9</v>
      </c>
    </row>
    <row r="13088" spans="1:4" x14ac:dyDescent="0.2">
      <c r="A13088" s="319">
        <v>12874</v>
      </c>
      <c r="B13088" s="498" t="s">
        <v>45528</v>
      </c>
      <c r="C13088" s="319" t="s">
        <v>558</v>
      </c>
      <c r="D13088" s="499">
        <v>17.75</v>
      </c>
    </row>
    <row r="13089" spans="1:4" x14ac:dyDescent="0.2">
      <c r="A13089" s="319">
        <v>41082</v>
      </c>
      <c r="B13089" s="498" t="s">
        <v>45529</v>
      </c>
      <c r="C13089" s="319" t="s">
        <v>5681</v>
      </c>
      <c r="D13089" s="499">
        <v>3121.88</v>
      </c>
    </row>
    <row r="13090" spans="1:4" x14ac:dyDescent="0.2">
      <c r="A13090" s="319">
        <v>4785</v>
      </c>
      <c r="B13090" s="498" t="s">
        <v>45530</v>
      </c>
      <c r="C13090" s="319" t="s">
        <v>558</v>
      </c>
      <c r="D13090" s="499">
        <v>18.29</v>
      </c>
    </row>
    <row r="13091" spans="1:4" x14ac:dyDescent="0.2">
      <c r="A13091" s="319">
        <v>41081</v>
      </c>
      <c r="B13091" s="498" t="s">
        <v>45531</v>
      </c>
      <c r="C13091" s="319" t="s">
        <v>5681</v>
      </c>
      <c r="D13091" s="499">
        <v>3214.9</v>
      </c>
    </row>
    <row r="13092" spans="1:4" ht="25.5" x14ac:dyDescent="0.2">
      <c r="A13092" s="319">
        <v>4801</v>
      </c>
      <c r="B13092" s="498" t="s">
        <v>45532</v>
      </c>
      <c r="C13092" s="319" t="s">
        <v>255</v>
      </c>
      <c r="D13092" s="499">
        <v>78.650000000000006</v>
      </c>
    </row>
    <row r="13093" spans="1:4" ht="25.5" x14ac:dyDescent="0.2">
      <c r="A13093" s="319">
        <v>4794</v>
      </c>
      <c r="B13093" s="498" t="s">
        <v>45533</v>
      </c>
      <c r="C13093" s="319" t="s">
        <v>255</v>
      </c>
      <c r="D13093" s="499">
        <v>358.23</v>
      </c>
    </row>
    <row r="13094" spans="1:4" ht="25.5" x14ac:dyDescent="0.2">
      <c r="A13094" s="319">
        <v>4796</v>
      </c>
      <c r="B13094" s="498" t="s">
        <v>45534</v>
      </c>
      <c r="C13094" s="319" t="s">
        <v>255</v>
      </c>
      <c r="D13094" s="499">
        <v>217.59</v>
      </c>
    </row>
    <row r="13095" spans="1:4" ht="25.5" x14ac:dyDescent="0.2">
      <c r="A13095" s="319">
        <v>4800</v>
      </c>
      <c r="B13095" s="498" t="s">
        <v>45535</v>
      </c>
      <c r="C13095" s="319" t="s">
        <v>255</v>
      </c>
      <c r="D13095" s="499">
        <v>59.84</v>
      </c>
    </row>
    <row r="13096" spans="1:4" ht="25.5" x14ac:dyDescent="0.2">
      <c r="A13096" s="319">
        <v>4795</v>
      </c>
      <c r="B13096" s="498" t="s">
        <v>45536</v>
      </c>
      <c r="C13096" s="319" t="s">
        <v>255</v>
      </c>
      <c r="D13096" s="499">
        <v>348.72</v>
      </c>
    </row>
    <row r="13097" spans="1:4" ht="38.25" x14ac:dyDescent="0.2">
      <c r="A13097" s="319">
        <v>39694</v>
      </c>
      <c r="B13097" s="498" t="s">
        <v>45537</v>
      </c>
      <c r="C13097" s="319" t="s">
        <v>255</v>
      </c>
      <c r="D13097" s="499"/>
    </row>
    <row r="13098" spans="1:4" ht="25.5" x14ac:dyDescent="0.2">
      <c r="A13098" s="319">
        <v>1292</v>
      </c>
      <c r="B13098" s="498" t="s">
        <v>45538</v>
      </c>
      <c r="C13098" s="319" t="s">
        <v>255</v>
      </c>
      <c r="D13098" s="499">
        <v>46.6</v>
      </c>
    </row>
    <row r="13099" spans="1:4" ht="25.5" x14ac:dyDescent="0.2">
      <c r="A13099" s="319">
        <v>1287</v>
      </c>
      <c r="B13099" s="498" t="s">
        <v>45539</v>
      </c>
      <c r="C13099" s="319" t="s">
        <v>255</v>
      </c>
      <c r="D13099" s="499">
        <v>37.31</v>
      </c>
    </row>
    <row r="13100" spans="1:4" ht="25.5" x14ac:dyDescent="0.2">
      <c r="A13100" s="319">
        <v>4786</v>
      </c>
      <c r="B13100" s="498" t="s">
        <v>45540</v>
      </c>
      <c r="C13100" s="319" t="s">
        <v>255</v>
      </c>
      <c r="D13100" s="499"/>
    </row>
    <row r="13101" spans="1:4" ht="38.25" x14ac:dyDescent="0.2">
      <c r="A13101" s="319">
        <v>10840</v>
      </c>
      <c r="B13101" s="498" t="s">
        <v>45541</v>
      </c>
      <c r="C13101" s="319" t="s">
        <v>255</v>
      </c>
      <c r="D13101" s="499">
        <v>342.5</v>
      </c>
    </row>
    <row r="13102" spans="1:4" ht="38.25" x14ac:dyDescent="0.2">
      <c r="A13102" s="319">
        <v>10841</v>
      </c>
      <c r="B13102" s="498" t="s">
        <v>45542</v>
      </c>
      <c r="C13102" s="319" t="s">
        <v>255</v>
      </c>
      <c r="D13102" s="499">
        <v>258.49</v>
      </c>
    </row>
    <row r="13103" spans="1:4" ht="25.5" x14ac:dyDescent="0.2">
      <c r="A13103" s="319">
        <v>44540</v>
      </c>
      <c r="B13103" s="498" t="s">
        <v>45543</v>
      </c>
      <c r="C13103" s="319" t="s">
        <v>255</v>
      </c>
      <c r="D13103" s="499">
        <v>330.29</v>
      </c>
    </row>
    <row r="13104" spans="1:4" ht="25.5" x14ac:dyDescent="0.2">
      <c r="A13104" s="319">
        <v>10842</v>
      </c>
      <c r="B13104" s="498" t="s">
        <v>45544</v>
      </c>
      <c r="C13104" s="319" t="s">
        <v>255</v>
      </c>
      <c r="D13104" s="499">
        <v>373.37</v>
      </c>
    </row>
    <row r="13105" spans="1:4" ht="25.5" x14ac:dyDescent="0.2">
      <c r="A13105" s="319">
        <v>45190</v>
      </c>
      <c r="B13105" s="498" t="s">
        <v>45545</v>
      </c>
      <c r="C13105" s="319" t="s">
        <v>255</v>
      </c>
      <c r="D13105" s="499">
        <v>76.95</v>
      </c>
    </row>
    <row r="13106" spans="1:4" ht="25.5" x14ac:dyDescent="0.2">
      <c r="A13106" s="319">
        <v>45191</v>
      </c>
      <c r="B13106" s="498" t="s">
        <v>45546</v>
      </c>
      <c r="C13106" s="319" t="s">
        <v>255</v>
      </c>
      <c r="D13106" s="499">
        <v>130.54</v>
      </c>
    </row>
    <row r="13107" spans="1:4" ht="25.5" x14ac:dyDescent="0.2">
      <c r="A13107" s="319">
        <v>38180</v>
      </c>
      <c r="B13107" s="498" t="s">
        <v>45547</v>
      </c>
      <c r="C13107" s="319" t="s">
        <v>255</v>
      </c>
      <c r="D13107" s="499">
        <v>175.18</v>
      </c>
    </row>
    <row r="13108" spans="1:4" x14ac:dyDescent="0.2">
      <c r="A13108" s="319">
        <v>40648</v>
      </c>
      <c r="B13108" s="498" t="s">
        <v>45548</v>
      </c>
      <c r="C13108" s="319" t="s">
        <v>255</v>
      </c>
      <c r="D13108" s="499"/>
    </row>
    <row r="13109" spans="1:4" x14ac:dyDescent="0.2">
      <c r="A13109" s="319">
        <v>40649</v>
      </c>
      <c r="B13109" s="498" t="s">
        <v>45549</v>
      </c>
      <c r="C13109" s="319" t="s">
        <v>255</v>
      </c>
      <c r="D13109" s="499"/>
    </row>
    <row r="13110" spans="1:4" ht="25.5" x14ac:dyDescent="0.2">
      <c r="A13110" s="319">
        <v>40650</v>
      </c>
      <c r="B13110" s="498" t="s">
        <v>45550</v>
      </c>
      <c r="C13110" s="319" t="s">
        <v>255</v>
      </c>
      <c r="D13110" s="499"/>
    </row>
    <row r="13111" spans="1:4" ht="25.5" x14ac:dyDescent="0.2">
      <c r="A13111" s="319">
        <v>40651</v>
      </c>
      <c r="B13111" s="498" t="s">
        <v>45551</v>
      </c>
      <c r="C13111" s="319" t="s">
        <v>255</v>
      </c>
      <c r="D13111" s="499"/>
    </row>
    <row r="13112" spans="1:4" x14ac:dyDescent="0.2">
      <c r="A13112" s="319">
        <v>40652</v>
      </c>
      <c r="B13112" s="498" t="s">
        <v>45552</v>
      </c>
      <c r="C13112" s="319" t="s">
        <v>255</v>
      </c>
      <c r="D13112" s="499"/>
    </row>
    <row r="13113" spans="1:4" ht="25.5" x14ac:dyDescent="0.2">
      <c r="A13113" s="319">
        <v>40647</v>
      </c>
      <c r="B13113" s="498" t="s">
        <v>45553</v>
      </c>
      <c r="C13113" s="319" t="s">
        <v>255</v>
      </c>
      <c r="D13113" s="499"/>
    </row>
    <row r="13114" spans="1:4" x14ac:dyDescent="0.2">
      <c r="A13114" s="319">
        <v>40653</v>
      </c>
      <c r="B13114" s="498" t="s">
        <v>45554</v>
      </c>
      <c r="C13114" s="319" t="s">
        <v>255</v>
      </c>
      <c r="D13114" s="499"/>
    </row>
    <row r="13115" spans="1:4" ht="25.5" x14ac:dyDescent="0.2">
      <c r="A13115" s="319">
        <v>38135</v>
      </c>
      <c r="B13115" s="498" t="s">
        <v>45555</v>
      </c>
      <c r="C13115" s="319" t="s">
        <v>255</v>
      </c>
      <c r="D13115" s="499">
        <v>78.5</v>
      </c>
    </row>
    <row r="13116" spans="1:4" ht="25.5" x14ac:dyDescent="0.2">
      <c r="A13116" s="319">
        <v>36178</v>
      </c>
      <c r="B13116" s="498" t="s">
        <v>45556</v>
      </c>
      <c r="C13116" s="319" t="s">
        <v>26</v>
      </c>
      <c r="D13116" s="499">
        <v>13.13</v>
      </c>
    </row>
    <row r="13117" spans="1:4" ht="25.5" x14ac:dyDescent="0.2">
      <c r="A13117" s="319">
        <v>38181</v>
      </c>
      <c r="B13117" s="498" t="s">
        <v>45557</v>
      </c>
      <c r="C13117" s="319" t="s">
        <v>255</v>
      </c>
      <c r="D13117" s="499">
        <v>239.15</v>
      </c>
    </row>
    <row r="13118" spans="1:4" ht="25.5" x14ac:dyDescent="0.2">
      <c r="A13118" s="319">
        <v>38182</v>
      </c>
      <c r="B13118" s="498" t="s">
        <v>45558</v>
      </c>
      <c r="C13118" s="319" t="s">
        <v>255</v>
      </c>
      <c r="D13118" s="499">
        <v>227.8</v>
      </c>
    </row>
    <row r="13119" spans="1:4" ht="25.5" x14ac:dyDescent="0.2">
      <c r="A13119" s="319">
        <v>38186</v>
      </c>
      <c r="B13119" s="498" t="s">
        <v>45559</v>
      </c>
      <c r="C13119" s="319" t="s">
        <v>255</v>
      </c>
      <c r="D13119" s="499">
        <v>592.14</v>
      </c>
    </row>
    <row r="13120" spans="1:4" ht="25.5" x14ac:dyDescent="0.2">
      <c r="A13120" s="319">
        <v>38185</v>
      </c>
      <c r="B13120" s="498" t="s">
        <v>45560</v>
      </c>
      <c r="C13120" s="319" t="s">
        <v>255</v>
      </c>
      <c r="D13120" s="499">
        <v>527.21</v>
      </c>
    </row>
    <row r="13121" spans="1:4" ht="25.5" x14ac:dyDescent="0.2">
      <c r="A13121" s="319">
        <v>40654</v>
      </c>
      <c r="B13121" s="498" t="s">
        <v>45561</v>
      </c>
      <c r="C13121" s="319" t="s">
        <v>255</v>
      </c>
      <c r="D13121" s="499"/>
    </row>
    <row r="13122" spans="1:4" ht="38.25" x14ac:dyDescent="0.2">
      <c r="A13122" s="319">
        <v>44541</v>
      </c>
      <c r="B13122" s="498" t="s">
        <v>45562</v>
      </c>
      <c r="C13122" s="319" t="s">
        <v>255</v>
      </c>
      <c r="D13122" s="499">
        <v>272.85000000000002</v>
      </c>
    </row>
    <row r="13123" spans="1:4" ht="25.5" x14ac:dyDescent="0.2">
      <c r="A13123" s="319">
        <v>4822</v>
      </c>
      <c r="B13123" s="498" t="s">
        <v>45563</v>
      </c>
      <c r="C13123" s="319" t="s">
        <v>255</v>
      </c>
      <c r="D13123" s="499">
        <v>406.61</v>
      </c>
    </row>
    <row r="13124" spans="1:4" ht="25.5" x14ac:dyDescent="0.2">
      <c r="A13124" s="319">
        <v>4818</v>
      </c>
      <c r="B13124" s="498" t="s">
        <v>45564</v>
      </c>
      <c r="C13124" s="319" t="s">
        <v>255</v>
      </c>
      <c r="D13124" s="499">
        <v>417.94</v>
      </c>
    </row>
    <row r="13125" spans="1:4" ht="38.25" x14ac:dyDescent="0.2">
      <c r="A13125" s="319">
        <v>39567</v>
      </c>
      <c r="B13125" s="498" t="s">
        <v>45565</v>
      </c>
      <c r="C13125" s="319" t="s">
        <v>255</v>
      </c>
      <c r="D13125" s="499">
        <v>43.99</v>
      </c>
    </row>
    <row r="13126" spans="1:4" ht="38.25" x14ac:dyDescent="0.2">
      <c r="A13126" s="319">
        <v>39566</v>
      </c>
      <c r="B13126" s="498" t="s">
        <v>45566</v>
      </c>
      <c r="C13126" s="319" t="s">
        <v>255</v>
      </c>
      <c r="D13126" s="499">
        <v>46.56</v>
      </c>
    </row>
    <row r="13127" spans="1:4" ht="25.5" x14ac:dyDescent="0.2">
      <c r="A13127" s="319">
        <v>39416</v>
      </c>
      <c r="B13127" s="498" t="s">
        <v>45567</v>
      </c>
      <c r="C13127" s="319" t="s">
        <v>255</v>
      </c>
      <c r="D13127" s="499">
        <v>28.37</v>
      </c>
    </row>
    <row r="13128" spans="1:4" ht="25.5" x14ac:dyDescent="0.2">
      <c r="A13128" s="319">
        <v>39417</v>
      </c>
      <c r="B13128" s="498" t="s">
        <v>45568</v>
      </c>
      <c r="C13128" s="319" t="s">
        <v>255</v>
      </c>
      <c r="D13128" s="499">
        <v>27.68</v>
      </c>
    </row>
    <row r="13129" spans="1:4" ht="25.5" x14ac:dyDescent="0.2">
      <c r="A13129" s="319">
        <v>43742</v>
      </c>
      <c r="B13129" s="498" t="s">
        <v>45569</v>
      </c>
      <c r="C13129" s="319" t="s">
        <v>255</v>
      </c>
      <c r="D13129" s="499">
        <v>29.85</v>
      </c>
    </row>
    <row r="13130" spans="1:4" ht="25.5" x14ac:dyDescent="0.2">
      <c r="A13130" s="319">
        <v>39414</v>
      </c>
      <c r="B13130" s="498" t="s">
        <v>45570</v>
      </c>
      <c r="C13130" s="319" t="s">
        <v>255</v>
      </c>
      <c r="D13130" s="499">
        <v>26.87</v>
      </c>
    </row>
    <row r="13131" spans="1:4" ht="25.5" x14ac:dyDescent="0.2">
      <c r="A13131" s="319">
        <v>39415</v>
      </c>
      <c r="B13131" s="498" t="s">
        <v>45571</v>
      </c>
      <c r="C13131" s="319" t="s">
        <v>255</v>
      </c>
      <c r="D13131" s="499">
        <v>23.16</v>
      </c>
    </row>
    <row r="13132" spans="1:4" ht="25.5" x14ac:dyDescent="0.2">
      <c r="A13132" s="319">
        <v>43740</v>
      </c>
      <c r="B13132" s="498" t="s">
        <v>45572</v>
      </c>
      <c r="C13132" s="319" t="s">
        <v>255</v>
      </c>
      <c r="D13132" s="499">
        <v>28.29</v>
      </c>
    </row>
    <row r="13133" spans="1:4" ht="25.5" x14ac:dyDescent="0.2">
      <c r="A13133" s="319">
        <v>39412</v>
      </c>
      <c r="B13133" s="498" t="s">
        <v>45573</v>
      </c>
      <c r="C13133" s="319" t="s">
        <v>255</v>
      </c>
      <c r="D13133" s="499">
        <v>19.399999999999999</v>
      </c>
    </row>
    <row r="13134" spans="1:4" ht="25.5" x14ac:dyDescent="0.2">
      <c r="A13134" s="319">
        <v>39413</v>
      </c>
      <c r="B13134" s="498" t="s">
        <v>45574</v>
      </c>
      <c r="C13134" s="319" t="s">
        <v>255</v>
      </c>
      <c r="D13134" s="499">
        <v>20.98</v>
      </c>
    </row>
    <row r="13135" spans="1:4" ht="25.5" x14ac:dyDescent="0.2">
      <c r="A13135" s="319">
        <v>43741</v>
      </c>
      <c r="B13135" s="498" t="s">
        <v>45575</v>
      </c>
      <c r="C13135" s="319" t="s">
        <v>255</v>
      </c>
      <c r="D13135" s="499">
        <v>22.36</v>
      </c>
    </row>
    <row r="13136" spans="1:4" x14ac:dyDescent="0.2">
      <c r="A13136" s="319">
        <v>11062</v>
      </c>
      <c r="B13136" s="498" t="s">
        <v>45576</v>
      </c>
      <c r="C13136" s="319" t="s">
        <v>255</v>
      </c>
      <c r="D13136" s="499">
        <v>71.040000000000006</v>
      </c>
    </row>
    <row r="13137" spans="1:4" x14ac:dyDescent="0.2">
      <c r="A13137" s="319">
        <v>11063</v>
      </c>
      <c r="B13137" s="498" t="s">
        <v>45577</v>
      </c>
      <c r="C13137" s="319" t="s">
        <v>255</v>
      </c>
      <c r="D13137" s="499">
        <v>43.48</v>
      </c>
    </row>
    <row r="13138" spans="1:4" x14ac:dyDescent="0.2">
      <c r="A13138" s="319">
        <v>13521</v>
      </c>
      <c r="B13138" s="498" t="s">
        <v>45578</v>
      </c>
      <c r="C13138" s="319" t="s">
        <v>26</v>
      </c>
      <c r="D13138" s="499"/>
    </row>
    <row r="13139" spans="1:4" ht="38.25" x14ac:dyDescent="0.2">
      <c r="A13139" s="319">
        <v>10851</v>
      </c>
      <c r="B13139" s="498" t="s">
        <v>15637</v>
      </c>
      <c r="C13139" s="319" t="s">
        <v>26</v>
      </c>
      <c r="D13139" s="499"/>
    </row>
    <row r="13140" spans="1:4" ht="25.5" x14ac:dyDescent="0.2">
      <c r="A13140" s="319">
        <v>39515</v>
      </c>
      <c r="B13140" s="498" t="s">
        <v>45579</v>
      </c>
      <c r="C13140" s="319" t="s">
        <v>26</v>
      </c>
      <c r="D13140" s="499"/>
    </row>
    <row r="13141" spans="1:4" ht="25.5" x14ac:dyDescent="0.2">
      <c r="A13141" s="319">
        <v>39516</v>
      </c>
      <c r="B13141" s="498" t="s">
        <v>45580</v>
      </c>
      <c r="C13141" s="319" t="s">
        <v>26</v>
      </c>
      <c r="D13141" s="499"/>
    </row>
    <row r="13142" spans="1:4" ht="25.5" x14ac:dyDescent="0.2">
      <c r="A13142" s="319">
        <v>39514</v>
      </c>
      <c r="B13142" s="498" t="s">
        <v>45581</v>
      </c>
      <c r="C13142" s="319" t="s">
        <v>26</v>
      </c>
      <c r="D13142" s="499"/>
    </row>
    <row r="13143" spans="1:4" ht="25.5" x14ac:dyDescent="0.2">
      <c r="A13143" s="319">
        <v>4812</v>
      </c>
      <c r="B13143" s="498" t="s">
        <v>45582</v>
      </c>
      <c r="C13143" s="319" t="s">
        <v>255</v>
      </c>
      <c r="D13143" s="499">
        <v>11.64</v>
      </c>
    </row>
    <row r="13144" spans="1:4" x14ac:dyDescent="0.2">
      <c r="A13144" s="319">
        <v>10849</v>
      </c>
      <c r="B13144" s="498" t="s">
        <v>45583</v>
      </c>
      <c r="C13144" s="319" t="s">
        <v>26</v>
      </c>
      <c r="D13144" s="499"/>
    </row>
    <row r="13145" spans="1:4" x14ac:dyDescent="0.2">
      <c r="A13145" s="319">
        <v>10848</v>
      </c>
      <c r="B13145" s="498" t="s">
        <v>45584</v>
      </c>
      <c r="C13145" s="319" t="s">
        <v>26</v>
      </c>
      <c r="D13145" s="499"/>
    </row>
    <row r="13146" spans="1:4" ht="25.5" x14ac:dyDescent="0.2">
      <c r="A13146" s="319">
        <v>4813</v>
      </c>
      <c r="B13146" s="498" t="s">
        <v>45585</v>
      </c>
      <c r="C13146" s="319" t="s">
        <v>255</v>
      </c>
      <c r="D13146" s="499"/>
    </row>
    <row r="13147" spans="1:4" ht="38.25" x14ac:dyDescent="0.2">
      <c r="A13147" s="319">
        <v>37560</v>
      </c>
      <c r="B13147" s="498" t="s">
        <v>45586</v>
      </c>
      <c r="C13147" s="319" t="s">
        <v>26</v>
      </c>
      <c r="D13147" s="499">
        <v>29.53</v>
      </c>
    </row>
    <row r="13148" spans="1:4" ht="38.25" x14ac:dyDescent="0.2">
      <c r="A13148" s="319">
        <v>37557</v>
      </c>
      <c r="B13148" s="498" t="s">
        <v>45587</v>
      </c>
      <c r="C13148" s="319" t="s">
        <v>26</v>
      </c>
      <c r="D13148" s="499">
        <v>8.9600000000000009</v>
      </c>
    </row>
    <row r="13149" spans="1:4" ht="38.25" x14ac:dyDescent="0.2">
      <c r="A13149" s="319">
        <v>37556</v>
      </c>
      <c r="B13149" s="498" t="s">
        <v>39189</v>
      </c>
      <c r="C13149" s="319" t="s">
        <v>26</v>
      </c>
      <c r="D13149" s="499">
        <v>17.350000000000001</v>
      </c>
    </row>
    <row r="13150" spans="1:4" ht="38.25" x14ac:dyDescent="0.2">
      <c r="A13150" s="319">
        <v>37559</v>
      </c>
      <c r="B13150" s="498" t="s">
        <v>45588</v>
      </c>
      <c r="C13150" s="319" t="s">
        <v>26</v>
      </c>
      <c r="D13150" s="499">
        <v>21.28</v>
      </c>
    </row>
    <row r="13151" spans="1:4" ht="38.25" x14ac:dyDescent="0.2">
      <c r="A13151" s="319">
        <v>37539</v>
      </c>
      <c r="B13151" s="498" t="s">
        <v>45589</v>
      </c>
      <c r="C13151" s="319" t="s">
        <v>26</v>
      </c>
      <c r="D13151" s="499">
        <v>15</v>
      </c>
    </row>
    <row r="13152" spans="1:4" ht="38.25" x14ac:dyDescent="0.2">
      <c r="A13152" s="319">
        <v>37558</v>
      </c>
      <c r="B13152" s="498" t="s">
        <v>45590</v>
      </c>
      <c r="C13152" s="319" t="s">
        <v>26</v>
      </c>
      <c r="D13152" s="499">
        <v>27.96</v>
      </c>
    </row>
    <row r="13153" spans="1:4" x14ac:dyDescent="0.2">
      <c r="A13153" s="319">
        <v>34723</v>
      </c>
      <c r="B13153" s="498" t="s">
        <v>45591</v>
      </c>
      <c r="C13153" s="319" t="s">
        <v>255</v>
      </c>
      <c r="D13153" s="499"/>
    </row>
    <row r="13154" spans="1:4" ht="25.5" x14ac:dyDescent="0.2">
      <c r="A13154" s="319">
        <v>34721</v>
      </c>
      <c r="B13154" s="498" t="s">
        <v>45592</v>
      </c>
      <c r="C13154" s="319" t="s">
        <v>255</v>
      </c>
      <c r="D13154" s="499"/>
    </row>
    <row r="13155" spans="1:4" x14ac:dyDescent="0.2">
      <c r="A13155" s="319">
        <v>4309</v>
      </c>
      <c r="B13155" s="498" t="s">
        <v>45593</v>
      </c>
      <c r="C13155" s="319" t="s">
        <v>26</v>
      </c>
      <c r="D13155" s="499">
        <v>5.42</v>
      </c>
    </row>
    <row r="13156" spans="1:4" ht="25.5" x14ac:dyDescent="0.2">
      <c r="A13156" s="319">
        <v>4307</v>
      </c>
      <c r="B13156" s="498" t="s">
        <v>45594</v>
      </c>
      <c r="C13156" s="319" t="s">
        <v>26</v>
      </c>
      <c r="D13156" s="499">
        <v>9.27</v>
      </c>
    </row>
    <row r="13157" spans="1:4" ht="25.5" x14ac:dyDescent="0.2">
      <c r="A13157" s="319">
        <v>10850</v>
      </c>
      <c r="B13157" s="498" t="s">
        <v>45595</v>
      </c>
      <c r="C13157" s="319" t="s">
        <v>26</v>
      </c>
      <c r="D13157" s="499"/>
    </row>
    <row r="13158" spans="1:4" ht="51" x14ac:dyDescent="0.2">
      <c r="A13158" s="319">
        <v>42438</v>
      </c>
      <c r="B13158" s="498" t="s">
        <v>45596</v>
      </c>
      <c r="C13158" s="319" t="s">
        <v>26</v>
      </c>
      <c r="D13158" s="499"/>
    </row>
    <row r="13159" spans="1:4" ht="25.5" x14ac:dyDescent="0.2">
      <c r="A13159" s="319">
        <v>4792</v>
      </c>
      <c r="B13159" s="498" t="s">
        <v>45597</v>
      </c>
      <c r="C13159" s="319" t="s">
        <v>255</v>
      </c>
      <c r="D13159" s="499">
        <v>168.17</v>
      </c>
    </row>
    <row r="13160" spans="1:4" ht="25.5" x14ac:dyDescent="0.2">
      <c r="A13160" s="319">
        <v>4790</v>
      </c>
      <c r="B13160" s="498" t="s">
        <v>45598</v>
      </c>
      <c r="C13160" s="319" t="s">
        <v>255</v>
      </c>
      <c r="D13160" s="499">
        <v>101.11</v>
      </c>
    </row>
    <row r="13161" spans="1:4" ht="25.5" x14ac:dyDescent="0.2">
      <c r="A13161" s="319">
        <v>40671</v>
      </c>
      <c r="B13161" s="498" t="s">
        <v>45599</v>
      </c>
      <c r="C13161" s="319" t="s">
        <v>255</v>
      </c>
      <c r="D13161" s="499">
        <v>81.83</v>
      </c>
    </row>
    <row r="13162" spans="1:4" ht="25.5" x14ac:dyDescent="0.2">
      <c r="A13162" s="319">
        <v>7552</v>
      </c>
      <c r="B13162" s="498" t="s">
        <v>45600</v>
      </c>
      <c r="C13162" s="319" t="s">
        <v>26</v>
      </c>
      <c r="D13162" s="499"/>
    </row>
    <row r="13163" spans="1:4" x14ac:dyDescent="0.2">
      <c r="A13163" s="319">
        <v>4893</v>
      </c>
      <c r="B13163" s="498" t="s">
        <v>45601</v>
      </c>
      <c r="C13163" s="319" t="s">
        <v>26</v>
      </c>
      <c r="D13163" s="499"/>
    </row>
    <row r="13164" spans="1:4" x14ac:dyDescent="0.2">
      <c r="A13164" s="319">
        <v>4894</v>
      </c>
      <c r="B13164" s="498" t="s">
        <v>45602</v>
      </c>
      <c r="C13164" s="319" t="s">
        <v>26</v>
      </c>
      <c r="D13164" s="499"/>
    </row>
    <row r="13165" spans="1:4" x14ac:dyDescent="0.2">
      <c r="A13165" s="319">
        <v>4890</v>
      </c>
      <c r="B13165" s="498" t="s">
        <v>45603</v>
      </c>
      <c r="C13165" s="319" t="s">
        <v>26</v>
      </c>
      <c r="D13165" s="499"/>
    </row>
    <row r="13166" spans="1:4" x14ac:dyDescent="0.2">
      <c r="A13166" s="319">
        <v>4888</v>
      </c>
      <c r="B13166" s="498" t="s">
        <v>45604</v>
      </c>
      <c r="C13166" s="319" t="s">
        <v>26</v>
      </c>
      <c r="D13166" s="499"/>
    </row>
    <row r="13167" spans="1:4" x14ac:dyDescent="0.2">
      <c r="A13167" s="319">
        <v>12411</v>
      </c>
      <c r="B13167" s="498" t="s">
        <v>45605</v>
      </c>
      <c r="C13167" s="319" t="s">
        <v>26</v>
      </c>
      <c r="D13167" s="499"/>
    </row>
    <row r="13168" spans="1:4" x14ac:dyDescent="0.2">
      <c r="A13168" s="319">
        <v>4891</v>
      </c>
      <c r="B13168" s="498" t="s">
        <v>45606</v>
      </c>
      <c r="C13168" s="319" t="s">
        <v>26</v>
      </c>
      <c r="D13168" s="499"/>
    </row>
    <row r="13169" spans="1:4" x14ac:dyDescent="0.2">
      <c r="A13169" s="319">
        <v>4892</v>
      </c>
      <c r="B13169" s="498" t="s">
        <v>45607</v>
      </c>
      <c r="C13169" s="319" t="s">
        <v>26</v>
      </c>
      <c r="D13169" s="499"/>
    </row>
    <row r="13170" spans="1:4" x14ac:dyDescent="0.2">
      <c r="A13170" s="319">
        <v>4889</v>
      </c>
      <c r="B13170" s="498" t="s">
        <v>45608</v>
      </c>
      <c r="C13170" s="319" t="s">
        <v>26</v>
      </c>
      <c r="D13170" s="499"/>
    </row>
    <row r="13171" spans="1:4" x14ac:dyDescent="0.2">
      <c r="A13171" s="319">
        <v>12412</v>
      </c>
      <c r="B13171" s="498" t="s">
        <v>45609</v>
      </c>
      <c r="C13171" s="319" t="s">
        <v>26</v>
      </c>
      <c r="D13171" s="499"/>
    </row>
    <row r="13172" spans="1:4" x14ac:dyDescent="0.2">
      <c r="A13172" s="319">
        <v>4907</v>
      </c>
      <c r="B13172" s="498" t="s">
        <v>45610</v>
      </c>
      <c r="C13172" s="319" t="s">
        <v>26</v>
      </c>
      <c r="D13172" s="499">
        <v>22.84</v>
      </c>
    </row>
    <row r="13173" spans="1:4" x14ac:dyDescent="0.2">
      <c r="A13173" s="319">
        <v>4902</v>
      </c>
      <c r="B13173" s="498" t="s">
        <v>45611</v>
      </c>
      <c r="C13173" s="319" t="s">
        <v>26</v>
      </c>
      <c r="D13173" s="499">
        <v>59.26</v>
      </c>
    </row>
    <row r="13174" spans="1:4" x14ac:dyDescent="0.2">
      <c r="A13174" s="319">
        <v>4741</v>
      </c>
      <c r="B13174" s="498" t="s">
        <v>45612</v>
      </c>
      <c r="C13174" s="319" t="s">
        <v>271</v>
      </c>
      <c r="D13174" s="499">
        <v>107.26</v>
      </c>
    </row>
    <row r="13175" spans="1:4" x14ac:dyDescent="0.2">
      <c r="A13175" s="319">
        <v>4752</v>
      </c>
      <c r="B13175" s="498" t="s">
        <v>45613</v>
      </c>
      <c r="C13175" s="319" t="s">
        <v>558</v>
      </c>
      <c r="D13175" s="499">
        <v>12.91</v>
      </c>
    </row>
    <row r="13176" spans="1:4" x14ac:dyDescent="0.2">
      <c r="A13176" s="319">
        <v>41091</v>
      </c>
      <c r="B13176" s="498" t="s">
        <v>45614</v>
      </c>
      <c r="C13176" s="319" t="s">
        <v>5681</v>
      </c>
      <c r="D13176" s="499">
        <v>2271.41</v>
      </c>
    </row>
    <row r="13177" spans="1:4" ht="25.5" x14ac:dyDescent="0.2">
      <c r="A13177" s="319">
        <v>13954</v>
      </c>
      <c r="B13177" s="498" t="s">
        <v>45615</v>
      </c>
      <c r="C13177" s="319" t="s">
        <v>26</v>
      </c>
      <c r="D13177" s="499"/>
    </row>
    <row r="13178" spans="1:4" x14ac:dyDescent="0.2">
      <c r="A13178" s="319">
        <v>3411</v>
      </c>
      <c r="B13178" s="498" t="s">
        <v>45616</v>
      </c>
      <c r="C13178" s="319" t="s">
        <v>1284</v>
      </c>
      <c r="D13178" s="499"/>
    </row>
    <row r="13179" spans="1:4" x14ac:dyDescent="0.2">
      <c r="A13179" s="319">
        <v>39995</v>
      </c>
      <c r="B13179" s="498" t="s">
        <v>45617</v>
      </c>
      <c r="C13179" s="319" t="s">
        <v>271</v>
      </c>
      <c r="D13179" s="499"/>
    </row>
    <row r="13180" spans="1:4" ht="25.5" x14ac:dyDescent="0.2">
      <c r="A13180" s="319">
        <v>11615</v>
      </c>
      <c r="B13180" s="498" t="s">
        <v>45618</v>
      </c>
      <c r="C13180" s="319" t="s">
        <v>255</v>
      </c>
      <c r="D13180" s="499"/>
    </row>
    <row r="13181" spans="1:4" ht="25.5" x14ac:dyDescent="0.2">
      <c r="A13181" s="319">
        <v>3408</v>
      </c>
      <c r="B13181" s="498" t="s">
        <v>45619</v>
      </c>
      <c r="C13181" s="319" t="s">
        <v>255</v>
      </c>
      <c r="D13181" s="499"/>
    </row>
    <row r="13182" spans="1:4" ht="25.5" x14ac:dyDescent="0.2">
      <c r="A13182" s="319">
        <v>3409</v>
      </c>
      <c r="B13182" s="498" t="s">
        <v>45620</v>
      </c>
      <c r="C13182" s="319" t="s">
        <v>255</v>
      </c>
      <c r="D13182" s="499"/>
    </row>
    <row r="13183" spans="1:4" x14ac:dyDescent="0.2">
      <c r="A13183" s="319">
        <v>11427</v>
      </c>
      <c r="B13183" s="498" t="s">
        <v>45621</v>
      </c>
      <c r="C13183" s="319" t="s">
        <v>1284</v>
      </c>
      <c r="D13183" s="499"/>
    </row>
    <row r="13184" spans="1:4" ht="25.5" x14ac:dyDescent="0.2">
      <c r="A13184" s="319">
        <v>4491</v>
      </c>
      <c r="B13184" s="498" t="s">
        <v>45622</v>
      </c>
      <c r="C13184" s="319" t="s">
        <v>0</v>
      </c>
      <c r="D13184" s="499">
        <v>11.46</v>
      </c>
    </row>
    <row r="13185" spans="1:4" ht="25.5" x14ac:dyDescent="0.2">
      <c r="A13185" s="319">
        <v>2745</v>
      </c>
      <c r="B13185" s="498" t="s">
        <v>45623</v>
      </c>
      <c r="C13185" s="319" t="s">
        <v>0</v>
      </c>
      <c r="D13185" s="499"/>
    </row>
    <row r="13186" spans="1:4" ht="25.5" x14ac:dyDescent="0.2">
      <c r="A13186" s="319">
        <v>14439</v>
      </c>
      <c r="B13186" s="498" t="s">
        <v>45624</v>
      </c>
      <c r="C13186" s="319" t="s">
        <v>0</v>
      </c>
      <c r="D13186" s="499"/>
    </row>
    <row r="13187" spans="1:4" x14ac:dyDescent="0.2">
      <c r="A13187" s="319">
        <v>45238</v>
      </c>
      <c r="B13187" s="498" t="s">
        <v>48339</v>
      </c>
      <c r="C13187" s="319" t="s">
        <v>26</v>
      </c>
      <c r="D13187" s="499"/>
    </row>
    <row r="13188" spans="1:4" ht="25.5" x14ac:dyDescent="0.2">
      <c r="A13188" s="319">
        <v>44496</v>
      </c>
      <c r="B13188" s="498" t="s">
        <v>48340</v>
      </c>
      <c r="C13188" s="319" t="s">
        <v>26</v>
      </c>
      <c r="D13188" s="499"/>
    </row>
    <row r="13189" spans="1:4" x14ac:dyDescent="0.2">
      <c r="A13189" s="319">
        <v>12362</v>
      </c>
      <c r="B13189" s="498" t="s">
        <v>45625</v>
      </c>
      <c r="C13189" s="319" t="s">
        <v>26</v>
      </c>
      <c r="D13189" s="499"/>
    </row>
    <row r="13190" spans="1:4" x14ac:dyDescent="0.2">
      <c r="A13190" s="319">
        <v>421</v>
      </c>
      <c r="B13190" s="498" t="s">
        <v>45626</v>
      </c>
      <c r="C13190" s="319" t="s">
        <v>26</v>
      </c>
      <c r="D13190" s="499"/>
    </row>
    <row r="13191" spans="1:4" ht="25.5" x14ac:dyDescent="0.2">
      <c r="A13191" s="319">
        <v>14148</v>
      </c>
      <c r="B13191" s="498" t="s">
        <v>48341</v>
      </c>
      <c r="C13191" s="319" t="s">
        <v>26</v>
      </c>
      <c r="D13191" s="499"/>
    </row>
    <row r="13192" spans="1:4" x14ac:dyDescent="0.2">
      <c r="A13192" s="319">
        <v>4341</v>
      </c>
      <c r="B13192" s="498" t="s">
        <v>45627</v>
      </c>
      <c r="C13192" s="319" t="s">
        <v>26</v>
      </c>
      <c r="D13192" s="499">
        <v>1.4</v>
      </c>
    </row>
    <row r="13193" spans="1:4" x14ac:dyDescent="0.2">
      <c r="A13193" s="319">
        <v>4337</v>
      </c>
      <c r="B13193" s="498" t="s">
        <v>45628</v>
      </c>
      <c r="C13193" s="319" t="s">
        <v>26</v>
      </c>
      <c r="D13193" s="499">
        <v>3.54</v>
      </c>
    </row>
    <row r="13194" spans="1:4" x14ac:dyDescent="0.2">
      <c r="A13194" s="319">
        <v>11971</v>
      </c>
      <c r="B13194" s="498" t="s">
        <v>45629</v>
      </c>
      <c r="C13194" s="319" t="s">
        <v>26</v>
      </c>
      <c r="D13194" s="499">
        <v>5.86</v>
      </c>
    </row>
    <row r="13195" spans="1:4" x14ac:dyDescent="0.2">
      <c r="A13195" s="319">
        <v>4339</v>
      </c>
      <c r="B13195" s="498" t="s">
        <v>45630</v>
      </c>
      <c r="C13195" s="319" t="s">
        <v>26</v>
      </c>
      <c r="D13195" s="499">
        <v>0.75</v>
      </c>
    </row>
    <row r="13196" spans="1:4" x14ac:dyDescent="0.2">
      <c r="A13196" s="319">
        <v>39997</v>
      </c>
      <c r="B13196" s="498" t="s">
        <v>45631</v>
      </c>
      <c r="C13196" s="319" t="s">
        <v>26</v>
      </c>
      <c r="D13196" s="499">
        <v>0.42</v>
      </c>
    </row>
    <row r="13197" spans="1:4" x14ac:dyDescent="0.2">
      <c r="A13197" s="319">
        <v>4342</v>
      </c>
      <c r="B13197" s="498" t="s">
        <v>45632</v>
      </c>
      <c r="C13197" s="319" t="s">
        <v>26</v>
      </c>
      <c r="D13197" s="499">
        <v>0.31</v>
      </c>
    </row>
    <row r="13198" spans="1:4" x14ac:dyDescent="0.2">
      <c r="A13198" s="319">
        <v>4330</v>
      </c>
      <c r="B13198" s="498" t="s">
        <v>45633</v>
      </c>
      <c r="C13198" s="319" t="s">
        <v>26</v>
      </c>
      <c r="D13198" s="499">
        <v>0.2</v>
      </c>
    </row>
    <row r="13199" spans="1:4" x14ac:dyDescent="0.2">
      <c r="A13199" s="319">
        <v>4340</v>
      </c>
      <c r="B13199" s="498" t="s">
        <v>45634</v>
      </c>
      <c r="C13199" s="319" t="s">
        <v>26</v>
      </c>
      <c r="D13199" s="499">
        <v>1.64</v>
      </c>
    </row>
    <row r="13200" spans="1:4" x14ac:dyDescent="0.2">
      <c r="A13200" s="319">
        <v>5088</v>
      </c>
      <c r="B13200" s="498" t="s">
        <v>45635</v>
      </c>
      <c r="C13200" s="319" t="s">
        <v>26</v>
      </c>
      <c r="D13200" s="499">
        <v>7.03</v>
      </c>
    </row>
    <row r="13201" spans="1:4" ht="51" x14ac:dyDescent="0.2">
      <c r="A13201" s="319">
        <v>11154</v>
      </c>
      <c r="B13201" s="498" t="s">
        <v>45636</v>
      </c>
      <c r="C13201" s="319" t="s">
        <v>26</v>
      </c>
      <c r="D13201" s="499"/>
    </row>
    <row r="13202" spans="1:4" ht="38.25" x14ac:dyDescent="0.2">
      <c r="A13202" s="319">
        <v>4989</v>
      </c>
      <c r="B13202" s="498" t="s">
        <v>45637</v>
      </c>
      <c r="C13202" s="319" t="s">
        <v>26</v>
      </c>
      <c r="D13202" s="499">
        <v>396.35</v>
      </c>
    </row>
    <row r="13203" spans="1:4" ht="38.25" x14ac:dyDescent="0.2">
      <c r="A13203" s="319">
        <v>4982</v>
      </c>
      <c r="B13203" s="498" t="s">
        <v>45638</v>
      </c>
      <c r="C13203" s="319" t="s">
        <v>26</v>
      </c>
      <c r="D13203" s="499">
        <v>371.75</v>
      </c>
    </row>
    <row r="13204" spans="1:4" ht="38.25" x14ac:dyDescent="0.2">
      <c r="A13204" s="319">
        <v>4962</v>
      </c>
      <c r="B13204" s="498" t="s">
        <v>45639</v>
      </c>
      <c r="C13204" s="319" t="s">
        <v>26</v>
      </c>
      <c r="D13204" s="499">
        <v>293.17</v>
      </c>
    </row>
    <row r="13205" spans="1:4" ht="38.25" x14ac:dyDescent="0.2">
      <c r="A13205" s="319">
        <v>4981</v>
      </c>
      <c r="B13205" s="498" t="s">
        <v>45640</v>
      </c>
      <c r="C13205" s="319" t="s">
        <v>26</v>
      </c>
      <c r="D13205" s="499">
        <v>261</v>
      </c>
    </row>
    <row r="13206" spans="1:4" ht="38.25" x14ac:dyDescent="0.2">
      <c r="A13206" s="319">
        <v>4964</v>
      </c>
      <c r="B13206" s="498" t="s">
        <v>45641</v>
      </c>
      <c r="C13206" s="319" t="s">
        <v>26</v>
      </c>
      <c r="D13206" s="499">
        <v>331.11</v>
      </c>
    </row>
    <row r="13207" spans="1:4" ht="38.25" x14ac:dyDescent="0.2">
      <c r="A13207" s="319">
        <v>4992</v>
      </c>
      <c r="B13207" s="498" t="s">
        <v>45642</v>
      </c>
      <c r="C13207" s="319" t="s">
        <v>26</v>
      </c>
      <c r="D13207" s="499">
        <v>323.44</v>
      </c>
    </row>
    <row r="13208" spans="1:4" ht="38.25" x14ac:dyDescent="0.2">
      <c r="A13208" s="319">
        <v>4987</v>
      </c>
      <c r="B13208" s="498" t="s">
        <v>45643</v>
      </c>
      <c r="C13208" s="319" t="s">
        <v>26</v>
      </c>
      <c r="D13208" s="499">
        <v>370.03</v>
      </c>
    </row>
    <row r="13209" spans="1:4" ht="25.5" x14ac:dyDescent="0.2">
      <c r="A13209" s="319">
        <v>4930</v>
      </c>
      <c r="B13209" s="498" t="s">
        <v>45644</v>
      </c>
      <c r="C13209" s="319" t="s">
        <v>255</v>
      </c>
      <c r="D13209" s="499"/>
    </row>
    <row r="13210" spans="1:4" ht="38.25" x14ac:dyDescent="0.2">
      <c r="A13210" s="319">
        <v>4998</v>
      </c>
      <c r="B13210" s="498" t="s">
        <v>45645</v>
      </c>
      <c r="C13210" s="319" t="s">
        <v>255</v>
      </c>
      <c r="D13210" s="499">
        <v>821.09</v>
      </c>
    </row>
    <row r="13211" spans="1:4" ht="51" x14ac:dyDescent="0.2">
      <c r="A13211" s="319">
        <v>39021</v>
      </c>
      <c r="B13211" s="498" t="s">
        <v>45646</v>
      </c>
      <c r="C13211" s="319" t="s">
        <v>26</v>
      </c>
      <c r="D13211" s="499"/>
    </row>
    <row r="13212" spans="1:4" ht="38.25" x14ac:dyDescent="0.2">
      <c r="A13212" s="319">
        <v>39022</v>
      </c>
      <c r="B13212" s="498" t="s">
        <v>45647</v>
      </c>
      <c r="C13212" s="319" t="s">
        <v>26</v>
      </c>
      <c r="D13212" s="499"/>
    </row>
    <row r="13213" spans="1:4" ht="38.25" x14ac:dyDescent="0.2">
      <c r="A13213" s="319">
        <v>39024</v>
      </c>
      <c r="B13213" s="498" t="s">
        <v>45648</v>
      </c>
      <c r="C13213" s="319" t="s">
        <v>26</v>
      </c>
      <c r="D13213" s="499">
        <v>669.47</v>
      </c>
    </row>
    <row r="13214" spans="1:4" ht="25.5" x14ac:dyDescent="0.2">
      <c r="A13214" s="319">
        <v>4914</v>
      </c>
      <c r="B13214" s="498" t="s">
        <v>45649</v>
      </c>
      <c r="C13214" s="319" t="s">
        <v>255</v>
      </c>
      <c r="D13214" s="499">
        <v>542.82000000000005</v>
      </c>
    </row>
    <row r="13215" spans="1:4" ht="25.5" x14ac:dyDescent="0.2">
      <c r="A13215" s="319">
        <v>4917</v>
      </c>
      <c r="B13215" s="498" t="s">
        <v>45650</v>
      </c>
      <c r="C13215" s="319" t="s">
        <v>255</v>
      </c>
      <c r="D13215" s="499">
        <v>374.88</v>
      </c>
    </row>
    <row r="13216" spans="1:4" ht="25.5" x14ac:dyDescent="0.2">
      <c r="A13216" s="319">
        <v>39025</v>
      </c>
      <c r="B13216" s="498" t="s">
        <v>45651</v>
      </c>
      <c r="C13216" s="319" t="s">
        <v>26</v>
      </c>
      <c r="D13216" s="499">
        <v>686.47</v>
      </c>
    </row>
    <row r="13217" spans="1:4" ht="38.25" x14ac:dyDescent="0.2">
      <c r="A13217" s="319">
        <v>4922</v>
      </c>
      <c r="B13217" s="498" t="s">
        <v>45652</v>
      </c>
      <c r="C13217" s="319" t="s">
        <v>255</v>
      </c>
      <c r="D13217" s="499">
        <v>347.73</v>
      </c>
    </row>
    <row r="13218" spans="1:4" ht="25.5" x14ac:dyDescent="0.2">
      <c r="A13218" s="319">
        <v>4911</v>
      </c>
      <c r="B13218" s="498" t="s">
        <v>45653</v>
      </c>
      <c r="C13218" s="319" t="s">
        <v>255</v>
      </c>
      <c r="D13218" s="499">
        <v>313.04000000000002</v>
      </c>
    </row>
    <row r="13219" spans="1:4" ht="38.25" x14ac:dyDescent="0.2">
      <c r="A13219" s="319">
        <v>37518</v>
      </c>
      <c r="B13219" s="498" t="s">
        <v>45654</v>
      </c>
      <c r="C13219" s="319" t="s">
        <v>255</v>
      </c>
      <c r="D13219" s="499">
        <v>508.69</v>
      </c>
    </row>
    <row r="13220" spans="1:4" ht="25.5" x14ac:dyDescent="0.2">
      <c r="A13220" s="319">
        <v>4910</v>
      </c>
      <c r="B13220" s="498" t="s">
        <v>45655</v>
      </c>
      <c r="C13220" s="319" t="s">
        <v>255</v>
      </c>
      <c r="D13220" s="499">
        <v>428.83</v>
      </c>
    </row>
    <row r="13221" spans="1:4" ht="38.25" x14ac:dyDescent="0.2">
      <c r="A13221" s="319">
        <v>4943</v>
      </c>
      <c r="B13221" s="498" t="s">
        <v>45656</v>
      </c>
      <c r="C13221" s="319" t="s">
        <v>255</v>
      </c>
      <c r="D13221" s="499">
        <v>638.85</v>
      </c>
    </row>
    <row r="13222" spans="1:4" ht="25.5" x14ac:dyDescent="0.2">
      <c r="A13222" s="319">
        <v>5002</v>
      </c>
      <c r="B13222" s="498" t="s">
        <v>45657</v>
      </c>
      <c r="C13222" s="319" t="s">
        <v>255</v>
      </c>
      <c r="D13222" s="499">
        <v>598.55999999999995</v>
      </c>
    </row>
    <row r="13223" spans="1:4" ht="25.5" x14ac:dyDescent="0.2">
      <c r="A13223" s="319">
        <v>4977</v>
      </c>
      <c r="B13223" s="498" t="s">
        <v>45658</v>
      </c>
      <c r="C13223" s="319" t="s">
        <v>255</v>
      </c>
      <c r="D13223" s="499">
        <v>404.05</v>
      </c>
    </row>
    <row r="13224" spans="1:4" ht="38.25" x14ac:dyDescent="0.2">
      <c r="A13224" s="319">
        <v>11364</v>
      </c>
      <c r="B13224" s="498" t="s">
        <v>45659</v>
      </c>
      <c r="C13224" s="319" t="s">
        <v>26</v>
      </c>
      <c r="D13224" s="499">
        <v>224.22</v>
      </c>
    </row>
    <row r="13225" spans="1:4" ht="38.25" x14ac:dyDescent="0.2">
      <c r="A13225" s="319">
        <v>11365</v>
      </c>
      <c r="B13225" s="498" t="s">
        <v>45660</v>
      </c>
      <c r="C13225" s="319" t="s">
        <v>26</v>
      </c>
      <c r="D13225" s="499">
        <v>232.69</v>
      </c>
    </row>
    <row r="13226" spans="1:4" ht="38.25" x14ac:dyDescent="0.2">
      <c r="A13226" s="319">
        <v>11366</v>
      </c>
      <c r="B13226" s="498" t="s">
        <v>45661</v>
      </c>
      <c r="C13226" s="319" t="s">
        <v>26</v>
      </c>
      <c r="D13226" s="499">
        <v>247.34</v>
      </c>
    </row>
    <row r="13227" spans="1:4" ht="38.25" x14ac:dyDescent="0.2">
      <c r="A13227" s="319">
        <v>43777</v>
      </c>
      <c r="B13227" s="498" t="s">
        <v>45662</v>
      </c>
      <c r="C13227" s="319" t="s">
        <v>26</v>
      </c>
      <c r="D13227" s="499">
        <v>290.54000000000002</v>
      </c>
    </row>
    <row r="13228" spans="1:4" ht="38.25" x14ac:dyDescent="0.2">
      <c r="A13228" s="319">
        <v>20322</v>
      </c>
      <c r="B13228" s="498" t="s">
        <v>45663</v>
      </c>
      <c r="C13228" s="319" t="s">
        <v>26</v>
      </c>
      <c r="D13228" s="499">
        <v>269.70999999999998</v>
      </c>
    </row>
    <row r="13229" spans="1:4" ht="38.25" x14ac:dyDescent="0.2">
      <c r="A13229" s="319">
        <v>10553</v>
      </c>
      <c r="B13229" s="498" t="s">
        <v>45664</v>
      </c>
      <c r="C13229" s="319" t="s">
        <v>26</v>
      </c>
      <c r="D13229" s="499">
        <v>244.9</v>
      </c>
    </row>
    <row r="13230" spans="1:4" ht="38.25" x14ac:dyDescent="0.2">
      <c r="A13230" s="319">
        <v>5020</v>
      </c>
      <c r="B13230" s="498" t="s">
        <v>45665</v>
      </c>
      <c r="C13230" s="319" t="s">
        <v>26</v>
      </c>
      <c r="D13230" s="499">
        <v>258.2</v>
      </c>
    </row>
    <row r="13231" spans="1:4" ht="38.25" x14ac:dyDescent="0.2">
      <c r="A13231" s="319">
        <v>10554</v>
      </c>
      <c r="B13231" s="498" t="s">
        <v>45666</v>
      </c>
      <c r="C13231" s="319" t="s">
        <v>26</v>
      </c>
      <c r="D13231" s="499">
        <v>247.07</v>
      </c>
    </row>
    <row r="13232" spans="1:4" ht="38.25" x14ac:dyDescent="0.2">
      <c r="A13232" s="319">
        <v>10555</v>
      </c>
      <c r="B13232" s="498" t="s">
        <v>45667</v>
      </c>
      <c r="C13232" s="319" t="s">
        <v>26</v>
      </c>
      <c r="D13232" s="499">
        <v>269.44</v>
      </c>
    </row>
    <row r="13233" spans="1:4" ht="38.25" x14ac:dyDescent="0.2">
      <c r="A13233" s="319">
        <v>10556</v>
      </c>
      <c r="B13233" s="498" t="s">
        <v>45668</v>
      </c>
      <c r="C13233" s="319" t="s">
        <v>26</v>
      </c>
      <c r="D13233" s="499">
        <v>358.25</v>
      </c>
    </row>
    <row r="13234" spans="1:4" ht="38.25" x14ac:dyDescent="0.2">
      <c r="A13234" s="319">
        <v>39502</v>
      </c>
      <c r="B13234" s="498" t="s">
        <v>45669</v>
      </c>
      <c r="C13234" s="319" t="s">
        <v>26</v>
      </c>
      <c r="D13234" s="499">
        <v>503.06</v>
      </c>
    </row>
    <row r="13235" spans="1:4" ht="38.25" x14ac:dyDescent="0.2">
      <c r="A13235" s="319">
        <v>39504</v>
      </c>
      <c r="B13235" s="498" t="s">
        <v>45670</v>
      </c>
      <c r="C13235" s="319" t="s">
        <v>26</v>
      </c>
      <c r="D13235" s="499">
        <v>556.29</v>
      </c>
    </row>
    <row r="13236" spans="1:4" ht="38.25" x14ac:dyDescent="0.2">
      <c r="A13236" s="319">
        <v>39503</v>
      </c>
      <c r="B13236" s="498" t="s">
        <v>45671</v>
      </c>
      <c r="C13236" s="319" t="s">
        <v>26</v>
      </c>
      <c r="D13236" s="499">
        <v>585.48</v>
      </c>
    </row>
    <row r="13237" spans="1:4" ht="38.25" x14ac:dyDescent="0.2">
      <c r="A13237" s="319">
        <v>39505</v>
      </c>
      <c r="B13237" s="498" t="s">
        <v>45672</v>
      </c>
      <c r="C13237" s="319" t="s">
        <v>26</v>
      </c>
      <c r="D13237" s="499">
        <v>630.92999999999995</v>
      </c>
    </row>
    <row r="13238" spans="1:4" ht="25.5" x14ac:dyDescent="0.2">
      <c r="A13238" s="319">
        <v>5028</v>
      </c>
      <c r="B13238" s="498" t="s">
        <v>45673</v>
      </c>
      <c r="C13238" s="319" t="s">
        <v>255</v>
      </c>
      <c r="D13238" s="499">
        <v>988.65</v>
      </c>
    </row>
    <row r="13239" spans="1:4" ht="25.5" x14ac:dyDescent="0.2">
      <c r="A13239" s="319">
        <v>4969</v>
      </c>
      <c r="B13239" s="498" t="s">
        <v>45674</v>
      </c>
      <c r="C13239" s="319" t="s">
        <v>255</v>
      </c>
      <c r="D13239" s="499">
        <v>571.45000000000005</v>
      </c>
    </row>
    <row r="13240" spans="1:4" x14ac:dyDescent="0.2">
      <c r="A13240" s="319">
        <v>44471</v>
      </c>
      <c r="B13240" s="498" t="s">
        <v>48342</v>
      </c>
      <c r="C13240" s="319" t="s">
        <v>26</v>
      </c>
      <c r="D13240" s="499"/>
    </row>
    <row r="13241" spans="1:4" ht="25.5" x14ac:dyDescent="0.2">
      <c r="A13241" s="319">
        <v>4944</v>
      </c>
      <c r="B13241" s="498" t="s">
        <v>48343</v>
      </c>
      <c r="C13241" s="319" t="s">
        <v>255</v>
      </c>
      <c r="D13241" s="499">
        <v>955.09</v>
      </c>
    </row>
    <row r="13242" spans="1:4" x14ac:dyDescent="0.2">
      <c r="A13242" s="319">
        <v>21102</v>
      </c>
      <c r="B13242" s="498" t="s">
        <v>45675</v>
      </c>
      <c r="C13242" s="319" t="s">
        <v>26</v>
      </c>
      <c r="D13242" s="499">
        <v>18.48</v>
      </c>
    </row>
    <row r="13243" spans="1:4" x14ac:dyDescent="0.2">
      <c r="A13243" s="319">
        <v>21101</v>
      </c>
      <c r="B13243" s="498" t="s">
        <v>45676</v>
      </c>
      <c r="C13243" s="319" t="s">
        <v>26</v>
      </c>
      <c r="D13243" s="499">
        <v>11.87</v>
      </c>
    </row>
    <row r="13244" spans="1:4" ht="25.5" x14ac:dyDescent="0.2">
      <c r="A13244" s="319">
        <v>34713</v>
      </c>
      <c r="B13244" s="498" t="s">
        <v>45677</v>
      </c>
      <c r="C13244" s="319" t="s">
        <v>255</v>
      </c>
      <c r="D13244" s="499"/>
    </row>
    <row r="13245" spans="1:4" ht="25.5" x14ac:dyDescent="0.2">
      <c r="A13245" s="319">
        <v>37563</v>
      </c>
      <c r="B13245" s="498" t="s">
        <v>45678</v>
      </c>
      <c r="C13245" s="319" t="s">
        <v>255</v>
      </c>
      <c r="D13245" s="499"/>
    </row>
    <row r="13246" spans="1:4" ht="25.5" x14ac:dyDescent="0.2">
      <c r="A13246" s="319">
        <v>4948</v>
      </c>
      <c r="B13246" s="498" t="s">
        <v>45679</v>
      </c>
      <c r="C13246" s="319" t="s">
        <v>255</v>
      </c>
      <c r="D13246" s="499"/>
    </row>
    <row r="13247" spans="1:4" ht="38.25" x14ac:dyDescent="0.2">
      <c r="A13247" s="319">
        <v>37561</v>
      </c>
      <c r="B13247" s="498" t="s">
        <v>45680</v>
      </c>
      <c r="C13247" s="319" t="s">
        <v>255</v>
      </c>
      <c r="D13247" s="499"/>
    </row>
    <row r="13248" spans="1:4" ht="38.25" x14ac:dyDescent="0.2">
      <c r="A13248" s="319">
        <v>37562</v>
      </c>
      <c r="B13248" s="498" t="s">
        <v>45681</v>
      </c>
      <c r="C13248" s="319" t="s">
        <v>255</v>
      </c>
      <c r="D13248" s="499"/>
    </row>
    <row r="13249" spans="1:4" ht="25.5" x14ac:dyDescent="0.2">
      <c r="A13249" s="319">
        <v>14164</v>
      </c>
      <c r="B13249" s="498" t="s">
        <v>45682</v>
      </c>
      <c r="C13249" s="319" t="s">
        <v>26</v>
      </c>
      <c r="D13249" s="499"/>
    </row>
    <row r="13250" spans="1:4" ht="25.5" x14ac:dyDescent="0.2">
      <c r="A13250" s="319">
        <v>14163</v>
      </c>
      <c r="B13250" s="498" t="s">
        <v>45683</v>
      </c>
      <c r="C13250" s="319" t="s">
        <v>26</v>
      </c>
      <c r="D13250" s="499"/>
    </row>
    <row r="13251" spans="1:4" ht="25.5" x14ac:dyDescent="0.2">
      <c r="A13251" s="319">
        <v>5051</v>
      </c>
      <c r="B13251" s="498" t="s">
        <v>45684</v>
      </c>
      <c r="C13251" s="319" t="s">
        <v>26</v>
      </c>
      <c r="D13251" s="499"/>
    </row>
    <row r="13252" spans="1:4" ht="25.5" x14ac:dyDescent="0.2">
      <c r="A13252" s="319">
        <v>5052</v>
      </c>
      <c r="B13252" s="498" t="s">
        <v>45685</v>
      </c>
      <c r="C13252" s="319" t="s">
        <v>26</v>
      </c>
      <c r="D13252" s="499"/>
    </row>
    <row r="13253" spans="1:4" ht="25.5" x14ac:dyDescent="0.2">
      <c r="A13253" s="319">
        <v>14162</v>
      </c>
      <c r="B13253" s="498" t="s">
        <v>45686</v>
      </c>
      <c r="C13253" s="319" t="s">
        <v>26</v>
      </c>
      <c r="D13253" s="499"/>
    </row>
    <row r="13254" spans="1:4" ht="25.5" x14ac:dyDescent="0.2">
      <c r="A13254" s="319">
        <v>14166</v>
      </c>
      <c r="B13254" s="498" t="s">
        <v>45687</v>
      </c>
      <c r="C13254" s="319" t="s">
        <v>26</v>
      </c>
      <c r="D13254" s="499"/>
    </row>
    <row r="13255" spans="1:4" ht="25.5" x14ac:dyDescent="0.2">
      <c r="A13255" s="319">
        <v>14165</v>
      </c>
      <c r="B13255" s="498" t="s">
        <v>45688</v>
      </c>
      <c r="C13255" s="319" t="s">
        <v>26</v>
      </c>
      <c r="D13255" s="499"/>
    </row>
    <row r="13256" spans="1:4" ht="25.5" x14ac:dyDescent="0.2">
      <c r="A13256" s="319">
        <v>5050</v>
      </c>
      <c r="B13256" s="498" t="s">
        <v>45689</v>
      </c>
      <c r="C13256" s="319" t="s">
        <v>26</v>
      </c>
      <c r="D13256" s="499"/>
    </row>
    <row r="13257" spans="1:4" ht="25.5" x14ac:dyDescent="0.2">
      <c r="A13257" s="319">
        <v>12366</v>
      </c>
      <c r="B13257" s="498" t="s">
        <v>45690</v>
      </c>
      <c r="C13257" s="319" t="s">
        <v>26</v>
      </c>
      <c r="D13257" s="499"/>
    </row>
    <row r="13258" spans="1:4" ht="25.5" x14ac:dyDescent="0.2">
      <c r="A13258" s="319">
        <v>5045</v>
      </c>
      <c r="B13258" s="498" t="s">
        <v>45691</v>
      </c>
      <c r="C13258" s="319" t="s">
        <v>26</v>
      </c>
      <c r="D13258" s="499"/>
    </row>
    <row r="13259" spans="1:4" ht="25.5" x14ac:dyDescent="0.2">
      <c r="A13259" s="319">
        <v>5035</v>
      </c>
      <c r="B13259" s="498" t="s">
        <v>45692</v>
      </c>
      <c r="C13259" s="319" t="s">
        <v>26</v>
      </c>
      <c r="D13259" s="499"/>
    </row>
    <row r="13260" spans="1:4" ht="25.5" x14ac:dyDescent="0.2">
      <c r="A13260" s="319">
        <v>41180</v>
      </c>
      <c r="B13260" s="498" t="s">
        <v>45693</v>
      </c>
      <c r="C13260" s="319" t="s">
        <v>26</v>
      </c>
      <c r="D13260" s="499"/>
    </row>
    <row r="13261" spans="1:4" ht="25.5" x14ac:dyDescent="0.2">
      <c r="A13261" s="319">
        <v>41181</v>
      </c>
      <c r="B13261" s="498" t="s">
        <v>45694</v>
      </c>
      <c r="C13261" s="319" t="s">
        <v>26</v>
      </c>
      <c r="D13261" s="499"/>
    </row>
    <row r="13262" spans="1:4" ht="25.5" x14ac:dyDescent="0.2">
      <c r="A13262" s="319">
        <v>41182</v>
      </c>
      <c r="B13262" s="498" t="s">
        <v>45695</v>
      </c>
      <c r="C13262" s="319" t="s">
        <v>26</v>
      </c>
      <c r="D13262" s="499"/>
    </row>
    <row r="13263" spans="1:4" ht="25.5" x14ac:dyDescent="0.2">
      <c r="A13263" s="319">
        <v>41183</v>
      </c>
      <c r="B13263" s="498" t="s">
        <v>45696</v>
      </c>
      <c r="C13263" s="319" t="s">
        <v>26</v>
      </c>
      <c r="D13263" s="499"/>
    </row>
    <row r="13264" spans="1:4" ht="25.5" x14ac:dyDescent="0.2">
      <c r="A13264" s="319">
        <v>41184</v>
      </c>
      <c r="B13264" s="498" t="s">
        <v>45697</v>
      </c>
      <c r="C13264" s="319" t="s">
        <v>26</v>
      </c>
      <c r="D13264" s="499"/>
    </row>
    <row r="13265" spans="1:4" ht="25.5" x14ac:dyDescent="0.2">
      <c r="A13265" s="319">
        <v>41185</v>
      </c>
      <c r="B13265" s="498" t="s">
        <v>45698</v>
      </c>
      <c r="C13265" s="319" t="s">
        <v>26</v>
      </c>
      <c r="D13265" s="499"/>
    </row>
    <row r="13266" spans="1:4" ht="25.5" x14ac:dyDescent="0.2">
      <c r="A13266" s="319">
        <v>41186</v>
      </c>
      <c r="B13266" s="498" t="s">
        <v>45699</v>
      </c>
      <c r="C13266" s="319" t="s">
        <v>26</v>
      </c>
      <c r="D13266" s="499"/>
    </row>
    <row r="13267" spans="1:4" ht="25.5" x14ac:dyDescent="0.2">
      <c r="A13267" s="319">
        <v>41187</v>
      </c>
      <c r="B13267" s="498" t="s">
        <v>45700</v>
      </c>
      <c r="C13267" s="319" t="s">
        <v>26</v>
      </c>
      <c r="D13267" s="499"/>
    </row>
    <row r="13268" spans="1:4" ht="25.5" x14ac:dyDescent="0.2">
      <c r="A13268" s="319">
        <v>41188</v>
      </c>
      <c r="B13268" s="498" t="s">
        <v>45701</v>
      </c>
      <c r="C13268" s="319" t="s">
        <v>26</v>
      </c>
      <c r="D13268" s="499"/>
    </row>
    <row r="13269" spans="1:4" ht="25.5" x14ac:dyDescent="0.2">
      <c r="A13269" s="319">
        <v>5036</v>
      </c>
      <c r="B13269" s="498" t="s">
        <v>45702</v>
      </c>
      <c r="C13269" s="319" t="s">
        <v>26</v>
      </c>
      <c r="D13269" s="499"/>
    </row>
    <row r="13270" spans="1:4" ht="25.5" x14ac:dyDescent="0.2">
      <c r="A13270" s="319">
        <v>41189</v>
      </c>
      <c r="B13270" s="498" t="s">
        <v>45703</v>
      </c>
      <c r="C13270" s="319" t="s">
        <v>26</v>
      </c>
      <c r="D13270" s="499"/>
    </row>
    <row r="13271" spans="1:4" ht="25.5" x14ac:dyDescent="0.2">
      <c r="A13271" s="319">
        <v>41190</v>
      </c>
      <c r="B13271" s="498" t="s">
        <v>45704</v>
      </c>
      <c r="C13271" s="319" t="s">
        <v>26</v>
      </c>
      <c r="D13271" s="499"/>
    </row>
    <row r="13272" spans="1:4" ht="25.5" x14ac:dyDescent="0.2">
      <c r="A13272" s="319">
        <v>41191</v>
      </c>
      <c r="B13272" s="498" t="s">
        <v>45705</v>
      </c>
      <c r="C13272" s="319" t="s">
        <v>26</v>
      </c>
      <c r="D13272" s="499"/>
    </row>
    <row r="13273" spans="1:4" ht="25.5" x14ac:dyDescent="0.2">
      <c r="A13273" s="319">
        <v>41192</v>
      </c>
      <c r="B13273" s="498" t="s">
        <v>45706</v>
      </c>
      <c r="C13273" s="319" t="s">
        <v>26</v>
      </c>
      <c r="D13273" s="499"/>
    </row>
    <row r="13274" spans="1:4" ht="25.5" x14ac:dyDescent="0.2">
      <c r="A13274" s="319">
        <v>41193</v>
      </c>
      <c r="B13274" s="498" t="s">
        <v>45707</v>
      </c>
      <c r="C13274" s="319" t="s">
        <v>26</v>
      </c>
      <c r="D13274" s="499"/>
    </row>
    <row r="13275" spans="1:4" ht="25.5" x14ac:dyDescent="0.2">
      <c r="A13275" s="319">
        <v>41194</v>
      </c>
      <c r="B13275" s="498" t="s">
        <v>45708</v>
      </c>
      <c r="C13275" s="319" t="s">
        <v>26</v>
      </c>
      <c r="D13275" s="499"/>
    </row>
    <row r="13276" spans="1:4" ht="25.5" x14ac:dyDescent="0.2">
      <c r="A13276" s="319">
        <v>5044</v>
      </c>
      <c r="B13276" s="498" t="s">
        <v>45709</v>
      </c>
      <c r="C13276" s="319" t="s">
        <v>26</v>
      </c>
      <c r="D13276" s="499"/>
    </row>
    <row r="13277" spans="1:4" ht="25.5" x14ac:dyDescent="0.2">
      <c r="A13277" s="319">
        <v>5059</v>
      </c>
      <c r="B13277" s="498" t="s">
        <v>45710</v>
      </c>
      <c r="C13277" s="319" t="s">
        <v>26</v>
      </c>
      <c r="D13277" s="499"/>
    </row>
    <row r="13278" spans="1:4" ht="25.5" x14ac:dyDescent="0.2">
      <c r="A13278" s="319">
        <v>41201</v>
      </c>
      <c r="B13278" s="498" t="s">
        <v>45711</v>
      </c>
      <c r="C13278" s="319" t="s">
        <v>26</v>
      </c>
      <c r="D13278" s="499"/>
    </row>
    <row r="13279" spans="1:4" ht="25.5" x14ac:dyDescent="0.2">
      <c r="A13279" s="319">
        <v>41199</v>
      </c>
      <c r="B13279" s="498" t="s">
        <v>45712</v>
      </c>
      <c r="C13279" s="319" t="s">
        <v>26</v>
      </c>
      <c r="D13279" s="499"/>
    </row>
    <row r="13280" spans="1:4" ht="25.5" x14ac:dyDescent="0.2">
      <c r="A13280" s="319">
        <v>5057</v>
      </c>
      <c r="B13280" s="498" t="s">
        <v>45713</v>
      </c>
      <c r="C13280" s="319" t="s">
        <v>26</v>
      </c>
      <c r="D13280" s="499"/>
    </row>
    <row r="13281" spans="1:4" ht="25.5" x14ac:dyDescent="0.2">
      <c r="A13281" s="319">
        <v>41200</v>
      </c>
      <c r="B13281" s="498" t="s">
        <v>45714</v>
      </c>
      <c r="C13281" s="319" t="s">
        <v>26</v>
      </c>
      <c r="D13281" s="499"/>
    </row>
    <row r="13282" spans="1:4" ht="25.5" x14ac:dyDescent="0.2">
      <c r="A13282" s="319">
        <v>41205</v>
      </c>
      <c r="B13282" s="498" t="s">
        <v>45715</v>
      </c>
      <c r="C13282" s="319" t="s">
        <v>26</v>
      </c>
      <c r="D13282" s="499"/>
    </row>
    <row r="13283" spans="1:4" ht="25.5" x14ac:dyDescent="0.2">
      <c r="A13283" s="319">
        <v>41202</v>
      </c>
      <c r="B13283" s="498" t="s">
        <v>45716</v>
      </c>
      <c r="C13283" s="319" t="s">
        <v>26</v>
      </c>
      <c r="D13283" s="499"/>
    </row>
    <row r="13284" spans="1:4" ht="25.5" x14ac:dyDescent="0.2">
      <c r="A13284" s="319">
        <v>41206</v>
      </c>
      <c r="B13284" s="498" t="s">
        <v>45717</v>
      </c>
      <c r="C13284" s="319" t="s">
        <v>26</v>
      </c>
      <c r="D13284" s="499"/>
    </row>
    <row r="13285" spans="1:4" ht="25.5" x14ac:dyDescent="0.2">
      <c r="A13285" s="319">
        <v>12372</v>
      </c>
      <c r="B13285" s="498" t="s">
        <v>45718</v>
      </c>
      <c r="C13285" s="319" t="s">
        <v>26</v>
      </c>
      <c r="D13285" s="499"/>
    </row>
    <row r="13286" spans="1:4" ht="25.5" x14ac:dyDescent="0.2">
      <c r="A13286" s="319">
        <v>41207</v>
      </c>
      <c r="B13286" s="498" t="s">
        <v>45719</v>
      </c>
      <c r="C13286" s="319" t="s">
        <v>26</v>
      </c>
      <c r="D13286" s="499"/>
    </row>
    <row r="13287" spans="1:4" ht="25.5" x14ac:dyDescent="0.2">
      <c r="A13287" s="319">
        <v>41203</v>
      </c>
      <c r="B13287" s="498" t="s">
        <v>45720</v>
      </c>
      <c r="C13287" s="319" t="s">
        <v>26</v>
      </c>
      <c r="D13287" s="499"/>
    </row>
    <row r="13288" spans="1:4" ht="25.5" x14ac:dyDescent="0.2">
      <c r="A13288" s="319">
        <v>41204</v>
      </c>
      <c r="B13288" s="498" t="s">
        <v>45721</v>
      </c>
      <c r="C13288" s="319" t="s">
        <v>26</v>
      </c>
      <c r="D13288" s="499"/>
    </row>
    <row r="13289" spans="1:4" ht="25.5" x14ac:dyDescent="0.2">
      <c r="A13289" s="319">
        <v>41210</v>
      </c>
      <c r="B13289" s="498" t="s">
        <v>45722</v>
      </c>
      <c r="C13289" s="319" t="s">
        <v>26</v>
      </c>
      <c r="D13289" s="499"/>
    </row>
    <row r="13290" spans="1:4" ht="25.5" x14ac:dyDescent="0.2">
      <c r="A13290" s="319">
        <v>41208</v>
      </c>
      <c r="B13290" s="498" t="s">
        <v>45723</v>
      </c>
      <c r="C13290" s="319" t="s">
        <v>26</v>
      </c>
      <c r="D13290" s="499"/>
    </row>
    <row r="13291" spans="1:4" ht="25.5" x14ac:dyDescent="0.2">
      <c r="A13291" s="319">
        <v>41211</v>
      </c>
      <c r="B13291" s="498" t="s">
        <v>45724</v>
      </c>
      <c r="C13291" s="319" t="s">
        <v>26</v>
      </c>
      <c r="D13291" s="499"/>
    </row>
    <row r="13292" spans="1:4" ht="25.5" x14ac:dyDescent="0.2">
      <c r="A13292" s="319">
        <v>13339</v>
      </c>
      <c r="B13292" s="498" t="s">
        <v>45725</v>
      </c>
      <c r="C13292" s="319" t="s">
        <v>26</v>
      </c>
      <c r="D13292" s="499"/>
    </row>
    <row r="13293" spans="1:4" ht="25.5" x14ac:dyDescent="0.2">
      <c r="A13293" s="319">
        <v>41213</v>
      </c>
      <c r="B13293" s="498" t="s">
        <v>45726</v>
      </c>
      <c r="C13293" s="319" t="s">
        <v>26</v>
      </c>
      <c r="D13293" s="499"/>
    </row>
    <row r="13294" spans="1:4" ht="25.5" x14ac:dyDescent="0.2">
      <c r="A13294" s="319">
        <v>41209</v>
      </c>
      <c r="B13294" s="498" t="s">
        <v>45727</v>
      </c>
      <c r="C13294" s="319" t="s">
        <v>26</v>
      </c>
      <c r="D13294" s="499"/>
    </row>
    <row r="13295" spans="1:4" ht="25.5" x14ac:dyDescent="0.2">
      <c r="A13295" s="319">
        <v>41216</v>
      </c>
      <c r="B13295" s="498" t="s">
        <v>45728</v>
      </c>
      <c r="C13295" s="319" t="s">
        <v>26</v>
      </c>
      <c r="D13295" s="499"/>
    </row>
    <row r="13296" spans="1:4" ht="25.5" x14ac:dyDescent="0.2">
      <c r="A13296" s="319">
        <v>41217</v>
      </c>
      <c r="B13296" s="498" t="s">
        <v>45729</v>
      </c>
      <c r="C13296" s="319" t="s">
        <v>26</v>
      </c>
      <c r="D13296" s="499"/>
    </row>
    <row r="13297" spans="1:4" ht="25.5" x14ac:dyDescent="0.2">
      <c r="A13297" s="319">
        <v>41218</v>
      </c>
      <c r="B13297" s="498" t="s">
        <v>45730</v>
      </c>
      <c r="C13297" s="319" t="s">
        <v>26</v>
      </c>
      <c r="D13297" s="499"/>
    </row>
    <row r="13298" spans="1:4" ht="25.5" x14ac:dyDescent="0.2">
      <c r="A13298" s="319">
        <v>41214</v>
      </c>
      <c r="B13298" s="498" t="s">
        <v>45731</v>
      </c>
      <c r="C13298" s="319" t="s">
        <v>26</v>
      </c>
      <c r="D13298" s="499"/>
    </row>
    <row r="13299" spans="1:4" ht="25.5" x14ac:dyDescent="0.2">
      <c r="A13299" s="319">
        <v>41215</v>
      </c>
      <c r="B13299" s="498" t="s">
        <v>45732</v>
      </c>
      <c r="C13299" s="319" t="s">
        <v>26</v>
      </c>
      <c r="D13299" s="499"/>
    </row>
    <row r="13300" spans="1:4" ht="25.5" x14ac:dyDescent="0.2">
      <c r="A13300" s="319">
        <v>41221</v>
      </c>
      <c r="B13300" s="498" t="s">
        <v>45733</v>
      </c>
      <c r="C13300" s="319" t="s">
        <v>26</v>
      </c>
      <c r="D13300" s="499"/>
    </row>
    <row r="13301" spans="1:4" ht="25.5" x14ac:dyDescent="0.2">
      <c r="A13301" s="319">
        <v>41222</v>
      </c>
      <c r="B13301" s="498" t="s">
        <v>45734</v>
      </c>
      <c r="C13301" s="319" t="s">
        <v>26</v>
      </c>
      <c r="D13301" s="499"/>
    </row>
    <row r="13302" spans="1:4" ht="25.5" x14ac:dyDescent="0.2">
      <c r="A13302" s="319">
        <v>41195</v>
      </c>
      <c r="B13302" s="498" t="s">
        <v>45735</v>
      </c>
      <c r="C13302" s="319" t="s">
        <v>26</v>
      </c>
      <c r="D13302" s="499"/>
    </row>
    <row r="13303" spans="1:4" ht="25.5" x14ac:dyDescent="0.2">
      <c r="A13303" s="319">
        <v>41198</v>
      </c>
      <c r="B13303" s="498" t="s">
        <v>45736</v>
      </c>
      <c r="C13303" s="319" t="s">
        <v>26</v>
      </c>
      <c r="D13303" s="499"/>
    </row>
    <row r="13304" spans="1:4" ht="25.5" x14ac:dyDescent="0.2">
      <c r="A13304" s="319">
        <v>41196</v>
      </c>
      <c r="B13304" s="498" t="s">
        <v>45737</v>
      </c>
      <c r="C13304" s="319" t="s">
        <v>26</v>
      </c>
      <c r="D13304" s="499"/>
    </row>
    <row r="13305" spans="1:4" ht="25.5" x14ac:dyDescent="0.2">
      <c r="A13305" s="319">
        <v>5033</v>
      </c>
      <c r="B13305" s="498" t="s">
        <v>45738</v>
      </c>
      <c r="C13305" s="319" t="s">
        <v>26</v>
      </c>
      <c r="D13305" s="499"/>
    </row>
    <row r="13306" spans="1:4" ht="25.5" x14ac:dyDescent="0.2">
      <c r="A13306" s="319">
        <v>41197</v>
      </c>
      <c r="B13306" s="498" t="s">
        <v>45739</v>
      </c>
      <c r="C13306" s="319" t="s">
        <v>26</v>
      </c>
      <c r="D13306" s="499"/>
    </row>
    <row r="13307" spans="1:4" ht="25.5" x14ac:dyDescent="0.2">
      <c r="A13307" s="319">
        <v>12388</v>
      </c>
      <c r="B13307" s="498" t="s">
        <v>45740</v>
      </c>
      <c r="C13307" s="319" t="s">
        <v>26</v>
      </c>
      <c r="D13307" s="499"/>
    </row>
    <row r="13308" spans="1:4" ht="25.5" x14ac:dyDescent="0.2">
      <c r="A13308" s="319">
        <v>2731</v>
      </c>
      <c r="B13308" s="498" t="s">
        <v>45741</v>
      </c>
      <c r="C13308" s="319" t="s">
        <v>0</v>
      </c>
      <c r="D13308" s="499"/>
    </row>
    <row r="13309" spans="1:4" ht="25.5" x14ac:dyDescent="0.2">
      <c r="A13309" s="319">
        <v>41457</v>
      </c>
      <c r="B13309" s="498" t="s">
        <v>45742</v>
      </c>
      <c r="C13309" s="319" t="s">
        <v>26</v>
      </c>
      <c r="D13309" s="499"/>
    </row>
    <row r="13310" spans="1:4" ht="25.5" x14ac:dyDescent="0.2">
      <c r="A13310" s="319">
        <v>41458</v>
      </c>
      <c r="B13310" s="498" t="s">
        <v>45743</v>
      </c>
      <c r="C13310" s="319" t="s">
        <v>26</v>
      </c>
      <c r="D13310" s="499"/>
    </row>
    <row r="13311" spans="1:4" ht="25.5" x14ac:dyDescent="0.2">
      <c r="A13311" s="319">
        <v>41459</v>
      </c>
      <c r="B13311" s="498" t="s">
        <v>45744</v>
      </c>
      <c r="C13311" s="319" t="s">
        <v>26</v>
      </c>
      <c r="D13311" s="499"/>
    </row>
    <row r="13312" spans="1:4" ht="25.5" x14ac:dyDescent="0.2">
      <c r="A13312" s="319">
        <v>41461</v>
      </c>
      <c r="B13312" s="498" t="s">
        <v>45745</v>
      </c>
      <c r="C13312" s="319" t="s">
        <v>26</v>
      </c>
      <c r="D13312" s="499"/>
    </row>
    <row r="13313" spans="1:4" x14ac:dyDescent="0.2">
      <c r="A13313" s="319">
        <v>44537</v>
      </c>
      <c r="B13313" s="498" t="s">
        <v>48344</v>
      </c>
      <c r="C13313" s="319" t="s">
        <v>5477</v>
      </c>
      <c r="D13313" s="499">
        <v>409.09</v>
      </c>
    </row>
    <row r="13314" spans="1:4" ht="25.5" x14ac:dyDescent="0.2">
      <c r="A13314" s="319">
        <v>11844</v>
      </c>
      <c r="B13314" s="498" t="s">
        <v>45746</v>
      </c>
      <c r="C13314" s="319" t="s">
        <v>0</v>
      </c>
      <c r="D13314" s="499">
        <v>57.79</v>
      </c>
    </row>
    <row r="13315" spans="1:4" ht="25.5" x14ac:dyDescent="0.2">
      <c r="A13315" s="319">
        <v>4465</v>
      </c>
      <c r="B13315" s="498" t="s">
        <v>45747</v>
      </c>
      <c r="C13315" s="319" t="s">
        <v>0</v>
      </c>
      <c r="D13315" s="499">
        <v>48.03</v>
      </c>
    </row>
    <row r="13316" spans="1:4" ht="25.5" x14ac:dyDescent="0.2">
      <c r="A13316" s="319">
        <v>35273</v>
      </c>
      <c r="B13316" s="498" t="s">
        <v>45748</v>
      </c>
      <c r="C13316" s="319" t="s">
        <v>0</v>
      </c>
      <c r="D13316" s="499">
        <v>57.6</v>
      </c>
    </row>
    <row r="13317" spans="1:4" ht="25.5" x14ac:dyDescent="0.2">
      <c r="A13317" s="319">
        <v>4470</v>
      </c>
      <c r="B13317" s="498" t="s">
        <v>45749</v>
      </c>
      <c r="C13317" s="319" t="s">
        <v>0</v>
      </c>
      <c r="D13317" s="499">
        <v>132.91999999999999</v>
      </c>
    </row>
    <row r="13318" spans="1:4" ht="25.5" x14ac:dyDescent="0.2">
      <c r="A13318" s="319">
        <v>20204</v>
      </c>
      <c r="B13318" s="498" t="s">
        <v>45750</v>
      </c>
      <c r="C13318" s="319" t="s">
        <v>0</v>
      </c>
      <c r="D13318" s="499">
        <v>88.61</v>
      </c>
    </row>
    <row r="13319" spans="1:4" ht="25.5" x14ac:dyDescent="0.2">
      <c r="A13319" s="319">
        <v>20208</v>
      </c>
      <c r="B13319" s="498" t="s">
        <v>45751</v>
      </c>
      <c r="C13319" s="319" t="s">
        <v>0</v>
      </c>
      <c r="D13319" s="499">
        <v>119.63</v>
      </c>
    </row>
    <row r="13320" spans="1:4" ht="38.25" x14ac:dyDescent="0.2">
      <c r="A13320" s="319">
        <v>4437</v>
      </c>
      <c r="B13320" s="498" t="s">
        <v>45752</v>
      </c>
      <c r="C13320" s="319" t="s">
        <v>0</v>
      </c>
      <c r="D13320" s="499">
        <v>99.69</v>
      </c>
    </row>
    <row r="13321" spans="1:4" ht="38.25" x14ac:dyDescent="0.2">
      <c r="A13321" s="319">
        <v>14580</v>
      </c>
      <c r="B13321" s="498" t="s">
        <v>45753</v>
      </c>
      <c r="C13321" s="319" t="s">
        <v>0</v>
      </c>
      <c r="D13321" s="499">
        <v>99.69</v>
      </c>
    </row>
    <row r="13322" spans="1:4" x14ac:dyDescent="0.2">
      <c r="A13322" s="319">
        <v>5065</v>
      </c>
      <c r="B13322" s="498" t="s">
        <v>45754</v>
      </c>
      <c r="C13322" s="319" t="s">
        <v>1284</v>
      </c>
      <c r="D13322" s="499">
        <v>26.66</v>
      </c>
    </row>
    <row r="13323" spans="1:4" x14ac:dyDescent="0.2">
      <c r="A13323" s="319">
        <v>5072</v>
      </c>
      <c r="B13323" s="498" t="s">
        <v>45755</v>
      </c>
      <c r="C13323" s="319" t="s">
        <v>1284</v>
      </c>
      <c r="D13323" s="499">
        <v>24.66</v>
      </c>
    </row>
    <row r="13324" spans="1:4" x14ac:dyDescent="0.2">
      <c r="A13324" s="319">
        <v>5066</v>
      </c>
      <c r="B13324" s="498" t="s">
        <v>45756</v>
      </c>
      <c r="C13324" s="319" t="s">
        <v>1284</v>
      </c>
      <c r="D13324" s="499">
        <v>18.47</v>
      </c>
    </row>
    <row r="13325" spans="1:4" x14ac:dyDescent="0.2">
      <c r="A13325" s="319">
        <v>5063</v>
      </c>
      <c r="B13325" s="498" t="s">
        <v>45757</v>
      </c>
      <c r="C13325" s="319" t="s">
        <v>1284</v>
      </c>
      <c r="D13325" s="499">
        <v>16.72</v>
      </c>
    </row>
    <row r="13326" spans="1:4" x14ac:dyDescent="0.2">
      <c r="A13326" s="319">
        <v>20247</v>
      </c>
      <c r="B13326" s="498" t="s">
        <v>45758</v>
      </c>
      <c r="C13326" s="319" t="s">
        <v>1284</v>
      </c>
      <c r="D13326" s="499">
        <v>15.52</v>
      </c>
    </row>
    <row r="13327" spans="1:4" x14ac:dyDescent="0.2">
      <c r="A13327" s="319">
        <v>5074</v>
      </c>
      <c r="B13327" s="498" t="s">
        <v>45759</v>
      </c>
      <c r="C13327" s="319" t="s">
        <v>1284</v>
      </c>
      <c r="D13327" s="499">
        <v>15.7</v>
      </c>
    </row>
    <row r="13328" spans="1:4" x14ac:dyDescent="0.2">
      <c r="A13328" s="319">
        <v>5067</v>
      </c>
      <c r="B13328" s="498" t="s">
        <v>45760</v>
      </c>
      <c r="C13328" s="319" t="s">
        <v>1284</v>
      </c>
      <c r="D13328" s="499">
        <v>14.94</v>
      </c>
    </row>
    <row r="13329" spans="1:4" x14ac:dyDescent="0.2">
      <c r="A13329" s="319">
        <v>5078</v>
      </c>
      <c r="B13329" s="498" t="s">
        <v>45761</v>
      </c>
      <c r="C13329" s="319" t="s">
        <v>1284</v>
      </c>
      <c r="D13329" s="499">
        <v>14.77</v>
      </c>
    </row>
    <row r="13330" spans="1:4" x14ac:dyDescent="0.2">
      <c r="A13330" s="319">
        <v>5068</v>
      </c>
      <c r="B13330" s="498" t="s">
        <v>45762</v>
      </c>
      <c r="C13330" s="319" t="s">
        <v>1284</v>
      </c>
      <c r="D13330" s="499">
        <v>14.02</v>
      </c>
    </row>
    <row r="13331" spans="1:4" x14ac:dyDescent="0.2">
      <c r="A13331" s="319">
        <v>5073</v>
      </c>
      <c r="B13331" s="498" t="s">
        <v>45763</v>
      </c>
      <c r="C13331" s="319" t="s">
        <v>1284</v>
      </c>
      <c r="D13331" s="499">
        <v>14.29</v>
      </c>
    </row>
    <row r="13332" spans="1:4" x14ac:dyDescent="0.2">
      <c r="A13332" s="319">
        <v>5069</v>
      </c>
      <c r="B13332" s="498" t="s">
        <v>45764</v>
      </c>
      <c r="C13332" s="319" t="s">
        <v>1284</v>
      </c>
      <c r="D13332" s="499">
        <v>14.29</v>
      </c>
    </row>
    <row r="13333" spans="1:4" x14ac:dyDescent="0.2">
      <c r="A13333" s="319">
        <v>5070</v>
      </c>
      <c r="B13333" s="498" t="s">
        <v>45765</v>
      </c>
      <c r="C13333" s="319" t="s">
        <v>1284</v>
      </c>
      <c r="D13333" s="499">
        <v>14.44</v>
      </c>
    </row>
    <row r="13334" spans="1:4" x14ac:dyDescent="0.2">
      <c r="A13334" s="319">
        <v>5071</v>
      </c>
      <c r="B13334" s="498" t="s">
        <v>45766</v>
      </c>
      <c r="C13334" s="319" t="s">
        <v>1284</v>
      </c>
      <c r="D13334" s="499">
        <v>14.02</v>
      </c>
    </row>
    <row r="13335" spans="1:4" x14ac:dyDescent="0.2">
      <c r="A13335" s="319">
        <v>5061</v>
      </c>
      <c r="B13335" s="498" t="s">
        <v>45767</v>
      </c>
      <c r="C13335" s="319" t="s">
        <v>1284</v>
      </c>
      <c r="D13335" s="499">
        <v>13.78</v>
      </c>
    </row>
    <row r="13336" spans="1:4" x14ac:dyDescent="0.2">
      <c r="A13336" s="319">
        <v>5075</v>
      </c>
      <c r="B13336" s="498" t="s">
        <v>45768</v>
      </c>
      <c r="C13336" s="319" t="s">
        <v>1284</v>
      </c>
      <c r="D13336" s="499">
        <v>14.02</v>
      </c>
    </row>
    <row r="13337" spans="1:4" x14ac:dyDescent="0.2">
      <c r="A13337" s="319">
        <v>5062</v>
      </c>
      <c r="B13337" s="498" t="s">
        <v>45769</v>
      </c>
      <c r="C13337" s="319" t="s">
        <v>1284</v>
      </c>
      <c r="D13337" s="499">
        <v>14.2</v>
      </c>
    </row>
    <row r="13338" spans="1:4" x14ac:dyDescent="0.2">
      <c r="A13338" s="319">
        <v>39027</v>
      </c>
      <c r="B13338" s="498" t="s">
        <v>48345</v>
      </c>
      <c r="C13338" s="319" t="s">
        <v>1284</v>
      </c>
      <c r="D13338" s="499">
        <v>14</v>
      </c>
    </row>
    <row r="13339" spans="1:4" x14ac:dyDescent="0.2">
      <c r="A13339" s="319">
        <v>40568</v>
      </c>
      <c r="B13339" s="498" t="s">
        <v>45770</v>
      </c>
      <c r="C13339" s="319" t="s">
        <v>1284</v>
      </c>
      <c r="D13339" s="499">
        <v>14.12</v>
      </c>
    </row>
    <row r="13340" spans="1:4" x14ac:dyDescent="0.2">
      <c r="A13340" s="319">
        <v>40304</v>
      </c>
      <c r="B13340" s="498" t="s">
        <v>45771</v>
      </c>
      <c r="C13340" s="319" t="s">
        <v>1284</v>
      </c>
      <c r="D13340" s="499">
        <v>17.3</v>
      </c>
    </row>
    <row r="13341" spans="1:4" x14ac:dyDescent="0.2">
      <c r="A13341" s="319">
        <v>39026</v>
      </c>
      <c r="B13341" s="498" t="s">
        <v>45772</v>
      </c>
      <c r="C13341" s="319" t="s">
        <v>1284</v>
      </c>
      <c r="D13341" s="499">
        <v>15.76</v>
      </c>
    </row>
    <row r="13342" spans="1:4" ht="38.25" x14ac:dyDescent="0.2">
      <c r="A13342" s="319">
        <v>42431</v>
      </c>
      <c r="B13342" s="498" t="s">
        <v>45773</v>
      </c>
      <c r="C13342" s="319" t="s">
        <v>26</v>
      </c>
      <c r="D13342" s="499"/>
    </row>
    <row r="13343" spans="1:4" x14ac:dyDescent="0.2">
      <c r="A13343" s="319">
        <v>44074</v>
      </c>
      <c r="B13343" s="498" t="s">
        <v>45774</v>
      </c>
      <c r="C13343" s="319" t="s">
        <v>9</v>
      </c>
      <c r="D13343" s="499">
        <v>653.44000000000005</v>
      </c>
    </row>
    <row r="13344" spans="1:4" x14ac:dyDescent="0.2">
      <c r="A13344" s="319">
        <v>44072</v>
      </c>
      <c r="B13344" s="498" t="s">
        <v>45775</v>
      </c>
      <c r="C13344" s="319" t="s">
        <v>9</v>
      </c>
      <c r="D13344" s="499">
        <v>117.73</v>
      </c>
    </row>
    <row r="13345" spans="1:4" ht="25.5" x14ac:dyDescent="0.2">
      <c r="A13345" s="319">
        <v>511</v>
      </c>
      <c r="B13345" s="498" t="s">
        <v>45776</v>
      </c>
      <c r="C13345" s="319" t="s">
        <v>9</v>
      </c>
      <c r="D13345" s="499"/>
    </row>
    <row r="13346" spans="1:4" ht="25.5" x14ac:dyDescent="0.2">
      <c r="A13346" s="319">
        <v>37540</v>
      </c>
      <c r="B13346" s="498" t="s">
        <v>45777</v>
      </c>
      <c r="C13346" s="319" t="s">
        <v>26</v>
      </c>
      <c r="D13346" s="499"/>
    </row>
    <row r="13347" spans="1:4" ht="25.5" x14ac:dyDescent="0.2">
      <c r="A13347" s="319">
        <v>37548</v>
      </c>
      <c r="B13347" s="498" t="s">
        <v>45778</v>
      </c>
      <c r="C13347" s="319" t="s">
        <v>26</v>
      </c>
      <c r="D13347" s="499"/>
    </row>
    <row r="13348" spans="1:4" ht="38.25" x14ac:dyDescent="0.2">
      <c r="A13348" s="319">
        <v>39828</v>
      </c>
      <c r="B13348" s="498" t="s">
        <v>45779</v>
      </c>
      <c r="C13348" s="319" t="s">
        <v>26</v>
      </c>
      <c r="D13348" s="499"/>
    </row>
    <row r="13349" spans="1:4" ht="25.5" x14ac:dyDescent="0.2">
      <c r="A13349" s="319">
        <v>38392</v>
      </c>
      <c r="B13349" s="498" t="s">
        <v>45780</v>
      </c>
      <c r="C13349" s="319" t="s">
        <v>26</v>
      </c>
      <c r="D13349" s="499">
        <v>44.52</v>
      </c>
    </row>
    <row r="13350" spans="1:4" ht="25.5" x14ac:dyDescent="0.2">
      <c r="A13350" s="319">
        <v>11735</v>
      </c>
      <c r="B13350" s="498" t="s">
        <v>45781</v>
      </c>
      <c r="C13350" s="319" t="s">
        <v>26</v>
      </c>
      <c r="D13350" s="499">
        <v>10.43</v>
      </c>
    </row>
    <row r="13351" spans="1:4" ht="25.5" x14ac:dyDescent="0.2">
      <c r="A13351" s="319">
        <v>11737</v>
      </c>
      <c r="B13351" s="498" t="s">
        <v>45782</v>
      </c>
      <c r="C13351" s="319" t="s">
        <v>26</v>
      </c>
      <c r="D13351" s="499">
        <v>14.79</v>
      </c>
    </row>
    <row r="13352" spans="1:4" ht="25.5" x14ac:dyDescent="0.2">
      <c r="A13352" s="319">
        <v>11738</v>
      </c>
      <c r="B13352" s="498" t="s">
        <v>45783</v>
      </c>
      <c r="C13352" s="319" t="s">
        <v>26</v>
      </c>
      <c r="D13352" s="499">
        <v>18.649999999999999</v>
      </c>
    </row>
    <row r="13353" spans="1:4" ht="25.5" x14ac:dyDescent="0.2">
      <c r="A13353" s="319">
        <v>36143</v>
      </c>
      <c r="B13353" s="498" t="s">
        <v>45784</v>
      </c>
      <c r="C13353" s="319" t="s">
        <v>26</v>
      </c>
      <c r="D13353" s="499">
        <v>94.41</v>
      </c>
    </row>
    <row r="13354" spans="1:4" ht="25.5" x14ac:dyDescent="0.2">
      <c r="A13354" s="319">
        <v>36142</v>
      </c>
      <c r="B13354" s="498" t="s">
        <v>45785</v>
      </c>
      <c r="C13354" s="319" t="s">
        <v>26</v>
      </c>
      <c r="D13354" s="499">
        <v>2.33</v>
      </c>
    </row>
    <row r="13355" spans="1:4" ht="25.5" x14ac:dyDescent="0.2">
      <c r="A13355" s="319">
        <v>45227</v>
      </c>
      <c r="B13355" s="498" t="s">
        <v>48346</v>
      </c>
      <c r="C13355" s="319" t="s">
        <v>26</v>
      </c>
      <c r="D13355" s="499">
        <v>899.61</v>
      </c>
    </row>
    <row r="13356" spans="1:4" ht="25.5" x14ac:dyDescent="0.2">
      <c r="A13356" s="319">
        <v>45209</v>
      </c>
      <c r="B13356" s="498" t="s">
        <v>48347</v>
      </c>
      <c r="C13356" s="319" t="s">
        <v>26</v>
      </c>
      <c r="D13356" s="499">
        <v>39.4</v>
      </c>
    </row>
    <row r="13357" spans="1:4" x14ac:dyDescent="0.2">
      <c r="A13357" s="319">
        <v>36146</v>
      </c>
      <c r="B13357" s="498" t="s">
        <v>45786</v>
      </c>
      <c r="C13357" s="319" t="s">
        <v>26</v>
      </c>
      <c r="D13357" s="499">
        <v>249.82</v>
      </c>
    </row>
    <row r="13358" spans="1:4" ht="25.5" x14ac:dyDescent="0.2">
      <c r="A13358" s="319">
        <v>39015</v>
      </c>
      <c r="B13358" s="498" t="s">
        <v>45787</v>
      </c>
      <c r="C13358" s="319" t="s">
        <v>26</v>
      </c>
      <c r="D13358" s="499"/>
    </row>
    <row r="13359" spans="1:4" ht="25.5" x14ac:dyDescent="0.2">
      <c r="A13359" s="319">
        <v>38377</v>
      </c>
      <c r="B13359" s="498" t="s">
        <v>45788</v>
      </c>
      <c r="C13359" s="319" t="s">
        <v>26</v>
      </c>
      <c r="D13359" s="499"/>
    </row>
    <row r="13360" spans="1:4" x14ac:dyDescent="0.2">
      <c r="A13360" s="319">
        <v>38376</v>
      </c>
      <c r="B13360" s="498" t="s">
        <v>45789</v>
      </c>
      <c r="C13360" s="319" t="s">
        <v>26</v>
      </c>
      <c r="D13360" s="499"/>
    </row>
    <row r="13361" spans="1:4" x14ac:dyDescent="0.2">
      <c r="A13361" s="319">
        <v>38116</v>
      </c>
      <c r="B13361" s="498" t="s">
        <v>45790</v>
      </c>
      <c r="C13361" s="319" t="s">
        <v>26</v>
      </c>
      <c r="D13361" s="499">
        <v>5.42</v>
      </c>
    </row>
    <row r="13362" spans="1:4" ht="25.5" x14ac:dyDescent="0.2">
      <c r="A13362" s="319">
        <v>38066</v>
      </c>
      <c r="B13362" s="498" t="s">
        <v>45791</v>
      </c>
      <c r="C13362" s="319" t="s">
        <v>26</v>
      </c>
      <c r="D13362" s="499">
        <v>8.9499999999999993</v>
      </c>
    </row>
    <row r="13363" spans="1:4" x14ac:dyDescent="0.2">
      <c r="A13363" s="319">
        <v>38117</v>
      </c>
      <c r="B13363" s="498" t="s">
        <v>45792</v>
      </c>
      <c r="C13363" s="319" t="s">
        <v>26</v>
      </c>
      <c r="D13363" s="499">
        <v>9.24</v>
      </c>
    </row>
    <row r="13364" spans="1:4" ht="25.5" x14ac:dyDescent="0.2">
      <c r="A13364" s="319">
        <v>38067</v>
      </c>
      <c r="B13364" s="498" t="s">
        <v>45793</v>
      </c>
      <c r="C13364" s="319" t="s">
        <v>26</v>
      </c>
      <c r="D13364" s="499">
        <v>12.61</v>
      </c>
    </row>
    <row r="13365" spans="1:4" x14ac:dyDescent="0.2">
      <c r="A13365" s="319">
        <v>44313</v>
      </c>
      <c r="B13365" s="498" t="s">
        <v>45794</v>
      </c>
      <c r="C13365" s="319" t="s">
        <v>26</v>
      </c>
      <c r="D13365" s="499"/>
    </row>
    <row r="13366" spans="1:4" ht="25.5" x14ac:dyDescent="0.2">
      <c r="A13366" s="319">
        <v>11522</v>
      </c>
      <c r="B13366" s="498" t="s">
        <v>45795</v>
      </c>
      <c r="C13366" s="319" t="s">
        <v>26</v>
      </c>
      <c r="D13366" s="499">
        <v>13.63</v>
      </c>
    </row>
    <row r="13367" spans="1:4" ht="25.5" x14ac:dyDescent="0.2">
      <c r="A13367" s="319">
        <v>43600</v>
      </c>
      <c r="B13367" s="498" t="s">
        <v>45796</v>
      </c>
      <c r="C13367" s="319" t="s">
        <v>26</v>
      </c>
      <c r="D13367" s="499">
        <v>54.62</v>
      </c>
    </row>
    <row r="13368" spans="1:4" ht="38.25" x14ac:dyDescent="0.2">
      <c r="A13368" s="319">
        <v>5080</v>
      </c>
      <c r="B13368" s="498" t="s">
        <v>45797</v>
      </c>
      <c r="C13368" s="319" t="s">
        <v>26</v>
      </c>
      <c r="D13368" s="499">
        <v>21.3</v>
      </c>
    </row>
    <row r="13369" spans="1:4" ht="25.5" x14ac:dyDescent="0.2">
      <c r="A13369" s="319">
        <v>38168</v>
      </c>
      <c r="B13369" s="498" t="s">
        <v>45798</v>
      </c>
      <c r="C13369" s="319" t="s">
        <v>26</v>
      </c>
      <c r="D13369" s="499">
        <v>148.69999999999999</v>
      </c>
    </row>
    <row r="13370" spans="1:4" ht="25.5" x14ac:dyDescent="0.2">
      <c r="A13370" s="319">
        <v>43601</v>
      </c>
      <c r="B13370" s="498" t="s">
        <v>45799</v>
      </c>
      <c r="C13370" s="319" t="s">
        <v>26</v>
      </c>
      <c r="D13370" s="499">
        <v>74.349999999999994</v>
      </c>
    </row>
    <row r="13371" spans="1:4" ht="25.5" x14ac:dyDescent="0.2">
      <c r="A13371" s="319">
        <v>13393</v>
      </c>
      <c r="B13371" s="498" t="s">
        <v>45800</v>
      </c>
      <c r="C13371" s="319" t="s">
        <v>26</v>
      </c>
      <c r="D13371" s="499">
        <v>324.81</v>
      </c>
    </row>
    <row r="13372" spans="1:4" ht="25.5" x14ac:dyDescent="0.2">
      <c r="A13372" s="319">
        <v>13395</v>
      </c>
      <c r="B13372" s="498" t="s">
        <v>45801</v>
      </c>
      <c r="C13372" s="319" t="s">
        <v>26</v>
      </c>
      <c r="D13372" s="499">
        <v>455.18</v>
      </c>
    </row>
    <row r="13373" spans="1:4" ht="25.5" x14ac:dyDescent="0.2">
      <c r="A13373" s="319">
        <v>12039</v>
      </c>
      <c r="B13373" s="498" t="s">
        <v>45802</v>
      </c>
      <c r="C13373" s="319" t="s">
        <v>26</v>
      </c>
      <c r="D13373" s="499">
        <v>478.35</v>
      </c>
    </row>
    <row r="13374" spans="1:4" ht="25.5" x14ac:dyDescent="0.2">
      <c r="A13374" s="319">
        <v>13396</v>
      </c>
      <c r="B13374" s="498" t="s">
        <v>45803</v>
      </c>
      <c r="C13374" s="319" t="s">
        <v>26</v>
      </c>
      <c r="D13374" s="499">
        <v>671.81</v>
      </c>
    </row>
    <row r="13375" spans="1:4" ht="25.5" x14ac:dyDescent="0.2">
      <c r="A13375" s="319">
        <v>12041</v>
      </c>
      <c r="B13375" s="498" t="s">
        <v>45804</v>
      </c>
      <c r="C13375" s="319" t="s">
        <v>26</v>
      </c>
      <c r="D13375" s="499">
        <v>548.57000000000005</v>
      </c>
    </row>
    <row r="13376" spans="1:4" ht="25.5" x14ac:dyDescent="0.2">
      <c r="A13376" s="319">
        <v>12043</v>
      </c>
      <c r="B13376" s="498" t="s">
        <v>45805</v>
      </c>
      <c r="C13376" s="319" t="s">
        <v>26</v>
      </c>
      <c r="D13376" s="499">
        <v>1158.23</v>
      </c>
    </row>
    <row r="13377" spans="1:4" ht="25.5" x14ac:dyDescent="0.2">
      <c r="A13377" s="319">
        <v>39762</v>
      </c>
      <c r="B13377" s="498" t="s">
        <v>45806</v>
      </c>
      <c r="C13377" s="319" t="s">
        <v>26</v>
      </c>
      <c r="D13377" s="499">
        <v>551.34</v>
      </c>
    </row>
    <row r="13378" spans="1:4" ht="25.5" x14ac:dyDescent="0.2">
      <c r="A13378" s="319">
        <v>12042</v>
      </c>
      <c r="B13378" s="498" t="s">
        <v>45807</v>
      </c>
      <c r="C13378" s="319" t="s">
        <v>26</v>
      </c>
      <c r="D13378" s="499">
        <v>804.95</v>
      </c>
    </row>
    <row r="13379" spans="1:4" ht="25.5" x14ac:dyDescent="0.2">
      <c r="A13379" s="319">
        <v>39763</v>
      </c>
      <c r="B13379" s="498" t="s">
        <v>45808</v>
      </c>
      <c r="C13379" s="319" t="s">
        <v>26</v>
      </c>
      <c r="D13379" s="499">
        <v>942.09</v>
      </c>
    </row>
    <row r="13380" spans="1:4" ht="25.5" x14ac:dyDescent="0.2">
      <c r="A13380" s="319">
        <v>39760</v>
      </c>
      <c r="B13380" s="498" t="s">
        <v>45809</v>
      </c>
      <c r="C13380" s="319" t="s">
        <v>26</v>
      </c>
      <c r="D13380" s="499">
        <v>938.99</v>
      </c>
    </row>
    <row r="13381" spans="1:4" ht="25.5" x14ac:dyDescent="0.2">
      <c r="A13381" s="319">
        <v>39756</v>
      </c>
      <c r="B13381" s="498" t="s">
        <v>45810</v>
      </c>
      <c r="C13381" s="319" t="s">
        <v>26</v>
      </c>
      <c r="D13381" s="499">
        <v>337.15</v>
      </c>
    </row>
    <row r="13382" spans="1:4" ht="25.5" x14ac:dyDescent="0.2">
      <c r="A13382" s="319">
        <v>12038</v>
      </c>
      <c r="B13382" s="498" t="s">
        <v>45811</v>
      </c>
      <c r="C13382" s="319" t="s">
        <v>26</v>
      </c>
      <c r="D13382" s="499">
        <v>421.28</v>
      </c>
    </row>
    <row r="13383" spans="1:4" ht="25.5" x14ac:dyDescent="0.2">
      <c r="A13383" s="319">
        <v>39757</v>
      </c>
      <c r="B13383" s="498" t="s">
        <v>45812</v>
      </c>
      <c r="C13383" s="319" t="s">
        <v>26</v>
      </c>
      <c r="D13383" s="499">
        <v>389.55</v>
      </c>
    </row>
    <row r="13384" spans="1:4" ht="25.5" x14ac:dyDescent="0.2">
      <c r="A13384" s="319">
        <v>39758</v>
      </c>
      <c r="B13384" s="498" t="s">
        <v>45813</v>
      </c>
      <c r="C13384" s="319" t="s">
        <v>26</v>
      </c>
      <c r="D13384" s="499">
        <v>567.72</v>
      </c>
    </row>
    <row r="13385" spans="1:4" ht="25.5" x14ac:dyDescent="0.2">
      <c r="A13385" s="319">
        <v>39759</v>
      </c>
      <c r="B13385" s="498" t="s">
        <v>45814</v>
      </c>
      <c r="C13385" s="319" t="s">
        <v>26</v>
      </c>
      <c r="D13385" s="499">
        <v>701.14</v>
      </c>
    </row>
    <row r="13386" spans="1:4" ht="25.5" x14ac:dyDescent="0.2">
      <c r="A13386" s="319">
        <v>39761</v>
      </c>
      <c r="B13386" s="498" t="s">
        <v>45815</v>
      </c>
      <c r="C13386" s="319" t="s">
        <v>26</v>
      </c>
      <c r="D13386" s="499">
        <v>842.79</v>
      </c>
    </row>
    <row r="13387" spans="1:4" ht="25.5" x14ac:dyDescent="0.2">
      <c r="A13387" s="319">
        <v>39805</v>
      </c>
      <c r="B13387" s="498" t="s">
        <v>45816</v>
      </c>
      <c r="C13387" s="319" t="s">
        <v>26</v>
      </c>
      <c r="D13387" s="499">
        <v>125.69</v>
      </c>
    </row>
    <row r="13388" spans="1:4" ht="25.5" x14ac:dyDescent="0.2">
      <c r="A13388" s="319">
        <v>39806</v>
      </c>
      <c r="B13388" s="498" t="s">
        <v>45817</v>
      </c>
      <c r="C13388" s="319" t="s">
        <v>26</v>
      </c>
      <c r="D13388" s="499">
        <v>232.87</v>
      </c>
    </row>
    <row r="13389" spans="1:4" ht="25.5" x14ac:dyDescent="0.2">
      <c r="A13389" s="319">
        <v>39807</v>
      </c>
      <c r="B13389" s="498" t="s">
        <v>45818</v>
      </c>
      <c r="C13389" s="319" t="s">
        <v>26</v>
      </c>
      <c r="D13389" s="499">
        <v>504.68</v>
      </c>
    </row>
    <row r="13390" spans="1:4" ht="25.5" x14ac:dyDescent="0.2">
      <c r="A13390" s="319">
        <v>43100</v>
      </c>
      <c r="B13390" s="498" t="s">
        <v>45819</v>
      </c>
      <c r="C13390" s="319" t="s">
        <v>26</v>
      </c>
      <c r="D13390" s="499">
        <v>394.55</v>
      </c>
    </row>
    <row r="13391" spans="1:4" ht="25.5" x14ac:dyDescent="0.2">
      <c r="A13391" s="319">
        <v>39804</v>
      </c>
      <c r="B13391" s="498" t="s">
        <v>45820</v>
      </c>
      <c r="C13391" s="319" t="s">
        <v>26</v>
      </c>
      <c r="D13391" s="499">
        <v>73.8</v>
      </c>
    </row>
    <row r="13392" spans="1:4" ht="25.5" x14ac:dyDescent="0.2">
      <c r="A13392" s="319">
        <v>39796</v>
      </c>
      <c r="B13392" s="498" t="s">
        <v>45821</v>
      </c>
      <c r="C13392" s="319" t="s">
        <v>26</v>
      </c>
      <c r="D13392" s="499">
        <v>76.44</v>
      </c>
    </row>
    <row r="13393" spans="1:4" ht="25.5" x14ac:dyDescent="0.2">
      <c r="A13393" s="319">
        <v>39797</v>
      </c>
      <c r="B13393" s="498" t="s">
        <v>45822</v>
      </c>
      <c r="C13393" s="319" t="s">
        <v>26</v>
      </c>
      <c r="D13393" s="499">
        <v>120</v>
      </c>
    </row>
    <row r="13394" spans="1:4" ht="25.5" x14ac:dyDescent="0.2">
      <c r="A13394" s="319">
        <v>39798</v>
      </c>
      <c r="B13394" s="498" t="s">
        <v>45823</v>
      </c>
      <c r="C13394" s="319" t="s">
        <v>26</v>
      </c>
      <c r="D13394" s="499">
        <v>205.84</v>
      </c>
    </row>
    <row r="13395" spans="1:4" ht="25.5" x14ac:dyDescent="0.2">
      <c r="A13395" s="319">
        <v>39794</v>
      </c>
      <c r="B13395" s="498" t="s">
        <v>45824</v>
      </c>
      <c r="C13395" s="319" t="s">
        <v>26</v>
      </c>
      <c r="D13395" s="499">
        <v>32.450000000000003</v>
      </c>
    </row>
    <row r="13396" spans="1:4" ht="25.5" x14ac:dyDescent="0.2">
      <c r="A13396" s="319">
        <v>39795</v>
      </c>
      <c r="B13396" s="498" t="s">
        <v>45825</v>
      </c>
      <c r="C13396" s="319" t="s">
        <v>26</v>
      </c>
      <c r="D13396" s="499">
        <v>51.26</v>
      </c>
    </row>
    <row r="13397" spans="1:4" ht="25.5" x14ac:dyDescent="0.2">
      <c r="A13397" s="319">
        <v>39801</v>
      </c>
      <c r="B13397" s="498" t="s">
        <v>45826</v>
      </c>
      <c r="C13397" s="319" t="s">
        <v>26</v>
      </c>
      <c r="D13397" s="499">
        <v>108.25</v>
      </c>
    </row>
    <row r="13398" spans="1:4" ht="25.5" x14ac:dyDescent="0.2">
      <c r="A13398" s="319">
        <v>39802</v>
      </c>
      <c r="B13398" s="498" t="s">
        <v>45827</v>
      </c>
      <c r="C13398" s="319" t="s">
        <v>26</v>
      </c>
      <c r="D13398" s="499">
        <v>158.66999999999999</v>
      </c>
    </row>
    <row r="13399" spans="1:4" ht="25.5" x14ac:dyDescent="0.2">
      <c r="A13399" s="319">
        <v>39803</v>
      </c>
      <c r="B13399" s="498" t="s">
        <v>45828</v>
      </c>
      <c r="C13399" s="319" t="s">
        <v>26</v>
      </c>
      <c r="D13399" s="499">
        <v>221.35</v>
      </c>
    </row>
    <row r="13400" spans="1:4" ht="25.5" x14ac:dyDescent="0.2">
      <c r="A13400" s="319">
        <v>39799</v>
      </c>
      <c r="B13400" s="498" t="s">
        <v>45829</v>
      </c>
      <c r="C13400" s="319" t="s">
        <v>26</v>
      </c>
      <c r="D13400" s="499">
        <v>37.82</v>
      </c>
    </row>
    <row r="13401" spans="1:4" ht="25.5" x14ac:dyDescent="0.2">
      <c r="A13401" s="319">
        <v>39800</v>
      </c>
      <c r="B13401" s="498" t="s">
        <v>45830</v>
      </c>
      <c r="C13401" s="319" t="s">
        <v>26</v>
      </c>
      <c r="D13401" s="499">
        <v>64.430000000000007</v>
      </c>
    </row>
    <row r="13402" spans="1:4" x14ac:dyDescent="0.2">
      <c r="A13402" s="319">
        <v>43837</v>
      </c>
      <c r="B13402" s="498" t="s">
        <v>45831</v>
      </c>
      <c r="C13402" s="319" t="s">
        <v>26</v>
      </c>
      <c r="D13402" s="499"/>
    </row>
    <row r="13403" spans="1:4" x14ac:dyDescent="0.2">
      <c r="A13403" s="319">
        <v>43836</v>
      </c>
      <c r="B13403" s="498" t="s">
        <v>45832</v>
      </c>
      <c r="C13403" s="319" t="s">
        <v>26</v>
      </c>
      <c r="D13403" s="499"/>
    </row>
    <row r="13404" spans="1:4" x14ac:dyDescent="0.2">
      <c r="A13404" s="319">
        <v>21059</v>
      </c>
      <c r="B13404" s="498" t="s">
        <v>45833</v>
      </c>
      <c r="C13404" s="319" t="s">
        <v>26</v>
      </c>
      <c r="D13404" s="499"/>
    </row>
    <row r="13405" spans="1:4" x14ac:dyDescent="0.2">
      <c r="A13405" s="319">
        <v>11234</v>
      </c>
      <c r="B13405" s="498" t="s">
        <v>45834</v>
      </c>
      <c r="C13405" s="319" t="s">
        <v>26</v>
      </c>
      <c r="D13405" s="499"/>
    </row>
    <row r="13406" spans="1:4" x14ac:dyDescent="0.2">
      <c r="A13406" s="319">
        <v>21060</v>
      </c>
      <c r="B13406" s="498" t="s">
        <v>45835</v>
      </c>
      <c r="C13406" s="319" t="s">
        <v>26</v>
      </c>
      <c r="D13406" s="499"/>
    </row>
    <row r="13407" spans="1:4" x14ac:dyDescent="0.2">
      <c r="A13407" s="319">
        <v>21061</v>
      </c>
      <c r="B13407" s="498" t="s">
        <v>45836</v>
      </c>
      <c r="C13407" s="319" t="s">
        <v>26</v>
      </c>
      <c r="D13407" s="499"/>
    </row>
    <row r="13408" spans="1:4" x14ac:dyDescent="0.2">
      <c r="A13408" s="319">
        <v>21062</v>
      </c>
      <c r="B13408" s="498" t="s">
        <v>45837</v>
      </c>
      <c r="C13408" s="319" t="s">
        <v>26</v>
      </c>
      <c r="D13408" s="499"/>
    </row>
    <row r="13409" spans="1:4" x14ac:dyDescent="0.2">
      <c r="A13409" s="319">
        <v>11708</v>
      </c>
      <c r="B13409" s="498" t="s">
        <v>45838</v>
      </c>
      <c r="C13409" s="319" t="s">
        <v>26</v>
      </c>
      <c r="D13409" s="499"/>
    </row>
    <row r="13410" spans="1:4" x14ac:dyDescent="0.2">
      <c r="A13410" s="319">
        <v>11709</v>
      </c>
      <c r="B13410" s="498" t="s">
        <v>45839</v>
      </c>
      <c r="C13410" s="319" t="s">
        <v>26</v>
      </c>
      <c r="D13410" s="499"/>
    </row>
    <row r="13411" spans="1:4" x14ac:dyDescent="0.2">
      <c r="A13411" s="319">
        <v>11710</v>
      </c>
      <c r="B13411" s="498" t="s">
        <v>45840</v>
      </c>
      <c r="C13411" s="319" t="s">
        <v>26</v>
      </c>
      <c r="D13411" s="499"/>
    </row>
    <row r="13412" spans="1:4" x14ac:dyDescent="0.2">
      <c r="A13412" s="319">
        <v>11707</v>
      </c>
      <c r="B13412" s="498" t="s">
        <v>45841</v>
      </c>
      <c r="C13412" s="319" t="s">
        <v>26</v>
      </c>
      <c r="D13412" s="499"/>
    </row>
    <row r="13413" spans="1:4" ht="25.5" x14ac:dyDescent="0.2">
      <c r="A13413" s="319">
        <v>5102</v>
      </c>
      <c r="B13413" s="498" t="s">
        <v>45842</v>
      </c>
      <c r="C13413" s="319" t="s">
        <v>26</v>
      </c>
      <c r="D13413" s="499">
        <v>14.65</v>
      </c>
    </row>
    <row r="13414" spans="1:4" x14ac:dyDescent="0.2">
      <c r="A13414" s="319">
        <v>11711</v>
      </c>
      <c r="B13414" s="498" t="s">
        <v>45843</v>
      </c>
      <c r="C13414" s="319" t="s">
        <v>26</v>
      </c>
      <c r="D13414" s="499">
        <v>12.21</v>
      </c>
    </row>
    <row r="13415" spans="1:4" x14ac:dyDescent="0.2">
      <c r="A13415" s="319">
        <v>11739</v>
      </c>
      <c r="B13415" s="498" t="s">
        <v>45844</v>
      </c>
      <c r="C13415" s="319" t="s">
        <v>26</v>
      </c>
      <c r="D13415" s="499">
        <v>10.44</v>
      </c>
    </row>
    <row r="13416" spans="1:4" ht="25.5" x14ac:dyDescent="0.2">
      <c r="A13416" s="319">
        <v>11741</v>
      </c>
      <c r="B13416" s="498" t="s">
        <v>45845</v>
      </c>
      <c r="C13416" s="319" t="s">
        <v>26</v>
      </c>
      <c r="D13416" s="499">
        <v>13.3</v>
      </c>
    </row>
    <row r="13417" spans="1:4" ht="25.5" x14ac:dyDescent="0.2">
      <c r="A13417" s="319">
        <v>11745</v>
      </c>
      <c r="B13417" s="498" t="s">
        <v>45846</v>
      </c>
      <c r="C13417" s="319" t="s">
        <v>26</v>
      </c>
      <c r="D13417" s="499">
        <v>17.52</v>
      </c>
    </row>
    <row r="13418" spans="1:4" ht="25.5" x14ac:dyDescent="0.2">
      <c r="A13418" s="319">
        <v>11743</v>
      </c>
      <c r="B13418" s="498" t="s">
        <v>45847</v>
      </c>
      <c r="C13418" s="319" t="s">
        <v>26</v>
      </c>
      <c r="D13418" s="499">
        <v>11.16</v>
      </c>
    </row>
    <row r="13419" spans="1:4" ht="25.5" x14ac:dyDescent="0.2">
      <c r="A13419" s="319">
        <v>5104</v>
      </c>
      <c r="B13419" s="498" t="s">
        <v>45848</v>
      </c>
      <c r="C13419" s="319" t="s">
        <v>1284</v>
      </c>
      <c r="D13419" s="499"/>
    </row>
    <row r="13420" spans="1:4" ht="25.5" x14ac:dyDescent="0.2">
      <c r="A13420" s="319">
        <v>44530</v>
      </c>
      <c r="B13420" s="498" t="s">
        <v>45849</v>
      </c>
      <c r="C13420" s="319" t="s">
        <v>26</v>
      </c>
      <c r="D13420" s="499"/>
    </row>
    <row r="13421" spans="1:4" ht="25.5" x14ac:dyDescent="0.2">
      <c r="A13421" s="319">
        <v>2710</v>
      </c>
      <c r="B13421" s="498" t="s">
        <v>45850</v>
      </c>
      <c r="C13421" s="319" t="s">
        <v>26</v>
      </c>
      <c r="D13421" s="499"/>
    </row>
    <row r="13422" spans="1:4" ht="25.5" x14ac:dyDescent="0.2">
      <c r="A13422" s="319">
        <v>14575</v>
      </c>
      <c r="B13422" s="498" t="s">
        <v>45851</v>
      </c>
      <c r="C13422" s="319" t="s">
        <v>26</v>
      </c>
      <c r="D13422" s="499"/>
    </row>
    <row r="13423" spans="1:4" x14ac:dyDescent="0.2">
      <c r="A13423" s="319">
        <v>20043</v>
      </c>
      <c r="B13423" s="498" t="s">
        <v>45852</v>
      </c>
      <c r="C13423" s="319" t="s">
        <v>26</v>
      </c>
      <c r="D13423" s="499">
        <v>9.6199999999999992</v>
      </c>
    </row>
    <row r="13424" spans="1:4" x14ac:dyDescent="0.2">
      <c r="A13424" s="319">
        <v>20044</v>
      </c>
      <c r="B13424" s="498" t="s">
        <v>45853</v>
      </c>
      <c r="C13424" s="319" t="s">
        <v>26</v>
      </c>
      <c r="D13424" s="499">
        <v>11.16</v>
      </c>
    </row>
    <row r="13425" spans="1:4" x14ac:dyDescent="0.2">
      <c r="A13425" s="319">
        <v>20042</v>
      </c>
      <c r="B13425" s="498" t="s">
        <v>45854</v>
      </c>
      <c r="C13425" s="319" t="s">
        <v>26</v>
      </c>
      <c r="D13425" s="499">
        <v>8.35</v>
      </c>
    </row>
    <row r="13426" spans="1:4" x14ac:dyDescent="0.2">
      <c r="A13426" s="319">
        <v>20046</v>
      </c>
      <c r="B13426" s="498" t="s">
        <v>45855</v>
      </c>
      <c r="C13426" s="319" t="s">
        <v>26</v>
      </c>
      <c r="D13426" s="499">
        <v>19.760000000000002</v>
      </c>
    </row>
    <row r="13427" spans="1:4" x14ac:dyDescent="0.2">
      <c r="A13427" s="319">
        <v>20047</v>
      </c>
      <c r="B13427" s="498" t="s">
        <v>45856</v>
      </c>
      <c r="C13427" s="319" t="s">
        <v>26</v>
      </c>
      <c r="D13427" s="499">
        <v>59.24</v>
      </c>
    </row>
    <row r="13428" spans="1:4" x14ac:dyDescent="0.2">
      <c r="A13428" s="319">
        <v>20045</v>
      </c>
      <c r="B13428" s="498" t="s">
        <v>45857</v>
      </c>
      <c r="C13428" s="319" t="s">
        <v>26</v>
      </c>
      <c r="D13428" s="499">
        <v>9.99</v>
      </c>
    </row>
    <row r="13429" spans="1:4" ht="25.5" x14ac:dyDescent="0.2">
      <c r="A13429" s="319">
        <v>20972</v>
      </c>
      <c r="B13429" s="498" t="s">
        <v>45858</v>
      </c>
      <c r="C13429" s="319" t="s">
        <v>26</v>
      </c>
      <c r="D13429" s="499">
        <v>145.71</v>
      </c>
    </row>
    <row r="13430" spans="1:4" x14ac:dyDescent="0.2">
      <c r="A13430" s="319">
        <v>11321</v>
      </c>
      <c r="B13430" s="498" t="s">
        <v>45859</v>
      </c>
      <c r="C13430" s="319" t="s">
        <v>26</v>
      </c>
      <c r="D13430" s="499"/>
    </row>
    <row r="13431" spans="1:4" x14ac:dyDescent="0.2">
      <c r="A13431" s="319">
        <v>11323</v>
      </c>
      <c r="B13431" s="498" t="s">
        <v>45860</v>
      </c>
      <c r="C13431" s="319" t="s">
        <v>26</v>
      </c>
      <c r="D13431" s="499"/>
    </row>
    <row r="13432" spans="1:4" x14ac:dyDescent="0.2">
      <c r="A13432" s="319">
        <v>20327</v>
      </c>
      <c r="B13432" s="498" t="s">
        <v>45861</v>
      </c>
      <c r="C13432" s="319" t="s">
        <v>26</v>
      </c>
      <c r="D13432" s="499"/>
    </row>
    <row r="13433" spans="1:4" x14ac:dyDescent="0.2">
      <c r="A13433" s="319">
        <v>6034</v>
      </c>
      <c r="B13433" s="498" t="s">
        <v>45862</v>
      </c>
      <c r="C13433" s="319" t="s">
        <v>26</v>
      </c>
      <c r="D13433" s="499">
        <v>7.43</v>
      </c>
    </row>
    <row r="13434" spans="1:4" x14ac:dyDescent="0.2">
      <c r="A13434" s="319">
        <v>6036</v>
      </c>
      <c r="B13434" s="498" t="s">
        <v>45863</v>
      </c>
      <c r="C13434" s="319" t="s">
        <v>26</v>
      </c>
      <c r="D13434" s="499">
        <v>10.119999999999999</v>
      </c>
    </row>
    <row r="13435" spans="1:4" x14ac:dyDescent="0.2">
      <c r="A13435" s="319">
        <v>6031</v>
      </c>
      <c r="B13435" s="498" t="s">
        <v>45864</v>
      </c>
      <c r="C13435" s="319" t="s">
        <v>26</v>
      </c>
      <c r="D13435" s="499">
        <v>11.9</v>
      </c>
    </row>
    <row r="13436" spans="1:4" ht="25.5" x14ac:dyDescent="0.2">
      <c r="A13436" s="319">
        <v>6029</v>
      </c>
      <c r="B13436" s="498" t="s">
        <v>45865</v>
      </c>
      <c r="C13436" s="319" t="s">
        <v>26</v>
      </c>
      <c r="D13436" s="499">
        <v>12.02</v>
      </c>
    </row>
    <row r="13437" spans="1:4" ht="25.5" x14ac:dyDescent="0.2">
      <c r="A13437" s="319">
        <v>6033</v>
      </c>
      <c r="B13437" s="498" t="s">
        <v>45866</v>
      </c>
      <c r="C13437" s="319" t="s">
        <v>26</v>
      </c>
      <c r="D13437" s="499">
        <v>15.85</v>
      </c>
    </row>
    <row r="13438" spans="1:4" ht="25.5" x14ac:dyDescent="0.2">
      <c r="A13438" s="319">
        <v>11672</v>
      </c>
      <c r="B13438" s="498" t="s">
        <v>45867</v>
      </c>
      <c r="C13438" s="319" t="s">
        <v>26</v>
      </c>
      <c r="D13438" s="499">
        <v>34.479999999999997</v>
      </c>
    </row>
    <row r="13439" spans="1:4" ht="25.5" x14ac:dyDescent="0.2">
      <c r="A13439" s="319">
        <v>11669</v>
      </c>
      <c r="B13439" s="498" t="s">
        <v>45868</v>
      </c>
      <c r="C13439" s="319" t="s">
        <v>26</v>
      </c>
      <c r="D13439" s="499">
        <v>32.83</v>
      </c>
    </row>
    <row r="13440" spans="1:4" ht="25.5" x14ac:dyDescent="0.2">
      <c r="A13440" s="319">
        <v>20055</v>
      </c>
      <c r="B13440" s="498" t="s">
        <v>45869</v>
      </c>
      <c r="C13440" s="319" t="s">
        <v>26</v>
      </c>
      <c r="D13440" s="499">
        <v>24.59</v>
      </c>
    </row>
    <row r="13441" spans="1:4" ht="25.5" x14ac:dyDescent="0.2">
      <c r="A13441" s="319">
        <v>11670</v>
      </c>
      <c r="B13441" s="498" t="s">
        <v>45870</v>
      </c>
      <c r="C13441" s="319" t="s">
        <v>26</v>
      </c>
      <c r="D13441" s="499">
        <v>12.58</v>
      </c>
    </row>
    <row r="13442" spans="1:4" ht="25.5" x14ac:dyDescent="0.2">
      <c r="A13442" s="319">
        <v>11671</v>
      </c>
      <c r="B13442" s="498" t="s">
        <v>45871</v>
      </c>
      <c r="C13442" s="319" t="s">
        <v>26</v>
      </c>
      <c r="D13442" s="499">
        <v>52.77</v>
      </c>
    </row>
    <row r="13443" spans="1:4" ht="25.5" x14ac:dyDescent="0.2">
      <c r="A13443" s="319">
        <v>6032</v>
      </c>
      <c r="B13443" s="498" t="s">
        <v>45872</v>
      </c>
      <c r="C13443" s="319" t="s">
        <v>26</v>
      </c>
      <c r="D13443" s="499">
        <v>15.07</v>
      </c>
    </row>
    <row r="13444" spans="1:4" ht="25.5" x14ac:dyDescent="0.2">
      <c r="A13444" s="319">
        <v>11673</v>
      </c>
      <c r="B13444" s="498" t="s">
        <v>45873</v>
      </c>
      <c r="C13444" s="319" t="s">
        <v>26</v>
      </c>
      <c r="D13444" s="499">
        <v>11.87</v>
      </c>
    </row>
    <row r="13445" spans="1:4" ht="25.5" x14ac:dyDescent="0.2">
      <c r="A13445" s="319">
        <v>11674</v>
      </c>
      <c r="B13445" s="498" t="s">
        <v>45874</v>
      </c>
      <c r="C13445" s="319" t="s">
        <v>26</v>
      </c>
      <c r="D13445" s="499">
        <v>15.28</v>
      </c>
    </row>
    <row r="13446" spans="1:4" ht="25.5" x14ac:dyDescent="0.2">
      <c r="A13446" s="319">
        <v>11675</v>
      </c>
      <c r="B13446" s="498" t="s">
        <v>45875</v>
      </c>
      <c r="C13446" s="319" t="s">
        <v>26</v>
      </c>
      <c r="D13446" s="499">
        <v>24.26</v>
      </c>
    </row>
    <row r="13447" spans="1:4" ht="25.5" x14ac:dyDescent="0.2">
      <c r="A13447" s="319">
        <v>11676</v>
      </c>
      <c r="B13447" s="498" t="s">
        <v>45876</v>
      </c>
      <c r="C13447" s="319" t="s">
        <v>26</v>
      </c>
      <c r="D13447" s="499">
        <v>32.450000000000003</v>
      </c>
    </row>
    <row r="13448" spans="1:4" ht="25.5" x14ac:dyDescent="0.2">
      <c r="A13448" s="319">
        <v>11677</v>
      </c>
      <c r="B13448" s="498" t="s">
        <v>45877</v>
      </c>
      <c r="C13448" s="319" t="s">
        <v>26</v>
      </c>
      <c r="D13448" s="499">
        <v>33.51</v>
      </c>
    </row>
    <row r="13449" spans="1:4" ht="25.5" x14ac:dyDescent="0.2">
      <c r="A13449" s="319">
        <v>11678</v>
      </c>
      <c r="B13449" s="498" t="s">
        <v>45878</v>
      </c>
      <c r="C13449" s="319" t="s">
        <v>26</v>
      </c>
      <c r="D13449" s="499">
        <v>61.38</v>
      </c>
    </row>
    <row r="13450" spans="1:4" x14ac:dyDescent="0.2">
      <c r="A13450" s="319">
        <v>6038</v>
      </c>
      <c r="B13450" s="498" t="s">
        <v>45879</v>
      </c>
      <c r="C13450" s="319" t="s">
        <v>26</v>
      </c>
      <c r="D13450" s="499">
        <v>3.89</v>
      </c>
    </row>
    <row r="13451" spans="1:4" x14ac:dyDescent="0.2">
      <c r="A13451" s="319">
        <v>11718</v>
      </c>
      <c r="B13451" s="498" t="s">
        <v>45880</v>
      </c>
      <c r="C13451" s="319" t="s">
        <v>26</v>
      </c>
      <c r="D13451" s="499">
        <v>11.1</v>
      </c>
    </row>
    <row r="13452" spans="1:4" x14ac:dyDescent="0.2">
      <c r="A13452" s="319">
        <v>6037</v>
      </c>
      <c r="B13452" s="498" t="s">
        <v>45881</v>
      </c>
      <c r="C13452" s="319" t="s">
        <v>26</v>
      </c>
      <c r="D13452" s="499">
        <v>8.1</v>
      </c>
    </row>
    <row r="13453" spans="1:4" x14ac:dyDescent="0.2">
      <c r="A13453" s="319">
        <v>11719</v>
      </c>
      <c r="B13453" s="498" t="s">
        <v>45882</v>
      </c>
      <c r="C13453" s="319" t="s">
        <v>26</v>
      </c>
      <c r="D13453" s="499">
        <v>9.01</v>
      </c>
    </row>
    <row r="13454" spans="1:4" x14ac:dyDescent="0.2">
      <c r="A13454" s="319">
        <v>6010</v>
      </c>
      <c r="B13454" s="498" t="s">
        <v>45883</v>
      </c>
      <c r="C13454" s="319" t="s">
        <v>26</v>
      </c>
      <c r="D13454" s="499">
        <v>95.63</v>
      </c>
    </row>
    <row r="13455" spans="1:4" x14ac:dyDescent="0.2">
      <c r="A13455" s="319">
        <v>6017</v>
      </c>
      <c r="B13455" s="498" t="s">
        <v>45884</v>
      </c>
      <c r="C13455" s="319" t="s">
        <v>26</v>
      </c>
      <c r="D13455" s="499">
        <v>75.739999999999995</v>
      </c>
    </row>
    <row r="13456" spans="1:4" x14ac:dyDescent="0.2">
      <c r="A13456" s="319">
        <v>6019</v>
      </c>
      <c r="B13456" s="498" t="s">
        <v>45885</v>
      </c>
      <c r="C13456" s="319" t="s">
        <v>26</v>
      </c>
      <c r="D13456" s="499">
        <v>55.58</v>
      </c>
    </row>
    <row r="13457" spans="1:4" x14ac:dyDescent="0.2">
      <c r="A13457" s="319">
        <v>6020</v>
      </c>
      <c r="B13457" s="498" t="s">
        <v>45886</v>
      </c>
      <c r="C13457" s="319" t="s">
        <v>26</v>
      </c>
      <c r="D13457" s="499">
        <v>33.380000000000003</v>
      </c>
    </row>
    <row r="13458" spans="1:4" x14ac:dyDescent="0.2">
      <c r="A13458" s="319">
        <v>6011</v>
      </c>
      <c r="B13458" s="498" t="s">
        <v>45887</v>
      </c>
      <c r="C13458" s="319" t="s">
        <v>26</v>
      </c>
      <c r="D13458" s="499">
        <v>276.24</v>
      </c>
    </row>
    <row r="13459" spans="1:4" x14ac:dyDescent="0.2">
      <c r="A13459" s="319">
        <v>6028</v>
      </c>
      <c r="B13459" s="498" t="s">
        <v>45888</v>
      </c>
      <c r="C13459" s="319" t="s">
        <v>26</v>
      </c>
      <c r="D13459" s="499">
        <v>133.19999999999999</v>
      </c>
    </row>
    <row r="13460" spans="1:4" x14ac:dyDescent="0.2">
      <c r="A13460" s="319">
        <v>6012</v>
      </c>
      <c r="B13460" s="498" t="s">
        <v>45889</v>
      </c>
      <c r="C13460" s="319" t="s">
        <v>26</v>
      </c>
      <c r="D13460" s="499">
        <v>334.44</v>
      </c>
    </row>
    <row r="13461" spans="1:4" x14ac:dyDescent="0.2">
      <c r="A13461" s="319">
        <v>6016</v>
      </c>
      <c r="B13461" s="498" t="s">
        <v>45890</v>
      </c>
      <c r="C13461" s="319" t="s">
        <v>26</v>
      </c>
      <c r="D13461" s="499">
        <v>35.21</v>
      </c>
    </row>
    <row r="13462" spans="1:4" x14ac:dyDescent="0.2">
      <c r="A13462" s="319">
        <v>6027</v>
      </c>
      <c r="B13462" s="498" t="s">
        <v>45891</v>
      </c>
      <c r="C13462" s="319" t="s">
        <v>26</v>
      </c>
      <c r="D13462" s="499">
        <v>696.85</v>
      </c>
    </row>
    <row r="13463" spans="1:4" ht="25.5" x14ac:dyDescent="0.2">
      <c r="A13463" s="319">
        <v>6015</v>
      </c>
      <c r="B13463" s="498" t="s">
        <v>45892</v>
      </c>
      <c r="C13463" s="319" t="s">
        <v>26</v>
      </c>
      <c r="D13463" s="499">
        <v>152.91</v>
      </c>
    </row>
    <row r="13464" spans="1:4" ht="25.5" x14ac:dyDescent="0.2">
      <c r="A13464" s="319">
        <v>6014</v>
      </c>
      <c r="B13464" s="498" t="s">
        <v>45893</v>
      </c>
      <c r="C13464" s="319" t="s">
        <v>26</v>
      </c>
      <c r="D13464" s="499">
        <v>146.19999999999999</v>
      </c>
    </row>
    <row r="13465" spans="1:4" ht="25.5" x14ac:dyDescent="0.2">
      <c r="A13465" s="319">
        <v>6013</v>
      </c>
      <c r="B13465" s="498" t="s">
        <v>45894</v>
      </c>
      <c r="C13465" s="319" t="s">
        <v>26</v>
      </c>
      <c r="D13465" s="499">
        <v>105.15</v>
      </c>
    </row>
    <row r="13466" spans="1:4" ht="25.5" x14ac:dyDescent="0.2">
      <c r="A13466" s="319">
        <v>6006</v>
      </c>
      <c r="B13466" s="498" t="s">
        <v>45895</v>
      </c>
      <c r="C13466" s="319" t="s">
        <v>26</v>
      </c>
      <c r="D13466" s="499">
        <v>76.150000000000006</v>
      </c>
    </row>
    <row r="13467" spans="1:4" ht="25.5" x14ac:dyDescent="0.2">
      <c r="A13467" s="319">
        <v>6005</v>
      </c>
      <c r="B13467" s="498" t="s">
        <v>45896</v>
      </c>
      <c r="C13467" s="319" t="s">
        <v>26</v>
      </c>
      <c r="D13467" s="499">
        <v>85.9</v>
      </c>
    </row>
    <row r="13468" spans="1:4" x14ac:dyDescent="0.2">
      <c r="A13468" s="319">
        <v>11756</v>
      </c>
      <c r="B13468" s="498" t="s">
        <v>45897</v>
      </c>
      <c r="C13468" s="319" t="s">
        <v>26</v>
      </c>
      <c r="D13468" s="499">
        <v>41.02</v>
      </c>
    </row>
    <row r="13469" spans="1:4" ht="38.25" x14ac:dyDescent="0.2">
      <c r="A13469" s="319">
        <v>10904</v>
      </c>
      <c r="B13469" s="498" t="s">
        <v>45898</v>
      </c>
      <c r="C13469" s="319" t="s">
        <v>26</v>
      </c>
      <c r="D13469" s="499">
        <v>204</v>
      </c>
    </row>
    <row r="13470" spans="1:4" x14ac:dyDescent="0.2">
      <c r="A13470" s="319">
        <v>11752</v>
      </c>
      <c r="B13470" s="498" t="s">
        <v>45899</v>
      </c>
      <c r="C13470" s="319" t="s">
        <v>26</v>
      </c>
      <c r="D13470" s="499">
        <v>23.65</v>
      </c>
    </row>
    <row r="13471" spans="1:4" x14ac:dyDescent="0.2">
      <c r="A13471" s="319">
        <v>11753</v>
      </c>
      <c r="B13471" s="498" t="s">
        <v>45900</v>
      </c>
      <c r="C13471" s="319" t="s">
        <v>26</v>
      </c>
      <c r="D13471" s="499">
        <v>28.24</v>
      </c>
    </row>
    <row r="13472" spans="1:4" ht="25.5" x14ac:dyDescent="0.2">
      <c r="A13472" s="319">
        <v>6021</v>
      </c>
      <c r="B13472" s="498" t="s">
        <v>45901</v>
      </c>
      <c r="C13472" s="319" t="s">
        <v>26</v>
      </c>
      <c r="D13472" s="499">
        <v>78.38</v>
      </c>
    </row>
    <row r="13473" spans="1:4" ht="25.5" x14ac:dyDescent="0.2">
      <c r="A13473" s="319">
        <v>6024</v>
      </c>
      <c r="B13473" s="498" t="s">
        <v>45902</v>
      </c>
      <c r="C13473" s="319" t="s">
        <v>26</v>
      </c>
      <c r="D13473" s="499">
        <v>81.02</v>
      </c>
    </row>
    <row r="13474" spans="1:4" x14ac:dyDescent="0.2">
      <c r="A13474" s="319">
        <v>45394</v>
      </c>
      <c r="B13474" s="498" t="s">
        <v>45903</v>
      </c>
      <c r="C13474" s="319" t="s">
        <v>26</v>
      </c>
      <c r="D13474" s="499"/>
    </row>
    <row r="13475" spans="1:4" ht="25.5" x14ac:dyDescent="0.2">
      <c r="A13475" s="319">
        <v>13897</v>
      </c>
      <c r="B13475" s="498" t="s">
        <v>45904</v>
      </c>
      <c r="C13475" s="319" t="s">
        <v>26</v>
      </c>
      <c r="D13475" s="499"/>
    </row>
    <row r="13476" spans="1:4" ht="25.5" x14ac:dyDescent="0.2">
      <c r="A13476" s="319">
        <v>10640</v>
      </c>
      <c r="B13476" s="498" t="s">
        <v>45905</v>
      </c>
      <c r="C13476" s="319" t="s">
        <v>26</v>
      </c>
      <c r="D13476" s="499"/>
    </row>
    <row r="13477" spans="1:4" x14ac:dyDescent="0.2">
      <c r="A13477" s="319">
        <v>34357</v>
      </c>
      <c r="B13477" s="498" t="s">
        <v>45906</v>
      </c>
      <c r="C13477" s="319" t="s">
        <v>1284</v>
      </c>
      <c r="D13477" s="499">
        <v>6.87</v>
      </c>
    </row>
    <row r="13478" spans="1:4" x14ac:dyDescent="0.2">
      <c r="A13478" s="319">
        <v>37329</v>
      </c>
      <c r="B13478" s="498" t="s">
        <v>45907</v>
      </c>
      <c r="C13478" s="319" t="s">
        <v>1284</v>
      </c>
      <c r="D13478" s="499">
        <v>144.69</v>
      </c>
    </row>
    <row r="13479" spans="1:4" ht="25.5" x14ac:dyDescent="0.2">
      <c r="A13479" s="319">
        <v>2510</v>
      </c>
      <c r="B13479" s="498" t="s">
        <v>45908</v>
      </c>
      <c r="C13479" s="319" t="s">
        <v>26</v>
      </c>
      <c r="D13479" s="499"/>
    </row>
    <row r="13480" spans="1:4" ht="25.5" x14ac:dyDescent="0.2">
      <c r="A13480" s="319">
        <v>12359</v>
      </c>
      <c r="B13480" s="498" t="s">
        <v>45909</v>
      </c>
      <c r="C13480" s="319" t="s">
        <v>26</v>
      </c>
      <c r="D13480" s="499"/>
    </row>
    <row r="13481" spans="1:4" x14ac:dyDescent="0.2">
      <c r="A13481" s="319">
        <v>7353</v>
      </c>
      <c r="B13481" s="498" t="s">
        <v>45910</v>
      </c>
      <c r="C13481" s="319" t="s">
        <v>9</v>
      </c>
      <c r="D13481" s="499">
        <v>31.15</v>
      </c>
    </row>
    <row r="13482" spans="1:4" ht="38.25" x14ac:dyDescent="0.2">
      <c r="A13482" s="319">
        <v>45264</v>
      </c>
      <c r="B13482" s="498" t="s">
        <v>48348</v>
      </c>
      <c r="C13482" s="319" t="s">
        <v>26</v>
      </c>
      <c r="D13482" s="499">
        <v>29.4</v>
      </c>
    </row>
    <row r="13483" spans="1:4" x14ac:dyDescent="0.2">
      <c r="A13483" s="319">
        <v>36144</v>
      </c>
      <c r="B13483" s="498" t="s">
        <v>45911</v>
      </c>
      <c r="C13483" s="319" t="s">
        <v>26</v>
      </c>
      <c r="D13483" s="499">
        <v>1.83</v>
      </c>
    </row>
    <row r="13484" spans="1:4" x14ac:dyDescent="0.2">
      <c r="A13484" s="319">
        <v>10518</v>
      </c>
      <c r="B13484" s="498" t="s">
        <v>45912</v>
      </c>
      <c r="C13484" s="319" t="s">
        <v>26</v>
      </c>
      <c r="D13484" s="499"/>
    </row>
    <row r="13485" spans="1:4" ht="51" x14ac:dyDescent="0.2">
      <c r="A13485" s="319">
        <v>36530</v>
      </c>
      <c r="B13485" s="498" t="s">
        <v>45913</v>
      </c>
      <c r="C13485" s="319" t="s">
        <v>26</v>
      </c>
      <c r="D13485" s="499"/>
    </row>
    <row r="13486" spans="1:4" ht="51" x14ac:dyDescent="0.2">
      <c r="A13486" s="319">
        <v>6046</v>
      </c>
      <c r="B13486" s="498" t="s">
        <v>45914</v>
      </c>
      <c r="C13486" s="319" t="s">
        <v>26</v>
      </c>
      <c r="D13486" s="499"/>
    </row>
    <row r="13487" spans="1:4" ht="51" x14ac:dyDescent="0.2">
      <c r="A13487" s="319">
        <v>36531</v>
      </c>
      <c r="B13487" s="498" t="s">
        <v>45915</v>
      </c>
      <c r="C13487" s="319" t="s">
        <v>26</v>
      </c>
      <c r="D13487" s="499"/>
    </row>
    <row r="13488" spans="1:4" ht="25.5" x14ac:dyDescent="0.2">
      <c r="A13488" s="319">
        <v>34684</v>
      </c>
      <c r="B13488" s="498" t="s">
        <v>45916</v>
      </c>
      <c r="C13488" s="319" t="s">
        <v>255</v>
      </c>
      <c r="D13488" s="499"/>
    </row>
    <row r="13489" spans="1:4" ht="25.5" x14ac:dyDescent="0.2">
      <c r="A13489" s="319">
        <v>34683</v>
      </c>
      <c r="B13489" s="498" t="s">
        <v>45917</v>
      </c>
      <c r="C13489" s="319" t="s">
        <v>255</v>
      </c>
      <c r="D13489" s="499"/>
    </row>
    <row r="13490" spans="1:4" ht="38.25" x14ac:dyDescent="0.2">
      <c r="A13490" s="319">
        <v>44954</v>
      </c>
      <c r="B13490" s="498" t="s">
        <v>45918</v>
      </c>
      <c r="C13490" s="319" t="s">
        <v>255</v>
      </c>
      <c r="D13490" s="499">
        <v>124.11</v>
      </c>
    </row>
    <row r="13491" spans="1:4" ht="38.25" x14ac:dyDescent="0.2">
      <c r="A13491" s="319">
        <v>44955</v>
      </c>
      <c r="B13491" s="498" t="s">
        <v>45919</v>
      </c>
      <c r="C13491" s="319" t="s">
        <v>255</v>
      </c>
      <c r="D13491" s="499">
        <v>181.37</v>
      </c>
    </row>
    <row r="13492" spans="1:4" x14ac:dyDescent="0.2">
      <c r="A13492" s="319">
        <v>10515</v>
      </c>
      <c r="B13492" s="498" t="s">
        <v>45920</v>
      </c>
      <c r="C13492" s="319" t="s">
        <v>255</v>
      </c>
      <c r="D13492" s="499">
        <v>61.61</v>
      </c>
    </row>
    <row r="13493" spans="1:4" ht="25.5" x14ac:dyDescent="0.2">
      <c r="A13493" s="319">
        <v>153</v>
      </c>
      <c r="B13493" s="498" t="s">
        <v>45921</v>
      </c>
      <c r="C13493" s="319" t="s">
        <v>9</v>
      </c>
      <c r="D13493" s="499">
        <v>113.3</v>
      </c>
    </row>
    <row r="13494" spans="1:4" ht="25.5" x14ac:dyDescent="0.2">
      <c r="A13494" s="319">
        <v>34682</v>
      </c>
      <c r="B13494" s="498" t="s">
        <v>45922</v>
      </c>
      <c r="C13494" s="319" t="s">
        <v>255</v>
      </c>
      <c r="D13494" s="499"/>
    </row>
    <row r="13495" spans="1:4" ht="25.5" x14ac:dyDescent="0.2">
      <c r="A13495" s="319">
        <v>536</v>
      </c>
      <c r="B13495" s="498" t="s">
        <v>45923</v>
      </c>
      <c r="C13495" s="319" t="s">
        <v>255</v>
      </c>
      <c r="D13495" s="499">
        <v>34.700000000000003</v>
      </c>
    </row>
    <row r="13496" spans="1:4" ht="25.5" x14ac:dyDescent="0.2">
      <c r="A13496" s="319">
        <v>20205</v>
      </c>
      <c r="B13496" s="498" t="s">
        <v>45924</v>
      </c>
      <c r="C13496" s="319" t="s">
        <v>0</v>
      </c>
      <c r="D13496" s="499">
        <v>3.69</v>
      </c>
    </row>
    <row r="13497" spans="1:4" ht="25.5" x14ac:dyDescent="0.2">
      <c r="A13497" s="319">
        <v>4412</v>
      </c>
      <c r="B13497" s="498" t="s">
        <v>45925</v>
      </c>
      <c r="C13497" s="319" t="s">
        <v>0</v>
      </c>
      <c r="D13497" s="499">
        <v>2.21</v>
      </c>
    </row>
    <row r="13498" spans="1:4" ht="25.5" x14ac:dyDescent="0.2">
      <c r="A13498" s="319">
        <v>4408</v>
      </c>
      <c r="B13498" s="498" t="s">
        <v>45926</v>
      </c>
      <c r="C13498" s="319" t="s">
        <v>0</v>
      </c>
      <c r="D13498" s="499">
        <v>2.76</v>
      </c>
    </row>
    <row r="13499" spans="1:4" x14ac:dyDescent="0.2">
      <c r="A13499" s="319">
        <v>45213</v>
      </c>
      <c r="B13499" s="498" t="s">
        <v>48349</v>
      </c>
      <c r="C13499" s="319" t="s">
        <v>26</v>
      </c>
      <c r="D13499" s="499"/>
    </row>
    <row r="13500" spans="1:4" x14ac:dyDescent="0.2">
      <c r="A13500" s="319">
        <v>36250</v>
      </c>
      <c r="B13500" s="498" t="s">
        <v>45927</v>
      </c>
      <c r="C13500" s="319" t="s">
        <v>0</v>
      </c>
      <c r="D13500" s="499"/>
    </row>
    <row r="13501" spans="1:4" x14ac:dyDescent="0.2">
      <c r="A13501" s="319">
        <v>10857</v>
      </c>
      <c r="B13501" s="498" t="s">
        <v>45928</v>
      </c>
      <c r="C13501" s="319" t="s">
        <v>0</v>
      </c>
      <c r="D13501" s="499"/>
    </row>
    <row r="13502" spans="1:4" ht="25.5" x14ac:dyDescent="0.2">
      <c r="A13502" s="319">
        <v>4803</v>
      </c>
      <c r="B13502" s="498" t="s">
        <v>45929</v>
      </c>
      <c r="C13502" s="319" t="s">
        <v>0</v>
      </c>
      <c r="D13502" s="499">
        <v>31.98</v>
      </c>
    </row>
    <row r="13503" spans="1:4" ht="25.5" x14ac:dyDescent="0.2">
      <c r="A13503" s="319">
        <v>6186</v>
      </c>
      <c r="B13503" s="498" t="s">
        <v>45930</v>
      </c>
      <c r="C13503" s="319" t="s">
        <v>0</v>
      </c>
      <c r="D13503" s="499"/>
    </row>
    <row r="13504" spans="1:4" ht="25.5" x14ac:dyDescent="0.2">
      <c r="A13504" s="319">
        <v>4829</v>
      </c>
      <c r="B13504" s="498" t="s">
        <v>45931</v>
      </c>
      <c r="C13504" s="319" t="s">
        <v>0</v>
      </c>
      <c r="D13504" s="499">
        <v>49.75</v>
      </c>
    </row>
    <row r="13505" spans="1:4" x14ac:dyDescent="0.2">
      <c r="A13505" s="319">
        <v>39829</v>
      </c>
      <c r="B13505" s="498" t="s">
        <v>45932</v>
      </c>
      <c r="C13505" s="319" t="s">
        <v>0</v>
      </c>
      <c r="D13505" s="499">
        <v>35.380000000000003</v>
      </c>
    </row>
    <row r="13506" spans="1:4" ht="38.25" x14ac:dyDescent="0.2">
      <c r="A13506" s="319">
        <v>20231</v>
      </c>
      <c r="B13506" s="498" t="s">
        <v>45933</v>
      </c>
      <c r="C13506" s="319" t="s">
        <v>0</v>
      </c>
      <c r="D13506" s="499">
        <v>50.98</v>
      </c>
    </row>
    <row r="13507" spans="1:4" x14ac:dyDescent="0.2">
      <c r="A13507" s="319">
        <v>4804</v>
      </c>
      <c r="B13507" s="498" t="s">
        <v>45934</v>
      </c>
      <c r="C13507" s="319" t="s">
        <v>0</v>
      </c>
      <c r="D13507" s="499">
        <v>24.55</v>
      </c>
    </row>
    <row r="13508" spans="1:4" x14ac:dyDescent="0.2">
      <c r="A13508" s="319">
        <v>34680</v>
      </c>
      <c r="B13508" s="498" t="s">
        <v>45935</v>
      </c>
      <c r="C13508" s="319" t="s">
        <v>0</v>
      </c>
      <c r="D13508" s="499"/>
    </row>
    <row r="13509" spans="1:4" ht="25.5" x14ac:dyDescent="0.2">
      <c r="A13509" s="319">
        <v>11573</v>
      </c>
      <c r="B13509" s="498" t="s">
        <v>45936</v>
      </c>
      <c r="C13509" s="319" t="s">
        <v>26</v>
      </c>
      <c r="D13509" s="499">
        <v>6.1</v>
      </c>
    </row>
    <row r="13510" spans="1:4" x14ac:dyDescent="0.2">
      <c r="A13510" s="319">
        <v>38401</v>
      </c>
      <c r="B13510" s="498" t="s">
        <v>45937</v>
      </c>
      <c r="C13510" s="319" t="s">
        <v>26</v>
      </c>
      <c r="D13510" s="499">
        <v>40.56</v>
      </c>
    </row>
    <row r="13511" spans="1:4" ht="25.5" x14ac:dyDescent="0.2">
      <c r="A13511" s="319">
        <v>11575</v>
      </c>
      <c r="B13511" s="498" t="s">
        <v>45938</v>
      </c>
      <c r="C13511" s="319" t="s">
        <v>26</v>
      </c>
      <c r="D13511" s="499">
        <v>58.82</v>
      </c>
    </row>
    <row r="13512" spans="1:4" ht="38.25" x14ac:dyDescent="0.2">
      <c r="A13512" s="319">
        <v>38179</v>
      </c>
      <c r="B13512" s="498" t="s">
        <v>45939</v>
      </c>
      <c r="C13512" s="319" t="s">
        <v>26</v>
      </c>
      <c r="D13512" s="499">
        <v>48.63</v>
      </c>
    </row>
    <row r="13513" spans="1:4" ht="25.5" x14ac:dyDescent="0.2">
      <c r="A13513" s="319">
        <v>20256</v>
      </c>
      <c r="B13513" s="498" t="s">
        <v>45940</v>
      </c>
      <c r="C13513" s="319" t="s">
        <v>26</v>
      </c>
      <c r="D13513" s="499">
        <v>0.27</v>
      </c>
    </row>
    <row r="13514" spans="1:4" ht="25.5" x14ac:dyDescent="0.2">
      <c r="A13514" s="319">
        <v>14511</v>
      </c>
      <c r="B13514" s="498" t="s">
        <v>45941</v>
      </c>
      <c r="C13514" s="319" t="s">
        <v>26</v>
      </c>
      <c r="D13514" s="499"/>
    </row>
    <row r="13515" spans="1:4" ht="25.5" x14ac:dyDescent="0.2">
      <c r="A13515" s="319">
        <v>10642</v>
      </c>
      <c r="B13515" s="498" t="s">
        <v>45942</v>
      </c>
      <c r="C13515" s="319" t="s">
        <v>26</v>
      </c>
      <c r="D13515" s="499"/>
    </row>
    <row r="13516" spans="1:4" ht="38.25" x14ac:dyDescent="0.2">
      <c r="A13516" s="319">
        <v>14489</v>
      </c>
      <c r="B13516" s="498" t="s">
        <v>45943</v>
      </c>
      <c r="C13516" s="319" t="s">
        <v>26</v>
      </c>
      <c r="D13516" s="499"/>
    </row>
    <row r="13517" spans="1:4" ht="25.5" x14ac:dyDescent="0.2">
      <c r="A13517" s="319">
        <v>14513</v>
      </c>
      <c r="B13517" s="498" t="s">
        <v>45944</v>
      </c>
      <c r="C13517" s="319" t="s">
        <v>26</v>
      </c>
      <c r="D13517" s="499"/>
    </row>
    <row r="13518" spans="1:4" ht="38.25" x14ac:dyDescent="0.2">
      <c r="A13518" s="319">
        <v>13600</v>
      </c>
      <c r="B13518" s="498" t="s">
        <v>45945</v>
      </c>
      <c r="C13518" s="319" t="s">
        <v>26</v>
      </c>
      <c r="D13518" s="499"/>
    </row>
    <row r="13519" spans="1:4" ht="38.25" x14ac:dyDescent="0.2">
      <c r="A13519" s="319">
        <v>10646</v>
      </c>
      <c r="B13519" s="498" t="s">
        <v>45946</v>
      </c>
      <c r="C13519" s="319" t="s">
        <v>26</v>
      </c>
      <c r="D13519" s="499"/>
    </row>
    <row r="13520" spans="1:4" ht="38.25" x14ac:dyDescent="0.2">
      <c r="A13520" s="319">
        <v>6070</v>
      </c>
      <c r="B13520" s="498" t="s">
        <v>45947</v>
      </c>
      <c r="C13520" s="319" t="s">
        <v>26</v>
      </c>
      <c r="D13520" s="499"/>
    </row>
    <row r="13521" spans="1:4" ht="38.25" x14ac:dyDescent="0.2">
      <c r="A13521" s="319">
        <v>6069</v>
      </c>
      <c r="B13521" s="498" t="s">
        <v>45948</v>
      </c>
      <c r="C13521" s="319" t="s">
        <v>26</v>
      </c>
      <c r="D13521" s="499"/>
    </row>
    <row r="13522" spans="1:4" ht="25.5" x14ac:dyDescent="0.2">
      <c r="A13522" s="319">
        <v>14626</v>
      </c>
      <c r="B13522" s="498" t="s">
        <v>45949</v>
      </c>
      <c r="C13522" s="319" t="s">
        <v>26</v>
      </c>
      <c r="D13522" s="499"/>
    </row>
    <row r="13523" spans="1:4" ht="25.5" x14ac:dyDescent="0.2">
      <c r="A13523" s="319">
        <v>6067</v>
      </c>
      <c r="B13523" s="498" t="s">
        <v>45950</v>
      </c>
      <c r="C13523" s="319" t="s">
        <v>26</v>
      </c>
      <c r="D13523" s="499"/>
    </row>
    <row r="13524" spans="1:4" ht="25.5" x14ac:dyDescent="0.2">
      <c r="A13524" s="319">
        <v>38393</v>
      </c>
      <c r="B13524" s="498" t="s">
        <v>45951</v>
      </c>
      <c r="C13524" s="319" t="s">
        <v>26</v>
      </c>
      <c r="D13524" s="499">
        <v>14.25</v>
      </c>
    </row>
    <row r="13525" spans="1:4" x14ac:dyDescent="0.2">
      <c r="A13525" s="319">
        <v>45233</v>
      </c>
      <c r="B13525" s="498" t="s">
        <v>48350</v>
      </c>
      <c r="C13525" s="319" t="s">
        <v>26</v>
      </c>
      <c r="D13525" s="499">
        <v>6.11</v>
      </c>
    </row>
    <row r="13526" spans="1:4" ht="25.5" x14ac:dyDescent="0.2">
      <c r="A13526" s="319">
        <v>38390</v>
      </c>
      <c r="B13526" s="498" t="s">
        <v>45952</v>
      </c>
      <c r="C13526" s="319" t="s">
        <v>26</v>
      </c>
      <c r="D13526" s="499">
        <v>35.01</v>
      </c>
    </row>
    <row r="13527" spans="1:4" ht="25.5" x14ac:dyDescent="0.2">
      <c r="A13527" s="319">
        <v>11578</v>
      </c>
      <c r="B13527" s="498" t="s">
        <v>45953</v>
      </c>
      <c r="C13527" s="319" t="s">
        <v>26</v>
      </c>
      <c r="D13527" s="499">
        <v>12.7</v>
      </c>
    </row>
    <row r="13528" spans="1:4" ht="38.25" x14ac:dyDescent="0.2">
      <c r="A13528" s="319">
        <v>11577</v>
      </c>
      <c r="B13528" s="498" t="s">
        <v>45954</v>
      </c>
      <c r="C13528" s="319" t="s">
        <v>26</v>
      </c>
      <c r="D13528" s="499">
        <v>12.12</v>
      </c>
    </row>
    <row r="13529" spans="1:4" ht="38.25" x14ac:dyDescent="0.2">
      <c r="A13529" s="319">
        <v>42432</v>
      </c>
      <c r="B13529" s="498" t="s">
        <v>45955</v>
      </c>
      <c r="C13529" s="319" t="s">
        <v>26</v>
      </c>
      <c r="D13529" s="499"/>
    </row>
    <row r="13530" spans="1:4" ht="38.25" x14ac:dyDescent="0.2">
      <c r="A13530" s="319">
        <v>42437</v>
      </c>
      <c r="B13530" s="498" t="s">
        <v>45956</v>
      </c>
      <c r="C13530" s="319" t="s">
        <v>26</v>
      </c>
      <c r="D13530" s="499"/>
    </row>
    <row r="13531" spans="1:4" x14ac:dyDescent="0.2">
      <c r="A13531" s="319">
        <v>1116</v>
      </c>
      <c r="B13531" s="498" t="s">
        <v>45957</v>
      </c>
      <c r="C13531" s="319" t="s">
        <v>0</v>
      </c>
      <c r="D13531" s="499">
        <v>18.66</v>
      </c>
    </row>
    <row r="13532" spans="1:4" x14ac:dyDescent="0.2">
      <c r="A13532" s="319">
        <v>1115</v>
      </c>
      <c r="B13532" s="498" t="s">
        <v>45958</v>
      </c>
      <c r="C13532" s="319" t="s">
        <v>0</v>
      </c>
      <c r="D13532" s="499">
        <v>22.36</v>
      </c>
    </row>
    <row r="13533" spans="1:4" ht="25.5" x14ac:dyDescent="0.2">
      <c r="A13533" s="319">
        <v>1113</v>
      </c>
      <c r="B13533" s="498" t="s">
        <v>45959</v>
      </c>
      <c r="C13533" s="319" t="s">
        <v>0</v>
      </c>
      <c r="D13533" s="499">
        <v>26.14</v>
      </c>
    </row>
    <row r="13534" spans="1:4" x14ac:dyDescent="0.2">
      <c r="A13534" s="319">
        <v>1114</v>
      </c>
      <c r="B13534" s="498" t="s">
        <v>45960</v>
      </c>
      <c r="C13534" s="319" t="s">
        <v>0</v>
      </c>
      <c r="D13534" s="499">
        <v>31.14</v>
      </c>
    </row>
    <row r="13535" spans="1:4" ht="25.5" x14ac:dyDescent="0.2">
      <c r="A13535" s="319">
        <v>40873</v>
      </c>
      <c r="B13535" s="498" t="s">
        <v>45961</v>
      </c>
      <c r="C13535" s="319" t="s">
        <v>0</v>
      </c>
      <c r="D13535" s="499">
        <v>24.37</v>
      </c>
    </row>
    <row r="13536" spans="1:4" x14ac:dyDescent="0.2">
      <c r="A13536" s="319">
        <v>20214</v>
      </c>
      <c r="B13536" s="498" t="s">
        <v>45962</v>
      </c>
      <c r="C13536" s="319" t="s">
        <v>26</v>
      </c>
      <c r="D13536" s="499">
        <v>79.680000000000007</v>
      </c>
    </row>
    <row r="13537" spans="1:4" ht="25.5" x14ac:dyDescent="0.2">
      <c r="A13537" s="319">
        <v>7237</v>
      </c>
      <c r="B13537" s="498" t="s">
        <v>45963</v>
      </c>
      <c r="C13537" s="319" t="s">
        <v>26</v>
      </c>
      <c r="D13537" s="499">
        <v>78.010000000000005</v>
      </c>
    </row>
    <row r="13538" spans="1:4" x14ac:dyDescent="0.2">
      <c r="A13538" s="319">
        <v>11757</v>
      </c>
      <c r="B13538" s="498" t="s">
        <v>45964</v>
      </c>
      <c r="C13538" s="319" t="s">
        <v>26</v>
      </c>
      <c r="D13538" s="499">
        <v>15.15</v>
      </c>
    </row>
    <row r="13539" spans="1:4" ht="25.5" x14ac:dyDescent="0.2">
      <c r="A13539" s="319">
        <v>11758</v>
      </c>
      <c r="B13539" s="498" t="s">
        <v>45965</v>
      </c>
      <c r="C13539" s="319" t="s">
        <v>26</v>
      </c>
      <c r="D13539" s="499">
        <v>42.99</v>
      </c>
    </row>
    <row r="13540" spans="1:4" x14ac:dyDescent="0.2">
      <c r="A13540" s="319">
        <v>37526</v>
      </c>
      <c r="B13540" s="498" t="s">
        <v>45966</v>
      </c>
      <c r="C13540" s="319" t="s">
        <v>26</v>
      </c>
      <c r="D13540" s="499"/>
    </row>
    <row r="13541" spans="1:4" x14ac:dyDescent="0.2">
      <c r="A13541" s="319">
        <v>6076</v>
      </c>
      <c r="B13541" s="498" t="s">
        <v>45967</v>
      </c>
      <c r="C13541" s="319" t="s">
        <v>271</v>
      </c>
      <c r="D13541" s="499"/>
    </row>
    <row r="13542" spans="1:4" x14ac:dyDescent="0.2">
      <c r="A13542" s="319">
        <v>13109</v>
      </c>
      <c r="B13542" s="498" t="s">
        <v>45968</v>
      </c>
      <c r="C13542" s="319" t="s">
        <v>26</v>
      </c>
      <c r="D13542" s="499"/>
    </row>
    <row r="13543" spans="1:4" x14ac:dyDescent="0.2">
      <c r="A13543" s="319">
        <v>13110</v>
      </c>
      <c r="B13543" s="498" t="s">
        <v>45969</v>
      </c>
      <c r="C13543" s="319" t="s">
        <v>26</v>
      </c>
      <c r="D13543" s="499"/>
    </row>
    <row r="13544" spans="1:4" ht="25.5" x14ac:dyDescent="0.2">
      <c r="A13544" s="319">
        <v>7581</v>
      </c>
      <c r="B13544" s="498" t="s">
        <v>45970</v>
      </c>
      <c r="C13544" s="319" t="s">
        <v>26</v>
      </c>
      <c r="D13544" s="499"/>
    </row>
    <row r="13545" spans="1:4" x14ac:dyDescent="0.2">
      <c r="A13545" s="319">
        <v>4509</v>
      </c>
      <c r="B13545" s="498" t="s">
        <v>45971</v>
      </c>
      <c r="C13545" s="319" t="s">
        <v>0</v>
      </c>
      <c r="D13545" s="499">
        <v>5.81</v>
      </c>
    </row>
    <row r="13546" spans="1:4" x14ac:dyDescent="0.2">
      <c r="A13546" s="319">
        <v>4512</v>
      </c>
      <c r="B13546" s="498" t="s">
        <v>45972</v>
      </c>
      <c r="C13546" s="319" t="s">
        <v>0</v>
      </c>
      <c r="D13546" s="499">
        <v>2.77</v>
      </c>
    </row>
    <row r="13547" spans="1:4" x14ac:dyDescent="0.2">
      <c r="A13547" s="319">
        <v>4517</v>
      </c>
      <c r="B13547" s="498" t="s">
        <v>45973</v>
      </c>
      <c r="C13547" s="319" t="s">
        <v>0</v>
      </c>
      <c r="D13547" s="499">
        <v>4.01</v>
      </c>
    </row>
    <row r="13548" spans="1:4" ht="25.5" x14ac:dyDescent="0.2">
      <c r="A13548" s="319">
        <v>20206</v>
      </c>
      <c r="B13548" s="498" t="s">
        <v>45974</v>
      </c>
      <c r="C13548" s="319" t="s">
        <v>0</v>
      </c>
      <c r="D13548" s="499">
        <v>9.9600000000000009</v>
      </c>
    </row>
    <row r="13549" spans="1:4" ht="38.25" x14ac:dyDescent="0.2">
      <c r="A13549" s="319">
        <v>4460</v>
      </c>
      <c r="B13549" s="498" t="s">
        <v>45975</v>
      </c>
      <c r="C13549" s="319" t="s">
        <v>0</v>
      </c>
      <c r="D13549" s="499">
        <v>10.23</v>
      </c>
    </row>
    <row r="13550" spans="1:4" ht="38.25" x14ac:dyDescent="0.2">
      <c r="A13550" s="319">
        <v>4415</v>
      </c>
      <c r="B13550" s="498" t="s">
        <v>45976</v>
      </c>
      <c r="C13550" s="319" t="s">
        <v>0</v>
      </c>
      <c r="D13550" s="499">
        <v>5.48</v>
      </c>
    </row>
    <row r="13551" spans="1:4" ht="38.25" x14ac:dyDescent="0.2">
      <c r="A13551" s="319">
        <v>4417</v>
      </c>
      <c r="B13551" s="498" t="s">
        <v>45977</v>
      </c>
      <c r="C13551" s="319" t="s">
        <v>0</v>
      </c>
      <c r="D13551" s="499">
        <v>7.89</v>
      </c>
    </row>
    <row r="13552" spans="1:4" x14ac:dyDescent="0.2">
      <c r="A13552" s="319">
        <v>37373</v>
      </c>
      <c r="B13552" s="498" t="s">
        <v>45978</v>
      </c>
      <c r="C13552" s="319" t="s">
        <v>558</v>
      </c>
      <c r="D13552" s="499">
        <v>0.08</v>
      </c>
    </row>
    <row r="13553" spans="1:4" x14ac:dyDescent="0.2">
      <c r="A13553" s="319">
        <v>40864</v>
      </c>
      <c r="B13553" s="498" t="s">
        <v>45979</v>
      </c>
      <c r="C13553" s="319" t="s">
        <v>5681</v>
      </c>
      <c r="D13553" s="499">
        <v>15.46</v>
      </c>
    </row>
    <row r="13554" spans="1:4" ht="25.5" x14ac:dyDescent="0.2">
      <c r="A13554" s="319">
        <v>4734</v>
      </c>
      <c r="B13554" s="498" t="s">
        <v>45980</v>
      </c>
      <c r="C13554" s="319" t="s">
        <v>271</v>
      </c>
      <c r="D13554" s="499">
        <v>373.27</v>
      </c>
    </row>
    <row r="13555" spans="1:4" x14ac:dyDescent="0.2">
      <c r="A13555" s="319">
        <v>6085</v>
      </c>
      <c r="B13555" s="498" t="s">
        <v>45981</v>
      </c>
      <c r="C13555" s="319" t="s">
        <v>9</v>
      </c>
      <c r="D13555" s="499">
        <v>11.67</v>
      </c>
    </row>
    <row r="13556" spans="1:4" x14ac:dyDescent="0.2">
      <c r="A13556" s="319">
        <v>38396</v>
      </c>
      <c r="B13556" s="498" t="s">
        <v>45982</v>
      </c>
      <c r="C13556" s="319" t="s">
        <v>26</v>
      </c>
      <c r="D13556" s="499"/>
    </row>
    <row r="13557" spans="1:4" x14ac:dyDescent="0.2">
      <c r="A13557" s="319">
        <v>11622</v>
      </c>
      <c r="B13557" s="498" t="s">
        <v>45983</v>
      </c>
      <c r="C13557" s="319" t="s">
        <v>1284</v>
      </c>
      <c r="D13557" s="499">
        <v>85.37</v>
      </c>
    </row>
    <row r="13558" spans="1:4" ht="25.5" x14ac:dyDescent="0.2">
      <c r="A13558" s="319">
        <v>43143</v>
      </c>
      <c r="B13558" s="498" t="s">
        <v>45984</v>
      </c>
      <c r="C13558" s="319" t="s">
        <v>9</v>
      </c>
      <c r="D13558" s="499">
        <v>32.24</v>
      </c>
    </row>
    <row r="13559" spans="1:4" x14ac:dyDescent="0.2">
      <c r="A13559" s="319">
        <v>7317</v>
      </c>
      <c r="B13559" s="498" t="s">
        <v>45985</v>
      </c>
      <c r="C13559" s="319" t="s">
        <v>1284</v>
      </c>
      <c r="D13559" s="499"/>
    </row>
    <row r="13560" spans="1:4" ht="25.5" x14ac:dyDescent="0.2">
      <c r="A13560" s="319">
        <v>142</v>
      </c>
      <c r="B13560" s="498" t="s">
        <v>45986</v>
      </c>
      <c r="C13560" s="319" t="s">
        <v>45987</v>
      </c>
      <c r="D13560" s="499">
        <v>40.28</v>
      </c>
    </row>
    <row r="13561" spans="1:4" ht="25.5" x14ac:dyDescent="0.2">
      <c r="A13561" s="319">
        <v>43142</v>
      </c>
      <c r="B13561" s="498" t="s">
        <v>45988</v>
      </c>
      <c r="C13561" s="319" t="s">
        <v>9</v>
      </c>
      <c r="D13561" s="499">
        <v>182.99</v>
      </c>
    </row>
    <row r="13562" spans="1:4" x14ac:dyDescent="0.2">
      <c r="A13562" s="319">
        <v>38123</v>
      </c>
      <c r="B13562" s="498" t="s">
        <v>45989</v>
      </c>
      <c r="C13562" s="319" t="s">
        <v>1284</v>
      </c>
      <c r="D13562" s="499">
        <v>73.78</v>
      </c>
    </row>
    <row r="13563" spans="1:4" ht="25.5" x14ac:dyDescent="0.2">
      <c r="A13563" s="319">
        <v>42699</v>
      </c>
      <c r="B13563" s="498" t="s">
        <v>45990</v>
      </c>
      <c r="C13563" s="319" t="s">
        <v>26</v>
      </c>
      <c r="D13563" s="499">
        <v>34.61</v>
      </c>
    </row>
    <row r="13564" spans="1:4" ht="38.25" x14ac:dyDescent="0.2">
      <c r="A13564" s="319">
        <v>37743</v>
      </c>
      <c r="B13564" s="498" t="s">
        <v>45991</v>
      </c>
      <c r="C13564" s="319" t="s">
        <v>26</v>
      </c>
      <c r="D13564" s="499"/>
    </row>
    <row r="13565" spans="1:4" ht="38.25" x14ac:dyDescent="0.2">
      <c r="A13565" s="319">
        <v>37744</v>
      </c>
      <c r="B13565" s="498" t="s">
        <v>45992</v>
      </c>
      <c r="C13565" s="319" t="s">
        <v>26</v>
      </c>
      <c r="D13565" s="499"/>
    </row>
    <row r="13566" spans="1:4" ht="38.25" x14ac:dyDescent="0.2">
      <c r="A13566" s="319">
        <v>37741</v>
      </c>
      <c r="B13566" s="498" t="s">
        <v>45993</v>
      </c>
      <c r="C13566" s="319" t="s">
        <v>26</v>
      </c>
      <c r="D13566" s="499"/>
    </row>
    <row r="13567" spans="1:4" ht="25.5" x14ac:dyDescent="0.2">
      <c r="A13567" s="319">
        <v>39396</v>
      </c>
      <c r="B13567" s="498" t="s">
        <v>45994</v>
      </c>
      <c r="C13567" s="319" t="s">
        <v>26</v>
      </c>
      <c r="D13567" s="499"/>
    </row>
    <row r="13568" spans="1:4" ht="25.5" x14ac:dyDescent="0.2">
      <c r="A13568" s="319">
        <v>39392</v>
      </c>
      <c r="B13568" s="498" t="s">
        <v>45995</v>
      </c>
      <c r="C13568" s="319" t="s">
        <v>26</v>
      </c>
      <c r="D13568" s="499"/>
    </row>
    <row r="13569" spans="1:4" ht="25.5" x14ac:dyDescent="0.2">
      <c r="A13569" s="319">
        <v>39393</v>
      </c>
      <c r="B13569" s="498" t="s">
        <v>45996</v>
      </c>
      <c r="C13569" s="319" t="s">
        <v>26</v>
      </c>
      <c r="D13569" s="499"/>
    </row>
    <row r="13570" spans="1:4" ht="25.5" x14ac:dyDescent="0.2">
      <c r="A13570" s="319">
        <v>39394</v>
      </c>
      <c r="B13570" s="498" t="s">
        <v>45997</v>
      </c>
      <c r="C13570" s="319" t="s">
        <v>26</v>
      </c>
      <c r="D13570" s="499"/>
    </row>
    <row r="13571" spans="1:4" ht="25.5" x14ac:dyDescent="0.2">
      <c r="A13571" s="319">
        <v>39395</v>
      </c>
      <c r="B13571" s="498" t="s">
        <v>45998</v>
      </c>
      <c r="C13571" s="319" t="s">
        <v>26</v>
      </c>
      <c r="D13571" s="499"/>
    </row>
    <row r="13572" spans="1:4" ht="25.5" x14ac:dyDescent="0.2">
      <c r="A13572" s="319">
        <v>14618</v>
      </c>
      <c r="B13572" s="498" t="s">
        <v>45999</v>
      </c>
      <c r="C13572" s="319" t="s">
        <v>26</v>
      </c>
      <c r="D13572" s="499">
        <v>1805.65</v>
      </c>
    </row>
    <row r="13573" spans="1:4" ht="38.25" x14ac:dyDescent="0.2">
      <c r="A13573" s="319">
        <v>40269</v>
      </c>
      <c r="B13573" s="498" t="s">
        <v>46000</v>
      </c>
      <c r="C13573" s="319" t="s">
        <v>26</v>
      </c>
      <c r="D13573" s="499">
        <v>7274.86</v>
      </c>
    </row>
    <row r="13574" spans="1:4" x14ac:dyDescent="0.2">
      <c r="A13574" s="319">
        <v>6110</v>
      </c>
      <c r="B13574" s="498" t="s">
        <v>46001</v>
      </c>
      <c r="C13574" s="319" t="s">
        <v>558</v>
      </c>
      <c r="D13574" s="499">
        <v>18.29</v>
      </c>
    </row>
    <row r="13575" spans="1:4" x14ac:dyDescent="0.2">
      <c r="A13575" s="319">
        <v>40910</v>
      </c>
      <c r="B13575" s="498" t="s">
        <v>46002</v>
      </c>
      <c r="C13575" s="319" t="s">
        <v>5681</v>
      </c>
      <c r="D13575" s="499">
        <v>3214.9</v>
      </c>
    </row>
    <row r="13576" spans="1:4" x14ac:dyDescent="0.2">
      <c r="A13576" s="319">
        <v>45255</v>
      </c>
      <c r="B13576" s="498" t="s">
        <v>48351</v>
      </c>
      <c r="C13576" s="319" t="s">
        <v>26</v>
      </c>
      <c r="D13576" s="499"/>
    </row>
    <row r="13577" spans="1:4" x14ac:dyDescent="0.2">
      <c r="A13577" s="319">
        <v>6111</v>
      </c>
      <c r="B13577" s="498" t="s">
        <v>46003</v>
      </c>
      <c r="C13577" s="319" t="s">
        <v>558</v>
      </c>
      <c r="D13577" s="499">
        <v>13.25</v>
      </c>
    </row>
    <row r="13578" spans="1:4" x14ac:dyDescent="0.2">
      <c r="A13578" s="319">
        <v>41084</v>
      </c>
      <c r="B13578" s="498" t="s">
        <v>46004</v>
      </c>
      <c r="C13578" s="319" t="s">
        <v>5681</v>
      </c>
      <c r="D13578" s="499">
        <v>2330.13</v>
      </c>
    </row>
    <row r="13579" spans="1:4" ht="25.5" x14ac:dyDescent="0.2">
      <c r="A13579" s="319">
        <v>44535</v>
      </c>
      <c r="B13579" s="498" t="s">
        <v>46005</v>
      </c>
      <c r="C13579" s="319" t="s">
        <v>271</v>
      </c>
      <c r="D13579" s="499">
        <v>49.35</v>
      </c>
    </row>
    <row r="13580" spans="1:4" ht="25.5" x14ac:dyDescent="0.2">
      <c r="A13580" s="319">
        <v>44945</v>
      </c>
      <c r="B13580" s="498" t="s">
        <v>46006</v>
      </c>
      <c r="C13580" s="319" t="s">
        <v>26</v>
      </c>
      <c r="D13580" s="499">
        <v>9.3000000000000007</v>
      </c>
    </row>
    <row r="13581" spans="1:4" x14ac:dyDescent="0.2">
      <c r="A13581" s="319">
        <v>38637</v>
      </c>
      <c r="B13581" s="498" t="s">
        <v>46007</v>
      </c>
      <c r="C13581" s="319" t="s">
        <v>26</v>
      </c>
      <c r="D13581" s="499">
        <v>295.22000000000003</v>
      </c>
    </row>
    <row r="13582" spans="1:4" x14ac:dyDescent="0.2">
      <c r="A13582" s="319">
        <v>6150</v>
      </c>
      <c r="B13582" s="498" t="s">
        <v>46008</v>
      </c>
      <c r="C13582" s="319" t="s">
        <v>26</v>
      </c>
      <c r="D13582" s="499">
        <v>298.83</v>
      </c>
    </row>
    <row r="13583" spans="1:4" x14ac:dyDescent="0.2">
      <c r="A13583" s="319">
        <v>6136</v>
      </c>
      <c r="B13583" s="498" t="s">
        <v>46009</v>
      </c>
      <c r="C13583" s="319" t="s">
        <v>26</v>
      </c>
      <c r="D13583" s="499">
        <v>234.9</v>
      </c>
    </row>
    <row r="13584" spans="1:4" x14ac:dyDescent="0.2">
      <c r="A13584" s="319">
        <v>38638</v>
      </c>
      <c r="B13584" s="498" t="s">
        <v>46010</v>
      </c>
      <c r="C13584" s="319" t="s">
        <v>26</v>
      </c>
      <c r="D13584" s="499">
        <v>248.77</v>
      </c>
    </row>
    <row r="13585" spans="1:4" x14ac:dyDescent="0.2">
      <c r="A13585" s="319">
        <v>20262</v>
      </c>
      <c r="B13585" s="498" t="s">
        <v>46011</v>
      </c>
      <c r="C13585" s="319" t="s">
        <v>26</v>
      </c>
      <c r="D13585" s="499">
        <v>17.03</v>
      </c>
    </row>
    <row r="13586" spans="1:4" x14ac:dyDescent="0.2">
      <c r="A13586" s="319">
        <v>6145</v>
      </c>
      <c r="B13586" s="498" t="s">
        <v>46012</v>
      </c>
      <c r="C13586" s="319" t="s">
        <v>26</v>
      </c>
      <c r="D13586" s="499">
        <v>18.82</v>
      </c>
    </row>
    <row r="13587" spans="1:4" x14ac:dyDescent="0.2">
      <c r="A13587" s="319">
        <v>6149</v>
      </c>
      <c r="B13587" s="498" t="s">
        <v>46013</v>
      </c>
      <c r="C13587" s="319" t="s">
        <v>26</v>
      </c>
      <c r="D13587" s="499">
        <v>12.44</v>
      </c>
    </row>
    <row r="13588" spans="1:4" x14ac:dyDescent="0.2">
      <c r="A13588" s="319">
        <v>6146</v>
      </c>
      <c r="B13588" s="498" t="s">
        <v>46014</v>
      </c>
      <c r="C13588" s="319" t="s">
        <v>26</v>
      </c>
      <c r="D13588" s="499">
        <v>17.88</v>
      </c>
    </row>
    <row r="13589" spans="1:4" x14ac:dyDescent="0.2">
      <c r="A13589" s="319">
        <v>44536</v>
      </c>
      <c r="B13589" s="498" t="s">
        <v>48352</v>
      </c>
      <c r="C13589" s="319" t="s">
        <v>1284</v>
      </c>
      <c r="D13589" s="499">
        <v>3.39</v>
      </c>
    </row>
    <row r="13590" spans="1:4" x14ac:dyDescent="0.2">
      <c r="A13590" s="319">
        <v>39961</v>
      </c>
      <c r="B13590" s="498" t="s">
        <v>46015</v>
      </c>
      <c r="C13590" s="319" t="s">
        <v>26</v>
      </c>
      <c r="D13590" s="499">
        <v>26.62</v>
      </c>
    </row>
    <row r="13591" spans="1:4" ht="38.25" x14ac:dyDescent="0.2">
      <c r="A13591" s="319">
        <v>42433</v>
      </c>
      <c r="B13591" s="498" t="s">
        <v>46016</v>
      </c>
      <c r="C13591" s="319" t="s">
        <v>26</v>
      </c>
      <c r="D13591" s="499"/>
    </row>
    <row r="13592" spans="1:4" ht="38.25" x14ac:dyDescent="0.2">
      <c r="A13592" s="319">
        <v>42434</v>
      </c>
      <c r="B13592" s="498" t="s">
        <v>46017</v>
      </c>
      <c r="C13592" s="319" t="s">
        <v>26</v>
      </c>
      <c r="D13592" s="499"/>
    </row>
    <row r="13593" spans="1:4" ht="38.25" x14ac:dyDescent="0.2">
      <c r="A13593" s="319">
        <v>42435</v>
      </c>
      <c r="B13593" s="498" t="s">
        <v>46018</v>
      </c>
      <c r="C13593" s="319" t="s">
        <v>26</v>
      </c>
      <c r="D13593" s="499"/>
    </row>
    <row r="13594" spans="1:4" x14ac:dyDescent="0.2">
      <c r="A13594" s="319">
        <v>38061</v>
      </c>
      <c r="B13594" s="498" t="s">
        <v>46019</v>
      </c>
      <c r="C13594" s="319" t="s">
        <v>26</v>
      </c>
      <c r="D13594" s="499"/>
    </row>
    <row r="13595" spans="1:4" x14ac:dyDescent="0.2">
      <c r="A13595" s="319">
        <v>20250</v>
      </c>
      <c r="B13595" s="498" t="s">
        <v>46020</v>
      </c>
      <c r="C13595" s="319" t="s">
        <v>1284</v>
      </c>
      <c r="D13595" s="499"/>
    </row>
    <row r="13596" spans="1:4" x14ac:dyDescent="0.2">
      <c r="A13596" s="319">
        <v>13388</v>
      </c>
      <c r="B13596" s="498" t="s">
        <v>46021</v>
      </c>
      <c r="C13596" s="319" t="s">
        <v>1284</v>
      </c>
      <c r="D13596" s="499">
        <v>234.95</v>
      </c>
    </row>
    <row r="13597" spans="1:4" x14ac:dyDescent="0.2">
      <c r="A13597" s="319">
        <v>39914</v>
      </c>
      <c r="B13597" s="498" t="s">
        <v>46022</v>
      </c>
      <c r="C13597" s="319" t="s">
        <v>1284</v>
      </c>
      <c r="D13597" s="499"/>
    </row>
    <row r="13598" spans="1:4" ht="25.5" x14ac:dyDescent="0.2">
      <c r="A13598" s="319">
        <v>12732</v>
      </c>
      <c r="B13598" s="498" t="s">
        <v>46023</v>
      </c>
      <c r="C13598" s="319" t="s">
        <v>26</v>
      </c>
      <c r="D13598" s="499"/>
    </row>
    <row r="13599" spans="1:4" x14ac:dyDescent="0.2">
      <c r="A13599" s="319">
        <v>6160</v>
      </c>
      <c r="B13599" s="498" t="s">
        <v>46024</v>
      </c>
      <c r="C13599" s="319" t="s">
        <v>558</v>
      </c>
      <c r="D13599" s="499">
        <v>18.29</v>
      </c>
    </row>
    <row r="13600" spans="1:4" x14ac:dyDescent="0.2">
      <c r="A13600" s="319">
        <v>41087</v>
      </c>
      <c r="B13600" s="498" t="s">
        <v>46025</v>
      </c>
      <c r="C13600" s="319" t="s">
        <v>5681</v>
      </c>
      <c r="D13600" s="499">
        <v>3214.9</v>
      </c>
    </row>
    <row r="13601" spans="1:4" x14ac:dyDescent="0.2">
      <c r="A13601" s="319">
        <v>6166</v>
      </c>
      <c r="B13601" s="498" t="s">
        <v>46026</v>
      </c>
      <c r="C13601" s="319" t="s">
        <v>558</v>
      </c>
      <c r="D13601" s="499">
        <v>21.48</v>
      </c>
    </row>
    <row r="13602" spans="1:4" ht="25.5" x14ac:dyDescent="0.2">
      <c r="A13602" s="319">
        <v>41088</v>
      </c>
      <c r="B13602" s="498" t="s">
        <v>46027</v>
      </c>
      <c r="C13602" s="319" t="s">
        <v>5681</v>
      </c>
      <c r="D13602" s="499">
        <v>3777.91</v>
      </c>
    </row>
    <row r="13603" spans="1:4" ht="25.5" x14ac:dyDescent="0.2">
      <c r="A13603" s="319">
        <v>20232</v>
      </c>
      <c r="B13603" s="498" t="s">
        <v>46028</v>
      </c>
      <c r="C13603" s="319" t="s">
        <v>0</v>
      </c>
      <c r="D13603" s="499">
        <v>72.16</v>
      </c>
    </row>
    <row r="13604" spans="1:4" x14ac:dyDescent="0.2">
      <c r="A13604" s="319">
        <v>10856</v>
      </c>
      <c r="B13604" s="498" t="s">
        <v>46029</v>
      </c>
      <c r="C13604" s="319" t="s">
        <v>0</v>
      </c>
      <c r="D13604" s="499"/>
    </row>
    <row r="13605" spans="1:4" ht="25.5" x14ac:dyDescent="0.2">
      <c r="A13605" s="319">
        <v>4828</v>
      </c>
      <c r="B13605" s="498" t="s">
        <v>46030</v>
      </c>
      <c r="C13605" s="319" t="s">
        <v>0</v>
      </c>
      <c r="D13605" s="499">
        <v>74.260000000000005</v>
      </c>
    </row>
    <row r="13606" spans="1:4" ht="25.5" x14ac:dyDescent="0.2">
      <c r="A13606" s="319">
        <v>20249</v>
      </c>
      <c r="B13606" s="498" t="s">
        <v>46031</v>
      </c>
      <c r="C13606" s="319" t="s">
        <v>0</v>
      </c>
      <c r="D13606" s="499">
        <v>40.659999999999997</v>
      </c>
    </row>
    <row r="13607" spans="1:4" x14ac:dyDescent="0.2">
      <c r="A13607" s="319">
        <v>11609</v>
      </c>
      <c r="B13607" s="498" t="s">
        <v>46032</v>
      </c>
      <c r="C13607" s="319" t="s">
        <v>9</v>
      </c>
      <c r="D13607" s="499">
        <v>14.18</v>
      </c>
    </row>
    <row r="13608" spans="1:4" x14ac:dyDescent="0.2">
      <c r="A13608" s="319">
        <v>20083</v>
      </c>
      <c r="B13608" s="498" t="s">
        <v>46033</v>
      </c>
      <c r="C13608" s="319" t="s">
        <v>26</v>
      </c>
      <c r="D13608" s="499">
        <v>73.569999999999993</v>
      </c>
    </row>
    <row r="13609" spans="1:4" ht="25.5" x14ac:dyDescent="0.2">
      <c r="A13609" s="319">
        <v>10691</v>
      </c>
      <c r="B13609" s="498" t="s">
        <v>46034</v>
      </c>
      <c r="C13609" s="319" t="s">
        <v>9</v>
      </c>
      <c r="D13609" s="499"/>
    </row>
    <row r="13610" spans="1:4" x14ac:dyDescent="0.2">
      <c r="A13610" s="319">
        <v>12295</v>
      </c>
      <c r="B13610" s="498" t="s">
        <v>46035</v>
      </c>
      <c r="C13610" s="319" t="s">
        <v>26</v>
      </c>
      <c r="D13610" s="499">
        <v>2.2999999999999998</v>
      </c>
    </row>
    <row r="13611" spans="1:4" x14ac:dyDescent="0.2">
      <c r="A13611" s="319">
        <v>12296</v>
      </c>
      <c r="B13611" s="498" t="s">
        <v>46036</v>
      </c>
      <c r="C13611" s="319" t="s">
        <v>26</v>
      </c>
      <c r="D13611" s="499">
        <v>2.98</v>
      </c>
    </row>
    <row r="13612" spans="1:4" x14ac:dyDescent="0.2">
      <c r="A13612" s="319">
        <v>12294</v>
      </c>
      <c r="B13612" s="498" t="s">
        <v>46037</v>
      </c>
      <c r="C13612" s="319" t="s">
        <v>26</v>
      </c>
      <c r="D13612" s="499">
        <v>7.16</v>
      </c>
    </row>
    <row r="13613" spans="1:4" x14ac:dyDescent="0.2">
      <c r="A13613" s="319">
        <v>14543</v>
      </c>
      <c r="B13613" s="498" t="s">
        <v>46038</v>
      </c>
      <c r="C13613" s="319" t="s">
        <v>26</v>
      </c>
      <c r="D13613" s="499">
        <v>5.1100000000000003</v>
      </c>
    </row>
    <row r="13614" spans="1:4" ht="25.5" x14ac:dyDescent="0.2">
      <c r="A13614" s="319">
        <v>13329</v>
      </c>
      <c r="B13614" s="498" t="s">
        <v>46039</v>
      </c>
      <c r="C13614" s="319" t="s">
        <v>26</v>
      </c>
      <c r="D13614" s="499">
        <v>3</v>
      </c>
    </row>
    <row r="13615" spans="1:4" ht="25.5" x14ac:dyDescent="0.2">
      <c r="A13615" s="319">
        <v>21047</v>
      </c>
      <c r="B13615" s="498" t="s">
        <v>46040</v>
      </c>
      <c r="C13615" s="319" t="s">
        <v>26</v>
      </c>
      <c r="D13615" s="499">
        <v>82.86</v>
      </c>
    </row>
    <row r="13616" spans="1:4" ht="25.5" x14ac:dyDescent="0.2">
      <c r="A13616" s="319">
        <v>21042</v>
      </c>
      <c r="B13616" s="498" t="s">
        <v>46041</v>
      </c>
      <c r="C13616" s="319" t="s">
        <v>26</v>
      </c>
      <c r="D13616" s="499">
        <v>63.87</v>
      </c>
    </row>
    <row r="13617" spans="1:4" ht="25.5" x14ac:dyDescent="0.2">
      <c r="A13617" s="319">
        <v>21043</v>
      </c>
      <c r="B13617" s="498" t="s">
        <v>46042</v>
      </c>
      <c r="C13617" s="319" t="s">
        <v>26</v>
      </c>
      <c r="D13617" s="499">
        <v>80.680000000000007</v>
      </c>
    </row>
    <row r="13618" spans="1:4" ht="25.5" x14ac:dyDescent="0.2">
      <c r="A13618" s="319">
        <v>21044</v>
      </c>
      <c r="B13618" s="498" t="s">
        <v>46043</v>
      </c>
      <c r="C13618" s="319" t="s">
        <v>26</v>
      </c>
      <c r="D13618" s="499">
        <v>56.21</v>
      </c>
    </row>
    <row r="13619" spans="1:4" ht="25.5" x14ac:dyDescent="0.2">
      <c r="A13619" s="319">
        <v>21045</v>
      </c>
      <c r="B13619" s="498" t="s">
        <v>46044</v>
      </c>
      <c r="C13619" s="319" t="s">
        <v>26</v>
      </c>
      <c r="D13619" s="499">
        <v>76.98</v>
      </c>
    </row>
    <row r="13620" spans="1:4" ht="25.5" x14ac:dyDescent="0.2">
      <c r="A13620" s="319">
        <v>21041</v>
      </c>
      <c r="B13620" s="498" t="s">
        <v>46045</v>
      </c>
      <c r="C13620" s="319" t="s">
        <v>26</v>
      </c>
      <c r="D13620" s="499">
        <v>66.39</v>
      </c>
    </row>
    <row r="13621" spans="1:4" ht="25.5" x14ac:dyDescent="0.2">
      <c r="A13621" s="319">
        <v>21040</v>
      </c>
      <c r="B13621" s="498" t="s">
        <v>46046</v>
      </c>
      <c r="C13621" s="319" t="s">
        <v>26</v>
      </c>
      <c r="D13621" s="499">
        <v>55</v>
      </c>
    </row>
    <row r="13622" spans="1:4" x14ac:dyDescent="0.2">
      <c r="A13622" s="319">
        <v>14149</v>
      </c>
      <c r="B13622" s="498" t="s">
        <v>46047</v>
      </c>
      <c r="C13622" s="319" t="s">
        <v>44290</v>
      </c>
      <c r="D13622" s="499"/>
    </row>
    <row r="13623" spans="1:4" ht="25.5" x14ac:dyDescent="0.2">
      <c r="A13623" s="319">
        <v>38099</v>
      </c>
      <c r="B13623" s="498" t="s">
        <v>46048</v>
      </c>
      <c r="C13623" s="319" t="s">
        <v>26</v>
      </c>
      <c r="D13623" s="499">
        <v>1.42</v>
      </c>
    </row>
    <row r="13624" spans="1:4" ht="25.5" x14ac:dyDescent="0.2">
      <c r="A13624" s="319">
        <v>38100</v>
      </c>
      <c r="B13624" s="498" t="s">
        <v>46049</v>
      </c>
      <c r="C13624" s="319" t="s">
        <v>26</v>
      </c>
      <c r="D13624" s="499">
        <v>2.33</v>
      </c>
    </row>
    <row r="13625" spans="1:4" ht="25.5" x14ac:dyDescent="0.2">
      <c r="A13625" s="319">
        <v>7576</v>
      </c>
      <c r="B13625" s="498" t="s">
        <v>46050</v>
      </c>
      <c r="C13625" s="319" t="s">
        <v>26</v>
      </c>
      <c r="D13625" s="499"/>
    </row>
    <row r="13626" spans="1:4" ht="25.5" x14ac:dyDescent="0.2">
      <c r="A13626" s="319">
        <v>3384</v>
      </c>
      <c r="B13626" s="498" t="s">
        <v>46051</v>
      </c>
      <c r="C13626" s="319" t="s">
        <v>26</v>
      </c>
      <c r="D13626" s="499">
        <v>7.69</v>
      </c>
    </row>
    <row r="13627" spans="1:4" ht="25.5" x14ac:dyDescent="0.2">
      <c r="A13627" s="319">
        <v>7572</v>
      </c>
      <c r="B13627" s="498" t="s">
        <v>46052</v>
      </c>
      <c r="C13627" s="319" t="s">
        <v>26</v>
      </c>
      <c r="D13627" s="499"/>
    </row>
    <row r="13628" spans="1:4" ht="25.5" x14ac:dyDescent="0.2">
      <c r="A13628" s="319">
        <v>3396</v>
      </c>
      <c r="B13628" s="498" t="s">
        <v>46053</v>
      </c>
      <c r="C13628" s="319" t="s">
        <v>26</v>
      </c>
      <c r="D13628" s="499"/>
    </row>
    <row r="13629" spans="1:4" ht="25.5" x14ac:dyDescent="0.2">
      <c r="A13629" s="319">
        <v>45230</v>
      </c>
      <c r="B13629" s="498" t="s">
        <v>48353</v>
      </c>
      <c r="C13629" s="319" t="s">
        <v>26</v>
      </c>
      <c r="D13629" s="499">
        <v>28.88</v>
      </c>
    </row>
    <row r="13630" spans="1:4" ht="25.5" x14ac:dyDescent="0.2">
      <c r="A13630" s="319">
        <v>37590</v>
      </c>
      <c r="B13630" s="498" t="s">
        <v>46054</v>
      </c>
      <c r="C13630" s="319" t="s">
        <v>26</v>
      </c>
      <c r="D13630" s="499"/>
    </row>
    <row r="13631" spans="1:4" ht="25.5" x14ac:dyDescent="0.2">
      <c r="A13631" s="319">
        <v>37591</v>
      </c>
      <c r="B13631" s="498" t="s">
        <v>46055</v>
      </c>
      <c r="C13631" s="319" t="s">
        <v>26</v>
      </c>
      <c r="D13631" s="499"/>
    </row>
    <row r="13632" spans="1:4" ht="25.5" x14ac:dyDescent="0.2">
      <c r="A13632" s="319">
        <v>12626</v>
      </c>
      <c r="B13632" s="498" t="s">
        <v>46056</v>
      </c>
      <c r="C13632" s="319" t="s">
        <v>26</v>
      </c>
      <c r="D13632" s="499">
        <v>43.79</v>
      </c>
    </row>
    <row r="13633" spans="1:4" x14ac:dyDescent="0.2">
      <c r="A13633" s="319">
        <v>11033</v>
      </c>
      <c r="B13633" s="498" t="s">
        <v>46057</v>
      </c>
      <c r="C13633" s="319" t="s">
        <v>26</v>
      </c>
      <c r="D13633" s="499">
        <v>5.18</v>
      </c>
    </row>
    <row r="13634" spans="1:4" x14ac:dyDescent="0.2">
      <c r="A13634" s="319">
        <v>390</v>
      </c>
      <c r="B13634" s="498" t="s">
        <v>46058</v>
      </c>
      <c r="C13634" s="319" t="s">
        <v>26</v>
      </c>
      <c r="D13634" s="499"/>
    </row>
    <row r="13635" spans="1:4" ht="38.25" x14ac:dyDescent="0.2">
      <c r="A13635" s="319">
        <v>42436</v>
      </c>
      <c r="B13635" s="498" t="s">
        <v>46059</v>
      </c>
      <c r="C13635" s="319" t="s">
        <v>26</v>
      </c>
      <c r="D13635" s="499"/>
    </row>
    <row r="13636" spans="1:4" x14ac:dyDescent="0.2">
      <c r="A13636" s="319">
        <v>6194</v>
      </c>
      <c r="B13636" s="498" t="s">
        <v>46060</v>
      </c>
      <c r="C13636" s="319" t="s">
        <v>0</v>
      </c>
      <c r="D13636" s="499">
        <v>8.18</v>
      </c>
    </row>
    <row r="13637" spans="1:4" x14ac:dyDescent="0.2">
      <c r="A13637" s="319">
        <v>10567</v>
      </c>
      <c r="B13637" s="498" t="s">
        <v>46061</v>
      </c>
      <c r="C13637" s="319" t="s">
        <v>0</v>
      </c>
      <c r="D13637" s="499">
        <v>12.95</v>
      </c>
    </row>
    <row r="13638" spans="1:4" x14ac:dyDescent="0.2">
      <c r="A13638" s="319">
        <v>6212</v>
      </c>
      <c r="B13638" s="498" t="s">
        <v>46062</v>
      </c>
      <c r="C13638" s="319" t="s">
        <v>0</v>
      </c>
      <c r="D13638" s="499">
        <v>19</v>
      </c>
    </row>
    <row r="13639" spans="1:4" ht="25.5" x14ac:dyDescent="0.2">
      <c r="A13639" s="319">
        <v>3993</v>
      </c>
      <c r="B13639" s="498" t="s">
        <v>46063</v>
      </c>
      <c r="C13639" s="319" t="s">
        <v>255</v>
      </c>
      <c r="D13639" s="499">
        <v>132.44</v>
      </c>
    </row>
    <row r="13640" spans="1:4" ht="25.5" x14ac:dyDescent="0.2">
      <c r="A13640" s="319">
        <v>3990</v>
      </c>
      <c r="B13640" s="498" t="s">
        <v>46064</v>
      </c>
      <c r="C13640" s="319" t="s">
        <v>0</v>
      </c>
      <c r="D13640" s="499">
        <v>24.92</v>
      </c>
    </row>
    <row r="13641" spans="1:4" ht="25.5" x14ac:dyDescent="0.2">
      <c r="A13641" s="319">
        <v>3992</v>
      </c>
      <c r="B13641" s="498" t="s">
        <v>46065</v>
      </c>
      <c r="C13641" s="319" t="s">
        <v>0</v>
      </c>
      <c r="D13641" s="499">
        <v>33.64</v>
      </c>
    </row>
    <row r="13642" spans="1:4" ht="25.5" x14ac:dyDescent="0.2">
      <c r="A13642" s="319">
        <v>6178</v>
      </c>
      <c r="B13642" s="498" t="s">
        <v>46066</v>
      </c>
      <c r="C13642" s="319" t="s">
        <v>255</v>
      </c>
      <c r="D13642" s="499"/>
    </row>
    <row r="13643" spans="1:4" ht="25.5" x14ac:dyDescent="0.2">
      <c r="A13643" s="319">
        <v>6180</v>
      </c>
      <c r="B13643" s="498" t="s">
        <v>46067</v>
      </c>
      <c r="C13643" s="319" t="s">
        <v>255</v>
      </c>
      <c r="D13643" s="499"/>
    </row>
    <row r="13644" spans="1:4" ht="25.5" x14ac:dyDescent="0.2">
      <c r="A13644" s="319">
        <v>6182</v>
      </c>
      <c r="B13644" s="498" t="s">
        <v>46068</v>
      </c>
      <c r="C13644" s="319" t="s">
        <v>255</v>
      </c>
      <c r="D13644" s="499"/>
    </row>
    <row r="13645" spans="1:4" ht="25.5" x14ac:dyDescent="0.2">
      <c r="A13645" s="319">
        <v>43614</v>
      </c>
      <c r="B13645" s="498" t="s">
        <v>46069</v>
      </c>
      <c r="C13645" s="319" t="s">
        <v>0</v>
      </c>
      <c r="D13645" s="499">
        <v>16.829999999999998</v>
      </c>
    </row>
    <row r="13646" spans="1:4" ht="25.5" x14ac:dyDescent="0.2">
      <c r="A13646" s="319">
        <v>6193</v>
      </c>
      <c r="B13646" s="498" t="s">
        <v>46070</v>
      </c>
      <c r="C13646" s="319" t="s">
        <v>0</v>
      </c>
      <c r="D13646" s="499">
        <v>20.49</v>
      </c>
    </row>
    <row r="13647" spans="1:4" ht="25.5" x14ac:dyDescent="0.2">
      <c r="A13647" s="319">
        <v>6189</v>
      </c>
      <c r="B13647" s="498" t="s">
        <v>46071</v>
      </c>
      <c r="C13647" s="319" t="s">
        <v>0</v>
      </c>
      <c r="D13647" s="499">
        <v>29.9</v>
      </c>
    </row>
    <row r="13648" spans="1:4" ht="25.5" x14ac:dyDescent="0.2">
      <c r="A13648" s="319">
        <v>6214</v>
      </c>
      <c r="B13648" s="498" t="s">
        <v>46072</v>
      </c>
      <c r="C13648" s="319" t="s">
        <v>255</v>
      </c>
      <c r="D13648" s="499"/>
    </row>
    <row r="13649" spans="1:4" ht="25.5" x14ac:dyDescent="0.2">
      <c r="A13649" s="319">
        <v>36153</v>
      </c>
      <c r="B13649" s="498" t="s">
        <v>46073</v>
      </c>
      <c r="C13649" s="319" t="s">
        <v>26</v>
      </c>
      <c r="D13649" s="499">
        <v>220.99</v>
      </c>
    </row>
    <row r="13650" spans="1:4" x14ac:dyDescent="0.2">
      <c r="A13650" s="319">
        <v>10740</v>
      </c>
      <c r="B13650" s="498" t="s">
        <v>46074</v>
      </c>
      <c r="C13650" s="319" t="s">
        <v>26</v>
      </c>
      <c r="D13650" s="499">
        <v>12066.92</v>
      </c>
    </row>
    <row r="13651" spans="1:4" x14ac:dyDescent="0.2">
      <c r="A13651" s="319">
        <v>13914</v>
      </c>
      <c r="B13651" s="498" t="s">
        <v>46075</v>
      </c>
      <c r="C13651" s="319" t="s">
        <v>26</v>
      </c>
      <c r="D13651" s="499">
        <v>873.09</v>
      </c>
    </row>
    <row r="13652" spans="1:4" x14ac:dyDescent="0.2">
      <c r="A13652" s="319">
        <v>10742</v>
      </c>
      <c r="B13652" s="498" t="s">
        <v>46076</v>
      </c>
      <c r="C13652" s="319" t="s">
        <v>26</v>
      </c>
      <c r="D13652" s="499">
        <v>1273.4100000000001</v>
      </c>
    </row>
    <row r="13653" spans="1:4" x14ac:dyDescent="0.2">
      <c r="A13653" s="319">
        <v>45239</v>
      </c>
      <c r="B13653" s="498" t="s">
        <v>48354</v>
      </c>
      <c r="C13653" s="319" t="s">
        <v>26</v>
      </c>
      <c r="D13653" s="499"/>
    </row>
    <row r="13654" spans="1:4" x14ac:dyDescent="0.2">
      <c r="A13654" s="319">
        <v>38465</v>
      </c>
      <c r="B13654" s="498" t="s">
        <v>46077</v>
      </c>
      <c r="C13654" s="319" t="s">
        <v>26</v>
      </c>
      <c r="D13654" s="499"/>
    </row>
    <row r="13655" spans="1:4" x14ac:dyDescent="0.2">
      <c r="A13655" s="319">
        <v>7543</v>
      </c>
      <c r="B13655" s="498" t="s">
        <v>46078</v>
      </c>
      <c r="C13655" s="319" t="s">
        <v>26</v>
      </c>
      <c r="D13655" s="499">
        <v>4.0199999999999996</v>
      </c>
    </row>
    <row r="13656" spans="1:4" ht="25.5" x14ac:dyDescent="0.2">
      <c r="A13656" s="319">
        <v>43427</v>
      </c>
      <c r="B13656" s="498" t="s">
        <v>46079</v>
      </c>
      <c r="C13656" s="319" t="s">
        <v>26</v>
      </c>
      <c r="D13656" s="499"/>
    </row>
    <row r="13657" spans="1:4" x14ac:dyDescent="0.2">
      <c r="A13657" s="319">
        <v>41613</v>
      </c>
      <c r="B13657" s="498" t="s">
        <v>46080</v>
      </c>
      <c r="C13657" s="319" t="s">
        <v>26</v>
      </c>
      <c r="D13657" s="499"/>
    </row>
    <row r="13658" spans="1:4" x14ac:dyDescent="0.2">
      <c r="A13658" s="319">
        <v>41614</v>
      </c>
      <c r="B13658" s="498" t="s">
        <v>46081</v>
      </c>
      <c r="C13658" s="319" t="s">
        <v>26</v>
      </c>
      <c r="D13658" s="499"/>
    </row>
    <row r="13659" spans="1:4" x14ac:dyDescent="0.2">
      <c r="A13659" s="319">
        <v>41615</v>
      </c>
      <c r="B13659" s="498" t="s">
        <v>46082</v>
      </c>
      <c r="C13659" s="319" t="s">
        <v>26</v>
      </c>
      <c r="D13659" s="499"/>
    </row>
    <row r="13660" spans="1:4" x14ac:dyDescent="0.2">
      <c r="A13660" s="319">
        <v>41616</v>
      </c>
      <c r="B13660" s="498" t="s">
        <v>46083</v>
      </c>
      <c r="C13660" s="319" t="s">
        <v>26</v>
      </c>
      <c r="D13660" s="499"/>
    </row>
    <row r="13661" spans="1:4" x14ac:dyDescent="0.2">
      <c r="A13661" s="319">
        <v>41617</v>
      </c>
      <c r="B13661" s="498" t="s">
        <v>46084</v>
      </c>
      <c r="C13661" s="319" t="s">
        <v>26</v>
      </c>
      <c r="D13661" s="499"/>
    </row>
    <row r="13662" spans="1:4" x14ac:dyDescent="0.2">
      <c r="A13662" s="319">
        <v>41618</v>
      </c>
      <c r="B13662" s="498" t="s">
        <v>46085</v>
      </c>
      <c r="C13662" s="319" t="s">
        <v>26</v>
      </c>
      <c r="D13662" s="499"/>
    </row>
    <row r="13663" spans="1:4" ht="25.5" x14ac:dyDescent="0.2">
      <c r="A13663" s="319">
        <v>43428</v>
      </c>
      <c r="B13663" s="498" t="s">
        <v>46086</v>
      </c>
      <c r="C13663" s="319" t="s">
        <v>26</v>
      </c>
      <c r="D13663" s="499"/>
    </row>
    <row r="13664" spans="1:4" ht="25.5" x14ac:dyDescent="0.2">
      <c r="A13664" s="319">
        <v>41619</v>
      </c>
      <c r="B13664" s="498" t="s">
        <v>46087</v>
      </c>
      <c r="C13664" s="319" t="s">
        <v>26</v>
      </c>
      <c r="D13664" s="499"/>
    </row>
    <row r="13665" spans="1:4" ht="25.5" x14ac:dyDescent="0.2">
      <c r="A13665" s="319">
        <v>41620</v>
      </c>
      <c r="B13665" s="498" t="s">
        <v>46088</v>
      </c>
      <c r="C13665" s="319" t="s">
        <v>26</v>
      </c>
      <c r="D13665" s="499"/>
    </row>
    <row r="13666" spans="1:4" ht="25.5" x14ac:dyDescent="0.2">
      <c r="A13666" s="319">
        <v>41622</v>
      </c>
      <c r="B13666" s="498" t="s">
        <v>46089</v>
      </c>
      <c r="C13666" s="319" t="s">
        <v>26</v>
      </c>
      <c r="D13666" s="499"/>
    </row>
    <row r="13667" spans="1:4" ht="25.5" x14ac:dyDescent="0.2">
      <c r="A13667" s="319">
        <v>41623</v>
      </c>
      <c r="B13667" s="498" t="s">
        <v>46090</v>
      </c>
      <c r="C13667" s="319" t="s">
        <v>26</v>
      </c>
      <c r="D13667" s="499"/>
    </row>
    <row r="13668" spans="1:4" ht="25.5" x14ac:dyDescent="0.2">
      <c r="A13668" s="319">
        <v>41624</v>
      </c>
      <c r="B13668" s="498" t="s">
        <v>46091</v>
      </c>
      <c r="C13668" s="319" t="s">
        <v>26</v>
      </c>
      <c r="D13668" s="499"/>
    </row>
    <row r="13669" spans="1:4" ht="25.5" x14ac:dyDescent="0.2">
      <c r="A13669" s="319">
        <v>41625</v>
      </c>
      <c r="B13669" s="498" t="s">
        <v>46092</v>
      </c>
      <c r="C13669" s="319" t="s">
        <v>26</v>
      </c>
      <c r="D13669" s="499"/>
    </row>
    <row r="13670" spans="1:4" x14ac:dyDescent="0.2">
      <c r="A13670" s="319">
        <v>39346</v>
      </c>
      <c r="B13670" s="498" t="s">
        <v>46093</v>
      </c>
      <c r="C13670" s="319" t="s">
        <v>26</v>
      </c>
      <c r="D13670" s="499">
        <v>2.48</v>
      </c>
    </row>
    <row r="13671" spans="1:4" x14ac:dyDescent="0.2">
      <c r="A13671" s="319">
        <v>39350</v>
      </c>
      <c r="B13671" s="498" t="s">
        <v>46094</v>
      </c>
      <c r="C13671" s="319" t="s">
        <v>26</v>
      </c>
      <c r="D13671" s="499">
        <v>2.67</v>
      </c>
    </row>
    <row r="13672" spans="1:4" x14ac:dyDescent="0.2">
      <c r="A13672" s="319">
        <v>39351</v>
      </c>
      <c r="B13672" s="498" t="s">
        <v>46095</v>
      </c>
      <c r="C13672" s="319" t="s">
        <v>26</v>
      </c>
      <c r="D13672" s="499">
        <v>3.09</v>
      </c>
    </row>
    <row r="13673" spans="1:4" x14ac:dyDescent="0.2">
      <c r="A13673" s="319">
        <v>39352</v>
      </c>
      <c r="B13673" s="498" t="s">
        <v>46096</v>
      </c>
      <c r="C13673" s="319" t="s">
        <v>26</v>
      </c>
      <c r="D13673" s="499">
        <v>2.48</v>
      </c>
    </row>
    <row r="13674" spans="1:4" ht="25.5" x14ac:dyDescent="0.2">
      <c r="A13674" s="319">
        <v>38837</v>
      </c>
      <c r="B13674" s="498" t="s">
        <v>46097</v>
      </c>
      <c r="C13674" s="319" t="s">
        <v>26</v>
      </c>
      <c r="D13674" s="499"/>
    </row>
    <row r="13675" spans="1:4" ht="25.5" x14ac:dyDescent="0.2">
      <c r="A13675" s="319">
        <v>38836</v>
      </c>
      <c r="B13675" s="498" t="s">
        <v>46098</v>
      </c>
      <c r="C13675" s="319" t="s">
        <v>26</v>
      </c>
      <c r="D13675" s="499"/>
    </row>
    <row r="13676" spans="1:4" ht="25.5" x14ac:dyDescent="0.2">
      <c r="A13676" s="319">
        <v>2666</v>
      </c>
      <c r="B13676" s="498" t="s">
        <v>46099</v>
      </c>
      <c r="C13676" s="319" t="s">
        <v>26</v>
      </c>
      <c r="D13676" s="499"/>
    </row>
    <row r="13677" spans="1:4" ht="25.5" x14ac:dyDescent="0.2">
      <c r="A13677" s="319">
        <v>2668</v>
      </c>
      <c r="B13677" s="498" t="s">
        <v>46100</v>
      </c>
      <c r="C13677" s="319" t="s">
        <v>26</v>
      </c>
      <c r="D13677" s="499"/>
    </row>
    <row r="13678" spans="1:4" ht="25.5" x14ac:dyDescent="0.2">
      <c r="A13678" s="319">
        <v>2664</v>
      </c>
      <c r="B13678" s="498" t="s">
        <v>46101</v>
      </c>
      <c r="C13678" s="319" t="s">
        <v>26</v>
      </c>
      <c r="D13678" s="499"/>
    </row>
    <row r="13679" spans="1:4" ht="25.5" x14ac:dyDescent="0.2">
      <c r="A13679" s="319">
        <v>2662</v>
      </c>
      <c r="B13679" s="498" t="s">
        <v>46102</v>
      </c>
      <c r="C13679" s="319" t="s">
        <v>26</v>
      </c>
      <c r="D13679" s="499"/>
    </row>
    <row r="13680" spans="1:4" ht="25.5" x14ac:dyDescent="0.2">
      <c r="A13680" s="319">
        <v>20964</v>
      </c>
      <c r="B13680" s="498" t="s">
        <v>46103</v>
      </c>
      <c r="C13680" s="319" t="s">
        <v>26</v>
      </c>
      <c r="D13680" s="499">
        <v>79.650000000000006</v>
      </c>
    </row>
    <row r="13681" spans="1:4" ht="25.5" x14ac:dyDescent="0.2">
      <c r="A13681" s="319">
        <v>10905</v>
      </c>
      <c r="B13681" s="498" t="s">
        <v>46104</v>
      </c>
      <c r="C13681" s="319" t="s">
        <v>26</v>
      </c>
      <c r="D13681" s="499">
        <v>106.85</v>
      </c>
    </row>
    <row r="13682" spans="1:4" ht="38.25" x14ac:dyDescent="0.2">
      <c r="A13682" s="319">
        <v>11289</v>
      </c>
      <c r="B13682" s="498" t="s">
        <v>46105</v>
      </c>
      <c r="C13682" s="319" t="s">
        <v>26</v>
      </c>
      <c r="D13682" s="499"/>
    </row>
    <row r="13683" spans="1:4" ht="38.25" x14ac:dyDescent="0.2">
      <c r="A13683" s="319">
        <v>11241</v>
      </c>
      <c r="B13683" s="498" t="s">
        <v>46106</v>
      </c>
      <c r="C13683" s="319" t="s">
        <v>26</v>
      </c>
      <c r="D13683" s="499"/>
    </row>
    <row r="13684" spans="1:4" ht="38.25" x14ac:dyDescent="0.2">
      <c r="A13684" s="319">
        <v>11301</v>
      </c>
      <c r="B13684" s="498" t="s">
        <v>46107</v>
      </c>
      <c r="C13684" s="319" t="s">
        <v>26</v>
      </c>
      <c r="D13684" s="499"/>
    </row>
    <row r="13685" spans="1:4" ht="38.25" x14ac:dyDescent="0.2">
      <c r="A13685" s="319">
        <v>21090</v>
      </c>
      <c r="B13685" s="498" t="s">
        <v>46108</v>
      </c>
      <c r="C13685" s="319" t="s">
        <v>26</v>
      </c>
      <c r="D13685" s="499"/>
    </row>
    <row r="13686" spans="1:4" ht="25.5" x14ac:dyDescent="0.2">
      <c r="A13686" s="319">
        <v>11315</v>
      </c>
      <c r="B13686" s="498" t="s">
        <v>46109</v>
      </c>
      <c r="C13686" s="319" t="s">
        <v>26</v>
      </c>
      <c r="D13686" s="499"/>
    </row>
    <row r="13687" spans="1:4" ht="25.5" x14ac:dyDescent="0.2">
      <c r="A13687" s="319">
        <v>21071</v>
      </c>
      <c r="B13687" s="498" t="s">
        <v>46110</v>
      </c>
      <c r="C13687" s="319" t="s">
        <v>26</v>
      </c>
      <c r="D13687" s="499"/>
    </row>
    <row r="13688" spans="1:4" ht="25.5" x14ac:dyDescent="0.2">
      <c r="A13688" s="319">
        <v>14112</v>
      </c>
      <c r="B13688" s="498" t="s">
        <v>46111</v>
      </c>
      <c r="C13688" s="319" t="s">
        <v>26</v>
      </c>
      <c r="D13688" s="499"/>
    </row>
    <row r="13689" spans="1:4" ht="38.25" x14ac:dyDescent="0.2">
      <c r="A13689" s="319">
        <v>11316</v>
      </c>
      <c r="B13689" s="498" t="s">
        <v>46112</v>
      </c>
      <c r="C13689" s="319" t="s">
        <v>26</v>
      </c>
      <c r="D13689" s="499"/>
    </row>
    <row r="13690" spans="1:4" ht="38.25" x14ac:dyDescent="0.2">
      <c r="A13690" s="319">
        <v>6243</v>
      </c>
      <c r="B13690" s="498" t="s">
        <v>46113</v>
      </c>
      <c r="C13690" s="319" t="s">
        <v>26</v>
      </c>
      <c r="D13690" s="499"/>
    </row>
    <row r="13691" spans="1:4" ht="25.5" x14ac:dyDescent="0.2">
      <c r="A13691" s="319">
        <v>6240</v>
      </c>
      <c r="B13691" s="498" t="s">
        <v>46114</v>
      </c>
      <c r="C13691" s="319" t="s">
        <v>26</v>
      </c>
      <c r="D13691" s="499"/>
    </row>
    <row r="13692" spans="1:4" ht="25.5" x14ac:dyDescent="0.2">
      <c r="A13692" s="319">
        <v>11296</v>
      </c>
      <c r="B13692" s="498" t="s">
        <v>46115</v>
      </c>
      <c r="C13692" s="319" t="s">
        <v>26</v>
      </c>
      <c r="D13692" s="499"/>
    </row>
    <row r="13693" spans="1:4" ht="25.5" x14ac:dyDescent="0.2">
      <c r="A13693" s="319">
        <v>11299</v>
      </c>
      <c r="B13693" s="498" t="s">
        <v>46116</v>
      </c>
      <c r="C13693" s="319" t="s">
        <v>26</v>
      </c>
      <c r="D13693" s="499"/>
    </row>
    <row r="13694" spans="1:4" ht="25.5" x14ac:dyDescent="0.2">
      <c r="A13694" s="319">
        <v>11688</v>
      </c>
      <c r="B13694" s="498" t="s">
        <v>46117</v>
      </c>
      <c r="C13694" s="319" t="s">
        <v>26</v>
      </c>
      <c r="D13694" s="499">
        <v>426.81</v>
      </c>
    </row>
    <row r="13695" spans="1:4" ht="38.25" x14ac:dyDescent="0.2">
      <c r="A13695" s="319">
        <v>37736</v>
      </c>
      <c r="B13695" s="498" t="s">
        <v>46118</v>
      </c>
      <c r="C13695" s="319" t="s">
        <v>26</v>
      </c>
      <c r="D13695" s="499"/>
    </row>
    <row r="13696" spans="1:4" ht="25.5" x14ac:dyDescent="0.2">
      <c r="A13696" s="319">
        <v>37739</v>
      </c>
      <c r="B13696" s="498" t="s">
        <v>46119</v>
      </c>
      <c r="C13696" s="319" t="s">
        <v>26</v>
      </c>
      <c r="D13696" s="499"/>
    </row>
    <row r="13697" spans="1:4" ht="25.5" x14ac:dyDescent="0.2">
      <c r="A13697" s="319">
        <v>37740</v>
      </c>
      <c r="B13697" s="498" t="s">
        <v>46120</v>
      </c>
      <c r="C13697" s="319" t="s">
        <v>26</v>
      </c>
      <c r="D13697" s="499"/>
    </row>
    <row r="13698" spans="1:4" ht="25.5" x14ac:dyDescent="0.2">
      <c r="A13698" s="319">
        <v>37738</v>
      </c>
      <c r="B13698" s="498" t="s">
        <v>46121</v>
      </c>
      <c r="C13698" s="319" t="s">
        <v>26</v>
      </c>
      <c r="D13698" s="499"/>
    </row>
    <row r="13699" spans="1:4" ht="25.5" x14ac:dyDescent="0.2">
      <c r="A13699" s="319">
        <v>37737</v>
      </c>
      <c r="B13699" s="498" t="s">
        <v>46122</v>
      </c>
      <c r="C13699" s="319" t="s">
        <v>26</v>
      </c>
      <c r="D13699" s="499"/>
    </row>
    <row r="13700" spans="1:4" x14ac:dyDescent="0.2">
      <c r="A13700" s="319">
        <v>25014</v>
      </c>
      <c r="B13700" s="498" t="s">
        <v>46123</v>
      </c>
      <c r="C13700" s="319" t="s">
        <v>26</v>
      </c>
      <c r="D13700" s="499"/>
    </row>
    <row r="13701" spans="1:4" x14ac:dyDescent="0.2">
      <c r="A13701" s="319">
        <v>25013</v>
      </c>
      <c r="B13701" s="498" t="s">
        <v>46124</v>
      </c>
      <c r="C13701" s="319" t="s">
        <v>26</v>
      </c>
      <c r="D13701" s="499"/>
    </row>
    <row r="13702" spans="1:4" x14ac:dyDescent="0.2">
      <c r="A13702" s="319">
        <v>14405</v>
      </c>
      <c r="B13702" s="498" t="s">
        <v>46125</v>
      </c>
      <c r="C13702" s="319" t="s">
        <v>26</v>
      </c>
      <c r="D13702" s="499"/>
    </row>
    <row r="13703" spans="1:4" x14ac:dyDescent="0.2">
      <c r="A13703" s="319">
        <v>20271</v>
      </c>
      <c r="B13703" s="498" t="s">
        <v>46126</v>
      </c>
      <c r="C13703" s="319" t="s">
        <v>26</v>
      </c>
      <c r="D13703" s="499">
        <v>559.54999999999995</v>
      </c>
    </row>
    <row r="13704" spans="1:4" x14ac:dyDescent="0.2">
      <c r="A13704" s="319">
        <v>10423</v>
      </c>
      <c r="B13704" s="498" t="s">
        <v>46127</v>
      </c>
      <c r="C13704" s="319" t="s">
        <v>26</v>
      </c>
      <c r="D13704" s="499">
        <v>410.83</v>
      </c>
    </row>
    <row r="13705" spans="1:4" ht="25.5" x14ac:dyDescent="0.2">
      <c r="A13705" s="319">
        <v>36790</v>
      </c>
      <c r="B13705" s="498" t="s">
        <v>46128</v>
      </c>
      <c r="C13705" s="319" t="s">
        <v>26</v>
      </c>
      <c r="D13705" s="499">
        <v>204.76</v>
      </c>
    </row>
    <row r="13706" spans="1:4" ht="25.5" x14ac:dyDescent="0.2">
      <c r="A13706" s="319">
        <v>37589</v>
      </c>
      <c r="B13706" s="498" t="s">
        <v>46129</v>
      </c>
      <c r="C13706" s="319" t="s">
        <v>26</v>
      </c>
      <c r="D13706" s="499">
        <v>250.89</v>
      </c>
    </row>
    <row r="13707" spans="1:4" ht="25.5" x14ac:dyDescent="0.2">
      <c r="A13707" s="319">
        <v>11690</v>
      </c>
      <c r="B13707" s="498" t="s">
        <v>46130</v>
      </c>
      <c r="C13707" s="319" t="s">
        <v>26</v>
      </c>
      <c r="D13707" s="499">
        <v>133.28</v>
      </c>
    </row>
    <row r="13708" spans="1:4" ht="25.5" x14ac:dyDescent="0.2">
      <c r="A13708" s="319">
        <v>20234</v>
      </c>
      <c r="B13708" s="498" t="s">
        <v>46131</v>
      </c>
      <c r="C13708" s="319" t="s">
        <v>26</v>
      </c>
      <c r="D13708" s="499">
        <v>168.66</v>
      </c>
    </row>
    <row r="13709" spans="1:4" x14ac:dyDescent="0.2">
      <c r="A13709" s="319">
        <v>44480</v>
      </c>
      <c r="B13709" s="498" t="s">
        <v>46132</v>
      </c>
      <c r="C13709" s="319" t="s">
        <v>271</v>
      </c>
      <c r="D13709" s="499">
        <v>17.78</v>
      </c>
    </row>
    <row r="13710" spans="1:4" ht="25.5" x14ac:dyDescent="0.2">
      <c r="A13710" s="319">
        <v>11457</v>
      </c>
      <c r="B13710" s="498" t="s">
        <v>46133</v>
      </c>
      <c r="C13710" s="319" t="s">
        <v>26</v>
      </c>
      <c r="D13710" s="499">
        <v>48.08</v>
      </c>
    </row>
    <row r="13711" spans="1:4" ht="25.5" x14ac:dyDescent="0.2">
      <c r="A13711" s="319">
        <v>44073</v>
      </c>
      <c r="B13711" s="498" t="s">
        <v>46134</v>
      </c>
      <c r="C13711" s="319" t="s">
        <v>0</v>
      </c>
      <c r="D13711" s="499">
        <v>0.84</v>
      </c>
    </row>
    <row r="13712" spans="1:4" x14ac:dyDescent="0.2">
      <c r="A13712" s="319">
        <v>3593</v>
      </c>
      <c r="B13712" s="498" t="s">
        <v>46135</v>
      </c>
      <c r="C13712" s="319" t="s">
        <v>26</v>
      </c>
      <c r="D13712" s="499"/>
    </row>
    <row r="13713" spans="1:4" x14ac:dyDescent="0.2">
      <c r="A13713" s="319">
        <v>3588</v>
      </c>
      <c r="B13713" s="498" t="s">
        <v>46136</v>
      </c>
      <c r="C13713" s="319" t="s">
        <v>26</v>
      </c>
      <c r="D13713" s="499"/>
    </row>
    <row r="13714" spans="1:4" x14ac:dyDescent="0.2">
      <c r="A13714" s="319">
        <v>3587</v>
      </c>
      <c r="B13714" s="498" t="s">
        <v>46137</v>
      </c>
      <c r="C13714" s="319" t="s">
        <v>26</v>
      </c>
      <c r="D13714" s="499"/>
    </row>
    <row r="13715" spans="1:4" x14ac:dyDescent="0.2">
      <c r="A13715" s="319">
        <v>3585</v>
      </c>
      <c r="B13715" s="498" t="s">
        <v>46138</v>
      </c>
      <c r="C13715" s="319" t="s">
        <v>26</v>
      </c>
      <c r="D13715" s="499"/>
    </row>
    <row r="13716" spans="1:4" x14ac:dyDescent="0.2">
      <c r="A13716" s="319">
        <v>3590</v>
      </c>
      <c r="B13716" s="498" t="s">
        <v>46139</v>
      </c>
      <c r="C13716" s="319" t="s">
        <v>26</v>
      </c>
      <c r="D13716" s="499"/>
    </row>
    <row r="13717" spans="1:4" x14ac:dyDescent="0.2">
      <c r="A13717" s="319">
        <v>3589</v>
      </c>
      <c r="B13717" s="498" t="s">
        <v>46140</v>
      </c>
      <c r="C13717" s="319" t="s">
        <v>26</v>
      </c>
      <c r="D13717" s="499"/>
    </row>
    <row r="13718" spans="1:4" x14ac:dyDescent="0.2">
      <c r="A13718" s="319">
        <v>3592</v>
      </c>
      <c r="B13718" s="498" t="s">
        <v>46141</v>
      </c>
      <c r="C13718" s="319" t="s">
        <v>26</v>
      </c>
      <c r="D13718" s="499"/>
    </row>
    <row r="13719" spans="1:4" x14ac:dyDescent="0.2">
      <c r="A13719" s="319">
        <v>3586</v>
      </c>
      <c r="B13719" s="498" t="s">
        <v>46142</v>
      </c>
      <c r="C13719" s="319" t="s">
        <v>26</v>
      </c>
      <c r="D13719" s="499"/>
    </row>
    <row r="13720" spans="1:4" x14ac:dyDescent="0.2">
      <c r="A13720" s="319">
        <v>3591</v>
      </c>
      <c r="B13720" s="498" t="s">
        <v>46143</v>
      </c>
      <c r="C13720" s="319" t="s">
        <v>26</v>
      </c>
      <c r="D13720" s="499"/>
    </row>
    <row r="13721" spans="1:4" x14ac:dyDescent="0.2">
      <c r="A13721" s="319">
        <v>40396</v>
      </c>
      <c r="B13721" s="498" t="s">
        <v>46144</v>
      </c>
      <c r="C13721" s="319" t="s">
        <v>26</v>
      </c>
      <c r="D13721" s="499"/>
    </row>
    <row r="13722" spans="1:4" x14ac:dyDescent="0.2">
      <c r="A13722" s="319">
        <v>40395</v>
      </c>
      <c r="B13722" s="498" t="s">
        <v>46145</v>
      </c>
      <c r="C13722" s="319" t="s">
        <v>26</v>
      </c>
      <c r="D13722" s="499"/>
    </row>
    <row r="13723" spans="1:4" x14ac:dyDescent="0.2">
      <c r="A13723" s="319">
        <v>40394</v>
      </c>
      <c r="B13723" s="498" t="s">
        <v>46146</v>
      </c>
      <c r="C13723" s="319" t="s">
        <v>26</v>
      </c>
      <c r="D13723" s="499"/>
    </row>
    <row r="13724" spans="1:4" x14ac:dyDescent="0.2">
      <c r="A13724" s="319">
        <v>40392</v>
      </c>
      <c r="B13724" s="498" t="s">
        <v>46147</v>
      </c>
      <c r="C13724" s="319" t="s">
        <v>26</v>
      </c>
      <c r="D13724" s="499"/>
    </row>
    <row r="13725" spans="1:4" x14ac:dyDescent="0.2">
      <c r="A13725" s="319">
        <v>40398</v>
      </c>
      <c r="B13725" s="498" t="s">
        <v>46148</v>
      </c>
      <c r="C13725" s="319" t="s">
        <v>26</v>
      </c>
      <c r="D13725" s="499"/>
    </row>
    <row r="13726" spans="1:4" x14ac:dyDescent="0.2">
      <c r="A13726" s="319">
        <v>40397</v>
      </c>
      <c r="B13726" s="498" t="s">
        <v>46149</v>
      </c>
      <c r="C13726" s="319" t="s">
        <v>26</v>
      </c>
      <c r="D13726" s="499"/>
    </row>
    <row r="13727" spans="1:4" x14ac:dyDescent="0.2">
      <c r="A13727" s="319">
        <v>40399</v>
      </c>
      <c r="B13727" s="498" t="s">
        <v>46150</v>
      </c>
      <c r="C13727" s="319" t="s">
        <v>26</v>
      </c>
      <c r="D13727" s="499"/>
    </row>
    <row r="13728" spans="1:4" x14ac:dyDescent="0.2">
      <c r="A13728" s="319">
        <v>40393</v>
      </c>
      <c r="B13728" s="498" t="s">
        <v>46151</v>
      </c>
      <c r="C13728" s="319" t="s">
        <v>26</v>
      </c>
      <c r="D13728" s="499"/>
    </row>
    <row r="13729" spans="1:4" x14ac:dyDescent="0.2">
      <c r="A13729" s="319">
        <v>44253</v>
      </c>
      <c r="B13729" s="498" t="s">
        <v>46152</v>
      </c>
      <c r="C13729" s="319" t="s">
        <v>26</v>
      </c>
      <c r="D13729" s="499">
        <v>268.64</v>
      </c>
    </row>
    <row r="13730" spans="1:4" x14ac:dyDescent="0.2">
      <c r="A13730" s="319">
        <v>21121</v>
      </c>
      <c r="B13730" s="498" t="s">
        <v>46153</v>
      </c>
      <c r="C13730" s="319" t="s">
        <v>26</v>
      </c>
      <c r="D13730" s="499">
        <v>3.85</v>
      </c>
    </row>
    <row r="13731" spans="1:4" x14ac:dyDescent="0.2">
      <c r="A13731" s="319">
        <v>38010</v>
      </c>
      <c r="B13731" s="498" t="s">
        <v>46154</v>
      </c>
      <c r="C13731" s="319" t="s">
        <v>26</v>
      </c>
      <c r="D13731" s="499">
        <v>4.8</v>
      </c>
    </row>
    <row r="13732" spans="1:4" x14ac:dyDescent="0.2">
      <c r="A13732" s="319">
        <v>38011</v>
      </c>
      <c r="B13732" s="498" t="s">
        <v>46155</v>
      </c>
      <c r="C13732" s="319" t="s">
        <v>26</v>
      </c>
      <c r="D13732" s="499">
        <v>9.6199999999999992</v>
      </c>
    </row>
    <row r="13733" spans="1:4" x14ac:dyDescent="0.2">
      <c r="A13733" s="319">
        <v>38012</v>
      </c>
      <c r="B13733" s="498" t="s">
        <v>46156</v>
      </c>
      <c r="C13733" s="319" t="s">
        <v>26</v>
      </c>
      <c r="D13733" s="499">
        <v>36.67</v>
      </c>
    </row>
    <row r="13734" spans="1:4" x14ac:dyDescent="0.2">
      <c r="A13734" s="319">
        <v>38013</v>
      </c>
      <c r="B13734" s="498" t="s">
        <v>46157</v>
      </c>
      <c r="C13734" s="319" t="s">
        <v>26</v>
      </c>
      <c r="D13734" s="499">
        <v>47.11</v>
      </c>
    </row>
    <row r="13735" spans="1:4" x14ac:dyDescent="0.2">
      <c r="A13735" s="319">
        <v>38014</v>
      </c>
      <c r="B13735" s="498" t="s">
        <v>46158</v>
      </c>
      <c r="C13735" s="319" t="s">
        <v>26</v>
      </c>
      <c r="D13735" s="499">
        <v>78.67</v>
      </c>
    </row>
    <row r="13736" spans="1:4" x14ac:dyDescent="0.2">
      <c r="A13736" s="319">
        <v>38015</v>
      </c>
      <c r="B13736" s="498" t="s">
        <v>46159</v>
      </c>
      <c r="C13736" s="319" t="s">
        <v>26</v>
      </c>
      <c r="D13736" s="499">
        <v>184.96</v>
      </c>
    </row>
    <row r="13737" spans="1:4" x14ac:dyDescent="0.2">
      <c r="A13737" s="319">
        <v>38016</v>
      </c>
      <c r="B13737" s="498" t="s">
        <v>46160</v>
      </c>
      <c r="C13737" s="319" t="s">
        <v>26</v>
      </c>
      <c r="D13737" s="499">
        <v>215.09</v>
      </c>
    </row>
    <row r="13738" spans="1:4" x14ac:dyDescent="0.2">
      <c r="A13738" s="319">
        <v>12741</v>
      </c>
      <c r="B13738" s="498" t="s">
        <v>46161</v>
      </c>
      <c r="C13738" s="319" t="s">
        <v>26</v>
      </c>
      <c r="D13738" s="499"/>
    </row>
    <row r="13739" spans="1:4" x14ac:dyDescent="0.2">
      <c r="A13739" s="319">
        <v>12733</v>
      </c>
      <c r="B13739" s="498" t="s">
        <v>46162</v>
      </c>
      <c r="C13739" s="319" t="s">
        <v>26</v>
      </c>
      <c r="D13739" s="499"/>
    </row>
    <row r="13740" spans="1:4" x14ac:dyDescent="0.2">
      <c r="A13740" s="319">
        <v>12734</v>
      </c>
      <c r="B13740" s="498" t="s">
        <v>46163</v>
      </c>
      <c r="C13740" s="319" t="s">
        <v>26</v>
      </c>
      <c r="D13740" s="499"/>
    </row>
    <row r="13741" spans="1:4" x14ac:dyDescent="0.2">
      <c r="A13741" s="319">
        <v>12735</v>
      </c>
      <c r="B13741" s="498" t="s">
        <v>46164</v>
      </c>
      <c r="C13741" s="319" t="s">
        <v>26</v>
      </c>
      <c r="D13741" s="499"/>
    </row>
    <row r="13742" spans="1:4" x14ac:dyDescent="0.2">
      <c r="A13742" s="319">
        <v>12736</v>
      </c>
      <c r="B13742" s="498" t="s">
        <v>46165</v>
      </c>
      <c r="C13742" s="319" t="s">
        <v>26</v>
      </c>
      <c r="D13742" s="499"/>
    </row>
    <row r="13743" spans="1:4" x14ac:dyDescent="0.2">
      <c r="A13743" s="319">
        <v>12737</v>
      </c>
      <c r="B13743" s="498" t="s">
        <v>46166</v>
      </c>
      <c r="C13743" s="319" t="s">
        <v>26</v>
      </c>
      <c r="D13743" s="499"/>
    </row>
    <row r="13744" spans="1:4" x14ac:dyDescent="0.2">
      <c r="A13744" s="319">
        <v>12738</v>
      </c>
      <c r="B13744" s="498" t="s">
        <v>46167</v>
      </c>
      <c r="C13744" s="319" t="s">
        <v>26</v>
      </c>
      <c r="D13744" s="499"/>
    </row>
    <row r="13745" spans="1:4" x14ac:dyDescent="0.2">
      <c r="A13745" s="319">
        <v>12739</v>
      </c>
      <c r="B13745" s="498" t="s">
        <v>46168</v>
      </c>
      <c r="C13745" s="319" t="s">
        <v>26</v>
      </c>
      <c r="D13745" s="499"/>
    </row>
    <row r="13746" spans="1:4" x14ac:dyDescent="0.2">
      <c r="A13746" s="319">
        <v>12740</v>
      </c>
      <c r="B13746" s="498" t="s">
        <v>46169</v>
      </c>
      <c r="C13746" s="319" t="s">
        <v>26</v>
      </c>
      <c r="D13746" s="499"/>
    </row>
    <row r="13747" spans="1:4" x14ac:dyDescent="0.2">
      <c r="A13747" s="319">
        <v>6297</v>
      </c>
      <c r="B13747" s="498" t="s">
        <v>46170</v>
      </c>
      <c r="C13747" s="319" t="s">
        <v>26</v>
      </c>
      <c r="D13747" s="499"/>
    </row>
    <row r="13748" spans="1:4" x14ac:dyDescent="0.2">
      <c r="A13748" s="319">
        <v>6296</v>
      </c>
      <c r="B13748" s="498" t="s">
        <v>46171</v>
      </c>
      <c r="C13748" s="319" t="s">
        <v>26</v>
      </c>
      <c r="D13748" s="499"/>
    </row>
    <row r="13749" spans="1:4" x14ac:dyDescent="0.2">
      <c r="A13749" s="319">
        <v>6323</v>
      </c>
      <c r="B13749" s="498" t="s">
        <v>46172</v>
      </c>
      <c r="C13749" s="319" t="s">
        <v>26</v>
      </c>
      <c r="D13749" s="499"/>
    </row>
    <row r="13750" spans="1:4" x14ac:dyDescent="0.2">
      <c r="A13750" s="319">
        <v>6294</v>
      </c>
      <c r="B13750" s="498" t="s">
        <v>46173</v>
      </c>
      <c r="C13750" s="319" t="s">
        <v>26</v>
      </c>
      <c r="D13750" s="499"/>
    </row>
    <row r="13751" spans="1:4" x14ac:dyDescent="0.2">
      <c r="A13751" s="319">
        <v>6299</v>
      </c>
      <c r="B13751" s="498" t="s">
        <v>46174</v>
      </c>
      <c r="C13751" s="319" t="s">
        <v>26</v>
      </c>
      <c r="D13751" s="499"/>
    </row>
    <row r="13752" spans="1:4" x14ac:dyDescent="0.2">
      <c r="A13752" s="319">
        <v>6298</v>
      </c>
      <c r="B13752" s="498" t="s">
        <v>46175</v>
      </c>
      <c r="C13752" s="319" t="s">
        <v>26</v>
      </c>
      <c r="D13752" s="499"/>
    </row>
    <row r="13753" spans="1:4" x14ac:dyDescent="0.2">
      <c r="A13753" s="319">
        <v>6322</v>
      </c>
      <c r="B13753" s="498" t="s">
        <v>46176</v>
      </c>
      <c r="C13753" s="319" t="s">
        <v>26</v>
      </c>
      <c r="D13753" s="499"/>
    </row>
    <row r="13754" spans="1:4" x14ac:dyDescent="0.2">
      <c r="A13754" s="319">
        <v>6295</v>
      </c>
      <c r="B13754" s="498" t="s">
        <v>46177</v>
      </c>
      <c r="C13754" s="319" t="s">
        <v>26</v>
      </c>
      <c r="D13754" s="499"/>
    </row>
    <row r="13755" spans="1:4" x14ac:dyDescent="0.2">
      <c r="A13755" s="319">
        <v>6300</v>
      </c>
      <c r="B13755" s="498" t="s">
        <v>46178</v>
      </c>
      <c r="C13755" s="319" t="s">
        <v>26</v>
      </c>
      <c r="D13755" s="499"/>
    </row>
    <row r="13756" spans="1:4" x14ac:dyDescent="0.2">
      <c r="A13756" s="319">
        <v>6321</v>
      </c>
      <c r="B13756" s="498" t="s">
        <v>46179</v>
      </c>
      <c r="C13756" s="319" t="s">
        <v>26</v>
      </c>
      <c r="D13756" s="499"/>
    </row>
    <row r="13757" spans="1:4" x14ac:dyDescent="0.2">
      <c r="A13757" s="319">
        <v>6301</v>
      </c>
      <c r="B13757" s="498" t="s">
        <v>46180</v>
      </c>
      <c r="C13757" s="319" t="s">
        <v>26</v>
      </c>
      <c r="D13757" s="499"/>
    </row>
    <row r="13758" spans="1:4" x14ac:dyDescent="0.2">
      <c r="A13758" s="319">
        <v>7105</v>
      </c>
      <c r="B13758" s="498" t="s">
        <v>46181</v>
      </c>
      <c r="C13758" s="319" t="s">
        <v>26</v>
      </c>
      <c r="D13758" s="499">
        <v>44</v>
      </c>
    </row>
    <row r="13759" spans="1:4" x14ac:dyDescent="0.2">
      <c r="A13759" s="319">
        <v>20183</v>
      </c>
      <c r="B13759" s="498" t="s">
        <v>46182</v>
      </c>
      <c r="C13759" s="319" t="s">
        <v>26</v>
      </c>
      <c r="D13759" s="499">
        <v>54.21</v>
      </c>
    </row>
    <row r="13760" spans="1:4" x14ac:dyDescent="0.2">
      <c r="A13760" s="319">
        <v>38448</v>
      </c>
      <c r="B13760" s="498" t="s">
        <v>46183</v>
      </c>
      <c r="C13760" s="319" t="s">
        <v>26</v>
      </c>
      <c r="D13760" s="499">
        <v>246</v>
      </c>
    </row>
    <row r="13761" spans="1:4" x14ac:dyDescent="0.2">
      <c r="A13761" s="319">
        <v>20182</v>
      </c>
      <c r="B13761" s="498" t="s">
        <v>46184</v>
      </c>
      <c r="C13761" s="319" t="s">
        <v>26</v>
      </c>
      <c r="D13761" s="499">
        <v>31.52</v>
      </c>
    </row>
    <row r="13762" spans="1:4" ht="25.5" x14ac:dyDescent="0.2">
      <c r="A13762" s="319">
        <v>7119</v>
      </c>
      <c r="B13762" s="498" t="s">
        <v>46185</v>
      </c>
      <c r="C13762" s="319" t="s">
        <v>26</v>
      </c>
      <c r="D13762" s="499">
        <v>11.19</v>
      </c>
    </row>
    <row r="13763" spans="1:4" x14ac:dyDescent="0.2">
      <c r="A13763" s="319">
        <v>7126</v>
      </c>
      <c r="B13763" s="498" t="s">
        <v>46186</v>
      </c>
      <c r="C13763" s="319" t="s">
        <v>26</v>
      </c>
      <c r="D13763" s="499">
        <v>22.83</v>
      </c>
    </row>
    <row r="13764" spans="1:4" ht="25.5" x14ac:dyDescent="0.2">
      <c r="A13764" s="319">
        <v>7120</v>
      </c>
      <c r="B13764" s="498" t="s">
        <v>46187</v>
      </c>
      <c r="C13764" s="319" t="s">
        <v>26</v>
      </c>
      <c r="D13764" s="499">
        <v>8.58</v>
      </c>
    </row>
    <row r="13765" spans="1:4" x14ac:dyDescent="0.2">
      <c r="A13765" s="319">
        <v>6319</v>
      </c>
      <c r="B13765" s="498" t="s">
        <v>46188</v>
      </c>
      <c r="C13765" s="319" t="s">
        <v>26</v>
      </c>
      <c r="D13765" s="499"/>
    </row>
    <row r="13766" spans="1:4" x14ac:dyDescent="0.2">
      <c r="A13766" s="319">
        <v>6304</v>
      </c>
      <c r="B13766" s="498" t="s">
        <v>46189</v>
      </c>
      <c r="C13766" s="319" t="s">
        <v>26</v>
      </c>
      <c r="D13766" s="499"/>
    </row>
    <row r="13767" spans="1:4" x14ac:dyDescent="0.2">
      <c r="A13767" s="319">
        <v>21116</v>
      </c>
      <c r="B13767" s="498" t="s">
        <v>46190</v>
      </c>
      <c r="C13767" s="319" t="s">
        <v>26</v>
      </c>
      <c r="D13767" s="499"/>
    </row>
    <row r="13768" spans="1:4" x14ac:dyDescent="0.2">
      <c r="A13768" s="319">
        <v>6320</v>
      </c>
      <c r="B13768" s="498" t="s">
        <v>46191</v>
      </c>
      <c r="C13768" s="319" t="s">
        <v>26</v>
      </c>
      <c r="D13768" s="499"/>
    </row>
    <row r="13769" spans="1:4" x14ac:dyDescent="0.2">
      <c r="A13769" s="319">
        <v>6303</v>
      </c>
      <c r="B13769" s="498" t="s">
        <v>46192</v>
      </c>
      <c r="C13769" s="319" t="s">
        <v>26</v>
      </c>
      <c r="D13769" s="499"/>
    </row>
    <row r="13770" spans="1:4" x14ac:dyDescent="0.2">
      <c r="A13770" s="319">
        <v>6308</v>
      </c>
      <c r="B13770" s="498" t="s">
        <v>46193</v>
      </c>
      <c r="C13770" s="319" t="s">
        <v>26</v>
      </c>
      <c r="D13770" s="499"/>
    </row>
    <row r="13771" spans="1:4" x14ac:dyDescent="0.2">
      <c r="A13771" s="319">
        <v>6317</v>
      </c>
      <c r="B13771" s="498" t="s">
        <v>46194</v>
      </c>
      <c r="C13771" s="319" t="s">
        <v>26</v>
      </c>
      <c r="D13771" s="499"/>
    </row>
    <row r="13772" spans="1:4" x14ac:dyDescent="0.2">
      <c r="A13772" s="319">
        <v>6307</v>
      </c>
      <c r="B13772" s="498" t="s">
        <v>46195</v>
      </c>
      <c r="C13772" s="319" t="s">
        <v>26</v>
      </c>
      <c r="D13772" s="499"/>
    </row>
    <row r="13773" spans="1:4" x14ac:dyDescent="0.2">
      <c r="A13773" s="319">
        <v>6309</v>
      </c>
      <c r="B13773" s="498" t="s">
        <v>46196</v>
      </c>
      <c r="C13773" s="319" t="s">
        <v>26</v>
      </c>
      <c r="D13773" s="499"/>
    </row>
    <row r="13774" spans="1:4" x14ac:dyDescent="0.2">
      <c r="A13774" s="319">
        <v>6318</v>
      </c>
      <c r="B13774" s="498" t="s">
        <v>46197</v>
      </c>
      <c r="C13774" s="319" t="s">
        <v>26</v>
      </c>
      <c r="D13774" s="499"/>
    </row>
    <row r="13775" spans="1:4" x14ac:dyDescent="0.2">
      <c r="A13775" s="319">
        <v>6306</v>
      </c>
      <c r="B13775" s="498" t="s">
        <v>46198</v>
      </c>
      <c r="C13775" s="319" t="s">
        <v>26</v>
      </c>
      <c r="D13775" s="499"/>
    </row>
    <row r="13776" spans="1:4" x14ac:dyDescent="0.2">
      <c r="A13776" s="319">
        <v>6305</v>
      </c>
      <c r="B13776" s="498" t="s">
        <v>46199</v>
      </c>
      <c r="C13776" s="319" t="s">
        <v>26</v>
      </c>
      <c r="D13776" s="499"/>
    </row>
    <row r="13777" spans="1:4" x14ac:dyDescent="0.2">
      <c r="A13777" s="319">
        <v>6312</v>
      </c>
      <c r="B13777" s="498" t="s">
        <v>46200</v>
      </c>
      <c r="C13777" s="319" t="s">
        <v>26</v>
      </c>
      <c r="D13777" s="499"/>
    </row>
    <row r="13778" spans="1:4" x14ac:dyDescent="0.2">
      <c r="A13778" s="319">
        <v>6311</v>
      </c>
      <c r="B13778" s="498" t="s">
        <v>46201</v>
      </c>
      <c r="C13778" s="319" t="s">
        <v>26</v>
      </c>
      <c r="D13778" s="499"/>
    </row>
    <row r="13779" spans="1:4" x14ac:dyDescent="0.2">
      <c r="A13779" s="319">
        <v>6310</v>
      </c>
      <c r="B13779" s="498" t="s">
        <v>46202</v>
      </c>
      <c r="C13779" s="319" t="s">
        <v>26</v>
      </c>
      <c r="D13779" s="499"/>
    </row>
    <row r="13780" spans="1:4" x14ac:dyDescent="0.2">
      <c r="A13780" s="319">
        <v>6314</v>
      </c>
      <c r="B13780" s="498" t="s">
        <v>46203</v>
      </c>
      <c r="C13780" s="319" t="s">
        <v>26</v>
      </c>
      <c r="D13780" s="499"/>
    </row>
    <row r="13781" spans="1:4" x14ac:dyDescent="0.2">
      <c r="A13781" s="319">
        <v>6313</v>
      </c>
      <c r="B13781" s="498" t="s">
        <v>46204</v>
      </c>
      <c r="C13781" s="319" t="s">
        <v>26</v>
      </c>
      <c r="D13781" s="499"/>
    </row>
    <row r="13782" spans="1:4" x14ac:dyDescent="0.2">
      <c r="A13782" s="319">
        <v>6302</v>
      </c>
      <c r="B13782" s="498" t="s">
        <v>46205</v>
      </c>
      <c r="C13782" s="319" t="s">
        <v>26</v>
      </c>
      <c r="D13782" s="499"/>
    </row>
    <row r="13783" spans="1:4" x14ac:dyDescent="0.2">
      <c r="A13783" s="319">
        <v>6315</v>
      </c>
      <c r="B13783" s="498" t="s">
        <v>46206</v>
      </c>
      <c r="C13783" s="319" t="s">
        <v>26</v>
      </c>
      <c r="D13783" s="499"/>
    </row>
    <row r="13784" spans="1:4" x14ac:dyDescent="0.2">
      <c r="A13784" s="319">
        <v>6316</v>
      </c>
      <c r="B13784" s="498" t="s">
        <v>46207</v>
      </c>
      <c r="C13784" s="319" t="s">
        <v>26</v>
      </c>
      <c r="D13784" s="499"/>
    </row>
    <row r="13785" spans="1:4" x14ac:dyDescent="0.2">
      <c r="A13785" s="319">
        <v>39324</v>
      </c>
      <c r="B13785" s="498" t="s">
        <v>46208</v>
      </c>
      <c r="C13785" s="319" t="s">
        <v>26</v>
      </c>
      <c r="D13785" s="499">
        <v>5.01</v>
      </c>
    </row>
    <row r="13786" spans="1:4" x14ac:dyDescent="0.2">
      <c r="A13786" s="319">
        <v>39325</v>
      </c>
      <c r="B13786" s="498" t="s">
        <v>46209</v>
      </c>
      <c r="C13786" s="319" t="s">
        <v>26</v>
      </c>
      <c r="D13786" s="499">
        <v>7.56</v>
      </c>
    </row>
    <row r="13787" spans="1:4" x14ac:dyDescent="0.2">
      <c r="A13787" s="319">
        <v>39326</v>
      </c>
      <c r="B13787" s="498" t="s">
        <v>46210</v>
      </c>
      <c r="C13787" s="319" t="s">
        <v>26</v>
      </c>
      <c r="D13787" s="499">
        <v>27.12</v>
      </c>
    </row>
    <row r="13788" spans="1:4" x14ac:dyDescent="0.2">
      <c r="A13788" s="319">
        <v>39327</v>
      </c>
      <c r="B13788" s="498" t="s">
        <v>46211</v>
      </c>
      <c r="C13788" s="319" t="s">
        <v>26</v>
      </c>
      <c r="D13788" s="499">
        <v>40.909999999999997</v>
      </c>
    </row>
    <row r="13789" spans="1:4" ht="25.5" x14ac:dyDescent="0.2">
      <c r="A13789" s="319">
        <v>11378</v>
      </c>
      <c r="B13789" s="498" t="s">
        <v>46212</v>
      </c>
      <c r="C13789" s="319" t="s">
        <v>26</v>
      </c>
      <c r="D13789" s="499"/>
    </row>
    <row r="13790" spans="1:4" ht="25.5" x14ac:dyDescent="0.2">
      <c r="A13790" s="319">
        <v>11379</v>
      </c>
      <c r="B13790" s="498" t="s">
        <v>46213</v>
      </c>
      <c r="C13790" s="319" t="s">
        <v>26</v>
      </c>
      <c r="D13790" s="499"/>
    </row>
    <row r="13791" spans="1:4" ht="25.5" x14ac:dyDescent="0.2">
      <c r="A13791" s="319">
        <v>11493</v>
      </c>
      <c r="B13791" s="498" t="s">
        <v>46214</v>
      </c>
      <c r="C13791" s="319" t="s">
        <v>26</v>
      </c>
      <c r="D13791" s="499"/>
    </row>
    <row r="13792" spans="1:4" ht="25.5" x14ac:dyDescent="0.2">
      <c r="A13792" s="319">
        <v>7106</v>
      </c>
      <c r="B13792" s="498" t="s">
        <v>46215</v>
      </c>
      <c r="C13792" s="319" t="s">
        <v>26</v>
      </c>
      <c r="D13792" s="499">
        <v>141.25</v>
      </c>
    </row>
    <row r="13793" spans="1:4" ht="25.5" x14ac:dyDescent="0.2">
      <c r="A13793" s="319">
        <v>7104</v>
      </c>
      <c r="B13793" s="498" t="s">
        <v>46216</v>
      </c>
      <c r="C13793" s="319" t="s">
        <v>26</v>
      </c>
      <c r="D13793" s="499">
        <v>3.81</v>
      </c>
    </row>
    <row r="13794" spans="1:4" ht="25.5" x14ac:dyDescent="0.2">
      <c r="A13794" s="319">
        <v>7136</v>
      </c>
      <c r="B13794" s="498" t="s">
        <v>46217</v>
      </c>
      <c r="C13794" s="319" t="s">
        <v>26</v>
      </c>
      <c r="D13794" s="499">
        <v>6.63</v>
      </c>
    </row>
    <row r="13795" spans="1:4" ht="25.5" x14ac:dyDescent="0.2">
      <c r="A13795" s="319">
        <v>7128</v>
      </c>
      <c r="B13795" s="498" t="s">
        <v>46218</v>
      </c>
      <c r="C13795" s="319" t="s">
        <v>26</v>
      </c>
      <c r="D13795" s="499">
        <v>8.6</v>
      </c>
    </row>
    <row r="13796" spans="1:4" ht="25.5" x14ac:dyDescent="0.2">
      <c r="A13796" s="319">
        <v>7108</v>
      </c>
      <c r="B13796" s="498" t="s">
        <v>46219</v>
      </c>
      <c r="C13796" s="319" t="s">
        <v>26</v>
      </c>
      <c r="D13796" s="499">
        <v>8.58</v>
      </c>
    </row>
    <row r="13797" spans="1:4" ht="25.5" x14ac:dyDescent="0.2">
      <c r="A13797" s="319">
        <v>7129</v>
      </c>
      <c r="B13797" s="498" t="s">
        <v>46220</v>
      </c>
      <c r="C13797" s="319" t="s">
        <v>26</v>
      </c>
      <c r="D13797" s="499">
        <v>10.1</v>
      </c>
    </row>
    <row r="13798" spans="1:4" ht="25.5" x14ac:dyDescent="0.2">
      <c r="A13798" s="319">
        <v>7130</v>
      </c>
      <c r="B13798" s="498" t="s">
        <v>46221</v>
      </c>
      <c r="C13798" s="319" t="s">
        <v>26</v>
      </c>
      <c r="D13798" s="499">
        <v>14.67</v>
      </c>
    </row>
    <row r="13799" spans="1:4" ht="25.5" x14ac:dyDescent="0.2">
      <c r="A13799" s="319">
        <v>7131</v>
      </c>
      <c r="B13799" s="498" t="s">
        <v>46222</v>
      </c>
      <c r="C13799" s="319" t="s">
        <v>26</v>
      </c>
      <c r="D13799" s="499">
        <v>17.940000000000001</v>
      </c>
    </row>
    <row r="13800" spans="1:4" ht="25.5" x14ac:dyDescent="0.2">
      <c r="A13800" s="319">
        <v>7132</v>
      </c>
      <c r="B13800" s="498" t="s">
        <v>46223</v>
      </c>
      <c r="C13800" s="319" t="s">
        <v>26</v>
      </c>
      <c r="D13800" s="499">
        <v>42.25</v>
      </c>
    </row>
    <row r="13801" spans="1:4" ht="25.5" x14ac:dyDescent="0.2">
      <c r="A13801" s="319">
        <v>7133</v>
      </c>
      <c r="B13801" s="498" t="s">
        <v>46224</v>
      </c>
      <c r="C13801" s="319" t="s">
        <v>26</v>
      </c>
      <c r="D13801" s="499">
        <v>97.64</v>
      </c>
    </row>
    <row r="13802" spans="1:4" ht="25.5" x14ac:dyDescent="0.2">
      <c r="A13802" s="319">
        <v>37422</v>
      </c>
      <c r="B13802" s="498" t="s">
        <v>46225</v>
      </c>
      <c r="C13802" s="319" t="s">
        <v>26</v>
      </c>
      <c r="D13802" s="499"/>
    </row>
    <row r="13803" spans="1:4" ht="25.5" x14ac:dyDescent="0.2">
      <c r="A13803" s="319">
        <v>37420</v>
      </c>
      <c r="B13803" s="498" t="s">
        <v>46226</v>
      </c>
      <c r="C13803" s="319" t="s">
        <v>26</v>
      </c>
      <c r="D13803" s="499"/>
    </row>
    <row r="13804" spans="1:4" ht="25.5" x14ac:dyDescent="0.2">
      <c r="A13804" s="319">
        <v>37421</v>
      </c>
      <c r="B13804" s="498" t="s">
        <v>46227</v>
      </c>
      <c r="C13804" s="319" t="s">
        <v>26</v>
      </c>
      <c r="D13804" s="499"/>
    </row>
    <row r="13805" spans="1:4" x14ac:dyDescent="0.2">
      <c r="A13805" s="319">
        <v>37443</v>
      </c>
      <c r="B13805" s="498" t="s">
        <v>46228</v>
      </c>
      <c r="C13805" s="319" t="s">
        <v>26</v>
      </c>
      <c r="D13805" s="499"/>
    </row>
    <row r="13806" spans="1:4" x14ac:dyDescent="0.2">
      <c r="A13806" s="319">
        <v>37444</v>
      </c>
      <c r="B13806" s="498" t="s">
        <v>46229</v>
      </c>
      <c r="C13806" s="319" t="s">
        <v>26</v>
      </c>
      <c r="D13806" s="499"/>
    </row>
    <row r="13807" spans="1:4" x14ac:dyDescent="0.2">
      <c r="A13807" s="319">
        <v>37445</v>
      </c>
      <c r="B13807" s="498" t="s">
        <v>46230</v>
      </c>
      <c r="C13807" s="319" t="s">
        <v>26</v>
      </c>
      <c r="D13807" s="499"/>
    </row>
    <row r="13808" spans="1:4" x14ac:dyDescent="0.2">
      <c r="A13808" s="319">
        <v>37446</v>
      </c>
      <c r="B13808" s="498" t="s">
        <v>46231</v>
      </c>
      <c r="C13808" s="319" t="s">
        <v>26</v>
      </c>
      <c r="D13808" s="499"/>
    </row>
    <row r="13809" spans="1:4" x14ac:dyDescent="0.2">
      <c r="A13809" s="319">
        <v>37447</v>
      </c>
      <c r="B13809" s="498" t="s">
        <v>46232</v>
      </c>
      <c r="C13809" s="319" t="s">
        <v>26</v>
      </c>
      <c r="D13809" s="499"/>
    </row>
    <row r="13810" spans="1:4" x14ac:dyDescent="0.2">
      <c r="A13810" s="319">
        <v>37448</v>
      </c>
      <c r="B13810" s="498" t="s">
        <v>46233</v>
      </c>
      <c r="C13810" s="319" t="s">
        <v>26</v>
      </c>
      <c r="D13810" s="499"/>
    </row>
    <row r="13811" spans="1:4" x14ac:dyDescent="0.2">
      <c r="A13811" s="319">
        <v>37440</v>
      </c>
      <c r="B13811" s="498" t="s">
        <v>46234</v>
      </c>
      <c r="C13811" s="319" t="s">
        <v>26</v>
      </c>
      <c r="D13811" s="499"/>
    </row>
    <row r="13812" spans="1:4" x14ac:dyDescent="0.2">
      <c r="A13812" s="319">
        <v>37441</v>
      </c>
      <c r="B13812" s="498" t="s">
        <v>46235</v>
      </c>
      <c r="C13812" s="319" t="s">
        <v>26</v>
      </c>
      <c r="D13812" s="499"/>
    </row>
    <row r="13813" spans="1:4" x14ac:dyDescent="0.2">
      <c r="A13813" s="319">
        <v>37442</v>
      </c>
      <c r="B13813" s="498" t="s">
        <v>46236</v>
      </c>
      <c r="C13813" s="319" t="s">
        <v>26</v>
      </c>
      <c r="D13813" s="499"/>
    </row>
    <row r="13814" spans="1:4" x14ac:dyDescent="0.2">
      <c r="A13814" s="319">
        <v>38017</v>
      </c>
      <c r="B13814" s="498" t="s">
        <v>46237</v>
      </c>
      <c r="C13814" s="319" t="s">
        <v>26</v>
      </c>
      <c r="D13814" s="499">
        <v>10.25</v>
      </c>
    </row>
    <row r="13815" spans="1:4" x14ac:dyDescent="0.2">
      <c r="A13815" s="319">
        <v>38018</v>
      </c>
      <c r="B13815" s="498" t="s">
        <v>46238</v>
      </c>
      <c r="C13815" s="319" t="s">
        <v>26</v>
      </c>
      <c r="D13815" s="499">
        <v>11.53</v>
      </c>
    </row>
    <row r="13816" spans="1:4" ht="25.5" x14ac:dyDescent="0.2">
      <c r="A13816" s="319">
        <v>39895</v>
      </c>
      <c r="B13816" s="498" t="s">
        <v>46239</v>
      </c>
      <c r="C13816" s="319" t="s">
        <v>26</v>
      </c>
      <c r="D13816" s="499"/>
    </row>
    <row r="13817" spans="1:4" ht="25.5" x14ac:dyDescent="0.2">
      <c r="A13817" s="319">
        <v>39896</v>
      </c>
      <c r="B13817" s="498" t="s">
        <v>46240</v>
      </c>
      <c r="C13817" s="319" t="s">
        <v>26</v>
      </c>
      <c r="D13817" s="499"/>
    </row>
    <row r="13818" spans="1:4" ht="25.5" x14ac:dyDescent="0.2">
      <c r="A13818" s="319">
        <v>38873</v>
      </c>
      <c r="B13818" s="498" t="s">
        <v>46241</v>
      </c>
      <c r="C13818" s="319" t="s">
        <v>26</v>
      </c>
      <c r="D13818" s="499"/>
    </row>
    <row r="13819" spans="1:4" ht="25.5" x14ac:dyDescent="0.2">
      <c r="A13819" s="319">
        <v>38874</v>
      </c>
      <c r="B13819" s="498" t="s">
        <v>46242</v>
      </c>
      <c r="C13819" s="319" t="s">
        <v>26</v>
      </c>
      <c r="D13819" s="499"/>
    </row>
    <row r="13820" spans="1:4" ht="25.5" x14ac:dyDescent="0.2">
      <c r="A13820" s="319">
        <v>38875</v>
      </c>
      <c r="B13820" s="498" t="s">
        <v>46243</v>
      </c>
      <c r="C13820" s="319" t="s">
        <v>26</v>
      </c>
      <c r="D13820" s="499"/>
    </row>
    <row r="13821" spans="1:4" ht="25.5" x14ac:dyDescent="0.2">
      <c r="A13821" s="319">
        <v>38876</v>
      </c>
      <c r="B13821" s="498" t="s">
        <v>46244</v>
      </c>
      <c r="C13821" s="319" t="s">
        <v>26</v>
      </c>
      <c r="D13821" s="499"/>
    </row>
    <row r="13822" spans="1:4" ht="25.5" x14ac:dyDescent="0.2">
      <c r="A13822" s="319">
        <v>39000</v>
      </c>
      <c r="B13822" s="498" t="s">
        <v>46245</v>
      </c>
      <c r="C13822" s="319" t="s">
        <v>26</v>
      </c>
      <c r="D13822" s="499"/>
    </row>
    <row r="13823" spans="1:4" ht="25.5" x14ac:dyDescent="0.2">
      <c r="A13823" s="319">
        <v>38674</v>
      </c>
      <c r="B13823" s="498" t="s">
        <v>46246</v>
      </c>
      <c r="C13823" s="319" t="s">
        <v>26</v>
      </c>
      <c r="D13823" s="499">
        <v>34.5</v>
      </c>
    </row>
    <row r="13824" spans="1:4" x14ac:dyDescent="0.2">
      <c r="A13824" s="319">
        <v>38019</v>
      </c>
      <c r="B13824" s="498" t="s">
        <v>46247</v>
      </c>
      <c r="C13824" s="319" t="s">
        <v>26</v>
      </c>
      <c r="D13824" s="499">
        <v>7.3</v>
      </c>
    </row>
    <row r="13825" spans="1:4" x14ac:dyDescent="0.2">
      <c r="A13825" s="319">
        <v>38020</v>
      </c>
      <c r="B13825" s="498" t="s">
        <v>46248</v>
      </c>
      <c r="C13825" s="319" t="s">
        <v>26</v>
      </c>
      <c r="D13825" s="499">
        <v>8.99</v>
      </c>
    </row>
    <row r="13826" spans="1:4" x14ac:dyDescent="0.2">
      <c r="A13826" s="319">
        <v>38454</v>
      </c>
      <c r="B13826" s="498" t="s">
        <v>46249</v>
      </c>
      <c r="C13826" s="319" t="s">
        <v>26</v>
      </c>
      <c r="D13826" s="499"/>
    </row>
    <row r="13827" spans="1:4" x14ac:dyDescent="0.2">
      <c r="A13827" s="319">
        <v>38455</v>
      </c>
      <c r="B13827" s="498" t="s">
        <v>46250</v>
      </c>
      <c r="C13827" s="319" t="s">
        <v>26</v>
      </c>
      <c r="D13827" s="499"/>
    </row>
    <row r="13828" spans="1:4" ht="25.5" x14ac:dyDescent="0.2">
      <c r="A13828" s="319">
        <v>38462</v>
      </c>
      <c r="B13828" s="498" t="s">
        <v>46251</v>
      </c>
      <c r="C13828" s="319" t="s">
        <v>26</v>
      </c>
      <c r="D13828" s="499"/>
    </row>
    <row r="13829" spans="1:4" ht="25.5" x14ac:dyDescent="0.2">
      <c r="A13829" s="319">
        <v>36362</v>
      </c>
      <c r="B13829" s="498" t="s">
        <v>46252</v>
      </c>
      <c r="C13829" s="319" t="s">
        <v>26</v>
      </c>
      <c r="D13829" s="499"/>
    </row>
    <row r="13830" spans="1:4" ht="25.5" x14ac:dyDescent="0.2">
      <c r="A13830" s="319">
        <v>36298</v>
      </c>
      <c r="B13830" s="498" t="s">
        <v>46253</v>
      </c>
      <c r="C13830" s="319" t="s">
        <v>26</v>
      </c>
      <c r="D13830" s="499"/>
    </row>
    <row r="13831" spans="1:4" ht="25.5" x14ac:dyDescent="0.2">
      <c r="A13831" s="319">
        <v>38456</v>
      </c>
      <c r="B13831" s="498" t="s">
        <v>46254</v>
      </c>
      <c r="C13831" s="319" t="s">
        <v>26</v>
      </c>
      <c r="D13831" s="499"/>
    </row>
    <row r="13832" spans="1:4" ht="25.5" x14ac:dyDescent="0.2">
      <c r="A13832" s="319">
        <v>38457</v>
      </c>
      <c r="B13832" s="498" t="s">
        <v>46255</v>
      </c>
      <c r="C13832" s="319" t="s">
        <v>26</v>
      </c>
      <c r="D13832" s="499"/>
    </row>
    <row r="13833" spans="1:4" ht="25.5" x14ac:dyDescent="0.2">
      <c r="A13833" s="319">
        <v>38458</v>
      </c>
      <c r="B13833" s="498" t="s">
        <v>46256</v>
      </c>
      <c r="C13833" s="319" t="s">
        <v>26</v>
      </c>
      <c r="D13833" s="499"/>
    </row>
    <row r="13834" spans="1:4" ht="25.5" x14ac:dyDescent="0.2">
      <c r="A13834" s="319">
        <v>38459</v>
      </c>
      <c r="B13834" s="498" t="s">
        <v>46257</v>
      </c>
      <c r="C13834" s="319" t="s">
        <v>26</v>
      </c>
      <c r="D13834" s="499"/>
    </row>
    <row r="13835" spans="1:4" ht="25.5" x14ac:dyDescent="0.2">
      <c r="A13835" s="319">
        <v>38460</v>
      </c>
      <c r="B13835" s="498" t="s">
        <v>46258</v>
      </c>
      <c r="C13835" s="319" t="s">
        <v>26</v>
      </c>
      <c r="D13835" s="499"/>
    </row>
    <row r="13836" spans="1:4" ht="25.5" x14ac:dyDescent="0.2">
      <c r="A13836" s="319">
        <v>38461</v>
      </c>
      <c r="B13836" s="498" t="s">
        <v>46259</v>
      </c>
      <c r="C13836" s="319" t="s">
        <v>26</v>
      </c>
      <c r="D13836" s="499"/>
    </row>
    <row r="13837" spans="1:4" x14ac:dyDescent="0.2">
      <c r="A13837" s="319">
        <v>7094</v>
      </c>
      <c r="B13837" s="498" t="s">
        <v>46260</v>
      </c>
      <c r="C13837" s="319" t="s">
        <v>26</v>
      </c>
      <c r="D13837" s="499">
        <v>12.43</v>
      </c>
    </row>
    <row r="13838" spans="1:4" ht="25.5" x14ac:dyDescent="0.2">
      <c r="A13838" s="319">
        <v>7116</v>
      </c>
      <c r="B13838" s="498" t="s">
        <v>46261</v>
      </c>
      <c r="C13838" s="319" t="s">
        <v>26</v>
      </c>
      <c r="D13838" s="499">
        <v>3.94</v>
      </c>
    </row>
    <row r="13839" spans="1:4" x14ac:dyDescent="0.2">
      <c r="A13839" s="319">
        <v>7118</v>
      </c>
      <c r="B13839" s="498" t="s">
        <v>46262</v>
      </c>
      <c r="C13839" s="319" t="s">
        <v>26</v>
      </c>
      <c r="D13839" s="499">
        <v>25.56</v>
      </c>
    </row>
    <row r="13840" spans="1:4" x14ac:dyDescent="0.2">
      <c r="A13840" s="319">
        <v>7098</v>
      </c>
      <c r="B13840" s="498" t="s">
        <v>46263</v>
      </c>
      <c r="C13840" s="319" t="s">
        <v>26</v>
      </c>
      <c r="D13840" s="499">
        <v>3.8</v>
      </c>
    </row>
    <row r="13841" spans="1:4" x14ac:dyDescent="0.2">
      <c r="A13841" s="319">
        <v>7110</v>
      </c>
      <c r="B13841" s="498" t="s">
        <v>46264</v>
      </c>
      <c r="C13841" s="319" t="s">
        <v>26</v>
      </c>
      <c r="D13841" s="499">
        <v>48.6</v>
      </c>
    </row>
    <row r="13842" spans="1:4" x14ac:dyDescent="0.2">
      <c r="A13842" s="319">
        <v>7123</v>
      </c>
      <c r="B13842" s="498" t="s">
        <v>46265</v>
      </c>
      <c r="C13842" s="319" t="s">
        <v>26</v>
      </c>
      <c r="D13842" s="499">
        <v>4.59</v>
      </c>
    </row>
    <row r="13843" spans="1:4" ht="25.5" x14ac:dyDescent="0.2">
      <c r="A13843" s="319">
        <v>7121</v>
      </c>
      <c r="B13843" s="498" t="s">
        <v>46266</v>
      </c>
      <c r="C13843" s="319" t="s">
        <v>26</v>
      </c>
      <c r="D13843" s="499">
        <v>9.09</v>
      </c>
    </row>
    <row r="13844" spans="1:4" ht="25.5" x14ac:dyDescent="0.2">
      <c r="A13844" s="319">
        <v>7137</v>
      </c>
      <c r="B13844" s="498" t="s">
        <v>46267</v>
      </c>
      <c r="C13844" s="319" t="s">
        <v>26</v>
      </c>
      <c r="D13844" s="499">
        <v>9.93</v>
      </c>
    </row>
    <row r="13845" spans="1:4" ht="25.5" x14ac:dyDescent="0.2">
      <c r="A13845" s="319">
        <v>7122</v>
      </c>
      <c r="B13845" s="498" t="s">
        <v>46268</v>
      </c>
      <c r="C13845" s="319" t="s">
        <v>26</v>
      </c>
      <c r="D13845" s="499">
        <v>10.93</v>
      </c>
    </row>
    <row r="13846" spans="1:4" ht="25.5" x14ac:dyDescent="0.2">
      <c r="A13846" s="319">
        <v>7114</v>
      </c>
      <c r="B13846" s="498" t="s">
        <v>46269</v>
      </c>
      <c r="C13846" s="319" t="s">
        <v>26</v>
      </c>
      <c r="D13846" s="499">
        <v>12.71</v>
      </c>
    </row>
    <row r="13847" spans="1:4" ht="25.5" x14ac:dyDescent="0.2">
      <c r="A13847" s="319">
        <v>7109</v>
      </c>
      <c r="B13847" s="498" t="s">
        <v>46270</v>
      </c>
      <c r="C13847" s="319" t="s">
        <v>26</v>
      </c>
      <c r="D13847" s="499">
        <v>2.52</v>
      </c>
    </row>
    <row r="13848" spans="1:4" ht="25.5" x14ac:dyDescent="0.2">
      <c r="A13848" s="319">
        <v>7135</v>
      </c>
      <c r="B13848" s="498" t="s">
        <v>46271</v>
      </c>
      <c r="C13848" s="319" t="s">
        <v>26</v>
      </c>
      <c r="D13848" s="499">
        <v>5.16</v>
      </c>
    </row>
    <row r="13849" spans="1:4" ht="25.5" x14ac:dyDescent="0.2">
      <c r="A13849" s="319">
        <v>37947</v>
      </c>
      <c r="B13849" s="498" t="s">
        <v>46272</v>
      </c>
      <c r="C13849" s="319" t="s">
        <v>26</v>
      </c>
      <c r="D13849" s="499">
        <v>4.1900000000000004</v>
      </c>
    </row>
    <row r="13850" spans="1:4" ht="25.5" x14ac:dyDescent="0.2">
      <c r="A13850" s="319">
        <v>7103</v>
      </c>
      <c r="B13850" s="498" t="s">
        <v>46273</v>
      </c>
      <c r="C13850" s="319" t="s">
        <v>26</v>
      </c>
      <c r="D13850" s="499">
        <v>13.66</v>
      </c>
    </row>
    <row r="13851" spans="1:4" x14ac:dyDescent="0.2">
      <c r="A13851" s="319">
        <v>40419</v>
      </c>
      <c r="B13851" s="498" t="s">
        <v>46274</v>
      </c>
      <c r="C13851" s="319" t="s">
        <v>26</v>
      </c>
      <c r="D13851" s="499"/>
    </row>
    <row r="13852" spans="1:4" x14ac:dyDescent="0.2">
      <c r="A13852" s="319">
        <v>40420</v>
      </c>
      <c r="B13852" s="498" t="s">
        <v>46275</v>
      </c>
      <c r="C13852" s="319" t="s">
        <v>26</v>
      </c>
      <c r="D13852" s="499"/>
    </row>
    <row r="13853" spans="1:4" x14ac:dyDescent="0.2">
      <c r="A13853" s="319">
        <v>40421</v>
      </c>
      <c r="B13853" s="498" t="s">
        <v>46276</v>
      </c>
      <c r="C13853" s="319" t="s">
        <v>26</v>
      </c>
      <c r="D13853" s="499"/>
    </row>
    <row r="13854" spans="1:4" ht="25.5" x14ac:dyDescent="0.2">
      <c r="A13854" s="319">
        <v>38905</v>
      </c>
      <c r="B13854" s="498" t="s">
        <v>46277</v>
      </c>
      <c r="C13854" s="319" t="s">
        <v>26</v>
      </c>
      <c r="D13854" s="499"/>
    </row>
    <row r="13855" spans="1:4" ht="25.5" x14ac:dyDescent="0.2">
      <c r="A13855" s="319">
        <v>38907</v>
      </c>
      <c r="B13855" s="498" t="s">
        <v>46278</v>
      </c>
      <c r="C13855" s="319" t="s">
        <v>26</v>
      </c>
      <c r="D13855" s="499"/>
    </row>
    <row r="13856" spans="1:4" ht="25.5" x14ac:dyDescent="0.2">
      <c r="A13856" s="319">
        <v>38910</v>
      </c>
      <c r="B13856" s="498" t="s">
        <v>46279</v>
      </c>
      <c r="C13856" s="319" t="s">
        <v>26</v>
      </c>
      <c r="D13856" s="499"/>
    </row>
    <row r="13857" spans="1:4" ht="25.5" x14ac:dyDescent="0.2">
      <c r="A13857" s="319">
        <v>11655</v>
      </c>
      <c r="B13857" s="498" t="s">
        <v>46280</v>
      </c>
      <c r="C13857" s="319" t="s">
        <v>26</v>
      </c>
      <c r="D13857" s="499">
        <v>18.239999999999998</v>
      </c>
    </row>
    <row r="13858" spans="1:4" ht="25.5" x14ac:dyDescent="0.2">
      <c r="A13858" s="319">
        <v>11656</v>
      </c>
      <c r="B13858" s="498" t="s">
        <v>46281</v>
      </c>
      <c r="C13858" s="319" t="s">
        <v>26</v>
      </c>
      <c r="D13858" s="499">
        <v>20.94</v>
      </c>
    </row>
    <row r="13859" spans="1:4" x14ac:dyDescent="0.2">
      <c r="A13859" s="319">
        <v>7091</v>
      </c>
      <c r="B13859" s="498" t="s">
        <v>46282</v>
      </c>
      <c r="C13859" s="319" t="s">
        <v>26</v>
      </c>
      <c r="D13859" s="499">
        <v>17.149999999999999</v>
      </c>
    </row>
    <row r="13860" spans="1:4" x14ac:dyDescent="0.2">
      <c r="A13860" s="319">
        <v>37948</v>
      </c>
      <c r="B13860" s="498" t="s">
        <v>46283</v>
      </c>
      <c r="C13860" s="319" t="s">
        <v>26</v>
      </c>
      <c r="D13860" s="499">
        <v>3.97</v>
      </c>
    </row>
    <row r="13861" spans="1:4" x14ac:dyDescent="0.2">
      <c r="A13861" s="319">
        <v>7097</v>
      </c>
      <c r="B13861" s="498" t="s">
        <v>46284</v>
      </c>
      <c r="C13861" s="319" t="s">
        <v>26</v>
      </c>
      <c r="D13861" s="499">
        <v>8.06</v>
      </c>
    </row>
    <row r="13862" spans="1:4" x14ac:dyDescent="0.2">
      <c r="A13862" s="319">
        <v>11658</v>
      </c>
      <c r="B13862" s="498" t="s">
        <v>46285</v>
      </c>
      <c r="C13862" s="319" t="s">
        <v>26</v>
      </c>
      <c r="D13862" s="499">
        <v>17.8</v>
      </c>
    </row>
    <row r="13863" spans="1:4" x14ac:dyDescent="0.2">
      <c r="A13863" s="319">
        <v>7146</v>
      </c>
      <c r="B13863" s="498" t="s">
        <v>46286</v>
      </c>
      <c r="C13863" s="319" t="s">
        <v>26</v>
      </c>
      <c r="D13863" s="499">
        <v>166.34</v>
      </c>
    </row>
    <row r="13864" spans="1:4" x14ac:dyDescent="0.2">
      <c r="A13864" s="319">
        <v>7138</v>
      </c>
      <c r="B13864" s="498" t="s">
        <v>46287</v>
      </c>
      <c r="C13864" s="319" t="s">
        <v>26</v>
      </c>
      <c r="D13864" s="499">
        <v>1.05</v>
      </c>
    </row>
    <row r="13865" spans="1:4" x14ac:dyDescent="0.2">
      <c r="A13865" s="319">
        <v>7139</v>
      </c>
      <c r="B13865" s="498" t="s">
        <v>46288</v>
      </c>
      <c r="C13865" s="319" t="s">
        <v>26</v>
      </c>
      <c r="D13865" s="499">
        <v>1.19</v>
      </c>
    </row>
    <row r="13866" spans="1:4" x14ac:dyDescent="0.2">
      <c r="A13866" s="319">
        <v>7140</v>
      </c>
      <c r="B13866" s="498" t="s">
        <v>46289</v>
      </c>
      <c r="C13866" s="319" t="s">
        <v>26</v>
      </c>
      <c r="D13866" s="499">
        <v>3.74</v>
      </c>
    </row>
    <row r="13867" spans="1:4" x14ac:dyDescent="0.2">
      <c r="A13867" s="319">
        <v>7141</v>
      </c>
      <c r="B13867" s="498" t="s">
        <v>46290</v>
      </c>
      <c r="C13867" s="319" t="s">
        <v>26</v>
      </c>
      <c r="D13867" s="499">
        <v>9.15</v>
      </c>
    </row>
    <row r="13868" spans="1:4" x14ac:dyDescent="0.2">
      <c r="A13868" s="319">
        <v>7143</v>
      </c>
      <c r="B13868" s="498" t="s">
        <v>46291</v>
      </c>
      <c r="C13868" s="319" t="s">
        <v>26</v>
      </c>
      <c r="D13868" s="499">
        <v>30.71</v>
      </c>
    </row>
    <row r="13869" spans="1:4" x14ac:dyDescent="0.2">
      <c r="A13869" s="319">
        <v>7144</v>
      </c>
      <c r="B13869" s="498" t="s">
        <v>46292</v>
      </c>
      <c r="C13869" s="319" t="s">
        <v>26</v>
      </c>
      <c r="D13869" s="499">
        <v>56.97</v>
      </c>
    </row>
    <row r="13870" spans="1:4" x14ac:dyDescent="0.2">
      <c r="A13870" s="319">
        <v>7145</v>
      </c>
      <c r="B13870" s="498" t="s">
        <v>46293</v>
      </c>
      <c r="C13870" s="319" t="s">
        <v>26</v>
      </c>
      <c r="D13870" s="499">
        <v>77.47</v>
      </c>
    </row>
    <row r="13871" spans="1:4" x14ac:dyDescent="0.2">
      <c r="A13871" s="319">
        <v>7142</v>
      </c>
      <c r="B13871" s="498" t="s">
        <v>46294</v>
      </c>
      <c r="C13871" s="319" t="s">
        <v>26</v>
      </c>
      <c r="D13871" s="499">
        <v>9.57</v>
      </c>
    </row>
    <row r="13872" spans="1:4" ht="25.5" x14ac:dyDescent="0.2">
      <c r="A13872" s="319">
        <v>39322</v>
      </c>
      <c r="B13872" s="498" t="s">
        <v>46295</v>
      </c>
      <c r="C13872" s="319" t="s">
        <v>26</v>
      </c>
      <c r="D13872" s="499"/>
    </row>
    <row r="13873" spans="1:4" ht="25.5" x14ac:dyDescent="0.2">
      <c r="A13873" s="319">
        <v>39289</v>
      </c>
      <c r="B13873" s="498" t="s">
        <v>46296</v>
      </c>
      <c r="C13873" s="319" t="s">
        <v>26</v>
      </c>
      <c r="D13873" s="499"/>
    </row>
    <row r="13874" spans="1:4" ht="25.5" x14ac:dyDescent="0.2">
      <c r="A13874" s="319">
        <v>39290</v>
      </c>
      <c r="B13874" s="498" t="s">
        <v>46297</v>
      </c>
      <c r="C13874" s="319" t="s">
        <v>26</v>
      </c>
      <c r="D13874" s="499"/>
    </row>
    <row r="13875" spans="1:4" ht="25.5" x14ac:dyDescent="0.2">
      <c r="A13875" s="319">
        <v>39291</v>
      </c>
      <c r="B13875" s="498" t="s">
        <v>46298</v>
      </c>
      <c r="C13875" s="319" t="s">
        <v>26</v>
      </c>
      <c r="D13875" s="499"/>
    </row>
    <row r="13876" spans="1:4" x14ac:dyDescent="0.2">
      <c r="A13876" s="319">
        <v>41892</v>
      </c>
      <c r="B13876" s="498" t="s">
        <v>46299</v>
      </c>
      <c r="C13876" s="319" t="s">
        <v>26</v>
      </c>
      <c r="D13876" s="499"/>
    </row>
    <row r="13877" spans="1:4" x14ac:dyDescent="0.2">
      <c r="A13877" s="319">
        <v>7048</v>
      </c>
      <c r="B13877" s="498" t="s">
        <v>46300</v>
      </c>
      <c r="C13877" s="319" t="s">
        <v>26</v>
      </c>
      <c r="D13877" s="499"/>
    </row>
    <row r="13878" spans="1:4" x14ac:dyDescent="0.2">
      <c r="A13878" s="319">
        <v>7088</v>
      </c>
      <c r="B13878" s="498" t="s">
        <v>46301</v>
      </c>
      <c r="C13878" s="319" t="s">
        <v>26</v>
      </c>
      <c r="D13878" s="499"/>
    </row>
    <row r="13879" spans="1:4" x14ac:dyDescent="0.2">
      <c r="A13879" s="319">
        <v>7070</v>
      </c>
      <c r="B13879" s="498" t="s">
        <v>46302</v>
      </c>
      <c r="C13879" s="319" t="s">
        <v>26</v>
      </c>
      <c r="D13879" s="499">
        <v>220.66</v>
      </c>
    </row>
    <row r="13880" spans="1:4" x14ac:dyDescent="0.2">
      <c r="A13880" s="319">
        <v>20179</v>
      </c>
      <c r="B13880" s="498" t="s">
        <v>46303</v>
      </c>
      <c r="C13880" s="319" t="s">
        <v>26</v>
      </c>
      <c r="D13880" s="499">
        <v>46.93</v>
      </c>
    </row>
    <row r="13881" spans="1:4" x14ac:dyDescent="0.2">
      <c r="A13881" s="319">
        <v>20178</v>
      </c>
      <c r="B13881" s="498" t="s">
        <v>46304</v>
      </c>
      <c r="C13881" s="319" t="s">
        <v>26</v>
      </c>
      <c r="D13881" s="499">
        <v>56.25</v>
      </c>
    </row>
    <row r="13882" spans="1:4" x14ac:dyDescent="0.2">
      <c r="A13882" s="319">
        <v>20180</v>
      </c>
      <c r="B13882" s="498" t="s">
        <v>46305</v>
      </c>
      <c r="C13882" s="319" t="s">
        <v>26</v>
      </c>
      <c r="D13882" s="499">
        <v>92.84</v>
      </c>
    </row>
    <row r="13883" spans="1:4" x14ac:dyDescent="0.2">
      <c r="A13883" s="319">
        <v>20181</v>
      </c>
      <c r="B13883" s="498" t="s">
        <v>46306</v>
      </c>
      <c r="C13883" s="319" t="s">
        <v>26</v>
      </c>
      <c r="D13883" s="499">
        <v>124.31</v>
      </c>
    </row>
    <row r="13884" spans="1:4" x14ac:dyDescent="0.2">
      <c r="A13884" s="319">
        <v>20177</v>
      </c>
      <c r="B13884" s="498" t="s">
        <v>46307</v>
      </c>
      <c r="C13884" s="319" t="s">
        <v>26</v>
      </c>
      <c r="D13884" s="499">
        <v>30.75</v>
      </c>
    </row>
    <row r="13885" spans="1:4" x14ac:dyDescent="0.2">
      <c r="A13885" s="319">
        <v>40945</v>
      </c>
      <c r="B13885" s="498" t="s">
        <v>46308</v>
      </c>
      <c r="C13885" s="319" t="s">
        <v>558</v>
      </c>
      <c r="D13885" s="499">
        <v>26.88</v>
      </c>
    </row>
    <row r="13886" spans="1:4" x14ac:dyDescent="0.2">
      <c r="A13886" s="319">
        <v>40946</v>
      </c>
      <c r="B13886" s="498" t="s">
        <v>46309</v>
      </c>
      <c r="C13886" s="319" t="s">
        <v>5681</v>
      </c>
      <c r="D13886" s="499">
        <v>4725.4799999999996</v>
      </c>
    </row>
    <row r="13887" spans="1:4" x14ac:dyDescent="0.2">
      <c r="A13887" s="319">
        <v>7153</v>
      </c>
      <c r="B13887" s="498" t="s">
        <v>46310</v>
      </c>
      <c r="C13887" s="319" t="s">
        <v>558</v>
      </c>
      <c r="D13887" s="499">
        <v>27.69</v>
      </c>
    </row>
    <row r="13888" spans="1:4" x14ac:dyDescent="0.2">
      <c r="A13888" s="319">
        <v>41089</v>
      </c>
      <c r="B13888" s="498" t="s">
        <v>46311</v>
      </c>
      <c r="C13888" s="319" t="s">
        <v>5681</v>
      </c>
      <c r="D13888" s="499">
        <v>4867.37</v>
      </c>
    </row>
    <row r="13889" spans="1:4" x14ac:dyDescent="0.2">
      <c r="A13889" s="319">
        <v>40943</v>
      </c>
      <c r="B13889" s="498" t="s">
        <v>46312</v>
      </c>
      <c r="C13889" s="319" t="s">
        <v>558</v>
      </c>
      <c r="D13889" s="499">
        <v>25.73</v>
      </c>
    </row>
    <row r="13890" spans="1:4" x14ac:dyDescent="0.2">
      <c r="A13890" s="319">
        <v>40944</v>
      </c>
      <c r="B13890" s="498" t="s">
        <v>46313</v>
      </c>
      <c r="C13890" s="319" t="s">
        <v>5681</v>
      </c>
      <c r="D13890" s="499">
        <v>4524.58</v>
      </c>
    </row>
    <row r="13891" spans="1:4" x14ac:dyDescent="0.2">
      <c r="A13891" s="319">
        <v>6175</v>
      </c>
      <c r="B13891" s="498" t="s">
        <v>46314</v>
      </c>
      <c r="C13891" s="319" t="s">
        <v>558</v>
      </c>
      <c r="D13891" s="499">
        <v>48.84</v>
      </c>
    </row>
    <row r="13892" spans="1:4" x14ac:dyDescent="0.2">
      <c r="A13892" s="319">
        <v>41092</v>
      </c>
      <c r="B13892" s="498" t="s">
        <v>46315</v>
      </c>
      <c r="C13892" s="319" t="s">
        <v>5681</v>
      </c>
      <c r="D13892" s="499">
        <v>8586.51</v>
      </c>
    </row>
    <row r="13893" spans="1:4" ht="25.5" x14ac:dyDescent="0.2">
      <c r="A13893" s="319">
        <v>37712</v>
      </c>
      <c r="B13893" s="498" t="s">
        <v>46316</v>
      </c>
      <c r="C13893" s="319" t="s">
        <v>255</v>
      </c>
      <c r="D13893" s="499">
        <v>49.15</v>
      </c>
    </row>
    <row r="13894" spans="1:4" ht="25.5" x14ac:dyDescent="0.2">
      <c r="A13894" s="319">
        <v>34558</v>
      </c>
      <c r="B13894" s="498" t="s">
        <v>46317</v>
      </c>
      <c r="C13894" s="319" t="s">
        <v>0</v>
      </c>
      <c r="D13894" s="499">
        <v>2.64</v>
      </c>
    </row>
    <row r="13895" spans="1:4" ht="25.5" x14ac:dyDescent="0.2">
      <c r="A13895" s="319">
        <v>34547</v>
      </c>
      <c r="B13895" s="498" t="s">
        <v>46318</v>
      </c>
      <c r="C13895" s="319" t="s">
        <v>0</v>
      </c>
      <c r="D13895" s="499">
        <v>3.25</v>
      </c>
    </row>
    <row r="13896" spans="1:4" ht="25.5" x14ac:dyDescent="0.2">
      <c r="A13896" s="319">
        <v>34548</v>
      </c>
      <c r="B13896" s="498" t="s">
        <v>46319</v>
      </c>
      <c r="C13896" s="319" t="s">
        <v>0</v>
      </c>
      <c r="D13896" s="499">
        <v>5.33</v>
      </c>
    </row>
    <row r="13897" spans="1:4" ht="25.5" x14ac:dyDescent="0.2">
      <c r="A13897" s="319">
        <v>34550</v>
      </c>
      <c r="B13897" s="498" t="s">
        <v>46320</v>
      </c>
      <c r="C13897" s="319" t="s">
        <v>0</v>
      </c>
      <c r="D13897" s="499">
        <v>1.4</v>
      </c>
    </row>
    <row r="13898" spans="1:4" ht="25.5" x14ac:dyDescent="0.2">
      <c r="A13898" s="319">
        <v>34557</v>
      </c>
      <c r="B13898" s="498" t="s">
        <v>46321</v>
      </c>
      <c r="C13898" s="319" t="s">
        <v>0</v>
      </c>
      <c r="D13898" s="499">
        <v>2.0499999999999998</v>
      </c>
    </row>
    <row r="13899" spans="1:4" ht="25.5" x14ac:dyDescent="0.2">
      <c r="A13899" s="319">
        <v>37411</v>
      </c>
      <c r="B13899" s="498" t="s">
        <v>46322</v>
      </c>
      <c r="C13899" s="319" t="s">
        <v>255</v>
      </c>
      <c r="D13899" s="499">
        <v>15.04</v>
      </c>
    </row>
    <row r="13900" spans="1:4" ht="25.5" x14ac:dyDescent="0.2">
      <c r="A13900" s="319">
        <v>39508</v>
      </c>
      <c r="B13900" s="498" t="s">
        <v>46323</v>
      </c>
      <c r="C13900" s="319" t="s">
        <v>255</v>
      </c>
      <c r="D13900" s="499">
        <v>8.4499999999999993</v>
      </c>
    </row>
    <row r="13901" spans="1:4" ht="25.5" x14ac:dyDescent="0.2">
      <c r="A13901" s="319">
        <v>39507</v>
      </c>
      <c r="B13901" s="498" t="s">
        <v>46324</v>
      </c>
      <c r="C13901" s="319" t="s">
        <v>255</v>
      </c>
      <c r="D13901" s="499">
        <v>12.61</v>
      </c>
    </row>
    <row r="13902" spans="1:4" ht="25.5" x14ac:dyDescent="0.2">
      <c r="A13902" s="319">
        <v>7155</v>
      </c>
      <c r="B13902" s="498" t="s">
        <v>46325</v>
      </c>
      <c r="C13902" s="319" t="s">
        <v>255</v>
      </c>
      <c r="D13902" s="499">
        <v>16.18</v>
      </c>
    </row>
    <row r="13903" spans="1:4" ht="25.5" x14ac:dyDescent="0.2">
      <c r="A13903" s="319">
        <v>42406</v>
      </c>
      <c r="B13903" s="498" t="s">
        <v>46326</v>
      </c>
      <c r="C13903" s="319" t="s">
        <v>255</v>
      </c>
      <c r="D13903" s="499">
        <v>18.55</v>
      </c>
    </row>
    <row r="13904" spans="1:4" ht="25.5" x14ac:dyDescent="0.2">
      <c r="A13904" s="319">
        <v>7156</v>
      </c>
      <c r="B13904" s="498" t="s">
        <v>46327</v>
      </c>
      <c r="C13904" s="319" t="s">
        <v>255</v>
      </c>
      <c r="D13904" s="499">
        <v>23.22</v>
      </c>
    </row>
    <row r="13905" spans="1:4" ht="38.25" x14ac:dyDescent="0.2">
      <c r="A13905" s="319">
        <v>43127</v>
      </c>
      <c r="B13905" s="498" t="s">
        <v>46328</v>
      </c>
      <c r="C13905" s="319" t="s">
        <v>255</v>
      </c>
      <c r="D13905" s="499">
        <v>33.229999999999997</v>
      </c>
    </row>
    <row r="13906" spans="1:4" ht="25.5" x14ac:dyDescent="0.2">
      <c r="A13906" s="319">
        <v>10917</v>
      </c>
      <c r="B13906" s="498" t="s">
        <v>46329</v>
      </c>
      <c r="C13906" s="319" t="s">
        <v>255</v>
      </c>
      <c r="D13906" s="499">
        <v>7.01</v>
      </c>
    </row>
    <row r="13907" spans="1:4" ht="38.25" x14ac:dyDescent="0.2">
      <c r="A13907" s="319">
        <v>21141</v>
      </c>
      <c r="B13907" s="498" t="s">
        <v>46330</v>
      </c>
      <c r="C13907" s="319" t="s">
        <v>255</v>
      </c>
      <c r="D13907" s="499">
        <v>10.86</v>
      </c>
    </row>
    <row r="13908" spans="1:4" ht="25.5" x14ac:dyDescent="0.2">
      <c r="A13908" s="319">
        <v>39509</v>
      </c>
      <c r="B13908" s="498" t="s">
        <v>46331</v>
      </c>
      <c r="C13908" s="319" t="s">
        <v>255</v>
      </c>
      <c r="D13908" s="499">
        <v>10.44</v>
      </c>
    </row>
    <row r="13909" spans="1:4" x14ac:dyDescent="0.2">
      <c r="A13909" s="319">
        <v>44529</v>
      </c>
      <c r="B13909" s="498" t="s">
        <v>48355</v>
      </c>
      <c r="C13909" s="319" t="s">
        <v>255</v>
      </c>
      <c r="D13909" s="499"/>
    </row>
    <row r="13910" spans="1:4" ht="25.5" x14ac:dyDescent="0.2">
      <c r="A13910" s="319">
        <v>7167</v>
      </c>
      <c r="B13910" s="498" t="s">
        <v>46332</v>
      </c>
      <c r="C13910" s="319" t="s">
        <v>255</v>
      </c>
      <c r="D13910" s="499"/>
    </row>
    <row r="13911" spans="1:4" ht="25.5" x14ac:dyDescent="0.2">
      <c r="A13911" s="319">
        <v>10928</v>
      </c>
      <c r="B13911" s="498" t="s">
        <v>46333</v>
      </c>
      <c r="C13911" s="319" t="s">
        <v>255</v>
      </c>
      <c r="D13911" s="499"/>
    </row>
    <row r="13912" spans="1:4" ht="25.5" x14ac:dyDescent="0.2">
      <c r="A13912" s="319">
        <v>10933</v>
      </c>
      <c r="B13912" s="498" t="s">
        <v>46334</v>
      </c>
      <c r="C13912" s="319" t="s">
        <v>255</v>
      </c>
      <c r="D13912" s="499"/>
    </row>
    <row r="13913" spans="1:4" ht="25.5" x14ac:dyDescent="0.2">
      <c r="A13913" s="319">
        <v>7158</v>
      </c>
      <c r="B13913" s="498" t="s">
        <v>46335</v>
      </c>
      <c r="C13913" s="319" t="s">
        <v>255</v>
      </c>
      <c r="D13913" s="499"/>
    </row>
    <row r="13914" spans="1:4" ht="25.5" x14ac:dyDescent="0.2">
      <c r="A13914" s="319">
        <v>10927</v>
      </c>
      <c r="B13914" s="498" t="s">
        <v>46336</v>
      </c>
      <c r="C13914" s="319" t="s">
        <v>255</v>
      </c>
      <c r="D13914" s="499"/>
    </row>
    <row r="13915" spans="1:4" ht="25.5" x14ac:dyDescent="0.2">
      <c r="A13915" s="319">
        <v>7162</v>
      </c>
      <c r="B13915" s="498" t="s">
        <v>46337</v>
      </c>
      <c r="C13915" s="319" t="s">
        <v>255</v>
      </c>
      <c r="D13915" s="499"/>
    </row>
    <row r="13916" spans="1:4" ht="25.5" x14ac:dyDescent="0.2">
      <c r="A13916" s="319">
        <v>10932</v>
      </c>
      <c r="B13916" s="498" t="s">
        <v>46338</v>
      </c>
      <c r="C13916" s="319" t="s">
        <v>255</v>
      </c>
      <c r="D13916" s="499"/>
    </row>
    <row r="13917" spans="1:4" ht="38.25" x14ac:dyDescent="0.2">
      <c r="A13917" s="319">
        <v>10937</v>
      </c>
      <c r="B13917" s="498" t="s">
        <v>46339</v>
      </c>
      <c r="C13917" s="319" t="s">
        <v>255</v>
      </c>
      <c r="D13917" s="499"/>
    </row>
    <row r="13918" spans="1:4" ht="38.25" x14ac:dyDescent="0.2">
      <c r="A13918" s="319">
        <v>10935</v>
      </c>
      <c r="B13918" s="498" t="s">
        <v>46340</v>
      </c>
      <c r="C13918" s="319" t="s">
        <v>255</v>
      </c>
      <c r="D13918" s="499"/>
    </row>
    <row r="13919" spans="1:4" ht="25.5" x14ac:dyDescent="0.2">
      <c r="A13919" s="319">
        <v>10931</v>
      </c>
      <c r="B13919" s="498" t="s">
        <v>46341</v>
      </c>
      <c r="C13919" s="319" t="s">
        <v>255</v>
      </c>
      <c r="D13919" s="499"/>
    </row>
    <row r="13920" spans="1:4" x14ac:dyDescent="0.2">
      <c r="A13920" s="319">
        <v>7164</v>
      </c>
      <c r="B13920" s="498" t="s">
        <v>46342</v>
      </c>
      <c r="C13920" s="319" t="s">
        <v>255</v>
      </c>
      <c r="D13920" s="499"/>
    </row>
    <row r="13921" spans="1:4" x14ac:dyDescent="0.2">
      <c r="A13921" s="319">
        <v>36887</v>
      </c>
      <c r="B13921" s="498" t="s">
        <v>46343</v>
      </c>
      <c r="C13921" s="319" t="s">
        <v>255</v>
      </c>
      <c r="D13921" s="499">
        <v>7.52</v>
      </c>
    </row>
    <row r="13922" spans="1:4" ht="38.25" x14ac:dyDescent="0.2">
      <c r="A13922" s="319">
        <v>34630</v>
      </c>
      <c r="B13922" s="498" t="s">
        <v>46344</v>
      </c>
      <c r="C13922" s="319" t="s">
        <v>26</v>
      </c>
      <c r="D13922" s="499">
        <v>798.84</v>
      </c>
    </row>
    <row r="13923" spans="1:4" x14ac:dyDescent="0.2">
      <c r="A13923" s="319">
        <v>7161</v>
      </c>
      <c r="B13923" s="498" t="s">
        <v>46345</v>
      </c>
      <c r="C13923" s="319" t="s">
        <v>255</v>
      </c>
      <c r="D13923" s="499"/>
    </row>
    <row r="13924" spans="1:4" ht="25.5" x14ac:dyDescent="0.2">
      <c r="A13924" s="319">
        <v>7170</v>
      </c>
      <c r="B13924" s="498" t="s">
        <v>46346</v>
      </c>
      <c r="C13924" s="319" t="s">
        <v>255</v>
      </c>
      <c r="D13924" s="499">
        <v>1.81</v>
      </c>
    </row>
    <row r="13925" spans="1:4" ht="25.5" x14ac:dyDescent="0.2">
      <c r="A13925" s="319">
        <v>37524</v>
      </c>
      <c r="B13925" s="498" t="s">
        <v>46347</v>
      </c>
      <c r="C13925" s="319" t="s">
        <v>0</v>
      </c>
      <c r="D13925" s="499">
        <v>1.66</v>
      </c>
    </row>
    <row r="13926" spans="1:4" ht="25.5" x14ac:dyDescent="0.2">
      <c r="A13926" s="319">
        <v>37525</v>
      </c>
      <c r="B13926" s="498" t="s">
        <v>46348</v>
      </c>
      <c r="C13926" s="319" t="s">
        <v>0</v>
      </c>
      <c r="D13926" s="499">
        <v>2.27</v>
      </c>
    </row>
    <row r="13927" spans="1:4" ht="25.5" x14ac:dyDescent="0.2">
      <c r="A13927" s="319">
        <v>36789</v>
      </c>
      <c r="B13927" s="498" t="s">
        <v>46349</v>
      </c>
      <c r="C13927" s="319" t="s">
        <v>26</v>
      </c>
      <c r="D13927" s="499">
        <v>1.93</v>
      </c>
    </row>
    <row r="13928" spans="1:4" ht="38.25" x14ac:dyDescent="0.2">
      <c r="A13928" s="319">
        <v>7173</v>
      </c>
      <c r="B13928" s="498" t="s">
        <v>46350</v>
      </c>
      <c r="C13928" s="319" t="s">
        <v>25264</v>
      </c>
      <c r="D13928" s="499">
        <v>1250</v>
      </c>
    </row>
    <row r="13929" spans="1:4" ht="38.25" x14ac:dyDescent="0.2">
      <c r="A13929" s="319">
        <v>7175</v>
      </c>
      <c r="B13929" s="498" t="s">
        <v>46351</v>
      </c>
      <c r="C13929" s="319" t="s">
        <v>26</v>
      </c>
      <c r="D13929" s="499">
        <v>1.41</v>
      </c>
    </row>
    <row r="13930" spans="1:4" ht="25.5" x14ac:dyDescent="0.2">
      <c r="A13930" s="319">
        <v>40741</v>
      </c>
      <c r="B13930" s="498" t="s">
        <v>46352</v>
      </c>
      <c r="C13930" s="319" t="s">
        <v>26</v>
      </c>
      <c r="D13930" s="499">
        <v>3.42</v>
      </c>
    </row>
    <row r="13931" spans="1:4" ht="25.5" x14ac:dyDescent="0.2">
      <c r="A13931" s="319">
        <v>7184</v>
      </c>
      <c r="B13931" s="498" t="s">
        <v>46353</v>
      </c>
      <c r="C13931" s="319" t="s">
        <v>255</v>
      </c>
      <c r="D13931" s="499"/>
    </row>
    <row r="13932" spans="1:4" x14ac:dyDescent="0.2">
      <c r="A13932" s="319">
        <v>34458</v>
      </c>
      <c r="B13932" s="498" t="s">
        <v>46354</v>
      </c>
      <c r="C13932" s="319" t="s">
        <v>26</v>
      </c>
      <c r="D13932" s="499">
        <v>217.63</v>
      </c>
    </row>
    <row r="13933" spans="1:4" x14ac:dyDescent="0.2">
      <c r="A13933" s="319">
        <v>34464</v>
      </c>
      <c r="B13933" s="498" t="s">
        <v>46355</v>
      </c>
      <c r="C13933" s="319" t="s">
        <v>26</v>
      </c>
      <c r="D13933" s="499">
        <v>323.95</v>
      </c>
    </row>
    <row r="13934" spans="1:4" x14ac:dyDescent="0.2">
      <c r="A13934" s="319">
        <v>34468</v>
      </c>
      <c r="B13934" s="498" t="s">
        <v>46356</v>
      </c>
      <c r="C13934" s="319" t="s">
        <v>26</v>
      </c>
      <c r="D13934" s="499">
        <v>408.41</v>
      </c>
    </row>
    <row r="13935" spans="1:4" x14ac:dyDescent="0.2">
      <c r="A13935" s="319">
        <v>34473</v>
      </c>
      <c r="B13935" s="498" t="s">
        <v>46357</v>
      </c>
      <c r="C13935" s="319" t="s">
        <v>26</v>
      </c>
      <c r="D13935" s="499">
        <v>247.75</v>
      </c>
    </row>
    <row r="13936" spans="1:4" x14ac:dyDescent="0.2">
      <c r="A13936" s="319">
        <v>34480</v>
      </c>
      <c r="B13936" s="498" t="s">
        <v>46358</v>
      </c>
      <c r="C13936" s="319" t="s">
        <v>26</v>
      </c>
      <c r="D13936" s="499">
        <v>457.85</v>
      </c>
    </row>
    <row r="13937" spans="1:4" x14ac:dyDescent="0.2">
      <c r="A13937" s="319">
        <v>34486</v>
      </c>
      <c r="B13937" s="498" t="s">
        <v>46359</v>
      </c>
      <c r="C13937" s="319" t="s">
        <v>26</v>
      </c>
      <c r="D13937" s="499">
        <v>542.08000000000004</v>
      </c>
    </row>
    <row r="13938" spans="1:4" x14ac:dyDescent="0.2">
      <c r="A13938" s="319">
        <v>7190</v>
      </c>
      <c r="B13938" s="498" t="s">
        <v>46360</v>
      </c>
      <c r="C13938" s="319" t="s">
        <v>26</v>
      </c>
      <c r="D13938" s="499">
        <v>18.100000000000001</v>
      </c>
    </row>
    <row r="13939" spans="1:4" x14ac:dyDescent="0.2">
      <c r="A13939" s="319">
        <v>34417</v>
      </c>
      <c r="B13939" s="498" t="s">
        <v>46361</v>
      </c>
      <c r="C13939" s="319" t="s">
        <v>26</v>
      </c>
      <c r="D13939" s="499">
        <v>28.96</v>
      </c>
    </row>
    <row r="13940" spans="1:4" x14ac:dyDescent="0.2">
      <c r="A13940" s="319">
        <v>7213</v>
      </c>
      <c r="B13940" s="498" t="s">
        <v>46362</v>
      </c>
      <c r="C13940" s="319" t="s">
        <v>255</v>
      </c>
      <c r="D13940" s="499">
        <v>26.56</v>
      </c>
    </row>
    <row r="13941" spans="1:4" x14ac:dyDescent="0.2">
      <c r="A13941" s="319">
        <v>7195</v>
      </c>
      <c r="B13941" s="498" t="s">
        <v>46363</v>
      </c>
      <c r="C13941" s="319" t="s">
        <v>26</v>
      </c>
      <c r="D13941" s="499">
        <v>77.98</v>
      </c>
    </row>
    <row r="13942" spans="1:4" x14ac:dyDescent="0.2">
      <c r="A13942" s="319">
        <v>7186</v>
      </c>
      <c r="B13942" s="498" t="s">
        <v>46364</v>
      </c>
      <c r="C13942" s="319" t="s">
        <v>26</v>
      </c>
      <c r="D13942" s="499">
        <v>84.95</v>
      </c>
    </row>
    <row r="13943" spans="1:4" x14ac:dyDescent="0.2">
      <c r="A13943" s="319">
        <v>7194</v>
      </c>
      <c r="B13943" s="498" t="s">
        <v>46365</v>
      </c>
      <c r="C13943" s="319" t="s">
        <v>255</v>
      </c>
      <c r="D13943" s="499">
        <v>39.17</v>
      </c>
    </row>
    <row r="13944" spans="1:4" x14ac:dyDescent="0.2">
      <c r="A13944" s="319">
        <v>7197</v>
      </c>
      <c r="B13944" s="498" t="s">
        <v>46366</v>
      </c>
      <c r="C13944" s="319" t="s">
        <v>26</v>
      </c>
      <c r="D13944" s="499">
        <v>165.31</v>
      </c>
    </row>
    <row r="13945" spans="1:4" x14ac:dyDescent="0.2">
      <c r="A13945" s="319">
        <v>7192</v>
      </c>
      <c r="B13945" s="498" t="s">
        <v>46367</v>
      </c>
      <c r="C13945" s="319" t="s">
        <v>26</v>
      </c>
      <c r="D13945" s="499">
        <v>148.11000000000001</v>
      </c>
    </row>
    <row r="13946" spans="1:4" x14ac:dyDescent="0.2">
      <c r="A13946" s="319">
        <v>7193</v>
      </c>
      <c r="B13946" s="498" t="s">
        <v>46368</v>
      </c>
      <c r="C13946" s="319" t="s">
        <v>26</v>
      </c>
      <c r="D13946" s="499">
        <v>166.75</v>
      </c>
    </row>
    <row r="13947" spans="1:4" x14ac:dyDescent="0.2">
      <c r="A13947" s="319">
        <v>7189</v>
      </c>
      <c r="B13947" s="498" t="s">
        <v>46369</v>
      </c>
      <c r="C13947" s="319" t="s">
        <v>26</v>
      </c>
      <c r="D13947" s="499">
        <v>193.78</v>
      </c>
    </row>
    <row r="13948" spans="1:4" x14ac:dyDescent="0.2">
      <c r="A13948" s="319">
        <v>34402</v>
      </c>
      <c r="B13948" s="498" t="s">
        <v>46370</v>
      </c>
      <c r="C13948" s="319" t="s">
        <v>26</v>
      </c>
      <c r="D13948" s="499">
        <v>273.58</v>
      </c>
    </row>
    <row r="13949" spans="1:4" x14ac:dyDescent="0.2">
      <c r="A13949" s="319">
        <v>7245</v>
      </c>
      <c r="B13949" s="498" t="s">
        <v>46371</v>
      </c>
      <c r="C13949" s="319" t="s">
        <v>26</v>
      </c>
      <c r="D13949" s="499"/>
    </row>
    <row r="13950" spans="1:4" x14ac:dyDescent="0.2">
      <c r="A13950" s="319">
        <v>34425</v>
      </c>
      <c r="B13950" s="498" t="s">
        <v>46372</v>
      </c>
      <c r="C13950" s="319" t="s">
        <v>26</v>
      </c>
      <c r="D13950" s="499">
        <v>175.74</v>
      </c>
    </row>
    <row r="13951" spans="1:4" x14ac:dyDescent="0.2">
      <c r="A13951" s="319">
        <v>7223</v>
      </c>
      <c r="B13951" s="498" t="s">
        <v>46373</v>
      </c>
      <c r="C13951" s="319" t="s">
        <v>26</v>
      </c>
      <c r="D13951" s="499">
        <v>195.85</v>
      </c>
    </row>
    <row r="13952" spans="1:4" x14ac:dyDescent="0.2">
      <c r="A13952" s="319">
        <v>7234</v>
      </c>
      <c r="B13952" s="498" t="s">
        <v>46374</v>
      </c>
      <c r="C13952" s="319" t="s">
        <v>26</v>
      </c>
      <c r="D13952" s="499">
        <v>295.52999999999997</v>
      </c>
    </row>
    <row r="13953" spans="1:4" x14ac:dyDescent="0.2">
      <c r="A13953" s="319">
        <v>7224</v>
      </c>
      <c r="B13953" s="498" t="s">
        <v>46375</v>
      </c>
      <c r="C13953" s="319" t="s">
        <v>26</v>
      </c>
      <c r="D13953" s="499">
        <v>360.03</v>
      </c>
    </row>
    <row r="13954" spans="1:4" x14ac:dyDescent="0.2">
      <c r="A13954" s="319">
        <v>7225</v>
      </c>
      <c r="B13954" s="498" t="s">
        <v>46376</v>
      </c>
      <c r="C13954" s="319" t="s">
        <v>26</v>
      </c>
      <c r="D13954" s="499">
        <v>386.05</v>
      </c>
    </row>
    <row r="13955" spans="1:4" x14ac:dyDescent="0.2">
      <c r="A13955" s="319">
        <v>7226</v>
      </c>
      <c r="B13955" s="498" t="s">
        <v>46377</v>
      </c>
      <c r="C13955" s="319" t="s">
        <v>26</v>
      </c>
      <c r="D13955" s="499">
        <v>411.97</v>
      </c>
    </row>
    <row r="13956" spans="1:4" x14ac:dyDescent="0.2">
      <c r="A13956" s="319">
        <v>7227</v>
      </c>
      <c r="B13956" s="498" t="s">
        <v>46378</v>
      </c>
      <c r="C13956" s="319" t="s">
        <v>26</v>
      </c>
      <c r="D13956" s="499">
        <v>468.93</v>
      </c>
    </row>
    <row r="13957" spans="1:4" x14ac:dyDescent="0.2">
      <c r="A13957" s="319">
        <v>7212</v>
      </c>
      <c r="B13957" s="498" t="s">
        <v>46379</v>
      </c>
      <c r="C13957" s="319" t="s">
        <v>26</v>
      </c>
      <c r="D13957" s="499">
        <v>515.24</v>
      </c>
    </row>
    <row r="13958" spans="1:4" ht="25.5" x14ac:dyDescent="0.2">
      <c r="A13958" s="319">
        <v>7229</v>
      </c>
      <c r="B13958" s="498" t="s">
        <v>46380</v>
      </c>
      <c r="C13958" s="319" t="s">
        <v>26</v>
      </c>
      <c r="D13958" s="499">
        <v>326.58999999999997</v>
      </c>
    </row>
    <row r="13959" spans="1:4" ht="25.5" x14ac:dyDescent="0.2">
      <c r="A13959" s="319">
        <v>7230</v>
      </c>
      <c r="B13959" s="498" t="s">
        <v>46381</v>
      </c>
      <c r="C13959" s="319" t="s">
        <v>26</v>
      </c>
      <c r="D13959" s="499">
        <v>543.71</v>
      </c>
    </row>
    <row r="13960" spans="1:4" ht="25.5" x14ac:dyDescent="0.2">
      <c r="A13960" s="319">
        <v>7231</v>
      </c>
      <c r="B13960" s="498" t="s">
        <v>46382</v>
      </c>
      <c r="C13960" s="319" t="s">
        <v>26</v>
      </c>
      <c r="D13960" s="499">
        <v>771.31</v>
      </c>
    </row>
    <row r="13961" spans="1:4" ht="25.5" x14ac:dyDescent="0.2">
      <c r="A13961" s="319">
        <v>7220</v>
      </c>
      <c r="B13961" s="498" t="s">
        <v>46383</v>
      </c>
      <c r="C13961" s="319" t="s">
        <v>26</v>
      </c>
      <c r="D13961" s="499">
        <v>952.1</v>
      </c>
    </row>
    <row r="13962" spans="1:4" ht="25.5" x14ac:dyDescent="0.2">
      <c r="A13962" s="319">
        <v>34447</v>
      </c>
      <c r="B13962" s="498" t="s">
        <v>46384</v>
      </c>
      <c r="C13962" s="319" t="s">
        <v>26</v>
      </c>
      <c r="D13962" s="499">
        <v>1064.58</v>
      </c>
    </row>
    <row r="13963" spans="1:4" ht="25.5" x14ac:dyDescent="0.2">
      <c r="A13963" s="319">
        <v>7233</v>
      </c>
      <c r="B13963" s="498" t="s">
        <v>46385</v>
      </c>
      <c r="C13963" s="319" t="s">
        <v>26</v>
      </c>
      <c r="D13963" s="499">
        <v>1221.24</v>
      </c>
    </row>
    <row r="13964" spans="1:4" ht="63.75" x14ac:dyDescent="0.2">
      <c r="A13964" s="319">
        <v>40740</v>
      </c>
      <c r="B13964" s="498" t="s">
        <v>46386</v>
      </c>
      <c r="C13964" s="319" t="s">
        <v>255</v>
      </c>
      <c r="D13964" s="499"/>
    </row>
    <row r="13965" spans="1:4" ht="25.5" x14ac:dyDescent="0.2">
      <c r="A13965" s="319">
        <v>25007</v>
      </c>
      <c r="B13965" s="498" t="s">
        <v>46387</v>
      </c>
      <c r="C13965" s="319" t="s">
        <v>255</v>
      </c>
      <c r="D13965" s="499"/>
    </row>
    <row r="13966" spans="1:4" ht="63.75" x14ac:dyDescent="0.2">
      <c r="A13966" s="319">
        <v>43071</v>
      </c>
      <c r="B13966" s="498" t="s">
        <v>46388</v>
      </c>
      <c r="C13966" s="319" t="s">
        <v>255</v>
      </c>
      <c r="D13966" s="499"/>
    </row>
    <row r="13967" spans="1:4" ht="51" x14ac:dyDescent="0.2">
      <c r="A13967" s="319">
        <v>39520</v>
      </c>
      <c r="B13967" s="498" t="s">
        <v>46389</v>
      </c>
      <c r="C13967" s="319" t="s">
        <v>255</v>
      </c>
      <c r="D13967" s="499"/>
    </row>
    <row r="13968" spans="1:4" ht="51" x14ac:dyDescent="0.2">
      <c r="A13968" s="319">
        <v>39521</v>
      </c>
      <c r="B13968" s="498" t="s">
        <v>46390</v>
      </c>
      <c r="C13968" s="319" t="s">
        <v>255</v>
      </c>
      <c r="D13968" s="499"/>
    </row>
    <row r="13969" spans="1:4" ht="51" x14ac:dyDescent="0.2">
      <c r="A13969" s="319">
        <v>39522</v>
      </c>
      <c r="B13969" s="498" t="s">
        <v>46391</v>
      </c>
      <c r="C13969" s="319" t="s">
        <v>255</v>
      </c>
      <c r="D13969" s="499"/>
    </row>
    <row r="13970" spans="1:4" ht="38.25" x14ac:dyDescent="0.2">
      <c r="A13970" s="319">
        <v>7243</v>
      </c>
      <c r="B13970" s="498" t="s">
        <v>46392</v>
      </c>
      <c r="C13970" s="319" t="s">
        <v>255</v>
      </c>
      <c r="D13970" s="499"/>
    </row>
    <row r="13971" spans="1:4" ht="25.5" x14ac:dyDescent="0.2">
      <c r="A13971" s="319">
        <v>11067</v>
      </c>
      <c r="B13971" s="498" t="s">
        <v>46393</v>
      </c>
      <c r="C13971" s="319" t="s">
        <v>26</v>
      </c>
      <c r="D13971" s="499"/>
    </row>
    <row r="13972" spans="1:4" ht="25.5" x14ac:dyDescent="0.2">
      <c r="A13972" s="319">
        <v>11068</v>
      </c>
      <c r="B13972" s="498" t="s">
        <v>46394</v>
      </c>
      <c r="C13972" s="319" t="s">
        <v>26</v>
      </c>
      <c r="D13972" s="499"/>
    </row>
    <row r="13973" spans="1:4" x14ac:dyDescent="0.2">
      <c r="A13973" s="319">
        <v>7246</v>
      </c>
      <c r="B13973" s="498" t="s">
        <v>46395</v>
      </c>
      <c r="C13973" s="319" t="s">
        <v>26</v>
      </c>
      <c r="D13973" s="499"/>
    </row>
    <row r="13974" spans="1:4" x14ac:dyDescent="0.2">
      <c r="A13974" s="319">
        <v>12869</v>
      </c>
      <c r="B13974" s="498" t="s">
        <v>46396</v>
      </c>
      <c r="C13974" s="319" t="s">
        <v>558</v>
      </c>
      <c r="D13974" s="499">
        <v>18.059999999999999</v>
      </c>
    </row>
    <row r="13975" spans="1:4" x14ac:dyDescent="0.2">
      <c r="A13975" s="319">
        <v>41097</v>
      </c>
      <c r="B13975" s="498" t="s">
        <v>46397</v>
      </c>
      <c r="C13975" s="319" t="s">
        <v>5681</v>
      </c>
      <c r="D13975" s="499">
        <v>3176.68</v>
      </c>
    </row>
    <row r="13976" spans="1:4" ht="25.5" x14ac:dyDescent="0.2">
      <c r="A13976" s="319">
        <v>1574</v>
      </c>
      <c r="B13976" s="498" t="s">
        <v>46398</v>
      </c>
      <c r="C13976" s="319" t="s">
        <v>26</v>
      </c>
      <c r="D13976" s="499"/>
    </row>
    <row r="13977" spans="1:4" ht="25.5" x14ac:dyDescent="0.2">
      <c r="A13977" s="319">
        <v>1581</v>
      </c>
      <c r="B13977" s="498" t="s">
        <v>46399</v>
      </c>
      <c r="C13977" s="319" t="s">
        <v>26</v>
      </c>
      <c r="D13977" s="499"/>
    </row>
    <row r="13978" spans="1:4" ht="25.5" x14ac:dyDescent="0.2">
      <c r="A13978" s="319">
        <v>1575</v>
      </c>
      <c r="B13978" s="498" t="s">
        <v>46400</v>
      </c>
      <c r="C13978" s="319" t="s">
        <v>26</v>
      </c>
      <c r="D13978" s="499"/>
    </row>
    <row r="13979" spans="1:4" ht="25.5" x14ac:dyDescent="0.2">
      <c r="A13979" s="319">
        <v>1570</v>
      </c>
      <c r="B13979" s="498" t="s">
        <v>46401</v>
      </c>
      <c r="C13979" s="319" t="s">
        <v>26</v>
      </c>
      <c r="D13979" s="499"/>
    </row>
    <row r="13980" spans="1:4" ht="25.5" x14ac:dyDescent="0.2">
      <c r="A13980" s="319">
        <v>1576</v>
      </c>
      <c r="B13980" s="498" t="s">
        <v>46402</v>
      </c>
      <c r="C13980" s="319" t="s">
        <v>26</v>
      </c>
      <c r="D13980" s="499"/>
    </row>
    <row r="13981" spans="1:4" ht="25.5" x14ac:dyDescent="0.2">
      <c r="A13981" s="319">
        <v>1577</v>
      </c>
      <c r="B13981" s="498" t="s">
        <v>46403</v>
      </c>
      <c r="C13981" s="319" t="s">
        <v>26</v>
      </c>
      <c r="D13981" s="499"/>
    </row>
    <row r="13982" spans="1:4" ht="25.5" x14ac:dyDescent="0.2">
      <c r="A13982" s="319">
        <v>1571</v>
      </c>
      <c r="B13982" s="498" t="s">
        <v>46404</v>
      </c>
      <c r="C13982" s="319" t="s">
        <v>26</v>
      </c>
      <c r="D13982" s="499"/>
    </row>
    <row r="13983" spans="1:4" ht="25.5" x14ac:dyDescent="0.2">
      <c r="A13983" s="319">
        <v>1578</v>
      </c>
      <c r="B13983" s="498" t="s">
        <v>46405</v>
      </c>
      <c r="C13983" s="319" t="s">
        <v>26</v>
      </c>
      <c r="D13983" s="499"/>
    </row>
    <row r="13984" spans="1:4" ht="25.5" x14ac:dyDescent="0.2">
      <c r="A13984" s="319">
        <v>1573</v>
      </c>
      <c r="B13984" s="498" t="s">
        <v>46406</v>
      </c>
      <c r="C13984" s="319" t="s">
        <v>26</v>
      </c>
      <c r="D13984" s="499"/>
    </row>
    <row r="13985" spans="1:4" ht="25.5" x14ac:dyDescent="0.2">
      <c r="A13985" s="319">
        <v>1579</v>
      </c>
      <c r="B13985" s="498" t="s">
        <v>46407</v>
      </c>
      <c r="C13985" s="319" t="s">
        <v>26</v>
      </c>
      <c r="D13985" s="499"/>
    </row>
    <row r="13986" spans="1:4" ht="25.5" x14ac:dyDescent="0.2">
      <c r="A13986" s="319">
        <v>1580</v>
      </c>
      <c r="B13986" s="498" t="s">
        <v>46408</v>
      </c>
      <c r="C13986" s="319" t="s">
        <v>26</v>
      </c>
      <c r="D13986" s="499"/>
    </row>
    <row r="13987" spans="1:4" x14ac:dyDescent="0.2">
      <c r="A13987" s="319">
        <v>39321</v>
      </c>
      <c r="B13987" s="498" t="s">
        <v>18113</v>
      </c>
      <c r="C13987" s="319" t="s">
        <v>26</v>
      </c>
      <c r="D13987" s="499">
        <v>23.51</v>
      </c>
    </row>
    <row r="13988" spans="1:4" x14ac:dyDescent="0.2">
      <c r="A13988" s="319">
        <v>39319</v>
      </c>
      <c r="B13988" s="498" t="s">
        <v>18115</v>
      </c>
      <c r="C13988" s="319" t="s">
        <v>26</v>
      </c>
      <c r="D13988" s="499">
        <v>9.7799999999999994</v>
      </c>
    </row>
    <row r="13989" spans="1:4" x14ac:dyDescent="0.2">
      <c r="A13989" s="319">
        <v>39320</v>
      </c>
      <c r="B13989" s="498" t="s">
        <v>18117</v>
      </c>
      <c r="C13989" s="319" t="s">
        <v>26</v>
      </c>
      <c r="D13989" s="499">
        <v>18.809999999999999</v>
      </c>
    </row>
    <row r="13990" spans="1:4" ht="25.5" x14ac:dyDescent="0.2">
      <c r="A13990" s="319">
        <v>1542</v>
      </c>
      <c r="B13990" s="498" t="s">
        <v>46409</v>
      </c>
      <c r="C13990" s="319" t="s">
        <v>26</v>
      </c>
      <c r="D13990" s="499"/>
    </row>
    <row r="13991" spans="1:4" ht="25.5" x14ac:dyDescent="0.2">
      <c r="A13991" s="319">
        <v>1591</v>
      </c>
      <c r="B13991" s="498" t="s">
        <v>46410</v>
      </c>
      <c r="C13991" s="319" t="s">
        <v>26</v>
      </c>
      <c r="D13991" s="499"/>
    </row>
    <row r="13992" spans="1:4" ht="25.5" x14ac:dyDescent="0.2">
      <c r="A13992" s="319">
        <v>1547</v>
      </c>
      <c r="B13992" s="498" t="s">
        <v>46411</v>
      </c>
      <c r="C13992" s="319" t="s">
        <v>26</v>
      </c>
      <c r="D13992" s="499"/>
    </row>
    <row r="13993" spans="1:4" ht="25.5" x14ac:dyDescent="0.2">
      <c r="A13993" s="319">
        <v>38196</v>
      </c>
      <c r="B13993" s="498" t="s">
        <v>46412</v>
      </c>
      <c r="C13993" s="319" t="s">
        <v>26</v>
      </c>
      <c r="D13993" s="499"/>
    </row>
    <row r="13994" spans="1:4" ht="25.5" x14ac:dyDescent="0.2">
      <c r="A13994" s="319">
        <v>1543</v>
      </c>
      <c r="B13994" s="498" t="s">
        <v>46413</v>
      </c>
      <c r="C13994" s="319" t="s">
        <v>26</v>
      </c>
      <c r="D13994" s="499"/>
    </row>
    <row r="13995" spans="1:4" ht="25.5" x14ac:dyDescent="0.2">
      <c r="A13995" s="319">
        <v>1585</v>
      </c>
      <c r="B13995" s="498" t="s">
        <v>46414</v>
      </c>
      <c r="C13995" s="319" t="s">
        <v>26</v>
      </c>
      <c r="D13995" s="499"/>
    </row>
    <row r="13996" spans="1:4" ht="25.5" x14ac:dyDescent="0.2">
      <c r="A13996" s="319">
        <v>1593</v>
      </c>
      <c r="B13996" s="498" t="s">
        <v>46415</v>
      </c>
      <c r="C13996" s="319" t="s">
        <v>26</v>
      </c>
      <c r="D13996" s="499"/>
    </row>
    <row r="13997" spans="1:4" ht="25.5" x14ac:dyDescent="0.2">
      <c r="A13997" s="319">
        <v>11838</v>
      </c>
      <c r="B13997" s="498" t="s">
        <v>46416</v>
      </c>
      <c r="C13997" s="319" t="s">
        <v>26</v>
      </c>
      <c r="D13997" s="499"/>
    </row>
    <row r="13998" spans="1:4" ht="25.5" x14ac:dyDescent="0.2">
      <c r="A13998" s="319">
        <v>1594</v>
      </c>
      <c r="B13998" s="498" t="s">
        <v>46417</v>
      </c>
      <c r="C13998" s="319" t="s">
        <v>26</v>
      </c>
      <c r="D13998" s="499"/>
    </row>
    <row r="13999" spans="1:4" ht="25.5" x14ac:dyDescent="0.2">
      <c r="A13999" s="319">
        <v>1586</v>
      </c>
      <c r="B13999" s="498" t="s">
        <v>46418</v>
      </c>
      <c r="C13999" s="319" t="s">
        <v>26</v>
      </c>
      <c r="D13999" s="499"/>
    </row>
    <row r="14000" spans="1:4" ht="25.5" x14ac:dyDescent="0.2">
      <c r="A14000" s="319">
        <v>11839</v>
      </c>
      <c r="B14000" s="498" t="s">
        <v>46419</v>
      </c>
      <c r="C14000" s="319" t="s">
        <v>26</v>
      </c>
      <c r="D14000" s="499"/>
    </row>
    <row r="14001" spans="1:4" ht="25.5" x14ac:dyDescent="0.2">
      <c r="A14001" s="319">
        <v>1587</v>
      </c>
      <c r="B14001" s="498" t="s">
        <v>46420</v>
      </c>
      <c r="C14001" s="319" t="s">
        <v>26</v>
      </c>
      <c r="D14001" s="499"/>
    </row>
    <row r="14002" spans="1:4" ht="25.5" x14ac:dyDescent="0.2">
      <c r="A14002" s="319">
        <v>1545</v>
      </c>
      <c r="B14002" s="498" t="s">
        <v>46421</v>
      </c>
      <c r="C14002" s="319" t="s">
        <v>26</v>
      </c>
      <c r="D14002" s="499"/>
    </row>
    <row r="14003" spans="1:4" ht="25.5" x14ac:dyDescent="0.2">
      <c r="A14003" s="319">
        <v>1588</v>
      </c>
      <c r="B14003" s="498" t="s">
        <v>46422</v>
      </c>
      <c r="C14003" s="319" t="s">
        <v>26</v>
      </c>
      <c r="D14003" s="499"/>
    </row>
    <row r="14004" spans="1:4" ht="25.5" x14ac:dyDescent="0.2">
      <c r="A14004" s="319">
        <v>1535</v>
      </c>
      <c r="B14004" s="498" t="s">
        <v>46423</v>
      </c>
      <c r="C14004" s="319" t="s">
        <v>26</v>
      </c>
      <c r="D14004" s="499"/>
    </row>
    <row r="14005" spans="1:4" ht="25.5" x14ac:dyDescent="0.2">
      <c r="A14005" s="319">
        <v>1589</v>
      </c>
      <c r="B14005" s="498" t="s">
        <v>46424</v>
      </c>
      <c r="C14005" s="319" t="s">
        <v>26</v>
      </c>
      <c r="D14005" s="499"/>
    </row>
    <row r="14006" spans="1:4" ht="25.5" x14ac:dyDescent="0.2">
      <c r="A14006" s="319">
        <v>1546</v>
      </c>
      <c r="B14006" s="498" t="s">
        <v>46425</v>
      </c>
      <c r="C14006" s="319" t="s">
        <v>26</v>
      </c>
      <c r="D14006" s="499"/>
    </row>
    <row r="14007" spans="1:4" ht="25.5" x14ac:dyDescent="0.2">
      <c r="A14007" s="319">
        <v>1590</v>
      </c>
      <c r="B14007" s="498" t="s">
        <v>46426</v>
      </c>
      <c r="C14007" s="319" t="s">
        <v>26</v>
      </c>
      <c r="D14007" s="499"/>
    </row>
    <row r="14008" spans="1:4" ht="25.5" x14ac:dyDescent="0.2">
      <c r="A14008" s="319">
        <v>38415</v>
      </c>
      <c r="B14008" s="498" t="s">
        <v>46427</v>
      </c>
      <c r="C14008" s="319" t="s">
        <v>26</v>
      </c>
      <c r="D14008" s="499">
        <v>1338.97</v>
      </c>
    </row>
    <row r="14009" spans="1:4" ht="25.5" x14ac:dyDescent="0.2">
      <c r="A14009" s="319">
        <v>38414</v>
      </c>
      <c r="B14009" s="498" t="s">
        <v>46428</v>
      </c>
      <c r="C14009" s="319" t="s">
        <v>26</v>
      </c>
      <c r="D14009" s="499">
        <v>1879.26</v>
      </c>
    </row>
    <row r="14010" spans="1:4" x14ac:dyDescent="0.2">
      <c r="A14010" s="319">
        <v>38128</v>
      </c>
      <c r="B14010" s="498" t="s">
        <v>46429</v>
      </c>
      <c r="C14010" s="319" t="s">
        <v>1284</v>
      </c>
      <c r="D14010" s="499">
        <v>1.45</v>
      </c>
    </row>
    <row r="14011" spans="1:4" x14ac:dyDescent="0.2">
      <c r="A14011" s="319">
        <v>7253</v>
      </c>
      <c r="B14011" s="498" t="s">
        <v>46430</v>
      </c>
      <c r="C14011" s="319" t="s">
        <v>271</v>
      </c>
      <c r="D14011" s="499">
        <v>310.70999999999998</v>
      </c>
    </row>
    <row r="14012" spans="1:4" x14ac:dyDescent="0.2">
      <c r="A14012" s="319">
        <v>4806</v>
      </c>
      <c r="B14012" s="498" t="s">
        <v>46431</v>
      </c>
      <c r="C14012" s="319" t="s">
        <v>0</v>
      </c>
      <c r="D14012" s="499">
        <v>18.57</v>
      </c>
    </row>
    <row r="14013" spans="1:4" x14ac:dyDescent="0.2">
      <c r="A14013" s="319">
        <v>34401</v>
      </c>
      <c r="B14013" s="498" t="s">
        <v>46432</v>
      </c>
      <c r="C14013" s="319" t="s">
        <v>26</v>
      </c>
      <c r="D14013" s="499">
        <v>1.66</v>
      </c>
    </row>
    <row r="14014" spans="1:4" x14ac:dyDescent="0.2">
      <c r="A14014" s="319">
        <v>7256</v>
      </c>
      <c r="B14014" s="498" t="s">
        <v>46433</v>
      </c>
      <c r="C14014" s="319" t="s">
        <v>26</v>
      </c>
      <c r="D14014" s="499">
        <v>1.18</v>
      </c>
    </row>
    <row r="14015" spans="1:4" x14ac:dyDescent="0.2">
      <c r="A14015" s="319">
        <v>7260</v>
      </c>
      <c r="B14015" s="498" t="s">
        <v>46434</v>
      </c>
      <c r="C14015" s="319" t="s">
        <v>26</v>
      </c>
      <c r="D14015" s="499">
        <v>2.2400000000000002</v>
      </c>
    </row>
    <row r="14016" spans="1:4" x14ac:dyDescent="0.2">
      <c r="A14016" s="319">
        <v>7258</v>
      </c>
      <c r="B14016" s="498" t="s">
        <v>46435</v>
      </c>
      <c r="C14016" s="319" t="s">
        <v>26</v>
      </c>
      <c r="D14016" s="499">
        <v>0.57999999999999996</v>
      </c>
    </row>
    <row r="14017" spans="1:4" x14ac:dyDescent="0.2">
      <c r="A14017" s="319">
        <v>34400</v>
      </c>
      <c r="B14017" s="498" t="s">
        <v>46436</v>
      </c>
      <c r="C14017" s="319" t="s">
        <v>26</v>
      </c>
      <c r="D14017" s="499">
        <v>4.62</v>
      </c>
    </row>
    <row r="14018" spans="1:4" x14ac:dyDescent="0.2">
      <c r="A14018" s="319">
        <v>10617</v>
      </c>
      <c r="B14018" s="498" t="s">
        <v>46437</v>
      </c>
      <c r="C14018" s="319" t="s">
        <v>26</v>
      </c>
      <c r="D14018" s="499">
        <v>5.95</v>
      </c>
    </row>
    <row r="14019" spans="1:4" x14ac:dyDescent="0.2">
      <c r="A14019" s="319">
        <v>44261</v>
      </c>
      <c r="B14019" s="498" t="s">
        <v>46438</v>
      </c>
      <c r="C14019" s="319" t="s">
        <v>26</v>
      </c>
      <c r="D14019" s="499">
        <v>156.22999999999999</v>
      </c>
    </row>
    <row r="14020" spans="1:4" ht="25.5" x14ac:dyDescent="0.2">
      <c r="A14020" s="319">
        <v>7274</v>
      </c>
      <c r="B14020" s="498" t="s">
        <v>46439</v>
      </c>
      <c r="C14020" s="319" t="s">
        <v>26</v>
      </c>
      <c r="D14020" s="499">
        <v>75.63</v>
      </c>
    </row>
    <row r="14021" spans="1:4" ht="25.5" x14ac:dyDescent="0.2">
      <c r="A14021" s="319">
        <v>44326</v>
      </c>
      <c r="B14021" s="498" t="s">
        <v>46440</v>
      </c>
      <c r="C14021" s="319" t="s">
        <v>26</v>
      </c>
      <c r="D14021" s="499">
        <v>1633.54</v>
      </c>
    </row>
    <row r="14022" spans="1:4" ht="25.5" x14ac:dyDescent="0.2">
      <c r="A14022" s="319">
        <v>154</v>
      </c>
      <c r="B14022" s="498" t="s">
        <v>46441</v>
      </c>
      <c r="C14022" s="319" t="s">
        <v>9</v>
      </c>
      <c r="D14022" s="499">
        <v>85.17</v>
      </c>
    </row>
    <row r="14023" spans="1:4" ht="25.5" x14ac:dyDescent="0.2">
      <c r="A14023" s="319">
        <v>38121</v>
      </c>
      <c r="B14023" s="498" t="s">
        <v>46442</v>
      </c>
      <c r="C14023" s="319" t="s">
        <v>9</v>
      </c>
      <c r="D14023" s="499">
        <v>24.41</v>
      </c>
    </row>
    <row r="14024" spans="1:4" x14ac:dyDescent="0.2">
      <c r="A14024" s="319">
        <v>43776</v>
      </c>
      <c r="B14024" s="498" t="s">
        <v>46443</v>
      </c>
      <c r="C14024" s="319" t="s">
        <v>9</v>
      </c>
      <c r="D14024" s="499">
        <v>26.38</v>
      </c>
    </row>
    <row r="14025" spans="1:4" ht="25.5" x14ac:dyDescent="0.2">
      <c r="A14025" s="319">
        <v>7343</v>
      </c>
      <c r="B14025" s="498" t="s">
        <v>46444</v>
      </c>
      <c r="C14025" s="319" t="s">
        <v>9</v>
      </c>
      <c r="D14025" s="499">
        <v>35.909999999999997</v>
      </c>
    </row>
    <row r="14026" spans="1:4" x14ac:dyDescent="0.2">
      <c r="A14026" s="319">
        <v>7348</v>
      </c>
      <c r="B14026" s="498" t="s">
        <v>46445</v>
      </c>
      <c r="C14026" s="319" t="s">
        <v>9</v>
      </c>
      <c r="D14026" s="499">
        <v>18.850000000000001</v>
      </c>
    </row>
    <row r="14027" spans="1:4" ht="25.5" x14ac:dyDescent="0.2">
      <c r="A14027" s="319">
        <v>7313</v>
      </c>
      <c r="B14027" s="498" t="s">
        <v>46446</v>
      </c>
      <c r="C14027" s="319" t="s">
        <v>9</v>
      </c>
      <c r="D14027" s="499"/>
    </row>
    <row r="14028" spans="1:4" ht="25.5" x14ac:dyDescent="0.2">
      <c r="A14028" s="319">
        <v>7319</v>
      </c>
      <c r="B14028" s="498" t="s">
        <v>46447</v>
      </c>
      <c r="C14028" s="319" t="s">
        <v>9</v>
      </c>
      <c r="D14028" s="499"/>
    </row>
    <row r="14029" spans="1:4" x14ac:dyDescent="0.2">
      <c r="A14029" s="319">
        <v>7314</v>
      </c>
      <c r="B14029" s="498" t="s">
        <v>46448</v>
      </c>
      <c r="C14029" s="319" t="s">
        <v>9</v>
      </c>
      <c r="D14029" s="499">
        <v>85.33</v>
      </c>
    </row>
    <row r="14030" spans="1:4" x14ac:dyDescent="0.2">
      <c r="A14030" s="319">
        <v>7304</v>
      </c>
      <c r="B14030" s="498" t="s">
        <v>46449</v>
      </c>
      <c r="C14030" s="319" t="s">
        <v>9</v>
      </c>
      <c r="D14030" s="499">
        <v>78.19</v>
      </c>
    </row>
    <row r="14031" spans="1:4" x14ac:dyDescent="0.2">
      <c r="A14031" s="319">
        <v>43649</v>
      </c>
      <c r="B14031" s="498" t="s">
        <v>46450</v>
      </c>
      <c r="C14031" s="319" t="s">
        <v>9</v>
      </c>
      <c r="D14031" s="499">
        <v>40.44</v>
      </c>
    </row>
    <row r="14032" spans="1:4" x14ac:dyDescent="0.2">
      <c r="A14032" s="319">
        <v>43650</v>
      </c>
      <c r="B14032" s="498" t="s">
        <v>46451</v>
      </c>
      <c r="C14032" s="319" t="s">
        <v>9</v>
      </c>
      <c r="D14032" s="499">
        <v>38.21</v>
      </c>
    </row>
    <row r="14033" spans="1:4" x14ac:dyDescent="0.2">
      <c r="A14033" s="319">
        <v>7311</v>
      </c>
      <c r="B14033" s="498" t="s">
        <v>46452</v>
      </c>
      <c r="C14033" s="319" t="s">
        <v>9</v>
      </c>
      <c r="D14033" s="499">
        <v>39.14</v>
      </c>
    </row>
    <row r="14034" spans="1:4" x14ac:dyDescent="0.2">
      <c r="A14034" s="319">
        <v>7292</v>
      </c>
      <c r="B14034" s="498" t="s">
        <v>46453</v>
      </c>
      <c r="C14034" s="319" t="s">
        <v>9</v>
      </c>
      <c r="D14034" s="499">
        <v>37.9</v>
      </c>
    </row>
    <row r="14035" spans="1:4" ht="25.5" x14ac:dyDescent="0.2">
      <c r="A14035" s="319">
        <v>7293</v>
      </c>
      <c r="B14035" s="498" t="s">
        <v>46454</v>
      </c>
      <c r="C14035" s="319" t="s">
        <v>9</v>
      </c>
      <c r="D14035" s="499">
        <v>41.93</v>
      </c>
    </row>
    <row r="14036" spans="1:4" ht="25.5" x14ac:dyDescent="0.2">
      <c r="A14036" s="319">
        <v>7306</v>
      </c>
      <c r="B14036" s="498" t="s">
        <v>46455</v>
      </c>
      <c r="C14036" s="319" t="s">
        <v>9</v>
      </c>
      <c r="D14036" s="499">
        <v>46.27</v>
      </c>
    </row>
    <row r="14037" spans="1:4" x14ac:dyDescent="0.2">
      <c r="A14037" s="319">
        <v>7288</v>
      </c>
      <c r="B14037" s="498" t="s">
        <v>46456</v>
      </c>
      <c r="C14037" s="319" t="s">
        <v>9</v>
      </c>
      <c r="D14037" s="499">
        <v>38.42</v>
      </c>
    </row>
    <row r="14038" spans="1:4" x14ac:dyDescent="0.2">
      <c r="A14038" s="319">
        <v>43625</v>
      </c>
      <c r="B14038" s="498" t="s">
        <v>46457</v>
      </c>
      <c r="C14038" s="319" t="s">
        <v>9</v>
      </c>
      <c r="D14038" s="499">
        <v>31.02</v>
      </c>
    </row>
    <row r="14039" spans="1:4" x14ac:dyDescent="0.2">
      <c r="A14039" s="319">
        <v>43647</v>
      </c>
      <c r="B14039" s="498" t="s">
        <v>46458</v>
      </c>
      <c r="C14039" s="319" t="s">
        <v>9</v>
      </c>
      <c r="D14039" s="499">
        <v>28.18</v>
      </c>
    </row>
    <row r="14040" spans="1:4" x14ac:dyDescent="0.2">
      <c r="A14040" s="319">
        <v>43648</v>
      </c>
      <c r="B14040" s="498" t="s">
        <v>46459</v>
      </c>
      <c r="C14040" s="319" t="s">
        <v>9</v>
      </c>
      <c r="D14040" s="499">
        <v>27.19</v>
      </c>
    </row>
    <row r="14041" spans="1:4" x14ac:dyDescent="0.2">
      <c r="A14041" s="319">
        <v>35693</v>
      </c>
      <c r="B14041" s="498" t="s">
        <v>46460</v>
      </c>
      <c r="C14041" s="319" t="s">
        <v>9</v>
      </c>
      <c r="D14041" s="499">
        <v>11.72</v>
      </c>
    </row>
    <row r="14042" spans="1:4" x14ac:dyDescent="0.2">
      <c r="A14042" s="319">
        <v>7356</v>
      </c>
      <c r="B14042" s="498" t="s">
        <v>46461</v>
      </c>
      <c r="C14042" s="319" t="s">
        <v>9</v>
      </c>
      <c r="D14042" s="499">
        <v>28.11</v>
      </c>
    </row>
    <row r="14043" spans="1:4" x14ac:dyDescent="0.2">
      <c r="A14043" s="319">
        <v>35692</v>
      </c>
      <c r="B14043" s="498" t="s">
        <v>46462</v>
      </c>
      <c r="C14043" s="319" t="s">
        <v>9</v>
      </c>
      <c r="D14043" s="499">
        <v>18.399999999999999</v>
      </c>
    </row>
    <row r="14044" spans="1:4" x14ac:dyDescent="0.2">
      <c r="A14044" s="319">
        <v>43624</v>
      </c>
      <c r="B14044" s="498" t="s">
        <v>46463</v>
      </c>
      <c r="C14044" s="319" t="s">
        <v>9</v>
      </c>
      <c r="D14044" s="499">
        <v>34.26</v>
      </c>
    </row>
    <row r="14045" spans="1:4" x14ac:dyDescent="0.2">
      <c r="A14045" s="319">
        <v>7342</v>
      </c>
      <c r="B14045" s="498" t="s">
        <v>46464</v>
      </c>
      <c r="C14045" s="319" t="s">
        <v>1284</v>
      </c>
      <c r="D14045" s="499"/>
    </row>
    <row r="14046" spans="1:4" x14ac:dyDescent="0.2">
      <c r="A14046" s="319">
        <v>7350</v>
      </c>
      <c r="B14046" s="498" t="s">
        <v>46465</v>
      </c>
      <c r="C14046" s="319" t="s">
        <v>9</v>
      </c>
      <c r="D14046" s="499">
        <v>40.57</v>
      </c>
    </row>
    <row r="14047" spans="1:4" ht="25.5" x14ac:dyDescent="0.2">
      <c r="A14047" s="319">
        <v>39574</v>
      </c>
      <c r="B14047" s="498" t="s">
        <v>46466</v>
      </c>
      <c r="C14047" s="319" t="s">
        <v>26</v>
      </c>
      <c r="D14047" s="499">
        <v>5.66</v>
      </c>
    </row>
    <row r="14048" spans="1:4" ht="25.5" x14ac:dyDescent="0.2">
      <c r="A14048" s="319">
        <v>11060</v>
      </c>
      <c r="B14048" s="498" t="s">
        <v>46467</v>
      </c>
      <c r="C14048" s="319" t="s">
        <v>26</v>
      </c>
      <c r="D14048" s="499">
        <v>30.72</v>
      </c>
    </row>
    <row r="14049" spans="1:4" x14ac:dyDescent="0.2">
      <c r="A14049" s="319">
        <v>37401</v>
      </c>
      <c r="B14049" s="498" t="s">
        <v>19962</v>
      </c>
      <c r="C14049" s="319" t="s">
        <v>26</v>
      </c>
      <c r="D14049" s="499">
        <v>44.75</v>
      </c>
    </row>
    <row r="14050" spans="1:4" x14ac:dyDescent="0.2">
      <c r="A14050" s="319">
        <v>38101</v>
      </c>
      <c r="B14050" s="498" t="s">
        <v>46468</v>
      </c>
      <c r="C14050" s="319" t="s">
        <v>26</v>
      </c>
      <c r="D14050" s="499">
        <v>7.37</v>
      </c>
    </row>
    <row r="14051" spans="1:4" ht="25.5" x14ac:dyDescent="0.2">
      <c r="A14051" s="319">
        <v>7528</v>
      </c>
      <c r="B14051" s="498" t="s">
        <v>46469</v>
      </c>
      <c r="C14051" s="319" t="s">
        <v>26</v>
      </c>
      <c r="D14051" s="499">
        <v>8.66</v>
      </c>
    </row>
    <row r="14052" spans="1:4" ht="25.5" x14ac:dyDescent="0.2">
      <c r="A14052" s="319">
        <v>12147</v>
      </c>
      <c r="B14052" s="498" t="s">
        <v>46470</v>
      </c>
      <c r="C14052" s="319" t="s">
        <v>26</v>
      </c>
      <c r="D14052" s="499">
        <v>13.2</v>
      </c>
    </row>
    <row r="14053" spans="1:4" ht="25.5" x14ac:dyDescent="0.2">
      <c r="A14053" s="319">
        <v>38075</v>
      </c>
      <c r="B14053" s="498" t="s">
        <v>46471</v>
      </c>
      <c r="C14053" s="319" t="s">
        <v>26</v>
      </c>
      <c r="D14053" s="499">
        <v>15</v>
      </c>
    </row>
    <row r="14054" spans="1:4" x14ac:dyDescent="0.2">
      <c r="A14054" s="319">
        <v>38102</v>
      </c>
      <c r="B14054" s="498" t="s">
        <v>46472</v>
      </c>
      <c r="C14054" s="319" t="s">
        <v>26</v>
      </c>
      <c r="D14054" s="499">
        <v>9.43</v>
      </c>
    </row>
    <row r="14055" spans="1:4" x14ac:dyDescent="0.2">
      <c r="A14055" s="319">
        <v>7525</v>
      </c>
      <c r="B14055" s="498" t="s">
        <v>46473</v>
      </c>
      <c r="C14055" s="319" t="s">
        <v>26</v>
      </c>
      <c r="D14055" s="499">
        <v>42.64</v>
      </c>
    </row>
    <row r="14056" spans="1:4" x14ac:dyDescent="0.2">
      <c r="A14056" s="319">
        <v>7524</v>
      </c>
      <c r="B14056" s="498" t="s">
        <v>46474</v>
      </c>
      <c r="C14056" s="319" t="s">
        <v>26</v>
      </c>
      <c r="D14056" s="499">
        <v>40.18</v>
      </c>
    </row>
    <row r="14057" spans="1:4" x14ac:dyDescent="0.2">
      <c r="A14057" s="319">
        <v>38105</v>
      </c>
      <c r="B14057" s="498" t="s">
        <v>46475</v>
      </c>
      <c r="C14057" s="319" t="s">
        <v>26</v>
      </c>
      <c r="D14057" s="499">
        <v>10.32</v>
      </c>
    </row>
    <row r="14058" spans="1:4" ht="25.5" x14ac:dyDescent="0.2">
      <c r="A14058" s="319">
        <v>38084</v>
      </c>
      <c r="B14058" s="498" t="s">
        <v>46476</v>
      </c>
      <c r="C14058" s="319" t="s">
        <v>26</v>
      </c>
      <c r="D14058" s="499">
        <v>14.66</v>
      </c>
    </row>
    <row r="14059" spans="1:4" x14ac:dyDescent="0.2">
      <c r="A14059" s="319">
        <v>38103</v>
      </c>
      <c r="B14059" s="498" t="s">
        <v>46477</v>
      </c>
      <c r="C14059" s="319" t="s">
        <v>26</v>
      </c>
      <c r="D14059" s="499">
        <v>15.49</v>
      </c>
    </row>
    <row r="14060" spans="1:4" ht="25.5" x14ac:dyDescent="0.2">
      <c r="A14060" s="319">
        <v>38082</v>
      </c>
      <c r="B14060" s="498" t="s">
        <v>46478</v>
      </c>
      <c r="C14060" s="319" t="s">
        <v>26</v>
      </c>
      <c r="D14060" s="499">
        <v>19.09</v>
      </c>
    </row>
    <row r="14061" spans="1:4" x14ac:dyDescent="0.2">
      <c r="A14061" s="319">
        <v>38104</v>
      </c>
      <c r="B14061" s="498" t="s">
        <v>46479</v>
      </c>
      <c r="C14061" s="319" t="s">
        <v>26</v>
      </c>
      <c r="D14061" s="499">
        <v>30.34</v>
      </c>
    </row>
    <row r="14062" spans="1:4" ht="25.5" x14ac:dyDescent="0.2">
      <c r="A14062" s="319">
        <v>38083</v>
      </c>
      <c r="B14062" s="498" t="s">
        <v>46480</v>
      </c>
      <c r="C14062" s="319" t="s">
        <v>26</v>
      </c>
      <c r="D14062" s="499">
        <v>33.68</v>
      </c>
    </row>
    <row r="14063" spans="1:4" ht="25.5" x14ac:dyDescent="0.2">
      <c r="A14063" s="319">
        <v>38076</v>
      </c>
      <c r="B14063" s="498" t="s">
        <v>46481</v>
      </c>
      <c r="C14063" s="319" t="s">
        <v>26</v>
      </c>
      <c r="D14063" s="499">
        <v>16.809999999999999</v>
      </c>
    </row>
    <row r="14064" spans="1:4" x14ac:dyDescent="0.2">
      <c r="A14064" s="319">
        <v>7592</v>
      </c>
      <c r="B14064" s="498" t="s">
        <v>46482</v>
      </c>
      <c r="C14064" s="319" t="s">
        <v>558</v>
      </c>
      <c r="D14064" s="499">
        <v>34.03</v>
      </c>
    </row>
    <row r="14065" spans="1:4" x14ac:dyDescent="0.2">
      <c r="A14065" s="319">
        <v>40820</v>
      </c>
      <c r="B14065" s="498" t="s">
        <v>46483</v>
      </c>
      <c r="C14065" s="319" t="s">
        <v>5681</v>
      </c>
      <c r="D14065" s="499">
        <v>5980.66</v>
      </c>
    </row>
    <row r="14066" spans="1:4" ht="25.5" x14ac:dyDescent="0.2">
      <c r="A14066" s="319">
        <v>11826</v>
      </c>
      <c r="B14066" s="498" t="s">
        <v>48356</v>
      </c>
      <c r="C14066" s="319" t="s">
        <v>26</v>
      </c>
      <c r="D14066" s="499">
        <v>50.56</v>
      </c>
    </row>
    <row r="14067" spans="1:4" ht="25.5" x14ac:dyDescent="0.2">
      <c r="A14067" s="319">
        <v>7606</v>
      </c>
      <c r="B14067" s="498" t="s">
        <v>48357</v>
      </c>
      <c r="C14067" s="319" t="s">
        <v>26</v>
      </c>
      <c r="D14067" s="499">
        <v>60.8</v>
      </c>
    </row>
    <row r="14068" spans="1:4" ht="25.5" x14ac:dyDescent="0.2">
      <c r="A14068" s="319">
        <v>11825</v>
      </c>
      <c r="B14068" s="498" t="s">
        <v>46484</v>
      </c>
      <c r="C14068" s="319" t="s">
        <v>26</v>
      </c>
      <c r="D14068" s="499">
        <v>63.96</v>
      </c>
    </row>
    <row r="14069" spans="1:4" ht="25.5" x14ac:dyDescent="0.2">
      <c r="A14069" s="319">
        <v>11767</v>
      </c>
      <c r="B14069" s="498" t="s">
        <v>46485</v>
      </c>
      <c r="C14069" s="319" t="s">
        <v>26</v>
      </c>
      <c r="D14069" s="499">
        <v>170.37</v>
      </c>
    </row>
    <row r="14070" spans="1:4" ht="25.5" x14ac:dyDescent="0.2">
      <c r="A14070" s="319">
        <v>11763</v>
      </c>
      <c r="B14070" s="498" t="s">
        <v>46486</v>
      </c>
      <c r="C14070" s="319" t="s">
        <v>26</v>
      </c>
      <c r="D14070" s="499">
        <v>132.78</v>
      </c>
    </row>
    <row r="14071" spans="1:4" ht="25.5" x14ac:dyDescent="0.2">
      <c r="A14071" s="319">
        <v>11764</v>
      </c>
      <c r="B14071" s="498" t="s">
        <v>46487</v>
      </c>
      <c r="C14071" s="319" t="s">
        <v>26</v>
      </c>
      <c r="D14071" s="499">
        <v>108.94</v>
      </c>
    </row>
    <row r="14072" spans="1:4" ht="25.5" x14ac:dyDescent="0.2">
      <c r="A14072" s="319">
        <v>11829</v>
      </c>
      <c r="B14072" s="498" t="s">
        <v>46488</v>
      </c>
      <c r="C14072" s="319" t="s">
        <v>26</v>
      </c>
      <c r="D14072" s="499">
        <v>26.33</v>
      </c>
    </row>
    <row r="14073" spans="1:4" ht="25.5" x14ac:dyDescent="0.2">
      <c r="A14073" s="319">
        <v>11830</v>
      </c>
      <c r="B14073" s="498" t="s">
        <v>46489</v>
      </c>
      <c r="C14073" s="319" t="s">
        <v>26</v>
      </c>
      <c r="D14073" s="499">
        <v>28.43</v>
      </c>
    </row>
    <row r="14074" spans="1:4" ht="25.5" x14ac:dyDescent="0.2">
      <c r="A14074" s="319">
        <v>11765</v>
      </c>
      <c r="B14074" s="498" t="s">
        <v>46490</v>
      </c>
      <c r="C14074" s="319" t="s">
        <v>26</v>
      </c>
      <c r="D14074" s="499">
        <v>72.599999999999994</v>
      </c>
    </row>
    <row r="14075" spans="1:4" ht="25.5" x14ac:dyDescent="0.2">
      <c r="A14075" s="319">
        <v>11766</v>
      </c>
      <c r="B14075" s="498" t="s">
        <v>46491</v>
      </c>
      <c r="C14075" s="319" t="s">
        <v>26</v>
      </c>
      <c r="D14075" s="499">
        <v>39.71</v>
      </c>
    </row>
    <row r="14076" spans="1:4" ht="25.5" x14ac:dyDescent="0.2">
      <c r="A14076" s="319">
        <v>11824</v>
      </c>
      <c r="B14076" s="498" t="s">
        <v>46492</v>
      </c>
      <c r="C14076" s="319" t="s">
        <v>26</v>
      </c>
      <c r="D14076" s="499">
        <v>46.71</v>
      </c>
    </row>
    <row r="14077" spans="1:4" ht="25.5" x14ac:dyDescent="0.2">
      <c r="A14077" s="319">
        <v>44045</v>
      </c>
      <c r="B14077" s="498" t="s">
        <v>46493</v>
      </c>
      <c r="C14077" s="319" t="s">
        <v>26</v>
      </c>
      <c r="D14077" s="499">
        <v>310.72000000000003</v>
      </c>
    </row>
    <row r="14078" spans="1:4" ht="25.5" x14ac:dyDescent="0.2">
      <c r="A14078" s="319">
        <v>39702</v>
      </c>
      <c r="B14078" s="498" t="s">
        <v>46494</v>
      </c>
      <c r="C14078" s="319" t="s">
        <v>26</v>
      </c>
      <c r="D14078" s="499">
        <v>2063.61</v>
      </c>
    </row>
    <row r="14079" spans="1:4" ht="25.5" x14ac:dyDescent="0.2">
      <c r="A14079" s="319">
        <v>13415</v>
      </c>
      <c r="B14079" s="498" t="s">
        <v>46495</v>
      </c>
      <c r="C14079" s="319" t="s">
        <v>26</v>
      </c>
      <c r="D14079" s="499">
        <v>67.75</v>
      </c>
    </row>
    <row r="14080" spans="1:4" ht="38.25" x14ac:dyDescent="0.2">
      <c r="A14080" s="319">
        <v>7602</v>
      </c>
      <c r="B14080" s="498" t="s">
        <v>46496</v>
      </c>
      <c r="C14080" s="319" t="s">
        <v>26</v>
      </c>
      <c r="D14080" s="499">
        <v>43.23</v>
      </c>
    </row>
    <row r="14081" spans="1:4" ht="25.5" x14ac:dyDescent="0.2">
      <c r="A14081" s="319">
        <v>7603</v>
      </c>
      <c r="B14081" s="498" t="s">
        <v>46497</v>
      </c>
      <c r="C14081" s="319" t="s">
        <v>26</v>
      </c>
      <c r="D14081" s="499">
        <v>36.68</v>
      </c>
    </row>
    <row r="14082" spans="1:4" ht="25.5" x14ac:dyDescent="0.2">
      <c r="A14082" s="319">
        <v>11777</v>
      </c>
      <c r="B14082" s="498" t="s">
        <v>46498</v>
      </c>
      <c r="C14082" s="319" t="s">
        <v>26</v>
      </c>
      <c r="D14082" s="499">
        <v>203.83</v>
      </c>
    </row>
    <row r="14083" spans="1:4" ht="25.5" x14ac:dyDescent="0.2">
      <c r="A14083" s="319">
        <v>13417</v>
      </c>
      <c r="B14083" s="498" t="s">
        <v>46499</v>
      </c>
      <c r="C14083" s="319" t="s">
        <v>26</v>
      </c>
      <c r="D14083" s="499">
        <v>88.24</v>
      </c>
    </row>
    <row r="14084" spans="1:4" ht="25.5" x14ac:dyDescent="0.2">
      <c r="A14084" s="319">
        <v>36791</v>
      </c>
      <c r="B14084" s="498" t="s">
        <v>46500</v>
      </c>
      <c r="C14084" s="319" t="s">
        <v>26</v>
      </c>
      <c r="D14084" s="499">
        <v>132.43</v>
      </c>
    </row>
    <row r="14085" spans="1:4" ht="25.5" x14ac:dyDescent="0.2">
      <c r="A14085" s="319">
        <v>36795</v>
      </c>
      <c r="B14085" s="498" t="s">
        <v>46501</v>
      </c>
      <c r="C14085" s="319" t="s">
        <v>26</v>
      </c>
      <c r="D14085" s="499">
        <v>1674.43</v>
      </c>
    </row>
    <row r="14086" spans="1:4" ht="25.5" x14ac:dyDescent="0.2">
      <c r="A14086" s="319">
        <v>36796</v>
      </c>
      <c r="B14086" s="498" t="s">
        <v>46502</v>
      </c>
      <c r="C14086" s="319" t="s">
        <v>26</v>
      </c>
      <c r="D14086" s="499">
        <v>139.13999999999999</v>
      </c>
    </row>
    <row r="14087" spans="1:4" ht="25.5" x14ac:dyDescent="0.2">
      <c r="A14087" s="319">
        <v>36792</v>
      </c>
      <c r="B14087" s="498" t="s">
        <v>46503</v>
      </c>
      <c r="C14087" s="319" t="s">
        <v>26</v>
      </c>
      <c r="D14087" s="499">
        <v>176.26</v>
      </c>
    </row>
    <row r="14088" spans="1:4" ht="25.5" x14ac:dyDescent="0.2">
      <c r="A14088" s="319">
        <v>11773</v>
      </c>
      <c r="B14088" s="498" t="s">
        <v>46504</v>
      </c>
      <c r="C14088" s="319" t="s">
        <v>26</v>
      </c>
      <c r="D14088" s="499">
        <v>117.33</v>
      </c>
    </row>
    <row r="14089" spans="1:4" ht="25.5" x14ac:dyDescent="0.2">
      <c r="A14089" s="319">
        <v>11762</v>
      </c>
      <c r="B14089" s="498" t="s">
        <v>46505</v>
      </c>
      <c r="C14089" s="319" t="s">
        <v>26</v>
      </c>
      <c r="D14089" s="499">
        <v>55.65</v>
      </c>
    </row>
    <row r="14090" spans="1:4" ht="25.5" x14ac:dyDescent="0.2">
      <c r="A14090" s="319">
        <v>7604</v>
      </c>
      <c r="B14090" s="498" t="s">
        <v>46506</v>
      </c>
      <c r="C14090" s="319" t="s">
        <v>26</v>
      </c>
      <c r="D14090" s="499">
        <v>47.12</v>
      </c>
    </row>
    <row r="14091" spans="1:4" ht="25.5" x14ac:dyDescent="0.2">
      <c r="A14091" s="319">
        <v>13984</v>
      </c>
      <c r="B14091" s="498" t="s">
        <v>46507</v>
      </c>
      <c r="C14091" s="319" t="s">
        <v>26</v>
      </c>
      <c r="D14091" s="499">
        <v>68.48</v>
      </c>
    </row>
    <row r="14092" spans="1:4" ht="25.5" x14ac:dyDescent="0.2">
      <c r="A14092" s="319">
        <v>11772</v>
      </c>
      <c r="B14092" s="498" t="s">
        <v>46508</v>
      </c>
      <c r="C14092" s="319" t="s">
        <v>26</v>
      </c>
      <c r="D14092" s="499">
        <v>117.7</v>
      </c>
    </row>
    <row r="14093" spans="1:4" ht="25.5" x14ac:dyDescent="0.2">
      <c r="A14093" s="319">
        <v>13983</v>
      </c>
      <c r="B14093" s="498" t="s">
        <v>46509</v>
      </c>
      <c r="C14093" s="319" t="s">
        <v>26</v>
      </c>
      <c r="D14093" s="499">
        <v>89.14</v>
      </c>
    </row>
    <row r="14094" spans="1:4" ht="25.5" x14ac:dyDescent="0.2">
      <c r="A14094" s="319">
        <v>13416</v>
      </c>
      <c r="B14094" s="498" t="s">
        <v>46510</v>
      </c>
      <c r="C14094" s="319" t="s">
        <v>26</v>
      </c>
      <c r="D14094" s="499">
        <v>79.17</v>
      </c>
    </row>
    <row r="14095" spans="1:4" ht="38.25" x14ac:dyDescent="0.2">
      <c r="A14095" s="319">
        <v>40329</v>
      </c>
      <c r="B14095" s="498" t="s">
        <v>48358</v>
      </c>
      <c r="C14095" s="319" t="s">
        <v>26</v>
      </c>
      <c r="D14095" s="499">
        <v>16.5</v>
      </c>
    </row>
    <row r="14096" spans="1:4" ht="25.5" x14ac:dyDescent="0.2">
      <c r="A14096" s="319">
        <v>11823</v>
      </c>
      <c r="B14096" s="498" t="s">
        <v>46511</v>
      </c>
      <c r="C14096" s="319" t="s">
        <v>26</v>
      </c>
      <c r="D14096" s="499">
        <v>6.95</v>
      </c>
    </row>
    <row r="14097" spans="1:4" x14ac:dyDescent="0.2">
      <c r="A14097" s="319">
        <v>11822</v>
      </c>
      <c r="B14097" s="498" t="s">
        <v>46512</v>
      </c>
      <c r="C14097" s="319" t="s">
        <v>26</v>
      </c>
      <c r="D14097" s="499">
        <v>29.57</v>
      </c>
    </row>
    <row r="14098" spans="1:4" x14ac:dyDescent="0.2">
      <c r="A14098" s="319">
        <v>11831</v>
      </c>
      <c r="B14098" s="498" t="s">
        <v>46513</v>
      </c>
      <c r="C14098" s="319" t="s">
        <v>26</v>
      </c>
      <c r="D14098" s="499">
        <v>17.79</v>
      </c>
    </row>
    <row r="14099" spans="1:4" x14ac:dyDescent="0.2">
      <c r="A14099" s="319">
        <v>45249</v>
      </c>
      <c r="B14099" s="498" t="s">
        <v>48359</v>
      </c>
      <c r="C14099" s="319" t="s">
        <v>26</v>
      </c>
      <c r="D14099" s="499"/>
    </row>
    <row r="14100" spans="1:4" ht="38.25" x14ac:dyDescent="0.2">
      <c r="A14100" s="319">
        <v>7613</v>
      </c>
      <c r="B14100" s="498" t="s">
        <v>46514</v>
      </c>
      <c r="C14100" s="319" t="s">
        <v>26</v>
      </c>
      <c r="D14100" s="499"/>
    </row>
    <row r="14101" spans="1:4" ht="38.25" x14ac:dyDescent="0.2">
      <c r="A14101" s="319">
        <v>7619</v>
      </c>
      <c r="B14101" s="498" t="s">
        <v>46515</v>
      </c>
      <c r="C14101" s="319" t="s">
        <v>26</v>
      </c>
      <c r="D14101" s="499"/>
    </row>
    <row r="14102" spans="1:4" ht="38.25" x14ac:dyDescent="0.2">
      <c r="A14102" s="319">
        <v>12076</v>
      </c>
      <c r="B14102" s="498" t="s">
        <v>46516</v>
      </c>
      <c r="C14102" s="319" t="s">
        <v>26</v>
      </c>
      <c r="D14102" s="499"/>
    </row>
    <row r="14103" spans="1:4" ht="38.25" x14ac:dyDescent="0.2">
      <c r="A14103" s="319">
        <v>7614</v>
      </c>
      <c r="B14103" s="498" t="s">
        <v>46517</v>
      </c>
      <c r="C14103" s="319" t="s">
        <v>26</v>
      </c>
      <c r="D14103" s="499"/>
    </row>
    <row r="14104" spans="1:4" ht="38.25" x14ac:dyDescent="0.2">
      <c r="A14104" s="319">
        <v>7618</v>
      </c>
      <c r="B14104" s="498" t="s">
        <v>46518</v>
      </c>
      <c r="C14104" s="319" t="s">
        <v>26</v>
      </c>
      <c r="D14104" s="499"/>
    </row>
    <row r="14105" spans="1:4" ht="38.25" x14ac:dyDescent="0.2">
      <c r="A14105" s="319">
        <v>7620</v>
      </c>
      <c r="B14105" s="498" t="s">
        <v>46519</v>
      </c>
      <c r="C14105" s="319" t="s">
        <v>26</v>
      </c>
      <c r="D14105" s="499"/>
    </row>
    <row r="14106" spans="1:4" ht="38.25" x14ac:dyDescent="0.2">
      <c r="A14106" s="319">
        <v>7610</v>
      </c>
      <c r="B14106" s="498" t="s">
        <v>46520</v>
      </c>
      <c r="C14106" s="319" t="s">
        <v>26</v>
      </c>
      <c r="D14106" s="499"/>
    </row>
    <row r="14107" spans="1:4" ht="38.25" x14ac:dyDescent="0.2">
      <c r="A14107" s="319">
        <v>7615</v>
      </c>
      <c r="B14107" s="498" t="s">
        <v>46521</v>
      </c>
      <c r="C14107" s="319" t="s">
        <v>26</v>
      </c>
      <c r="D14107" s="499"/>
    </row>
    <row r="14108" spans="1:4" ht="38.25" x14ac:dyDescent="0.2">
      <c r="A14108" s="319">
        <v>7617</v>
      </c>
      <c r="B14108" s="498" t="s">
        <v>46522</v>
      </c>
      <c r="C14108" s="319" t="s">
        <v>26</v>
      </c>
      <c r="D14108" s="499"/>
    </row>
    <row r="14109" spans="1:4" ht="38.25" x14ac:dyDescent="0.2">
      <c r="A14109" s="319">
        <v>7616</v>
      </c>
      <c r="B14109" s="498" t="s">
        <v>46523</v>
      </c>
      <c r="C14109" s="319" t="s">
        <v>26</v>
      </c>
      <c r="D14109" s="499"/>
    </row>
    <row r="14110" spans="1:4" ht="38.25" x14ac:dyDescent="0.2">
      <c r="A14110" s="319">
        <v>7611</v>
      </c>
      <c r="B14110" s="498" t="s">
        <v>46524</v>
      </c>
      <c r="C14110" s="319" t="s">
        <v>26</v>
      </c>
      <c r="D14110" s="499"/>
    </row>
    <row r="14111" spans="1:4" ht="38.25" x14ac:dyDescent="0.2">
      <c r="A14111" s="319">
        <v>7612</v>
      </c>
      <c r="B14111" s="498" t="s">
        <v>46525</v>
      </c>
      <c r="C14111" s="319" t="s">
        <v>26</v>
      </c>
      <c r="D14111" s="499"/>
    </row>
    <row r="14112" spans="1:4" x14ac:dyDescent="0.2">
      <c r="A14112" s="319">
        <v>37371</v>
      </c>
      <c r="B14112" s="498" t="s">
        <v>46526</v>
      </c>
      <c r="C14112" s="319" t="s">
        <v>558</v>
      </c>
      <c r="D14112" s="499">
        <v>1.0900000000000001</v>
      </c>
    </row>
    <row r="14113" spans="1:4" ht="25.5" x14ac:dyDescent="0.2">
      <c r="A14113" s="319">
        <v>40861</v>
      </c>
      <c r="B14113" s="498" t="s">
        <v>46527</v>
      </c>
      <c r="C14113" s="319" t="s">
        <v>5681</v>
      </c>
      <c r="D14113" s="499">
        <v>206.27</v>
      </c>
    </row>
    <row r="14114" spans="1:4" ht="25.5" x14ac:dyDescent="0.2">
      <c r="A14114" s="319">
        <v>36509</v>
      </c>
      <c r="B14114" s="498" t="s">
        <v>46528</v>
      </c>
      <c r="C14114" s="319" t="s">
        <v>26</v>
      </c>
      <c r="D14114" s="499"/>
    </row>
    <row r="14115" spans="1:4" ht="25.5" x14ac:dyDescent="0.2">
      <c r="A14115" s="319">
        <v>36510</v>
      </c>
      <c r="B14115" s="498" t="s">
        <v>46529</v>
      </c>
      <c r="C14115" s="319" t="s">
        <v>26</v>
      </c>
      <c r="D14115" s="499"/>
    </row>
    <row r="14116" spans="1:4" ht="25.5" x14ac:dyDescent="0.2">
      <c r="A14116" s="319">
        <v>25020</v>
      </c>
      <c r="B14116" s="498" t="s">
        <v>46530</v>
      </c>
      <c r="C14116" s="319" t="s">
        <v>26</v>
      </c>
      <c r="D14116" s="499"/>
    </row>
    <row r="14117" spans="1:4" ht="25.5" x14ac:dyDescent="0.2">
      <c r="A14117" s="319">
        <v>7622</v>
      </c>
      <c r="B14117" s="498" t="s">
        <v>46531</v>
      </c>
      <c r="C14117" s="319" t="s">
        <v>26</v>
      </c>
      <c r="D14117" s="499"/>
    </row>
    <row r="14118" spans="1:4" ht="25.5" x14ac:dyDescent="0.2">
      <c r="A14118" s="319">
        <v>7624</v>
      </c>
      <c r="B14118" s="498" t="s">
        <v>46532</v>
      </c>
      <c r="C14118" s="319" t="s">
        <v>26</v>
      </c>
      <c r="D14118" s="499"/>
    </row>
    <row r="14119" spans="1:4" ht="25.5" x14ac:dyDescent="0.2">
      <c r="A14119" s="319">
        <v>7625</v>
      </c>
      <c r="B14119" s="498" t="s">
        <v>46533</v>
      </c>
      <c r="C14119" s="319" t="s">
        <v>26</v>
      </c>
      <c r="D14119" s="499"/>
    </row>
    <row r="14120" spans="1:4" ht="25.5" x14ac:dyDescent="0.2">
      <c r="A14120" s="319">
        <v>7623</v>
      </c>
      <c r="B14120" s="498" t="s">
        <v>46534</v>
      </c>
      <c r="C14120" s="319" t="s">
        <v>26</v>
      </c>
      <c r="D14120" s="499"/>
    </row>
    <row r="14121" spans="1:4" ht="25.5" x14ac:dyDescent="0.2">
      <c r="A14121" s="319">
        <v>36508</v>
      </c>
      <c r="B14121" s="498" t="s">
        <v>46535</v>
      </c>
      <c r="C14121" s="319" t="s">
        <v>26</v>
      </c>
      <c r="D14121" s="499"/>
    </row>
    <row r="14122" spans="1:4" ht="25.5" x14ac:dyDescent="0.2">
      <c r="A14122" s="319">
        <v>13238</v>
      </c>
      <c r="B14122" s="498" t="s">
        <v>46536</v>
      </c>
      <c r="C14122" s="319" t="s">
        <v>26</v>
      </c>
      <c r="D14122" s="499"/>
    </row>
    <row r="14123" spans="1:4" ht="25.5" x14ac:dyDescent="0.2">
      <c r="A14123" s="319">
        <v>36511</v>
      </c>
      <c r="B14123" s="498" t="s">
        <v>46537</v>
      </c>
      <c r="C14123" s="319" t="s">
        <v>26</v>
      </c>
      <c r="D14123" s="499"/>
    </row>
    <row r="14124" spans="1:4" x14ac:dyDescent="0.2">
      <c r="A14124" s="319">
        <v>36515</v>
      </c>
      <c r="B14124" s="498" t="s">
        <v>46538</v>
      </c>
      <c r="C14124" s="319" t="s">
        <v>26</v>
      </c>
      <c r="D14124" s="499"/>
    </row>
    <row r="14125" spans="1:4" ht="25.5" x14ac:dyDescent="0.2">
      <c r="A14125" s="319">
        <v>10598</v>
      </c>
      <c r="B14125" s="498" t="s">
        <v>46539</v>
      </c>
      <c r="C14125" s="319" t="s">
        <v>26</v>
      </c>
      <c r="D14125" s="499"/>
    </row>
    <row r="14126" spans="1:4" ht="25.5" x14ac:dyDescent="0.2">
      <c r="A14126" s="319">
        <v>7640</v>
      </c>
      <c r="B14126" s="498" t="s">
        <v>46540</v>
      </c>
      <c r="C14126" s="319" t="s">
        <v>26</v>
      </c>
      <c r="D14126" s="499"/>
    </row>
    <row r="14127" spans="1:4" ht="25.5" x14ac:dyDescent="0.2">
      <c r="A14127" s="319">
        <v>36513</v>
      </c>
      <c r="B14127" s="498" t="s">
        <v>46541</v>
      </c>
      <c r="C14127" s="319" t="s">
        <v>26</v>
      </c>
      <c r="D14127" s="499"/>
    </row>
    <row r="14128" spans="1:4" ht="25.5" x14ac:dyDescent="0.2">
      <c r="A14128" s="319">
        <v>36514</v>
      </c>
      <c r="B14128" s="498" t="s">
        <v>46542</v>
      </c>
      <c r="C14128" s="319" t="s">
        <v>26</v>
      </c>
      <c r="D14128" s="499"/>
    </row>
    <row r="14129" spans="1:4" x14ac:dyDescent="0.2">
      <c r="A14129" s="319">
        <v>11572</v>
      </c>
      <c r="B14129" s="498" t="s">
        <v>46543</v>
      </c>
      <c r="C14129" s="319" t="s">
        <v>26</v>
      </c>
      <c r="D14129" s="499">
        <v>32.68</v>
      </c>
    </row>
    <row r="14130" spans="1:4" ht="25.5" x14ac:dyDescent="0.2">
      <c r="A14130" s="319">
        <v>36149</v>
      </c>
      <c r="B14130" s="498" t="s">
        <v>46544</v>
      </c>
      <c r="C14130" s="319" t="s">
        <v>26</v>
      </c>
      <c r="D14130" s="499">
        <v>193.79</v>
      </c>
    </row>
    <row r="14131" spans="1:4" ht="25.5" x14ac:dyDescent="0.2">
      <c r="A14131" s="319">
        <v>42407</v>
      </c>
      <c r="B14131" s="498" t="s">
        <v>46545</v>
      </c>
      <c r="C14131" s="319" t="s">
        <v>0</v>
      </c>
      <c r="D14131" s="499">
        <v>5.3</v>
      </c>
    </row>
    <row r="14132" spans="1:4" x14ac:dyDescent="0.2">
      <c r="A14132" s="319">
        <v>45200</v>
      </c>
      <c r="B14132" s="498" t="s">
        <v>48360</v>
      </c>
      <c r="C14132" s="319" t="s">
        <v>26</v>
      </c>
      <c r="D14132" s="499"/>
    </row>
    <row r="14133" spans="1:4" ht="25.5" x14ac:dyDescent="0.2">
      <c r="A14133" s="319">
        <v>11581</v>
      </c>
      <c r="B14133" s="498" t="s">
        <v>46546</v>
      </c>
      <c r="C14133" s="319" t="s">
        <v>0</v>
      </c>
      <c r="D14133" s="499">
        <v>21.57</v>
      </c>
    </row>
    <row r="14134" spans="1:4" ht="25.5" x14ac:dyDescent="0.2">
      <c r="A14134" s="319">
        <v>43605</v>
      </c>
      <c r="B14134" s="498" t="s">
        <v>46547</v>
      </c>
      <c r="C14134" s="319" t="s">
        <v>0</v>
      </c>
      <c r="D14134" s="499">
        <v>44.14</v>
      </c>
    </row>
    <row r="14135" spans="1:4" ht="25.5" x14ac:dyDescent="0.2">
      <c r="A14135" s="319">
        <v>11580</v>
      </c>
      <c r="B14135" s="498" t="s">
        <v>46548</v>
      </c>
      <c r="C14135" s="319" t="s">
        <v>0</v>
      </c>
      <c r="D14135" s="499">
        <v>8.65</v>
      </c>
    </row>
    <row r="14136" spans="1:4" x14ac:dyDescent="0.2">
      <c r="A14136" s="319">
        <v>38386</v>
      </c>
      <c r="B14136" s="498" t="s">
        <v>46549</v>
      </c>
      <c r="C14136" s="319" t="s">
        <v>26</v>
      </c>
      <c r="D14136" s="499">
        <v>4.34</v>
      </c>
    </row>
    <row r="14137" spans="1:4" x14ac:dyDescent="0.2">
      <c r="A14137" s="319">
        <v>45231</v>
      </c>
      <c r="B14137" s="498" t="s">
        <v>48361</v>
      </c>
      <c r="C14137" s="319" t="s">
        <v>26</v>
      </c>
      <c r="D14137" s="499">
        <v>3.96</v>
      </c>
    </row>
    <row r="14138" spans="1:4" x14ac:dyDescent="0.2">
      <c r="A14138" s="319">
        <v>45232</v>
      </c>
      <c r="B14138" s="498" t="s">
        <v>48362</v>
      </c>
      <c r="C14138" s="319" t="s">
        <v>26</v>
      </c>
      <c r="D14138" s="499">
        <v>6.98</v>
      </c>
    </row>
    <row r="14139" spans="1:4" x14ac:dyDescent="0.2">
      <c r="A14139" s="319">
        <v>10743</v>
      </c>
      <c r="B14139" s="498" t="s">
        <v>46550</v>
      </c>
      <c r="C14139" s="319" t="s">
        <v>26</v>
      </c>
      <c r="D14139" s="499">
        <v>704.97</v>
      </c>
    </row>
    <row r="14140" spans="1:4" ht="38.25" x14ac:dyDescent="0.2">
      <c r="A14140" s="319">
        <v>39848</v>
      </c>
      <c r="B14140" s="498" t="s">
        <v>46551</v>
      </c>
      <c r="C14140" s="319" t="s">
        <v>0</v>
      </c>
      <c r="D14140" s="499"/>
    </row>
    <row r="14141" spans="1:4" x14ac:dyDescent="0.2">
      <c r="A14141" s="319">
        <v>7667</v>
      </c>
      <c r="B14141" s="498" t="s">
        <v>46552</v>
      </c>
      <c r="C14141" s="319" t="s">
        <v>0</v>
      </c>
      <c r="D14141" s="499"/>
    </row>
    <row r="14142" spans="1:4" x14ac:dyDescent="0.2">
      <c r="A14142" s="319">
        <v>7660</v>
      </c>
      <c r="B14142" s="498" t="s">
        <v>46553</v>
      </c>
      <c r="C14142" s="319" t="s">
        <v>0</v>
      </c>
      <c r="D14142" s="499"/>
    </row>
    <row r="14143" spans="1:4" x14ac:dyDescent="0.2">
      <c r="A14143" s="319">
        <v>7676</v>
      </c>
      <c r="B14143" s="498" t="s">
        <v>46554</v>
      </c>
      <c r="C14143" s="319" t="s">
        <v>0</v>
      </c>
      <c r="D14143" s="499"/>
    </row>
    <row r="14144" spans="1:4" ht="25.5" x14ac:dyDescent="0.2">
      <c r="A14144" s="319">
        <v>20999</v>
      </c>
      <c r="B14144" s="498" t="s">
        <v>46555</v>
      </c>
      <c r="C14144" s="319" t="s">
        <v>0</v>
      </c>
      <c r="D14144" s="499"/>
    </row>
    <row r="14145" spans="1:4" ht="25.5" x14ac:dyDescent="0.2">
      <c r="A14145" s="319">
        <v>21001</v>
      </c>
      <c r="B14145" s="498" t="s">
        <v>46556</v>
      </c>
      <c r="C14145" s="319" t="s">
        <v>0</v>
      </c>
      <c r="D14145" s="499"/>
    </row>
    <row r="14146" spans="1:4" ht="25.5" x14ac:dyDescent="0.2">
      <c r="A14146" s="319">
        <v>21003</v>
      </c>
      <c r="B14146" s="498" t="s">
        <v>46557</v>
      </c>
      <c r="C14146" s="319" t="s">
        <v>0</v>
      </c>
      <c r="D14146" s="499"/>
    </row>
    <row r="14147" spans="1:4" ht="25.5" x14ac:dyDescent="0.2">
      <c r="A14147" s="319">
        <v>21006</v>
      </c>
      <c r="B14147" s="498" t="s">
        <v>46558</v>
      </c>
      <c r="C14147" s="319" t="s">
        <v>0</v>
      </c>
      <c r="D14147" s="499"/>
    </row>
    <row r="14148" spans="1:4" ht="25.5" x14ac:dyDescent="0.2">
      <c r="A14148" s="319">
        <v>21019</v>
      </c>
      <c r="B14148" s="498" t="s">
        <v>46559</v>
      </c>
      <c r="C14148" s="319" t="s">
        <v>0</v>
      </c>
      <c r="D14148" s="499"/>
    </row>
    <row r="14149" spans="1:4" ht="25.5" x14ac:dyDescent="0.2">
      <c r="A14149" s="319">
        <v>21021</v>
      </c>
      <c r="B14149" s="498" t="s">
        <v>46560</v>
      </c>
      <c r="C14149" s="319" t="s">
        <v>0</v>
      </c>
      <c r="D14149" s="499"/>
    </row>
    <row r="14150" spans="1:4" ht="25.5" x14ac:dyDescent="0.2">
      <c r="A14150" s="319">
        <v>21024</v>
      </c>
      <c r="B14150" s="498" t="s">
        <v>46561</v>
      </c>
      <c r="C14150" s="319" t="s">
        <v>0</v>
      </c>
      <c r="D14150" s="499"/>
    </row>
    <row r="14151" spans="1:4" ht="25.5" x14ac:dyDescent="0.2">
      <c r="A14151" s="319">
        <v>40624</v>
      </c>
      <c r="B14151" s="498" t="s">
        <v>46562</v>
      </c>
      <c r="C14151" s="319" t="s">
        <v>0</v>
      </c>
      <c r="D14151" s="499"/>
    </row>
    <row r="14152" spans="1:4" ht="25.5" x14ac:dyDescent="0.2">
      <c r="A14152" s="319">
        <v>42575</v>
      </c>
      <c r="B14152" s="498" t="s">
        <v>46563</v>
      </c>
      <c r="C14152" s="319" t="s">
        <v>0</v>
      </c>
      <c r="D14152" s="499"/>
    </row>
    <row r="14153" spans="1:4" x14ac:dyDescent="0.2">
      <c r="A14153" s="319">
        <v>42574</v>
      </c>
      <c r="B14153" s="498" t="s">
        <v>46564</v>
      </c>
      <c r="C14153" s="319" t="s">
        <v>0</v>
      </c>
      <c r="D14153" s="499"/>
    </row>
    <row r="14154" spans="1:4" ht="25.5" x14ac:dyDescent="0.2">
      <c r="A14154" s="319">
        <v>13127</v>
      </c>
      <c r="B14154" s="498" t="s">
        <v>46565</v>
      </c>
      <c r="C14154" s="319" t="s">
        <v>0</v>
      </c>
      <c r="D14154" s="499"/>
    </row>
    <row r="14155" spans="1:4" ht="25.5" x14ac:dyDescent="0.2">
      <c r="A14155" s="319">
        <v>13137</v>
      </c>
      <c r="B14155" s="498" t="s">
        <v>46566</v>
      </c>
      <c r="C14155" s="319" t="s">
        <v>0</v>
      </c>
      <c r="D14155" s="499"/>
    </row>
    <row r="14156" spans="1:4" ht="25.5" x14ac:dyDescent="0.2">
      <c r="A14156" s="319">
        <v>20989</v>
      </c>
      <c r="B14156" s="498" t="s">
        <v>46567</v>
      </c>
      <c r="C14156" s="319" t="s">
        <v>0</v>
      </c>
      <c r="D14156" s="499"/>
    </row>
    <row r="14157" spans="1:4" ht="25.5" x14ac:dyDescent="0.2">
      <c r="A14157" s="319">
        <v>21147</v>
      </c>
      <c r="B14157" s="498" t="s">
        <v>46568</v>
      </c>
      <c r="C14157" s="319" t="s">
        <v>0</v>
      </c>
      <c r="D14157" s="499"/>
    </row>
    <row r="14158" spans="1:4" ht="25.5" x14ac:dyDescent="0.2">
      <c r="A14158" s="319">
        <v>21148</v>
      </c>
      <c r="B14158" s="498" t="s">
        <v>46569</v>
      </c>
      <c r="C14158" s="319" t="s">
        <v>0</v>
      </c>
      <c r="D14158" s="499"/>
    </row>
    <row r="14159" spans="1:4" ht="25.5" x14ac:dyDescent="0.2">
      <c r="A14159" s="319">
        <v>20984</v>
      </c>
      <c r="B14159" s="498" t="s">
        <v>46570</v>
      </c>
      <c r="C14159" s="319" t="s">
        <v>0</v>
      </c>
      <c r="D14159" s="499"/>
    </row>
    <row r="14160" spans="1:4" ht="25.5" x14ac:dyDescent="0.2">
      <c r="A14160" s="319">
        <v>13042</v>
      </c>
      <c r="B14160" s="498" t="s">
        <v>46571</v>
      </c>
      <c r="C14160" s="319" t="s">
        <v>0</v>
      </c>
      <c r="D14160" s="499"/>
    </row>
    <row r="14161" spans="1:4" ht="25.5" x14ac:dyDescent="0.2">
      <c r="A14161" s="319">
        <v>42576</v>
      </c>
      <c r="B14161" s="498" t="s">
        <v>46572</v>
      </c>
      <c r="C14161" s="319" t="s">
        <v>0</v>
      </c>
      <c r="D14161" s="499"/>
    </row>
    <row r="14162" spans="1:4" ht="25.5" x14ac:dyDescent="0.2">
      <c r="A14162" s="319">
        <v>21150</v>
      </c>
      <c r="B14162" s="498" t="s">
        <v>46573</v>
      </c>
      <c r="C14162" s="319" t="s">
        <v>0</v>
      </c>
      <c r="D14162" s="499"/>
    </row>
    <row r="14163" spans="1:4" ht="25.5" x14ac:dyDescent="0.2">
      <c r="A14163" s="319">
        <v>13141</v>
      </c>
      <c r="B14163" s="498" t="s">
        <v>46574</v>
      </c>
      <c r="C14163" s="319" t="s">
        <v>0</v>
      </c>
      <c r="D14163" s="499"/>
    </row>
    <row r="14164" spans="1:4" ht="25.5" x14ac:dyDescent="0.2">
      <c r="A14164" s="319">
        <v>21151</v>
      </c>
      <c r="B14164" s="498" t="s">
        <v>46575</v>
      </c>
      <c r="C14164" s="319" t="s">
        <v>0</v>
      </c>
      <c r="D14164" s="499"/>
    </row>
    <row r="14165" spans="1:4" ht="25.5" x14ac:dyDescent="0.2">
      <c r="A14165" s="319">
        <v>13142</v>
      </c>
      <c r="B14165" s="498" t="s">
        <v>46576</v>
      </c>
      <c r="C14165" s="319" t="s">
        <v>0</v>
      </c>
      <c r="D14165" s="499"/>
    </row>
    <row r="14166" spans="1:4" ht="25.5" x14ac:dyDescent="0.2">
      <c r="A14166" s="319">
        <v>42577</v>
      </c>
      <c r="B14166" s="498" t="s">
        <v>46577</v>
      </c>
      <c r="C14166" s="319" t="s">
        <v>0</v>
      </c>
      <c r="D14166" s="499"/>
    </row>
    <row r="14167" spans="1:4" ht="25.5" x14ac:dyDescent="0.2">
      <c r="A14167" s="319">
        <v>20994</v>
      </c>
      <c r="B14167" s="498" t="s">
        <v>46578</v>
      </c>
      <c r="C14167" s="319" t="s">
        <v>0</v>
      </c>
      <c r="D14167" s="499"/>
    </row>
    <row r="14168" spans="1:4" x14ac:dyDescent="0.2">
      <c r="A14168" s="319">
        <v>7672</v>
      </c>
      <c r="B14168" s="498" t="s">
        <v>46579</v>
      </c>
      <c r="C14168" s="319" t="s">
        <v>0</v>
      </c>
      <c r="D14168" s="499"/>
    </row>
    <row r="14169" spans="1:4" ht="25.5" x14ac:dyDescent="0.2">
      <c r="A14169" s="319">
        <v>20995</v>
      </c>
      <c r="B14169" s="498" t="s">
        <v>46580</v>
      </c>
      <c r="C14169" s="319" t="s">
        <v>0</v>
      </c>
      <c r="D14169" s="499"/>
    </row>
    <row r="14170" spans="1:4" ht="25.5" x14ac:dyDescent="0.2">
      <c r="A14170" s="319">
        <v>7690</v>
      </c>
      <c r="B14170" s="498" t="s">
        <v>46581</v>
      </c>
      <c r="C14170" s="319" t="s">
        <v>0</v>
      </c>
      <c r="D14170" s="499"/>
    </row>
    <row r="14171" spans="1:4" ht="25.5" x14ac:dyDescent="0.2">
      <c r="A14171" s="319">
        <v>20980</v>
      </c>
      <c r="B14171" s="498" t="s">
        <v>46582</v>
      </c>
      <c r="C14171" s="319" t="s">
        <v>0</v>
      </c>
      <c r="D14171" s="499"/>
    </row>
    <row r="14172" spans="1:4" ht="25.5" x14ac:dyDescent="0.2">
      <c r="A14172" s="319">
        <v>7661</v>
      </c>
      <c r="B14172" s="498" t="s">
        <v>46583</v>
      </c>
      <c r="C14172" s="319" t="s">
        <v>0</v>
      </c>
      <c r="D14172" s="499"/>
    </row>
    <row r="14173" spans="1:4" ht="25.5" x14ac:dyDescent="0.2">
      <c r="A14173" s="319">
        <v>21016</v>
      </c>
      <c r="B14173" s="498" t="s">
        <v>46584</v>
      </c>
      <c r="C14173" s="319" t="s">
        <v>0</v>
      </c>
      <c r="D14173" s="499"/>
    </row>
    <row r="14174" spans="1:4" ht="25.5" x14ac:dyDescent="0.2">
      <c r="A14174" s="319">
        <v>21008</v>
      </c>
      <c r="B14174" s="498" t="s">
        <v>46585</v>
      </c>
      <c r="C14174" s="319" t="s">
        <v>0</v>
      </c>
      <c r="D14174" s="499"/>
    </row>
    <row r="14175" spans="1:4" ht="25.5" x14ac:dyDescent="0.2">
      <c r="A14175" s="319">
        <v>21009</v>
      </c>
      <c r="B14175" s="498" t="s">
        <v>46586</v>
      </c>
      <c r="C14175" s="319" t="s">
        <v>0</v>
      </c>
      <c r="D14175" s="499"/>
    </row>
    <row r="14176" spans="1:4" ht="25.5" x14ac:dyDescent="0.2">
      <c r="A14176" s="319">
        <v>21010</v>
      </c>
      <c r="B14176" s="498" t="s">
        <v>46587</v>
      </c>
      <c r="C14176" s="319" t="s">
        <v>0</v>
      </c>
      <c r="D14176" s="499"/>
    </row>
    <row r="14177" spans="1:4" ht="25.5" x14ac:dyDescent="0.2">
      <c r="A14177" s="319">
        <v>21011</v>
      </c>
      <c r="B14177" s="498" t="s">
        <v>46588</v>
      </c>
      <c r="C14177" s="319" t="s">
        <v>0</v>
      </c>
      <c r="D14177" s="499"/>
    </row>
    <row r="14178" spans="1:4" ht="25.5" x14ac:dyDescent="0.2">
      <c r="A14178" s="319">
        <v>21012</v>
      </c>
      <c r="B14178" s="498" t="s">
        <v>46589</v>
      </c>
      <c r="C14178" s="319" t="s">
        <v>0</v>
      </c>
      <c r="D14178" s="499"/>
    </row>
    <row r="14179" spans="1:4" ht="25.5" x14ac:dyDescent="0.2">
      <c r="A14179" s="319">
        <v>21013</v>
      </c>
      <c r="B14179" s="498" t="s">
        <v>46590</v>
      </c>
      <c r="C14179" s="319" t="s">
        <v>0</v>
      </c>
      <c r="D14179" s="499"/>
    </row>
    <row r="14180" spans="1:4" ht="25.5" x14ac:dyDescent="0.2">
      <c r="A14180" s="319">
        <v>21014</v>
      </c>
      <c r="B14180" s="498" t="s">
        <v>46591</v>
      </c>
      <c r="C14180" s="319" t="s">
        <v>0</v>
      </c>
      <c r="D14180" s="499"/>
    </row>
    <row r="14181" spans="1:4" ht="25.5" x14ac:dyDescent="0.2">
      <c r="A14181" s="319">
        <v>21015</v>
      </c>
      <c r="B14181" s="498" t="s">
        <v>46592</v>
      </c>
      <c r="C14181" s="319" t="s">
        <v>0</v>
      </c>
      <c r="D14181" s="499"/>
    </row>
    <row r="14182" spans="1:4" ht="25.5" x14ac:dyDescent="0.2">
      <c r="A14182" s="319">
        <v>40626</v>
      </c>
      <c r="B14182" s="498" t="s">
        <v>46593</v>
      </c>
      <c r="C14182" s="319" t="s">
        <v>0</v>
      </c>
      <c r="D14182" s="499"/>
    </row>
    <row r="14183" spans="1:4" ht="25.5" x14ac:dyDescent="0.2">
      <c r="A14183" s="319">
        <v>7697</v>
      </c>
      <c r="B14183" s="498" t="s">
        <v>46594</v>
      </c>
      <c r="C14183" s="319" t="s">
        <v>0</v>
      </c>
      <c r="D14183" s="499"/>
    </row>
    <row r="14184" spans="1:4" ht="25.5" x14ac:dyDescent="0.2">
      <c r="A14184" s="319">
        <v>7698</v>
      </c>
      <c r="B14184" s="498" t="s">
        <v>46595</v>
      </c>
      <c r="C14184" s="319" t="s">
        <v>0</v>
      </c>
      <c r="D14184" s="499"/>
    </row>
    <row r="14185" spans="1:4" ht="25.5" x14ac:dyDescent="0.2">
      <c r="A14185" s="319">
        <v>7691</v>
      </c>
      <c r="B14185" s="498" t="s">
        <v>46596</v>
      </c>
      <c r="C14185" s="319" t="s">
        <v>0</v>
      </c>
      <c r="D14185" s="499"/>
    </row>
    <row r="14186" spans="1:4" ht="25.5" x14ac:dyDescent="0.2">
      <c r="A14186" s="319">
        <v>7696</v>
      </c>
      <c r="B14186" s="498" t="s">
        <v>46597</v>
      </c>
      <c r="C14186" s="319" t="s">
        <v>0</v>
      </c>
      <c r="D14186" s="499"/>
    </row>
    <row r="14187" spans="1:4" ht="25.5" x14ac:dyDescent="0.2">
      <c r="A14187" s="319">
        <v>7701</v>
      </c>
      <c r="B14187" s="498" t="s">
        <v>46598</v>
      </c>
      <c r="C14187" s="319" t="s">
        <v>0</v>
      </c>
      <c r="D14187" s="499"/>
    </row>
    <row r="14188" spans="1:4" ht="25.5" x14ac:dyDescent="0.2">
      <c r="A14188" s="319">
        <v>7694</v>
      </c>
      <c r="B14188" s="498" t="s">
        <v>46599</v>
      </c>
      <c r="C14188" s="319" t="s">
        <v>0</v>
      </c>
      <c r="D14188" s="499"/>
    </row>
    <row r="14189" spans="1:4" ht="25.5" x14ac:dyDescent="0.2">
      <c r="A14189" s="319">
        <v>7700</v>
      </c>
      <c r="B14189" s="498" t="s">
        <v>46600</v>
      </c>
      <c r="C14189" s="319" t="s">
        <v>0</v>
      </c>
      <c r="D14189" s="499"/>
    </row>
    <row r="14190" spans="1:4" ht="25.5" x14ac:dyDescent="0.2">
      <c r="A14190" s="319">
        <v>7693</v>
      </c>
      <c r="B14190" s="498" t="s">
        <v>46601</v>
      </c>
      <c r="C14190" s="319" t="s">
        <v>0</v>
      </c>
      <c r="D14190" s="499"/>
    </row>
    <row r="14191" spans="1:4" ht="25.5" x14ac:dyDescent="0.2">
      <c r="A14191" s="319">
        <v>7692</v>
      </c>
      <c r="B14191" s="498" t="s">
        <v>46602</v>
      </c>
      <c r="C14191" s="319" t="s">
        <v>0</v>
      </c>
      <c r="D14191" s="499"/>
    </row>
    <row r="14192" spans="1:4" ht="25.5" x14ac:dyDescent="0.2">
      <c r="A14192" s="319">
        <v>7695</v>
      </c>
      <c r="B14192" s="498" t="s">
        <v>46603</v>
      </c>
      <c r="C14192" s="319" t="s">
        <v>0</v>
      </c>
      <c r="D14192" s="499"/>
    </row>
    <row r="14193" spans="1:4" x14ac:dyDescent="0.2">
      <c r="A14193" s="319">
        <v>13356</v>
      </c>
      <c r="B14193" s="498" t="s">
        <v>46604</v>
      </c>
      <c r="C14193" s="319" t="s">
        <v>0</v>
      </c>
      <c r="D14193" s="499"/>
    </row>
    <row r="14194" spans="1:4" x14ac:dyDescent="0.2">
      <c r="A14194" s="319">
        <v>36365</v>
      </c>
      <c r="B14194" s="498" t="s">
        <v>48363</v>
      </c>
      <c r="C14194" s="319" t="s">
        <v>0</v>
      </c>
      <c r="D14194" s="499">
        <v>43.03</v>
      </c>
    </row>
    <row r="14195" spans="1:4" x14ac:dyDescent="0.2">
      <c r="A14195" s="319">
        <v>41930</v>
      </c>
      <c r="B14195" s="498" t="s">
        <v>46605</v>
      </c>
      <c r="C14195" s="319" t="s">
        <v>0</v>
      </c>
      <c r="D14195" s="499">
        <v>143.34</v>
      </c>
    </row>
    <row r="14196" spans="1:4" x14ac:dyDescent="0.2">
      <c r="A14196" s="319">
        <v>41931</v>
      </c>
      <c r="B14196" s="498" t="s">
        <v>46606</v>
      </c>
      <c r="C14196" s="319" t="s">
        <v>0</v>
      </c>
      <c r="D14196" s="499">
        <v>224.51</v>
      </c>
    </row>
    <row r="14197" spans="1:4" x14ac:dyDescent="0.2">
      <c r="A14197" s="319">
        <v>41932</v>
      </c>
      <c r="B14197" s="498" t="s">
        <v>46607</v>
      </c>
      <c r="C14197" s="319" t="s">
        <v>0</v>
      </c>
      <c r="D14197" s="499">
        <v>345.56</v>
      </c>
    </row>
    <row r="14198" spans="1:4" x14ac:dyDescent="0.2">
      <c r="A14198" s="319">
        <v>41933</v>
      </c>
      <c r="B14198" s="498" t="s">
        <v>46608</v>
      </c>
      <c r="C14198" s="319" t="s">
        <v>0</v>
      </c>
      <c r="D14198" s="499">
        <v>488.36</v>
      </c>
    </row>
    <row r="14199" spans="1:4" x14ac:dyDescent="0.2">
      <c r="A14199" s="319">
        <v>41934</v>
      </c>
      <c r="B14199" s="498" t="s">
        <v>46609</v>
      </c>
      <c r="C14199" s="319" t="s">
        <v>0</v>
      </c>
      <c r="D14199" s="499">
        <v>568.75</v>
      </c>
    </row>
    <row r="14200" spans="1:4" x14ac:dyDescent="0.2">
      <c r="A14200" s="319">
        <v>41936</v>
      </c>
      <c r="B14200" s="498" t="s">
        <v>46610</v>
      </c>
      <c r="C14200" s="319" t="s">
        <v>0</v>
      </c>
      <c r="D14200" s="499">
        <v>84.4</v>
      </c>
    </row>
    <row r="14201" spans="1:4" ht="25.5" x14ac:dyDescent="0.2">
      <c r="A14201" s="319">
        <v>44812</v>
      </c>
      <c r="B14201" s="498" t="s">
        <v>46611</v>
      </c>
      <c r="C14201" s="319" t="s">
        <v>0</v>
      </c>
      <c r="D14201" s="499"/>
    </row>
    <row r="14202" spans="1:4" ht="25.5" x14ac:dyDescent="0.2">
      <c r="A14202" s="319">
        <v>41785</v>
      </c>
      <c r="B14202" s="498" t="s">
        <v>46612</v>
      </c>
      <c r="C14202" s="319" t="s">
        <v>0</v>
      </c>
      <c r="D14202" s="499"/>
    </row>
    <row r="14203" spans="1:4" ht="25.5" x14ac:dyDescent="0.2">
      <c r="A14203" s="319">
        <v>41781</v>
      </c>
      <c r="B14203" s="498" t="s">
        <v>46613</v>
      </c>
      <c r="C14203" s="319" t="s">
        <v>0</v>
      </c>
      <c r="D14203" s="499"/>
    </row>
    <row r="14204" spans="1:4" ht="25.5" x14ac:dyDescent="0.2">
      <c r="A14204" s="319">
        <v>41783</v>
      </c>
      <c r="B14204" s="498" t="s">
        <v>46614</v>
      </c>
      <c r="C14204" s="319" t="s">
        <v>0</v>
      </c>
      <c r="D14204" s="499"/>
    </row>
    <row r="14205" spans="1:4" ht="25.5" x14ac:dyDescent="0.2">
      <c r="A14205" s="319">
        <v>41786</v>
      </c>
      <c r="B14205" s="498" t="s">
        <v>46615</v>
      </c>
      <c r="C14205" s="319" t="s">
        <v>0</v>
      </c>
      <c r="D14205" s="499"/>
    </row>
    <row r="14206" spans="1:4" ht="25.5" x14ac:dyDescent="0.2">
      <c r="A14206" s="319">
        <v>41779</v>
      </c>
      <c r="B14206" s="498" t="s">
        <v>46616</v>
      </c>
      <c r="C14206" s="319" t="s">
        <v>0</v>
      </c>
      <c r="D14206" s="499"/>
    </row>
    <row r="14207" spans="1:4" ht="25.5" x14ac:dyDescent="0.2">
      <c r="A14207" s="319">
        <v>41780</v>
      </c>
      <c r="B14207" s="498" t="s">
        <v>46617</v>
      </c>
      <c r="C14207" s="319" t="s">
        <v>0</v>
      </c>
      <c r="D14207" s="499"/>
    </row>
    <row r="14208" spans="1:4" ht="25.5" x14ac:dyDescent="0.2">
      <c r="A14208" s="319">
        <v>41782</v>
      </c>
      <c r="B14208" s="498" t="s">
        <v>46618</v>
      </c>
      <c r="C14208" s="319" t="s">
        <v>0</v>
      </c>
      <c r="D14208" s="499"/>
    </row>
    <row r="14209" spans="1:4" x14ac:dyDescent="0.2">
      <c r="A14209" s="319">
        <v>38130</v>
      </c>
      <c r="B14209" s="498" t="s">
        <v>46619</v>
      </c>
      <c r="C14209" s="319" t="s">
        <v>0</v>
      </c>
      <c r="D14209" s="499">
        <v>41.79</v>
      </c>
    </row>
    <row r="14210" spans="1:4" x14ac:dyDescent="0.2">
      <c r="A14210" s="319">
        <v>44260</v>
      </c>
      <c r="B14210" s="498" t="s">
        <v>46620</v>
      </c>
      <c r="C14210" s="319" t="s">
        <v>0</v>
      </c>
      <c r="D14210" s="499">
        <v>395.54</v>
      </c>
    </row>
    <row r="14211" spans="1:4" x14ac:dyDescent="0.2">
      <c r="A14211" s="319">
        <v>21123</v>
      </c>
      <c r="B14211" s="498" t="s">
        <v>46621</v>
      </c>
      <c r="C14211" s="319" t="s">
        <v>0</v>
      </c>
      <c r="D14211" s="499">
        <v>11.63</v>
      </c>
    </row>
    <row r="14212" spans="1:4" x14ac:dyDescent="0.2">
      <c r="A14212" s="319">
        <v>21124</v>
      </c>
      <c r="B14212" s="498" t="s">
        <v>46622</v>
      </c>
      <c r="C14212" s="319" t="s">
        <v>0</v>
      </c>
      <c r="D14212" s="499">
        <v>18.579999999999998</v>
      </c>
    </row>
    <row r="14213" spans="1:4" x14ac:dyDescent="0.2">
      <c r="A14213" s="319">
        <v>21125</v>
      </c>
      <c r="B14213" s="498" t="s">
        <v>46623</v>
      </c>
      <c r="C14213" s="319" t="s">
        <v>0</v>
      </c>
      <c r="D14213" s="499">
        <v>32</v>
      </c>
    </row>
    <row r="14214" spans="1:4" x14ac:dyDescent="0.2">
      <c r="A14214" s="319">
        <v>38028</v>
      </c>
      <c r="B14214" s="498" t="s">
        <v>46624</v>
      </c>
      <c r="C14214" s="319" t="s">
        <v>0</v>
      </c>
      <c r="D14214" s="499">
        <v>55.95</v>
      </c>
    </row>
    <row r="14215" spans="1:4" x14ac:dyDescent="0.2">
      <c r="A14215" s="319">
        <v>38029</v>
      </c>
      <c r="B14215" s="498" t="s">
        <v>46625</v>
      </c>
      <c r="C14215" s="319" t="s">
        <v>0</v>
      </c>
      <c r="D14215" s="499">
        <v>81.89</v>
      </c>
    </row>
    <row r="14216" spans="1:4" x14ac:dyDescent="0.2">
      <c r="A14216" s="319">
        <v>38030</v>
      </c>
      <c r="B14216" s="498" t="s">
        <v>46626</v>
      </c>
      <c r="C14216" s="319" t="s">
        <v>0</v>
      </c>
      <c r="D14216" s="499">
        <v>132.41</v>
      </c>
    </row>
    <row r="14217" spans="1:4" x14ac:dyDescent="0.2">
      <c r="A14217" s="319">
        <v>38031</v>
      </c>
      <c r="B14217" s="498" t="s">
        <v>46627</v>
      </c>
      <c r="C14217" s="319" t="s">
        <v>0</v>
      </c>
      <c r="D14217" s="499">
        <v>207.83</v>
      </c>
    </row>
    <row r="14218" spans="1:4" ht="51" x14ac:dyDescent="0.2">
      <c r="A14218" s="319">
        <v>39735</v>
      </c>
      <c r="B14218" s="498" t="s">
        <v>46628</v>
      </c>
      <c r="C14218" s="319" t="s">
        <v>0</v>
      </c>
      <c r="D14218" s="499"/>
    </row>
    <row r="14219" spans="1:4" ht="51" x14ac:dyDescent="0.2">
      <c r="A14219" s="319">
        <v>39734</v>
      </c>
      <c r="B14219" s="498" t="s">
        <v>46629</v>
      </c>
      <c r="C14219" s="319" t="s">
        <v>0</v>
      </c>
      <c r="D14219" s="499"/>
    </row>
    <row r="14220" spans="1:4" ht="51" x14ac:dyDescent="0.2">
      <c r="A14220" s="319">
        <v>39736</v>
      </c>
      <c r="B14220" s="498" t="s">
        <v>46630</v>
      </c>
      <c r="C14220" s="319" t="s">
        <v>0</v>
      </c>
      <c r="D14220" s="499"/>
    </row>
    <row r="14221" spans="1:4" ht="51" x14ac:dyDescent="0.2">
      <c r="A14221" s="319">
        <v>39739</v>
      </c>
      <c r="B14221" s="498" t="s">
        <v>46631</v>
      </c>
      <c r="C14221" s="319" t="s">
        <v>0</v>
      </c>
      <c r="D14221" s="499"/>
    </row>
    <row r="14222" spans="1:4" ht="51" x14ac:dyDescent="0.2">
      <c r="A14222" s="319">
        <v>39737</v>
      </c>
      <c r="B14222" s="498" t="s">
        <v>46632</v>
      </c>
      <c r="C14222" s="319" t="s">
        <v>0</v>
      </c>
      <c r="D14222" s="499"/>
    </row>
    <row r="14223" spans="1:4" ht="51" x14ac:dyDescent="0.2">
      <c r="A14223" s="319">
        <v>39738</v>
      </c>
      <c r="B14223" s="498" t="s">
        <v>46633</v>
      </c>
      <c r="C14223" s="319" t="s">
        <v>0</v>
      </c>
      <c r="D14223" s="499"/>
    </row>
    <row r="14224" spans="1:4" ht="51" x14ac:dyDescent="0.2">
      <c r="A14224" s="319">
        <v>39733</v>
      </c>
      <c r="B14224" s="498" t="s">
        <v>46634</v>
      </c>
      <c r="C14224" s="319" t="s">
        <v>0</v>
      </c>
      <c r="D14224" s="499"/>
    </row>
    <row r="14225" spans="1:4" ht="51" x14ac:dyDescent="0.2">
      <c r="A14225" s="319">
        <v>39854</v>
      </c>
      <c r="B14225" s="498" t="s">
        <v>46635</v>
      </c>
      <c r="C14225" s="319" t="s">
        <v>0</v>
      </c>
      <c r="D14225" s="499"/>
    </row>
    <row r="14226" spans="1:4" ht="51" x14ac:dyDescent="0.2">
      <c r="A14226" s="319">
        <v>39740</v>
      </c>
      <c r="B14226" s="498" t="s">
        <v>46636</v>
      </c>
      <c r="C14226" s="319" t="s">
        <v>0</v>
      </c>
      <c r="D14226" s="499"/>
    </row>
    <row r="14227" spans="1:4" ht="51" x14ac:dyDescent="0.2">
      <c r="A14227" s="319">
        <v>39741</v>
      </c>
      <c r="B14227" s="498" t="s">
        <v>46637</v>
      </c>
      <c r="C14227" s="319" t="s">
        <v>0</v>
      </c>
      <c r="D14227" s="499"/>
    </row>
    <row r="14228" spans="1:4" ht="51" x14ac:dyDescent="0.2">
      <c r="A14228" s="319">
        <v>39853</v>
      </c>
      <c r="B14228" s="498" t="s">
        <v>46638</v>
      </c>
      <c r="C14228" s="319" t="s">
        <v>0</v>
      </c>
      <c r="D14228" s="499"/>
    </row>
    <row r="14229" spans="1:4" ht="51" x14ac:dyDescent="0.2">
      <c r="A14229" s="319">
        <v>39742</v>
      </c>
      <c r="B14229" s="498" t="s">
        <v>46639</v>
      </c>
      <c r="C14229" s="319" t="s">
        <v>0</v>
      </c>
      <c r="D14229" s="499"/>
    </row>
    <row r="14230" spans="1:4" ht="25.5" x14ac:dyDescent="0.2">
      <c r="A14230" s="319">
        <v>39751</v>
      </c>
      <c r="B14230" s="498" t="s">
        <v>46640</v>
      </c>
      <c r="C14230" s="319" t="s">
        <v>0</v>
      </c>
      <c r="D14230" s="499"/>
    </row>
    <row r="14231" spans="1:4" ht="25.5" x14ac:dyDescent="0.2">
      <c r="A14231" s="319">
        <v>39750</v>
      </c>
      <c r="B14231" s="498" t="s">
        <v>46641</v>
      </c>
      <c r="C14231" s="319" t="s">
        <v>0</v>
      </c>
      <c r="D14231" s="499"/>
    </row>
    <row r="14232" spans="1:4" ht="25.5" x14ac:dyDescent="0.2">
      <c r="A14232" s="319">
        <v>39749</v>
      </c>
      <c r="B14232" s="498" t="s">
        <v>46642</v>
      </c>
      <c r="C14232" s="319" t="s">
        <v>0</v>
      </c>
      <c r="D14232" s="499"/>
    </row>
    <row r="14233" spans="1:4" ht="25.5" x14ac:dyDescent="0.2">
      <c r="A14233" s="319">
        <v>39747</v>
      </c>
      <c r="B14233" s="498" t="s">
        <v>46643</v>
      </c>
      <c r="C14233" s="319" t="s">
        <v>0</v>
      </c>
      <c r="D14233" s="499"/>
    </row>
    <row r="14234" spans="1:4" ht="25.5" x14ac:dyDescent="0.2">
      <c r="A14234" s="319">
        <v>39753</v>
      </c>
      <c r="B14234" s="498" t="s">
        <v>46644</v>
      </c>
      <c r="C14234" s="319" t="s">
        <v>0</v>
      </c>
      <c r="D14234" s="499"/>
    </row>
    <row r="14235" spans="1:4" ht="25.5" x14ac:dyDescent="0.2">
      <c r="A14235" s="319">
        <v>39752</v>
      </c>
      <c r="B14235" s="498" t="s">
        <v>46645</v>
      </c>
      <c r="C14235" s="319" t="s">
        <v>0</v>
      </c>
      <c r="D14235" s="499"/>
    </row>
    <row r="14236" spans="1:4" ht="25.5" x14ac:dyDescent="0.2">
      <c r="A14236" s="319">
        <v>39754</v>
      </c>
      <c r="B14236" s="498" t="s">
        <v>46646</v>
      </c>
      <c r="C14236" s="319" t="s">
        <v>0</v>
      </c>
      <c r="D14236" s="499"/>
    </row>
    <row r="14237" spans="1:4" ht="25.5" x14ac:dyDescent="0.2">
      <c r="A14237" s="319">
        <v>39748</v>
      </c>
      <c r="B14237" s="498" t="s">
        <v>46647</v>
      </c>
      <c r="C14237" s="319" t="s">
        <v>0</v>
      </c>
      <c r="D14237" s="499"/>
    </row>
    <row r="14238" spans="1:4" ht="25.5" x14ac:dyDescent="0.2">
      <c r="A14238" s="319">
        <v>39755</v>
      </c>
      <c r="B14238" s="498" t="s">
        <v>46648</v>
      </c>
      <c r="C14238" s="319" t="s">
        <v>0</v>
      </c>
      <c r="D14238" s="499"/>
    </row>
    <row r="14239" spans="1:4" ht="25.5" x14ac:dyDescent="0.2">
      <c r="A14239" s="319">
        <v>12742</v>
      </c>
      <c r="B14239" s="498" t="s">
        <v>46649</v>
      </c>
      <c r="C14239" s="319" t="s">
        <v>0</v>
      </c>
      <c r="D14239" s="499"/>
    </row>
    <row r="14240" spans="1:4" ht="25.5" x14ac:dyDescent="0.2">
      <c r="A14240" s="319">
        <v>12713</v>
      </c>
      <c r="B14240" s="498" t="s">
        <v>46650</v>
      </c>
      <c r="C14240" s="319" t="s">
        <v>0</v>
      </c>
      <c r="D14240" s="499"/>
    </row>
    <row r="14241" spans="1:4" ht="25.5" x14ac:dyDescent="0.2">
      <c r="A14241" s="319">
        <v>12743</v>
      </c>
      <c r="B14241" s="498" t="s">
        <v>46651</v>
      </c>
      <c r="C14241" s="319" t="s">
        <v>0</v>
      </c>
      <c r="D14241" s="499"/>
    </row>
    <row r="14242" spans="1:4" ht="25.5" x14ac:dyDescent="0.2">
      <c r="A14242" s="319">
        <v>12744</v>
      </c>
      <c r="B14242" s="498" t="s">
        <v>46652</v>
      </c>
      <c r="C14242" s="319" t="s">
        <v>0</v>
      </c>
      <c r="D14242" s="499"/>
    </row>
    <row r="14243" spans="1:4" ht="25.5" x14ac:dyDescent="0.2">
      <c r="A14243" s="319">
        <v>12745</v>
      </c>
      <c r="B14243" s="498" t="s">
        <v>46653</v>
      </c>
      <c r="C14243" s="319" t="s">
        <v>0</v>
      </c>
      <c r="D14243" s="499"/>
    </row>
    <row r="14244" spans="1:4" ht="25.5" x14ac:dyDescent="0.2">
      <c r="A14244" s="319">
        <v>12746</v>
      </c>
      <c r="B14244" s="498" t="s">
        <v>46654</v>
      </c>
      <c r="C14244" s="319" t="s">
        <v>0</v>
      </c>
      <c r="D14244" s="499"/>
    </row>
    <row r="14245" spans="1:4" ht="25.5" x14ac:dyDescent="0.2">
      <c r="A14245" s="319">
        <v>12747</v>
      </c>
      <c r="B14245" s="498" t="s">
        <v>46655</v>
      </c>
      <c r="C14245" s="319" t="s">
        <v>0</v>
      </c>
      <c r="D14245" s="499"/>
    </row>
    <row r="14246" spans="1:4" ht="25.5" x14ac:dyDescent="0.2">
      <c r="A14246" s="319">
        <v>12748</v>
      </c>
      <c r="B14246" s="498" t="s">
        <v>46656</v>
      </c>
      <c r="C14246" s="319" t="s">
        <v>0</v>
      </c>
      <c r="D14246" s="499"/>
    </row>
    <row r="14247" spans="1:4" ht="25.5" x14ac:dyDescent="0.2">
      <c r="A14247" s="319">
        <v>12749</v>
      </c>
      <c r="B14247" s="498" t="s">
        <v>46657</v>
      </c>
      <c r="C14247" s="319" t="s">
        <v>0</v>
      </c>
      <c r="D14247" s="499"/>
    </row>
    <row r="14248" spans="1:4" ht="25.5" x14ac:dyDescent="0.2">
      <c r="A14248" s="319">
        <v>39660</v>
      </c>
      <c r="B14248" s="498" t="s">
        <v>48364</v>
      </c>
      <c r="C14248" s="319" t="s">
        <v>0</v>
      </c>
      <c r="D14248" s="499"/>
    </row>
    <row r="14249" spans="1:4" ht="25.5" x14ac:dyDescent="0.2">
      <c r="A14249" s="319">
        <v>39662</v>
      </c>
      <c r="B14249" s="498" t="s">
        <v>48365</v>
      </c>
      <c r="C14249" s="319" t="s">
        <v>0</v>
      </c>
      <c r="D14249" s="499"/>
    </row>
    <row r="14250" spans="1:4" ht="25.5" x14ac:dyDescent="0.2">
      <c r="A14250" s="319">
        <v>39661</v>
      </c>
      <c r="B14250" s="498" t="s">
        <v>48366</v>
      </c>
      <c r="C14250" s="319" t="s">
        <v>0</v>
      </c>
      <c r="D14250" s="499"/>
    </row>
    <row r="14251" spans="1:4" ht="25.5" x14ac:dyDescent="0.2">
      <c r="A14251" s="319">
        <v>39666</v>
      </c>
      <c r="B14251" s="498" t="s">
        <v>48367</v>
      </c>
      <c r="C14251" s="319" t="s">
        <v>0</v>
      </c>
      <c r="D14251" s="499"/>
    </row>
    <row r="14252" spans="1:4" ht="25.5" x14ac:dyDescent="0.2">
      <c r="A14252" s="319">
        <v>39664</v>
      </c>
      <c r="B14252" s="498" t="s">
        <v>48368</v>
      </c>
      <c r="C14252" s="319" t="s">
        <v>0</v>
      </c>
      <c r="D14252" s="499"/>
    </row>
    <row r="14253" spans="1:4" ht="25.5" x14ac:dyDescent="0.2">
      <c r="A14253" s="319">
        <v>39663</v>
      </c>
      <c r="B14253" s="498" t="s">
        <v>48369</v>
      </c>
      <c r="C14253" s="319" t="s">
        <v>0</v>
      </c>
      <c r="D14253" s="499"/>
    </row>
    <row r="14254" spans="1:4" ht="25.5" x14ac:dyDescent="0.2">
      <c r="A14254" s="319">
        <v>39665</v>
      </c>
      <c r="B14254" s="498" t="s">
        <v>48370</v>
      </c>
      <c r="C14254" s="319" t="s">
        <v>0</v>
      </c>
      <c r="D14254" s="499"/>
    </row>
    <row r="14255" spans="1:4" ht="25.5" x14ac:dyDescent="0.2">
      <c r="A14255" s="319">
        <v>7753</v>
      </c>
      <c r="B14255" s="498" t="s">
        <v>46658</v>
      </c>
      <c r="C14255" s="319" t="s">
        <v>0</v>
      </c>
      <c r="D14255" s="499"/>
    </row>
    <row r="14256" spans="1:4" ht="25.5" x14ac:dyDescent="0.2">
      <c r="A14256" s="319">
        <v>13256</v>
      </c>
      <c r="B14256" s="498" t="s">
        <v>46659</v>
      </c>
      <c r="C14256" s="319" t="s">
        <v>0</v>
      </c>
      <c r="D14256" s="499"/>
    </row>
    <row r="14257" spans="1:4" ht="25.5" x14ac:dyDescent="0.2">
      <c r="A14257" s="319">
        <v>7757</v>
      </c>
      <c r="B14257" s="498" t="s">
        <v>46660</v>
      </c>
      <c r="C14257" s="319" t="s">
        <v>0</v>
      </c>
      <c r="D14257" s="499"/>
    </row>
    <row r="14258" spans="1:4" ht="25.5" x14ac:dyDescent="0.2">
      <c r="A14258" s="319">
        <v>7758</v>
      </c>
      <c r="B14258" s="498" t="s">
        <v>46661</v>
      </c>
      <c r="C14258" s="319" t="s">
        <v>0</v>
      </c>
      <c r="D14258" s="499"/>
    </row>
    <row r="14259" spans="1:4" ht="25.5" x14ac:dyDescent="0.2">
      <c r="A14259" s="319">
        <v>7759</v>
      </c>
      <c r="B14259" s="498" t="s">
        <v>46662</v>
      </c>
      <c r="C14259" s="319" t="s">
        <v>0</v>
      </c>
      <c r="D14259" s="499"/>
    </row>
    <row r="14260" spans="1:4" ht="25.5" x14ac:dyDescent="0.2">
      <c r="A14260" s="319">
        <v>40334</v>
      </c>
      <c r="B14260" s="498" t="s">
        <v>46663</v>
      </c>
      <c r="C14260" s="319" t="s">
        <v>0</v>
      </c>
      <c r="D14260" s="499"/>
    </row>
    <row r="14261" spans="1:4" ht="25.5" x14ac:dyDescent="0.2">
      <c r="A14261" s="319">
        <v>7745</v>
      </c>
      <c r="B14261" s="498" t="s">
        <v>46664</v>
      </c>
      <c r="C14261" s="319" t="s">
        <v>0</v>
      </c>
      <c r="D14261" s="499"/>
    </row>
    <row r="14262" spans="1:4" ht="25.5" x14ac:dyDescent="0.2">
      <c r="A14262" s="319">
        <v>7742</v>
      </c>
      <c r="B14262" s="498" t="s">
        <v>46665</v>
      </c>
      <c r="C14262" s="319" t="s">
        <v>0</v>
      </c>
      <c r="D14262" s="499"/>
    </row>
    <row r="14263" spans="1:4" ht="25.5" x14ac:dyDescent="0.2">
      <c r="A14263" s="319">
        <v>7750</v>
      </c>
      <c r="B14263" s="498" t="s">
        <v>46666</v>
      </c>
      <c r="C14263" s="319" t="s">
        <v>0</v>
      </c>
      <c r="D14263" s="499"/>
    </row>
    <row r="14264" spans="1:4" ht="25.5" x14ac:dyDescent="0.2">
      <c r="A14264" s="319">
        <v>7756</v>
      </c>
      <c r="B14264" s="498" t="s">
        <v>46667</v>
      </c>
      <c r="C14264" s="319" t="s">
        <v>0</v>
      </c>
      <c r="D14264" s="499"/>
    </row>
    <row r="14265" spans="1:4" ht="25.5" x14ac:dyDescent="0.2">
      <c r="A14265" s="319">
        <v>7725</v>
      </c>
      <c r="B14265" s="498" t="s">
        <v>46668</v>
      </c>
      <c r="C14265" s="319" t="s">
        <v>0</v>
      </c>
      <c r="D14265" s="499"/>
    </row>
    <row r="14266" spans="1:4" ht="25.5" x14ac:dyDescent="0.2">
      <c r="A14266" s="319">
        <v>7765</v>
      </c>
      <c r="B14266" s="498" t="s">
        <v>46669</v>
      </c>
      <c r="C14266" s="319" t="s">
        <v>0</v>
      </c>
      <c r="D14266" s="499"/>
    </row>
    <row r="14267" spans="1:4" ht="25.5" x14ac:dyDescent="0.2">
      <c r="A14267" s="319">
        <v>12569</v>
      </c>
      <c r="B14267" s="498" t="s">
        <v>46670</v>
      </c>
      <c r="C14267" s="319" t="s">
        <v>0</v>
      </c>
      <c r="D14267" s="499"/>
    </row>
    <row r="14268" spans="1:4" ht="25.5" x14ac:dyDescent="0.2">
      <c r="A14268" s="319">
        <v>7766</v>
      </c>
      <c r="B14268" s="498" t="s">
        <v>46671</v>
      </c>
      <c r="C14268" s="319" t="s">
        <v>0</v>
      </c>
      <c r="D14268" s="499"/>
    </row>
    <row r="14269" spans="1:4" ht="25.5" x14ac:dyDescent="0.2">
      <c r="A14269" s="319">
        <v>7767</v>
      </c>
      <c r="B14269" s="498" t="s">
        <v>46672</v>
      </c>
      <c r="C14269" s="319" t="s">
        <v>0</v>
      </c>
      <c r="D14269" s="499"/>
    </row>
    <row r="14270" spans="1:4" ht="25.5" x14ac:dyDescent="0.2">
      <c r="A14270" s="319">
        <v>7727</v>
      </c>
      <c r="B14270" s="498" t="s">
        <v>46673</v>
      </c>
      <c r="C14270" s="319" t="s">
        <v>0</v>
      </c>
      <c r="D14270" s="499"/>
    </row>
    <row r="14271" spans="1:4" ht="25.5" x14ac:dyDescent="0.2">
      <c r="A14271" s="319">
        <v>7760</v>
      </c>
      <c r="B14271" s="498" t="s">
        <v>46674</v>
      </c>
      <c r="C14271" s="319" t="s">
        <v>0</v>
      </c>
      <c r="D14271" s="499"/>
    </row>
    <row r="14272" spans="1:4" ht="25.5" x14ac:dyDescent="0.2">
      <c r="A14272" s="319">
        <v>7761</v>
      </c>
      <c r="B14272" s="498" t="s">
        <v>46675</v>
      </c>
      <c r="C14272" s="319" t="s">
        <v>0</v>
      </c>
      <c r="D14272" s="499"/>
    </row>
    <row r="14273" spans="1:4" ht="25.5" x14ac:dyDescent="0.2">
      <c r="A14273" s="319">
        <v>7752</v>
      </c>
      <c r="B14273" s="498" t="s">
        <v>46676</v>
      </c>
      <c r="C14273" s="319" t="s">
        <v>0</v>
      </c>
      <c r="D14273" s="499"/>
    </row>
    <row r="14274" spans="1:4" ht="25.5" x14ac:dyDescent="0.2">
      <c r="A14274" s="319">
        <v>7762</v>
      </c>
      <c r="B14274" s="498" t="s">
        <v>46677</v>
      </c>
      <c r="C14274" s="319" t="s">
        <v>0</v>
      </c>
      <c r="D14274" s="499"/>
    </row>
    <row r="14275" spans="1:4" ht="25.5" x14ac:dyDescent="0.2">
      <c r="A14275" s="319">
        <v>7722</v>
      </c>
      <c r="B14275" s="498" t="s">
        <v>46678</v>
      </c>
      <c r="C14275" s="319" t="s">
        <v>0</v>
      </c>
      <c r="D14275" s="499"/>
    </row>
    <row r="14276" spans="1:4" ht="25.5" x14ac:dyDescent="0.2">
      <c r="A14276" s="319">
        <v>7763</v>
      </c>
      <c r="B14276" s="498" t="s">
        <v>46679</v>
      </c>
      <c r="C14276" s="319" t="s">
        <v>0</v>
      </c>
      <c r="D14276" s="499"/>
    </row>
    <row r="14277" spans="1:4" ht="25.5" x14ac:dyDescent="0.2">
      <c r="A14277" s="319">
        <v>7764</v>
      </c>
      <c r="B14277" s="498" t="s">
        <v>46680</v>
      </c>
      <c r="C14277" s="319" t="s">
        <v>0</v>
      </c>
      <c r="D14277" s="499"/>
    </row>
    <row r="14278" spans="1:4" ht="25.5" x14ac:dyDescent="0.2">
      <c r="A14278" s="319">
        <v>12572</v>
      </c>
      <c r="B14278" s="498" t="s">
        <v>46681</v>
      </c>
      <c r="C14278" s="319" t="s">
        <v>0</v>
      </c>
      <c r="D14278" s="499"/>
    </row>
    <row r="14279" spans="1:4" ht="25.5" x14ac:dyDescent="0.2">
      <c r="A14279" s="319">
        <v>12573</v>
      </c>
      <c r="B14279" s="498" t="s">
        <v>46682</v>
      </c>
      <c r="C14279" s="319" t="s">
        <v>0</v>
      </c>
      <c r="D14279" s="499"/>
    </row>
    <row r="14280" spans="1:4" ht="25.5" x14ac:dyDescent="0.2">
      <c r="A14280" s="319">
        <v>12574</v>
      </c>
      <c r="B14280" s="498" t="s">
        <v>46683</v>
      </c>
      <c r="C14280" s="319" t="s">
        <v>0</v>
      </c>
      <c r="D14280" s="499"/>
    </row>
    <row r="14281" spans="1:4" ht="25.5" x14ac:dyDescent="0.2">
      <c r="A14281" s="319">
        <v>12575</v>
      </c>
      <c r="B14281" s="498" t="s">
        <v>46684</v>
      </c>
      <c r="C14281" s="319" t="s">
        <v>0</v>
      </c>
      <c r="D14281" s="499"/>
    </row>
    <row r="14282" spans="1:4" ht="25.5" x14ac:dyDescent="0.2">
      <c r="A14282" s="319">
        <v>12576</v>
      </c>
      <c r="B14282" s="498" t="s">
        <v>46685</v>
      </c>
      <c r="C14282" s="319" t="s">
        <v>0</v>
      </c>
      <c r="D14282" s="499"/>
    </row>
    <row r="14283" spans="1:4" ht="25.5" x14ac:dyDescent="0.2">
      <c r="A14283" s="319">
        <v>12577</v>
      </c>
      <c r="B14283" s="498" t="s">
        <v>46686</v>
      </c>
      <c r="C14283" s="319" t="s">
        <v>0</v>
      </c>
      <c r="D14283" s="499"/>
    </row>
    <row r="14284" spans="1:4" ht="25.5" x14ac:dyDescent="0.2">
      <c r="A14284" s="319">
        <v>12578</v>
      </c>
      <c r="B14284" s="498" t="s">
        <v>46687</v>
      </c>
      <c r="C14284" s="319" t="s">
        <v>0</v>
      </c>
      <c r="D14284" s="499"/>
    </row>
    <row r="14285" spans="1:4" ht="25.5" x14ac:dyDescent="0.2">
      <c r="A14285" s="319">
        <v>12579</v>
      </c>
      <c r="B14285" s="498" t="s">
        <v>46688</v>
      </c>
      <c r="C14285" s="319" t="s">
        <v>0</v>
      </c>
      <c r="D14285" s="499"/>
    </row>
    <row r="14286" spans="1:4" ht="25.5" x14ac:dyDescent="0.2">
      <c r="A14286" s="319">
        <v>12580</v>
      </c>
      <c r="B14286" s="498" t="s">
        <v>46689</v>
      </c>
      <c r="C14286" s="319" t="s">
        <v>0</v>
      </c>
      <c r="D14286" s="499"/>
    </row>
    <row r="14287" spans="1:4" ht="25.5" x14ac:dyDescent="0.2">
      <c r="A14287" s="319">
        <v>12581</v>
      </c>
      <c r="B14287" s="498" t="s">
        <v>46690</v>
      </c>
      <c r="C14287" s="319" t="s">
        <v>0</v>
      </c>
      <c r="D14287" s="499"/>
    </row>
    <row r="14288" spans="1:4" ht="38.25" x14ac:dyDescent="0.2">
      <c r="A14288" s="319">
        <v>7720</v>
      </c>
      <c r="B14288" s="498" t="s">
        <v>46691</v>
      </c>
      <c r="C14288" s="319" t="s">
        <v>0</v>
      </c>
      <c r="D14288" s="499"/>
    </row>
    <row r="14289" spans="1:4" ht="38.25" x14ac:dyDescent="0.2">
      <c r="A14289" s="319">
        <v>40335</v>
      </c>
      <c r="B14289" s="498" t="s">
        <v>46692</v>
      </c>
      <c r="C14289" s="319" t="s">
        <v>0</v>
      </c>
      <c r="D14289" s="499"/>
    </row>
    <row r="14290" spans="1:4" ht="38.25" x14ac:dyDescent="0.2">
      <c r="A14290" s="319">
        <v>7740</v>
      </c>
      <c r="B14290" s="498" t="s">
        <v>46693</v>
      </c>
      <c r="C14290" s="319" t="s">
        <v>0</v>
      </c>
      <c r="D14290" s="499"/>
    </row>
    <row r="14291" spans="1:4" ht="38.25" x14ac:dyDescent="0.2">
      <c r="A14291" s="319">
        <v>7741</v>
      </c>
      <c r="B14291" s="498" t="s">
        <v>46694</v>
      </c>
      <c r="C14291" s="319" t="s">
        <v>0</v>
      </c>
      <c r="D14291" s="499"/>
    </row>
    <row r="14292" spans="1:4" ht="38.25" x14ac:dyDescent="0.2">
      <c r="A14292" s="319">
        <v>7774</v>
      </c>
      <c r="B14292" s="498" t="s">
        <v>46695</v>
      </c>
      <c r="C14292" s="319" t="s">
        <v>0</v>
      </c>
      <c r="D14292" s="499"/>
    </row>
    <row r="14293" spans="1:4" ht="38.25" x14ac:dyDescent="0.2">
      <c r="A14293" s="319">
        <v>7744</v>
      </c>
      <c r="B14293" s="498" t="s">
        <v>46696</v>
      </c>
      <c r="C14293" s="319" t="s">
        <v>0</v>
      </c>
      <c r="D14293" s="499"/>
    </row>
    <row r="14294" spans="1:4" ht="38.25" x14ac:dyDescent="0.2">
      <c r="A14294" s="319">
        <v>7773</v>
      </c>
      <c r="B14294" s="498" t="s">
        <v>46697</v>
      </c>
      <c r="C14294" s="319" t="s">
        <v>0</v>
      </c>
      <c r="D14294" s="499"/>
    </row>
    <row r="14295" spans="1:4" ht="38.25" x14ac:dyDescent="0.2">
      <c r="A14295" s="319">
        <v>7754</v>
      </c>
      <c r="B14295" s="498" t="s">
        <v>46698</v>
      </c>
      <c r="C14295" s="319" t="s">
        <v>0</v>
      </c>
      <c r="D14295" s="499"/>
    </row>
    <row r="14296" spans="1:4" ht="38.25" x14ac:dyDescent="0.2">
      <c r="A14296" s="319">
        <v>7735</v>
      </c>
      <c r="B14296" s="498" t="s">
        <v>46699</v>
      </c>
      <c r="C14296" s="319" t="s">
        <v>0</v>
      </c>
      <c r="D14296" s="499"/>
    </row>
    <row r="14297" spans="1:4" ht="38.25" x14ac:dyDescent="0.2">
      <c r="A14297" s="319">
        <v>7755</v>
      </c>
      <c r="B14297" s="498" t="s">
        <v>46700</v>
      </c>
      <c r="C14297" s="319" t="s">
        <v>0</v>
      </c>
      <c r="D14297" s="499"/>
    </row>
    <row r="14298" spans="1:4" ht="38.25" x14ac:dyDescent="0.2">
      <c r="A14298" s="319">
        <v>7776</v>
      </c>
      <c r="B14298" s="498" t="s">
        <v>46701</v>
      </c>
      <c r="C14298" s="319" t="s">
        <v>0</v>
      </c>
      <c r="D14298" s="499"/>
    </row>
    <row r="14299" spans="1:4" ht="38.25" x14ac:dyDescent="0.2">
      <c r="A14299" s="319">
        <v>7743</v>
      </c>
      <c r="B14299" s="498" t="s">
        <v>46702</v>
      </c>
      <c r="C14299" s="319" t="s">
        <v>0</v>
      </c>
      <c r="D14299" s="499"/>
    </row>
    <row r="14300" spans="1:4" ht="38.25" x14ac:dyDescent="0.2">
      <c r="A14300" s="319">
        <v>7733</v>
      </c>
      <c r="B14300" s="498" t="s">
        <v>46703</v>
      </c>
      <c r="C14300" s="319" t="s">
        <v>0</v>
      </c>
      <c r="D14300" s="499"/>
    </row>
    <row r="14301" spans="1:4" ht="38.25" x14ac:dyDescent="0.2">
      <c r="A14301" s="319">
        <v>7775</v>
      </c>
      <c r="B14301" s="498" t="s">
        <v>46704</v>
      </c>
      <c r="C14301" s="319" t="s">
        <v>0</v>
      </c>
      <c r="D14301" s="499"/>
    </row>
    <row r="14302" spans="1:4" ht="38.25" x14ac:dyDescent="0.2">
      <c r="A14302" s="319">
        <v>7734</v>
      </c>
      <c r="B14302" s="498" t="s">
        <v>46705</v>
      </c>
      <c r="C14302" s="319" t="s">
        <v>0</v>
      </c>
      <c r="D14302" s="499"/>
    </row>
    <row r="14303" spans="1:4" ht="25.5" x14ac:dyDescent="0.2">
      <c r="A14303" s="319">
        <v>7714</v>
      </c>
      <c r="B14303" s="498" t="s">
        <v>46706</v>
      </c>
      <c r="C14303" s="319" t="s">
        <v>0</v>
      </c>
      <c r="D14303" s="499"/>
    </row>
    <row r="14304" spans="1:4" ht="25.5" x14ac:dyDescent="0.2">
      <c r="A14304" s="319">
        <v>37449</v>
      </c>
      <c r="B14304" s="498" t="s">
        <v>46707</v>
      </c>
      <c r="C14304" s="319" t="s">
        <v>0</v>
      </c>
      <c r="D14304" s="499"/>
    </row>
    <row r="14305" spans="1:4" ht="25.5" x14ac:dyDescent="0.2">
      <c r="A14305" s="319">
        <v>37450</v>
      </c>
      <c r="B14305" s="498" t="s">
        <v>46708</v>
      </c>
      <c r="C14305" s="319" t="s">
        <v>0</v>
      </c>
      <c r="D14305" s="499"/>
    </row>
    <row r="14306" spans="1:4" ht="25.5" x14ac:dyDescent="0.2">
      <c r="A14306" s="319">
        <v>37451</v>
      </c>
      <c r="B14306" s="498" t="s">
        <v>46709</v>
      </c>
      <c r="C14306" s="319" t="s">
        <v>0</v>
      </c>
      <c r="D14306" s="499"/>
    </row>
    <row r="14307" spans="1:4" ht="25.5" x14ac:dyDescent="0.2">
      <c r="A14307" s="319">
        <v>37452</v>
      </c>
      <c r="B14307" s="498" t="s">
        <v>46710</v>
      </c>
      <c r="C14307" s="319" t="s">
        <v>0</v>
      </c>
      <c r="D14307" s="499"/>
    </row>
    <row r="14308" spans="1:4" ht="25.5" x14ac:dyDescent="0.2">
      <c r="A14308" s="319">
        <v>37453</v>
      </c>
      <c r="B14308" s="498" t="s">
        <v>46711</v>
      </c>
      <c r="C14308" s="319" t="s">
        <v>0</v>
      </c>
      <c r="D14308" s="499"/>
    </row>
    <row r="14309" spans="1:4" ht="25.5" x14ac:dyDescent="0.2">
      <c r="A14309" s="319">
        <v>7778</v>
      </c>
      <c r="B14309" s="498" t="s">
        <v>46712</v>
      </c>
      <c r="C14309" s="319" t="s">
        <v>0</v>
      </c>
      <c r="D14309" s="499"/>
    </row>
    <row r="14310" spans="1:4" ht="25.5" x14ac:dyDescent="0.2">
      <c r="A14310" s="319">
        <v>7796</v>
      </c>
      <c r="B14310" s="498" t="s">
        <v>46713</v>
      </c>
      <c r="C14310" s="319" t="s">
        <v>0</v>
      </c>
      <c r="D14310" s="499"/>
    </row>
    <row r="14311" spans="1:4" ht="25.5" x14ac:dyDescent="0.2">
      <c r="A14311" s="319">
        <v>7781</v>
      </c>
      <c r="B14311" s="498" t="s">
        <v>46714</v>
      </c>
      <c r="C14311" s="319" t="s">
        <v>0</v>
      </c>
      <c r="D14311" s="499"/>
    </row>
    <row r="14312" spans="1:4" ht="25.5" x14ac:dyDescent="0.2">
      <c r="A14312" s="319">
        <v>7795</v>
      </c>
      <c r="B14312" s="498" t="s">
        <v>46715</v>
      </c>
      <c r="C14312" s="319" t="s">
        <v>0</v>
      </c>
      <c r="D14312" s="499"/>
    </row>
    <row r="14313" spans="1:4" ht="25.5" x14ac:dyDescent="0.2">
      <c r="A14313" s="319">
        <v>7791</v>
      </c>
      <c r="B14313" s="498" t="s">
        <v>46716</v>
      </c>
      <c r="C14313" s="319" t="s">
        <v>0</v>
      </c>
      <c r="D14313" s="499"/>
    </row>
    <row r="14314" spans="1:4" ht="25.5" x14ac:dyDescent="0.2">
      <c r="A14314" s="319">
        <v>7783</v>
      </c>
      <c r="B14314" s="498" t="s">
        <v>46717</v>
      </c>
      <c r="C14314" s="319" t="s">
        <v>0</v>
      </c>
      <c r="D14314" s="499"/>
    </row>
    <row r="14315" spans="1:4" ht="25.5" x14ac:dyDescent="0.2">
      <c r="A14315" s="319">
        <v>7790</v>
      </c>
      <c r="B14315" s="498" t="s">
        <v>46718</v>
      </c>
      <c r="C14315" s="319" t="s">
        <v>0</v>
      </c>
      <c r="D14315" s="499"/>
    </row>
    <row r="14316" spans="1:4" ht="25.5" x14ac:dyDescent="0.2">
      <c r="A14316" s="319">
        <v>7785</v>
      </c>
      <c r="B14316" s="498" t="s">
        <v>46719</v>
      </c>
      <c r="C14316" s="319" t="s">
        <v>0</v>
      </c>
      <c r="D14316" s="499"/>
    </row>
    <row r="14317" spans="1:4" ht="25.5" x14ac:dyDescent="0.2">
      <c r="A14317" s="319">
        <v>7792</v>
      </c>
      <c r="B14317" s="498" t="s">
        <v>46720</v>
      </c>
      <c r="C14317" s="319" t="s">
        <v>0</v>
      </c>
      <c r="D14317" s="499"/>
    </row>
    <row r="14318" spans="1:4" ht="25.5" x14ac:dyDescent="0.2">
      <c r="A14318" s="319">
        <v>7793</v>
      </c>
      <c r="B14318" s="498" t="s">
        <v>46721</v>
      </c>
      <c r="C14318" s="319" t="s">
        <v>0</v>
      </c>
      <c r="D14318" s="499"/>
    </row>
    <row r="14319" spans="1:4" ht="38.25" x14ac:dyDescent="0.2">
      <c r="A14319" s="319">
        <v>13159</v>
      </c>
      <c r="B14319" s="498" t="s">
        <v>46722</v>
      </c>
      <c r="C14319" s="319" t="s">
        <v>0</v>
      </c>
      <c r="D14319" s="499"/>
    </row>
    <row r="14320" spans="1:4" ht="38.25" x14ac:dyDescent="0.2">
      <c r="A14320" s="319">
        <v>13168</v>
      </c>
      <c r="B14320" s="498" t="s">
        <v>46723</v>
      </c>
      <c r="C14320" s="319" t="s">
        <v>0</v>
      </c>
      <c r="D14320" s="499"/>
    </row>
    <row r="14321" spans="1:4" ht="38.25" x14ac:dyDescent="0.2">
      <c r="A14321" s="319">
        <v>13173</v>
      </c>
      <c r="B14321" s="498" t="s">
        <v>46724</v>
      </c>
      <c r="C14321" s="319" t="s">
        <v>0</v>
      </c>
      <c r="D14321" s="499"/>
    </row>
    <row r="14322" spans="1:4" ht="25.5" x14ac:dyDescent="0.2">
      <c r="A14322" s="319">
        <v>12583</v>
      </c>
      <c r="B14322" s="498" t="s">
        <v>46725</v>
      </c>
      <c r="C14322" s="319" t="s">
        <v>0</v>
      </c>
      <c r="D14322" s="499"/>
    </row>
    <row r="14323" spans="1:4" ht="25.5" x14ac:dyDescent="0.2">
      <c r="A14323" s="319">
        <v>12584</v>
      </c>
      <c r="B14323" s="498" t="s">
        <v>46726</v>
      </c>
      <c r="C14323" s="319" t="s">
        <v>0</v>
      </c>
      <c r="D14323" s="499"/>
    </row>
    <row r="14324" spans="1:4" ht="25.5" x14ac:dyDescent="0.2">
      <c r="A14324" s="319">
        <v>12613</v>
      </c>
      <c r="B14324" s="498" t="s">
        <v>46727</v>
      </c>
      <c r="C14324" s="319" t="s">
        <v>26</v>
      </c>
      <c r="D14324" s="499">
        <v>22.29</v>
      </c>
    </row>
    <row r="14325" spans="1:4" ht="25.5" x14ac:dyDescent="0.2">
      <c r="A14325" s="319">
        <v>1031</v>
      </c>
      <c r="B14325" s="498" t="s">
        <v>46728</v>
      </c>
      <c r="C14325" s="319" t="s">
        <v>26</v>
      </c>
      <c r="D14325" s="499">
        <v>13.49</v>
      </c>
    </row>
    <row r="14326" spans="1:4" ht="38.25" x14ac:dyDescent="0.2">
      <c r="A14326" s="319">
        <v>39707</v>
      </c>
      <c r="B14326" s="498" t="s">
        <v>46729</v>
      </c>
      <c r="C14326" s="319" t="s">
        <v>0</v>
      </c>
      <c r="D14326" s="499"/>
    </row>
    <row r="14327" spans="1:4" ht="38.25" x14ac:dyDescent="0.2">
      <c r="A14327" s="319">
        <v>39708</v>
      </c>
      <c r="B14327" s="498" t="s">
        <v>46730</v>
      </c>
      <c r="C14327" s="319" t="s">
        <v>0</v>
      </c>
      <c r="D14327" s="499"/>
    </row>
    <row r="14328" spans="1:4" ht="38.25" x14ac:dyDescent="0.2">
      <c r="A14328" s="319">
        <v>39710</v>
      </c>
      <c r="B14328" s="498" t="s">
        <v>46731</v>
      </c>
      <c r="C14328" s="319" t="s">
        <v>0</v>
      </c>
      <c r="D14328" s="499"/>
    </row>
    <row r="14329" spans="1:4" ht="38.25" x14ac:dyDescent="0.2">
      <c r="A14329" s="319">
        <v>39709</v>
      </c>
      <c r="B14329" s="498" t="s">
        <v>46732</v>
      </c>
      <c r="C14329" s="319" t="s">
        <v>0</v>
      </c>
      <c r="D14329" s="499"/>
    </row>
    <row r="14330" spans="1:4" ht="38.25" x14ac:dyDescent="0.2">
      <c r="A14330" s="319">
        <v>39711</v>
      </c>
      <c r="B14330" s="498" t="s">
        <v>46733</v>
      </c>
      <c r="C14330" s="319" t="s">
        <v>0</v>
      </c>
      <c r="D14330" s="499"/>
    </row>
    <row r="14331" spans="1:4" ht="38.25" x14ac:dyDescent="0.2">
      <c r="A14331" s="319">
        <v>39714</v>
      </c>
      <c r="B14331" s="498" t="s">
        <v>46734</v>
      </c>
      <c r="C14331" s="319" t="s">
        <v>0</v>
      </c>
      <c r="D14331" s="499"/>
    </row>
    <row r="14332" spans="1:4" ht="38.25" x14ac:dyDescent="0.2">
      <c r="A14332" s="319">
        <v>39712</v>
      </c>
      <c r="B14332" s="498" t="s">
        <v>46735</v>
      </c>
      <c r="C14332" s="319" t="s">
        <v>0</v>
      </c>
      <c r="D14332" s="499"/>
    </row>
    <row r="14333" spans="1:4" ht="38.25" x14ac:dyDescent="0.2">
      <c r="A14333" s="319">
        <v>39713</v>
      </c>
      <c r="B14333" s="498" t="s">
        <v>46736</v>
      </c>
      <c r="C14333" s="319" t="s">
        <v>0</v>
      </c>
      <c r="D14333" s="499"/>
    </row>
    <row r="14334" spans="1:4" ht="38.25" x14ac:dyDescent="0.2">
      <c r="A14334" s="319">
        <v>39715</v>
      </c>
      <c r="B14334" s="498" t="s">
        <v>46737</v>
      </c>
      <c r="C14334" s="319" t="s">
        <v>0</v>
      </c>
      <c r="D14334" s="499"/>
    </row>
    <row r="14335" spans="1:4" ht="38.25" x14ac:dyDescent="0.2">
      <c r="A14335" s="319">
        <v>39716</v>
      </c>
      <c r="B14335" s="498" t="s">
        <v>46738</v>
      </c>
      <c r="C14335" s="319" t="s">
        <v>0</v>
      </c>
      <c r="D14335" s="499"/>
    </row>
    <row r="14336" spans="1:4" ht="38.25" x14ac:dyDescent="0.2">
      <c r="A14336" s="319">
        <v>39718</v>
      </c>
      <c r="B14336" s="498" t="s">
        <v>46739</v>
      </c>
      <c r="C14336" s="319" t="s">
        <v>0</v>
      </c>
      <c r="D14336" s="499"/>
    </row>
    <row r="14337" spans="1:4" ht="25.5" x14ac:dyDescent="0.2">
      <c r="A14337" s="319">
        <v>9813</v>
      </c>
      <c r="B14337" s="498" t="s">
        <v>46740</v>
      </c>
      <c r="C14337" s="319" t="s">
        <v>0</v>
      </c>
      <c r="D14337" s="499"/>
    </row>
    <row r="14338" spans="1:4" ht="25.5" x14ac:dyDescent="0.2">
      <c r="A14338" s="319">
        <v>9815</v>
      </c>
      <c r="B14338" s="498" t="s">
        <v>46741</v>
      </c>
      <c r="C14338" s="319" t="s">
        <v>0</v>
      </c>
      <c r="D14338" s="499"/>
    </row>
    <row r="14339" spans="1:4" ht="25.5" x14ac:dyDescent="0.2">
      <c r="A14339" s="319">
        <v>44543</v>
      </c>
      <c r="B14339" s="498" t="s">
        <v>46742</v>
      </c>
      <c r="C14339" s="319" t="s">
        <v>0</v>
      </c>
      <c r="D14339" s="499"/>
    </row>
    <row r="14340" spans="1:4" ht="25.5" x14ac:dyDescent="0.2">
      <c r="A14340" s="319">
        <v>44526</v>
      </c>
      <c r="B14340" s="498" t="s">
        <v>46743</v>
      </c>
      <c r="C14340" s="319" t="s">
        <v>0</v>
      </c>
      <c r="D14340" s="499"/>
    </row>
    <row r="14341" spans="1:4" ht="25.5" x14ac:dyDescent="0.2">
      <c r="A14341" s="319">
        <v>44545</v>
      </c>
      <c r="B14341" s="498" t="s">
        <v>46744</v>
      </c>
      <c r="C14341" s="319" t="s">
        <v>0</v>
      </c>
      <c r="D14341" s="499"/>
    </row>
    <row r="14342" spans="1:4" ht="25.5" x14ac:dyDescent="0.2">
      <c r="A14342" s="319">
        <v>44525</v>
      </c>
      <c r="B14342" s="498" t="s">
        <v>46745</v>
      </c>
      <c r="C14342" s="319" t="s">
        <v>0</v>
      </c>
      <c r="D14342" s="499"/>
    </row>
    <row r="14343" spans="1:4" ht="25.5" x14ac:dyDescent="0.2">
      <c r="A14343" s="319">
        <v>44547</v>
      </c>
      <c r="B14343" s="498" t="s">
        <v>46746</v>
      </c>
      <c r="C14343" s="319" t="s">
        <v>0</v>
      </c>
      <c r="D14343" s="499"/>
    </row>
    <row r="14344" spans="1:4" ht="25.5" x14ac:dyDescent="0.2">
      <c r="A14344" s="319">
        <v>44519</v>
      </c>
      <c r="B14344" s="498" t="s">
        <v>46747</v>
      </c>
      <c r="C14344" s="319" t="s">
        <v>0</v>
      </c>
      <c r="D14344" s="499"/>
    </row>
    <row r="14345" spans="1:4" ht="25.5" x14ac:dyDescent="0.2">
      <c r="A14345" s="319">
        <v>44520</v>
      </c>
      <c r="B14345" s="498" t="s">
        <v>46748</v>
      </c>
      <c r="C14345" s="319" t="s">
        <v>0</v>
      </c>
      <c r="D14345" s="499"/>
    </row>
    <row r="14346" spans="1:4" ht="25.5" x14ac:dyDescent="0.2">
      <c r="A14346" s="319">
        <v>44521</v>
      </c>
      <c r="B14346" s="498" t="s">
        <v>48371</v>
      </c>
      <c r="C14346" s="319" t="s">
        <v>0</v>
      </c>
      <c r="D14346" s="499"/>
    </row>
    <row r="14347" spans="1:4" ht="25.5" x14ac:dyDescent="0.2">
      <c r="A14347" s="319">
        <v>44522</v>
      </c>
      <c r="B14347" s="498" t="s">
        <v>46749</v>
      </c>
      <c r="C14347" s="319" t="s">
        <v>0</v>
      </c>
      <c r="D14347" s="499"/>
    </row>
    <row r="14348" spans="1:4" ht="25.5" x14ac:dyDescent="0.2">
      <c r="A14348" s="319">
        <v>44523</v>
      </c>
      <c r="B14348" s="498" t="s">
        <v>46750</v>
      </c>
      <c r="C14348" s="319" t="s">
        <v>0</v>
      </c>
      <c r="D14348" s="499"/>
    </row>
    <row r="14349" spans="1:4" ht="25.5" x14ac:dyDescent="0.2">
      <c r="A14349" s="319">
        <v>44527</v>
      </c>
      <c r="B14349" s="498" t="s">
        <v>46751</v>
      </c>
      <c r="C14349" s="319" t="s">
        <v>0</v>
      </c>
      <c r="D14349" s="499"/>
    </row>
    <row r="14350" spans="1:4" ht="25.5" x14ac:dyDescent="0.2">
      <c r="A14350" s="319">
        <v>44524</v>
      </c>
      <c r="B14350" s="498" t="s">
        <v>46752</v>
      </c>
      <c r="C14350" s="319" t="s">
        <v>0</v>
      </c>
      <c r="D14350" s="499"/>
    </row>
    <row r="14351" spans="1:4" ht="25.5" x14ac:dyDescent="0.2">
      <c r="A14351" s="319">
        <v>44542</v>
      </c>
      <c r="B14351" s="498" t="s">
        <v>46753</v>
      </c>
      <c r="C14351" s="319" t="s">
        <v>0</v>
      </c>
      <c r="D14351" s="499"/>
    </row>
    <row r="14352" spans="1:4" x14ac:dyDescent="0.2">
      <c r="A14352" s="319">
        <v>9877</v>
      </c>
      <c r="B14352" s="498" t="s">
        <v>46754</v>
      </c>
      <c r="C14352" s="319" t="s">
        <v>0</v>
      </c>
      <c r="D14352" s="499">
        <v>132.6</v>
      </c>
    </row>
    <row r="14353" spans="1:4" x14ac:dyDescent="0.2">
      <c r="A14353" s="319">
        <v>9878</v>
      </c>
      <c r="B14353" s="498" t="s">
        <v>46755</v>
      </c>
      <c r="C14353" s="319" t="s">
        <v>0</v>
      </c>
      <c r="D14353" s="499">
        <v>163.24</v>
      </c>
    </row>
    <row r="14354" spans="1:4" ht="38.25" x14ac:dyDescent="0.2">
      <c r="A14354" s="319">
        <v>41986</v>
      </c>
      <c r="B14354" s="498" t="s">
        <v>46756</v>
      </c>
      <c r="C14354" s="319" t="s">
        <v>0</v>
      </c>
      <c r="D14354" s="499"/>
    </row>
    <row r="14355" spans="1:4" ht="38.25" x14ac:dyDescent="0.2">
      <c r="A14355" s="319">
        <v>43422</v>
      </c>
      <c r="B14355" s="498" t="s">
        <v>46757</v>
      </c>
      <c r="C14355" s="319" t="s">
        <v>0</v>
      </c>
      <c r="D14355" s="499"/>
    </row>
    <row r="14356" spans="1:4" ht="38.25" x14ac:dyDescent="0.2">
      <c r="A14356" s="319">
        <v>41987</v>
      </c>
      <c r="B14356" s="498" t="s">
        <v>46758</v>
      </c>
      <c r="C14356" s="319" t="s">
        <v>0</v>
      </c>
      <c r="D14356" s="499"/>
    </row>
    <row r="14357" spans="1:4" ht="38.25" x14ac:dyDescent="0.2">
      <c r="A14357" s="319">
        <v>41988</v>
      </c>
      <c r="B14357" s="498" t="s">
        <v>46759</v>
      </c>
      <c r="C14357" s="319" t="s">
        <v>0</v>
      </c>
      <c r="D14357" s="499"/>
    </row>
    <row r="14358" spans="1:4" ht="38.25" x14ac:dyDescent="0.2">
      <c r="A14358" s="319">
        <v>41697</v>
      </c>
      <c r="B14358" s="498" t="s">
        <v>46760</v>
      </c>
      <c r="C14358" s="319" t="s">
        <v>0</v>
      </c>
      <c r="D14358" s="499"/>
    </row>
    <row r="14359" spans="1:4" ht="38.25" x14ac:dyDescent="0.2">
      <c r="A14359" s="319">
        <v>41985</v>
      </c>
      <c r="B14359" s="498" t="s">
        <v>46761</v>
      </c>
      <c r="C14359" s="319" t="s">
        <v>0</v>
      </c>
      <c r="D14359" s="499"/>
    </row>
    <row r="14360" spans="1:4" ht="38.25" x14ac:dyDescent="0.2">
      <c r="A14360" s="319">
        <v>41699</v>
      </c>
      <c r="B14360" s="498" t="s">
        <v>46762</v>
      </c>
      <c r="C14360" s="319" t="s">
        <v>0</v>
      </c>
      <c r="D14360" s="499"/>
    </row>
    <row r="14361" spans="1:4" ht="38.25" x14ac:dyDescent="0.2">
      <c r="A14361" s="319">
        <v>38053</v>
      </c>
      <c r="B14361" s="498" t="s">
        <v>46763</v>
      </c>
      <c r="C14361" s="319" t="s">
        <v>0</v>
      </c>
      <c r="D14361" s="499"/>
    </row>
    <row r="14362" spans="1:4" ht="38.25" x14ac:dyDescent="0.2">
      <c r="A14362" s="319">
        <v>38054</v>
      </c>
      <c r="B14362" s="498" t="s">
        <v>46764</v>
      </c>
      <c r="C14362" s="319" t="s">
        <v>0</v>
      </c>
      <c r="D14362" s="499"/>
    </row>
    <row r="14363" spans="1:4" ht="38.25" x14ac:dyDescent="0.2">
      <c r="A14363" s="319">
        <v>38052</v>
      </c>
      <c r="B14363" s="498" t="s">
        <v>46765</v>
      </c>
      <c r="C14363" s="319" t="s">
        <v>0</v>
      </c>
      <c r="D14363" s="499"/>
    </row>
    <row r="14364" spans="1:4" ht="38.25" x14ac:dyDescent="0.2">
      <c r="A14364" s="319">
        <v>38051</v>
      </c>
      <c r="B14364" s="498" t="s">
        <v>46766</v>
      </c>
      <c r="C14364" s="319" t="s">
        <v>0</v>
      </c>
      <c r="D14364" s="499"/>
    </row>
    <row r="14365" spans="1:4" x14ac:dyDescent="0.2">
      <c r="A14365" s="319">
        <v>38787</v>
      </c>
      <c r="B14365" s="498" t="s">
        <v>46767</v>
      </c>
      <c r="C14365" s="319" t="s">
        <v>0</v>
      </c>
      <c r="D14365" s="499"/>
    </row>
    <row r="14366" spans="1:4" x14ac:dyDescent="0.2">
      <c r="A14366" s="319">
        <v>38825</v>
      </c>
      <c r="B14366" s="498" t="s">
        <v>46768</v>
      </c>
      <c r="C14366" s="319" t="s">
        <v>0</v>
      </c>
      <c r="D14366" s="499"/>
    </row>
    <row r="14367" spans="1:4" x14ac:dyDescent="0.2">
      <c r="A14367" s="319">
        <v>38826</v>
      </c>
      <c r="B14367" s="498" t="s">
        <v>46769</v>
      </c>
      <c r="C14367" s="319" t="s">
        <v>0</v>
      </c>
      <c r="D14367" s="499"/>
    </row>
    <row r="14368" spans="1:4" x14ac:dyDescent="0.2">
      <c r="A14368" s="319">
        <v>38827</v>
      </c>
      <c r="B14368" s="498" t="s">
        <v>46770</v>
      </c>
      <c r="C14368" s="319" t="s">
        <v>0</v>
      </c>
      <c r="D14368" s="499"/>
    </row>
    <row r="14369" spans="1:4" x14ac:dyDescent="0.2">
      <c r="A14369" s="319">
        <v>38828</v>
      </c>
      <c r="B14369" s="498" t="s">
        <v>46771</v>
      </c>
      <c r="C14369" s="319" t="s">
        <v>0</v>
      </c>
      <c r="D14369" s="499"/>
    </row>
    <row r="14370" spans="1:4" x14ac:dyDescent="0.2">
      <c r="A14370" s="319">
        <v>38829</v>
      </c>
      <c r="B14370" s="498" t="s">
        <v>46772</v>
      </c>
      <c r="C14370" s="319" t="s">
        <v>0</v>
      </c>
      <c r="D14370" s="499"/>
    </row>
    <row r="14371" spans="1:4" x14ac:dyDescent="0.2">
      <c r="A14371" s="319">
        <v>38830</v>
      </c>
      <c r="B14371" s="498" t="s">
        <v>46773</v>
      </c>
      <c r="C14371" s="319" t="s">
        <v>0</v>
      </c>
      <c r="D14371" s="499"/>
    </row>
    <row r="14372" spans="1:4" x14ac:dyDescent="0.2">
      <c r="A14372" s="319">
        <v>38831</v>
      </c>
      <c r="B14372" s="498" t="s">
        <v>46774</v>
      </c>
      <c r="C14372" s="319" t="s">
        <v>0</v>
      </c>
      <c r="D14372" s="499"/>
    </row>
    <row r="14373" spans="1:4" x14ac:dyDescent="0.2">
      <c r="A14373" s="319">
        <v>36274</v>
      </c>
      <c r="B14373" s="498" t="s">
        <v>46775</v>
      </c>
      <c r="C14373" s="319" t="s">
        <v>0</v>
      </c>
      <c r="D14373" s="499"/>
    </row>
    <row r="14374" spans="1:4" x14ac:dyDescent="0.2">
      <c r="A14374" s="319">
        <v>36278</v>
      </c>
      <c r="B14374" s="498" t="s">
        <v>46776</v>
      </c>
      <c r="C14374" s="319" t="s">
        <v>0</v>
      </c>
      <c r="D14374" s="499"/>
    </row>
    <row r="14375" spans="1:4" x14ac:dyDescent="0.2">
      <c r="A14375" s="319">
        <v>38977</v>
      </c>
      <c r="B14375" s="498" t="s">
        <v>46777</v>
      </c>
      <c r="C14375" s="319" t="s">
        <v>0</v>
      </c>
      <c r="D14375" s="499"/>
    </row>
    <row r="14376" spans="1:4" x14ac:dyDescent="0.2">
      <c r="A14376" s="319">
        <v>38971</v>
      </c>
      <c r="B14376" s="498" t="s">
        <v>46778</v>
      </c>
      <c r="C14376" s="319" t="s">
        <v>0</v>
      </c>
      <c r="D14376" s="499"/>
    </row>
    <row r="14377" spans="1:4" x14ac:dyDescent="0.2">
      <c r="A14377" s="319">
        <v>38972</v>
      </c>
      <c r="B14377" s="498" t="s">
        <v>46779</v>
      </c>
      <c r="C14377" s="319" t="s">
        <v>0</v>
      </c>
      <c r="D14377" s="499"/>
    </row>
    <row r="14378" spans="1:4" x14ac:dyDescent="0.2">
      <c r="A14378" s="319">
        <v>38973</v>
      </c>
      <c r="B14378" s="498" t="s">
        <v>46780</v>
      </c>
      <c r="C14378" s="319" t="s">
        <v>0</v>
      </c>
      <c r="D14378" s="499"/>
    </row>
    <row r="14379" spans="1:4" x14ac:dyDescent="0.2">
      <c r="A14379" s="319">
        <v>38974</v>
      </c>
      <c r="B14379" s="498" t="s">
        <v>46781</v>
      </c>
      <c r="C14379" s="319" t="s">
        <v>0</v>
      </c>
      <c r="D14379" s="499"/>
    </row>
    <row r="14380" spans="1:4" x14ac:dyDescent="0.2">
      <c r="A14380" s="319">
        <v>38975</v>
      </c>
      <c r="B14380" s="498" t="s">
        <v>46782</v>
      </c>
      <c r="C14380" s="319" t="s">
        <v>0</v>
      </c>
      <c r="D14380" s="499"/>
    </row>
    <row r="14381" spans="1:4" x14ac:dyDescent="0.2">
      <c r="A14381" s="319">
        <v>38976</v>
      </c>
      <c r="B14381" s="498" t="s">
        <v>46783</v>
      </c>
      <c r="C14381" s="319" t="s">
        <v>0</v>
      </c>
      <c r="D14381" s="499"/>
    </row>
    <row r="14382" spans="1:4" ht="25.5" x14ac:dyDescent="0.2">
      <c r="A14382" s="319">
        <v>44176</v>
      </c>
      <c r="B14382" s="498" t="s">
        <v>46784</v>
      </c>
      <c r="C14382" s="319" t="s">
        <v>0</v>
      </c>
      <c r="D14382" s="499"/>
    </row>
    <row r="14383" spans="1:4" x14ac:dyDescent="0.2">
      <c r="A14383" s="319">
        <v>38986</v>
      </c>
      <c r="B14383" s="498" t="s">
        <v>46785</v>
      </c>
      <c r="C14383" s="319" t="s">
        <v>0</v>
      </c>
      <c r="D14383" s="499"/>
    </row>
    <row r="14384" spans="1:4" x14ac:dyDescent="0.2">
      <c r="A14384" s="319">
        <v>38978</v>
      </c>
      <c r="B14384" s="498" t="s">
        <v>46786</v>
      </c>
      <c r="C14384" s="319" t="s">
        <v>0</v>
      </c>
      <c r="D14384" s="499"/>
    </row>
    <row r="14385" spans="1:4" x14ac:dyDescent="0.2">
      <c r="A14385" s="319">
        <v>38979</v>
      </c>
      <c r="B14385" s="498" t="s">
        <v>46787</v>
      </c>
      <c r="C14385" s="319" t="s">
        <v>0</v>
      </c>
      <c r="D14385" s="499"/>
    </row>
    <row r="14386" spans="1:4" x14ac:dyDescent="0.2">
      <c r="A14386" s="319">
        <v>38980</v>
      </c>
      <c r="B14386" s="498" t="s">
        <v>46788</v>
      </c>
      <c r="C14386" s="319" t="s">
        <v>0</v>
      </c>
      <c r="D14386" s="499"/>
    </row>
    <row r="14387" spans="1:4" x14ac:dyDescent="0.2">
      <c r="A14387" s="319">
        <v>38981</v>
      </c>
      <c r="B14387" s="498" t="s">
        <v>46789</v>
      </c>
      <c r="C14387" s="319" t="s">
        <v>0</v>
      </c>
      <c r="D14387" s="499"/>
    </row>
    <row r="14388" spans="1:4" x14ac:dyDescent="0.2">
      <c r="A14388" s="319">
        <v>38982</v>
      </c>
      <c r="B14388" s="498" t="s">
        <v>46790</v>
      </c>
      <c r="C14388" s="319" t="s">
        <v>0</v>
      </c>
      <c r="D14388" s="499"/>
    </row>
    <row r="14389" spans="1:4" x14ac:dyDescent="0.2">
      <c r="A14389" s="319">
        <v>38983</v>
      </c>
      <c r="B14389" s="498" t="s">
        <v>46791</v>
      </c>
      <c r="C14389" s="319" t="s">
        <v>0</v>
      </c>
      <c r="D14389" s="499"/>
    </row>
    <row r="14390" spans="1:4" x14ac:dyDescent="0.2">
      <c r="A14390" s="319">
        <v>38984</v>
      </c>
      <c r="B14390" s="498" t="s">
        <v>46792</v>
      </c>
      <c r="C14390" s="319" t="s">
        <v>0</v>
      </c>
      <c r="D14390" s="499"/>
    </row>
    <row r="14391" spans="1:4" x14ac:dyDescent="0.2">
      <c r="A14391" s="319">
        <v>38985</v>
      </c>
      <c r="B14391" s="498" t="s">
        <v>46793</v>
      </c>
      <c r="C14391" s="319" t="s">
        <v>0</v>
      </c>
      <c r="D14391" s="499"/>
    </row>
    <row r="14392" spans="1:4" ht="25.5" x14ac:dyDescent="0.2">
      <c r="A14392" s="319">
        <v>38032</v>
      </c>
      <c r="B14392" s="498" t="s">
        <v>46794</v>
      </c>
      <c r="C14392" s="319" t="s">
        <v>0</v>
      </c>
      <c r="D14392" s="499">
        <v>63.14</v>
      </c>
    </row>
    <row r="14393" spans="1:4" ht="25.5" x14ac:dyDescent="0.2">
      <c r="A14393" s="319">
        <v>38033</v>
      </c>
      <c r="B14393" s="498" t="s">
        <v>46795</v>
      </c>
      <c r="C14393" s="319" t="s">
        <v>0</v>
      </c>
      <c r="D14393" s="499">
        <v>107.34</v>
      </c>
    </row>
    <row r="14394" spans="1:4" ht="25.5" x14ac:dyDescent="0.2">
      <c r="A14394" s="319">
        <v>38034</v>
      </c>
      <c r="B14394" s="498" t="s">
        <v>46796</v>
      </c>
      <c r="C14394" s="319" t="s">
        <v>0</v>
      </c>
      <c r="D14394" s="499">
        <v>168.14</v>
      </c>
    </row>
    <row r="14395" spans="1:4" ht="25.5" x14ac:dyDescent="0.2">
      <c r="A14395" s="319">
        <v>38035</v>
      </c>
      <c r="B14395" s="498" t="s">
        <v>46797</v>
      </c>
      <c r="C14395" s="319" t="s">
        <v>0</v>
      </c>
      <c r="D14395" s="499">
        <v>247.36</v>
      </c>
    </row>
    <row r="14396" spans="1:4" ht="25.5" x14ac:dyDescent="0.2">
      <c r="A14396" s="319">
        <v>38036</v>
      </c>
      <c r="B14396" s="498" t="s">
        <v>46798</v>
      </c>
      <c r="C14396" s="319" t="s">
        <v>0</v>
      </c>
      <c r="D14396" s="499">
        <v>333.22</v>
      </c>
    </row>
    <row r="14397" spans="1:4" ht="25.5" x14ac:dyDescent="0.2">
      <c r="A14397" s="319">
        <v>38037</v>
      </c>
      <c r="B14397" s="498" t="s">
        <v>46799</v>
      </c>
      <c r="C14397" s="319" t="s">
        <v>0</v>
      </c>
      <c r="D14397" s="499">
        <v>440.14</v>
      </c>
    </row>
    <row r="14398" spans="1:4" ht="25.5" x14ac:dyDescent="0.2">
      <c r="A14398" s="319">
        <v>9850</v>
      </c>
      <c r="B14398" s="498" t="s">
        <v>46800</v>
      </c>
      <c r="C14398" s="319" t="s">
        <v>0</v>
      </c>
      <c r="D14398" s="499"/>
    </row>
    <row r="14399" spans="1:4" ht="25.5" x14ac:dyDescent="0.2">
      <c r="A14399" s="319">
        <v>9853</v>
      </c>
      <c r="B14399" s="498" t="s">
        <v>46801</v>
      </c>
      <c r="C14399" s="319" t="s">
        <v>0</v>
      </c>
      <c r="D14399" s="499"/>
    </row>
    <row r="14400" spans="1:4" ht="25.5" x14ac:dyDescent="0.2">
      <c r="A14400" s="319">
        <v>9854</v>
      </c>
      <c r="B14400" s="498" t="s">
        <v>46802</v>
      </c>
      <c r="C14400" s="319" t="s">
        <v>0</v>
      </c>
      <c r="D14400" s="499"/>
    </row>
    <row r="14401" spans="1:4" ht="25.5" x14ac:dyDescent="0.2">
      <c r="A14401" s="319">
        <v>9851</v>
      </c>
      <c r="B14401" s="498" t="s">
        <v>46803</v>
      </c>
      <c r="C14401" s="319" t="s">
        <v>0</v>
      </c>
      <c r="D14401" s="499"/>
    </row>
    <row r="14402" spans="1:4" x14ac:dyDescent="0.2">
      <c r="A14402" s="319">
        <v>9825</v>
      </c>
      <c r="B14402" s="498" t="s">
        <v>46804</v>
      </c>
      <c r="C14402" s="319" t="s">
        <v>0</v>
      </c>
      <c r="D14402" s="499"/>
    </row>
    <row r="14403" spans="1:4" x14ac:dyDescent="0.2">
      <c r="A14403" s="319">
        <v>9828</v>
      </c>
      <c r="B14403" s="498" t="s">
        <v>46805</v>
      </c>
      <c r="C14403" s="319" t="s">
        <v>0</v>
      </c>
      <c r="D14403" s="499"/>
    </row>
    <row r="14404" spans="1:4" x14ac:dyDescent="0.2">
      <c r="A14404" s="319">
        <v>9829</v>
      </c>
      <c r="B14404" s="498" t="s">
        <v>46806</v>
      </c>
      <c r="C14404" s="319" t="s">
        <v>0</v>
      </c>
      <c r="D14404" s="499"/>
    </row>
    <row r="14405" spans="1:4" x14ac:dyDescent="0.2">
      <c r="A14405" s="319">
        <v>9826</v>
      </c>
      <c r="B14405" s="498" t="s">
        <v>46807</v>
      </c>
      <c r="C14405" s="319" t="s">
        <v>0</v>
      </c>
      <c r="D14405" s="499"/>
    </row>
    <row r="14406" spans="1:4" x14ac:dyDescent="0.2">
      <c r="A14406" s="319">
        <v>9827</v>
      </c>
      <c r="B14406" s="498" t="s">
        <v>46808</v>
      </c>
      <c r="C14406" s="319" t="s">
        <v>0</v>
      </c>
      <c r="D14406" s="499"/>
    </row>
    <row r="14407" spans="1:4" x14ac:dyDescent="0.2">
      <c r="A14407" s="319">
        <v>36374</v>
      </c>
      <c r="B14407" s="498" t="s">
        <v>46809</v>
      </c>
      <c r="C14407" s="319" t="s">
        <v>0</v>
      </c>
      <c r="D14407" s="499"/>
    </row>
    <row r="14408" spans="1:4" x14ac:dyDescent="0.2">
      <c r="A14408" s="319">
        <v>36084</v>
      </c>
      <c r="B14408" s="498" t="s">
        <v>46810</v>
      </c>
      <c r="C14408" s="319" t="s">
        <v>0</v>
      </c>
      <c r="D14408" s="499"/>
    </row>
    <row r="14409" spans="1:4" x14ac:dyDescent="0.2">
      <c r="A14409" s="319">
        <v>36373</v>
      </c>
      <c r="B14409" s="498" t="s">
        <v>46811</v>
      </c>
      <c r="C14409" s="319" t="s">
        <v>0</v>
      </c>
      <c r="D14409" s="499"/>
    </row>
    <row r="14410" spans="1:4" x14ac:dyDescent="0.2">
      <c r="A14410" s="319">
        <v>36377</v>
      </c>
      <c r="B14410" s="498" t="s">
        <v>46812</v>
      </c>
      <c r="C14410" s="319" t="s">
        <v>0</v>
      </c>
      <c r="D14410" s="499"/>
    </row>
    <row r="14411" spans="1:4" x14ac:dyDescent="0.2">
      <c r="A14411" s="319">
        <v>36375</v>
      </c>
      <c r="B14411" s="498" t="s">
        <v>46813</v>
      </c>
      <c r="C14411" s="319" t="s">
        <v>0</v>
      </c>
      <c r="D14411" s="499"/>
    </row>
    <row r="14412" spans="1:4" x14ac:dyDescent="0.2">
      <c r="A14412" s="319">
        <v>36376</v>
      </c>
      <c r="B14412" s="498" t="s">
        <v>46814</v>
      </c>
      <c r="C14412" s="319" t="s">
        <v>0</v>
      </c>
      <c r="D14412" s="499"/>
    </row>
    <row r="14413" spans="1:4" x14ac:dyDescent="0.2">
      <c r="A14413" s="319">
        <v>36380</v>
      </c>
      <c r="B14413" s="498" t="s">
        <v>46815</v>
      </c>
      <c r="C14413" s="319" t="s">
        <v>0</v>
      </c>
      <c r="D14413" s="499"/>
    </row>
    <row r="14414" spans="1:4" x14ac:dyDescent="0.2">
      <c r="A14414" s="319">
        <v>36378</v>
      </c>
      <c r="B14414" s="498" t="s">
        <v>46816</v>
      </c>
      <c r="C14414" s="319" t="s">
        <v>0</v>
      </c>
      <c r="D14414" s="499"/>
    </row>
    <row r="14415" spans="1:4" x14ac:dyDescent="0.2">
      <c r="A14415" s="319">
        <v>36379</v>
      </c>
      <c r="B14415" s="498" t="s">
        <v>46817</v>
      </c>
      <c r="C14415" s="319" t="s">
        <v>0</v>
      </c>
      <c r="D14415" s="499"/>
    </row>
    <row r="14416" spans="1:4" x14ac:dyDescent="0.2">
      <c r="A14416" s="319">
        <v>9859</v>
      </c>
      <c r="B14416" s="498" t="s">
        <v>46818</v>
      </c>
      <c r="C14416" s="319" t="s">
        <v>0</v>
      </c>
      <c r="D14416" s="499">
        <v>10.08</v>
      </c>
    </row>
    <row r="14417" spans="1:4" x14ac:dyDescent="0.2">
      <c r="A14417" s="319">
        <v>9836</v>
      </c>
      <c r="B14417" s="498" t="s">
        <v>46819</v>
      </c>
      <c r="C14417" s="319" t="s">
        <v>0</v>
      </c>
      <c r="D14417" s="499">
        <v>15.98</v>
      </c>
    </row>
    <row r="14418" spans="1:4" x14ac:dyDescent="0.2">
      <c r="A14418" s="319">
        <v>20065</v>
      </c>
      <c r="B14418" s="498" t="s">
        <v>46820</v>
      </c>
      <c r="C14418" s="319" t="s">
        <v>0</v>
      </c>
      <c r="D14418" s="499">
        <v>41.77</v>
      </c>
    </row>
    <row r="14419" spans="1:4" x14ac:dyDescent="0.2">
      <c r="A14419" s="319">
        <v>9835</v>
      </c>
      <c r="B14419" s="498" t="s">
        <v>46821</v>
      </c>
      <c r="C14419" s="319" t="s">
        <v>0</v>
      </c>
      <c r="D14419" s="499">
        <v>6.98</v>
      </c>
    </row>
    <row r="14420" spans="1:4" x14ac:dyDescent="0.2">
      <c r="A14420" s="319">
        <v>9838</v>
      </c>
      <c r="B14420" s="498" t="s">
        <v>46822</v>
      </c>
      <c r="C14420" s="319" t="s">
        <v>0</v>
      </c>
      <c r="D14420" s="499">
        <v>11.53</v>
      </c>
    </row>
    <row r="14421" spans="1:4" x14ac:dyDescent="0.2">
      <c r="A14421" s="319">
        <v>9837</v>
      </c>
      <c r="B14421" s="498" t="s">
        <v>46823</v>
      </c>
      <c r="C14421" s="319" t="s">
        <v>0</v>
      </c>
      <c r="D14421" s="499">
        <v>15.13</v>
      </c>
    </row>
    <row r="14422" spans="1:4" ht="25.5" x14ac:dyDescent="0.2">
      <c r="A14422" s="319">
        <v>44315</v>
      </c>
      <c r="B14422" s="498" t="s">
        <v>46824</v>
      </c>
      <c r="C14422" s="319" t="s">
        <v>0</v>
      </c>
      <c r="D14422" s="499">
        <v>62.56</v>
      </c>
    </row>
    <row r="14423" spans="1:4" x14ac:dyDescent="0.2">
      <c r="A14423" s="319">
        <v>9862</v>
      </c>
      <c r="B14423" s="498" t="s">
        <v>46825</v>
      </c>
      <c r="C14423" s="319" t="s">
        <v>0</v>
      </c>
      <c r="D14423" s="499">
        <v>31.09</v>
      </c>
    </row>
    <row r="14424" spans="1:4" x14ac:dyDescent="0.2">
      <c r="A14424" s="319">
        <v>9861</v>
      </c>
      <c r="B14424" s="498" t="s">
        <v>46826</v>
      </c>
      <c r="C14424" s="319" t="s">
        <v>0</v>
      </c>
      <c r="D14424" s="499">
        <v>24.41</v>
      </c>
    </row>
    <row r="14425" spans="1:4" x14ac:dyDescent="0.2">
      <c r="A14425" s="319">
        <v>9866</v>
      </c>
      <c r="B14425" s="498" t="s">
        <v>46827</v>
      </c>
      <c r="C14425" s="319" t="s">
        <v>0</v>
      </c>
      <c r="D14425" s="499">
        <v>21.07</v>
      </c>
    </row>
    <row r="14426" spans="1:4" x14ac:dyDescent="0.2">
      <c r="A14426" s="319">
        <v>9856</v>
      </c>
      <c r="B14426" s="498" t="s">
        <v>46828</v>
      </c>
      <c r="C14426" s="319" t="s">
        <v>0</v>
      </c>
      <c r="D14426" s="499">
        <v>7.87</v>
      </c>
    </row>
    <row r="14427" spans="1:4" x14ac:dyDescent="0.2">
      <c r="A14427" s="319">
        <v>9863</v>
      </c>
      <c r="B14427" s="498" t="s">
        <v>46829</v>
      </c>
      <c r="C14427" s="319" t="s">
        <v>0</v>
      </c>
      <c r="D14427" s="499">
        <v>60.94</v>
      </c>
    </row>
    <row r="14428" spans="1:4" x14ac:dyDescent="0.2">
      <c r="A14428" s="319">
        <v>9860</v>
      </c>
      <c r="B14428" s="498" t="s">
        <v>46830</v>
      </c>
      <c r="C14428" s="319" t="s">
        <v>0</v>
      </c>
      <c r="D14428" s="499">
        <v>44.48</v>
      </c>
    </row>
    <row r="14429" spans="1:4" ht="25.5" x14ac:dyDescent="0.2">
      <c r="A14429" s="319">
        <v>9841</v>
      </c>
      <c r="B14429" s="498" t="s">
        <v>46831</v>
      </c>
      <c r="C14429" s="319" t="s">
        <v>0</v>
      </c>
      <c r="D14429" s="499">
        <v>30.09</v>
      </c>
    </row>
    <row r="14430" spans="1:4" ht="25.5" x14ac:dyDescent="0.2">
      <c r="A14430" s="319">
        <v>9840</v>
      </c>
      <c r="B14430" s="498" t="s">
        <v>46832</v>
      </c>
      <c r="C14430" s="319" t="s">
        <v>0</v>
      </c>
      <c r="D14430" s="499">
        <v>63.57</v>
      </c>
    </row>
    <row r="14431" spans="1:4" ht="25.5" x14ac:dyDescent="0.2">
      <c r="A14431" s="319">
        <v>20067</v>
      </c>
      <c r="B14431" s="498" t="s">
        <v>46833</v>
      </c>
      <c r="C14431" s="319" t="s">
        <v>0</v>
      </c>
      <c r="D14431" s="499">
        <v>9.76</v>
      </c>
    </row>
    <row r="14432" spans="1:4" ht="25.5" x14ac:dyDescent="0.2">
      <c r="A14432" s="319">
        <v>20068</v>
      </c>
      <c r="B14432" s="498" t="s">
        <v>46834</v>
      </c>
      <c r="C14432" s="319" t="s">
        <v>0</v>
      </c>
      <c r="D14432" s="499">
        <v>13.74</v>
      </c>
    </row>
    <row r="14433" spans="1:4" ht="25.5" x14ac:dyDescent="0.2">
      <c r="A14433" s="319">
        <v>9839</v>
      </c>
      <c r="B14433" s="498" t="s">
        <v>46835</v>
      </c>
      <c r="C14433" s="319" t="s">
        <v>0</v>
      </c>
      <c r="D14433" s="499">
        <v>24.92</v>
      </c>
    </row>
    <row r="14434" spans="1:4" x14ac:dyDescent="0.2">
      <c r="A14434" s="319">
        <v>9870</v>
      </c>
      <c r="B14434" s="498" t="s">
        <v>46836</v>
      </c>
      <c r="C14434" s="319" t="s">
        <v>0</v>
      </c>
      <c r="D14434" s="499">
        <v>90.89</v>
      </c>
    </row>
    <row r="14435" spans="1:4" x14ac:dyDescent="0.2">
      <c r="A14435" s="319">
        <v>9867</v>
      </c>
      <c r="B14435" s="498" t="s">
        <v>46837</v>
      </c>
      <c r="C14435" s="319" t="s">
        <v>0</v>
      </c>
      <c r="D14435" s="499">
        <v>3.65</v>
      </c>
    </row>
    <row r="14436" spans="1:4" x14ac:dyDescent="0.2">
      <c r="A14436" s="319">
        <v>9868</v>
      </c>
      <c r="B14436" s="498" t="s">
        <v>46838</v>
      </c>
      <c r="C14436" s="319" t="s">
        <v>0</v>
      </c>
      <c r="D14436" s="499">
        <v>4.12</v>
      </c>
    </row>
    <row r="14437" spans="1:4" x14ac:dyDescent="0.2">
      <c r="A14437" s="319">
        <v>9869</v>
      </c>
      <c r="B14437" s="498" t="s">
        <v>46839</v>
      </c>
      <c r="C14437" s="319" t="s">
        <v>0</v>
      </c>
      <c r="D14437" s="499">
        <v>8.89</v>
      </c>
    </row>
    <row r="14438" spans="1:4" x14ac:dyDescent="0.2">
      <c r="A14438" s="319">
        <v>9874</v>
      </c>
      <c r="B14438" s="498" t="s">
        <v>46840</v>
      </c>
      <c r="C14438" s="319" t="s">
        <v>0</v>
      </c>
      <c r="D14438" s="499">
        <v>13.96</v>
      </c>
    </row>
    <row r="14439" spans="1:4" x14ac:dyDescent="0.2">
      <c r="A14439" s="319">
        <v>9875</v>
      </c>
      <c r="B14439" s="498" t="s">
        <v>46841</v>
      </c>
      <c r="C14439" s="319" t="s">
        <v>0</v>
      </c>
      <c r="D14439" s="499">
        <v>15.31</v>
      </c>
    </row>
    <row r="14440" spans="1:4" x14ac:dyDescent="0.2">
      <c r="A14440" s="319">
        <v>9873</v>
      </c>
      <c r="B14440" s="498" t="s">
        <v>46842</v>
      </c>
      <c r="C14440" s="319" t="s">
        <v>0</v>
      </c>
      <c r="D14440" s="499">
        <v>25.19</v>
      </c>
    </row>
    <row r="14441" spans="1:4" x14ac:dyDescent="0.2">
      <c r="A14441" s="319">
        <v>9871</v>
      </c>
      <c r="B14441" s="498" t="s">
        <v>46843</v>
      </c>
      <c r="C14441" s="319" t="s">
        <v>0</v>
      </c>
      <c r="D14441" s="499">
        <v>41.75</v>
      </c>
    </row>
    <row r="14442" spans="1:4" x14ac:dyDescent="0.2">
      <c r="A14442" s="319">
        <v>9872</v>
      </c>
      <c r="B14442" s="498" t="s">
        <v>46844</v>
      </c>
      <c r="C14442" s="319" t="s">
        <v>0</v>
      </c>
      <c r="D14442" s="499">
        <v>58.08</v>
      </c>
    </row>
    <row r="14443" spans="1:4" x14ac:dyDescent="0.2">
      <c r="A14443" s="319">
        <v>12425</v>
      </c>
      <c r="B14443" s="498" t="s">
        <v>46845</v>
      </c>
      <c r="C14443" s="319" t="s">
        <v>26</v>
      </c>
      <c r="D14443" s="499"/>
    </row>
    <row r="14444" spans="1:4" x14ac:dyDescent="0.2">
      <c r="A14444" s="319">
        <v>12426</v>
      </c>
      <c r="B14444" s="498" t="s">
        <v>46846</v>
      </c>
      <c r="C14444" s="319" t="s">
        <v>26</v>
      </c>
      <c r="D14444" s="499"/>
    </row>
    <row r="14445" spans="1:4" x14ac:dyDescent="0.2">
      <c r="A14445" s="319">
        <v>12427</v>
      </c>
      <c r="B14445" s="498" t="s">
        <v>46847</v>
      </c>
      <c r="C14445" s="319" t="s">
        <v>26</v>
      </c>
      <c r="D14445" s="499"/>
    </row>
    <row r="14446" spans="1:4" x14ac:dyDescent="0.2">
      <c r="A14446" s="319">
        <v>12428</v>
      </c>
      <c r="B14446" s="498" t="s">
        <v>47417</v>
      </c>
      <c r="C14446" s="319" t="s">
        <v>26</v>
      </c>
      <c r="D14446" s="499"/>
    </row>
    <row r="14447" spans="1:4" x14ac:dyDescent="0.2">
      <c r="A14447" s="319">
        <v>12429</v>
      </c>
      <c r="B14447" s="498" t="s">
        <v>46848</v>
      </c>
      <c r="C14447" s="319" t="s">
        <v>26</v>
      </c>
      <c r="D14447" s="499"/>
    </row>
    <row r="14448" spans="1:4" x14ac:dyDescent="0.2">
      <c r="A14448" s="319">
        <v>12430</v>
      </c>
      <c r="B14448" s="498" t="s">
        <v>46849</v>
      </c>
      <c r="C14448" s="319" t="s">
        <v>26</v>
      </c>
      <c r="D14448" s="499"/>
    </row>
    <row r="14449" spans="1:4" x14ac:dyDescent="0.2">
      <c r="A14449" s="319">
        <v>12431</v>
      </c>
      <c r="B14449" s="498" t="s">
        <v>46850</v>
      </c>
      <c r="C14449" s="319" t="s">
        <v>26</v>
      </c>
      <c r="D14449" s="499"/>
    </row>
    <row r="14450" spans="1:4" ht="25.5" x14ac:dyDescent="0.2">
      <c r="A14450" s="319">
        <v>12432</v>
      </c>
      <c r="B14450" s="498" t="s">
        <v>46851</v>
      </c>
      <c r="C14450" s="319" t="s">
        <v>26</v>
      </c>
      <c r="D14450" s="499"/>
    </row>
    <row r="14451" spans="1:4" ht="25.5" x14ac:dyDescent="0.2">
      <c r="A14451" s="319">
        <v>12433</v>
      </c>
      <c r="B14451" s="498" t="s">
        <v>46852</v>
      </c>
      <c r="C14451" s="319" t="s">
        <v>26</v>
      </c>
      <c r="D14451" s="499"/>
    </row>
    <row r="14452" spans="1:4" ht="25.5" x14ac:dyDescent="0.2">
      <c r="A14452" s="319">
        <v>12434</v>
      </c>
      <c r="B14452" s="498" t="s">
        <v>46853</v>
      </c>
      <c r="C14452" s="319" t="s">
        <v>26</v>
      </c>
      <c r="D14452" s="499"/>
    </row>
    <row r="14453" spans="1:4" ht="25.5" x14ac:dyDescent="0.2">
      <c r="A14453" s="319">
        <v>12435</v>
      </c>
      <c r="B14453" s="498" t="s">
        <v>46854</v>
      </c>
      <c r="C14453" s="319" t="s">
        <v>26</v>
      </c>
      <c r="D14453" s="499"/>
    </row>
    <row r="14454" spans="1:4" ht="25.5" x14ac:dyDescent="0.2">
      <c r="A14454" s="319">
        <v>12437</v>
      </c>
      <c r="B14454" s="498" t="s">
        <v>46855</v>
      </c>
      <c r="C14454" s="319" t="s">
        <v>26</v>
      </c>
      <c r="D14454" s="499"/>
    </row>
    <row r="14455" spans="1:4" ht="25.5" x14ac:dyDescent="0.2">
      <c r="A14455" s="319">
        <v>12438</v>
      </c>
      <c r="B14455" s="498" t="s">
        <v>47418</v>
      </c>
      <c r="C14455" s="319" t="s">
        <v>26</v>
      </c>
      <c r="D14455" s="499"/>
    </row>
    <row r="14456" spans="1:4" ht="25.5" x14ac:dyDescent="0.2">
      <c r="A14456" s="319">
        <v>12439</v>
      </c>
      <c r="B14456" s="498" t="s">
        <v>46856</v>
      </c>
      <c r="C14456" s="319" t="s">
        <v>26</v>
      </c>
      <c r="D14456" s="499"/>
    </row>
    <row r="14457" spans="1:4" ht="25.5" x14ac:dyDescent="0.2">
      <c r="A14457" s="319">
        <v>12436</v>
      </c>
      <c r="B14457" s="498" t="s">
        <v>46857</v>
      </c>
      <c r="C14457" s="319" t="s">
        <v>26</v>
      </c>
      <c r="D14457" s="499"/>
    </row>
    <row r="14458" spans="1:4" ht="25.5" x14ac:dyDescent="0.2">
      <c r="A14458" s="319">
        <v>36357</v>
      </c>
      <c r="B14458" s="498" t="s">
        <v>46858</v>
      </c>
      <c r="C14458" s="319" t="s">
        <v>26</v>
      </c>
      <c r="D14458" s="499"/>
    </row>
    <row r="14459" spans="1:4" x14ac:dyDescent="0.2">
      <c r="A14459" s="319">
        <v>12424</v>
      </c>
      <c r="B14459" s="498" t="s">
        <v>46859</v>
      </c>
      <c r="C14459" s="319" t="s">
        <v>26</v>
      </c>
      <c r="D14459" s="499"/>
    </row>
    <row r="14460" spans="1:4" x14ac:dyDescent="0.2">
      <c r="A14460" s="319">
        <v>12440</v>
      </c>
      <c r="B14460" s="498" t="s">
        <v>46860</v>
      </c>
      <c r="C14460" s="319" t="s">
        <v>26</v>
      </c>
      <c r="D14460" s="499"/>
    </row>
    <row r="14461" spans="1:4" ht="25.5" x14ac:dyDescent="0.2">
      <c r="A14461" s="319">
        <v>9884</v>
      </c>
      <c r="B14461" s="498" t="s">
        <v>46861</v>
      </c>
      <c r="C14461" s="319" t="s">
        <v>26</v>
      </c>
      <c r="D14461" s="499"/>
    </row>
    <row r="14462" spans="1:4" ht="25.5" x14ac:dyDescent="0.2">
      <c r="A14462" s="319">
        <v>9888</v>
      </c>
      <c r="B14462" s="498" t="s">
        <v>46862</v>
      </c>
      <c r="C14462" s="319" t="s">
        <v>26</v>
      </c>
      <c r="D14462" s="499"/>
    </row>
    <row r="14463" spans="1:4" ht="25.5" x14ac:dyDescent="0.2">
      <c r="A14463" s="319">
        <v>9886</v>
      </c>
      <c r="B14463" s="498" t="s">
        <v>46863</v>
      </c>
      <c r="C14463" s="319" t="s">
        <v>26</v>
      </c>
      <c r="D14463" s="499"/>
    </row>
    <row r="14464" spans="1:4" ht="25.5" x14ac:dyDescent="0.2">
      <c r="A14464" s="319">
        <v>9883</v>
      </c>
      <c r="B14464" s="498" t="s">
        <v>46864</v>
      </c>
      <c r="C14464" s="319" t="s">
        <v>26</v>
      </c>
      <c r="D14464" s="499"/>
    </row>
    <row r="14465" spans="1:4" ht="25.5" x14ac:dyDescent="0.2">
      <c r="A14465" s="319">
        <v>9889</v>
      </c>
      <c r="B14465" s="498" t="s">
        <v>46865</v>
      </c>
      <c r="C14465" s="319" t="s">
        <v>26</v>
      </c>
      <c r="D14465" s="499"/>
    </row>
    <row r="14466" spans="1:4" ht="25.5" x14ac:dyDescent="0.2">
      <c r="A14466" s="319">
        <v>9887</v>
      </c>
      <c r="B14466" s="498" t="s">
        <v>46866</v>
      </c>
      <c r="C14466" s="319" t="s">
        <v>26</v>
      </c>
      <c r="D14466" s="499"/>
    </row>
    <row r="14467" spans="1:4" ht="25.5" x14ac:dyDescent="0.2">
      <c r="A14467" s="319">
        <v>9890</v>
      </c>
      <c r="B14467" s="498" t="s">
        <v>46867</v>
      </c>
      <c r="C14467" s="319" t="s">
        <v>26</v>
      </c>
      <c r="D14467" s="499"/>
    </row>
    <row r="14468" spans="1:4" ht="25.5" x14ac:dyDescent="0.2">
      <c r="A14468" s="319">
        <v>9885</v>
      </c>
      <c r="B14468" s="498" t="s">
        <v>46868</v>
      </c>
      <c r="C14468" s="319" t="s">
        <v>26</v>
      </c>
      <c r="D14468" s="499"/>
    </row>
    <row r="14469" spans="1:4" ht="25.5" x14ac:dyDescent="0.2">
      <c r="A14469" s="319">
        <v>9891</v>
      </c>
      <c r="B14469" s="498" t="s">
        <v>46869</v>
      </c>
      <c r="C14469" s="319" t="s">
        <v>26</v>
      </c>
      <c r="D14469" s="499"/>
    </row>
    <row r="14470" spans="1:4" x14ac:dyDescent="0.2">
      <c r="A14470" s="319">
        <v>36316</v>
      </c>
      <c r="B14470" s="498" t="s">
        <v>46870</v>
      </c>
      <c r="C14470" s="319" t="s">
        <v>26</v>
      </c>
      <c r="D14470" s="499"/>
    </row>
    <row r="14471" spans="1:4" x14ac:dyDescent="0.2">
      <c r="A14471" s="319">
        <v>36313</v>
      </c>
      <c r="B14471" s="498" t="s">
        <v>46871</v>
      </c>
      <c r="C14471" s="319" t="s">
        <v>26</v>
      </c>
      <c r="D14471" s="499"/>
    </row>
    <row r="14472" spans="1:4" ht="25.5" x14ac:dyDescent="0.2">
      <c r="A14472" s="319">
        <v>64</v>
      </c>
      <c r="B14472" s="498" t="s">
        <v>46872</v>
      </c>
      <c r="C14472" s="319" t="s">
        <v>26</v>
      </c>
      <c r="D14472" s="499"/>
    </row>
    <row r="14473" spans="1:4" ht="25.5" x14ac:dyDescent="0.2">
      <c r="A14473" s="319">
        <v>37423</v>
      </c>
      <c r="B14473" s="498" t="s">
        <v>46873</v>
      </c>
      <c r="C14473" s="319" t="s">
        <v>26</v>
      </c>
      <c r="D14473" s="499"/>
    </row>
    <row r="14474" spans="1:4" x14ac:dyDescent="0.2">
      <c r="A14474" s="319">
        <v>9892</v>
      </c>
      <c r="B14474" s="498" t="s">
        <v>46874</v>
      </c>
      <c r="C14474" s="319" t="s">
        <v>26</v>
      </c>
      <c r="D14474" s="499">
        <v>6.69</v>
      </c>
    </row>
    <row r="14475" spans="1:4" x14ac:dyDescent="0.2">
      <c r="A14475" s="319">
        <v>9901</v>
      </c>
      <c r="B14475" s="498" t="s">
        <v>46875</v>
      </c>
      <c r="C14475" s="319" t="s">
        <v>26</v>
      </c>
      <c r="D14475" s="499">
        <v>32.35</v>
      </c>
    </row>
    <row r="14476" spans="1:4" x14ac:dyDescent="0.2">
      <c r="A14476" s="319">
        <v>9900</v>
      </c>
      <c r="B14476" s="498" t="s">
        <v>46876</v>
      </c>
      <c r="C14476" s="319" t="s">
        <v>26</v>
      </c>
      <c r="D14476" s="499">
        <v>18.739999999999998</v>
      </c>
    </row>
    <row r="14477" spans="1:4" x14ac:dyDescent="0.2">
      <c r="A14477" s="319">
        <v>9899</v>
      </c>
      <c r="B14477" s="498" t="s">
        <v>46877</v>
      </c>
      <c r="C14477" s="319" t="s">
        <v>26</v>
      </c>
      <c r="D14477" s="499">
        <v>8.4</v>
      </c>
    </row>
    <row r="14478" spans="1:4" x14ac:dyDescent="0.2">
      <c r="A14478" s="319">
        <v>9908</v>
      </c>
      <c r="B14478" s="498" t="s">
        <v>46878</v>
      </c>
      <c r="C14478" s="319" t="s">
        <v>26</v>
      </c>
      <c r="D14478" s="499">
        <v>377.86</v>
      </c>
    </row>
    <row r="14479" spans="1:4" x14ac:dyDescent="0.2">
      <c r="A14479" s="319">
        <v>9905</v>
      </c>
      <c r="B14479" s="498" t="s">
        <v>46879</v>
      </c>
      <c r="C14479" s="319" t="s">
        <v>26</v>
      </c>
      <c r="D14479" s="499">
        <v>6.57</v>
      </c>
    </row>
    <row r="14480" spans="1:4" x14ac:dyDescent="0.2">
      <c r="A14480" s="319">
        <v>9906</v>
      </c>
      <c r="B14480" s="498" t="s">
        <v>46880</v>
      </c>
      <c r="C14480" s="319" t="s">
        <v>26</v>
      </c>
      <c r="D14480" s="499">
        <v>7.93</v>
      </c>
    </row>
    <row r="14481" spans="1:4" x14ac:dyDescent="0.2">
      <c r="A14481" s="319">
        <v>9895</v>
      </c>
      <c r="B14481" s="498" t="s">
        <v>46881</v>
      </c>
      <c r="C14481" s="319" t="s">
        <v>26</v>
      </c>
      <c r="D14481" s="499">
        <v>13.35</v>
      </c>
    </row>
    <row r="14482" spans="1:4" x14ac:dyDescent="0.2">
      <c r="A14482" s="319">
        <v>9894</v>
      </c>
      <c r="B14482" s="498" t="s">
        <v>46882</v>
      </c>
      <c r="C14482" s="319" t="s">
        <v>26</v>
      </c>
      <c r="D14482" s="499">
        <v>25.67</v>
      </c>
    </row>
    <row r="14483" spans="1:4" x14ac:dyDescent="0.2">
      <c r="A14483" s="319">
        <v>9897</v>
      </c>
      <c r="B14483" s="498" t="s">
        <v>46883</v>
      </c>
      <c r="C14483" s="319" t="s">
        <v>26</v>
      </c>
      <c r="D14483" s="499">
        <v>27.41</v>
      </c>
    </row>
    <row r="14484" spans="1:4" x14ac:dyDescent="0.2">
      <c r="A14484" s="319">
        <v>9910</v>
      </c>
      <c r="B14484" s="498" t="s">
        <v>46884</v>
      </c>
      <c r="C14484" s="319" t="s">
        <v>26</v>
      </c>
      <c r="D14484" s="499">
        <v>71.319999999999993</v>
      </c>
    </row>
    <row r="14485" spans="1:4" x14ac:dyDescent="0.2">
      <c r="A14485" s="319">
        <v>9909</v>
      </c>
      <c r="B14485" s="498" t="s">
        <v>46885</v>
      </c>
      <c r="C14485" s="319" t="s">
        <v>26</v>
      </c>
      <c r="D14485" s="499">
        <v>145.26</v>
      </c>
    </row>
    <row r="14486" spans="1:4" x14ac:dyDescent="0.2">
      <c r="A14486" s="319">
        <v>9907</v>
      </c>
      <c r="B14486" s="498" t="s">
        <v>46886</v>
      </c>
      <c r="C14486" s="319" t="s">
        <v>26</v>
      </c>
      <c r="D14486" s="499">
        <v>171.51</v>
      </c>
    </row>
    <row r="14487" spans="1:4" ht="25.5" x14ac:dyDescent="0.2">
      <c r="A14487" s="319">
        <v>20973</v>
      </c>
      <c r="B14487" s="498" t="s">
        <v>46887</v>
      </c>
      <c r="C14487" s="319" t="s">
        <v>26</v>
      </c>
      <c r="D14487" s="499">
        <v>124.93</v>
      </c>
    </row>
    <row r="14488" spans="1:4" ht="25.5" x14ac:dyDescent="0.2">
      <c r="A14488" s="319">
        <v>20974</v>
      </c>
      <c r="B14488" s="498" t="s">
        <v>46888</v>
      </c>
      <c r="C14488" s="319" t="s">
        <v>26</v>
      </c>
      <c r="D14488" s="499">
        <v>178.74</v>
      </c>
    </row>
    <row r="14489" spans="1:4" x14ac:dyDescent="0.2">
      <c r="A14489" s="319">
        <v>37989</v>
      </c>
      <c r="B14489" s="498" t="s">
        <v>46889</v>
      </c>
      <c r="C14489" s="319" t="s">
        <v>26</v>
      </c>
      <c r="D14489" s="499">
        <v>14.57</v>
      </c>
    </row>
    <row r="14490" spans="1:4" x14ac:dyDescent="0.2">
      <c r="A14490" s="472">
        <v>37990</v>
      </c>
      <c r="B14490" s="504" t="s">
        <v>46890</v>
      </c>
      <c r="C14490" s="472" t="s">
        <v>26</v>
      </c>
      <c r="D14490" s="505">
        <v>16.059999999999999</v>
      </c>
    </row>
    <row r="14491" spans="1:4" x14ac:dyDescent="0.2">
      <c r="A14491" s="4">
        <v>37991</v>
      </c>
      <c r="B14491" s="506" t="s">
        <v>46891</v>
      </c>
      <c r="C14491" s="4" t="s">
        <v>26</v>
      </c>
      <c r="D14491" s="507">
        <v>21.38</v>
      </c>
    </row>
    <row r="14492" spans="1:4" x14ac:dyDescent="0.2">
      <c r="A14492" s="4">
        <v>37992</v>
      </c>
      <c r="B14492" s="506" t="s">
        <v>46892</v>
      </c>
      <c r="C14492" s="4" t="s">
        <v>26</v>
      </c>
      <c r="D14492" s="507">
        <v>33.18</v>
      </c>
    </row>
    <row r="14493" spans="1:4" x14ac:dyDescent="0.2">
      <c r="A14493" s="4">
        <v>37993</v>
      </c>
      <c r="B14493" s="506" t="s">
        <v>46893</v>
      </c>
      <c r="C14493" s="4" t="s">
        <v>26</v>
      </c>
      <c r="D14493" s="507">
        <v>50.34</v>
      </c>
    </row>
    <row r="14494" spans="1:4" x14ac:dyDescent="0.2">
      <c r="A14494" s="4">
        <v>37994</v>
      </c>
      <c r="B14494" s="506" t="s">
        <v>46894</v>
      </c>
      <c r="C14494" s="4" t="s">
        <v>26</v>
      </c>
      <c r="D14494" s="507">
        <v>119.87</v>
      </c>
    </row>
    <row r="14495" spans="1:4" x14ac:dyDescent="0.2">
      <c r="A14495" s="4">
        <v>37995</v>
      </c>
      <c r="B14495" s="8" t="s">
        <v>46895</v>
      </c>
      <c r="C14495" s="9" t="s">
        <v>26</v>
      </c>
      <c r="D14495" s="10">
        <v>156.24</v>
      </c>
    </row>
    <row r="14496" spans="1:4" x14ac:dyDescent="0.2">
      <c r="A14496" s="4">
        <v>37996</v>
      </c>
      <c r="B14496" s="8" t="s">
        <v>46896</v>
      </c>
      <c r="C14496" s="9" t="s">
        <v>26</v>
      </c>
      <c r="D14496" s="10">
        <v>237.92</v>
      </c>
    </row>
    <row r="14497" spans="1:4" ht="25.5" x14ac:dyDescent="0.2">
      <c r="A14497" s="4">
        <v>45267</v>
      </c>
      <c r="B14497" s="8" t="s">
        <v>48372</v>
      </c>
      <c r="C14497" s="9" t="s">
        <v>26</v>
      </c>
      <c r="D14497" s="10">
        <v>200.09</v>
      </c>
    </row>
    <row r="14498" spans="1:4" ht="25.5" x14ac:dyDescent="0.2">
      <c r="A14498" s="4">
        <v>13883</v>
      </c>
      <c r="B14498" s="8" t="s">
        <v>46897</v>
      </c>
      <c r="C14498" s="9" t="s">
        <v>26</v>
      </c>
    </row>
    <row r="14499" spans="1:4" ht="25.5" x14ac:dyDescent="0.2">
      <c r="A14499" s="4">
        <v>38604</v>
      </c>
      <c r="B14499" s="8" t="s">
        <v>46898</v>
      </c>
      <c r="C14499" s="9" t="s">
        <v>26</v>
      </c>
    </row>
    <row r="14500" spans="1:4" ht="25.5" x14ac:dyDescent="0.2">
      <c r="A14500" s="4">
        <v>10601</v>
      </c>
      <c r="B14500" s="8" t="s">
        <v>46899</v>
      </c>
      <c r="C14500" s="9" t="s">
        <v>26</v>
      </c>
    </row>
    <row r="14501" spans="1:4" ht="25.5" x14ac:dyDescent="0.2">
      <c r="A14501" s="4">
        <v>44469</v>
      </c>
      <c r="B14501" s="8" t="s">
        <v>48373</v>
      </c>
      <c r="C14501" s="9" t="s">
        <v>26</v>
      </c>
    </row>
    <row r="14502" spans="1:4" x14ac:dyDescent="0.2">
      <c r="A14502" s="4">
        <v>13894</v>
      </c>
      <c r="B14502" s="8" t="s">
        <v>46900</v>
      </c>
      <c r="C14502" s="9" t="s">
        <v>26</v>
      </c>
    </row>
    <row r="14503" spans="1:4" x14ac:dyDescent="0.2">
      <c r="A14503" s="4">
        <v>13895</v>
      </c>
      <c r="B14503" s="8" t="s">
        <v>46901</v>
      </c>
      <c r="C14503" s="9" t="s">
        <v>26</v>
      </c>
    </row>
    <row r="14504" spans="1:4" x14ac:dyDescent="0.2">
      <c r="A14504" s="4">
        <v>13892</v>
      </c>
      <c r="B14504" s="8" t="s">
        <v>46902</v>
      </c>
      <c r="C14504" s="9" t="s">
        <v>26</v>
      </c>
    </row>
    <row r="14505" spans="1:4" x14ac:dyDescent="0.2">
      <c r="A14505" s="4">
        <v>9914</v>
      </c>
      <c r="B14505" s="8" t="s">
        <v>46903</v>
      </c>
      <c r="C14505" s="9" t="s">
        <v>26</v>
      </c>
    </row>
    <row r="14506" spans="1:4" ht="38.25" x14ac:dyDescent="0.2">
      <c r="A14506" s="4">
        <v>36485</v>
      </c>
      <c r="B14506" s="8" t="s">
        <v>46904</v>
      </c>
      <c r="C14506" s="9" t="s">
        <v>26</v>
      </c>
    </row>
    <row r="14507" spans="1:4" ht="25.5" x14ac:dyDescent="0.2">
      <c r="A14507" s="4">
        <v>9912</v>
      </c>
      <c r="B14507" s="8" t="s">
        <v>46905</v>
      </c>
      <c r="C14507" s="9" t="s">
        <v>26</v>
      </c>
    </row>
    <row r="14508" spans="1:4" ht="25.5" x14ac:dyDescent="0.2">
      <c r="A14508" s="4">
        <v>9921</v>
      </c>
      <c r="B14508" s="8" t="s">
        <v>46906</v>
      </c>
      <c r="C14508" s="9" t="s">
        <v>26</v>
      </c>
    </row>
    <row r="14509" spans="1:4" ht="25.5" x14ac:dyDescent="0.2">
      <c r="A14509" s="4">
        <v>21112</v>
      </c>
      <c r="B14509" s="8" t="s">
        <v>46907</v>
      </c>
      <c r="C14509" s="9" t="s">
        <v>26</v>
      </c>
      <c r="D14509" s="10">
        <v>407.89</v>
      </c>
    </row>
    <row r="14510" spans="1:4" ht="25.5" x14ac:dyDescent="0.2">
      <c r="A14510" s="4">
        <v>10228</v>
      </c>
      <c r="B14510" s="8" t="s">
        <v>46908</v>
      </c>
      <c r="C14510" s="9" t="s">
        <v>26</v>
      </c>
      <c r="D14510" s="10">
        <v>473.85</v>
      </c>
    </row>
    <row r="14511" spans="1:4" ht="25.5" x14ac:dyDescent="0.2">
      <c r="A14511" s="4">
        <v>11781</v>
      </c>
      <c r="B14511" s="8" t="s">
        <v>46909</v>
      </c>
      <c r="C14511" s="9" t="s">
        <v>26</v>
      </c>
      <c r="D14511" s="10">
        <v>383.88</v>
      </c>
    </row>
    <row r="14512" spans="1:4" ht="25.5" x14ac:dyDescent="0.2">
      <c r="A14512" s="4">
        <v>37588</v>
      </c>
      <c r="B14512" s="8" t="s">
        <v>48374</v>
      </c>
      <c r="C14512" s="9" t="s">
        <v>26</v>
      </c>
      <c r="D14512" s="10">
        <v>73.89</v>
      </c>
    </row>
    <row r="14513" spans="1:4" x14ac:dyDescent="0.2">
      <c r="A14513" s="4">
        <v>11751</v>
      </c>
      <c r="B14513" s="8" t="s">
        <v>46910</v>
      </c>
      <c r="C14513" s="9" t="s">
        <v>26</v>
      </c>
      <c r="D14513" s="10">
        <v>140.05000000000001</v>
      </c>
    </row>
    <row r="14514" spans="1:4" x14ac:dyDescent="0.2">
      <c r="A14514" s="4">
        <v>11750</v>
      </c>
      <c r="B14514" s="8" t="s">
        <v>46911</v>
      </c>
      <c r="C14514" s="9" t="s">
        <v>26</v>
      </c>
      <c r="D14514" s="10">
        <v>116.22</v>
      </c>
    </row>
    <row r="14515" spans="1:4" x14ac:dyDescent="0.2">
      <c r="A14515" s="4">
        <v>11746</v>
      </c>
      <c r="B14515" s="8" t="s">
        <v>46912</v>
      </c>
      <c r="C14515" s="9" t="s">
        <v>26</v>
      </c>
      <c r="D14515" s="10">
        <v>77.98</v>
      </c>
    </row>
    <row r="14516" spans="1:4" x14ac:dyDescent="0.2">
      <c r="A14516" s="4">
        <v>11748</v>
      </c>
      <c r="B14516" s="8" t="s">
        <v>46913</v>
      </c>
      <c r="C14516" s="9" t="s">
        <v>26</v>
      </c>
      <c r="D14516" s="10">
        <v>50.04</v>
      </c>
    </row>
    <row r="14517" spans="1:4" x14ac:dyDescent="0.2">
      <c r="A14517" s="4">
        <v>11747</v>
      </c>
      <c r="B14517" s="8" t="s">
        <v>46914</v>
      </c>
      <c r="C14517" s="9" t="s">
        <v>26</v>
      </c>
      <c r="D14517" s="10">
        <v>215.96</v>
      </c>
    </row>
    <row r="14518" spans="1:4" x14ac:dyDescent="0.2">
      <c r="A14518" s="4">
        <v>11749</v>
      </c>
      <c r="B14518" s="8" t="s">
        <v>46915</v>
      </c>
      <c r="C14518" s="9" t="s">
        <v>26</v>
      </c>
      <c r="D14518" s="10">
        <v>57.76</v>
      </c>
    </row>
    <row r="14519" spans="1:4" ht="25.5" x14ac:dyDescent="0.2">
      <c r="A14519" s="4">
        <v>10236</v>
      </c>
      <c r="B14519" s="8" t="s">
        <v>46916</v>
      </c>
      <c r="C14519" s="9" t="s">
        <v>26</v>
      </c>
    </row>
    <row r="14520" spans="1:4" ht="25.5" x14ac:dyDescent="0.2">
      <c r="A14520" s="4">
        <v>10233</v>
      </c>
      <c r="B14520" s="8" t="s">
        <v>46917</v>
      </c>
      <c r="C14520" s="9" t="s">
        <v>26</v>
      </c>
    </row>
    <row r="14521" spans="1:4" ht="25.5" x14ac:dyDescent="0.2">
      <c r="A14521" s="4">
        <v>10234</v>
      </c>
      <c r="B14521" s="8" t="s">
        <v>46918</v>
      </c>
      <c r="C14521" s="9" t="s">
        <v>26</v>
      </c>
    </row>
    <row r="14522" spans="1:4" ht="25.5" x14ac:dyDescent="0.2">
      <c r="A14522" s="4">
        <v>10231</v>
      </c>
      <c r="B14522" s="8" t="s">
        <v>46919</v>
      </c>
      <c r="C14522" s="9" t="s">
        <v>26</v>
      </c>
    </row>
    <row r="14523" spans="1:4" ht="25.5" x14ac:dyDescent="0.2">
      <c r="A14523" s="4">
        <v>10232</v>
      </c>
      <c r="B14523" s="8" t="s">
        <v>46920</v>
      </c>
      <c r="C14523" s="9" t="s">
        <v>26</v>
      </c>
    </row>
    <row r="14524" spans="1:4" ht="25.5" x14ac:dyDescent="0.2">
      <c r="A14524" s="4">
        <v>10235</v>
      </c>
      <c r="B14524" s="8" t="s">
        <v>46921</v>
      </c>
      <c r="C14524" s="9" t="s">
        <v>26</v>
      </c>
    </row>
    <row r="14525" spans="1:4" ht="25.5" x14ac:dyDescent="0.2">
      <c r="A14525" s="4">
        <v>10229</v>
      </c>
      <c r="B14525" s="8" t="s">
        <v>46922</v>
      </c>
      <c r="C14525" s="9" t="s">
        <v>26</v>
      </c>
    </row>
    <row r="14526" spans="1:4" ht="25.5" x14ac:dyDescent="0.2">
      <c r="A14526" s="4">
        <v>10230</v>
      </c>
      <c r="B14526" s="8" t="s">
        <v>46923</v>
      </c>
      <c r="C14526" s="9" t="s">
        <v>26</v>
      </c>
    </row>
    <row r="14527" spans="1:4" ht="25.5" x14ac:dyDescent="0.2">
      <c r="A14527" s="4">
        <v>10409</v>
      </c>
      <c r="B14527" s="8" t="s">
        <v>46924</v>
      </c>
      <c r="C14527" s="9" t="s">
        <v>26</v>
      </c>
    </row>
    <row r="14528" spans="1:4" ht="25.5" x14ac:dyDescent="0.2">
      <c r="A14528" s="4">
        <v>10411</v>
      </c>
      <c r="B14528" s="8" t="s">
        <v>46925</v>
      </c>
      <c r="C14528" s="9" t="s">
        <v>26</v>
      </c>
    </row>
    <row r="14529" spans="1:3" ht="25.5" x14ac:dyDescent="0.2">
      <c r="A14529" s="4">
        <v>10410</v>
      </c>
      <c r="B14529" s="8" t="s">
        <v>46926</v>
      </c>
      <c r="C14529" s="9" t="s">
        <v>26</v>
      </c>
    </row>
    <row r="14530" spans="1:3" ht="25.5" x14ac:dyDescent="0.2">
      <c r="A14530" s="4">
        <v>10404</v>
      </c>
      <c r="B14530" s="8" t="s">
        <v>46927</v>
      </c>
      <c r="C14530" s="9" t="s">
        <v>26</v>
      </c>
    </row>
    <row r="14531" spans="1:3" ht="25.5" x14ac:dyDescent="0.2">
      <c r="A14531" s="4">
        <v>10405</v>
      </c>
      <c r="B14531" s="8" t="s">
        <v>46928</v>
      </c>
      <c r="C14531" s="9" t="s">
        <v>26</v>
      </c>
    </row>
    <row r="14532" spans="1:3" ht="25.5" x14ac:dyDescent="0.2">
      <c r="A14532" s="4">
        <v>10408</v>
      </c>
      <c r="B14532" s="8" t="s">
        <v>46929</v>
      </c>
      <c r="C14532" s="9" t="s">
        <v>26</v>
      </c>
    </row>
    <row r="14533" spans="1:3" ht="25.5" x14ac:dyDescent="0.2">
      <c r="A14533" s="4">
        <v>10406</v>
      </c>
      <c r="B14533" s="8" t="s">
        <v>46930</v>
      </c>
      <c r="C14533" s="9" t="s">
        <v>26</v>
      </c>
    </row>
    <row r="14534" spans="1:3" ht="25.5" x14ac:dyDescent="0.2">
      <c r="A14534" s="4">
        <v>10412</v>
      </c>
      <c r="B14534" s="8" t="s">
        <v>46931</v>
      </c>
      <c r="C14534" s="9" t="s">
        <v>26</v>
      </c>
    </row>
    <row r="14535" spans="1:3" ht="25.5" x14ac:dyDescent="0.2">
      <c r="A14535" s="4">
        <v>10407</v>
      </c>
      <c r="B14535" s="8" t="s">
        <v>46932</v>
      </c>
      <c r="C14535" s="9" t="s">
        <v>26</v>
      </c>
    </row>
    <row r="14536" spans="1:3" ht="25.5" x14ac:dyDescent="0.2">
      <c r="A14536" s="4">
        <v>10416</v>
      </c>
      <c r="B14536" s="8" t="s">
        <v>46933</v>
      </c>
      <c r="C14536" s="9" t="s">
        <v>26</v>
      </c>
    </row>
    <row r="14537" spans="1:3" ht="25.5" x14ac:dyDescent="0.2">
      <c r="A14537" s="4">
        <v>10419</v>
      </c>
      <c r="B14537" s="8" t="s">
        <v>46934</v>
      </c>
      <c r="C14537" s="9" t="s">
        <v>26</v>
      </c>
    </row>
    <row r="14538" spans="1:3" ht="25.5" x14ac:dyDescent="0.2">
      <c r="A14538" s="4">
        <v>10418</v>
      </c>
      <c r="B14538" s="8" t="s">
        <v>46935</v>
      </c>
      <c r="C14538" s="9" t="s">
        <v>26</v>
      </c>
    </row>
    <row r="14539" spans="1:3" ht="25.5" x14ac:dyDescent="0.2">
      <c r="A14539" s="4">
        <v>21092</v>
      </c>
      <c r="B14539" s="8" t="s">
        <v>46936</v>
      </c>
      <c r="C14539" s="9" t="s">
        <v>26</v>
      </c>
    </row>
    <row r="14540" spans="1:3" ht="25.5" x14ac:dyDescent="0.2">
      <c r="A14540" s="4">
        <v>12657</v>
      </c>
      <c r="B14540" s="8" t="s">
        <v>46937</v>
      </c>
      <c r="C14540" s="9" t="s">
        <v>26</v>
      </c>
    </row>
    <row r="14541" spans="1:3" ht="25.5" x14ac:dyDescent="0.2">
      <c r="A14541" s="4">
        <v>10417</v>
      </c>
      <c r="B14541" s="8" t="s">
        <v>46938</v>
      </c>
      <c r="C14541" s="9" t="s">
        <v>26</v>
      </c>
    </row>
    <row r="14542" spans="1:3" ht="25.5" x14ac:dyDescent="0.2">
      <c r="A14542" s="4">
        <v>10414</v>
      </c>
      <c r="B14542" s="8" t="s">
        <v>46939</v>
      </c>
      <c r="C14542" s="9" t="s">
        <v>26</v>
      </c>
    </row>
    <row r="14543" spans="1:3" ht="25.5" x14ac:dyDescent="0.2">
      <c r="A14543" s="4">
        <v>10413</v>
      </c>
      <c r="B14543" s="8" t="s">
        <v>46940</v>
      </c>
      <c r="C14543" s="9" t="s">
        <v>26</v>
      </c>
    </row>
    <row r="14544" spans="1:3" ht="25.5" x14ac:dyDescent="0.2">
      <c r="A14544" s="4">
        <v>10415</v>
      </c>
      <c r="B14544" s="8" t="s">
        <v>46941</v>
      </c>
      <c r="C14544" s="9" t="s">
        <v>26</v>
      </c>
    </row>
    <row r="14545" spans="1:4" x14ac:dyDescent="0.2">
      <c r="A14545" s="4">
        <v>38643</v>
      </c>
      <c r="B14545" s="8" t="s">
        <v>46942</v>
      </c>
      <c r="C14545" s="9" t="s">
        <v>26</v>
      </c>
      <c r="D14545" s="10">
        <v>58.72</v>
      </c>
    </row>
    <row r="14546" spans="1:4" x14ac:dyDescent="0.2">
      <c r="A14546" s="4">
        <v>6157</v>
      </c>
      <c r="B14546" s="8" t="s">
        <v>46943</v>
      </c>
      <c r="C14546" s="9" t="s">
        <v>26</v>
      </c>
      <c r="D14546" s="10">
        <v>80.22</v>
      </c>
    </row>
    <row r="14547" spans="1:4" ht="25.5" x14ac:dyDescent="0.2">
      <c r="A14547" s="4">
        <v>6158</v>
      </c>
      <c r="B14547" s="8" t="s">
        <v>48375</v>
      </c>
      <c r="C14547" s="9" t="s">
        <v>26</v>
      </c>
      <c r="D14547" s="10">
        <v>7.94</v>
      </c>
    </row>
    <row r="14548" spans="1:4" ht="25.5" x14ac:dyDescent="0.2">
      <c r="A14548" s="4">
        <v>6156</v>
      </c>
      <c r="B14548" s="8" t="s">
        <v>48376</v>
      </c>
      <c r="C14548" s="9" t="s">
        <v>26</v>
      </c>
      <c r="D14548" s="10">
        <v>6.81</v>
      </c>
    </row>
    <row r="14549" spans="1:4" ht="25.5" x14ac:dyDescent="0.2">
      <c r="A14549" s="4">
        <v>6153</v>
      </c>
      <c r="B14549" s="8" t="s">
        <v>48377</v>
      </c>
      <c r="C14549" s="9" t="s">
        <v>26</v>
      </c>
      <c r="D14549" s="10">
        <v>5.47</v>
      </c>
    </row>
    <row r="14550" spans="1:4" ht="25.5" x14ac:dyDescent="0.2">
      <c r="A14550" s="4">
        <v>6154</v>
      </c>
      <c r="B14550" s="8" t="s">
        <v>48378</v>
      </c>
      <c r="C14550" s="9" t="s">
        <v>26</v>
      </c>
      <c r="D14550" s="10">
        <v>9.7200000000000006</v>
      </c>
    </row>
    <row r="14551" spans="1:4" ht="25.5" x14ac:dyDescent="0.2">
      <c r="A14551" s="4">
        <v>6155</v>
      </c>
      <c r="B14551" s="8" t="s">
        <v>48379</v>
      </c>
      <c r="C14551" s="9" t="s">
        <v>26</v>
      </c>
      <c r="D14551" s="10">
        <v>22.37</v>
      </c>
    </row>
    <row r="14552" spans="1:4" ht="25.5" x14ac:dyDescent="0.2">
      <c r="A14552" s="4">
        <v>43595</v>
      </c>
      <c r="B14552" s="8" t="s">
        <v>46944</v>
      </c>
      <c r="C14552" s="9" t="s">
        <v>26</v>
      </c>
      <c r="D14552" s="10">
        <v>19.55</v>
      </c>
    </row>
    <row r="14553" spans="1:4" ht="25.5" x14ac:dyDescent="0.2">
      <c r="A14553" s="4">
        <v>43596</v>
      </c>
      <c r="B14553" s="8" t="s">
        <v>46945</v>
      </c>
      <c r="C14553" s="9" t="s">
        <v>26</v>
      </c>
      <c r="D14553" s="10">
        <v>22.59</v>
      </c>
    </row>
    <row r="14554" spans="1:4" ht="25.5" x14ac:dyDescent="0.2">
      <c r="A14554" s="4">
        <v>38108</v>
      </c>
      <c r="B14554" s="8" t="s">
        <v>46946</v>
      </c>
      <c r="C14554" s="9" t="s">
        <v>26</v>
      </c>
      <c r="D14554" s="10">
        <v>45.1</v>
      </c>
    </row>
    <row r="14555" spans="1:4" ht="25.5" x14ac:dyDescent="0.2">
      <c r="A14555" s="4">
        <v>38087</v>
      </c>
      <c r="B14555" s="8" t="s">
        <v>46947</v>
      </c>
      <c r="C14555" s="9" t="s">
        <v>26</v>
      </c>
      <c r="D14555" s="10">
        <v>58.01</v>
      </c>
    </row>
    <row r="14556" spans="1:4" ht="25.5" x14ac:dyDescent="0.2">
      <c r="A14556" s="4">
        <v>38109</v>
      </c>
      <c r="B14556" s="8" t="s">
        <v>46948</v>
      </c>
      <c r="C14556" s="9" t="s">
        <v>26</v>
      </c>
      <c r="D14556" s="10">
        <v>72.08</v>
      </c>
    </row>
    <row r="14557" spans="1:4" ht="25.5" x14ac:dyDescent="0.2">
      <c r="A14557" s="4">
        <v>38088</v>
      </c>
      <c r="B14557" s="8" t="s">
        <v>46949</v>
      </c>
      <c r="C14557" s="9" t="s">
        <v>26</v>
      </c>
      <c r="D14557" s="10">
        <v>75.790000000000006</v>
      </c>
    </row>
    <row r="14558" spans="1:4" x14ac:dyDescent="0.2">
      <c r="A14558" s="4">
        <v>38110</v>
      </c>
      <c r="B14558" s="8" t="s">
        <v>46950</v>
      </c>
      <c r="C14558" s="9" t="s">
        <v>26</v>
      </c>
      <c r="D14558" s="10">
        <v>27.73</v>
      </c>
    </row>
    <row r="14559" spans="1:4" ht="38.25" x14ac:dyDescent="0.2">
      <c r="A14559" s="4">
        <v>38089</v>
      </c>
      <c r="B14559" s="8" t="s">
        <v>46951</v>
      </c>
      <c r="C14559" s="9" t="s">
        <v>26</v>
      </c>
      <c r="D14559" s="10">
        <v>48.31</v>
      </c>
    </row>
    <row r="14560" spans="1:4" x14ac:dyDescent="0.2">
      <c r="A14560" s="4">
        <v>38111</v>
      </c>
      <c r="B14560" s="8" t="s">
        <v>46952</v>
      </c>
      <c r="C14560" s="9" t="s">
        <v>26</v>
      </c>
      <c r="D14560" s="10">
        <v>31.01</v>
      </c>
    </row>
    <row r="14561" spans="1:4" ht="38.25" x14ac:dyDescent="0.2">
      <c r="A14561" s="4">
        <v>38090</v>
      </c>
      <c r="B14561" s="8" t="s">
        <v>46953</v>
      </c>
      <c r="C14561" s="9" t="s">
        <v>26</v>
      </c>
      <c r="D14561" s="10">
        <v>49.94</v>
      </c>
    </row>
    <row r="14562" spans="1:4" x14ac:dyDescent="0.2">
      <c r="A14562" s="4">
        <v>38400</v>
      </c>
      <c r="B14562" s="8" t="s">
        <v>46954</v>
      </c>
      <c r="C14562" s="9" t="s">
        <v>26</v>
      </c>
      <c r="D14562" s="10">
        <v>33.6</v>
      </c>
    </row>
    <row r="14563" spans="1:4" ht="25.5" x14ac:dyDescent="0.2">
      <c r="A14563" s="4">
        <v>13726</v>
      </c>
      <c r="B14563" s="8" t="s">
        <v>46955</v>
      </c>
      <c r="C14563" s="9" t="s">
        <v>26</v>
      </c>
    </row>
    <row r="14564" spans="1:4" ht="25.5" x14ac:dyDescent="0.2">
      <c r="A14564" s="4">
        <v>12627</v>
      </c>
      <c r="B14564" s="8" t="s">
        <v>46956</v>
      </c>
      <c r="C14564" s="9" t="s">
        <v>26</v>
      </c>
      <c r="D14564" s="10">
        <v>1.37</v>
      </c>
    </row>
    <row r="14565" spans="1:4" x14ac:dyDescent="0.2">
      <c r="A14565" s="4">
        <v>39996</v>
      </c>
      <c r="B14565" s="8" t="s">
        <v>46957</v>
      </c>
      <c r="C14565" s="9" t="s">
        <v>0</v>
      </c>
      <c r="D14565" s="10">
        <v>5.26</v>
      </c>
    </row>
    <row r="14566" spans="1:4" ht="25.5" x14ac:dyDescent="0.2">
      <c r="A14566" s="4">
        <v>10478</v>
      </c>
      <c r="B14566" s="8" t="s">
        <v>46958</v>
      </c>
      <c r="C14566" s="9" t="s">
        <v>9</v>
      </c>
      <c r="D14566" s="10">
        <v>41.97</v>
      </c>
    </row>
    <row r="14567" spans="1:4" ht="25.5" x14ac:dyDescent="0.2">
      <c r="A14567" s="4">
        <v>10481</v>
      </c>
      <c r="B14567" s="8" t="s">
        <v>46959</v>
      </c>
      <c r="C14567" s="9" t="s">
        <v>9</v>
      </c>
      <c r="D14567" s="10">
        <v>37.32</v>
      </c>
    </row>
    <row r="14568" spans="1:4" x14ac:dyDescent="0.2">
      <c r="A14568" s="4">
        <v>10475</v>
      </c>
      <c r="B14568" s="8" t="s">
        <v>46960</v>
      </c>
      <c r="C14568" s="9" t="s">
        <v>9</v>
      </c>
      <c r="D14568" s="10">
        <v>36.119999999999997</v>
      </c>
    </row>
    <row r="14569" spans="1:4" x14ac:dyDescent="0.2">
      <c r="A14569" s="4">
        <v>4030</v>
      </c>
      <c r="B14569" s="8" t="s">
        <v>46961</v>
      </c>
      <c r="C14569" s="9" t="s">
        <v>255</v>
      </c>
    </row>
    <row r="14570" spans="1:4" x14ac:dyDescent="0.2">
      <c r="A14570" s="4">
        <v>4031</v>
      </c>
      <c r="B14570" s="8" t="s">
        <v>46962</v>
      </c>
      <c r="C14570" s="9" t="s">
        <v>255</v>
      </c>
    </row>
    <row r="14571" spans="1:4" ht="25.5" x14ac:dyDescent="0.2">
      <c r="A14571" s="4">
        <v>39399</v>
      </c>
      <c r="B14571" s="8" t="s">
        <v>46963</v>
      </c>
      <c r="C14571" s="9" t="s">
        <v>26</v>
      </c>
    </row>
    <row r="14572" spans="1:4" ht="25.5" x14ac:dyDescent="0.2">
      <c r="A14572" s="4">
        <v>39400</v>
      </c>
      <c r="B14572" s="8" t="s">
        <v>46964</v>
      </c>
      <c r="C14572" s="9" t="s">
        <v>26</v>
      </c>
    </row>
    <row r="14573" spans="1:4" ht="25.5" x14ac:dyDescent="0.2">
      <c r="A14573" s="4">
        <v>39401</v>
      </c>
      <c r="B14573" s="8" t="s">
        <v>46965</v>
      </c>
      <c r="C14573" s="9" t="s">
        <v>26</v>
      </c>
    </row>
    <row r="14574" spans="1:4" ht="25.5" x14ac:dyDescent="0.2">
      <c r="A14574" s="4">
        <v>11652</v>
      </c>
      <c r="B14574" s="8" t="s">
        <v>46966</v>
      </c>
      <c r="C14574" s="9" t="s">
        <v>26</v>
      </c>
    </row>
    <row r="14575" spans="1:4" ht="25.5" x14ac:dyDescent="0.2">
      <c r="A14575" s="4">
        <v>13475</v>
      </c>
      <c r="B14575" s="8" t="s">
        <v>46967</v>
      </c>
      <c r="C14575" s="9" t="s">
        <v>26</v>
      </c>
    </row>
    <row r="14576" spans="1:4" ht="25.5" x14ac:dyDescent="0.2">
      <c r="A14576" s="4">
        <v>13896</v>
      </c>
      <c r="B14576" s="8" t="s">
        <v>46968</v>
      </c>
      <c r="C14576" s="9" t="s">
        <v>26</v>
      </c>
    </row>
    <row r="14577" spans="1:4" ht="25.5" x14ac:dyDescent="0.2">
      <c r="A14577" s="4">
        <v>44470</v>
      </c>
      <c r="B14577" s="8" t="s">
        <v>48380</v>
      </c>
      <c r="C14577" s="9" t="s">
        <v>26</v>
      </c>
    </row>
    <row r="14578" spans="1:4" ht="25.5" x14ac:dyDescent="0.2">
      <c r="A14578" s="4">
        <v>13476</v>
      </c>
      <c r="B14578" s="8" t="s">
        <v>46969</v>
      </c>
      <c r="C14578" s="9" t="s">
        <v>26</v>
      </c>
    </row>
    <row r="14579" spans="1:4" ht="25.5" x14ac:dyDescent="0.2">
      <c r="A14579" s="4">
        <v>44491</v>
      </c>
      <c r="B14579" s="8" t="s">
        <v>48381</v>
      </c>
      <c r="C14579" s="9" t="s">
        <v>26</v>
      </c>
    </row>
    <row r="14580" spans="1:4" ht="25.5" x14ac:dyDescent="0.2">
      <c r="A14580" s="4">
        <v>10488</v>
      </c>
      <c r="B14580" s="8" t="s">
        <v>46970</v>
      </c>
      <c r="C14580" s="9" t="s">
        <v>26</v>
      </c>
    </row>
    <row r="14581" spans="1:4" ht="25.5" x14ac:dyDescent="0.2">
      <c r="A14581" s="4">
        <v>13606</v>
      </c>
      <c r="B14581" s="8" t="s">
        <v>46971</v>
      </c>
      <c r="C14581" s="9" t="s">
        <v>26</v>
      </c>
    </row>
    <row r="14582" spans="1:4" x14ac:dyDescent="0.2">
      <c r="A14582" s="4">
        <v>10489</v>
      </c>
      <c r="B14582" s="8" t="s">
        <v>46972</v>
      </c>
      <c r="C14582" s="9" t="s">
        <v>558</v>
      </c>
      <c r="D14582" s="10">
        <v>13.91</v>
      </c>
    </row>
    <row r="14583" spans="1:4" x14ac:dyDescent="0.2">
      <c r="A14583" s="4">
        <v>41073</v>
      </c>
      <c r="B14583" s="8" t="s">
        <v>46973</v>
      </c>
      <c r="C14583" s="9" t="s">
        <v>5681</v>
      </c>
      <c r="D14583" s="10">
        <v>2446.11</v>
      </c>
    </row>
    <row r="14584" spans="1:4" ht="25.5" x14ac:dyDescent="0.2">
      <c r="A14584" s="4">
        <v>34391</v>
      </c>
      <c r="B14584" s="8" t="s">
        <v>46974</v>
      </c>
      <c r="C14584" s="9" t="s">
        <v>255</v>
      </c>
    </row>
    <row r="14585" spans="1:4" ht="25.5" x14ac:dyDescent="0.2">
      <c r="A14585" s="4">
        <v>10496</v>
      </c>
      <c r="B14585" s="8" t="s">
        <v>46975</v>
      </c>
      <c r="C14585" s="9" t="s">
        <v>255</v>
      </c>
    </row>
    <row r="14586" spans="1:4" ht="25.5" x14ac:dyDescent="0.2">
      <c r="A14586" s="4">
        <v>10497</v>
      </c>
      <c r="B14586" s="8" t="s">
        <v>46976</v>
      </c>
      <c r="C14586" s="9" t="s">
        <v>255</v>
      </c>
    </row>
    <row r="14587" spans="1:4" ht="25.5" x14ac:dyDescent="0.2">
      <c r="A14587" s="4">
        <v>10504</v>
      </c>
      <c r="B14587" s="8" t="s">
        <v>46977</v>
      </c>
      <c r="C14587" s="9" t="s">
        <v>255</v>
      </c>
    </row>
    <row r="14588" spans="1:4" x14ac:dyDescent="0.2">
      <c r="A14588" s="4">
        <v>34390</v>
      </c>
      <c r="B14588" s="8" t="s">
        <v>46978</v>
      </c>
      <c r="C14588" s="9" t="s">
        <v>255</v>
      </c>
    </row>
    <row r="14589" spans="1:4" x14ac:dyDescent="0.2">
      <c r="A14589" s="4">
        <v>34389</v>
      </c>
      <c r="B14589" s="8" t="s">
        <v>46979</v>
      </c>
      <c r="C14589" s="9" t="s">
        <v>255</v>
      </c>
    </row>
    <row r="14590" spans="1:4" x14ac:dyDescent="0.2">
      <c r="A14590" s="4">
        <v>34388</v>
      </c>
      <c r="B14590" s="8" t="s">
        <v>46980</v>
      </c>
      <c r="C14590" s="9" t="s">
        <v>255</v>
      </c>
    </row>
    <row r="14591" spans="1:4" x14ac:dyDescent="0.2">
      <c r="A14591" s="4">
        <v>34387</v>
      </c>
      <c r="B14591" s="8" t="s">
        <v>46981</v>
      </c>
      <c r="C14591" s="9" t="s">
        <v>255</v>
      </c>
    </row>
    <row r="14592" spans="1:4" x14ac:dyDescent="0.2">
      <c r="A14592" s="4">
        <v>11188</v>
      </c>
      <c r="B14592" s="8" t="s">
        <v>46982</v>
      </c>
      <c r="C14592" s="9" t="s">
        <v>255</v>
      </c>
    </row>
    <row r="14593" spans="1:3" x14ac:dyDescent="0.2">
      <c r="A14593" s="4">
        <v>11189</v>
      </c>
      <c r="B14593" s="8" t="s">
        <v>46983</v>
      </c>
      <c r="C14593" s="9" t="s">
        <v>255</v>
      </c>
    </row>
    <row r="14594" spans="1:3" x14ac:dyDescent="0.2">
      <c r="A14594" s="4">
        <v>21107</v>
      </c>
      <c r="B14594" s="8" t="s">
        <v>46984</v>
      </c>
      <c r="C14594" s="9" t="s">
        <v>255</v>
      </c>
    </row>
    <row r="14595" spans="1:3" x14ac:dyDescent="0.2">
      <c r="A14595" s="4">
        <v>34386</v>
      </c>
      <c r="B14595" s="8" t="s">
        <v>46985</v>
      </c>
      <c r="C14595" s="9" t="s">
        <v>255</v>
      </c>
    </row>
    <row r="14596" spans="1:3" x14ac:dyDescent="0.2">
      <c r="A14596" s="4">
        <v>10490</v>
      </c>
      <c r="B14596" s="8" t="s">
        <v>46986</v>
      </c>
      <c r="C14596" s="9" t="s">
        <v>255</v>
      </c>
    </row>
    <row r="14597" spans="1:3" x14ac:dyDescent="0.2">
      <c r="A14597" s="4">
        <v>10492</v>
      </c>
      <c r="B14597" s="8" t="s">
        <v>46987</v>
      </c>
      <c r="C14597" s="9" t="s">
        <v>255</v>
      </c>
    </row>
    <row r="14598" spans="1:3" x14ac:dyDescent="0.2">
      <c r="A14598" s="4">
        <v>10493</v>
      </c>
      <c r="B14598" s="8" t="s">
        <v>46988</v>
      </c>
      <c r="C14598" s="9" t="s">
        <v>255</v>
      </c>
    </row>
    <row r="14599" spans="1:3" x14ac:dyDescent="0.2">
      <c r="A14599" s="4">
        <v>10491</v>
      </c>
      <c r="B14599" s="8" t="s">
        <v>46989</v>
      </c>
      <c r="C14599" s="9" t="s">
        <v>255</v>
      </c>
    </row>
    <row r="14600" spans="1:3" x14ac:dyDescent="0.2">
      <c r="A14600" s="4">
        <v>34385</v>
      </c>
      <c r="B14600" s="8" t="s">
        <v>48382</v>
      </c>
      <c r="C14600" s="9" t="s">
        <v>255</v>
      </c>
    </row>
    <row r="14601" spans="1:3" x14ac:dyDescent="0.2">
      <c r="A14601" s="4">
        <v>10499</v>
      </c>
      <c r="B14601" s="8" t="s">
        <v>46990</v>
      </c>
      <c r="C14601" s="9" t="s">
        <v>255</v>
      </c>
    </row>
    <row r="14602" spans="1:3" x14ac:dyDescent="0.2">
      <c r="A14602" s="4">
        <v>34384</v>
      </c>
      <c r="B14602" s="8" t="s">
        <v>46991</v>
      </c>
      <c r="C14602" s="9" t="s">
        <v>255</v>
      </c>
    </row>
    <row r="14603" spans="1:3" x14ac:dyDescent="0.2">
      <c r="A14603" s="4">
        <v>11185</v>
      </c>
      <c r="B14603" s="8" t="s">
        <v>46992</v>
      </c>
      <c r="C14603" s="9" t="s">
        <v>255</v>
      </c>
    </row>
    <row r="14604" spans="1:3" x14ac:dyDescent="0.2">
      <c r="A14604" s="4">
        <v>10507</v>
      </c>
      <c r="B14604" s="8" t="s">
        <v>46993</v>
      </c>
      <c r="C14604" s="9" t="s">
        <v>255</v>
      </c>
    </row>
    <row r="14605" spans="1:3" x14ac:dyDescent="0.2">
      <c r="A14605" s="4">
        <v>10505</v>
      </c>
      <c r="B14605" s="8" t="s">
        <v>46994</v>
      </c>
      <c r="C14605" s="9" t="s">
        <v>255</v>
      </c>
    </row>
    <row r="14606" spans="1:3" x14ac:dyDescent="0.2">
      <c r="A14606" s="4">
        <v>10506</v>
      </c>
      <c r="B14606" s="8" t="s">
        <v>46995</v>
      </c>
      <c r="C14606" s="9" t="s">
        <v>255</v>
      </c>
    </row>
    <row r="14607" spans="1:3" ht="25.5" x14ac:dyDescent="0.2">
      <c r="A14607" s="4">
        <v>5031</v>
      </c>
      <c r="B14607" s="8" t="s">
        <v>46996</v>
      </c>
      <c r="C14607" s="9" t="s">
        <v>255</v>
      </c>
    </row>
    <row r="14608" spans="1:3" x14ac:dyDescent="0.2">
      <c r="A14608" s="4">
        <v>10502</v>
      </c>
      <c r="B14608" s="8" t="s">
        <v>46997</v>
      </c>
      <c r="C14608" s="9" t="s">
        <v>255</v>
      </c>
    </row>
    <row r="14609" spans="1:4" x14ac:dyDescent="0.2">
      <c r="A14609" s="4">
        <v>10501</v>
      </c>
      <c r="B14609" s="8" t="s">
        <v>46998</v>
      </c>
      <c r="C14609" s="9" t="s">
        <v>255</v>
      </c>
    </row>
    <row r="14610" spans="1:4" x14ac:dyDescent="0.2">
      <c r="A14610" s="4">
        <v>10503</v>
      </c>
      <c r="B14610" s="8" t="s">
        <v>46999</v>
      </c>
      <c r="C14610" s="9" t="s">
        <v>255</v>
      </c>
    </row>
    <row r="14611" spans="1:4" x14ac:dyDescent="0.2">
      <c r="A14611" s="4">
        <v>4500</v>
      </c>
      <c r="B14611" s="8" t="s">
        <v>47000</v>
      </c>
      <c r="C14611" s="9" t="s">
        <v>0</v>
      </c>
      <c r="D14611" s="10">
        <v>22.09</v>
      </c>
    </row>
    <row r="14612" spans="1:4" x14ac:dyDescent="0.2">
      <c r="A14612" s="4">
        <v>4448</v>
      </c>
      <c r="B14612" s="8" t="s">
        <v>47001</v>
      </c>
      <c r="C14612" s="9" t="s">
        <v>0</v>
      </c>
      <c r="D14612" s="10">
        <v>30.34</v>
      </c>
    </row>
    <row r="14613" spans="1:4" ht="25.5" x14ac:dyDescent="0.2">
      <c r="A14613" s="4">
        <v>20213</v>
      </c>
      <c r="B14613" s="8" t="s">
        <v>47002</v>
      </c>
      <c r="C14613" s="9" t="s">
        <v>0</v>
      </c>
      <c r="D14613" s="10">
        <v>28.02</v>
      </c>
    </row>
    <row r="14614" spans="1:4" ht="25.5" x14ac:dyDescent="0.2">
      <c r="A14614" s="4">
        <v>20211</v>
      </c>
      <c r="B14614" s="8" t="s">
        <v>47003</v>
      </c>
      <c r="C14614" s="9" t="s">
        <v>0</v>
      </c>
      <c r="D14614" s="10">
        <v>37.1</v>
      </c>
    </row>
    <row r="14615" spans="1:4" ht="25.5" x14ac:dyDescent="0.2">
      <c r="A14615" s="4">
        <v>40270</v>
      </c>
      <c r="B14615" s="8" t="s">
        <v>47004</v>
      </c>
      <c r="C14615" s="9" t="s">
        <v>0</v>
      </c>
    </row>
    <row r="14616" spans="1:4" ht="25.5" x14ac:dyDescent="0.2">
      <c r="A14616" s="4">
        <v>4425</v>
      </c>
      <c r="B14616" s="8" t="s">
        <v>47005</v>
      </c>
      <c r="C14616" s="9" t="s">
        <v>0</v>
      </c>
      <c r="D14616" s="10">
        <v>30.67</v>
      </c>
    </row>
    <row r="14617" spans="1:4" ht="25.5" x14ac:dyDescent="0.2">
      <c r="A14617" s="4">
        <v>4472</v>
      </c>
      <c r="B14617" s="8" t="s">
        <v>47006</v>
      </c>
      <c r="C14617" s="9" t="s">
        <v>0</v>
      </c>
      <c r="D14617" s="10">
        <v>38.31</v>
      </c>
    </row>
    <row r="14618" spans="1:4" ht="25.5" x14ac:dyDescent="0.2">
      <c r="A14618" s="4">
        <v>35272</v>
      </c>
      <c r="B14618" s="8" t="s">
        <v>47007</v>
      </c>
      <c r="C14618" s="9" t="s">
        <v>0</v>
      </c>
      <c r="D14618" s="10">
        <v>55.38</v>
      </c>
    </row>
    <row r="14619" spans="1:4" ht="25.5" x14ac:dyDescent="0.2">
      <c r="A14619" s="4">
        <v>4481</v>
      </c>
      <c r="B14619" s="8" t="s">
        <v>47008</v>
      </c>
      <c r="C14619" s="9" t="s">
        <v>0</v>
      </c>
      <c r="D14619" s="10">
        <v>59.28</v>
      </c>
    </row>
    <row r="14620" spans="1:4" x14ac:dyDescent="0.2">
      <c r="A14620" s="4">
        <v>34345</v>
      </c>
      <c r="B14620" s="8" t="s">
        <v>47009</v>
      </c>
      <c r="C14620" s="9" t="s">
        <v>558</v>
      </c>
      <c r="D14620" s="10">
        <v>14.91</v>
      </c>
    </row>
    <row r="14621" spans="1:4" x14ac:dyDescent="0.2">
      <c r="A14621" s="4">
        <v>41096</v>
      </c>
      <c r="B14621" s="8" t="s">
        <v>47010</v>
      </c>
      <c r="C14621" s="9" t="s">
        <v>5681</v>
      </c>
      <c r="D14621" s="10">
        <v>2623.28</v>
      </c>
    </row>
  </sheetData>
  <pageMargins left="0.78740157499999996" right="0.78740157499999996" top="0.984251969" bottom="0.984251969" header="0.5" footer="0.5"/>
  <pageSetup scale="55" orientation="portrait"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A2654-C0B4-419D-B86D-8B1B12F84756}">
  <dimension ref="A1:M34"/>
  <sheetViews>
    <sheetView view="pageBreakPreview" zoomScale="130" zoomScaleNormal="100" zoomScaleSheetLayoutView="130" workbookViewId="0">
      <selection activeCell="A2" sqref="A2:G2"/>
    </sheetView>
  </sheetViews>
  <sheetFormatPr defaultRowHeight="12.75" x14ac:dyDescent="0.2"/>
  <cols>
    <col min="1" max="1" width="12.6640625" customWidth="1"/>
    <col min="2" max="2" width="11.6640625" customWidth="1"/>
    <col min="3" max="3" width="75.83203125" customWidth="1"/>
    <col min="4" max="4" width="5.83203125" customWidth="1"/>
    <col min="5" max="5" width="9" bestFit="1" customWidth="1"/>
    <col min="6" max="6" width="10" bestFit="1" customWidth="1"/>
    <col min="7" max="7" width="11.83203125" customWidth="1"/>
  </cols>
  <sheetData>
    <row r="1" spans="1:13" x14ac:dyDescent="0.2">
      <c r="A1" s="218"/>
      <c r="B1" s="218"/>
      <c r="C1" s="218"/>
      <c r="D1" s="218"/>
      <c r="E1" s="218"/>
      <c r="F1" s="218"/>
      <c r="G1" s="218"/>
      <c r="H1" s="218"/>
      <c r="I1" s="218"/>
      <c r="J1" s="218"/>
      <c r="K1" s="218"/>
      <c r="L1" s="218"/>
      <c r="M1" s="218"/>
    </row>
    <row r="2" spans="1:13" x14ac:dyDescent="0.2">
      <c r="A2" s="603" t="str">
        <f>ORCAMENTO!A2</f>
        <v>INSTITUTO FEDERAL DE EDUCAÇÃO CIÊNCIA E TECNOLOGIA DO CEARÁ - CAMPUS BOA VIAGEM</v>
      </c>
      <c r="B2" s="603"/>
      <c r="C2" s="603"/>
      <c r="D2" s="603"/>
      <c r="E2" s="603"/>
      <c r="F2" s="603"/>
      <c r="G2" s="603"/>
      <c r="H2" s="232"/>
      <c r="I2" s="232"/>
      <c r="J2" s="232"/>
      <c r="K2" s="232"/>
      <c r="L2" s="232"/>
      <c r="M2" s="232"/>
    </row>
    <row r="3" spans="1:13" x14ac:dyDescent="0.2">
      <c r="A3" s="218"/>
      <c r="B3" s="218"/>
      <c r="C3" s="218"/>
      <c r="D3" s="218"/>
      <c r="E3" s="218"/>
      <c r="F3" s="218"/>
      <c r="G3" s="218"/>
      <c r="H3" s="218"/>
      <c r="I3" s="218"/>
      <c r="J3" s="218"/>
      <c r="K3" s="218"/>
      <c r="L3" s="218"/>
      <c r="M3" s="218"/>
    </row>
    <row r="4" spans="1:13" x14ac:dyDescent="0.2">
      <c r="A4" s="219" t="str">
        <f>ORCAMENTO!A4</f>
        <v>OBRA:</v>
      </c>
      <c r="B4" s="219"/>
      <c r="C4" s="218"/>
      <c r="D4" s="218"/>
      <c r="E4" s="218"/>
      <c r="F4" s="218"/>
      <c r="G4" s="218"/>
      <c r="H4" s="218"/>
      <c r="I4" s="218"/>
      <c r="J4" s="218"/>
      <c r="K4" s="218"/>
      <c r="L4" s="218"/>
      <c r="M4" s="218"/>
    </row>
    <row r="5" spans="1:13" x14ac:dyDescent="0.2">
      <c r="A5" s="218" t="str">
        <f>ORCAMENTO!A5</f>
        <v>CENTRO DE INOVAÇÃO E DIFUSÃO DE TECNOLOGIA PARA O SEMIÁRIDO - CAMPUS BOA VIAGEM</v>
      </c>
      <c r="B5" s="218"/>
      <c r="C5" s="218"/>
      <c r="D5" s="218"/>
      <c r="E5" s="218"/>
      <c r="F5" s="218"/>
      <c r="G5" s="218"/>
      <c r="H5" s="218"/>
      <c r="I5" s="218"/>
      <c r="J5" s="218"/>
      <c r="K5" s="218"/>
      <c r="L5" s="218"/>
      <c r="M5" s="218"/>
    </row>
    <row r="6" spans="1:13" x14ac:dyDescent="0.2">
      <c r="A6" s="219" t="str">
        <f>ORCAMENTO!A6</f>
        <v>LOCAL:</v>
      </c>
      <c r="B6" s="219"/>
      <c r="C6" s="218"/>
      <c r="D6" s="218"/>
      <c r="E6" s="218"/>
      <c r="F6" s="218"/>
      <c r="G6" s="218"/>
      <c r="H6" s="218"/>
      <c r="I6" s="218"/>
      <c r="J6" s="218"/>
      <c r="K6" s="218"/>
      <c r="L6" s="218"/>
      <c r="M6" s="218"/>
    </row>
    <row r="7" spans="1:13" x14ac:dyDescent="0.2">
      <c r="A7" s="218" t="str">
        <f>ORCAMENTO!A7</f>
        <v>SEDE DO MUNICÍPIO</v>
      </c>
      <c r="B7" s="218"/>
      <c r="C7" s="218"/>
      <c r="D7" s="218"/>
      <c r="E7" s="218"/>
      <c r="F7" s="218"/>
      <c r="G7" s="218"/>
      <c r="H7" s="218"/>
      <c r="I7" s="218"/>
      <c r="J7" s="218"/>
      <c r="K7" s="218"/>
      <c r="L7" s="218"/>
      <c r="M7" s="218"/>
    </row>
    <row r="8" spans="1:13" x14ac:dyDescent="0.2">
      <c r="A8" s="219" t="str">
        <f>ORCAMENTO!A8</f>
        <v>MUNICÍPIO:</v>
      </c>
      <c r="B8" s="219"/>
      <c r="C8" s="218"/>
      <c r="D8" s="218"/>
      <c r="E8" s="218"/>
      <c r="F8" s="218"/>
      <c r="G8" s="218"/>
      <c r="H8" s="218"/>
      <c r="I8" s="218"/>
      <c r="J8" s="218"/>
      <c r="K8" s="218"/>
      <c r="L8" s="218"/>
      <c r="M8" s="218"/>
    </row>
    <row r="9" spans="1:13" x14ac:dyDescent="0.2">
      <c r="A9" s="218" t="str">
        <f>ORCAMENTO!A9</f>
        <v>BOA VIAGEM - CE</v>
      </c>
      <c r="B9" s="218"/>
      <c r="C9" s="218"/>
      <c r="D9" s="218"/>
      <c r="E9" s="218"/>
      <c r="F9" s="218"/>
      <c r="G9" s="218"/>
      <c r="H9" s="218"/>
      <c r="I9" s="218"/>
      <c r="J9" s="218"/>
      <c r="K9" s="218"/>
      <c r="L9" s="218"/>
      <c r="M9" s="218"/>
    </row>
    <row r="10" spans="1:13" x14ac:dyDescent="0.2">
      <c r="A10" s="218"/>
      <c r="B10" s="218"/>
      <c r="C10" s="218"/>
      <c r="D10" s="218"/>
      <c r="E10" s="218"/>
      <c r="F10" s="218"/>
      <c r="G10" s="218"/>
      <c r="H10" s="218"/>
      <c r="I10" s="218"/>
      <c r="J10" s="218"/>
      <c r="K10" s="218"/>
      <c r="L10" s="218"/>
      <c r="M10" s="218"/>
    </row>
    <row r="11" spans="1:13" x14ac:dyDescent="0.2">
      <c r="A11" s="219" t="str">
        <f>ORCAMENTO!A11</f>
        <v>FONTE DOS PREÇOS:</v>
      </c>
      <c r="B11" s="219"/>
      <c r="C11" s="218"/>
      <c r="D11" s="218"/>
      <c r="E11" s="218"/>
      <c r="F11" s="218"/>
      <c r="G11" s="218"/>
      <c r="H11" s="218"/>
      <c r="I11" s="218"/>
      <c r="J11" s="218"/>
      <c r="K11" s="218"/>
      <c r="L11" s="218"/>
      <c r="M11" s="218"/>
    </row>
    <row r="12" spans="1:13" x14ac:dyDescent="0.2">
      <c r="A12" s="218" t="str">
        <f>ORCAMENTO!A12</f>
        <v>TABELA SEINFRA 028.1 DESONERADA</v>
      </c>
      <c r="B12" s="218"/>
      <c r="C12" s="218"/>
      <c r="D12" s="218"/>
      <c r="E12" s="218"/>
      <c r="F12" s="218"/>
      <c r="G12" s="218"/>
      <c r="H12" s="218"/>
      <c r="I12" s="218"/>
      <c r="J12" s="218"/>
      <c r="K12" s="218"/>
      <c r="L12" s="218"/>
      <c r="M12" s="218"/>
    </row>
    <row r="13" spans="1:13" x14ac:dyDescent="0.2">
      <c r="A13" s="218"/>
      <c r="B13" s="218"/>
      <c r="C13" s="218" t="str">
        <f>ORCAMENTO!B13</f>
        <v>DATA REFERÊNCIA TÉCNICA: 10/2023</v>
      </c>
      <c r="D13" s="218"/>
      <c r="E13" s="218"/>
      <c r="F13" s="218"/>
      <c r="G13" s="218"/>
      <c r="H13" s="218"/>
      <c r="I13" s="218"/>
      <c r="J13" s="218"/>
      <c r="K13" s="218"/>
      <c r="L13" s="218"/>
      <c r="M13" s="218"/>
    </row>
    <row r="14" spans="1:13" x14ac:dyDescent="0.2">
      <c r="A14" s="218"/>
      <c r="B14" s="218"/>
      <c r="C14" s="218" t="str">
        <f>ORCAMENTO!B14</f>
        <v>ENCARGOS SOCIAIS: 84,44% (HORA) - 47,48% (MÊS)</v>
      </c>
      <c r="D14" s="218"/>
      <c r="E14" s="218"/>
      <c r="F14" s="218"/>
      <c r="G14" s="218"/>
      <c r="H14" s="218"/>
      <c r="I14" s="218"/>
      <c r="J14" s="218"/>
      <c r="K14" s="218"/>
      <c r="L14" s="218"/>
      <c r="M14" s="218"/>
    </row>
    <row r="15" spans="1:13" x14ac:dyDescent="0.2">
      <c r="A15" s="218" t="str">
        <f>ORCAMENTO!A15</f>
        <v>TABELA SINAPI 06/2025 DESONERADA</v>
      </c>
      <c r="B15" s="218"/>
      <c r="C15" s="218"/>
      <c r="D15" s="218"/>
      <c r="E15" s="218"/>
      <c r="F15" s="218"/>
      <c r="G15" s="218"/>
      <c r="H15" s="218"/>
      <c r="I15" s="218"/>
      <c r="J15" s="218"/>
      <c r="K15" s="218"/>
      <c r="L15" s="218"/>
      <c r="M15" s="218"/>
    </row>
    <row r="16" spans="1:13" x14ac:dyDescent="0.2">
      <c r="A16" s="218"/>
      <c r="B16" s="218"/>
      <c r="C16" s="218" t="str">
        <f>ORCAMENTO!B16</f>
        <v>DATA REFERÊNCIA TÉCNICA: 06/2025</v>
      </c>
      <c r="D16" s="218"/>
      <c r="E16" s="218"/>
      <c r="F16" s="218"/>
      <c r="G16" s="218"/>
      <c r="H16" s="218"/>
      <c r="I16" s="218"/>
      <c r="J16" s="218"/>
      <c r="K16" s="218"/>
      <c r="L16" s="218"/>
      <c r="M16" s="218"/>
    </row>
    <row r="17" spans="1:13" x14ac:dyDescent="0.2">
      <c r="A17" s="218"/>
      <c r="B17" s="218"/>
      <c r="C17" s="218" t="str">
        <f>ORCAMENTO!B17</f>
        <v>ENCARGOS SOCIAIS: 92,17% (HORA) - 53,50% (MÊS)</v>
      </c>
      <c r="D17" s="218"/>
      <c r="E17" s="218"/>
      <c r="F17" s="218"/>
      <c r="G17" s="218"/>
      <c r="H17" s="218"/>
      <c r="I17" s="218"/>
      <c r="J17" s="218"/>
      <c r="K17" s="218"/>
      <c r="L17" s="218"/>
      <c r="M17" s="218"/>
    </row>
    <row r="18" spans="1:13" x14ac:dyDescent="0.2">
      <c r="A18" s="218"/>
    </row>
    <row r="19" spans="1:13" x14ac:dyDescent="0.2">
      <c r="A19" s="244" t="s">
        <v>39208</v>
      </c>
      <c r="B19" s="604" t="s">
        <v>47086</v>
      </c>
      <c r="C19" s="604"/>
      <c r="D19" s="604"/>
      <c r="E19" s="604"/>
      <c r="F19" s="275" t="s">
        <v>39196</v>
      </c>
      <c r="G19" s="275" t="s">
        <v>26</v>
      </c>
      <c r="H19" s="231"/>
      <c r="I19" s="231"/>
      <c r="J19" s="440"/>
      <c r="K19" s="231"/>
      <c r="L19" s="231"/>
      <c r="M19" s="231"/>
    </row>
    <row r="20" spans="1:13" x14ac:dyDescent="0.2">
      <c r="A20" s="220" t="s">
        <v>39178</v>
      </c>
      <c r="B20" s="220" t="s">
        <v>52</v>
      </c>
      <c r="C20" s="220" t="s">
        <v>5917</v>
      </c>
      <c r="D20" s="220" t="s">
        <v>5</v>
      </c>
      <c r="E20" s="220" t="s">
        <v>39166</v>
      </c>
      <c r="F20" s="220" t="s">
        <v>39167</v>
      </c>
      <c r="G20" s="221" t="s">
        <v>39168</v>
      </c>
    </row>
    <row r="21" spans="1:13" x14ac:dyDescent="0.2">
      <c r="A21" s="605" t="s">
        <v>39169</v>
      </c>
      <c r="B21" s="605"/>
      <c r="C21" s="605"/>
      <c r="D21" s="605"/>
      <c r="E21" s="605"/>
      <c r="F21" s="605"/>
      <c r="G21" s="605"/>
      <c r="K21" s="441"/>
    </row>
    <row r="22" spans="1:13" x14ac:dyDescent="0.2">
      <c r="A22" s="236" t="s">
        <v>15</v>
      </c>
      <c r="B22" s="79">
        <v>88264</v>
      </c>
      <c r="C22" s="85" t="str">
        <f>IF(A22="SINAPI",VLOOKUP(B22,SINAPI!A:D,2,0),(VLOOKUP(B22,SEINFRA!A:D,2,0)))</f>
        <v>ELETRICISTA COM ENCARGOS COMPLEMENTARES</v>
      </c>
      <c r="D22" s="69" t="str">
        <f>IF(A22="SINAPI",VLOOKUP(B22,SINAPI!A:D,3,0),(VLOOKUP(B22,SEINFRA!A:D,3,0)))</f>
        <v>H</v>
      </c>
      <c r="E22" s="233">
        <v>0.15</v>
      </c>
      <c r="F22" s="82">
        <f>IF(A22="SINAPI",VLOOKUP(B22,SINAPI!A:D,4,0),(VLOOKUP(B22,SEINFRA!A:D,4,0)))</f>
        <v>27.31</v>
      </c>
      <c r="G22" s="234">
        <f>E22*F22</f>
        <v>4.0964999999999998</v>
      </c>
    </row>
    <row r="23" spans="1:13" x14ac:dyDescent="0.2">
      <c r="A23" s="236" t="s">
        <v>15</v>
      </c>
      <c r="B23" s="79">
        <v>88247</v>
      </c>
      <c r="C23" s="85" t="str">
        <f>IF(A23="SINAPI",VLOOKUP(B23,SINAPI!A:D,2,0),(VLOOKUP(B23,SEINFRA!A:D,2,0)))</f>
        <v>AUXILIAR DE ELETRICISTA COM ENCARGOS COMPLEMENTARES</v>
      </c>
      <c r="D23" s="69" t="str">
        <f>IF(A23="SINAPI",VLOOKUP(B23,SINAPI!A:D,3,0),(VLOOKUP(B23,SEINFRA!A:D,3,0)))</f>
        <v>H</v>
      </c>
      <c r="E23" s="233">
        <v>0.15</v>
      </c>
      <c r="F23" s="82">
        <f>IF(A23="SINAPI",VLOOKUP(B23,SINAPI!A:D,4,0),(VLOOKUP(B23,SEINFRA!A:D,4,0)))</f>
        <v>23.22</v>
      </c>
      <c r="G23" s="234">
        <f>E23*F23</f>
        <v>3.4829999999999997</v>
      </c>
    </row>
    <row r="24" spans="1:13" x14ac:dyDescent="0.2">
      <c r="A24" s="606" t="s">
        <v>39170</v>
      </c>
      <c r="B24" s="606"/>
      <c r="C24" s="606"/>
      <c r="D24" s="606"/>
      <c r="E24" s="606"/>
      <c r="F24" s="606"/>
      <c r="G24" s="222">
        <f>ROUND(SUM(G22:G23),2)</f>
        <v>7.58</v>
      </c>
    </row>
    <row r="25" spans="1:13" x14ac:dyDescent="0.2">
      <c r="A25" s="605" t="s">
        <v>39171</v>
      </c>
      <c r="B25" s="605"/>
      <c r="C25" s="605"/>
      <c r="D25" s="605"/>
      <c r="E25" s="605"/>
      <c r="F25" s="605"/>
      <c r="G25" s="605"/>
    </row>
    <row r="26" spans="1:13" x14ac:dyDescent="0.2">
      <c r="A26" s="439" t="s">
        <v>25</v>
      </c>
      <c r="B26" s="79" t="s">
        <v>18745</v>
      </c>
      <c r="C26" s="85" t="str">
        <f>IF(A26="SINAPI",VLOOKUP(B26,SINAPI!A:D,2,0),(VLOOKUP(B26,SEINFRA!A:D,2,0)))</f>
        <v>CAIXA PASSAG. CHAPA C/TAMPA PARAF. 200X200X100MM</v>
      </c>
      <c r="D26" s="69" t="str">
        <f>IF(A26="SINAPI",VLOOKUP(B26,SINAPI!A:D,3,0),(VLOOKUP(B26,SEINFRA!A:D,3,0)))</f>
        <v>UN</v>
      </c>
      <c r="E26" s="238">
        <v>1</v>
      </c>
      <c r="F26" s="82">
        <f>IF(A26="SINAPI",VLOOKUP(B26,SINAPI!A:D,4,0),(VLOOKUP(B26,SEINFRA!A:D,4,0)))</f>
        <v>28.84</v>
      </c>
      <c r="G26" s="234">
        <f>E26*F26</f>
        <v>28.84</v>
      </c>
    </row>
    <row r="27" spans="1:13" x14ac:dyDescent="0.2">
      <c r="A27" s="606" t="s">
        <v>39172</v>
      </c>
      <c r="B27" s="606"/>
      <c r="C27" s="606"/>
      <c r="D27" s="606"/>
      <c r="E27" s="606"/>
      <c r="F27" s="606"/>
      <c r="G27" s="222">
        <f>ROUND(SUM(G26:G26),2)</f>
        <v>28.84</v>
      </c>
    </row>
    <row r="28" spans="1:13" x14ac:dyDescent="0.2">
      <c r="A28" s="607"/>
      <c r="B28" s="607"/>
      <c r="C28" s="607"/>
      <c r="D28" s="607"/>
      <c r="E28" s="607"/>
      <c r="F28" s="607"/>
      <c r="G28" s="607"/>
    </row>
    <row r="29" spans="1:13" x14ac:dyDescent="0.2">
      <c r="A29" s="608" t="s">
        <v>39173</v>
      </c>
      <c r="B29" s="608"/>
      <c r="C29" s="608"/>
      <c r="D29" s="608"/>
      <c r="E29" s="608"/>
      <c r="F29" s="608"/>
      <c r="G29" s="235">
        <f>ROUND(G24+G27,2)</f>
        <v>36.42</v>
      </c>
    </row>
    <row r="30" spans="1:13" x14ac:dyDescent="0.2">
      <c r="A30" s="608" t="s">
        <v>39174</v>
      </c>
      <c r="B30" s="608"/>
      <c r="C30" s="608"/>
      <c r="D30" s="608"/>
      <c r="E30" s="608"/>
      <c r="F30" s="608"/>
      <c r="G30" s="417" t="s">
        <v>39175</v>
      </c>
    </row>
    <row r="31" spans="1:13" x14ac:dyDescent="0.2">
      <c r="A31" s="608" t="s">
        <v>39176</v>
      </c>
      <c r="B31" s="608"/>
      <c r="C31" s="608"/>
      <c r="D31" s="608"/>
      <c r="E31" s="608"/>
      <c r="F31" s="608"/>
      <c r="G31" s="235">
        <v>0</v>
      </c>
    </row>
    <row r="32" spans="1:13" x14ac:dyDescent="0.2">
      <c r="A32" s="606" t="s">
        <v>39177</v>
      </c>
      <c r="B32" s="606"/>
      <c r="C32" s="606"/>
      <c r="D32" s="606"/>
      <c r="E32" s="606"/>
      <c r="F32" s="606"/>
      <c r="G32" s="228">
        <f>G29</f>
        <v>36.42</v>
      </c>
    </row>
    <row r="33" spans="1:7" x14ac:dyDescent="0.2">
      <c r="A33" s="229"/>
      <c r="B33" s="229"/>
      <c r="C33" s="229"/>
      <c r="D33" s="229"/>
      <c r="E33" s="229"/>
      <c r="F33" s="229"/>
      <c r="G33" s="230"/>
    </row>
    <row r="34" spans="1:7" x14ac:dyDescent="0.2">
      <c r="A34" s="601" t="str">
        <f>ORCAMENTO!A392</f>
        <v>BOA VIAGEM - CE, JULHO DE 2025</v>
      </c>
      <c r="B34" s="601"/>
      <c r="C34" s="602"/>
      <c r="D34" s="602"/>
      <c r="E34" s="602"/>
      <c r="F34" s="602"/>
      <c r="G34" s="602"/>
    </row>
  </sheetData>
  <mergeCells count="12">
    <mergeCell ref="A34:G34"/>
    <mergeCell ref="A2:G2"/>
    <mergeCell ref="B19:E19"/>
    <mergeCell ref="A21:G21"/>
    <mergeCell ref="A24:F24"/>
    <mergeCell ref="A25:G25"/>
    <mergeCell ref="A27:F27"/>
    <mergeCell ref="A28:G28"/>
    <mergeCell ref="A29:F29"/>
    <mergeCell ref="A30:F30"/>
    <mergeCell ref="A31:F31"/>
    <mergeCell ref="A32:F32"/>
  </mergeCells>
  <printOptions horizontalCentered="1"/>
  <pageMargins left="0.39370078740157483" right="0.39370078740157483" top="0.39370078740157483" bottom="0.78740157480314965" header="0.31496062992125984" footer="0.31496062992125984"/>
  <pageSetup paperSize="9" scale="76"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2889F6-F012-4E7C-B0AE-DD5AB1BF958E}">
  <dimension ref="A1:M34"/>
  <sheetViews>
    <sheetView view="pageBreakPreview" topLeftCell="A4" zoomScale="130" zoomScaleNormal="100" zoomScaleSheetLayoutView="130" workbookViewId="0">
      <selection activeCell="A2" sqref="A2:G2"/>
    </sheetView>
  </sheetViews>
  <sheetFormatPr defaultRowHeight="12.75" x14ac:dyDescent="0.2"/>
  <cols>
    <col min="1" max="1" width="12.6640625" customWidth="1"/>
    <col min="2" max="2" width="11.6640625" customWidth="1"/>
    <col min="3" max="3" width="75.83203125" customWidth="1"/>
    <col min="4" max="4" width="5.83203125" customWidth="1"/>
    <col min="5" max="5" width="9" bestFit="1" customWidth="1"/>
    <col min="6" max="6" width="10" bestFit="1" customWidth="1"/>
    <col min="7" max="7" width="11.83203125" customWidth="1"/>
  </cols>
  <sheetData>
    <row r="1" spans="1:13" x14ac:dyDescent="0.2">
      <c r="A1" s="218"/>
      <c r="B1" s="218"/>
      <c r="C1" s="218"/>
      <c r="D1" s="218"/>
      <c r="E1" s="218"/>
      <c r="F1" s="218"/>
      <c r="G1" s="218"/>
      <c r="H1" s="218"/>
      <c r="I1" s="218"/>
      <c r="J1" s="218"/>
      <c r="K1" s="218"/>
      <c r="L1" s="218"/>
      <c r="M1" s="218"/>
    </row>
    <row r="2" spans="1:13" x14ac:dyDescent="0.2">
      <c r="A2" s="603" t="str">
        <f>ORCAMENTO!A2</f>
        <v>INSTITUTO FEDERAL DE EDUCAÇÃO CIÊNCIA E TECNOLOGIA DO CEARÁ - CAMPUS BOA VIAGEM</v>
      </c>
      <c r="B2" s="603"/>
      <c r="C2" s="603"/>
      <c r="D2" s="603"/>
      <c r="E2" s="603"/>
      <c r="F2" s="603"/>
      <c r="G2" s="603"/>
      <c r="H2" s="232"/>
      <c r="I2" s="232"/>
      <c r="J2" s="232"/>
      <c r="K2" s="232"/>
      <c r="L2" s="232"/>
      <c r="M2" s="232"/>
    </row>
    <row r="3" spans="1:13" x14ac:dyDescent="0.2">
      <c r="A3" s="218"/>
      <c r="B3" s="218"/>
      <c r="C3" s="218"/>
      <c r="D3" s="218"/>
      <c r="E3" s="218"/>
      <c r="F3" s="218"/>
      <c r="G3" s="218"/>
      <c r="H3" s="218"/>
      <c r="I3" s="218"/>
      <c r="J3" s="218"/>
      <c r="K3" s="218"/>
      <c r="L3" s="218"/>
      <c r="M3" s="218"/>
    </row>
    <row r="4" spans="1:13" x14ac:dyDescent="0.2">
      <c r="A4" s="219" t="str">
        <f>ORCAMENTO!A4</f>
        <v>OBRA:</v>
      </c>
      <c r="B4" s="219"/>
      <c r="C4" s="218"/>
      <c r="D4" s="218"/>
      <c r="E4" s="218"/>
      <c r="F4" s="218"/>
      <c r="G4" s="218"/>
      <c r="H4" s="218"/>
      <c r="I4" s="218"/>
      <c r="J4" s="218"/>
      <c r="K4" s="218"/>
      <c r="L4" s="218"/>
      <c r="M4" s="218"/>
    </row>
    <row r="5" spans="1:13" x14ac:dyDescent="0.2">
      <c r="A5" s="218" t="str">
        <f>ORCAMENTO!A5</f>
        <v>CENTRO DE INOVAÇÃO E DIFUSÃO DE TECNOLOGIA PARA O SEMIÁRIDO - CAMPUS BOA VIAGEM</v>
      </c>
      <c r="B5" s="218"/>
      <c r="C5" s="218"/>
      <c r="D5" s="218"/>
      <c r="E5" s="218"/>
      <c r="F5" s="218"/>
      <c r="G5" s="218"/>
      <c r="H5" s="218"/>
      <c r="I5" s="218"/>
      <c r="J5" s="218"/>
      <c r="K5" s="218"/>
      <c r="L5" s="218"/>
      <c r="M5" s="218"/>
    </row>
    <row r="6" spans="1:13" x14ac:dyDescent="0.2">
      <c r="A6" s="219" t="str">
        <f>ORCAMENTO!A6</f>
        <v>LOCAL:</v>
      </c>
      <c r="B6" s="219"/>
      <c r="C6" s="218"/>
      <c r="D6" s="218"/>
      <c r="E6" s="218"/>
      <c r="F6" s="218"/>
      <c r="G6" s="218"/>
      <c r="H6" s="218"/>
      <c r="I6" s="218"/>
      <c r="J6" s="218"/>
      <c r="K6" s="218"/>
      <c r="L6" s="218"/>
      <c r="M6" s="218"/>
    </row>
    <row r="7" spans="1:13" x14ac:dyDescent="0.2">
      <c r="A7" s="218" t="str">
        <f>ORCAMENTO!A7</f>
        <v>SEDE DO MUNICÍPIO</v>
      </c>
      <c r="B7" s="218"/>
      <c r="C7" s="218"/>
      <c r="D7" s="218"/>
      <c r="E7" s="218"/>
      <c r="F7" s="218"/>
      <c r="G7" s="218"/>
      <c r="H7" s="218"/>
      <c r="I7" s="218"/>
      <c r="J7" s="218"/>
      <c r="K7" s="218"/>
      <c r="L7" s="218"/>
      <c r="M7" s="218"/>
    </row>
    <row r="8" spans="1:13" x14ac:dyDescent="0.2">
      <c r="A8" s="219" t="str">
        <f>ORCAMENTO!A8</f>
        <v>MUNICÍPIO:</v>
      </c>
      <c r="B8" s="219"/>
      <c r="C8" s="218"/>
      <c r="D8" s="218"/>
      <c r="E8" s="218"/>
      <c r="F8" s="218"/>
      <c r="G8" s="218"/>
      <c r="H8" s="218"/>
      <c r="I8" s="218"/>
      <c r="J8" s="218"/>
      <c r="K8" s="218"/>
      <c r="L8" s="218"/>
      <c r="M8" s="218"/>
    </row>
    <row r="9" spans="1:13" x14ac:dyDescent="0.2">
      <c r="A9" s="218" t="str">
        <f>ORCAMENTO!A9</f>
        <v>BOA VIAGEM - CE</v>
      </c>
      <c r="B9" s="218"/>
      <c r="C9" s="218"/>
      <c r="D9" s="218"/>
      <c r="E9" s="218"/>
      <c r="F9" s="218"/>
      <c r="G9" s="218"/>
      <c r="H9" s="218"/>
      <c r="I9" s="218"/>
      <c r="J9" s="218"/>
      <c r="K9" s="218"/>
      <c r="L9" s="218"/>
      <c r="M9" s="218"/>
    </row>
    <row r="10" spans="1:13" x14ac:dyDescent="0.2">
      <c r="A10" s="218"/>
      <c r="B10" s="218"/>
      <c r="C10" s="218"/>
      <c r="D10" s="218"/>
      <c r="E10" s="218"/>
      <c r="F10" s="218"/>
      <c r="G10" s="218"/>
      <c r="H10" s="218"/>
      <c r="I10" s="218"/>
      <c r="J10" s="218"/>
      <c r="K10" s="218"/>
      <c r="L10" s="218"/>
      <c r="M10" s="218"/>
    </row>
    <row r="11" spans="1:13" x14ac:dyDescent="0.2">
      <c r="A11" s="219" t="str">
        <f>ORCAMENTO!A11</f>
        <v>FONTE DOS PREÇOS:</v>
      </c>
      <c r="B11" s="219"/>
      <c r="C11" s="218"/>
      <c r="D11" s="218"/>
      <c r="E11" s="218"/>
      <c r="F11" s="218"/>
      <c r="G11" s="218"/>
      <c r="H11" s="218"/>
      <c r="I11" s="218"/>
      <c r="J11" s="218"/>
      <c r="K11" s="218"/>
      <c r="L11" s="218"/>
      <c r="M11" s="218"/>
    </row>
    <row r="12" spans="1:13" x14ac:dyDescent="0.2">
      <c r="A12" s="218" t="str">
        <f>ORCAMENTO!A12</f>
        <v>TABELA SEINFRA 028.1 DESONERADA</v>
      </c>
      <c r="B12" s="218"/>
      <c r="C12" s="218"/>
      <c r="D12" s="218"/>
      <c r="E12" s="218"/>
      <c r="F12" s="218"/>
      <c r="G12" s="218"/>
      <c r="H12" s="218"/>
      <c r="I12" s="218"/>
      <c r="J12" s="218"/>
      <c r="K12" s="218"/>
      <c r="L12" s="218"/>
      <c r="M12" s="218"/>
    </row>
    <row r="13" spans="1:13" x14ac:dyDescent="0.2">
      <c r="A13" s="218"/>
      <c r="B13" s="218"/>
      <c r="C13" s="218" t="str">
        <f>ORCAMENTO!B13</f>
        <v>DATA REFERÊNCIA TÉCNICA: 10/2023</v>
      </c>
      <c r="D13" s="218"/>
      <c r="E13" s="218"/>
      <c r="F13" s="218"/>
      <c r="G13" s="218"/>
      <c r="H13" s="218"/>
      <c r="I13" s="218"/>
      <c r="J13" s="218"/>
      <c r="K13" s="218"/>
      <c r="L13" s="218"/>
      <c r="M13" s="218"/>
    </row>
    <row r="14" spans="1:13" x14ac:dyDescent="0.2">
      <c r="A14" s="218"/>
      <c r="B14" s="218"/>
      <c r="C14" s="218" t="str">
        <f>ORCAMENTO!B14</f>
        <v>ENCARGOS SOCIAIS: 84,44% (HORA) - 47,48% (MÊS)</v>
      </c>
      <c r="D14" s="218"/>
      <c r="E14" s="218"/>
      <c r="F14" s="218"/>
      <c r="G14" s="218"/>
      <c r="H14" s="218"/>
      <c r="I14" s="218"/>
      <c r="J14" s="218"/>
      <c r="K14" s="218"/>
      <c r="L14" s="218"/>
      <c r="M14" s="218"/>
    </row>
    <row r="15" spans="1:13" x14ac:dyDescent="0.2">
      <c r="A15" s="218" t="str">
        <f>ORCAMENTO!A15</f>
        <v>TABELA SINAPI 06/2025 DESONERADA</v>
      </c>
      <c r="B15" s="218"/>
      <c r="C15" s="218"/>
      <c r="D15" s="218"/>
      <c r="E15" s="218"/>
      <c r="F15" s="218"/>
      <c r="G15" s="218"/>
      <c r="H15" s="218"/>
      <c r="I15" s="218"/>
      <c r="J15" s="218"/>
      <c r="K15" s="218"/>
      <c r="L15" s="218"/>
      <c r="M15" s="218"/>
    </row>
    <row r="16" spans="1:13" x14ac:dyDescent="0.2">
      <c r="A16" s="218"/>
      <c r="B16" s="218"/>
      <c r="C16" s="218" t="str">
        <f>ORCAMENTO!B16</f>
        <v>DATA REFERÊNCIA TÉCNICA: 06/2025</v>
      </c>
      <c r="D16" s="218"/>
      <c r="E16" s="218"/>
      <c r="F16" s="218"/>
      <c r="G16" s="218"/>
      <c r="H16" s="218"/>
      <c r="I16" s="218"/>
      <c r="J16" s="218"/>
      <c r="K16" s="218"/>
      <c r="L16" s="218"/>
      <c r="M16" s="218"/>
    </row>
    <row r="17" spans="1:13" x14ac:dyDescent="0.2">
      <c r="A17" s="218"/>
      <c r="B17" s="218"/>
      <c r="C17" s="218" t="str">
        <f>ORCAMENTO!B17</f>
        <v>ENCARGOS SOCIAIS: 92,17% (HORA) - 53,50% (MÊS)</v>
      </c>
      <c r="D17" s="218"/>
      <c r="E17" s="218"/>
      <c r="F17" s="218"/>
      <c r="G17" s="218"/>
      <c r="H17" s="218"/>
      <c r="I17" s="218"/>
      <c r="J17" s="218"/>
      <c r="K17" s="218"/>
      <c r="L17" s="218"/>
      <c r="M17" s="218"/>
    </row>
    <row r="18" spans="1:13" x14ac:dyDescent="0.2">
      <c r="A18" s="218"/>
    </row>
    <row r="19" spans="1:13" ht="35.1" customHeight="1" x14ac:dyDescent="0.2">
      <c r="A19" s="244" t="s">
        <v>39209</v>
      </c>
      <c r="B19" s="604" t="s">
        <v>47082</v>
      </c>
      <c r="C19" s="604"/>
      <c r="D19" s="604"/>
      <c r="E19" s="604"/>
      <c r="F19" s="275" t="s">
        <v>39196</v>
      </c>
      <c r="G19" s="275" t="s">
        <v>26</v>
      </c>
      <c r="H19" s="231"/>
      <c r="I19" s="231"/>
      <c r="J19" s="231"/>
      <c r="K19" s="231"/>
      <c r="L19" s="231"/>
      <c r="M19" s="231"/>
    </row>
    <row r="20" spans="1:13" x14ac:dyDescent="0.2">
      <c r="A20" s="220" t="s">
        <v>39178</v>
      </c>
      <c r="B20" s="220" t="s">
        <v>52</v>
      </c>
      <c r="C20" s="220" t="s">
        <v>5917</v>
      </c>
      <c r="D20" s="220" t="s">
        <v>5</v>
      </c>
      <c r="E20" s="220" t="s">
        <v>39166</v>
      </c>
      <c r="F20" s="220" t="s">
        <v>39167</v>
      </c>
      <c r="G20" s="221" t="s">
        <v>39168</v>
      </c>
    </row>
    <row r="21" spans="1:13" x14ac:dyDescent="0.2">
      <c r="A21" s="605" t="s">
        <v>39169</v>
      </c>
      <c r="B21" s="605"/>
      <c r="C21" s="605"/>
      <c r="D21" s="605"/>
      <c r="E21" s="605"/>
      <c r="F21" s="605"/>
      <c r="G21" s="605"/>
    </row>
    <row r="22" spans="1:13" x14ac:dyDescent="0.2">
      <c r="A22" s="236" t="s">
        <v>15</v>
      </c>
      <c r="B22" s="79">
        <v>88264</v>
      </c>
      <c r="C22" s="85" t="str">
        <f>IF(A22="SINAPI",VLOOKUP(B22,SINAPI!A:D,2,0),(VLOOKUP(B22,SEINFRA!A:D,2,0)))</f>
        <v>ELETRICISTA COM ENCARGOS COMPLEMENTARES</v>
      </c>
      <c r="D22" s="69" t="str">
        <f>IF(A22="SINAPI",VLOOKUP(B22,SINAPI!A:D,3,0),(VLOOKUP(B22,SEINFRA!A:D,3,0)))</f>
        <v>H</v>
      </c>
      <c r="E22" s="233">
        <v>0.5</v>
      </c>
      <c r="F22" s="82">
        <f>IF(A22="SINAPI",VLOOKUP(B22,SINAPI!A:D,4,0),(VLOOKUP(B22,SEINFRA!A:D,4,0)))</f>
        <v>27.31</v>
      </c>
      <c r="G22" s="234">
        <f>E22*F22</f>
        <v>13.654999999999999</v>
      </c>
    </row>
    <row r="23" spans="1:13" x14ac:dyDescent="0.2">
      <c r="A23" s="236" t="s">
        <v>15</v>
      </c>
      <c r="B23" s="79">
        <v>88247</v>
      </c>
      <c r="C23" s="85" t="str">
        <f>IF(A23="SINAPI",VLOOKUP(B23,SINAPI!A:D,2,0),(VLOOKUP(B23,SEINFRA!A:D,2,0)))</f>
        <v>AUXILIAR DE ELETRICISTA COM ENCARGOS COMPLEMENTARES</v>
      </c>
      <c r="D23" s="69" t="str">
        <f>IF(A23="SINAPI",VLOOKUP(B23,SINAPI!A:D,3,0),(VLOOKUP(B23,SEINFRA!A:D,3,0)))</f>
        <v>H</v>
      </c>
      <c r="E23" s="233">
        <v>0.5</v>
      </c>
      <c r="F23" s="82">
        <f>IF(A23="SINAPI",VLOOKUP(B23,SINAPI!A:D,4,0),(VLOOKUP(B23,SEINFRA!A:D,4,0)))</f>
        <v>23.22</v>
      </c>
      <c r="G23" s="234">
        <f>E23*F23</f>
        <v>11.61</v>
      </c>
    </row>
    <row r="24" spans="1:13" x14ac:dyDescent="0.2">
      <c r="A24" s="606" t="s">
        <v>39170</v>
      </c>
      <c r="B24" s="606"/>
      <c r="C24" s="606"/>
      <c r="D24" s="606"/>
      <c r="E24" s="606"/>
      <c r="F24" s="606"/>
      <c r="G24" s="222">
        <f>ROUND(SUM(G22:G23),2)</f>
        <v>25.27</v>
      </c>
    </row>
    <row r="25" spans="1:13" x14ac:dyDescent="0.2">
      <c r="A25" s="605" t="s">
        <v>39171</v>
      </c>
      <c r="B25" s="605"/>
      <c r="C25" s="605"/>
      <c r="D25" s="605"/>
      <c r="E25" s="605"/>
      <c r="F25" s="605"/>
      <c r="G25" s="605"/>
    </row>
    <row r="26" spans="1:13" ht="36" customHeight="1" x14ac:dyDescent="0.2">
      <c r="A26" s="236" t="s">
        <v>15</v>
      </c>
      <c r="B26" s="79">
        <v>39391</v>
      </c>
      <c r="C26" s="85" t="str">
        <f>IF(A26="SINAPI",VLOOKUP(B26,SINAPI!A:D,2,0),(VLOOKUP(B26,SEINFRA!A:D,2,0)))</f>
        <v>LUMINARIA LED REFLETOR RETANGULAR BIVOLT, LUZ BRANCA, 50 W</v>
      </c>
      <c r="D26" s="69" t="str">
        <f>IF(A26="SINAPI",VLOOKUP(B26,SINAPI!A:D,3,0),(VLOOKUP(B26,SEINFRA!A:D,3,0)))</f>
        <v>UN</v>
      </c>
      <c r="E26" s="238">
        <v>1</v>
      </c>
      <c r="F26" s="443">
        <f>IF(A26="SINAPI",VLOOKUP(B26,SINAPI!A:D,4,0),(VLOOKUP(B26,SEINFRA!A:D,4,0)))</f>
        <v>26.4</v>
      </c>
      <c r="G26" s="234">
        <f>E26*F26</f>
        <v>26.4</v>
      </c>
    </row>
    <row r="27" spans="1:13" x14ac:dyDescent="0.2">
      <c r="A27" s="606" t="s">
        <v>39172</v>
      </c>
      <c r="B27" s="606"/>
      <c r="C27" s="606"/>
      <c r="D27" s="606"/>
      <c r="E27" s="606"/>
      <c r="F27" s="606"/>
      <c r="G27" s="222">
        <f>ROUND(SUM(G26:G26),2)</f>
        <v>26.4</v>
      </c>
    </row>
    <row r="28" spans="1:13" x14ac:dyDescent="0.2">
      <c r="A28" s="607"/>
      <c r="B28" s="607"/>
      <c r="C28" s="607"/>
      <c r="D28" s="607"/>
      <c r="E28" s="607"/>
      <c r="F28" s="607"/>
      <c r="G28" s="607"/>
    </row>
    <row r="29" spans="1:13" x14ac:dyDescent="0.2">
      <c r="A29" s="608" t="s">
        <v>39173</v>
      </c>
      <c r="B29" s="608"/>
      <c r="C29" s="608"/>
      <c r="D29" s="608"/>
      <c r="E29" s="608"/>
      <c r="F29" s="608"/>
      <c r="G29" s="235">
        <f>ROUND(G24+G27,2)</f>
        <v>51.67</v>
      </c>
    </row>
    <row r="30" spans="1:13" x14ac:dyDescent="0.2">
      <c r="A30" s="608" t="s">
        <v>39174</v>
      </c>
      <c r="B30" s="608"/>
      <c r="C30" s="608"/>
      <c r="D30" s="608"/>
      <c r="E30" s="608"/>
      <c r="F30" s="608"/>
      <c r="G30" s="227" t="s">
        <v>39175</v>
      </c>
    </row>
    <row r="31" spans="1:13" x14ac:dyDescent="0.2">
      <c r="A31" s="608" t="s">
        <v>39176</v>
      </c>
      <c r="B31" s="608"/>
      <c r="C31" s="608"/>
      <c r="D31" s="608"/>
      <c r="E31" s="608"/>
      <c r="F31" s="608"/>
      <c r="G31" s="235">
        <v>0</v>
      </c>
    </row>
    <row r="32" spans="1:13" x14ac:dyDescent="0.2">
      <c r="A32" s="606" t="s">
        <v>39177</v>
      </c>
      <c r="B32" s="606"/>
      <c r="C32" s="606"/>
      <c r="D32" s="606"/>
      <c r="E32" s="606"/>
      <c r="F32" s="606"/>
      <c r="G32" s="228">
        <f>G29</f>
        <v>51.67</v>
      </c>
    </row>
    <row r="33" spans="1:7" x14ac:dyDescent="0.2">
      <c r="A33" s="229"/>
      <c r="B33" s="229"/>
      <c r="C33" s="229"/>
      <c r="D33" s="229"/>
      <c r="E33" s="229"/>
      <c r="F33" s="229"/>
      <c r="G33" s="230"/>
    </row>
    <row r="34" spans="1:7" x14ac:dyDescent="0.2">
      <c r="A34" s="601" t="str">
        <f>ORCAMENTO!A392</f>
        <v>BOA VIAGEM - CE, JULHO DE 2025</v>
      </c>
      <c r="B34" s="601"/>
      <c r="C34" s="602"/>
      <c r="D34" s="602"/>
      <c r="E34" s="602"/>
      <c r="F34" s="602"/>
      <c r="G34" s="602"/>
    </row>
  </sheetData>
  <mergeCells count="12">
    <mergeCell ref="A34:G34"/>
    <mergeCell ref="A2:G2"/>
    <mergeCell ref="B19:E19"/>
    <mergeCell ref="A21:G21"/>
    <mergeCell ref="A24:F24"/>
    <mergeCell ref="A25:G25"/>
    <mergeCell ref="A27:F27"/>
    <mergeCell ref="A28:G28"/>
    <mergeCell ref="A29:F29"/>
    <mergeCell ref="A30:F30"/>
    <mergeCell ref="A31:F31"/>
    <mergeCell ref="A32:F32"/>
  </mergeCells>
  <printOptions horizontalCentered="1"/>
  <pageMargins left="0.39370078740157483" right="0.39370078740157483" top="0.39370078740157483" bottom="0.78740157480314965" header="0.31496062992125984" footer="0.31496062992125984"/>
  <pageSetup paperSize="9" scale="76"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7B4FC1-4ED7-4489-9C37-B4DDD6B43BCD}">
  <dimension ref="A1:M34"/>
  <sheetViews>
    <sheetView view="pageBreakPreview" zoomScale="130" zoomScaleNormal="100" zoomScaleSheetLayoutView="130" workbookViewId="0">
      <selection activeCell="A2" sqref="A2:G2"/>
    </sheetView>
  </sheetViews>
  <sheetFormatPr defaultRowHeight="12.75" x14ac:dyDescent="0.2"/>
  <cols>
    <col min="1" max="1" width="12.6640625" customWidth="1"/>
    <col min="2" max="2" width="11.6640625" customWidth="1"/>
    <col min="3" max="3" width="75.83203125" customWidth="1"/>
    <col min="4" max="4" width="5.83203125" customWidth="1"/>
    <col min="5" max="5" width="9" bestFit="1" customWidth="1"/>
    <col min="6" max="6" width="10" bestFit="1" customWidth="1"/>
    <col min="7" max="7" width="11.83203125" customWidth="1"/>
  </cols>
  <sheetData>
    <row r="1" spans="1:13" x14ac:dyDescent="0.2">
      <c r="A1" s="218"/>
      <c r="B1" s="218"/>
      <c r="C1" s="218"/>
      <c r="D1" s="218"/>
      <c r="E1" s="218"/>
      <c r="F1" s="218"/>
      <c r="G1" s="218"/>
      <c r="H1" s="218"/>
      <c r="I1" s="218"/>
      <c r="J1" s="218"/>
      <c r="K1" s="218"/>
      <c r="L1" s="218"/>
      <c r="M1" s="218"/>
    </row>
    <row r="2" spans="1:13" x14ac:dyDescent="0.2">
      <c r="A2" s="603" t="str">
        <f>ORCAMENTO!A2</f>
        <v>INSTITUTO FEDERAL DE EDUCAÇÃO CIÊNCIA E TECNOLOGIA DO CEARÁ - CAMPUS BOA VIAGEM</v>
      </c>
      <c r="B2" s="603"/>
      <c r="C2" s="603"/>
      <c r="D2" s="603"/>
      <c r="E2" s="603"/>
      <c r="F2" s="603"/>
      <c r="G2" s="603"/>
      <c r="H2" s="232"/>
      <c r="I2" s="232"/>
      <c r="J2" s="232"/>
      <c r="K2" s="232"/>
      <c r="L2" s="232"/>
      <c r="M2" s="232"/>
    </row>
    <row r="3" spans="1:13" x14ac:dyDescent="0.2">
      <c r="A3" s="218"/>
      <c r="B3" s="218"/>
      <c r="C3" s="218"/>
      <c r="D3" s="218"/>
      <c r="E3" s="218"/>
      <c r="F3" s="218"/>
      <c r="G3" s="218"/>
      <c r="H3" s="218"/>
      <c r="I3" s="218"/>
      <c r="J3" s="218"/>
      <c r="K3" s="218"/>
      <c r="L3" s="218"/>
      <c r="M3" s="218"/>
    </row>
    <row r="4" spans="1:13" x14ac:dyDescent="0.2">
      <c r="A4" s="219" t="str">
        <f>ORCAMENTO!A4</f>
        <v>OBRA:</v>
      </c>
      <c r="B4" s="219"/>
      <c r="C4" s="218"/>
      <c r="D4" s="218"/>
      <c r="E4" s="218"/>
      <c r="F4" s="218"/>
      <c r="G4" s="218"/>
      <c r="H4" s="218"/>
      <c r="I4" s="218"/>
      <c r="J4" s="218"/>
      <c r="K4" s="218"/>
      <c r="L4" s="218"/>
      <c r="M4" s="218"/>
    </row>
    <row r="5" spans="1:13" x14ac:dyDescent="0.2">
      <c r="A5" s="218" t="str">
        <f>ORCAMENTO!A5</f>
        <v>CENTRO DE INOVAÇÃO E DIFUSÃO DE TECNOLOGIA PARA O SEMIÁRIDO - CAMPUS BOA VIAGEM</v>
      </c>
      <c r="B5" s="218"/>
      <c r="C5" s="218"/>
      <c r="D5" s="218"/>
      <c r="E5" s="218"/>
      <c r="F5" s="218"/>
      <c r="G5" s="218"/>
      <c r="H5" s="218"/>
      <c r="I5" s="218"/>
      <c r="J5" s="218"/>
      <c r="K5" s="218"/>
      <c r="L5" s="218"/>
      <c r="M5" s="218"/>
    </row>
    <row r="6" spans="1:13" x14ac:dyDescent="0.2">
      <c r="A6" s="219" t="str">
        <f>ORCAMENTO!A6</f>
        <v>LOCAL:</v>
      </c>
      <c r="B6" s="219"/>
      <c r="C6" s="218"/>
      <c r="D6" s="218"/>
      <c r="E6" s="218"/>
      <c r="F6" s="218"/>
      <c r="G6" s="218"/>
      <c r="H6" s="218"/>
      <c r="I6" s="218"/>
      <c r="J6" s="218"/>
      <c r="K6" s="218"/>
      <c r="L6" s="218"/>
      <c r="M6" s="218"/>
    </row>
    <row r="7" spans="1:13" x14ac:dyDescent="0.2">
      <c r="A7" s="218" t="str">
        <f>ORCAMENTO!A7</f>
        <v>SEDE DO MUNICÍPIO</v>
      </c>
      <c r="B7" s="218"/>
      <c r="C7" s="218"/>
      <c r="D7" s="218"/>
      <c r="E7" s="218"/>
      <c r="F7" s="218"/>
      <c r="G7" s="218"/>
      <c r="H7" s="218"/>
      <c r="I7" s="218"/>
      <c r="J7" s="218"/>
      <c r="K7" s="218"/>
      <c r="L7" s="218"/>
      <c r="M7" s="218"/>
    </row>
    <row r="8" spans="1:13" x14ac:dyDescent="0.2">
      <c r="A8" s="219" t="str">
        <f>ORCAMENTO!A8</f>
        <v>MUNICÍPIO:</v>
      </c>
      <c r="B8" s="219"/>
      <c r="C8" s="218"/>
      <c r="D8" s="218"/>
      <c r="E8" s="218"/>
      <c r="F8" s="218"/>
      <c r="G8" s="218"/>
      <c r="H8" s="218"/>
      <c r="I8" s="218"/>
      <c r="J8" s="218"/>
      <c r="K8" s="218"/>
      <c r="L8" s="218"/>
      <c r="M8" s="218"/>
    </row>
    <row r="9" spans="1:13" x14ac:dyDescent="0.2">
      <c r="A9" s="218" t="str">
        <f>ORCAMENTO!A9</f>
        <v>BOA VIAGEM - CE</v>
      </c>
      <c r="B9" s="218"/>
      <c r="C9" s="218"/>
      <c r="D9" s="218"/>
      <c r="E9" s="218"/>
      <c r="F9" s="218"/>
      <c r="G9" s="218"/>
      <c r="H9" s="218"/>
      <c r="I9" s="218"/>
      <c r="J9" s="218"/>
      <c r="K9" s="218"/>
      <c r="L9" s="218"/>
      <c r="M9" s="218"/>
    </row>
    <row r="10" spans="1:13" x14ac:dyDescent="0.2">
      <c r="A10" s="218"/>
      <c r="B10" s="218"/>
      <c r="C10" s="218"/>
      <c r="D10" s="218"/>
      <c r="E10" s="218"/>
      <c r="F10" s="218"/>
      <c r="G10" s="218"/>
      <c r="H10" s="218"/>
      <c r="I10" s="218"/>
      <c r="J10" s="218"/>
      <c r="K10" s="218"/>
      <c r="L10" s="218"/>
      <c r="M10" s="218"/>
    </row>
    <row r="11" spans="1:13" x14ac:dyDescent="0.2">
      <c r="A11" s="219" t="str">
        <f>ORCAMENTO!A11</f>
        <v>FONTE DOS PREÇOS:</v>
      </c>
      <c r="B11" s="219"/>
      <c r="C11" s="218"/>
      <c r="D11" s="218"/>
      <c r="E11" s="218"/>
      <c r="F11" s="218"/>
      <c r="G11" s="218"/>
      <c r="H11" s="218"/>
      <c r="I11" s="218"/>
      <c r="J11" s="218"/>
      <c r="K11" s="218"/>
      <c r="L11" s="218"/>
      <c r="M11" s="218"/>
    </row>
    <row r="12" spans="1:13" x14ac:dyDescent="0.2">
      <c r="A12" s="218" t="str">
        <f>ORCAMENTO!A12</f>
        <v>TABELA SEINFRA 028.1 DESONERADA</v>
      </c>
      <c r="B12" s="218"/>
      <c r="C12" s="218"/>
      <c r="D12" s="218"/>
      <c r="E12" s="218"/>
      <c r="F12" s="218"/>
      <c r="G12" s="218"/>
      <c r="H12" s="218"/>
      <c r="I12" s="218"/>
      <c r="J12" s="218"/>
      <c r="K12" s="218"/>
      <c r="L12" s="218"/>
      <c r="M12" s="218"/>
    </row>
    <row r="13" spans="1:13" x14ac:dyDescent="0.2">
      <c r="A13" s="218"/>
      <c r="B13" s="218"/>
      <c r="C13" s="218" t="str">
        <f>ORCAMENTO!B13</f>
        <v>DATA REFERÊNCIA TÉCNICA: 10/2023</v>
      </c>
      <c r="D13" s="218"/>
      <c r="E13" s="218"/>
      <c r="F13" s="218"/>
      <c r="G13" s="218"/>
      <c r="H13" s="218"/>
      <c r="I13" s="218"/>
      <c r="J13" s="218"/>
      <c r="K13" s="218"/>
      <c r="L13" s="218"/>
      <c r="M13" s="218"/>
    </row>
    <row r="14" spans="1:13" x14ac:dyDescent="0.2">
      <c r="A14" s="218"/>
      <c r="B14" s="218"/>
      <c r="C14" s="218" t="str">
        <f>ORCAMENTO!B14</f>
        <v>ENCARGOS SOCIAIS: 84,44% (HORA) - 47,48% (MÊS)</v>
      </c>
      <c r="D14" s="218"/>
      <c r="E14" s="218"/>
      <c r="F14" s="218"/>
      <c r="G14" s="218"/>
      <c r="H14" s="218"/>
      <c r="I14" s="218"/>
      <c r="J14" s="218"/>
      <c r="K14" s="218"/>
      <c r="L14" s="218"/>
      <c r="M14" s="218"/>
    </row>
    <row r="15" spans="1:13" x14ac:dyDescent="0.2">
      <c r="A15" s="218" t="str">
        <f>ORCAMENTO!A15</f>
        <v>TABELA SINAPI 06/2025 DESONERADA</v>
      </c>
      <c r="B15" s="218"/>
      <c r="C15" s="218"/>
      <c r="D15" s="218"/>
      <c r="E15" s="218"/>
      <c r="F15" s="218"/>
      <c r="G15" s="218"/>
      <c r="H15" s="218"/>
      <c r="I15" s="218"/>
      <c r="J15" s="218"/>
      <c r="K15" s="218"/>
      <c r="L15" s="218"/>
      <c r="M15" s="218"/>
    </row>
    <row r="16" spans="1:13" x14ac:dyDescent="0.2">
      <c r="A16" s="218"/>
      <c r="B16" s="218"/>
      <c r="C16" s="218" t="str">
        <f>ORCAMENTO!B16</f>
        <v>DATA REFERÊNCIA TÉCNICA: 06/2025</v>
      </c>
      <c r="D16" s="218"/>
      <c r="E16" s="218"/>
      <c r="F16" s="218"/>
      <c r="G16" s="218"/>
      <c r="H16" s="218"/>
      <c r="I16" s="218"/>
      <c r="J16" s="218"/>
      <c r="K16" s="218"/>
      <c r="L16" s="218"/>
      <c r="M16" s="218"/>
    </row>
    <row r="17" spans="1:13" x14ac:dyDescent="0.2">
      <c r="A17" s="218"/>
      <c r="B17" s="218"/>
      <c r="C17" s="218" t="str">
        <f>ORCAMENTO!B17</f>
        <v>ENCARGOS SOCIAIS: 92,17% (HORA) - 53,50% (MÊS)</v>
      </c>
      <c r="D17" s="218"/>
      <c r="E17" s="218"/>
      <c r="F17" s="218"/>
      <c r="G17" s="218"/>
      <c r="H17" s="218"/>
      <c r="I17" s="218"/>
      <c r="J17" s="218"/>
      <c r="K17" s="218"/>
      <c r="L17" s="218"/>
      <c r="M17" s="218"/>
    </row>
    <row r="18" spans="1:13" x14ac:dyDescent="0.2">
      <c r="A18" s="218"/>
    </row>
    <row r="19" spans="1:13" ht="35.1" customHeight="1" x14ac:dyDescent="0.2">
      <c r="A19" s="244" t="s">
        <v>47111</v>
      </c>
      <c r="B19" s="604" t="s">
        <v>39182</v>
      </c>
      <c r="C19" s="604"/>
      <c r="D19" s="604"/>
      <c r="E19" s="604"/>
      <c r="F19" s="275" t="s">
        <v>39196</v>
      </c>
      <c r="G19" s="275" t="s">
        <v>26</v>
      </c>
      <c r="H19" s="231"/>
      <c r="I19" s="231"/>
      <c r="J19" s="231"/>
      <c r="K19" s="231"/>
      <c r="L19" s="231"/>
      <c r="M19" s="231"/>
    </row>
    <row r="20" spans="1:13" x14ac:dyDescent="0.2">
      <c r="A20" s="220" t="s">
        <v>39178</v>
      </c>
      <c r="B20" s="220" t="s">
        <v>52</v>
      </c>
      <c r="C20" s="220" t="s">
        <v>5917</v>
      </c>
      <c r="D20" s="220" t="s">
        <v>5</v>
      </c>
      <c r="E20" s="220" t="s">
        <v>39166</v>
      </c>
      <c r="F20" s="220" t="s">
        <v>39167</v>
      </c>
      <c r="G20" s="221" t="s">
        <v>39168</v>
      </c>
    </row>
    <row r="21" spans="1:13" x14ac:dyDescent="0.2">
      <c r="A21" s="605" t="s">
        <v>39169</v>
      </c>
      <c r="B21" s="605"/>
      <c r="C21" s="605"/>
      <c r="D21" s="605"/>
      <c r="E21" s="605"/>
      <c r="F21" s="605"/>
      <c r="G21" s="605"/>
    </row>
    <row r="22" spans="1:13" x14ac:dyDescent="0.2">
      <c r="A22" s="236" t="s">
        <v>15</v>
      </c>
      <c r="B22" s="79">
        <v>88264</v>
      </c>
      <c r="C22" s="85" t="str">
        <f>IF(A22="SINAPI",VLOOKUP(B22,SINAPI!A:D,2,0),(VLOOKUP(B22,SEINFRA!A:D,2,0)))</f>
        <v>ELETRICISTA COM ENCARGOS COMPLEMENTARES</v>
      </c>
      <c r="D22" s="69" t="str">
        <f>IF(A22="SINAPI",VLOOKUP(B22,SINAPI!A:D,3,0),(VLOOKUP(B22,SEINFRA!A:D,3,0)))</f>
        <v>H</v>
      </c>
      <c r="E22" s="233">
        <v>1</v>
      </c>
      <c r="F22" s="82">
        <f>IF(A22="SINAPI",VLOOKUP(B22,SINAPI!A:D,4,0),(VLOOKUP(B22,SEINFRA!A:D,4,0)))</f>
        <v>27.31</v>
      </c>
      <c r="G22" s="234">
        <f>E22*F22</f>
        <v>27.31</v>
      </c>
    </row>
    <row r="23" spans="1:13" x14ac:dyDescent="0.2">
      <c r="A23" s="236" t="s">
        <v>15</v>
      </c>
      <c r="B23" s="79">
        <v>88247</v>
      </c>
      <c r="C23" s="85" t="str">
        <f>IF(A23="SINAPI",VLOOKUP(B23,SINAPI!A:D,2,0),(VLOOKUP(B23,SEINFRA!A:D,2,0)))</f>
        <v>AUXILIAR DE ELETRICISTA COM ENCARGOS COMPLEMENTARES</v>
      </c>
      <c r="D23" s="69" t="str">
        <f>IF(A23="SINAPI",VLOOKUP(B23,SINAPI!A:D,3,0),(VLOOKUP(B23,SEINFRA!A:D,3,0)))</f>
        <v>H</v>
      </c>
      <c r="E23" s="233">
        <v>0.5</v>
      </c>
      <c r="F23" s="82">
        <f>IF(A23="SINAPI",VLOOKUP(B23,SINAPI!A:D,4,0),(VLOOKUP(B23,SEINFRA!A:D,4,0)))</f>
        <v>23.22</v>
      </c>
      <c r="G23" s="234">
        <f>E23*F23</f>
        <v>11.61</v>
      </c>
    </row>
    <row r="24" spans="1:13" x14ac:dyDescent="0.2">
      <c r="A24" s="606" t="s">
        <v>39170</v>
      </c>
      <c r="B24" s="606"/>
      <c r="C24" s="606"/>
      <c r="D24" s="606"/>
      <c r="E24" s="606"/>
      <c r="F24" s="606"/>
      <c r="G24" s="222">
        <f>ROUND(SUM(G22:G23),2)</f>
        <v>38.92</v>
      </c>
    </row>
    <row r="25" spans="1:13" x14ac:dyDescent="0.2">
      <c r="A25" s="605" t="s">
        <v>39171</v>
      </c>
      <c r="B25" s="605"/>
      <c r="C25" s="605"/>
      <c r="D25" s="605"/>
      <c r="E25" s="605"/>
      <c r="F25" s="605"/>
      <c r="G25" s="605"/>
    </row>
    <row r="26" spans="1:13" ht="31.5" customHeight="1" x14ac:dyDescent="0.2">
      <c r="A26" s="223"/>
      <c r="B26" s="226" t="str">
        <f>COTACAO!B23</f>
        <v>COT 01</v>
      </c>
      <c r="C26" s="274" t="str">
        <f>COTACAO!C23</f>
        <v>LUMINÁRIA TIPO PLAFON REDONDA, DE EMBUTIR, COM LED DE 18 W</v>
      </c>
      <c r="D26" s="226" t="str">
        <f>COTACAO!I23</f>
        <v>UN</v>
      </c>
      <c r="E26" s="238">
        <v>1</v>
      </c>
      <c r="F26" s="238">
        <f>COTACAO!H23</f>
        <v>25.29</v>
      </c>
      <c r="G26" s="234">
        <f>E26*F26</f>
        <v>25.29</v>
      </c>
    </row>
    <row r="27" spans="1:13" x14ac:dyDescent="0.2">
      <c r="A27" s="606" t="s">
        <v>39172</v>
      </c>
      <c r="B27" s="606"/>
      <c r="C27" s="606"/>
      <c r="D27" s="606"/>
      <c r="E27" s="606"/>
      <c r="F27" s="606"/>
      <c r="G27" s="222">
        <f>ROUND(SUM(G26:G26),2)</f>
        <v>25.29</v>
      </c>
    </row>
    <row r="28" spans="1:13" x14ac:dyDescent="0.2">
      <c r="A28" s="607"/>
      <c r="B28" s="607"/>
      <c r="C28" s="607"/>
      <c r="D28" s="607"/>
      <c r="E28" s="607"/>
      <c r="F28" s="607"/>
      <c r="G28" s="607"/>
    </row>
    <row r="29" spans="1:13" x14ac:dyDescent="0.2">
      <c r="A29" s="608" t="s">
        <v>39173</v>
      </c>
      <c r="B29" s="608"/>
      <c r="C29" s="608"/>
      <c r="D29" s="608"/>
      <c r="E29" s="608"/>
      <c r="F29" s="608"/>
      <c r="G29" s="235">
        <f>ROUND(G24+G27,2)</f>
        <v>64.209999999999994</v>
      </c>
    </row>
    <row r="30" spans="1:13" x14ac:dyDescent="0.2">
      <c r="A30" s="608" t="s">
        <v>39174</v>
      </c>
      <c r="B30" s="608"/>
      <c r="C30" s="608"/>
      <c r="D30" s="608"/>
      <c r="E30" s="608"/>
      <c r="F30" s="608"/>
      <c r="G30" s="227" t="s">
        <v>39175</v>
      </c>
    </row>
    <row r="31" spans="1:13" x14ac:dyDescent="0.2">
      <c r="A31" s="608" t="s">
        <v>39176</v>
      </c>
      <c r="B31" s="608"/>
      <c r="C31" s="608"/>
      <c r="D31" s="608"/>
      <c r="E31" s="608"/>
      <c r="F31" s="608"/>
      <c r="G31" s="235">
        <v>0</v>
      </c>
    </row>
    <row r="32" spans="1:13" x14ac:dyDescent="0.2">
      <c r="A32" s="606" t="s">
        <v>39177</v>
      </c>
      <c r="B32" s="606"/>
      <c r="C32" s="606"/>
      <c r="D32" s="606"/>
      <c r="E32" s="606"/>
      <c r="F32" s="606"/>
      <c r="G32" s="228">
        <f>G29</f>
        <v>64.209999999999994</v>
      </c>
    </row>
    <row r="33" spans="1:7" x14ac:dyDescent="0.2">
      <c r="A33" s="229"/>
      <c r="B33" s="229"/>
      <c r="C33" s="229"/>
      <c r="D33" s="229"/>
      <c r="E33" s="229"/>
      <c r="F33" s="229"/>
      <c r="G33" s="230"/>
    </row>
    <row r="34" spans="1:7" x14ac:dyDescent="0.2">
      <c r="A34" s="601" t="str">
        <f>ORCAMENTO!A392</f>
        <v>BOA VIAGEM - CE, JULHO DE 2025</v>
      </c>
      <c r="B34" s="601"/>
      <c r="C34" s="602"/>
      <c r="D34" s="602"/>
      <c r="E34" s="602"/>
      <c r="F34" s="602"/>
      <c r="G34" s="602"/>
    </row>
  </sheetData>
  <mergeCells count="12">
    <mergeCell ref="A2:G2"/>
    <mergeCell ref="A24:F24"/>
    <mergeCell ref="A25:G25"/>
    <mergeCell ref="A27:F27"/>
    <mergeCell ref="A21:G21"/>
    <mergeCell ref="B19:E19"/>
    <mergeCell ref="A31:F31"/>
    <mergeCell ref="A32:F32"/>
    <mergeCell ref="A34:G34"/>
    <mergeCell ref="A28:G28"/>
    <mergeCell ref="A29:F29"/>
    <mergeCell ref="A30:F30"/>
  </mergeCells>
  <printOptions horizontalCentered="1"/>
  <pageMargins left="0.39370078740157483" right="0.39370078740157483" top="0.39370078740157483" bottom="0.78740157480314965" header="0.31496062992125984" footer="0.31496062992125984"/>
  <pageSetup paperSize="9" scale="76"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E52AB7-14D1-4F31-AFB4-97271BF85616}">
  <dimension ref="A1:M38"/>
  <sheetViews>
    <sheetView view="pageBreakPreview" zoomScale="115" zoomScaleNormal="100" zoomScaleSheetLayoutView="115" workbookViewId="0">
      <selection activeCell="A2" sqref="A2:G2"/>
    </sheetView>
  </sheetViews>
  <sheetFormatPr defaultRowHeight="12.75" x14ac:dyDescent="0.2"/>
  <cols>
    <col min="1" max="2" width="12.83203125" customWidth="1"/>
    <col min="3" max="3" width="65.83203125" customWidth="1"/>
    <col min="4" max="4" width="6.83203125" customWidth="1"/>
    <col min="5" max="7" width="10.83203125" customWidth="1"/>
  </cols>
  <sheetData>
    <row r="1" spans="1:13" x14ac:dyDescent="0.2">
      <c r="A1" s="218"/>
      <c r="B1" s="218"/>
      <c r="C1" s="218"/>
      <c r="D1" s="218"/>
      <c r="E1" s="218"/>
      <c r="F1" s="218"/>
      <c r="G1" s="218"/>
      <c r="H1" s="218"/>
      <c r="I1" s="218"/>
      <c r="J1" s="218"/>
      <c r="K1" s="218"/>
      <c r="L1" s="218"/>
      <c r="M1" s="218"/>
    </row>
    <row r="2" spans="1:13" x14ac:dyDescent="0.2">
      <c r="A2" s="603" t="str">
        <f>ORCAMENTO!A2</f>
        <v>INSTITUTO FEDERAL DE EDUCAÇÃO CIÊNCIA E TECNOLOGIA DO CEARÁ - CAMPUS BOA VIAGEM</v>
      </c>
      <c r="B2" s="603"/>
      <c r="C2" s="603"/>
      <c r="D2" s="603"/>
      <c r="E2" s="603"/>
      <c r="F2" s="603"/>
      <c r="G2" s="603"/>
      <c r="H2" s="232"/>
      <c r="I2" s="232"/>
      <c r="J2" s="232"/>
      <c r="K2" s="232"/>
      <c r="L2" s="232"/>
      <c r="M2" s="232"/>
    </row>
    <row r="3" spans="1:13" x14ac:dyDescent="0.2">
      <c r="A3" s="218"/>
      <c r="B3" s="218"/>
      <c r="C3" s="218"/>
      <c r="D3" s="218"/>
      <c r="E3" s="218"/>
      <c r="F3" s="218"/>
      <c r="G3" s="218"/>
      <c r="H3" s="218"/>
      <c r="I3" s="218"/>
      <c r="J3" s="218"/>
      <c r="K3" s="218"/>
      <c r="L3" s="218"/>
      <c r="M3" s="218"/>
    </row>
    <row r="4" spans="1:13" x14ac:dyDescent="0.2">
      <c r="A4" s="219" t="str">
        <f>ORCAMENTO!A4</f>
        <v>OBRA:</v>
      </c>
      <c r="B4" s="219"/>
      <c r="C4" s="218"/>
      <c r="D4" s="218"/>
      <c r="E4" s="218"/>
      <c r="F4" s="218"/>
      <c r="G4" s="218"/>
      <c r="H4" s="218"/>
      <c r="I4" s="218"/>
      <c r="J4" s="218"/>
      <c r="K4" s="218"/>
      <c r="L4" s="218"/>
      <c r="M4" s="218"/>
    </row>
    <row r="5" spans="1:13" x14ac:dyDescent="0.2">
      <c r="A5" s="218" t="str">
        <f>ORCAMENTO!A5</f>
        <v>CENTRO DE INOVAÇÃO E DIFUSÃO DE TECNOLOGIA PARA O SEMIÁRIDO - CAMPUS BOA VIAGEM</v>
      </c>
      <c r="B5" s="218"/>
      <c r="C5" s="218"/>
      <c r="D5" s="218"/>
      <c r="E5" s="218"/>
      <c r="F5" s="218"/>
      <c r="G5" s="218"/>
      <c r="H5" s="218"/>
      <c r="I5" s="218"/>
      <c r="J5" s="218"/>
      <c r="K5" s="218"/>
      <c r="L5" s="218"/>
      <c r="M5" s="218"/>
    </row>
    <row r="6" spans="1:13" x14ac:dyDescent="0.2">
      <c r="A6" s="219" t="str">
        <f>ORCAMENTO!A6</f>
        <v>LOCAL:</v>
      </c>
      <c r="B6" s="219"/>
      <c r="C6" s="218"/>
      <c r="D6" s="218"/>
      <c r="E6" s="218"/>
      <c r="F6" s="218"/>
      <c r="G6" s="218"/>
      <c r="H6" s="218"/>
      <c r="I6" s="218"/>
      <c r="J6" s="218"/>
      <c r="K6" s="218"/>
      <c r="L6" s="218"/>
      <c r="M6" s="218"/>
    </row>
    <row r="7" spans="1:13" x14ac:dyDescent="0.2">
      <c r="A7" s="218" t="str">
        <f>ORCAMENTO!A7</f>
        <v>SEDE DO MUNICÍPIO</v>
      </c>
      <c r="B7" s="218"/>
      <c r="C7" s="218"/>
      <c r="D7" s="218"/>
      <c r="E7" s="218"/>
      <c r="F7" s="218"/>
      <c r="G7" s="218"/>
      <c r="H7" s="218"/>
      <c r="I7" s="218"/>
      <c r="J7" s="218"/>
      <c r="K7" s="218"/>
      <c r="L7" s="218"/>
      <c r="M7" s="218"/>
    </row>
    <row r="8" spans="1:13" x14ac:dyDescent="0.2">
      <c r="A8" s="219" t="str">
        <f>ORCAMENTO!A8</f>
        <v>MUNICÍPIO:</v>
      </c>
      <c r="B8" s="219"/>
      <c r="C8" s="218"/>
      <c r="D8" s="218"/>
      <c r="E8" s="218"/>
      <c r="F8" s="218"/>
      <c r="G8" s="218"/>
      <c r="H8" s="218"/>
      <c r="I8" s="218"/>
      <c r="J8" s="218"/>
      <c r="K8" s="218"/>
      <c r="L8" s="218"/>
      <c r="M8" s="218"/>
    </row>
    <row r="9" spans="1:13" x14ac:dyDescent="0.2">
      <c r="A9" s="218" t="str">
        <f>ORCAMENTO!A9</f>
        <v>BOA VIAGEM - CE</v>
      </c>
      <c r="B9" s="218"/>
      <c r="C9" s="218"/>
      <c r="D9" s="218"/>
      <c r="E9" s="218"/>
      <c r="F9" s="218"/>
      <c r="G9" s="218"/>
      <c r="H9" s="218"/>
      <c r="I9" s="218"/>
      <c r="J9" s="218"/>
      <c r="K9" s="218"/>
      <c r="L9" s="218"/>
      <c r="M9" s="218"/>
    </row>
    <row r="10" spans="1:13" x14ac:dyDescent="0.2">
      <c r="A10" s="218"/>
      <c r="B10" s="218"/>
      <c r="C10" s="218"/>
      <c r="D10" s="218"/>
      <c r="E10" s="218"/>
      <c r="F10" s="218"/>
      <c r="G10" s="218"/>
      <c r="H10" s="218"/>
      <c r="I10" s="218"/>
      <c r="J10" s="218"/>
      <c r="K10" s="218"/>
      <c r="L10" s="218"/>
      <c r="M10" s="218"/>
    </row>
    <row r="11" spans="1:13" x14ac:dyDescent="0.2">
      <c r="A11" s="219" t="str">
        <f>ORCAMENTO!A11</f>
        <v>FONTE DOS PREÇOS:</v>
      </c>
      <c r="B11" s="219"/>
      <c r="C11" s="218"/>
      <c r="D11" s="218"/>
      <c r="E11" s="218"/>
      <c r="F11" s="218"/>
      <c r="G11" s="218"/>
      <c r="H11" s="218"/>
      <c r="I11" s="218"/>
      <c r="J11" s="218"/>
      <c r="K11" s="218"/>
      <c r="L11" s="218"/>
      <c r="M11" s="218"/>
    </row>
    <row r="12" spans="1:13" x14ac:dyDescent="0.2">
      <c r="A12" s="218" t="str">
        <f>ORCAMENTO!A12</f>
        <v>TABELA SEINFRA 028.1 DESONERADA</v>
      </c>
      <c r="B12" s="218"/>
      <c r="C12" s="218"/>
      <c r="D12" s="218"/>
      <c r="E12" s="218"/>
      <c r="F12" s="218"/>
      <c r="G12" s="218"/>
      <c r="H12" s="218"/>
      <c r="I12" s="218"/>
      <c r="J12" s="218"/>
      <c r="K12" s="218"/>
      <c r="L12" s="218"/>
      <c r="M12" s="218"/>
    </row>
    <row r="13" spans="1:13" x14ac:dyDescent="0.2">
      <c r="A13" s="218"/>
      <c r="B13" s="218"/>
      <c r="C13" s="218" t="str">
        <f>ORCAMENTO!B13</f>
        <v>DATA REFERÊNCIA TÉCNICA: 10/2023</v>
      </c>
      <c r="D13" s="218"/>
      <c r="E13" s="218"/>
      <c r="F13" s="218"/>
      <c r="G13" s="218"/>
      <c r="H13" s="218"/>
      <c r="I13" s="218"/>
      <c r="J13" s="218"/>
      <c r="K13" s="218"/>
      <c r="L13" s="218"/>
      <c r="M13" s="218"/>
    </row>
    <row r="14" spans="1:13" x14ac:dyDescent="0.2">
      <c r="A14" s="218"/>
      <c r="B14" s="218"/>
      <c r="C14" s="218" t="str">
        <f>ORCAMENTO!B14</f>
        <v>ENCARGOS SOCIAIS: 84,44% (HORA) - 47,48% (MÊS)</v>
      </c>
      <c r="D14" s="218"/>
      <c r="E14" s="218"/>
      <c r="F14" s="218"/>
      <c r="G14" s="218"/>
      <c r="H14" s="218"/>
      <c r="I14" s="218"/>
      <c r="J14" s="218"/>
      <c r="K14" s="218"/>
      <c r="L14" s="218"/>
      <c r="M14" s="218"/>
    </row>
    <row r="15" spans="1:13" x14ac:dyDescent="0.2">
      <c r="A15" s="218" t="str">
        <f>ORCAMENTO!A15</f>
        <v>TABELA SINAPI 06/2025 DESONERADA</v>
      </c>
      <c r="B15" s="218"/>
      <c r="C15" s="218"/>
      <c r="D15" s="218"/>
      <c r="E15" s="218"/>
      <c r="F15" s="218"/>
      <c r="G15" s="218"/>
      <c r="H15" s="218"/>
      <c r="I15" s="218"/>
      <c r="J15" s="218"/>
      <c r="K15" s="218"/>
      <c r="L15" s="218"/>
      <c r="M15" s="218"/>
    </row>
    <row r="16" spans="1:13" x14ac:dyDescent="0.2">
      <c r="A16" s="218"/>
      <c r="B16" s="218"/>
      <c r="C16" s="218" t="str">
        <f>ORCAMENTO!B16</f>
        <v>DATA REFERÊNCIA TÉCNICA: 06/2025</v>
      </c>
      <c r="D16" s="218"/>
      <c r="E16" s="218"/>
      <c r="F16" s="218"/>
      <c r="G16" s="218"/>
      <c r="H16" s="218"/>
      <c r="I16" s="218"/>
      <c r="J16" s="218"/>
      <c r="K16" s="218"/>
      <c r="L16" s="218"/>
      <c r="M16" s="218"/>
    </row>
    <row r="17" spans="1:13" x14ac:dyDescent="0.2">
      <c r="A17" s="218"/>
      <c r="B17" s="218"/>
      <c r="C17" s="218" t="str">
        <f>ORCAMENTO!B17</f>
        <v>ENCARGOS SOCIAIS: 92,17% (HORA) - 53,50% (MÊS)</v>
      </c>
      <c r="D17" s="218"/>
      <c r="E17" s="218"/>
      <c r="F17" s="218"/>
      <c r="G17" s="218"/>
      <c r="H17" s="218"/>
      <c r="I17" s="218"/>
      <c r="J17" s="218"/>
      <c r="K17" s="218"/>
      <c r="L17" s="218"/>
      <c r="M17" s="218"/>
    </row>
    <row r="20" spans="1:13" ht="27.75" customHeight="1" x14ac:dyDescent="0.2">
      <c r="A20" s="275" t="s">
        <v>39210</v>
      </c>
      <c r="B20" s="604" t="s">
        <v>39185</v>
      </c>
      <c r="C20" s="604"/>
      <c r="D20" s="604"/>
      <c r="E20" s="604"/>
      <c r="F20" s="275" t="s">
        <v>39196</v>
      </c>
      <c r="G20" s="275" t="s">
        <v>26</v>
      </c>
      <c r="H20" s="231"/>
      <c r="I20" s="231"/>
      <c r="J20" s="231"/>
      <c r="K20" s="231"/>
      <c r="L20" s="231"/>
      <c r="M20" s="231"/>
    </row>
    <row r="21" spans="1:13" x14ac:dyDescent="0.2">
      <c r="A21" s="220" t="s">
        <v>39178</v>
      </c>
      <c r="B21" s="220" t="s">
        <v>52</v>
      </c>
      <c r="C21" s="220" t="s">
        <v>5917</v>
      </c>
      <c r="D21" s="220" t="s">
        <v>5</v>
      </c>
      <c r="E21" s="220" t="s">
        <v>39166</v>
      </c>
      <c r="F21" s="220" t="s">
        <v>39167</v>
      </c>
      <c r="G21" s="221" t="s">
        <v>39168</v>
      </c>
    </row>
    <row r="22" spans="1:13" x14ac:dyDescent="0.2">
      <c r="A22" s="605" t="s">
        <v>39169</v>
      </c>
      <c r="B22" s="605"/>
      <c r="C22" s="605"/>
      <c r="D22" s="605"/>
      <c r="E22" s="605"/>
      <c r="F22" s="605"/>
      <c r="G22" s="605"/>
    </row>
    <row r="23" spans="1:13" ht="25.5" x14ac:dyDescent="0.2">
      <c r="A23" s="236" t="s">
        <v>15</v>
      </c>
      <c r="B23" s="79">
        <v>88267</v>
      </c>
      <c r="C23" s="85" t="str">
        <f>IF(A23="SINAPI",VLOOKUP(B23,SINAPI!A:D,2,0),(VLOOKUP(B23,SEINFRA!A:D,2,0)))</f>
        <v>ENCANADOR OU BOMBEIRO HIDRÁULICO COM ENCARGOS COMPLEMENTARES</v>
      </c>
      <c r="D23" s="69" t="str">
        <f>IF(A23="SINAPI",VLOOKUP(B23,SINAPI!A:D,3,0),(VLOOKUP(B23,SEINFRA!A:D,3,0)))</f>
        <v>H</v>
      </c>
      <c r="E23" s="239">
        <v>0.2175</v>
      </c>
      <c r="F23" s="82">
        <f>IF(A23="SINAPI",VLOOKUP(B23,SINAPI!A:D,4,0),(VLOOKUP(B23,SEINFRA!A:D,4,0)))</f>
        <v>26.27</v>
      </c>
      <c r="G23" s="234">
        <f>E23*F23</f>
        <v>5.7137250000000002</v>
      </c>
    </row>
    <row r="24" spans="1:13" ht="25.5" x14ac:dyDescent="0.2">
      <c r="A24" s="236" t="s">
        <v>15</v>
      </c>
      <c r="B24" s="79">
        <v>88248</v>
      </c>
      <c r="C24" s="85" t="str">
        <f>IF(A24="SINAPI",VLOOKUP(B24,SINAPI!A:D,2,0),(VLOOKUP(B24,SEINFRA!A:D,2,0)))</f>
        <v>AUXILIAR DE ENCANADOR OU BOMBEIRO HIDRÁULICO COM ENCARGOS COMPLEMENTARES</v>
      </c>
      <c r="D24" s="69" t="str">
        <f>IF(A24="SINAPI",VLOOKUP(B24,SINAPI!A:D,3,0),(VLOOKUP(B24,SEINFRA!A:D,3,0)))</f>
        <v>H</v>
      </c>
      <c r="E24" s="239">
        <v>0.2175</v>
      </c>
      <c r="F24" s="82">
        <f>IF(A24="SINAPI",VLOOKUP(B24,SINAPI!A:D,4,0),(VLOOKUP(B24,SEINFRA!A:D,4,0)))</f>
        <v>22.26</v>
      </c>
      <c r="G24" s="234">
        <f>E24*F24</f>
        <v>4.8415500000000007</v>
      </c>
    </row>
    <row r="25" spans="1:13" x14ac:dyDescent="0.2">
      <c r="A25" s="606" t="s">
        <v>39170</v>
      </c>
      <c r="B25" s="606"/>
      <c r="C25" s="606"/>
      <c r="D25" s="606"/>
      <c r="E25" s="606"/>
      <c r="F25" s="606"/>
      <c r="G25" s="222">
        <f>ROUND(SUM(G23:G24),2)</f>
        <v>10.56</v>
      </c>
    </row>
    <row r="26" spans="1:13" x14ac:dyDescent="0.2">
      <c r="A26" s="605" t="s">
        <v>39171</v>
      </c>
      <c r="B26" s="605"/>
      <c r="C26" s="605"/>
      <c r="D26" s="605"/>
      <c r="E26" s="605"/>
      <c r="F26" s="605"/>
      <c r="G26" s="605"/>
    </row>
    <row r="27" spans="1:13" x14ac:dyDescent="0.2">
      <c r="A27" s="223"/>
      <c r="B27" s="226" t="str">
        <f>COTACAO!B28</f>
        <v>COT 02</v>
      </c>
      <c r="C27" s="224" t="str">
        <f>COTACAO!C28</f>
        <v>RALO SEMIESFÉRICO 100 MM</v>
      </c>
      <c r="D27" s="226" t="str">
        <f>COTACAO!I28</f>
        <v>UN</v>
      </c>
      <c r="E27" s="240">
        <v>1</v>
      </c>
      <c r="F27" s="238">
        <f>COTACAO!H28</f>
        <v>31.09</v>
      </c>
      <c r="G27" s="234">
        <f>E27*F27</f>
        <v>31.09</v>
      </c>
    </row>
    <row r="28" spans="1:13" ht="15" customHeight="1" x14ac:dyDescent="0.2">
      <c r="A28" s="236" t="s">
        <v>15</v>
      </c>
      <c r="B28" s="226">
        <v>122</v>
      </c>
      <c r="C28" s="85" t="str">
        <f>IF(A28="SINAPI",VLOOKUP(B28,SINAPI!A:D,2,0),(VLOOKUP(B28,SEINFRA!A:D,2,0)))</f>
        <v>ADESIVO PLASTICO PARA PVC, FRASCO COM *850* GR</v>
      </c>
      <c r="D28" s="69" t="str">
        <f>IF(A28="SINAPI",VLOOKUP(B28,SINAPI!A:D,3,0),(VLOOKUP(B28,SEINFRA!A:D,3,0)))</f>
        <v>UN</v>
      </c>
      <c r="E28" s="239">
        <v>2.92E-2</v>
      </c>
      <c r="F28" s="82">
        <f>IF(A28="SINAPI",VLOOKUP(B28,SINAPI!A:D,4,0),(VLOOKUP(B28,SEINFRA!A:D,4,0)))</f>
        <v>64.94</v>
      </c>
      <c r="G28" s="234">
        <f>E28*F28</f>
        <v>1.8962479999999999</v>
      </c>
    </row>
    <row r="29" spans="1:13" x14ac:dyDescent="0.2">
      <c r="A29" s="236" t="s">
        <v>15</v>
      </c>
      <c r="B29" s="226">
        <v>38383</v>
      </c>
      <c r="C29" s="85" t="str">
        <f>IF(A29="SINAPI",VLOOKUP(B29,SINAPI!A:D,2,0),(VLOOKUP(B29,SEINFRA!A:D,2,0)))</f>
        <v>LIXA D'AGUA EM FOLHA, COR PRETA, GRAO 100</v>
      </c>
      <c r="D29" s="69" t="str">
        <f>IF(A29="SINAPI",VLOOKUP(B29,SINAPI!A:D,3,0),(VLOOKUP(B29,SEINFRA!A:D,3,0)))</f>
        <v>UN</v>
      </c>
      <c r="E29" s="239">
        <v>6.7999999999999996E-3</v>
      </c>
      <c r="F29" s="82">
        <f>IF(A29="SINAPI",VLOOKUP(B29,SINAPI!A:D,4,0),(VLOOKUP(B29,SEINFRA!A:D,4,0)))</f>
        <v>1.65</v>
      </c>
      <c r="G29" s="234">
        <f t="shared" ref="G29:G30" si="0">E29*F29</f>
        <v>1.1219999999999999E-2</v>
      </c>
    </row>
    <row r="30" spans="1:13" ht="25.5" x14ac:dyDescent="0.2">
      <c r="A30" s="236" t="s">
        <v>15</v>
      </c>
      <c r="B30" s="226">
        <v>20083</v>
      </c>
      <c r="C30" s="85" t="str">
        <f>IF(A30="SINAPI",VLOOKUP(B30,SINAPI!A:D,2,0),(VLOOKUP(B30,SEINFRA!A:D,2,0)))</f>
        <v>SOLUCAO PREPARADORA / LIMPADORA PARA PVC, FRASCO COM 1000 CM3</v>
      </c>
      <c r="D30" s="69" t="str">
        <f>IF(A30="SINAPI",VLOOKUP(B30,SINAPI!A:D,3,0),(VLOOKUP(B30,SEINFRA!A:D,3,0)))</f>
        <v>UN</v>
      </c>
      <c r="E30" s="239">
        <v>4.3999999999999997E-2</v>
      </c>
      <c r="F30" s="82">
        <f>IF(A30="SINAPI",VLOOKUP(B30,SINAPI!A:D,4,0),(VLOOKUP(B30,SEINFRA!A:D,4,0)))</f>
        <v>73.569999999999993</v>
      </c>
      <c r="G30" s="234">
        <f t="shared" si="0"/>
        <v>3.2370799999999993</v>
      </c>
    </row>
    <row r="31" spans="1:13" x14ac:dyDescent="0.2">
      <c r="A31" s="606" t="s">
        <v>39172</v>
      </c>
      <c r="B31" s="606"/>
      <c r="C31" s="606"/>
      <c r="D31" s="606"/>
      <c r="E31" s="606"/>
      <c r="F31" s="606"/>
      <c r="G31" s="222">
        <f>ROUND(SUM(G27:G30),2)</f>
        <v>36.229999999999997</v>
      </c>
    </row>
    <row r="32" spans="1:13" x14ac:dyDescent="0.2">
      <c r="A32" s="607"/>
      <c r="B32" s="607"/>
      <c r="C32" s="607"/>
      <c r="D32" s="607"/>
      <c r="E32" s="607"/>
      <c r="F32" s="607"/>
      <c r="G32" s="607"/>
    </row>
    <row r="33" spans="1:7" x14ac:dyDescent="0.2">
      <c r="A33" s="608" t="s">
        <v>39173</v>
      </c>
      <c r="B33" s="608"/>
      <c r="C33" s="608"/>
      <c r="D33" s="608"/>
      <c r="E33" s="608"/>
      <c r="F33" s="608"/>
      <c r="G33" s="235">
        <f>ROUND(G25+G31,2)</f>
        <v>46.79</v>
      </c>
    </row>
    <row r="34" spans="1:7" x14ac:dyDescent="0.2">
      <c r="A34" s="608" t="s">
        <v>39174</v>
      </c>
      <c r="B34" s="608"/>
      <c r="C34" s="608"/>
      <c r="D34" s="608"/>
      <c r="E34" s="608"/>
      <c r="F34" s="608"/>
      <c r="G34" s="227" t="s">
        <v>39175</v>
      </c>
    </row>
    <row r="35" spans="1:7" x14ac:dyDescent="0.2">
      <c r="A35" s="608" t="s">
        <v>39176</v>
      </c>
      <c r="B35" s="608"/>
      <c r="C35" s="608"/>
      <c r="D35" s="608"/>
      <c r="E35" s="608"/>
      <c r="F35" s="608"/>
      <c r="G35" s="235">
        <v>0</v>
      </c>
    </row>
    <row r="36" spans="1:7" x14ac:dyDescent="0.2">
      <c r="A36" s="606" t="s">
        <v>39177</v>
      </c>
      <c r="B36" s="606"/>
      <c r="C36" s="606"/>
      <c r="D36" s="606"/>
      <c r="E36" s="606"/>
      <c r="F36" s="606"/>
      <c r="G36" s="228">
        <f>G33</f>
        <v>46.79</v>
      </c>
    </row>
    <row r="37" spans="1:7" x14ac:dyDescent="0.2">
      <c r="A37" s="229"/>
      <c r="B37" s="229"/>
      <c r="C37" s="229"/>
      <c r="D37" s="229"/>
      <c r="E37" s="229"/>
      <c r="F37" s="229"/>
      <c r="G37" s="230"/>
    </row>
    <row r="38" spans="1:7" x14ac:dyDescent="0.2">
      <c r="A38" s="601" t="str">
        <f>ORCAMENTO!A392</f>
        <v>BOA VIAGEM - CE, JULHO DE 2025</v>
      </c>
      <c r="B38" s="601"/>
      <c r="C38" s="602"/>
      <c r="D38" s="602"/>
      <c r="E38" s="602"/>
      <c r="F38" s="602"/>
      <c r="G38" s="602"/>
    </row>
  </sheetData>
  <mergeCells count="12">
    <mergeCell ref="A2:G2"/>
    <mergeCell ref="B20:E20"/>
    <mergeCell ref="A38:G38"/>
    <mergeCell ref="A22:G22"/>
    <mergeCell ref="A25:F25"/>
    <mergeCell ref="A26:G26"/>
    <mergeCell ref="A31:F31"/>
    <mergeCell ref="A32:G32"/>
    <mergeCell ref="A33:F33"/>
    <mergeCell ref="A34:F34"/>
    <mergeCell ref="A35:F35"/>
    <mergeCell ref="A36:F36"/>
  </mergeCells>
  <printOptions horizontalCentered="1"/>
  <pageMargins left="0.39370078740157483" right="0.39370078740157483" top="0.39370078740157483" bottom="0.78740157480314965" header="0.31496062992125984" footer="0.31496062992125984"/>
  <pageSetup paperSize="9" scale="76"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6981EB-4ADF-402F-9234-86E5768ACAEC}">
  <dimension ref="A1:M35"/>
  <sheetViews>
    <sheetView view="pageBreakPreview" zoomScale="130" zoomScaleNormal="100" zoomScaleSheetLayoutView="130" workbookViewId="0">
      <selection activeCell="A2" sqref="A2:G2"/>
    </sheetView>
  </sheetViews>
  <sheetFormatPr defaultRowHeight="12.75" x14ac:dyDescent="0.2"/>
  <cols>
    <col min="1" max="1" width="12.6640625" customWidth="1"/>
    <col min="2" max="2" width="11.6640625" customWidth="1"/>
    <col min="3" max="3" width="75.83203125" customWidth="1"/>
    <col min="4" max="4" width="5.83203125" customWidth="1"/>
    <col min="5" max="5" width="9" bestFit="1" customWidth="1"/>
    <col min="6" max="6" width="10" bestFit="1" customWidth="1"/>
    <col min="7" max="7" width="11.83203125" customWidth="1"/>
  </cols>
  <sheetData>
    <row r="1" spans="1:13" x14ac:dyDescent="0.2">
      <c r="A1" s="218"/>
      <c r="B1" s="218"/>
      <c r="C1" s="218"/>
      <c r="D1" s="218"/>
      <c r="E1" s="218"/>
      <c r="F1" s="218"/>
      <c r="G1" s="218"/>
      <c r="H1" s="218"/>
      <c r="I1" s="218"/>
      <c r="J1" s="218"/>
      <c r="K1" s="218"/>
      <c r="L1" s="218"/>
      <c r="M1" s="218"/>
    </row>
    <row r="2" spans="1:13" x14ac:dyDescent="0.2">
      <c r="A2" s="603" t="str">
        <f>ORCAMENTO!A2</f>
        <v>INSTITUTO FEDERAL DE EDUCAÇÃO CIÊNCIA E TECNOLOGIA DO CEARÁ - CAMPUS BOA VIAGEM</v>
      </c>
      <c r="B2" s="603"/>
      <c r="C2" s="603"/>
      <c r="D2" s="603"/>
      <c r="E2" s="603"/>
      <c r="F2" s="603"/>
      <c r="G2" s="603"/>
      <c r="H2" s="232"/>
      <c r="I2" s="232"/>
      <c r="J2" s="232"/>
      <c r="K2" s="232"/>
      <c r="L2" s="232"/>
      <c r="M2" s="232"/>
    </row>
    <row r="3" spans="1:13" x14ac:dyDescent="0.2">
      <c r="A3" s="218"/>
      <c r="B3" s="218"/>
      <c r="C3" s="218"/>
      <c r="D3" s="218"/>
      <c r="E3" s="218"/>
      <c r="F3" s="218"/>
      <c r="G3" s="218"/>
      <c r="H3" s="218"/>
      <c r="I3" s="218"/>
      <c r="J3" s="218"/>
      <c r="K3" s="218"/>
      <c r="L3" s="218"/>
      <c r="M3" s="218"/>
    </row>
    <row r="4" spans="1:13" x14ac:dyDescent="0.2">
      <c r="A4" s="219" t="str">
        <f>ORCAMENTO!A4</f>
        <v>OBRA:</v>
      </c>
      <c r="B4" s="219"/>
      <c r="C4" s="218"/>
      <c r="D4" s="218"/>
      <c r="E4" s="218"/>
      <c r="F4" s="218"/>
      <c r="G4" s="218"/>
      <c r="H4" s="218"/>
      <c r="I4" s="218"/>
      <c r="J4" s="218"/>
      <c r="K4" s="218"/>
      <c r="L4" s="218"/>
      <c r="M4" s="218"/>
    </row>
    <row r="5" spans="1:13" x14ac:dyDescent="0.2">
      <c r="A5" s="218" t="str">
        <f>ORCAMENTO!A5</f>
        <v>CENTRO DE INOVAÇÃO E DIFUSÃO DE TECNOLOGIA PARA O SEMIÁRIDO - CAMPUS BOA VIAGEM</v>
      </c>
      <c r="B5" s="218"/>
      <c r="C5" s="218"/>
      <c r="D5" s="218"/>
      <c r="E5" s="218"/>
      <c r="F5" s="218"/>
      <c r="G5" s="218"/>
      <c r="H5" s="218"/>
      <c r="I5" s="218"/>
      <c r="J5" s="218"/>
      <c r="K5" s="218"/>
      <c r="L5" s="218"/>
      <c r="M5" s="218"/>
    </row>
    <row r="6" spans="1:13" x14ac:dyDescent="0.2">
      <c r="A6" s="219" t="str">
        <f>ORCAMENTO!A6</f>
        <v>LOCAL:</v>
      </c>
      <c r="B6" s="219"/>
      <c r="C6" s="218"/>
      <c r="D6" s="218"/>
      <c r="E6" s="218"/>
      <c r="F6" s="218"/>
      <c r="G6" s="218"/>
      <c r="H6" s="218"/>
      <c r="I6" s="218"/>
      <c r="J6" s="218"/>
      <c r="K6" s="218"/>
      <c r="L6" s="218"/>
      <c r="M6" s="218"/>
    </row>
    <row r="7" spans="1:13" x14ac:dyDescent="0.2">
      <c r="A7" s="218" t="str">
        <f>ORCAMENTO!A7</f>
        <v>SEDE DO MUNICÍPIO</v>
      </c>
      <c r="B7" s="218"/>
      <c r="C7" s="218"/>
      <c r="D7" s="218"/>
      <c r="E7" s="218"/>
      <c r="F7" s="218"/>
      <c r="G7" s="218"/>
      <c r="H7" s="218"/>
      <c r="I7" s="218"/>
      <c r="J7" s="218"/>
      <c r="K7" s="218"/>
      <c r="L7" s="218"/>
      <c r="M7" s="218"/>
    </row>
    <row r="8" spans="1:13" x14ac:dyDescent="0.2">
      <c r="A8" s="219" t="str">
        <f>ORCAMENTO!A8</f>
        <v>MUNICÍPIO:</v>
      </c>
      <c r="B8" s="219"/>
      <c r="C8" s="218"/>
      <c r="D8" s="218"/>
      <c r="E8" s="218"/>
      <c r="F8" s="218"/>
      <c r="G8" s="218"/>
      <c r="H8" s="218"/>
      <c r="I8" s="218"/>
      <c r="J8" s="218"/>
      <c r="K8" s="218"/>
      <c r="L8" s="218"/>
      <c r="M8" s="218"/>
    </row>
    <row r="9" spans="1:13" x14ac:dyDescent="0.2">
      <c r="A9" s="218" t="str">
        <f>ORCAMENTO!A9</f>
        <v>BOA VIAGEM - CE</v>
      </c>
      <c r="B9" s="218"/>
      <c r="C9" s="218"/>
      <c r="D9" s="218"/>
      <c r="E9" s="218"/>
      <c r="F9" s="218"/>
      <c r="G9" s="218"/>
      <c r="H9" s="218"/>
      <c r="I9" s="218"/>
      <c r="J9" s="218"/>
      <c r="K9" s="218"/>
      <c r="L9" s="218"/>
      <c r="M9" s="218"/>
    </row>
    <row r="10" spans="1:13" x14ac:dyDescent="0.2">
      <c r="A10" s="218"/>
      <c r="B10" s="218"/>
      <c r="C10" s="218"/>
      <c r="D10" s="218"/>
      <c r="E10" s="218"/>
      <c r="F10" s="218"/>
      <c r="G10" s="218"/>
      <c r="H10" s="218"/>
      <c r="I10" s="218"/>
      <c r="J10" s="218"/>
      <c r="K10" s="218"/>
      <c r="L10" s="218"/>
      <c r="M10" s="218"/>
    </row>
    <row r="11" spans="1:13" x14ac:dyDescent="0.2">
      <c r="A11" s="219" t="str">
        <f>ORCAMENTO!A11</f>
        <v>FONTE DOS PREÇOS:</v>
      </c>
      <c r="B11" s="219"/>
      <c r="C11" s="218"/>
      <c r="D11" s="218"/>
      <c r="E11" s="218"/>
      <c r="F11" s="218"/>
      <c r="G11" s="218"/>
      <c r="H11" s="218"/>
      <c r="I11" s="218"/>
      <c r="J11" s="218"/>
      <c r="K11" s="218"/>
      <c r="L11" s="218"/>
      <c r="M11" s="218"/>
    </row>
    <row r="12" spans="1:13" x14ac:dyDescent="0.2">
      <c r="A12" s="218" t="str">
        <f>ORCAMENTO!A12</f>
        <v>TABELA SEINFRA 028.1 DESONERADA</v>
      </c>
      <c r="B12" s="218"/>
      <c r="C12" s="218"/>
      <c r="D12" s="218"/>
      <c r="E12" s="218"/>
      <c r="F12" s="218"/>
      <c r="G12" s="218"/>
      <c r="H12" s="218"/>
      <c r="I12" s="218"/>
      <c r="J12" s="218"/>
      <c r="K12" s="218"/>
      <c r="L12" s="218"/>
      <c r="M12" s="218"/>
    </row>
    <row r="13" spans="1:13" x14ac:dyDescent="0.2">
      <c r="A13" s="218"/>
      <c r="B13" s="218"/>
      <c r="C13" s="218" t="str">
        <f>ORCAMENTO!B13</f>
        <v>DATA REFERÊNCIA TÉCNICA: 10/2023</v>
      </c>
      <c r="D13" s="218"/>
      <c r="E13" s="218"/>
      <c r="F13" s="218"/>
      <c r="G13" s="218"/>
      <c r="H13" s="218"/>
      <c r="I13" s="218"/>
      <c r="J13" s="218"/>
      <c r="K13" s="218"/>
      <c r="L13" s="218"/>
      <c r="M13" s="218"/>
    </row>
    <row r="14" spans="1:13" x14ac:dyDescent="0.2">
      <c r="A14" s="218"/>
      <c r="B14" s="218"/>
      <c r="C14" s="218" t="str">
        <f>ORCAMENTO!B14</f>
        <v>ENCARGOS SOCIAIS: 84,44% (HORA) - 47,48% (MÊS)</v>
      </c>
      <c r="D14" s="218"/>
      <c r="E14" s="218"/>
      <c r="F14" s="218"/>
      <c r="G14" s="218"/>
      <c r="H14" s="218"/>
      <c r="I14" s="218"/>
      <c r="J14" s="218"/>
      <c r="K14" s="218"/>
      <c r="L14" s="218"/>
      <c r="M14" s="218"/>
    </row>
    <row r="15" spans="1:13" x14ac:dyDescent="0.2">
      <c r="A15" s="218" t="str">
        <f>ORCAMENTO!A15</f>
        <v>TABELA SINAPI 06/2025 DESONERADA</v>
      </c>
      <c r="B15" s="218"/>
      <c r="C15" s="218"/>
      <c r="D15" s="218"/>
      <c r="E15" s="218"/>
      <c r="F15" s="218"/>
      <c r="G15" s="218"/>
      <c r="H15" s="218"/>
      <c r="I15" s="218"/>
      <c r="J15" s="218"/>
      <c r="K15" s="218"/>
      <c r="L15" s="218"/>
      <c r="M15" s="218"/>
    </row>
    <row r="16" spans="1:13" x14ac:dyDescent="0.2">
      <c r="A16" s="218"/>
      <c r="B16" s="218"/>
      <c r="C16" s="218" t="str">
        <f>ORCAMENTO!B16</f>
        <v>DATA REFERÊNCIA TÉCNICA: 06/2025</v>
      </c>
      <c r="D16" s="218"/>
      <c r="E16" s="218"/>
      <c r="F16" s="218"/>
      <c r="G16" s="218"/>
      <c r="H16" s="218"/>
      <c r="I16" s="218"/>
      <c r="J16" s="218"/>
      <c r="K16" s="218"/>
      <c r="L16" s="218"/>
      <c r="M16" s="218"/>
    </row>
    <row r="17" spans="1:13" x14ac:dyDescent="0.2">
      <c r="A17" s="218"/>
      <c r="B17" s="218"/>
      <c r="C17" s="218" t="str">
        <f>ORCAMENTO!B17</f>
        <v>ENCARGOS SOCIAIS: 92,17% (HORA) - 53,50% (MÊS)</v>
      </c>
      <c r="D17" s="218"/>
      <c r="E17" s="218"/>
      <c r="F17" s="218"/>
      <c r="G17" s="218"/>
      <c r="H17" s="218"/>
      <c r="I17" s="218"/>
      <c r="J17" s="218"/>
      <c r="K17" s="218"/>
      <c r="L17" s="218"/>
      <c r="M17" s="218"/>
    </row>
    <row r="18" spans="1:13" x14ac:dyDescent="0.2">
      <c r="A18" s="218"/>
    </row>
    <row r="19" spans="1:13" ht="35.1" customHeight="1" x14ac:dyDescent="0.2">
      <c r="A19" s="244" t="s">
        <v>39211</v>
      </c>
      <c r="B19" s="609" t="s">
        <v>47144</v>
      </c>
      <c r="C19" s="610"/>
      <c r="D19" s="610"/>
      <c r="E19" s="611"/>
      <c r="F19" s="275" t="s">
        <v>39196</v>
      </c>
      <c r="G19" s="275" t="s">
        <v>0</v>
      </c>
      <c r="H19" s="231"/>
      <c r="I19" s="231"/>
      <c r="J19" s="231"/>
      <c r="K19" s="231"/>
      <c r="L19" s="231"/>
      <c r="M19" s="231"/>
    </row>
    <row r="20" spans="1:13" x14ac:dyDescent="0.2">
      <c r="A20" s="220" t="s">
        <v>39178</v>
      </c>
      <c r="B20" s="220" t="s">
        <v>52</v>
      </c>
      <c r="C20" s="220" t="s">
        <v>5917</v>
      </c>
      <c r="D20" s="220" t="s">
        <v>5</v>
      </c>
      <c r="E20" s="220" t="s">
        <v>39166</v>
      </c>
      <c r="F20" s="220" t="s">
        <v>39167</v>
      </c>
      <c r="G20" s="221" t="s">
        <v>39168</v>
      </c>
    </row>
    <row r="21" spans="1:13" x14ac:dyDescent="0.2">
      <c r="A21" s="605" t="s">
        <v>39169</v>
      </c>
      <c r="B21" s="605"/>
      <c r="C21" s="605"/>
      <c r="D21" s="605"/>
      <c r="E21" s="605"/>
      <c r="F21" s="605"/>
      <c r="G21" s="605"/>
    </row>
    <row r="22" spans="1:13" x14ac:dyDescent="0.2">
      <c r="A22" s="236" t="s">
        <v>15</v>
      </c>
      <c r="B22" s="79">
        <v>88264</v>
      </c>
      <c r="C22" s="85" t="str">
        <f>IF(A22="SINAPI",VLOOKUP(B22,SINAPI!A:D,2,0),(VLOOKUP(B22,SEINFRA!A:D,2,0)))</f>
        <v>ELETRICISTA COM ENCARGOS COMPLEMENTARES</v>
      </c>
      <c r="D22" s="69" t="str">
        <f>IF(A22="SINAPI",VLOOKUP(B22,SINAPI!A:D,3,0),(VLOOKUP(B22,SEINFRA!A:D,3,0)))</f>
        <v>H</v>
      </c>
      <c r="E22" s="442">
        <v>0.15</v>
      </c>
      <c r="F22" s="82">
        <f>IF(A22="SINAPI",VLOOKUP(B22,SINAPI!A:D,4,0),(VLOOKUP(B22,SEINFRA!A:D,4,0)))</f>
        <v>27.31</v>
      </c>
      <c r="G22" s="234">
        <f>E22*F22</f>
        <v>4.0964999999999998</v>
      </c>
    </row>
    <row r="23" spans="1:13" x14ac:dyDescent="0.2">
      <c r="A23" s="236" t="s">
        <v>15</v>
      </c>
      <c r="B23" s="79">
        <v>88247</v>
      </c>
      <c r="C23" s="85" t="str">
        <f>IF(A23="SINAPI",VLOOKUP(B23,SINAPI!A:D,2,0),(VLOOKUP(B23,SEINFRA!A:D,2,0)))</f>
        <v>AUXILIAR DE ELETRICISTA COM ENCARGOS COMPLEMENTARES</v>
      </c>
      <c r="D23" s="69" t="str">
        <f>IF(A23="SINAPI",VLOOKUP(B23,SINAPI!A:D,3,0),(VLOOKUP(B23,SEINFRA!A:D,3,0)))</f>
        <v>H</v>
      </c>
      <c r="E23" s="442">
        <v>0.15</v>
      </c>
      <c r="F23" s="82">
        <f>IF(A23="SINAPI",VLOOKUP(B23,SINAPI!A:D,4,0),(VLOOKUP(B23,SEINFRA!A:D,4,0)))</f>
        <v>23.22</v>
      </c>
      <c r="G23" s="234">
        <f>E23*F23</f>
        <v>3.4829999999999997</v>
      </c>
    </row>
    <row r="24" spans="1:13" x14ac:dyDescent="0.2">
      <c r="A24" s="606" t="s">
        <v>39170</v>
      </c>
      <c r="B24" s="606"/>
      <c r="C24" s="606"/>
      <c r="D24" s="606"/>
      <c r="E24" s="606"/>
      <c r="F24" s="606"/>
      <c r="G24" s="222">
        <f>ROUND(SUM(G22:G23),2)</f>
        <v>7.58</v>
      </c>
    </row>
    <row r="25" spans="1:13" x14ac:dyDescent="0.2">
      <c r="A25" s="605" t="s">
        <v>39171</v>
      </c>
      <c r="B25" s="605"/>
      <c r="C25" s="605"/>
      <c r="D25" s="605"/>
      <c r="E25" s="605"/>
      <c r="F25" s="605"/>
      <c r="G25" s="605"/>
    </row>
    <row r="26" spans="1:13" ht="25.5" x14ac:dyDescent="0.2">
      <c r="A26" s="236" t="s">
        <v>15</v>
      </c>
      <c r="B26" s="79">
        <v>21127</v>
      </c>
      <c r="C26" s="85" t="str">
        <f>IF(A26="SINAPI",VLOOKUP(B26,SINAPI!A:D,2,0),(VLOOKUP(B26,SEINFRA!A:D,2,0)))</f>
        <v>FITA ISOLANTE ADESIVA ANTICHAMA, USO ATE 750 V, EM ROLO DE 19 MM X 5 M</v>
      </c>
      <c r="D26" s="69" t="str">
        <f>IF(A26="SINAPI",VLOOKUP(B26,SINAPI!A:D,3,0),(VLOOKUP(B26,SEINFRA!A:D,3,0)))</f>
        <v>UN</v>
      </c>
      <c r="E26" s="442">
        <v>2.35E-2</v>
      </c>
      <c r="F26" s="443">
        <f>IF(A26="SINAPI",VLOOKUP(B26,SINAPI!A:D,4,0),(VLOOKUP(B26,SEINFRA!A:D,4,0)))</f>
        <v>3.78</v>
      </c>
      <c r="G26" s="234">
        <f>E26*F26</f>
        <v>8.8829999999999992E-2</v>
      </c>
    </row>
    <row r="27" spans="1:13" x14ac:dyDescent="0.2">
      <c r="A27" s="236" t="s">
        <v>15</v>
      </c>
      <c r="B27" s="79">
        <v>34618</v>
      </c>
      <c r="C27" s="85" t="str">
        <f>IF(A27="SINAPI",VLOOKUP(B27,SINAPI!A:D,2,0),(VLOOKUP(B27,SEINFRA!A:D,2,0)))</f>
        <v>CABO FLEXIVEL PVC 750 V, 3 CONDUTORES DE 1,5 MM2</v>
      </c>
      <c r="D27" s="69" t="str">
        <f>IF(A27="SINAPI",VLOOKUP(B27,SINAPI!A:D,3,0),(VLOOKUP(B27,SEINFRA!A:D,3,0)))</f>
        <v>M</v>
      </c>
      <c r="E27" s="225">
        <v>1.02</v>
      </c>
      <c r="F27" s="443">
        <f>IF(A27="SINAPI",VLOOKUP(B27,SINAPI!A:D,4,0),(VLOOKUP(B27,SEINFRA!A:D,4,0)))</f>
        <v>6.02</v>
      </c>
      <c r="G27" s="234">
        <f>E27*F27</f>
        <v>6.1403999999999996</v>
      </c>
    </row>
    <row r="28" spans="1:13" x14ac:dyDescent="0.2">
      <c r="A28" s="606" t="s">
        <v>39172</v>
      </c>
      <c r="B28" s="606"/>
      <c r="C28" s="606"/>
      <c r="D28" s="606"/>
      <c r="E28" s="606"/>
      <c r="F28" s="606"/>
      <c r="G28" s="222">
        <f>ROUND(SUM(G26:G27),2)</f>
        <v>6.23</v>
      </c>
    </row>
    <row r="29" spans="1:13" x14ac:dyDescent="0.2">
      <c r="A29" s="607"/>
      <c r="B29" s="607"/>
      <c r="C29" s="607"/>
      <c r="D29" s="607"/>
      <c r="E29" s="607"/>
      <c r="F29" s="607"/>
      <c r="G29" s="607"/>
    </row>
    <row r="30" spans="1:13" x14ac:dyDescent="0.2">
      <c r="A30" s="608" t="s">
        <v>39173</v>
      </c>
      <c r="B30" s="608"/>
      <c r="C30" s="608"/>
      <c r="D30" s="608"/>
      <c r="E30" s="608"/>
      <c r="F30" s="608"/>
      <c r="G30" s="235">
        <f>ROUND(G24+G28,2)</f>
        <v>13.81</v>
      </c>
    </row>
    <row r="31" spans="1:13" x14ac:dyDescent="0.2">
      <c r="A31" s="608" t="s">
        <v>39174</v>
      </c>
      <c r="B31" s="608"/>
      <c r="C31" s="608"/>
      <c r="D31" s="608"/>
      <c r="E31" s="608"/>
      <c r="F31" s="608"/>
      <c r="G31" s="227" t="s">
        <v>39175</v>
      </c>
    </row>
    <row r="32" spans="1:13" x14ac:dyDescent="0.2">
      <c r="A32" s="608" t="s">
        <v>39176</v>
      </c>
      <c r="B32" s="608"/>
      <c r="C32" s="608"/>
      <c r="D32" s="608"/>
      <c r="E32" s="608"/>
      <c r="F32" s="608"/>
      <c r="G32" s="235">
        <v>0</v>
      </c>
    </row>
    <row r="33" spans="1:7" x14ac:dyDescent="0.2">
      <c r="A33" s="606" t="s">
        <v>39177</v>
      </c>
      <c r="B33" s="606"/>
      <c r="C33" s="606"/>
      <c r="D33" s="606"/>
      <c r="E33" s="606"/>
      <c r="F33" s="606"/>
      <c r="G33" s="228">
        <f>G30</f>
        <v>13.81</v>
      </c>
    </row>
    <row r="34" spans="1:7" x14ac:dyDescent="0.2">
      <c r="A34" s="229"/>
      <c r="B34" s="229"/>
      <c r="C34" s="229"/>
      <c r="D34" s="229"/>
      <c r="E34" s="229"/>
      <c r="F34" s="229"/>
      <c r="G34" s="230"/>
    </row>
    <row r="35" spans="1:7" x14ac:dyDescent="0.2">
      <c r="A35" s="601" t="str">
        <f>ORCAMENTO!A392</f>
        <v>BOA VIAGEM - CE, JULHO DE 2025</v>
      </c>
      <c r="B35" s="601"/>
      <c r="C35" s="602"/>
      <c r="D35" s="602"/>
      <c r="E35" s="602"/>
      <c r="F35" s="602"/>
      <c r="G35" s="602"/>
    </row>
  </sheetData>
  <mergeCells count="12">
    <mergeCell ref="A35:G35"/>
    <mergeCell ref="A2:G2"/>
    <mergeCell ref="B19:E19"/>
    <mergeCell ref="A21:G21"/>
    <mergeCell ref="A24:F24"/>
    <mergeCell ref="A25:G25"/>
    <mergeCell ref="A28:F28"/>
    <mergeCell ref="A29:G29"/>
    <mergeCell ref="A30:F30"/>
    <mergeCell ref="A31:F31"/>
    <mergeCell ref="A32:F32"/>
    <mergeCell ref="A33:F33"/>
  </mergeCells>
  <printOptions horizontalCentered="1"/>
  <pageMargins left="0.39370078740157483" right="0.39370078740157483" top="0.39370078740157483" bottom="0.78740157480314965" header="0.31496062992125984" footer="0.31496062992125984"/>
  <pageSetup paperSize="9" scale="76"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4B4C6-571D-4EB3-AEC1-B6242B46DB62}">
  <dimension ref="A1:G40"/>
  <sheetViews>
    <sheetView view="pageBreakPreview" zoomScale="115" zoomScaleNormal="100" zoomScaleSheetLayoutView="115" workbookViewId="0">
      <selection activeCell="A2" sqref="A2:G2"/>
    </sheetView>
  </sheetViews>
  <sheetFormatPr defaultRowHeight="12.75" x14ac:dyDescent="0.2"/>
  <cols>
    <col min="1" max="2" width="11.83203125" customWidth="1"/>
    <col min="3" max="3" width="70.83203125" customWidth="1"/>
    <col min="4" max="4" width="9.83203125" customWidth="1"/>
    <col min="5" max="5" width="14.83203125" customWidth="1"/>
    <col min="6" max="7" width="12.83203125" customWidth="1"/>
  </cols>
  <sheetData>
    <row r="1" spans="1:7" x14ac:dyDescent="0.2">
      <c r="A1" s="95"/>
      <c r="B1" s="95"/>
      <c r="C1" s="276"/>
      <c r="D1" s="95"/>
      <c r="E1" s="277"/>
      <c r="F1" s="277"/>
      <c r="G1" s="278"/>
    </row>
    <row r="2" spans="1:7" x14ac:dyDescent="0.2">
      <c r="A2" s="597" t="str">
        <f>ORCAMENTO!A2</f>
        <v>INSTITUTO FEDERAL DE EDUCAÇÃO CIÊNCIA E TECNOLOGIA DO CEARÁ - CAMPUS BOA VIAGEM</v>
      </c>
      <c r="B2" s="597"/>
      <c r="C2" s="597"/>
      <c r="D2" s="597"/>
      <c r="E2" s="597"/>
      <c r="F2" s="597"/>
      <c r="G2" s="597"/>
    </row>
    <row r="3" spans="1:7" x14ac:dyDescent="0.2">
      <c r="A3" s="163"/>
      <c r="B3" s="163"/>
      <c r="C3" s="163"/>
      <c r="D3" s="163"/>
      <c r="E3" s="163"/>
      <c r="F3" s="163"/>
      <c r="G3" s="163"/>
    </row>
    <row r="4" spans="1:7" x14ac:dyDescent="0.2">
      <c r="A4" s="163" t="str">
        <f>ORCAMENTO!A4</f>
        <v>OBRA:</v>
      </c>
      <c r="B4" s="99"/>
      <c r="C4" s="279"/>
      <c r="D4" s="99"/>
      <c r="E4" s="280"/>
      <c r="F4" s="280"/>
      <c r="G4" s="278"/>
    </row>
    <row r="5" spans="1:7" x14ac:dyDescent="0.2">
      <c r="A5" s="112" t="str">
        <f>ORCAMENTO!A5</f>
        <v>CENTRO DE INOVAÇÃO E DIFUSÃO DE TECNOLOGIA PARA O SEMIÁRIDO - CAMPUS BOA VIAGEM</v>
      </c>
      <c r="B5" s="100"/>
      <c r="C5" s="100"/>
      <c r="D5" s="98"/>
      <c r="E5" s="278"/>
      <c r="F5" s="281"/>
      <c r="G5" s="278"/>
    </row>
    <row r="6" spans="1:7" x14ac:dyDescent="0.2">
      <c r="A6" s="163" t="str">
        <f>ORCAMENTO!A6</f>
        <v>LOCAL:</v>
      </c>
      <c r="B6" s="101"/>
      <c r="C6" s="101"/>
      <c r="D6" s="102"/>
      <c r="E6" s="123"/>
      <c r="F6" s="282"/>
      <c r="G6" s="123"/>
    </row>
    <row r="7" spans="1:7" x14ac:dyDescent="0.2">
      <c r="A7" s="112" t="str">
        <f>ORCAMENTO!A7</f>
        <v>SEDE DO MUNICÍPIO</v>
      </c>
      <c r="B7" s="100"/>
      <c r="C7" s="100"/>
      <c r="D7" s="98"/>
      <c r="E7" s="278"/>
      <c r="F7" s="281"/>
      <c r="G7" s="278"/>
    </row>
    <row r="8" spans="1:7" x14ac:dyDescent="0.2">
      <c r="A8" s="163" t="str">
        <f>ORCAMENTO!A8</f>
        <v>MUNICÍPIO:</v>
      </c>
      <c r="B8" s="101"/>
      <c r="C8" s="101"/>
      <c r="D8" s="102"/>
      <c r="E8" s="278"/>
      <c r="F8" s="282"/>
      <c r="G8" s="123"/>
    </row>
    <row r="9" spans="1:7" x14ac:dyDescent="0.2">
      <c r="A9" s="112" t="str">
        <f>ORCAMENTO!A9</f>
        <v>BOA VIAGEM - CE</v>
      </c>
      <c r="B9" s="100"/>
      <c r="C9" s="100"/>
      <c r="D9" s="98"/>
      <c r="E9" s="278"/>
      <c r="F9" s="281"/>
      <c r="G9" s="278"/>
    </row>
    <row r="10" spans="1:7" x14ac:dyDescent="0.2">
      <c r="A10" s="163"/>
      <c r="B10" s="101"/>
      <c r="C10" s="101"/>
      <c r="D10" s="102"/>
      <c r="E10" s="123"/>
      <c r="F10" s="282"/>
      <c r="G10" s="123"/>
    </row>
    <row r="11" spans="1:7" x14ac:dyDescent="0.2">
      <c r="A11" s="163" t="str">
        <f>ORCAMENTO!A11</f>
        <v>FONTE DOS PREÇOS:</v>
      </c>
      <c r="B11" s="101"/>
      <c r="C11" s="101"/>
      <c r="D11" s="102"/>
      <c r="E11" s="123"/>
      <c r="F11" s="282"/>
      <c r="G11" s="123"/>
    </row>
    <row r="12" spans="1:7" x14ac:dyDescent="0.2">
      <c r="A12" s="112" t="str">
        <f>ORCAMENTO!A12</f>
        <v>TABELA SEINFRA 028.1 DESONERADA</v>
      </c>
      <c r="B12" s="101"/>
      <c r="C12" s="101"/>
      <c r="D12" s="102"/>
      <c r="E12" s="123"/>
      <c r="F12" s="282"/>
      <c r="G12" s="123"/>
    </row>
    <row r="13" spans="1:7" x14ac:dyDescent="0.2">
      <c r="A13" s="112"/>
      <c r="B13" s="112" t="str">
        <f>ORCAMENTO!B13</f>
        <v>DATA REFERÊNCIA TÉCNICA: 10/2023</v>
      </c>
      <c r="C13" s="100"/>
      <c r="D13" s="98"/>
      <c r="E13" s="278"/>
      <c r="F13" s="281"/>
      <c r="G13" s="278"/>
    </row>
    <row r="14" spans="1:7" x14ac:dyDescent="0.2">
      <c r="A14" s="112"/>
      <c r="B14" s="112" t="str">
        <f>ORCAMENTO!B14</f>
        <v>ENCARGOS SOCIAIS: 84,44% (HORA) - 47,48% (MÊS)</v>
      </c>
      <c r="C14" s="101"/>
      <c r="D14" s="102"/>
      <c r="E14" s="123"/>
      <c r="F14" s="282"/>
      <c r="G14" s="123"/>
    </row>
    <row r="15" spans="1:7" x14ac:dyDescent="0.2">
      <c r="A15" s="112" t="str">
        <f>ORCAMENTO!A15</f>
        <v>TABELA SINAPI 06/2025 DESONERADA</v>
      </c>
      <c r="B15" s="112"/>
      <c r="C15" s="101"/>
      <c r="D15" s="102"/>
      <c r="E15" s="123"/>
      <c r="F15" s="282"/>
      <c r="G15" s="123"/>
    </row>
    <row r="16" spans="1:7" x14ac:dyDescent="0.2">
      <c r="A16" s="112"/>
      <c r="B16" s="112" t="str">
        <f>ORCAMENTO!B16</f>
        <v>DATA REFERÊNCIA TÉCNICA: 06/2025</v>
      </c>
      <c r="C16" s="101"/>
      <c r="D16" s="102"/>
      <c r="E16" s="123"/>
      <c r="F16" s="282"/>
      <c r="G16" s="105"/>
    </row>
    <row r="17" spans="1:7" x14ac:dyDescent="0.2">
      <c r="A17" s="112"/>
      <c r="B17" s="112" t="str">
        <f>ORCAMENTO!B17</f>
        <v>ENCARGOS SOCIAIS: 92,17% (HORA) - 53,50% (MÊS)</v>
      </c>
      <c r="C17" s="101"/>
      <c r="D17" s="102"/>
      <c r="E17" s="123"/>
      <c r="F17" s="282"/>
      <c r="G17" s="105"/>
    </row>
    <row r="18" spans="1:7" x14ac:dyDescent="0.2">
      <c r="A18" s="112"/>
      <c r="B18" s="112"/>
      <c r="C18" s="284"/>
      <c r="D18" s="285"/>
      <c r="E18" s="286"/>
      <c r="F18" s="286"/>
      <c r="G18" s="287"/>
    </row>
    <row r="19" spans="1:7" ht="50.1" customHeight="1" x14ac:dyDescent="0.2">
      <c r="A19" s="244" t="s">
        <v>39212</v>
      </c>
      <c r="B19" s="598" t="s">
        <v>40565</v>
      </c>
      <c r="C19" s="599"/>
      <c r="D19" s="599"/>
      <c r="E19" s="600"/>
      <c r="F19" s="245" t="s">
        <v>39196</v>
      </c>
      <c r="G19" s="246" t="s">
        <v>26</v>
      </c>
    </row>
    <row r="20" spans="1:7" ht="38.25" x14ac:dyDescent="0.2">
      <c r="A20" s="290" t="s">
        <v>39178</v>
      </c>
      <c r="B20" s="290" t="s">
        <v>52</v>
      </c>
      <c r="C20" s="290" t="s">
        <v>5917</v>
      </c>
      <c r="D20" s="290" t="s">
        <v>39197</v>
      </c>
      <c r="E20" s="290" t="s">
        <v>39166</v>
      </c>
      <c r="F20" s="290" t="s">
        <v>39198</v>
      </c>
      <c r="G20" s="291" t="s">
        <v>39199</v>
      </c>
    </row>
    <row r="21" spans="1:7" x14ac:dyDescent="0.2">
      <c r="A21" s="594" t="s">
        <v>39171</v>
      </c>
      <c r="B21" s="594"/>
      <c r="C21" s="594"/>
      <c r="D21" s="594"/>
      <c r="E21" s="594"/>
      <c r="F21" s="594"/>
      <c r="G21" s="594"/>
    </row>
    <row r="22" spans="1:7" ht="38.25" x14ac:dyDescent="0.2">
      <c r="A22" s="257" t="s">
        <v>15</v>
      </c>
      <c r="B22" s="250">
        <v>10900</v>
      </c>
      <c r="C22" s="294" t="str">
        <f>IF(A22="SINAPI",VLOOKUP(B22,SINAPI!A:D,2,0),(VLOOKUP(B22,SEINFRA!A:D,2,0)))</f>
        <v>ADAPTADOR EM LATAO, ENGATE RAPIDO1 1/2" X ROSCA INTERNA 5 FIOS 2 1/2", PARA INSTALACAO PREDIAL DE COMBATE A INCENDIO</v>
      </c>
      <c r="D22" s="295" t="str">
        <f>IF(A22="SINAPI",VLOOKUP(B22,SINAPI!A:D,3,0),(VLOOKUP(B22,SEINFRA!A:D,3,0)))</f>
        <v>UN</v>
      </c>
      <c r="E22" s="311">
        <f>1</f>
        <v>1</v>
      </c>
      <c r="F22" s="297">
        <f>IF(A22="SINAPI",VLOOKUP(B22,SINAPI!A:D,4,0),(VLOOKUP(B22,SEINFRA!A:D,4,0)))</f>
        <v>69.94</v>
      </c>
      <c r="G22" s="298">
        <f>ROUND(E22*F22,4)</f>
        <v>69.94</v>
      </c>
    </row>
    <row r="23" spans="1:7" ht="38.25" x14ac:dyDescent="0.2">
      <c r="A23" s="257" t="s">
        <v>15</v>
      </c>
      <c r="B23" s="250">
        <v>4350</v>
      </c>
      <c r="C23" s="294" t="str">
        <f>IF(A23="SINAPI",VLOOKUP(B23,SINAPI!A:D,2,0),(VLOOKUP(B23,SEINFRA!A:D,2,0)))</f>
        <v>BUCHA DE NYLON, DIAMETRO DO FURO 8 MM, COMPRIMENTO 40 MM, COM PARAFUSO DE ROSCA SOBERBA, CABECA CHATA, FENDA SIMPLES, 4,8 X 50 MM</v>
      </c>
      <c r="D23" s="295" t="str">
        <f>IF(A23="SINAPI",VLOOKUP(B23,SINAPI!A:D,3,0),(VLOOKUP(B23,SEINFRA!A:D,3,0)))</f>
        <v>UN</v>
      </c>
      <c r="E23" s="311">
        <f>4</f>
        <v>4</v>
      </c>
      <c r="F23" s="297">
        <f>IF(A23="SINAPI",VLOOKUP(B23,SINAPI!A:D,4,0),(VLOOKUP(B23,SEINFRA!A:D,4,0)))</f>
        <v>0.88</v>
      </c>
      <c r="G23" s="298">
        <f t="shared" ref="G23:G27" si="0">ROUND(E23*F23,4)</f>
        <v>3.52</v>
      </c>
    </row>
    <row r="24" spans="1:7" ht="63.75" x14ac:dyDescent="0.2">
      <c r="A24" s="257" t="s">
        <v>15</v>
      </c>
      <c r="B24" s="250">
        <v>20963</v>
      </c>
      <c r="C24" s="294" t="str">
        <f>IF(A24="SINAPI",VLOOKUP(B24,SINAPI!A:D,2,0),(VLOOKUP(B24,SEINFRA!A:D,2,0)))</f>
        <v>CAIXA DE INCENDIO/ABRIGO PARA MANGUEIRA, DE SOBREPOR/EXTERNA, COM 90 X 60 X 17 CM, EM CHAPA DE ACO, PORTA COM VENTILACAO, VISOR COM A INSCRICAO "INCENDIO", SUPORTE/CESTA INTERNA PARA A MANGUEIRA, PINTURA ELETROSTATICA VERMELHA</v>
      </c>
      <c r="D24" s="295" t="str">
        <f>IF(A24="SINAPI",VLOOKUP(B24,SINAPI!A:D,3,0),(VLOOKUP(B24,SEINFRA!A:D,3,0)))</f>
        <v>UN</v>
      </c>
      <c r="E24" s="311">
        <f>1</f>
        <v>1</v>
      </c>
      <c r="F24" s="297">
        <f>IF(A24="SINAPI",VLOOKUP(B24,SINAPI!A:D,4,0),(VLOOKUP(B24,SEINFRA!A:D,4,0)))</f>
        <v>598.57000000000005</v>
      </c>
      <c r="G24" s="298">
        <f t="shared" si="0"/>
        <v>598.57000000000005</v>
      </c>
    </row>
    <row r="25" spans="1:7" ht="38.25" x14ac:dyDescent="0.2">
      <c r="A25" s="257" t="s">
        <v>15</v>
      </c>
      <c r="B25" s="250">
        <v>20971</v>
      </c>
      <c r="C25" s="294" t="str">
        <f>IF(A25="SINAPI",VLOOKUP(B25,SINAPI!A:D,2,0),(VLOOKUP(B25,SEINFRA!A:D,2,0)))</f>
        <v>CHAVE DUPLA PARA CONEXOES TIPO STORZ, ENGATE RAPIDO 1 1/2" X 2 1/2", EM LATAO, PARA INSTALACAO PREDIAL COMBATE A INCENDIO</v>
      </c>
      <c r="D25" s="295" t="str">
        <f>IF(A25="SINAPI",VLOOKUP(B25,SINAPI!A:D,3,0),(VLOOKUP(B25,SEINFRA!A:D,3,0)))</f>
        <v>UN</v>
      </c>
      <c r="E25" s="311">
        <f>1</f>
        <v>1</v>
      </c>
      <c r="F25" s="297">
        <f>IF(A25="SINAPI",VLOOKUP(B25,SINAPI!A:D,4,0),(VLOOKUP(B25,SEINFRA!A:D,4,0)))</f>
        <v>19.420000000000002</v>
      </c>
      <c r="G25" s="298">
        <f t="shared" si="0"/>
        <v>19.420000000000002</v>
      </c>
    </row>
    <row r="26" spans="1:7" ht="25.5" x14ac:dyDescent="0.2">
      <c r="A26" s="257" t="s">
        <v>15</v>
      </c>
      <c r="B26" s="250">
        <v>37554</v>
      </c>
      <c r="C26" s="294" t="str">
        <f>IF(A26="SINAPI",VLOOKUP(B26,SINAPI!A:D,2,0),(VLOOKUP(B26,SEINFRA!A:D,2,0)))</f>
        <v>ESGUICHO JATO REGULAVEL, TIPO ELKHART, ENGATE RAPIDO 1 1/2", PARA COMBATE A INCENDIO</v>
      </c>
      <c r="D26" s="295" t="str">
        <f>IF(A26="SINAPI",VLOOKUP(B26,SINAPI!A:D,3,0),(VLOOKUP(B26,SEINFRA!A:D,3,0)))</f>
        <v>UN</v>
      </c>
      <c r="E26" s="311">
        <f>1</f>
        <v>1</v>
      </c>
      <c r="F26" s="297">
        <f>IF(A26="SINAPI",VLOOKUP(B26,SINAPI!A:D,4,0),(VLOOKUP(B26,SEINFRA!A:D,4,0)))</f>
        <v>239.57</v>
      </c>
      <c r="G26" s="298">
        <f t="shared" si="0"/>
        <v>239.57</v>
      </c>
    </row>
    <row r="27" spans="1:7" ht="38.25" x14ac:dyDescent="0.2">
      <c r="A27" s="257" t="s">
        <v>15</v>
      </c>
      <c r="B27" s="250">
        <v>21034</v>
      </c>
      <c r="C27" s="294" t="str">
        <f>IF(A27="SINAPI",VLOOKUP(B27,SINAPI!A:D,2,0),(VLOOKUP(B27,SEINFRA!A:D,2,0)))</f>
        <v>MANGUEIRA DE INCENDIO, TIPO 2, DE 2 1/2", COMPRIMENTO = 15 M, TECIDO EM FIO DE POLIESTER E TUBO INTERNO EM BORRACHA SINTETICA, COM UNIOES ENGATE RAPIDO</v>
      </c>
      <c r="D27" s="295" t="str">
        <f>IF(A27="SINAPI",VLOOKUP(B27,SINAPI!A:D,3,0),(VLOOKUP(B27,SEINFRA!A:D,3,0)))</f>
        <v>UN</v>
      </c>
      <c r="E27" s="311">
        <f>2</f>
        <v>2</v>
      </c>
      <c r="F27" s="297">
        <f>IF(A27="SINAPI",VLOOKUP(B27,SINAPI!A:D,4,0),(VLOOKUP(B27,SEINFRA!A:D,4,0)))</f>
        <v>868.5</v>
      </c>
      <c r="G27" s="298">
        <f t="shared" si="0"/>
        <v>1737</v>
      </c>
    </row>
    <row r="28" spans="1:7" ht="51" x14ac:dyDescent="0.2">
      <c r="A28" s="257" t="s">
        <v>15</v>
      </c>
      <c r="B28" s="250">
        <v>10904</v>
      </c>
      <c r="C28" s="294" t="str">
        <f>IF(A28="SINAPI",VLOOKUP(B28,SINAPI!A:D,2,0),(VLOOKUP(B28,SEINFRA!A:D,2,0)))</f>
        <v>REGISTRO OU VALVULA GLOBO ANGULAR EM LATAO, PARA HIDRANTES EM INSTALACAO PREDIAL DE INCENDIO, 45 GRAUS, DIAMETRO DE 2 1/2", COM VOLANTE, CLASSE DE PRESSAO DE ATE 200 PSI</v>
      </c>
      <c r="D28" s="295" t="str">
        <f>IF(A28="SINAPI",VLOOKUP(B28,SINAPI!A:D,3,0),(VLOOKUP(B28,SEINFRA!A:D,3,0)))</f>
        <v>UN</v>
      </c>
      <c r="E28" s="311">
        <f>1</f>
        <v>1</v>
      </c>
      <c r="F28" s="297">
        <f>IF(A28="SINAPI",VLOOKUP(B28,SINAPI!A:D,4,0),(VLOOKUP(B28,SEINFRA!A:D,4,0)))</f>
        <v>204</v>
      </c>
      <c r="G28" s="298">
        <f t="shared" ref="G28" si="1">ROUND(E28*F28,4)</f>
        <v>204</v>
      </c>
    </row>
    <row r="29" spans="1:7" x14ac:dyDescent="0.2">
      <c r="A29" s="595" t="s">
        <v>39226</v>
      </c>
      <c r="B29" s="595"/>
      <c r="C29" s="595"/>
      <c r="D29" s="595"/>
      <c r="E29" s="595"/>
      <c r="F29" s="595"/>
      <c r="G29" s="299">
        <f>ROUND(SUM(G22:G28),4)</f>
        <v>2872.02</v>
      </c>
    </row>
    <row r="30" spans="1:7" x14ac:dyDescent="0.2">
      <c r="A30" s="594" t="s">
        <v>39225</v>
      </c>
      <c r="B30" s="594"/>
      <c r="C30" s="594"/>
      <c r="D30" s="594"/>
      <c r="E30" s="594"/>
      <c r="F30" s="594"/>
      <c r="G30" s="594"/>
    </row>
    <row r="31" spans="1:7" ht="25.5" x14ac:dyDescent="0.2">
      <c r="A31" s="312" t="s">
        <v>15</v>
      </c>
      <c r="B31" s="310">
        <v>88248</v>
      </c>
      <c r="C31" s="294" t="str">
        <f>IF(A31="SINAPI",VLOOKUP(B31,SINAPI!A:D,2,0),(VLOOKUP(B31,SEINFRA!A:D,2,0)))</f>
        <v>AUXILIAR DE ENCANADOR OU BOMBEIRO HIDRÁULICO COM ENCARGOS COMPLEMENTARES</v>
      </c>
      <c r="D31" s="295" t="str">
        <f>IF(A31="SINAPI",VLOOKUP(B31,SINAPI!A:D,3,0),(VLOOKUP(B31,SEINFRA!A:D,3,0)))</f>
        <v>H</v>
      </c>
      <c r="E31" s="311">
        <f>3.037</f>
        <v>3.0369999999999999</v>
      </c>
      <c r="F31" s="297">
        <f>IF(A31="SINAPI",VLOOKUP(B31,SINAPI!A:D,4,0),(VLOOKUP(B31,SEINFRA!A:D,4,0)))</f>
        <v>22.26</v>
      </c>
      <c r="G31" s="298">
        <f t="shared" ref="G31:G32" si="2">ROUND(E31*F31,4)</f>
        <v>67.6036</v>
      </c>
    </row>
    <row r="32" spans="1:7" ht="25.5" x14ac:dyDescent="0.2">
      <c r="A32" s="312" t="s">
        <v>15</v>
      </c>
      <c r="B32" s="310">
        <v>88267</v>
      </c>
      <c r="C32" s="294" t="str">
        <f>IF(A32="SINAPI",VLOOKUP(B32,SINAPI!A:D,2,0),(VLOOKUP(B32,SEINFRA!A:D,2,0)))</f>
        <v>ENCANADOR OU BOMBEIRO HIDRÁULICO COM ENCARGOS COMPLEMENTARES</v>
      </c>
      <c r="D32" s="295" t="str">
        <f>IF(A32="SINAPI",VLOOKUP(B32,SINAPI!A:D,3,0),(VLOOKUP(B32,SEINFRA!A:D,3,0)))</f>
        <v>H</v>
      </c>
      <c r="E32" s="311">
        <f>3.037</f>
        <v>3.0369999999999999</v>
      </c>
      <c r="F32" s="297">
        <f>IF(A32="SINAPI",VLOOKUP(B32,SINAPI!A:D,4,0),(VLOOKUP(B32,SEINFRA!A:D,4,0)))</f>
        <v>26.27</v>
      </c>
      <c r="G32" s="298">
        <f t="shared" si="2"/>
        <v>79.781999999999996</v>
      </c>
    </row>
    <row r="33" spans="1:7" x14ac:dyDescent="0.2">
      <c r="A33" s="595" t="s">
        <v>39172</v>
      </c>
      <c r="B33" s="595"/>
      <c r="C33" s="595"/>
      <c r="D33" s="595"/>
      <c r="E33" s="595"/>
      <c r="F33" s="595"/>
      <c r="G33" s="299">
        <f>ROUND(SUM(G31:G32),4)</f>
        <v>147.38560000000001</v>
      </c>
    </row>
    <row r="34" spans="1:7" x14ac:dyDescent="0.2">
      <c r="A34" s="596"/>
      <c r="B34" s="596"/>
      <c r="C34" s="596"/>
      <c r="D34" s="596"/>
      <c r="E34" s="596"/>
      <c r="F34" s="596"/>
      <c r="G34" s="596"/>
    </row>
    <row r="35" spans="1:7" x14ac:dyDescent="0.2">
      <c r="A35" s="591" t="s">
        <v>39173</v>
      </c>
      <c r="B35" s="591"/>
      <c r="C35" s="591"/>
      <c r="D35" s="591"/>
      <c r="E35" s="591"/>
      <c r="F35" s="591"/>
      <c r="G35" s="376">
        <f>ROUND(SUM(G29,G33),2)</f>
        <v>3019.41</v>
      </c>
    </row>
    <row r="36" spans="1:7" x14ac:dyDescent="0.2">
      <c r="A36" s="591" t="s">
        <v>39174</v>
      </c>
      <c r="B36" s="591"/>
      <c r="C36" s="591"/>
      <c r="D36" s="591"/>
      <c r="E36" s="591"/>
      <c r="F36" s="591"/>
      <c r="G36" s="377" t="s">
        <v>39175</v>
      </c>
    </row>
    <row r="37" spans="1:7" x14ac:dyDescent="0.2">
      <c r="A37" s="591" t="s">
        <v>39176</v>
      </c>
      <c r="B37" s="591"/>
      <c r="C37" s="591"/>
      <c r="D37" s="591"/>
      <c r="E37" s="591"/>
      <c r="F37" s="591"/>
      <c r="G37" s="376">
        <v>0</v>
      </c>
    </row>
    <row r="38" spans="1:7" x14ac:dyDescent="0.2">
      <c r="A38" s="592" t="s">
        <v>39177</v>
      </c>
      <c r="B38" s="592"/>
      <c r="C38" s="592"/>
      <c r="D38" s="592"/>
      <c r="E38" s="592"/>
      <c r="F38" s="592"/>
      <c r="G38" s="375">
        <f>G35</f>
        <v>3019.41</v>
      </c>
    </row>
    <row r="39" spans="1:7" x14ac:dyDescent="0.2">
      <c r="A39" s="304"/>
      <c r="B39" s="304"/>
      <c r="C39" s="305"/>
      <c r="D39" s="304"/>
      <c r="E39" s="304"/>
      <c r="F39" s="304"/>
      <c r="G39" s="306"/>
    </row>
    <row r="40" spans="1:7" x14ac:dyDescent="0.2">
      <c r="A40" s="593" t="str">
        <f>ORCAMENTO!A392</f>
        <v>BOA VIAGEM - CE, JULHO DE 2025</v>
      </c>
      <c r="B40" s="593"/>
      <c r="C40" s="593"/>
      <c r="D40" s="593"/>
      <c r="E40" s="593"/>
      <c r="F40" s="593"/>
      <c r="G40" s="593"/>
    </row>
  </sheetData>
  <mergeCells count="12">
    <mergeCell ref="A40:G40"/>
    <mergeCell ref="A2:G2"/>
    <mergeCell ref="B19:E19"/>
    <mergeCell ref="A21:G21"/>
    <mergeCell ref="A29:F29"/>
    <mergeCell ref="A30:G30"/>
    <mergeCell ref="A33:F33"/>
    <mergeCell ref="A34:G34"/>
    <mergeCell ref="A35:F35"/>
    <mergeCell ref="A36:F36"/>
    <mergeCell ref="A37:F37"/>
    <mergeCell ref="A38:F38"/>
  </mergeCells>
  <pageMargins left="0.511811024" right="0.511811024" top="0.78740157499999996" bottom="0.78740157499999996" header="0.31496062000000002" footer="0.31496062000000002"/>
  <pageSetup paperSize="9" scale="71" orientation="portrait"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702B27-AC5C-42C5-B70A-EB2106C989B6}">
  <dimension ref="A1:M35"/>
  <sheetViews>
    <sheetView view="pageBreakPreview" zoomScale="115" zoomScaleNormal="100" zoomScaleSheetLayoutView="115" workbookViewId="0">
      <selection activeCell="A2" sqref="A2:G2"/>
    </sheetView>
  </sheetViews>
  <sheetFormatPr defaultRowHeight="12.75" x14ac:dyDescent="0.2"/>
  <cols>
    <col min="1" max="2" width="12.83203125" customWidth="1"/>
    <col min="3" max="3" width="65.83203125" customWidth="1"/>
    <col min="4" max="4" width="6.83203125" customWidth="1"/>
    <col min="5" max="7" width="10.83203125" customWidth="1"/>
  </cols>
  <sheetData>
    <row r="1" spans="1:13" x14ac:dyDescent="0.2">
      <c r="A1" s="218"/>
      <c r="B1" s="218"/>
      <c r="C1" s="218"/>
      <c r="D1" s="218"/>
      <c r="E1" s="218"/>
      <c r="F1" s="218"/>
      <c r="G1" s="218"/>
      <c r="H1" s="218"/>
      <c r="I1" s="218"/>
      <c r="J1" s="218"/>
      <c r="K1" s="218"/>
      <c r="L1" s="218"/>
      <c r="M1" s="218"/>
    </row>
    <row r="2" spans="1:13" x14ac:dyDescent="0.2">
      <c r="A2" s="603" t="str">
        <f>ORCAMENTO!A2</f>
        <v>INSTITUTO FEDERAL DE EDUCAÇÃO CIÊNCIA E TECNOLOGIA DO CEARÁ - CAMPUS BOA VIAGEM</v>
      </c>
      <c r="B2" s="603"/>
      <c r="C2" s="603"/>
      <c r="D2" s="603"/>
      <c r="E2" s="603"/>
      <c r="F2" s="603"/>
      <c r="G2" s="603"/>
      <c r="H2" s="232"/>
      <c r="I2" s="232"/>
      <c r="J2" s="232"/>
      <c r="K2" s="232"/>
      <c r="L2" s="232"/>
      <c r="M2" s="232"/>
    </row>
    <row r="3" spans="1:13" x14ac:dyDescent="0.2">
      <c r="A3" s="218"/>
      <c r="B3" s="218"/>
      <c r="C3" s="218"/>
      <c r="D3" s="218"/>
      <c r="E3" s="218"/>
      <c r="F3" s="218"/>
      <c r="G3" s="218"/>
      <c r="H3" s="218"/>
      <c r="I3" s="218"/>
      <c r="J3" s="218"/>
      <c r="K3" s="218"/>
      <c r="L3" s="218"/>
      <c r="M3" s="218"/>
    </row>
    <row r="4" spans="1:13" x14ac:dyDescent="0.2">
      <c r="A4" s="219" t="str">
        <f>ORCAMENTO!A4</f>
        <v>OBRA:</v>
      </c>
      <c r="B4" s="219"/>
      <c r="C4" s="218"/>
      <c r="D4" s="218"/>
      <c r="E4" s="218"/>
      <c r="F4" s="218"/>
      <c r="G4" s="218"/>
      <c r="H4" s="218"/>
      <c r="I4" s="218"/>
      <c r="J4" s="218"/>
      <c r="K4" s="218"/>
      <c r="L4" s="218"/>
      <c r="M4" s="218"/>
    </row>
    <row r="5" spans="1:13" x14ac:dyDescent="0.2">
      <c r="A5" s="218" t="str">
        <f>ORCAMENTO!A5</f>
        <v>CENTRO DE INOVAÇÃO E DIFUSÃO DE TECNOLOGIA PARA O SEMIÁRIDO - CAMPUS BOA VIAGEM</v>
      </c>
      <c r="B5" s="218"/>
      <c r="C5" s="218"/>
      <c r="D5" s="218"/>
      <c r="E5" s="218"/>
      <c r="F5" s="218"/>
      <c r="G5" s="218"/>
      <c r="H5" s="218"/>
      <c r="I5" s="218"/>
      <c r="J5" s="218"/>
      <c r="K5" s="218"/>
      <c r="L5" s="218"/>
      <c r="M5" s="218"/>
    </row>
    <row r="6" spans="1:13" x14ac:dyDescent="0.2">
      <c r="A6" s="219" t="str">
        <f>ORCAMENTO!A6</f>
        <v>LOCAL:</v>
      </c>
      <c r="B6" s="219"/>
      <c r="C6" s="218"/>
      <c r="D6" s="218"/>
      <c r="E6" s="218"/>
      <c r="F6" s="218"/>
      <c r="G6" s="218"/>
      <c r="H6" s="218"/>
      <c r="I6" s="218"/>
      <c r="J6" s="218"/>
      <c r="K6" s="218"/>
      <c r="L6" s="218"/>
      <c r="M6" s="218"/>
    </row>
    <row r="7" spans="1:13" x14ac:dyDescent="0.2">
      <c r="A7" s="218" t="str">
        <f>ORCAMENTO!A7</f>
        <v>SEDE DO MUNICÍPIO</v>
      </c>
      <c r="B7" s="218"/>
      <c r="C7" s="218"/>
      <c r="D7" s="218"/>
      <c r="E7" s="218"/>
      <c r="F7" s="218"/>
      <c r="G7" s="218"/>
      <c r="H7" s="218"/>
      <c r="I7" s="218"/>
      <c r="J7" s="218"/>
      <c r="K7" s="218"/>
      <c r="L7" s="218"/>
      <c r="M7" s="218"/>
    </row>
    <row r="8" spans="1:13" x14ac:dyDescent="0.2">
      <c r="A8" s="219" t="str">
        <f>ORCAMENTO!A8</f>
        <v>MUNICÍPIO:</v>
      </c>
      <c r="B8" s="219"/>
      <c r="C8" s="218"/>
      <c r="D8" s="218"/>
      <c r="E8" s="218"/>
      <c r="F8" s="218"/>
      <c r="G8" s="218"/>
      <c r="H8" s="218"/>
      <c r="I8" s="218"/>
      <c r="J8" s="218"/>
      <c r="K8" s="218"/>
      <c r="L8" s="218"/>
      <c r="M8" s="218"/>
    </row>
    <row r="9" spans="1:13" x14ac:dyDescent="0.2">
      <c r="A9" s="218" t="str">
        <f>ORCAMENTO!A9</f>
        <v>BOA VIAGEM - CE</v>
      </c>
      <c r="B9" s="218"/>
      <c r="C9" s="218"/>
      <c r="D9" s="218"/>
      <c r="E9" s="218"/>
      <c r="F9" s="218"/>
      <c r="G9" s="218"/>
      <c r="H9" s="218"/>
      <c r="I9" s="218"/>
      <c r="J9" s="218"/>
      <c r="K9" s="218"/>
      <c r="L9" s="218"/>
      <c r="M9" s="218"/>
    </row>
    <row r="10" spans="1:13" x14ac:dyDescent="0.2">
      <c r="A10" s="218"/>
      <c r="B10" s="218"/>
      <c r="C10" s="218"/>
      <c r="D10" s="218"/>
      <c r="E10" s="218"/>
      <c r="F10" s="218"/>
      <c r="G10" s="218"/>
      <c r="H10" s="218"/>
      <c r="I10" s="218"/>
      <c r="J10" s="218"/>
      <c r="K10" s="218"/>
      <c r="L10" s="218"/>
      <c r="M10" s="218"/>
    </row>
    <row r="11" spans="1:13" x14ac:dyDescent="0.2">
      <c r="A11" s="219" t="str">
        <f>ORCAMENTO!A11</f>
        <v>FONTE DOS PREÇOS:</v>
      </c>
      <c r="B11" s="219"/>
      <c r="C11" s="218"/>
      <c r="D11" s="218"/>
      <c r="E11" s="218"/>
      <c r="F11" s="218"/>
      <c r="G11" s="218"/>
      <c r="H11" s="218"/>
      <c r="I11" s="218"/>
      <c r="J11" s="218"/>
      <c r="K11" s="218"/>
      <c r="L11" s="218"/>
      <c r="M11" s="218"/>
    </row>
    <row r="12" spans="1:13" x14ac:dyDescent="0.2">
      <c r="A12" s="218" t="str">
        <f>ORCAMENTO!A12</f>
        <v>TABELA SEINFRA 028.1 DESONERADA</v>
      </c>
      <c r="B12" s="218"/>
      <c r="C12" s="218"/>
      <c r="D12" s="218"/>
      <c r="E12" s="218"/>
      <c r="F12" s="218"/>
      <c r="G12" s="218"/>
      <c r="H12" s="218"/>
      <c r="I12" s="218"/>
      <c r="J12" s="218"/>
      <c r="K12" s="218"/>
      <c r="L12" s="218"/>
      <c r="M12" s="218"/>
    </row>
    <row r="13" spans="1:13" x14ac:dyDescent="0.2">
      <c r="A13" s="218"/>
      <c r="B13" s="218"/>
      <c r="C13" s="218" t="str">
        <f>ORCAMENTO!B13</f>
        <v>DATA REFERÊNCIA TÉCNICA: 10/2023</v>
      </c>
      <c r="D13" s="218"/>
      <c r="E13" s="218"/>
      <c r="F13" s="218"/>
      <c r="G13" s="218"/>
      <c r="H13" s="218"/>
      <c r="I13" s="218"/>
      <c r="J13" s="218"/>
      <c r="K13" s="218"/>
      <c r="L13" s="218"/>
      <c r="M13" s="218"/>
    </row>
    <row r="14" spans="1:13" x14ac:dyDescent="0.2">
      <c r="A14" s="218"/>
      <c r="B14" s="218"/>
      <c r="C14" s="218" t="str">
        <f>ORCAMENTO!B14</f>
        <v>ENCARGOS SOCIAIS: 84,44% (HORA) - 47,48% (MÊS)</v>
      </c>
      <c r="D14" s="218"/>
      <c r="E14" s="218"/>
      <c r="F14" s="218"/>
      <c r="G14" s="218"/>
      <c r="H14" s="218"/>
      <c r="I14" s="218"/>
      <c r="J14" s="218"/>
      <c r="K14" s="218"/>
      <c r="L14" s="218"/>
      <c r="M14" s="218"/>
    </row>
    <row r="15" spans="1:13" x14ac:dyDescent="0.2">
      <c r="A15" s="218" t="str">
        <f>ORCAMENTO!A15</f>
        <v>TABELA SINAPI 06/2025 DESONERADA</v>
      </c>
      <c r="B15" s="218"/>
      <c r="C15" s="218"/>
      <c r="D15" s="218"/>
      <c r="E15" s="218"/>
      <c r="F15" s="218"/>
      <c r="G15" s="218"/>
      <c r="H15" s="218"/>
      <c r="I15" s="218"/>
      <c r="J15" s="218"/>
      <c r="K15" s="218"/>
      <c r="L15" s="218"/>
      <c r="M15" s="218"/>
    </row>
    <row r="16" spans="1:13" x14ac:dyDescent="0.2">
      <c r="A16" s="218"/>
      <c r="B16" s="218"/>
      <c r="C16" s="218" t="str">
        <f>ORCAMENTO!B16</f>
        <v>DATA REFERÊNCIA TÉCNICA: 06/2025</v>
      </c>
      <c r="D16" s="218"/>
      <c r="E16" s="218"/>
      <c r="F16" s="218"/>
      <c r="G16" s="218"/>
      <c r="H16" s="218"/>
      <c r="I16" s="218"/>
      <c r="J16" s="218"/>
      <c r="K16" s="218"/>
      <c r="L16" s="218"/>
      <c r="M16" s="218"/>
    </row>
    <row r="17" spans="1:13" x14ac:dyDescent="0.2">
      <c r="A17" s="218"/>
      <c r="B17" s="218"/>
      <c r="C17" s="218" t="str">
        <f>ORCAMENTO!B17</f>
        <v>ENCARGOS SOCIAIS: 92,17% (HORA) - 53,50% (MÊS)</v>
      </c>
      <c r="D17" s="218"/>
      <c r="E17" s="218"/>
      <c r="F17" s="218"/>
      <c r="G17" s="218"/>
      <c r="H17" s="218"/>
      <c r="I17" s="218"/>
      <c r="J17" s="218"/>
      <c r="K17" s="218"/>
      <c r="L17" s="218"/>
      <c r="M17" s="218"/>
    </row>
    <row r="20" spans="1:13" ht="45" customHeight="1" x14ac:dyDescent="0.2">
      <c r="A20" s="275" t="s">
        <v>39213</v>
      </c>
      <c r="B20" s="604" t="s">
        <v>39189</v>
      </c>
      <c r="C20" s="604"/>
      <c r="D20" s="604"/>
      <c r="E20" s="604"/>
      <c r="F20" s="275" t="s">
        <v>39196</v>
      </c>
      <c r="G20" s="275" t="s">
        <v>26</v>
      </c>
      <c r="H20" s="231"/>
      <c r="I20" s="231"/>
      <c r="J20" s="231"/>
      <c r="K20" s="231"/>
      <c r="L20" s="231"/>
      <c r="M20" s="231"/>
    </row>
    <row r="21" spans="1:13" x14ac:dyDescent="0.2">
      <c r="A21" s="220" t="s">
        <v>39178</v>
      </c>
      <c r="B21" s="220" t="s">
        <v>52</v>
      </c>
      <c r="C21" s="220" t="s">
        <v>5917</v>
      </c>
      <c r="D21" s="220" t="s">
        <v>5</v>
      </c>
      <c r="E21" s="220" t="s">
        <v>39166</v>
      </c>
      <c r="F21" s="220" t="s">
        <v>39167</v>
      </c>
      <c r="G21" s="221" t="s">
        <v>39168</v>
      </c>
    </row>
    <row r="22" spans="1:13" x14ac:dyDescent="0.2">
      <c r="A22" s="605" t="s">
        <v>39169</v>
      </c>
      <c r="B22" s="605"/>
      <c r="C22" s="605"/>
      <c r="D22" s="605"/>
      <c r="E22" s="605"/>
      <c r="F22" s="605"/>
      <c r="G22" s="605"/>
    </row>
    <row r="23" spans="1:13" x14ac:dyDescent="0.2">
      <c r="A23" s="236" t="s">
        <v>15</v>
      </c>
      <c r="B23" s="79">
        <v>6111</v>
      </c>
      <c r="C23" s="85" t="str">
        <f>IF(A23="SINAPI",VLOOKUP(B23,SINAPI!A:D,2,0),(VLOOKUP(B23,SEINFRA!A:D,2,0)))</f>
        <v>SERVENTE DE OBRAS (HORISTA)</v>
      </c>
      <c r="D23" s="69" t="str">
        <f>IF(A23="SINAPI",VLOOKUP(B23,SINAPI!A:D,3,0),(VLOOKUP(B23,SEINFRA!A:D,3,0)))</f>
        <v>H</v>
      </c>
      <c r="E23" s="239">
        <v>0.1</v>
      </c>
      <c r="F23" s="82">
        <f>IF(A23="SINAPI",VLOOKUP(B23,SINAPI!A:D,4,0),(VLOOKUP(B23,SEINFRA!A:D,4,0)))</f>
        <v>13.25</v>
      </c>
      <c r="G23" s="234">
        <f>E23*F23</f>
        <v>1.3250000000000002</v>
      </c>
    </row>
    <row r="24" spans="1:13" x14ac:dyDescent="0.2">
      <c r="A24" s="236" t="s">
        <v>15</v>
      </c>
      <c r="B24" s="79">
        <v>4750</v>
      </c>
      <c r="C24" s="85" t="str">
        <f>IF(A24="SINAPI",VLOOKUP(B24,SINAPI!A:D,2,0),(VLOOKUP(B24,SEINFRA!A:D,2,0)))</f>
        <v>PEDREIRO (HORISTA)</v>
      </c>
      <c r="D24" s="69" t="str">
        <f>IF(A24="SINAPI",VLOOKUP(B24,SINAPI!A:D,3,0),(VLOOKUP(B24,SEINFRA!A:D,3,0)))</f>
        <v>H</v>
      </c>
      <c r="E24" s="239">
        <v>0.1</v>
      </c>
      <c r="F24" s="82">
        <f>IF(A24="SINAPI",VLOOKUP(B24,SINAPI!A:D,4,0),(VLOOKUP(B24,SEINFRA!A:D,4,0)))</f>
        <v>18.29</v>
      </c>
      <c r="G24" s="234">
        <f>E24*F24</f>
        <v>1.829</v>
      </c>
    </row>
    <row r="25" spans="1:13" x14ac:dyDescent="0.2">
      <c r="A25" s="606" t="s">
        <v>39170</v>
      </c>
      <c r="B25" s="606"/>
      <c r="C25" s="606"/>
      <c r="D25" s="606"/>
      <c r="E25" s="606"/>
      <c r="F25" s="606"/>
      <c r="G25" s="222">
        <f>ROUND(SUM(G23:G24),2)</f>
        <v>3.15</v>
      </c>
    </row>
    <row r="26" spans="1:13" x14ac:dyDescent="0.2">
      <c r="A26" s="605" t="s">
        <v>39171</v>
      </c>
      <c r="B26" s="605"/>
      <c r="C26" s="605"/>
      <c r="D26" s="605"/>
      <c r="E26" s="605"/>
      <c r="F26" s="605"/>
      <c r="G26" s="605"/>
    </row>
    <row r="27" spans="1:13" ht="51" x14ac:dyDescent="0.2">
      <c r="A27" s="236" t="s">
        <v>15</v>
      </c>
      <c r="B27" s="226">
        <v>37556</v>
      </c>
      <c r="C27" s="85" t="str">
        <f>IF(A27="SINAPI",VLOOKUP(B27,SINAPI!A:D,2,0),(VLOOKUP(B27,SEINFRA!A:D,2,0)))</f>
        <v>PLACA DE SINALIZACAO DE SEGURANCA CONTRA INCENDIO, FOTOLUMINESCENTE, QUADRADA, *20 X 20* CM, EM PVC *2* MM ANTI-CHAMAS (SIMBOLOS, CORES E PICTOGRAMAS CONFORME NBR 16820)</v>
      </c>
      <c r="D27" s="69" t="str">
        <f>IF(A27="SINAPI",VLOOKUP(B27,SINAPI!A:D,3,0),(VLOOKUP(B27,SEINFRA!A:D,3,0)))</f>
        <v>UN</v>
      </c>
      <c r="E27" s="239">
        <v>1</v>
      </c>
      <c r="F27" s="82">
        <f>IF(A27="SINAPI",VLOOKUP(B27,SINAPI!A:D,4,0),(VLOOKUP(B27,SEINFRA!A:D,4,0)))</f>
        <v>17.350000000000001</v>
      </c>
      <c r="G27" s="234">
        <f t="shared" ref="G27" si="0">E27*F27</f>
        <v>17.350000000000001</v>
      </c>
    </row>
    <row r="28" spans="1:13" x14ac:dyDescent="0.2">
      <c r="A28" s="606" t="s">
        <v>39172</v>
      </c>
      <c r="B28" s="606"/>
      <c r="C28" s="606"/>
      <c r="D28" s="606"/>
      <c r="E28" s="606"/>
      <c r="F28" s="606"/>
      <c r="G28" s="222">
        <f>ROUND(SUM(G27:G27),2)</f>
        <v>17.350000000000001</v>
      </c>
    </row>
    <row r="29" spans="1:13" x14ac:dyDescent="0.2">
      <c r="A29" s="607"/>
      <c r="B29" s="607"/>
      <c r="C29" s="607"/>
      <c r="D29" s="607"/>
      <c r="E29" s="607"/>
      <c r="F29" s="607"/>
      <c r="G29" s="607"/>
    </row>
    <row r="30" spans="1:13" x14ac:dyDescent="0.2">
      <c r="A30" s="608" t="s">
        <v>39173</v>
      </c>
      <c r="B30" s="608"/>
      <c r="C30" s="608"/>
      <c r="D30" s="608"/>
      <c r="E30" s="608"/>
      <c r="F30" s="608"/>
      <c r="G30" s="235">
        <f>ROUND(G25+G28,2)</f>
        <v>20.5</v>
      </c>
    </row>
    <row r="31" spans="1:13" x14ac:dyDescent="0.2">
      <c r="A31" s="608" t="s">
        <v>39174</v>
      </c>
      <c r="B31" s="608"/>
      <c r="C31" s="608"/>
      <c r="D31" s="608"/>
      <c r="E31" s="608"/>
      <c r="F31" s="608"/>
      <c r="G31" s="227" t="s">
        <v>39175</v>
      </c>
    </row>
    <row r="32" spans="1:13" x14ac:dyDescent="0.2">
      <c r="A32" s="608" t="s">
        <v>39176</v>
      </c>
      <c r="B32" s="608"/>
      <c r="C32" s="608"/>
      <c r="D32" s="608"/>
      <c r="E32" s="608"/>
      <c r="F32" s="608"/>
      <c r="G32" s="235">
        <v>0</v>
      </c>
    </row>
    <row r="33" spans="1:7" x14ac:dyDescent="0.2">
      <c r="A33" s="606" t="s">
        <v>39177</v>
      </c>
      <c r="B33" s="606"/>
      <c r="C33" s="606"/>
      <c r="D33" s="606"/>
      <c r="E33" s="606"/>
      <c r="F33" s="606"/>
      <c r="G33" s="228">
        <f>G30</f>
        <v>20.5</v>
      </c>
    </row>
    <row r="34" spans="1:7" x14ac:dyDescent="0.2">
      <c r="A34" s="229"/>
      <c r="B34" s="229"/>
      <c r="C34" s="229"/>
      <c r="D34" s="229"/>
      <c r="E34" s="229"/>
      <c r="F34" s="229"/>
      <c r="G34" s="230"/>
    </row>
    <row r="35" spans="1:7" x14ac:dyDescent="0.2">
      <c r="A35" s="601" t="str">
        <f>ORCAMENTO!A392</f>
        <v>BOA VIAGEM - CE, JULHO DE 2025</v>
      </c>
      <c r="B35" s="601"/>
      <c r="C35" s="602"/>
      <c r="D35" s="602"/>
      <c r="E35" s="602"/>
      <c r="F35" s="602"/>
      <c r="G35" s="602"/>
    </row>
  </sheetData>
  <mergeCells count="12">
    <mergeCell ref="A2:G2"/>
    <mergeCell ref="A35:G35"/>
    <mergeCell ref="A22:G22"/>
    <mergeCell ref="A25:F25"/>
    <mergeCell ref="A26:G26"/>
    <mergeCell ref="A28:F28"/>
    <mergeCell ref="A29:G29"/>
    <mergeCell ref="A30:F30"/>
    <mergeCell ref="A31:F31"/>
    <mergeCell ref="A32:F32"/>
    <mergeCell ref="A33:F33"/>
    <mergeCell ref="B20:E20"/>
  </mergeCells>
  <printOptions horizontalCentered="1"/>
  <pageMargins left="0.39370078740157483" right="0.39370078740157483" top="0.39370078740157483" bottom="0.78740157480314965" header="0.31496062992125984" footer="0.31496062992125984"/>
  <pageSetup paperSize="9" scale="76"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A148D-F20A-4A32-8802-61B25551201C}">
  <dimension ref="A1:M35"/>
  <sheetViews>
    <sheetView view="pageBreakPreview" zoomScale="115" zoomScaleNormal="100" zoomScaleSheetLayoutView="115" workbookViewId="0">
      <selection activeCell="A2" sqref="A2:G2"/>
    </sheetView>
  </sheetViews>
  <sheetFormatPr defaultRowHeight="12.75" x14ac:dyDescent="0.2"/>
  <cols>
    <col min="1" max="2" width="12.83203125" customWidth="1"/>
    <col min="3" max="3" width="70.83203125" customWidth="1"/>
    <col min="4" max="4" width="6.83203125" customWidth="1"/>
    <col min="5" max="7" width="10.83203125" customWidth="1"/>
  </cols>
  <sheetData>
    <row r="1" spans="1:13" x14ac:dyDescent="0.2">
      <c r="A1" s="218"/>
      <c r="B1" s="218"/>
      <c r="C1" s="218"/>
      <c r="D1" s="218"/>
      <c r="E1" s="218"/>
      <c r="F1" s="218"/>
      <c r="G1" s="218"/>
      <c r="H1" s="218"/>
      <c r="I1" s="218"/>
      <c r="J1" s="218"/>
      <c r="K1" s="218"/>
      <c r="L1" s="218"/>
      <c r="M1" s="218"/>
    </row>
    <row r="2" spans="1:13" x14ac:dyDescent="0.2">
      <c r="A2" s="603" t="str">
        <f>ORCAMENTO!A2</f>
        <v>INSTITUTO FEDERAL DE EDUCAÇÃO CIÊNCIA E TECNOLOGIA DO CEARÁ - CAMPUS BOA VIAGEM</v>
      </c>
      <c r="B2" s="603"/>
      <c r="C2" s="603"/>
      <c r="D2" s="603"/>
      <c r="E2" s="603"/>
      <c r="F2" s="603"/>
      <c r="G2" s="603"/>
      <c r="H2" s="232"/>
      <c r="I2" s="232"/>
      <c r="J2" s="232"/>
      <c r="K2" s="232"/>
      <c r="L2" s="232"/>
      <c r="M2" s="232"/>
    </row>
    <row r="3" spans="1:13" x14ac:dyDescent="0.2">
      <c r="A3" s="218"/>
      <c r="B3" s="218"/>
      <c r="C3" s="218"/>
      <c r="D3" s="218"/>
      <c r="E3" s="218"/>
      <c r="F3" s="218"/>
      <c r="G3" s="218"/>
      <c r="H3" s="218"/>
      <c r="I3" s="218"/>
      <c r="J3" s="218"/>
      <c r="K3" s="218"/>
      <c r="L3" s="218"/>
      <c r="M3" s="218"/>
    </row>
    <row r="4" spans="1:13" x14ac:dyDescent="0.2">
      <c r="A4" s="219" t="str">
        <f>ORCAMENTO!A4</f>
        <v>OBRA:</v>
      </c>
      <c r="B4" s="219"/>
      <c r="C4" s="218"/>
      <c r="D4" s="218"/>
      <c r="E4" s="218"/>
      <c r="F4" s="218"/>
      <c r="G4" s="218"/>
      <c r="H4" s="218"/>
      <c r="I4" s="218"/>
      <c r="J4" s="218"/>
      <c r="K4" s="218"/>
      <c r="L4" s="218"/>
      <c r="M4" s="218"/>
    </row>
    <row r="5" spans="1:13" x14ac:dyDescent="0.2">
      <c r="A5" s="218" t="str">
        <f>ORCAMENTO!A5</f>
        <v>CENTRO DE INOVAÇÃO E DIFUSÃO DE TECNOLOGIA PARA O SEMIÁRIDO - CAMPUS BOA VIAGEM</v>
      </c>
      <c r="B5" s="218"/>
      <c r="C5" s="218"/>
      <c r="D5" s="218"/>
      <c r="E5" s="218"/>
      <c r="F5" s="218"/>
      <c r="G5" s="218"/>
      <c r="H5" s="218"/>
      <c r="I5" s="218"/>
      <c r="J5" s="218"/>
      <c r="K5" s="218"/>
      <c r="L5" s="218"/>
      <c r="M5" s="218"/>
    </row>
    <row r="6" spans="1:13" x14ac:dyDescent="0.2">
      <c r="A6" s="219" t="str">
        <f>ORCAMENTO!A6</f>
        <v>LOCAL:</v>
      </c>
      <c r="B6" s="219"/>
      <c r="C6" s="218"/>
      <c r="D6" s="218"/>
      <c r="E6" s="218"/>
      <c r="F6" s="218"/>
      <c r="G6" s="218"/>
      <c r="H6" s="218"/>
      <c r="I6" s="218"/>
      <c r="J6" s="218"/>
      <c r="K6" s="218"/>
      <c r="L6" s="218"/>
      <c r="M6" s="218"/>
    </row>
    <row r="7" spans="1:13" x14ac:dyDescent="0.2">
      <c r="A7" s="218" t="str">
        <f>ORCAMENTO!A7</f>
        <v>SEDE DO MUNICÍPIO</v>
      </c>
      <c r="B7" s="218"/>
      <c r="C7" s="218"/>
      <c r="D7" s="218"/>
      <c r="E7" s="218"/>
      <c r="F7" s="218"/>
      <c r="G7" s="218"/>
      <c r="H7" s="218"/>
      <c r="I7" s="218"/>
      <c r="J7" s="218"/>
      <c r="K7" s="218"/>
      <c r="L7" s="218"/>
      <c r="M7" s="218"/>
    </row>
    <row r="8" spans="1:13" x14ac:dyDescent="0.2">
      <c r="A8" s="219" t="str">
        <f>ORCAMENTO!A8</f>
        <v>MUNICÍPIO:</v>
      </c>
      <c r="B8" s="219"/>
      <c r="C8" s="218"/>
      <c r="D8" s="218"/>
      <c r="E8" s="218"/>
      <c r="F8" s="218"/>
      <c r="G8" s="218"/>
      <c r="H8" s="218"/>
      <c r="I8" s="218"/>
      <c r="J8" s="218"/>
      <c r="K8" s="218"/>
      <c r="L8" s="218"/>
      <c r="M8" s="218"/>
    </row>
    <row r="9" spans="1:13" x14ac:dyDescent="0.2">
      <c r="A9" s="218" t="str">
        <f>ORCAMENTO!A9</f>
        <v>BOA VIAGEM - CE</v>
      </c>
      <c r="B9" s="218"/>
      <c r="C9" s="218"/>
      <c r="D9" s="218"/>
      <c r="E9" s="218"/>
      <c r="F9" s="218"/>
      <c r="G9" s="218"/>
      <c r="H9" s="218"/>
      <c r="I9" s="218"/>
      <c r="J9" s="218"/>
      <c r="K9" s="218"/>
      <c r="L9" s="218"/>
      <c r="M9" s="218"/>
    </row>
    <row r="10" spans="1:13" x14ac:dyDescent="0.2">
      <c r="A10" s="218"/>
      <c r="B10" s="218"/>
      <c r="C10" s="218"/>
      <c r="D10" s="218"/>
      <c r="E10" s="218"/>
      <c r="F10" s="218"/>
      <c r="G10" s="218"/>
      <c r="H10" s="218"/>
      <c r="I10" s="218"/>
      <c r="J10" s="218"/>
      <c r="K10" s="218"/>
      <c r="L10" s="218"/>
      <c r="M10" s="218"/>
    </row>
    <row r="11" spans="1:13" x14ac:dyDescent="0.2">
      <c r="A11" s="219" t="str">
        <f>ORCAMENTO!A11</f>
        <v>FONTE DOS PREÇOS:</v>
      </c>
      <c r="B11" s="219"/>
      <c r="C11" s="218"/>
      <c r="D11" s="218"/>
      <c r="E11" s="218"/>
      <c r="F11" s="218"/>
      <c r="G11" s="218"/>
      <c r="H11" s="218"/>
      <c r="I11" s="218"/>
      <c r="J11" s="218"/>
      <c r="K11" s="218"/>
      <c r="L11" s="218"/>
      <c r="M11" s="218"/>
    </row>
    <row r="12" spans="1:13" x14ac:dyDescent="0.2">
      <c r="A12" s="218" t="str">
        <f>ORCAMENTO!A12</f>
        <v>TABELA SEINFRA 028.1 DESONERADA</v>
      </c>
      <c r="B12" s="218"/>
      <c r="C12" s="218"/>
      <c r="D12" s="218"/>
      <c r="E12" s="218"/>
      <c r="F12" s="218"/>
      <c r="G12" s="218"/>
      <c r="H12" s="218"/>
      <c r="I12" s="218"/>
      <c r="J12" s="218"/>
      <c r="K12" s="218"/>
      <c r="L12" s="218"/>
      <c r="M12" s="218"/>
    </row>
    <row r="13" spans="1:13" x14ac:dyDescent="0.2">
      <c r="A13" s="218"/>
      <c r="B13" s="218"/>
      <c r="C13" s="218" t="str">
        <f>ORCAMENTO!B13</f>
        <v>DATA REFERÊNCIA TÉCNICA: 10/2023</v>
      </c>
      <c r="D13" s="218"/>
      <c r="E13" s="218"/>
      <c r="F13" s="218"/>
      <c r="G13" s="218"/>
      <c r="H13" s="218"/>
      <c r="I13" s="218"/>
      <c r="J13" s="218"/>
      <c r="K13" s="218"/>
      <c r="L13" s="218"/>
      <c r="M13" s="218"/>
    </row>
    <row r="14" spans="1:13" x14ac:dyDescent="0.2">
      <c r="A14" s="218"/>
      <c r="B14" s="218"/>
      <c r="C14" s="218" t="str">
        <f>ORCAMENTO!B14</f>
        <v>ENCARGOS SOCIAIS: 84,44% (HORA) - 47,48% (MÊS)</v>
      </c>
      <c r="D14" s="218"/>
      <c r="E14" s="218"/>
      <c r="F14" s="218"/>
      <c r="G14" s="218"/>
      <c r="H14" s="218"/>
      <c r="I14" s="218"/>
      <c r="J14" s="218"/>
      <c r="K14" s="218"/>
      <c r="L14" s="218"/>
      <c r="M14" s="218"/>
    </row>
    <row r="15" spans="1:13" x14ac:dyDescent="0.2">
      <c r="A15" s="218" t="str">
        <f>ORCAMENTO!A15</f>
        <v>TABELA SINAPI 06/2025 DESONERADA</v>
      </c>
      <c r="B15" s="218"/>
      <c r="C15" s="218"/>
      <c r="D15" s="218"/>
      <c r="E15" s="218"/>
      <c r="F15" s="218"/>
      <c r="G15" s="218"/>
      <c r="H15" s="218"/>
      <c r="I15" s="218"/>
      <c r="J15" s="218"/>
      <c r="K15" s="218"/>
      <c r="L15" s="218"/>
      <c r="M15" s="218"/>
    </row>
    <row r="16" spans="1:13" x14ac:dyDescent="0.2">
      <c r="A16" s="218"/>
      <c r="B16" s="218"/>
      <c r="C16" s="218" t="str">
        <f>ORCAMENTO!B16</f>
        <v>DATA REFERÊNCIA TÉCNICA: 06/2025</v>
      </c>
      <c r="D16" s="218"/>
      <c r="E16" s="218"/>
      <c r="F16" s="218"/>
      <c r="G16" s="218"/>
      <c r="H16" s="218"/>
      <c r="I16" s="218"/>
      <c r="J16" s="218"/>
      <c r="K16" s="218"/>
      <c r="L16" s="218"/>
      <c r="M16" s="218"/>
    </row>
    <row r="17" spans="1:13" x14ac:dyDescent="0.2">
      <c r="A17" s="218"/>
      <c r="B17" s="218"/>
      <c r="C17" s="218" t="str">
        <f>ORCAMENTO!B17</f>
        <v>ENCARGOS SOCIAIS: 92,17% (HORA) - 53,50% (MÊS)</v>
      </c>
      <c r="D17" s="218"/>
      <c r="E17" s="218"/>
      <c r="F17" s="218"/>
      <c r="G17" s="218"/>
      <c r="H17" s="218"/>
      <c r="I17" s="218"/>
      <c r="J17" s="218"/>
      <c r="K17" s="218"/>
      <c r="L17" s="218"/>
      <c r="M17" s="218"/>
    </row>
    <row r="20" spans="1:13" ht="45" customHeight="1" x14ac:dyDescent="0.2">
      <c r="A20" s="275" t="s">
        <v>39217</v>
      </c>
      <c r="B20" s="604" t="s">
        <v>39190</v>
      </c>
      <c r="C20" s="604"/>
      <c r="D20" s="604"/>
      <c r="E20" s="604"/>
      <c r="F20" s="275" t="s">
        <v>39196</v>
      </c>
      <c r="G20" s="275" t="s">
        <v>26</v>
      </c>
      <c r="H20" s="231"/>
      <c r="I20" s="231"/>
      <c r="J20" s="231"/>
      <c r="K20" s="231"/>
      <c r="L20" s="231"/>
      <c r="M20" s="231"/>
    </row>
    <row r="21" spans="1:13" x14ac:dyDescent="0.2">
      <c r="A21" s="220" t="s">
        <v>39178</v>
      </c>
      <c r="B21" s="220" t="s">
        <v>52</v>
      </c>
      <c r="C21" s="220" t="s">
        <v>5917</v>
      </c>
      <c r="D21" s="220" t="s">
        <v>5</v>
      </c>
      <c r="E21" s="220" t="s">
        <v>39166</v>
      </c>
      <c r="F21" s="220" t="s">
        <v>39167</v>
      </c>
      <c r="G21" s="221" t="s">
        <v>39168</v>
      </c>
    </row>
    <row r="22" spans="1:13" x14ac:dyDescent="0.2">
      <c r="A22" s="605" t="s">
        <v>39169</v>
      </c>
      <c r="B22" s="605"/>
      <c r="C22" s="605"/>
      <c r="D22" s="605"/>
      <c r="E22" s="605"/>
      <c r="F22" s="605"/>
      <c r="G22" s="605"/>
    </row>
    <row r="23" spans="1:13" x14ac:dyDescent="0.2">
      <c r="A23" s="236" t="s">
        <v>15</v>
      </c>
      <c r="B23" s="79">
        <v>6111</v>
      </c>
      <c r="C23" s="85" t="str">
        <f>IF(A23="SINAPI",VLOOKUP(B23,SINAPI!A:D,2,0),(VLOOKUP(B23,SEINFRA!A:D,2,0)))</f>
        <v>SERVENTE DE OBRAS (HORISTA)</v>
      </c>
      <c r="D23" s="69" t="str">
        <f>IF(A23="SINAPI",VLOOKUP(B23,SINAPI!A:D,3,0),(VLOOKUP(B23,SEINFRA!A:D,3,0)))</f>
        <v>H</v>
      </c>
      <c r="E23" s="239">
        <v>0.1</v>
      </c>
      <c r="F23" s="82">
        <f>IF(A23="SINAPI",VLOOKUP(B23,SINAPI!A:D,4,0),(VLOOKUP(B23,SEINFRA!A:D,4,0)))</f>
        <v>13.25</v>
      </c>
      <c r="G23" s="234">
        <f>E23*F23</f>
        <v>1.3250000000000002</v>
      </c>
    </row>
    <row r="24" spans="1:13" x14ac:dyDescent="0.2">
      <c r="A24" s="236" t="s">
        <v>15</v>
      </c>
      <c r="B24" s="79">
        <v>4750</v>
      </c>
      <c r="C24" s="85" t="str">
        <f>IF(A24="SINAPI",VLOOKUP(B24,SINAPI!A:D,2,0),(VLOOKUP(B24,SEINFRA!A:D,2,0)))</f>
        <v>PEDREIRO (HORISTA)</v>
      </c>
      <c r="D24" s="69" t="str">
        <f>IF(A24="SINAPI",VLOOKUP(B24,SINAPI!A:D,3,0),(VLOOKUP(B24,SEINFRA!A:D,3,0)))</f>
        <v>H</v>
      </c>
      <c r="E24" s="239">
        <v>0.1</v>
      </c>
      <c r="F24" s="82">
        <f>IF(A24="SINAPI",VLOOKUP(B24,SINAPI!A:D,4,0),(VLOOKUP(B24,SEINFRA!A:D,4,0)))</f>
        <v>18.29</v>
      </c>
      <c r="G24" s="234">
        <f>E24*F24</f>
        <v>1.829</v>
      </c>
    </row>
    <row r="25" spans="1:13" x14ac:dyDescent="0.2">
      <c r="A25" s="606" t="s">
        <v>39170</v>
      </c>
      <c r="B25" s="606"/>
      <c r="C25" s="606"/>
      <c r="D25" s="606"/>
      <c r="E25" s="606"/>
      <c r="F25" s="606"/>
      <c r="G25" s="222">
        <f>ROUND(SUM(G23:G24),2)</f>
        <v>3.15</v>
      </c>
    </row>
    <row r="26" spans="1:13" x14ac:dyDescent="0.2">
      <c r="A26" s="605" t="s">
        <v>39171</v>
      </c>
      <c r="B26" s="605"/>
      <c r="C26" s="605"/>
      <c r="D26" s="605"/>
      <c r="E26" s="605"/>
      <c r="F26" s="605"/>
      <c r="G26" s="605"/>
    </row>
    <row r="27" spans="1:13" ht="51" x14ac:dyDescent="0.2">
      <c r="A27" s="236" t="s">
        <v>15</v>
      </c>
      <c r="B27" s="226">
        <v>37559</v>
      </c>
      <c r="C27" s="85" t="str">
        <f>IF(A27="SINAPI",VLOOKUP(B27,SINAPI!A:D,2,0),(VLOOKUP(B27,SEINFRA!A:D,2,0)))</f>
        <v>PLACA DE SINALIZACAO DE SEGURANCA CONTRA INCENDIO, FOTOLUMINESCENTE, RETANGULAR, *12 X 40* CM, EM PVC *2* MM ANTI-CHAMAS (SIMBOLOS, CORES E PICTOGRAMAS CONFORME NBR 16820)</v>
      </c>
      <c r="D27" s="69" t="str">
        <f>IF(A27="SINAPI",VLOOKUP(B27,SINAPI!A:D,3,0),(VLOOKUP(B27,SEINFRA!A:D,3,0)))</f>
        <v>UN</v>
      </c>
      <c r="E27" s="239">
        <v>1</v>
      </c>
      <c r="F27" s="82">
        <f>IF(A27="SINAPI",VLOOKUP(B27,SINAPI!A:D,4,0),(VLOOKUP(B27,SEINFRA!A:D,4,0)))</f>
        <v>21.28</v>
      </c>
      <c r="G27" s="234">
        <f t="shared" ref="G27" si="0">E27*F27</f>
        <v>21.28</v>
      </c>
    </row>
    <row r="28" spans="1:13" x14ac:dyDescent="0.2">
      <c r="A28" s="606" t="s">
        <v>39172</v>
      </c>
      <c r="B28" s="606"/>
      <c r="C28" s="606"/>
      <c r="D28" s="606"/>
      <c r="E28" s="606"/>
      <c r="F28" s="606"/>
      <c r="G28" s="222">
        <f>ROUND(SUM(G27:G27),2)</f>
        <v>21.28</v>
      </c>
    </row>
    <row r="29" spans="1:13" x14ac:dyDescent="0.2">
      <c r="A29" s="607"/>
      <c r="B29" s="607"/>
      <c r="C29" s="607"/>
      <c r="D29" s="607"/>
      <c r="E29" s="607"/>
      <c r="F29" s="607"/>
      <c r="G29" s="607"/>
    </row>
    <row r="30" spans="1:13" x14ac:dyDescent="0.2">
      <c r="A30" s="608" t="s">
        <v>39173</v>
      </c>
      <c r="B30" s="608"/>
      <c r="C30" s="608"/>
      <c r="D30" s="608"/>
      <c r="E30" s="608"/>
      <c r="F30" s="608"/>
      <c r="G30" s="235">
        <f>ROUND(G25+G28,2)</f>
        <v>24.43</v>
      </c>
    </row>
    <row r="31" spans="1:13" x14ac:dyDescent="0.2">
      <c r="A31" s="608" t="s">
        <v>39174</v>
      </c>
      <c r="B31" s="608"/>
      <c r="C31" s="608"/>
      <c r="D31" s="608"/>
      <c r="E31" s="608"/>
      <c r="F31" s="608"/>
      <c r="G31" s="227" t="s">
        <v>39175</v>
      </c>
    </row>
    <row r="32" spans="1:13" x14ac:dyDescent="0.2">
      <c r="A32" s="608" t="s">
        <v>39176</v>
      </c>
      <c r="B32" s="608"/>
      <c r="C32" s="608"/>
      <c r="D32" s="608"/>
      <c r="E32" s="608"/>
      <c r="F32" s="608"/>
      <c r="G32" s="235">
        <v>0</v>
      </c>
    </row>
    <row r="33" spans="1:7" x14ac:dyDescent="0.2">
      <c r="A33" s="606" t="s">
        <v>39177</v>
      </c>
      <c r="B33" s="606"/>
      <c r="C33" s="606"/>
      <c r="D33" s="606"/>
      <c r="E33" s="606"/>
      <c r="F33" s="606"/>
      <c r="G33" s="228">
        <f>G30</f>
        <v>24.43</v>
      </c>
    </row>
    <row r="34" spans="1:7" x14ac:dyDescent="0.2">
      <c r="A34" s="229"/>
      <c r="B34" s="229"/>
      <c r="C34" s="229"/>
      <c r="D34" s="229"/>
      <c r="E34" s="229"/>
      <c r="F34" s="229"/>
      <c r="G34" s="230"/>
    </row>
    <row r="35" spans="1:7" x14ac:dyDescent="0.2">
      <c r="A35" s="601" t="str">
        <f>ORCAMENTO!A392</f>
        <v>BOA VIAGEM - CE, JULHO DE 2025</v>
      </c>
      <c r="B35" s="601"/>
      <c r="C35" s="602"/>
      <c r="D35" s="602"/>
      <c r="E35" s="602"/>
      <c r="F35" s="602"/>
      <c r="G35" s="602"/>
    </row>
  </sheetData>
  <mergeCells count="12">
    <mergeCell ref="A2:G2"/>
    <mergeCell ref="A35:G35"/>
    <mergeCell ref="A22:G22"/>
    <mergeCell ref="A25:F25"/>
    <mergeCell ref="A26:G26"/>
    <mergeCell ref="A28:F28"/>
    <mergeCell ref="A29:G29"/>
    <mergeCell ref="A30:F30"/>
    <mergeCell ref="A31:F31"/>
    <mergeCell ref="A32:F32"/>
    <mergeCell ref="A33:F33"/>
    <mergeCell ref="B20:E20"/>
  </mergeCells>
  <printOptions horizontalCentered="1"/>
  <pageMargins left="0.39370078740157483" right="0.39370078740157483" top="0.39370078740157483" bottom="0.78740157480314965" header="0.31496062992125984" footer="0.31496062992125984"/>
  <pageSetup paperSize="9" scale="76"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41E0A-38ED-4D68-80DE-71427457DE78}">
  <dimension ref="A1:M34"/>
  <sheetViews>
    <sheetView view="pageBreakPreview" topLeftCell="A4" zoomScale="130" zoomScaleNormal="100" zoomScaleSheetLayoutView="130" workbookViewId="0">
      <selection activeCell="A2" sqref="A2:G2"/>
    </sheetView>
  </sheetViews>
  <sheetFormatPr defaultRowHeight="12.75" x14ac:dyDescent="0.2"/>
  <cols>
    <col min="1" max="1" width="12.6640625" customWidth="1"/>
    <col min="2" max="2" width="11.6640625" customWidth="1"/>
    <col min="3" max="3" width="75.83203125" customWidth="1"/>
    <col min="4" max="4" width="5.83203125" customWidth="1"/>
    <col min="5" max="5" width="9" bestFit="1" customWidth="1"/>
    <col min="6" max="6" width="10" bestFit="1" customWidth="1"/>
    <col min="7" max="7" width="11.83203125" customWidth="1"/>
  </cols>
  <sheetData>
    <row r="1" spans="1:13" x14ac:dyDescent="0.2">
      <c r="A1" s="218"/>
      <c r="B1" s="218"/>
      <c r="C1" s="218"/>
      <c r="D1" s="218"/>
      <c r="E1" s="218"/>
      <c r="F1" s="218"/>
      <c r="G1" s="218"/>
      <c r="H1" s="218"/>
      <c r="I1" s="218"/>
      <c r="J1" s="218"/>
      <c r="K1" s="218"/>
      <c r="L1" s="218"/>
      <c r="M1" s="218"/>
    </row>
    <row r="2" spans="1:13" x14ac:dyDescent="0.2">
      <c r="A2" s="603" t="str">
        <f>ORCAMENTO!A2</f>
        <v>INSTITUTO FEDERAL DE EDUCAÇÃO CIÊNCIA E TECNOLOGIA DO CEARÁ - CAMPUS BOA VIAGEM</v>
      </c>
      <c r="B2" s="603"/>
      <c r="C2" s="603"/>
      <c r="D2" s="603"/>
      <c r="E2" s="603"/>
      <c r="F2" s="603"/>
      <c r="G2" s="603"/>
      <c r="H2" s="232"/>
      <c r="I2" s="232"/>
      <c r="J2" s="232"/>
      <c r="K2" s="232"/>
      <c r="L2" s="232"/>
      <c r="M2" s="232"/>
    </row>
    <row r="3" spans="1:13" x14ac:dyDescent="0.2">
      <c r="A3" s="218"/>
      <c r="B3" s="218"/>
      <c r="C3" s="218"/>
      <c r="D3" s="218"/>
      <c r="E3" s="218"/>
      <c r="F3" s="218"/>
      <c r="G3" s="218"/>
      <c r="H3" s="218"/>
      <c r="I3" s="218"/>
      <c r="J3" s="218"/>
      <c r="K3" s="218"/>
      <c r="L3" s="218"/>
      <c r="M3" s="218"/>
    </row>
    <row r="4" spans="1:13" x14ac:dyDescent="0.2">
      <c r="A4" s="219" t="str">
        <f>ORCAMENTO!A4</f>
        <v>OBRA:</v>
      </c>
      <c r="B4" s="219"/>
      <c r="C4" s="218"/>
      <c r="D4" s="218"/>
      <c r="E4" s="218"/>
      <c r="F4" s="218"/>
      <c r="G4" s="218"/>
      <c r="H4" s="218"/>
      <c r="I4" s="218"/>
      <c r="J4" s="218"/>
      <c r="K4" s="218"/>
      <c r="L4" s="218"/>
      <c r="M4" s="218"/>
    </row>
    <row r="5" spans="1:13" x14ac:dyDescent="0.2">
      <c r="A5" s="218" t="str">
        <f>ORCAMENTO!A5</f>
        <v>CENTRO DE INOVAÇÃO E DIFUSÃO DE TECNOLOGIA PARA O SEMIÁRIDO - CAMPUS BOA VIAGEM</v>
      </c>
      <c r="B5" s="218"/>
      <c r="C5" s="218"/>
      <c r="D5" s="218"/>
      <c r="E5" s="218"/>
      <c r="F5" s="218"/>
      <c r="G5" s="218"/>
      <c r="H5" s="218"/>
      <c r="I5" s="218"/>
      <c r="J5" s="218"/>
      <c r="K5" s="218"/>
      <c r="L5" s="218"/>
      <c r="M5" s="218"/>
    </row>
    <row r="6" spans="1:13" x14ac:dyDescent="0.2">
      <c r="A6" s="219" t="str">
        <f>ORCAMENTO!A6</f>
        <v>LOCAL:</v>
      </c>
      <c r="B6" s="219"/>
      <c r="C6" s="218"/>
      <c r="D6" s="218"/>
      <c r="E6" s="218"/>
      <c r="F6" s="218"/>
      <c r="G6" s="218"/>
      <c r="H6" s="218"/>
      <c r="I6" s="218"/>
      <c r="J6" s="218"/>
      <c r="K6" s="218"/>
      <c r="L6" s="218"/>
      <c r="M6" s="218"/>
    </row>
    <row r="7" spans="1:13" x14ac:dyDescent="0.2">
      <c r="A7" s="218" t="str">
        <f>ORCAMENTO!A7</f>
        <v>SEDE DO MUNICÍPIO</v>
      </c>
      <c r="B7" s="218"/>
      <c r="C7" s="218"/>
      <c r="D7" s="218"/>
      <c r="E7" s="218"/>
      <c r="F7" s="218"/>
      <c r="G7" s="218"/>
      <c r="H7" s="218"/>
      <c r="I7" s="218"/>
      <c r="J7" s="218"/>
      <c r="K7" s="218"/>
      <c r="L7" s="218"/>
      <c r="M7" s="218"/>
    </row>
    <row r="8" spans="1:13" x14ac:dyDescent="0.2">
      <c r="A8" s="219" t="str">
        <f>ORCAMENTO!A8</f>
        <v>MUNICÍPIO:</v>
      </c>
      <c r="B8" s="219"/>
      <c r="C8" s="218"/>
      <c r="D8" s="218"/>
      <c r="E8" s="218"/>
      <c r="F8" s="218"/>
      <c r="G8" s="218"/>
      <c r="H8" s="218"/>
      <c r="I8" s="218"/>
      <c r="J8" s="218"/>
      <c r="K8" s="218"/>
      <c r="L8" s="218"/>
      <c r="M8" s="218"/>
    </row>
    <row r="9" spans="1:13" x14ac:dyDescent="0.2">
      <c r="A9" s="218" t="str">
        <f>ORCAMENTO!A9</f>
        <v>BOA VIAGEM - CE</v>
      </c>
      <c r="B9" s="218"/>
      <c r="C9" s="218"/>
      <c r="D9" s="218"/>
      <c r="E9" s="218"/>
      <c r="F9" s="218"/>
      <c r="G9" s="218"/>
      <c r="H9" s="218"/>
      <c r="I9" s="218"/>
      <c r="J9" s="218"/>
      <c r="K9" s="218"/>
      <c r="L9" s="218"/>
      <c r="M9" s="218"/>
    </row>
    <row r="10" spans="1:13" x14ac:dyDescent="0.2">
      <c r="A10" s="218"/>
      <c r="B10" s="218"/>
      <c r="C10" s="218"/>
      <c r="D10" s="218"/>
      <c r="E10" s="218"/>
      <c r="F10" s="218"/>
      <c r="G10" s="218"/>
      <c r="H10" s="218"/>
      <c r="I10" s="218"/>
      <c r="J10" s="218"/>
      <c r="K10" s="218"/>
      <c r="L10" s="218"/>
      <c r="M10" s="218"/>
    </row>
    <row r="11" spans="1:13" x14ac:dyDescent="0.2">
      <c r="A11" s="219" t="str">
        <f>ORCAMENTO!A11</f>
        <v>FONTE DOS PREÇOS:</v>
      </c>
      <c r="B11" s="219"/>
      <c r="C11" s="218"/>
      <c r="D11" s="218"/>
      <c r="E11" s="218"/>
      <c r="F11" s="218"/>
      <c r="G11" s="218"/>
      <c r="H11" s="218"/>
      <c r="I11" s="218"/>
      <c r="J11" s="218"/>
      <c r="K11" s="218"/>
      <c r="L11" s="218"/>
      <c r="M11" s="218"/>
    </row>
    <row r="12" spans="1:13" x14ac:dyDescent="0.2">
      <c r="A12" s="218" t="str">
        <f>ORCAMENTO!A12</f>
        <v>TABELA SEINFRA 028.1 DESONERADA</v>
      </c>
      <c r="B12" s="218"/>
      <c r="C12" s="218"/>
      <c r="D12" s="218"/>
      <c r="E12" s="218"/>
      <c r="F12" s="218"/>
      <c r="G12" s="218"/>
      <c r="H12" s="218"/>
      <c r="I12" s="218"/>
      <c r="J12" s="218"/>
      <c r="K12" s="218"/>
      <c r="L12" s="218"/>
      <c r="M12" s="218"/>
    </row>
    <row r="13" spans="1:13" x14ac:dyDescent="0.2">
      <c r="A13" s="218"/>
      <c r="B13" s="218"/>
      <c r="C13" s="218" t="str">
        <f>ORCAMENTO!B13</f>
        <v>DATA REFERÊNCIA TÉCNICA: 10/2023</v>
      </c>
      <c r="D13" s="218"/>
      <c r="E13" s="218"/>
      <c r="F13" s="218"/>
      <c r="G13" s="218"/>
      <c r="H13" s="218"/>
      <c r="I13" s="218"/>
      <c r="J13" s="218"/>
      <c r="K13" s="218"/>
      <c r="L13" s="218"/>
      <c r="M13" s="218"/>
    </row>
    <row r="14" spans="1:13" x14ac:dyDescent="0.2">
      <c r="A14" s="218"/>
      <c r="B14" s="218"/>
      <c r="C14" s="218" t="str">
        <f>ORCAMENTO!B14</f>
        <v>ENCARGOS SOCIAIS: 84,44% (HORA) - 47,48% (MÊS)</v>
      </c>
      <c r="D14" s="218"/>
      <c r="E14" s="218"/>
      <c r="F14" s="218"/>
      <c r="G14" s="218"/>
      <c r="H14" s="218"/>
      <c r="I14" s="218"/>
      <c r="J14" s="218"/>
      <c r="K14" s="218"/>
      <c r="L14" s="218"/>
      <c r="M14" s="218"/>
    </row>
    <row r="15" spans="1:13" x14ac:dyDescent="0.2">
      <c r="A15" s="218" t="str">
        <f>ORCAMENTO!A15</f>
        <v>TABELA SINAPI 06/2025 DESONERADA</v>
      </c>
      <c r="B15" s="218"/>
      <c r="C15" s="218"/>
      <c r="D15" s="218"/>
      <c r="E15" s="218"/>
      <c r="F15" s="218"/>
      <c r="G15" s="218"/>
      <c r="H15" s="218"/>
      <c r="I15" s="218"/>
      <c r="J15" s="218"/>
      <c r="K15" s="218"/>
      <c r="L15" s="218"/>
      <c r="M15" s="218"/>
    </row>
    <row r="16" spans="1:13" x14ac:dyDescent="0.2">
      <c r="A16" s="218"/>
      <c r="B16" s="218"/>
      <c r="C16" s="218" t="str">
        <f>ORCAMENTO!B16</f>
        <v>DATA REFERÊNCIA TÉCNICA: 06/2025</v>
      </c>
      <c r="D16" s="218"/>
      <c r="E16" s="218"/>
      <c r="F16" s="218"/>
      <c r="G16" s="218"/>
      <c r="H16" s="218"/>
      <c r="I16" s="218"/>
      <c r="J16" s="218"/>
      <c r="K16" s="218"/>
      <c r="L16" s="218"/>
      <c r="M16" s="218"/>
    </row>
    <row r="17" spans="1:13" x14ac:dyDescent="0.2">
      <c r="A17" s="218"/>
      <c r="B17" s="218"/>
      <c r="C17" s="218" t="str">
        <f>ORCAMENTO!B17</f>
        <v>ENCARGOS SOCIAIS: 92,17% (HORA) - 53,50% (MÊS)</v>
      </c>
      <c r="D17" s="218"/>
      <c r="E17" s="218"/>
      <c r="F17" s="218"/>
      <c r="G17" s="218"/>
      <c r="H17" s="218"/>
      <c r="I17" s="218"/>
      <c r="J17" s="218"/>
      <c r="K17" s="218"/>
      <c r="L17" s="218"/>
      <c r="M17" s="218"/>
    </row>
    <row r="18" spans="1:13" x14ac:dyDescent="0.2">
      <c r="A18" s="218"/>
    </row>
    <row r="19" spans="1:13" ht="12.75" customHeight="1" x14ac:dyDescent="0.2">
      <c r="A19" s="244" t="s">
        <v>47112</v>
      </c>
      <c r="B19" s="609" t="s">
        <v>47151</v>
      </c>
      <c r="C19" s="610"/>
      <c r="D19" s="610"/>
      <c r="E19" s="611"/>
      <c r="F19" s="275" t="s">
        <v>39196</v>
      </c>
      <c r="G19" s="445" t="s">
        <v>0</v>
      </c>
      <c r="H19" s="231"/>
      <c r="I19" s="231"/>
      <c r="J19" s="231"/>
      <c r="K19" s="231"/>
      <c r="L19" s="231"/>
      <c r="M19" s="231"/>
    </row>
    <row r="20" spans="1:13" x14ac:dyDescent="0.2">
      <c r="A20" s="220" t="s">
        <v>39178</v>
      </c>
      <c r="B20" s="220" t="s">
        <v>52</v>
      </c>
      <c r="C20" s="220" t="s">
        <v>5917</v>
      </c>
      <c r="D20" s="220" t="s">
        <v>5</v>
      </c>
      <c r="E20" s="220" t="s">
        <v>39166</v>
      </c>
      <c r="F20" s="220" t="s">
        <v>39167</v>
      </c>
      <c r="G20" s="221" t="s">
        <v>39168</v>
      </c>
    </row>
    <row r="21" spans="1:13" x14ac:dyDescent="0.2">
      <c r="A21" s="605" t="s">
        <v>39169</v>
      </c>
      <c r="B21" s="605"/>
      <c r="C21" s="605"/>
      <c r="D21" s="605"/>
      <c r="E21" s="605"/>
      <c r="F21" s="605"/>
      <c r="G21" s="605"/>
    </row>
    <row r="22" spans="1:13" x14ac:dyDescent="0.2">
      <c r="A22" s="236" t="s">
        <v>15</v>
      </c>
      <c r="B22" s="79">
        <v>88264</v>
      </c>
      <c r="C22" s="85" t="str">
        <f>IF(A22="SINAPI",VLOOKUP(B22,SINAPI!A:D,2,0),(VLOOKUP(B22,SEINFRA!A:D,2,0)))</f>
        <v>ELETRICISTA COM ENCARGOS COMPLEMENTARES</v>
      </c>
      <c r="D22" s="69" t="str">
        <f>IF(A22="SINAPI",VLOOKUP(B22,SINAPI!A:D,3,0),(VLOOKUP(B22,SEINFRA!A:D,3,0)))</f>
        <v>H</v>
      </c>
      <c r="E22" s="442">
        <v>0.1</v>
      </c>
      <c r="F22" s="82">
        <f>IF(A22="SINAPI",VLOOKUP(B22,SINAPI!A:D,4,0),(VLOOKUP(B22,SEINFRA!A:D,4,0)))</f>
        <v>27.31</v>
      </c>
      <c r="G22" s="234">
        <f>E22*F22</f>
        <v>2.7309999999999999</v>
      </c>
    </row>
    <row r="23" spans="1:13" x14ac:dyDescent="0.2">
      <c r="A23" s="236" t="s">
        <v>15</v>
      </c>
      <c r="B23" s="79">
        <v>88247</v>
      </c>
      <c r="C23" s="85" t="str">
        <f>IF(A23="SINAPI",VLOOKUP(B23,SINAPI!A:D,2,0),(VLOOKUP(B23,SEINFRA!A:D,2,0)))</f>
        <v>AUXILIAR DE ELETRICISTA COM ENCARGOS COMPLEMENTARES</v>
      </c>
      <c r="D23" s="69" t="str">
        <f>IF(A23="SINAPI",VLOOKUP(B23,SINAPI!A:D,3,0),(VLOOKUP(B23,SEINFRA!A:D,3,0)))</f>
        <v>H</v>
      </c>
      <c r="E23" s="442">
        <v>0.1</v>
      </c>
      <c r="F23" s="82">
        <f>IF(A23="SINAPI",VLOOKUP(B23,SINAPI!A:D,4,0),(VLOOKUP(B23,SEINFRA!A:D,4,0)))</f>
        <v>23.22</v>
      </c>
      <c r="G23" s="234">
        <f>E23*F23</f>
        <v>2.3220000000000001</v>
      </c>
    </row>
    <row r="24" spans="1:13" x14ac:dyDescent="0.2">
      <c r="A24" s="606" t="s">
        <v>39170</v>
      </c>
      <c r="B24" s="606"/>
      <c r="C24" s="606"/>
      <c r="D24" s="606"/>
      <c r="E24" s="606"/>
      <c r="F24" s="606"/>
      <c r="G24" s="222">
        <f>ROUND(SUM(G22:G23),2)</f>
        <v>5.05</v>
      </c>
    </row>
    <row r="25" spans="1:13" x14ac:dyDescent="0.2">
      <c r="A25" s="605" t="s">
        <v>39171</v>
      </c>
      <c r="B25" s="605"/>
      <c r="C25" s="605"/>
      <c r="D25" s="605"/>
      <c r="E25" s="605"/>
      <c r="F25" s="605"/>
      <c r="G25" s="605"/>
    </row>
    <row r="26" spans="1:13" x14ac:dyDescent="0.2">
      <c r="A26" s="80"/>
      <c r="B26" s="79" t="str">
        <f>COTACAO!B33</f>
        <v>COT 03</v>
      </c>
      <c r="C26" s="85" t="str">
        <f>COTACAO!C33</f>
        <v>BARRA CHATA ALUMÍNIO  7/8" X 1/8"</v>
      </c>
      <c r="D26" s="69" t="str">
        <f>COTACAO!I33</f>
        <v>M</v>
      </c>
      <c r="E26" s="225">
        <v>1</v>
      </c>
      <c r="F26" s="443">
        <f>COTACAO!H33</f>
        <v>10.09</v>
      </c>
      <c r="G26" s="234">
        <f>E26*F26</f>
        <v>10.09</v>
      </c>
    </row>
    <row r="27" spans="1:13" x14ac:dyDescent="0.2">
      <c r="A27" s="606" t="s">
        <v>39172</v>
      </c>
      <c r="B27" s="606"/>
      <c r="C27" s="606"/>
      <c r="D27" s="606"/>
      <c r="E27" s="606"/>
      <c r="F27" s="606"/>
      <c r="G27" s="222">
        <f>ROUND(SUM(G26:G26),2)</f>
        <v>10.09</v>
      </c>
    </row>
    <row r="28" spans="1:13" x14ac:dyDescent="0.2">
      <c r="A28" s="607"/>
      <c r="B28" s="607"/>
      <c r="C28" s="607"/>
      <c r="D28" s="607"/>
      <c r="E28" s="607"/>
      <c r="F28" s="607"/>
      <c r="G28" s="607"/>
    </row>
    <row r="29" spans="1:13" x14ac:dyDescent="0.2">
      <c r="A29" s="608" t="s">
        <v>39173</v>
      </c>
      <c r="B29" s="608"/>
      <c r="C29" s="608"/>
      <c r="D29" s="608"/>
      <c r="E29" s="608"/>
      <c r="F29" s="608"/>
      <c r="G29" s="235">
        <f>ROUND(G24+G27,2)</f>
        <v>15.14</v>
      </c>
    </row>
    <row r="30" spans="1:13" x14ac:dyDescent="0.2">
      <c r="A30" s="608" t="s">
        <v>39174</v>
      </c>
      <c r="B30" s="608"/>
      <c r="C30" s="608"/>
      <c r="D30" s="608"/>
      <c r="E30" s="608"/>
      <c r="F30" s="608"/>
      <c r="G30" s="417" t="s">
        <v>39175</v>
      </c>
    </row>
    <row r="31" spans="1:13" x14ac:dyDescent="0.2">
      <c r="A31" s="608" t="s">
        <v>39176</v>
      </c>
      <c r="B31" s="608"/>
      <c r="C31" s="608"/>
      <c r="D31" s="608"/>
      <c r="E31" s="608"/>
      <c r="F31" s="608"/>
      <c r="G31" s="235">
        <v>0</v>
      </c>
    </row>
    <row r="32" spans="1:13" x14ac:dyDescent="0.2">
      <c r="A32" s="606" t="s">
        <v>39177</v>
      </c>
      <c r="B32" s="606"/>
      <c r="C32" s="606"/>
      <c r="D32" s="606"/>
      <c r="E32" s="606"/>
      <c r="F32" s="606"/>
      <c r="G32" s="228">
        <f>G29</f>
        <v>15.14</v>
      </c>
    </row>
    <row r="33" spans="1:7" x14ac:dyDescent="0.2">
      <c r="A33" s="229"/>
      <c r="B33" s="229"/>
      <c r="C33" s="229"/>
      <c r="D33" s="229"/>
      <c r="E33" s="229"/>
      <c r="F33" s="229"/>
      <c r="G33" s="230"/>
    </row>
    <row r="34" spans="1:7" x14ac:dyDescent="0.2">
      <c r="A34" s="601" t="str">
        <f>ORCAMENTO!A392</f>
        <v>BOA VIAGEM - CE, JULHO DE 2025</v>
      </c>
      <c r="B34" s="601"/>
      <c r="C34" s="602"/>
      <c r="D34" s="602"/>
      <c r="E34" s="602"/>
      <c r="F34" s="602"/>
      <c r="G34" s="602"/>
    </row>
  </sheetData>
  <mergeCells count="12">
    <mergeCell ref="A34:G34"/>
    <mergeCell ref="A2:G2"/>
    <mergeCell ref="B19:E19"/>
    <mergeCell ref="A21:G21"/>
    <mergeCell ref="A24:F24"/>
    <mergeCell ref="A25:G25"/>
    <mergeCell ref="A27:F27"/>
    <mergeCell ref="A28:G28"/>
    <mergeCell ref="A29:F29"/>
    <mergeCell ref="A30:F30"/>
    <mergeCell ref="A31:F31"/>
    <mergeCell ref="A32:F32"/>
  </mergeCells>
  <printOptions horizontalCentered="1"/>
  <pageMargins left="0.39370078740157483" right="0.39370078740157483" top="0.39370078740157483" bottom="0.78740157480314965" header="0.31496062992125984" footer="0.31496062992125984"/>
  <pageSetup paperSize="9" scale="76"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AF6E7-0790-444F-B279-EEC73AE2C1D7}">
  <dimension ref="A1:M34"/>
  <sheetViews>
    <sheetView view="pageBreakPreview" zoomScale="130" zoomScaleNormal="100" zoomScaleSheetLayoutView="130" workbookViewId="0">
      <selection activeCell="A2" sqref="A2:G2"/>
    </sheetView>
  </sheetViews>
  <sheetFormatPr defaultRowHeight="12.75" x14ac:dyDescent="0.2"/>
  <cols>
    <col min="1" max="1" width="12.6640625" customWidth="1"/>
    <col min="2" max="2" width="11.6640625" customWidth="1"/>
    <col min="3" max="3" width="75.83203125" customWidth="1"/>
    <col min="4" max="4" width="5.83203125" customWidth="1"/>
    <col min="5" max="5" width="9" bestFit="1" customWidth="1"/>
    <col min="6" max="6" width="10" bestFit="1" customWidth="1"/>
    <col min="7" max="7" width="11.83203125" customWidth="1"/>
  </cols>
  <sheetData>
    <row r="1" spans="1:13" x14ac:dyDescent="0.2">
      <c r="A1" s="218"/>
      <c r="B1" s="218"/>
      <c r="C1" s="218"/>
      <c r="D1" s="218"/>
      <c r="E1" s="218"/>
      <c r="F1" s="218"/>
      <c r="G1" s="218"/>
      <c r="H1" s="218"/>
      <c r="I1" s="218"/>
      <c r="J1" s="218"/>
      <c r="K1" s="218"/>
      <c r="L1" s="218"/>
      <c r="M1" s="218"/>
    </row>
    <row r="2" spans="1:13" x14ac:dyDescent="0.2">
      <c r="A2" s="603" t="str">
        <f>ORCAMENTO!A2</f>
        <v>INSTITUTO FEDERAL DE EDUCAÇÃO CIÊNCIA E TECNOLOGIA DO CEARÁ - CAMPUS BOA VIAGEM</v>
      </c>
      <c r="B2" s="603"/>
      <c r="C2" s="603"/>
      <c r="D2" s="603"/>
      <c r="E2" s="603"/>
      <c r="F2" s="603"/>
      <c r="G2" s="603"/>
      <c r="H2" s="232"/>
      <c r="I2" s="232"/>
      <c r="J2" s="232"/>
      <c r="K2" s="232"/>
      <c r="L2" s="232"/>
      <c r="M2" s="232"/>
    </row>
    <row r="3" spans="1:13" x14ac:dyDescent="0.2">
      <c r="A3" s="218"/>
      <c r="B3" s="218"/>
      <c r="C3" s="218"/>
      <c r="D3" s="218"/>
      <c r="E3" s="218"/>
      <c r="F3" s="218"/>
      <c r="G3" s="218"/>
      <c r="H3" s="218"/>
      <c r="I3" s="218"/>
      <c r="J3" s="218"/>
      <c r="K3" s="218"/>
      <c r="L3" s="218"/>
      <c r="M3" s="218"/>
    </row>
    <row r="4" spans="1:13" x14ac:dyDescent="0.2">
      <c r="A4" s="219" t="str">
        <f>ORCAMENTO!A4</f>
        <v>OBRA:</v>
      </c>
      <c r="B4" s="219"/>
      <c r="C4" s="218"/>
      <c r="D4" s="218"/>
      <c r="E4" s="218"/>
      <c r="F4" s="218"/>
      <c r="G4" s="218"/>
      <c r="H4" s="218"/>
      <c r="I4" s="218"/>
      <c r="J4" s="218"/>
      <c r="K4" s="218"/>
      <c r="L4" s="218"/>
      <c r="M4" s="218"/>
    </row>
    <row r="5" spans="1:13" x14ac:dyDescent="0.2">
      <c r="A5" s="218" t="str">
        <f>ORCAMENTO!A5</f>
        <v>CENTRO DE INOVAÇÃO E DIFUSÃO DE TECNOLOGIA PARA O SEMIÁRIDO - CAMPUS BOA VIAGEM</v>
      </c>
      <c r="B5" s="218"/>
      <c r="C5" s="218"/>
      <c r="D5" s="218"/>
      <c r="E5" s="218"/>
      <c r="F5" s="218"/>
      <c r="G5" s="218"/>
      <c r="H5" s="218"/>
      <c r="I5" s="218"/>
      <c r="J5" s="218"/>
      <c r="K5" s="218"/>
      <c r="L5" s="218"/>
      <c r="M5" s="218"/>
    </row>
    <row r="6" spans="1:13" x14ac:dyDescent="0.2">
      <c r="A6" s="219" t="str">
        <f>ORCAMENTO!A6</f>
        <v>LOCAL:</v>
      </c>
      <c r="B6" s="219"/>
      <c r="C6" s="218"/>
      <c r="D6" s="218"/>
      <c r="E6" s="218"/>
      <c r="F6" s="218"/>
      <c r="G6" s="218"/>
      <c r="H6" s="218"/>
      <c r="I6" s="218"/>
      <c r="J6" s="218"/>
      <c r="K6" s="218"/>
      <c r="L6" s="218"/>
      <c r="M6" s="218"/>
    </row>
    <row r="7" spans="1:13" x14ac:dyDescent="0.2">
      <c r="A7" s="218" t="str">
        <f>ORCAMENTO!A7</f>
        <v>SEDE DO MUNICÍPIO</v>
      </c>
      <c r="B7" s="218"/>
      <c r="C7" s="218"/>
      <c r="D7" s="218"/>
      <c r="E7" s="218"/>
      <c r="F7" s="218"/>
      <c r="G7" s="218"/>
      <c r="H7" s="218"/>
      <c r="I7" s="218"/>
      <c r="J7" s="218"/>
      <c r="K7" s="218"/>
      <c r="L7" s="218"/>
      <c r="M7" s="218"/>
    </row>
    <row r="8" spans="1:13" x14ac:dyDescent="0.2">
      <c r="A8" s="219" t="str">
        <f>ORCAMENTO!A8</f>
        <v>MUNICÍPIO:</v>
      </c>
      <c r="B8" s="219"/>
      <c r="C8" s="218"/>
      <c r="D8" s="218"/>
      <c r="E8" s="218"/>
      <c r="F8" s="218"/>
      <c r="G8" s="218"/>
      <c r="H8" s="218"/>
      <c r="I8" s="218"/>
      <c r="J8" s="218"/>
      <c r="K8" s="218"/>
      <c r="L8" s="218"/>
      <c r="M8" s="218"/>
    </row>
    <row r="9" spans="1:13" x14ac:dyDescent="0.2">
      <c r="A9" s="218" t="str">
        <f>ORCAMENTO!A9</f>
        <v>BOA VIAGEM - CE</v>
      </c>
      <c r="B9" s="218"/>
      <c r="C9" s="218"/>
      <c r="D9" s="218"/>
      <c r="E9" s="218"/>
      <c r="F9" s="218"/>
      <c r="G9" s="218"/>
      <c r="H9" s="218"/>
      <c r="I9" s="218"/>
      <c r="J9" s="218"/>
      <c r="K9" s="218"/>
      <c r="L9" s="218"/>
      <c r="M9" s="218"/>
    </row>
    <row r="10" spans="1:13" x14ac:dyDescent="0.2">
      <c r="A10" s="218"/>
      <c r="B10" s="218"/>
      <c r="C10" s="218"/>
      <c r="D10" s="218"/>
      <c r="E10" s="218"/>
      <c r="F10" s="218"/>
      <c r="G10" s="218"/>
      <c r="H10" s="218"/>
      <c r="I10" s="218"/>
      <c r="J10" s="218"/>
      <c r="K10" s="218"/>
      <c r="L10" s="218"/>
      <c r="M10" s="218"/>
    </row>
    <row r="11" spans="1:13" x14ac:dyDescent="0.2">
      <c r="A11" s="219" t="str">
        <f>ORCAMENTO!A11</f>
        <v>FONTE DOS PREÇOS:</v>
      </c>
      <c r="B11" s="219"/>
      <c r="C11" s="218"/>
      <c r="D11" s="218"/>
      <c r="E11" s="218"/>
      <c r="F11" s="218"/>
      <c r="G11" s="218"/>
      <c r="H11" s="218"/>
      <c r="I11" s="218"/>
      <c r="J11" s="218"/>
      <c r="K11" s="218"/>
      <c r="L11" s="218"/>
      <c r="M11" s="218"/>
    </row>
    <row r="12" spans="1:13" x14ac:dyDescent="0.2">
      <c r="A12" s="218" t="str">
        <f>ORCAMENTO!A12</f>
        <v>TABELA SEINFRA 028.1 DESONERADA</v>
      </c>
      <c r="B12" s="218"/>
      <c r="C12" s="218"/>
      <c r="D12" s="218"/>
      <c r="E12" s="218"/>
      <c r="F12" s="218"/>
      <c r="G12" s="218"/>
      <c r="H12" s="218"/>
      <c r="I12" s="218"/>
      <c r="J12" s="218"/>
      <c r="K12" s="218"/>
      <c r="L12" s="218"/>
      <c r="M12" s="218"/>
    </row>
    <row r="13" spans="1:13" x14ac:dyDescent="0.2">
      <c r="A13" s="218"/>
      <c r="B13" s="218"/>
      <c r="C13" s="218" t="str">
        <f>ORCAMENTO!B13</f>
        <v>DATA REFERÊNCIA TÉCNICA: 10/2023</v>
      </c>
      <c r="D13" s="218"/>
      <c r="E13" s="218"/>
      <c r="F13" s="218"/>
      <c r="G13" s="218"/>
      <c r="H13" s="218"/>
      <c r="I13" s="218"/>
      <c r="J13" s="218"/>
      <c r="K13" s="218"/>
      <c r="L13" s="218"/>
      <c r="M13" s="218"/>
    </row>
    <row r="14" spans="1:13" x14ac:dyDescent="0.2">
      <c r="A14" s="218"/>
      <c r="B14" s="218"/>
      <c r="C14" s="218" t="str">
        <f>ORCAMENTO!B14</f>
        <v>ENCARGOS SOCIAIS: 84,44% (HORA) - 47,48% (MÊS)</v>
      </c>
      <c r="D14" s="218"/>
      <c r="E14" s="218"/>
      <c r="F14" s="218"/>
      <c r="G14" s="218"/>
      <c r="H14" s="218"/>
      <c r="I14" s="218"/>
      <c r="J14" s="218"/>
      <c r="K14" s="218"/>
      <c r="L14" s="218"/>
      <c r="M14" s="218"/>
    </row>
    <row r="15" spans="1:13" x14ac:dyDescent="0.2">
      <c r="A15" s="218" t="str">
        <f>ORCAMENTO!A15</f>
        <v>TABELA SINAPI 06/2025 DESONERADA</v>
      </c>
      <c r="B15" s="218"/>
      <c r="C15" s="218"/>
      <c r="D15" s="218"/>
      <c r="E15" s="218"/>
      <c r="F15" s="218"/>
      <c r="G15" s="218"/>
      <c r="H15" s="218"/>
      <c r="I15" s="218"/>
      <c r="J15" s="218"/>
      <c r="K15" s="218"/>
      <c r="L15" s="218"/>
      <c r="M15" s="218"/>
    </row>
    <row r="16" spans="1:13" x14ac:dyDescent="0.2">
      <c r="A16" s="218"/>
      <c r="B16" s="218"/>
      <c r="C16" s="218" t="str">
        <f>ORCAMENTO!B16</f>
        <v>DATA REFERÊNCIA TÉCNICA: 06/2025</v>
      </c>
      <c r="D16" s="218"/>
      <c r="E16" s="218"/>
      <c r="F16" s="218"/>
      <c r="G16" s="218"/>
      <c r="H16" s="218"/>
      <c r="I16" s="218"/>
      <c r="J16" s="218"/>
      <c r="K16" s="218"/>
      <c r="L16" s="218"/>
      <c r="M16" s="218"/>
    </row>
    <row r="17" spans="1:13" x14ac:dyDescent="0.2">
      <c r="A17" s="218"/>
      <c r="B17" s="218"/>
      <c r="C17" s="218" t="str">
        <f>ORCAMENTO!B17</f>
        <v>ENCARGOS SOCIAIS: 92,17% (HORA) - 53,50% (MÊS)</v>
      </c>
      <c r="D17" s="218"/>
      <c r="E17" s="218"/>
      <c r="F17" s="218"/>
      <c r="G17" s="218"/>
      <c r="H17" s="218"/>
      <c r="I17" s="218"/>
      <c r="J17" s="218"/>
      <c r="K17" s="218"/>
      <c r="L17" s="218"/>
      <c r="M17" s="218"/>
    </row>
    <row r="18" spans="1:13" x14ac:dyDescent="0.2">
      <c r="A18" s="218"/>
    </row>
    <row r="19" spans="1:13" ht="35.1" customHeight="1" x14ac:dyDescent="0.2">
      <c r="A19" s="244" t="s">
        <v>47113</v>
      </c>
      <c r="B19" s="609" t="s">
        <v>47146</v>
      </c>
      <c r="C19" s="610"/>
      <c r="D19" s="610"/>
      <c r="E19" s="611"/>
      <c r="F19" s="275" t="s">
        <v>39196</v>
      </c>
      <c r="G19" s="445" t="s">
        <v>26</v>
      </c>
      <c r="H19" s="231"/>
      <c r="I19" s="231"/>
      <c r="J19" s="231"/>
      <c r="K19" s="231"/>
      <c r="L19" s="231"/>
      <c r="M19" s="231"/>
    </row>
    <row r="20" spans="1:13" x14ac:dyDescent="0.2">
      <c r="A20" s="220" t="s">
        <v>39178</v>
      </c>
      <c r="B20" s="220" t="s">
        <v>52</v>
      </c>
      <c r="C20" s="220" t="s">
        <v>5917</v>
      </c>
      <c r="D20" s="220" t="s">
        <v>5</v>
      </c>
      <c r="E20" s="220" t="s">
        <v>39166</v>
      </c>
      <c r="F20" s="220" t="s">
        <v>39167</v>
      </c>
      <c r="G20" s="221" t="s">
        <v>39168</v>
      </c>
    </row>
    <row r="21" spans="1:13" x14ac:dyDescent="0.2">
      <c r="A21" s="605" t="s">
        <v>39169</v>
      </c>
      <c r="B21" s="605"/>
      <c r="C21" s="605"/>
      <c r="D21" s="605"/>
      <c r="E21" s="605"/>
      <c r="F21" s="605"/>
      <c r="G21" s="605"/>
    </row>
    <row r="22" spans="1:13" x14ac:dyDescent="0.2">
      <c r="A22" s="236" t="s">
        <v>15</v>
      </c>
      <c r="B22" s="79">
        <v>88264</v>
      </c>
      <c r="C22" s="85" t="str">
        <f>IF(A22="SINAPI",VLOOKUP(B22,SINAPI!A:D,2,0),(VLOOKUP(B22,SEINFRA!A:D,2,0)))</f>
        <v>ELETRICISTA COM ENCARGOS COMPLEMENTARES</v>
      </c>
      <c r="D22" s="69" t="str">
        <f>IF(A22="SINAPI",VLOOKUP(B22,SINAPI!A:D,3,0),(VLOOKUP(B22,SEINFRA!A:D,3,0)))</f>
        <v>H</v>
      </c>
      <c r="E22" s="442">
        <v>0.5</v>
      </c>
      <c r="F22" s="82">
        <f>IF(A22="SINAPI",VLOOKUP(B22,SINAPI!A:D,4,0),(VLOOKUP(B22,SEINFRA!A:D,4,0)))</f>
        <v>27.31</v>
      </c>
      <c r="G22" s="234">
        <f>E22*F22</f>
        <v>13.654999999999999</v>
      </c>
    </row>
    <row r="23" spans="1:13" x14ac:dyDescent="0.2">
      <c r="A23" s="236" t="s">
        <v>15</v>
      </c>
      <c r="B23" s="79">
        <v>88247</v>
      </c>
      <c r="C23" s="85" t="str">
        <f>IF(A23="SINAPI",VLOOKUP(B23,SINAPI!A:D,2,0),(VLOOKUP(B23,SEINFRA!A:D,2,0)))</f>
        <v>AUXILIAR DE ELETRICISTA COM ENCARGOS COMPLEMENTARES</v>
      </c>
      <c r="D23" s="69" t="str">
        <f>IF(A23="SINAPI",VLOOKUP(B23,SINAPI!A:D,3,0),(VLOOKUP(B23,SEINFRA!A:D,3,0)))</f>
        <v>H</v>
      </c>
      <c r="E23" s="442">
        <v>0.5</v>
      </c>
      <c r="F23" s="82">
        <f>IF(A23="SINAPI",VLOOKUP(B23,SINAPI!A:D,4,0),(VLOOKUP(B23,SEINFRA!A:D,4,0)))</f>
        <v>23.22</v>
      </c>
      <c r="G23" s="234">
        <f>E23*F23</f>
        <v>11.61</v>
      </c>
    </row>
    <row r="24" spans="1:13" x14ac:dyDescent="0.2">
      <c r="A24" s="606" t="s">
        <v>39170</v>
      </c>
      <c r="B24" s="606"/>
      <c r="C24" s="606"/>
      <c r="D24" s="606"/>
      <c r="E24" s="606"/>
      <c r="F24" s="606"/>
      <c r="G24" s="222">
        <f>ROUND(SUM(G22:G23),2)</f>
        <v>25.27</v>
      </c>
    </row>
    <row r="25" spans="1:13" x14ac:dyDescent="0.2">
      <c r="A25" s="605" t="s">
        <v>39171</v>
      </c>
      <c r="B25" s="605"/>
      <c r="C25" s="605"/>
      <c r="D25" s="605"/>
      <c r="E25" s="605"/>
      <c r="F25" s="605"/>
      <c r="G25" s="605"/>
    </row>
    <row r="26" spans="1:13" x14ac:dyDescent="0.2">
      <c r="A26" s="80" t="s">
        <v>25</v>
      </c>
      <c r="B26" s="79" t="s">
        <v>29072</v>
      </c>
      <c r="C26" s="85" t="str">
        <f>IF(A26="SINAPI",VLOOKUP(B26,SINAPI!A:D,2,0),(VLOOKUP(B26,SEINFRA!A:D,2,0)))</f>
        <v>TERMINAL AÉREO 600mm FIXAÇÃO HORIZONTAL, C/ ABRAÇADEIRA</v>
      </c>
      <c r="D26" s="69" t="str">
        <f>IF(A26="SINAPI",VLOOKUP(B26,SINAPI!A:D,3,0),(VLOOKUP(B26,SEINFRA!A:D,3,0)))</f>
        <v>UN</v>
      </c>
      <c r="E26" s="225">
        <v>1</v>
      </c>
      <c r="F26" s="443">
        <f>IF(A26="SINAPI",VLOOKUP(B26,SINAPI!A:D,4,0),(VLOOKUP(B26,SEINFRA!A:D,4,0)))</f>
        <v>6.42</v>
      </c>
      <c r="G26" s="234">
        <f>E26*F26</f>
        <v>6.42</v>
      </c>
    </row>
    <row r="27" spans="1:13" x14ac:dyDescent="0.2">
      <c r="A27" s="606" t="s">
        <v>39172</v>
      </c>
      <c r="B27" s="606"/>
      <c r="C27" s="606"/>
      <c r="D27" s="606"/>
      <c r="E27" s="606"/>
      <c r="F27" s="606"/>
      <c r="G27" s="222">
        <f>ROUND(SUM(G26:G26),2)</f>
        <v>6.42</v>
      </c>
    </row>
    <row r="28" spans="1:13" x14ac:dyDescent="0.2">
      <c r="A28" s="607"/>
      <c r="B28" s="607"/>
      <c r="C28" s="607"/>
      <c r="D28" s="607"/>
      <c r="E28" s="607"/>
      <c r="F28" s="607"/>
      <c r="G28" s="607"/>
    </row>
    <row r="29" spans="1:13" x14ac:dyDescent="0.2">
      <c r="A29" s="608" t="s">
        <v>39173</v>
      </c>
      <c r="B29" s="608"/>
      <c r="C29" s="608"/>
      <c r="D29" s="608"/>
      <c r="E29" s="608"/>
      <c r="F29" s="608"/>
      <c r="G29" s="235">
        <f>ROUND(G24+G27,2)</f>
        <v>31.69</v>
      </c>
    </row>
    <row r="30" spans="1:13" x14ac:dyDescent="0.2">
      <c r="A30" s="608" t="s">
        <v>39174</v>
      </c>
      <c r="B30" s="608"/>
      <c r="C30" s="608"/>
      <c r="D30" s="608"/>
      <c r="E30" s="608"/>
      <c r="F30" s="608"/>
      <c r="G30" s="227" t="s">
        <v>39175</v>
      </c>
    </row>
    <row r="31" spans="1:13" x14ac:dyDescent="0.2">
      <c r="A31" s="608" t="s">
        <v>39176</v>
      </c>
      <c r="B31" s="608"/>
      <c r="C31" s="608"/>
      <c r="D31" s="608"/>
      <c r="E31" s="608"/>
      <c r="F31" s="608"/>
      <c r="G31" s="235">
        <v>0</v>
      </c>
    </row>
    <row r="32" spans="1:13" x14ac:dyDescent="0.2">
      <c r="A32" s="606" t="s">
        <v>39177</v>
      </c>
      <c r="B32" s="606"/>
      <c r="C32" s="606"/>
      <c r="D32" s="606"/>
      <c r="E32" s="606"/>
      <c r="F32" s="606"/>
      <c r="G32" s="228">
        <f>G29</f>
        <v>31.69</v>
      </c>
    </row>
    <row r="33" spans="1:7" x14ac:dyDescent="0.2">
      <c r="A33" s="229"/>
      <c r="B33" s="229"/>
      <c r="C33" s="229"/>
      <c r="D33" s="229"/>
      <c r="E33" s="229"/>
      <c r="F33" s="229"/>
      <c r="G33" s="230"/>
    </row>
    <row r="34" spans="1:7" x14ac:dyDescent="0.2">
      <c r="A34" s="601" t="str">
        <f>ORCAMENTO!A392</f>
        <v>BOA VIAGEM - CE, JULHO DE 2025</v>
      </c>
      <c r="B34" s="601"/>
      <c r="C34" s="602"/>
      <c r="D34" s="602"/>
      <c r="E34" s="602"/>
      <c r="F34" s="602"/>
      <c r="G34" s="602"/>
    </row>
  </sheetData>
  <mergeCells count="12">
    <mergeCell ref="A34:G34"/>
    <mergeCell ref="A2:G2"/>
    <mergeCell ref="B19:E19"/>
    <mergeCell ref="A21:G21"/>
    <mergeCell ref="A24:F24"/>
    <mergeCell ref="A25:G25"/>
    <mergeCell ref="A27:F27"/>
    <mergeCell ref="A28:G28"/>
    <mergeCell ref="A29:F29"/>
    <mergeCell ref="A30:F30"/>
    <mergeCell ref="A31:F31"/>
    <mergeCell ref="A32:F32"/>
  </mergeCells>
  <printOptions horizontalCentered="1"/>
  <pageMargins left="0.39370078740157483" right="0.39370078740157483" top="0.39370078740157483" bottom="0.78740157480314965" header="0.31496062992125984" footer="0.31496062992125984"/>
  <pageSetup paperSize="9" scale="7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FC3320-0E93-4F4C-B7F9-61BB280CE8FD}">
  <dimension ref="A1:F17560"/>
  <sheetViews>
    <sheetView view="pageBreakPreview" topLeftCell="A6597" zoomScale="145" zoomScaleNormal="100" zoomScaleSheetLayoutView="145" workbookViewId="0">
      <selection activeCell="H6605" sqref="H6605"/>
    </sheetView>
  </sheetViews>
  <sheetFormatPr defaultRowHeight="12.75" x14ac:dyDescent="0.2"/>
  <cols>
    <col min="1" max="1" width="22.5" style="42" customWidth="1"/>
    <col min="2" max="2" width="86.6640625" style="43" customWidth="1"/>
    <col min="3" max="3" width="9.33203125" style="37"/>
    <col min="4" max="4" width="28" style="3" customWidth="1"/>
    <col min="5" max="5" width="9.33203125" style="3"/>
    <col min="6" max="6" width="24" style="3" customWidth="1"/>
    <col min="7" max="249" width="9.33203125" style="3"/>
    <col min="250" max="251" width="7.83203125" style="3" customWidth="1"/>
    <col min="252" max="252" width="9.33203125" style="3" customWidth="1"/>
    <col min="253" max="253" width="2" style="3" customWidth="1"/>
    <col min="254" max="254" width="75.6640625" style="3" customWidth="1"/>
    <col min="255" max="255" width="7.83203125" style="3" customWidth="1"/>
    <col min="256" max="256" width="1" style="3" customWidth="1"/>
    <col min="257" max="257" width="11.83203125" style="3" customWidth="1"/>
    <col min="258" max="505" width="9.33203125" style="3"/>
    <col min="506" max="507" width="7.83203125" style="3" customWidth="1"/>
    <col min="508" max="508" width="9.33203125" style="3" customWidth="1"/>
    <col min="509" max="509" width="2" style="3" customWidth="1"/>
    <col min="510" max="510" width="75.6640625" style="3" customWidth="1"/>
    <col min="511" max="511" width="7.83203125" style="3" customWidth="1"/>
    <col min="512" max="512" width="1" style="3" customWidth="1"/>
    <col min="513" max="513" width="11.83203125" style="3" customWidth="1"/>
    <col min="514" max="761" width="9.33203125" style="3"/>
    <col min="762" max="763" width="7.83203125" style="3" customWidth="1"/>
    <col min="764" max="764" width="9.33203125" style="3" customWidth="1"/>
    <col min="765" max="765" width="2" style="3" customWidth="1"/>
    <col min="766" max="766" width="75.6640625" style="3" customWidth="1"/>
    <col min="767" max="767" width="7.83203125" style="3" customWidth="1"/>
    <col min="768" max="768" width="1" style="3" customWidth="1"/>
    <col min="769" max="769" width="11.83203125" style="3" customWidth="1"/>
    <col min="770" max="1017" width="9.33203125" style="3"/>
    <col min="1018" max="1019" width="7.83203125" style="3" customWidth="1"/>
    <col min="1020" max="1020" width="9.33203125" style="3" customWidth="1"/>
    <col min="1021" max="1021" width="2" style="3" customWidth="1"/>
    <col min="1022" max="1022" width="75.6640625" style="3" customWidth="1"/>
    <col min="1023" max="1023" width="7.83203125" style="3" customWidth="1"/>
    <col min="1024" max="1024" width="1" style="3" customWidth="1"/>
    <col min="1025" max="1025" width="11.83203125" style="3" customWidth="1"/>
    <col min="1026" max="1273" width="9.33203125" style="3"/>
    <col min="1274" max="1275" width="7.83203125" style="3" customWidth="1"/>
    <col min="1276" max="1276" width="9.33203125" style="3" customWidth="1"/>
    <col min="1277" max="1277" width="2" style="3" customWidth="1"/>
    <col min="1278" max="1278" width="75.6640625" style="3" customWidth="1"/>
    <col min="1279" max="1279" width="7.83203125" style="3" customWidth="1"/>
    <col min="1280" max="1280" width="1" style="3" customWidth="1"/>
    <col min="1281" max="1281" width="11.83203125" style="3" customWidth="1"/>
    <col min="1282" max="1529" width="9.33203125" style="3"/>
    <col min="1530" max="1531" width="7.83203125" style="3" customWidth="1"/>
    <col min="1532" max="1532" width="9.33203125" style="3" customWidth="1"/>
    <col min="1533" max="1533" width="2" style="3" customWidth="1"/>
    <col min="1534" max="1534" width="75.6640625" style="3" customWidth="1"/>
    <col min="1535" max="1535" width="7.83203125" style="3" customWidth="1"/>
    <col min="1536" max="1536" width="1" style="3" customWidth="1"/>
    <col min="1537" max="1537" width="11.83203125" style="3" customWidth="1"/>
    <col min="1538" max="1785" width="9.33203125" style="3"/>
    <col min="1786" max="1787" width="7.83203125" style="3" customWidth="1"/>
    <col min="1788" max="1788" width="9.33203125" style="3" customWidth="1"/>
    <col min="1789" max="1789" width="2" style="3" customWidth="1"/>
    <col min="1790" max="1790" width="75.6640625" style="3" customWidth="1"/>
    <col min="1791" max="1791" width="7.83203125" style="3" customWidth="1"/>
    <col min="1792" max="1792" width="1" style="3" customWidth="1"/>
    <col min="1793" max="1793" width="11.83203125" style="3" customWidth="1"/>
    <col min="1794" max="2041" width="9.33203125" style="3"/>
    <col min="2042" max="2043" width="7.83203125" style="3" customWidth="1"/>
    <col min="2044" max="2044" width="9.33203125" style="3" customWidth="1"/>
    <col min="2045" max="2045" width="2" style="3" customWidth="1"/>
    <col min="2046" max="2046" width="75.6640625" style="3" customWidth="1"/>
    <col min="2047" max="2047" width="7.83203125" style="3" customWidth="1"/>
    <col min="2048" max="2048" width="1" style="3" customWidth="1"/>
    <col min="2049" max="2049" width="11.83203125" style="3" customWidth="1"/>
    <col min="2050" max="2297" width="9.33203125" style="3"/>
    <col min="2298" max="2299" width="7.83203125" style="3" customWidth="1"/>
    <col min="2300" max="2300" width="9.33203125" style="3" customWidth="1"/>
    <col min="2301" max="2301" width="2" style="3" customWidth="1"/>
    <col min="2302" max="2302" width="75.6640625" style="3" customWidth="1"/>
    <col min="2303" max="2303" width="7.83203125" style="3" customWidth="1"/>
    <col min="2304" max="2304" width="1" style="3" customWidth="1"/>
    <col min="2305" max="2305" width="11.83203125" style="3" customWidth="1"/>
    <col min="2306" max="2553" width="9.33203125" style="3"/>
    <col min="2554" max="2555" width="7.83203125" style="3" customWidth="1"/>
    <col min="2556" max="2556" width="9.33203125" style="3" customWidth="1"/>
    <col min="2557" max="2557" width="2" style="3" customWidth="1"/>
    <col min="2558" max="2558" width="75.6640625" style="3" customWidth="1"/>
    <col min="2559" max="2559" width="7.83203125" style="3" customWidth="1"/>
    <col min="2560" max="2560" width="1" style="3" customWidth="1"/>
    <col min="2561" max="2561" width="11.83203125" style="3" customWidth="1"/>
    <col min="2562" max="2809" width="9.33203125" style="3"/>
    <col min="2810" max="2811" width="7.83203125" style="3" customWidth="1"/>
    <col min="2812" max="2812" width="9.33203125" style="3" customWidth="1"/>
    <col min="2813" max="2813" width="2" style="3" customWidth="1"/>
    <col min="2814" max="2814" width="75.6640625" style="3" customWidth="1"/>
    <col min="2815" max="2815" width="7.83203125" style="3" customWidth="1"/>
    <col min="2816" max="2816" width="1" style="3" customWidth="1"/>
    <col min="2817" max="2817" width="11.83203125" style="3" customWidth="1"/>
    <col min="2818" max="3065" width="9.33203125" style="3"/>
    <col min="3066" max="3067" width="7.83203125" style="3" customWidth="1"/>
    <col min="3068" max="3068" width="9.33203125" style="3" customWidth="1"/>
    <col min="3069" max="3069" width="2" style="3" customWidth="1"/>
    <col min="3070" max="3070" width="75.6640625" style="3" customWidth="1"/>
    <col min="3071" max="3071" width="7.83203125" style="3" customWidth="1"/>
    <col min="3072" max="3072" width="1" style="3" customWidth="1"/>
    <col min="3073" max="3073" width="11.83203125" style="3" customWidth="1"/>
    <col min="3074" max="3321" width="9.33203125" style="3"/>
    <col min="3322" max="3323" width="7.83203125" style="3" customWidth="1"/>
    <col min="3324" max="3324" width="9.33203125" style="3" customWidth="1"/>
    <col min="3325" max="3325" width="2" style="3" customWidth="1"/>
    <col min="3326" max="3326" width="75.6640625" style="3" customWidth="1"/>
    <col min="3327" max="3327" width="7.83203125" style="3" customWidth="1"/>
    <col min="3328" max="3328" width="1" style="3" customWidth="1"/>
    <col min="3329" max="3329" width="11.83203125" style="3" customWidth="1"/>
    <col min="3330" max="3577" width="9.33203125" style="3"/>
    <col min="3578" max="3579" width="7.83203125" style="3" customWidth="1"/>
    <col min="3580" max="3580" width="9.33203125" style="3" customWidth="1"/>
    <col min="3581" max="3581" width="2" style="3" customWidth="1"/>
    <col min="3582" max="3582" width="75.6640625" style="3" customWidth="1"/>
    <col min="3583" max="3583" width="7.83203125" style="3" customWidth="1"/>
    <col min="3584" max="3584" width="1" style="3" customWidth="1"/>
    <col min="3585" max="3585" width="11.83203125" style="3" customWidth="1"/>
    <col min="3586" max="3833" width="9.33203125" style="3"/>
    <col min="3834" max="3835" width="7.83203125" style="3" customWidth="1"/>
    <col min="3836" max="3836" width="9.33203125" style="3" customWidth="1"/>
    <col min="3837" max="3837" width="2" style="3" customWidth="1"/>
    <col min="3838" max="3838" width="75.6640625" style="3" customWidth="1"/>
    <col min="3839" max="3839" width="7.83203125" style="3" customWidth="1"/>
    <col min="3840" max="3840" width="1" style="3" customWidth="1"/>
    <col min="3841" max="3841" width="11.83203125" style="3" customWidth="1"/>
    <col min="3842" max="4089" width="9.33203125" style="3"/>
    <col min="4090" max="4091" width="7.83203125" style="3" customWidth="1"/>
    <col min="4092" max="4092" width="9.33203125" style="3" customWidth="1"/>
    <col min="4093" max="4093" width="2" style="3" customWidth="1"/>
    <col min="4094" max="4094" width="75.6640625" style="3" customWidth="1"/>
    <col min="4095" max="4095" width="7.83203125" style="3" customWidth="1"/>
    <col min="4096" max="4096" width="1" style="3" customWidth="1"/>
    <col min="4097" max="4097" width="11.83203125" style="3" customWidth="1"/>
    <col min="4098" max="4345" width="9.33203125" style="3"/>
    <col min="4346" max="4347" width="7.83203125" style="3" customWidth="1"/>
    <col min="4348" max="4348" width="9.33203125" style="3" customWidth="1"/>
    <col min="4349" max="4349" width="2" style="3" customWidth="1"/>
    <col min="4350" max="4350" width="75.6640625" style="3" customWidth="1"/>
    <col min="4351" max="4351" width="7.83203125" style="3" customWidth="1"/>
    <col min="4352" max="4352" width="1" style="3" customWidth="1"/>
    <col min="4353" max="4353" width="11.83203125" style="3" customWidth="1"/>
    <col min="4354" max="4601" width="9.33203125" style="3"/>
    <col min="4602" max="4603" width="7.83203125" style="3" customWidth="1"/>
    <col min="4604" max="4604" width="9.33203125" style="3" customWidth="1"/>
    <col min="4605" max="4605" width="2" style="3" customWidth="1"/>
    <col min="4606" max="4606" width="75.6640625" style="3" customWidth="1"/>
    <col min="4607" max="4607" width="7.83203125" style="3" customWidth="1"/>
    <col min="4608" max="4608" width="1" style="3" customWidth="1"/>
    <col min="4609" max="4609" width="11.83203125" style="3" customWidth="1"/>
    <col min="4610" max="4857" width="9.33203125" style="3"/>
    <col min="4858" max="4859" width="7.83203125" style="3" customWidth="1"/>
    <col min="4860" max="4860" width="9.33203125" style="3" customWidth="1"/>
    <col min="4861" max="4861" width="2" style="3" customWidth="1"/>
    <col min="4862" max="4862" width="75.6640625" style="3" customWidth="1"/>
    <col min="4863" max="4863" width="7.83203125" style="3" customWidth="1"/>
    <col min="4864" max="4864" width="1" style="3" customWidth="1"/>
    <col min="4865" max="4865" width="11.83203125" style="3" customWidth="1"/>
    <col min="4866" max="5113" width="9.33203125" style="3"/>
    <col min="5114" max="5115" width="7.83203125" style="3" customWidth="1"/>
    <col min="5116" max="5116" width="9.33203125" style="3" customWidth="1"/>
    <col min="5117" max="5117" width="2" style="3" customWidth="1"/>
    <col min="5118" max="5118" width="75.6640625" style="3" customWidth="1"/>
    <col min="5119" max="5119" width="7.83203125" style="3" customWidth="1"/>
    <col min="5120" max="5120" width="1" style="3" customWidth="1"/>
    <col min="5121" max="5121" width="11.83203125" style="3" customWidth="1"/>
    <col min="5122" max="5369" width="9.33203125" style="3"/>
    <col min="5370" max="5371" width="7.83203125" style="3" customWidth="1"/>
    <col min="5372" max="5372" width="9.33203125" style="3" customWidth="1"/>
    <col min="5373" max="5373" width="2" style="3" customWidth="1"/>
    <col min="5374" max="5374" width="75.6640625" style="3" customWidth="1"/>
    <col min="5375" max="5375" width="7.83203125" style="3" customWidth="1"/>
    <col min="5376" max="5376" width="1" style="3" customWidth="1"/>
    <col min="5377" max="5377" width="11.83203125" style="3" customWidth="1"/>
    <col min="5378" max="5625" width="9.33203125" style="3"/>
    <col min="5626" max="5627" width="7.83203125" style="3" customWidth="1"/>
    <col min="5628" max="5628" width="9.33203125" style="3" customWidth="1"/>
    <col min="5629" max="5629" width="2" style="3" customWidth="1"/>
    <col min="5630" max="5630" width="75.6640625" style="3" customWidth="1"/>
    <col min="5631" max="5631" width="7.83203125" style="3" customWidth="1"/>
    <col min="5632" max="5632" width="1" style="3" customWidth="1"/>
    <col min="5633" max="5633" width="11.83203125" style="3" customWidth="1"/>
    <col min="5634" max="5881" width="9.33203125" style="3"/>
    <col min="5882" max="5883" width="7.83203125" style="3" customWidth="1"/>
    <col min="5884" max="5884" width="9.33203125" style="3" customWidth="1"/>
    <col min="5885" max="5885" width="2" style="3" customWidth="1"/>
    <col min="5886" max="5886" width="75.6640625" style="3" customWidth="1"/>
    <col min="5887" max="5887" width="7.83203125" style="3" customWidth="1"/>
    <col min="5888" max="5888" width="1" style="3" customWidth="1"/>
    <col min="5889" max="5889" width="11.83203125" style="3" customWidth="1"/>
    <col min="5890" max="6137" width="9.33203125" style="3"/>
    <col min="6138" max="6139" width="7.83203125" style="3" customWidth="1"/>
    <col min="6140" max="6140" width="9.33203125" style="3" customWidth="1"/>
    <col min="6141" max="6141" width="2" style="3" customWidth="1"/>
    <col min="6142" max="6142" width="75.6640625" style="3" customWidth="1"/>
    <col min="6143" max="6143" width="7.83203125" style="3" customWidth="1"/>
    <col min="6144" max="6144" width="1" style="3" customWidth="1"/>
    <col min="6145" max="6145" width="11.83203125" style="3" customWidth="1"/>
    <col min="6146" max="6393" width="9.33203125" style="3"/>
    <col min="6394" max="6395" width="7.83203125" style="3" customWidth="1"/>
    <col min="6396" max="6396" width="9.33203125" style="3" customWidth="1"/>
    <col min="6397" max="6397" width="2" style="3" customWidth="1"/>
    <col min="6398" max="6398" width="75.6640625" style="3" customWidth="1"/>
    <col min="6399" max="6399" width="7.83203125" style="3" customWidth="1"/>
    <col min="6400" max="6400" width="1" style="3" customWidth="1"/>
    <col min="6401" max="6401" width="11.83203125" style="3" customWidth="1"/>
    <col min="6402" max="6649" width="9.33203125" style="3"/>
    <col min="6650" max="6651" width="7.83203125" style="3" customWidth="1"/>
    <col min="6652" max="6652" width="9.33203125" style="3" customWidth="1"/>
    <col min="6653" max="6653" width="2" style="3" customWidth="1"/>
    <col min="6654" max="6654" width="75.6640625" style="3" customWidth="1"/>
    <col min="6655" max="6655" width="7.83203125" style="3" customWidth="1"/>
    <col min="6656" max="6656" width="1" style="3" customWidth="1"/>
    <col min="6657" max="6657" width="11.83203125" style="3" customWidth="1"/>
    <col min="6658" max="6905" width="9.33203125" style="3"/>
    <col min="6906" max="6907" width="7.83203125" style="3" customWidth="1"/>
    <col min="6908" max="6908" width="9.33203125" style="3" customWidth="1"/>
    <col min="6909" max="6909" width="2" style="3" customWidth="1"/>
    <col min="6910" max="6910" width="75.6640625" style="3" customWidth="1"/>
    <col min="6911" max="6911" width="7.83203125" style="3" customWidth="1"/>
    <col min="6912" max="6912" width="1" style="3" customWidth="1"/>
    <col min="6913" max="6913" width="11.83203125" style="3" customWidth="1"/>
    <col min="6914" max="7161" width="9.33203125" style="3"/>
    <col min="7162" max="7163" width="7.83203125" style="3" customWidth="1"/>
    <col min="7164" max="7164" width="9.33203125" style="3" customWidth="1"/>
    <col min="7165" max="7165" width="2" style="3" customWidth="1"/>
    <col min="7166" max="7166" width="75.6640625" style="3" customWidth="1"/>
    <col min="7167" max="7167" width="7.83203125" style="3" customWidth="1"/>
    <col min="7168" max="7168" width="1" style="3" customWidth="1"/>
    <col min="7169" max="7169" width="11.83203125" style="3" customWidth="1"/>
    <col min="7170" max="7417" width="9.33203125" style="3"/>
    <col min="7418" max="7419" width="7.83203125" style="3" customWidth="1"/>
    <col min="7420" max="7420" width="9.33203125" style="3" customWidth="1"/>
    <col min="7421" max="7421" width="2" style="3" customWidth="1"/>
    <col min="7422" max="7422" width="75.6640625" style="3" customWidth="1"/>
    <col min="7423" max="7423" width="7.83203125" style="3" customWidth="1"/>
    <col min="7424" max="7424" width="1" style="3" customWidth="1"/>
    <col min="7425" max="7425" width="11.83203125" style="3" customWidth="1"/>
    <col min="7426" max="7673" width="9.33203125" style="3"/>
    <col min="7674" max="7675" width="7.83203125" style="3" customWidth="1"/>
    <col min="7676" max="7676" width="9.33203125" style="3" customWidth="1"/>
    <col min="7677" max="7677" width="2" style="3" customWidth="1"/>
    <col min="7678" max="7678" width="75.6640625" style="3" customWidth="1"/>
    <col min="7679" max="7679" width="7.83203125" style="3" customWidth="1"/>
    <col min="7680" max="7680" width="1" style="3" customWidth="1"/>
    <col min="7681" max="7681" width="11.83203125" style="3" customWidth="1"/>
    <col min="7682" max="7929" width="9.33203125" style="3"/>
    <col min="7930" max="7931" width="7.83203125" style="3" customWidth="1"/>
    <col min="7932" max="7932" width="9.33203125" style="3" customWidth="1"/>
    <col min="7933" max="7933" width="2" style="3" customWidth="1"/>
    <col min="7934" max="7934" width="75.6640625" style="3" customWidth="1"/>
    <col min="7935" max="7935" width="7.83203125" style="3" customWidth="1"/>
    <col min="7936" max="7936" width="1" style="3" customWidth="1"/>
    <col min="7937" max="7937" width="11.83203125" style="3" customWidth="1"/>
    <col min="7938" max="8185" width="9.33203125" style="3"/>
    <col min="8186" max="8187" width="7.83203125" style="3" customWidth="1"/>
    <col min="8188" max="8188" width="9.33203125" style="3" customWidth="1"/>
    <col min="8189" max="8189" width="2" style="3" customWidth="1"/>
    <col min="8190" max="8190" width="75.6640625" style="3" customWidth="1"/>
    <col min="8191" max="8191" width="7.83203125" style="3" customWidth="1"/>
    <col min="8192" max="8192" width="1" style="3" customWidth="1"/>
    <col min="8193" max="8193" width="11.83203125" style="3" customWidth="1"/>
    <col min="8194" max="8441" width="9.33203125" style="3"/>
    <col min="8442" max="8443" width="7.83203125" style="3" customWidth="1"/>
    <col min="8444" max="8444" width="9.33203125" style="3" customWidth="1"/>
    <col min="8445" max="8445" width="2" style="3" customWidth="1"/>
    <col min="8446" max="8446" width="75.6640625" style="3" customWidth="1"/>
    <col min="8447" max="8447" width="7.83203125" style="3" customWidth="1"/>
    <col min="8448" max="8448" width="1" style="3" customWidth="1"/>
    <col min="8449" max="8449" width="11.83203125" style="3" customWidth="1"/>
    <col min="8450" max="8697" width="9.33203125" style="3"/>
    <col min="8698" max="8699" width="7.83203125" style="3" customWidth="1"/>
    <col min="8700" max="8700" width="9.33203125" style="3" customWidth="1"/>
    <col min="8701" max="8701" width="2" style="3" customWidth="1"/>
    <col min="8702" max="8702" width="75.6640625" style="3" customWidth="1"/>
    <col min="8703" max="8703" width="7.83203125" style="3" customWidth="1"/>
    <col min="8704" max="8704" width="1" style="3" customWidth="1"/>
    <col min="8705" max="8705" width="11.83203125" style="3" customWidth="1"/>
    <col min="8706" max="8953" width="9.33203125" style="3"/>
    <col min="8954" max="8955" width="7.83203125" style="3" customWidth="1"/>
    <col min="8956" max="8956" width="9.33203125" style="3" customWidth="1"/>
    <col min="8957" max="8957" width="2" style="3" customWidth="1"/>
    <col min="8958" max="8958" width="75.6640625" style="3" customWidth="1"/>
    <col min="8959" max="8959" width="7.83203125" style="3" customWidth="1"/>
    <col min="8960" max="8960" width="1" style="3" customWidth="1"/>
    <col min="8961" max="8961" width="11.83203125" style="3" customWidth="1"/>
    <col min="8962" max="9209" width="9.33203125" style="3"/>
    <col min="9210" max="9211" width="7.83203125" style="3" customWidth="1"/>
    <col min="9212" max="9212" width="9.33203125" style="3" customWidth="1"/>
    <col min="9213" max="9213" width="2" style="3" customWidth="1"/>
    <col min="9214" max="9214" width="75.6640625" style="3" customWidth="1"/>
    <col min="9215" max="9215" width="7.83203125" style="3" customWidth="1"/>
    <col min="9216" max="9216" width="1" style="3" customWidth="1"/>
    <col min="9217" max="9217" width="11.83203125" style="3" customWidth="1"/>
    <col min="9218" max="9465" width="9.33203125" style="3"/>
    <col min="9466" max="9467" width="7.83203125" style="3" customWidth="1"/>
    <col min="9468" max="9468" width="9.33203125" style="3" customWidth="1"/>
    <col min="9469" max="9469" width="2" style="3" customWidth="1"/>
    <col min="9470" max="9470" width="75.6640625" style="3" customWidth="1"/>
    <col min="9471" max="9471" width="7.83203125" style="3" customWidth="1"/>
    <col min="9472" max="9472" width="1" style="3" customWidth="1"/>
    <col min="9473" max="9473" width="11.83203125" style="3" customWidth="1"/>
    <col min="9474" max="9721" width="9.33203125" style="3"/>
    <col min="9722" max="9723" width="7.83203125" style="3" customWidth="1"/>
    <col min="9724" max="9724" width="9.33203125" style="3" customWidth="1"/>
    <col min="9725" max="9725" width="2" style="3" customWidth="1"/>
    <col min="9726" max="9726" width="75.6640625" style="3" customWidth="1"/>
    <col min="9727" max="9727" width="7.83203125" style="3" customWidth="1"/>
    <col min="9728" max="9728" width="1" style="3" customWidth="1"/>
    <col min="9729" max="9729" width="11.83203125" style="3" customWidth="1"/>
    <col min="9730" max="9977" width="9.33203125" style="3"/>
    <col min="9978" max="9979" width="7.83203125" style="3" customWidth="1"/>
    <col min="9980" max="9980" width="9.33203125" style="3" customWidth="1"/>
    <col min="9981" max="9981" width="2" style="3" customWidth="1"/>
    <col min="9982" max="9982" width="75.6640625" style="3" customWidth="1"/>
    <col min="9983" max="9983" width="7.83203125" style="3" customWidth="1"/>
    <col min="9984" max="9984" width="1" style="3" customWidth="1"/>
    <col min="9985" max="9985" width="11.83203125" style="3" customWidth="1"/>
    <col min="9986" max="10233" width="9.33203125" style="3"/>
    <col min="10234" max="10235" width="7.83203125" style="3" customWidth="1"/>
    <col min="10236" max="10236" width="9.33203125" style="3" customWidth="1"/>
    <col min="10237" max="10237" width="2" style="3" customWidth="1"/>
    <col min="10238" max="10238" width="75.6640625" style="3" customWidth="1"/>
    <col min="10239" max="10239" width="7.83203125" style="3" customWidth="1"/>
    <col min="10240" max="10240" width="1" style="3" customWidth="1"/>
    <col min="10241" max="10241" width="11.83203125" style="3" customWidth="1"/>
    <col min="10242" max="10489" width="9.33203125" style="3"/>
    <col min="10490" max="10491" width="7.83203125" style="3" customWidth="1"/>
    <col min="10492" max="10492" width="9.33203125" style="3" customWidth="1"/>
    <col min="10493" max="10493" width="2" style="3" customWidth="1"/>
    <col min="10494" max="10494" width="75.6640625" style="3" customWidth="1"/>
    <col min="10495" max="10495" width="7.83203125" style="3" customWidth="1"/>
    <col min="10496" max="10496" width="1" style="3" customWidth="1"/>
    <col min="10497" max="10497" width="11.83203125" style="3" customWidth="1"/>
    <col min="10498" max="10745" width="9.33203125" style="3"/>
    <col min="10746" max="10747" width="7.83203125" style="3" customWidth="1"/>
    <col min="10748" max="10748" width="9.33203125" style="3" customWidth="1"/>
    <col min="10749" max="10749" width="2" style="3" customWidth="1"/>
    <col min="10750" max="10750" width="75.6640625" style="3" customWidth="1"/>
    <col min="10751" max="10751" width="7.83203125" style="3" customWidth="1"/>
    <col min="10752" max="10752" width="1" style="3" customWidth="1"/>
    <col min="10753" max="10753" width="11.83203125" style="3" customWidth="1"/>
    <col min="10754" max="11001" width="9.33203125" style="3"/>
    <col min="11002" max="11003" width="7.83203125" style="3" customWidth="1"/>
    <col min="11004" max="11004" width="9.33203125" style="3" customWidth="1"/>
    <col min="11005" max="11005" width="2" style="3" customWidth="1"/>
    <col min="11006" max="11006" width="75.6640625" style="3" customWidth="1"/>
    <col min="11007" max="11007" width="7.83203125" style="3" customWidth="1"/>
    <col min="11008" max="11008" width="1" style="3" customWidth="1"/>
    <col min="11009" max="11009" width="11.83203125" style="3" customWidth="1"/>
    <col min="11010" max="11257" width="9.33203125" style="3"/>
    <col min="11258" max="11259" width="7.83203125" style="3" customWidth="1"/>
    <col min="11260" max="11260" width="9.33203125" style="3" customWidth="1"/>
    <col min="11261" max="11261" width="2" style="3" customWidth="1"/>
    <col min="11262" max="11262" width="75.6640625" style="3" customWidth="1"/>
    <col min="11263" max="11263" width="7.83203125" style="3" customWidth="1"/>
    <col min="11264" max="11264" width="1" style="3" customWidth="1"/>
    <col min="11265" max="11265" width="11.83203125" style="3" customWidth="1"/>
    <col min="11266" max="11513" width="9.33203125" style="3"/>
    <col min="11514" max="11515" width="7.83203125" style="3" customWidth="1"/>
    <col min="11516" max="11516" width="9.33203125" style="3" customWidth="1"/>
    <col min="11517" max="11517" width="2" style="3" customWidth="1"/>
    <col min="11518" max="11518" width="75.6640625" style="3" customWidth="1"/>
    <col min="11519" max="11519" width="7.83203125" style="3" customWidth="1"/>
    <col min="11520" max="11520" width="1" style="3" customWidth="1"/>
    <col min="11521" max="11521" width="11.83203125" style="3" customWidth="1"/>
    <col min="11522" max="11769" width="9.33203125" style="3"/>
    <col min="11770" max="11771" width="7.83203125" style="3" customWidth="1"/>
    <col min="11772" max="11772" width="9.33203125" style="3" customWidth="1"/>
    <col min="11773" max="11773" width="2" style="3" customWidth="1"/>
    <col min="11774" max="11774" width="75.6640625" style="3" customWidth="1"/>
    <col min="11775" max="11775" width="7.83203125" style="3" customWidth="1"/>
    <col min="11776" max="11776" width="1" style="3" customWidth="1"/>
    <col min="11777" max="11777" width="11.83203125" style="3" customWidth="1"/>
    <col min="11778" max="12025" width="9.33203125" style="3"/>
    <col min="12026" max="12027" width="7.83203125" style="3" customWidth="1"/>
    <col min="12028" max="12028" width="9.33203125" style="3" customWidth="1"/>
    <col min="12029" max="12029" width="2" style="3" customWidth="1"/>
    <col min="12030" max="12030" width="75.6640625" style="3" customWidth="1"/>
    <col min="12031" max="12031" width="7.83203125" style="3" customWidth="1"/>
    <col min="12032" max="12032" width="1" style="3" customWidth="1"/>
    <col min="12033" max="12033" width="11.83203125" style="3" customWidth="1"/>
    <col min="12034" max="12281" width="9.33203125" style="3"/>
    <col min="12282" max="12283" width="7.83203125" style="3" customWidth="1"/>
    <col min="12284" max="12284" width="9.33203125" style="3" customWidth="1"/>
    <col min="12285" max="12285" width="2" style="3" customWidth="1"/>
    <col min="12286" max="12286" width="75.6640625" style="3" customWidth="1"/>
    <col min="12287" max="12287" width="7.83203125" style="3" customWidth="1"/>
    <col min="12288" max="12288" width="1" style="3" customWidth="1"/>
    <col min="12289" max="12289" width="11.83203125" style="3" customWidth="1"/>
    <col min="12290" max="12537" width="9.33203125" style="3"/>
    <col min="12538" max="12539" width="7.83203125" style="3" customWidth="1"/>
    <col min="12540" max="12540" width="9.33203125" style="3" customWidth="1"/>
    <col min="12541" max="12541" width="2" style="3" customWidth="1"/>
    <col min="12542" max="12542" width="75.6640625" style="3" customWidth="1"/>
    <col min="12543" max="12543" width="7.83203125" style="3" customWidth="1"/>
    <col min="12544" max="12544" width="1" style="3" customWidth="1"/>
    <col min="12545" max="12545" width="11.83203125" style="3" customWidth="1"/>
    <col min="12546" max="12793" width="9.33203125" style="3"/>
    <col min="12794" max="12795" width="7.83203125" style="3" customWidth="1"/>
    <col min="12796" max="12796" width="9.33203125" style="3" customWidth="1"/>
    <col min="12797" max="12797" width="2" style="3" customWidth="1"/>
    <col min="12798" max="12798" width="75.6640625" style="3" customWidth="1"/>
    <col min="12799" max="12799" width="7.83203125" style="3" customWidth="1"/>
    <col min="12800" max="12800" width="1" style="3" customWidth="1"/>
    <col min="12801" max="12801" width="11.83203125" style="3" customWidth="1"/>
    <col min="12802" max="13049" width="9.33203125" style="3"/>
    <col min="13050" max="13051" width="7.83203125" style="3" customWidth="1"/>
    <col min="13052" max="13052" width="9.33203125" style="3" customWidth="1"/>
    <col min="13053" max="13053" width="2" style="3" customWidth="1"/>
    <col min="13054" max="13054" width="75.6640625" style="3" customWidth="1"/>
    <col min="13055" max="13055" width="7.83203125" style="3" customWidth="1"/>
    <col min="13056" max="13056" width="1" style="3" customWidth="1"/>
    <col min="13057" max="13057" width="11.83203125" style="3" customWidth="1"/>
    <col min="13058" max="13305" width="9.33203125" style="3"/>
    <col min="13306" max="13307" width="7.83203125" style="3" customWidth="1"/>
    <col min="13308" max="13308" width="9.33203125" style="3" customWidth="1"/>
    <col min="13309" max="13309" width="2" style="3" customWidth="1"/>
    <col min="13310" max="13310" width="75.6640625" style="3" customWidth="1"/>
    <col min="13311" max="13311" width="7.83203125" style="3" customWidth="1"/>
    <col min="13312" max="13312" width="1" style="3" customWidth="1"/>
    <col min="13313" max="13313" width="11.83203125" style="3" customWidth="1"/>
    <col min="13314" max="13561" width="9.33203125" style="3"/>
    <col min="13562" max="13563" width="7.83203125" style="3" customWidth="1"/>
    <col min="13564" max="13564" width="9.33203125" style="3" customWidth="1"/>
    <col min="13565" max="13565" width="2" style="3" customWidth="1"/>
    <col min="13566" max="13566" width="75.6640625" style="3" customWidth="1"/>
    <col min="13567" max="13567" width="7.83203125" style="3" customWidth="1"/>
    <col min="13568" max="13568" width="1" style="3" customWidth="1"/>
    <col min="13569" max="13569" width="11.83203125" style="3" customWidth="1"/>
    <col min="13570" max="13817" width="9.33203125" style="3"/>
    <col min="13818" max="13819" width="7.83203125" style="3" customWidth="1"/>
    <col min="13820" max="13820" width="9.33203125" style="3" customWidth="1"/>
    <col min="13821" max="13821" width="2" style="3" customWidth="1"/>
    <col min="13822" max="13822" width="75.6640625" style="3" customWidth="1"/>
    <col min="13823" max="13823" width="7.83203125" style="3" customWidth="1"/>
    <col min="13824" max="13824" width="1" style="3" customWidth="1"/>
    <col min="13825" max="13825" width="11.83203125" style="3" customWidth="1"/>
    <col min="13826" max="14073" width="9.33203125" style="3"/>
    <col min="14074" max="14075" width="7.83203125" style="3" customWidth="1"/>
    <col min="14076" max="14076" width="9.33203125" style="3" customWidth="1"/>
    <col min="14077" max="14077" width="2" style="3" customWidth="1"/>
    <col min="14078" max="14078" width="75.6640625" style="3" customWidth="1"/>
    <col min="14079" max="14079" width="7.83203125" style="3" customWidth="1"/>
    <col min="14080" max="14080" width="1" style="3" customWidth="1"/>
    <col min="14081" max="14081" width="11.83203125" style="3" customWidth="1"/>
    <col min="14082" max="14329" width="9.33203125" style="3"/>
    <col min="14330" max="14331" width="7.83203125" style="3" customWidth="1"/>
    <col min="14332" max="14332" width="9.33203125" style="3" customWidth="1"/>
    <col min="14333" max="14333" width="2" style="3" customWidth="1"/>
    <col min="14334" max="14334" width="75.6640625" style="3" customWidth="1"/>
    <col min="14335" max="14335" width="7.83203125" style="3" customWidth="1"/>
    <col min="14336" max="14336" width="1" style="3" customWidth="1"/>
    <col min="14337" max="14337" width="11.83203125" style="3" customWidth="1"/>
    <col min="14338" max="14585" width="9.33203125" style="3"/>
    <col min="14586" max="14587" width="7.83203125" style="3" customWidth="1"/>
    <col min="14588" max="14588" width="9.33203125" style="3" customWidth="1"/>
    <col min="14589" max="14589" width="2" style="3" customWidth="1"/>
    <col min="14590" max="14590" width="75.6640625" style="3" customWidth="1"/>
    <col min="14591" max="14591" width="7.83203125" style="3" customWidth="1"/>
    <col min="14592" max="14592" width="1" style="3" customWidth="1"/>
    <col min="14593" max="14593" width="11.83203125" style="3" customWidth="1"/>
    <col min="14594" max="14841" width="9.33203125" style="3"/>
    <col min="14842" max="14843" width="7.83203125" style="3" customWidth="1"/>
    <col min="14844" max="14844" width="9.33203125" style="3" customWidth="1"/>
    <col min="14845" max="14845" width="2" style="3" customWidth="1"/>
    <col min="14846" max="14846" width="75.6640625" style="3" customWidth="1"/>
    <col min="14847" max="14847" width="7.83203125" style="3" customWidth="1"/>
    <col min="14848" max="14848" width="1" style="3" customWidth="1"/>
    <col min="14849" max="14849" width="11.83203125" style="3" customWidth="1"/>
    <col min="14850" max="15097" width="9.33203125" style="3"/>
    <col min="15098" max="15099" width="7.83203125" style="3" customWidth="1"/>
    <col min="15100" max="15100" width="9.33203125" style="3" customWidth="1"/>
    <col min="15101" max="15101" width="2" style="3" customWidth="1"/>
    <col min="15102" max="15102" width="75.6640625" style="3" customWidth="1"/>
    <col min="15103" max="15103" width="7.83203125" style="3" customWidth="1"/>
    <col min="15104" max="15104" width="1" style="3" customWidth="1"/>
    <col min="15105" max="15105" width="11.83203125" style="3" customWidth="1"/>
    <col min="15106" max="15353" width="9.33203125" style="3"/>
    <col min="15354" max="15355" width="7.83203125" style="3" customWidth="1"/>
    <col min="15356" max="15356" width="9.33203125" style="3" customWidth="1"/>
    <col min="15357" max="15357" width="2" style="3" customWidth="1"/>
    <col min="15358" max="15358" width="75.6640625" style="3" customWidth="1"/>
    <col min="15359" max="15359" width="7.83203125" style="3" customWidth="1"/>
    <col min="15360" max="15360" width="1" style="3" customWidth="1"/>
    <col min="15361" max="15361" width="11.83203125" style="3" customWidth="1"/>
    <col min="15362" max="15609" width="9.33203125" style="3"/>
    <col min="15610" max="15611" width="7.83203125" style="3" customWidth="1"/>
    <col min="15612" max="15612" width="9.33203125" style="3" customWidth="1"/>
    <col min="15613" max="15613" width="2" style="3" customWidth="1"/>
    <col min="15614" max="15614" width="75.6640625" style="3" customWidth="1"/>
    <col min="15615" max="15615" width="7.83203125" style="3" customWidth="1"/>
    <col min="15616" max="15616" width="1" style="3" customWidth="1"/>
    <col min="15617" max="15617" width="11.83203125" style="3" customWidth="1"/>
    <col min="15618" max="15865" width="9.33203125" style="3"/>
    <col min="15866" max="15867" width="7.83203125" style="3" customWidth="1"/>
    <col min="15868" max="15868" width="9.33203125" style="3" customWidth="1"/>
    <col min="15869" max="15869" width="2" style="3" customWidth="1"/>
    <col min="15870" max="15870" width="75.6640625" style="3" customWidth="1"/>
    <col min="15871" max="15871" width="7.83203125" style="3" customWidth="1"/>
    <col min="15872" max="15872" width="1" style="3" customWidth="1"/>
    <col min="15873" max="15873" width="11.83203125" style="3" customWidth="1"/>
    <col min="15874" max="16121" width="9.33203125" style="3"/>
    <col min="16122" max="16123" width="7.83203125" style="3" customWidth="1"/>
    <col min="16124" max="16124" width="9.33203125" style="3" customWidth="1"/>
    <col min="16125" max="16125" width="2" style="3" customWidth="1"/>
    <col min="16126" max="16126" width="75.6640625" style="3" customWidth="1"/>
    <col min="16127" max="16127" width="7.83203125" style="3" customWidth="1"/>
    <col min="16128" max="16128" width="1" style="3" customWidth="1"/>
    <col min="16129" max="16129" width="11.83203125" style="3" customWidth="1"/>
    <col min="16130" max="16384" width="9.33203125" style="3"/>
  </cols>
  <sheetData>
    <row r="1" spans="1:6" ht="22.5" x14ac:dyDescent="0.2">
      <c r="A1" s="11" t="s">
        <v>52</v>
      </c>
      <c r="B1" s="12" t="s">
        <v>5917</v>
      </c>
      <c r="C1" s="11" t="s">
        <v>54</v>
      </c>
      <c r="D1" s="13" t="s">
        <v>55</v>
      </c>
      <c r="F1" s="3" t="str">
        <f>A1</f>
        <v>CÓDIGO</v>
      </c>
    </row>
    <row r="2" spans="1:6" x14ac:dyDescent="0.2">
      <c r="A2" s="14" t="s">
        <v>5918</v>
      </c>
      <c r="B2" s="15"/>
      <c r="C2" s="14">
        <v>0</v>
      </c>
      <c r="D2" s="16">
        <v>124270.31</v>
      </c>
      <c r="F2" s="3" t="str">
        <f t="shared" ref="F2:F65" si="0">A2</f>
        <v>SERVICOS PRELIMINARES</v>
      </c>
    </row>
    <row r="3" spans="1:6" x14ac:dyDescent="0.2">
      <c r="A3" s="14" t="s">
        <v>5919</v>
      </c>
      <c r="B3" s="15"/>
      <c r="C3" s="14">
        <v>0</v>
      </c>
      <c r="D3" s="16">
        <v>5740.12</v>
      </c>
      <c r="F3" s="3" t="str">
        <f t="shared" si="0"/>
        <v>SONDAGENS</v>
      </c>
    </row>
    <row r="4" spans="1:6" x14ac:dyDescent="0.2">
      <c r="A4" s="17" t="s">
        <v>5920</v>
      </c>
      <c r="B4" s="18" t="s">
        <v>5921</v>
      </c>
      <c r="C4" s="17" t="s">
        <v>26</v>
      </c>
      <c r="D4" s="19">
        <v>549.91</v>
      </c>
      <c r="F4" s="3" t="str">
        <f t="shared" si="0"/>
        <v>C2820</v>
      </c>
    </row>
    <row r="5" spans="1:6" x14ac:dyDescent="0.2">
      <c r="A5" s="17" t="s">
        <v>5922</v>
      </c>
      <c r="B5" s="18" t="s">
        <v>5923</v>
      </c>
      <c r="C5" s="17" t="s">
        <v>26</v>
      </c>
      <c r="D5" s="19">
        <v>703.48</v>
      </c>
      <c r="F5" s="3" t="str">
        <f t="shared" si="0"/>
        <v>C2818</v>
      </c>
    </row>
    <row r="6" spans="1:6" x14ac:dyDescent="0.2">
      <c r="A6" s="17" t="s">
        <v>5924</v>
      </c>
      <c r="B6" s="18" t="s">
        <v>5925</v>
      </c>
      <c r="C6" s="17" t="s">
        <v>26</v>
      </c>
      <c r="D6" s="19">
        <v>902.37</v>
      </c>
      <c r="F6" s="3" t="str">
        <f t="shared" si="0"/>
        <v>C2819</v>
      </c>
    </row>
    <row r="7" spans="1:6" x14ac:dyDescent="0.2">
      <c r="A7" s="17" t="s">
        <v>5926</v>
      </c>
      <c r="B7" s="18" t="s">
        <v>5927</v>
      </c>
      <c r="C7" s="17" t="s">
        <v>26</v>
      </c>
      <c r="D7" s="19">
        <v>392.76</v>
      </c>
      <c r="F7" s="3" t="str">
        <f t="shared" si="0"/>
        <v>C2833</v>
      </c>
    </row>
    <row r="8" spans="1:6" x14ac:dyDescent="0.2">
      <c r="A8" s="17" t="s">
        <v>5928</v>
      </c>
      <c r="B8" s="18" t="s">
        <v>5929</v>
      </c>
      <c r="C8" s="17" t="s">
        <v>255</v>
      </c>
      <c r="D8" s="19">
        <v>0.56000000000000005</v>
      </c>
      <c r="F8" s="3" t="str">
        <f t="shared" si="0"/>
        <v>C0053</v>
      </c>
    </row>
    <row r="9" spans="1:6" x14ac:dyDescent="0.2">
      <c r="A9" s="17" t="s">
        <v>5930</v>
      </c>
      <c r="B9" s="18" t="s">
        <v>5931</v>
      </c>
      <c r="C9" s="17" t="s">
        <v>26</v>
      </c>
      <c r="D9" s="19">
        <v>1178.28</v>
      </c>
      <c r="F9" s="3" t="str">
        <f t="shared" si="0"/>
        <v>C2937</v>
      </c>
    </row>
    <row r="10" spans="1:6" x14ac:dyDescent="0.2">
      <c r="A10" s="17" t="s">
        <v>5932</v>
      </c>
      <c r="B10" s="18" t="s">
        <v>5933</v>
      </c>
      <c r="C10" s="17" t="s">
        <v>0</v>
      </c>
      <c r="D10" s="19">
        <v>1251.98</v>
      </c>
      <c r="F10" s="3" t="str">
        <f t="shared" si="0"/>
        <v>C0333</v>
      </c>
    </row>
    <row r="11" spans="1:6" x14ac:dyDescent="0.2">
      <c r="A11" s="17" t="s">
        <v>5934</v>
      </c>
      <c r="B11" s="18" t="s">
        <v>5935</v>
      </c>
      <c r="C11" s="17" t="s">
        <v>0</v>
      </c>
      <c r="D11" s="19">
        <v>299.97000000000003</v>
      </c>
      <c r="F11" s="3" t="str">
        <f t="shared" si="0"/>
        <v>C0143</v>
      </c>
    </row>
    <row r="12" spans="1:6" x14ac:dyDescent="0.2">
      <c r="A12" s="17" t="s">
        <v>5936</v>
      </c>
      <c r="B12" s="18" t="s">
        <v>5937</v>
      </c>
      <c r="C12" s="17" t="s">
        <v>0</v>
      </c>
      <c r="D12" s="19">
        <v>69.56</v>
      </c>
      <c r="F12" s="3" t="str">
        <f t="shared" si="0"/>
        <v>C2290</v>
      </c>
    </row>
    <row r="13" spans="1:6" x14ac:dyDescent="0.2">
      <c r="A13" s="17" t="s">
        <v>5938</v>
      </c>
      <c r="B13" s="18" t="s">
        <v>5939</v>
      </c>
      <c r="C13" s="17" t="s">
        <v>0</v>
      </c>
      <c r="D13" s="19">
        <v>391.25</v>
      </c>
      <c r="F13" s="3" t="str">
        <f t="shared" si="0"/>
        <v>C3955</v>
      </c>
    </row>
    <row r="14" spans="1:6" x14ac:dyDescent="0.2">
      <c r="A14" s="14" t="s">
        <v>5940</v>
      </c>
      <c r="B14" s="15"/>
      <c r="C14" s="14">
        <v>0</v>
      </c>
      <c r="D14" s="16">
        <v>225.58</v>
      </c>
      <c r="F14" s="3" t="str">
        <f t="shared" si="0"/>
        <v>CADASTRO</v>
      </c>
    </row>
    <row r="15" spans="1:6" x14ac:dyDescent="0.2">
      <c r="A15" s="17" t="s">
        <v>5941</v>
      </c>
      <c r="B15" s="18" t="s">
        <v>5942</v>
      </c>
      <c r="C15" s="17" t="s">
        <v>0</v>
      </c>
      <c r="D15" s="19">
        <v>1.51</v>
      </c>
      <c r="F15" s="3" t="str">
        <f t="shared" si="0"/>
        <v>C0580</v>
      </c>
    </row>
    <row r="16" spans="1:6" x14ac:dyDescent="0.2">
      <c r="A16" s="17" t="s">
        <v>5943</v>
      </c>
      <c r="B16" s="18" t="s">
        <v>5944</v>
      </c>
      <c r="C16" s="17" t="s">
        <v>26</v>
      </c>
      <c r="D16" s="19">
        <v>2.8</v>
      </c>
      <c r="F16" s="3" t="str">
        <f t="shared" si="0"/>
        <v>C0581</v>
      </c>
    </row>
    <row r="17" spans="1:6" x14ac:dyDescent="0.2">
      <c r="A17" s="17" t="s">
        <v>5945</v>
      </c>
      <c r="B17" s="18" t="s">
        <v>5946</v>
      </c>
      <c r="C17" s="17" t="s">
        <v>255</v>
      </c>
      <c r="D17" s="19">
        <v>49.19</v>
      </c>
      <c r="F17" s="3" t="str">
        <f t="shared" si="0"/>
        <v>C0582</v>
      </c>
    </row>
    <row r="18" spans="1:6" x14ac:dyDescent="0.2">
      <c r="A18" s="17" t="s">
        <v>5947</v>
      </c>
      <c r="B18" s="18" t="s">
        <v>5948</v>
      </c>
      <c r="C18" s="17" t="s">
        <v>0</v>
      </c>
      <c r="D18" s="19">
        <v>1.1599999999999999</v>
      </c>
      <c r="F18" s="3" t="str">
        <f t="shared" si="0"/>
        <v>C0583</v>
      </c>
    </row>
    <row r="19" spans="1:6" x14ac:dyDescent="0.2">
      <c r="A19" s="17" t="s">
        <v>5949</v>
      </c>
      <c r="B19" s="18" t="s">
        <v>5950</v>
      </c>
      <c r="C19" s="17" t="s">
        <v>0</v>
      </c>
      <c r="D19" s="19">
        <v>1.73</v>
      </c>
      <c r="F19" s="3" t="str">
        <f t="shared" si="0"/>
        <v>C0584</v>
      </c>
    </row>
    <row r="20" spans="1:6" x14ac:dyDescent="0.2">
      <c r="A20" s="17" t="s">
        <v>5951</v>
      </c>
      <c r="B20" s="18" t="s">
        <v>5952</v>
      </c>
      <c r="C20" s="17" t="s">
        <v>5953</v>
      </c>
      <c r="D20" s="19">
        <v>11.53</v>
      </c>
      <c r="F20" s="3" t="str">
        <f t="shared" si="0"/>
        <v>C3427</v>
      </c>
    </row>
    <row r="21" spans="1:6" x14ac:dyDescent="0.2">
      <c r="A21" s="17" t="s">
        <v>5954</v>
      </c>
      <c r="B21" s="18" t="s">
        <v>5955</v>
      </c>
      <c r="C21" s="17" t="s">
        <v>5953</v>
      </c>
      <c r="D21" s="19">
        <v>10.18</v>
      </c>
      <c r="F21" s="3" t="str">
        <f t="shared" si="0"/>
        <v>C3428</v>
      </c>
    </row>
    <row r="22" spans="1:6" x14ac:dyDescent="0.2">
      <c r="A22" s="17" t="s">
        <v>5956</v>
      </c>
      <c r="B22" s="18" t="s">
        <v>5957</v>
      </c>
      <c r="C22" s="17" t="s">
        <v>5953</v>
      </c>
      <c r="D22" s="19">
        <v>8.56</v>
      </c>
      <c r="F22" s="3" t="str">
        <f t="shared" si="0"/>
        <v>C4579</v>
      </c>
    </row>
    <row r="23" spans="1:6" x14ac:dyDescent="0.2">
      <c r="A23" s="17" t="s">
        <v>5958</v>
      </c>
      <c r="B23" s="18" t="s">
        <v>5959</v>
      </c>
      <c r="C23" s="17" t="s">
        <v>5953</v>
      </c>
      <c r="D23" s="19">
        <v>8.52</v>
      </c>
      <c r="F23" s="3" t="str">
        <f t="shared" si="0"/>
        <v>C4580</v>
      </c>
    </row>
    <row r="24" spans="1:6" x14ac:dyDescent="0.2">
      <c r="A24" s="17" t="s">
        <v>5960</v>
      </c>
      <c r="B24" s="18" t="s">
        <v>5961</v>
      </c>
      <c r="C24" s="17" t="s">
        <v>5962</v>
      </c>
      <c r="D24" s="19">
        <v>76.28</v>
      </c>
      <c r="F24" s="3" t="str">
        <f t="shared" si="0"/>
        <v>C4581</v>
      </c>
    </row>
    <row r="25" spans="1:6" x14ac:dyDescent="0.2">
      <c r="A25" s="17" t="s">
        <v>5963</v>
      </c>
      <c r="B25" s="18" t="s">
        <v>5964</v>
      </c>
      <c r="C25" s="17" t="s">
        <v>5962</v>
      </c>
      <c r="D25" s="19">
        <v>54.12</v>
      </c>
      <c r="F25" s="3" t="str">
        <f t="shared" si="0"/>
        <v>C4582</v>
      </c>
    </row>
    <row r="26" spans="1:6" x14ac:dyDescent="0.2">
      <c r="A26" s="14" t="s">
        <v>5965</v>
      </c>
      <c r="B26" s="15"/>
      <c r="C26" s="14">
        <v>0</v>
      </c>
      <c r="D26" s="16">
        <v>46.46</v>
      </c>
      <c r="F26" s="3" t="str">
        <f t="shared" si="0"/>
        <v>PROJETOS</v>
      </c>
    </row>
    <row r="27" spans="1:6" x14ac:dyDescent="0.2">
      <c r="A27" s="17" t="s">
        <v>5966</v>
      </c>
      <c r="B27" s="18" t="s">
        <v>5967</v>
      </c>
      <c r="C27" s="17" t="s">
        <v>5968</v>
      </c>
      <c r="D27" s="19">
        <v>28.68</v>
      </c>
      <c r="F27" s="3" t="str">
        <f t="shared" si="0"/>
        <v>C3507</v>
      </c>
    </row>
    <row r="28" spans="1:6" ht="22.5" x14ac:dyDescent="0.2">
      <c r="A28" s="17" t="s">
        <v>5969</v>
      </c>
      <c r="B28" s="18" t="s">
        <v>5970</v>
      </c>
      <c r="C28" s="17" t="s">
        <v>5968</v>
      </c>
      <c r="D28" s="19">
        <v>17.78</v>
      </c>
      <c r="F28" s="3" t="str">
        <f t="shared" si="0"/>
        <v>C3508</v>
      </c>
    </row>
    <row r="29" spans="1:6" x14ac:dyDescent="0.2">
      <c r="A29" s="17">
        <v>0</v>
      </c>
      <c r="B29" s="18"/>
      <c r="C29" s="17">
        <v>0</v>
      </c>
      <c r="D29" s="19">
        <v>0</v>
      </c>
      <c r="F29" s="3">
        <f t="shared" si="0"/>
        <v>0</v>
      </c>
    </row>
    <row r="30" spans="1:6" x14ac:dyDescent="0.2">
      <c r="A30" s="14" t="s">
        <v>5971</v>
      </c>
      <c r="B30" s="15"/>
      <c r="C30" s="14">
        <v>0</v>
      </c>
      <c r="D30" s="16">
        <v>449.31</v>
      </c>
      <c r="F30" s="3" t="str">
        <f t="shared" si="0"/>
        <v>PREPARAÇÃO DO TERRENO</v>
      </c>
    </row>
    <row r="31" spans="1:6" x14ac:dyDescent="0.2">
      <c r="A31" s="17" t="s">
        <v>5972</v>
      </c>
      <c r="B31" s="18" t="s">
        <v>5973</v>
      </c>
      <c r="C31" s="17" t="s">
        <v>255</v>
      </c>
      <c r="D31" s="19">
        <v>1.43</v>
      </c>
      <c r="F31" s="3" t="str">
        <f t="shared" si="0"/>
        <v>C0927</v>
      </c>
    </row>
    <row r="32" spans="1:6" ht="22.5" x14ac:dyDescent="0.2">
      <c r="A32" s="17" t="s">
        <v>5974</v>
      </c>
      <c r="B32" s="18" t="s">
        <v>5975</v>
      </c>
      <c r="C32" s="17" t="s">
        <v>255</v>
      </c>
      <c r="D32" s="19">
        <v>0.22</v>
      </c>
      <c r="F32" s="3" t="str">
        <f t="shared" si="0"/>
        <v>C4919</v>
      </c>
    </row>
    <row r="33" spans="1:6" x14ac:dyDescent="0.2">
      <c r="A33" s="17">
        <v>0</v>
      </c>
      <c r="B33" s="18"/>
      <c r="C33" s="17">
        <v>0</v>
      </c>
      <c r="D33" s="19">
        <v>0</v>
      </c>
      <c r="F33" s="3">
        <f t="shared" si="0"/>
        <v>0</v>
      </c>
    </row>
    <row r="34" spans="1:6" x14ac:dyDescent="0.2">
      <c r="A34" s="17" t="s">
        <v>5976</v>
      </c>
      <c r="B34" s="21" t="s">
        <v>5977</v>
      </c>
      <c r="C34" s="17" t="s">
        <v>255</v>
      </c>
      <c r="D34" s="19">
        <v>4.62</v>
      </c>
      <c r="F34" s="3" t="str">
        <f t="shared" si="0"/>
        <v>C2102</v>
      </c>
    </row>
    <row r="35" spans="1:6" x14ac:dyDescent="0.2">
      <c r="A35" s="17" t="s">
        <v>5978</v>
      </c>
      <c r="B35" s="18" t="s">
        <v>5979</v>
      </c>
      <c r="C35" s="17" t="s">
        <v>26</v>
      </c>
      <c r="D35" s="19">
        <v>443.04</v>
      </c>
      <c r="F35" s="3" t="str">
        <f t="shared" si="0"/>
        <v>C2204</v>
      </c>
    </row>
    <row r="36" spans="1:6" x14ac:dyDescent="0.2">
      <c r="A36" s="14" t="s">
        <v>5980</v>
      </c>
      <c r="B36" s="15"/>
      <c r="C36" s="14">
        <v>0</v>
      </c>
      <c r="D36" s="16">
        <v>106224.46</v>
      </c>
      <c r="F36" s="3" t="str">
        <f t="shared" si="0"/>
        <v>CONSTRUÇÃO DO CANTEIRO DA OBRA</v>
      </c>
    </row>
    <row r="37" spans="1:6" x14ac:dyDescent="0.2">
      <c r="A37" s="17" t="s">
        <v>5981</v>
      </c>
      <c r="B37" s="18" t="s">
        <v>5982</v>
      </c>
      <c r="C37" s="17" t="s">
        <v>255</v>
      </c>
      <c r="D37" s="19">
        <v>1008.04</v>
      </c>
      <c r="F37" s="3" t="str">
        <f t="shared" si="0"/>
        <v>C0002</v>
      </c>
    </row>
    <row r="38" spans="1:6" x14ac:dyDescent="0.2">
      <c r="A38" s="17" t="s">
        <v>5983</v>
      </c>
      <c r="B38" s="18" t="s">
        <v>5984</v>
      </c>
      <c r="C38" s="17" t="s">
        <v>255</v>
      </c>
      <c r="D38" s="19">
        <v>830.23</v>
      </c>
      <c r="F38" s="3" t="str">
        <f t="shared" si="0"/>
        <v>C0003</v>
      </c>
    </row>
    <row r="39" spans="1:6" x14ac:dyDescent="0.2">
      <c r="A39" s="17" t="s">
        <v>5985</v>
      </c>
      <c r="B39" s="18" t="s">
        <v>5986</v>
      </c>
      <c r="C39" s="17" t="s">
        <v>255</v>
      </c>
      <c r="D39" s="19">
        <v>326.83</v>
      </c>
      <c r="F39" s="3" t="str">
        <f t="shared" si="0"/>
        <v>C0043</v>
      </c>
    </row>
    <row r="40" spans="1:6" x14ac:dyDescent="0.2">
      <c r="A40" s="17" t="s">
        <v>5987</v>
      </c>
      <c r="B40" s="18" t="s">
        <v>5988</v>
      </c>
      <c r="C40" s="17" t="s">
        <v>255</v>
      </c>
      <c r="D40" s="19">
        <v>144.88999999999999</v>
      </c>
      <c r="F40" s="3" t="str">
        <f t="shared" si="0"/>
        <v>C0369</v>
      </c>
    </row>
    <row r="41" spans="1:6" x14ac:dyDescent="0.2">
      <c r="A41" s="17" t="s">
        <v>5989</v>
      </c>
      <c r="B41" s="18" t="s">
        <v>5990</v>
      </c>
      <c r="C41" s="17" t="s">
        <v>26</v>
      </c>
      <c r="D41" s="19">
        <v>6807.23</v>
      </c>
      <c r="F41" s="3" t="str">
        <f t="shared" si="0"/>
        <v>C0370</v>
      </c>
    </row>
    <row r="42" spans="1:6" x14ac:dyDescent="0.2">
      <c r="A42" s="17" t="s">
        <v>5991</v>
      </c>
      <c r="B42" s="18" t="s">
        <v>5992</v>
      </c>
      <c r="C42" s="17" t="s">
        <v>26</v>
      </c>
      <c r="D42" s="19">
        <v>11274.68</v>
      </c>
      <c r="F42" s="3" t="str">
        <f t="shared" si="0"/>
        <v>C0371</v>
      </c>
    </row>
    <row r="43" spans="1:6" x14ac:dyDescent="0.2">
      <c r="A43" s="17" t="s">
        <v>5993</v>
      </c>
      <c r="B43" s="18" t="s">
        <v>5994</v>
      </c>
      <c r="C43" s="17" t="s">
        <v>26</v>
      </c>
      <c r="D43" s="19">
        <v>17779.740000000002</v>
      </c>
      <c r="F43" s="3" t="str">
        <f t="shared" si="0"/>
        <v>C0372</v>
      </c>
    </row>
    <row r="44" spans="1:6" x14ac:dyDescent="0.2">
      <c r="A44" s="17" t="s">
        <v>5995</v>
      </c>
      <c r="B44" s="18" t="s">
        <v>5996</v>
      </c>
      <c r="C44" s="17" t="s">
        <v>26</v>
      </c>
      <c r="D44" s="19">
        <v>24077.09</v>
      </c>
      <c r="F44" s="3" t="str">
        <f t="shared" si="0"/>
        <v>C0373</v>
      </c>
    </row>
    <row r="45" spans="1:6" x14ac:dyDescent="0.2">
      <c r="A45" s="17" t="s">
        <v>5997</v>
      </c>
      <c r="B45" s="18" t="s">
        <v>5998</v>
      </c>
      <c r="C45" s="17" t="s">
        <v>26</v>
      </c>
      <c r="D45" s="19">
        <v>32931.919999999998</v>
      </c>
      <c r="F45" s="3" t="str">
        <f t="shared" si="0"/>
        <v>C0374</v>
      </c>
    </row>
    <row r="46" spans="1:6" x14ac:dyDescent="0.2">
      <c r="A46" s="17" t="s">
        <v>5999</v>
      </c>
      <c r="B46" s="18" t="s">
        <v>6000</v>
      </c>
      <c r="C46" s="17" t="s">
        <v>6001</v>
      </c>
      <c r="D46" s="19">
        <v>3.14</v>
      </c>
      <c r="F46" s="3" t="str">
        <f t="shared" si="0"/>
        <v>C4991</v>
      </c>
    </row>
    <row r="47" spans="1:6" x14ac:dyDescent="0.2">
      <c r="A47" s="20" t="s">
        <v>6002</v>
      </c>
      <c r="B47" s="21" t="s">
        <v>6003</v>
      </c>
      <c r="C47" s="20" t="s">
        <v>6001</v>
      </c>
      <c r="D47" s="22">
        <v>4.97</v>
      </c>
      <c r="F47" s="3" t="str">
        <f t="shared" si="0"/>
        <v>C4993</v>
      </c>
    </row>
    <row r="48" spans="1:6" x14ac:dyDescent="0.2">
      <c r="A48" s="17">
        <v>0</v>
      </c>
      <c r="B48" s="18"/>
      <c r="C48" s="17">
        <v>0</v>
      </c>
      <c r="D48" s="19">
        <v>0</v>
      </c>
      <c r="F48" s="3">
        <f t="shared" si="0"/>
        <v>0</v>
      </c>
    </row>
    <row r="49" spans="1:6" x14ac:dyDescent="0.2">
      <c r="A49" s="17" t="s">
        <v>6004</v>
      </c>
      <c r="B49" s="18" t="s">
        <v>6005</v>
      </c>
      <c r="C49" s="17" t="s">
        <v>26</v>
      </c>
      <c r="D49" s="19">
        <v>2511.33</v>
      </c>
      <c r="F49" s="3" t="str">
        <f t="shared" si="0"/>
        <v>C2831</v>
      </c>
    </row>
    <row r="50" spans="1:6" x14ac:dyDescent="0.2">
      <c r="A50" s="17" t="s">
        <v>6006</v>
      </c>
      <c r="B50" s="18" t="s">
        <v>6007</v>
      </c>
      <c r="C50" s="17" t="s">
        <v>26</v>
      </c>
      <c r="D50" s="19">
        <v>1343.32</v>
      </c>
      <c r="F50" s="3" t="str">
        <f t="shared" si="0"/>
        <v>C2851</v>
      </c>
    </row>
    <row r="51" spans="1:6" x14ac:dyDescent="0.2">
      <c r="A51" s="17" t="s">
        <v>6008</v>
      </c>
      <c r="B51" s="18" t="s">
        <v>6009</v>
      </c>
      <c r="C51" s="17" t="s">
        <v>26</v>
      </c>
      <c r="D51" s="19">
        <v>262.81</v>
      </c>
      <c r="F51" s="3" t="str">
        <f t="shared" si="0"/>
        <v>C2849</v>
      </c>
    </row>
    <row r="52" spans="1:6" x14ac:dyDescent="0.2">
      <c r="A52" s="17" t="s">
        <v>6010</v>
      </c>
      <c r="B52" s="18" t="s">
        <v>6011</v>
      </c>
      <c r="C52" s="17" t="s">
        <v>26</v>
      </c>
      <c r="D52" s="19">
        <v>1676.69</v>
      </c>
      <c r="F52" s="3" t="str">
        <f t="shared" si="0"/>
        <v>C2850</v>
      </c>
    </row>
    <row r="53" spans="1:6" x14ac:dyDescent="0.2">
      <c r="A53" s="17" t="s">
        <v>6012</v>
      </c>
      <c r="B53" s="18" t="s">
        <v>6013</v>
      </c>
      <c r="C53" s="17" t="s">
        <v>26</v>
      </c>
      <c r="D53" s="19">
        <v>3512.61</v>
      </c>
      <c r="F53" s="3" t="str">
        <f t="shared" si="0"/>
        <v>C1622</v>
      </c>
    </row>
    <row r="54" spans="1:6" x14ac:dyDescent="0.2">
      <c r="A54" s="17" t="s">
        <v>6014</v>
      </c>
      <c r="B54" s="18" t="s">
        <v>6015</v>
      </c>
      <c r="C54" s="17" t="s">
        <v>6001</v>
      </c>
      <c r="D54" s="19">
        <v>3.14</v>
      </c>
      <c r="F54" s="3" t="str">
        <f t="shared" si="0"/>
        <v>C4990</v>
      </c>
    </row>
    <row r="55" spans="1:6" x14ac:dyDescent="0.2">
      <c r="A55" s="20" t="s">
        <v>6016</v>
      </c>
      <c r="B55" s="21" t="s">
        <v>6017</v>
      </c>
      <c r="C55" s="20" t="s">
        <v>6001</v>
      </c>
      <c r="D55" s="22">
        <v>4.97</v>
      </c>
      <c r="F55" s="3" t="str">
        <f t="shared" si="0"/>
        <v>C4992</v>
      </c>
    </row>
    <row r="56" spans="1:6" x14ac:dyDescent="0.2">
      <c r="A56" s="17" t="s">
        <v>6018</v>
      </c>
      <c r="B56" s="18" t="s">
        <v>6019</v>
      </c>
      <c r="C56" s="17" t="s">
        <v>255</v>
      </c>
      <c r="D56" s="19">
        <v>385.95</v>
      </c>
      <c r="F56" s="3" t="str">
        <f t="shared" si="0"/>
        <v>C4541</v>
      </c>
    </row>
    <row r="57" spans="1:6" x14ac:dyDescent="0.2">
      <c r="A57" s="17" t="s">
        <v>6020</v>
      </c>
      <c r="B57" s="18" t="s">
        <v>6021</v>
      </c>
      <c r="C57" s="17" t="s">
        <v>255</v>
      </c>
      <c r="D57" s="19">
        <v>183.41</v>
      </c>
      <c r="F57" s="3" t="str">
        <f t="shared" si="0"/>
        <v>C1937</v>
      </c>
    </row>
    <row r="58" spans="1:6" x14ac:dyDescent="0.2">
      <c r="A58" s="17" t="s">
        <v>6022</v>
      </c>
      <c r="B58" s="18" t="s">
        <v>6023</v>
      </c>
      <c r="C58" s="17" t="s">
        <v>255</v>
      </c>
      <c r="D58" s="19">
        <v>353.19</v>
      </c>
      <c r="F58" s="3" t="str">
        <f t="shared" si="0"/>
        <v>C2936</v>
      </c>
    </row>
    <row r="59" spans="1:6" x14ac:dyDescent="0.2">
      <c r="A59" s="17" t="s">
        <v>6024</v>
      </c>
      <c r="B59" s="18" t="s">
        <v>6025</v>
      </c>
      <c r="C59" s="17" t="s">
        <v>255</v>
      </c>
      <c r="D59" s="19">
        <v>270.58</v>
      </c>
      <c r="F59" s="3" t="str">
        <f t="shared" si="0"/>
        <v>C2946</v>
      </c>
    </row>
    <row r="60" spans="1:6" x14ac:dyDescent="0.2">
      <c r="A60" s="17" t="s">
        <v>6026</v>
      </c>
      <c r="B60" s="18" t="s">
        <v>6027</v>
      </c>
      <c r="C60" s="17" t="s">
        <v>255</v>
      </c>
      <c r="D60" s="19">
        <v>116.21</v>
      </c>
      <c r="F60" s="3" t="str">
        <f t="shared" si="0"/>
        <v>C2316</v>
      </c>
    </row>
    <row r="61" spans="1:6" ht="22.5" x14ac:dyDescent="0.2">
      <c r="A61" s="17" t="s">
        <v>6028</v>
      </c>
      <c r="B61" s="18" t="s">
        <v>6029</v>
      </c>
      <c r="C61" s="17" t="s">
        <v>255</v>
      </c>
      <c r="D61" s="19">
        <v>184.51</v>
      </c>
      <c r="F61" s="3" t="str">
        <f t="shared" si="0"/>
        <v>C3974</v>
      </c>
    </row>
    <row r="62" spans="1:6" x14ac:dyDescent="0.2">
      <c r="A62" s="17">
        <v>0</v>
      </c>
      <c r="B62" s="18"/>
      <c r="C62" s="17">
        <v>0</v>
      </c>
      <c r="D62" s="19">
        <v>0</v>
      </c>
      <c r="F62" s="3">
        <f t="shared" si="0"/>
        <v>0</v>
      </c>
    </row>
    <row r="63" spans="1:6" x14ac:dyDescent="0.2">
      <c r="A63" s="17" t="s">
        <v>6030</v>
      </c>
      <c r="B63" s="18" t="s">
        <v>6031</v>
      </c>
      <c r="C63" s="17" t="s">
        <v>255</v>
      </c>
      <c r="D63" s="19">
        <v>123.14</v>
      </c>
      <c r="F63" s="3" t="str">
        <f t="shared" si="0"/>
        <v>C2317</v>
      </c>
    </row>
    <row r="64" spans="1:6" x14ac:dyDescent="0.2">
      <c r="A64" s="17" t="s">
        <v>6032</v>
      </c>
      <c r="B64" s="18" t="s">
        <v>6033</v>
      </c>
      <c r="C64" s="17" t="s">
        <v>255</v>
      </c>
      <c r="D64" s="19">
        <v>103.84</v>
      </c>
      <c r="F64" s="3" t="str">
        <f t="shared" si="0"/>
        <v>C2318</v>
      </c>
    </row>
    <row r="65" spans="1:6" x14ac:dyDescent="0.2">
      <c r="A65" s="14" t="s">
        <v>6034</v>
      </c>
      <c r="B65" s="15"/>
      <c r="C65" s="14">
        <v>0</v>
      </c>
      <c r="D65" s="16">
        <v>5293.43</v>
      </c>
      <c r="F65" s="3" t="str">
        <f t="shared" si="0"/>
        <v>ALUGUEL DE CONTAINER</v>
      </c>
    </row>
    <row r="66" spans="1:6" x14ac:dyDescent="0.2">
      <c r="A66" s="17" t="s">
        <v>6035</v>
      </c>
      <c r="B66" s="18" t="s">
        <v>6036</v>
      </c>
      <c r="C66" s="17" t="s">
        <v>6037</v>
      </c>
      <c r="D66" s="19">
        <v>950</v>
      </c>
      <c r="F66" s="3" t="str">
        <f t="shared" ref="F66:F129" si="1">A66</f>
        <v>C5208</v>
      </c>
    </row>
    <row r="67" spans="1:6" x14ac:dyDescent="0.2">
      <c r="A67" s="17">
        <v>0</v>
      </c>
      <c r="B67" s="18"/>
      <c r="C67" s="17">
        <v>0</v>
      </c>
      <c r="D67" s="19">
        <v>0</v>
      </c>
      <c r="F67" s="3">
        <f t="shared" si="1"/>
        <v>0</v>
      </c>
    </row>
    <row r="68" spans="1:6" x14ac:dyDescent="0.2">
      <c r="A68" s="17" t="s">
        <v>6038</v>
      </c>
      <c r="B68" s="18" t="s">
        <v>6039</v>
      </c>
      <c r="C68" s="17" t="s">
        <v>6040</v>
      </c>
      <c r="D68" s="19">
        <v>800.6</v>
      </c>
      <c r="F68" s="3" t="str">
        <f t="shared" si="1"/>
        <v>C4994</v>
      </c>
    </row>
    <row r="69" spans="1:6" ht="22.5" x14ac:dyDescent="0.2">
      <c r="A69" s="17" t="s">
        <v>6041</v>
      </c>
      <c r="B69" s="18" t="s">
        <v>6042</v>
      </c>
      <c r="C69" s="17" t="s">
        <v>6040</v>
      </c>
      <c r="D69" s="19">
        <v>1163.8599999999999</v>
      </c>
      <c r="F69" s="3" t="str">
        <f t="shared" si="1"/>
        <v>C4995</v>
      </c>
    </row>
    <row r="70" spans="1:6" x14ac:dyDescent="0.2">
      <c r="A70" s="17">
        <v>0</v>
      </c>
      <c r="B70" s="18"/>
      <c r="C70" s="17">
        <v>0</v>
      </c>
      <c r="D70" s="19">
        <v>0</v>
      </c>
      <c r="F70" s="3">
        <f t="shared" si="1"/>
        <v>0</v>
      </c>
    </row>
    <row r="71" spans="1:6" ht="22.5" x14ac:dyDescent="0.2">
      <c r="A71" s="17" t="s">
        <v>6043</v>
      </c>
      <c r="B71" s="18" t="s">
        <v>6044</v>
      </c>
      <c r="C71" s="17" t="s">
        <v>6040</v>
      </c>
      <c r="D71" s="19">
        <v>1280.98</v>
      </c>
      <c r="F71" s="3" t="str">
        <f t="shared" si="1"/>
        <v>C4996</v>
      </c>
    </row>
    <row r="72" spans="1:6" x14ac:dyDescent="0.2">
      <c r="A72" s="17">
        <v>0</v>
      </c>
      <c r="B72" s="18"/>
      <c r="C72" s="17">
        <v>0</v>
      </c>
      <c r="D72" s="19">
        <v>0</v>
      </c>
      <c r="F72" s="3">
        <f t="shared" si="1"/>
        <v>0</v>
      </c>
    </row>
    <row r="73" spans="1:6" ht="33.75" x14ac:dyDescent="0.2">
      <c r="A73" s="17" t="s">
        <v>6045</v>
      </c>
      <c r="B73" s="18" t="s">
        <v>6046</v>
      </c>
      <c r="C73" s="17" t="s">
        <v>6040</v>
      </c>
      <c r="D73" s="19">
        <v>1097.99</v>
      </c>
      <c r="F73" s="3" t="str">
        <f t="shared" si="1"/>
        <v>C4997</v>
      </c>
    </row>
    <row r="74" spans="1:6" x14ac:dyDescent="0.2">
      <c r="A74" s="17">
        <v>0</v>
      </c>
      <c r="B74" s="18"/>
      <c r="C74" s="17">
        <v>0</v>
      </c>
      <c r="D74" s="19">
        <v>0</v>
      </c>
      <c r="F74" s="3">
        <f t="shared" si="1"/>
        <v>0</v>
      </c>
    </row>
    <row r="75" spans="1:6" x14ac:dyDescent="0.2">
      <c r="A75" s="14" t="s">
        <v>6047</v>
      </c>
      <c r="B75" s="15"/>
      <c r="C75" s="14">
        <v>0</v>
      </c>
      <c r="D75" s="16">
        <v>530.28</v>
      </c>
      <c r="F75" s="3" t="str">
        <f t="shared" si="1"/>
        <v>LOCAÇÃO DA OBRA</v>
      </c>
    </row>
    <row r="76" spans="1:6" x14ac:dyDescent="0.2">
      <c r="A76" s="17" t="s">
        <v>6048</v>
      </c>
      <c r="B76" s="18" t="s">
        <v>6049</v>
      </c>
      <c r="C76" s="17" t="s">
        <v>255</v>
      </c>
      <c r="D76" s="19">
        <v>7.15</v>
      </c>
      <c r="F76" s="3" t="str">
        <f t="shared" si="1"/>
        <v>C1630</v>
      </c>
    </row>
    <row r="77" spans="1:6" x14ac:dyDescent="0.2">
      <c r="A77" s="17" t="s">
        <v>6050</v>
      </c>
      <c r="B77" s="18" t="s">
        <v>6051</v>
      </c>
      <c r="C77" s="17" t="s">
        <v>6052</v>
      </c>
      <c r="D77" s="19">
        <v>512.71</v>
      </c>
      <c r="F77" s="3" t="str">
        <f t="shared" si="1"/>
        <v>C2872</v>
      </c>
    </row>
    <row r="78" spans="1:6" x14ac:dyDescent="0.2">
      <c r="A78" s="17" t="s">
        <v>6053</v>
      </c>
      <c r="B78" s="18" t="s">
        <v>6054</v>
      </c>
      <c r="C78" s="17" t="s">
        <v>255</v>
      </c>
      <c r="D78" s="19">
        <v>0.28000000000000003</v>
      </c>
      <c r="F78" s="3" t="str">
        <f t="shared" si="1"/>
        <v>C2873</v>
      </c>
    </row>
    <row r="79" spans="1:6" x14ac:dyDescent="0.2">
      <c r="A79" s="17" t="s">
        <v>6055</v>
      </c>
      <c r="B79" s="18" t="s">
        <v>6056</v>
      </c>
      <c r="C79" s="17" t="s">
        <v>0</v>
      </c>
      <c r="D79" s="19">
        <v>0.25</v>
      </c>
      <c r="F79" s="3" t="str">
        <f t="shared" si="1"/>
        <v>C2874</v>
      </c>
    </row>
    <row r="80" spans="1:6" x14ac:dyDescent="0.2">
      <c r="A80" s="17" t="s">
        <v>6057</v>
      </c>
      <c r="B80" s="18" t="s">
        <v>6058</v>
      </c>
      <c r="C80" s="17" t="s">
        <v>255</v>
      </c>
      <c r="D80" s="19">
        <v>0.56000000000000005</v>
      </c>
      <c r="F80" s="3" t="str">
        <f t="shared" si="1"/>
        <v>C0774</v>
      </c>
    </row>
    <row r="81" spans="1:6" x14ac:dyDescent="0.2">
      <c r="A81" s="17" t="s">
        <v>6059</v>
      </c>
      <c r="B81" s="18" t="s">
        <v>6060</v>
      </c>
      <c r="C81" s="17" t="s">
        <v>255</v>
      </c>
      <c r="D81" s="19">
        <v>0.65</v>
      </c>
      <c r="F81" s="3" t="str">
        <f t="shared" si="1"/>
        <v>C0775</v>
      </c>
    </row>
    <row r="82" spans="1:6" x14ac:dyDescent="0.2">
      <c r="A82" s="17" t="s">
        <v>6061</v>
      </c>
      <c r="B82" s="18" t="s">
        <v>6062</v>
      </c>
      <c r="C82" s="17" t="s">
        <v>0</v>
      </c>
      <c r="D82" s="19">
        <v>1.66</v>
      </c>
      <c r="F82" s="3" t="str">
        <f t="shared" si="1"/>
        <v>C2875</v>
      </c>
    </row>
    <row r="83" spans="1:6" x14ac:dyDescent="0.2">
      <c r="A83" s="17" t="s">
        <v>6063</v>
      </c>
      <c r="B83" s="18" t="s">
        <v>6064</v>
      </c>
      <c r="C83" s="17" t="s">
        <v>0</v>
      </c>
      <c r="D83" s="19">
        <v>2.27</v>
      </c>
      <c r="F83" s="3" t="str">
        <f t="shared" si="1"/>
        <v>C2876</v>
      </c>
    </row>
    <row r="84" spans="1:6" x14ac:dyDescent="0.2">
      <c r="A84" s="17" t="s">
        <v>6065</v>
      </c>
      <c r="B84" s="18" t="s">
        <v>6066</v>
      </c>
      <c r="C84" s="17" t="s">
        <v>255</v>
      </c>
      <c r="D84" s="19">
        <v>4.75</v>
      </c>
      <c r="F84" s="3" t="str">
        <f t="shared" si="1"/>
        <v>C3528</v>
      </c>
    </row>
    <row r="85" spans="1:6" x14ac:dyDescent="0.2">
      <c r="A85" s="14" t="s">
        <v>6067</v>
      </c>
      <c r="B85" s="15"/>
      <c r="C85" s="14">
        <v>0</v>
      </c>
      <c r="D85" s="16">
        <v>5263.77</v>
      </c>
      <c r="F85" s="3" t="str">
        <f t="shared" si="1"/>
        <v>DEMOLIÇÕES E RETIRADAS</v>
      </c>
    </row>
    <row r="86" spans="1:6" x14ac:dyDescent="0.2">
      <c r="A86" s="17" t="s">
        <v>6068</v>
      </c>
      <c r="B86" s="18" t="s">
        <v>6069</v>
      </c>
      <c r="C86" s="17" t="s">
        <v>271</v>
      </c>
      <c r="D86" s="19">
        <v>185.87</v>
      </c>
      <c r="F86" s="3" t="str">
        <f t="shared" si="1"/>
        <v>C2992</v>
      </c>
    </row>
    <row r="87" spans="1:6" x14ac:dyDescent="0.2">
      <c r="A87" s="17" t="s">
        <v>6070</v>
      </c>
      <c r="B87" s="18" t="s">
        <v>6071</v>
      </c>
      <c r="C87" s="17" t="s">
        <v>271</v>
      </c>
      <c r="D87" s="19">
        <v>125.26</v>
      </c>
      <c r="F87" s="3" t="str">
        <f t="shared" si="1"/>
        <v>C1042</v>
      </c>
    </row>
    <row r="88" spans="1:6" x14ac:dyDescent="0.2">
      <c r="A88" s="17" t="s">
        <v>6072</v>
      </c>
      <c r="B88" s="18" t="s">
        <v>6073</v>
      </c>
      <c r="C88" s="17" t="s">
        <v>271</v>
      </c>
      <c r="D88" s="19">
        <v>62.63</v>
      </c>
      <c r="F88" s="3" t="str">
        <f t="shared" si="1"/>
        <v>C1043</v>
      </c>
    </row>
    <row r="89" spans="1:6" x14ac:dyDescent="0.2">
      <c r="A89" s="17" t="s">
        <v>6074</v>
      </c>
      <c r="B89" s="18" t="s">
        <v>6075</v>
      </c>
      <c r="C89" s="17" t="s">
        <v>0</v>
      </c>
      <c r="D89" s="19">
        <v>23.29</v>
      </c>
      <c r="F89" s="3" t="str">
        <f t="shared" si="1"/>
        <v>C1044</v>
      </c>
    </row>
    <row r="90" spans="1:6" x14ac:dyDescent="0.2">
      <c r="A90" s="17" t="s">
        <v>6076</v>
      </c>
      <c r="B90" s="18" t="s">
        <v>6077</v>
      </c>
      <c r="C90" s="17" t="s">
        <v>255</v>
      </c>
      <c r="D90" s="19">
        <v>12.53</v>
      </c>
      <c r="F90" s="3" t="str">
        <f t="shared" si="1"/>
        <v>C1045</v>
      </c>
    </row>
    <row r="91" spans="1:6" x14ac:dyDescent="0.2">
      <c r="A91" s="17" t="s">
        <v>6078</v>
      </c>
      <c r="B91" s="18" t="s">
        <v>6079</v>
      </c>
      <c r="C91" s="17" t="s">
        <v>255</v>
      </c>
      <c r="D91" s="19">
        <v>5.22</v>
      </c>
      <c r="F91" s="3" t="str">
        <f t="shared" si="1"/>
        <v>C1046</v>
      </c>
    </row>
    <row r="92" spans="1:6" x14ac:dyDescent="0.2">
      <c r="A92" s="17" t="s">
        <v>6080</v>
      </c>
      <c r="B92" s="18" t="s">
        <v>6081</v>
      </c>
      <c r="C92" s="17" t="s">
        <v>255</v>
      </c>
      <c r="D92" s="19">
        <v>34.94</v>
      </c>
      <c r="F92" s="3" t="str">
        <f t="shared" si="1"/>
        <v>C1047</v>
      </c>
    </row>
    <row r="93" spans="1:6" x14ac:dyDescent="0.2">
      <c r="A93" s="17" t="s">
        <v>6082</v>
      </c>
      <c r="B93" s="18" t="s">
        <v>6083</v>
      </c>
      <c r="C93" s="17" t="s">
        <v>271</v>
      </c>
      <c r="D93" s="19">
        <v>572.59</v>
      </c>
      <c r="F93" s="3" t="str">
        <f t="shared" si="1"/>
        <v>C1048</v>
      </c>
    </row>
    <row r="94" spans="1:6" x14ac:dyDescent="0.2">
      <c r="A94" s="17" t="s">
        <v>6084</v>
      </c>
      <c r="B94" s="18" t="s">
        <v>6085</v>
      </c>
      <c r="C94" s="17" t="s">
        <v>271</v>
      </c>
      <c r="D94" s="19">
        <v>271.39</v>
      </c>
      <c r="F94" s="3" t="str">
        <f t="shared" si="1"/>
        <v>C1049</v>
      </c>
    </row>
    <row r="95" spans="1:6" x14ac:dyDescent="0.2">
      <c r="A95" s="17" t="s">
        <v>6086</v>
      </c>
      <c r="B95" s="18" t="s">
        <v>6087</v>
      </c>
      <c r="C95" s="17" t="s">
        <v>0</v>
      </c>
      <c r="D95" s="19">
        <v>33.4</v>
      </c>
      <c r="F95" s="3" t="str">
        <f t="shared" si="1"/>
        <v>C1058</v>
      </c>
    </row>
    <row r="96" spans="1:6" x14ac:dyDescent="0.2">
      <c r="A96" s="17" t="s">
        <v>6088</v>
      </c>
      <c r="B96" s="18" t="s">
        <v>6089</v>
      </c>
      <c r="C96" s="17" t="s">
        <v>255</v>
      </c>
      <c r="D96" s="19">
        <v>13.44</v>
      </c>
      <c r="F96" s="3" t="str">
        <f t="shared" si="1"/>
        <v>C1050</v>
      </c>
    </row>
    <row r="97" spans="1:6" x14ac:dyDescent="0.2">
      <c r="A97" s="17" t="s">
        <v>6090</v>
      </c>
      <c r="B97" s="18" t="s">
        <v>6091</v>
      </c>
      <c r="C97" s="17" t="s">
        <v>255</v>
      </c>
      <c r="D97" s="19">
        <v>37.42</v>
      </c>
      <c r="F97" s="3" t="str">
        <f t="shared" si="1"/>
        <v>C1051</v>
      </c>
    </row>
    <row r="98" spans="1:6" x14ac:dyDescent="0.2">
      <c r="A98" s="17" t="s">
        <v>6092</v>
      </c>
      <c r="B98" s="18" t="s">
        <v>6093</v>
      </c>
      <c r="C98" s="17" t="s">
        <v>255</v>
      </c>
      <c r="D98" s="19">
        <v>27.97</v>
      </c>
      <c r="F98" s="3" t="str">
        <f t="shared" si="1"/>
        <v>C1052</v>
      </c>
    </row>
    <row r="99" spans="1:6" x14ac:dyDescent="0.2">
      <c r="A99" s="17" t="s">
        <v>6094</v>
      </c>
      <c r="B99" s="18" t="s">
        <v>6095</v>
      </c>
      <c r="C99" s="17" t="s">
        <v>255</v>
      </c>
      <c r="D99" s="19">
        <v>35.19</v>
      </c>
      <c r="F99" s="3" t="str">
        <f t="shared" si="1"/>
        <v>C1053</v>
      </c>
    </row>
    <row r="100" spans="1:6" x14ac:dyDescent="0.2">
      <c r="A100" s="17" t="s">
        <v>6096</v>
      </c>
      <c r="B100" s="18" t="s">
        <v>6097</v>
      </c>
      <c r="C100" s="17" t="s">
        <v>255</v>
      </c>
      <c r="D100" s="19">
        <v>15.66</v>
      </c>
      <c r="F100" s="3" t="str">
        <f t="shared" si="1"/>
        <v>C1054</v>
      </c>
    </row>
    <row r="101" spans="1:6" x14ac:dyDescent="0.2">
      <c r="A101" s="17" t="s">
        <v>6098</v>
      </c>
      <c r="B101" s="18" t="s">
        <v>6099</v>
      </c>
      <c r="C101" s="17" t="s">
        <v>255</v>
      </c>
      <c r="D101" s="19">
        <v>6.45</v>
      </c>
      <c r="F101" s="3" t="str">
        <f t="shared" si="1"/>
        <v>C1055</v>
      </c>
    </row>
    <row r="102" spans="1:6" x14ac:dyDescent="0.2">
      <c r="A102" s="17" t="s">
        <v>6100</v>
      </c>
      <c r="B102" s="18" t="s">
        <v>6101</v>
      </c>
      <c r="C102" s="17" t="s">
        <v>255</v>
      </c>
      <c r="D102" s="19">
        <v>3.89</v>
      </c>
      <c r="F102" s="3" t="str">
        <f t="shared" si="1"/>
        <v>C1056</v>
      </c>
    </row>
    <row r="103" spans="1:6" x14ac:dyDescent="0.2">
      <c r="A103" s="17" t="s">
        <v>6102</v>
      </c>
      <c r="B103" s="18" t="s">
        <v>6103</v>
      </c>
      <c r="C103" s="17" t="s">
        <v>255</v>
      </c>
      <c r="D103" s="19">
        <v>10.44</v>
      </c>
      <c r="F103" s="3" t="str">
        <f t="shared" si="1"/>
        <v>C1057</v>
      </c>
    </row>
    <row r="104" spans="1:6" x14ac:dyDescent="0.2">
      <c r="A104" s="17" t="s">
        <v>6104</v>
      </c>
      <c r="B104" s="18" t="s">
        <v>6105</v>
      </c>
      <c r="C104" s="17" t="s">
        <v>255</v>
      </c>
      <c r="D104" s="19">
        <v>6.45</v>
      </c>
      <c r="F104" s="3" t="str">
        <f t="shared" si="1"/>
        <v>C2993</v>
      </c>
    </row>
    <row r="105" spans="1:6" x14ac:dyDescent="0.2">
      <c r="A105" s="17" t="s">
        <v>6106</v>
      </c>
      <c r="B105" s="18" t="s">
        <v>6107</v>
      </c>
      <c r="C105" s="17" t="s">
        <v>26</v>
      </c>
      <c r="D105" s="19">
        <v>20.6</v>
      </c>
      <c r="F105" s="3" t="str">
        <f t="shared" si="1"/>
        <v>C1061</v>
      </c>
    </row>
    <row r="106" spans="1:6" x14ac:dyDescent="0.2">
      <c r="A106" s="17" t="s">
        <v>6108</v>
      </c>
      <c r="B106" s="18" t="s">
        <v>6109</v>
      </c>
      <c r="C106" s="17" t="s">
        <v>255</v>
      </c>
      <c r="D106" s="19">
        <v>23.64</v>
      </c>
      <c r="F106" s="3" t="str">
        <f t="shared" si="1"/>
        <v>C1062</v>
      </c>
    </row>
    <row r="107" spans="1:6" x14ac:dyDescent="0.2">
      <c r="A107" s="17" t="s">
        <v>6110</v>
      </c>
      <c r="B107" s="21" t="s">
        <v>6111</v>
      </c>
      <c r="C107" s="17" t="s">
        <v>271</v>
      </c>
      <c r="D107" s="19">
        <v>271.39</v>
      </c>
      <c r="F107" s="3" t="str">
        <f t="shared" si="1"/>
        <v>C1063</v>
      </c>
    </row>
    <row r="108" spans="1:6" x14ac:dyDescent="0.2">
      <c r="A108" s="17" t="s">
        <v>6112</v>
      </c>
      <c r="B108" s="18" t="s">
        <v>6113</v>
      </c>
      <c r="C108" s="17" t="s">
        <v>255</v>
      </c>
      <c r="D108" s="19">
        <v>14.61</v>
      </c>
      <c r="F108" s="3" t="str">
        <f t="shared" si="1"/>
        <v>C1064</v>
      </c>
    </row>
    <row r="109" spans="1:6" x14ac:dyDescent="0.2">
      <c r="A109" s="17" t="s">
        <v>6114</v>
      </c>
      <c r="B109" s="18" t="s">
        <v>6115</v>
      </c>
      <c r="C109" s="17" t="s">
        <v>255</v>
      </c>
      <c r="D109" s="19">
        <v>29.23</v>
      </c>
      <c r="F109" s="3" t="str">
        <f t="shared" si="1"/>
        <v>C1065</v>
      </c>
    </row>
    <row r="110" spans="1:6" x14ac:dyDescent="0.2">
      <c r="A110" s="17" t="s">
        <v>6116</v>
      </c>
      <c r="B110" s="18" t="s">
        <v>6117</v>
      </c>
      <c r="C110" s="17" t="s">
        <v>255</v>
      </c>
      <c r="D110" s="19">
        <v>27.14</v>
      </c>
      <c r="F110" s="3" t="str">
        <f t="shared" si="1"/>
        <v>C1066</v>
      </c>
    </row>
    <row r="111" spans="1:6" x14ac:dyDescent="0.2">
      <c r="A111" s="17" t="s">
        <v>6118</v>
      </c>
      <c r="B111" s="18" t="s">
        <v>6119</v>
      </c>
      <c r="C111" s="17" t="s">
        <v>255</v>
      </c>
      <c r="D111" s="19">
        <v>18.46</v>
      </c>
      <c r="F111" s="3" t="str">
        <f t="shared" si="1"/>
        <v>C2716</v>
      </c>
    </row>
    <row r="112" spans="1:6" x14ac:dyDescent="0.2">
      <c r="A112" s="17" t="s">
        <v>6120</v>
      </c>
      <c r="B112" s="18" t="s">
        <v>6121</v>
      </c>
      <c r="C112" s="17" t="s">
        <v>255</v>
      </c>
      <c r="D112" s="19">
        <v>19.36</v>
      </c>
      <c r="F112" s="3" t="str">
        <f t="shared" si="1"/>
        <v>C1067</v>
      </c>
    </row>
    <row r="113" spans="1:6" x14ac:dyDescent="0.2">
      <c r="A113" s="17" t="s">
        <v>6122</v>
      </c>
      <c r="B113" s="18" t="s">
        <v>6123</v>
      </c>
      <c r="C113" s="17" t="s">
        <v>255</v>
      </c>
      <c r="D113" s="19">
        <v>25.82</v>
      </c>
      <c r="F113" s="3" t="str">
        <f t="shared" si="1"/>
        <v>C1068</v>
      </c>
    </row>
    <row r="114" spans="1:6" x14ac:dyDescent="0.2">
      <c r="A114" s="17" t="s">
        <v>6124</v>
      </c>
      <c r="B114" s="18" t="s">
        <v>6125</v>
      </c>
      <c r="C114" s="17" t="s">
        <v>255</v>
      </c>
      <c r="D114" s="19">
        <v>55.57</v>
      </c>
      <c r="F114" s="3" t="str">
        <f t="shared" si="1"/>
        <v>C1069</v>
      </c>
    </row>
    <row r="115" spans="1:6" x14ac:dyDescent="0.2">
      <c r="A115" s="17" t="s">
        <v>6126</v>
      </c>
      <c r="B115" s="18" t="s">
        <v>6127</v>
      </c>
      <c r="C115" s="17" t="s">
        <v>255</v>
      </c>
      <c r="D115" s="19">
        <v>10.44</v>
      </c>
      <c r="F115" s="3" t="str">
        <f t="shared" si="1"/>
        <v>C1070</v>
      </c>
    </row>
    <row r="116" spans="1:6" x14ac:dyDescent="0.2">
      <c r="A116" s="17" t="s">
        <v>6128</v>
      </c>
      <c r="B116" s="18" t="s">
        <v>6129</v>
      </c>
      <c r="C116" s="17" t="s">
        <v>255</v>
      </c>
      <c r="D116" s="19">
        <v>52.19</v>
      </c>
      <c r="F116" s="3" t="str">
        <f t="shared" si="1"/>
        <v>C1071</v>
      </c>
    </row>
    <row r="117" spans="1:6" x14ac:dyDescent="0.2">
      <c r="A117" s="17" t="s">
        <v>6130</v>
      </c>
      <c r="B117" s="18" t="s">
        <v>6131</v>
      </c>
      <c r="C117" s="17" t="s">
        <v>255</v>
      </c>
      <c r="D117" s="19">
        <v>52.19</v>
      </c>
      <c r="F117" s="3" t="str">
        <f t="shared" si="1"/>
        <v>C1074</v>
      </c>
    </row>
    <row r="118" spans="1:6" x14ac:dyDescent="0.2">
      <c r="A118" s="17" t="s">
        <v>6132</v>
      </c>
      <c r="B118" s="18" t="s">
        <v>6133</v>
      </c>
      <c r="C118" s="17" t="s">
        <v>255</v>
      </c>
      <c r="D118" s="19">
        <v>52.19</v>
      </c>
      <c r="F118" s="3" t="str">
        <f t="shared" si="1"/>
        <v>C1072</v>
      </c>
    </row>
    <row r="119" spans="1:6" x14ac:dyDescent="0.2">
      <c r="A119" s="17" t="s">
        <v>6134</v>
      </c>
      <c r="B119" s="18" t="s">
        <v>6135</v>
      </c>
      <c r="C119" s="17" t="s">
        <v>255</v>
      </c>
      <c r="D119" s="19">
        <v>60.19</v>
      </c>
      <c r="F119" s="3" t="str">
        <f t="shared" si="1"/>
        <v>C1073</v>
      </c>
    </row>
    <row r="120" spans="1:6" x14ac:dyDescent="0.2">
      <c r="A120" s="17" t="s">
        <v>6136</v>
      </c>
      <c r="B120" s="18" t="s">
        <v>6137</v>
      </c>
      <c r="C120" s="17" t="s">
        <v>255</v>
      </c>
      <c r="D120" s="19">
        <v>16.7</v>
      </c>
      <c r="F120" s="3" t="str">
        <f t="shared" si="1"/>
        <v>C1075</v>
      </c>
    </row>
    <row r="121" spans="1:6" x14ac:dyDescent="0.2">
      <c r="A121" s="17" t="s">
        <v>6138</v>
      </c>
      <c r="B121" s="18" t="s">
        <v>6139</v>
      </c>
      <c r="C121" s="17" t="s">
        <v>0</v>
      </c>
      <c r="D121" s="19">
        <v>27.14</v>
      </c>
      <c r="F121" s="3" t="str">
        <f t="shared" si="1"/>
        <v>C1076</v>
      </c>
    </row>
    <row r="122" spans="1:6" x14ac:dyDescent="0.2">
      <c r="A122" s="17" t="s">
        <v>6140</v>
      </c>
      <c r="B122" s="18" t="s">
        <v>6141</v>
      </c>
      <c r="C122" s="17" t="s">
        <v>1284</v>
      </c>
      <c r="D122" s="19">
        <v>0.33</v>
      </c>
      <c r="F122" s="3" t="str">
        <f t="shared" si="1"/>
        <v>C1077</v>
      </c>
    </row>
    <row r="123" spans="1:6" x14ac:dyDescent="0.2">
      <c r="A123" s="17" t="s">
        <v>6142</v>
      </c>
      <c r="B123" s="18" t="s">
        <v>6143</v>
      </c>
      <c r="C123" s="17" t="s">
        <v>255</v>
      </c>
      <c r="D123" s="19">
        <v>9.23</v>
      </c>
      <c r="F123" s="3" t="str">
        <f t="shared" si="1"/>
        <v>C3064</v>
      </c>
    </row>
    <row r="124" spans="1:6" x14ac:dyDescent="0.2">
      <c r="A124" s="17">
        <v>0</v>
      </c>
      <c r="B124" s="18"/>
      <c r="C124" s="17">
        <v>0</v>
      </c>
      <c r="D124" s="19">
        <v>0</v>
      </c>
      <c r="F124" s="3">
        <f t="shared" si="1"/>
        <v>0</v>
      </c>
    </row>
    <row r="125" spans="1:6" x14ac:dyDescent="0.2">
      <c r="A125" s="17" t="s">
        <v>6144</v>
      </c>
      <c r="B125" s="18" t="s">
        <v>6145</v>
      </c>
      <c r="C125" s="17" t="s">
        <v>255</v>
      </c>
      <c r="D125" s="19">
        <v>30.77</v>
      </c>
      <c r="F125" s="3" t="str">
        <f t="shared" si="1"/>
        <v>C3063</v>
      </c>
    </row>
    <row r="126" spans="1:6" x14ac:dyDescent="0.2">
      <c r="A126" s="17" t="s">
        <v>6146</v>
      </c>
      <c r="B126" s="18" t="s">
        <v>6147</v>
      </c>
      <c r="C126" s="17" t="s">
        <v>271</v>
      </c>
      <c r="D126" s="19">
        <v>501.02</v>
      </c>
      <c r="F126" s="3" t="str">
        <f t="shared" si="1"/>
        <v>C2717</v>
      </c>
    </row>
    <row r="127" spans="1:6" x14ac:dyDescent="0.2">
      <c r="A127" s="17" t="s">
        <v>6148</v>
      </c>
      <c r="B127" s="18" t="s">
        <v>6149</v>
      </c>
      <c r="C127" s="17" t="s">
        <v>0</v>
      </c>
      <c r="D127" s="19">
        <v>147.68</v>
      </c>
      <c r="F127" s="3" t="str">
        <f t="shared" si="1"/>
        <v>C3103</v>
      </c>
    </row>
    <row r="128" spans="1:6" x14ac:dyDescent="0.2">
      <c r="A128" s="17" t="s">
        <v>6150</v>
      </c>
      <c r="B128" s="18" t="s">
        <v>6151</v>
      </c>
      <c r="C128" s="17" t="s">
        <v>0</v>
      </c>
      <c r="D128" s="19">
        <v>0.46</v>
      </c>
      <c r="F128" s="3" t="str">
        <f t="shared" si="1"/>
        <v>C3104</v>
      </c>
    </row>
    <row r="129" spans="1:6" x14ac:dyDescent="0.2">
      <c r="A129" s="17" t="s">
        <v>6152</v>
      </c>
      <c r="B129" s="18" t="s">
        <v>6153</v>
      </c>
      <c r="C129" s="17" t="s">
        <v>255</v>
      </c>
      <c r="D129" s="19">
        <v>3.69</v>
      </c>
      <c r="F129" s="3" t="str">
        <f t="shared" si="1"/>
        <v>C2197</v>
      </c>
    </row>
    <row r="130" spans="1:6" x14ac:dyDescent="0.2">
      <c r="A130" s="17" t="s">
        <v>6154</v>
      </c>
      <c r="B130" s="18" t="s">
        <v>6155</v>
      </c>
      <c r="C130" s="17" t="s">
        <v>255</v>
      </c>
      <c r="D130" s="19">
        <v>5.54</v>
      </c>
      <c r="F130" s="3" t="str">
        <f t="shared" ref="F130:F193" si="2">A130</f>
        <v>C2198</v>
      </c>
    </row>
    <row r="131" spans="1:6" x14ac:dyDescent="0.2">
      <c r="A131" s="17" t="s">
        <v>6156</v>
      </c>
      <c r="B131" s="18" t="s">
        <v>6157</v>
      </c>
      <c r="C131" s="17" t="s">
        <v>255</v>
      </c>
      <c r="D131" s="19">
        <v>13.85</v>
      </c>
      <c r="F131" s="3" t="str">
        <f t="shared" si="2"/>
        <v>C4914</v>
      </c>
    </row>
    <row r="132" spans="1:6" x14ac:dyDescent="0.2">
      <c r="A132" s="17" t="s">
        <v>6158</v>
      </c>
      <c r="B132" s="18" t="s">
        <v>6159</v>
      </c>
      <c r="C132" s="17" t="s">
        <v>255</v>
      </c>
      <c r="D132" s="19">
        <v>7.38</v>
      </c>
      <c r="F132" s="3" t="str">
        <f t="shared" si="2"/>
        <v>C4913</v>
      </c>
    </row>
    <row r="133" spans="1:6" x14ac:dyDescent="0.2">
      <c r="A133" s="17" t="s">
        <v>6160</v>
      </c>
      <c r="B133" s="18" t="s">
        <v>6161</v>
      </c>
      <c r="C133" s="17" t="s">
        <v>26</v>
      </c>
      <c r="D133" s="19">
        <v>85.24</v>
      </c>
      <c r="F133" s="3" t="str">
        <f t="shared" si="2"/>
        <v>C3038</v>
      </c>
    </row>
    <row r="134" spans="1:6" x14ac:dyDescent="0.2">
      <c r="A134" s="17" t="s">
        <v>6162</v>
      </c>
      <c r="B134" s="18" t="s">
        <v>6163</v>
      </c>
      <c r="C134" s="17" t="s">
        <v>255</v>
      </c>
      <c r="D134" s="19">
        <v>4.62</v>
      </c>
      <c r="F134" s="3" t="str">
        <f t="shared" si="2"/>
        <v>C3039</v>
      </c>
    </row>
    <row r="135" spans="1:6" x14ac:dyDescent="0.2">
      <c r="A135" s="17" t="s">
        <v>6164</v>
      </c>
      <c r="B135" s="18" t="s">
        <v>6165</v>
      </c>
      <c r="C135" s="17" t="s">
        <v>0</v>
      </c>
      <c r="D135" s="19">
        <v>47.01</v>
      </c>
      <c r="F135" s="3" t="str">
        <f t="shared" si="2"/>
        <v>C3376</v>
      </c>
    </row>
    <row r="136" spans="1:6" x14ac:dyDescent="0.2">
      <c r="A136" s="17" t="s">
        <v>6166</v>
      </c>
      <c r="B136" s="18" t="s">
        <v>6167</v>
      </c>
      <c r="C136" s="17" t="s">
        <v>255</v>
      </c>
      <c r="D136" s="19">
        <v>10.44</v>
      </c>
      <c r="F136" s="3" t="str">
        <f t="shared" si="2"/>
        <v>C2206</v>
      </c>
    </row>
    <row r="137" spans="1:6" x14ac:dyDescent="0.2">
      <c r="A137" s="17" t="s">
        <v>6168</v>
      </c>
      <c r="B137" s="18" t="s">
        <v>6169</v>
      </c>
      <c r="C137" s="17" t="s">
        <v>255</v>
      </c>
      <c r="D137" s="19">
        <v>8.52</v>
      </c>
      <c r="F137" s="3" t="str">
        <f t="shared" si="2"/>
        <v>C3040</v>
      </c>
    </row>
    <row r="138" spans="1:6" x14ac:dyDescent="0.2">
      <c r="A138" s="17" t="s">
        <v>6170</v>
      </c>
      <c r="B138" s="18" t="s">
        <v>6171</v>
      </c>
      <c r="C138" s="17" t="s">
        <v>0</v>
      </c>
      <c r="D138" s="19">
        <v>10.44</v>
      </c>
      <c r="F138" s="3" t="str">
        <f t="shared" si="2"/>
        <v>C2207</v>
      </c>
    </row>
    <row r="139" spans="1:6" x14ac:dyDescent="0.2">
      <c r="A139" s="17" t="s">
        <v>6172</v>
      </c>
      <c r="B139" s="18" t="s">
        <v>6173</v>
      </c>
      <c r="C139" s="17" t="s">
        <v>0</v>
      </c>
      <c r="D139" s="19">
        <v>10.44</v>
      </c>
      <c r="F139" s="3" t="str">
        <f t="shared" si="2"/>
        <v>C3373</v>
      </c>
    </row>
    <row r="140" spans="1:6" x14ac:dyDescent="0.2">
      <c r="A140" s="17" t="s">
        <v>6174</v>
      </c>
      <c r="B140" s="18" t="s">
        <v>6175</v>
      </c>
      <c r="C140" s="17" t="s">
        <v>255</v>
      </c>
      <c r="D140" s="19">
        <v>31.82</v>
      </c>
      <c r="F140" s="3" t="str">
        <f t="shared" si="2"/>
        <v>C2938</v>
      </c>
    </row>
    <row r="141" spans="1:6" x14ac:dyDescent="0.2">
      <c r="A141" s="17" t="s">
        <v>6176</v>
      </c>
      <c r="B141" s="18" t="s">
        <v>6177</v>
      </c>
      <c r="C141" s="17" t="s">
        <v>255</v>
      </c>
      <c r="D141" s="19">
        <v>12</v>
      </c>
      <c r="F141" s="3" t="str">
        <f t="shared" si="2"/>
        <v>C2939</v>
      </c>
    </row>
    <row r="142" spans="1:6" x14ac:dyDescent="0.2">
      <c r="A142" s="17" t="s">
        <v>6178</v>
      </c>
      <c r="B142" s="18" t="s">
        <v>6179</v>
      </c>
      <c r="C142" s="17" t="s">
        <v>255</v>
      </c>
      <c r="D142" s="19">
        <v>12.53</v>
      </c>
      <c r="F142" s="3" t="str">
        <f t="shared" si="2"/>
        <v>C3041</v>
      </c>
    </row>
    <row r="143" spans="1:6" x14ac:dyDescent="0.2">
      <c r="A143" s="17" t="s">
        <v>6180</v>
      </c>
      <c r="B143" s="18" t="s">
        <v>6181</v>
      </c>
      <c r="C143" s="17" t="s">
        <v>255</v>
      </c>
      <c r="D143" s="19">
        <v>11.08</v>
      </c>
      <c r="F143" s="3" t="str">
        <f t="shared" si="2"/>
        <v>C2940</v>
      </c>
    </row>
    <row r="144" spans="1:6" x14ac:dyDescent="0.2">
      <c r="A144" s="17" t="s">
        <v>6182</v>
      </c>
      <c r="B144" s="18" t="s">
        <v>6183</v>
      </c>
      <c r="C144" s="17" t="s">
        <v>255</v>
      </c>
      <c r="D144" s="19">
        <v>18.46</v>
      </c>
      <c r="F144" s="3" t="str">
        <f t="shared" si="2"/>
        <v>C2941</v>
      </c>
    </row>
    <row r="145" spans="1:6" x14ac:dyDescent="0.2">
      <c r="A145" s="17" t="s">
        <v>6184</v>
      </c>
      <c r="B145" s="18" t="s">
        <v>6185</v>
      </c>
      <c r="C145" s="17" t="s">
        <v>255</v>
      </c>
      <c r="D145" s="19">
        <v>9.23</v>
      </c>
      <c r="F145" s="3" t="str">
        <f t="shared" si="2"/>
        <v>C2942</v>
      </c>
    </row>
    <row r="146" spans="1:6" x14ac:dyDescent="0.2">
      <c r="A146" s="17" t="s">
        <v>6186</v>
      </c>
      <c r="B146" s="18" t="s">
        <v>6187</v>
      </c>
      <c r="C146" s="17" t="s">
        <v>255</v>
      </c>
      <c r="D146" s="19">
        <v>11.65</v>
      </c>
      <c r="F146" s="3" t="str">
        <f t="shared" si="2"/>
        <v>C2209</v>
      </c>
    </row>
    <row r="147" spans="1:6" x14ac:dyDescent="0.2">
      <c r="A147" s="17" t="s">
        <v>6188</v>
      </c>
      <c r="B147" s="18" t="s">
        <v>6189</v>
      </c>
      <c r="C147" s="17" t="s">
        <v>255</v>
      </c>
      <c r="D147" s="19">
        <v>16.7</v>
      </c>
      <c r="F147" s="3" t="str">
        <f t="shared" si="2"/>
        <v>C2210</v>
      </c>
    </row>
    <row r="148" spans="1:6" x14ac:dyDescent="0.2">
      <c r="A148" s="17" t="s">
        <v>6190</v>
      </c>
      <c r="B148" s="18" t="s">
        <v>6191</v>
      </c>
      <c r="C148" s="17" t="s">
        <v>0</v>
      </c>
      <c r="D148" s="19">
        <v>8.08</v>
      </c>
      <c r="F148" s="3" t="str">
        <f t="shared" si="2"/>
        <v>C3047</v>
      </c>
    </row>
    <row r="149" spans="1:6" x14ac:dyDescent="0.2">
      <c r="A149" s="17" t="s">
        <v>6192</v>
      </c>
      <c r="B149" s="18" t="s">
        <v>6193</v>
      </c>
      <c r="C149" s="17" t="s">
        <v>0</v>
      </c>
      <c r="D149" s="19">
        <v>9.99</v>
      </c>
      <c r="F149" s="3" t="str">
        <f t="shared" si="2"/>
        <v>C3048</v>
      </c>
    </row>
    <row r="150" spans="1:6" x14ac:dyDescent="0.2">
      <c r="A150" s="17" t="s">
        <v>6194</v>
      </c>
      <c r="B150" s="18" t="s">
        <v>6195</v>
      </c>
      <c r="C150" s="17" t="s">
        <v>0</v>
      </c>
      <c r="D150" s="19">
        <v>10.94</v>
      </c>
      <c r="F150" s="3" t="str">
        <f t="shared" si="2"/>
        <v>C3049</v>
      </c>
    </row>
    <row r="151" spans="1:6" x14ac:dyDescent="0.2">
      <c r="A151" s="17" t="s">
        <v>6196</v>
      </c>
      <c r="B151" s="18" t="s">
        <v>6197</v>
      </c>
      <c r="C151" s="17" t="s">
        <v>0</v>
      </c>
      <c r="D151" s="19">
        <v>11.9</v>
      </c>
      <c r="F151" s="3" t="str">
        <f t="shared" si="2"/>
        <v>C3042</v>
      </c>
    </row>
    <row r="152" spans="1:6" x14ac:dyDescent="0.2">
      <c r="A152" s="17" t="s">
        <v>6198</v>
      </c>
      <c r="B152" s="18" t="s">
        <v>6199</v>
      </c>
      <c r="C152" s="17" t="s">
        <v>0</v>
      </c>
      <c r="D152" s="19">
        <v>16.16</v>
      </c>
      <c r="F152" s="3" t="str">
        <f t="shared" si="2"/>
        <v>C3043</v>
      </c>
    </row>
    <row r="153" spans="1:6" x14ac:dyDescent="0.2">
      <c r="A153" s="17" t="s">
        <v>6200</v>
      </c>
      <c r="B153" s="18" t="s">
        <v>6201</v>
      </c>
      <c r="C153" s="17" t="s">
        <v>0</v>
      </c>
      <c r="D153" s="19">
        <v>22.32</v>
      </c>
      <c r="F153" s="3" t="str">
        <f t="shared" si="2"/>
        <v>C3044</v>
      </c>
    </row>
    <row r="154" spans="1:6" x14ac:dyDescent="0.2">
      <c r="A154" s="17" t="s">
        <v>6202</v>
      </c>
      <c r="B154" s="18" t="s">
        <v>6203</v>
      </c>
      <c r="C154" s="17" t="s">
        <v>0</v>
      </c>
      <c r="D154" s="19">
        <v>26.14</v>
      </c>
      <c r="F154" s="3" t="str">
        <f t="shared" si="2"/>
        <v>C3045</v>
      </c>
    </row>
    <row r="155" spans="1:6" x14ac:dyDescent="0.2">
      <c r="A155" s="17" t="s">
        <v>6204</v>
      </c>
      <c r="B155" s="18" t="s">
        <v>6205</v>
      </c>
      <c r="C155" s="17" t="s">
        <v>0</v>
      </c>
      <c r="D155" s="19">
        <v>34.22</v>
      </c>
      <c r="F155" s="3" t="str">
        <f t="shared" si="2"/>
        <v>C3046</v>
      </c>
    </row>
    <row r="156" spans="1:6" x14ac:dyDescent="0.2">
      <c r="A156" s="17" t="s">
        <v>6206</v>
      </c>
      <c r="B156" s="18" t="s">
        <v>6207</v>
      </c>
      <c r="C156" s="17" t="s">
        <v>0</v>
      </c>
      <c r="D156" s="19">
        <v>35.28</v>
      </c>
      <c r="F156" s="3" t="str">
        <f t="shared" si="2"/>
        <v>C3054</v>
      </c>
    </row>
    <row r="157" spans="1:6" x14ac:dyDescent="0.2">
      <c r="A157" s="17" t="s">
        <v>6208</v>
      </c>
      <c r="B157" s="18" t="s">
        <v>6209</v>
      </c>
      <c r="C157" s="17" t="s">
        <v>0</v>
      </c>
      <c r="D157" s="19">
        <v>44.82</v>
      </c>
      <c r="F157" s="3" t="str">
        <f t="shared" si="2"/>
        <v>C3055</v>
      </c>
    </row>
    <row r="158" spans="1:6" x14ac:dyDescent="0.2">
      <c r="A158" s="17" t="s">
        <v>6210</v>
      </c>
      <c r="B158" s="18" t="s">
        <v>6211</v>
      </c>
      <c r="C158" s="17" t="s">
        <v>0</v>
      </c>
      <c r="D158" s="19">
        <v>58.8</v>
      </c>
      <c r="F158" s="3" t="str">
        <f t="shared" si="2"/>
        <v>C3056</v>
      </c>
    </row>
    <row r="159" spans="1:6" x14ac:dyDescent="0.2">
      <c r="A159" s="17" t="s">
        <v>6212</v>
      </c>
      <c r="B159" s="18" t="s">
        <v>6213</v>
      </c>
      <c r="C159" s="17" t="s">
        <v>0</v>
      </c>
      <c r="D159" s="19">
        <v>75.67</v>
      </c>
      <c r="F159" s="3" t="str">
        <f t="shared" si="2"/>
        <v>C3057</v>
      </c>
    </row>
    <row r="160" spans="1:6" x14ac:dyDescent="0.2">
      <c r="A160" s="17" t="s">
        <v>6214</v>
      </c>
      <c r="B160" s="18" t="s">
        <v>6215</v>
      </c>
      <c r="C160" s="17" t="s">
        <v>0</v>
      </c>
      <c r="D160" s="19">
        <v>108.74</v>
      </c>
      <c r="F160" s="3" t="str">
        <f t="shared" si="2"/>
        <v>C3050</v>
      </c>
    </row>
    <row r="161" spans="1:6" x14ac:dyDescent="0.2">
      <c r="A161" s="17" t="s">
        <v>6216</v>
      </c>
      <c r="B161" s="18" t="s">
        <v>6217</v>
      </c>
      <c r="C161" s="17" t="s">
        <v>0</v>
      </c>
      <c r="D161" s="19">
        <v>186.37</v>
      </c>
      <c r="F161" s="3" t="str">
        <f t="shared" si="2"/>
        <v>C3051</v>
      </c>
    </row>
    <row r="162" spans="1:6" x14ac:dyDescent="0.2">
      <c r="A162" s="17" t="s">
        <v>6218</v>
      </c>
      <c r="B162" s="18" t="s">
        <v>6219</v>
      </c>
      <c r="C162" s="17" t="s">
        <v>0</v>
      </c>
      <c r="D162" s="19">
        <v>263.08</v>
      </c>
      <c r="F162" s="3" t="str">
        <f t="shared" si="2"/>
        <v>C3052</v>
      </c>
    </row>
    <row r="163" spans="1:6" x14ac:dyDescent="0.2">
      <c r="A163" s="17" t="s">
        <v>6220</v>
      </c>
      <c r="B163" s="18" t="s">
        <v>6221</v>
      </c>
      <c r="C163" s="17" t="s">
        <v>0</v>
      </c>
      <c r="D163" s="19">
        <v>384.15</v>
      </c>
      <c r="F163" s="3" t="str">
        <f t="shared" si="2"/>
        <v>C3053</v>
      </c>
    </row>
    <row r="164" spans="1:6" x14ac:dyDescent="0.2">
      <c r="A164" s="17" t="s">
        <v>6222</v>
      </c>
      <c r="B164" s="18" t="s">
        <v>6223</v>
      </c>
      <c r="C164" s="17" t="s">
        <v>0</v>
      </c>
      <c r="D164" s="19">
        <v>2.76</v>
      </c>
      <c r="F164" s="3" t="str">
        <f t="shared" si="2"/>
        <v>C3377</v>
      </c>
    </row>
    <row r="165" spans="1:6" x14ac:dyDescent="0.2">
      <c r="A165" s="17" t="s">
        <v>6224</v>
      </c>
      <c r="B165" s="18" t="s">
        <v>6225</v>
      </c>
      <c r="C165" s="17" t="s">
        <v>0</v>
      </c>
      <c r="D165" s="19">
        <v>3.32</v>
      </c>
      <c r="F165" s="3" t="str">
        <f t="shared" si="2"/>
        <v>C3378</v>
      </c>
    </row>
    <row r="166" spans="1:6" x14ac:dyDescent="0.2">
      <c r="A166" s="17" t="s">
        <v>6226</v>
      </c>
      <c r="B166" s="18" t="s">
        <v>6227</v>
      </c>
      <c r="C166" s="17" t="s">
        <v>0</v>
      </c>
      <c r="D166" s="19">
        <v>4.4400000000000004</v>
      </c>
      <c r="F166" s="3" t="str">
        <f t="shared" si="2"/>
        <v>C3379</v>
      </c>
    </row>
    <row r="167" spans="1:6" x14ac:dyDescent="0.2">
      <c r="A167" s="17" t="s">
        <v>6228</v>
      </c>
      <c r="B167" s="18" t="s">
        <v>6229</v>
      </c>
      <c r="C167" s="17" t="s">
        <v>0</v>
      </c>
      <c r="D167" s="19">
        <v>5.57</v>
      </c>
      <c r="F167" s="3" t="str">
        <f t="shared" si="2"/>
        <v>C3380</v>
      </c>
    </row>
    <row r="168" spans="1:6" x14ac:dyDescent="0.2">
      <c r="A168" s="17" t="s">
        <v>6230</v>
      </c>
      <c r="B168" s="18" t="s">
        <v>6231</v>
      </c>
      <c r="C168" s="17" t="s">
        <v>0</v>
      </c>
      <c r="D168" s="19">
        <v>6.37</v>
      </c>
      <c r="F168" s="3" t="str">
        <f t="shared" si="2"/>
        <v>C3381</v>
      </c>
    </row>
    <row r="169" spans="1:6" x14ac:dyDescent="0.2">
      <c r="A169" s="17" t="s">
        <v>6232</v>
      </c>
      <c r="B169" s="18" t="s">
        <v>6233</v>
      </c>
      <c r="C169" s="17" t="s">
        <v>0</v>
      </c>
      <c r="D169" s="19">
        <v>8.33</v>
      </c>
      <c r="F169" s="3" t="str">
        <f t="shared" si="2"/>
        <v>C3382</v>
      </c>
    </row>
    <row r="170" spans="1:6" x14ac:dyDescent="0.2">
      <c r="A170" s="17" t="s">
        <v>6234</v>
      </c>
      <c r="B170" s="18" t="s">
        <v>6235</v>
      </c>
      <c r="C170" s="17" t="s">
        <v>0</v>
      </c>
      <c r="D170" s="19">
        <v>9.34</v>
      </c>
      <c r="F170" s="3" t="str">
        <f t="shared" si="2"/>
        <v>C3383</v>
      </c>
    </row>
    <row r="171" spans="1:6" x14ac:dyDescent="0.2">
      <c r="A171" s="17" t="s">
        <v>6236</v>
      </c>
      <c r="B171" s="18" t="s">
        <v>6237</v>
      </c>
      <c r="C171" s="17" t="s">
        <v>0</v>
      </c>
      <c r="D171" s="19">
        <v>13.25</v>
      </c>
      <c r="F171" s="3" t="str">
        <f t="shared" si="2"/>
        <v>C3384</v>
      </c>
    </row>
    <row r="172" spans="1:6" x14ac:dyDescent="0.2">
      <c r="A172" s="17" t="s">
        <v>6238</v>
      </c>
      <c r="B172" s="18" t="s">
        <v>6239</v>
      </c>
      <c r="C172" s="17" t="s">
        <v>0</v>
      </c>
      <c r="D172" s="19">
        <v>14.69</v>
      </c>
      <c r="F172" s="3" t="str">
        <f t="shared" si="2"/>
        <v>C3385</v>
      </c>
    </row>
    <row r="173" spans="1:6" x14ac:dyDescent="0.2">
      <c r="A173" s="17" t="s">
        <v>6240</v>
      </c>
      <c r="B173" s="18" t="s">
        <v>6241</v>
      </c>
      <c r="C173" s="17" t="s">
        <v>0</v>
      </c>
      <c r="D173" s="19">
        <v>16.61</v>
      </c>
      <c r="F173" s="3" t="str">
        <f t="shared" si="2"/>
        <v>C3386</v>
      </c>
    </row>
    <row r="174" spans="1:6" x14ac:dyDescent="0.2">
      <c r="A174" s="17" t="s">
        <v>6242</v>
      </c>
      <c r="B174" s="18" t="s">
        <v>6243</v>
      </c>
      <c r="C174" s="17" t="s">
        <v>0</v>
      </c>
      <c r="D174" s="19">
        <v>6.94</v>
      </c>
      <c r="F174" s="3" t="str">
        <f t="shared" si="2"/>
        <v>C3387</v>
      </c>
    </row>
    <row r="175" spans="1:6" x14ac:dyDescent="0.2">
      <c r="A175" s="17" t="s">
        <v>6244</v>
      </c>
      <c r="B175" s="18" t="s">
        <v>6245</v>
      </c>
      <c r="C175" s="17" t="s">
        <v>0</v>
      </c>
      <c r="D175" s="19">
        <v>8.4499999999999993</v>
      </c>
      <c r="F175" s="3" t="str">
        <f t="shared" si="2"/>
        <v>C3388</v>
      </c>
    </row>
    <row r="176" spans="1:6" x14ac:dyDescent="0.2">
      <c r="A176" s="17" t="s">
        <v>6246</v>
      </c>
      <c r="B176" s="18" t="s">
        <v>6247</v>
      </c>
      <c r="C176" s="17" t="s">
        <v>0</v>
      </c>
      <c r="D176" s="19">
        <v>13.86</v>
      </c>
      <c r="F176" s="3" t="str">
        <f t="shared" si="2"/>
        <v>C3389</v>
      </c>
    </row>
    <row r="177" spans="1:6" x14ac:dyDescent="0.2">
      <c r="A177" s="17" t="s">
        <v>6248</v>
      </c>
      <c r="B177" s="18" t="s">
        <v>6249</v>
      </c>
      <c r="C177" s="17" t="s">
        <v>0</v>
      </c>
      <c r="D177" s="19">
        <v>19.27</v>
      </c>
      <c r="F177" s="3" t="str">
        <f t="shared" si="2"/>
        <v>C3390</v>
      </c>
    </row>
    <row r="178" spans="1:6" x14ac:dyDescent="0.2">
      <c r="A178" s="17" t="s">
        <v>6250</v>
      </c>
      <c r="B178" s="18" t="s">
        <v>6251</v>
      </c>
      <c r="C178" s="17" t="s">
        <v>0</v>
      </c>
      <c r="D178" s="19">
        <v>22.22</v>
      </c>
      <c r="F178" s="3" t="str">
        <f t="shared" si="2"/>
        <v>C3391</v>
      </c>
    </row>
    <row r="179" spans="1:6" x14ac:dyDescent="0.2">
      <c r="A179" s="17" t="s">
        <v>6252</v>
      </c>
      <c r="B179" s="18" t="s">
        <v>6253</v>
      </c>
      <c r="C179" s="17" t="s">
        <v>0</v>
      </c>
      <c r="D179" s="19">
        <v>27.64</v>
      </c>
      <c r="F179" s="3" t="str">
        <f t="shared" si="2"/>
        <v>C3392</v>
      </c>
    </row>
    <row r="180" spans="1:6" x14ac:dyDescent="0.2">
      <c r="A180" s="17" t="s">
        <v>6254</v>
      </c>
      <c r="B180" s="18" t="s">
        <v>6255</v>
      </c>
      <c r="C180" s="17" t="s">
        <v>0</v>
      </c>
      <c r="D180" s="19">
        <v>34.99</v>
      </c>
      <c r="F180" s="3" t="str">
        <f t="shared" si="2"/>
        <v>C3393</v>
      </c>
    </row>
    <row r="181" spans="1:6" x14ac:dyDescent="0.2">
      <c r="A181" s="17" t="s">
        <v>6256</v>
      </c>
      <c r="B181" s="18" t="s">
        <v>6257</v>
      </c>
      <c r="C181" s="17" t="s">
        <v>0</v>
      </c>
      <c r="D181" s="19">
        <v>41.67</v>
      </c>
      <c r="F181" s="3" t="str">
        <f t="shared" si="2"/>
        <v>C3394</v>
      </c>
    </row>
    <row r="182" spans="1:6" x14ac:dyDescent="0.2">
      <c r="A182" s="17" t="s">
        <v>6258</v>
      </c>
      <c r="B182" s="18" t="s">
        <v>6259</v>
      </c>
      <c r="C182" s="17" t="s">
        <v>0</v>
      </c>
      <c r="D182" s="19">
        <v>47.82</v>
      </c>
      <c r="F182" s="3" t="str">
        <f t="shared" si="2"/>
        <v>C3395</v>
      </c>
    </row>
    <row r="183" spans="1:6" x14ac:dyDescent="0.2">
      <c r="A183" s="17" t="s">
        <v>6260</v>
      </c>
      <c r="B183" s="18" t="s">
        <v>6261</v>
      </c>
      <c r="C183" s="17" t="s">
        <v>0</v>
      </c>
      <c r="D183" s="19">
        <v>61.12</v>
      </c>
      <c r="F183" s="3" t="str">
        <f t="shared" si="2"/>
        <v>C3396</v>
      </c>
    </row>
    <row r="184" spans="1:6" x14ac:dyDescent="0.2">
      <c r="A184" s="17" t="s">
        <v>6262</v>
      </c>
      <c r="B184" s="18" t="s">
        <v>6263</v>
      </c>
      <c r="C184" s="17" t="s">
        <v>0</v>
      </c>
      <c r="D184" s="19">
        <v>74.3</v>
      </c>
      <c r="F184" s="3" t="str">
        <f t="shared" si="2"/>
        <v>C3397</v>
      </c>
    </row>
    <row r="185" spans="1:6" x14ac:dyDescent="0.2">
      <c r="A185" s="17" t="s">
        <v>6264</v>
      </c>
      <c r="B185" s="18" t="s">
        <v>6265</v>
      </c>
      <c r="C185" s="17" t="s">
        <v>0</v>
      </c>
      <c r="D185" s="19">
        <v>86.29</v>
      </c>
      <c r="F185" s="3" t="str">
        <f t="shared" si="2"/>
        <v>C3398</v>
      </c>
    </row>
    <row r="186" spans="1:6" x14ac:dyDescent="0.2">
      <c r="A186" s="17" t="s">
        <v>6266</v>
      </c>
      <c r="B186" s="18" t="s">
        <v>6267</v>
      </c>
      <c r="C186" s="17" t="s">
        <v>0</v>
      </c>
      <c r="D186" s="19">
        <v>111.53</v>
      </c>
      <c r="F186" s="3" t="str">
        <f t="shared" si="2"/>
        <v>C3399</v>
      </c>
    </row>
    <row r="187" spans="1:6" x14ac:dyDescent="0.2">
      <c r="A187" s="17" t="s">
        <v>6268</v>
      </c>
      <c r="B187" s="18" t="s">
        <v>6269</v>
      </c>
      <c r="C187" s="17" t="s">
        <v>255</v>
      </c>
      <c r="D187" s="19">
        <v>45.31</v>
      </c>
      <c r="F187" s="3" t="str">
        <f t="shared" si="2"/>
        <v>C2211</v>
      </c>
    </row>
    <row r="188" spans="1:6" x14ac:dyDescent="0.2">
      <c r="A188" s="14" t="s">
        <v>6270</v>
      </c>
      <c r="B188" s="15"/>
      <c r="C188" s="14">
        <v>0</v>
      </c>
      <c r="D188" s="16">
        <v>496.9</v>
      </c>
      <c r="F188" s="3" t="str">
        <f t="shared" si="2"/>
        <v>TRÂNSITO E SEGURANÇA</v>
      </c>
    </row>
    <row r="189" spans="1:6" x14ac:dyDescent="0.2">
      <c r="A189" s="17" t="s">
        <v>6271</v>
      </c>
      <c r="B189" s="18" t="s">
        <v>6272</v>
      </c>
      <c r="C189" s="17" t="s">
        <v>0</v>
      </c>
      <c r="D189" s="19">
        <v>390.62</v>
      </c>
      <c r="F189" s="3" t="str">
        <f t="shared" si="2"/>
        <v>C0375</v>
      </c>
    </row>
    <row r="190" spans="1:6" x14ac:dyDescent="0.2">
      <c r="A190" s="17" t="s">
        <v>6273</v>
      </c>
      <c r="B190" s="18" t="s">
        <v>6274</v>
      </c>
      <c r="C190" s="17" t="s">
        <v>255</v>
      </c>
      <c r="D190" s="19">
        <v>15.19</v>
      </c>
      <c r="F190" s="3" t="str">
        <f t="shared" si="2"/>
        <v>C2891</v>
      </c>
    </row>
    <row r="191" spans="1:6" x14ac:dyDescent="0.2">
      <c r="A191" s="17" t="s">
        <v>6275</v>
      </c>
      <c r="B191" s="18" t="s">
        <v>6276</v>
      </c>
      <c r="C191" s="17" t="s">
        <v>255</v>
      </c>
      <c r="D191" s="19">
        <v>51.87</v>
      </c>
      <c r="F191" s="3" t="str">
        <f t="shared" si="2"/>
        <v>C2892</v>
      </c>
    </row>
    <row r="192" spans="1:6" x14ac:dyDescent="0.2">
      <c r="A192" s="17" t="s">
        <v>6277</v>
      </c>
      <c r="B192" s="18" t="s">
        <v>6278</v>
      </c>
      <c r="C192" s="17" t="s">
        <v>26</v>
      </c>
      <c r="D192" s="19">
        <v>15.77</v>
      </c>
      <c r="F192" s="3" t="str">
        <f t="shared" si="2"/>
        <v>C2947</v>
      </c>
    </row>
    <row r="193" spans="1:6" x14ac:dyDescent="0.2">
      <c r="A193" s="17" t="s">
        <v>6279</v>
      </c>
      <c r="B193" s="18" t="s">
        <v>6280</v>
      </c>
      <c r="C193" s="17" t="s">
        <v>0</v>
      </c>
      <c r="D193" s="19">
        <v>6.11</v>
      </c>
      <c r="F193" s="3" t="str">
        <f t="shared" si="2"/>
        <v>C2948</v>
      </c>
    </row>
    <row r="194" spans="1:6" x14ac:dyDescent="0.2">
      <c r="A194" s="17" t="s">
        <v>6281</v>
      </c>
      <c r="B194" s="18" t="s">
        <v>6282</v>
      </c>
      <c r="C194" s="17" t="s">
        <v>0</v>
      </c>
      <c r="D194" s="19">
        <v>3.09</v>
      </c>
      <c r="F194" s="3" t="str">
        <f t="shared" ref="F194:F257" si="3">A194</f>
        <v>C2949</v>
      </c>
    </row>
    <row r="195" spans="1:6" x14ac:dyDescent="0.2">
      <c r="A195" s="17" t="s">
        <v>6283</v>
      </c>
      <c r="B195" s="18" t="s">
        <v>6284</v>
      </c>
      <c r="C195" s="17" t="s">
        <v>255</v>
      </c>
      <c r="D195" s="19">
        <v>8.82</v>
      </c>
      <c r="F195" s="3" t="str">
        <f t="shared" si="3"/>
        <v>C2950</v>
      </c>
    </row>
    <row r="196" spans="1:6" x14ac:dyDescent="0.2">
      <c r="A196" s="17" t="s">
        <v>6285</v>
      </c>
      <c r="B196" s="18" t="s">
        <v>6286</v>
      </c>
      <c r="C196" s="17" t="s">
        <v>0</v>
      </c>
      <c r="D196" s="19">
        <v>5.43</v>
      </c>
      <c r="F196" s="3" t="str">
        <f t="shared" si="3"/>
        <v>C2978</v>
      </c>
    </row>
    <row r="197" spans="1:6" x14ac:dyDescent="0.2">
      <c r="A197" s="14" t="s">
        <v>6287</v>
      </c>
      <c r="B197" s="15"/>
      <c r="C197" s="14">
        <v>0</v>
      </c>
      <c r="D197" s="16">
        <v>24533.63</v>
      </c>
      <c r="F197" s="3" t="str">
        <f t="shared" si="3"/>
        <v>MOVIMENTO DE TERRA</v>
      </c>
    </row>
    <row r="198" spans="1:6" x14ac:dyDescent="0.2">
      <c r="A198" s="14" t="s">
        <v>6288</v>
      </c>
      <c r="B198" s="15"/>
      <c r="C198" s="14">
        <v>0</v>
      </c>
      <c r="D198" s="16">
        <v>3688.04</v>
      </c>
      <c r="F198" s="3" t="str">
        <f t="shared" si="3"/>
        <v>ESCAVAÇÕES EM CAMPO ABERTO</v>
      </c>
    </row>
    <row r="199" spans="1:6" ht="22.5" x14ac:dyDescent="0.2">
      <c r="A199" s="17" t="s">
        <v>6289</v>
      </c>
      <c r="B199" s="18" t="s">
        <v>6290</v>
      </c>
      <c r="C199" s="17" t="s">
        <v>271</v>
      </c>
      <c r="D199" s="19">
        <v>56.84</v>
      </c>
      <c r="F199" s="3" t="str">
        <f t="shared" si="3"/>
        <v>C5011</v>
      </c>
    </row>
    <row r="200" spans="1:6" x14ac:dyDescent="0.2">
      <c r="A200" s="17">
        <v>0</v>
      </c>
      <c r="B200" s="18"/>
      <c r="C200" s="17">
        <v>0</v>
      </c>
      <c r="D200" s="19">
        <v>0</v>
      </c>
      <c r="F200" s="3">
        <f t="shared" si="3"/>
        <v>0</v>
      </c>
    </row>
    <row r="201" spans="1:6" x14ac:dyDescent="0.2">
      <c r="A201" s="17" t="s">
        <v>6291</v>
      </c>
      <c r="B201" s="18" t="s">
        <v>6292</v>
      </c>
      <c r="C201" s="17" t="s">
        <v>271</v>
      </c>
      <c r="D201" s="19">
        <v>208.97</v>
      </c>
      <c r="F201" s="3" t="str">
        <f t="shared" si="3"/>
        <v>C2779</v>
      </c>
    </row>
    <row r="202" spans="1:6" x14ac:dyDescent="0.2">
      <c r="A202" s="17" t="s">
        <v>6293</v>
      </c>
      <c r="B202" s="18" t="s">
        <v>6294</v>
      </c>
      <c r="C202" s="17" t="s">
        <v>271</v>
      </c>
      <c r="D202" s="19">
        <v>396.58</v>
      </c>
      <c r="F202" s="3" t="str">
        <f t="shared" si="3"/>
        <v>C1263</v>
      </c>
    </row>
    <row r="203" spans="1:6" x14ac:dyDescent="0.2">
      <c r="A203" s="17" t="s">
        <v>6295</v>
      </c>
      <c r="B203" s="18" t="s">
        <v>6296</v>
      </c>
      <c r="C203" s="17" t="s">
        <v>271</v>
      </c>
      <c r="D203" s="19">
        <v>421.5</v>
      </c>
      <c r="F203" s="3" t="str">
        <f t="shared" si="3"/>
        <v>C1260</v>
      </c>
    </row>
    <row r="204" spans="1:6" x14ac:dyDescent="0.2">
      <c r="A204" s="17" t="s">
        <v>6297</v>
      </c>
      <c r="B204" s="18" t="s">
        <v>6298</v>
      </c>
      <c r="C204" s="17" t="s">
        <v>271</v>
      </c>
      <c r="D204" s="19">
        <v>446.42</v>
      </c>
      <c r="F204" s="3" t="str">
        <f t="shared" si="3"/>
        <v>C1261</v>
      </c>
    </row>
    <row r="205" spans="1:6" x14ac:dyDescent="0.2">
      <c r="A205" s="17" t="s">
        <v>6299</v>
      </c>
      <c r="B205" s="18" t="s">
        <v>6300</v>
      </c>
      <c r="C205" s="17" t="s">
        <v>271</v>
      </c>
      <c r="D205" s="19">
        <v>471.34</v>
      </c>
      <c r="F205" s="3" t="str">
        <f t="shared" si="3"/>
        <v>C1262</v>
      </c>
    </row>
    <row r="206" spans="1:6" x14ac:dyDescent="0.2">
      <c r="A206" s="17" t="s">
        <v>6301</v>
      </c>
      <c r="B206" s="18" t="s">
        <v>6302</v>
      </c>
      <c r="C206" s="17" t="s">
        <v>271</v>
      </c>
      <c r="D206" s="19">
        <v>308.2</v>
      </c>
      <c r="F206" s="3" t="str">
        <f t="shared" si="3"/>
        <v>C1266</v>
      </c>
    </row>
    <row r="207" spans="1:6" x14ac:dyDescent="0.2">
      <c r="A207" s="17" t="s">
        <v>6303</v>
      </c>
      <c r="B207" s="18" t="s">
        <v>6304</v>
      </c>
      <c r="C207" s="17" t="s">
        <v>271</v>
      </c>
      <c r="D207" s="19">
        <v>333.83</v>
      </c>
      <c r="F207" s="3" t="str">
        <f t="shared" si="3"/>
        <v>C1264</v>
      </c>
    </row>
    <row r="208" spans="1:6" x14ac:dyDescent="0.2">
      <c r="A208" s="17" t="s">
        <v>6305</v>
      </c>
      <c r="B208" s="18" t="s">
        <v>6306</v>
      </c>
      <c r="C208" s="17" t="s">
        <v>271</v>
      </c>
      <c r="D208" s="19">
        <v>359.46</v>
      </c>
      <c r="F208" s="3" t="str">
        <f t="shared" si="3"/>
        <v>C1265</v>
      </c>
    </row>
    <row r="209" spans="1:6" x14ac:dyDescent="0.2">
      <c r="A209" s="17" t="s">
        <v>6307</v>
      </c>
      <c r="B209" s="18" t="s">
        <v>6308</v>
      </c>
      <c r="C209" s="17" t="s">
        <v>271</v>
      </c>
      <c r="D209" s="19">
        <v>385.09</v>
      </c>
      <c r="F209" s="3" t="str">
        <f t="shared" si="3"/>
        <v>C1254</v>
      </c>
    </row>
    <row r="210" spans="1:6" x14ac:dyDescent="0.2">
      <c r="A210" s="17" t="s">
        <v>6309</v>
      </c>
      <c r="B210" s="18" t="s">
        <v>6310</v>
      </c>
      <c r="C210" s="17" t="s">
        <v>271</v>
      </c>
      <c r="D210" s="19">
        <v>54.09</v>
      </c>
      <c r="F210" s="3" t="str">
        <f t="shared" si="3"/>
        <v>C1256</v>
      </c>
    </row>
    <row r="211" spans="1:6" x14ac:dyDescent="0.2">
      <c r="A211" s="17" t="s">
        <v>6311</v>
      </c>
      <c r="B211" s="18" t="s">
        <v>6312</v>
      </c>
      <c r="C211" s="17" t="s">
        <v>271</v>
      </c>
      <c r="D211" s="19">
        <v>64.430000000000007</v>
      </c>
      <c r="F211" s="3" t="str">
        <f t="shared" si="3"/>
        <v>C1257</v>
      </c>
    </row>
    <row r="212" spans="1:6" x14ac:dyDescent="0.2">
      <c r="A212" s="17" t="s">
        <v>6313</v>
      </c>
      <c r="B212" s="18" t="s">
        <v>6314</v>
      </c>
      <c r="C212" s="17" t="s">
        <v>271</v>
      </c>
      <c r="D212" s="19">
        <v>74.760000000000005</v>
      </c>
      <c r="F212" s="3" t="str">
        <f t="shared" si="3"/>
        <v>C1258</v>
      </c>
    </row>
    <row r="213" spans="1:6" x14ac:dyDescent="0.2">
      <c r="A213" s="17" t="s">
        <v>6315</v>
      </c>
      <c r="B213" s="18" t="s">
        <v>6316</v>
      </c>
      <c r="C213" s="17" t="s">
        <v>271</v>
      </c>
      <c r="D213" s="19">
        <v>86.21</v>
      </c>
      <c r="F213" s="3" t="str">
        <f t="shared" si="3"/>
        <v>C1259</v>
      </c>
    </row>
    <row r="214" spans="1:6" x14ac:dyDescent="0.2">
      <c r="A214" s="17" t="s">
        <v>6317</v>
      </c>
      <c r="B214" s="18" t="s">
        <v>6318</v>
      </c>
      <c r="C214" s="17" t="s">
        <v>271</v>
      </c>
      <c r="D214" s="19">
        <v>2.78</v>
      </c>
      <c r="F214" s="3" t="str">
        <f t="shared" si="3"/>
        <v>C1267</v>
      </c>
    </row>
    <row r="215" spans="1:6" x14ac:dyDescent="0.2">
      <c r="A215" s="17" t="s">
        <v>6319</v>
      </c>
      <c r="B215" s="18" t="s">
        <v>6320</v>
      </c>
      <c r="C215" s="17" t="s">
        <v>271</v>
      </c>
      <c r="D215" s="19">
        <v>3.19</v>
      </c>
      <c r="F215" s="3" t="str">
        <f t="shared" si="3"/>
        <v>C1268</v>
      </c>
    </row>
    <row r="216" spans="1:6" x14ac:dyDescent="0.2">
      <c r="A216" s="17" t="s">
        <v>6321</v>
      </c>
      <c r="B216" s="18" t="s">
        <v>6322</v>
      </c>
      <c r="C216" s="17" t="s">
        <v>271</v>
      </c>
      <c r="D216" s="19">
        <v>3.91</v>
      </c>
      <c r="F216" s="3" t="str">
        <f t="shared" si="3"/>
        <v>C1269</v>
      </c>
    </row>
    <row r="217" spans="1:6" x14ac:dyDescent="0.2">
      <c r="A217" s="17" t="s">
        <v>6323</v>
      </c>
      <c r="B217" s="18" t="s">
        <v>6324</v>
      </c>
      <c r="C217" s="17" t="s">
        <v>271</v>
      </c>
      <c r="D217" s="19">
        <v>4.6399999999999997</v>
      </c>
      <c r="F217" s="3" t="str">
        <f t="shared" si="3"/>
        <v>C1270</v>
      </c>
    </row>
    <row r="218" spans="1:6" x14ac:dyDescent="0.2">
      <c r="A218" s="17" t="s">
        <v>6325</v>
      </c>
      <c r="B218" s="18" t="s">
        <v>6326</v>
      </c>
      <c r="C218" s="17" t="s">
        <v>271</v>
      </c>
      <c r="D218" s="19">
        <v>5.8</v>
      </c>
      <c r="F218" s="3" t="str">
        <f t="shared" si="3"/>
        <v>C4899</v>
      </c>
    </row>
    <row r="219" spans="1:6" x14ac:dyDescent="0.2">
      <c r="A219" s="14" t="s">
        <v>6327</v>
      </c>
      <c r="B219" s="15"/>
      <c r="C219" s="14">
        <v>0</v>
      </c>
      <c r="D219" s="16">
        <v>139.69</v>
      </c>
      <c r="F219" s="3" t="str">
        <f t="shared" si="3"/>
        <v>ESCAVAÇÃO E CARGA DE MATERIAL</v>
      </c>
    </row>
    <row r="220" spans="1:6" x14ac:dyDescent="0.2">
      <c r="A220" s="17" t="s">
        <v>6328</v>
      </c>
      <c r="B220" s="18" t="s">
        <v>6329</v>
      </c>
      <c r="C220" s="17" t="s">
        <v>271</v>
      </c>
      <c r="D220" s="19">
        <v>6.44</v>
      </c>
      <c r="F220" s="3" t="str">
        <f t="shared" si="3"/>
        <v>C3208</v>
      </c>
    </row>
    <row r="221" spans="1:6" x14ac:dyDescent="0.2">
      <c r="A221" s="17" t="s">
        <v>6330</v>
      </c>
      <c r="B221" s="18" t="s">
        <v>6331</v>
      </c>
      <c r="C221" s="17" t="s">
        <v>271</v>
      </c>
      <c r="D221" s="19">
        <v>8.7799999999999994</v>
      </c>
      <c r="F221" s="3" t="str">
        <f t="shared" si="3"/>
        <v>C3209</v>
      </c>
    </row>
    <row r="222" spans="1:6" x14ac:dyDescent="0.2">
      <c r="A222" s="17" t="s">
        <v>6332</v>
      </c>
      <c r="B222" s="18" t="s">
        <v>6333</v>
      </c>
      <c r="C222" s="17" t="s">
        <v>271</v>
      </c>
      <c r="D222" s="19">
        <v>49.29</v>
      </c>
      <c r="F222" s="3" t="str">
        <f t="shared" si="3"/>
        <v>C3210</v>
      </c>
    </row>
    <row r="223" spans="1:6" x14ac:dyDescent="0.2">
      <c r="A223" s="17" t="s">
        <v>6334</v>
      </c>
      <c r="B223" s="18" t="s">
        <v>6335</v>
      </c>
      <c r="C223" s="17" t="s">
        <v>271</v>
      </c>
      <c r="D223" s="19">
        <v>13.59</v>
      </c>
      <c r="F223" s="3" t="str">
        <f t="shared" si="3"/>
        <v>C3212</v>
      </c>
    </row>
    <row r="224" spans="1:6" x14ac:dyDescent="0.2">
      <c r="A224" s="17" t="s">
        <v>6336</v>
      </c>
      <c r="B224" s="18" t="s">
        <v>6337</v>
      </c>
      <c r="C224" s="17" t="s">
        <v>271</v>
      </c>
      <c r="D224" s="19">
        <v>61.59</v>
      </c>
      <c r="F224" s="3" t="str">
        <f t="shared" si="3"/>
        <v>C2797</v>
      </c>
    </row>
    <row r="225" spans="1:6" x14ac:dyDescent="0.2">
      <c r="A225" s="14" t="s">
        <v>6338</v>
      </c>
      <c r="B225" s="15"/>
      <c r="C225" s="14">
        <v>0</v>
      </c>
      <c r="D225" s="16">
        <v>529.27</v>
      </c>
      <c r="F225" s="3" t="str">
        <f t="shared" si="3"/>
        <v>CARGA,TRANSPORTE E DESCARGA DE MATERIAL</v>
      </c>
    </row>
    <row r="226" spans="1:6" x14ac:dyDescent="0.2">
      <c r="A226" s="17" t="s">
        <v>6339</v>
      </c>
      <c r="B226" s="18" t="s">
        <v>6340</v>
      </c>
      <c r="C226" s="17" t="s">
        <v>271</v>
      </c>
      <c r="D226" s="19">
        <v>28.38</v>
      </c>
      <c r="F226" s="3" t="str">
        <f t="shared" si="3"/>
        <v>C0702</v>
      </c>
    </row>
    <row r="227" spans="1:6" x14ac:dyDescent="0.2">
      <c r="A227" s="17" t="s">
        <v>6341</v>
      </c>
      <c r="B227" s="18" t="s">
        <v>6342</v>
      </c>
      <c r="C227" s="17" t="s">
        <v>271</v>
      </c>
      <c r="D227" s="19">
        <v>29.56</v>
      </c>
      <c r="F227" s="3" t="str">
        <f t="shared" si="3"/>
        <v>C0706</v>
      </c>
    </row>
    <row r="228" spans="1:6" x14ac:dyDescent="0.2">
      <c r="A228" s="17" t="s">
        <v>6343</v>
      </c>
      <c r="B228" s="18" t="s">
        <v>6344</v>
      </c>
      <c r="C228" s="17" t="s">
        <v>271</v>
      </c>
      <c r="D228" s="19">
        <v>23.65</v>
      </c>
      <c r="F228" s="3" t="str">
        <f t="shared" si="3"/>
        <v>C0707</v>
      </c>
    </row>
    <row r="229" spans="1:6" x14ac:dyDescent="0.2">
      <c r="A229" s="17" t="s">
        <v>6345</v>
      </c>
      <c r="B229" s="18" t="s">
        <v>6346</v>
      </c>
      <c r="C229" s="17" t="s">
        <v>271</v>
      </c>
      <c r="D229" s="19">
        <v>4.58</v>
      </c>
      <c r="F229" s="3" t="str">
        <f t="shared" si="3"/>
        <v>C0708</v>
      </c>
    </row>
    <row r="230" spans="1:6" x14ac:dyDescent="0.2">
      <c r="A230" s="17" t="s">
        <v>6347</v>
      </c>
      <c r="B230" s="18" t="s">
        <v>6348</v>
      </c>
      <c r="C230" s="17" t="s">
        <v>271</v>
      </c>
      <c r="D230" s="19">
        <v>4.8899999999999997</v>
      </c>
      <c r="F230" s="3" t="str">
        <f t="shared" si="3"/>
        <v>C0709</v>
      </c>
    </row>
    <row r="231" spans="1:6" x14ac:dyDescent="0.2">
      <c r="A231" s="17" t="s">
        <v>6349</v>
      </c>
      <c r="B231" s="18" t="s">
        <v>6350</v>
      </c>
      <c r="C231" s="17" t="s">
        <v>271</v>
      </c>
      <c r="D231" s="19">
        <v>4.32</v>
      </c>
      <c r="F231" s="3" t="str">
        <f t="shared" si="3"/>
        <v>C0710</v>
      </c>
    </row>
    <row r="232" spans="1:6" x14ac:dyDescent="0.2">
      <c r="A232" s="17" t="s">
        <v>6351</v>
      </c>
      <c r="B232" s="18" t="s">
        <v>6352</v>
      </c>
      <c r="C232" s="17" t="s">
        <v>6353</v>
      </c>
      <c r="D232" s="19">
        <v>1.34</v>
      </c>
      <c r="F232" s="3" t="str">
        <f t="shared" si="3"/>
        <v>C2987</v>
      </c>
    </row>
    <row r="233" spans="1:6" x14ac:dyDescent="0.2">
      <c r="A233" s="17" t="s">
        <v>6354</v>
      </c>
      <c r="B233" s="18" t="s">
        <v>6355</v>
      </c>
      <c r="C233" s="17" t="s">
        <v>271</v>
      </c>
      <c r="D233" s="19">
        <v>5.78</v>
      </c>
      <c r="F233" s="3" t="str">
        <f t="shared" si="3"/>
        <v>C2529</v>
      </c>
    </row>
    <row r="234" spans="1:6" x14ac:dyDescent="0.2">
      <c r="A234" s="17" t="s">
        <v>6356</v>
      </c>
      <c r="B234" s="18" t="s">
        <v>6357</v>
      </c>
      <c r="C234" s="17" t="s">
        <v>271</v>
      </c>
      <c r="D234" s="19">
        <v>6.43</v>
      </c>
      <c r="F234" s="3" t="str">
        <f t="shared" si="3"/>
        <v>C2531</v>
      </c>
    </row>
    <row r="235" spans="1:6" x14ac:dyDescent="0.2">
      <c r="A235" s="17" t="s">
        <v>6358</v>
      </c>
      <c r="B235" s="18" t="s">
        <v>6359</v>
      </c>
      <c r="C235" s="17" t="s">
        <v>271</v>
      </c>
      <c r="D235" s="19">
        <v>32.17</v>
      </c>
      <c r="F235" s="3" t="str">
        <f t="shared" si="3"/>
        <v>C2533</v>
      </c>
    </row>
    <row r="236" spans="1:6" x14ac:dyDescent="0.2">
      <c r="A236" s="17" t="s">
        <v>6360</v>
      </c>
      <c r="B236" s="18" t="s">
        <v>6361</v>
      </c>
      <c r="C236" s="17" t="s">
        <v>271</v>
      </c>
      <c r="D236" s="19">
        <v>38.6</v>
      </c>
      <c r="F236" s="3" t="str">
        <f t="shared" si="3"/>
        <v>C2530</v>
      </c>
    </row>
    <row r="237" spans="1:6" x14ac:dyDescent="0.2">
      <c r="A237" s="17" t="s">
        <v>6362</v>
      </c>
      <c r="B237" s="18" t="s">
        <v>6363</v>
      </c>
      <c r="C237" s="17" t="s">
        <v>271</v>
      </c>
      <c r="D237" s="19">
        <v>57.9</v>
      </c>
      <c r="F237" s="3" t="str">
        <f t="shared" si="3"/>
        <v>C2532</v>
      </c>
    </row>
    <row r="238" spans="1:6" x14ac:dyDescent="0.2">
      <c r="A238" s="17" t="s">
        <v>6364</v>
      </c>
      <c r="B238" s="18" t="s">
        <v>6365</v>
      </c>
      <c r="C238" s="17" t="s">
        <v>271</v>
      </c>
      <c r="D238" s="19">
        <v>46.15</v>
      </c>
      <c r="F238" s="3" t="str">
        <f t="shared" si="3"/>
        <v>C2536</v>
      </c>
    </row>
    <row r="239" spans="1:6" x14ac:dyDescent="0.2">
      <c r="A239" s="17" t="s">
        <v>6366</v>
      </c>
      <c r="B239" s="18" t="s">
        <v>6367</v>
      </c>
      <c r="C239" s="17" t="s">
        <v>271</v>
      </c>
      <c r="D239" s="19">
        <v>57.23</v>
      </c>
      <c r="F239" s="3" t="str">
        <f t="shared" si="3"/>
        <v>C2537</v>
      </c>
    </row>
    <row r="240" spans="1:6" x14ac:dyDescent="0.2">
      <c r="A240" s="17" t="s">
        <v>6368</v>
      </c>
      <c r="B240" s="18" t="s">
        <v>6369</v>
      </c>
      <c r="C240" s="17" t="s">
        <v>271</v>
      </c>
      <c r="D240" s="19">
        <v>75.69</v>
      </c>
      <c r="F240" s="3" t="str">
        <f t="shared" si="3"/>
        <v>C2535</v>
      </c>
    </row>
    <row r="241" spans="1:6" x14ac:dyDescent="0.2">
      <c r="A241" s="17" t="s">
        <v>6370</v>
      </c>
      <c r="B241" s="18" t="s">
        <v>6371</v>
      </c>
      <c r="C241" s="17" t="s">
        <v>271</v>
      </c>
      <c r="D241" s="19">
        <v>33.229999999999997</v>
      </c>
      <c r="F241" s="3" t="str">
        <f t="shared" si="3"/>
        <v>C2538</v>
      </c>
    </row>
    <row r="242" spans="1:6" x14ac:dyDescent="0.2">
      <c r="A242" s="17" t="s">
        <v>6372</v>
      </c>
      <c r="B242" s="18" t="s">
        <v>6373</v>
      </c>
      <c r="C242" s="17" t="s">
        <v>271</v>
      </c>
      <c r="D242" s="19">
        <v>79.38</v>
      </c>
      <c r="F242" s="3" t="str">
        <f t="shared" si="3"/>
        <v>C2539</v>
      </c>
    </row>
    <row r="243" spans="1:6" x14ac:dyDescent="0.2">
      <c r="A243" s="14" t="s">
        <v>6374</v>
      </c>
      <c r="B243" s="15"/>
      <c r="C243" s="14">
        <v>0</v>
      </c>
      <c r="D243" s="16">
        <v>1423.35</v>
      </c>
      <c r="F243" s="3" t="str">
        <f t="shared" si="3"/>
        <v>ESCAVAÇÃO, CARGA, TRANSPORTE E DESCARGA DE MATERIAL</v>
      </c>
    </row>
    <row r="244" spans="1:6" x14ac:dyDescent="0.2">
      <c r="A244" s="17" t="s">
        <v>6375</v>
      </c>
      <c r="B244" s="18" t="s">
        <v>6376</v>
      </c>
      <c r="C244" s="17" t="s">
        <v>271</v>
      </c>
      <c r="D244" s="19">
        <v>7.34</v>
      </c>
      <c r="F244" s="3" t="str">
        <f t="shared" si="3"/>
        <v>C3131</v>
      </c>
    </row>
    <row r="245" spans="1:6" x14ac:dyDescent="0.2">
      <c r="A245" s="17" t="s">
        <v>6377</v>
      </c>
      <c r="B245" s="18" t="s">
        <v>6378</v>
      </c>
      <c r="C245" s="17" t="s">
        <v>271</v>
      </c>
      <c r="D245" s="19">
        <v>10.17</v>
      </c>
      <c r="F245" s="3" t="str">
        <f t="shared" si="3"/>
        <v>C3182</v>
      </c>
    </row>
    <row r="246" spans="1:6" x14ac:dyDescent="0.2">
      <c r="A246" s="17" t="s">
        <v>6379</v>
      </c>
      <c r="B246" s="18" t="s">
        <v>6380</v>
      </c>
      <c r="C246" s="17" t="s">
        <v>271</v>
      </c>
      <c r="D246" s="19">
        <v>11.38</v>
      </c>
      <c r="F246" s="3" t="str">
        <f t="shared" si="3"/>
        <v>C3178</v>
      </c>
    </row>
    <row r="247" spans="1:6" x14ac:dyDescent="0.2">
      <c r="A247" s="17" t="s">
        <v>6381</v>
      </c>
      <c r="B247" s="18" t="s">
        <v>6382</v>
      </c>
      <c r="C247" s="17" t="s">
        <v>271</v>
      </c>
      <c r="D247" s="19">
        <v>12.04</v>
      </c>
      <c r="F247" s="3" t="str">
        <f t="shared" si="3"/>
        <v>C3180</v>
      </c>
    </row>
    <row r="248" spans="1:6" x14ac:dyDescent="0.2">
      <c r="A248" s="17" t="s">
        <v>6383</v>
      </c>
      <c r="B248" s="18" t="s">
        <v>6384</v>
      </c>
      <c r="C248" s="17" t="s">
        <v>271</v>
      </c>
      <c r="D248" s="19">
        <v>13.36</v>
      </c>
      <c r="F248" s="3" t="str">
        <f t="shared" si="3"/>
        <v>C3169</v>
      </c>
    </row>
    <row r="249" spans="1:6" x14ac:dyDescent="0.2">
      <c r="A249" s="17" t="s">
        <v>6385</v>
      </c>
      <c r="B249" s="18" t="s">
        <v>6386</v>
      </c>
      <c r="C249" s="17" t="s">
        <v>271</v>
      </c>
      <c r="D249" s="19">
        <v>14.08</v>
      </c>
      <c r="F249" s="3" t="str">
        <f t="shared" si="3"/>
        <v>C3181</v>
      </c>
    </row>
    <row r="250" spans="1:6" x14ac:dyDescent="0.2">
      <c r="A250" s="17" t="s">
        <v>6387</v>
      </c>
      <c r="B250" s="18" t="s">
        <v>6388</v>
      </c>
      <c r="C250" s="17" t="s">
        <v>271</v>
      </c>
      <c r="D250" s="19">
        <v>14.36</v>
      </c>
      <c r="F250" s="3" t="str">
        <f t="shared" si="3"/>
        <v>C3175</v>
      </c>
    </row>
    <row r="251" spans="1:6" x14ac:dyDescent="0.2">
      <c r="A251" s="17" t="s">
        <v>6389</v>
      </c>
      <c r="B251" s="18" t="s">
        <v>6390</v>
      </c>
      <c r="C251" s="17" t="s">
        <v>271</v>
      </c>
      <c r="D251" s="19">
        <v>15.64</v>
      </c>
      <c r="F251" s="3" t="str">
        <f t="shared" si="3"/>
        <v>C3165</v>
      </c>
    </row>
    <row r="252" spans="1:6" x14ac:dyDescent="0.2">
      <c r="A252" s="17" t="s">
        <v>6391</v>
      </c>
      <c r="B252" s="18" t="s">
        <v>6392</v>
      </c>
      <c r="C252" s="17" t="s">
        <v>271</v>
      </c>
      <c r="D252" s="19">
        <v>16.27</v>
      </c>
      <c r="F252" s="3" t="str">
        <f t="shared" si="3"/>
        <v>C3176</v>
      </c>
    </row>
    <row r="253" spans="1:6" x14ac:dyDescent="0.2">
      <c r="A253" s="17" t="s">
        <v>6393</v>
      </c>
      <c r="B253" s="18" t="s">
        <v>6394</v>
      </c>
      <c r="C253" s="17" t="s">
        <v>271</v>
      </c>
      <c r="D253" s="19">
        <v>17.48</v>
      </c>
      <c r="F253" s="3" t="str">
        <f t="shared" si="3"/>
        <v>C3177</v>
      </c>
    </row>
    <row r="254" spans="1:6" x14ac:dyDescent="0.2">
      <c r="A254" s="17" t="s">
        <v>6395</v>
      </c>
      <c r="B254" s="18" t="s">
        <v>6396</v>
      </c>
      <c r="C254" s="17" t="s">
        <v>271</v>
      </c>
      <c r="D254" s="19">
        <v>18.149999999999999</v>
      </c>
      <c r="F254" s="3" t="str">
        <f t="shared" si="3"/>
        <v>C3166</v>
      </c>
    </row>
    <row r="255" spans="1:6" x14ac:dyDescent="0.2">
      <c r="A255" s="17" t="s">
        <v>6397</v>
      </c>
      <c r="B255" s="18" t="s">
        <v>6398</v>
      </c>
      <c r="C255" s="17" t="s">
        <v>271</v>
      </c>
      <c r="D255" s="19">
        <v>18.649999999999999</v>
      </c>
      <c r="F255" s="3" t="str">
        <f t="shared" si="3"/>
        <v>C3167</v>
      </c>
    </row>
    <row r="256" spans="1:6" x14ac:dyDescent="0.2">
      <c r="A256" s="17" t="s">
        <v>6399</v>
      </c>
      <c r="B256" s="18" t="s">
        <v>6400</v>
      </c>
      <c r="C256" s="17" t="s">
        <v>271</v>
      </c>
      <c r="D256" s="19">
        <v>21.61</v>
      </c>
      <c r="F256" s="3" t="str">
        <f t="shared" si="3"/>
        <v>C3168</v>
      </c>
    </row>
    <row r="257" spans="1:6" x14ac:dyDescent="0.2">
      <c r="A257" s="17" t="s">
        <v>6401</v>
      </c>
      <c r="B257" s="18" t="s">
        <v>6402</v>
      </c>
      <c r="C257" s="17" t="s">
        <v>271</v>
      </c>
      <c r="D257" s="19">
        <v>24.13</v>
      </c>
      <c r="F257" s="3" t="str">
        <f t="shared" si="3"/>
        <v>C3179</v>
      </c>
    </row>
    <row r="258" spans="1:6" x14ac:dyDescent="0.2">
      <c r="A258" s="17" t="s">
        <v>6403</v>
      </c>
      <c r="B258" s="18" t="s">
        <v>6404</v>
      </c>
      <c r="C258" s="17" t="s">
        <v>271</v>
      </c>
      <c r="D258" s="19">
        <v>13.41</v>
      </c>
      <c r="F258" s="3" t="str">
        <f t="shared" ref="F258:F321" si="4">A258</f>
        <v>C3192</v>
      </c>
    </row>
    <row r="259" spans="1:6" x14ac:dyDescent="0.2">
      <c r="A259" s="17" t="s">
        <v>6405</v>
      </c>
      <c r="B259" s="18" t="s">
        <v>6406</v>
      </c>
      <c r="C259" s="17" t="s">
        <v>271</v>
      </c>
      <c r="D259" s="19">
        <v>14</v>
      </c>
      <c r="F259" s="3" t="str">
        <f t="shared" si="4"/>
        <v>C3187</v>
      </c>
    </row>
    <row r="260" spans="1:6" x14ac:dyDescent="0.2">
      <c r="A260" s="17" t="s">
        <v>6407</v>
      </c>
      <c r="B260" s="18" t="s">
        <v>6408</v>
      </c>
      <c r="C260" s="17" t="s">
        <v>271</v>
      </c>
      <c r="D260" s="19">
        <v>15.72</v>
      </c>
      <c r="F260" s="3" t="str">
        <f t="shared" si="4"/>
        <v>C3189</v>
      </c>
    </row>
    <row r="261" spans="1:6" x14ac:dyDescent="0.2">
      <c r="A261" s="17" t="s">
        <v>6409</v>
      </c>
      <c r="B261" s="18" t="s">
        <v>6410</v>
      </c>
      <c r="C261" s="17" t="s">
        <v>271</v>
      </c>
      <c r="D261" s="19">
        <v>16.43</v>
      </c>
      <c r="F261" s="3" t="str">
        <f t="shared" si="4"/>
        <v>C3190</v>
      </c>
    </row>
    <row r="262" spans="1:6" x14ac:dyDescent="0.2">
      <c r="A262" s="17" t="s">
        <v>6411</v>
      </c>
      <c r="B262" s="18" t="s">
        <v>6412</v>
      </c>
      <c r="C262" s="17" t="s">
        <v>271</v>
      </c>
      <c r="D262" s="19">
        <v>17.190000000000001</v>
      </c>
      <c r="F262" s="3" t="str">
        <f t="shared" si="4"/>
        <v>C3191</v>
      </c>
    </row>
    <row r="263" spans="1:6" x14ac:dyDescent="0.2">
      <c r="A263" s="17" t="s">
        <v>6413</v>
      </c>
      <c r="B263" s="18" t="s">
        <v>6414</v>
      </c>
      <c r="C263" s="17" t="s">
        <v>271</v>
      </c>
      <c r="D263" s="19">
        <v>18.5</v>
      </c>
      <c r="F263" s="3" t="str">
        <f t="shared" si="4"/>
        <v>C3170</v>
      </c>
    </row>
    <row r="264" spans="1:6" x14ac:dyDescent="0.2">
      <c r="A264" s="17" t="s">
        <v>6415</v>
      </c>
      <c r="B264" s="18" t="s">
        <v>6416</v>
      </c>
      <c r="C264" s="17" t="s">
        <v>271</v>
      </c>
      <c r="D264" s="19">
        <v>19.21</v>
      </c>
      <c r="F264" s="3" t="str">
        <f t="shared" si="4"/>
        <v>C3183</v>
      </c>
    </row>
    <row r="265" spans="1:6" x14ac:dyDescent="0.2">
      <c r="A265" s="17" t="s">
        <v>6417</v>
      </c>
      <c r="B265" s="18" t="s">
        <v>6418</v>
      </c>
      <c r="C265" s="17" t="s">
        <v>271</v>
      </c>
      <c r="D265" s="19">
        <v>19.920000000000002</v>
      </c>
      <c r="F265" s="3" t="str">
        <f t="shared" si="4"/>
        <v>C3184</v>
      </c>
    </row>
    <row r="266" spans="1:6" x14ac:dyDescent="0.2">
      <c r="A266" s="17" t="s">
        <v>6419</v>
      </c>
      <c r="B266" s="18" t="s">
        <v>6420</v>
      </c>
      <c r="C266" s="17" t="s">
        <v>271</v>
      </c>
      <c r="D266" s="19">
        <v>21.53</v>
      </c>
      <c r="F266" s="3" t="str">
        <f t="shared" si="4"/>
        <v>C3185</v>
      </c>
    </row>
    <row r="267" spans="1:6" x14ac:dyDescent="0.2">
      <c r="A267" s="17" t="s">
        <v>6421</v>
      </c>
      <c r="B267" s="18" t="s">
        <v>6422</v>
      </c>
      <c r="C267" s="17" t="s">
        <v>271</v>
      </c>
      <c r="D267" s="19">
        <v>22.21</v>
      </c>
      <c r="F267" s="3" t="str">
        <f t="shared" si="4"/>
        <v>C3186</v>
      </c>
    </row>
    <row r="268" spans="1:6" x14ac:dyDescent="0.2">
      <c r="A268" s="17" t="s">
        <v>6423</v>
      </c>
      <c r="B268" s="18" t="s">
        <v>6424</v>
      </c>
      <c r="C268" s="17" t="s">
        <v>271</v>
      </c>
      <c r="D268" s="19">
        <v>22.8</v>
      </c>
      <c r="F268" s="3" t="str">
        <f t="shared" si="4"/>
        <v>C3171</v>
      </c>
    </row>
    <row r="269" spans="1:6" x14ac:dyDescent="0.2">
      <c r="A269" s="17" t="s">
        <v>6425</v>
      </c>
      <c r="B269" s="18" t="s">
        <v>6426</v>
      </c>
      <c r="C269" s="17" t="s">
        <v>271</v>
      </c>
      <c r="D269" s="19">
        <v>25.61</v>
      </c>
      <c r="F269" s="3" t="str">
        <f t="shared" si="4"/>
        <v>C3188</v>
      </c>
    </row>
    <row r="270" spans="1:6" x14ac:dyDescent="0.2">
      <c r="A270" s="17" t="s">
        <v>6427</v>
      </c>
      <c r="B270" s="18" t="s">
        <v>6428</v>
      </c>
      <c r="C270" s="17" t="s">
        <v>271</v>
      </c>
      <c r="D270" s="19">
        <v>28.69</v>
      </c>
      <c r="F270" s="3" t="str">
        <f t="shared" si="4"/>
        <v>C3172</v>
      </c>
    </row>
    <row r="271" spans="1:6" x14ac:dyDescent="0.2">
      <c r="A271" s="17" t="s">
        <v>6429</v>
      </c>
      <c r="B271" s="18" t="s">
        <v>6430</v>
      </c>
      <c r="C271" s="17" t="s">
        <v>271</v>
      </c>
      <c r="D271" s="19">
        <v>49.31</v>
      </c>
      <c r="F271" s="3" t="str">
        <f t="shared" si="4"/>
        <v>C3205</v>
      </c>
    </row>
    <row r="272" spans="1:6" x14ac:dyDescent="0.2">
      <c r="A272" s="17" t="s">
        <v>6431</v>
      </c>
      <c r="B272" s="18" t="s">
        <v>6432</v>
      </c>
      <c r="C272" s="17" t="s">
        <v>271</v>
      </c>
      <c r="D272" s="19">
        <v>56.52</v>
      </c>
      <c r="F272" s="3" t="str">
        <f t="shared" si="4"/>
        <v>C3202</v>
      </c>
    </row>
    <row r="273" spans="1:6" x14ac:dyDescent="0.2">
      <c r="A273" s="17" t="s">
        <v>6433</v>
      </c>
      <c r="B273" s="18" t="s">
        <v>6434</v>
      </c>
      <c r="C273" s="17" t="s">
        <v>271</v>
      </c>
      <c r="D273" s="19">
        <v>56.76</v>
      </c>
      <c r="F273" s="3" t="str">
        <f t="shared" si="4"/>
        <v>C3194</v>
      </c>
    </row>
    <row r="274" spans="1:6" x14ac:dyDescent="0.2">
      <c r="A274" s="17" t="s">
        <v>6435</v>
      </c>
      <c r="B274" s="18" t="s">
        <v>6436</v>
      </c>
      <c r="C274" s="17" t="s">
        <v>271</v>
      </c>
      <c r="D274" s="19">
        <v>57.5</v>
      </c>
      <c r="F274" s="3" t="str">
        <f t="shared" si="4"/>
        <v>C3200</v>
      </c>
    </row>
    <row r="275" spans="1:6" x14ac:dyDescent="0.2">
      <c r="A275" s="17" t="s">
        <v>6437</v>
      </c>
      <c r="B275" s="18" t="s">
        <v>6438</v>
      </c>
      <c r="C275" s="17" t="s">
        <v>271</v>
      </c>
      <c r="D275" s="19">
        <v>58.54</v>
      </c>
      <c r="F275" s="3" t="str">
        <f t="shared" si="4"/>
        <v>C3201</v>
      </c>
    </row>
    <row r="276" spans="1:6" x14ac:dyDescent="0.2">
      <c r="A276" s="17" t="s">
        <v>6439</v>
      </c>
      <c r="B276" s="18" t="s">
        <v>6440</v>
      </c>
      <c r="C276" s="17" t="s">
        <v>271</v>
      </c>
      <c r="D276" s="19">
        <v>61.23</v>
      </c>
      <c r="F276" s="3" t="str">
        <f t="shared" si="4"/>
        <v>C3203</v>
      </c>
    </row>
    <row r="277" spans="1:6" x14ac:dyDescent="0.2">
      <c r="A277" s="17" t="s">
        <v>6441</v>
      </c>
      <c r="B277" s="18" t="s">
        <v>6442</v>
      </c>
      <c r="C277" s="17" t="s">
        <v>271</v>
      </c>
      <c r="D277" s="19">
        <v>62.25</v>
      </c>
      <c r="F277" s="3" t="str">
        <f t="shared" si="4"/>
        <v>C3204</v>
      </c>
    </row>
    <row r="278" spans="1:6" x14ac:dyDescent="0.2">
      <c r="A278" s="17" t="s">
        <v>6443</v>
      </c>
      <c r="B278" s="18" t="s">
        <v>6444</v>
      </c>
      <c r="C278" s="17" t="s">
        <v>271</v>
      </c>
      <c r="D278" s="19">
        <v>62.71</v>
      </c>
      <c r="F278" s="3" t="str">
        <f t="shared" si="4"/>
        <v>C3193</v>
      </c>
    </row>
    <row r="279" spans="1:6" x14ac:dyDescent="0.2">
      <c r="A279" s="17" t="s">
        <v>6445</v>
      </c>
      <c r="B279" s="18" t="s">
        <v>6446</v>
      </c>
      <c r="C279" s="17" t="s">
        <v>271</v>
      </c>
      <c r="D279" s="19">
        <v>65.22</v>
      </c>
      <c r="F279" s="3" t="str">
        <f t="shared" si="4"/>
        <v>C3195</v>
      </c>
    </row>
    <row r="280" spans="1:6" x14ac:dyDescent="0.2">
      <c r="A280" s="17" t="s">
        <v>6447</v>
      </c>
      <c r="B280" s="18" t="s">
        <v>6448</v>
      </c>
      <c r="C280" s="17" t="s">
        <v>271</v>
      </c>
      <c r="D280" s="19">
        <v>66.2</v>
      </c>
      <c r="F280" s="3" t="str">
        <f t="shared" si="4"/>
        <v>C3196</v>
      </c>
    </row>
    <row r="281" spans="1:6" x14ac:dyDescent="0.2">
      <c r="A281" s="17" t="s">
        <v>6449</v>
      </c>
      <c r="B281" s="18" t="s">
        <v>6450</v>
      </c>
      <c r="C281" s="17" t="s">
        <v>271</v>
      </c>
      <c r="D281" s="19">
        <v>67.06</v>
      </c>
      <c r="F281" s="3" t="str">
        <f t="shared" si="4"/>
        <v>C3197</v>
      </c>
    </row>
    <row r="282" spans="1:6" x14ac:dyDescent="0.2">
      <c r="A282" s="17" t="s">
        <v>6451</v>
      </c>
      <c r="B282" s="18" t="s">
        <v>6452</v>
      </c>
      <c r="C282" s="17" t="s">
        <v>271</v>
      </c>
      <c r="D282" s="19">
        <v>68.040000000000006</v>
      </c>
      <c r="F282" s="3" t="str">
        <f t="shared" si="4"/>
        <v>C3198</v>
      </c>
    </row>
    <row r="283" spans="1:6" x14ac:dyDescent="0.2">
      <c r="A283" s="17" t="s">
        <v>6453</v>
      </c>
      <c r="B283" s="18" t="s">
        <v>6454</v>
      </c>
      <c r="C283" s="17" t="s">
        <v>271</v>
      </c>
      <c r="D283" s="19">
        <v>70.430000000000007</v>
      </c>
      <c r="F283" s="3" t="str">
        <f t="shared" si="4"/>
        <v>C3199</v>
      </c>
    </row>
    <row r="284" spans="1:6" x14ac:dyDescent="0.2">
      <c r="A284" s="17" t="s">
        <v>6455</v>
      </c>
      <c r="B284" s="18" t="s">
        <v>6456</v>
      </c>
      <c r="C284" s="17" t="s">
        <v>271</v>
      </c>
      <c r="D284" s="19">
        <v>74.47</v>
      </c>
      <c r="F284" s="3" t="str">
        <f t="shared" si="4"/>
        <v>C3173</v>
      </c>
    </row>
    <row r="285" spans="1:6" x14ac:dyDescent="0.2">
      <c r="A285" s="17" t="s">
        <v>6457</v>
      </c>
      <c r="B285" s="18" t="s">
        <v>6458</v>
      </c>
      <c r="C285" s="17" t="s">
        <v>271</v>
      </c>
      <c r="D285" s="19">
        <v>77.23</v>
      </c>
      <c r="F285" s="3" t="str">
        <f t="shared" si="4"/>
        <v>C3174</v>
      </c>
    </row>
    <row r="286" spans="1:6" x14ac:dyDescent="0.2">
      <c r="A286" s="14" t="s">
        <v>6459</v>
      </c>
      <c r="B286" s="15"/>
      <c r="C286" s="14">
        <v>0</v>
      </c>
      <c r="D286" s="16">
        <v>17711.41</v>
      </c>
      <c r="F286" s="3" t="str">
        <f t="shared" si="4"/>
        <v>ESCAVAÇÕES EM VALAS,VALETAS,CANAIS E FUNDAÇÕES</v>
      </c>
    </row>
    <row r="287" spans="1:6" x14ac:dyDescent="0.2">
      <c r="A287" s="17" t="s">
        <v>6460</v>
      </c>
      <c r="B287" s="18" t="s">
        <v>6461</v>
      </c>
      <c r="C287" s="17" t="s">
        <v>271</v>
      </c>
      <c r="D287" s="19">
        <v>899.5</v>
      </c>
      <c r="F287" s="3" t="str">
        <f t="shared" si="4"/>
        <v>C3280</v>
      </c>
    </row>
    <row r="288" spans="1:6" x14ac:dyDescent="0.2">
      <c r="A288" s="17" t="s">
        <v>6462</v>
      </c>
      <c r="B288" s="18" t="s">
        <v>6463</v>
      </c>
      <c r="C288" s="17" t="s">
        <v>271</v>
      </c>
      <c r="D288" s="19">
        <v>1005.54</v>
      </c>
      <c r="F288" s="3" t="str">
        <f t="shared" si="4"/>
        <v>C3281</v>
      </c>
    </row>
    <row r="289" spans="1:6" x14ac:dyDescent="0.2">
      <c r="A289" s="17" t="s">
        <v>6464</v>
      </c>
      <c r="B289" s="18" t="s">
        <v>6465</v>
      </c>
      <c r="C289" s="17" t="s">
        <v>271</v>
      </c>
      <c r="D289" s="19">
        <v>608.27</v>
      </c>
      <c r="F289" s="3" t="str">
        <f t="shared" si="4"/>
        <v>C3282</v>
      </c>
    </row>
    <row r="290" spans="1:6" x14ac:dyDescent="0.2">
      <c r="A290" s="17" t="s">
        <v>6466</v>
      </c>
      <c r="B290" s="18" t="s">
        <v>6467</v>
      </c>
      <c r="C290" s="17" t="s">
        <v>271</v>
      </c>
      <c r="D290" s="19">
        <v>180.23</v>
      </c>
      <c r="F290" s="3" t="str">
        <f t="shared" si="4"/>
        <v>C2777</v>
      </c>
    </row>
    <row r="291" spans="1:6" ht="22.5" x14ac:dyDescent="0.2">
      <c r="A291" s="17" t="s">
        <v>6468</v>
      </c>
      <c r="B291" s="18" t="s">
        <v>6469</v>
      </c>
      <c r="C291" s="17" t="s">
        <v>271</v>
      </c>
      <c r="D291" s="19">
        <v>862.43</v>
      </c>
      <c r="F291" s="3" t="str">
        <f t="shared" si="4"/>
        <v>C3206</v>
      </c>
    </row>
    <row r="292" spans="1:6" x14ac:dyDescent="0.2">
      <c r="A292" s="17">
        <v>0</v>
      </c>
      <c r="B292" s="18"/>
      <c r="C292" s="17">
        <v>0</v>
      </c>
      <c r="D292" s="19">
        <v>0</v>
      </c>
      <c r="F292" s="3">
        <f t="shared" si="4"/>
        <v>0</v>
      </c>
    </row>
    <row r="293" spans="1:6" ht="22.5" x14ac:dyDescent="0.2">
      <c r="A293" s="17" t="s">
        <v>6470</v>
      </c>
      <c r="B293" s="18" t="s">
        <v>6471</v>
      </c>
      <c r="C293" s="17" t="s">
        <v>271</v>
      </c>
      <c r="D293" s="19">
        <v>963.15</v>
      </c>
      <c r="F293" s="3" t="str">
        <f t="shared" si="4"/>
        <v>C3213</v>
      </c>
    </row>
    <row r="294" spans="1:6" x14ac:dyDescent="0.2">
      <c r="A294" s="17">
        <v>0</v>
      </c>
      <c r="B294" s="18"/>
      <c r="C294" s="17">
        <v>0</v>
      </c>
      <c r="D294" s="19">
        <v>0</v>
      </c>
      <c r="F294" s="3">
        <f t="shared" si="4"/>
        <v>0</v>
      </c>
    </row>
    <row r="295" spans="1:6" x14ac:dyDescent="0.2">
      <c r="A295" s="17" t="s">
        <v>6472</v>
      </c>
      <c r="B295" s="18" t="s">
        <v>6473</v>
      </c>
      <c r="C295" s="17" t="s">
        <v>271</v>
      </c>
      <c r="D295" s="19">
        <v>483.27</v>
      </c>
      <c r="F295" s="3" t="str">
        <f t="shared" si="4"/>
        <v>C3207</v>
      </c>
    </row>
    <row r="296" spans="1:6" x14ac:dyDescent="0.2">
      <c r="A296" s="17">
        <v>0</v>
      </c>
      <c r="B296" s="18"/>
      <c r="C296" s="17">
        <v>0</v>
      </c>
      <c r="D296" s="19">
        <v>0</v>
      </c>
      <c r="F296" s="3">
        <f t="shared" si="4"/>
        <v>0</v>
      </c>
    </row>
    <row r="297" spans="1:6" ht="22.5" x14ac:dyDescent="0.2">
      <c r="A297" s="17" t="s">
        <v>6474</v>
      </c>
      <c r="B297" s="18" t="s">
        <v>6475</v>
      </c>
      <c r="C297" s="17" t="s">
        <v>271</v>
      </c>
      <c r="D297" s="19">
        <v>85.25</v>
      </c>
      <c r="F297" s="3" t="str">
        <f t="shared" si="4"/>
        <v>C5012</v>
      </c>
    </row>
    <row r="298" spans="1:6" x14ac:dyDescent="0.2">
      <c r="A298" s="17">
        <v>0</v>
      </c>
      <c r="B298" s="18"/>
      <c r="C298" s="17">
        <v>0</v>
      </c>
      <c r="D298" s="19">
        <v>0</v>
      </c>
      <c r="F298" s="3">
        <f t="shared" si="4"/>
        <v>0</v>
      </c>
    </row>
    <row r="299" spans="1:6" x14ac:dyDescent="0.2">
      <c r="A299" s="17" t="s">
        <v>6476</v>
      </c>
      <c r="B299" s="18" t="s">
        <v>6477</v>
      </c>
      <c r="C299" s="17" t="s">
        <v>271</v>
      </c>
      <c r="D299" s="19">
        <v>81.7</v>
      </c>
      <c r="F299" s="3" t="str">
        <f t="shared" si="4"/>
        <v>C5177</v>
      </c>
    </row>
    <row r="300" spans="1:6" x14ac:dyDescent="0.2">
      <c r="A300" s="17">
        <v>0</v>
      </c>
      <c r="B300" s="18"/>
      <c r="C300" s="17">
        <v>0</v>
      </c>
      <c r="D300" s="19">
        <v>0</v>
      </c>
      <c r="F300" s="3">
        <f t="shared" si="4"/>
        <v>0</v>
      </c>
    </row>
    <row r="301" spans="1:6" x14ac:dyDescent="0.2">
      <c r="A301" s="17" t="s">
        <v>6478</v>
      </c>
      <c r="B301" s="18" t="s">
        <v>6479</v>
      </c>
      <c r="C301" s="17" t="s">
        <v>271</v>
      </c>
      <c r="D301" s="19">
        <v>85.47</v>
      </c>
      <c r="F301" s="3" t="str">
        <f t="shared" si="4"/>
        <v>C1255</v>
      </c>
    </row>
    <row r="302" spans="1:6" x14ac:dyDescent="0.2">
      <c r="A302" s="17" t="s">
        <v>6480</v>
      </c>
      <c r="B302" s="18" t="s">
        <v>6481</v>
      </c>
      <c r="C302" s="17" t="s">
        <v>271</v>
      </c>
      <c r="D302" s="19">
        <v>48.92</v>
      </c>
      <c r="F302" s="3" t="str">
        <f t="shared" si="4"/>
        <v>C2784</v>
      </c>
    </row>
    <row r="303" spans="1:6" x14ac:dyDescent="0.2">
      <c r="A303" s="17" t="s">
        <v>6482</v>
      </c>
      <c r="B303" s="18" t="s">
        <v>6483</v>
      </c>
      <c r="C303" s="17" t="s">
        <v>271</v>
      </c>
      <c r="D303" s="19">
        <v>64.61</v>
      </c>
      <c r="F303" s="3" t="str">
        <f t="shared" si="4"/>
        <v>C2781</v>
      </c>
    </row>
    <row r="304" spans="1:6" x14ac:dyDescent="0.2">
      <c r="A304" s="17" t="s">
        <v>6484</v>
      </c>
      <c r="B304" s="18" t="s">
        <v>6485</v>
      </c>
      <c r="C304" s="17" t="s">
        <v>271</v>
      </c>
      <c r="D304" s="19">
        <v>75.69</v>
      </c>
      <c r="F304" s="3" t="str">
        <f t="shared" si="4"/>
        <v>C2782</v>
      </c>
    </row>
    <row r="305" spans="1:6" x14ac:dyDescent="0.2">
      <c r="A305" s="17" t="s">
        <v>6486</v>
      </c>
      <c r="B305" s="18" t="s">
        <v>6487</v>
      </c>
      <c r="C305" s="17" t="s">
        <v>271</v>
      </c>
      <c r="D305" s="19">
        <v>88.61</v>
      </c>
      <c r="F305" s="3" t="str">
        <f t="shared" si="4"/>
        <v>C2783</v>
      </c>
    </row>
    <row r="306" spans="1:6" x14ac:dyDescent="0.2">
      <c r="A306" s="17" t="s">
        <v>6488</v>
      </c>
      <c r="B306" s="18" t="s">
        <v>6489</v>
      </c>
      <c r="C306" s="17" t="s">
        <v>271</v>
      </c>
      <c r="D306" s="19">
        <v>64.61</v>
      </c>
      <c r="F306" s="3" t="str">
        <f t="shared" si="4"/>
        <v>C2785</v>
      </c>
    </row>
    <row r="307" spans="1:6" x14ac:dyDescent="0.2">
      <c r="A307" s="17" t="s">
        <v>6490</v>
      </c>
      <c r="B307" s="18" t="s">
        <v>6491</v>
      </c>
      <c r="C307" s="17" t="s">
        <v>271</v>
      </c>
      <c r="D307" s="19">
        <v>97.65</v>
      </c>
      <c r="F307" s="3" t="str">
        <f t="shared" si="4"/>
        <v>C2786</v>
      </c>
    </row>
    <row r="308" spans="1:6" x14ac:dyDescent="0.2">
      <c r="A308" s="17" t="s">
        <v>6492</v>
      </c>
      <c r="B308" s="18" t="s">
        <v>6493</v>
      </c>
      <c r="C308" s="17" t="s">
        <v>271</v>
      </c>
      <c r="D308" s="19">
        <v>130.69999999999999</v>
      </c>
      <c r="F308" s="3" t="str">
        <f t="shared" si="4"/>
        <v>C2787</v>
      </c>
    </row>
    <row r="309" spans="1:6" x14ac:dyDescent="0.2">
      <c r="A309" s="17" t="s">
        <v>6494</v>
      </c>
      <c r="B309" s="18" t="s">
        <v>6495</v>
      </c>
      <c r="C309" s="17" t="s">
        <v>271</v>
      </c>
      <c r="D309" s="19">
        <v>163.92</v>
      </c>
      <c r="F309" s="3" t="str">
        <f t="shared" si="4"/>
        <v>C2788</v>
      </c>
    </row>
    <row r="310" spans="1:6" x14ac:dyDescent="0.2">
      <c r="A310" s="17" t="s">
        <v>6496</v>
      </c>
      <c r="B310" s="18" t="s">
        <v>6497</v>
      </c>
      <c r="C310" s="17" t="s">
        <v>271</v>
      </c>
      <c r="D310" s="19">
        <v>9.57</v>
      </c>
      <c r="F310" s="3" t="str">
        <f t="shared" si="4"/>
        <v>C2789</v>
      </c>
    </row>
    <row r="311" spans="1:6" x14ac:dyDescent="0.2">
      <c r="A311" s="17" t="s">
        <v>6498</v>
      </c>
      <c r="B311" s="18" t="s">
        <v>6499</v>
      </c>
      <c r="C311" s="17" t="s">
        <v>271</v>
      </c>
      <c r="D311" s="19">
        <v>12.68</v>
      </c>
      <c r="F311" s="3" t="str">
        <f t="shared" si="4"/>
        <v>C2790</v>
      </c>
    </row>
    <row r="312" spans="1:6" x14ac:dyDescent="0.2">
      <c r="A312" s="17" t="s">
        <v>6500</v>
      </c>
      <c r="B312" s="18" t="s">
        <v>6501</v>
      </c>
      <c r="C312" s="17" t="s">
        <v>271</v>
      </c>
      <c r="D312" s="19">
        <v>17.68</v>
      </c>
      <c r="F312" s="3" t="str">
        <f t="shared" si="4"/>
        <v>C2791</v>
      </c>
    </row>
    <row r="313" spans="1:6" x14ac:dyDescent="0.2">
      <c r="A313" s="17" t="s">
        <v>6502</v>
      </c>
      <c r="B313" s="18" t="s">
        <v>6503</v>
      </c>
      <c r="C313" s="17" t="s">
        <v>271</v>
      </c>
      <c r="D313" s="19">
        <v>56.51</v>
      </c>
      <c r="F313" s="3" t="str">
        <f t="shared" si="4"/>
        <v>C2792</v>
      </c>
    </row>
    <row r="314" spans="1:6" x14ac:dyDescent="0.2">
      <c r="A314" s="17" t="s">
        <v>6504</v>
      </c>
      <c r="B314" s="18" t="s">
        <v>6505</v>
      </c>
      <c r="C314" s="17" t="s">
        <v>271</v>
      </c>
      <c r="D314" s="19">
        <v>22.05</v>
      </c>
      <c r="F314" s="3" t="str">
        <f t="shared" si="4"/>
        <v>C2796</v>
      </c>
    </row>
    <row r="315" spans="1:6" x14ac:dyDescent="0.2">
      <c r="A315" s="17" t="s">
        <v>6506</v>
      </c>
      <c r="B315" s="18" t="s">
        <v>6507</v>
      </c>
      <c r="C315" s="17" t="s">
        <v>271</v>
      </c>
      <c r="D315" s="19">
        <v>32.270000000000003</v>
      </c>
      <c r="F315" s="3" t="str">
        <f t="shared" si="4"/>
        <v>C2793</v>
      </c>
    </row>
    <row r="316" spans="1:6" x14ac:dyDescent="0.2">
      <c r="A316" s="17" t="s">
        <v>6508</v>
      </c>
      <c r="B316" s="18" t="s">
        <v>6509</v>
      </c>
      <c r="C316" s="17" t="s">
        <v>271</v>
      </c>
      <c r="D316" s="19">
        <v>42.89</v>
      </c>
      <c r="F316" s="3" t="str">
        <f t="shared" si="4"/>
        <v>C2794</v>
      </c>
    </row>
    <row r="317" spans="1:6" x14ac:dyDescent="0.2">
      <c r="A317" s="17" t="s">
        <v>6510</v>
      </c>
      <c r="B317" s="18" t="s">
        <v>6511</v>
      </c>
      <c r="C317" s="17" t="s">
        <v>271</v>
      </c>
      <c r="D317" s="19">
        <v>84.63</v>
      </c>
      <c r="F317" s="3" t="str">
        <f t="shared" si="4"/>
        <v>C2795</v>
      </c>
    </row>
    <row r="318" spans="1:6" x14ac:dyDescent="0.2">
      <c r="A318" s="17" t="s">
        <v>6512</v>
      </c>
      <c r="B318" s="18" t="s">
        <v>6513</v>
      </c>
      <c r="C318" s="17" t="s">
        <v>0</v>
      </c>
      <c r="D318" s="19">
        <v>1714.35</v>
      </c>
      <c r="F318" s="3" t="str">
        <f t="shared" si="4"/>
        <v>C3474</v>
      </c>
    </row>
    <row r="319" spans="1:6" x14ac:dyDescent="0.2">
      <c r="A319" s="17" t="s">
        <v>6514</v>
      </c>
      <c r="B319" s="18" t="s">
        <v>6515</v>
      </c>
      <c r="C319" s="17" t="s">
        <v>0</v>
      </c>
      <c r="D319" s="19">
        <v>2320.81</v>
      </c>
      <c r="F319" s="3" t="str">
        <f t="shared" si="4"/>
        <v>C3475</v>
      </c>
    </row>
    <row r="320" spans="1:6" x14ac:dyDescent="0.2">
      <c r="A320" s="17" t="s">
        <v>6516</v>
      </c>
      <c r="B320" s="18" t="s">
        <v>6517</v>
      </c>
      <c r="C320" s="17" t="s">
        <v>0</v>
      </c>
      <c r="D320" s="19">
        <v>2814.1</v>
      </c>
      <c r="F320" s="3" t="str">
        <f t="shared" si="4"/>
        <v>C3476</v>
      </c>
    </row>
    <row r="321" spans="1:6" x14ac:dyDescent="0.2">
      <c r="A321" s="17" t="s">
        <v>6518</v>
      </c>
      <c r="B321" s="18" t="s">
        <v>6519</v>
      </c>
      <c r="C321" s="17" t="s">
        <v>0</v>
      </c>
      <c r="D321" s="19">
        <v>4594.3500000000004</v>
      </c>
      <c r="F321" s="3" t="str">
        <f t="shared" si="4"/>
        <v>C4218</v>
      </c>
    </row>
    <row r="322" spans="1:6" x14ac:dyDescent="0.2">
      <c r="A322" s="14" t="s">
        <v>6520</v>
      </c>
      <c r="B322" s="15"/>
      <c r="C322" s="14">
        <v>0</v>
      </c>
      <c r="D322" s="16">
        <v>671.41</v>
      </c>
      <c r="F322" s="3" t="str">
        <f t="shared" ref="F322:F385" si="5">A322</f>
        <v>ATERRO,REATERRO E COMPACTAÇÃO</v>
      </c>
    </row>
    <row r="323" spans="1:6" x14ac:dyDescent="0.2">
      <c r="A323" s="17" t="s">
        <v>6521</v>
      </c>
      <c r="B323" s="18" t="s">
        <v>6522</v>
      </c>
      <c r="C323" s="17" t="s">
        <v>255</v>
      </c>
      <c r="D323" s="19">
        <v>31.38</v>
      </c>
      <c r="F323" s="3" t="str">
        <f t="shared" si="5"/>
        <v>C0095</v>
      </c>
    </row>
    <row r="324" spans="1:6" x14ac:dyDescent="0.2">
      <c r="A324" s="17" t="s">
        <v>6523</v>
      </c>
      <c r="B324" s="18" t="s">
        <v>6524</v>
      </c>
      <c r="C324" s="17" t="s">
        <v>271</v>
      </c>
      <c r="D324" s="19">
        <v>104.47</v>
      </c>
      <c r="F324" s="3" t="str">
        <f t="shared" si="5"/>
        <v>C0328</v>
      </c>
    </row>
    <row r="325" spans="1:6" x14ac:dyDescent="0.2">
      <c r="A325" s="17" t="s">
        <v>6525</v>
      </c>
      <c r="B325" s="18" t="s">
        <v>6526</v>
      </c>
      <c r="C325" s="17" t="s">
        <v>271</v>
      </c>
      <c r="D325" s="19">
        <v>32.56</v>
      </c>
      <c r="F325" s="3" t="str">
        <f t="shared" si="5"/>
        <v>C0329</v>
      </c>
    </row>
    <row r="326" spans="1:6" x14ac:dyDescent="0.2">
      <c r="A326" s="17" t="s">
        <v>6527</v>
      </c>
      <c r="B326" s="18" t="s">
        <v>6528</v>
      </c>
      <c r="C326" s="17" t="s">
        <v>271</v>
      </c>
      <c r="D326" s="19">
        <v>108.38</v>
      </c>
      <c r="F326" s="3" t="str">
        <f t="shared" si="5"/>
        <v>C0330</v>
      </c>
    </row>
    <row r="327" spans="1:6" x14ac:dyDescent="0.2">
      <c r="A327" s="17" t="s">
        <v>6529</v>
      </c>
      <c r="B327" s="18" t="s">
        <v>6530</v>
      </c>
      <c r="C327" s="17" t="s">
        <v>271</v>
      </c>
      <c r="D327" s="19">
        <v>36.479999999999997</v>
      </c>
      <c r="F327" s="3" t="str">
        <f t="shared" si="5"/>
        <v>C0331</v>
      </c>
    </row>
    <row r="328" spans="1:6" ht="22.5" x14ac:dyDescent="0.2">
      <c r="A328" s="17" t="s">
        <v>6531</v>
      </c>
      <c r="B328" s="18" t="s">
        <v>6532</v>
      </c>
      <c r="C328" s="17" t="s">
        <v>271</v>
      </c>
      <c r="D328" s="19">
        <v>108.65</v>
      </c>
      <c r="F328" s="3" t="str">
        <f t="shared" si="5"/>
        <v>C4814</v>
      </c>
    </row>
    <row r="329" spans="1:6" x14ac:dyDescent="0.2">
      <c r="A329" s="17">
        <v>0</v>
      </c>
      <c r="B329" s="18"/>
      <c r="C329" s="17">
        <v>0</v>
      </c>
      <c r="D329" s="19">
        <v>0</v>
      </c>
      <c r="F329" s="3">
        <f t="shared" si="5"/>
        <v>0</v>
      </c>
    </row>
    <row r="330" spans="1:6" x14ac:dyDescent="0.2">
      <c r="A330" s="17" t="s">
        <v>6533</v>
      </c>
      <c r="B330" s="18" t="s">
        <v>6534</v>
      </c>
      <c r="C330" s="17" t="s">
        <v>271</v>
      </c>
      <c r="D330" s="19">
        <v>4.8099999999999996</v>
      </c>
      <c r="F330" s="3" t="str">
        <f t="shared" si="5"/>
        <v>C3145</v>
      </c>
    </row>
    <row r="331" spans="1:6" x14ac:dyDescent="0.2">
      <c r="A331" s="17" t="s">
        <v>6535</v>
      </c>
      <c r="B331" s="21" t="s">
        <v>6536</v>
      </c>
      <c r="C331" s="17" t="s">
        <v>271</v>
      </c>
      <c r="D331" s="19">
        <v>4.9400000000000004</v>
      </c>
      <c r="F331" s="3" t="str">
        <f t="shared" si="5"/>
        <v>C3146</v>
      </c>
    </row>
    <row r="332" spans="1:6" x14ac:dyDescent="0.2">
      <c r="A332" s="17" t="s">
        <v>6537</v>
      </c>
      <c r="B332" s="18" t="s">
        <v>6538</v>
      </c>
      <c r="C332" s="17" t="s">
        <v>271</v>
      </c>
      <c r="D332" s="19">
        <v>5.2</v>
      </c>
      <c r="F332" s="3" t="str">
        <f t="shared" si="5"/>
        <v>C4665</v>
      </c>
    </row>
    <row r="333" spans="1:6" x14ac:dyDescent="0.2">
      <c r="A333" s="17" t="s">
        <v>6539</v>
      </c>
      <c r="B333" s="18" t="s">
        <v>6540</v>
      </c>
      <c r="C333" s="17" t="s">
        <v>271</v>
      </c>
      <c r="D333" s="19">
        <v>5.69</v>
      </c>
      <c r="F333" s="3" t="str">
        <f t="shared" si="5"/>
        <v>C4666</v>
      </c>
    </row>
    <row r="334" spans="1:6" x14ac:dyDescent="0.2">
      <c r="A334" s="17" t="s">
        <v>6541</v>
      </c>
      <c r="B334" s="18" t="s">
        <v>6542</v>
      </c>
      <c r="C334" s="17" t="s">
        <v>271</v>
      </c>
      <c r="D334" s="19">
        <v>5.81</v>
      </c>
      <c r="F334" s="3" t="str">
        <f t="shared" si="5"/>
        <v>C4667</v>
      </c>
    </row>
    <row r="335" spans="1:6" x14ac:dyDescent="0.2">
      <c r="A335" s="17" t="s">
        <v>6543</v>
      </c>
      <c r="B335" s="18" t="s">
        <v>6544</v>
      </c>
      <c r="C335" s="17" t="s">
        <v>271</v>
      </c>
      <c r="D335" s="19">
        <v>5.94</v>
      </c>
      <c r="F335" s="3" t="str">
        <f t="shared" si="5"/>
        <v>C4668</v>
      </c>
    </row>
    <row r="336" spans="1:6" x14ac:dyDescent="0.2">
      <c r="A336" s="17" t="s">
        <v>6545</v>
      </c>
      <c r="B336" s="18" t="s">
        <v>6546</v>
      </c>
      <c r="C336" s="17" t="s">
        <v>255</v>
      </c>
      <c r="D336" s="19">
        <v>2.02</v>
      </c>
      <c r="F336" s="3" t="str">
        <f t="shared" si="5"/>
        <v>C0821</v>
      </c>
    </row>
    <row r="337" spans="1:6" x14ac:dyDescent="0.2">
      <c r="A337" s="17" t="s">
        <v>6547</v>
      </c>
      <c r="B337" s="18" t="s">
        <v>6548</v>
      </c>
      <c r="C337" s="17" t="s">
        <v>255</v>
      </c>
      <c r="D337" s="19">
        <v>1.24</v>
      </c>
      <c r="F337" s="3" t="str">
        <f t="shared" si="5"/>
        <v>C0822</v>
      </c>
    </row>
    <row r="338" spans="1:6" x14ac:dyDescent="0.2">
      <c r="A338" s="17" t="s">
        <v>6549</v>
      </c>
      <c r="B338" s="18" t="s">
        <v>6550</v>
      </c>
      <c r="C338" s="17" t="s">
        <v>271</v>
      </c>
      <c r="D338" s="19">
        <v>8.8800000000000008</v>
      </c>
      <c r="F338" s="3" t="str">
        <f t="shared" si="5"/>
        <v>C0928</v>
      </c>
    </row>
    <row r="339" spans="1:6" x14ac:dyDescent="0.2">
      <c r="A339" s="17" t="s">
        <v>6551</v>
      </c>
      <c r="B339" s="18" t="s">
        <v>6552</v>
      </c>
      <c r="C339" s="17" t="s">
        <v>271</v>
      </c>
      <c r="D339" s="19">
        <v>55.38</v>
      </c>
      <c r="F339" s="3" t="str">
        <f t="shared" si="5"/>
        <v>C0930</v>
      </c>
    </row>
    <row r="340" spans="1:6" x14ac:dyDescent="0.2">
      <c r="A340" s="17" t="s">
        <v>6553</v>
      </c>
      <c r="B340" s="18" t="s">
        <v>6554</v>
      </c>
      <c r="C340" s="17" t="s">
        <v>271</v>
      </c>
      <c r="D340" s="19">
        <v>12</v>
      </c>
      <c r="F340" s="3" t="str">
        <f t="shared" si="5"/>
        <v>C3214</v>
      </c>
    </row>
    <row r="341" spans="1:6" x14ac:dyDescent="0.2">
      <c r="A341" s="17" t="s">
        <v>6555</v>
      </c>
      <c r="B341" s="18" t="s">
        <v>6556</v>
      </c>
      <c r="C341" s="17" t="s">
        <v>271</v>
      </c>
      <c r="D341" s="19">
        <v>1.73</v>
      </c>
      <c r="F341" s="3" t="str">
        <f t="shared" si="5"/>
        <v>C2989</v>
      </c>
    </row>
    <row r="342" spans="1:6" x14ac:dyDescent="0.2">
      <c r="A342" s="17" t="s">
        <v>6557</v>
      </c>
      <c r="B342" s="18" t="s">
        <v>6558</v>
      </c>
      <c r="C342" s="17" t="s">
        <v>271</v>
      </c>
      <c r="D342" s="19">
        <v>77</v>
      </c>
      <c r="F342" s="3" t="str">
        <f t="shared" si="5"/>
        <v>C3530</v>
      </c>
    </row>
    <row r="343" spans="1:6" x14ac:dyDescent="0.2">
      <c r="A343" s="17">
        <v>0</v>
      </c>
      <c r="B343" s="18"/>
      <c r="C343" s="17">
        <v>0</v>
      </c>
      <c r="D343" s="19">
        <v>0</v>
      </c>
      <c r="F343" s="3">
        <f t="shared" si="5"/>
        <v>0</v>
      </c>
    </row>
    <row r="344" spans="1:6" x14ac:dyDescent="0.2">
      <c r="A344" s="17" t="s">
        <v>6559</v>
      </c>
      <c r="B344" s="18" t="s">
        <v>6560</v>
      </c>
      <c r="C344" s="17" t="s">
        <v>271</v>
      </c>
      <c r="D344" s="19">
        <v>31.38</v>
      </c>
      <c r="F344" s="3" t="str">
        <f t="shared" si="5"/>
        <v>C2921</v>
      </c>
    </row>
    <row r="345" spans="1:6" x14ac:dyDescent="0.2">
      <c r="A345" s="17" t="s">
        <v>6561</v>
      </c>
      <c r="B345" s="18" t="s">
        <v>6562</v>
      </c>
      <c r="C345" s="17" t="s">
        <v>271</v>
      </c>
      <c r="D345" s="19">
        <v>27.47</v>
      </c>
      <c r="F345" s="3" t="str">
        <f t="shared" si="5"/>
        <v>C2920</v>
      </c>
    </row>
    <row r="346" spans="1:6" x14ac:dyDescent="0.2">
      <c r="A346" s="14" t="s">
        <v>6563</v>
      </c>
      <c r="B346" s="15"/>
      <c r="C346" s="14">
        <v>0</v>
      </c>
      <c r="D346" s="16">
        <v>370.46</v>
      </c>
      <c r="F346" s="3" t="str">
        <f t="shared" si="5"/>
        <v>CARGA, TRANSPORTE E DESCARGA DE TUBOS E CONEXÕES</v>
      </c>
    </row>
    <row r="347" spans="1:6" x14ac:dyDescent="0.2">
      <c r="A347" s="17" t="s">
        <v>6564</v>
      </c>
      <c r="B347" s="18" t="s">
        <v>6565</v>
      </c>
      <c r="C347" s="17" t="s">
        <v>0</v>
      </c>
      <c r="D347" s="19">
        <v>1.66</v>
      </c>
      <c r="F347" s="3" t="str">
        <f t="shared" si="5"/>
        <v>C0717</v>
      </c>
    </row>
    <row r="348" spans="1:6" x14ac:dyDescent="0.2">
      <c r="A348" s="17" t="s">
        <v>6566</v>
      </c>
      <c r="B348" s="18" t="s">
        <v>6567</v>
      </c>
      <c r="C348" s="17" t="s">
        <v>0</v>
      </c>
      <c r="D348" s="19">
        <v>2.35</v>
      </c>
      <c r="F348" s="3" t="str">
        <f t="shared" si="5"/>
        <v>C0711</v>
      </c>
    </row>
    <row r="349" spans="1:6" x14ac:dyDescent="0.2">
      <c r="A349" s="17" t="s">
        <v>6568</v>
      </c>
      <c r="B349" s="18" t="s">
        <v>6569</v>
      </c>
      <c r="C349" s="17" t="s">
        <v>0</v>
      </c>
      <c r="D349" s="19">
        <v>3.35</v>
      </c>
      <c r="F349" s="3" t="str">
        <f t="shared" si="5"/>
        <v>C0712</v>
      </c>
    </row>
    <row r="350" spans="1:6" x14ac:dyDescent="0.2">
      <c r="A350" s="17" t="s">
        <v>6570</v>
      </c>
      <c r="B350" s="18" t="s">
        <v>6571</v>
      </c>
      <c r="C350" s="17" t="s">
        <v>0</v>
      </c>
      <c r="D350" s="19">
        <v>5.86</v>
      </c>
      <c r="F350" s="3" t="str">
        <f t="shared" si="5"/>
        <v>C0713</v>
      </c>
    </row>
    <row r="351" spans="1:6" x14ac:dyDescent="0.2">
      <c r="A351" s="17" t="s">
        <v>6572</v>
      </c>
      <c r="B351" s="18" t="s">
        <v>6573</v>
      </c>
      <c r="C351" s="17" t="s">
        <v>0</v>
      </c>
      <c r="D351" s="19">
        <v>7.21</v>
      </c>
      <c r="F351" s="3" t="str">
        <f t="shared" si="5"/>
        <v>C0714</v>
      </c>
    </row>
    <row r="352" spans="1:6" x14ac:dyDescent="0.2">
      <c r="A352" s="17" t="s">
        <v>6574</v>
      </c>
      <c r="B352" s="18" t="s">
        <v>6575</v>
      </c>
      <c r="C352" s="17" t="s">
        <v>0</v>
      </c>
      <c r="D352" s="19">
        <v>11.81</v>
      </c>
      <c r="F352" s="3" t="str">
        <f t="shared" si="5"/>
        <v>C0715</v>
      </c>
    </row>
    <row r="353" spans="1:6" x14ac:dyDescent="0.2">
      <c r="A353" s="17" t="s">
        <v>6576</v>
      </c>
      <c r="B353" s="18" t="s">
        <v>6577</v>
      </c>
      <c r="C353" s="17" t="s">
        <v>0</v>
      </c>
      <c r="D353" s="19">
        <v>17.260000000000002</v>
      </c>
      <c r="F353" s="3" t="str">
        <f t="shared" si="5"/>
        <v>C0716</v>
      </c>
    </row>
    <row r="354" spans="1:6" x14ac:dyDescent="0.2">
      <c r="A354" s="17" t="s">
        <v>6578</v>
      </c>
      <c r="B354" s="18" t="s">
        <v>6579</v>
      </c>
      <c r="C354" s="17" t="s">
        <v>0</v>
      </c>
      <c r="D354" s="19">
        <v>54.44</v>
      </c>
      <c r="F354" s="3" t="str">
        <f t="shared" si="5"/>
        <v>C4672</v>
      </c>
    </row>
    <row r="355" spans="1:6" x14ac:dyDescent="0.2">
      <c r="A355" s="17">
        <v>0</v>
      </c>
      <c r="B355" s="18"/>
      <c r="C355" s="17">
        <v>0</v>
      </c>
      <c r="D355" s="19">
        <v>0</v>
      </c>
      <c r="F355" s="3">
        <f t="shared" si="5"/>
        <v>0</v>
      </c>
    </row>
    <row r="356" spans="1:6" x14ac:dyDescent="0.2">
      <c r="A356" s="17" t="s">
        <v>6580</v>
      </c>
      <c r="B356" s="18" t="s">
        <v>6581</v>
      </c>
      <c r="C356" s="17" t="s">
        <v>5477</v>
      </c>
      <c r="D356" s="19">
        <v>75.290000000000006</v>
      </c>
      <c r="F356" s="3" t="str">
        <f t="shared" si="5"/>
        <v>C0703</v>
      </c>
    </row>
    <row r="357" spans="1:6" x14ac:dyDescent="0.2">
      <c r="A357" s="17" t="s">
        <v>6582</v>
      </c>
      <c r="B357" s="18" t="s">
        <v>6583</v>
      </c>
      <c r="C357" s="17" t="s">
        <v>5477</v>
      </c>
      <c r="D357" s="19">
        <v>56.47</v>
      </c>
      <c r="F357" s="3" t="str">
        <f t="shared" si="5"/>
        <v>C0704</v>
      </c>
    </row>
    <row r="358" spans="1:6" x14ac:dyDescent="0.2">
      <c r="A358" s="17" t="s">
        <v>6584</v>
      </c>
      <c r="B358" s="18" t="s">
        <v>6585</v>
      </c>
      <c r="C358" s="17" t="s">
        <v>5477</v>
      </c>
      <c r="D358" s="19">
        <v>65.88</v>
      </c>
      <c r="F358" s="3" t="str">
        <f t="shared" si="5"/>
        <v>C0705</v>
      </c>
    </row>
    <row r="359" spans="1:6" x14ac:dyDescent="0.2">
      <c r="A359" s="17" t="s">
        <v>6586</v>
      </c>
      <c r="B359" s="18" t="s">
        <v>6587</v>
      </c>
      <c r="C359" s="17" t="s">
        <v>0</v>
      </c>
      <c r="D359" s="19">
        <v>0.41</v>
      </c>
      <c r="F359" s="3" t="str">
        <f t="shared" si="5"/>
        <v>C0727</v>
      </c>
    </row>
    <row r="360" spans="1:6" x14ac:dyDescent="0.2">
      <c r="A360" s="17" t="s">
        <v>6588</v>
      </c>
      <c r="B360" s="18" t="s">
        <v>6589</v>
      </c>
      <c r="C360" s="17" t="s">
        <v>0</v>
      </c>
      <c r="D360" s="19">
        <v>0.68</v>
      </c>
      <c r="F360" s="3" t="str">
        <f t="shared" si="5"/>
        <v>C0728</v>
      </c>
    </row>
    <row r="361" spans="1:6" x14ac:dyDescent="0.2">
      <c r="A361" s="17" t="s">
        <v>6590</v>
      </c>
      <c r="B361" s="18" t="s">
        <v>6591</v>
      </c>
      <c r="C361" s="17" t="s">
        <v>0</v>
      </c>
      <c r="D361" s="19">
        <v>0.74</v>
      </c>
      <c r="F361" s="3" t="str">
        <f t="shared" si="5"/>
        <v>C0718</v>
      </c>
    </row>
    <row r="362" spans="1:6" x14ac:dyDescent="0.2">
      <c r="A362" s="17" t="s">
        <v>6592</v>
      </c>
      <c r="B362" s="18" t="s">
        <v>6593</v>
      </c>
      <c r="C362" s="17" t="s">
        <v>0</v>
      </c>
      <c r="D362" s="19">
        <v>1.1299999999999999</v>
      </c>
      <c r="F362" s="3" t="str">
        <f t="shared" si="5"/>
        <v>C0719</v>
      </c>
    </row>
    <row r="363" spans="1:6" x14ac:dyDescent="0.2">
      <c r="A363" s="17" t="s">
        <v>6594</v>
      </c>
      <c r="B363" s="18" t="s">
        <v>6595</v>
      </c>
      <c r="C363" s="17" t="s">
        <v>0</v>
      </c>
      <c r="D363" s="19">
        <v>1.49</v>
      </c>
      <c r="F363" s="3" t="str">
        <f t="shared" si="5"/>
        <v>C0720</v>
      </c>
    </row>
    <row r="364" spans="1:6" x14ac:dyDescent="0.2">
      <c r="A364" s="17" t="s">
        <v>6596</v>
      </c>
      <c r="B364" s="18" t="s">
        <v>6597</v>
      </c>
      <c r="C364" s="17" t="s">
        <v>0</v>
      </c>
      <c r="D364" s="19">
        <v>1.87</v>
      </c>
      <c r="F364" s="3" t="str">
        <f t="shared" si="5"/>
        <v>C0721</v>
      </c>
    </row>
    <row r="365" spans="1:6" x14ac:dyDescent="0.2">
      <c r="A365" s="17" t="s">
        <v>6598</v>
      </c>
      <c r="B365" s="18" t="s">
        <v>6599</v>
      </c>
      <c r="C365" s="17" t="s">
        <v>0</v>
      </c>
      <c r="D365" s="19">
        <v>2.2200000000000002</v>
      </c>
      <c r="F365" s="3" t="str">
        <f t="shared" si="5"/>
        <v>C0722</v>
      </c>
    </row>
    <row r="366" spans="1:6" x14ac:dyDescent="0.2">
      <c r="A366" s="17" t="s">
        <v>6600</v>
      </c>
      <c r="B366" s="18" t="s">
        <v>6601</v>
      </c>
      <c r="C366" s="17" t="s">
        <v>0</v>
      </c>
      <c r="D366" s="19">
        <v>2.62</v>
      </c>
      <c r="F366" s="3" t="str">
        <f t="shared" si="5"/>
        <v>C0723</v>
      </c>
    </row>
    <row r="367" spans="1:6" x14ac:dyDescent="0.2">
      <c r="A367" s="17" t="s">
        <v>6602</v>
      </c>
      <c r="B367" s="18" t="s">
        <v>6603</v>
      </c>
      <c r="C367" s="17" t="s">
        <v>0</v>
      </c>
      <c r="D367" s="19">
        <v>2.98</v>
      </c>
      <c r="F367" s="3" t="str">
        <f t="shared" si="5"/>
        <v>C0724</v>
      </c>
    </row>
    <row r="368" spans="1:6" x14ac:dyDescent="0.2">
      <c r="A368" s="17" t="s">
        <v>6604</v>
      </c>
      <c r="B368" s="18" t="s">
        <v>6605</v>
      </c>
      <c r="C368" s="17" t="s">
        <v>0</v>
      </c>
      <c r="D368" s="19">
        <v>3.43</v>
      </c>
      <c r="F368" s="3" t="str">
        <f t="shared" si="5"/>
        <v>C0725</v>
      </c>
    </row>
    <row r="369" spans="1:6" x14ac:dyDescent="0.2">
      <c r="A369" s="17" t="s">
        <v>6606</v>
      </c>
      <c r="B369" s="18" t="s">
        <v>6607</v>
      </c>
      <c r="C369" s="17" t="s">
        <v>0</v>
      </c>
      <c r="D369" s="19">
        <v>3.82</v>
      </c>
      <c r="F369" s="3" t="str">
        <f t="shared" si="5"/>
        <v>C0726</v>
      </c>
    </row>
    <row r="370" spans="1:6" x14ac:dyDescent="0.2">
      <c r="A370" s="17" t="s">
        <v>6608</v>
      </c>
      <c r="B370" s="18" t="s">
        <v>6609</v>
      </c>
      <c r="C370" s="17" t="s">
        <v>5477</v>
      </c>
      <c r="D370" s="19">
        <v>47.49</v>
      </c>
      <c r="F370" s="3" t="str">
        <f t="shared" si="5"/>
        <v>C2980</v>
      </c>
    </row>
    <row r="371" spans="1:6" x14ac:dyDescent="0.2">
      <c r="A371" s="14" t="s">
        <v>6610</v>
      </c>
      <c r="B371" s="15"/>
      <c r="C371" s="14">
        <v>0</v>
      </c>
      <c r="D371" s="16">
        <v>12786.28</v>
      </c>
      <c r="F371" s="3" t="str">
        <f t="shared" si="5"/>
        <v>SERVIÇOS AUXILIARES</v>
      </c>
    </row>
    <row r="372" spans="1:6" x14ac:dyDescent="0.2">
      <c r="A372" s="14" t="s">
        <v>6611</v>
      </c>
      <c r="B372" s="15"/>
      <c r="C372" s="14">
        <v>0</v>
      </c>
      <c r="D372" s="16">
        <v>16.559999999999999</v>
      </c>
      <c r="F372" s="3" t="str">
        <f t="shared" si="5"/>
        <v>SERVIÇOS PREPARATÓRIOS</v>
      </c>
    </row>
    <row r="373" spans="1:6" x14ac:dyDescent="0.2">
      <c r="A373" s="17" t="s">
        <v>6612</v>
      </c>
      <c r="B373" s="18" t="s">
        <v>6613</v>
      </c>
      <c r="C373" s="17" t="s">
        <v>255</v>
      </c>
      <c r="D373" s="19">
        <v>0.42</v>
      </c>
      <c r="F373" s="3" t="str">
        <f t="shared" si="5"/>
        <v>C3160</v>
      </c>
    </row>
    <row r="374" spans="1:6" x14ac:dyDescent="0.2">
      <c r="A374" s="17" t="s">
        <v>6614</v>
      </c>
      <c r="B374" s="18" t="s">
        <v>6615</v>
      </c>
      <c r="C374" s="17" t="s">
        <v>255</v>
      </c>
      <c r="D374" s="19">
        <v>0.28000000000000003</v>
      </c>
      <c r="F374" s="3" t="str">
        <f t="shared" si="5"/>
        <v>C3161</v>
      </c>
    </row>
    <row r="375" spans="1:6" x14ac:dyDescent="0.2">
      <c r="A375" s="17" t="s">
        <v>6616</v>
      </c>
      <c r="B375" s="18" t="s">
        <v>6617</v>
      </c>
      <c r="C375" s="17" t="s">
        <v>271</v>
      </c>
      <c r="D375" s="19">
        <v>4.8099999999999996</v>
      </c>
      <c r="F375" s="3" t="str">
        <f t="shared" si="5"/>
        <v>C3211</v>
      </c>
    </row>
    <row r="376" spans="1:6" x14ac:dyDescent="0.2">
      <c r="A376" s="17" t="s">
        <v>6618</v>
      </c>
      <c r="B376" s="18" t="s">
        <v>6619</v>
      </c>
      <c r="C376" s="17" t="s">
        <v>271</v>
      </c>
      <c r="D376" s="19">
        <v>3.66</v>
      </c>
      <c r="F376" s="3" t="str">
        <f t="shared" si="5"/>
        <v>C3218</v>
      </c>
    </row>
    <row r="377" spans="1:6" x14ac:dyDescent="0.2">
      <c r="A377" s="17" t="s">
        <v>6620</v>
      </c>
      <c r="B377" s="18" t="s">
        <v>6621</v>
      </c>
      <c r="C377" s="17" t="s">
        <v>255</v>
      </c>
      <c r="D377" s="19">
        <v>7.06</v>
      </c>
      <c r="F377" s="3" t="str">
        <f t="shared" si="5"/>
        <v>C3319</v>
      </c>
    </row>
    <row r="378" spans="1:6" x14ac:dyDescent="0.2">
      <c r="A378" s="17" t="s">
        <v>6622</v>
      </c>
      <c r="B378" s="18" t="s">
        <v>6623</v>
      </c>
      <c r="C378" s="17" t="s">
        <v>255</v>
      </c>
      <c r="D378" s="19">
        <v>0.33</v>
      </c>
      <c r="F378" s="3" t="str">
        <f t="shared" si="5"/>
        <v>C2990</v>
      </c>
    </row>
    <row r="379" spans="1:6" x14ac:dyDescent="0.2">
      <c r="A379" s="14" t="s">
        <v>6624</v>
      </c>
      <c r="B379" s="15"/>
      <c r="C379" s="14">
        <v>0</v>
      </c>
      <c r="D379" s="16">
        <v>4829.09</v>
      </c>
      <c r="F379" s="3" t="str">
        <f t="shared" si="5"/>
        <v>SUSTENTAÇÕES DIVERSAS</v>
      </c>
    </row>
    <row r="380" spans="1:6" x14ac:dyDescent="0.2">
      <c r="A380" s="17" t="s">
        <v>6625</v>
      </c>
      <c r="B380" s="18" t="s">
        <v>6626</v>
      </c>
      <c r="C380" s="17" t="s">
        <v>255</v>
      </c>
      <c r="D380" s="19">
        <v>7.27</v>
      </c>
      <c r="F380" s="3" t="str">
        <f t="shared" si="5"/>
        <v>C0083</v>
      </c>
    </row>
    <row r="381" spans="1:6" x14ac:dyDescent="0.2">
      <c r="A381" s="17" t="s">
        <v>6627</v>
      </c>
      <c r="B381" s="18" t="s">
        <v>6628</v>
      </c>
      <c r="C381" s="17" t="s">
        <v>26</v>
      </c>
      <c r="D381" s="19">
        <v>22.44</v>
      </c>
      <c r="F381" s="3" t="str">
        <f t="shared" si="5"/>
        <v>C0084</v>
      </c>
    </row>
    <row r="382" spans="1:6" x14ac:dyDescent="0.2">
      <c r="A382" s="17" t="s">
        <v>6629</v>
      </c>
      <c r="B382" s="18" t="s">
        <v>6630</v>
      </c>
      <c r="C382" s="17" t="s">
        <v>255</v>
      </c>
      <c r="D382" s="19">
        <v>4.18</v>
      </c>
      <c r="F382" s="3" t="str">
        <f t="shared" si="5"/>
        <v>C0086</v>
      </c>
    </row>
    <row r="383" spans="1:6" x14ac:dyDescent="0.2">
      <c r="A383" s="17" t="s">
        <v>6631</v>
      </c>
      <c r="B383" s="18" t="s">
        <v>6632</v>
      </c>
      <c r="C383" s="17" t="s">
        <v>255</v>
      </c>
      <c r="D383" s="19">
        <v>11.01</v>
      </c>
      <c r="F383" s="3" t="str">
        <f t="shared" si="5"/>
        <v>C0085</v>
      </c>
    </row>
    <row r="384" spans="1:6" x14ac:dyDescent="0.2">
      <c r="A384" s="17" t="s">
        <v>6633</v>
      </c>
      <c r="B384" s="18" t="s">
        <v>6634</v>
      </c>
      <c r="C384" s="17" t="s">
        <v>255</v>
      </c>
      <c r="D384" s="19">
        <v>9.74</v>
      </c>
      <c r="F384" s="3" t="str">
        <f t="shared" si="5"/>
        <v>C0087</v>
      </c>
    </row>
    <row r="385" spans="1:6" x14ac:dyDescent="0.2">
      <c r="A385" s="17" t="s">
        <v>6635</v>
      </c>
      <c r="B385" s="18" t="s">
        <v>6636</v>
      </c>
      <c r="C385" s="17" t="s">
        <v>255</v>
      </c>
      <c r="D385" s="19">
        <v>53.73</v>
      </c>
      <c r="F385" s="3" t="str">
        <f t="shared" si="5"/>
        <v>C0088</v>
      </c>
    </row>
    <row r="386" spans="1:6" x14ac:dyDescent="0.2">
      <c r="A386" s="17" t="s">
        <v>6637</v>
      </c>
      <c r="B386" s="18" t="s">
        <v>6638</v>
      </c>
      <c r="C386" s="17" t="s">
        <v>255</v>
      </c>
      <c r="D386" s="19">
        <v>52.02</v>
      </c>
      <c r="F386" s="3" t="str">
        <f t="shared" ref="F386:F449" si="6">A386</f>
        <v>C3352</v>
      </c>
    </row>
    <row r="387" spans="1:6" x14ac:dyDescent="0.2">
      <c r="A387" s="17" t="s">
        <v>6639</v>
      </c>
      <c r="B387" s="18" t="s">
        <v>6640</v>
      </c>
      <c r="C387" s="17" t="s">
        <v>0</v>
      </c>
      <c r="D387" s="19">
        <v>331.79</v>
      </c>
      <c r="F387" s="3" t="str">
        <f t="shared" si="6"/>
        <v>C0364</v>
      </c>
    </row>
    <row r="388" spans="1:6" x14ac:dyDescent="0.2">
      <c r="A388" s="17" t="s">
        <v>6641</v>
      </c>
      <c r="B388" s="18" t="s">
        <v>6642</v>
      </c>
      <c r="C388" s="17" t="s">
        <v>271</v>
      </c>
      <c r="D388" s="19">
        <v>44.77</v>
      </c>
      <c r="F388" s="3" t="str">
        <f t="shared" si="6"/>
        <v>C3320</v>
      </c>
    </row>
    <row r="389" spans="1:6" x14ac:dyDescent="0.2">
      <c r="A389" s="17" t="s">
        <v>6643</v>
      </c>
      <c r="B389" s="18" t="s">
        <v>6644</v>
      </c>
      <c r="C389" s="17" t="s">
        <v>255</v>
      </c>
      <c r="D389" s="19">
        <v>113.39</v>
      </c>
      <c r="F389" s="3" t="str">
        <f t="shared" si="6"/>
        <v>C1236</v>
      </c>
    </row>
    <row r="390" spans="1:6" x14ac:dyDescent="0.2">
      <c r="A390" s="17" t="s">
        <v>6645</v>
      </c>
      <c r="B390" s="18" t="s">
        <v>6646</v>
      </c>
      <c r="C390" s="17" t="s">
        <v>255</v>
      </c>
      <c r="D390" s="19">
        <v>317.75</v>
      </c>
      <c r="F390" s="3" t="str">
        <f t="shared" si="6"/>
        <v>C1246</v>
      </c>
    </row>
    <row r="391" spans="1:6" x14ac:dyDescent="0.2">
      <c r="A391" s="17" t="s">
        <v>6647</v>
      </c>
      <c r="B391" s="18" t="s">
        <v>6648</v>
      </c>
      <c r="C391" s="17" t="s">
        <v>26</v>
      </c>
      <c r="D391" s="19">
        <v>131.97999999999999</v>
      </c>
      <c r="F391" s="3" t="str">
        <f t="shared" si="6"/>
        <v>C2804</v>
      </c>
    </row>
    <row r="392" spans="1:6" x14ac:dyDescent="0.2">
      <c r="A392" s="17" t="s">
        <v>6649</v>
      </c>
      <c r="B392" s="18" t="s">
        <v>6650</v>
      </c>
      <c r="C392" s="17" t="s">
        <v>26</v>
      </c>
      <c r="D392" s="19">
        <v>683.88</v>
      </c>
      <c r="F392" s="3" t="str">
        <f t="shared" si="6"/>
        <v>C2803</v>
      </c>
    </row>
    <row r="393" spans="1:6" x14ac:dyDescent="0.2">
      <c r="A393" s="17" t="s">
        <v>6651</v>
      </c>
      <c r="B393" s="18" t="s">
        <v>6652</v>
      </c>
      <c r="C393" s="17" t="s">
        <v>271</v>
      </c>
      <c r="D393" s="19">
        <v>65.03</v>
      </c>
      <c r="F393" s="3" t="str">
        <f t="shared" si="6"/>
        <v>C3351</v>
      </c>
    </row>
    <row r="394" spans="1:6" x14ac:dyDescent="0.2">
      <c r="A394" s="17" t="s">
        <v>6653</v>
      </c>
      <c r="B394" s="18" t="s">
        <v>6654</v>
      </c>
      <c r="C394" s="17" t="s">
        <v>271</v>
      </c>
      <c r="D394" s="19">
        <v>47.17</v>
      </c>
      <c r="F394" s="3" t="str">
        <f t="shared" si="6"/>
        <v>C3081</v>
      </c>
    </row>
    <row r="395" spans="1:6" x14ac:dyDescent="0.2">
      <c r="A395" s="17" t="s">
        <v>6655</v>
      </c>
      <c r="B395" s="18" t="s">
        <v>6656</v>
      </c>
      <c r="C395" s="17" t="s">
        <v>255</v>
      </c>
      <c r="D395" s="19">
        <v>218.44</v>
      </c>
      <c r="F395" s="3" t="str">
        <f t="shared" si="6"/>
        <v>C1274</v>
      </c>
    </row>
    <row r="396" spans="1:6" x14ac:dyDescent="0.2">
      <c r="A396" s="17" t="s">
        <v>6657</v>
      </c>
      <c r="B396" s="18" t="s">
        <v>6658</v>
      </c>
      <c r="C396" s="17" t="s">
        <v>255</v>
      </c>
      <c r="D396" s="19">
        <v>255.1</v>
      </c>
      <c r="F396" s="3" t="str">
        <f t="shared" si="6"/>
        <v>C4166</v>
      </c>
    </row>
    <row r="397" spans="1:6" x14ac:dyDescent="0.2">
      <c r="A397" s="17" t="s">
        <v>6659</v>
      </c>
      <c r="B397" s="18" t="s">
        <v>6660</v>
      </c>
      <c r="C397" s="17" t="s">
        <v>1284</v>
      </c>
      <c r="D397" s="19">
        <v>17.93</v>
      </c>
      <c r="F397" s="3" t="str">
        <f t="shared" si="6"/>
        <v>C3466</v>
      </c>
    </row>
    <row r="398" spans="1:6" x14ac:dyDescent="0.2">
      <c r="A398" s="17" t="s">
        <v>6661</v>
      </c>
      <c r="B398" s="18" t="s">
        <v>6662</v>
      </c>
      <c r="C398" s="17" t="s">
        <v>6663</v>
      </c>
      <c r="D398" s="19">
        <v>27.08</v>
      </c>
      <c r="F398" s="3" t="str">
        <f t="shared" si="6"/>
        <v>C4766</v>
      </c>
    </row>
    <row r="399" spans="1:6" x14ac:dyDescent="0.2">
      <c r="A399" s="17">
        <v>0</v>
      </c>
      <c r="B399" s="18"/>
      <c r="C399" s="17">
        <v>0</v>
      </c>
      <c r="D399" s="19">
        <v>0</v>
      </c>
      <c r="F399" s="3">
        <f t="shared" si="6"/>
        <v>0</v>
      </c>
    </row>
    <row r="400" spans="1:6" x14ac:dyDescent="0.2">
      <c r="A400" s="17" t="s">
        <v>6664</v>
      </c>
      <c r="B400" s="18" t="s">
        <v>6665</v>
      </c>
      <c r="C400" s="17" t="s">
        <v>6663</v>
      </c>
      <c r="D400" s="19">
        <v>15.47</v>
      </c>
      <c r="F400" s="3" t="str">
        <f t="shared" si="6"/>
        <v>C5211</v>
      </c>
    </row>
    <row r="401" spans="1:6" x14ac:dyDescent="0.2">
      <c r="A401" s="17">
        <v>0</v>
      </c>
      <c r="B401" s="18"/>
      <c r="C401" s="17">
        <v>0</v>
      </c>
      <c r="D401" s="19">
        <v>0</v>
      </c>
      <c r="F401" s="3">
        <f t="shared" si="6"/>
        <v>0</v>
      </c>
    </row>
    <row r="402" spans="1:6" x14ac:dyDescent="0.2">
      <c r="A402" s="17" t="s">
        <v>6666</v>
      </c>
      <c r="B402" s="18" t="s">
        <v>6667</v>
      </c>
      <c r="C402" s="17" t="s">
        <v>6663</v>
      </c>
      <c r="D402" s="19">
        <v>16.88</v>
      </c>
      <c r="F402" s="3" t="str">
        <f t="shared" si="6"/>
        <v>C5212</v>
      </c>
    </row>
    <row r="403" spans="1:6" x14ac:dyDescent="0.2">
      <c r="A403" s="17">
        <v>0</v>
      </c>
      <c r="B403" s="18"/>
      <c r="C403" s="17">
        <v>0</v>
      </c>
      <c r="D403" s="19">
        <v>0</v>
      </c>
      <c r="F403" s="3">
        <f t="shared" si="6"/>
        <v>0</v>
      </c>
    </row>
    <row r="404" spans="1:6" x14ac:dyDescent="0.2">
      <c r="A404" s="17" t="s">
        <v>6668</v>
      </c>
      <c r="B404" s="18" t="s">
        <v>6669</v>
      </c>
      <c r="C404" s="17" t="s">
        <v>6663</v>
      </c>
      <c r="D404" s="19">
        <v>18.28</v>
      </c>
      <c r="F404" s="3" t="str">
        <f t="shared" si="6"/>
        <v>C5213</v>
      </c>
    </row>
    <row r="405" spans="1:6" x14ac:dyDescent="0.2">
      <c r="A405" s="17">
        <v>0</v>
      </c>
      <c r="B405" s="18"/>
      <c r="C405" s="17">
        <v>0</v>
      </c>
      <c r="D405" s="19">
        <v>0</v>
      </c>
      <c r="F405" s="3">
        <f t="shared" si="6"/>
        <v>0</v>
      </c>
    </row>
    <row r="406" spans="1:6" x14ac:dyDescent="0.2">
      <c r="A406" s="17" t="s">
        <v>6670</v>
      </c>
      <c r="B406" s="18" t="s">
        <v>6671</v>
      </c>
      <c r="C406" s="17" t="s">
        <v>271</v>
      </c>
      <c r="D406" s="19">
        <v>7.74</v>
      </c>
      <c r="F406" s="3" t="str">
        <f t="shared" si="6"/>
        <v>C4125</v>
      </c>
    </row>
    <row r="407" spans="1:6" x14ac:dyDescent="0.2">
      <c r="A407" s="17" t="s">
        <v>6672</v>
      </c>
      <c r="B407" s="18" t="s">
        <v>6673</v>
      </c>
      <c r="C407" s="17" t="s">
        <v>271</v>
      </c>
      <c r="D407" s="19">
        <v>29.38</v>
      </c>
      <c r="F407" s="3" t="str">
        <f t="shared" si="6"/>
        <v>C3470</v>
      </c>
    </row>
    <row r="408" spans="1:6" x14ac:dyDescent="0.2">
      <c r="A408" s="17" t="s">
        <v>6674</v>
      </c>
      <c r="B408" s="18" t="s">
        <v>6675</v>
      </c>
      <c r="C408" s="17" t="s">
        <v>255</v>
      </c>
      <c r="D408" s="19">
        <v>5.03</v>
      </c>
      <c r="F408" s="3" t="str">
        <f t="shared" si="6"/>
        <v>C1271</v>
      </c>
    </row>
    <row r="409" spans="1:6" x14ac:dyDescent="0.2">
      <c r="A409" s="17" t="s">
        <v>6676</v>
      </c>
      <c r="B409" s="18" t="s">
        <v>6677</v>
      </c>
      <c r="C409" s="17" t="s">
        <v>271</v>
      </c>
      <c r="D409" s="19">
        <v>16.399999999999999</v>
      </c>
      <c r="F409" s="3" t="str">
        <f t="shared" si="6"/>
        <v>C4129</v>
      </c>
    </row>
    <row r="410" spans="1:6" x14ac:dyDescent="0.2">
      <c r="A410" s="17" t="s">
        <v>6678</v>
      </c>
      <c r="B410" s="18" t="s">
        <v>6679</v>
      </c>
      <c r="C410" s="17" t="s">
        <v>6663</v>
      </c>
      <c r="D410" s="19">
        <v>14.25</v>
      </c>
      <c r="F410" s="3" t="str">
        <f t="shared" si="6"/>
        <v>C4782</v>
      </c>
    </row>
    <row r="411" spans="1:6" x14ac:dyDescent="0.2">
      <c r="A411" s="17" t="s">
        <v>6680</v>
      </c>
      <c r="B411" s="18" t="s">
        <v>6681</v>
      </c>
      <c r="C411" s="17" t="s">
        <v>1284</v>
      </c>
      <c r="D411" s="19">
        <v>7.79</v>
      </c>
      <c r="F411" s="3" t="str">
        <f t="shared" si="6"/>
        <v>C3468</v>
      </c>
    </row>
    <row r="412" spans="1:6" ht="22.5" x14ac:dyDescent="0.2">
      <c r="A412" s="17" t="s">
        <v>6682</v>
      </c>
      <c r="B412" s="18" t="s">
        <v>6683</v>
      </c>
      <c r="C412" s="17" t="s">
        <v>0</v>
      </c>
      <c r="D412" s="19">
        <v>4.53</v>
      </c>
      <c r="F412" s="3" t="str">
        <f t="shared" si="6"/>
        <v>C4754</v>
      </c>
    </row>
    <row r="413" spans="1:6" x14ac:dyDescent="0.2">
      <c r="A413" s="17">
        <v>0</v>
      </c>
      <c r="B413" s="18"/>
      <c r="C413" s="17">
        <v>0</v>
      </c>
      <c r="D413" s="19">
        <v>0</v>
      </c>
      <c r="F413" s="3">
        <f t="shared" si="6"/>
        <v>0</v>
      </c>
    </row>
    <row r="414" spans="1:6" x14ac:dyDescent="0.2">
      <c r="A414" s="17" t="s">
        <v>6684</v>
      </c>
      <c r="B414" s="18" t="s">
        <v>6685</v>
      </c>
      <c r="C414" s="17" t="s">
        <v>255</v>
      </c>
      <c r="D414" s="19">
        <v>6.36</v>
      </c>
      <c r="F414" s="3" t="str">
        <f t="shared" si="6"/>
        <v>C2154</v>
      </c>
    </row>
    <row r="415" spans="1:6" x14ac:dyDescent="0.2">
      <c r="A415" s="17" t="s">
        <v>6686</v>
      </c>
      <c r="B415" s="18" t="s">
        <v>6687</v>
      </c>
      <c r="C415" s="17" t="s">
        <v>255</v>
      </c>
      <c r="D415" s="19">
        <v>11.93</v>
      </c>
      <c r="F415" s="3" t="str">
        <f t="shared" si="6"/>
        <v>C2155</v>
      </c>
    </row>
    <row r="416" spans="1:6" x14ac:dyDescent="0.2">
      <c r="A416" s="17" t="s">
        <v>6688</v>
      </c>
      <c r="B416" s="18" t="s">
        <v>6689</v>
      </c>
      <c r="C416" s="17" t="s">
        <v>271</v>
      </c>
      <c r="D416" s="19">
        <v>2258.84</v>
      </c>
      <c r="F416" s="3" t="str">
        <f t="shared" si="6"/>
        <v>C2967</v>
      </c>
    </row>
    <row r="417" spans="1:6" x14ac:dyDescent="0.2">
      <c r="A417" s="17" t="s">
        <v>6690</v>
      </c>
      <c r="B417" s="18" t="s">
        <v>6691</v>
      </c>
      <c r="C417" s="17" t="s">
        <v>1284</v>
      </c>
      <c r="D417" s="19">
        <v>1.51</v>
      </c>
      <c r="F417" s="3" t="str">
        <f t="shared" si="6"/>
        <v>C2968</v>
      </c>
    </row>
    <row r="418" spans="1:6" x14ac:dyDescent="0.2">
      <c r="A418" s="14" t="s">
        <v>6692</v>
      </c>
      <c r="B418" s="15"/>
      <c r="C418" s="14">
        <v>0</v>
      </c>
      <c r="D418" s="16">
        <v>280.47000000000003</v>
      </c>
      <c r="F418" s="3" t="str">
        <f t="shared" si="6"/>
        <v>ESCORAMENTO DE MADEIRA  EM VALAS E CAVAS</v>
      </c>
    </row>
    <row r="419" spans="1:6" x14ac:dyDescent="0.2">
      <c r="A419" s="17" t="s">
        <v>6693</v>
      </c>
      <c r="B419" s="18" t="s">
        <v>6694</v>
      </c>
      <c r="C419" s="17" t="s">
        <v>255</v>
      </c>
      <c r="D419" s="19">
        <v>123.13</v>
      </c>
      <c r="F419" s="3" t="str">
        <f t="shared" si="6"/>
        <v>C1272</v>
      </c>
    </row>
    <row r="420" spans="1:6" x14ac:dyDescent="0.2">
      <c r="A420" s="17" t="s">
        <v>6695</v>
      </c>
      <c r="B420" s="18" t="s">
        <v>6696</v>
      </c>
      <c r="C420" s="17" t="s">
        <v>255</v>
      </c>
      <c r="D420" s="19">
        <v>21.52</v>
      </c>
      <c r="F420" s="3" t="str">
        <f t="shared" si="6"/>
        <v>C2798</v>
      </c>
    </row>
    <row r="421" spans="1:6" x14ac:dyDescent="0.2">
      <c r="A421" s="17" t="s">
        <v>6697</v>
      </c>
      <c r="B421" s="18" t="s">
        <v>6698</v>
      </c>
      <c r="C421" s="17" t="s">
        <v>255</v>
      </c>
      <c r="D421" s="19">
        <v>100.98</v>
      </c>
      <c r="F421" s="3" t="str">
        <f t="shared" si="6"/>
        <v>C1273</v>
      </c>
    </row>
    <row r="422" spans="1:6" x14ac:dyDescent="0.2">
      <c r="A422" s="17" t="s">
        <v>6699</v>
      </c>
      <c r="B422" s="18" t="s">
        <v>6700</v>
      </c>
      <c r="C422" s="17" t="s">
        <v>255</v>
      </c>
      <c r="D422" s="19">
        <v>34.840000000000003</v>
      </c>
      <c r="F422" s="3" t="str">
        <f t="shared" si="6"/>
        <v>C2805</v>
      </c>
    </row>
    <row r="423" spans="1:6" x14ac:dyDescent="0.2">
      <c r="A423" s="14" t="s">
        <v>6701</v>
      </c>
      <c r="B423" s="15"/>
      <c r="C423" s="14">
        <v>0</v>
      </c>
      <c r="D423" s="16">
        <v>377.52</v>
      </c>
      <c r="F423" s="3" t="str">
        <f t="shared" si="6"/>
        <v>ESCORAMENTO METÁLICO EM VALAS,CAVAS OU POÇOS</v>
      </c>
    </row>
    <row r="424" spans="1:6" x14ac:dyDescent="0.2">
      <c r="A424" s="17" t="s">
        <v>6702</v>
      </c>
      <c r="B424" s="18" t="s">
        <v>6703</v>
      </c>
      <c r="C424" s="17" t="s">
        <v>255</v>
      </c>
      <c r="D424" s="19">
        <v>42.61</v>
      </c>
      <c r="F424" s="3" t="str">
        <f t="shared" si="6"/>
        <v>C5178</v>
      </c>
    </row>
    <row r="425" spans="1:6" x14ac:dyDescent="0.2">
      <c r="A425" s="17" t="s">
        <v>6704</v>
      </c>
      <c r="B425" s="18" t="s">
        <v>6705</v>
      </c>
      <c r="C425" s="17" t="s">
        <v>255</v>
      </c>
      <c r="D425" s="19">
        <v>45.32</v>
      </c>
      <c r="F425" s="3" t="str">
        <f t="shared" si="6"/>
        <v>C5179</v>
      </c>
    </row>
    <row r="426" spans="1:6" x14ac:dyDescent="0.2">
      <c r="A426" s="17" t="s">
        <v>6706</v>
      </c>
      <c r="B426" s="18" t="s">
        <v>6707</v>
      </c>
      <c r="C426" s="17" t="s">
        <v>255</v>
      </c>
      <c r="D426" s="19">
        <v>52.47</v>
      </c>
      <c r="F426" s="3" t="str">
        <f t="shared" si="6"/>
        <v>C5180</v>
      </c>
    </row>
    <row r="427" spans="1:6" x14ac:dyDescent="0.2">
      <c r="A427" s="17" t="s">
        <v>6708</v>
      </c>
      <c r="B427" s="18" t="s">
        <v>6709</v>
      </c>
      <c r="C427" s="17" t="s">
        <v>255</v>
      </c>
      <c r="D427" s="19">
        <v>33.49</v>
      </c>
      <c r="F427" s="3" t="str">
        <f t="shared" si="6"/>
        <v>C2799</v>
      </c>
    </row>
    <row r="428" spans="1:6" x14ac:dyDescent="0.2">
      <c r="A428" s="17" t="s">
        <v>6710</v>
      </c>
      <c r="B428" s="18" t="s">
        <v>6711</v>
      </c>
      <c r="C428" s="17" t="s">
        <v>255</v>
      </c>
      <c r="D428" s="19">
        <v>49.73</v>
      </c>
      <c r="F428" s="3" t="str">
        <f t="shared" si="6"/>
        <v>C2800</v>
      </c>
    </row>
    <row r="429" spans="1:6" x14ac:dyDescent="0.2">
      <c r="A429" s="17" t="s">
        <v>6712</v>
      </c>
      <c r="B429" s="18" t="s">
        <v>6713</v>
      </c>
      <c r="C429" s="17" t="s">
        <v>255</v>
      </c>
      <c r="D429" s="19">
        <v>61.86</v>
      </c>
      <c r="F429" s="3" t="str">
        <f t="shared" si="6"/>
        <v>C2801</v>
      </c>
    </row>
    <row r="430" spans="1:6" x14ac:dyDescent="0.2">
      <c r="A430" s="17" t="s">
        <v>6714</v>
      </c>
      <c r="B430" s="18" t="s">
        <v>6715</v>
      </c>
      <c r="C430" s="17" t="s">
        <v>255</v>
      </c>
      <c r="D430" s="19">
        <v>92.04</v>
      </c>
      <c r="F430" s="3" t="str">
        <f t="shared" si="6"/>
        <v>C2802</v>
      </c>
    </row>
    <row r="431" spans="1:6" x14ac:dyDescent="0.2">
      <c r="A431" s="14" t="s">
        <v>6716</v>
      </c>
      <c r="B431" s="15"/>
      <c r="C431" s="14">
        <v>0</v>
      </c>
      <c r="D431" s="16">
        <v>4836.72</v>
      </c>
      <c r="F431" s="3" t="str">
        <f t="shared" si="6"/>
        <v>INSTALAÇÃO DE GUINCHO</v>
      </c>
    </row>
    <row r="432" spans="1:6" x14ac:dyDescent="0.2">
      <c r="A432" s="17" t="s">
        <v>6717</v>
      </c>
      <c r="B432" s="18" t="s">
        <v>6718</v>
      </c>
      <c r="C432" s="17" t="s">
        <v>26</v>
      </c>
      <c r="D432" s="19">
        <v>4463.21</v>
      </c>
      <c r="F432" s="3" t="str">
        <f t="shared" si="6"/>
        <v>C1355</v>
      </c>
    </row>
    <row r="433" spans="1:6" x14ac:dyDescent="0.2">
      <c r="A433" s="17" t="s">
        <v>6719</v>
      </c>
      <c r="B433" s="18" t="s">
        <v>6720</v>
      </c>
      <c r="C433" s="17" t="s">
        <v>0</v>
      </c>
      <c r="D433" s="19">
        <v>373.51</v>
      </c>
      <c r="F433" s="3" t="str">
        <f t="shared" si="6"/>
        <v>C2508</v>
      </c>
    </row>
    <row r="434" spans="1:6" x14ac:dyDescent="0.2">
      <c r="A434" s="14" t="s">
        <v>6721</v>
      </c>
      <c r="B434" s="15"/>
      <c r="C434" s="14">
        <v>0</v>
      </c>
      <c r="D434" s="16">
        <v>402.1</v>
      </c>
      <c r="F434" s="3" t="str">
        <f t="shared" si="6"/>
        <v>PRODUÇÃO DE MATERIAIS</v>
      </c>
    </row>
    <row r="435" spans="1:6" x14ac:dyDescent="0.2">
      <c r="A435" s="17" t="s">
        <v>6722</v>
      </c>
      <c r="B435" s="18" t="s">
        <v>6723</v>
      </c>
      <c r="C435" s="17" t="s">
        <v>271</v>
      </c>
      <c r="D435" s="19">
        <v>4.63</v>
      </c>
      <c r="F435" s="3" t="str">
        <f t="shared" si="6"/>
        <v>C3129</v>
      </c>
    </row>
    <row r="436" spans="1:6" x14ac:dyDescent="0.2">
      <c r="A436" s="17" t="s">
        <v>6724</v>
      </c>
      <c r="B436" s="18" t="s">
        <v>6725</v>
      </c>
      <c r="C436" s="17" t="s">
        <v>271</v>
      </c>
      <c r="D436" s="19">
        <v>8.8000000000000007</v>
      </c>
      <c r="F436" s="3" t="str">
        <f t="shared" si="6"/>
        <v>C3130</v>
      </c>
    </row>
    <row r="437" spans="1:6" x14ac:dyDescent="0.2">
      <c r="A437" s="17" t="s">
        <v>6726</v>
      </c>
      <c r="B437" s="18" t="s">
        <v>6727</v>
      </c>
      <c r="C437" s="17" t="s">
        <v>271</v>
      </c>
      <c r="D437" s="19">
        <v>93.68</v>
      </c>
      <c r="F437" s="3" t="str">
        <f t="shared" si="6"/>
        <v>C3139</v>
      </c>
    </row>
    <row r="438" spans="1:6" x14ac:dyDescent="0.2">
      <c r="A438" s="17" t="s">
        <v>6728</v>
      </c>
      <c r="B438" s="18" t="s">
        <v>6729</v>
      </c>
      <c r="C438" s="17" t="s">
        <v>271</v>
      </c>
      <c r="D438" s="19">
        <v>108.97</v>
      </c>
      <c r="F438" s="3" t="str">
        <f t="shared" si="6"/>
        <v>C3252</v>
      </c>
    </row>
    <row r="439" spans="1:6" x14ac:dyDescent="0.2">
      <c r="A439" s="17" t="s">
        <v>6730</v>
      </c>
      <c r="B439" s="18" t="s">
        <v>6731</v>
      </c>
      <c r="C439" s="17" t="s">
        <v>271</v>
      </c>
      <c r="D439" s="19">
        <v>100.7</v>
      </c>
      <c r="F439" s="3" t="str">
        <f t="shared" si="6"/>
        <v>C3253</v>
      </c>
    </row>
    <row r="440" spans="1:6" x14ac:dyDescent="0.2">
      <c r="A440" s="17" t="s">
        <v>6732</v>
      </c>
      <c r="B440" s="18" t="s">
        <v>6733</v>
      </c>
      <c r="C440" s="17" t="s">
        <v>271</v>
      </c>
      <c r="D440" s="19">
        <v>42.66</v>
      </c>
      <c r="F440" s="3" t="str">
        <f t="shared" si="6"/>
        <v>C3227</v>
      </c>
    </row>
    <row r="441" spans="1:6" x14ac:dyDescent="0.2">
      <c r="A441" s="17" t="s">
        <v>6734</v>
      </c>
      <c r="B441" s="18" t="s">
        <v>6735</v>
      </c>
      <c r="C441" s="17" t="s">
        <v>271</v>
      </c>
      <c r="D441" s="19">
        <v>42.66</v>
      </c>
      <c r="F441" s="3" t="str">
        <f t="shared" si="6"/>
        <v>C3235</v>
      </c>
    </row>
    <row r="442" spans="1:6" x14ac:dyDescent="0.2">
      <c r="A442" s="14" t="s">
        <v>6736</v>
      </c>
      <c r="B442" s="15"/>
      <c r="C442" s="14">
        <v>0</v>
      </c>
      <c r="D442" s="16">
        <v>1787.25</v>
      </c>
      <c r="F442" s="3" t="str">
        <f t="shared" si="6"/>
        <v>LASTROS</v>
      </c>
    </row>
    <row r="443" spans="1:6" x14ac:dyDescent="0.2">
      <c r="A443" s="17" t="s">
        <v>6737</v>
      </c>
      <c r="B443" s="18" t="s">
        <v>6738</v>
      </c>
      <c r="C443" s="17" t="s">
        <v>271</v>
      </c>
      <c r="D443" s="19">
        <v>161.52000000000001</v>
      </c>
      <c r="F443" s="3" t="str">
        <f t="shared" si="6"/>
        <v>C2860</v>
      </c>
    </row>
    <row r="444" spans="1:6" x14ac:dyDescent="0.2">
      <c r="A444" s="17" t="s">
        <v>6739</v>
      </c>
      <c r="B444" s="18" t="s">
        <v>6740</v>
      </c>
      <c r="C444" s="17" t="s">
        <v>271</v>
      </c>
      <c r="D444" s="19">
        <v>29.32</v>
      </c>
      <c r="F444" s="3" t="str">
        <f t="shared" si="6"/>
        <v>C2861</v>
      </c>
    </row>
    <row r="445" spans="1:6" x14ac:dyDescent="0.2">
      <c r="A445" s="17" t="s">
        <v>6741</v>
      </c>
      <c r="B445" s="18" t="s">
        <v>6742</v>
      </c>
      <c r="C445" s="17" t="s">
        <v>271</v>
      </c>
      <c r="D445" s="19">
        <v>152.5</v>
      </c>
      <c r="F445" s="3" t="str">
        <f t="shared" si="6"/>
        <v>C2862</v>
      </c>
    </row>
    <row r="446" spans="1:6" x14ac:dyDescent="0.2">
      <c r="A446" s="17" t="s">
        <v>6743</v>
      </c>
      <c r="B446" s="18" t="s">
        <v>6744</v>
      </c>
      <c r="C446" s="17" t="s">
        <v>271</v>
      </c>
      <c r="D446" s="19">
        <v>166.75</v>
      </c>
      <c r="F446" s="3" t="str">
        <f t="shared" si="6"/>
        <v>C1605</v>
      </c>
    </row>
    <row r="447" spans="1:6" x14ac:dyDescent="0.2">
      <c r="A447" s="17" t="s">
        <v>6745</v>
      </c>
      <c r="B447" s="18" t="s">
        <v>6746</v>
      </c>
      <c r="C447" s="17" t="s">
        <v>271</v>
      </c>
      <c r="D447" s="19">
        <v>139.06</v>
      </c>
      <c r="F447" s="3" t="str">
        <f t="shared" si="6"/>
        <v>C1606</v>
      </c>
    </row>
    <row r="448" spans="1:6" x14ac:dyDescent="0.2">
      <c r="A448" s="17" t="s">
        <v>6747</v>
      </c>
      <c r="B448" s="18" t="s">
        <v>6748</v>
      </c>
      <c r="C448" s="17" t="s">
        <v>255</v>
      </c>
      <c r="D448" s="19">
        <v>57.4</v>
      </c>
      <c r="F448" s="3" t="str">
        <f t="shared" si="6"/>
        <v>C1607</v>
      </c>
    </row>
    <row r="449" spans="1:6" x14ac:dyDescent="0.2">
      <c r="A449" s="17" t="s">
        <v>6749</v>
      </c>
      <c r="B449" s="18" t="s">
        <v>6750</v>
      </c>
      <c r="C449" s="17" t="s">
        <v>255</v>
      </c>
      <c r="D449" s="19">
        <v>82.3</v>
      </c>
      <c r="F449" s="3" t="str">
        <f t="shared" si="6"/>
        <v>C1608</v>
      </c>
    </row>
    <row r="450" spans="1:6" x14ac:dyDescent="0.2">
      <c r="A450" s="17" t="s">
        <v>6751</v>
      </c>
      <c r="B450" s="18" t="s">
        <v>6752</v>
      </c>
      <c r="C450" s="17" t="s">
        <v>271</v>
      </c>
      <c r="D450" s="19">
        <v>646.46</v>
      </c>
      <c r="F450" s="3" t="str">
        <f t="shared" ref="F450:F513" si="7">A450</f>
        <v>C1609</v>
      </c>
    </row>
    <row r="451" spans="1:6" x14ac:dyDescent="0.2">
      <c r="A451" s="20" t="s">
        <v>6753</v>
      </c>
      <c r="B451" s="21" t="s">
        <v>6754</v>
      </c>
      <c r="C451" s="20" t="s">
        <v>255</v>
      </c>
      <c r="D451" s="22">
        <v>45.88</v>
      </c>
      <c r="F451" s="3" t="str">
        <f t="shared" si="7"/>
        <v>C1611</v>
      </c>
    </row>
    <row r="452" spans="1:6" x14ac:dyDescent="0.2">
      <c r="A452" s="17" t="s">
        <v>6755</v>
      </c>
      <c r="B452" s="18" t="s">
        <v>6756</v>
      </c>
      <c r="C452" s="17" t="s">
        <v>271</v>
      </c>
      <c r="D452" s="19">
        <v>193.38</v>
      </c>
      <c r="F452" s="3" t="str">
        <f t="shared" si="7"/>
        <v>C2863</v>
      </c>
    </row>
    <row r="453" spans="1:6" x14ac:dyDescent="0.2">
      <c r="A453" s="17" t="s">
        <v>6757</v>
      </c>
      <c r="B453" s="18" t="s">
        <v>6758</v>
      </c>
      <c r="C453" s="17" t="s">
        <v>271</v>
      </c>
      <c r="D453" s="19">
        <v>112.7</v>
      </c>
      <c r="F453" s="3" t="str">
        <f t="shared" si="7"/>
        <v>C2864</v>
      </c>
    </row>
    <row r="454" spans="1:6" x14ac:dyDescent="0.2">
      <c r="A454" s="14" t="s">
        <v>6759</v>
      </c>
      <c r="B454" s="15"/>
      <c r="C454" s="14">
        <v>0</v>
      </c>
      <c r="D454" s="16">
        <v>133.65</v>
      </c>
      <c r="F454" s="3" t="str">
        <f t="shared" si="7"/>
        <v>SERVIÇOS DE USINAGEM</v>
      </c>
    </row>
    <row r="455" spans="1:6" x14ac:dyDescent="0.2">
      <c r="A455" s="17" t="s">
        <v>6760</v>
      </c>
      <c r="B455" s="18" t="s">
        <v>6761</v>
      </c>
      <c r="C455" s="17" t="s">
        <v>271</v>
      </c>
      <c r="D455" s="19">
        <v>24.94</v>
      </c>
      <c r="F455" s="3" t="str">
        <f t="shared" si="7"/>
        <v>C3315</v>
      </c>
    </row>
    <row r="456" spans="1:6" x14ac:dyDescent="0.2">
      <c r="A456" s="17" t="s">
        <v>6762</v>
      </c>
      <c r="B456" s="18" t="s">
        <v>6763</v>
      </c>
      <c r="C456" s="17" t="s">
        <v>271</v>
      </c>
      <c r="D456" s="19">
        <v>90.02</v>
      </c>
      <c r="F456" s="3" t="str">
        <f t="shared" si="7"/>
        <v>C3316</v>
      </c>
    </row>
    <row r="457" spans="1:6" x14ac:dyDescent="0.2">
      <c r="A457" s="17" t="s">
        <v>6764</v>
      </c>
      <c r="B457" s="18" t="s">
        <v>6765</v>
      </c>
      <c r="C457" s="17" t="s">
        <v>271</v>
      </c>
      <c r="D457" s="19">
        <v>18.690000000000001</v>
      </c>
      <c r="F457" s="3" t="str">
        <f t="shared" si="7"/>
        <v>C3244</v>
      </c>
    </row>
    <row r="458" spans="1:6" x14ac:dyDescent="0.2">
      <c r="A458" s="14" t="s">
        <v>6766</v>
      </c>
      <c r="B458" s="15"/>
      <c r="C458" s="14">
        <v>0</v>
      </c>
      <c r="D458" s="16">
        <v>47.55</v>
      </c>
      <c r="F458" s="3" t="str">
        <f t="shared" si="7"/>
        <v>TRANSPORTE COM ELEVADOR</v>
      </c>
    </row>
    <row r="459" spans="1:6" x14ac:dyDescent="0.2">
      <c r="A459" s="17" t="s">
        <v>6767</v>
      </c>
      <c r="B459" s="18" t="s">
        <v>6768</v>
      </c>
      <c r="C459" s="17" t="s">
        <v>271</v>
      </c>
      <c r="D459" s="19">
        <v>23.13</v>
      </c>
      <c r="F459" s="3" t="str">
        <f t="shared" si="7"/>
        <v>C2540</v>
      </c>
    </row>
    <row r="460" spans="1:6" x14ac:dyDescent="0.2">
      <c r="A460" s="17" t="s">
        <v>6769</v>
      </c>
      <c r="B460" s="18" t="s">
        <v>6770</v>
      </c>
      <c r="C460" s="17" t="s">
        <v>271</v>
      </c>
      <c r="D460" s="19">
        <v>24.42</v>
      </c>
      <c r="F460" s="3" t="str">
        <f t="shared" si="7"/>
        <v>C2541</v>
      </c>
    </row>
    <row r="461" spans="1:6" x14ac:dyDescent="0.2">
      <c r="A461" s="14" t="s">
        <v>6771</v>
      </c>
      <c r="B461" s="15"/>
      <c r="C461" s="14">
        <v>0</v>
      </c>
      <c r="D461" s="16">
        <v>75.37</v>
      </c>
      <c r="F461" s="3" t="str">
        <f t="shared" si="7"/>
        <v>TRANSPORTE COM GUINDASTE</v>
      </c>
    </row>
    <row r="462" spans="1:6" x14ac:dyDescent="0.2">
      <c r="A462" s="17" t="s">
        <v>6772</v>
      </c>
      <c r="B462" s="18" t="s">
        <v>6773</v>
      </c>
      <c r="C462" s="17" t="s">
        <v>6774</v>
      </c>
      <c r="D462" s="19">
        <v>10.37</v>
      </c>
      <c r="F462" s="3" t="str">
        <f t="shared" si="7"/>
        <v>C2525</v>
      </c>
    </row>
    <row r="463" spans="1:6" x14ac:dyDescent="0.2">
      <c r="A463" s="17" t="s">
        <v>6775</v>
      </c>
      <c r="B463" s="18" t="s">
        <v>6776</v>
      </c>
      <c r="C463" s="17" t="s">
        <v>6774</v>
      </c>
      <c r="D463" s="19">
        <v>8.91</v>
      </c>
      <c r="F463" s="3" t="str">
        <f t="shared" si="7"/>
        <v>C2526</v>
      </c>
    </row>
    <row r="464" spans="1:6" x14ac:dyDescent="0.2">
      <c r="A464" s="17" t="s">
        <v>6777</v>
      </c>
      <c r="B464" s="18" t="s">
        <v>6778</v>
      </c>
      <c r="C464" s="17" t="s">
        <v>6774</v>
      </c>
      <c r="D464" s="19">
        <v>18.78</v>
      </c>
      <c r="F464" s="3" t="str">
        <f t="shared" si="7"/>
        <v>C2528</v>
      </c>
    </row>
    <row r="465" spans="1:6" x14ac:dyDescent="0.2">
      <c r="A465" s="17" t="s">
        <v>6779</v>
      </c>
      <c r="B465" s="18" t="s">
        <v>6780</v>
      </c>
      <c r="C465" s="17" t="s">
        <v>6774</v>
      </c>
      <c r="D465" s="19">
        <v>37.31</v>
      </c>
      <c r="F465" s="3" t="str">
        <f t="shared" si="7"/>
        <v>C2527</v>
      </c>
    </row>
    <row r="466" spans="1:6" x14ac:dyDescent="0.2">
      <c r="A466" s="14" t="s">
        <v>6781</v>
      </c>
      <c r="B466" s="15"/>
      <c r="C466" s="14">
        <v>0</v>
      </c>
      <c r="D466" s="16">
        <v>692361.36</v>
      </c>
      <c r="F466" s="3" t="str">
        <f t="shared" si="7"/>
        <v>OBRAS DE DRENAGEM</v>
      </c>
    </row>
    <row r="467" spans="1:6" x14ac:dyDescent="0.2">
      <c r="A467" s="14" t="s">
        <v>6782</v>
      </c>
      <c r="B467" s="15"/>
      <c r="C467" s="14">
        <v>0</v>
      </c>
      <c r="D467" s="16">
        <v>11.52</v>
      </c>
      <c r="F467" s="3" t="str">
        <f t="shared" si="7"/>
        <v>ESGOTAMENTO DE ÁREAS E VALAS</v>
      </c>
    </row>
    <row r="468" spans="1:6" x14ac:dyDescent="0.2">
      <c r="A468" s="17" t="s">
        <v>6783</v>
      </c>
      <c r="B468" s="18" t="s">
        <v>6784</v>
      </c>
      <c r="C468" s="17" t="s">
        <v>271</v>
      </c>
      <c r="D468" s="19">
        <v>0.04</v>
      </c>
      <c r="F468" s="3" t="str">
        <f t="shared" si="7"/>
        <v>C1278</v>
      </c>
    </row>
    <row r="469" spans="1:6" x14ac:dyDescent="0.2">
      <c r="A469" s="17" t="s">
        <v>6785</v>
      </c>
      <c r="B469" s="18" t="s">
        <v>6786</v>
      </c>
      <c r="C469" s="17" t="s">
        <v>271</v>
      </c>
      <c r="D469" s="19">
        <v>0.04</v>
      </c>
      <c r="F469" s="3" t="str">
        <f t="shared" si="7"/>
        <v>C1277</v>
      </c>
    </row>
    <row r="470" spans="1:6" x14ac:dyDescent="0.2">
      <c r="A470" s="17" t="s">
        <v>6787</v>
      </c>
      <c r="B470" s="18" t="s">
        <v>6788</v>
      </c>
      <c r="C470" s="17" t="s">
        <v>558</v>
      </c>
      <c r="D470" s="19">
        <v>5.72</v>
      </c>
      <c r="F470" s="3" t="str">
        <f t="shared" si="7"/>
        <v>C2806</v>
      </c>
    </row>
    <row r="471" spans="1:6" x14ac:dyDescent="0.2">
      <c r="A471" s="17" t="s">
        <v>6789</v>
      </c>
      <c r="B471" s="18" t="s">
        <v>6790</v>
      </c>
      <c r="C471" s="17" t="s">
        <v>558</v>
      </c>
      <c r="D471" s="19">
        <v>5.72</v>
      </c>
      <c r="F471" s="3" t="str">
        <f t="shared" si="7"/>
        <v>C2807</v>
      </c>
    </row>
    <row r="472" spans="1:6" x14ac:dyDescent="0.2">
      <c r="A472" s="14" t="s">
        <v>6791</v>
      </c>
      <c r="B472" s="15"/>
      <c r="C472" s="14">
        <v>0</v>
      </c>
      <c r="D472" s="16">
        <v>105.55</v>
      </c>
      <c r="F472" s="3" t="str">
        <f t="shared" si="7"/>
        <v>REBAIXAMENTO DO LENÇOL FREÁTICO</v>
      </c>
    </row>
    <row r="473" spans="1:6" x14ac:dyDescent="0.2">
      <c r="A473" s="17" t="s">
        <v>6792</v>
      </c>
      <c r="B473" s="18" t="s">
        <v>6793</v>
      </c>
      <c r="C473" s="17" t="s">
        <v>6794</v>
      </c>
      <c r="D473" s="19">
        <v>24.25</v>
      </c>
      <c r="F473" s="3" t="str">
        <f t="shared" si="7"/>
        <v>C2924</v>
      </c>
    </row>
    <row r="474" spans="1:6" x14ac:dyDescent="0.2">
      <c r="A474" s="17" t="s">
        <v>6795</v>
      </c>
      <c r="B474" s="18" t="s">
        <v>6796</v>
      </c>
      <c r="C474" s="17" t="s">
        <v>6794</v>
      </c>
      <c r="D474" s="19">
        <v>38.03</v>
      </c>
      <c r="F474" s="3" t="str">
        <f t="shared" si="7"/>
        <v>C2922</v>
      </c>
    </row>
    <row r="475" spans="1:6" x14ac:dyDescent="0.2">
      <c r="A475" s="17" t="s">
        <v>6797</v>
      </c>
      <c r="B475" s="18" t="s">
        <v>6798</v>
      </c>
      <c r="C475" s="17" t="s">
        <v>0</v>
      </c>
      <c r="D475" s="19">
        <v>43.27</v>
      </c>
      <c r="F475" s="3" t="str">
        <f t="shared" si="7"/>
        <v>C2923</v>
      </c>
    </row>
    <row r="476" spans="1:6" x14ac:dyDescent="0.2">
      <c r="A476" s="14" t="s">
        <v>6799</v>
      </c>
      <c r="B476" s="15"/>
      <c r="C476" s="14">
        <v>0</v>
      </c>
      <c r="D476" s="16">
        <v>660407.22</v>
      </c>
      <c r="F476" s="3" t="str">
        <f t="shared" si="7"/>
        <v>OBRAS D' ARTE CORRENTE</v>
      </c>
    </row>
    <row r="477" spans="1:6" x14ac:dyDescent="0.2">
      <c r="A477" s="17" t="s">
        <v>6800</v>
      </c>
      <c r="B477" s="18" t="s">
        <v>6801</v>
      </c>
      <c r="C477" s="17" t="s">
        <v>0</v>
      </c>
      <c r="D477" s="19">
        <v>80.97</v>
      </c>
      <c r="F477" s="3" t="str">
        <f t="shared" si="7"/>
        <v>C0109</v>
      </c>
    </row>
    <row r="478" spans="1:6" x14ac:dyDescent="0.2">
      <c r="A478" s="17" t="s">
        <v>6802</v>
      </c>
      <c r="B478" s="18" t="s">
        <v>6803</v>
      </c>
      <c r="C478" s="17" t="s">
        <v>0</v>
      </c>
      <c r="D478" s="19">
        <v>111.82</v>
      </c>
      <c r="F478" s="3" t="str">
        <f t="shared" si="7"/>
        <v>C0110</v>
      </c>
    </row>
    <row r="479" spans="1:6" x14ac:dyDescent="0.2">
      <c r="A479" s="17" t="s">
        <v>6804</v>
      </c>
      <c r="B479" s="18" t="s">
        <v>6805</v>
      </c>
      <c r="C479" s="17" t="s">
        <v>0</v>
      </c>
      <c r="D479" s="19">
        <v>255.06</v>
      </c>
      <c r="F479" s="3" t="str">
        <f t="shared" si="7"/>
        <v>C0105</v>
      </c>
    </row>
    <row r="480" spans="1:6" x14ac:dyDescent="0.2">
      <c r="A480" s="17" t="s">
        <v>6806</v>
      </c>
      <c r="B480" s="18" t="s">
        <v>6807</v>
      </c>
      <c r="C480" s="17" t="s">
        <v>0</v>
      </c>
      <c r="D480" s="19">
        <v>419.37</v>
      </c>
      <c r="F480" s="3" t="str">
        <f t="shared" si="7"/>
        <v>C0108</v>
      </c>
    </row>
    <row r="481" spans="1:6" x14ac:dyDescent="0.2">
      <c r="A481" s="17" t="s">
        <v>6808</v>
      </c>
      <c r="B481" s="18" t="s">
        <v>6809</v>
      </c>
      <c r="C481" s="17" t="s">
        <v>0</v>
      </c>
      <c r="D481" s="19">
        <v>514</v>
      </c>
      <c r="F481" s="3" t="str">
        <f t="shared" si="7"/>
        <v>C0104</v>
      </c>
    </row>
    <row r="482" spans="1:6" ht="22.5" x14ac:dyDescent="0.2">
      <c r="A482" s="17" t="s">
        <v>6810</v>
      </c>
      <c r="B482" s="18" t="s">
        <v>6811</v>
      </c>
      <c r="C482" s="17" t="s">
        <v>0</v>
      </c>
      <c r="D482" s="19">
        <v>872.56</v>
      </c>
      <c r="F482" s="3" t="str">
        <f t="shared" si="7"/>
        <v>C4325</v>
      </c>
    </row>
    <row r="483" spans="1:6" x14ac:dyDescent="0.2">
      <c r="A483" s="17">
        <v>0</v>
      </c>
      <c r="B483" s="18"/>
      <c r="C483" s="17">
        <v>0</v>
      </c>
      <c r="D483" s="19">
        <v>0</v>
      </c>
      <c r="F483" s="3">
        <f t="shared" si="7"/>
        <v>0</v>
      </c>
    </row>
    <row r="484" spans="1:6" x14ac:dyDescent="0.2">
      <c r="A484" s="17" t="s">
        <v>6812</v>
      </c>
      <c r="B484" s="18" t="s">
        <v>6813</v>
      </c>
      <c r="C484" s="17" t="s">
        <v>0</v>
      </c>
      <c r="D484" s="19">
        <v>768.38</v>
      </c>
      <c r="F484" s="3" t="str">
        <f t="shared" si="7"/>
        <v>C0106</v>
      </c>
    </row>
    <row r="485" spans="1:6" x14ac:dyDescent="0.2">
      <c r="A485" s="17" t="s">
        <v>6814</v>
      </c>
      <c r="B485" s="18" t="s">
        <v>6815</v>
      </c>
      <c r="C485" s="17" t="s">
        <v>0</v>
      </c>
      <c r="D485" s="19">
        <v>1125.6199999999999</v>
      </c>
      <c r="F485" s="3" t="str">
        <f t="shared" si="7"/>
        <v>C0107</v>
      </c>
    </row>
    <row r="486" spans="1:6" x14ac:dyDescent="0.2">
      <c r="A486" s="17" t="s">
        <v>6816</v>
      </c>
      <c r="B486" s="18" t="s">
        <v>6817</v>
      </c>
      <c r="C486" s="17" t="s">
        <v>0</v>
      </c>
      <c r="D486" s="19">
        <v>211.28</v>
      </c>
      <c r="F486" s="3" t="str">
        <f t="shared" si="7"/>
        <v>C4673</v>
      </c>
    </row>
    <row r="487" spans="1:6" x14ac:dyDescent="0.2">
      <c r="A487" s="17">
        <v>0</v>
      </c>
      <c r="B487" s="18"/>
      <c r="C487" s="17">
        <v>0</v>
      </c>
      <c r="D487" s="19">
        <v>0</v>
      </c>
      <c r="F487" s="3">
        <f t="shared" si="7"/>
        <v>0</v>
      </c>
    </row>
    <row r="488" spans="1:6" x14ac:dyDescent="0.2">
      <c r="A488" s="17" t="s">
        <v>6818</v>
      </c>
      <c r="B488" s="18" t="s">
        <v>6819</v>
      </c>
      <c r="C488" s="17" t="s">
        <v>0</v>
      </c>
      <c r="D488" s="19">
        <v>336.88</v>
      </c>
      <c r="F488" s="3" t="str">
        <f t="shared" si="7"/>
        <v>C4674</v>
      </c>
    </row>
    <row r="489" spans="1:6" x14ac:dyDescent="0.2">
      <c r="A489" s="17">
        <v>0</v>
      </c>
      <c r="B489" s="18"/>
      <c r="C489" s="17">
        <v>0</v>
      </c>
      <c r="D489" s="19">
        <v>0</v>
      </c>
      <c r="F489" s="3">
        <f t="shared" si="7"/>
        <v>0</v>
      </c>
    </row>
    <row r="490" spans="1:6" x14ac:dyDescent="0.2">
      <c r="A490" s="17" t="s">
        <v>6820</v>
      </c>
      <c r="B490" s="18" t="s">
        <v>6821</v>
      </c>
      <c r="C490" s="17" t="s">
        <v>0</v>
      </c>
      <c r="D490" s="19">
        <v>575.91</v>
      </c>
      <c r="F490" s="3" t="str">
        <f t="shared" si="7"/>
        <v>C4675</v>
      </c>
    </row>
    <row r="491" spans="1:6" x14ac:dyDescent="0.2">
      <c r="A491" s="17">
        <v>0</v>
      </c>
      <c r="B491" s="18"/>
      <c r="C491" s="17">
        <v>0</v>
      </c>
      <c r="D491" s="19">
        <v>0</v>
      </c>
      <c r="F491" s="3">
        <f t="shared" si="7"/>
        <v>0</v>
      </c>
    </row>
    <row r="492" spans="1:6" x14ac:dyDescent="0.2">
      <c r="A492" s="17" t="s">
        <v>6822</v>
      </c>
      <c r="B492" s="18" t="s">
        <v>6823</v>
      </c>
      <c r="C492" s="17" t="s">
        <v>0</v>
      </c>
      <c r="D492" s="19">
        <v>858.49</v>
      </c>
      <c r="F492" s="3" t="str">
        <f t="shared" si="7"/>
        <v>C4676</v>
      </c>
    </row>
    <row r="493" spans="1:6" x14ac:dyDescent="0.2">
      <c r="A493" s="17">
        <v>0</v>
      </c>
      <c r="B493" s="18"/>
      <c r="C493" s="17">
        <v>0</v>
      </c>
      <c r="D493" s="19">
        <v>0</v>
      </c>
      <c r="F493" s="3">
        <f t="shared" si="7"/>
        <v>0</v>
      </c>
    </row>
    <row r="494" spans="1:6" x14ac:dyDescent="0.2">
      <c r="A494" s="17" t="s">
        <v>6824</v>
      </c>
      <c r="B494" s="18" t="s">
        <v>6825</v>
      </c>
      <c r="C494" s="17" t="s">
        <v>0</v>
      </c>
      <c r="D494" s="19">
        <v>1101.99</v>
      </c>
      <c r="F494" s="3" t="str">
        <f t="shared" si="7"/>
        <v>C4677</v>
      </c>
    </row>
    <row r="495" spans="1:6" x14ac:dyDescent="0.2">
      <c r="A495" s="17">
        <v>0</v>
      </c>
      <c r="B495" s="18"/>
      <c r="C495" s="17">
        <v>0</v>
      </c>
      <c r="D495" s="19">
        <v>0</v>
      </c>
      <c r="F495" s="3">
        <f t="shared" si="7"/>
        <v>0</v>
      </c>
    </row>
    <row r="496" spans="1:6" x14ac:dyDescent="0.2">
      <c r="A496" s="17" t="s">
        <v>6826</v>
      </c>
      <c r="B496" s="18" t="s">
        <v>6827</v>
      </c>
      <c r="C496" s="17" t="s">
        <v>0</v>
      </c>
      <c r="D496" s="19">
        <v>1526.57</v>
      </c>
      <c r="F496" s="3" t="str">
        <f t="shared" si="7"/>
        <v>C4678</v>
      </c>
    </row>
    <row r="497" spans="1:6" x14ac:dyDescent="0.2">
      <c r="A497" s="17">
        <v>0</v>
      </c>
      <c r="B497" s="18"/>
      <c r="C497" s="17">
        <v>0</v>
      </c>
      <c r="D497" s="19">
        <v>0</v>
      </c>
      <c r="F497" s="3">
        <f t="shared" si="7"/>
        <v>0</v>
      </c>
    </row>
    <row r="498" spans="1:6" x14ac:dyDescent="0.2">
      <c r="A498" s="17" t="s">
        <v>6828</v>
      </c>
      <c r="B498" s="18" t="s">
        <v>6829</v>
      </c>
      <c r="C498" s="17" t="s">
        <v>0</v>
      </c>
      <c r="D498" s="19">
        <v>1918.51</v>
      </c>
      <c r="F498" s="3" t="str">
        <f t="shared" si="7"/>
        <v>C4679</v>
      </c>
    </row>
    <row r="499" spans="1:6" x14ac:dyDescent="0.2">
      <c r="A499" s="17">
        <v>0</v>
      </c>
      <c r="B499" s="18"/>
      <c r="C499" s="17">
        <v>0</v>
      </c>
      <c r="D499" s="19">
        <v>0</v>
      </c>
      <c r="F499" s="3">
        <f t="shared" si="7"/>
        <v>0</v>
      </c>
    </row>
    <row r="500" spans="1:6" x14ac:dyDescent="0.2">
      <c r="A500" s="17" t="s">
        <v>6830</v>
      </c>
      <c r="B500" s="18" t="s">
        <v>6831</v>
      </c>
      <c r="C500" s="17" t="s">
        <v>26</v>
      </c>
      <c r="D500" s="19">
        <v>1775.42</v>
      </c>
      <c r="F500" s="3" t="str">
        <f t="shared" si="7"/>
        <v>C0424</v>
      </c>
    </row>
    <row r="501" spans="1:6" x14ac:dyDescent="0.2">
      <c r="A501" s="17" t="s">
        <v>6832</v>
      </c>
      <c r="B501" s="18" t="s">
        <v>6833</v>
      </c>
      <c r="C501" s="17" t="s">
        <v>26</v>
      </c>
      <c r="D501" s="19">
        <v>2346.16</v>
      </c>
      <c r="F501" s="3" t="str">
        <f t="shared" si="7"/>
        <v>C0423</v>
      </c>
    </row>
    <row r="502" spans="1:6" x14ac:dyDescent="0.2">
      <c r="A502" s="17" t="s">
        <v>6834</v>
      </c>
      <c r="B502" s="18" t="s">
        <v>6835</v>
      </c>
      <c r="C502" s="17" t="s">
        <v>26</v>
      </c>
      <c r="D502" s="19">
        <v>2930.76</v>
      </c>
      <c r="F502" s="3" t="str">
        <f t="shared" si="7"/>
        <v>C0406</v>
      </c>
    </row>
    <row r="503" spans="1:6" x14ac:dyDescent="0.2">
      <c r="A503" s="17" t="s">
        <v>6836</v>
      </c>
      <c r="B503" s="18" t="s">
        <v>6837</v>
      </c>
      <c r="C503" s="17" t="s">
        <v>26</v>
      </c>
      <c r="D503" s="19">
        <v>3683.02</v>
      </c>
      <c r="F503" s="3" t="str">
        <f t="shared" si="7"/>
        <v>C0407</v>
      </c>
    </row>
    <row r="504" spans="1:6" x14ac:dyDescent="0.2">
      <c r="A504" s="17" t="s">
        <v>6838</v>
      </c>
      <c r="B504" s="18" t="s">
        <v>6839</v>
      </c>
      <c r="C504" s="17" t="s">
        <v>26</v>
      </c>
      <c r="D504" s="19">
        <v>5019.87</v>
      </c>
      <c r="F504" s="3" t="str">
        <f t="shared" si="7"/>
        <v>C0440</v>
      </c>
    </row>
    <row r="505" spans="1:6" x14ac:dyDescent="0.2">
      <c r="A505" s="17" t="s">
        <v>6840</v>
      </c>
      <c r="B505" s="18" t="s">
        <v>6841</v>
      </c>
      <c r="C505" s="17" t="s">
        <v>26</v>
      </c>
      <c r="D505" s="19">
        <v>2054.44</v>
      </c>
      <c r="F505" s="3" t="str">
        <f t="shared" si="7"/>
        <v>C0408</v>
      </c>
    </row>
    <row r="506" spans="1:6" x14ac:dyDescent="0.2">
      <c r="A506" s="17" t="s">
        <v>6842</v>
      </c>
      <c r="B506" s="18" t="s">
        <v>6843</v>
      </c>
      <c r="C506" s="17" t="s">
        <v>26</v>
      </c>
      <c r="D506" s="19">
        <v>2493.7800000000002</v>
      </c>
      <c r="F506" s="3" t="str">
        <f t="shared" si="7"/>
        <v>C0409</v>
      </c>
    </row>
    <row r="507" spans="1:6" x14ac:dyDescent="0.2">
      <c r="A507" s="17" t="s">
        <v>6844</v>
      </c>
      <c r="B507" s="18" t="s">
        <v>6845</v>
      </c>
      <c r="C507" s="17" t="s">
        <v>26</v>
      </c>
      <c r="D507" s="19">
        <v>3607.41</v>
      </c>
      <c r="F507" s="3" t="str">
        <f t="shared" si="7"/>
        <v>C0410</v>
      </c>
    </row>
    <row r="508" spans="1:6" x14ac:dyDescent="0.2">
      <c r="A508" s="17" t="s">
        <v>6846</v>
      </c>
      <c r="B508" s="18" t="s">
        <v>6847</v>
      </c>
      <c r="C508" s="17" t="s">
        <v>26</v>
      </c>
      <c r="D508" s="19">
        <v>2867.04</v>
      </c>
      <c r="F508" s="3" t="str">
        <f t="shared" si="7"/>
        <v>C0411</v>
      </c>
    </row>
    <row r="509" spans="1:6" x14ac:dyDescent="0.2">
      <c r="A509" s="17" t="s">
        <v>6848</v>
      </c>
      <c r="B509" s="18" t="s">
        <v>6849</v>
      </c>
      <c r="C509" s="17" t="s">
        <v>26</v>
      </c>
      <c r="D509" s="19">
        <v>3985.46</v>
      </c>
      <c r="F509" s="3" t="str">
        <f t="shared" si="7"/>
        <v>C0412</v>
      </c>
    </row>
    <row r="510" spans="1:6" x14ac:dyDescent="0.2">
      <c r="A510" s="17" t="s">
        <v>6850</v>
      </c>
      <c r="B510" s="18" t="s">
        <v>6851</v>
      </c>
      <c r="C510" s="17" t="s">
        <v>26</v>
      </c>
      <c r="D510" s="19">
        <v>5336.28</v>
      </c>
      <c r="F510" s="3" t="str">
        <f t="shared" si="7"/>
        <v>C0413</v>
      </c>
    </row>
    <row r="511" spans="1:6" x14ac:dyDescent="0.2">
      <c r="A511" s="17" t="s">
        <v>6852</v>
      </c>
      <c r="B511" s="18" t="s">
        <v>6853</v>
      </c>
      <c r="C511" s="17" t="s">
        <v>26</v>
      </c>
      <c r="D511" s="19">
        <v>3235.85</v>
      </c>
      <c r="F511" s="3" t="str">
        <f t="shared" si="7"/>
        <v>C0414</v>
      </c>
    </row>
    <row r="512" spans="1:6" x14ac:dyDescent="0.2">
      <c r="A512" s="17" t="s">
        <v>6854</v>
      </c>
      <c r="B512" s="18" t="s">
        <v>6855</v>
      </c>
      <c r="C512" s="17" t="s">
        <v>26</v>
      </c>
      <c r="D512" s="19">
        <v>4419.66</v>
      </c>
      <c r="F512" s="3" t="str">
        <f t="shared" si="7"/>
        <v>C0415</v>
      </c>
    </row>
    <row r="513" spans="1:6" x14ac:dyDescent="0.2">
      <c r="A513" s="17" t="s">
        <v>6856</v>
      </c>
      <c r="B513" s="18" t="s">
        <v>6857</v>
      </c>
      <c r="C513" s="17" t="s">
        <v>26</v>
      </c>
      <c r="D513" s="19">
        <v>5991.82</v>
      </c>
      <c r="F513" s="3" t="str">
        <f t="shared" si="7"/>
        <v>C0416</v>
      </c>
    </row>
    <row r="514" spans="1:6" x14ac:dyDescent="0.2">
      <c r="A514" s="17" t="s">
        <v>6858</v>
      </c>
      <c r="B514" s="18" t="s">
        <v>6859</v>
      </c>
      <c r="C514" s="17" t="s">
        <v>26</v>
      </c>
      <c r="D514" s="19">
        <v>7665.23</v>
      </c>
      <c r="F514" s="3" t="str">
        <f t="shared" ref="F514:F577" si="8">A514</f>
        <v>C0417</v>
      </c>
    </row>
    <row r="515" spans="1:6" x14ac:dyDescent="0.2">
      <c r="A515" s="17" t="s">
        <v>6860</v>
      </c>
      <c r="B515" s="18" t="s">
        <v>6861</v>
      </c>
      <c r="C515" s="17" t="s">
        <v>26</v>
      </c>
      <c r="D515" s="19">
        <v>3611.89</v>
      </c>
      <c r="F515" s="3" t="str">
        <f t="shared" si="8"/>
        <v>C0418</v>
      </c>
    </row>
    <row r="516" spans="1:6" x14ac:dyDescent="0.2">
      <c r="A516" s="17" t="s">
        <v>6862</v>
      </c>
      <c r="B516" s="18" t="s">
        <v>6863</v>
      </c>
      <c r="C516" s="17" t="s">
        <v>26</v>
      </c>
      <c r="D516" s="19">
        <v>5066.49</v>
      </c>
      <c r="F516" s="3" t="str">
        <f t="shared" si="8"/>
        <v>C0419</v>
      </c>
    </row>
    <row r="517" spans="1:6" x14ac:dyDescent="0.2">
      <c r="A517" s="17" t="s">
        <v>6864</v>
      </c>
      <c r="B517" s="18" t="s">
        <v>6865</v>
      </c>
      <c r="C517" s="17" t="s">
        <v>26</v>
      </c>
      <c r="D517" s="19">
        <v>6582.49</v>
      </c>
      <c r="F517" s="3" t="str">
        <f t="shared" si="8"/>
        <v>C0420</v>
      </c>
    </row>
    <row r="518" spans="1:6" x14ac:dyDescent="0.2">
      <c r="A518" s="17" t="s">
        <v>6866</v>
      </c>
      <c r="B518" s="18" t="s">
        <v>6867</v>
      </c>
      <c r="C518" s="17" t="s">
        <v>26</v>
      </c>
      <c r="D518" s="19">
        <v>8333.48</v>
      </c>
      <c r="F518" s="3" t="str">
        <f t="shared" si="8"/>
        <v>C0421</v>
      </c>
    </row>
    <row r="519" spans="1:6" x14ac:dyDescent="0.2">
      <c r="A519" s="17" t="s">
        <v>6868</v>
      </c>
      <c r="B519" s="18" t="s">
        <v>6869</v>
      </c>
      <c r="C519" s="17" t="s">
        <v>26</v>
      </c>
      <c r="D519" s="19">
        <v>10319.49</v>
      </c>
      <c r="F519" s="3" t="str">
        <f t="shared" si="8"/>
        <v>C0422</v>
      </c>
    </row>
    <row r="520" spans="1:6" x14ac:dyDescent="0.2">
      <c r="A520" s="17" t="s">
        <v>6870</v>
      </c>
      <c r="B520" s="18" t="s">
        <v>6871</v>
      </c>
      <c r="C520" s="17" t="s">
        <v>26</v>
      </c>
      <c r="D520" s="19">
        <v>2940.32</v>
      </c>
      <c r="F520" s="3" t="str">
        <f t="shared" si="8"/>
        <v>C0391</v>
      </c>
    </row>
    <row r="521" spans="1:6" x14ac:dyDescent="0.2">
      <c r="A521" s="17" t="s">
        <v>6872</v>
      </c>
      <c r="B521" s="18" t="s">
        <v>6873</v>
      </c>
      <c r="C521" s="17" t="s">
        <v>26</v>
      </c>
      <c r="D521" s="19">
        <v>3734.12</v>
      </c>
      <c r="F521" s="3" t="str">
        <f t="shared" si="8"/>
        <v>C0392</v>
      </c>
    </row>
    <row r="522" spans="1:6" x14ac:dyDescent="0.2">
      <c r="A522" s="17" t="s">
        <v>6874</v>
      </c>
      <c r="B522" s="18" t="s">
        <v>6875</v>
      </c>
      <c r="C522" s="17" t="s">
        <v>26</v>
      </c>
      <c r="D522" s="19">
        <v>5136.22</v>
      </c>
      <c r="F522" s="3" t="str">
        <f t="shared" si="8"/>
        <v>C0393</v>
      </c>
    </row>
    <row r="523" spans="1:6" x14ac:dyDescent="0.2">
      <c r="A523" s="17" t="s">
        <v>6876</v>
      </c>
      <c r="B523" s="18" t="s">
        <v>6877</v>
      </c>
      <c r="C523" s="17" t="s">
        <v>26</v>
      </c>
      <c r="D523" s="19">
        <v>4433.63</v>
      </c>
      <c r="F523" s="3" t="str">
        <f t="shared" si="8"/>
        <v>C0394</v>
      </c>
    </row>
    <row r="524" spans="1:6" x14ac:dyDescent="0.2">
      <c r="A524" s="17" t="s">
        <v>6878</v>
      </c>
      <c r="B524" s="18" t="s">
        <v>6879</v>
      </c>
      <c r="C524" s="17" t="s">
        <v>26</v>
      </c>
      <c r="D524" s="19">
        <v>5852.98</v>
      </c>
      <c r="F524" s="3" t="str">
        <f t="shared" si="8"/>
        <v>C0395</v>
      </c>
    </row>
    <row r="525" spans="1:6" x14ac:dyDescent="0.2">
      <c r="A525" s="17" t="s">
        <v>6880</v>
      </c>
      <c r="B525" s="18" t="s">
        <v>6881</v>
      </c>
      <c r="C525" s="17" t="s">
        <v>26</v>
      </c>
      <c r="D525" s="19">
        <v>7508.47</v>
      </c>
      <c r="F525" s="3" t="str">
        <f t="shared" si="8"/>
        <v>C0396</v>
      </c>
    </row>
    <row r="526" spans="1:6" x14ac:dyDescent="0.2">
      <c r="A526" s="17" t="s">
        <v>6882</v>
      </c>
      <c r="B526" s="18" t="s">
        <v>6883</v>
      </c>
      <c r="C526" s="17" t="s">
        <v>26</v>
      </c>
      <c r="D526" s="19">
        <v>5106.32</v>
      </c>
      <c r="F526" s="3" t="str">
        <f t="shared" si="8"/>
        <v>C0397</v>
      </c>
    </row>
    <row r="527" spans="1:6" x14ac:dyDescent="0.2">
      <c r="A527" s="17" t="s">
        <v>6884</v>
      </c>
      <c r="B527" s="18" t="s">
        <v>6885</v>
      </c>
      <c r="C527" s="17" t="s">
        <v>26</v>
      </c>
      <c r="D527" s="19">
        <v>6642.44</v>
      </c>
      <c r="F527" s="3" t="str">
        <f t="shared" si="8"/>
        <v>C0398</v>
      </c>
    </row>
    <row r="528" spans="1:6" x14ac:dyDescent="0.2">
      <c r="A528" s="17" t="s">
        <v>6886</v>
      </c>
      <c r="B528" s="18" t="s">
        <v>6887</v>
      </c>
      <c r="C528" s="17" t="s">
        <v>26</v>
      </c>
      <c r="D528" s="19">
        <v>8667.7199999999993</v>
      </c>
      <c r="F528" s="3" t="str">
        <f t="shared" si="8"/>
        <v>C0399</v>
      </c>
    </row>
    <row r="529" spans="1:6" x14ac:dyDescent="0.2">
      <c r="A529" s="17" t="s">
        <v>6888</v>
      </c>
      <c r="B529" s="18" t="s">
        <v>6889</v>
      </c>
      <c r="C529" s="17" t="s">
        <v>26</v>
      </c>
      <c r="D529" s="19">
        <v>10709.98</v>
      </c>
      <c r="F529" s="3" t="str">
        <f t="shared" si="8"/>
        <v>C0400</v>
      </c>
    </row>
    <row r="530" spans="1:6" x14ac:dyDescent="0.2">
      <c r="A530" s="17" t="s">
        <v>6890</v>
      </c>
      <c r="B530" s="18" t="s">
        <v>6891</v>
      </c>
      <c r="C530" s="17" t="s">
        <v>26</v>
      </c>
      <c r="D530" s="19">
        <v>5796.25</v>
      </c>
      <c r="F530" s="3" t="str">
        <f t="shared" si="8"/>
        <v>C0401</v>
      </c>
    </row>
    <row r="531" spans="1:6" x14ac:dyDescent="0.2">
      <c r="A531" s="17" t="s">
        <v>6892</v>
      </c>
      <c r="B531" s="18" t="s">
        <v>6893</v>
      </c>
      <c r="C531" s="17" t="s">
        <v>26</v>
      </c>
      <c r="D531" s="19">
        <v>7780.96</v>
      </c>
      <c r="F531" s="3" t="str">
        <f t="shared" si="8"/>
        <v>C0402</v>
      </c>
    </row>
    <row r="532" spans="1:6" x14ac:dyDescent="0.2">
      <c r="A532" s="17" t="s">
        <v>6894</v>
      </c>
      <c r="B532" s="18" t="s">
        <v>6895</v>
      </c>
      <c r="C532" s="17" t="s">
        <v>26</v>
      </c>
      <c r="D532" s="19">
        <v>9722.23</v>
      </c>
      <c r="F532" s="3" t="str">
        <f t="shared" si="8"/>
        <v>C0403</v>
      </c>
    </row>
    <row r="533" spans="1:6" x14ac:dyDescent="0.2">
      <c r="A533" s="17" t="s">
        <v>6896</v>
      </c>
      <c r="B533" s="18" t="s">
        <v>6897</v>
      </c>
      <c r="C533" s="17" t="s">
        <v>26</v>
      </c>
      <c r="D533" s="19">
        <v>11898.5</v>
      </c>
      <c r="F533" s="3" t="str">
        <f t="shared" si="8"/>
        <v>C0404</v>
      </c>
    </row>
    <row r="534" spans="1:6" x14ac:dyDescent="0.2">
      <c r="A534" s="17" t="s">
        <v>6898</v>
      </c>
      <c r="B534" s="18" t="s">
        <v>6899</v>
      </c>
      <c r="C534" s="17" t="s">
        <v>26</v>
      </c>
      <c r="D534" s="19">
        <v>14309.78</v>
      </c>
      <c r="F534" s="3" t="str">
        <f t="shared" si="8"/>
        <v>C0405</v>
      </c>
    </row>
    <row r="535" spans="1:6" x14ac:dyDescent="0.2">
      <c r="A535" s="17" t="s">
        <v>6900</v>
      </c>
      <c r="B535" s="18" t="s">
        <v>6901</v>
      </c>
      <c r="C535" s="17" t="s">
        <v>26</v>
      </c>
      <c r="D535" s="19">
        <v>3825.95</v>
      </c>
      <c r="F535" s="3" t="str">
        <f t="shared" si="8"/>
        <v>C0425</v>
      </c>
    </row>
    <row r="536" spans="1:6" x14ac:dyDescent="0.2">
      <c r="A536" s="17" t="s">
        <v>6902</v>
      </c>
      <c r="B536" s="18" t="s">
        <v>6903</v>
      </c>
      <c r="C536" s="17" t="s">
        <v>26</v>
      </c>
      <c r="D536" s="19">
        <v>4974.47</v>
      </c>
      <c r="F536" s="3" t="str">
        <f t="shared" si="8"/>
        <v>C0426</v>
      </c>
    </row>
    <row r="537" spans="1:6" x14ac:dyDescent="0.2">
      <c r="A537" s="17" t="s">
        <v>6904</v>
      </c>
      <c r="B537" s="18" t="s">
        <v>6905</v>
      </c>
      <c r="C537" s="17" t="s">
        <v>26</v>
      </c>
      <c r="D537" s="19">
        <v>6665.29</v>
      </c>
      <c r="F537" s="3" t="str">
        <f t="shared" si="8"/>
        <v>C0427</v>
      </c>
    </row>
    <row r="538" spans="1:6" x14ac:dyDescent="0.2">
      <c r="A538" s="17" t="s">
        <v>6906</v>
      </c>
      <c r="B538" s="18" t="s">
        <v>6907</v>
      </c>
      <c r="C538" s="17" t="s">
        <v>26</v>
      </c>
      <c r="D538" s="19">
        <v>5997.61</v>
      </c>
      <c r="F538" s="3" t="str">
        <f t="shared" si="8"/>
        <v>C0428</v>
      </c>
    </row>
    <row r="539" spans="1:6" x14ac:dyDescent="0.2">
      <c r="A539" s="17" t="s">
        <v>6908</v>
      </c>
      <c r="B539" s="18" t="s">
        <v>6909</v>
      </c>
      <c r="C539" s="17" t="s">
        <v>26</v>
      </c>
      <c r="D539" s="19">
        <v>6976.36</v>
      </c>
      <c r="F539" s="3" t="str">
        <f t="shared" si="8"/>
        <v>C0431</v>
      </c>
    </row>
    <row r="540" spans="1:6" x14ac:dyDescent="0.2">
      <c r="A540" s="17" t="s">
        <v>6910</v>
      </c>
      <c r="B540" s="18" t="s">
        <v>6911</v>
      </c>
      <c r="C540" s="17" t="s">
        <v>26</v>
      </c>
      <c r="D540" s="19">
        <v>7721.63</v>
      </c>
      <c r="F540" s="3" t="str">
        <f t="shared" si="8"/>
        <v>C0429</v>
      </c>
    </row>
    <row r="541" spans="1:6" x14ac:dyDescent="0.2">
      <c r="A541" s="17" t="s">
        <v>6912</v>
      </c>
      <c r="B541" s="18" t="s">
        <v>6913</v>
      </c>
      <c r="C541" s="17" t="s">
        <v>26</v>
      </c>
      <c r="D541" s="19">
        <v>9680.2199999999993</v>
      </c>
      <c r="F541" s="3" t="str">
        <f t="shared" si="8"/>
        <v>C0430</v>
      </c>
    </row>
    <row r="542" spans="1:6" x14ac:dyDescent="0.2">
      <c r="A542" s="17" t="s">
        <v>6914</v>
      </c>
      <c r="B542" s="18" t="s">
        <v>6915</v>
      </c>
      <c r="C542" s="17" t="s">
        <v>26</v>
      </c>
      <c r="D542" s="19">
        <v>8865.91</v>
      </c>
      <c r="F542" s="3" t="str">
        <f t="shared" si="8"/>
        <v>C0432</v>
      </c>
    </row>
    <row r="543" spans="1:6" x14ac:dyDescent="0.2">
      <c r="A543" s="17" t="s">
        <v>6916</v>
      </c>
      <c r="B543" s="18" t="s">
        <v>6917</v>
      </c>
      <c r="C543" s="17" t="s">
        <v>26</v>
      </c>
      <c r="D543" s="19">
        <v>11343.88</v>
      </c>
      <c r="F543" s="3" t="str">
        <f t="shared" si="8"/>
        <v>C0433</v>
      </c>
    </row>
    <row r="544" spans="1:6" x14ac:dyDescent="0.2">
      <c r="A544" s="17" t="s">
        <v>6918</v>
      </c>
      <c r="B544" s="18" t="s">
        <v>6919</v>
      </c>
      <c r="C544" s="17" t="s">
        <v>26</v>
      </c>
      <c r="D544" s="19">
        <v>13754.04</v>
      </c>
      <c r="F544" s="3" t="str">
        <f t="shared" si="8"/>
        <v>C0434</v>
      </c>
    </row>
    <row r="545" spans="1:6" x14ac:dyDescent="0.2">
      <c r="A545" s="17" t="s">
        <v>6920</v>
      </c>
      <c r="B545" s="18" t="s">
        <v>6921</v>
      </c>
      <c r="C545" s="17" t="s">
        <v>26</v>
      </c>
      <c r="D545" s="19">
        <v>7980.61</v>
      </c>
      <c r="F545" s="3" t="str">
        <f t="shared" si="8"/>
        <v>C0435</v>
      </c>
    </row>
    <row r="546" spans="1:6" x14ac:dyDescent="0.2">
      <c r="A546" s="17" t="s">
        <v>6922</v>
      </c>
      <c r="B546" s="18" t="s">
        <v>6923</v>
      </c>
      <c r="C546" s="17" t="s">
        <v>26</v>
      </c>
      <c r="D546" s="19">
        <v>10494.73</v>
      </c>
      <c r="F546" s="3" t="str">
        <f t="shared" si="8"/>
        <v>C0436</v>
      </c>
    </row>
    <row r="547" spans="1:6" x14ac:dyDescent="0.2">
      <c r="A547" s="17" t="s">
        <v>6924</v>
      </c>
      <c r="B547" s="18" t="s">
        <v>6925</v>
      </c>
      <c r="C547" s="17" t="s">
        <v>26</v>
      </c>
      <c r="D547" s="19">
        <v>12861.27</v>
      </c>
      <c r="F547" s="3" t="str">
        <f t="shared" si="8"/>
        <v>C0437</v>
      </c>
    </row>
    <row r="548" spans="1:6" x14ac:dyDescent="0.2">
      <c r="A548" s="17" t="s">
        <v>6926</v>
      </c>
      <c r="B548" s="18" t="s">
        <v>6927</v>
      </c>
      <c r="C548" s="17" t="s">
        <v>26</v>
      </c>
      <c r="D548" s="19">
        <v>15462.82</v>
      </c>
      <c r="F548" s="3" t="str">
        <f t="shared" si="8"/>
        <v>C0438</v>
      </c>
    </row>
    <row r="549" spans="1:6" x14ac:dyDescent="0.2">
      <c r="A549" s="17" t="s">
        <v>6928</v>
      </c>
      <c r="B549" s="18" t="s">
        <v>6929</v>
      </c>
      <c r="C549" s="17" t="s">
        <v>26</v>
      </c>
      <c r="D549" s="19">
        <v>18299.38</v>
      </c>
      <c r="F549" s="3" t="str">
        <f t="shared" si="8"/>
        <v>C0439</v>
      </c>
    </row>
    <row r="550" spans="1:6" x14ac:dyDescent="0.2">
      <c r="A550" s="17" t="s">
        <v>6930</v>
      </c>
      <c r="B550" s="18" t="s">
        <v>6931</v>
      </c>
      <c r="C550" s="17" t="s">
        <v>0</v>
      </c>
      <c r="D550" s="19">
        <v>611.74</v>
      </c>
      <c r="F550" s="3" t="str">
        <f t="shared" si="8"/>
        <v>C0919</v>
      </c>
    </row>
    <row r="551" spans="1:6" x14ac:dyDescent="0.2">
      <c r="A551" s="17" t="s">
        <v>6932</v>
      </c>
      <c r="B551" s="18" t="s">
        <v>6933</v>
      </c>
      <c r="C551" s="17" t="s">
        <v>0</v>
      </c>
      <c r="D551" s="19">
        <v>775.57</v>
      </c>
      <c r="F551" s="3" t="str">
        <f t="shared" si="8"/>
        <v>C0920</v>
      </c>
    </row>
    <row r="552" spans="1:6" x14ac:dyDescent="0.2">
      <c r="A552" s="17" t="s">
        <v>6934</v>
      </c>
      <c r="B552" s="18" t="s">
        <v>6935</v>
      </c>
      <c r="C552" s="17" t="s">
        <v>0</v>
      </c>
      <c r="D552" s="19">
        <v>1160.8599999999999</v>
      </c>
      <c r="F552" s="3" t="str">
        <f t="shared" si="8"/>
        <v>C0886</v>
      </c>
    </row>
    <row r="553" spans="1:6" x14ac:dyDescent="0.2">
      <c r="A553" s="17" t="s">
        <v>6936</v>
      </c>
      <c r="B553" s="18" t="s">
        <v>6937</v>
      </c>
      <c r="C553" s="17" t="s">
        <v>0</v>
      </c>
      <c r="D553" s="19">
        <v>1473.64</v>
      </c>
      <c r="F553" s="3" t="str">
        <f t="shared" si="8"/>
        <v>C0887</v>
      </c>
    </row>
    <row r="554" spans="1:6" x14ac:dyDescent="0.2">
      <c r="A554" s="17" t="s">
        <v>6938</v>
      </c>
      <c r="B554" s="18" t="s">
        <v>6939</v>
      </c>
      <c r="C554" s="17" t="s">
        <v>0</v>
      </c>
      <c r="D554" s="19">
        <v>2169.4699999999998</v>
      </c>
      <c r="F554" s="3" t="str">
        <f t="shared" si="8"/>
        <v>C0918</v>
      </c>
    </row>
    <row r="555" spans="1:6" x14ac:dyDescent="0.2">
      <c r="A555" s="17" t="s">
        <v>6940</v>
      </c>
      <c r="B555" s="18" t="s">
        <v>6941</v>
      </c>
      <c r="C555" s="17" t="s">
        <v>0</v>
      </c>
      <c r="D555" s="19">
        <v>1596.33</v>
      </c>
      <c r="F555" s="3" t="str">
        <f t="shared" si="8"/>
        <v>C0888</v>
      </c>
    </row>
    <row r="556" spans="1:6" x14ac:dyDescent="0.2">
      <c r="A556" s="17" t="s">
        <v>6942</v>
      </c>
      <c r="B556" s="18" t="s">
        <v>6943</v>
      </c>
      <c r="C556" s="17" t="s">
        <v>0</v>
      </c>
      <c r="D556" s="19">
        <v>2065.98</v>
      </c>
      <c r="F556" s="3" t="str">
        <f t="shared" si="8"/>
        <v>C0889</v>
      </c>
    </row>
    <row r="557" spans="1:6" x14ac:dyDescent="0.2">
      <c r="A557" s="17" t="s">
        <v>6944</v>
      </c>
      <c r="B557" s="18" t="s">
        <v>6945</v>
      </c>
      <c r="C557" s="17" t="s">
        <v>0</v>
      </c>
      <c r="D557" s="19">
        <v>2593.5100000000002</v>
      </c>
      <c r="F557" s="3" t="str">
        <f t="shared" si="8"/>
        <v>C0890</v>
      </c>
    </row>
    <row r="558" spans="1:6" x14ac:dyDescent="0.2">
      <c r="A558" s="17" t="s">
        <v>6946</v>
      </c>
      <c r="B558" s="18" t="s">
        <v>6947</v>
      </c>
      <c r="C558" s="17" t="s">
        <v>0</v>
      </c>
      <c r="D558" s="19">
        <v>2550.41</v>
      </c>
      <c r="F558" s="3" t="str">
        <f t="shared" si="8"/>
        <v>C0891</v>
      </c>
    </row>
    <row r="559" spans="1:6" x14ac:dyDescent="0.2">
      <c r="A559" s="17" t="s">
        <v>6948</v>
      </c>
      <c r="B559" s="18" t="s">
        <v>6949</v>
      </c>
      <c r="C559" s="17" t="s">
        <v>0</v>
      </c>
      <c r="D559" s="19">
        <v>3015.86</v>
      </c>
      <c r="F559" s="3" t="str">
        <f t="shared" si="8"/>
        <v>C0892</v>
      </c>
    </row>
    <row r="560" spans="1:6" x14ac:dyDescent="0.2">
      <c r="A560" s="17" t="s">
        <v>6950</v>
      </c>
      <c r="B560" s="18" t="s">
        <v>6951</v>
      </c>
      <c r="C560" s="17" t="s">
        <v>0</v>
      </c>
      <c r="D560" s="19">
        <v>3481.31</v>
      </c>
      <c r="F560" s="3" t="str">
        <f t="shared" si="8"/>
        <v>C0893</v>
      </c>
    </row>
    <row r="561" spans="1:6" x14ac:dyDescent="0.2">
      <c r="A561" s="17" t="s">
        <v>6952</v>
      </c>
      <c r="B561" s="18" t="s">
        <v>6953</v>
      </c>
      <c r="C561" s="17" t="s">
        <v>0</v>
      </c>
      <c r="D561" s="19">
        <v>2889.34</v>
      </c>
      <c r="F561" s="3" t="str">
        <f t="shared" si="8"/>
        <v>C0894</v>
      </c>
    </row>
    <row r="562" spans="1:6" x14ac:dyDescent="0.2">
      <c r="A562" s="17" t="s">
        <v>6954</v>
      </c>
      <c r="B562" s="18" t="s">
        <v>6955</v>
      </c>
      <c r="C562" s="17" t="s">
        <v>0</v>
      </c>
      <c r="D562" s="19">
        <v>3371.05</v>
      </c>
      <c r="F562" s="3" t="str">
        <f t="shared" si="8"/>
        <v>C0895</v>
      </c>
    </row>
    <row r="563" spans="1:6" x14ac:dyDescent="0.2">
      <c r="A563" s="17" t="s">
        <v>6956</v>
      </c>
      <c r="B563" s="18" t="s">
        <v>6957</v>
      </c>
      <c r="C563" s="17" t="s">
        <v>0</v>
      </c>
      <c r="D563" s="19">
        <v>4620.5600000000004</v>
      </c>
      <c r="F563" s="3" t="str">
        <f t="shared" si="8"/>
        <v>C0897</v>
      </c>
    </row>
    <row r="564" spans="1:6" x14ac:dyDescent="0.2">
      <c r="A564" s="17" t="s">
        <v>6958</v>
      </c>
      <c r="B564" s="18" t="s">
        <v>6959</v>
      </c>
      <c r="C564" s="17" t="s">
        <v>0</v>
      </c>
      <c r="D564" s="19">
        <v>4095.31</v>
      </c>
      <c r="F564" s="3" t="str">
        <f t="shared" si="8"/>
        <v>C0896</v>
      </c>
    </row>
    <row r="565" spans="1:6" x14ac:dyDescent="0.2">
      <c r="A565" s="17" t="s">
        <v>6960</v>
      </c>
      <c r="B565" s="18" t="s">
        <v>6961</v>
      </c>
      <c r="C565" s="17" t="s">
        <v>0</v>
      </c>
      <c r="D565" s="19">
        <v>3276.38</v>
      </c>
      <c r="F565" s="3" t="str">
        <f t="shared" si="8"/>
        <v>C0898</v>
      </c>
    </row>
    <row r="566" spans="1:6" x14ac:dyDescent="0.2">
      <c r="A566" s="17" t="s">
        <v>6962</v>
      </c>
      <c r="B566" s="18" t="s">
        <v>6963</v>
      </c>
      <c r="C566" s="17" t="s">
        <v>0</v>
      </c>
      <c r="D566" s="19">
        <v>4074.78</v>
      </c>
      <c r="F566" s="3" t="str">
        <f t="shared" si="8"/>
        <v>C0899</v>
      </c>
    </row>
    <row r="567" spans="1:6" x14ac:dyDescent="0.2">
      <c r="A567" s="17" t="s">
        <v>6964</v>
      </c>
      <c r="B567" s="18" t="s">
        <v>6965</v>
      </c>
      <c r="C567" s="17" t="s">
        <v>0</v>
      </c>
      <c r="D567" s="19">
        <v>4638.0600000000004</v>
      </c>
      <c r="F567" s="3" t="str">
        <f t="shared" si="8"/>
        <v>C0900</v>
      </c>
    </row>
    <row r="568" spans="1:6" x14ac:dyDescent="0.2">
      <c r="A568" s="17" t="s">
        <v>6966</v>
      </c>
      <c r="B568" s="18" t="s">
        <v>6967</v>
      </c>
      <c r="C568" s="17" t="s">
        <v>0</v>
      </c>
      <c r="D568" s="19">
        <v>5201.34</v>
      </c>
      <c r="F568" s="3" t="str">
        <f t="shared" si="8"/>
        <v>C0901</v>
      </c>
    </row>
    <row r="569" spans="1:6" x14ac:dyDescent="0.2">
      <c r="A569" s="17" t="s">
        <v>6968</v>
      </c>
      <c r="B569" s="18" t="s">
        <v>6969</v>
      </c>
      <c r="C569" s="17" t="s">
        <v>0</v>
      </c>
      <c r="D569" s="19">
        <v>5764.61</v>
      </c>
      <c r="F569" s="3" t="str">
        <f t="shared" si="8"/>
        <v>C0902</v>
      </c>
    </row>
    <row r="570" spans="1:6" x14ac:dyDescent="0.2">
      <c r="A570" s="17" t="s">
        <v>6970</v>
      </c>
      <c r="B570" s="18" t="s">
        <v>6971</v>
      </c>
      <c r="C570" s="17" t="s">
        <v>0</v>
      </c>
      <c r="D570" s="19">
        <v>2615.5100000000002</v>
      </c>
      <c r="F570" s="3" t="str">
        <f t="shared" si="8"/>
        <v>C0872</v>
      </c>
    </row>
    <row r="571" spans="1:6" x14ac:dyDescent="0.2">
      <c r="A571" s="17" t="s">
        <v>6972</v>
      </c>
      <c r="B571" s="18" t="s">
        <v>6973</v>
      </c>
      <c r="C571" s="17" t="s">
        <v>0</v>
      </c>
      <c r="D571" s="19">
        <v>3476.43</v>
      </c>
      <c r="F571" s="3" t="str">
        <f t="shared" si="8"/>
        <v>C0873</v>
      </c>
    </row>
    <row r="572" spans="1:6" x14ac:dyDescent="0.2">
      <c r="A572" s="17" t="s">
        <v>6974</v>
      </c>
      <c r="B572" s="18" t="s">
        <v>6975</v>
      </c>
      <c r="C572" s="17" t="s">
        <v>0</v>
      </c>
      <c r="D572" s="19">
        <v>4292.17</v>
      </c>
      <c r="F572" s="3" t="str">
        <f t="shared" si="8"/>
        <v>C0874</v>
      </c>
    </row>
    <row r="573" spans="1:6" x14ac:dyDescent="0.2">
      <c r="A573" s="17" t="s">
        <v>6976</v>
      </c>
      <c r="B573" s="18" t="s">
        <v>6977</v>
      </c>
      <c r="C573" s="17" t="s">
        <v>0</v>
      </c>
      <c r="D573" s="19">
        <v>4406.1000000000004</v>
      </c>
      <c r="F573" s="3" t="str">
        <f t="shared" si="8"/>
        <v>C0875</v>
      </c>
    </row>
    <row r="574" spans="1:6" x14ac:dyDescent="0.2">
      <c r="A574" s="17" t="s">
        <v>6978</v>
      </c>
      <c r="B574" s="18" t="s">
        <v>6979</v>
      </c>
      <c r="C574" s="17" t="s">
        <v>0</v>
      </c>
      <c r="D574" s="19">
        <v>5136.79</v>
      </c>
      <c r="F574" s="3" t="str">
        <f t="shared" si="8"/>
        <v>C0876</v>
      </c>
    </row>
    <row r="575" spans="1:6" x14ac:dyDescent="0.2">
      <c r="A575" s="17" t="s">
        <v>6980</v>
      </c>
      <c r="B575" s="18" t="s">
        <v>6981</v>
      </c>
      <c r="C575" s="17" t="s">
        <v>0</v>
      </c>
      <c r="D575" s="19">
        <v>5867.48</v>
      </c>
      <c r="F575" s="3" t="str">
        <f t="shared" si="8"/>
        <v>C0877</v>
      </c>
    </row>
    <row r="576" spans="1:6" x14ac:dyDescent="0.2">
      <c r="A576" s="17" t="s">
        <v>6982</v>
      </c>
      <c r="B576" s="18" t="s">
        <v>6983</v>
      </c>
      <c r="C576" s="17" t="s">
        <v>0</v>
      </c>
      <c r="D576" s="19">
        <v>5083.96</v>
      </c>
      <c r="F576" s="3" t="str">
        <f t="shared" si="8"/>
        <v>C0878</v>
      </c>
    </row>
    <row r="577" spans="1:6" x14ac:dyDescent="0.2">
      <c r="A577" s="17" t="s">
        <v>6984</v>
      </c>
      <c r="B577" s="18" t="s">
        <v>6985</v>
      </c>
      <c r="C577" s="17" t="s">
        <v>0</v>
      </c>
      <c r="D577" s="19">
        <v>5847.17</v>
      </c>
      <c r="F577" s="3" t="str">
        <f t="shared" si="8"/>
        <v>C0879</v>
      </c>
    </row>
    <row r="578" spans="1:6" x14ac:dyDescent="0.2">
      <c r="A578" s="17" t="s">
        <v>6986</v>
      </c>
      <c r="B578" s="18" t="s">
        <v>6987</v>
      </c>
      <c r="C578" s="17" t="s">
        <v>0</v>
      </c>
      <c r="D578" s="19">
        <v>6973.55</v>
      </c>
      <c r="F578" s="3" t="str">
        <f t="shared" ref="F578:F641" si="9">A578</f>
        <v>C0880</v>
      </c>
    </row>
    <row r="579" spans="1:6" x14ac:dyDescent="0.2">
      <c r="A579" s="17" t="s">
        <v>6988</v>
      </c>
      <c r="B579" s="18" t="s">
        <v>6989</v>
      </c>
      <c r="C579" s="17" t="s">
        <v>0</v>
      </c>
      <c r="D579" s="19">
        <v>7802.07</v>
      </c>
      <c r="F579" s="3" t="str">
        <f t="shared" si="9"/>
        <v>C0921</v>
      </c>
    </row>
    <row r="580" spans="1:6" x14ac:dyDescent="0.2">
      <c r="A580" s="17" t="s">
        <v>6990</v>
      </c>
      <c r="B580" s="18" t="s">
        <v>6991</v>
      </c>
      <c r="C580" s="17" t="s">
        <v>0</v>
      </c>
      <c r="D580" s="19">
        <v>5858.04</v>
      </c>
      <c r="F580" s="3" t="str">
        <f t="shared" si="9"/>
        <v>C0881</v>
      </c>
    </row>
    <row r="581" spans="1:6" x14ac:dyDescent="0.2">
      <c r="A581" s="17" t="s">
        <v>6992</v>
      </c>
      <c r="B581" s="18" t="s">
        <v>6993</v>
      </c>
      <c r="C581" s="17" t="s">
        <v>0</v>
      </c>
      <c r="D581" s="19">
        <v>7104.41</v>
      </c>
      <c r="F581" s="3" t="str">
        <f t="shared" si="9"/>
        <v>C0882</v>
      </c>
    </row>
    <row r="582" spans="1:6" x14ac:dyDescent="0.2">
      <c r="A582" s="17" t="s">
        <v>6994</v>
      </c>
      <c r="B582" s="18" t="s">
        <v>6995</v>
      </c>
      <c r="C582" s="17" t="s">
        <v>0</v>
      </c>
      <c r="D582" s="19">
        <v>7998.1</v>
      </c>
      <c r="F582" s="3" t="str">
        <f t="shared" si="9"/>
        <v>C0883</v>
      </c>
    </row>
    <row r="583" spans="1:6" x14ac:dyDescent="0.2">
      <c r="A583" s="17" t="s">
        <v>6996</v>
      </c>
      <c r="B583" s="18" t="s">
        <v>6997</v>
      </c>
      <c r="C583" s="17" t="s">
        <v>0</v>
      </c>
      <c r="D583" s="19">
        <v>8891.7900000000009</v>
      </c>
      <c r="F583" s="3" t="str">
        <f t="shared" si="9"/>
        <v>C0884</v>
      </c>
    </row>
    <row r="584" spans="1:6" x14ac:dyDescent="0.2">
      <c r="A584" s="17" t="s">
        <v>6998</v>
      </c>
      <c r="B584" s="18" t="s">
        <v>6999</v>
      </c>
      <c r="C584" s="17" t="s">
        <v>0</v>
      </c>
      <c r="D584" s="19">
        <v>9785.48</v>
      </c>
      <c r="F584" s="3" t="str">
        <f t="shared" si="9"/>
        <v>C0885</v>
      </c>
    </row>
    <row r="585" spans="1:6" x14ac:dyDescent="0.2">
      <c r="A585" s="17" t="s">
        <v>7000</v>
      </c>
      <c r="B585" s="18" t="s">
        <v>7001</v>
      </c>
      <c r="C585" s="17" t="s">
        <v>0</v>
      </c>
      <c r="D585" s="19">
        <v>3634.69</v>
      </c>
      <c r="F585" s="3" t="str">
        <f t="shared" si="9"/>
        <v>C0903</v>
      </c>
    </row>
    <row r="586" spans="1:6" x14ac:dyDescent="0.2">
      <c r="A586" s="17" t="s">
        <v>7002</v>
      </c>
      <c r="B586" s="18" t="s">
        <v>7003</v>
      </c>
      <c r="C586" s="17" t="s">
        <v>0</v>
      </c>
      <c r="D586" s="19">
        <v>5990.79</v>
      </c>
      <c r="F586" s="3" t="str">
        <f t="shared" si="9"/>
        <v>C0905</v>
      </c>
    </row>
    <row r="587" spans="1:6" x14ac:dyDescent="0.2">
      <c r="A587" s="17" t="s">
        <v>7004</v>
      </c>
      <c r="B587" s="18" t="s">
        <v>7005</v>
      </c>
      <c r="C587" s="17" t="s">
        <v>0</v>
      </c>
      <c r="D587" s="19">
        <v>4886.88</v>
      </c>
      <c r="F587" s="3" t="str">
        <f t="shared" si="9"/>
        <v>C0904</v>
      </c>
    </row>
    <row r="588" spans="1:6" x14ac:dyDescent="0.2">
      <c r="A588" s="17" t="s">
        <v>7006</v>
      </c>
      <c r="B588" s="18" t="s">
        <v>7007</v>
      </c>
      <c r="C588" s="17" t="s">
        <v>0</v>
      </c>
      <c r="D588" s="19">
        <v>7257.72</v>
      </c>
      <c r="F588" s="3" t="str">
        <f t="shared" si="9"/>
        <v>C0907</v>
      </c>
    </row>
    <row r="589" spans="1:6" x14ac:dyDescent="0.2">
      <c r="A589" s="17" t="s">
        <v>7008</v>
      </c>
      <c r="B589" s="18" t="s">
        <v>7009</v>
      </c>
      <c r="C589" s="17" t="s">
        <v>0</v>
      </c>
      <c r="D589" s="19">
        <v>6261.79</v>
      </c>
      <c r="F589" s="3" t="str">
        <f t="shared" si="9"/>
        <v>C0906</v>
      </c>
    </row>
    <row r="590" spans="1:6" x14ac:dyDescent="0.2">
      <c r="A590" s="17" t="s">
        <v>7010</v>
      </c>
      <c r="B590" s="18" t="s">
        <v>7011</v>
      </c>
      <c r="C590" s="17" t="s">
        <v>0</v>
      </c>
      <c r="D590" s="19">
        <v>8253.65</v>
      </c>
      <c r="F590" s="3" t="str">
        <f t="shared" si="9"/>
        <v>C0908</v>
      </c>
    </row>
    <row r="591" spans="1:6" x14ac:dyDescent="0.2">
      <c r="A591" s="17" t="s">
        <v>7012</v>
      </c>
      <c r="B591" s="18" t="s">
        <v>7013</v>
      </c>
      <c r="C591" s="17" t="s">
        <v>0</v>
      </c>
      <c r="D591" s="19">
        <v>7278.58</v>
      </c>
      <c r="F591" s="3" t="str">
        <f t="shared" si="9"/>
        <v>C0909</v>
      </c>
    </row>
    <row r="592" spans="1:6" x14ac:dyDescent="0.2">
      <c r="A592" s="17" t="s">
        <v>7014</v>
      </c>
      <c r="B592" s="18" t="s">
        <v>7015</v>
      </c>
      <c r="C592" s="17" t="s">
        <v>0</v>
      </c>
      <c r="D592" s="19">
        <v>8323.2800000000007</v>
      </c>
      <c r="F592" s="3" t="str">
        <f t="shared" si="9"/>
        <v>C0910</v>
      </c>
    </row>
    <row r="593" spans="1:6" x14ac:dyDescent="0.2">
      <c r="A593" s="17" t="s">
        <v>7016</v>
      </c>
      <c r="B593" s="18" t="s">
        <v>7017</v>
      </c>
      <c r="C593" s="17" t="s">
        <v>0</v>
      </c>
      <c r="D593" s="19">
        <v>9851.7999999999993</v>
      </c>
      <c r="F593" s="3" t="str">
        <f t="shared" si="9"/>
        <v>C0911</v>
      </c>
    </row>
    <row r="594" spans="1:6" x14ac:dyDescent="0.2">
      <c r="A594" s="17" t="s">
        <v>7018</v>
      </c>
      <c r="B594" s="18" t="s">
        <v>7019</v>
      </c>
      <c r="C594" s="17" t="s">
        <v>0</v>
      </c>
      <c r="D594" s="19">
        <v>10983.59</v>
      </c>
      <c r="F594" s="3" t="str">
        <f t="shared" si="9"/>
        <v>C0912</v>
      </c>
    </row>
    <row r="595" spans="1:6" x14ac:dyDescent="0.2">
      <c r="A595" s="17" t="s">
        <v>7020</v>
      </c>
      <c r="B595" s="18" t="s">
        <v>7021</v>
      </c>
      <c r="C595" s="17" t="s">
        <v>0</v>
      </c>
      <c r="D595" s="19">
        <v>8439.7000000000007</v>
      </c>
      <c r="F595" s="3" t="str">
        <f t="shared" si="9"/>
        <v>C0913</v>
      </c>
    </row>
    <row r="596" spans="1:6" x14ac:dyDescent="0.2">
      <c r="A596" s="17" t="s">
        <v>7022</v>
      </c>
      <c r="B596" s="18" t="s">
        <v>7023</v>
      </c>
      <c r="C596" s="17" t="s">
        <v>0</v>
      </c>
      <c r="D596" s="19">
        <v>10134.049999999999</v>
      </c>
      <c r="F596" s="3" t="str">
        <f t="shared" si="9"/>
        <v>C0914</v>
      </c>
    </row>
    <row r="597" spans="1:6" x14ac:dyDescent="0.2">
      <c r="A597" s="17" t="s">
        <v>7024</v>
      </c>
      <c r="B597" s="18" t="s">
        <v>7025</v>
      </c>
      <c r="C597" s="17" t="s">
        <v>0</v>
      </c>
      <c r="D597" s="19">
        <v>11358.15</v>
      </c>
      <c r="F597" s="3" t="str">
        <f t="shared" si="9"/>
        <v>C0915</v>
      </c>
    </row>
    <row r="598" spans="1:6" x14ac:dyDescent="0.2">
      <c r="A598" s="17" t="s">
        <v>7026</v>
      </c>
      <c r="B598" s="18" t="s">
        <v>7027</v>
      </c>
      <c r="C598" s="17" t="s">
        <v>0</v>
      </c>
      <c r="D598" s="19">
        <v>12582.24</v>
      </c>
      <c r="F598" s="3" t="str">
        <f t="shared" si="9"/>
        <v>C0916</v>
      </c>
    </row>
    <row r="599" spans="1:6" x14ac:dyDescent="0.2">
      <c r="A599" s="17" t="s">
        <v>7028</v>
      </c>
      <c r="B599" s="18" t="s">
        <v>7029</v>
      </c>
      <c r="C599" s="17" t="s">
        <v>0</v>
      </c>
      <c r="D599" s="19">
        <v>13806.34</v>
      </c>
      <c r="F599" s="3" t="str">
        <f t="shared" si="9"/>
        <v>C0917</v>
      </c>
    </row>
    <row r="600" spans="1:6" x14ac:dyDescent="0.2">
      <c r="A600" s="17" t="s">
        <v>7030</v>
      </c>
      <c r="B600" s="18" t="s">
        <v>7031</v>
      </c>
      <c r="C600" s="17" t="s">
        <v>0</v>
      </c>
      <c r="D600" s="19">
        <v>2183.0700000000002</v>
      </c>
      <c r="F600" s="3" t="str">
        <f t="shared" si="9"/>
        <v>C4687</v>
      </c>
    </row>
    <row r="601" spans="1:6" x14ac:dyDescent="0.2">
      <c r="A601" s="17">
        <v>0</v>
      </c>
      <c r="B601" s="18"/>
      <c r="C601" s="17">
        <v>0</v>
      </c>
      <c r="D601" s="19">
        <v>0</v>
      </c>
      <c r="F601" s="3">
        <f t="shared" si="9"/>
        <v>0</v>
      </c>
    </row>
    <row r="602" spans="1:6" x14ac:dyDescent="0.2">
      <c r="A602" s="17" t="s">
        <v>7032</v>
      </c>
      <c r="B602" s="18" t="s">
        <v>7033</v>
      </c>
      <c r="C602" s="17" t="s">
        <v>0</v>
      </c>
      <c r="D602" s="19">
        <v>4273.0600000000004</v>
      </c>
      <c r="F602" s="3" t="str">
        <f t="shared" si="9"/>
        <v>C4688</v>
      </c>
    </row>
    <row r="603" spans="1:6" x14ac:dyDescent="0.2">
      <c r="A603" s="17" t="s">
        <v>7034</v>
      </c>
      <c r="B603" s="18" t="s">
        <v>7035</v>
      </c>
      <c r="C603" s="17" t="s">
        <v>0</v>
      </c>
      <c r="D603" s="19">
        <v>6360.79</v>
      </c>
      <c r="F603" s="3" t="str">
        <f t="shared" si="9"/>
        <v>C4689</v>
      </c>
    </row>
    <row r="604" spans="1:6" x14ac:dyDescent="0.2">
      <c r="A604" s="17" t="s">
        <v>7036</v>
      </c>
      <c r="B604" s="18" t="s">
        <v>7037</v>
      </c>
      <c r="C604" s="17" t="s">
        <v>0</v>
      </c>
      <c r="D604" s="19">
        <v>213.82</v>
      </c>
      <c r="F604" s="3" t="str">
        <f t="shared" si="9"/>
        <v>C3630</v>
      </c>
    </row>
    <row r="605" spans="1:6" x14ac:dyDescent="0.2">
      <c r="A605" s="17" t="s">
        <v>7038</v>
      </c>
      <c r="B605" s="18" t="s">
        <v>7039</v>
      </c>
      <c r="C605" s="17" t="s">
        <v>0</v>
      </c>
      <c r="D605" s="19">
        <v>382.61</v>
      </c>
      <c r="F605" s="3" t="str">
        <f t="shared" si="9"/>
        <v>C3632</v>
      </c>
    </row>
    <row r="606" spans="1:6" x14ac:dyDescent="0.2">
      <c r="A606" s="17" t="s">
        <v>7040</v>
      </c>
      <c r="B606" s="18" t="s">
        <v>7041</v>
      </c>
      <c r="C606" s="17" t="s">
        <v>0</v>
      </c>
      <c r="D606" s="19">
        <v>534.28</v>
      </c>
      <c r="F606" s="3" t="str">
        <f t="shared" si="9"/>
        <v>C3633</v>
      </c>
    </row>
    <row r="607" spans="1:6" x14ac:dyDescent="0.2">
      <c r="A607" s="17" t="s">
        <v>7042</v>
      </c>
      <c r="B607" s="18" t="s">
        <v>7043</v>
      </c>
      <c r="C607" s="17" t="s">
        <v>0</v>
      </c>
      <c r="D607" s="19">
        <v>268.55</v>
      </c>
      <c r="F607" s="3" t="str">
        <f t="shared" si="9"/>
        <v>C3631</v>
      </c>
    </row>
    <row r="608" spans="1:6" x14ac:dyDescent="0.2">
      <c r="A608" s="17" t="s">
        <v>7044</v>
      </c>
      <c r="B608" s="18" t="s">
        <v>7045</v>
      </c>
      <c r="C608" s="17" t="s">
        <v>0</v>
      </c>
      <c r="D608" s="19">
        <v>607.57000000000005</v>
      </c>
      <c r="F608" s="3" t="str">
        <f t="shared" si="9"/>
        <v>C3634</v>
      </c>
    </row>
    <row r="609" spans="1:6" x14ac:dyDescent="0.2">
      <c r="A609" s="17" t="s">
        <v>7046</v>
      </c>
      <c r="B609" s="18" t="s">
        <v>7047</v>
      </c>
      <c r="C609" s="17" t="s">
        <v>0</v>
      </c>
      <c r="D609" s="19">
        <v>689.87</v>
      </c>
      <c r="F609" s="3" t="str">
        <f t="shared" si="9"/>
        <v>C3635</v>
      </c>
    </row>
    <row r="610" spans="1:6" x14ac:dyDescent="0.2">
      <c r="A610" s="17" t="s">
        <v>7048</v>
      </c>
      <c r="B610" s="18" t="s">
        <v>7049</v>
      </c>
      <c r="C610" s="17" t="s">
        <v>0</v>
      </c>
      <c r="D610" s="19">
        <v>987.09</v>
      </c>
      <c r="F610" s="3" t="str">
        <f t="shared" si="9"/>
        <v>C3636</v>
      </c>
    </row>
    <row r="611" spans="1:6" x14ac:dyDescent="0.2">
      <c r="A611" s="17" t="s">
        <v>7050</v>
      </c>
      <c r="B611" s="18" t="s">
        <v>7051</v>
      </c>
      <c r="C611" s="17" t="s">
        <v>0</v>
      </c>
      <c r="D611" s="19">
        <v>1197.3</v>
      </c>
      <c r="F611" s="3" t="str">
        <f t="shared" si="9"/>
        <v>C3637</v>
      </c>
    </row>
    <row r="612" spans="1:6" x14ac:dyDescent="0.2">
      <c r="A612" s="17" t="s">
        <v>7052</v>
      </c>
      <c r="B612" s="18" t="s">
        <v>7053</v>
      </c>
      <c r="C612" s="17" t="s">
        <v>0</v>
      </c>
      <c r="D612" s="19">
        <v>178.1</v>
      </c>
      <c r="F612" s="3" t="str">
        <f t="shared" si="9"/>
        <v>C4680</v>
      </c>
    </row>
    <row r="613" spans="1:6" x14ac:dyDescent="0.2">
      <c r="A613" s="17" t="s">
        <v>7054</v>
      </c>
      <c r="B613" s="18" t="s">
        <v>7055</v>
      </c>
      <c r="C613" s="17" t="s">
        <v>0</v>
      </c>
      <c r="D613" s="19">
        <v>295.26</v>
      </c>
      <c r="F613" s="3" t="str">
        <f t="shared" si="9"/>
        <v>C4681</v>
      </c>
    </row>
    <row r="614" spans="1:6" x14ac:dyDescent="0.2">
      <c r="A614" s="17" t="s">
        <v>7056</v>
      </c>
      <c r="B614" s="18" t="s">
        <v>7057</v>
      </c>
      <c r="C614" s="17" t="s">
        <v>0</v>
      </c>
      <c r="D614" s="19">
        <v>517.38</v>
      </c>
      <c r="F614" s="3" t="str">
        <f t="shared" si="9"/>
        <v>C4682</v>
      </c>
    </row>
    <row r="615" spans="1:6" x14ac:dyDescent="0.2">
      <c r="A615" s="17" t="s">
        <v>7058</v>
      </c>
      <c r="B615" s="18" t="s">
        <v>7059</v>
      </c>
      <c r="C615" s="17" t="s">
        <v>0</v>
      </c>
      <c r="D615" s="19">
        <v>779.44</v>
      </c>
      <c r="F615" s="3" t="str">
        <f t="shared" si="9"/>
        <v>C4683</v>
      </c>
    </row>
    <row r="616" spans="1:6" x14ac:dyDescent="0.2">
      <c r="A616" s="17" t="s">
        <v>7060</v>
      </c>
      <c r="B616" s="18" t="s">
        <v>7061</v>
      </c>
      <c r="C616" s="17" t="s">
        <v>0</v>
      </c>
      <c r="D616" s="19">
        <v>1004.46</v>
      </c>
      <c r="F616" s="3" t="str">
        <f t="shared" si="9"/>
        <v>C4684</v>
      </c>
    </row>
    <row r="617" spans="1:6" x14ac:dyDescent="0.2">
      <c r="A617" s="17" t="s">
        <v>7062</v>
      </c>
      <c r="B617" s="18" t="s">
        <v>7063</v>
      </c>
      <c r="C617" s="17" t="s">
        <v>0</v>
      </c>
      <c r="D617" s="19">
        <v>1405.69</v>
      </c>
      <c r="F617" s="3" t="str">
        <f t="shared" si="9"/>
        <v>C4685</v>
      </c>
    </row>
    <row r="618" spans="1:6" x14ac:dyDescent="0.2">
      <c r="A618" s="17" t="s">
        <v>7064</v>
      </c>
      <c r="B618" s="18" t="s">
        <v>7065</v>
      </c>
      <c r="C618" s="17" t="s">
        <v>0</v>
      </c>
      <c r="D618" s="19">
        <v>1772.93</v>
      </c>
      <c r="F618" s="3" t="str">
        <f t="shared" si="9"/>
        <v>C4686</v>
      </c>
    </row>
    <row r="619" spans="1:6" x14ac:dyDescent="0.2">
      <c r="A619" s="14" t="s">
        <v>7066</v>
      </c>
      <c r="B619" s="15"/>
      <c r="C619" s="14">
        <v>0</v>
      </c>
      <c r="D619" s="16">
        <v>1561.22</v>
      </c>
      <c r="F619" s="3" t="str">
        <f t="shared" si="9"/>
        <v>DRENAGEM PROFUNDA</v>
      </c>
    </row>
    <row r="620" spans="1:6" x14ac:dyDescent="0.2">
      <c r="A620" s="17" t="s">
        <v>7067</v>
      </c>
      <c r="B620" s="18" t="s">
        <v>7068</v>
      </c>
      <c r="C620" s="17" t="s">
        <v>271</v>
      </c>
      <c r="D620" s="19">
        <v>106.55</v>
      </c>
      <c r="F620" s="3" t="str">
        <f t="shared" si="9"/>
        <v>C3401</v>
      </c>
    </row>
    <row r="621" spans="1:6" x14ac:dyDescent="0.2">
      <c r="A621" s="17" t="s">
        <v>7069</v>
      </c>
      <c r="B621" s="18" t="s">
        <v>7070</v>
      </c>
      <c r="C621" s="17" t="s">
        <v>0</v>
      </c>
      <c r="D621" s="19">
        <v>19.690000000000001</v>
      </c>
      <c r="F621" s="3" t="str">
        <f t="shared" si="9"/>
        <v>C2728</v>
      </c>
    </row>
    <row r="622" spans="1:6" x14ac:dyDescent="0.2">
      <c r="A622" s="17" t="s">
        <v>7071</v>
      </c>
      <c r="B622" s="18" t="s">
        <v>7072</v>
      </c>
      <c r="C622" s="17" t="s">
        <v>0</v>
      </c>
      <c r="D622" s="19">
        <v>26.61</v>
      </c>
      <c r="F622" s="3" t="str">
        <f t="shared" si="9"/>
        <v>C2729</v>
      </c>
    </row>
    <row r="623" spans="1:6" x14ac:dyDescent="0.2">
      <c r="A623" s="17" t="s">
        <v>7073</v>
      </c>
      <c r="B623" s="18" t="s">
        <v>7074</v>
      </c>
      <c r="C623" s="17" t="s">
        <v>0</v>
      </c>
      <c r="D623" s="19">
        <v>41.1</v>
      </c>
      <c r="F623" s="3" t="str">
        <f t="shared" si="9"/>
        <v>C2730</v>
      </c>
    </row>
    <row r="624" spans="1:6" x14ac:dyDescent="0.2">
      <c r="A624" s="17" t="s">
        <v>7075</v>
      </c>
      <c r="B624" s="18" t="s">
        <v>7076</v>
      </c>
      <c r="C624" s="17" t="s">
        <v>0</v>
      </c>
      <c r="D624" s="19">
        <v>38.840000000000003</v>
      </c>
      <c r="F624" s="3" t="str">
        <f t="shared" si="9"/>
        <v>C2731</v>
      </c>
    </row>
    <row r="625" spans="1:6" x14ac:dyDescent="0.2">
      <c r="A625" s="17" t="s">
        <v>7077</v>
      </c>
      <c r="B625" s="18" t="s">
        <v>7078</v>
      </c>
      <c r="C625" s="17" t="s">
        <v>0</v>
      </c>
      <c r="D625" s="19">
        <v>57.48</v>
      </c>
      <c r="F625" s="3" t="str">
        <f t="shared" si="9"/>
        <v>C2732</v>
      </c>
    </row>
    <row r="626" spans="1:6" x14ac:dyDescent="0.2">
      <c r="A626" s="17" t="s">
        <v>7079</v>
      </c>
      <c r="B626" s="18" t="s">
        <v>7080</v>
      </c>
      <c r="C626" s="17" t="s">
        <v>0</v>
      </c>
      <c r="D626" s="19">
        <v>78.349999999999994</v>
      </c>
      <c r="F626" s="3" t="str">
        <f t="shared" si="9"/>
        <v>C2733</v>
      </c>
    </row>
    <row r="627" spans="1:6" x14ac:dyDescent="0.2">
      <c r="A627" s="17" t="s">
        <v>7081</v>
      </c>
      <c r="B627" s="18" t="s">
        <v>7082</v>
      </c>
      <c r="C627" s="17" t="s">
        <v>0</v>
      </c>
      <c r="D627" s="19">
        <v>66.73</v>
      </c>
      <c r="F627" s="3" t="str">
        <f t="shared" si="9"/>
        <v>C3071</v>
      </c>
    </row>
    <row r="628" spans="1:6" x14ac:dyDescent="0.2">
      <c r="A628" s="17" t="s">
        <v>7083</v>
      </c>
      <c r="B628" s="18" t="s">
        <v>7084</v>
      </c>
      <c r="C628" s="17" t="s">
        <v>0</v>
      </c>
      <c r="D628" s="19">
        <v>87.49</v>
      </c>
      <c r="F628" s="3" t="str">
        <f t="shared" si="9"/>
        <v>C3070</v>
      </c>
    </row>
    <row r="629" spans="1:6" x14ac:dyDescent="0.2">
      <c r="A629" s="17" t="s">
        <v>7085</v>
      </c>
      <c r="B629" s="18" t="s">
        <v>7086</v>
      </c>
      <c r="C629" s="17" t="s">
        <v>0</v>
      </c>
      <c r="D629" s="19">
        <v>120.77</v>
      </c>
      <c r="F629" s="3" t="str">
        <f t="shared" si="9"/>
        <v>C3072</v>
      </c>
    </row>
    <row r="630" spans="1:6" x14ac:dyDescent="0.2">
      <c r="A630" s="17" t="s">
        <v>7087</v>
      </c>
      <c r="B630" s="18" t="s">
        <v>7088</v>
      </c>
      <c r="C630" s="17" t="s">
        <v>0</v>
      </c>
      <c r="D630" s="19">
        <v>13.58</v>
      </c>
      <c r="F630" s="3" t="str">
        <f t="shared" si="9"/>
        <v>C3073</v>
      </c>
    </row>
    <row r="631" spans="1:6" x14ac:dyDescent="0.2">
      <c r="A631" s="17" t="s">
        <v>7089</v>
      </c>
      <c r="B631" s="18" t="s">
        <v>7090</v>
      </c>
      <c r="C631" s="17" t="s">
        <v>0</v>
      </c>
      <c r="D631" s="19">
        <v>73.319999999999993</v>
      </c>
      <c r="F631" s="3" t="str">
        <f t="shared" si="9"/>
        <v>C3074</v>
      </c>
    </row>
    <row r="632" spans="1:6" x14ac:dyDescent="0.2">
      <c r="A632" s="17" t="s">
        <v>7091</v>
      </c>
      <c r="B632" s="18" t="s">
        <v>7092</v>
      </c>
      <c r="C632" s="17" t="s">
        <v>26</v>
      </c>
      <c r="D632" s="19">
        <v>634.69000000000005</v>
      </c>
      <c r="F632" s="3" t="str">
        <f t="shared" si="9"/>
        <v>C3085</v>
      </c>
    </row>
    <row r="633" spans="1:6" x14ac:dyDescent="0.2">
      <c r="A633" s="17" t="s">
        <v>7093</v>
      </c>
      <c r="B633" s="18" t="s">
        <v>7094</v>
      </c>
      <c r="C633" s="17" t="s">
        <v>0</v>
      </c>
      <c r="D633" s="19">
        <v>30.82</v>
      </c>
      <c r="F633" s="3" t="str">
        <f t="shared" si="9"/>
        <v>C2590</v>
      </c>
    </row>
    <row r="634" spans="1:6" x14ac:dyDescent="0.2">
      <c r="A634" s="17" t="s">
        <v>7095</v>
      </c>
      <c r="B634" s="18" t="s">
        <v>7096</v>
      </c>
      <c r="C634" s="17" t="s">
        <v>0</v>
      </c>
      <c r="D634" s="19">
        <v>75.28</v>
      </c>
      <c r="F634" s="3" t="str">
        <f t="shared" si="9"/>
        <v>C2591</v>
      </c>
    </row>
    <row r="635" spans="1:6" x14ac:dyDescent="0.2">
      <c r="A635" s="17" t="s">
        <v>7097</v>
      </c>
      <c r="B635" s="18" t="s">
        <v>7098</v>
      </c>
      <c r="C635" s="17" t="s">
        <v>0</v>
      </c>
      <c r="D635" s="19">
        <v>89.92</v>
      </c>
      <c r="F635" s="3" t="str">
        <f t="shared" si="9"/>
        <v>C2592</v>
      </c>
    </row>
    <row r="636" spans="1:6" x14ac:dyDescent="0.2">
      <c r="A636" s="14" t="s">
        <v>7099</v>
      </c>
      <c r="B636" s="15"/>
      <c r="C636" s="14">
        <v>0</v>
      </c>
      <c r="D636" s="16">
        <v>729.03</v>
      </c>
      <c r="F636" s="3" t="str">
        <f t="shared" si="9"/>
        <v>DRENAGEM SUB-SUPERFICIAL</v>
      </c>
    </row>
    <row r="637" spans="1:6" ht="22.5" x14ac:dyDescent="0.2">
      <c r="A637" s="17" t="s">
        <v>7100</v>
      </c>
      <c r="B637" s="18" t="s">
        <v>7101</v>
      </c>
      <c r="C637" s="17" t="s">
        <v>26</v>
      </c>
      <c r="D637" s="19">
        <v>7.63</v>
      </c>
      <c r="F637" s="3" t="str">
        <f t="shared" si="9"/>
        <v>C4661</v>
      </c>
    </row>
    <row r="638" spans="1:6" x14ac:dyDescent="0.2">
      <c r="A638" s="17">
        <v>0</v>
      </c>
      <c r="B638" s="18"/>
      <c r="C638" s="17">
        <v>0</v>
      </c>
      <c r="D638" s="19">
        <v>0</v>
      </c>
      <c r="F638" s="3">
        <f t="shared" si="9"/>
        <v>0</v>
      </c>
    </row>
    <row r="639" spans="1:6" ht="22.5" x14ac:dyDescent="0.2">
      <c r="A639" s="17" t="s">
        <v>7102</v>
      </c>
      <c r="B639" s="18" t="s">
        <v>7103</v>
      </c>
      <c r="C639" s="17" t="s">
        <v>26</v>
      </c>
      <c r="D639" s="19">
        <v>9.85</v>
      </c>
      <c r="F639" s="3" t="str">
        <f t="shared" si="9"/>
        <v>C4662</v>
      </c>
    </row>
    <row r="640" spans="1:6" x14ac:dyDescent="0.2">
      <c r="A640" s="17">
        <v>0</v>
      </c>
      <c r="B640" s="18"/>
      <c r="C640" s="17">
        <v>0</v>
      </c>
      <c r="D640" s="19">
        <v>0</v>
      </c>
      <c r="F640" s="3">
        <f t="shared" si="9"/>
        <v>0</v>
      </c>
    </row>
    <row r="641" spans="1:6" ht="22.5" x14ac:dyDescent="0.2">
      <c r="A641" s="17" t="s">
        <v>7104</v>
      </c>
      <c r="B641" s="18" t="s">
        <v>7105</v>
      </c>
      <c r="C641" s="17" t="s">
        <v>26</v>
      </c>
      <c r="D641" s="19">
        <v>10.47</v>
      </c>
      <c r="F641" s="3" t="str">
        <f t="shared" si="9"/>
        <v>C4663</v>
      </c>
    </row>
    <row r="642" spans="1:6" x14ac:dyDescent="0.2">
      <c r="A642" s="17">
        <v>0</v>
      </c>
      <c r="B642" s="18"/>
      <c r="C642" s="17">
        <v>0</v>
      </c>
      <c r="D642" s="19">
        <v>0</v>
      </c>
      <c r="F642" s="3">
        <f t="shared" ref="F642:F705" si="10">A642</f>
        <v>0</v>
      </c>
    </row>
    <row r="643" spans="1:6" x14ac:dyDescent="0.2">
      <c r="A643" s="17" t="s">
        <v>7106</v>
      </c>
      <c r="B643" s="18" t="s">
        <v>7107</v>
      </c>
      <c r="C643" s="17" t="s">
        <v>271</v>
      </c>
      <c r="D643" s="19">
        <v>15.13</v>
      </c>
      <c r="F643" s="3" t="str">
        <f t="shared" si="10"/>
        <v>C3141</v>
      </c>
    </row>
    <row r="644" spans="1:6" x14ac:dyDescent="0.2">
      <c r="A644" s="17" t="s">
        <v>7108</v>
      </c>
      <c r="B644" s="18" t="s">
        <v>7109</v>
      </c>
      <c r="C644" s="17" t="s">
        <v>271</v>
      </c>
      <c r="D644" s="19">
        <v>115.09</v>
      </c>
      <c r="F644" s="3" t="str">
        <f t="shared" si="10"/>
        <v>C3142</v>
      </c>
    </row>
    <row r="645" spans="1:6" x14ac:dyDescent="0.2">
      <c r="A645" s="17" t="s">
        <v>7110</v>
      </c>
      <c r="B645" s="18" t="s">
        <v>7111</v>
      </c>
      <c r="C645" s="17" t="s">
        <v>0</v>
      </c>
      <c r="D645" s="19">
        <v>25.79</v>
      </c>
      <c r="F645" s="3" t="str">
        <f t="shared" si="10"/>
        <v>C3076</v>
      </c>
    </row>
    <row r="646" spans="1:6" ht="22.5" x14ac:dyDescent="0.2">
      <c r="A646" s="17" t="s">
        <v>7112</v>
      </c>
      <c r="B646" s="18" t="s">
        <v>7113</v>
      </c>
      <c r="C646" s="17" t="s">
        <v>0</v>
      </c>
      <c r="D646" s="19">
        <v>45.54</v>
      </c>
      <c r="F646" s="3" t="str">
        <f t="shared" si="10"/>
        <v>C4660</v>
      </c>
    </row>
    <row r="647" spans="1:6" x14ac:dyDescent="0.2">
      <c r="A647" s="17">
        <v>0</v>
      </c>
      <c r="B647" s="18"/>
      <c r="C647" s="17">
        <v>0</v>
      </c>
      <c r="D647" s="19">
        <v>0</v>
      </c>
      <c r="F647" s="3">
        <f t="shared" si="10"/>
        <v>0</v>
      </c>
    </row>
    <row r="648" spans="1:6" x14ac:dyDescent="0.2">
      <c r="A648" s="17" t="s">
        <v>7114</v>
      </c>
      <c r="B648" s="18" t="s">
        <v>7115</v>
      </c>
      <c r="C648" s="17" t="s">
        <v>26</v>
      </c>
      <c r="D648" s="19">
        <v>231.73</v>
      </c>
      <c r="F648" s="3" t="str">
        <f t="shared" si="10"/>
        <v>C3086</v>
      </c>
    </row>
    <row r="649" spans="1:6" ht="22.5" x14ac:dyDescent="0.2">
      <c r="A649" s="17" t="s">
        <v>7116</v>
      </c>
      <c r="B649" s="18" t="s">
        <v>7117</v>
      </c>
      <c r="C649" s="17" t="s">
        <v>255</v>
      </c>
      <c r="D649" s="19">
        <v>10.64</v>
      </c>
      <c r="F649" s="3" t="str">
        <f t="shared" si="10"/>
        <v>C4659</v>
      </c>
    </row>
    <row r="650" spans="1:6" x14ac:dyDescent="0.2">
      <c r="A650" s="17">
        <v>0</v>
      </c>
      <c r="B650" s="18"/>
      <c r="C650" s="17">
        <v>0</v>
      </c>
      <c r="D650" s="19">
        <v>0</v>
      </c>
      <c r="F650" s="3">
        <f t="shared" si="10"/>
        <v>0</v>
      </c>
    </row>
    <row r="651" spans="1:6" ht="22.5" x14ac:dyDescent="0.2">
      <c r="A651" s="17" t="s">
        <v>7118</v>
      </c>
      <c r="B651" s="18" t="s">
        <v>7119</v>
      </c>
      <c r="C651" s="17" t="s">
        <v>255</v>
      </c>
      <c r="D651" s="19">
        <v>45.29</v>
      </c>
      <c r="F651" s="3" t="str">
        <f t="shared" si="10"/>
        <v>C4650</v>
      </c>
    </row>
    <row r="652" spans="1:6" x14ac:dyDescent="0.2">
      <c r="A652" s="17">
        <v>0</v>
      </c>
      <c r="B652" s="18"/>
      <c r="C652" s="17">
        <v>0</v>
      </c>
      <c r="D652" s="19">
        <v>0</v>
      </c>
      <c r="F652" s="3">
        <f t="shared" si="10"/>
        <v>0</v>
      </c>
    </row>
    <row r="653" spans="1:6" ht="22.5" x14ac:dyDescent="0.2">
      <c r="A653" s="17" t="s">
        <v>7120</v>
      </c>
      <c r="B653" s="18" t="s">
        <v>7121</v>
      </c>
      <c r="C653" s="17" t="s">
        <v>255</v>
      </c>
      <c r="D653" s="19">
        <v>9.49</v>
      </c>
      <c r="F653" s="3" t="str">
        <f t="shared" si="10"/>
        <v>C4651</v>
      </c>
    </row>
    <row r="654" spans="1:6" x14ac:dyDescent="0.2">
      <c r="A654" s="17">
        <v>0</v>
      </c>
      <c r="B654" s="18"/>
      <c r="C654" s="17">
        <v>0</v>
      </c>
      <c r="D654" s="19">
        <v>0</v>
      </c>
      <c r="F654" s="3">
        <f t="shared" si="10"/>
        <v>0</v>
      </c>
    </row>
    <row r="655" spans="1:6" ht="22.5" x14ac:dyDescent="0.2">
      <c r="A655" s="17" t="s">
        <v>7122</v>
      </c>
      <c r="B655" s="18" t="s">
        <v>7123</v>
      </c>
      <c r="C655" s="17" t="s">
        <v>255</v>
      </c>
      <c r="D655" s="19">
        <v>10.45</v>
      </c>
      <c r="F655" s="3" t="str">
        <f t="shared" si="10"/>
        <v>C4652</v>
      </c>
    </row>
    <row r="656" spans="1:6" x14ac:dyDescent="0.2">
      <c r="A656" s="17">
        <v>0</v>
      </c>
      <c r="B656" s="18"/>
      <c r="C656" s="17">
        <v>0</v>
      </c>
      <c r="D656" s="19">
        <v>0</v>
      </c>
      <c r="F656" s="3">
        <f t="shared" si="10"/>
        <v>0</v>
      </c>
    </row>
    <row r="657" spans="1:6" ht="22.5" x14ac:dyDescent="0.2">
      <c r="A657" s="17" t="s">
        <v>7124</v>
      </c>
      <c r="B657" s="18" t="s">
        <v>7125</v>
      </c>
      <c r="C657" s="17" t="s">
        <v>255</v>
      </c>
      <c r="D657" s="19">
        <v>11.77</v>
      </c>
      <c r="F657" s="3" t="str">
        <f t="shared" si="10"/>
        <v>C4653</v>
      </c>
    </row>
    <row r="658" spans="1:6" x14ac:dyDescent="0.2">
      <c r="A658" s="17">
        <v>0</v>
      </c>
      <c r="B658" s="18"/>
      <c r="C658" s="17">
        <v>0</v>
      </c>
      <c r="D658" s="19">
        <v>0</v>
      </c>
      <c r="F658" s="3">
        <f t="shared" si="10"/>
        <v>0</v>
      </c>
    </row>
    <row r="659" spans="1:6" ht="22.5" x14ac:dyDescent="0.2">
      <c r="A659" s="17" t="s">
        <v>7126</v>
      </c>
      <c r="B659" s="18" t="s">
        <v>7127</v>
      </c>
      <c r="C659" s="17" t="s">
        <v>255</v>
      </c>
      <c r="D659" s="19">
        <v>12.89</v>
      </c>
      <c r="F659" s="3" t="str">
        <f t="shared" si="10"/>
        <v>C4586</v>
      </c>
    </row>
    <row r="660" spans="1:6" x14ac:dyDescent="0.2">
      <c r="A660" s="17">
        <v>0</v>
      </c>
      <c r="B660" s="18"/>
      <c r="C660" s="17">
        <v>0</v>
      </c>
      <c r="D660" s="19">
        <v>0</v>
      </c>
      <c r="F660" s="3">
        <f t="shared" si="10"/>
        <v>0</v>
      </c>
    </row>
    <row r="661" spans="1:6" ht="22.5" x14ac:dyDescent="0.2">
      <c r="A661" s="17" t="s">
        <v>7128</v>
      </c>
      <c r="B661" s="18" t="s">
        <v>7129</v>
      </c>
      <c r="C661" s="17" t="s">
        <v>255</v>
      </c>
      <c r="D661" s="19">
        <v>17.68</v>
      </c>
      <c r="F661" s="3" t="str">
        <f t="shared" si="10"/>
        <v>C4654</v>
      </c>
    </row>
    <row r="662" spans="1:6" x14ac:dyDescent="0.2">
      <c r="A662" s="17">
        <v>0</v>
      </c>
      <c r="B662" s="18"/>
      <c r="C662" s="17">
        <v>0</v>
      </c>
      <c r="D662" s="19">
        <v>0</v>
      </c>
      <c r="F662" s="3">
        <f t="shared" si="10"/>
        <v>0</v>
      </c>
    </row>
    <row r="663" spans="1:6" ht="22.5" x14ac:dyDescent="0.2">
      <c r="A663" s="17" t="s">
        <v>7130</v>
      </c>
      <c r="B663" s="18" t="s">
        <v>7131</v>
      </c>
      <c r="C663" s="17" t="s">
        <v>255</v>
      </c>
      <c r="D663" s="19">
        <v>20.38</v>
      </c>
      <c r="F663" s="3" t="str">
        <f t="shared" si="10"/>
        <v>C4655</v>
      </c>
    </row>
    <row r="664" spans="1:6" x14ac:dyDescent="0.2">
      <c r="A664" s="17">
        <v>0</v>
      </c>
      <c r="B664" s="18"/>
      <c r="C664" s="17">
        <v>0</v>
      </c>
      <c r="D664" s="19">
        <v>0</v>
      </c>
      <c r="F664" s="3">
        <f t="shared" si="10"/>
        <v>0</v>
      </c>
    </row>
    <row r="665" spans="1:6" ht="22.5" x14ac:dyDescent="0.2">
      <c r="A665" s="17" t="s">
        <v>7132</v>
      </c>
      <c r="B665" s="18" t="s">
        <v>7133</v>
      </c>
      <c r="C665" s="17" t="s">
        <v>255</v>
      </c>
      <c r="D665" s="19">
        <v>25.86</v>
      </c>
      <c r="F665" s="3" t="str">
        <f t="shared" si="10"/>
        <v>C4656</v>
      </c>
    </row>
    <row r="666" spans="1:6" x14ac:dyDescent="0.2">
      <c r="A666" s="17">
        <v>0</v>
      </c>
      <c r="B666" s="18"/>
      <c r="C666" s="17">
        <v>0</v>
      </c>
      <c r="D666" s="19">
        <v>0</v>
      </c>
      <c r="F666" s="3">
        <f t="shared" si="10"/>
        <v>0</v>
      </c>
    </row>
    <row r="667" spans="1:6" ht="22.5" x14ac:dyDescent="0.2">
      <c r="A667" s="17" t="s">
        <v>7134</v>
      </c>
      <c r="B667" s="18" t="s">
        <v>7135</v>
      </c>
      <c r="C667" s="17" t="s">
        <v>255</v>
      </c>
      <c r="D667" s="19">
        <v>33.43</v>
      </c>
      <c r="F667" s="3" t="str">
        <f t="shared" si="10"/>
        <v>C4657</v>
      </c>
    </row>
    <row r="668" spans="1:6" x14ac:dyDescent="0.2">
      <c r="A668" s="17">
        <v>0</v>
      </c>
      <c r="B668" s="18"/>
      <c r="C668" s="17">
        <v>0</v>
      </c>
      <c r="D668" s="19">
        <v>0</v>
      </c>
      <c r="F668" s="3">
        <f t="shared" si="10"/>
        <v>0</v>
      </c>
    </row>
    <row r="669" spans="1:6" ht="22.5" x14ac:dyDescent="0.2">
      <c r="A669" s="17" t="s">
        <v>7136</v>
      </c>
      <c r="B669" s="18" t="s">
        <v>7137</v>
      </c>
      <c r="C669" s="17" t="s">
        <v>255</v>
      </c>
      <c r="D669" s="19">
        <v>38.79</v>
      </c>
      <c r="F669" s="3" t="str">
        <f t="shared" si="10"/>
        <v>C4658</v>
      </c>
    </row>
    <row r="670" spans="1:6" x14ac:dyDescent="0.2">
      <c r="A670" s="17">
        <v>0</v>
      </c>
      <c r="B670" s="18"/>
      <c r="C670" s="17">
        <v>0</v>
      </c>
      <c r="D670" s="19">
        <v>0</v>
      </c>
      <c r="F670" s="3">
        <f t="shared" si="10"/>
        <v>0</v>
      </c>
    </row>
    <row r="671" spans="1:6" ht="22.5" x14ac:dyDescent="0.2">
      <c r="A671" s="17" t="s">
        <v>7138</v>
      </c>
      <c r="B671" s="18" t="s">
        <v>7139</v>
      </c>
      <c r="C671" s="17" t="s">
        <v>255</v>
      </c>
      <c r="D671" s="19">
        <v>11.88</v>
      </c>
      <c r="F671" s="3" t="str">
        <f t="shared" si="10"/>
        <v>C4752</v>
      </c>
    </row>
    <row r="672" spans="1:6" x14ac:dyDescent="0.2">
      <c r="A672" s="17">
        <v>0</v>
      </c>
      <c r="B672" s="18"/>
      <c r="C672" s="17">
        <v>0</v>
      </c>
      <c r="D672" s="19">
        <v>0</v>
      </c>
      <c r="F672" s="3">
        <f t="shared" si="10"/>
        <v>0</v>
      </c>
    </row>
    <row r="673" spans="1:6" x14ac:dyDescent="0.2">
      <c r="A673" s="17" t="s">
        <v>7140</v>
      </c>
      <c r="B673" s="18" t="s">
        <v>7141</v>
      </c>
      <c r="C673" s="17" t="s">
        <v>0</v>
      </c>
      <c r="D673" s="19">
        <v>19.25</v>
      </c>
      <c r="F673" s="3" t="str">
        <f t="shared" si="10"/>
        <v>C4753</v>
      </c>
    </row>
    <row r="674" spans="1:6" x14ac:dyDescent="0.2">
      <c r="A674" s="17">
        <v>0</v>
      </c>
      <c r="B674" s="18"/>
      <c r="C674" s="17">
        <v>0</v>
      </c>
      <c r="D674" s="19">
        <v>0</v>
      </c>
      <c r="F674" s="3">
        <f t="shared" si="10"/>
        <v>0</v>
      </c>
    </row>
    <row r="675" spans="1:6" x14ac:dyDescent="0.2">
      <c r="A675" s="14" t="s">
        <v>7142</v>
      </c>
      <c r="B675" s="15"/>
      <c r="C675" s="14">
        <v>0</v>
      </c>
      <c r="D675" s="16">
        <v>29546.82</v>
      </c>
      <c r="F675" s="3" t="str">
        <f t="shared" si="10"/>
        <v>DRENAGEM SUPERFICIAL</v>
      </c>
    </row>
    <row r="676" spans="1:6" x14ac:dyDescent="0.2">
      <c r="A676" s="17" t="s">
        <v>7143</v>
      </c>
      <c r="B676" s="18" t="s">
        <v>7144</v>
      </c>
      <c r="C676" s="17" t="s">
        <v>0</v>
      </c>
      <c r="D676" s="19">
        <v>28.88</v>
      </c>
      <c r="F676" s="3" t="str">
        <f t="shared" si="10"/>
        <v>C0365</v>
      </c>
    </row>
    <row r="677" spans="1:6" x14ac:dyDescent="0.2">
      <c r="A677" s="20" t="s">
        <v>7145</v>
      </c>
      <c r="B677" s="21" t="s">
        <v>7146</v>
      </c>
      <c r="C677" s="20" t="s">
        <v>0</v>
      </c>
      <c r="D677" s="22">
        <v>48</v>
      </c>
      <c r="F677" s="3" t="str">
        <f t="shared" si="10"/>
        <v>C0367</v>
      </c>
    </row>
    <row r="678" spans="1:6" x14ac:dyDescent="0.2">
      <c r="A678" s="20" t="s">
        <v>7147</v>
      </c>
      <c r="B678" s="21" t="s">
        <v>7148</v>
      </c>
      <c r="C678" s="20" t="s">
        <v>0</v>
      </c>
      <c r="D678" s="22">
        <v>61.44</v>
      </c>
      <c r="F678" s="3" t="str">
        <f t="shared" si="10"/>
        <v>C0366</v>
      </c>
    </row>
    <row r="679" spans="1:6" x14ac:dyDescent="0.2">
      <c r="A679" s="17" t="s">
        <v>7149</v>
      </c>
      <c r="B679" s="18" t="s">
        <v>7150</v>
      </c>
      <c r="C679" s="17" t="s">
        <v>0</v>
      </c>
      <c r="D679" s="19">
        <v>35.76</v>
      </c>
      <c r="F679" s="3" t="str">
        <f t="shared" si="10"/>
        <v>C0368</v>
      </c>
    </row>
    <row r="680" spans="1:6" x14ac:dyDescent="0.2">
      <c r="A680" s="17" t="s">
        <v>7151</v>
      </c>
      <c r="B680" s="18" t="s">
        <v>7152</v>
      </c>
      <c r="C680" s="17" t="s">
        <v>0</v>
      </c>
      <c r="D680" s="19">
        <v>194.23</v>
      </c>
      <c r="F680" s="3" t="str">
        <f t="shared" si="10"/>
        <v>C3065</v>
      </c>
    </row>
    <row r="681" spans="1:6" x14ac:dyDescent="0.2">
      <c r="A681" s="17" t="s">
        <v>7153</v>
      </c>
      <c r="B681" s="18" t="s">
        <v>7154</v>
      </c>
      <c r="C681" s="17" t="s">
        <v>0</v>
      </c>
      <c r="D681" s="19">
        <v>193.69</v>
      </c>
      <c r="F681" s="3" t="str">
        <f t="shared" si="10"/>
        <v>C3066</v>
      </c>
    </row>
    <row r="682" spans="1:6" x14ac:dyDescent="0.2">
      <c r="A682" s="17" t="s">
        <v>7155</v>
      </c>
      <c r="B682" s="18" t="s">
        <v>7156</v>
      </c>
      <c r="C682" s="17" t="s">
        <v>0</v>
      </c>
      <c r="D682" s="19">
        <v>70.33</v>
      </c>
      <c r="F682" s="3" t="str">
        <f t="shared" si="10"/>
        <v>C3067</v>
      </c>
    </row>
    <row r="683" spans="1:6" x14ac:dyDescent="0.2">
      <c r="A683" s="17" t="s">
        <v>7157</v>
      </c>
      <c r="B683" s="18" t="s">
        <v>7158</v>
      </c>
      <c r="C683" s="17" t="s">
        <v>0</v>
      </c>
      <c r="D683" s="19">
        <v>65.19</v>
      </c>
      <c r="F683" s="3" t="str">
        <f t="shared" si="10"/>
        <v>C2727</v>
      </c>
    </row>
    <row r="684" spans="1:6" x14ac:dyDescent="0.2">
      <c r="A684" s="17" t="s">
        <v>7159</v>
      </c>
      <c r="B684" s="18" t="s">
        <v>7160</v>
      </c>
      <c r="C684" s="17" t="s">
        <v>0</v>
      </c>
      <c r="D684" s="19">
        <v>74.11</v>
      </c>
      <c r="F684" s="3" t="str">
        <f t="shared" si="10"/>
        <v>C4583</v>
      </c>
    </row>
    <row r="685" spans="1:6" x14ac:dyDescent="0.2">
      <c r="A685" s="17" t="s">
        <v>7161</v>
      </c>
      <c r="B685" s="18" t="s">
        <v>7162</v>
      </c>
      <c r="C685" s="17" t="s">
        <v>0</v>
      </c>
      <c r="D685" s="19">
        <v>23.39</v>
      </c>
      <c r="F685" s="3" t="str">
        <f t="shared" si="10"/>
        <v>C3097</v>
      </c>
    </row>
    <row r="686" spans="1:6" x14ac:dyDescent="0.2">
      <c r="A686" s="17" t="s">
        <v>7163</v>
      </c>
      <c r="B686" s="18" t="s">
        <v>7164</v>
      </c>
      <c r="C686" s="17" t="s">
        <v>0</v>
      </c>
      <c r="D686" s="19">
        <v>27.49</v>
      </c>
      <c r="F686" s="3" t="str">
        <f t="shared" si="10"/>
        <v>C3449</v>
      </c>
    </row>
    <row r="687" spans="1:6" x14ac:dyDescent="0.2">
      <c r="A687" s="17" t="s">
        <v>7165</v>
      </c>
      <c r="B687" s="18" t="s">
        <v>7166</v>
      </c>
      <c r="C687" s="17" t="s">
        <v>26</v>
      </c>
      <c r="D687" s="19">
        <v>6148.07</v>
      </c>
      <c r="F687" s="3" t="str">
        <f t="shared" si="10"/>
        <v>C2018</v>
      </c>
    </row>
    <row r="688" spans="1:6" x14ac:dyDescent="0.2">
      <c r="A688" s="17">
        <v>0</v>
      </c>
      <c r="B688" s="18"/>
      <c r="C688" s="17">
        <v>0</v>
      </c>
      <c r="D688" s="19">
        <v>0</v>
      </c>
      <c r="F688" s="3">
        <f t="shared" si="10"/>
        <v>0</v>
      </c>
    </row>
    <row r="689" spans="1:6" x14ac:dyDescent="0.2">
      <c r="A689" s="17" t="s">
        <v>7167</v>
      </c>
      <c r="B689" s="18" t="s">
        <v>7168</v>
      </c>
      <c r="C689" s="17" t="s">
        <v>26</v>
      </c>
      <c r="D689" s="19">
        <v>8897.27</v>
      </c>
      <c r="F689" s="3" t="str">
        <f t="shared" si="10"/>
        <v>C2019</v>
      </c>
    </row>
    <row r="690" spans="1:6" x14ac:dyDescent="0.2">
      <c r="A690" s="17">
        <v>0</v>
      </c>
      <c r="B690" s="18"/>
      <c r="C690" s="17">
        <v>0</v>
      </c>
      <c r="D690" s="19">
        <v>0</v>
      </c>
      <c r="F690" s="3">
        <f t="shared" si="10"/>
        <v>0</v>
      </c>
    </row>
    <row r="691" spans="1:6" x14ac:dyDescent="0.2">
      <c r="A691" s="17" t="s">
        <v>7169</v>
      </c>
      <c r="B691" s="18" t="s">
        <v>7170</v>
      </c>
      <c r="C691" s="17" t="s">
        <v>26</v>
      </c>
      <c r="D691" s="19">
        <v>11778.87</v>
      </c>
      <c r="F691" s="3" t="str">
        <f t="shared" si="10"/>
        <v>C2020</v>
      </c>
    </row>
    <row r="692" spans="1:6" x14ac:dyDescent="0.2">
      <c r="A692" s="17">
        <v>0</v>
      </c>
      <c r="B692" s="18"/>
      <c r="C692" s="17">
        <v>0</v>
      </c>
      <c r="D692" s="19">
        <v>0</v>
      </c>
      <c r="F692" s="3">
        <f t="shared" si="10"/>
        <v>0</v>
      </c>
    </row>
    <row r="693" spans="1:6" x14ac:dyDescent="0.2">
      <c r="A693" s="17" t="s">
        <v>7171</v>
      </c>
      <c r="B693" s="18" t="s">
        <v>7172</v>
      </c>
      <c r="C693" s="17" t="s">
        <v>26</v>
      </c>
      <c r="D693" s="19">
        <v>271.91000000000003</v>
      </c>
      <c r="F693" s="3" t="str">
        <f t="shared" si="10"/>
        <v>C3110</v>
      </c>
    </row>
    <row r="694" spans="1:6" x14ac:dyDescent="0.2">
      <c r="A694" s="17" t="s">
        <v>7173</v>
      </c>
      <c r="B694" s="18" t="s">
        <v>7174</v>
      </c>
      <c r="C694" s="17" t="s">
        <v>0</v>
      </c>
      <c r="D694" s="19">
        <v>93.45</v>
      </c>
      <c r="F694" s="3" t="str">
        <f t="shared" si="10"/>
        <v>C3322</v>
      </c>
    </row>
    <row r="695" spans="1:6" x14ac:dyDescent="0.2">
      <c r="A695" s="17" t="s">
        <v>7175</v>
      </c>
      <c r="B695" s="18" t="s">
        <v>7176</v>
      </c>
      <c r="C695" s="17" t="s">
        <v>0</v>
      </c>
      <c r="D695" s="19">
        <v>170.18</v>
      </c>
      <c r="F695" s="3" t="str">
        <f t="shared" si="10"/>
        <v>C3111</v>
      </c>
    </row>
    <row r="696" spans="1:6" x14ac:dyDescent="0.2">
      <c r="A696" s="17" t="s">
        <v>7177</v>
      </c>
      <c r="B696" s="18" t="s">
        <v>7178</v>
      </c>
      <c r="C696" s="17" t="s">
        <v>0</v>
      </c>
      <c r="D696" s="19">
        <v>60.4</v>
      </c>
      <c r="F696" s="3" t="str">
        <f t="shared" si="10"/>
        <v>C3112</v>
      </c>
    </row>
    <row r="697" spans="1:6" x14ac:dyDescent="0.2">
      <c r="A697" s="17" t="s">
        <v>7179</v>
      </c>
      <c r="B697" s="18" t="s">
        <v>7180</v>
      </c>
      <c r="C697" s="17" t="s">
        <v>0</v>
      </c>
      <c r="D697" s="19">
        <v>73.930000000000007</v>
      </c>
      <c r="F697" s="3" t="str">
        <f t="shared" si="10"/>
        <v>C3113</v>
      </c>
    </row>
    <row r="698" spans="1:6" x14ac:dyDescent="0.2">
      <c r="A698" s="17" t="s">
        <v>7181</v>
      </c>
      <c r="B698" s="18" t="s">
        <v>7182</v>
      </c>
      <c r="C698" s="17" t="s">
        <v>26</v>
      </c>
      <c r="D698" s="19">
        <v>1178.45</v>
      </c>
      <c r="F698" s="3" t="str">
        <f t="shared" si="10"/>
        <v>C2310</v>
      </c>
    </row>
    <row r="699" spans="1:6" x14ac:dyDescent="0.2">
      <c r="A699" s="17" t="s">
        <v>7183</v>
      </c>
      <c r="B699" s="18" t="s">
        <v>7184</v>
      </c>
      <c r="C699" s="17" t="s">
        <v>26</v>
      </c>
      <c r="D699" s="19">
        <v>51.78</v>
      </c>
      <c r="F699" s="3" t="str">
        <f t="shared" si="10"/>
        <v>C4874</v>
      </c>
    </row>
    <row r="700" spans="1:6" x14ac:dyDescent="0.2">
      <c r="A700" s="14" t="s">
        <v>7185</v>
      </c>
      <c r="B700" s="15"/>
      <c r="C700" s="14">
        <v>0</v>
      </c>
      <c r="D700" s="16">
        <v>36378.51</v>
      </c>
      <c r="F700" s="3" t="str">
        <f t="shared" si="10"/>
        <v>ARGAMASSAS</v>
      </c>
    </row>
    <row r="701" spans="1:6" x14ac:dyDescent="0.2">
      <c r="A701" s="14" t="s">
        <v>7186</v>
      </c>
      <c r="B701" s="15"/>
      <c r="C701" s="14">
        <v>0</v>
      </c>
      <c r="D701" s="16">
        <v>881.86</v>
      </c>
      <c r="F701" s="3" t="str">
        <f t="shared" si="10"/>
        <v>PREPARAÇÃO DE MATERIAIS</v>
      </c>
    </row>
    <row r="702" spans="1:6" x14ac:dyDescent="0.2">
      <c r="A702" s="17" t="s">
        <v>7187</v>
      </c>
      <c r="B702" s="18" t="s">
        <v>7188</v>
      </c>
      <c r="C702" s="17" t="s">
        <v>271</v>
      </c>
      <c r="D702" s="19">
        <v>330.17</v>
      </c>
      <c r="F702" s="3" t="str">
        <f t="shared" si="10"/>
        <v>C0115</v>
      </c>
    </row>
    <row r="703" spans="1:6" x14ac:dyDescent="0.2">
      <c r="A703" s="17" t="s">
        <v>7189</v>
      </c>
      <c r="B703" s="18" t="s">
        <v>7190</v>
      </c>
      <c r="C703" s="17" t="s">
        <v>271</v>
      </c>
      <c r="D703" s="19">
        <v>551.69000000000005</v>
      </c>
      <c r="F703" s="3" t="str">
        <f t="shared" si="10"/>
        <v>C0116</v>
      </c>
    </row>
    <row r="704" spans="1:6" x14ac:dyDescent="0.2">
      <c r="A704" s="14" t="s">
        <v>7191</v>
      </c>
      <c r="B704" s="15"/>
      <c r="C704" s="14">
        <v>0</v>
      </c>
      <c r="D704" s="16">
        <v>30084.61</v>
      </c>
      <c r="F704" s="3" t="str">
        <f t="shared" si="10"/>
        <v>ARGAMASSA DE CIMENTO</v>
      </c>
    </row>
    <row r="705" spans="1:6" x14ac:dyDescent="0.2">
      <c r="A705" s="17" t="s">
        <v>7192</v>
      </c>
      <c r="B705" s="18" t="s">
        <v>7193</v>
      </c>
      <c r="C705" s="17" t="s">
        <v>271</v>
      </c>
      <c r="D705" s="19">
        <v>515.66</v>
      </c>
      <c r="F705" s="3" t="str">
        <f t="shared" si="10"/>
        <v>C0117</v>
      </c>
    </row>
    <row r="706" spans="1:6" x14ac:dyDescent="0.2">
      <c r="A706" s="17" t="s">
        <v>7194</v>
      </c>
      <c r="B706" s="18" t="s">
        <v>7195</v>
      </c>
      <c r="C706" s="17" t="s">
        <v>271</v>
      </c>
      <c r="D706" s="19">
        <v>470.93</v>
      </c>
      <c r="F706" s="3" t="str">
        <f t="shared" ref="F706:F769" si="11">A706</f>
        <v>C0129</v>
      </c>
    </row>
    <row r="707" spans="1:6" x14ac:dyDescent="0.2">
      <c r="A707" s="17" t="s">
        <v>7196</v>
      </c>
      <c r="B707" s="18" t="s">
        <v>7197</v>
      </c>
      <c r="C707" s="17" t="s">
        <v>271</v>
      </c>
      <c r="D707" s="19">
        <v>513.75</v>
      </c>
      <c r="F707" s="3" t="str">
        <f t="shared" si="11"/>
        <v>C0133</v>
      </c>
    </row>
    <row r="708" spans="1:6" x14ac:dyDescent="0.2">
      <c r="A708" s="17" t="s">
        <v>7198</v>
      </c>
      <c r="B708" s="18" t="s">
        <v>7199</v>
      </c>
      <c r="C708" s="17" t="s">
        <v>271</v>
      </c>
      <c r="D708" s="19">
        <v>511.9</v>
      </c>
      <c r="F708" s="3" t="str">
        <f t="shared" si="11"/>
        <v>C0130</v>
      </c>
    </row>
    <row r="709" spans="1:6" x14ac:dyDescent="0.2">
      <c r="A709" s="17" t="s">
        <v>7200</v>
      </c>
      <c r="B709" s="18" t="s">
        <v>7201</v>
      </c>
      <c r="C709" s="17" t="s">
        <v>271</v>
      </c>
      <c r="D709" s="19">
        <v>468.1</v>
      </c>
      <c r="F709" s="3" t="str">
        <f t="shared" si="11"/>
        <v>C0131</v>
      </c>
    </row>
    <row r="710" spans="1:6" x14ac:dyDescent="0.2">
      <c r="A710" s="17" t="s">
        <v>7202</v>
      </c>
      <c r="B710" s="18" t="s">
        <v>7203</v>
      </c>
      <c r="C710" s="17" t="s">
        <v>271</v>
      </c>
      <c r="D710" s="19">
        <v>444.56</v>
      </c>
      <c r="F710" s="3" t="str">
        <f t="shared" si="11"/>
        <v>C0132</v>
      </c>
    </row>
    <row r="711" spans="1:6" x14ac:dyDescent="0.2">
      <c r="A711" s="17" t="s">
        <v>7204</v>
      </c>
      <c r="B711" s="18" t="s">
        <v>7205</v>
      </c>
      <c r="C711" s="17" t="s">
        <v>271</v>
      </c>
      <c r="D711" s="19">
        <v>510.06</v>
      </c>
      <c r="F711" s="3" t="str">
        <f t="shared" si="11"/>
        <v>C0181</v>
      </c>
    </row>
    <row r="712" spans="1:6" x14ac:dyDescent="0.2">
      <c r="A712" s="17" t="s">
        <v>7206</v>
      </c>
      <c r="B712" s="18" t="s">
        <v>7207</v>
      </c>
      <c r="C712" s="17" t="s">
        <v>271</v>
      </c>
      <c r="D712" s="19">
        <v>508.15</v>
      </c>
      <c r="F712" s="3" t="str">
        <f t="shared" si="11"/>
        <v>C0118</v>
      </c>
    </row>
    <row r="713" spans="1:6" x14ac:dyDescent="0.2">
      <c r="A713" s="17" t="s">
        <v>7208</v>
      </c>
      <c r="B713" s="18" t="s">
        <v>7209</v>
      </c>
      <c r="C713" s="17" t="s">
        <v>271</v>
      </c>
      <c r="D713" s="19">
        <v>465.25</v>
      </c>
      <c r="F713" s="3" t="str">
        <f t="shared" si="11"/>
        <v>C0119</v>
      </c>
    </row>
    <row r="714" spans="1:6" x14ac:dyDescent="0.2">
      <c r="A714" s="17" t="s">
        <v>7210</v>
      </c>
      <c r="B714" s="18" t="s">
        <v>7211</v>
      </c>
      <c r="C714" s="17" t="s">
        <v>271</v>
      </c>
      <c r="D714" s="19">
        <v>442.23</v>
      </c>
      <c r="F714" s="3" t="str">
        <f t="shared" si="11"/>
        <v>C0120</v>
      </c>
    </row>
    <row r="715" spans="1:6" x14ac:dyDescent="0.2">
      <c r="A715" s="17" t="s">
        <v>7212</v>
      </c>
      <c r="B715" s="18" t="s">
        <v>7213</v>
      </c>
      <c r="C715" s="17" t="s">
        <v>271</v>
      </c>
      <c r="D715" s="19">
        <v>424.06</v>
      </c>
      <c r="F715" s="3" t="str">
        <f t="shared" si="11"/>
        <v>C0121</v>
      </c>
    </row>
    <row r="716" spans="1:6" x14ac:dyDescent="0.2">
      <c r="A716" s="17" t="s">
        <v>7214</v>
      </c>
      <c r="B716" s="18" t="s">
        <v>7215</v>
      </c>
      <c r="C716" s="17" t="s">
        <v>271</v>
      </c>
      <c r="D716" s="19">
        <v>462.4</v>
      </c>
      <c r="F716" s="3" t="str">
        <f t="shared" si="11"/>
        <v>C0122</v>
      </c>
    </row>
    <row r="717" spans="1:6" x14ac:dyDescent="0.2">
      <c r="A717" s="17" t="s">
        <v>7216</v>
      </c>
      <c r="B717" s="18" t="s">
        <v>7217</v>
      </c>
      <c r="C717" s="17" t="s">
        <v>271</v>
      </c>
      <c r="D717" s="19">
        <v>439.9</v>
      </c>
      <c r="F717" s="3" t="str">
        <f t="shared" si="11"/>
        <v>C0128</v>
      </c>
    </row>
    <row r="718" spans="1:6" x14ac:dyDescent="0.2">
      <c r="A718" s="17" t="s">
        <v>7218</v>
      </c>
      <c r="B718" s="18" t="s">
        <v>7219</v>
      </c>
      <c r="C718" s="17" t="s">
        <v>271</v>
      </c>
      <c r="D718" s="19">
        <v>422.08</v>
      </c>
      <c r="F718" s="3" t="str">
        <f t="shared" si="11"/>
        <v>C0123</v>
      </c>
    </row>
    <row r="719" spans="1:6" x14ac:dyDescent="0.2">
      <c r="A719" s="17" t="s">
        <v>7220</v>
      </c>
      <c r="B719" s="18" t="s">
        <v>7221</v>
      </c>
      <c r="C719" s="17" t="s">
        <v>271</v>
      </c>
      <c r="D719" s="19">
        <v>459.57</v>
      </c>
      <c r="F719" s="3" t="str">
        <f t="shared" si="11"/>
        <v>C0179</v>
      </c>
    </row>
    <row r="720" spans="1:6" x14ac:dyDescent="0.2">
      <c r="A720" s="17" t="s">
        <v>7222</v>
      </c>
      <c r="B720" s="18" t="s">
        <v>7223</v>
      </c>
      <c r="C720" s="17" t="s">
        <v>271</v>
      </c>
      <c r="D720" s="19">
        <v>437.56</v>
      </c>
      <c r="F720" s="3" t="str">
        <f t="shared" si="11"/>
        <v>C0124</v>
      </c>
    </row>
    <row r="721" spans="1:6" x14ac:dyDescent="0.2">
      <c r="A721" s="17" t="s">
        <v>7224</v>
      </c>
      <c r="B721" s="18" t="s">
        <v>7225</v>
      </c>
      <c r="C721" s="17" t="s">
        <v>271</v>
      </c>
      <c r="D721" s="19">
        <v>420.12</v>
      </c>
      <c r="F721" s="3" t="str">
        <f t="shared" si="11"/>
        <v>C0125</v>
      </c>
    </row>
    <row r="722" spans="1:6" x14ac:dyDescent="0.2">
      <c r="A722" s="17" t="s">
        <v>7226</v>
      </c>
      <c r="B722" s="18" t="s">
        <v>7227</v>
      </c>
      <c r="C722" s="17" t="s">
        <v>271</v>
      </c>
      <c r="D722" s="19">
        <v>435.23</v>
      </c>
      <c r="F722" s="3" t="str">
        <f t="shared" si="11"/>
        <v>C0180</v>
      </c>
    </row>
    <row r="723" spans="1:6" x14ac:dyDescent="0.2">
      <c r="A723" s="17" t="s">
        <v>7228</v>
      </c>
      <c r="B723" s="18" t="s">
        <v>7229</v>
      </c>
      <c r="C723" s="17" t="s">
        <v>271</v>
      </c>
      <c r="D723" s="19">
        <v>418.16</v>
      </c>
      <c r="F723" s="3" t="str">
        <f t="shared" si="11"/>
        <v>C0126</v>
      </c>
    </row>
    <row r="724" spans="1:6" x14ac:dyDescent="0.2">
      <c r="A724" s="17" t="s">
        <v>7230</v>
      </c>
      <c r="B724" s="18" t="s">
        <v>7231</v>
      </c>
      <c r="C724" s="17" t="s">
        <v>271</v>
      </c>
      <c r="D724" s="19">
        <v>416.18</v>
      </c>
      <c r="F724" s="3" t="str">
        <f t="shared" si="11"/>
        <v>C0127</v>
      </c>
    </row>
    <row r="725" spans="1:6" x14ac:dyDescent="0.2">
      <c r="A725" s="17" t="s">
        <v>7232</v>
      </c>
      <c r="B725" s="18" t="s">
        <v>7233</v>
      </c>
      <c r="C725" s="17" t="s">
        <v>271</v>
      </c>
      <c r="D725" s="19">
        <v>1174.17</v>
      </c>
      <c r="F725" s="3" t="str">
        <f t="shared" si="11"/>
        <v>C0162</v>
      </c>
    </row>
    <row r="726" spans="1:6" ht="22.5" x14ac:dyDescent="0.2">
      <c r="A726" s="17" t="s">
        <v>7234</v>
      </c>
      <c r="B726" s="18" t="s">
        <v>7235</v>
      </c>
      <c r="C726" s="17" t="s">
        <v>271</v>
      </c>
      <c r="D726" s="19">
        <v>398</v>
      </c>
      <c r="F726" s="3" t="str">
        <f t="shared" si="11"/>
        <v>C0160</v>
      </c>
    </row>
    <row r="727" spans="1:6" x14ac:dyDescent="0.2">
      <c r="A727" s="17">
        <v>0</v>
      </c>
      <c r="B727" s="18"/>
      <c r="C727" s="17">
        <v>0</v>
      </c>
      <c r="D727" s="19">
        <v>0</v>
      </c>
      <c r="F727" s="3">
        <f t="shared" si="11"/>
        <v>0</v>
      </c>
    </row>
    <row r="728" spans="1:6" ht="22.5" x14ac:dyDescent="0.2">
      <c r="A728" s="17" t="s">
        <v>7236</v>
      </c>
      <c r="B728" s="18" t="s">
        <v>7237</v>
      </c>
      <c r="C728" s="17" t="s">
        <v>271</v>
      </c>
      <c r="D728" s="19">
        <v>401.02</v>
      </c>
      <c r="F728" s="3" t="str">
        <f t="shared" si="11"/>
        <v>C0161</v>
      </c>
    </row>
    <row r="729" spans="1:6" x14ac:dyDescent="0.2">
      <c r="A729" s="17">
        <v>0</v>
      </c>
      <c r="B729" s="18"/>
      <c r="C729" s="17">
        <v>0</v>
      </c>
      <c r="D729" s="19">
        <v>0</v>
      </c>
      <c r="F729" s="3">
        <f t="shared" si="11"/>
        <v>0</v>
      </c>
    </row>
    <row r="730" spans="1:6" x14ac:dyDescent="0.2">
      <c r="A730" s="17" t="s">
        <v>7238</v>
      </c>
      <c r="B730" s="18" t="s">
        <v>7239</v>
      </c>
      <c r="C730" s="17" t="s">
        <v>271</v>
      </c>
      <c r="D730" s="19">
        <v>1258.98</v>
      </c>
      <c r="F730" s="3" t="str">
        <f t="shared" si="11"/>
        <v>C0155</v>
      </c>
    </row>
    <row r="731" spans="1:6" x14ac:dyDescent="0.2">
      <c r="A731" s="17" t="s">
        <v>7240</v>
      </c>
      <c r="B731" s="18" t="s">
        <v>7241</v>
      </c>
      <c r="C731" s="17" t="s">
        <v>271</v>
      </c>
      <c r="D731" s="19">
        <v>1099.81</v>
      </c>
      <c r="F731" s="3" t="str">
        <f t="shared" si="11"/>
        <v>C0154</v>
      </c>
    </row>
    <row r="732" spans="1:6" x14ac:dyDescent="0.2">
      <c r="A732" s="17" t="s">
        <v>7242</v>
      </c>
      <c r="B732" s="18" t="s">
        <v>7243</v>
      </c>
      <c r="C732" s="17" t="s">
        <v>271</v>
      </c>
      <c r="D732" s="19">
        <v>1095.5999999999999</v>
      </c>
      <c r="F732" s="3" t="str">
        <f t="shared" si="11"/>
        <v>C0163</v>
      </c>
    </row>
    <row r="733" spans="1:6" x14ac:dyDescent="0.2">
      <c r="A733" s="17" t="s">
        <v>7244</v>
      </c>
      <c r="B733" s="18" t="s">
        <v>7245</v>
      </c>
      <c r="C733" s="17" t="s">
        <v>271</v>
      </c>
      <c r="D733" s="19">
        <v>1045.72</v>
      </c>
      <c r="F733" s="3" t="str">
        <f t="shared" si="11"/>
        <v>C0164</v>
      </c>
    </row>
    <row r="734" spans="1:6" x14ac:dyDescent="0.2">
      <c r="A734" s="17" t="s">
        <v>7246</v>
      </c>
      <c r="B734" s="18" t="s">
        <v>7247</v>
      </c>
      <c r="C734" s="17" t="s">
        <v>271</v>
      </c>
      <c r="D734" s="19">
        <v>959.81</v>
      </c>
      <c r="F734" s="3" t="str">
        <f t="shared" si="11"/>
        <v>C0165</v>
      </c>
    </row>
    <row r="735" spans="1:6" x14ac:dyDescent="0.2">
      <c r="A735" s="17" t="s">
        <v>7248</v>
      </c>
      <c r="B735" s="18" t="s">
        <v>7249</v>
      </c>
      <c r="C735" s="17" t="s">
        <v>271</v>
      </c>
      <c r="D735" s="19">
        <v>907.98</v>
      </c>
      <c r="F735" s="3" t="str">
        <f t="shared" si="11"/>
        <v>C4429</v>
      </c>
    </row>
    <row r="736" spans="1:6" x14ac:dyDescent="0.2">
      <c r="A736" s="17" t="s">
        <v>7250</v>
      </c>
      <c r="B736" s="18" t="s">
        <v>7251</v>
      </c>
      <c r="C736" s="17" t="s">
        <v>271</v>
      </c>
      <c r="D736" s="19">
        <v>873.19</v>
      </c>
      <c r="F736" s="3" t="str">
        <f t="shared" si="11"/>
        <v>C4430</v>
      </c>
    </row>
    <row r="737" spans="1:6" x14ac:dyDescent="0.2">
      <c r="A737" s="17" t="s">
        <v>7252</v>
      </c>
      <c r="B737" s="18" t="s">
        <v>7253</v>
      </c>
      <c r="C737" s="17" t="s">
        <v>271</v>
      </c>
      <c r="D737" s="19">
        <v>848.34</v>
      </c>
      <c r="F737" s="3" t="str">
        <f t="shared" si="11"/>
        <v>C3009</v>
      </c>
    </row>
    <row r="738" spans="1:6" x14ac:dyDescent="0.2">
      <c r="A738" s="17" t="s">
        <v>7254</v>
      </c>
      <c r="B738" s="18" t="s">
        <v>7255</v>
      </c>
      <c r="C738" s="17" t="s">
        <v>271</v>
      </c>
      <c r="D738" s="19">
        <v>870.64</v>
      </c>
      <c r="F738" s="3" t="str">
        <f t="shared" si="11"/>
        <v>C0156</v>
      </c>
    </row>
    <row r="739" spans="1:6" x14ac:dyDescent="0.2">
      <c r="A739" s="17" t="s">
        <v>7256</v>
      </c>
      <c r="B739" s="18" t="s">
        <v>7257</v>
      </c>
      <c r="C739" s="17" t="s">
        <v>271</v>
      </c>
      <c r="D739" s="19">
        <v>771.29</v>
      </c>
      <c r="F739" s="3" t="str">
        <f t="shared" si="11"/>
        <v>C0157</v>
      </c>
    </row>
    <row r="740" spans="1:6" x14ac:dyDescent="0.2">
      <c r="A740" s="17" t="s">
        <v>7258</v>
      </c>
      <c r="B740" s="18" t="s">
        <v>7259</v>
      </c>
      <c r="C740" s="17" t="s">
        <v>271</v>
      </c>
      <c r="D740" s="19">
        <v>685.38</v>
      </c>
      <c r="F740" s="3" t="str">
        <f t="shared" si="11"/>
        <v>C0158</v>
      </c>
    </row>
    <row r="741" spans="1:6" x14ac:dyDescent="0.2">
      <c r="A741" s="17" t="s">
        <v>7260</v>
      </c>
      <c r="B741" s="18" t="s">
        <v>7261</v>
      </c>
      <c r="C741" s="17" t="s">
        <v>271</v>
      </c>
      <c r="D741" s="19">
        <v>633.54999999999995</v>
      </c>
      <c r="F741" s="3" t="str">
        <f t="shared" si="11"/>
        <v>C0159</v>
      </c>
    </row>
    <row r="742" spans="1:6" x14ac:dyDescent="0.2">
      <c r="A742" s="17" t="s">
        <v>7262</v>
      </c>
      <c r="B742" s="18" t="s">
        <v>7263</v>
      </c>
      <c r="C742" s="17" t="s">
        <v>271</v>
      </c>
      <c r="D742" s="19">
        <v>895.64</v>
      </c>
      <c r="F742" s="3" t="str">
        <f t="shared" si="11"/>
        <v>C0166</v>
      </c>
    </row>
    <row r="743" spans="1:6" x14ac:dyDescent="0.2">
      <c r="A743" s="17" t="s">
        <v>7264</v>
      </c>
      <c r="B743" s="18" t="s">
        <v>7265</v>
      </c>
      <c r="C743" s="17" t="s">
        <v>271</v>
      </c>
      <c r="D743" s="19">
        <v>797.96</v>
      </c>
      <c r="F743" s="3" t="str">
        <f t="shared" si="11"/>
        <v>C0167</v>
      </c>
    </row>
    <row r="744" spans="1:6" x14ac:dyDescent="0.2">
      <c r="A744" s="17" t="s">
        <v>7266</v>
      </c>
      <c r="B744" s="18" t="s">
        <v>7267</v>
      </c>
      <c r="C744" s="17" t="s">
        <v>271</v>
      </c>
      <c r="D744" s="19">
        <v>730.64</v>
      </c>
      <c r="F744" s="3" t="str">
        <f t="shared" si="11"/>
        <v>C0168</v>
      </c>
    </row>
    <row r="745" spans="1:6" x14ac:dyDescent="0.2">
      <c r="A745" s="17" t="s">
        <v>7268</v>
      </c>
      <c r="B745" s="18" t="s">
        <v>7269</v>
      </c>
      <c r="C745" s="17" t="s">
        <v>271</v>
      </c>
      <c r="D745" s="19">
        <v>681.41</v>
      </c>
      <c r="F745" s="3" t="str">
        <f t="shared" si="11"/>
        <v>C0169</v>
      </c>
    </row>
    <row r="746" spans="1:6" x14ac:dyDescent="0.2">
      <c r="A746" s="17" t="s">
        <v>7270</v>
      </c>
      <c r="B746" s="18" t="s">
        <v>7271</v>
      </c>
      <c r="C746" s="17" t="s">
        <v>271</v>
      </c>
      <c r="D746" s="19">
        <v>631.29</v>
      </c>
      <c r="F746" s="3" t="str">
        <f t="shared" si="11"/>
        <v>C0170</v>
      </c>
    </row>
    <row r="747" spans="1:6" x14ac:dyDescent="0.2">
      <c r="A747" s="17" t="s">
        <v>7272</v>
      </c>
      <c r="B747" s="18" t="s">
        <v>7273</v>
      </c>
      <c r="C747" s="17" t="s">
        <v>271</v>
      </c>
      <c r="D747" s="19">
        <v>545.38</v>
      </c>
      <c r="F747" s="3" t="str">
        <f t="shared" si="11"/>
        <v>C0171</v>
      </c>
    </row>
    <row r="748" spans="1:6" x14ac:dyDescent="0.2">
      <c r="A748" s="17" t="s">
        <v>7274</v>
      </c>
      <c r="B748" s="18" t="s">
        <v>7275</v>
      </c>
      <c r="C748" s="17" t="s">
        <v>271</v>
      </c>
      <c r="D748" s="19">
        <v>493.55</v>
      </c>
      <c r="F748" s="3" t="str">
        <f t="shared" si="11"/>
        <v>C0172</v>
      </c>
    </row>
    <row r="749" spans="1:6" x14ac:dyDescent="0.2">
      <c r="A749" s="17" t="s">
        <v>7276</v>
      </c>
      <c r="B749" s="18" t="s">
        <v>7277</v>
      </c>
      <c r="C749" s="17" t="s">
        <v>271</v>
      </c>
      <c r="D749" s="19">
        <v>458.76</v>
      </c>
      <c r="F749" s="3" t="str">
        <f t="shared" si="11"/>
        <v>C0173</v>
      </c>
    </row>
    <row r="750" spans="1:6" x14ac:dyDescent="0.2">
      <c r="A750" s="17" t="s">
        <v>7278</v>
      </c>
      <c r="B750" s="18" t="s">
        <v>7279</v>
      </c>
      <c r="C750" s="17" t="s">
        <v>271</v>
      </c>
      <c r="D750" s="19">
        <v>433.91</v>
      </c>
      <c r="F750" s="3" t="str">
        <f t="shared" si="11"/>
        <v>C0174</v>
      </c>
    </row>
    <row r="751" spans="1:6" x14ac:dyDescent="0.2">
      <c r="A751" s="17" t="s">
        <v>7280</v>
      </c>
      <c r="B751" s="18" t="s">
        <v>7281</v>
      </c>
      <c r="C751" s="17" t="s">
        <v>271</v>
      </c>
      <c r="D751" s="19">
        <v>540.36</v>
      </c>
      <c r="F751" s="3" t="str">
        <f t="shared" si="11"/>
        <v>C3323</v>
      </c>
    </row>
    <row r="752" spans="1:6" x14ac:dyDescent="0.2">
      <c r="A752" s="17" t="s">
        <v>7282</v>
      </c>
      <c r="B752" s="18" t="s">
        <v>7283</v>
      </c>
      <c r="C752" s="17" t="s">
        <v>271</v>
      </c>
      <c r="D752" s="19">
        <v>454.45</v>
      </c>
      <c r="F752" s="3" t="str">
        <f t="shared" si="11"/>
        <v>C3324</v>
      </c>
    </row>
    <row r="753" spans="1:6" x14ac:dyDescent="0.2">
      <c r="A753" s="17" t="s">
        <v>7284</v>
      </c>
      <c r="B753" s="18" t="s">
        <v>7285</v>
      </c>
      <c r="C753" s="17" t="s">
        <v>271</v>
      </c>
      <c r="D753" s="19">
        <v>491.08</v>
      </c>
      <c r="F753" s="3" t="str">
        <f t="shared" si="11"/>
        <v>C0175</v>
      </c>
    </row>
    <row r="754" spans="1:6" x14ac:dyDescent="0.2">
      <c r="A754" s="17" t="s">
        <v>7286</v>
      </c>
      <c r="B754" s="18" t="s">
        <v>7287</v>
      </c>
      <c r="C754" s="17" t="s">
        <v>271</v>
      </c>
      <c r="D754" s="19">
        <v>446.69</v>
      </c>
      <c r="F754" s="3" t="str">
        <f t="shared" si="11"/>
        <v>C3554</v>
      </c>
    </row>
    <row r="755" spans="1:6" x14ac:dyDescent="0.2">
      <c r="A755" s="17" t="s">
        <v>7288</v>
      </c>
      <c r="B755" s="18" t="s">
        <v>7289</v>
      </c>
      <c r="C755" s="17" t="s">
        <v>271</v>
      </c>
      <c r="D755" s="19">
        <v>274.16000000000003</v>
      </c>
      <c r="F755" s="3" t="str">
        <f t="shared" si="11"/>
        <v>C3553</v>
      </c>
    </row>
    <row r="756" spans="1:6" x14ac:dyDescent="0.2">
      <c r="A756" s="14" t="s">
        <v>7290</v>
      </c>
      <c r="B756" s="15"/>
      <c r="C756" s="14">
        <v>0</v>
      </c>
      <c r="D756" s="16">
        <v>5369.36</v>
      </c>
      <c r="F756" s="3" t="str">
        <f t="shared" si="11"/>
        <v>ARGAMASSA MISTA</v>
      </c>
    </row>
    <row r="757" spans="1:6" x14ac:dyDescent="0.2">
      <c r="A757" s="17" t="s">
        <v>7291</v>
      </c>
      <c r="B757" s="18" t="s">
        <v>7292</v>
      </c>
      <c r="C757" s="17" t="s">
        <v>271</v>
      </c>
      <c r="D757" s="19">
        <v>593.91</v>
      </c>
      <c r="F757" s="3" t="str">
        <f t="shared" si="11"/>
        <v>C0185</v>
      </c>
    </row>
    <row r="758" spans="1:6" x14ac:dyDescent="0.2">
      <c r="A758" s="17">
        <v>0</v>
      </c>
      <c r="B758" s="18"/>
      <c r="C758" s="17">
        <v>0</v>
      </c>
      <c r="D758" s="19">
        <v>0</v>
      </c>
      <c r="F758" s="3">
        <f t="shared" si="11"/>
        <v>0</v>
      </c>
    </row>
    <row r="759" spans="1:6" x14ac:dyDescent="0.2">
      <c r="A759" s="17" t="s">
        <v>7293</v>
      </c>
      <c r="B759" s="18" t="s">
        <v>7294</v>
      </c>
      <c r="C759" s="17" t="s">
        <v>271</v>
      </c>
      <c r="D759" s="19">
        <v>590.51</v>
      </c>
      <c r="F759" s="3" t="str">
        <f t="shared" si="11"/>
        <v>C0189</v>
      </c>
    </row>
    <row r="760" spans="1:6" x14ac:dyDescent="0.2">
      <c r="A760" s="17" t="s">
        <v>7295</v>
      </c>
      <c r="B760" s="18" t="s">
        <v>7296</v>
      </c>
      <c r="C760" s="17" t="s">
        <v>271</v>
      </c>
      <c r="D760" s="19">
        <v>531.95000000000005</v>
      </c>
      <c r="F760" s="3" t="str">
        <f t="shared" si="11"/>
        <v>C0192</v>
      </c>
    </row>
    <row r="761" spans="1:6" x14ac:dyDescent="0.2">
      <c r="A761" s="17" t="s">
        <v>7297</v>
      </c>
      <c r="B761" s="18" t="s">
        <v>7298</v>
      </c>
      <c r="C761" s="17" t="s">
        <v>271</v>
      </c>
      <c r="D761" s="19">
        <v>1004.42</v>
      </c>
      <c r="F761" s="3" t="str">
        <f t="shared" si="11"/>
        <v>C0194</v>
      </c>
    </row>
    <row r="762" spans="1:6" x14ac:dyDescent="0.2">
      <c r="A762" s="17" t="s">
        <v>7299</v>
      </c>
      <c r="B762" s="18" t="s">
        <v>7300</v>
      </c>
      <c r="C762" s="17" t="s">
        <v>271</v>
      </c>
      <c r="D762" s="19">
        <v>720.1</v>
      </c>
      <c r="F762" s="3" t="str">
        <f t="shared" si="11"/>
        <v>C0197</v>
      </c>
    </row>
    <row r="763" spans="1:6" x14ac:dyDescent="0.2">
      <c r="A763" s="17" t="s">
        <v>7301</v>
      </c>
      <c r="B763" s="18" t="s">
        <v>7302</v>
      </c>
      <c r="C763" s="17" t="s">
        <v>271</v>
      </c>
      <c r="D763" s="19">
        <v>590.16999999999996</v>
      </c>
      <c r="F763" s="3" t="str">
        <f t="shared" si="11"/>
        <v>C0205</v>
      </c>
    </row>
    <row r="764" spans="1:6" x14ac:dyDescent="0.2">
      <c r="A764" s="17" t="s">
        <v>7303</v>
      </c>
      <c r="B764" s="18" t="s">
        <v>7304</v>
      </c>
      <c r="C764" s="17" t="s">
        <v>271</v>
      </c>
      <c r="D764" s="19">
        <v>556.77</v>
      </c>
      <c r="F764" s="3" t="str">
        <f t="shared" si="11"/>
        <v>C0200</v>
      </c>
    </row>
    <row r="765" spans="1:6" x14ac:dyDescent="0.2">
      <c r="A765" s="17" t="s">
        <v>7305</v>
      </c>
      <c r="B765" s="18" t="s">
        <v>7306</v>
      </c>
      <c r="C765" s="17" t="s">
        <v>271</v>
      </c>
      <c r="D765" s="19">
        <v>781.53</v>
      </c>
      <c r="F765" s="3" t="str">
        <f t="shared" si="11"/>
        <v>C1439</v>
      </c>
    </row>
    <row r="766" spans="1:6" x14ac:dyDescent="0.2">
      <c r="A766" s="14" t="s">
        <v>7307</v>
      </c>
      <c r="B766" s="15"/>
      <c r="C766" s="14">
        <v>0</v>
      </c>
      <c r="D766" s="16">
        <v>42.68</v>
      </c>
      <c r="F766" s="3" t="str">
        <f t="shared" si="11"/>
        <v>ARGAMASSA INDUSTRIALIZADA</v>
      </c>
    </row>
    <row r="767" spans="1:6" x14ac:dyDescent="0.2">
      <c r="A767" s="17" t="s">
        <v>7308</v>
      </c>
      <c r="B767" s="18" t="s">
        <v>7309</v>
      </c>
      <c r="C767" s="17" t="s">
        <v>255</v>
      </c>
      <c r="D767" s="19">
        <v>9.18</v>
      </c>
      <c r="F767" s="3" t="str">
        <f t="shared" si="11"/>
        <v>C0210</v>
      </c>
    </row>
    <row r="768" spans="1:6" x14ac:dyDescent="0.2">
      <c r="A768" s="17" t="s">
        <v>7310</v>
      </c>
      <c r="B768" s="18" t="s">
        <v>7311</v>
      </c>
      <c r="C768" s="17" t="s">
        <v>255</v>
      </c>
      <c r="D768" s="19">
        <v>9.18</v>
      </c>
      <c r="F768" s="3" t="str">
        <f t="shared" si="11"/>
        <v>C0211</v>
      </c>
    </row>
    <row r="769" spans="1:6" x14ac:dyDescent="0.2">
      <c r="A769" s="17" t="s">
        <v>7312</v>
      </c>
      <c r="B769" s="18" t="s">
        <v>7313</v>
      </c>
      <c r="C769" s="17" t="s">
        <v>255</v>
      </c>
      <c r="D769" s="19">
        <v>23.25</v>
      </c>
      <c r="F769" s="3" t="str">
        <f t="shared" si="11"/>
        <v>C0212</v>
      </c>
    </row>
    <row r="770" spans="1:6" x14ac:dyDescent="0.2">
      <c r="A770" s="17" t="s">
        <v>7314</v>
      </c>
      <c r="B770" s="18" t="s">
        <v>7315</v>
      </c>
      <c r="C770" s="17" t="s">
        <v>1284</v>
      </c>
      <c r="D770" s="19">
        <v>1.07</v>
      </c>
      <c r="F770" s="3" t="str">
        <f t="shared" ref="F770:F833" si="12">A770</f>
        <v>C1848</v>
      </c>
    </row>
    <row r="771" spans="1:6" x14ac:dyDescent="0.2">
      <c r="A771" s="14" t="s">
        <v>7316</v>
      </c>
      <c r="B771" s="15"/>
      <c r="C771" s="14">
        <v>0</v>
      </c>
      <c r="D771" s="16">
        <v>154318.67000000001</v>
      </c>
      <c r="F771" s="3" t="str">
        <f t="shared" si="12"/>
        <v>FUNDAÇÕES E  ESTRUTURAS</v>
      </c>
    </row>
    <row r="772" spans="1:6" x14ac:dyDescent="0.2">
      <c r="A772" s="14" t="s">
        <v>7317</v>
      </c>
      <c r="B772" s="15"/>
      <c r="C772" s="14">
        <v>0</v>
      </c>
      <c r="D772" s="16">
        <v>15458.6</v>
      </c>
      <c r="F772" s="3" t="str">
        <f t="shared" si="12"/>
        <v>TUBULÕES A CÉU ABERTO</v>
      </c>
    </row>
    <row r="773" spans="1:6" x14ac:dyDescent="0.2">
      <c r="A773" s="17" t="s">
        <v>7318</v>
      </c>
      <c r="B773" s="18" t="s">
        <v>7319</v>
      </c>
      <c r="C773" s="17" t="s">
        <v>271</v>
      </c>
      <c r="D773" s="19">
        <v>1626.06</v>
      </c>
      <c r="F773" s="3" t="str">
        <f t="shared" si="12"/>
        <v>C0825</v>
      </c>
    </row>
    <row r="774" spans="1:6" x14ac:dyDescent="0.2">
      <c r="A774" s="17" t="s">
        <v>7320</v>
      </c>
      <c r="B774" s="18" t="s">
        <v>7321</v>
      </c>
      <c r="C774" s="17" t="s">
        <v>0</v>
      </c>
      <c r="D774" s="19">
        <v>2477.58</v>
      </c>
      <c r="F774" s="3" t="str">
        <f t="shared" si="12"/>
        <v>C0826</v>
      </c>
    </row>
    <row r="775" spans="1:6" x14ac:dyDescent="0.2">
      <c r="A775" s="17" t="s">
        <v>7322</v>
      </c>
      <c r="B775" s="18" t="s">
        <v>7323</v>
      </c>
      <c r="C775" s="17" t="s">
        <v>0</v>
      </c>
      <c r="D775" s="19">
        <v>2994.71</v>
      </c>
      <c r="F775" s="3" t="str">
        <f t="shared" si="12"/>
        <v>C0827</v>
      </c>
    </row>
    <row r="776" spans="1:6" x14ac:dyDescent="0.2">
      <c r="A776" s="17" t="s">
        <v>7324</v>
      </c>
      <c r="B776" s="18" t="s">
        <v>7325</v>
      </c>
      <c r="C776" s="17" t="s">
        <v>0</v>
      </c>
      <c r="D776" s="19">
        <v>3533.1</v>
      </c>
      <c r="F776" s="3" t="str">
        <f t="shared" si="12"/>
        <v>C0828</v>
      </c>
    </row>
    <row r="777" spans="1:6" x14ac:dyDescent="0.2">
      <c r="A777" s="17" t="s">
        <v>7326</v>
      </c>
      <c r="B777" s="18" t="s">
        <v>7327</v>
      </c>
      <c r="C777" s="17" t="s">
        <v>271</v>
      </c>
      <c r="D777" s="19">
        <v>640.05999999999995</v>
      </c>
      <c r="F777" s="3" t="str">
        <f t="shared" si="12"/>
        <v>C2636</v>
      </c>
    </row>
    <row r="778" spans="1:6" x14ac:dyDescent="0.2">
      <c r="A778" s="17" t="s">
        <v>7328</v>
      </c>
      <c r="B778" s="18" t="s">
        <v>7329</v>
      </c>
      <c r="C778" s="17" t="s">
        <v>271</v>
      </c>
      <c r="D778" s="19">
        <v>588.38</v>
      </c>
      <c r="F778" s="3" t="str">
        <f t="shared" si="12"/>
        <v>C2637</v>
      </c>
    </row>
    <row r="779" spans="1:6" x14ac:dyDescent="0.2">
      <c r="A779" s="17" t="s">
        <v>7330</v>
      </c>
      <c r="B779" s="18" t="s">
        <v>7331</v>
      </c>
      <c r="C779" s="17" t="s">
        <v>271</v>
      </c>
      <c r="D779" s="19">
        <v>647.79999999999995</v>
      </c>
      <c r="F779" s="3" t="str">
        <f t="shared" si="12"/>
        <v>C2638</v>
      </c>
    </row>
    <row r="780" spans="1:6" x14ac:dyDescent="0.2">
      <c r="A780" s="17" t="s">
        <v>7332</v>
      </c>
      <c r="B780" s="18" t="s">
        <v>7333</v>
      </c>
      <c r="C780" s="17" t="s">
        <v>271</v>
      </c>
      <c r="D780" s="19">
        <v>594.85</v>
      </c>
      <c r="F780" s="3" t="str">
        <f t="shared" si="12"/>
        <v>C2634</v>
      </c>
    </row>
    <row r="781" spans="1:6" x14ac:dyDescent="0.2">
      <c r="A781" s="17" t="s">
        <v>7334</v>
      </c>
      <c r="B781" s="18" t="s">
        <v>7335</v>
      </c>
      <c r="C781" s="17" t="s">
        <v>271</v>
      </c>
      <c r="D781" s="19">
        <v>663.21</v>
      </c>
      <c r="F781" s="3" t="str">
        <f t="shared" si="12"/>
        <v>C2639</v>
      </c>
    </row>
    <row r="782" spans="1:6" x14ac:dyDescent="0.2">
      <c r="A782" s="17" t="s">
        <v>7336</v>
      </c>
      <c r="B782" s="18" t="s">
        <v>7337</v>
      </c>
      <c r="C782" s="17" t="s">
        <v>271</v>
      </c>
      <c r="D782" s="19">
        <v>607.04</v>
      </c>
      <c r="F782" s="3" t="str">
        <f t="shared" si="12"/>
        <v>C2635</v>
      </c>
    </row>
    <row r="783" spans="1:6" x14ac:dyDescent="0.2">
      <c r="A783" s="17" t="s">
        <v>7338</v>
      </c>
      <c r="B783" s="18" t="s">
        <v>7339</v>
      </c>
      <c r="C783" s="17" t="s">
        <v>271</v>
      </c>
      <c r="D783" s="19">
        <v>535</v>
      </c>
      <c r="F783" s="3" t="str">
        <f t="shared" si="12"/>
        <v>C2641</v>
      </c>
    </row>
    <row r="784" spans="1:6" x14ac:dyDescent="0.2">
      <c r="A784" s="17" t="s">
        <v>7340</v>
      </c>
      <c r="B784" s="18" t="s">
        <v>7341</v>
      </c>
      <c r="C784" s="17" t="s">
        <v>271</v>
      </c>
      <c r="D784" s="19">
        <v>550.80999999999995</v>
      </c>
      <c r="F784" s="3" t="str">
        <f t="shared" si="12"/>
        <v>C2642</v>
      </c>
    </row>
    <row r="785" spans="1:6" x14ac:dyDescent="0.2">
      <c r="A785" s="14" t="s">
        <v>7342</v>
      </c>
      <c r="B785" s="15"/>
      <c r="C785" s="14">
        <v>0</v>
      </c>
      <c r="D785" s="16">
        <v>28617.16</v>
      </c>
      <c r="F785" s="3" t="str">
        <f t="shared" si="12"/>
        <v>TUBULÕES A AR COMPRIMIDO</v>
      </c>
    </row>
    <row r="786" spans="1:6" x14ac:dyDescent="0.2">
      <c r="A786" s="17" t="s">
        <v>7343</v>
      </c>
      <c r="B786" s="18" t="s">
        <v>7344</v>
      </c>
      <c r="C786" s="17" t="s">
        <v>271</v>
      </c>
      <c r="D786" s="19">
        <v>2009.74</v>
      </c>
      <c r="F786" s="3" t="str">
        <f t="shared" si="12"/>
        <v>C3148</v>
      </c>
    </row>
    <row r="787" spans="1:6" x14ac:dyDescent="0.2">
      <c r="A787" s="17" t="s">
        <v>7345</v>
      </c>
      <c r="B787" s="18" t="s">
        <v>7346</v>
      </c>
      <c r="C787" s="17" t="s">
        <v>271</v>
      </c>
      <c r="D787" s="19">
        <v>2094.98</v>
      </c>
      <c r="F787" s="3" t="str">
        <f t="shared" si="12"/>
        <v>C3147</v>
      </c>
    </row>
    <row r="788" spans="1:6" x14ac:dyDescent="0.2">
      <c r="A788" s="17" t="s">
        <v>7347</v>
      </c>
      <c r="B788" s="18" t="s">
        <v>7348</v>
      </c>
      <c r="C788" s="17" t="s">
        <v>0</v>
      </c>
      <c r="D788" s="19">
        <v>2890.2</v>
      </c>
      <c r="F788" s="3" t="str">
        <f t="shared" si="12"/>
        <v>C3149</v>
      </c>
    </row>
    <row r="789" spans="1:6" x14ac:dyDescent="0.2">
      <c r="A789" s="17" t="s">
        <v>7349</v>
      </c>
      <c r="B789" s="18" t="s">
        <v>7350</v>
      </c>
      <c r="C789" s="17" t="s">
        <v>0</v>
      </c>
      <c r="D789" s="19">
        <v>2970.6</v>
      </c>
      <c r="F789" s="3" t="str">
        <f t="shared" si="12"/>
        <v>C3150</v>
      </c>
    </row>
    <row r="790" spans="1:6" x14ac:dyDescent="0.2">
      <c r="A790" s="17" t="s">
        <v>7351</v>
      </c>
      <c r="B790" s="18" t="s">
        <v>7352</v>
      </c>
      <c r="C790" s="17" t="s">
        <v>0</v>
      </c>
      <c r="D790" s="19">
        <v>3502.12</v>
      </c>
      <c r="F790" s="3" t="str">
        <f t="shared" si="12"/>
        <v>C3151</v>
      </c>
    </row>
    <row r="791" spans="1:6" x14ac:dyDescent="0.2">
      <c r="A791" s="17" t="s">
        <v>7353</v>
      </c>
      <c r="B791" s="18" t="s">
        <v>7354</v>
      </c>
      <c r="C791" s="17" t="s">
        <v>0</v>
      </c>
      <c r="D791" s="19">
        <v>3617.49</v>
      </c>
      <c r="F791" s="3" t="str">
        <f t="shared" si="12"/>
        <v>C3152</v>
      </c>
    </row>
    <row r="792" spans="1:6" x14ac:dyDescent="0.2">
      <c r="A792" s="17" t="s">
        <v>7355</v>
      </c>
      <c r="B792" s="18" t="s">
        <v>7356</v>
      </c>
      <c r="C792" s="17" t="s">
        <v>0</v>
      </c>
      <c r="D792" s="19">
        <v>4087.21</v>
      </c>
      <c r="F792" s="3" t="str">
        <f t="shared" si="12"/>
        <v>C3153</v>
      </c>
    </row>
    <row r="793" spans="1:6" x14ac:dyDescent="0.2">
      <c r="A793" s="17" t="s">
        <v>7357</v>
      </c>
      <c r="B793" s="18" t="s">
        <v>7358</v>
      </c>
      <c r="C793" s="17" t="s">
        <v>0</v>
      </c>
      <c r="D793" s="19">
        <v>4321.08</v>
      </c>
      <c r="F793" s="3" t="str">
        <f t="shared" si="12"/>
        <v>C3154</v>
      </c>
    </row>
    <row r="794" spans="1:6" x14ac:dyDescent="0.2">
      <c r="A794" s="17" t="s">
        <v>7359</v>
      </c>
      <c r="B794" s="18" t="s">
        <v>7360</v>
      </c>
      <c r="C794" s="17" t="s">
        <v>0</v>
      </c>
      <c r="D794" s="19">
        <v>1945.57</v>
      </c>
      <c r="F794" s="3" t="str">
        <f t="shared" si="12"/>
        <v>C0963</v>
      </c>
    </row>
    <row r="795" spans="1:6" x14ac:dyDescent="0.2">
      <c r="A795" s="17" t="s">
        <v>7361</v>
      </c>
      <c r="B795" s="18" t="s">
        <v>7362</v>
      </c>
      <c r="C795" s="17" t="s">
        <v>271</v>
      </c>
      <c r="D795" s="19">
        <v>1178.17</v>
      </c>
      <c r="F795" s="3" t="str">
        <f t="shared" si="12"/>
        <v>C2643</v>
      </c>
    </row>
    <row r="796" spans="1:6" x14ac:dyDescent="0.2">
      <c r="A796" s="14" t="s">
        <v>7363</v>
      </c>
      <c r="B796" s="15"/>
      <c r="C796" s="14">
        <v>0</v>
      </c>
      <c r="D796" s="16">
        <v>4481.5600000000004</v>
      </c>
      <c r="F796" s="3" t="str">
        <f t="shared" si="12"/>
        <v>ESTACAS</v>
      </c>
    </row>
    <row r="797" spans="1:6" x14ac:dyDescent="0.2">
      <c r="A797" s="17" t="s">
        <v>7364</v>
      </c>
      <c r="B797" s="18" t="s">
        <v>7365</v>
      </c>
      <c r="C797" s="17" t="s">
        <v>0</v>
      </c>
      <c r="D797" s="19">
        <v>1.87</v>
      </c>
      <c r="F797" s="3" t="str">
        <f t="shared" si="12"/>
        <v>C5046</v>
      </c>
    </row>
    <row r="798" spans="1:6" x14ac:dyDescent="0.2">
      <c r="A798" s="17" t="s">
        <v>7366</v>
      </c>
      <c r="B798" s="18" t="s">
        <v>7367</v>
      </c>
      <c r="C798" s="17" t="s">
        <v>0</v>
      </c>
      <c r="D798" s="19">
        <v>2.17</v>
      </c>
      <c r="F798" s="3" t="str">
        <f t="shared" si="12"/>
        <v>C5047</v>
      </c>
    </row>
    <row r="799" spans="1:6" x14ac:dyDescent="0.2">
      <c r="A799" s="17" t="s">
        <v>7368</v>
      </c>
      <c r="B799" s="18" t="s">
        <v>7369</v>
      </c>
      <c r="C799" s="17" t="s">
        <v>0</v>
      </c>
      <c r="D799" s="19">
        <v>2.52</v>
      </c>
      <c r="F799" s="3" t="str">
        <f t="shared" si="12"/>
        <v>C5048</v>
      </c>
    </row>
    <row r="800" spans="1:6" x14ac:dyDescent="0.2">
      <c r="A800" s="17" t="s">
        <v>7370</v>
      </c>
      <c r="B800" s="18" t="s">
        <v>7371</v>
      </c>
      <c r="C800" s="17" t="s">
        <v>0</v>
      </c>
      <c r="D800" s="19">
        <v>3.46</v>
      </c>
      <c r="F800" s="3" t="str">
        <f t="shared" si="12"/>
        <v>C5049</v>
      </c>
    </row>
    <row r="801" spans="1:6" x14ac:dyDescent="0.2">
      <c r="A801" s="17" t="s">
        <v>7372</v>
      </c>
      <c r="B801" s="18" t="s">
        <v>7373</v>
      </c>
      <c r="C801" s="17" t="s">
        <v>26</v>
      </c>
      <c r="D801" s="19">
        <v>41.02</v>
      </c>
      <c r="F801" s="3" t="str">
        <f t="shared" si="12"/>
        <v>C0938</v>
      </c>
    </row>
    <row r="802" spans="1:6" x14ac:dyDescent="0.2">
      <c r="A802" s="17" t="s">
        <v>7374</v>
      </c>
      <c r="B802" s="18" t="s">
        <v>7375</v>
      </c>
      <c r="C802" s="17" t="s">
        <v>26</v>
      </c>
      <c r="D802" s="19">
        <v>49.21</v>
      </c>
      <c r="F802" s="3" t="str">
        <f t="shared" si="12"/>
        <v>C0939</v>
      </c>
    </row>
    <row r="803" spans="1:6" x14ac:dyDescent="0.2">
      <c r="A803" s="17" t="s">
        <v>7376</v>
      </c>
      <c r="B803" s="18" t="s">
        <v>7377</v>
      </c>
      <c r="C803" s="17" t="s">
        <v>26</v>
      </c>
      <c r="D803" s="19">
        <v>74.95</v>
      </c>
      <c r="F803" s="3" t="str">
        <f t="shared" si="12"/>
        <v>C0936</v>
      </c>
    </row>
    <row r="804" spans="1:6" x14ac:dyDescent="0.2">
      <c r="A804" s="17" t="s">
        <v>7378</v>
      </c>
      <c r="B804" s="18" t="s">
        <v>7379</v>
      </c>
      <c r="C804" s="17" t="s">
        <v>26</v>
      </c>
      <c r="D804" s="19">
        <v>89.6</v>
      </c>
      <c r="F804" s="3" t="str">
        <f t="shared" si="12"/>
        <v>C0937</v>
      </c>
    </row>
    <row r="805" spans="1:6" x14ac:dyDescent="0.2">
      <c r="A805" s="17" t="s">
        <v>7380</v>
      </c>
      <c r="B805" s="18" t="s">
        <v>7381</v>
      </c>
      <c r="C805" s="17" t="s">
        <v>0</v>
      </c>
      <c r="D805" s="19">
        <v>81.25</v>
      </c>
      <c r="F805" s="3" t="str">
        <f t="shared" si="12"/>
        <v>C1292</v>
      </c>
    </row>
    <row r="806" spans="1:6" x14ac:dyDescent="0.2">
      <c r="A806" s="17" t="s">
        <v>7382</v>
      </c>
      <c r="B806" s="18" t="s">
        <v>7383</v>
      </c>
      <c r="C806" s="17" t="s">
        <v>0</v>
      </c>
      <c r="D806" s="19">
        <v>107.83</v>
      </c>
      <c r="F806" s="3" t="str">
        <f t="shared" si="12"/>
        <v>C1293</v>
      </c>
    </row>
    <row r="807" spans="1:6" x14ac:dyDescent="0.2">
      <c r="A807" s="17" t="s">
        <v>7384</v>
      </c>
      <c r="B807" s="18" t="s">
        <v>7385</v>
      </c>
      <c r="C807" s="17" t="s">
        <v>0</v>
      </c>
      <c r="D807" s="19">
        <v>102.14</v>
      </c>
      <c r="F807" s="3" t="str">
        <f t="shared" si="12"/>
        <v>C1290</v>
      </c>
    </row>
    <row r="808" spans="1:6" x14ac:dyDescent="0.2">
      <c r="A808" s="17" t="s">
        <v>7386</v>
      </c>
      <c r="B808" s="18" t="s">
        <v>7387</v>
      </c>
      <c r="C808" s="17" t="s">
        <v>0</v>
      </c>
      <c r="D808" s="19">
        <v>128.72999999999999</v>
      </c>
      <c r="F808" s="3" t="str">
        <f t="shared" si="12"/>
        <v>C1291</v>
      </c>
    </row>
    <row r="809" spans="1:6" ht="22.5" x14ac:dyDescent="0.2">
      <c r="A809" s="17" t="s">
        <v>7388</v>
      </c>
      <c r="B809" s="18" t="s">
        <v>7389</v>
      </c>
      <c r="C809" s="17" t="s">
        <v>0</v>
      </c>
      <c r="D809" s="19">
        <v>41.41</v>
      </c>
      <c r="F809" s="3" t="str">
        <f t="shared" si="12"/>
        <v>C5221</v>
      </c>
    </row>
    <row r="810" spans="1:6" x14ac:dyDescent="0.2">
      <c r="A810" s="17">
        <v>0</v>
      </c>
      <c r="B810" s="18"/>
      <c r="C810" s="17">
        <v>0</v>
      </c>
      <c r="D810" s="19">
        <v>0</v>
      </c>
      <c r="F810" s="3">
        <f t="shared" si="12"/>
        <v>0</v>
      </c>
    </row>
    <row r="811" spans="1:6" ht="22.5" x14ac:dyDescent="0.2">
      <c r="A811" s="17" t="s">
        <v>7390</v>
      </c>
      <c r="B811" s="18" t="s">
        <v>7391</v>
      </c>
      <c r="C811" s="17" t="s">
        <v>0</v>
      </c>
      <c r="D811" s="19">
        <v>46.06</v>
      </c>
      <c r="F811" s="3" t="str">
        <f t="shared" si="12"/>
        <v>C5222</v>
      </c>
    </row>
    <row r="812" spans="1:6" x14ac:dyDescent="0.2">
      <c r="A812" s="17">
        <v>0</v>
      </c>
      <c r="B812" s="18"/>
      <c r="C812" s="17">
        <v>0</v>
      </c>
      <c r="D812" s="19">
        <v>0</v>
      </c>
      <c r="F812" s="3">
        <f t="shared" si="12"/>
        <v>0</v>
      </c>
    </row>
    <row r="813" spans="1:6" ht="22.5" x14ac:dyDescent="0.2">
      <c r="A813" s="17" t="s">
        <v>7392</v>
      </c>
      <c r="B813" s="18" t="s">
        <v>7393</v>
      </c>
      <c r="C813" s="17" t="s">
        <v>0</v>
      </c>
      <c r="D813" s="19">
        <v>50.67</v>
      </c>
      <c r="F813" s="3" t="str">
        <f t="shared" si="12"/>
        <v>C5223</v>
      </c>
    </row>
    <row r="814" spans="1:6" x14ac:dyDescent="0.2">
      <c r="A814" s="17">
        <v>0</v>
      </c>
      <c r="B814" s="18"/>
      <c r="C814" s="17">
        <v>0</v>
      </c>
      <c r="D814" s="19">
        <v>0</v>
      </c>
      <c r="F814" s="3">
        <f t="shared" si="12"/>
        <v>0</v>
      </c>
    </row>
    <row r="815" spans="1:6" ht="22.5" x14ac:dyDescent="0.2">
      <c r="A815" s="17" t="s">
        <v>7394</v>
      </c>
      <c r="B815" s="18" t="s">
        <v>7395</v>
      </c>
      <c r="C815" s="17" t="s">
        <v>7396</v>
      </c>
      <c r="D815" s="19">
        <v>58.88</v>
      </c>
      <c r="F815" s="3" t="str">
        <f t="shared" si="12"/>
        <v>C5224</v>
      </c>
    </row>
    <row r="816" spans="1:6" x14ac:dyDescent="0.2">
      <c r="A816" s="17">
        <v>0</v>
      </c>
      <c r="B816" s="18"/>
      <c r="C816" s="17">
        <v>0</v>
      </c>
      <c r="D816" s="19">
        <v>0</v>
      </c>
      <c r="F816" s="3">
        <f t="shared" si="12"/>
        <v>0</v>
      </c>
    </row>
    <row r="817" spans="1:6" x14ac:dyDescent="0.2">
      <c r="A817" s="17" t="s">
        <v>7397</v>
      </c>
      <c r="B817" s="18" t="s">
        <v>7398</v>
      </c>
      <c r="C817" s="17" t="s">
        <v>0</v>
      </c>
      <c r="D817" s="19">
        <v>186.32</v>
      </c>
      <c r="F817" s="3" t="str">
        <f t="shared" si="12"/>
        <v>C4690</v>
      </c>
    </row>
    <row r="818" spans="1:6" x14ac:dyDescent="0.2">
      <c r="A818" s="17" t="s">
        <v>7399</v>
      </c>
      <c r="B818" s="18" t="s">
        <v>7400</v>
      </c>
      <c r="C818" s="17" t="s">
        <v>0</v>
      </c>
      <c r="D818" s="19">
        <v>226.48</v>
      </c>
      <c r="F818" s="3" t="str">
        <f t="shared" si="12"/>
        <v>C4691</v>
      </c>
    </row>
    <row r="819" spans="1:6" x14ac:dyDescent="0.2">
      <c r="A819" s="17" t="s">
        <v>7401</v>
      </c>
      <c r="B819" s="18" t="s">
        <v>7402</v>
      </c>
      <c r="C819" s="17" t="s">
        <v>0</v>
      </c>
      <c r="D819" s="19">
        <v>280.14</v>
      </c>
      <c r="F819" s="3" t="str">
        <f t="shared" si="12"/>
        <v>C4692</v>
      </c>
    </row>
    <row r="820" spans="1:6" x14ac:dyDescent="0.2">
      <c r="A820" s="17" t="s">
        <v>7403</v>
      </c>
      <c r="B820" s="18" t="s">
        <v>7404</v>
      </c>
      <c r="C820" s="17" t="s">
        <v>0</v>
      </c>
      <c r="D820" s="19">
        <v>313.45</v>
      </c>
      <c r="F820" s="3" t="str">
        <f t="shared" si="12"/>
        <v>C4693</v>
      </c>
    </row>
    <row r="821" spans="1:6" x14ac:dyDescent="0.2">
      <c r="A821" s="17" t="s">
        <v>7405</v>
      </c>
      <c r="B821" s="18" t="s">
        <v>7406</v>
      </c>
      <c r="C821" s="17" t="s">
        <v>0</v>
      </c>
      <c r="D821" s="19">
        <v>347.86</v>
      </c>
      <c r="F821" s="3" t="str">
        <f t="shared" si="12"/>
        <v>C4697</v>
      </c>
    </row>
    <row r="822" spans="1:6" x14ac:dyDescent="0.2">
      <c r="A822" s="17" t="s">
        <v>7407</v>
      </c>
      <c r="B822" s="18" t="s">
        <v>7408</v>
      </c>
      <c r="C822" s="17" t="s">
        <v>0</v>
      </c>
      <c r="D822" s="19">
        <v>464.67</v>
      </c>
      <c r="F822" s="3" t="str">
        <f t="shared" si="12"/>
        <v>C4694</v>
      </c>
    </row>
    <row r="823" spans="1:6" x14ac:dyDescent="0.2">
      <c r="A823" s="17" t="s">
        <v>7409</v>
      </c>
      <c r="B823" s="18" t="s">
        <v>7410</v>
      </c>
      <c r="C823" s="17" t="s">
        <v>0</v>
      </c>
      <c r="D823" s="19">
        <v>532.84</v>
      </c>
      <c r="F823" s="3" t="str">
        <f t="shared" si="12"/>
        <v>C4695</v>
      </c>
    </row>
    <row r="824" spans="1:6" x14ac:dyDescent="0.2">
      <c r="A824" s="17" t="s">
        <v>7411</v>
      </c>
      <c r="B824" s="18" t="s">
        <v>7412</v>
      </c>
      <c r="C824" s="17" t="s">
        <v>0</v>
      </c>
      <c r="D824" s="19">
        <v>568.1</v>
      </c>
      <c r="F824" s="3" t="str">
        <f t="shared" si="12"/>
        <v>C4696</v>
      </c>
    </row>
    <row r="825" spans="1:6" x14ac:dyDescent="0.2">
      <c r="A825" s="17" t="s">
        <v>7413</v>
      </c>
      <c r="B825" s="18" t="s">
        <v>7414</v>
      </c>
      <c r="C825" s="17" t="s">
        <v>1284</v>
      </c>
      <c r="D825" s="19">
        <v>16.739999999999998</v>
      </c>
      <c r="F825" s="3" t="str">
        <f t="shared" si="12"/>
        <v>C4698</v>
      </c>
    </row>
    <row r="826" spans="1:6" x14ac:dyDescent="0.2">
      <c r="A826" s="17" t="s">
        <v>7415</v>
      </c>
      <c r="B826" s="18" t="s">
        <v>7416</v>
      </c>
      <c r="C826" s="17" t="s">
        <v>26</v>
      </c>
      <c r="D826" s="19">
        <v>242.89</v>
      </c>
      <c r="F826" s="3" t="str">
        <f t="shared" si="12"/>
        <v>C4699</v>
      </c>
    </row>
    <row r="827" spans="1:6" x14ac:dyDescent="0.2">
      <c r="A827" s="17" t="s">
        <v>7417</v>
      </c>
      <c r="B827" s="18" t="s">
        <v>7418</v>
      </c>
      <c r="C827" s="17" t="s">
        <v>0</v>
      </c>
      <c r="D827" s="19">
        <v>34.090000000000003</v>
      </c>
      <c r="F827" s="3" t="str">
        <f t="shared" si="12"/>
        <v>C2282</v>
      </c>
    </row>
    <row r="828" spans="1:6" x14ac:dyDescent="0.2">
      <c r="A828" s="17" t="s">
        <v>7419</v>
      </c>
      <c r="B828" s="18" t="s">
        <v>7420</v>
      </c>
      <c r="C828" s="17" t="s">
        <v>0</v>
      </c>
      <c r="D828" s="19">
        <v>37.729999999999997</v>
      </c>
      <c r="F828" s="3" t="str">
        <f t="shared" si="12"/>
        <v>C5042</v>
      </c>
    </row>
    <row r="829" spans="1:6" x14ac:dyDescent="0.2">
      <c r="A829" s="17" t="s">
        <v>7421</v>
      </c>
      <c r="B829" s="18" t="s">
        <v>7422</v>
      </c>
      <c r="C829" s="17" t="s">
        <v>0</v>
      </c>
      <c r="D829" s="19">
        <v>67.040000000000006</v>
      </c>
      <c r="F829" s="3" t="str">
        <f t="shared" si="12"/>
        <v>C5043</v>
      </c>
    </row>
    <row r="830" spans="1:6" x14ac:dyDescent="0.2">
      <c r="A830" s="17" t="s">
        <v>7423</v>
      </c>
      <c r="B830" s="18" t="s">
        <v>7424</v>
      </c>
      <c r="C830" s="17" t="s">
        <v>0</v>
      </c>
      <c r="D830" s="19">
        <v>100.56</v>
      </c>
      <c r="F830" s="3" t="str">
        <f t="shared" si="12"/>
        <v>C5044</v>
      </c>
    </row>
    <row r="831" spans="1:6" x14ac:dyDescent="0.2">
      <c r="A831" s="17" t="s">
        <v>7425</v>
      </c>
      <c r="B831" s="18" t="s">
        <v>7426</v>
      </c>
      <c r="C831" s="17" t="s">
        <v>0</v>
      </c>
      <c r="D831" s="19">
        <v>180.88</v>
      </c>
      <c r="F831" s="3" t="str">
        <f t="shared" si="12"/>
        <v>C5045</v>
      </c>
    </row>
    <row r="832" spans="1:6" x14ac:dyDescent="0.2">
      <c r="A832" s="14" t="s">
        <v>7427</v>
      </c>
      <c r="B832" s="15"/>
      <c r="C832" s="14">
        <v>0</v>
      </c>
      <c r="D832" s="16">
        <v>3957.2</v>
      </c>
      <c r="F832" s="3" t="str">
        <f t="shared" si="12"/>
        <v>EMBASAMENTOS E BALDRAMES</v>
      </c>
    </row>
    <row r="833" spans="1:6" x14ac:dyDescent="0.2">
      <c r="A833" s="17" t="s">
        <v>7428</v>
      </c>
      <c r="B833" s="18" t="s">
        <v>7429</v>
      </c>
      <c r="C833" s="17" t="s">
        <v>271</v>
      </c>
      <c r="D833" s="19">
        <v>543.91</v>
      </c>
      <c r="F833" s="3" t="str">
        <f t="shared" si="12"/>
        <v>C0054</v>
      </c>
    </row>
    <row r="834" spans="1:6" x14ac:dyDescent="0.2">
      <c r="A834" s="17" t="s">
        <v>7430</v>
      </c>
      <c r="B834" s="18" t="s">
        <v>7431</v>
      </c>
      <c r="C834" s="17" t="s">
        <v>271</v>
      </c>
      <c r="D834" s="19">
        <v>833.89</v>
      </c>
      <c r="F834" s="3" t="str">
        <f t="shared" ref="F834:F897" si="13">A834</f>
        <v>C0055</v>
      </c>
    </row>
    <row r="835" spans="1:6" x14ac:dyDescent="0.2">
      <c r="A835" s="17">
        <v>0</v>
      </c>
      <c r="B835" s="18"/>
      <c r="C835" s="17">
        <v>0</v>
      </c>
      <c r="D835" s="19">
        <v>0</v>
      </c>
      <c r="F835" s="3">
        <f t="shared" si="13"/>
        <v>0</v>
      </c>
    </row>
    <row r="836" spans="1:6" ht="22.5" x14ac:dyDescent="0.2">
      <c r="A836" s="17" t="s">
        <v>7432</v>
      </c>
      <c r="B836" s="18" t="s">
        <v>7433</v>
      </c>
      <c r="C836" s="17" t="s">
        <v>271</v>
      </c>
      <c r="D836" s="19">
        <v>576.54</v>
      </c>
      <c r="F836" s="3" t="str">
        <f t="shared" si="13"/>
        <v>C0056</v>
      </c>
    </row>
    <row r="837" spans="1:6" x14ac:dyDescent="0.2">
      <c r="A837" s="17">
        <v>0</v>
      </c>
      <c r="B837" s="18"/>
      <c r="C837" s="17">
        <v>0</v>
      </c>
      <c r="D837" s="19">
        <v>0</v>
      </c>
      <c r="F837" s="3">
        <f t="shared" si="13"/>
        <v>0</v>
      </c>
    </row>
    <row r="838" spans="1:6" ht="22.5" x14ac:dyDescent="0.2">
      <c r="A838" s="17" t="s">
        <v>7434</v>
      </c>
      <c r="B838" s="18" t="s">
        <v>7435</v>
      </c>
      <c r="C838" s="17" t="s">
        <v>271</v>
      </c>
      <c r="D838" s="19">
        <v>663.36</v>
      </c>
      <c r="F838" s="3" t="str">
        <f t="shared" si="13"/>
        <v>C4592</v>
      </c>
    </row>
    <row r="839" spans="1:6" x14ac:dyDescent="0.2">
      <c r="A839" s="17">
        <v>0</v>
      </c>
      <c r="B839" s="18"/>
      <c r="C839" s="17">
        <v>0</v>
      </c>
      <c r="D839" s="19">
        <v>0</v>
      </c>
      <c r="F839" s="3">
        <f t="shared" si="13"/>
        <v>0</v>
      </c>
    </row>
    <row r="840" spans="1:6" x14ac:dyDescent="0.2">
      <c r="A840" s="17" t="s">
        <v>7436</v>
      </c>
      <c r="B840" s="18" t="s">
        <v>7437</v>
      </c>
      <c r="C840" s="17" t="s">
        <v>271</v>
      </c>
      <c r="D840" s="19">
        <v>808.69</v>
      </c>
      <c r="F840" s="3" t="str">
        <f t="shared" si="13"/>
        <v>C0089</v>
      </c>
    </row>
    <row r="841" spans="1:6" ht="22.5" x14ac:dyDescent="0.2">
      <c r="A841" s="17" t="s">
        <v>7438</v>
      </c>
      <c r="B841" s="18" t="s">
        <v>7439</v>
      </c>
      <c r="C841" s="17" t="s">
        <v>0</v>
      </c>
      <c r="D841" s="19">
        <v>124.1</v>
      </c>
      <c r="F841" s="3" t="str">
        <f t="shared" si="13"/>
        <v>C0471</v>
      </c>
    </row>
    <row r="842" spans="1:6" x14ac:dyDescent="0.2">
      <c r="A842" s="17">
        <v>0</v>
      </c>
      <c r="B842" s="18"/>
      <c r="C842" s="17">
        <v>0</v>
      </c>
      <c r="D842" s="19">
        <v>0</v>
      </c>
      <c r="F842" s="3">
        <f t="shared" si="13"/>
        <v>0</v>
      </c>
    </row>
    <row r="843" spans="1:6" x14ac:dyDescent="0.2">
      <c r="A843" s="17" t="s">
        <v>7440</v>
      </c>
      <c r="B843" s="18" t="s">
        <v>7441</v>
      </c>
      <c r="C843" s="17" t="s">
        <v>271</v>
      </c>
      <c r="D843" s="19">
        <v>406.71</v>
      </c>
      <c r="F843" s="3" t="str">
        <f t="shared" si="13"/>
        <v>C3604</v>
      </c>
    </row>
    <row r="844" spans="1:6" x14ac:dyDescent="0.2">
      <c r="A844" s="17">
        <v>0</v>
      </c>
      <c r="B844" s="18"/>
      <c r="C844" s="17">
        <v>0</v>
      </c>
      <c r="D844" s="19">
        <v>0</v>
      </c>
      <c r="F844" s="3">
        <f t="shared" si="13"/>
        <v>0</v>
      </c>
    </row>
    <row r="845" spans="1:6" x14ac:dyDescent="0.2">
      <c r="A845" s="14" t="s">
        <v>7442</v>
      </c>
      <c r="B845" s="15"/>
      <c r="C845" s="14">
        <v>0</v>
      </c>
      <c r="D845" s="16">
        <v>6625.95</v>
      </c>
      <c r="F845" s="3" t="str">
        <f t="shared" si="13"/>
        <v>FORMAS</v>
      </c>
    </row>
    <row r="846" spans="1:6" ht="22.5" x14ac:dyDescent="0.2">
      <c r="A846" s="17" t="s">
        <v>7443</v>
      </c>
      <c r="B846" s="18" t="s">
        <v>7444</v>
      </c>
      <c r="C846" s="17" t="s">
        <v>255</v>
      </c>
      <c r="D846" s="19">
        <v>1065.3800000000001</v>
      </c>
      <c r="F846" s="3" t="str">
        <f t="shared" si="13"/>
        <v>C4713</v>
      </c>
    </row>
    <row r="847" spans="1:6" x14ac:dyDescent="0.2">
      <c r="A847" s="17">
        <v>0</v>
      </c>
      <c r="B847" s="18"/>
      <c r="C847" s="17">
        <v>0</v>
      </c>
      <c r="D847" s="19">
        <v>0</v>
      </c>
      <c r="F847" s="3">
        <f t="shared" si="13"/>
        <v>0</v>
      </c>
    </row>
    <row r="848" spans="1:6" ht="22.5" x14ac:dyDescent="0.2">
      <c r="A848" s="17" t="s">
        <v>7445</v>
      </c>
      <c r="B848" s="18" t="s">
        <v>7446</v>
      </c>
      <c r="C848" s="17" t="s">
        <v>255</v>
      </c>
      <c r="D848" s="19">
        <v>986.74</v>
      </c>
      <c r="F848" s="3" t="str">
        <f t="shared" si="13"/>
        <v>C4710</v>
      </c>
    </row>
    <row r="849" spans="1:6" x14ac:dyDescent="0.2">
      <c r="A849" s="17">
        <v>0</v>
      </c>
      <c r="B849" s="18"/>
      <c r="C849" s="17">
        <v>0</v>
      </c>
      <c r="D849" s="19">
        <v>0</v>
      </c>
      <c r="F849" s="3">
        <f t="shared" si="13"/>
        <v>0</v>
      </c>
    </row>
    <row r="850" spans="1:6" x14ac:dyDescent="0.2">
      <c r="A850" s="17" t="s">
        <v>7447</v>
      </c>
      <c r="B850" s="18" t="s">
        <v>7448</v>
      </c>
      <c r="C850" s="17" t="s">
        <v>255</v>
      </c>
      <c r="D850" s="19">
        <v>273.10000000000002</v>
      </c>
      <c r="F850" s="3" t="str">
        <f t="shared" si="13"/>
        <v>C2822</v>
      </c>
    </row>
    <row r="851" spans="1:6" x14ac:dyDescent="0.2">
      <c r="A851" s="17" t="s">
        <v>7449</v>
      </c>
      <c r="B851" s="18" t="s">
        <v>7450</v>
      </c>
      <c r="C851" s="17" t="s">
        <v>255</v>
      </c>
      <c r="D851" s="19">
        <v>278.5</v>
      </c>
      <c r="F851" s="3" t="str">
        <f t="shared" si="13"/>
        <v>C3990</v>
      </c>
    </row>
    <row r="852" spans="1:6" x14ac:dyDescent="0.2">
      <c r="A852" s="17" t="s">
        <v>7451</v>
      </c>
      <c r="B852" s="18" t="s">
        <v>7452</v>
      </c>
      <c r="C852" s="17" t="s">
        <v>255</v>
      </c>
      <c r="D852" s="19">
        <v>232.61</v>
      </c>
      <c r="F852" s="3" t="str">
        <f t="shared" si="13"/>
        <v>C2823</v>
      </c>
    </row>
    <row r="853" spans="1:6" x14ac:dyDescent="0.2">
      <c r="A853" s="17" t="s">
        <v>7453</v>
      </c>
      <c r="B853" s="18" t="s">
        <v>7454</v>
      </c>
      <c r="C853" s="17" t="s">
        <v>255</v>
      </c>
      <c r="D853" s="19">
        <v>238.31</v>
      </c>
      <c r="F853" s="3" t="str">
        <f t="shared" si="13"/>
        <v>C2824</v>
      </c>
    </row>
    <row r="854" spans="1:6" x14ac:dyDescent="0.2">
      <c r="A854" s="17" t="s">
        <v>7455</v>
      </c>
      <c r="B854" s="18" t="s">
        <v>7456</v>
      </c>
      <c r="C854" s="17" t="s">
        <v>255</v>
      </c>
      <c r="D854" s="19">
        <v>238.31</v>
      </c>
      <c r="F854" s="3" t="str">
        <f t="shared" si="13"/>
        <v>C2825</v>
      </c>
    </row>
    <row r="855" spans="1:6" ht="22.5" x14ac:dyDescent="0.2">
      <c r="A855" s="17" t="s">
        <v>7457</v>
      </c>
      <c r="B855" s="18" t="s">
        <v>7458</v>
      </c>
      <c r="C855" s="17" t="s">
        <v>0</v>
      </c>
      <c r="D855" s="19">
        <v>220.48</v>
      </c>
      <c r="F855" s="3" t="str">
        <f t="shared" si="13"/>
        <v>C3981</v>
      </c>
    </row>
    <row r="856" spans="1:6" x14ac:dyDescent="0.2">
      <c r="A856" s="17">
        <v>0</v>
      </c>
      <c r="B856" s="18"/>
      <c r="C856" s="17">
        <v>0</v>
      </c>
      <c r="D856" s="19">
        <v>0</v>
      </c>
      <c r="F856" s="3">
        <f t="shared" si="13"/>
        <v>0</v>
      </c>
    </row>
    <row r="857" spans="1:6" x14ac:dyDescent="0.2">
      <c r="A857" s="17" t="s">
        <v>7459</v>
      </c>
      <c r="B857" s="18" t="s">
        <v>7460</v>
      </c>
      <c r="C857" s="17" t="s">
        <v>255</v>
      </c>
      <c r="D857" s="19">
        <v>77.540000000000006</v>
      </c>
      <c r="F857" s="3" t="str">
        <f t="shared" si="13"/>
        <v>C1400</v>
      </c>
    </row>
    <row r="858" spans="1:6" x14ac:dyDescent="0.2">
      <c r="A858" s="17" t="s">
        <v>7461</v>
      </c>
      <c r="B858" s="18" t="s">
        <v>7462</v>
      </c>
      <c r="C858" s="17" t="s">
        <v>255</v>
      </c>
      <c r="D858" s="19">
        <v>162.96</v>
      </c>
      <c r="F858" s="3" t="str">
        <f t="shared" si="13"/>
        <v>C1401</v>
      </c>
    </row>
    <row r="859" spans="1:6" x14ac:dyDescent="0.2">
      <c r="A859" s="17" t="s">
        <v>7463</v>
      </c>
      <c r="B859" s="18" t="s">
        <v>7464</v>
      </c>
      <c r="C859" s="17" t="s">
        <v>255</v>
      </c>
      <c r="D859" s="19">
        <v>195.17</v>
      </c>
      <c r="F859" s="3" t="str">
        <f t="shared" si="13"/>
        <v>C4158</v>
      </c>
    </row>
    <row r="860" spans="1:6" x14ac:dyDescent="0.2">
      <c r="A860" s="17" t="s">
        <v>7465</v>
      </c>
      <c r="B860" s="18" t="s">
        <v>7466</v>
      </c>
      <c r="C860" s="17" t="s">
        <v>255</v>
      </c>
      <c r="D860" s="19">
        <v>91.97</v>
      </c>
      <c r="F860" s="3" t="str">
        <f t="shared" si="13"/>
        <v>C4282</v>
      </c>
    </row>
    <row r="861" spans="1:6" x14ac:dyDescent="0.2">
      <c r="A861" s="17" t="s">
        <v>7467</v>
      </c>
      <c r="B861" s="18" t="s">
        <v>7468</v>
      </c>
      <c r="C861" s="17" t="s">
        <v>255</v>
      </c>
      <c r="D861" s="19">
        <v>242.49</v>
      </c>
      <c r="F861" s="3" t="str">
        <f t="shared" si="13"/>
        <v>C4281</v>
      </c>
    </row>
    <row r="862" spans="1:6" ht="22.5" x14ac:dyDescent="0.2">
      <c r="A862" s="17" t="s">
        <v>7469</v>
      </c>
      <c r="B862" s="18" t="s">
        <v>7470</v>
      </c>
      <c r="C862" s="17" t="s">
        <v>255</v>
      </c>
      <c r="D862" s="19">
        <v>673.49</v>
      </c>
      <c r="F862" s="3" t="str">
        <f t="shared" si="13"/>
        <v>C1404</v>
      </c>
    </row>
    <row r="863" spans="1:6" x14ac:dyDescent="0.2">
      <c r="A863" s="17">
        <v>0</v>
      </c>
      <c r="B863" s="18"/>
      <c r="C863" s="17">
        <v>0</v>
      </c>
      <c r="D863" s="19">
        <v>0</v>
      </c>
      <c r="F863" s="3">
        <f t="shared" si="13"/>
        <v>0</v>
      </c>
    </row>
    <row r="864" spans="1:6" ht="22.5" x14ac:dyDescent="0.2">
      <c r="A864" s="17" t="s">
        <v>7471</v>
      </c>
      <c r="B864" s="18" t="s">
        <v>7472</v>
      </c>
      <c r="C864" s="17" t="s">
        <v>255</v>
      </c>
      <c r="D864" s="19">
        <v>646.5</v>
      </c>
      <c r="F864" s="3" t="str">
        <f t="shared" si="13"/>
        <v>C1403</v>
      </c>
    </row>
    <row r="865" spans="1:6" x14ac:dyDescent="0.2">
      <c r="A865" s="17">
        <v>0</v>
      </c>
      <c r="B865" s="18"/>
      <c r="C865" s="17">
        <v>0</v>
      </c>
      <c r="D865" s="19">
        <v>0</v>
      </c>
      <c r="F865" s="3">
        <f t="shared" si="13"/>
        <v>0</v>
      </c>
    </row>
    <row r="866" spans="1:6" x14ac:dyDescent="0.2">
      <c r="A866" s="17" t="s">
        <v>7473</v>
      </c>
      <c r="B866" s="18" t="s">
        <v>7474</v>
      </c>
      <c r="C866" s="17" t="s">
        <v>255</v>
      </c>
      <c r="D866" s="19">
        <v>151.28</v>
      </c>
      <c r="F866" s="3" t="str">
        <f t="shared" si="13"/>
        <v>C4301</v>
      </c>
    </row>
    <row r="867" spans="1:6" x14ac:dyDescent="0.2">
      <c r="A867" s="17" t="s">
        <v>7475</v>
      </c>
      <c r="B867" s="18" t="s">
        <v>7476</v>
      </c>
      <c r="C867" s="17" t="s">
        <v>255</v>
      </c>
      <c r="D867" s="19">
        <v>54.49</v>
      </c>
      <c r="F867" s="3" t="str">
        <f t="shared" si="13"/>
        <v>C4302</v>
      </c>
    </row>
    <row r="868" spans="1:6" x14ac:dyDescent="0.2">
      <c r="A868" s="17" t="s">
        <v>7477</v>
      </c>
      <c r="B868" s="18" t="s">
        <v>7478</v>
      </c>
      <c r="C868" s="17" t="s">
        <v>255</v>
      </c>
      <c r="D868" s="19">
        <v>123.56</v>
      </c>
      <c r="F868" s="3" t="str">
        <f t="shared" si="13"/>
        <v>C1399</v>
      </c>
    </row>
    <row r="869" spans="1:6" x14ac:dyDescent="0.2">
      <c r="A869" s="17" t="s">
        <v>7479</v>
      </c>
      <c r="B869" s="18" t="s">
        <v>7480</v>
      </c>
      <c r="C869" s="17" t="s">
        <v>255</v>
      </c>
      <c r="D869" s="19">
        <v>127.83</v>
      </c>
      <c r="F869" s="3" t="str">
        <f t="shared" si="13"/>
        <v>C3991</v>
      </c>
    </row>
    <row r="870" spans="1:6" x14ac:dyDescent="0.2">
      <c r="A870" s="17" t="s">
        <v>7481</v>
      </c>
      <c r="B870" s="18" t="s">
        <v>7482</v>
      </c>
      <c r="C870" s="17" t="s">
        <v>255</v>
      </c>
      <c r="D870" s="19">
        <v>69.59</v>
      </c>
      <c r="F870" s="3" t="str">
        <f t="shared" si="13"/>
        <v>C1402</v>
      </c>
    </row>
    <row r="871" spans="1:6" x14ac:dyDescent="0.2">
      <c r="A871" s="17">
        <v>0</v>
      </c>
      <c r="B871" s="18"/>
      <c r="C871" s="17">
        <v>0</v>
      </c>
      <c r="D871" s="19">
        <v>0</v>
      </c>
      <c r="F871" s="3">
        <f t="shared" si="13"/>
        <v>0</v>
      </c>
    </row>
    <row r="872" spans="1:6" x14ac:dyDescent="0.2">
      <c r="A872" s="17" t="s">
        <v>7483</v>
      </c>
      <c r="B872" s="18" t="s">
        <v>7484</v>
      </c>
      <c r="C872" s="17" t="s">
        <v>255</v>
      </c>
      <c r="D872" s="19">
        <v>140.04</v>
      </c>
      <c r="F872" s="3" t="str">
        <f t="shared" si="13"/>
        <v>C2827</v>
      </c>
    </row>
    <row r="873" spans="1:6" x14ac:dyDescent="0.2">
      <c r="A873" s="17" t="s">
        <v>7485</v>
      </c>
      <c r="B873" s="18" t="s">
        <v>7486</v>
      </c>
      <c r="C873" s="17" t="s">
        <v>255</v>
      </c>
      <c r="D873" s="19">
        <v>140.12</v>
      </c>
      <c r="F873" s="3" t="str">
        <f t="shared" si="13"/>
        <v>C1405</v>
      </c>
    </row>
    <row r="874" spans="1:6" ht="22.5" x14ac:dyDescent="0.2">
      <c r="A874" s="17" t="s">
        <v>7487</v>
      </c>
      <c r="B874" s="18" t="s">
        <v>7488</v>
      </c>
      <c r="C874" s="17" t="s">
        <v>255</v>
      </c>
      <c r="D874" s="19">
        <v>83.92</v>
      </c>
      <c r="F874" s="3" t="str">
        <f t="shared" si="13"/>
        <v>C4711</v>
      </c>
    </row>
    <row r="875" spans="1:6" x14ac:dyDescent="0.2">
      <c r="A875" s="17">
        <v>0</v>
      </c>
      <c r="B875" s="18"/>
      <c r="C875" s="17">
        <v>0</v>
      </c>
      <c r="D875" s="19">
        <v>0</v>
      </c>
      <c r="F875" s="3">
        <f t="shared" si="13"/>
        <v>0</v>
      </c>
    </row>
    <row r="876" spans="1:6" x14ac:dyDescent="0.2">
      <c r="A876" s="17" t="s">
        <v>7489</v>
      </c>
      <c r="B876" s="18" t="s">
        <v>7490</v>
      </c>
      <c r="C876" s="17" t="s">
        <v>255</v>
      </c>
      <c r="D876" s="19">
        <v>86.52</v>
      </c>
      <c r="F876" s="3" t="str">
        <f t="shared" si="13"/>
        <v>C1799</v>
      </c>
    </row>
    <row r="877" spans="1:6" ht="33.75" x14ac:dyDescent="0.2">
      <c r="A877" s="17" t="s">
        <v>7491</v>
      </c>
      <c r="B877" s="18" t="s">
        <v>7492</v>
      </c>
      <c r="C877" s="17" t="s">
        <v>255</v>
      </c>
      <c r="D877" s="19">
        <v>25.05</v>
      </c>
      <c r="F877" s="3" t="str">
        <f t="shared" si="13"/>
        <v>C4759</v>
      </c>
    </row>
    <row r="878" spans="1:6" x14ac:dyDescent="0.2">
      <c r="A878" s="17">
        <v>0</v>
      </c>
      <c r="B878" s="18"/>
      <c r="C878" s="17">
        <v>0</v>
      </c>
      <c r="D878" s="19">
        <v>0</v>
      </c>
      <c r="F878" s="3">
        <f t="shared" si="13"/>
        <v>0</v>
      </c>
    </row>
    <row r="879" spans="1:6" x14ac:dyDescent="0.2">
      <c r="A879" s="14" t="s">
        <v>7493</v>
      </c>
      <c r="B879" s="15"/>
      <c r="C879" s="14">
        <v>0</v>
      </c>
      <c r="D879" s="16">
        <v>17329.87</v>
      </c>
      <c r="F879" s="3" t="str">
        <f t="shared" si="13"/>
        <v>ARMADURAS</v>
      </c>
    </row>
    <row r="880" spans="1:6" x14ac:dyDescent="0.2">
      <c r="A880" s="17" t="s">
        <v>7494</v>
      </c>
      <c r="B880" s="18" t="s">
        <v>7495</v>
      </c>
      <c r="C880" s="17" t="s">
        <v>26</v>
      </c>
      <c r="D880" s="19">
        <v>156.47999999999999</v>
      </c>
      <c r="F880" s="3" t="str">
        <f t="shared" si="13"/>
        <v>C3331</v>
      </c>
    </row>
    <row r="881" spans="1:6" x14ac:dyDescent="0.2">
      <c r="A881" s="17" t="s">
        <v>7496</v>
      </c>
      <c r="B881" s="18" t="s">
        <v>7497</v>
      </c>
      <c r="C881" s="17" t="s">
        <v>26</v>
      </c>
      <c r="D881" s="19">
        <v>263.62</v>
      </c>
      <c r="F881" s="3" t="str">
        <f t="shared" si="13"/>
        <v>C3332</v>
      </c>
    </row>
    <row r="882" spans="1:6" x14ac:dyDescent="0.2">
      <c r="A882" s="17" t="s">
        <v>7498</v>
      </c>
      <c r="B882" s="18" t="s">
        <v>7499</v>
      </c>
      <c r="C882" s="17" t="s">
        <v>26</v>
      </c>
      <c r="D882" s="19">
        <v>476.65</v>
      </c>
      <c r="F882" s="3" t="str">
        <f t="shared" si="13"/>
        <v>C3333</v>
      </c>
    </row>
    <row r="883" spans="1:6" x14ac:dyDescent="0.2">
      <c r="A883" s="17" t="s">
        <v>7500</v>
      </c>
      <c r="B883" s="18" t="s">
        <v>7501</v>
      </c>
      <c r="C883" s="17" t="s">
        <v>26</v>
      </c>
      <c r="D883" s="19">
        <v>653.28</v>
      </c>
      <c r="F883" s="3" t="str">
        <f t="shared" si="13"/>
        <v>C3334</v>
      </c>
    </row>
    <row r="884" spans="1:6" x14ac:dyDescent="0.2">
      <c r="A884" s="17" t="s">
        <v>7502</v>
      </c>
      <c r="B884" s="18" t="s">
        <v>7503</v>
      </c>
      <c r="C884" s="17" t="s">
        <v>26</v>
      </c>
      <c r="D884" s="19">
        <v>752.95</v>
      </c>
      <c r="F884" s="3" t="str">
        <f t="shared" si="13"/>
        <v>C3335</v>
      </c>
    </row>
    <row r="885" spans="1:6" x14ac:dyDescent="0.2">
      <c r="A885" s="17" t="s">
        <v>7504</v>
      </c>
      <c r="B885" s="18" t="s">
        <v>7505</v>
      </c>
      <c r="C885" s="17" t="s">
        <v>26</v>
      </c>
      <c r="D885" s="19">
        <v>1303.55</v>
      </c>
      <c r="F885" s="3" t="str">
        <f t="shared" si="13"/>
        <v>C3336</v>
      </c>
    </row>
    <row r="886" spans="1:6" x14ac:dyDescent="0.2">
      <c r="A886" s="17" t="s">
        <v>7506</v>
      </c>
      <c r="B886" s="18" t="s">
        <v>7507</v>
      </c>
      <c r="C886" s="17" t="s">
        <v>26</v>
      </c>
      <c r="D886" s="19">
        <v>56.43</v>
      </c>
      <c r="F886" s="3" t="str">
        <f t="shared" si="13"/>
        <v>C3337</v>
      </c>
    </row>
    <row r="887" spans="1:6" x14ac:dyDescent="0.2">
      <c r="A887" s="17" t="s">
        <v>7508</v>
      </c>
      <c r="B887" s="18" t="s">
        <v>7509</v>
      </c>
      <c r="C887" s="17" t="s">
        <v>26</v>
      </c>
      <c r="D887" s="19">
        <v>99.41</v>
      </c>
      <c r="F887" s="3" t="str">
        <f t="shared" si="13"/>
        <v>C3338</v>
      </c>
    </row>
    <row r="888" spans="1:6" x14ac:dyDescent="0.2">
      <c r="A888" s="17" t="s">
        <v>7510</v>
      </c>
      <c r="B888" s="18" t="s">
        <v>7511</v>
      </c>
      <c r="C888" s="17" t="s">
        <v>26</v>
      </c>
      <c r="D888" s="19">
        <v>222.41</v>
      </c>
      <c r="F888" s="3" t="str">
        <f t="shared" si="13"/>
        <v>C3339</v>
      </c>
    </row>
    <row r="889" spans="1:6" x14ac:dyDescent="0.2">
      <c r="A889" s="17" t="s">
        <v>7512</v>
      </c>
      <c r="B889" s="18" t="s">
        <v>7513</v>
      </c>
      <c r="C889" s="17" t="s">
        <v>26</v>
      </c>
      <c r="D889" s="19">
        <v>296.2</v>
      </c>
      <c r="F889" s="3" t="str">
        <f t="shared" si="13"/>
        <v>C3340</v>
      </c>
    </row>
    <row r="890" spans="1:6" x14ac:dyDescent="0.2">
      <c r="A890" s="17" t="s">
        <v>7514</v>
      </c>
      <c r="B890" s="18" t="s">
        <v>7515</v>
      </c>
      <c r="C890" s="17" t="s">
        <v>26</v>
      </c>
      <c r="D890" s="19">
        <v>326.08</v>
      </c>
      <c r="F890" s="3" t="str">
        <f t="shared" si="13"/>
        <v>C3341</v>
      </c>
    </row>
    <row r="891" spans="1:6" x14ac:dyDescent="0.2">
      <c r="A891" s="17" t="s">
        <v>7516</v>
      </c>
      <c r="B891" s="18" t="s">
        <v>7517</v>
      </c>
      <c r="C891" s="17" t="s">
        <v>26</v>
      </c>
      <c r="D891" s="19">
        <v>451.67</v>
      </c>
      <c r="F891" s="3" t="str">
        <f t="shared" si="13"/>
        <v>C3342</v>
      </c>
    </row>
    <row r="892" spans="1:6" x14ac:dyDescent="0.2">
      <c r="A892" s="17" t="s">
        <v>7518</v>
      </c>
      <c r="B892" s="18" t="s">
        <v>7519</v>
      </c>
      <c r="C892" s="17" t="s">
        <v>5477</v>
      </c>
      <c r="D892" s="19">
        <v>1413.95</v>
      </c>
      <c r="F892" s="3" t="str">
        <f t="shared" si="13"/>
        <v>C4132</v>
      </c>
    </row>
    <row r="893" spans="1:6" x14ac:dyDescent="0.2">
      <c r="A893" s="17" t="s">
        <v>7520</v>
      </c>
      <c r="B893" s="18" t="s">
        <v>7521</v>
      </c>
      <c r="C893" s="17" t="s">
        <v>1284</v>
      </c>
      <c r="D893" s="19">
        <v>14.7</v>
      </c>
      <c r="F893" s="3" t="str">
        <f t="shared" si="13"/>
        <v>C0213</v>
      </c>
    </row>
    <row r="894" spans="1:6" x14ac:dyDescent="0.2">
      <c r="A894" s="17" t="s">
        <v>7522</v>
      </c>
      <c r="B894" s="18" t="s">
        <v>7523</v>
      </c>
      <c r="C894" s="17" t="s">
        <v>1284</v>
      </c>
      <c r="D894" s="19">
        <v>13.67</v>
      </c>
      <c r="F894" s="3" t="str">
        <f t="shared" si="13"/>
        <v>C0214</v>
      </c>
    </row>
    <row r="895" spans="1:6" x14ac:dyDescent="0.2">
      <c r="A895" s="20" t="s">
        <v>7524</v>
      </c>
      <c r="B895" s="21" t="s">
        <v>7525</v>
      </c>
      <c r="C895" s="17" t="s">
        <v>1284</v>
      </c>
      <c r="D895" s="19">
        <v>12.99</v>
      </c>
      <c r="F895" s="3" t="str">
        <f t="shared" si="13"/>
        <v>C0215</v>
      </c>
    </row>
    <row r="896" spans="1:6" x14ac:dyDescent="0.2">
      <c r="A896" s="20" t="s">
        <v>7526</v>
      </c>
      <c r="B896" s="18" t="s">
        <v>7527</v>
      </c>
      <c r="C896" s="17" t="s">
        <v>1284</v>
      </c>
      <c r="D896" s="19">
        <v>11.96</v>
      </c>
      <c r="F896" s="3" t="str">
        <f t="shared" si="13"/>
        <v>C0216</v>
      </c>
    </row>
    <row r="897" spans="1:6" x14ac:dyDescent="0.2">
      <c r="A897" s="20" t="s">
        <v>7528</v>
      </c>
      <c r="B897" s="18" t="s">
        <v>7529</v>
      </c>
      <c r="C897" s="17" t="s">
        <v>1284</v>
      </c>
      <c r="D897" s="19">
        <v>12.09</v>
      </c>
      <c r="F897" s="3" t="str">
        <f t="shared" si="13"/>
        <v>C0217</v>
      </c>
    </row>
    <row r="898" spans="1:6" x14ac:dyDescent="0.2">
      <c r="A898" s="17" t="s">
        <v>7530</v>
      </c>
      <c r="B898" s="18" t="s">
        <v>7531</v>
      </c>
      <c r="C898" s="17" t="s">
        <v>1284</v>
      </c>
      <c r="D898" s="19">
        <v>12.52</v>
      </c>
      <c r="F898" s="3" t="str">
        <f t="shared" ref="F898:F961" si="14">A898</f>
        <v>C0218</v>
      </c>
    </row>
    <row r="899" spans="1:6" x14ac:dyDescent="0.2">
      <c r="A899" s="17" t="s">
        <v>7532</v>
      </c>
      <c r="B899" s="18" t="s">
        <v>7533</v>
      </c>
      <c r="C899" s="17" t="s">
        <v>1284</v>
      </c>
      <c r="D899" s="19">
        <v>12.87</v>
      </c>
      <c r="F899" s="3" t="str">
        <f t="shared" si="14"/>
        <v>C4151</v>
      </c>
    </row>
    <row r="900" spans="1:6" x14ac:dyDescent="0.2">
      <c r="A900" s="17" t="s">
        <v>7534</v>
      </c>
      <c r="B900" s="18" t="s">
        <v>7535</v>
      </c>
      <c r="C900" s="17" t="s">
        <v>1284</v>
      </c>
      <c r="D900" s="19">
        <v>31.06</v>
      </c>
      <c r="F900" s="3" t="str">
        <f t="shared" si="14"/>
        <v>C3985</v>
      </c>
    </row>
    <row r="901" spans="1:6" x14ac:dyDescent="0.2">
      <c r="A901" s="17" t="s">
        <v>7536</v>
      </c>
      <c r="B901" s="18" t="s">
        <v>7537</v>
      </c>
      <c r="C901" s="17" t="s">
        <v>255</v>
      </c>
      <c r="D901" s="19">
        <v>26</v>
      </c>
      <c r="F901" s="3" t="str">
        <f t="shared" si="14"/>
        <v>C0219</v>
      </c>
    </row>
    <row r="902" spans="1:6" x14ac:dyDescent="0.2">
      <c r="A902" s="17" t="s">
        <v>7538</v>
      </c>
      <c r="B902" s="18" t="s">
        <v>7539</v>
      </c>
      <c r="C902" s="17" t="s">
        <v>1284</v>
      </c>
      <c r="D902" s="19">
        <v>25.88</v>
      </c>
      <c r="F902" s="3" t="str">
        <f t="shared" si="14"/>
        <v>C0220</v>
      </c>
    </row>
    <row r="903" spans="1:6" x14ac:dyDescent="0.2">
      <c r="A903" s="17" t="s">
        <v>7540</v>
      </c>
      <c r="B903" s="18" t="s">
        <v>7541</v>
      </c>
      <c r="C903" s="17" t="s">
        <v>255</v>
      </c>
      <c r="D903" s="19">
        <v>12.1</v>
      </c>
      <c r="F903" s="3" t="str">
        <f t="shared" si="14"/>
        <v>C4071</v>
      </c>
    </row>
    <row r="904" spans="1:6" x14ac:dyDescent="0.2">
      <c r="A904" s="17" t="s">
        <v>7542</v>
      </c>
      <c r="B904" s="18" t="s">
        <v>7543</v>
      </c>
      <c r="C904" s="17" t="s">
        <v>5477</v>
      </c>
      <c r="D904" s="19">
        <v>10481.16</v>
      </c>
      <c r="F904" s="3" t="str">
        <f t="shared" si="14"/>
        <v>C4131</v>
      </c>
    </row>
    <row r="905" spans="1:6" x14ac:dyDescent="0.2">
      <c r="A905" s="17" t="s">
        <v>7544</v>
      </c>
      <c r="B905" s="18" t="s">
        <v>7545</v>
      </c>
      <c r="C905" s="17" t="s">
        <v>1284</v>
      </c>
      <c r="D905" s="19">
        <v>43.38</v>
      </c>
      <c r="F905" s="3" t="str">
        <f t="shared" si="14"/>
        <v>C3344</v>
      </c>
    </row>
    <row r="906" spans="1:6" x14ac:dyDescent="0.2">
      <c r="A906" s="17" t="s">
        <v>7546</v>
      </c>
      <c r="B906" s="18" t="s">
        <v>7547</v>
      </c>
      <c r="C906" s="17" t="s">
        <v>1284</v>
      </c>
      <c r="D906" s="19">
        <v>29.77</v>
      </c>
      <c r="F906" s="3" t="str">
        <f t="shared" si="14"/>
        <v>C3325</v>
      </c>
    </row>
    <row r="907" spans="1:6" x14ac:dyDescent="0.2">
      <c r="A907" s="17" t="s">
        <v>7548</v>
      </c>
      <c r="B907" s="18" t="s">
        <v>7549</v>
      </c>
      <c r="C907" s="17" t="s">
        <v>1284</v>
      </c>
      <c r="D907" s="19">
        <v>23.58</v>
      </c>
      <c r="F907" s="3" t="str">
        <f t="shared" si="14"/>
        <v>C3326</v>
      </c>
    </row>
    <row r="908" spans="1:6" x14ac:dyDescent="0.2">
      <c r="A908" s="17" t="s">
        <v>7550</v>
      </c>
      <c r="B908" s="18" t="s">
        <v>7551</v>
      </c>
      <c r="C908" s="17" t="s">
        <v>1284</v>
      </c>
      <c r="D908" s="19">
        <v>24.58</v>
      </c>
      <c r="F908" s="3" t="str">
        <f t="shared" si="14"/>
        <v>C3327</v>
      </c>
    </row>
    <row r="909" spans="1:6" x14ac:dyDescent="0.2">
      <c r="A909" s="17" t="s">
        <v>7552</v>
      </c>
      <c r="B909" s="18" t="s">
        <v>7553</v>
      </c>
      <c r="C909" s="17" t="s">
        <v>1284</v>
      </c>
      <c r="D909" s="19">
        <v>23.44</v>
      </c>
      <c r="F909" s="3" t="str">
        <f t="shared" si="14"/>
        <v>C3328</v>
      </c>
    </row>
    <row r="910" spans="1:6" x14ac:dyDescent="0.2">
      <c r="A910" s="17">
        <v>0</v>
      </c>
      <c r="B910" s="18"/>
      <c r="C910" s="17">
        <v>0</v>
      </c>
      <c r="D910" s="19">
        <v>0</v>
      </c>
      <c r="F910" s="3">
        <f t="shared" si="14"/>
        <v>0</v>
      </c>
    </row>
    <row r="911" spans="1:6" x14ac:dyDescent="0.2">
      <c r="A911" s="17" t="s">
        <v>7554</v>
      </c>
      <c r="B911" s="18" t="s">
        <v>7555</v>
      </c>
      <c r="C911" s="17" t="s">
        <v>1284</v>
      </c>
      <c r="D911" s="19">
        <v>21.57</v>
      </c>
      <c r="F911" s="3" t="str">
        <f t="shared" si="14"/>
        <v>C3329</v>
      </c>
    </row>
    <row r="912" spans="1:6" x14ac:dyDescent="0.2">
      <c r="A912" s="17">
        <v>0</v>
      </c>
      <c r="B912" s="18"/>
      <c r="C912" s="17">
        <v>0</v>
      </c>
      <c r="D912" s="19">
        <v>0</v>
      </c>
      <c r="F912" s="3">
        <f t="shared" si="14"/>
        <v>0</v>
      </c>
    </row>
    <row r="913" spans="1:6" x14ac:dyDescent="0.2">
      <c r="A913" s="17" t="s">
        <v>7556</v>
      </c>
      <c r="B913" s="18" t="s">
        <v>7557</v>
      </c>
      <c r="C913" s="17" t="s">
        <v>1284</v>
      </c>
      <c r="D913" s="19">
        <v>16.18</v>
      </c>
      <c r="F913" s="3" t="str">
        <f t="shared" si="14"/>
        <v>C3343</v>
      </c>
    </row>
    <row r="914" spans="1:6" x14ac:dyDescent="0.2">
      <c r="A914" s="17" t="s">
        <v>7558</v>
      </c>
      <c r="B914" s="18" t="s">
        <v>7559</v>
      </c>
      <c r="C914" s="17" t="s">
        <v>26</v>
      </c>
      <c r="D914" s="19">
        <v>7.69</v>
      </c>
      <c r="F914" s="3" t="str">
        <f t="shared" si="14"/>
        <v>C3330</v>
      </c>
    </row>
    <row r="915" spans="1:6" x14ac:dyDescent="0.2">
      <c r="A915" s="14" t="s">
        <v>7560</v>
      </c>
      <c r="B915" s="15"/>
      <c r="C915" s="14">
        <v>0</v>
      </c>
      <c r="D915" s="16">
        <v>30997.33</v>
      </c>
      <c r="F915" s="3" t="str">
        <f t="shared" si="14"/>
        <v>CONCRETOS</v>
      </c>
    </row>
    <row r="916" spans="1:6" x14ac:dyDescent="0.2">
      <c r="A916" s="17" t="s">
        <v>7561</v>
      </c>
      <c r="B916" s="18" t="s">
        <v>7562</v>
      </c>
      <c r="C916" s="17" t="s">
        <v>255</v>
      </c>
      <c r="D916" s="19">
        <v>0.2</v>
      </c>
      <c r="F916" s="3" t="str">
        <f t="shared" si="14"/>
        <v>C0006</v>
      </c>
    </row>
    <row r="917" spans="1:6" x14ac:dyDescent="0.2">
      <c r="A917" s="17" t="s">
        <v>7563</v>
      </c>
      <c r="B917" s="18" t="s">
        <v>7564</v>
      </c>
      <c r="C917" s="17" t="s">
        <v>255</v>
      </c>
      <c r="D917" s="19">
        <v>5.89</v>
      </c>
      <c r="F917" s="3" t="str">
        <f t="shared" si="14"/>
        <v>C0028</v>
      </c>
    </row>
    <row r="918" spans="1:6" x14ac:dyDescent="0.2">
      <c r="A918" s="17" t="s">
        <v>7565</v>
      </c>
      <c r="B918" s="18" t="s">
        <v>7566</v>
      </c>
      <c r="C918" s="17" t="s">
        <v>255</v>
      </c>
      <c r="D918" s="19">
        <v>4.53</v>
      </c>
      <c r="F918" s="3" t="str">
        <f t="shared" si="14"/>
        <v>C0027</v>
      </c>
    </row>
    <row r="919" spans="1:6" x14ac:dyDescent="0.2">
      <c r="A919" s="17">
        <v>0</v>
      </c>
      <c r="B919" s="18"/>
      <c r="C919" s="17">
        <v>0</v>
      </c>
      <c r="D919" s="19">
        <v>0</v>
      </c>
      <c r="F919" s="3">
        <f t="shared" si="14"/>
        <v>0</v>
      </c>
    </row>
    <row r="920" spans="1:6" x14ac:dyDescent="0.2">
      <c r="A920" s="17" t="s">
        <v>7567</v>
      </c>
      <c r="B920" s="18" t="s">
        <v>7568</v>
      </c>
      <c r="C920" s="17" t="s">
        <v>271</v>
      </c>
      <c r="D920" s="19">
        <v>55.44</v>
      </c>
      <c r="F920" s="3" t="str">
        <f t="shared" si="14"/>
        <v>C0034</v>
      </c>
    </row>
    <row r="921" spans="1:6" x14ac:dyDescent="0.2">
      <c r="A921" s="17" t="s">
        <v>7569</v>
      </c>
      <c r="B921" s="18" t="s">
        <v>7570</v>
      </c>
      <c r="C921" s="17" t="s">
        <v>271</v>
      </c>
      <c r="D921" s="19">
        <v>48.32</v>
      </c>
      <c r="F921" s="3" t="str">
        <f t="shared" si="14"/>
        <v>C0461</v>
      </c>
    </row>
    <row r="922" spans="1:6" x14ac:dyDescent="0.2">
      <c r="A922" s="17" t="s">
        <v>7571</v>
      </c>
      <c r="B922" s="18" t="s">
        <v>7572</v>
      </c>
      <c r="C922" s="17" t="s">
        <v>271</v>
      </c>
      <c r="D922" s="19">
        <v>534.45000000000005</v>
      </c>
      <c r="F922" s="3" t="str">
        <f t="shared" si="14"/>
        <v>C0829</v>
      </c>
    </row>
    <row r="923" spans="1:6" x14ac:dyDescent="0.2">
      <c r="A923" s="17" t="s">
        <v>7573</v>
      </c>
      <c r="B923" s="18" t="s">
        <v>7574</v>
      </c>
      <c r="C923" s="17" t="s">
        <v>271</v>
      </c>
      <c r="D923" s="19">
        <v>653.54999999999995</v>
      </c>
      <c r="F923" s="3" t="str">
        <f t="shared" si="14"/>
        <v>C0830</v>
      </c>
    </row>
    <row r="924" spans="1:6" x14ac:dyDescent="0.2">
      <c r="A924" s="17" t="s">
        <v>7575</v>
      </c>
      <c r="B924" s="18" t="s">
        <v>7576</v>
      </c>
      <c r="C924" s="17" t="s">
        <v>271</v>
      </c>
      <c r="D924" s="19">
        <v>720.91</v>
      </c>
      <c r="F924" s="3" t="str">
        <f t="shared" si="14"/>
        <v>C4134</v>
      </c>
    </row>
    <row r="925" spans="1:6" x14ac:dyDescent="0.2">
      <c r="A925" s="17">
        <v>0</v>
      </c>
      <c r="B925" s="18"/>
      <c r="C925" s="17">
        <v>0</v>
      </c>
      <c r="D925" s="19">
        <v>0</v>
      </c>
      <c r="F925" s="3">
        <f t="shared" si="14"/>
        <v>0</v>
      </c>
    </row>
    <row r="926" spans="1:6" ht="22.5" x14ac:dyDescent="0.2">
      <c r="A926" s="17" t="s">
        <v>7577</v>
      </c>
      <c r="B926" s="18" t="s">
        <v>7578</v>
      </c>
      <c r="C926" s="17" t="s">
        <v>271</v>
      </c>
      <c r="D926" s="19">
        <v>979.46</v>
      </c>
      <c r="F926" s="3" t="str">
        <f t="shared" si="14"/>
        <v>C4438</v>
      </c>
    </row>
    <row r="927" spans="1:6" x14ac:dyDescent="0.2">
      <c r="A927" s="17">
        <v>0</v>
      </c>
      <c r="B927" s="18"/>
      <c r="C927" s="17">
        <v>0</v>
      </c>
      <c r="D927" s="19">
        <v>0</v>
      </c>
      <c r="F927" s="3">
        <f t="shared" si="14"/>
        <v>0</v>
      </c>
    </row>
    <row r="928" spans="1:6" x14ac:dyDescent="0.2">
      <c r="A928" s="17" t="s">
        <v>7579</v>
      </c>
      <c r="B928" s="18" t="s">
        <v>7580</v>
      </c>
      <c r="C928" s="17" t="s">
        <v>271</v>
      </c>
      <c r="D928" s="19">
        <v>4745.46</v>
      </c>
      <c r="F928" s="3" t="str">
        <f t="shared" si="14"/>
        <v>C0834</v>
      </c>
    </row>
    <row r="929" spans="1:6" x14ac:dyDescent="0.2">
      <c r="A929" s="17" t="s">
        <v>7581</v>
      </c>
      <c r="B929" s="18" t="s">
        <v>7582</v>
      </c>
      <c r="C929" s="17" t="s">
        <v>271</v>
      </c>
      <c r="D929" s="19">
        <v>3657.21</v>
      </c>
      <c r="F929" s="3" t="str">
        <f t="shared" si="14"/>
        <v>C0833</v>
      </c>
    </row>
    <row r="930" spans="1:6" x14ac:dyDescent="0.2">
      <c r="A930" s="17" t="s">
        <v>7583</v>
      </c>
      <c r="B930" s="18" t="s">
        <v>7584</v>
      </c>
      <c r="C930" s="17" t="s">
        <v>271</v>
      </c>
      <c r="D930" s="19">
        <v>802.22</v>
      </c>
      <c r="F930" s="3" t="str">
        <f t="shared" si="14"/>
        <v>C4291</v>
      </c>
    </row>
    <row r="931" spans="1:6" x14ac:dyDescent="0.2">
      <c r="A931" s="17">
        <v>0</v>
      </c>
      <c r="B931" s="18"/>
      <c r="C931" s="17">
        <v>0</v>
      </c>
      <c r="D931" s="19">
        <v>0</v>
      </c>
      <c r="F931" s="3">
        <f t="shared" si="14"/>
        <v>0</v>
      </c>
    </row>
    <row r="932" spans="1:6" x14ac:dyDescent="0.2">
      <c r="A932" s="17" t="s">
        <v>7585</v>
      </c>
      <c r="B932" s="18" t="s">
        <v>7586</v>
      </c>
      <c r="C932" s="17" t="s">
        <v>271</v>
      </c>
      <c r="D932" s="19">
        <v>1215.1099999999999</v>
      </c>
      <c r="F932" s="3" t="str">
        <f t="shared" si="14"/>
        <v>C4292</v>
      </c>
    </row>
    <row r="933" spans="1:6" x14ac:dyDescent="0.2">
      <c r="A933" s="17">
        <v>0</v>
      </c>
      <c r="B933" s="18"/>
      <c r="C933" s="17">
        <v>0</v>
      </c>
      <c r="D933" s="19">
        <v>0</v>
      </c>
      <c r="F933" s="3">
        <f t="shared" si="14"/>
        <v>0</v>
      </c>
    </row>
    <row r="934" spans="1:6" x14ac:dyDescent="0.2">
      <c r="A934" s="17" t="s">
        <v>7587</v>
      </c>
      <c r="B934" s="18" t="s">
        <v>7588</v>
      </c>
      <c r="C934" s="17" t="s">
        <v>271</v>
      </c>
      <c r="D934" s="19">
        <v>502.89</v>
      </c>
      <c r="F934" s="3" t="str">
        <f t="shared" si="14"/>
        <v>C0836</v>
      </c>
    </row>
    <row r="935" spans="1:6" x14ac:dyDescent="0.2">
      <c r="A935" s="17" t="s">
        <v>7589</v>
      </c>
      <c r="B935" s="18" t="s">
        <v>7590</v>
      </c>
      <c r="C935" s="17" t="s">
        <v>271</v>
      </c>
      <c r="D935" s="19">
        <v>412.47</v>
      </c>
      <c r="F935" s="3" t="str">
        <f t="shared" si="14"/>
        <v>C3268</v>
      </c>
    </row>
    <row r="936" spans="1:6" x14ac:dyDescent="0.2">
      <c r="A936" s="17" t="s">
        <v>7591</v>
      </c>
      <c r="B936" s="18" t="s">
        <v>7592</v>
      </c>
      <c r="C936" s="17" t="s">
        <v>271</v>
      </c>
      <c r="D936" s="19">
        <v>432.15</v>
      </c>
      <c r="F936" s="3" t="str">
        <f t="shared" si="14"/>
        <v>C3269</v>
      </c>
    </row>
    <row r="937" spans="1:6" x14ac:dyDescent="0.2">
      <c r="A937" s="17" t="s">
        <v>7593</v>
      </c>
      <c r="B937" s="18" t="s">
        <v>7594</v>
      </c>
      <c r="C937" s="17" t="s">
        <v>271</v>
      </c>
      <c r="D937" s="19">
        <v>440.58</v>
      </c>
      <c r="F937" s="3" t="str">
        <f t="shared" si="14"/>
        <v>C3270</v>
      </c>
    </row>
    <row r="938" spans="1:6" x14ac:dyDescent="0.2">
      <c r="A938" s="17" t="s">
        <v>7595</v>
      </c>
      <c r="B938" s="18" t="s">
        <v>7596</v>
      </c>
      <c r="C938" s="17" t="s">
        <v>271</v>
      </c>
      <c r="D938" s="19">
        <v>458.87</v>
      </c>
      <c r="F938" s="3" t="str">
        <f t="shared" si="14"/>
        <v>C3271</v>
      </c>
    </row>
    <row r="939" spans="1:6" x14ac:dyDescent="0.2">
      <c r="A939" s="17" t="s">
        <v>7597</v>
      </c>
      <c r="B939" s="18" t="s">
        <v>7598</v>
      </c>
      <c r="C939" s="17" t="s">
        <v>271</v>
      </c>
      <c r="D939" s="19">
        <v>470.1</v>
      </c>
      <c r="F939" s="3" t="str">
        <f t="shared" si="14"/>
        <v>C3272</v>
      </c>
    </row>
    <row r="940" spans="1:6" x14ac:dyDescent="0.2">
      <c r="A940" s="17" t="s">
        <v>7599</v>
      </c>
      <c r="B940" s="18" t="s">
        <v>7600</v>
      </c>
      <c r="C940" s="17" t="s">
        <v>271</v>
      </c>
      <c r="D940" s="19">
        <v>479.46</v>
      </c>
      <c r="F940" s="3" t="str">
        <f t="shared" si="14"/>
        <v>C3273</v>
      </c>
    </row>
    <row r="941" spans="1:6" x14ac:dyDescent="0.2">
      <c r="A941" s="17" t="s">
        <v>7601</v>
      </c>
      <c r="B941" s="18" t="s">
        <v>7602</v>
      </c>
      <c r="C941" s="17" t="s">
        <v>271</v>
      </c>
      <c r="D941" s="19">
        <v>513.37</v>
      </c>
      <c r="F941" s="3" t="str">
        <f t="shared" si="14"/>
        <v>C3274</v>
      </c>
    </row>
    <row r="942" spans="1:6" x14ac:dyDescent="0.2">
      <c r="A942" s="17" t="s">
        <v>7603</v>
      </c>
      <c r="B942" s="18" t="s">
        <v>7604</v>
      </c>
      <c r="C942" s="17" t="s">
        <v>271</v>
      </c>
      <c r="D942" s="19">
        <v>549.04</v>
      </c>
      <c r="F942" s="3" t="str">
        <f t="shared" si="14"/>
        <v>C3275</v>
      </c>
    </row>
    <row r="943" spans="1:6" x14ac:dyDescent="0.2">
      <c r="A943" s="17" t="s">
        <v>7605</v>
      </c>
      <c r="B943" s="18" t="s">
        <v>7606</v>
      </c>
      <c r="C943" s="17" t="s">
        <v>271</v>
      </c>
      <c r="D943" s="19">
        <v>590.51</v>
      </c>
      <c r="F943" s="3" t="str">
        <f t="shared" si="14"/>
        <v>C3276</v>
      </c>
    </row>
    <row r="944" spans="1:6" x14ac:dyDescent="0.2">
      <c r="A944" s="17" t="s">
        <v>7607</v>
      </c>
      <c r="B944" s="18" t="s">
        <v>7608</v>
      </c>
      <c r="C944" s="17" t="s">
        <v>271</v>
      </c>
      <c r="D944" s="19">
        <v>469.96</v>
      </c>
      <c r="F944" s="3" t="str">
        <f t="shared" si="14"/>
        <v>C0838</v>
      </c>
    </row>
    <row r="945" spans="1:6" x14ac:dyDescent="0.2">
      <c r="A945" s="17" t="s">
        <v>7609</v>
      </c>
      <c r="B945" s="18" t="s">
        <v>7610</v>
      </c>
      <c r="C945" s="17" t="s">
        <v>271</v>
      </c>
      <c r="D945" s="19">
        <v>487.95</v>
      </c>
      <c r="F945" s="3" t="str">
        <f t="shared" si="14"/>
        <v>C0839</v>
      </c>
    </row>
    <row r="946" spans="1:6" x14ac:dyDescent="0.2">
      <c r="A946" s="17" t="s">
        <v>7611</v>
      </c>
      <c r="B946" s="18" t="s">
        <v>7612</v>
      </c>
      <c r="C946" s="17" t="s">
        <v>271</v>
      </c>
      <c r="D946" s="19">
        <v>495.65</v>
      </c>
      <c r="F946" s="3" t="str">
        <f t="shared" si="14"/>
        <v>C0840</v>
      </c>
    </row>
    <row r="947" spans="1:6" x14ac:dyDescent="0.2">
      <c r="A947" s="17" t="s">
        <v>7613</v>
      </c>
      <c r="B947" s="18" t="s">
        <v>7614</v>
      </c>
      <c r="C947" s="17" t="s">
        <v>271</v>
      </c>
      <c r="D947" s="19">
        <v>512.4</v>
      </c>
      <c r="F947" s="3" t="str">
        <f t="shared" si="14"/>
        <v>C0841</v>
      </c>
    </row>
    <row r="948" spans="1:6" x14ac:dyDescent="0.2">
      <c r="A948" s="17" t="s">
        <v>7615</v>
      </c>
      <c r="B948" s="18" t="s">
        <v>7616</v>
      </c>
      <c r="C948" s="17" t="s">
        <v>271</v>
      </c>
      <c r="D948" s="19">
        <v>522.58000000000004</v>
      </c>
      <c r="F948" s="3" t="str">
        <f t="shared" si="14"/>
        <v>C0842</v>
      </c>
    </row>
    <row r="949" spans="1:6" x14ac:dyDescent="0.2">
      <c r="A949" s="20" t="s">
        <v>7617</v>
      </c>
      <c r="B949" s="21" t="s">
        <v>7618</v>
      </c>
      <c r="C949" s="20" t="s">
        <v>271</v>
      </c>
      <c r="D949" s="22">
        <v>533</v>
      </c>
      <c r="F949" s="3" t="str">
        <f t="shared" si="14"/>
        <v>C0843</v>
      </c>
    </row>
    <row r="950" spans="1:6" x14ac:dyDescent="0.2">
      <c r="A950" s="17" t="s">
        <v>7619</v>
      </c>
      <c r="B950" s="18" t="s">
        <v>7620</v>
      </c>
      <c r="C950" s="17" t="s">
        <v>271</v>
      </c>
      <c r="D950" s="19">
        <v>571.55999999999995</v>
      </c>
      <c r="F950" s="3" t="str">
        <f t="shared" si="14"/>
        <v>C0844</v>
      </c>
    </row>
    <row r="951" spans="1:6" x14ac:dyDescent="0.2">
      <c r="A951" s="17" t="s">
        <v>7621</v>
      </c>
      <c r="B951" s="18" t="s">
        <v>7622</v>
      </c>
      <c r="C951" s="17" t="s">
        <v>271</v>
      </c>
      <c r="D951" s="19">
        <v>596.59</v>
      </c>
      <c r="F951" s="3" t="str">
        <f t="shared" si="14"/>
        <v>C0845</v>
      </c>
    </row>
    <row r="952" spans="1:6" x14ac:dyDescent="0.2">
      <c r="A952" s="17" t="s">
        <v>7623</v>
      </c>
      <c r="B952" s="18" t="s">
        <v>7624</v>
      </c>
      <c r="C952" s="17" t="s">
        <v>271</v>
      </c>
      <c r="D952" s="19">
        <v>634.48</v>
      </c>
      <c r="F952" s="3" t="str">
        <f t="shared" si="14"/>
        <v>C0846</v>
      </c>
    </row>
    <row r="953" spans="1:6" x14ac:dyDescent="0.2">
      <c r="A953" s="17" t="s">
        <v>7625</v>
      </c>
      <c r="B953" s="18" t="s">
        <v>7626</v>
      </c>
      <c r="C953" s="17" t="s">
        <v>271</v>
      </c>
      <c r="D953" s="19">
        <v>874.26</v>
      </c>
      <c r="F953" s="3" t="str">
        <f t="shared" si="14"/>
        <v>C3731</v>
      </c>
    </row>
    <row r="954" spans="1:6" x14ac:dyDescent="0.2">
      <c r="A954" s="17" t="s">
        <v>7627</v>
      </c>
      <c r="B954" s="18" t="s">
        <v>7628</v>
      </c>
      <c r="C954" s="17" t="s">
        <v>271</v>
      </c>
      <c r="D954" s="19">
        <v>369.88</v>
      </c>
      <c r="F954" s="3" t="str">
        <f t="shared" si="14"/>
        <v>C0847</v>
      </c>
    </row>
    <row r="955" spans="1:6" x14ac:dyDescent="0.2">
      <c r="A955" s="17" t="s">
        <v>7629</v>
      </c>
      <c r="B955" s="18" t="s">
        <v>7630</v>
      </c>
      <c r="C955" s="17" t="s">
        <v>271</v>
      </c>
      <c r="D955" s="19">
        <v>375.92</v>
      </c>
      <c r="F955" s="3" t="str">
        <f t="shared" si="14"/>
        <v>C0848</v>
      </c>
    </row>
    <row r="956" spans="1:6" x14ac:dyDescent="0.2">
      <c r="A956" s="17" t="s">
        <v>7631</v>
      </c>
      <c r="B956" s="18" t="s">
        <v>7632</v>
      </c>
      <c r="C956" s="17" t="s">
        <v>271</v>
      </c>
      <c r="D956" s="19">
        <v>391.73</v>
      </c>
      <c r="F956" s="3" t="str">
        <f t="shared" si="14"/>
        <v>C0849</v>
      </c>
    </row>
    <row r="957" spans="1:6" x14ac:dyDescent="0.2">
      <c r="A957" s="17" t="s">
        <v>7633</v>
      </c>
      <c r="B957" s="18" t="s">
        <v>7634</v>
      </c>
      <c r="C957" s="17" t="s">
        <v>271</v>
      </c>
      <c r="D957" s="19">
        <v>402.79</v>
      </c>
      <c r="F957" s="3" t="str">
        <f t="shared" si="14"/>
        <v>C0850</v>
      </c>
    </row>
    <row r="958" spans="1:6" x14ac:dyDescent="0.2">
      <c r="A958" s="17" t="s">
        <v>7635</v>
      </c>
      <c r="B958" s="18" t="s">
        <v>7636</v>
      </c>
      <c r="C958" s="17" t="s">
        <v>271</v>
      </c>
      <c r="D958" s="19">
        <v>416.21</v>
      </c>
      <c r="F958" s="3" t="str">
        <f t="shared" si="14"/>
        <v>C0851</v>
      </c>
    </row>
    <row r="959" spans="1:6" x14ac:dyDescent="0.2">
      <c r="A959" s="17" t="s">
        <v>7637</v>
      </c>
      <c r="B959" s="18" t="s">
        <v>7638</v>
      </c>
      <c r="C959" s="17" t="s">
        <v>271</v>
      </c>
      <c r="D959" s="19">
        <v>429.63</v>
      </c>
      <c r="F959" s="3" t="str">
        <f t="shared" si="14"/>
        <v>C0852</v>
      </c>
    </row>
    <row r="960" spans="1:6" x14ac:dyDescent="0.2">
      <c r="A960" s="17" t="s">
        <v>7639</v>
      </c>
      <c r="B960" s="18" t="s">
        <v>7640</v>
      </c>
      <c r="C960" s="17" t="s">
        <v>271</v>
      </c>
      <c r="D960" s="19">
        <v>491.82</v>
      </c>
      <c r="F960" s="3" t="str">
        <f t="shared" si="14"/>
        <v>C4169</v>
      </c>
    </row>
    <row r="961" spans="1:6" x14ac:dyDescent="0.2">
      <c r="A961" s="17" t="s">
        <v>7641</v>
      </c>
      <c r="B961" s="18" t="s">
        <v>7642</v>
      </c>
      <c r="C961" s="17" t="s">
        <v>271</v>
      </c>
      <c r="D961" s="19">
        <v>448.19</v>
      </c>
      <c r="F961" s="3" t="str">
        <f t="shared" si="14"/>
        <v>C0853</v>
      </c>
    </row>
    <row r="962" spans="1:6" x14ac:dyDescent="0.2">
      <c r="A962" s="17" t="s">
        <v>7643</v>
      </c>
      <c r="B962" s="18" t="s">
        <v>7644</v>
      </c>
      <c r="C962" s="17" t="s">
        <v>271</v>
      </c>
      <c r="D962" s="19">
        <v>666.88</v>
      </c>
      <c r="F962" s="3" t="str">
        <f t="shared" ref="F962:F1025" si="15">A962</f>
        <v>C4170</v>
      </c>
    </row>
    <row r="963" spans="1:6" x14ac:dyDescent="0.2">
      <c r="A963" s="17" t="s">
        <v>7645</v>
      </c>
      <c r="B963" s="18" t="s">
        <v>7646</v>
      </c>
      <c r="C963" s="17" t="s">
        <v>271</v>
      </c>
      <c r="D963" s="19">
        <v>848.41</v>
      </c>
      <c r="F963" s="3" t="str">
        <f t="shared" si="15"/>
        <v>C4293</v>
      </c>
    </row>
    <row r="964" spans="1:6" x14ac:dyDescent="0.2">
      <c r="A964" s="17">
        <v>0</v>
      </c>
      <c r="B964" s="18"/>
      <c r="C964" s="17">
        <v>0</v>
      </c>
      <c r="D964" s="19">
        <v>0</v>
      </c>
      <c r="F964" s="3">
        <f t="shared" si="15"/>
        <v>0</v>
      </c>
    </row>
    <row r="965" spans="1:6" x14ac:dyDescent="0.2">
      <c r="A965" s="17" t="s">
        <v>7647</v>
      </c>
      <c r="B965" s="18" t="s">
        <v>7648</v>
      </c>
      <c r="C965" s="17" t="s">
        <v>271</v>
      </c>
      <c r="D965" s="19">
        <v>1338.66</v>
      </c>
      <c r="F965" s="3" t="str">
        <f t="shared" si="15"/>
        <v>C4303</v>
      </c>
    </row>
    <row r="966" spans="1:6" x14ac:dyDescent="0.2">
      <c r="A966" s="17" t="s">
        <v>7649</v>
      </c>
      <c r="B966" s="18" t="s">
        <v>7650</v>
      </c>
      <c r="C966" s="17" t="s">
        <v>271</v>
      </c>
      <c r="D966" s="19">
        <v>41.84</v>
      </c>
      <c r="F966" s="3" t="str">
        <f t="shared" si="15"/>
        <v>C4135</v>
      </c>
    </row>
    <row r="967" spans="1:6" x14ac:dyDescent="0.2">
      <c r="A967" s="17" t="s">
        <v>7651</v>
      </c>
      <c r="B967" s="18" t="s">
        <v>7652</v>
      </c>
      <c r="C967" s="17" t="s">
        <v>271</v>
      </c>
      <c r="D967" s="19">
        <v>268.48</v>
      </c>
      <c r="F967" s="3" t="str">
        <f t="shared" si="15"/>
        <v>C1603</v>
      </c>
    </row>
    <row r="968" spans="1:6" x14ac:dyDescent="0.2">
      <c r="A968" s="17" t="s">
        <v>7653</v>
      </c>
      <c r="B968" s="18" t="s">
        <v>7654</v>
      </c>
      <c r="C968" s="17" t="s">
        <v>271</v>
      </c>
      <c r="D968" s="19">
        <v>159.08000000000001</v>
      </c>
      <c r="F968" s="3" t="str">
        <f t="shared" si="15"/>
        <v>C1604</v>
      </c>
    </row>
    <row r="969" spans="1:6" x14ac:dyDescent="0.2">
      <c r="A969" s="17" t="s">
        <v>7655</v>
      </c>
      <c r="B969" s="18" t="s">
        <v>7656</v>
      </c>
      <c r="C969" s="17" t="s">
        <v>271</v>
      </c>
      <c r="D969" s="19">
        <v>377.19</v>
      </c>
      <c r="F969" s="3" t="str">
        <f t="shared" si="15"/>
        <v>C3531</v>
      </c>
    </row>
    <row r="970" spans="1:6" x14ac:dyDescent="0.2">
      <c r="A970" s="14" t="s">
        <v>7657</v>
      </c>
      <c r="B970" s="15"/>
      <c r="C970" s="14">
        <v>0</v>
      </c>
      <c r="D970" s="16">
        <v>31213.9</v>
      </c>
      <c r="F970" s="3" t="str">
        <f t="shared" si="15"/>
        <v>ELEMENTOS DE CONCRETO PRÉ FABRICADO</v>
      </c>
    </row>
    <row r="971" spans="1:6" x14ac:dyDescent="0.2">
      <c r="A971" s="17" t="s">
        <v>7658</v>
      </c>
      <c r="B971" s="18" t="s">
        <v>7659</v>
      </c>
      <c r="C971" s="17" t="s">
        <v>0</v>
      </c>
      <c r="D971" s="19">
        <v>30.29</v>
      </c>
      <c r="F971" s="3" t="str">
        <f t="shared" si="15"/>
        <v>C3250</v>
      </c>
    </row>
    <row r="972" spans="1:6" x14ac:dyDescent="0.2">
      <c r="A972" s="17">
        <v>0</v>
      </c>
      <c r="B972" s="18"/>
      <c r="C972" s="17">
        <v>0</v>
      </c>
      <c r="D972" s="19">
        <v>0</v>
      </c>
      <c r="F972" s="3">
        <f t="shared" si="15"/>
        <v>0</v>
      </c>
    </row>
    <row r="973" spans="1:6" ht="22.5" x14ac:dyDescent="0.2">
      <c r="A973" s="17" t="s">
        <v>7660</v>
      </c>
      <c r="B973" s="18" t="s">
        <v>7661</v>
      </c>
      <c r="C973" s="17" t="s">
        <v>0</v>
      </c>
      <c r="D973" s="19">
        <v>43.92</v>
      </c>
      <c r="F973" s="3" t="str">
        <f t="shared" si="15"/>
        <v>C3251</v>
      </c>
    </row>
    <row r="974" spans="1:6" x14ac:dyDescent="0.2">
      <c r="A974" s="17">
        <v>0</v>
      </c>
      <c r="B974" s="18"/>
      <c r="C974" s="17">
        <v>0</v>
      </c>
      <c r="D974" s="19">
        <v>0</v>
      </c>
      <c r="F974" s="3">
        <f t="shared" si="15"/>
        <v>0</v>
      </c>
    </row>
    <row r="975" spans="1:6" ht="22.5" x14ac:dyDescent="0.2">
      <c r="A975" s="17" t="s">
        <v>7662</v>
      </c>
      <c r="B975" s="18" t="s">
        <v>7663</v>
      </c>
      <c r="C975" s="17" t="s">
        <v>0</v>
      </c>
      <c r="D975" s="19">
        <v>2519.96</v>
      </c>
      <c r="F975" s="3" t="str">
        <f t="shared" si="15"/>
        <v>C3606</v>
      </c>
    </row>
    <row r="976" spans="1:6" x14ac:dyDescent="0.2">
      <c r="A976" s="17">
        <v>0</v>
      </c>
      <c r="B976" s="18"/>
      <c r="C976" s="17">
        <v>0</v>
      </c>
      <c r="D976" s="19">
        <v>0</v>
      </c>
      <c r="F976" s="3">
        <f t="shared" si="15"/>
        <v>0</v>
      </c>
    </row>
    <row r="977" spans="1:6" ht="22.5" x14ac:dyDescent="0.2">
      <c r="A977" s="17" t="s">
        <v>7664</v>
      </c>
      <c r="B977" s="18" t="s">
        <v>7665</v>
      </c>
      <c r="C977" s="17" t="s">
        <v>26</v>
      </c>
      <c r="D977" s="19">
        <v>3946.35</v>
      </c>
      <c r="F977" s="3" t="str">
        <f t="shared" si="15"/>
        <v>C3609</v>
      </c>
    </row>
    <row r="978" spans="1:6" x14ac:dyDescent="0.2">
      <c r="A978" s="17">
        <v>0</v>
      </c>
      <c r="B978" s="18"/>
      <c r="C978" s="17">
        <v>0</v>
      </c>
      <c r="D978" s="19">
        <v>0</v>
      </c>
      <c r="F978" s="3">
        <f t="shared" si="15"/>
        <v>0</v>
      </c>
    </row>
    <row r="979" spans="1:6" ht="22.5" x14ac:dyDescent="0.2">
      <c r="A979" s="17" t="s">
        <v>7666</v>
      </c>
      <c r="B979" s="18" t="s">
        <v>7667</v>
      </c>
      <c r="C979" s="17" t="s">
        <v>26</v>
      </c>
      <c r="D979" s="19">
        <v>15258.49</v>
      </c>
      <c r="F979" s="3" t="str">
        <f t="shared" si="15"/>
        <v>C3607</v>
      </c>
    </row>
    <row r="980" spans="1:6" x14ac:dyDescent="0.2">
      <c r="A980" s="17">
        <v>0</v>
      </c>
      <c r="B980" s="18"/>
      <c r="C980" s="17">
        <v>0</v>
      </c>
      <c r="D980" s="19">
        <v>0</v>
      </c>
      <c r="F980" s="3">
        <f t="shared" si="15"/>
        <v>0</v>
      </c>
    </row>
    <row r="981" spans="1:6" ht="22.5" x14ac:dyDescent="0.2">
      <c r="A981" s="17" t="s">
        <v>7668</v>
      </c>
      <c r="B981" s="18" t="s">
        <v>7669</v>
      </c>
      <c r="C981" s="17" t="s">
        <v>0</v>
      </c>
      <c r="D981" s="19">
        <v>2220.5300000000002</v>
      </c>
      <c r="F981" s="3" t="str">
        <f t="shared" si="15"/>
        <v>C3608</v>
      </c>
    </row>
    <row r="982" spans="1:6" x14ac:dyDescent="0.2">
      <c r="A982" s="17">
        <v>0</v>
      </c>
      <c r="B982" s="18"/>
      <c r="C982" s="17">
        <v>0</v>
      </c>
      <c r="D982" s="19">
        <v>0</v>
      </c>
      <c r="F982" s="3">
        <f t="shared" si="15"/>
        <v>0</v>
      </c>
    </row>
    <row r="983" spans="1:6" ht="22.5" x14ac:dyDescent="0.2">
      <c r="A983" s="17" t="s">
        <v>7670</v>
      </c>
      <c r="B983" s="18" t="s">
        <v>7671</v>
      </c>
      <c r="C983" s="17" t="s">
        <v>0</v>
      </c>
      <c r="D983" s="19">
        <v>952.85</v>
      </c>
      <c r="F983" s="3" t="str">
        <f t="shared" si="15"/>
        <v>C3610</v>
      </c>
    </row>
    <row r="984" spans="1:6" x14ac:dyDescent="0.2">
      <c r="A984" s="17">
        <v>0</v>
      </c>
      <c r="B984" s="18"/>
      <c r="C984" s="17">
        <v>0</v>
      </c>
      <c r="D984" s="19">
        <v>0</v>
      </c>
      <c r="F984" s="3">
        <f t="shared" si="15"/>
        <v>0</v>
      </c>
    </row>
    <row r="985" spans="1:6" x14ac:dyDescent="0.2">
      <c r="A985" s="17" t="s">
        <v>7672</v>
      </c>
      <c r="B985" s="18" t="s">
        <v>7673</v>
      </c>
      <c r="C985" s="17" t="s">
        <v>26</v>
      </c>
      <c r="D985" s="19">
        <v>38.409999999999997</v>
      </c>
      <c r="F985" s="3" t="str">
        <f t="shared" si="15"/>
        <v>C3284</v>
      </c>
    </row>
    <row r="986" spans="1:6" x14ac:dyDescent="0.2">
      <c r="A986" s="17" t="s">
        <v>7674</v>
      </c>
      <c r="B986" s="21" t="s">
        <v>7675</v>
      </c>
      <c r="C986" s="17" t="s">
        <v>255</v>
      </c>
      <c r="D986" s="19">
        <v>115.65</v>
      </c>
      <c r="F986" s="3" t="str">
        <f t="shared" si="15"/>
        <v>C4449</v>
      </c>
    </row>
    <row r="987" spans="1:6" x14ac:dyDescent="0.2">
      <c r="A987" s="17" t="s">
        <v>7676</v>
      </c>
      <c r="B987" s="18" t="s">
        <v>7677</v>
      </c>
      <c r="C987" s="17" t="s">
        <v>255</v>
      </c>
      <c r="D987" s="19">
        <v>125.88</v>
      </c>
      <c r="F987" s="3" t="str">
        <f t="shared" si="15"/>
        <v>C4418</v>
      </c>
    </row>
    <row r="988" spans="1:6" x14ac:dyDescent="0.2">
      <c r="A988" s="17" t="s">
        <v>7678</v>
      </c>
      <c r="B988" s="18" t="s">
        <v>7679</v>
      </c>
      <c r="C988" s="17" t="s">
        <v>255</v>
      </c>
      <c r="D988" s="19">
        <v>130.01</v>
      </c>
      <c r="F988" s="3" t="str">
        <f t="shared" si="15"/>
        <v>C4419</v>
      </c>
    </row>
    <row r="989" spans="1:6" x14ac:dyDescent="0.2">
      <c r="A989" s="17" t="s">
        <v>7680</v>
      </c>
      <c r="B989" s="18" t="s">
        <v>7681</v>
      </c>
      <c r="C989" s="17" t="s">
        <v>255</v>
      </c>
      <c r="D989" s="19">
        <v>134.55000000000001</v>
      </c>
      <c r="F989" s="3" t="str">
        <f t="shared" si="15"/>
        <v>C4420</v>
      </c>
    </row>
    <row r="990" spans="1:6" x14ac:dyDescent="0.2">
      <c r="A990" s="17" t="s">
        <v>7682</v>
      </c>
      <c r="B990" s="18" t="s">
        <v>7683</v>
      </c>
      <c r="C990" s="17" t="s">
        <v>255</v>
      </c>
      <c r="D990" s="19">
        <v>118.84</v>
      </c>
      <c r="F990" s="3" t="str">
        <f t="shared" si="15"/>
        <v>C4448</v>
      </c>
    </row>
    <row r="991" spans="1:6" x14ac:dyDescent="0.2">
      <c r="A991" s="17" t="s">
        <v>7684</v>
      </c>
      <c r="B991" s="18" t="s">
        <v>7685</v>
      </c>
      <c r="C991" s="17" t="s">
        <v>255</v>
      </c>
      <c r="D991" s="19">
        <v>132.26</v>
      </c>
      <c r="F991" s="3" t="str">
        <f t="shared" si="15"/>
        <v>C4415</v>
      </c>
    </row>
    <row r="992" spans="1:6" x14ac:dyDescent="0.2">
      <c r="A992" s="17" t="s">
        <v>7686</v>
      </c>
      <c r="B992" s="18" t="s">
        <v>7687</v>
      </c>
      <c r="C992" s="17" t="s">
        <v>255</v>
      </c>
      <c r="D992" s="19">
        <v>137.63</v>
      </c>
      <c r="F992" s="3" t="str">
        <f t="shared" si="15"/>
        <v>C4416</v>
      </c>
    </row>
    <row r="993" spans="1:6" x14ac:dyDescent="0.2">
      <c r="A993" s="17" t="s">
        <v>7688</v>
      </c>
      <c r="B993" s="18" t="s">
        <v>7689</v>
      </c>
      <c r="C993" s="17" t="s">
        <v>255</v>
      </c>
      <c r="D993" s="19">
        <v>139.13</v>
      </c>
      <c r="F993" s="3" t="str">
        <f t="shared" si="15"/>
        <v>C4417</v>
      </c>
    </row>
    <row r="994" spans="1:6" x14ac:dyDescent="0.2">
      <c r="A994" s="17" t="s">
        <v>7690</v>
      </c>
      <c r="B994" s="18" t="s">
        <v>7691</v>
      </c>
      <c r="C994" s="17" t="s">
        <v>255</v>
      </c>
      <c r="D994" s="19">
        <v>132.34</v>
      </c>
      <c r="F994" s="3" t="str">
        <f t="shared" si="15"/>
        <v>C4455</v>
      </c>
    </row>
    <row r="995" spans="1:6" x14ac:dyDescent="0.2">
      <c r="A995" s="17" t="s">
        <v>7692</v>
      </c>
      <c r="B995" s="18" t="s">
        <v>7693</v>
      </c>
      <c r="C995" s="17" t="s">
        <v>255</v>
      </c>
      <c r="D995" s="19">
        <v>132.61000000000001</v>
      </c>
      <c r="F995" s="3" t="str">
        <f t="shared" si="15"/>
        <v>C4456</v>
      </c>
    </row>
    <row r="996" spans="1:6" x14ac:dyDescent="0.2">
      <c r="A996" s="17" t="s">
        <v>7694</v>
      </c>
      <c r="B996" s="18" t="s">
        <v>7695</v>
      </c>
      <c r="C996" s="17" t="s">
        <v>255</v>
      </c>
      <c r="D996" s="19">
        <v>141.37</v>
      </c>
      <c r="F996" s="3" t="str">
        <f t="shared" si="15"/>
        <v>C4457</v>
      </c>
    </row>
    <row r="997" spans="1:6" x14ac:dyDescent="0.2">
      <c r="A997" s="17" t="s">
        <v>7696</v>
      </c>
      <c r="B997" s="18" t="s">
        <v>7697</v>
      </c>
      <c r="C997" s="17" t="s">
        <v>255</v>
      </c>
      <c r="D997" s="19">
        <v>176.96</v>
      </c>
      <c r="F997" s="3" t="str">
        <f t="shared" si="15"/>
        <v>C4458</v>
      </c>
    </row>
    <row r="998" spans="1:6" x14ac:dyDescent="0.2">
      <c r="A998" s="17" t="s">
        <v>7698</v>
      </c>
      <c r="B998" s="18" t="s">
        <v>7699</v>
      </c>
      <c r="C998" s="17" t="s">
        <v>255</v>
      </c>
      <c r="D998" s="19">
        <v>129.28</v>
      </c>
      <c r="F998" s="3" t="str">
        <f t="shared" si="15"/>
        <v>C4450</v>
      </c>
    </row>
    <row r="999" spans="1:6" x14ac:dyDescent="0.2">
      <c r="A999" s="17" t="s">
        <v>7700</v>
      </c>
      <c r="B999" s="18" t="s">
        <v>7701</v>
      </c>
      <c r="C999" s="17" t="s">
        <v>255</v>
      </c>
      <c r="D999" s="19">
        <v>141.02000000000001</v>
      </c>
      <c r="F999" s="3" t="str">
        <f t="shared" si="15"/>
        <v>C4451</v>
      </c>
    </row>
    <row r="1000" spans="1:6" x14ac:dyDescent="0.2">
      <c r="A1000" s="17" t="s">
        <v>7702</v>
      </c>
      <c r="B1000" s="18" t="s">
        <v>7703</v>
      </c>
      <c r="C1000" s="17" t="s">
        <v>255</v>
      </c>
      <c r="D1000" s="19">
        <v>147.43</v>
      </c>
      <c r="F1000" s="3" t="str">
        <f t="shared" si="15"/>
        <v>C4452</v>
      </c>
    </row>
    <row r="1001" spans="1:6" x14ac:dyDescent="0.2">
      <c r="A1001" s="17" t="s">
        <v>7704</v>
      </c>
      <c r="B1001" s="18" t="s">
        <v>7705</v>
      </c>
      <c r="C1001" s="17" t="s">
        <v>255</v>
      </c>
      <c r="D1001" s="19">
        <v>149.61000000000001</v>
      </c>
      <c r="F1001" s="3" t="str">
        <f t="shared" si="15"/>
        <v>C4453</v>
      </c>
    </row>
    <row r="1002" spans="1:6" x14ac:dyDescent="0.2">
      <c r="A1002" s="17" t="s">
        <v>7706</v>
      </c>
      <c r="B1002" s="18" t="s">
        <v>7707</v>
      </c>
      <c r="C1002" s="17" t="s">
        <v>255</v>
      </c>
      <c r="D1002" s="19">
        <v>170.01</v>
      </c>
      <c r="F1002" s="3" t="str">
        <f t="shared" si="15"/>
        <v>C4454</v>
      </c>
    </row>
    <row r="1003" spans="1:6" x14ac:dyDescent="0.2">
      <c r="A1003" s="17" t="s">
        <v>7708</v>
      </c>
      <c r="B1003" s="18" t="s">
        <v>7709</v>
      </c>
      <c r="C1003" s="17" t="s">
        <v>26</v>
      </c>
      <c r="D1003" s="19">
        <v>9.5500000000000007</v>
      </c>
      <c r="F1003" s="3" t="str">
        <f t="shared" si="15"/>
        <v>C2881</v>
      </c>
    </row>
    <row r="1004" spans="1:6" x14ac:dyDescent="0.2">
      <c r="A1004" s="17" t="s">
        <v>7710</v>
      </c>
      <c r="B1004" s="18" t="s">
        <v>7711</v>
      </c>
      <c r="C1004" s="17" t="s">
        <v>26</v>
      </c>
      <c r="D1004" s="19">
        <v>27.58</v>
      </c>
      <c r="F1004" s="3" t="str">
        <f t="shared" si="15"/>
        <v>C3459</v>
      </c>
    </row>
    <row r="1005" spans="1:6" ht="22.5" x14ac:dyDescent="0.2">
      <c r="A1005" s="17" t="s">
        <v>7712</v>
      </c>
      <c r="B1005" s="18" t="s">
        <v>7713</v>
      </c>
      <c r="C1005" s="17" t="s">
        <v>26</v>
      </c>
      <c r="D1005" s="19">
        <v>37.380000000000003</v>
      </c>
      <c r="F1005" s="3" t="str">
        <f t="shared" si="15"/>
        <v>C4598</v>
      </c>
    </row>
    <row r="1006" spans="1:6" x14ac:dyDescent="0.2">
      <c r="A1006" s="17">
        <v>0</v>
      </c>
      <c r="B1006" s="18"/>
      <c r="C1006" s="17">
        <v>0</v>
      </c>
      <c r="D1006" s="19">
        <v>0</v>
      </c>
      <c r="F1006" s="3">
        <f t="shared" si="15"/>
        <v>0</v>
      </c>
    </row>
    <row r="1007" spans="1:6" x14ac:dyDescent="0.2">
      <c r="A1007" s="17" t="s">
        <v>7714</v>
      </c>
      <c r="B1007" s="18" t="s">
        <v>7715</v>
      </c>
      <c r="C1007" s="17" t="s">
        <v>26</v>
      </c>
      <c r="D1007" s="19">
        <v>49.94</v>
      </c>
      <c r="F1007" s="3" t="str">
        <f t="shared" si="15"/>
        <v>C3460</v>
      </c>
    </row>
    <row r="1008" spans="1:6" x14ac:dyDescent="0.2">
      <c r="A1008" s="17" t="s">
        <v>7716</v>
      </c>
      <c r="B1008" s="18" t="s">
        <v>7717</v>
      </c>
      <c r="C1008" s="17" t="s">
        <v>26</v>
      </c>
      <c r="D1008" s="19">
        <v>63.2</v>
      </c>
      <c r="F1008" s="3" t="str">
        <f t="shared" si="15"/>
        <v>C2882</v>
      </c>
    </row>
    <row r="1009" spans="1:6" x14ac:dyDescent="0.2">
      <c r="A1009" s="17" t="s">
        <v>7718</v>
      </c>
      <c r="B1009" s="18" t="s">
        <v>7719</v>
      </c>
      <c r="C1009" s="17" t="s">
        <v>26</v>
      </c>
      <c r="D1009" s="19">
        <v>31.8</v>
      </c>
      <c r="F1009" s="3" t="str">
        <f t="shared" si="15"/>
        <v>C2883</v>
      </c>
    </row>
    <row r="1010" spans="1:6" x14ac:dyDescent="0.2">
      <c r="A1010" s="17" t="s">
        <v>7720</v>
      </c>
      <c r="B1010" s="18" t="s">
        <v>7721</v>
      </c>
      <c r="C1010" s="17" t="s">
        <v>26</v>
      </c>
      <c r="D1010" s="19">
        <v>365.13</v>
      </c>
      <c r="F1010" s="3" t="str">
        <f t="shared" si="15"/>
        <v>C2884</v>
      </c>
    </row>
    <row r="1011" spans="1:6" x14ac:dyDescent="0.2">
      <c r="A1011" s="17" t="s">
        <v>7722</v>
      </c>
      <c r="B1011" s="18" t="s">
        <v>7723</v>
      </c>
      <c r="C1011" s="17" t="s">
        <v>26</v>
      </c>
      <c r="D1011" s="19">
        <v>5.84</v>
      </c>
      <c r="F1011" s="3" t="str">
        <f t="shared" si="15"/>
        <v>C2885</v>
      </c>
    </row>
    <row r="1012" spans="1:6" x14ac:dyDescent="0.2">
      <c r="A1012" s="17" t="s">
        <v>7724</v>
      </c>
      <c r="B1012" s="18" t="s">
        <v>7725</v>
      </c>
      <c r="C1012" s="17" t="s">
        <v>26</v>
      </c>
      <c r="D1012" s="19">
        <v>52.58</v>
      </c>
      <c r="F1012" s="3" t="str">
        <f t="shared" si="15"/>
        <v>C2886</v>
      </c>
    </row>
    <row r="1013" spans="1:6" x14ac:dyDescent="0.2">
      <c r="A1013" s="17" t="s">
        <v>7726</v>
      </c>
      <c r="B1013" s="18" t="s">
        <v>7727</v>
      </c>
      <c r="C1013" s="17" t="s">
        <v>26</v>
      </c>
      <c r="D1013" s="19">
        <v>87.37</v>
      </c>
      <c r="F1013" s="3" t="str">
        <f t="shared" si="15"/>
        <v>C3289</v>
      </c>
    </row>
    <row r="1014" spans="1:6" x14ac:dyDescent="0.2">
      <c r="A1014" s="17" t="s">
        <v>7728</v>
      </c>
      <c r="B1014" s="18" t="s">
        <v>7729</v>
      </c>
      <c r="C1014" s="17" t="s">
        <v>255</v>
      </c>
      <c r="D1014" s="19">
        <v>214.37</v>
      </c>
      <c r="F1014" s="3" t="str">
        <f t="shared" si="15"/>
        <v>C1838</v>
      </c>
    </row>
    <row r="1015" spans="1:6" x14ac:dyDescent="0.2">
      <c r="A1015" s="17" t="s">
        <v>7730</v>
      </c>
      <c r="B1015" s="18" t="s">
        <v>7731</v>
      </c>
      <c r="C1015" s="17" t="s">
        <v>255</v>
      </c>
      <c r="D1015" s="19">
        <v>262.68</v>
      </c>
      <c r="F1015" s="3" t="str">
        <f t="shared" si="15"/>
        <v>C1839</v>
      </c>
    </row>
    <row r="1016" spans="1:6" x14ac:dyDescent="0.2">
      <c r="A1016" s="17" t="s">
        <v>7732</v>
      </c>
      <c r="B1016" s="18" t="s">
        <v>7733</v>
      </c>
      <c r="C1016" s="17" t="s">
        <v>255</v>
      </c>
      <c r="D1016" s="19">
        <v>319.87</v>
      </c>
      <c r="F1016" s="3" t="str">
        <f t="shared" si="15"/>
        <v>C1840</v>
      </c>
    </row>
    <row r="1017" spans="1:6" x14ac:dyDescent="0.2">
      <c r="A1017" s="17" t="s">
        <v>7734</v>
      </c>
      <c r="B1017" s="18" t="s">
        <v>7735</v>
      </c>
      <c r="C1017" s="17" t="s">
        <v>255</v>
      </c>
      <c r="D1017" s="19">
        <v>327.58999999999997</v>
      </c>
      <c r="F1017" s="3" t="str">
        <f t="shared" si="15"/>
        <v>C1841</v>
      </c>
    </row>
    <row r="1018" spans="1:6" ht="22.5" x14ac:dyDescent="0.2">
      <c r="A1018" s="17" t="s">
        <v>7736</v>
      </c>
      <c r="B1018" s="18" t="s">
        <v>7737</v>
      </c>
      <c r="C1018" s="17" t="s">
        <v>255</v>
      </c>
      <c r="D1018" s="19">
        <v>95.01</v>
      </c>
      <c r="F1018" s="3" t="str">
        <f t="shared" si="15"/>
        <v>C1842</v>
      </c>
    </row>
    <row r="1019" spans="1:6" x14ac:dyDescent="0.2">
      <c r="A1019" s="17">
        <v>0</v>
      </c>
      <c r="B1019" s="18"/>
      <c r="C1019" s="17">
        <v>0</v>
      </c>
      <c r="D1019" s="19">
        <v>0</v>
      </c>
      <c r="F1019" s="3">
        <f t="shared" si="15"/>
        <v>0</v>
      </c>
    </row>
    <row r="1020" spans="1:6" x14ac:dyDescent="0.2">
      <c r="A1020" s="17" t="s">
        <v>7738</v>
      </c>
      <c r="B1020" s="18" t="s">
        <v>7739</v>
      </c>
      <c r="C1020" s="17" t="s">
        <v>255</v>
      </c>
      <c r="D1020" s="19">
        <v>109.82</v>
      </c>
      <c r="F1020" s="3" t="str">
        <f t="shared" si="15"/>
        <v>C1843</v>
      </c>
    </row>
    <row r="1021" spans="1:6" x14ac:dyDescent="0.2">
      <c r="A1021" s="17" t="s">
        <v>7740</v>
      </c>
      <c r="B1021" s="18" t="s">
        <v>7741</v>
      </c>
      <c r="C1021" s="17" t="s">
        <v>255</v>
      </c>
      <c r="D1021" s="19">
        <v>437.91</v>
      </c>
      <c r="F1021" s="3" t="str">
        <f t="shared" si="15"/>
        <v>C1899</v>
      </c>
    </row>
    <row r="1022" spans="1:6" x14ac:dyDescent="0.2">
      <c r="A1022" s="17" t="s">
        <v>7742</v>
      </c>
      <c r="B1022" s="18" t="s">
        <v>7743</v>
      </c>
      <c r="C1022" s="17" t="s">
        <v>255</v>
      </c>
      <c r="D1022" s="19">
        <v>452.37</v>
      </c>
      <c r="F1022" s="3" t="str">
        <f t="shared" si="15"/>
        <v>C1900</v>
      </c>
    </row>
    <row r="1023" spans="1:6" x14ac:dyDescent="0.2">
      <c r="A1023" s="17" t="s">
        <v>7744</v>
      </c>
      <c r="B1023" s="18" t="s">
        <v>7745</v>
      </c>
      <c r="C1023" s="17" t="s">
        <v>255</v>
      </c>
      <c r="D1023" s="19">
        <v>459.64</v>
      </c>
      <c r="F1023" s="3" t="str">
        <f t="shared" si="15"/>
        <v>C1901</v>
      </c>
    </row>
    <row r="1024" spans="1:6" x14ac:dyDescent="0.2">
      <c r="A1024" s="17" t="s">
        <v>7746</v>
      </c>
      <c r="B1024" s="18" t="s">
        <v>7747</v>
      </c>
      <c r="C1024" s="17" t="s">
        <v>255</v>
      </c>
      <c r="D1024" s="19">
        <v>438.89</v>
      </c>
      <c r="F1024" s="3" t="str">
        <f t="shared" si="15"/>
        <v>C1886</v>
      </c>
    </row>
    <row r="1025" spans="1:6" x14ac:dyDescent="0.2">
      <c r="A1025" s="14" t="s">
        <v>7748</v>
      </c>
      <c r="B1025" s="15"/>
      <c r="C1025" s="14">
        <v>0</v>
      </c>
      <c r="D1025" s="16">
        <v>3845.25</v>
      </c>
      <c r="F1025" s="3" t="str">
        <f t="shared" si="15"/>
        <v>JUNTA DE DILATAÇÃO</v>
      </c>
    </row>
    <row r="1026" spans="1:6" x14ac:dyDescent="0.2">
      <c r="A1026" s="17" t="s">
        <v>7749</v>
      </c>
      <c r="B1026" s="18" t="s">
        <v>7750</v>
      </c>
      <c r="C1026" s="17" t="s">
        <v>0</v>
      </c>
      <c r="D1026" s="19">
        <v>108.44</v>
      </c>
      <c r="F1026" s="3" t="str">
        <f t="shared" ref="F1026:F1089" si="16">A1026</f>
        <v>C4998</v>
      </c>
    </row>
    <row r="1027" spans="1:6" x14ac:dyDescent="0.2">
      <c r="A1027" s="17" t="s">
        <v>7751</v>
      </c>
      <c r="B1027" s="18" t="s">
        <v>7752</v>
      </c>
      <c r="C1027" s="17" t="s">
        <v>0</v>
      </c>
      <c r="D1027" s="19">
        <v>150.66</v>
      </c>
      <c r="F1027" s="3" t="str">
        <f t="shared" si="16"/>
        <v>C4999</v>
      </c>
    </row>
    <row r="1028" spans="1:6" x14ac:dyDescent="0.2">
      <c r="A1028" s="17" t="s">
        <v>7753</v>
      </c>
      <c r="B1028" s="18" t="s">
        <v>7754</v>
      </c>
      <c r="C1028" s="17" t="s">
        <v>0</v>
      </c>
      <c r="D1028" s="19">
        <v>240.09</v>
      </c>
      <c r="F1028" s="3" t="str">
        <f t="shared" si="16"/>
        <v>C5000</v>
      </c>
    </row>
    <row r="1029" spans="1:6" x14ac:dyDescent="0.2">
      <c r="A1029" s="17" t="s">
        <v>7755</v>
      </c>
      <c r="B1029" s="18" t="s">
        <v>7756</v>
      </c>
      <c r="C1029" s="17" t="s">
        <v>0</v>
      </c>
      <c r="D1029" s="19">
        <v>311.20999999999998</v>
      </c>
      <c r="F1029" s="3" t="str">
        <f t="shared" si="16"/>
        <v>C5001</v>
      </c>
    </row>
    <row r="1030" spans="1:6" x14ac:dyDescent="0.2">
      <c r="A1030" s="17" t="s">
        <v>7757</v>
      </c>
      <c r="B1030" s="18" t="s">
        <v>7758</v>
      </c>
      <c r="C1030" s="17" t="s">
        <v>0</v>
      </c>
      <c r="D1030" s="19">
        <v>12.38</v>
      </c>
      <c r="F1030" s="3" t="str">
        <f t="shared" si="16"/>
        <v>C4073</v>
      </c>
    </row>
    <row r="1031" spans="1:6" x14ac:dyDescent="0.2">
      <c r="A1031" s="17" t="s">
        <v>7759</v>
      </c>
      <c r="B1031" s="18" t="s">
        <v>7760</v>
      </c>
      <c r="C1031" s="17" t="s">
        <v>0</v>
      </c>
      <c r="D1031" s="19">
        <v>24.4</v>
      </c>
      <c r="F1031" s="3" t="str">
        <f t="shared" si="16"/>
        <v>C3732</v>
      </c>
    </row>
    <row r="1032" spans="1:6" x14ac:dyDescent="0.2">
      <c r="A1032" s="17" t="s">
        <v>7761</v>
      </c>
      <c r="B1032" s="18" t="s">
        <v>7762</v>
      </c>
      <c r="C1032" s="17" t="s">
        <v>0</v>
      </c>
      <c r="D1032" s="19">
        <v>16.649999999999999</v>
      </c>
      <c r="F1032" s="3" t="str">
        <f t="shared" si="16"/>
        <v>C4209</v>
      </c>
    </row>
    <row r="1033" spans="1:6" ht="33.75" x14ac:dyDescent="0.2">
      <c r="A1033" s="17" t="s">
        <v>7763</v>
      </c>
      <c r="B1033" s="18" t="s">
        <v>7764</v>
      </c>
      <c r="C1033" s="17" t="s">
        <v>0</v>
      </c>
      <c r="D1033" s="19">
        <v>521.58000000000004</v>
      </c>
      <c r="F1033" s="3" t="str">
        <f t="shared" si="16"/>
        <v>C5009</v>
      </c>
    </row>
    <row r="1034" spans="1:6" x14ac:dyDescent="0.2">
      <c r="A1034" s="17">
        <v>0</v>
      </c>
      <c r="B1034" s="18"/>
      <c r="C1034" s="17">
        <v>0</v>
      </c>
      <c r="D1034" s="19">
        <v>0</v>
      </c>
      <c r="F1034" s="3">
        <f t="shared" si="16"/>
        <v>0</v>
      </c>
    </row>
    <row r="1035" spans="1:6" ht="33.75" x14ac:dyDescent="0.2">
      <c r="A1035" s="17" t="s">
        <v>7765</v>
      </c>
      <c r="B1035" s="18" t="s">
        <v>7766</v>
      </c>
      <c r="C1035" s="17" t="s">
        <v>0</v>
      </c>
      <c r="D1035" s="19">
        <v>653.64</v>
      </c>
      <c r="F1035" s="3" t="str">
        <f t="shared" si="16"/>
        <v>C5008</v>
      </c>
    </row>
    <row r="1036" spans="1:6" x14ac:dyDescent="0.2">
      <c r="A1036" s="17">
        <v>0</v>
      </c>
      <c r="B1036" s="18"/>
      <c r="C1036" s="17">
        <v>0</v>
      </c>
      <c r="D1036" s="19">
        <v>0</v>
      </c>
      <c r="F1036" s="3">
        <f t="shared" si="16"/>
        <v>0</v>
      </c>
    </row>
    <row r="1037" spans="1:6" ht="22.5" x14ac:dyDescent="0.2">
      <c r="A1037" s="17" t="s">
        <v>7767</v>
      </c>
      <c r="B1037" s="18" t="s">
        <v>7768</v>
      </c>
      <c r="C1037" s="17" t="s">
        <v>0</v>
      </c>
      <c r="D1037" s="19">
        <v>779.93</v>
      </c>
      <c r="F1037" s="3" t="str">
        <f t="shared" si="16"/>
        <v>C5007</v>
      </c>
    </row>
    <row r="1038" spans="1:6" x14ac:dyDescent="0.2">
      <c r="A1038" s="17">
        <v>0</v>
      </c>
      <c r="B1038" s="18"/>
      <c r="C1038" s="17">
        <v>0</v>
      </c>
      <c r="D1038" s="19">
        <v>0</v>
      </c>
      <c r="F1038" s="3">
        <f t="shared" si="16"/>
        <v>0</v>
      </c>
    </row>
    <row r="1039" spans="1:6" ht="33.75" x14ac:dyDescent="0.2">
      <c r="A1039" s="17" t="s">
        <v>7769</v>
      </c>
      <c r="B1039" s="18" t="s">
        <v>7770</v>
      </c>
      <c r="C1039" s="17" t="s">
        <v>0</v>
      </c>
      <c r="D1039" s="19">
        <v>919.88</v>
      </c>
      <c r="F1039" s="3" t="str">
        <f t="shared" si="16"/>
        <v>C5010</v>
      </c>
    </row>
    <row r="1040" spans="1:6" x14ac:dyDescent="0.2">
      <c r="A1040" s="17">
        <v>0</v>
      </c>
      <c r="B1040" s="18"/>
      <c r="C1040" s="17">
        <v>0</v>
      </c>
      <c r="D1040" s="19">
        <v>0</v>
      </c>
      <c r="F1040" s="3">
        <f t="shared" si="16"/>
        <v>0</v>
      </c>
    </row>
    <row r="1041" spans="1:6" ht="22.5" x14ac:dyDescent="0.2">
      <c r="A1041" s="17" t="s">
        <v>7771</v>
      </c>
      <c r="B1041" s="18" t="s">
        <v>7772</v>
      </c>
      <c r="C1041" s="17" t="s">
        <v>0</v>
      </c>
      <c r="D1041" s="19">
        <v>31.67</v>
      </c>
      <c r="F1041" s="3" t="str">
        <f t="shared" si="16"/>
        <v>C4571</v>
      </c>
    </row>
    <row r="1042" spans="1:6" x14ac:dyDescent="0.2">
      <c r="A1042" s="17">
        <v>0</v>
      </c>
      <c r="B1042" s="18"/>
      <c r="C1042" s="17">
        <v>0</v>
      </c>
      <c r="D1042" s="19">
        <v>0</v>
      </c>
      <c r="F1042" s="3">
        <f t="shared" si="16"/>
        <v>0</v>
      </c>
    </row>
    <row r="1043" spans="1:6" x14ac:dyDescent="0.2">
      <c r="A1043" s="17" t="s">
        <v>7773</v>
      </c>
      <c r="B1043" s="18" t="s">
        <v>7774</v>
      </c>
      <c r="C1043" s="17" t="s">
        <v>0</v>
      </c>
      <c r="D1043" s="19">
        <v>27.73</v>
      </c>
      <c r="F1043" s="3" t="str">
        <f t="shared" si="16"/>
        <v>C1814</v>
      </c>
    </row>
    <row r="1044" spans="1:6" x14ac:dyDescent="0.2">
      <c r="A1044" s="17" t="s">
        <v>7775</v>
      </c>
      <c r="B1044" s="18" t="s">
        <v>7776</v>
      </c>
      <c r="C1044" s="17" t="s">
        <v>0</v>
      </c>
      <c r="D1044" s="19">
        <v>46.99</v>
      </c>
      <c r="F1044" s="3" t="str">
        <f t="shared" si="16"/>
        <v>C2268</v>
      </c>
    </row>
    <row r="1045" spans="1:6" x14ac:dyDescent="0.2">
      <c r="A1045" s="14" t="s">
        <v>7777</v>
      </c>
      <c r="B1045" s="15"/>
      <c r="C1045" s="14">
        <v>0</v>
      </c>
      <c r="D1045" s="16">
        <v>6250.79</v>
      </c>
      <c r="F1045" s="3" t="str">
        <f t="shared" si="16"/>
        <v>RECUPERAÇÃO ESTRUTURAL</v>
      </c>
    </row>
    <row r="1046" spans="1:6" x14ac:dyDescent="0.2">
      <c r="A1046" s="17" t="s">
        <v>2</v>
      </c>
      <c r="B1046" s="18" t="s">
        <v>7778</v>
      </c>
      <c r="C1046" s="17" t="s">
        <v>255</v>
      </c>
      <c r="D1046" s="19">
        <v>77.290000000000006</v>
      </c>
      <c r="F1046" s="3" t="str">
        <f t="shared" si="16"/>
        <v>C0005</v>
      </c>
    </row>
    <row r="1047" spans="1:6" x14ac:dyDescent="0.2">
      <c r="A1047" s="17" t="s">
        <v>7779</v>
      </c>
      <c r="B1047" s="18" t="s">
        <v>7780</v>
      </c>
      <c r="C1047" s="17" t="s">
        <v>255</v>
      </c>
      <c r="D1047" s="19">
        <v>36.92</v>
      </c>
      <c r="F1047" s="3" t="str">
        <f t="shared" si="16"/>
        <v>C0094</v>
      </c>
    </row>
    <row r="1048" spans="1:6" x14ac:dyDescent="0.2">
      <c r="A1048" s="17" t="s">
        <v>7781</v>
      </c>
      <c r="B1048" s="18" t="s">
        <v>7782</v>
      </c>
      <c r="C1048" s="17" t="s">
        <v>1284</v>
      </c>
      <c r="D1048" s="19">
        <v>133.57</v>
      </c>
      <c r="F1048" s="3" t="str">
        <f t="shared" si="16"/>
        <v>C0098</v>
      </c>
    </row>
    <row r="1049" spans="1:6" x14ac:dyDescent="0.2">
      <c r="A1049" s="17" t="s">
        <v>7783</v>
      </c>
      <c r="B1049" s="18" t="s">
        <v>7784</v>
      </c>
      <c r="C1049" s="17" t="s">
        <v>26</v>
      </c>
      <c r="D1049" s="19">
        <v>19.14</v>
      </c>
      <c r="F1049" s="3" t="str">
        <f t="shared" si="16"/>
        <v>C0809</v>
      </c>
    </row>
    <row r="1050" spans="1:6" x14ac:dyDescent="0.2">
      <c r="A1050" s="17" t="s">
        <v>7785</v>
      </c>
      <c r="B1050" s="18" t="s">
        <v>7786</v>
      </c>
      <c r="C1050" s="17" t="s">
        <v>271</v>
      </c>
      <c r="D1050" s="19">
        <v>1450.43</v>
      </c>
      <c r="F1050" s="3" t="str">
        <f t="shared" si="16"/>
        <v>C3156</v>
      </c>
    </row>
    <row r="1051" spans="1:6" x14ac:dyDescent="0.2">
      <c r="A1051" s="17" t="s">
        <v>7787</v>
      </c>
      <c r="B1051" s="18" t="s">
        <v>7788</v>
      </c>
      <c r="C1051" s="17" t="s">
        <v>255</v>
      </c>
      <c r="D1051" s="19">
        <v>36.92</v>
      </c>
      <c r="F1051" s="3" t="str">
        <f t="shared" si="16"/>
        <v>C0929</v>
      </c>
    </row>
    <row r="1052" spans="1:6" x14ac:dyDescent="0.2">
      <c r="A1052" s="17" t="s">
        <v>7789</v>
      </c>
      <c r="B1052" s="18" t="s">
        <v>7790</v>
      </c>
      <c r="C1052" s="17" t="s">
        <v>26</v>
      </c>
      <c r="D1052" s="19">
        <v>20.149999999999999</v>
      </c>
      <c r="F1052" s="3" t="str">
        <f t="shared" si="16"/>
        <v>C3083</v>
      </c>
    </row>
    <row r="1053" spans="1:6" x14ac:dyDescent="0.2">
      <c r="A1053" s="17" t="s">
        <v>7791</v>
      </c>
      <c r="B1053" s="18" t="s">
        <v>7792</v>
      </c>
      <c r="C1053" s="17" t="s">
        <v>26</v>
      </c>
      <c r="D1053" s="19">
        <v>28.63</v>
      </c>
      <c r="F1053" s="3" t="str">
        <f t="shared" si="16"/>
        <v>C3082</v>
      </c>
    </row>
    <row r="1054" spans="1:6" x14ac:dyDescent="0.2">
      <c r="A1054" s="17" t="s">
        <v>7793</v>
      </c>
      <c r="B1054" s="18" t="s">
        <v>7794</v>
      </c>
      <c r="C1054" s="17" t="s">
        <v>0</v>
      </c>
      <c r="D1054" s="19">
        <v>110.23</v>
      </c>
      <c r="F1054" s="3" t="str">
        <f t="shared" si="16"/>
        <v>C4410</v>
      </c>
    </row>
    <row r="1055" spans="1:6" x14ac:dyDescent="0.2">
      <c r="A1055" s="17" t="s">
        <v>7795</v>
      </c>
      <c r="B1055" s="18" t="s">
        <v>7796</v>
      </c>
      <c r="C1055" s="17" t="s">
        <v>0</v>
      </c>
      <c r="D1055" s="19">
        <v>12.43</v>
      </c>
      <c r="F1055" s="3" t="str">
        <f t="shared" si="16"/>
        <v>C3084</v>
      </c>
    </row>
    <row r="1056" spans="1:6" x14ac:dyDescent="0.2">
      <c r="A1056" s="17" t="s">
        <v>7797</v>
      </c>
      <c r="B1056" s="18" t="s">
        <v>7798</v>
      </c>
      <c r="C1056" s="17" t="s">
        <v>26</v>
      </c>
      <c r="D1056" s="19">
        <v>91.53</v>
      </c>
      <c r="F1056" s="3" t="str">
        <f t="shared" si="16"/>
        <v>C3467</v>
      </c>
    </row>
    <row r="1057" spans="1:6" x14ac:dyDescent="0.2">
      <c r="A1057" s="17" t="s">
        <v>7799</v>
      </c>
      <c r="B1057" s="18" t="s">
        <v>7800</v>
      </c>
      <c r="C1057" s="17" t="s">
        <v>26</v>
      </c>
      <c r="D1057" s="19">
        <v>5.51</v>
      </c>
      <c r="F1057" s="3" t="str">
        <f t="shared" si="16"/>
        <v>C2830</v>
      </c>
    </row>
    <row r="1058" spans="1:6" x14ac:dyDescent="0.2">
      <c r="A1058" s="17" t="s">
        <v>7801</v>
      </c>
      <c r="B1058" s="18" t="s">
        <v>7802</v>
      </c>
      <c r="C1058" s="17" t="s">
        <v>255</v>
      </c>
      <c r="D1058" s="19">
        <v>17.21</v>
      </c>
      <c r="F1058" s="3" t="str">
        <f t="shared" si="16"/>
        <v>C1523</v>
      </c>
    </row>
    <row r="1059" spans="1:6" x14ac:dyDescent="0.2">
      <c r="A1059" s="17" t="s">
        <v>7803</v>
      </c>
      <c r="B1059" s="18" t="s">
        <v>7804</v>
      </c>
      <c r="C1059" s="17" t="s">
        <v>255</v>
      </c>
      <c r="D1059" s="19">
        <v>14.35</v>
      </c>
      <c r="F1059" s="3" t="str">
        <f t="shared" si="16"/>
        <v>C1524</v>
      </c>
    </row>
    <row r="1060" spans="1:6" x14ac:dyDescent="0.2">
      <c r="A1060" s="17" t="s">
        <v>7805</v>
      </c>
      <c r="B1060" s="18" t="s">
        <v>7806</v>
      </c>
      <c r="C1060" s="17" t="s">
        <v>255</v>
      </c>
      <c r="D1060" s="19">
        <v>90.81</v>
      </c>
      <c r="F1060" s="3" t="str">
        <f t="shared" si="16"/>
        <v>C3091</v>
      </c>
    </row>
    <row r="1061" spans="1:6" x14ac:dyDescent="0.2">
      <c r="A1061" s="17" t="s">
        <v>7807</v>
      </c>
      <c r="B1061" s="18" t="s">
        <v>7808</v>
      </c>
      <c r="C1061" s="17" t="s">
        <v>255</v>
      </c>
      <c r="D1061" s="19">
        <v>7.38</v>
      </c>
      <c r="F1061" s="3" t="str">
        <f t="shared" si="16"/>
        <v>C3095</v>
      </c>
    </row>
    <row r="1062" spans="1:6" x14ac:dyDescent="0.2">
      <c r="A1062" s="17" t="s">
        <v>7809</v>
      </c>
      <c r="B1062" s="18" t="s">
        <v>7810</v>
      </c>
      <c r="C1062" s="17" t="s">
        <v>255</v>
      </c>
      <c r="D1062" s="19">
        <v>25.17</v>
      </c>
      <c r="F1062" s="3" t="str">
        <f t="shared" si="16"/>
        <v>C2900</v>
      </c>
    </row>
    <row r="1063" spans="1:6" x14ac:dyDescent="0.2">
      <c r="A1063" s="17" t="s">
        <v>7811</v>
      </c>
      <c r="B1063" s="18" t="s">
        <v>7812</v>
      </c>
      <c r="C1063" s="17" t="s">
        <v>255</v>
      </c>
      <c r="D1063" s="19">
        <v>550.23</v>
      </c>
      <c r="F1063" s="3" t="str">
        <f t="shared" si="16"/>
        <v>C4738</v>
      </c>
    </row>
    <row r="1064" spans="1:6" ht="22.5" x14ac:dyDescent="0.2">
      <c r="A1064" s="17" t="s">
        <v>7813</v>
      </c>
      <c r="B1064" s="18" t="s">
        <v>7814</v>
      </c>
      <c r="C1064" s="17" t="s">
        <v>255</v>
      </c>
      <c r="D1064" s="19">
        <v>1954.76</v>
      </c>
      <c r="F1064" s="3" t="str">
        <f t="shared" si="16"/>
        <v>C4737</v>
      </c>
    </row>
    <row r="1065" spans="1:6" x14ac:dyDescent="0.2">
      <c r="A1065" s="17">
        <v>0</v>
      </c>
      <c r="B1065" s="18"/>
      <c r="C1065" s="17">
        <v>0</v>
      </c>
      <c r="D1065" s="19">
        <v>0</v>
      </c>
      <c r="F1065" s="3">
        <f t="shared" si="16"/>
        <v>0</v>
      </c>
    </row>
    <row r="1066" spans="1:6" x14ac:dyDescent="0.2">
      <c r="A1066" s="17" t="s">
        <v>7815</v>
      </c>
      <c r="B1066" s="18" t="s">
        <v>7816</v>
      </c>
      <c r="C1066" s="17" t="s">
        <v>255</v>
      </c>
      <c r="D1066" s="19">
        <v>457.06</v>
      </c>
      <c r="F1066" s="3" t="str">
        <f t="shared" si="16"/>
        <v>C4739</v>
      </c>
    </row>
    <row r="1067" spans="1:6" x14ac:dyDescent="0.2">
      <c r="A1067" s="17" t="s">
        <v>7817</v>
      </c>
      <c r="B1067" s="18" t="s">
        <v>7818</v>
      </c>
      <c r="C1067" s="17" t="s">
        <v>255</v>
      </c>
      <c r="D1067" s="19">
        <v>333.84</v>
      </c>
      <c r="F1067" s="3" t="str">
        <f t="shared" si="16"/>
        <v>C4740</v>
      </c>
    </row>
    <row r="1068" spans="1:6" x14ac:dyDescent="0.2">
      <c r="A1068" s="17">
        <v>0</v>
      </c>
      <c r="B1068" s="18"/>
      <c r="C1068" s="17">
        <v>0</v>
      </c>
      <c r="D1068" s="19">
        <v>0</v>
      </c>
      <c r="F1068" s="3">
        <f t="shared" si="16"/>
        <v>0</v>
      </c>
    </row>
    <row r="1069" spans="1:6" x14ac:dyDescent="0.2">
      <c r="A1069" s="17" t="s">
        <v>7819</v>
      </c>
      <c r="B1069" s="18" t="s">
        <v>7820</v>
      </c>
      <c r="C1069" s="17" t="s">
        <v>255</v>
      </c>
      <c r="D1069" s="19">
        <v>272.08999999999997</v>
      </c>
      <c r="F1069" s="3" t="str">
        <f t="shared" si="16"/>
        <v>C4741</v>
      </c>
    </row>
    <row r="1070" spans="1:6" x14ac:dyDescent="0.2">
      <c r="A1070" s="17" t="s">
        <v>7821</v>
      </c>
      <c r="B1070" s="18" t="s">
        <v>7822</v>
      </c>
      <c r="C1070" s="17" t="s">
        <v>0</v>
      </c>
      <c r="D1070" s="19">
        <v>324.39</v>
      </c>
      <c r="F1070" s="3" t="str">
        <f t="shared" si="16"/>
        <v>C3102</v>
      </c>
    </row>
    <row r="1071" spans="1:6" x14ac:dyDescent="0.2">
      <c r="A1071" s="17" t="s">
        <v>7823</v>
      </c>
      <c r="B1071" s="18" t="s">
        <v>7824</v>
      </c>
      <c r="C1071" s="17" t="s">
        <v>1284</v>
      </c>
      <c r="D1071" s="19">
        <v>23.24</v>
      </c>
      <c r="F1071" s="3" t="str">
        <f t="shared" si="16"/>
        <v>C3106</v>
      </c>
    </row>
    <row r="1072" spans="1:6" x14ac:dyDescent="0.2">
      <c r="A1072" s="17">
        <v>0</v>
      </c>
      <c r="B1072" s="18"/>
      <c r="C1072" s="17">
        <v>0</v>
      </c>
      <c r="D1072" s="19">
        <v>0</v>
      </c>
      <c r="F1072" s="3">
        <f t="shared" si="16"/>
        <v>0</v>
      </c>
    </row>
    <row r="1073" spans="1:6" x14ac:dyDescent="0.2">
      <c r="A1073" s="17" t="s">
        <v>7825</v>
      </c>
      <c r="B1073" s="18" t="s">
        <v>7826</v>
      </c>
      <c r="C1073" s="17" t="s">
        <v>1284</v>
      </c>
      <c r="D1073" s="19">
        <v>157.52000000000001</v>
      </c>
      <c r="F1073" s="3" t="str">
        <f t="shared" si="16"/>
        <v>C3114</v>
      </c>
    </row>
    <row r="1074" spans="1:6" x14ac:dyDescent="0.2">
      <c r="A1074" s="14" t="s">
        <v>7827</v>
      </c>
      <c r="B1074" s="15"/>
      <c r="C1074" s="14">
        <v>0</v>
      </c>
      <c r="D1074" s="16">
        <v>87.17</v>
      </c>
      <c r="F1074" s="3" t="str">
        <f t="shared" si="16"/>
        <v>RASGO EM CONCRETO  PARA TUBULAÇÕES</v>
      </c>
    </row>
    <row r="1075" spans="1:6" x14ac:dyDescent="0.2">
      <c r="A1075" s="17" t="s">
        <v>7828</v>
      </c>
      <c r="B1075" s="18" t="s">
        <v>7829</v>
      </c>
      <c r="C1075" s="17" t="s">
        <v>0</v>
      </c>
      <c r="D1075" s="19">
        <v>18.29</v>
      </c>
      <c r="F1075" s="3" t="str">
        <f t="shared" si="16"/>
        <v>C2098</v>
      </c>
    </row>
    <row r="1076" spans="1:6" x14ac:dyDescent="0.2">
      <c r="A1076" s="17" t="s">
        <v>7830</v>
      </c>
      <c r="B1076" s="18" t="s">
        <v>7831</v>
      </c>
      <c r="C1076" s="17" t="s">
        <v>0</v>
      </c>
      <c r="D1076" s="19">
        <v>28.49</v>
      </c>
      <c r="F1076" s="3" t="str">
        <f t="shared" si="16"/>
        <v>C2099</v>
      </c>
    </row>
    <row r="1077" spans="1:6" x14ac:dyDescent="0.2">
      <c r="A1077" s="17" t="s">
        <v>7832</v>
      </c>
      <c r="B1077" s="18" t="s">
        <v>7833</v>
      </c>
      <c r="C1077" s="17" t="s">
        <v>0</v>
      </c>
      <c r="D1077" s="19">
        <v>40.39</v>
      </c>
      <c r="F1077" s="3" t="str">
        <f t="shared" si="16"/>
        <v>C2100</v>
      </c>
    </row>
    <row r="1078" spans="1:6" x14ac:dyDescent="0.2">
      <c r="A1078" s="14" t="s">
        <v>7834</v>
      </c>
      <c r="B1078" s="15"/>
      <c r="C1078" s="14">
        <v>0</v>
      </c>
      <c r="D1078" s="16">
        <v>5453.89</v>
      </c>
      <c r="F1078" s="3" t="str">
        <f t="shared" si="16"/>
        <v>OUTROS ELEMENTOS</v>
      </c>
    </row>
    <row r="1079" spans="1:6" x14ac:dyDescent="0.2">
      <c r="A1079" s="17" t="s">
        <v>7835</v>
      </c>
      <c r="B1079" s="18" t="s">
        <v>7836</v>
      </c>
      <c r="C1079" s="17" t="s">
        <v>1284</v>
      </c>
      <c r="D1079" s="19">
        <v>62.85</v>
      </c>
      <c r="F1079" s="3" t="str">
        <f t="shared" si="16"/>
        <v>C0090</v>
      </c>
    </row>
    <row r="1080" spans="1:6" x14ac:dyDescent="0.2">
      <c r="A1080" s="17" t="s">
        <v>7837</v>
      </c>
      <c r="B1080" s="18" t="s">
        <v>7838</v>
      </c>
      <c r="C1080" s="17" t="s">
        <v>271</v>
      </c>
      <c r="D1080" s="19">
        <v>963.72</v>
      </c>
      <c r="F1080" s="3" t="str">
        <f t="shared" si="16"/>
        <v>C3402</v>
      </c>
    </row>
    <row r="1081" spans="1:6" x14ac:dyDescent="0.2">
      <c r="A1081" s="17" t="s">
        <v>7839</v>
      </c>
      <c r="B1081" s="18" t="s">
        <v>7840</v>
      </c>
      <c r="C1081" s="17" t="s">
        <v>271</v>
      </c>
      <c r="D1081" s="19">
        <v>780.13</v>
      </c>
      <c r="F1081" s="3" t="str">
        <f t="shared" si="16"/>
        <v>C3403</v>
      </c>
    </row>
    <row r="1082" spans="1:6" x14ac:dyDescent="0.2">
      <c r="A1082" s="17" t="s">
        <v>7841</v>
      </c>
      <c r="B1082" s="18" t="s">
        <v>7842</v>
      </c>
      <c r="C1082" s="17" t="s">
        <v>271</v>
      </c>
      <c r="D1082" s="19">
        <v>1767.97</v>
      </c>
      <c r="F1082" s="3" t="str">
        <f t="shared" si="16"/>
        <v>C3404</v>
      </c>
    </row>
    <row r="1083" spans="1:6" x14ac:dyDescent="0.2">
      <c r="A1083" s="17" t="s">
        <v>7843</v>
      </c>
      <c r="B1083" s="18" t="s">
        <v>7844</v>
      </c>
      <c r="C1083" s="17" t="s">
        <v>271</v>
      </c>
      <c r="D1083" s="19">
        <v>450.29</v>
      </c>
      <c r="F1083" s="3" t="str">
        <f t="shared" si="16"/>
        <v>C4098</v>
      </c>
    </row>
    <row r="1084" spans="1:6" x14ac:dyDescent="0.2">
      <c r="A1084" s="17" t="s">
        <v>7845</v>
      </c>
      <c r="B1084" s="18" t="s">
        <v>7846</v>
      </c>
      <c r="C1084" s="17" t="s">
        <v>0</v>
      </c>
      <c r="D1084" s="19">
        <v>294.7</v>
      </c>
      <c r="F1084" s="3" t="str">
        <f t="shared" si="16"/>
        <v>C4379</v>
      </c>
    </row>
    <row r="1085" spans="1:6" x14ac:dyDescent="0.2">
      <c r="A1085" s="17" t="s">
        <v>7847</v>
      </c>
      <c r="B1085" s="18" t="s">
        <v>7848</v>
      </c>
      <c r="C1085" s="17" t="s">
        <v>26</v>
      </c>
      <c r="D1085" s="19">
        <v>51.92</v>
      </c>
      <c r="F1085" s="3" t="str">
        <f t="shared" si="16"/>
        <v>C3068</v>
      </c>
    </row>
    <row r="1086" spans="1:6" x14ac:dyDescent="0.2">
      <c r="A1086" s="17" t="s">
        <v>7849</v>
      </c>
      <c r="B1086" s="18" t="s">
        <v>7850</v>
      </c>
      <c r="C1086" s="17" t="s">
        <v>0</v>
      </c>
      <c r="D1086" s="19">
        <v>174.08</v>
      </c>
      <c r="F1086" s="3" t="str">
        <f t="shared" si="16"/>
        <v>C4297</v>
      </c>
    </row>
    <row r="1087" spans="1:6" x14ac:dyDescent="0.2">
      <c r="A1087" s="17" t="s">
        <v>7851</v>
      </c>
      <c r="B1087" s="18" t="s">
        <v>7852</v>
      </c>
      <c r="C1087" s="17" t="s">
        <v>26</v>
      </c>
      <c r="D1087" s="19">
        <v>58.88</v>
      </c>
      <c r="F1087" s="3" t="str">
        <f t="shared" si="16"/>
        <v>C3069</v>
      </c>
    </row>
    <row r="1088" spans="1:6" x14ac:dyDescent="0.2">
      <c r="A1088" s="17" t="s">
        <v>7853</v>
      </c>
      <c r="B1088" s="18" t="s">
        <v>7854</v>
      </c>
      <c r="C1088" s="17" t="s">
        <v>0</v>
      </c>
      <c r="D1088" s="19">
        <v>148.08000000000001</v>
      </c>
      <c r="F1088" s="3" t="str">
        <f t="shared" si="16"/>
        <v>C4326</v>
      </c>
    </row>
    <row r="1089" spans="1:6" x14ac:dyDescent="0.2">
      <c r="A1089" s="17" t="s">
        <v>7855</v>
      </c>
      <c r="B1089" s="18" t="s">
        <v>7856</v>
      </c>
      <c r="C1089" s="17" t="s">
        <v>1284</v>
      </c>
      <c r="D1089" s="19">
        <v>36.75</v>
      </c>
      <c r="F1089" s="3" t="str">
        <f t="shared" si="16"/>
        <v>C3088</v>
      </c>
    </row>
    <row r="1090" spans="1:6" x14ac:dyDescent="0.2">
      <c r="A1090" s="17" t="s">
        <v>7857</v>
      </c>
      <c r="B1090" s="18" t="s">
        <v>7858</v>
      </c>
      <c r="C1090" s="17" t="s">
        <v>7859</v>
      </c>
      <c r="D1090" s="19">
        <v>23.43</v>
      </c>
      <c r="F1090" s="3" t="str">
        <f t="shared" ref="F1090:F1153" si="17">A1090</f>
        <v>C2829</v>
      </c>
    </row>
    <row r="1091" spans="1:6" x14ac:dyDescent="0.2">
      <c r="A1091" s="17" t="s">
        <v>7860</v>
      </c>
      <c r="B1091" s="18" t="s">
        <v>7861</v>
      </c>
      <c r="C1091" s="17" t="s">
        <v>0</v>
      </c>
      <c r="D1091" s="19">
        <v>424.45</v>
      </c>
      <c r="F1091" s="3" t="str">
        <f t="shared" si="17"/>
        <v>C3089</v>
      </c>
    </row>
    <row r="1092" spans="1:6" x14ac:dyDescent="0.2">
      <c r="A1092" s="17" t="s">
        <v>7862</v>
      </c>
      <c r="B1092" s="18" t="s">
        <v>7863</v>
      </c>
      <c r="C1092" s="17" t="s">
        <v>0</v>
      </c>
      <c r="D1092" s="19">
        <v>216.64</v>
      </c>
      <c r="F1092" s="3" t="str">
        <f t="shared" si="17"/>
        <v>C1094</v>
      </c>
    </row>
    <row r="1093" spans="1:6" x14ac:dyDescent="0.2">
      <c r="A1093" s="14" t="s">
        <v>7864</v>
      </c>
      <c r="B1093" s="15"/>
      <c r="C1093" s="14">
        <v>0</v>
      </c>
      <c r="D1093" s="16">
        <v>11503.88</v>
      </c>
      <c r="F1093" s="3" t="str">
        <f t="shared" si="17"/>
        <v>CONTENÇÕES</v>
      </c>
    </row>
    <row r="1094" spans="1:6" x14ac:dyDescent="0.2">
      <c r="A1094" s="14" t="s">
        <v>7865</v>
      </c>
      <c r="B1094" s="15"/>
      <c r="C1094" s="14">
        <v>0</v>
      </c>
      <c r="D1094" s="16">
        <v>644.09</v>
      </c>
      <c r="F1094" s="3" t="str">
        <f t="shared" si="17"/>
        <v>ENROCAMENTO E PROTEÇÃO DE TALUDES</v>
      </c>
    </row>
    <row r="1095" spans="1:6" x14ac:dyDescent="0.2">
      <c r="A1095" s="17" t="s">
        <v>7866</v>
      </c>
      <c r="B1095" s="18" t="s">
        <v>7867</v>
      </c>
      <c r="C1095" s="17" t="s">
        <v>271</v>
      </c>
      <c r="D1095" s="19">
        <v>117.24</v>
      </c>
      <c r="F1095" s="3" t="str">
        <f t="shared" si="17"/>
        <v>C3077</v>
      </c>
    </row>
    <row r="1096" spans="1:6" x14ac:dyDescent="0.2">
      <c r="A1096" s="17" t="s">
        <v>7868</v>
      </c>
      <c r="B1096" s="18" t="s">
        <v>7869</v>
      </c>
      <c r="C1096" s="17" t="s">
        <v>271</v>
      </c>
      <c r="D1096" s="19">
        <v>200.55</v>
      </c>
      <c r="F1096" s="3" t="str">
        <f t="shared" si="17"/>
        <v>C2764</v>
      </c>
    </row>
    <row r="1097" spans="1:6" x14ac:dyDescent="0.2">
      <c r="A1097" s="17" t="s">
        <v>7870</v>
      </c>
      <c r="B1097" s="18" t="s">
        <v>7871</v>
      </c>
      <c r="C1097" s="17" t="s">
        <v>271</v>
      </c>
      <c r="D1097" s="19">
        <v>179.24</v>
      </c>
      <c r="F1097" s="3" t="str">
        <f t="shared" si="17"/>
        <v>C2765</v>
      </c>
    </row>
    <row r="1098" spans="1:6" x14ac:dyDescent="0.2">
      <c r="A1098" s="17" t="s">
        <v>7872</v>
      </c>
      <c r="B1098" s="18" t="s">
        <v>7873</v>
      </c>
      <c r="C1098" s="17" t="s">
        <v>271</v>
      </c>
      <c r="D1098" s="19">
        <v>98.06</v>
      </c>
      <c r="F1098" s="3" t="str">
        <f t="shared" si="17"/>
        <v>C3078</v>
      </c>
    </row>
    <row r="1099" spans="1:6" x14ac:dyDescent="0.2">
      <c r="A1099" s="17" t="s">
        <v>7874</v>
      </c>
      <c r="B1099" s="18" t="s">
        <v>7875</v>
      </c>
      <c r="C1099" s="17" t="s">
        <v>271</v>
      </c>
      <c r="D1099" s="19">
        <v>49</v>
      </c>
      <c r="F1099" s="3" t="str">
        <f t="shared" si="17"/>
        <v>C3079</v>
      </c>
    </row>
    <row r="1100" spans="1:6" x14ac:dyDescent="0.2">
      <c r="A1100" s="14" t="s">
        <v>7876</v>
      </c>
      <c r="B1100" s="15"/>
      <c r="C1100" s="14">
        <v>0</v>
      </c>
      <c r="D1100" s="16">
        <v>734.24</v>
      </c>
      <c r="F1100" s="3" t="str">
        <f t="shared" si="17"/>
        <v>ENSECADEIRAS</v>
      </c>
    </row>
    <row r="1101" spans="1:6" x14ac:dyDescent="0.2">
      <c r="A1101" s="17" t="s">
        <v>7877</v>
      </c>
      <c r="B1101" s="18" t="s">
        <v>7878</v>
      </c>
      <c r="C1101" s="17" t="s">
        <v>271</v>
      </c>
      <c r="D1101" s="19">
        <v>103.68</v>
      </c>
      <c r="F1101" s="3" t="str">
        <f t="shared" si="17"/>
        <v>C2767</v>
      </c>
    </row>
    <row r="1102" spans="1:6" x14ac:dyDescent="0.2">
      <c r="A1102" s="17" t="s">
        <v>7879</v>
      </c>
      <c r="B1102" s="18" t="s">
        <v>7880</v>
      </c>
      <c r="C1102" s="17" t="s">
        <v>255</v>
      </c>
      <c r="D1102" s="19">
        <v>180.42</v>
      </c>
      <c r="F1102" s="3" t="str">
        <f t="shared" si="17"/>
        <v>C1244</v>
      </c>
    </row>
    <row r="1103" spans="1:6" x14ac:dyDescent="0.2">
      <c r="A1103" s="17" t="s">
        <v>7881</v>
      </c>
      <c r="B1103" s="18" t="s">
        <v>7882</v>
      </c>
      <c r="C1103" s="17" t="s">
        <v>255</v>
      </c>
      <c r="D1103" s="19">
        <v>450.14</v>
      </c>
      <c r="F1103" s="3" t="str">
        <f t="shared" si="17"/>
        <v>C1243</v>
      </c>
    </row>
    <row r="1104" spans="1:6" x14ac:dyDescent="0.2">
      <c r="A1104" s="14" t="s">
        <v>7883</v>
      </c>
      <c r="B1104" s="15"/>
      <c r="C1104" s="14">
        <v>0</v>
      </c>
      <c r="D1104" s="16">
        <v>6729.92</v>
      </c>
      <c r="F1104" s="3" t="str">
        <f t="shared" si="17"/>
        <v>MURO DE ARRIMO</v>
      </c>
    </row>
    <row r="1105" spans="1:6" x14ac:dyDescent="0.2">
      <c r="A1105" s="17" t="s">
        <v>7884</v>
      </c>
      <c r="B1105" s="18" t="s">
        <v>7885</v>
      </c>
      <c r="C1105" s="17" t="s">
        <v>255</v>
      </c>
      <c r="D1105" s="19">
        <v>334.47</v>
      </c>
      <c r="F1105" s="3" t="str">
        <f t="shared" si="17"/>
        <v>C1808</v>
      </c>
    </row>
    <row r="1106" spans="1:6" x14ac:dyDescent="0.2">
      <c r="A1106" s="17" t="s">
        <v>7886</v>
      </c>
      <c r="B1106" s="18" t="s">
        <v>7887</v>
      </c>
      <c r="C1106" s="17" t="s">
        <v>255</v>
      </c>
      <c r="D1106" s="19">
        <v>505.76</v>
      </c>
      <c r="F1106" s="3" t="str">
        <f t="shared" si="17"/>
        <v>C1809</v>
      </c>
    </row>
    <row r="1107" spans="1:6" x14ac:dyDescent="0.2">
      <c r="A1107" s="17">
        <v>0</v>
      </c>
      <c r="B1107" s="18"/>
      <c r="C1107" s="17">
        <v>0</v>
      </c>
      <c r="D1107" s="19">
        <v>0</v>
      </c>
      <c r="F1107" s="3">
        <f t="shared" si="17"/>
        <v>0</v>
      </c>
    </row>
    <row r="1108" spans="1:6" x14ac:dyDescent="0.2">
      <c r="A1108" s="17" t="s">
        <v>7888</v>
      </c>
      <c r="B1108" s="18" t="s">
        <v>7889</v>
      </c>
      <c r="C1108" s="17" t="s">
        <v>0</v>
      </c>
      <c r="D1108" s="19">
        <v>1661.48</v>
      </c>
      <c r="F1108" s="3" t="str">
        <f t="shared" si="17"/>
        <v>C1810</v>
      </c>
    </row>
    <row r="1109" spans="1:6" x14ac:dyDescent="0.2">
      <c r="A1109" s="17" t="s">
        <v>7890</v>
      </c>
      <c r="B1109" s="18" t="s">
        <v>7891</v>
      </c>
      <c r="C1109" s="17" t="s">
        <v>0</v>
      </c>
      <c r="D1109" s="19">
        <v>4228.21</v>
      </c>
      <c r="F1109" s="3" t="str">
        <f t="shared" si="17"/>
        <v>C1811</v>
      </c>
    </row>
    <row r="1110" spans="1:6" x14ac:dyDescent="0.2">
      <c r="A1110" s="14" t="s">
        <v>7892</v>
      </c>
      <c r="B1110" s="15"/>
      <c r="C1110" s="14">
        <v>0</v>
      </c>
      <c r="D1110" s="16">
        <v>3395.63</v>
      </c>
      <c r="F1110" s="3" t="str">
        <f t="shared" si="17"/>
        <v>GABIÕES</v>
      </c>
    </row>
    <row r="1111" spans="1:6" x14ac:dyDescent="0.2">
      <c r="A1111" s="17" t="s">
        <v>7893</v>
      </c>
      <c r="B1111" s="18" t="s">
        <v>7894</v>
      </c>
      <c r="C1111" s="17" t="s">
        <v>271</v>
      </c>
      <c r="D1111" s="19">
        <v>209.78</v>
      </c>
      <c r="F1111" s="3" t="str">
        <f t="shared" si="17"/>
        <v>C2763</v>
      </c>
    </row>
    <row r="1112" spans="1:6" x14ac:dyDescent="0.2">
      <c r="A1112" s="17" t="s">
        <v>7895</v>
      </c>
      <c r="B1112" s="18" t="s">
        <v>7896</v>
      </c>
      <c r="C1112" s="17" t="s">
        <v>0</v>
      </c>
      <c r="D1112" s="19">
        <v>1228.07</v>
      </c>
      <c r="F1112" s="3" t="str">
        <f t="shared" si="17"/>
        <v>C1317</v>
      </c>
    </row>
    <row r="1113" spans="1:6" x14ac:dyDescent="0.2">
      <c r="A1113" s="17" t="s">
        <v>7897</v>
      </c>
      <c r="B1113" s="18" t="s">
        <v>7898</v>
      </c>
      <c r="C1113" s="17" t="s">
        <v>255</v>
      </c>
      <c r="D1113" s="19">
        <v>238.15</v>
      </c>
      <c r="F1113" s="3" t="str">
        <f t="shared" si="17"/>
        <v>C1422</v>
      </c>
    </row>
    <row r="1114" spans="1:6" x14ac:dyDescent="0.2">
      <c r="A1114" s="17" t="s">
        <v>7899</v>
      </c>
      <c r="B1114" s="18" t="s">
        <v>7900</v>
      </c>
      <c r="C1114" s="17" t="s">
        <v>271</v>
      </c>
      <c r="D1114" s="19">
        <v>650.26</v>
      </c>
      <c r="F1114" s="3" t="str">
        <f t="shared" si="17"/>
        <v>C1420</v>
      </c>
    </row>
    <row r="1115" spans="1:6" x14ac:dyDescent="0.2">
      <c r="A1115" s="17" t="s">
        <v>7901</v>
      </c>
      <c r="B1115" s="18" t="s">
        <v>7902</v>
      </c>
      <c r="C1115" s="17" t="s">
        <v>271</v>
      </c>
      <c r="D1115" s="19">
        <v>372.24</v>
      </c>
      <c r="F1115" s="3" t="str">
        <f t="shared" si="17"/>
        <v>C2834</v>
      </c>
    </row>
    <row r="1116" spans="1:6" x14ac:dyDescent="0.2">
      <c r="A1116" s="17" t="s">
        <v>7903</v>
      </c>
      <c r="B1116" s="18" t="s">
        <v>7904</v>
      </c>
      <c r="C1116" s="17" t="s">
        <v>271</v>
      </c>
      <c r="D1116" s="19">
        <v>362.92</v>
      </c>
      <c r="F1116" s="3" t="str">
        <f t="shared" si="17"/>
        <v>C2835</v>
      </c>
    </row>
    <row r="1117" spans="1:6" x14ac:dyDescent="0.2">
      <c r="A1117" s="17" t="s">
        <v>7905</v>
      </c>
      <c r="B1117" s="18" t="s">
        <v>7906</v>
      </c>
      <c r="C1117" s="17" t="s">
        <v>255</v>
      </c>
      <c r="D1117" s="19">
        <v>103.12</v>
      </c>
      <c r="F1117" s="3" t="str">
        <f t="shared" si="17"/>
        <v>C2836</v>
      </c>
    </row>
    <row r="1118" spans="1:6" x14ac:dyDescent="0.2">
      <c r="A1118" s="17" t="s">
        <v>7907</v>
      </c>
      <c r="B1118" s="18" t="s">
        <v>7908</v>
      </c>
      <c r="C1118" s="17" t="s">
        <v>255</v>
      </c>
      <c r="D1118" s="19">
        <v>110.7</v>
      </c>
      <c r="F1118" s="3" t="str">
        <f t="shared" si="17"/>
        <v>C2837</v>
      </c>
    </row>
    <row r="1119" spans="1:6" x14ac:dyDescent="0.2">
      <c r="A1119" s="17" t="s">
        <v>7909</v>
      </c>
      <c r="B1119" s="18" t="s">
        <v>7910</v>
      </c>
      <c r="C1119" s="17" t="s">
        <v>255</v>
      </c>
      <c r="D1119" s="19">
        <v>120.39</v>
      </c>
      <c r="F1119" s="3" t="str">
        <f t="shared" si="17"/>
        <v>C2838</v>
      </c>
    </row>
    <row r="1120" spans="1:6" x14ac:dyDescent="0.2">
      <c r="A1120" s="14" t="s">
        <v>7911</v>
      </c>
      <c r="B1120" s="15"/>
      <c r="C1120" s="14">
        <v>0</v>
      </c>
      <c r="D1120" s="16">
        <v>26634.5</v>
      </c>
      <c r="F1120" s="3" t="str">
        <f t="shared" si="17"/>
        <v>PAREDES E PAINÉIS</v>
      </c>
    </row>
    <row r="1121" spans="1:6" x14ac:dyDescent="0.2">
      <c r="A1121" s="14" t="s">
        <v>7912</v>
      </c>
      <c r="B1121" s="15"/>
      <c r="C1121" s="14">
        <v>0</v>
      </c>
      <c r="D1121" s="16">
        <v>3600.75</v>
      </c>
      <c r="F1121" s="3" t="str">
        <f t="shared" si="17"/>
        <v>ALVENARIA DE ELEVAÇÃO</v>
      </c>
    </row>
    <row r="1122" spans="1:6" ht="22.5" x14ac:dyDescent="0.2">
      <c r="A1122" s="17" t="s">
        <v>7913</v>
      </c>
      <c r="B1122" s="18" t="s">
        <v>7914</v>
      </c>
      <c r="C1122" s="17" t="s">
        <v>255</v>
      </c>
      <c r="D1122" s="19">
        <v>36.85</v>
      </c>
      <c r="F1122" s="3" t="str">
        <f t="shared" si="17"/>
        <v>C0047</v>
      </c>
    </row>
    <row r="1123" spans="1:6" x14ac:dyDescent="0.2">
      <c r="A1123" s="17">
        <v>0</v>
      </c>
      <c r="B1123" s="18"/>
      <c r="C1123" s="17">
        <v>0</v>
      </c>
      <c r="D1123" s="19">
        <v>0</v>
      </c>
      <c r="F1123" s="3">
        <f t="shared" si="17"/>
        <v>0</v>
      </c>
    </row>
    <row r="1124" spans="1:6" ht="22.5" x14ac:dyDescent="0.2">
      <c r="A1124" s="17" t="s">
        <v>7915</v>
      </c>
      <c r="B1124" s="18" t="s">
        <v>7916</v>
      </c>
      <c r="C1124" s="17" t="s">
        <v>255</v>
      </c>
      <c r="D1124" s="19">
        <v>72</v>
      </c>
      <c r="F1124" s="3" t="str">
        <f t="shared" si="17"/>
        <v>C0046</v>
      </c>
    </row>
    <row r="1125" spans="1:6" x14ac:dyDescent="0.2">
      <c r="A1125" s="17">
        <v>0</v>
      </c>
      <c r="B1125" s="18"/>
      <c r="C1125" s="17">
        <v>0</v>
      </c>
      <c r="D1125" s="19">
        <v>0</v>
      </c>
      <c r="F1125" s="3">
        <f t="shared" si="17"/>
        <v>0</v>
      </c>
    </row>
    <row r="1126" spans="1:6" ht="22.5" x14ac:dyDescent="0.2">
      <c r="A1126" s="17" t="s">
        <v>7917</v>
      </c>
      <c r="B1126" s="18" t="s">
        <v>7918</v>
      </c>
      <c r="C1126" s="17" t="s">
        <v>255</v>
      </c>
      <c r="D1126" s="19">
        <v>97.29</v>
      </c>
      <c r="F1126" s="3" t="str">
        <f t="shared" si="17"/>
        <v>C3612</v>
      </c>
    </row>
    <row r="1127" spans="1:6" x14ac:dyDescent="0.2">
      <c r="A1127" s="17">
        <v>0</v>
      </c>
      <c r="B1127" s="18"/>
      <c r="C1127" s="17">
        <v>0</v>
      </c>
      <c r="D1127" s="19">
        <v>0</v>
      </c>
      <c r="F1127" s="3">
        <f t="shared" si="17"/>
        <v>0</v>
      </c>
    </row>
    <row r="1128" spans="1:6" ht="45" x14ac:dyDescent="0.2">
      <c r="A1128" s="17" t="s">
        <v>7919</v>
      </c>
      <c r="B1128" s="18" t="s">
        <v>7920</v>
      </c>
      <c r="C1128" s="17" t="s">
        <v>255</v>
      </c>
      <c r="D1128" s="19">
        <v>124.13</v>
      </c>
      <c r="F1128" s="3" t="str">
        <f t="shared" si="17"/>
        <v>C3613</v>
      </c>
    </row>
    <row r="1129" spans="1:6" x14ac:dyDescent="0.2">
      <c r="A1129" s="17">
        <v>0</v>
      </c>
      <c r="B1129" s="18"/>
      <c r="C1129" s="17">
        <v>0</v>
      </c>
      <c r="D1129" s="19">
        <v>0</v>
      </c>
      <c r="F1129" s="3">
        <f t="shared" si="17"/>
        <v>0</v>
      </c>
    </row>
    <row r="1130" spans="1:6" ht="22.5" x14ac:dyDescent="0.2">
      <c r="A1130" s="17" t="s">
        <v>7921</v>
      </c>
      <c r="B1130" s="18" t="s">
        <v>7922</v>
      </c>
      <c r="C1130" s="17" t="s">
        <v>255</v>
      </c>
      <c r="D1130" s="19">
        <v>64.53</v>
      </c>
      <c r="F1130" s="3" t="str">
        <f t="shared" si="17"/>
        <v>C3743</v>
      </c>
    </row>
    <row r="1131" spans="1:6" x14ac:dyDescent="0.2">
      <c r="A1131" s="17">
        <v>0</v>
      </c>
      <c r="B1131" s="18"/>
      <c r="C1131" s="17">
        <v>0</v>
      </c>
      <c r="D1131" s="19">
        <v>0</v>
      </c>
      <c r="F1131" s="3">
        <f t="shared" si="17"/>
        <v>0</v>
      </c>
    </row>
    <row r="1132" spans="1:6" ht="22.5" x14ac:dyDescent="0.2">
      <c r="A1132" s="17" t="s">
        <v>7923</v>
      </c>
      <c r="B1132" s="18" t="s">
        <v>7924</v>
      </c>
      <c r="C1132" s="17" t="s">
        <v>255</v>
      </c>
      <c r="D1132" s="19">
        <v>77.22</v>
      </c>
      <c r="F1132" s="3" t="str">
        <f t="shared" si="17"/>
        <v>C3744</v>
      </c>
    </row>
    <row r="1133" spans="1:6" x14ac:dyDescent="0.2">
      <c r="A1133" s="17">
        <v>0</v>
      </c>
      <c r="B1133" s="18"/>
      <c r="C1133" s="17">
        <v>0</v>
      </c>
      <c r="D1133" s="19">
        <v>0</v>
      </c>
      <c r="F1133" s="3">
        <f t="shared" si="17"/>
        <v>0</v>
      </c>
    </row>
    <row r="1134" spans="1:6" ht="22.5" x14ac:dyDescent="0.2">
      <c r="A1134" s="17" t="s">
        <v>7925</v>
      </c>
      <c r="B1134" s="18" t="s">
        <v>7926</v>
      </c>
      <c r="C1134" s="17" t="s">
        <v>255</v>
      </c>
      <c r="D1134" s="19">
        <v>88.85</v>
      </c>
      <c r="F1134" s="3" t="str">
        <f t="shared" si="17"/>
        <v>C0048</v>
      </c>
    </row>
    <row r="1135" spans="1:6" x14ac:dyDescent="0.2">
      <c r="A1135" s="17">
        <v>0</v>
      </c>
      <c r="B1135" s="18"/>
      <c r="C1135" s="17">
        <v>0</v>
      </c>
      <c r="D1135" s="19">
        <v>0</v>
      </c>
      <c r="F1135" s="3">
        <f t="shared" si="17"/>
        <v>0</v>
      </c>
    </row>
    <row r="1136" spans="1:6" x14ac:dyDescent="0.2">
      <c r="A1136" s="17" t="s">
        <v>7927</v>
      </c>
      <c r="B1136" s="18" t="s">
        <v>7928</v>
      </c>
      <c r="C1136" s="17" t="s">
        <v>255</v>
      </c>
      <c r="D1136" s="19">
        <v>553.44000000000005</v>
      </c>
      <c r="F1136" s="3" t="str">
        <f t="shared" si="17"/>
        <v>C0050</v>
      </c>
    </row>
    <row r="1137" spans="1:6" x14ac:dyDescent="0.2">
      <c r="A1137" s="17">
        <v>0</v>
      </c>
      <c r="B1137" s="18"/>
      <c r="C1137" s="17">
        <v>0</v>
      </c>
      <c r="D1137" s="19">
        <v>0</v>
      </c>
      <c r="F1137" s="3">
        <f t="shared" si="17"/>
        <v>0</v>
      </c>
    </row>
    <row r="1138" spans="1:6" ht="22.5" x14ac:dyDescent="0.2">
      <c r="A1138" s="17" t="s">
        <v>7929</v>
      </c>
      <c r="B1138" s="18" t="s">
        <v>7930</v>
      </c>
      <c r="C1138" s="17" t="s">
        <v>255</v>
      </c>
      <c r="D1138" s="19">
        <v>62.98</v>
      </c>
      <c r="F1138" s="3" t="str">
        <f t="shared" si="17"/>
        <v>C0073</v>
      </c>
    </row>
    <row r="1139" spans="1:6" x14ac:dyDescent="0.2">
      <c r="A1139" s="17">
        <v>0</v>
      </c>
      <c r="B1139" s="18"/>
      <c r="C1139" s="17">
        <v>0</v>
      </c>
      <c r="D1139" s="19">
        <v>0</v>
      </c>
      <c r="F1139" s="3">
        <f t="shared" si="17"/>
        <v>0</v>
      </c>
    </row>
    <row r="1140" spans="1:6" ht="22.5" x14ac:dyDescent="0.2">
      <c r="A1140" s="17" t="s">
        <v>7931</v>
      </c>
      <c r="B1140" s="18" t="s">
        <v>7932</v>
      </c>
      <c r="C1140" s="17" t="s">
        <v>255</v>
      </c>
      <c r="D1140" s="19">
        <v>108.91</v>
      </c>
      <c r="F1140" s="3" t="str">
        <f t="shared" si="17"/>
        <v>C0074</v>
      </c>
    </row>
    <row r="1141" spans="1:6" x14ac:dyDescent="0.2">
      <c r="A1141" s="17">
        <v>0</v>
      </c>
      <c r="B1141" s="18"/>
      <c r="C1141" s="17">
        <v>0</v>
      </c>
      <c r="D1141" s="19">
        <v>0</v>
      </c>
      <c r="F1141" s="3">
        <f t="shared" si="17"/>
        <v>0</v>
      </c>
    </row>
    <row r="1142" spans="1:6" ht="22.5" x14ac:dyDescent="0.2">
      <c r="A1142" s="17" t="s">
        <v>7933</v>
      </c>
      <c r="B1142" s="18" t="s">
        <v>7934</v>
      </c>
      <c r="C1142" s="17" t="s">
        <v>255</v>
      </c>
      <c r="D1142" s="19">
        <v>158.83000000000001</v>
      </c>
      <c r="F1142" s="3" t="str">
        <f t="shared" si="17"/>
        <v>C3658</v>
      </c>
    </row>
    <row r="1143" spans="1:6" x14ac:dyDescent="0.2">
      <c r="A1143" s="17">
        <v>0</v>
      </c>
      <c r="B1143" s="18"/>
      <c r="C1143" s="17">
        <v>0</v>
      </c>
      <c r="D1143" s="19">
        <v>0</v>
      </c>
      <c r="F1143" s="3">
        <f t="shared" si="17"/>
        <v>0</v>
      </c>
    </row>
    <row r="1144" spans="1:6" x14ac:dyDescent="0.2">
      <c r="A1144" s="17" t="s">
        <v>7935</v>
      </c>
      <c r="B1144" s="18" t="s">
        <v>7936</v>
      </c>
      <c r="C1144" s="17" t="s">
        <v>255</v>
      </c>
      <c r="D1144" s="19">
        <v>64.819999999999993</v>
      </c>
      <c r="F1144" s="3" t="str">
        <f t="shared" si="17"/>
        <v>C0075</v>
      </c>
    </row>
    <row r="1145" spans="1:6" x14ac:dyDescent="0.2">
      <c r="A1145" s="17">
        <v>0</v>
      </c>
      <c r="B1145" s="18"/>
      <c r="C1145" s="17">
        <v>0</v>
      </c>
      <c r="D1145" s="19">
        <v>0</v>
      </c>
      <c r="F1145" s="3">
        <f t="shared" si="17"/>
        <v>0</v>
      </c>
    </row>
    <row r="1146" spans="1:6" x14ac:dyDescent="0.2">
      <c r="A1146" s="17" t="s">
        <v>7937</v>
      </c>
      <c r="B1146" s="18" t="s">
        <v>7938</v>
      </c>
      <c r="C1146" s="17" t="s">
        <v>255</v>
      </c>
      <c r="D1146" s="19">
        <v>122.43</v>
      </c>
      <c r="F1146" s="3" t="str">
        <f t="shared" si="17"/>
        <v>C0076</v>
      </c>
    </row>
    <row r="1147" spans="1:6" x14ac:dyDescent="0.2">
      <c r="A1147" s="17">
        <v>0</v>
      </c>
      <c r="B1147" s="18"/>
      <c r="C1147" s="17">
        <v>0</v>
      </c>
      <c r="D1147" s="19">
        <v>0</v>
      </c>
      <c r="F1147" s="3">
        <f t="shared" si="17"/>
        <v>0</v>
      </c>
    </row>
    <row r="1148" spans="1:6" x14ac:dyDescent="0.2">
      <c r="A1148" s="17" t="s">
        <v>7939</v>
      </c>
      <c r="B1148" s="18" t="s">
        <v>7940</v>
      </c>
      <c r="C1148" s="17" t="s">
        <v>255</v>
      </c>
      <c r="D1148" s="19">
        <v>214.91</v>
      </c>
      <c r="F1148" s="3" t="str">
        <f t="shared" si="17"/>
        <v>C0077</v>
      </c>
    </row>
    <row r="1149" spans="1:6" x14ac:dyDescent="0.2">
      <c r="A1149" s="17">
        <v>0</v>
      </c>
      <c r="B1149" s="18"/>
      <c r="C1149" s="17">
        <v>0</v>
      </c>
      <c r="D1149" s="19">
        <v>0</v>
      </c>
      <c r="F1149" s="3">
        <f t="shared" si="17"/>
        <v>0</v>
      </c>
    </row>
    <row r="1150" spans="1:6" x14ac:dyDescent="0.2">
      <c r="A1150" s="17" t="s">
        <v>7941</v>
      </c>
      <c r="B1150" s="18" t="s">
        <v>7942</v>
      </c>
      <c r="C1150" s="17" t="s">
        <v>255</v>
      </c>
      <c r="D1150" s="19">
        <v>296.81</v>
      </c>
      <c r="F1150" s="3" t="str">
        <f t="shared" si="17"/>
        <v>C0078</v>
      </c>
    </row>
    <row r="1151" spans="1:6" x14ac:dyDescent="0.2">
      <c r="A1151" s="17">
        <v>0</v>
      </c>
      <c r="B1151" s="18"/>
      <c r="C1151" s="17">
        <v>0</v>
      </c>
      <c r="D1151" s="19">
        <v>0</v>
      </c>
      <c r="F1151" s="3">
        <f t="shared" si="17"/>
        <v>0</v>
      </c>
    </row>
    <row r="1152" spans="1:6" ht="22.5" x14ac:dyDescent="0.2">
      <c r="A1152" s="17" t="s">
        <v>7943</v>
      </c>
      <c r="B1152" s="18" t="s">
        <v>7944</v>
      </c>
      <c r="C1152" s="17" t="s">
        <v>255</v>
      </c>
      <c r="D1152" s="19">
        <v>195.41</v>
      </c>
      <c r="F1152" s="3" t="str">
        <f t="shared" si="17"/>
        <v>C3614</v>
      </c>
    </row>
    <row r="1153" spans="1:6" x14ac:dyDescent="0.2">
      <c r="A1153" s="17">
        <v>0</v>
      </c>
      <c r="B1153" s="18"/>
      <c r="C1153" s="17">
        <v>0</v>
      </c>
      <c r="D1153" s="19">
        <v>0</v>
      </c>
      <c r="F1153" s="3">
        <f t="shared" si="17"/>
        <v>0</v>
      </c>
    </row>
    <row r="1154" spans="1:6" ht="22.5" x14ac:dyDescent="0.2">
      <c r="A1154" s="17" t="s">
        <v>7945</v>
      </c>
      <c r="B1154" s="18" t="s">
        <v>7946</v>
      </c>
      <c r="C1154" s="17" t="s">
        <v>255</v>
      </c>
      <c r="D1154" s="19">
        <v>350.34</v>
      </c>
      <c r="F1154" s="3" t="str">
        <f t="shared" ref="F1154:F1217" si="18">A1154</f>
        <v>C3615</v>
      </c>
    </row>
    <row r="1155" spans="1:6" x14ac:dyDescent="0.2">
      <c r="A1155" s="17">
        <v>0</v>
      </c>
      <c r="B1155" s="18"/>
      <c r="C1155" s="17">
        <v>0</v>
      </c>
      <c r="D1155" s="19">
        <v>0</v>
      </c>
      <c r="F1155" s="3">
        <f t="shared" si="18"/>
        <v>0</v>
      </c>
    </row>
    <row r="1156" spans="1:6" x14ac:dyDescent="0.2">
      <c r="A1156" s="17" t="s">
        <v>7947</v>
      </c>
      <c r="B1156" s="18" t="s">
        <v>7948</v>
      </c>
      <c r="C1156" s="17" t="s">
        <v>255</v>
      </c>
      <c r="D1156" s="19">
        <v>251.17</v>
      </c>
      <c r="F1156" s="3" t="str">
        <f t="shared" si="18"/>
        <v>C0061</v>
      </c>
    </row>
    <row r="1157" spans="1:6" x14ac:dyDescent="0.2">
      <c r="A1157" s="17" t="s">
        <v>7949</v>
      </c>
      <c r="B1157" s="18" t="s">
        <v>7950</v>
      </c>
      <c r="C1157" s="17" t="s">
        <v>255</v>
      </c>
      <c r="D1157" s="19">
        <v>458.05</v>
      </c>
      <c r="F1157" s="3" t="str">
        <f t="shared" si="18"/>
        <v>C0060</v>
      </c>
    </row>
    <row r="1158" spans="1:6" ht="22.5" x14ac:dyDescent="0.2">
      <c r="A1158" s="17" t="s">
        <v>7951</v>
      </c>
      <c r="B1158" s="18" t="s">
        <v>7952</v>
      </c>
      <c r="C1158" s="17" t="s">
        <v>255</v>
      </c>
      <c r="D1158" s="19">
        <v>42.3</v>
      </c>
      <c r="F1158" s="3" t="str">
        <f t="shared" si="18"/>
        <v>C3533</v>
      </c>
    </row>
    <row r="1159" spans="1:6" x14ac:dyDescent="0.2">
      <c r="A1159" s="17">
        <v>0</v>
      </c>
      <c r="B1159" s="18"/>
      <c r="C1159" s="17">
        <v>0</v>
      </c>
      <c r="D1159" s="19">
        <v>0</v>
      </c>
      <c r="F1159" s="3">
        <f t="shared" si="18"/>
        <v>0</v>
      </c>
    </row>
    <row r="1160" spans="1:6" x14ac:dyDescent="0.2">
      <c r="A1160" s="17" t="s">
        <v>7953</v>
      </c>
      <c r="B1160" s="18" t="s">
        <v>7954</v>
      </c>
      <c r="C1160" s="17" t="s">
        <v>255</v>
      </c>
      <c r="D1160" s="19">
        <v>70.17</v>
      </c>
      <c r="F1160" s="3" t="str">
        <f t="shared" si="18"/>
        <v>C4507</v>
      </c>
    </row>
    <row r="1161" spans="1:6" x14ac:dyDescent="0.2">
      <c r="A1161" s="17">
        <v>0</v>
      </c>
      <c r="B1161" s="18"/>
      <c r="C1161" s="17">
        <v>0</v>
      </c>
      <c r="D1161" s="19">
        <v>0</v>
      </c>
      <c r="F1161" s="3">
        <f t="shared" si="18"/>
        <v>0</v>
      </c>
    </row>
    <row r="1162" spans="1:6" ht="22.5" x14ac:dyDescent="0.2">
      <c r="A1162" s="17" t="s">
        <v>7955</v>
      </c>
      <c r="B1162" s="18" t="s">
        <v>7956</v>
      </c>
      <c r="C1162" s="17" t="s">
        <v>255</v>
      </c>
      <c r="D1162" s="19">
        <v>89.31</v>
      </c>
      <c r="F1162" s="3" t="str">
        <f t="shared" si="18"/>
        <v>C4508</v>
      </c>
    </row>
    <row r="1163" spans="1:6" x14ac:dyDescent="0.2">
      <c r="A1163" s="17">
        <v>0</v>
      </c>
      <c r="B1163" s="18"/>
      <c r="C1163" s="17">
        <v>0</v>
      </c>
      <c r="D1163" s="19">
        <v>0</v>
      </c>
      <c r="F1163" s="3">
        <f t="shared" si="18"/>
        <v>0</v>
      </c>
    </row>
    <row r="1164" spans="1:6" x14ac:dyDescent="0.2">
      <c r="A1164" s="14" t="s">
        <v>7957</v>
      </c>
      <c r="B1164" s="15"/>
      <c r="C1164" s="14">
        <v>0</v>
      </c>
      <c r="D1164" s="16">
        <v>1472.54</v>
      </c>
      <c r="F1164" s="3" t="str">
        <f t="shared" si="18"/>
        <v>ALVENARIA ESTRUTURAL</v>
      </c>
    </row>
    <row r="1165" spans="1:6" ht="22.5" x14ac:dyDescent="0.2">
      <c r="A1165" s="17" t="s">
        <v>7958</v>
      </c>
      <c r="B1165" s="18" t="s">
        <v>7959</v>
      </c>
      <c r="C1165" s="17" t="s">
        <v>255</v>
      </c>
      <c r="D1165" s="19">
        <v>90.9</v>
      </c>
      <c r="F1165" s="3" t="str">
        <f t="shared" si="18"/>
        <v>C0068</v>
      </c>
    </row>
    <row r="1166" spans="1:6" x14ac:dyDescent="0.2">
      <c r="A1166" s="17">
        <v>0</v>
      </c>
      <c r="B1166" s="18"/>
      <c r="C1166" s="17">
        <v>0</v>
      </c>
      <c r="D1166" s="19">
        <v>0</v>
      </c>
      <c r="F1166" s="3">
        <f t="shared" si="18"/>
        <v>0</v>
      </c>
    </row>
    <row r="1167" spans="1:6" ht="22.5" x14ac:dyDescent="0.2">
      <c r="A1167" s="17" t="s">
        <v>7960</v>
      </c>
      <c r="B1167" s="18" t="s">
        <v>7961</v>
      </c>
      <c r="C1167" s="17" t="s">
        <v>255</v>
      </c>
      <c r="D1167" s="19">
        <v>109.17</v>
      </c>
      <c r="F1167" s="3" t="str">
        <f t="shared" si="18"/>
        <v>C0069</v>
      </c>
    </row>
    <row r="1168" spans="1:6" x14ac:dyDescent="0.2">
      <c r="A1168" s="17">
        <v>0</v>
      </c>
      <c r="B1168" s="18"/>
      <c r="C1168" s="17">
        <v>0</v>
      </c>
      <c r="D1168" s="19">
        <v>0</v>
      </c>
      <c r="F1168" s="3">
        <f t="shared" si="18"/>
        <v>0</v>
      </c>
    </row>
    <row r="1169" spans="1:6" x14ac:dyDescent="0.2">
      <c r="A1169" s="17" t="s">
        <v>7962</v>
      </c>
      <c r="B1169" s="18" t="s">
        <v>7963</v>
      </c>
      <c r="C1169" s="17" t="s">
        <v>255</v>
      </c>
      <c r="D1169" s="19">
        <v>43.49</v>
      </c>
      <c r="F1169" s="3" t="str">
        <f t="shared" si="18"/>
        <v>C0064</v>
      </c>
    </row>
    <row r="1170" spans="1:6" x14ac:dyDescent="0.2">
      <c r="A1170" s="17" t="s">
        <v>7964</v>
      </c>
      <c r="B1170" s="18" t="s">
        <v>7965</v>
      </c>
      <c r="C1170" s="17" t="s">
        <v>255</v>
      </c>
      <c r="D1170" s="19">
        <v>46.89</v>
      </c>
      <c r="F1170" s="3" t="str">
        <f t="shared" si="18"/>
        <v>C0062</v>
      </c>
    </row>
    <row r="1171" spans="1:6" ht="22.5" x14ac:dyDescent="0.2">
      <c r="A1171" s="17" t="s">
        <v>7966</v>
      </c>
      <c r="B1171" s="18" t="s">
        <v>7967</v>
      </c>
      <c r="C1171" s="17" t="s">
        <v>255</v>
      </c>
      <c r="D1171" s="19">
        <v>58.45</v>
      </c>
      <c r="F1171" s="3" t="str">
        <f t="shared" si="18"/>
        <v>C4542</v>
      </c>
    </row>
    <row r="1172" spans="1:6" x14ac:dyDescent="0.2">
      <c r="A1172" s="17">
        <v>0</v>
      </c>
      <c r="B1172" s="18"/>
      <c r="C1172" s="17">
        <v>0</v>
      </c>
      <c r="D1172" s="19">
        <v>0</v>
      </c>
      <c r="F1172" s="3">
        <f t="shared" si="18"/>
        <v>0</v>
      </c>
    </row>
    <row r="1173" spans="1:6" x14ac:dyDescent="0.2">
      <c r="A1173" s="17" t="s">
        <v>7968</v>
      </c>
      <c r="B1173" s="18" t="s">
        <v>7969</v>
      </c>
      <c r="C1173" s="17" t="s">
        <v>255</v>
      </c>
      <c r="D1173" s="19">
        <v>56.57</v>
      </c>
      <c r="F1173" s="3" t="str">
        <f t="shared" si="18"/>
        <v>C0063</v>
      </c>
    </row>
    <row r="1174" spans="1:6" ht="22.5" x14ac:dyDescent="0.2">
      <c r="A1174" s="17" t="s">
        <v>7970</v>
      </c>
      <c r="B1174" s="18" t="s">
        <v>7971</v>
      </c>
      <c r="C1174" s="17" t="s">
        <v>255</v>
      </c>
      <c r="D1174" s="19">
        <v>62.63</v>
      </c>
      <c r="F1174" s="3" t="str">
        <f t="shared" si="18"/>
        <v>C4585</v>
      </c>
    </row>
    <row r="1175" spans="1:6" x14ac:dyDescent="0.2">
      <c r="A1175" s="17">
        <v>0</v>
      </c>
      <c r="B1175" s="18"/>
      <c r="C1175" s="17">
        <v>0</v>
      </c>
      <c r="D1175" s="19">
        <v>0</v>
      </c>
      <c r="F1175" s="3">
        <f t="shared" si="18"/>
        <v>0</v>
      </c>
    </row>
    <row r="1176" spans="1:6" x14ac:dyDescent="0.2">
      <c r="A1176" s="17" t="s">
        <v>7972</v>
      </c>
      <c r="B1176" s="18" t="s">
        <v>7973</v>
      </c>
      <c r="C1176" s="17" t="s">
        <v>26</v>
      </c>
      <c r="D1176" s="19">
        <v>174.57</v>
      </c>
      <c r="F1176" s="3" t="str">
        <f t="shared" si="18"/>
        <v>C0079</v>
      </c>
    </row>
    <row r="1177" spans="1:6" ht="22.5" x14ac:dyDescent="0.2">
      <c r="A1177" s="17" t="s">
        <v>7974</v>
      </c>
      <c r="B1177" s="18" t="s">
        <v>7975</v>
      </c>
      <c r="C1177" s="17" t="s">
        <v>255</v>
      </c>
      <c r="D1177" s="19">
        <v>405.97</v>
      </c>
      <c r="F1177" s="3" t="str">
        <f t="shared" si="18"/>
        <v>C4952</v>
      </c>
    </row>
    <row r="1178" spans="1:6" x14ac:dyDescent="0.2">
      <c r="A1178" s="17">
        <v>0</v>
      </c>
      <c r="B1178" s="18"/>
      <c r="C1178" s="17">
        <v>0</v>
      </c>
      <c r="D1178" s="19">
        <v>0</v>
      </c>
      <c r="F1178" s="3">
        <f t="shared" si="18"/>
        <v>0</v>
      </c>
    </row>
    <row r="1179" spans="1:6" ht="22.5" x14ac:dyDescent="0.2">
      <c r="A1179" s="17" t="s">
        <v>7976</v>
      </c>
      <c r="B1179" s="18" t="s">
        <v>7977</v>
      </c>
      <c r="C1179" s="17" t="s">
        <v>255</v>
      </c>
      <c r="D1179" s="19">
        <v>423.9</v>
      </c>
      <c r="F1179" s="3" t="str">
        <f t="shared" si="18"/>
        <v>C4953</v>
      </c>
    </row>
    <row r="1180" spans="1:6" x14ac:dyDescent="0.2">
      <c r="A1180" s="17">
        <v>0</v>
      </c>
      <c r="B1180" s="18"/>
      <c r="C1180" s="17">
        <v>0</v>
      </c>
      <c r="D1180" s="19">
        <v>0</v>
      </c>
      <c r="F1180" s="3">
        <f t="shared" si="18"/>
        <v>0</v>
      </c>
    </row>
    <row r="1181" spans="1:6" x14ac:dyDescent="0.2">
      <c r="A1181" s="14" t="s">
        <v>7978</v>
      </c>
      <c r="B1181" s="15"/>
      <c r="C1181" s="14">
        <v>0</v>
      </c>
      <c r="D1181" s="16">
        <v>3418.62</v>
      </c>
      <c r="F1181" s="3" t="str">
        <f t="shared" si="18"/>
        <v>ALVENARIA DE PEDRA</v>
      </c>
    </row>
    <row r="1182" spans="1:6" x14ac:dyDescent="0.2">
      <c r="A1182" s="17" t="s">
        <v>7979</v>
      </c>
      <c r="B1182" s="18" t="s">
        <v>7980</v>
      </c>
      <c r="C1182" s="17" t="s">
        <v>271</v>
      </c>
      <c r="D1182" s="19">
        <v>569.65</v>
      </c>
      <c r="F1182" s="3" t="str">
        <f t="shared" si="18"/>
        <v>C3345</v>
      </c>
    </row>
    <row r="1183" spans="1:6" x14ac:dyDescent="0.2">
      <c r="A1183" s="17" t="s">
        <v>7981</v>
      </c>
      <c r="B1183" s="18" t="s">
        <v>7982</v>
      </c>
      <c r="C1183" s="17" t="s">
        <v>271</v>
      </c>
      <c r="D1183" s="19">
        <v>461.19</v>
      </c>
      <c r="F1183" s="3" t="str">
        <f t="shared" si="18"/>
        <v>C3346</v>
      </c>
    </row>
    <row r="1184" spans="1:6" x14ac:dyDescent="0.2">
      <c r="A1184" s="17">
        <v>0</v>
      </c>
      <c r="B1184" s="18"/>
      <c r="C1184" s="17">
        <v>0</v>
      </c>
      <c r="D1184" s="19">
        <v>0</v>
      </c>
      <c r="F1184" s="3">
        <f t="shared" si="18"/>
        <v>0</v>
      </c>
    </row>
    <row r="1185" spans="1:6" x14ac:dyDescent="0.2">
      <c r="A1185" s="17" t="s">
        <v>7983</v>
      </c>
      <c r="B1185" s="18" t="s">
        <v>7984</v>
      </c>
      <c r="C1185" s="17" t="s">
        <v>271</v>
      </c>
      <c r="D1185" s="19">
        <v>543.87</v>
      </c>
      <c r="F1185" s="3" t="str">
        <f t="shared" si="18"/>
        <v>C3347</v>
      </c>
    </row>
    <row r="1186" spans="1:6" x14ac:dyDescent="0.2">
      <c r="A1186" s="17" t="s">
        <v>7985</v>
      </c>
      <c r="B1186" s="18" t="s">
        <v>7986</v>
      </c>
      <c r="C1186" s="17" t="s">
        <v>271</v>
      </c>
      <c r="D1186" s="19">
        <v>435.42</v>
      </c>
      <c r="F1186" s="3" t="str">
        <f t="shared" si="18"/>
        <v>C0057</v>
      </c>
    </row>
    <row r="1187" spans="1:6" x14ac:dyDescent="0.2">
      <c r="A1187" s="17">
        <v>0</v>
      </c>
      <c r="B1187" s="18"/>
      <c r="C1187" s="17">
        <v>0</v>
      </c>
      <c r="D1187" s="19">
        <v>0</v>
      </c>
      <c r="F1187" s="3">
        <f t="shared" si="18"/>
        <v>0</v>
      </c>
    </row>
    <row r="1188" spans="1:6" x14ac:dyDescent="0.2">
      <c r="A1188" s="17" t="s">
        <v>7987</v>
      </c>
      <c r="B1188" s="18" t="s">
        <v>7988</v>
      </c>
      <c r="C1188" s="17" t="s">
        <v>271</v>
      </c>
      <c r="D1188" s="19">
        <v>517.89</v>
      </c>
      <c r="F1188" s="3" t="str">
        <f t="shared" si="18"/>
        <v>C3723</v>
      </c>
    </row>
    <row r="1189" spans="1:6" x14ac:dyDescent="0.2">
      <c r="A1189" s="17" t="s">
        <v>7989</v>
      </c>
      <c r="B1189" s="18" t="s">
        <v>7990</v>
      </c>
      <c r="C1189" s="17" t="s">
        <v>271</v>
      </c>
      <c r="D1189" s="19">
        <v>557.30999999999995</v>
      </c>
      <c r="F1189" s="3" t="str">
        <f t="shared" si="18"/>
        <v>C0058</v>
      </c>
    </row>
    <row r="1190" spans="1:6" x14ac:dyDescent="0.2">
      <c r="A1190" s="17" t="s">
        <v>7991</v>
      </c>
      <c r="B1190" s="18" t="s">
        <v>7992</v>
      </c>
      <c r="C1190" s="17" t="s">
        <v>271</v>
      </c>
      <c r="D1190" s="19">
        <v>333.29</v>
      </c>
      <c r="F1190" s="3" t="str">
        <f t="shared" si="18"/>
        <v>C3529</v>
      </c>
    </row>
    <row r="1191" spans="1:6" x14ac:dyDescent="0.2">
      <c r="A1191" s="17">
        <v>0</v>
      </c>
      <c r="B1191" s="18"/>
      <c r="C1191" s="17">
        <v>0</v>
      </c>
      <c r="D1191" s="19">
        <v>0</v>
      </c>
      <c r="F1191" s="3">
        <f t="shared" si="18"/>
        <v>0</v>
      </c>
    </row>
    <row r="1192" spans="1:6" x14ac:dyDescent="0.2">
      <c r="A1192" s="14" t="s">
        <v>7993</v>
      </c>
      <c r="B1192" s="15"/>
      <c r="C1192" s="14">
        <v>0</v>
      </c>
      <c r="D1192" s="16">
        <v>34.44</v>
      </c>
      <c r="F1192" s="3" t="str">
        <f t="shared" si="18"/>
        <v>RASGO EM ALVENARIA P/ TUBULAÇÕES</v>
      </c>
    </row>
    <row r="1193" spans="1:6" x14ac:dyDescent="0.2">
      <c r="A1193" s="17" t="s">
        <v>7994</v>
      </c>
      <c r="B1193" s="18" t="s">
        <v>7995</v>
      </c>
      <c r="C1193" s="17" t="s">
        <v>0</v>
      </c>
      <c r="D1193" s="19">
        <v>7.12</v>
      </c>
      <c r="F1193" s="3" t="str">
        <f t="shared" si="18"/>
        <v>C2095</v>
      </c>
    </row>
    <row r="1194" spans="1:6" x14ac:dyDescent="0.2">
      <c r="A1194" s="17" t="s">
        <v>7996</v>
      </c>
      <c r="B1194" s="18" t="s">
        <v>7997</v>
      </c>
      <c r="C1194" s="17" t="s">
        <v>0</v>
      </c>
      <c r="D1194" s="19">
        <v>11.16</v>
      </c>
      <c r="F1194" s="3" t="str">
        <f t="shared" si="18"/>
        <v>C2096</v>
      </c>
    </row>
    <row r="1195" spans="1:6" x14ac:dyDescent="0.2">
      <c r="A1195" s="17" t="s">
        <v>7998</v>
      </c>
      <c r="B1195" s="18" t="s">
        <v>7999</v>
      </c>
      <c r="C1195" s="17" t="s">
        <v>0</v>
      </c>
      <c r="D1195" s="19">
        <v>16.16</v>
      </c>
      <c r="F1195" s="3" t="str">
        <f t="shared" si="18"/>
        <v>C2097</v>
      </c>
    </row>
    <row r="1196" spans="1:6" x14ac:dyDescent="0.2">
      <c r="A1196" s="14" t="s">
        <v>8000</v>
      </c>
      <c r="B1196" s="15"/>
      <c r="C1196" s="14">
        <v>0</v>
      </c>
      <c r="D1196" s="16">
        <v>4494.6899999999996</v>
      </c>
      <c r="F1196" s="3" t="str">
        <f t="shared" si="18"/>
        <v>DIVISÓRIAS</v>
      </c>
    </row>
    <row r="1197" spans="1:6" x14ac:dyDescent="0.2">
      <c r="A1197" s="17" t="s">
        <v>8001</v>
      </c>
      <c r="B1197" s="18" t="s">
        <v>8002</v>
      </c>
      <c r="C1197" s="17" t="s">
        <v>255</v>
      </c>
      <c r="D1197" s="19">
        <v>121.15</v>
      </c>
      <c r="F1197" s="3" t="str">
        <f t="shared" si="18"/>
        <v>C4495</v>
      </c>
    </row>
    <row r="1198" spans="1:6" x14ac:dyDescent="0.2">
      <c r="A1198" s="17">
        <v>0</v>
      </c>
      <c r="B1198" s="18"/>
      <c r="C1198" s="17">
        <v>0</v>
      </c>
      <c r="D1198" s="19">
        <v>0</v>
      </c>
      <c r="F1198" s="3">
        <f t="shared" si="18"/>
        <v>0</v>
      </c>
    </row>
    <row r="1199" spans="1:6" x14ac:dyDescent="0.2">
      <c r="A1199" s="17" t="s">
        <v>8003</v>
      </c>
      <c r="B1199" s="18" t="s">
        <v>8004</v>
      </c>
      <c r="C1199" s="17" t="s">
        <v>255</v>
      </c>
      <c r="D1199" s="19">
        <v>123.5</v>
      </c>
      <c r="F1199" s="3" t="str">
        <f t="shared" si="18"/>
        <v>C4496</v>
      </c>
    </row>
    <row r="1200" spans="1:6" x14ac:dyDescent="0.2">
      <c r="A1200" s="17">
        <v>0</v>
      </c>
      <c r="B1200" s="18"/>
      <c r="C1200" s="17">
        <v>0</v>
      </c>
      <c r="D1200" s="19">
        <v>0</v>
      </c>
      <c r="F1200" s="3">
        <f t="shared" si="18"/>
        <v>0</v>
      </c>
    </row>
    <row r="1201" spans="1:6" x14ac:dyDescent="0.2">
      <c r="A1201" s="17" t="s">
        <v>8005</v>
      </c>
      <c r="B1201" s="18" t="s">
        <v>8006</v>
      </c>
      <c r="C1201" s="17" t="s">
        <v>255</v>
      </c>
      <c r="D1201" s="19">
        <v>297.74</v>
      </c>
      <c r="F1201" s="3" t="str">
        <f t="shared" si="18"/>
        <v>C1134</v>
      </c>
    </row>
    <row r="1202" spans="1:6" x14ac:dyDescent="0.2">
      <c r="A1202" s="17" t="s">
        <v>8007</v>
      </c>
      <c r="B1202" s="21" t="s">
        <v>8008</v>
      </c>
      <c r="C1202" s="17" t="s">
        <v>255</v>
      </c>
      <c r="D1202" s="19">
        <v>472.42</v>
      </c>
      <c r="F1202" s="3" t="str">
        <f t="shared" si="18"/>
        <v>C4070</v>
      </c>
    </row>
    <row r="1203" spans="1:6" x14ac:dyDescent="0.2">
      <c r="A1203" s="17" t="s">
        <v>8009</v>
      </c>
      <c r="B1203" s="18" t="s">
        <v>8010</v>
      </c>
      <c r="C1203" s="17" t="s">
        <v>255</v>
      </c>
      <c r="D1203" s="19">
        <v>503.66</v>
      </c>
      <c r="F1203" s="3" t="str">
        <f t="shared" si="18"/>
        <v>C4096</v>
      </c>
    </row>
    <row r="1204" spans="1:6" x14ac:dyDescent="0.2">
      <c r="A1204" s="17" t="s">
        <v>8011</v>
      </c>
      <c r="B1204" s="18" t="s">
        <v>8012</v>
      </c>
      <c r="C1204" s="17" t="s">
        <v>255</v>
      </c>
      <c r="D1204" s="19">
        <v>195.7</v>
      </c>
      <c r="F1204" s="3" t="str">
        <f t="shared" si="18"/>
        <v>C1142</v>
      </c>
    </row>
    <row r="1205" spans="1:6" ht="22.5" x14ac:dyDescent="0.2">
      <c r="A1205" s="17" t="s">
        <v>8013</v>
      </c>
      <c r="B1205" s="18" t="s">
        <v>8014</v>
      </c>
      <c r="C1205" s="17" t="s">
        <v>255</v>
      </c>
      <c r="D1205" s="19">
        <v>107.41</v>
      </c>
      <c r="F1205" s="3" t="str">
        <f t="shared" si="18"/>
        <v>C4486</v>
      </c>
    </row>
    <row r="1206" spans="1:6" x14ac:dyDescent="0.2">
      <c r="A1206" s="17">
        <v>0</v>
      </c>
      <c r="B1206" s="18"/>
      <c r="C1206" s="17">
        <v>0</v>
      </c>
      <c r="D1206" s="19">
        <v>0</v>
      </c>
      <c r="F1206" s="3">
        <f t="shared" si="18"/>
        <v>0</v>
      </c>
    </row>
    <row r="1207" spans="1:6" ht="22.5" x14ac:dyDescent="0.2">
      <c r="A1207" s="17" t="s">
        <v>8015</v>
      </c>
      <c r="B1207" s="18" t="s">
        <v>8016</v>
      </c>
      <c r="C1207" s="17" t="s">
        <v>255</v>
      </c>
      <c r="D1207" s="19">
        <v>109.31</v>
      </c>
      <c r="F1207" s="3" t="str">
        <f t="shared" si="18"/>
        <v>C4488</v>
      </c>
    </row>
    <row r="1208" spans="1:6" x14ac:dyDescent="0.2">
      <c r="A1208" s="17">
        <v>0</v>
      </c>
      <c r="B1208" s="18"/>
      <c r="C1208" s="17">
        <v>0</v>
      </c>
      <c r="D1208" s="19">
        <v>0</v>
      </c>
      <c r="F1208" s="3">
        <f t="shared" si="18"/>
        <v>0</v>
      </c>
    </row>
    <row r="1209" spans="1:6" ht="22.5" x14ac:dyDescent="0.2">
      <c r="A1209" s="17" t="s">
        <v>8017</v>
      </c>
      <c r="B1209" s="18" t="s">
        <v>8018</v>
      </c>
      <c r="C1209" s="17" t="s">
        <v>255</v>
      </c>
      <c r="D1209" s="19">
        <v>128.09</v>
      </c>
      <c r="F1209" s="3" t="str">
        <f t="shared" si="18"/>
        <v>C4487</v>
      </c>
    </row>
    <row r="1210" spans="1:6" x14ac:dyDescent="0.2">
      <c r="A1210" s="17">
        <v>0</v>
      </c>
      <c r="B1210" s="18"/>
      <c r="C1210" s="17">
        <v>0</v>
      </c>
      <c r="D1210" s="19">
        <v>0</v>
      </c>
      <c r="F1210" s="3">
        <f t="shared" si="18"/>
        <v>0</v>
      </c>
    </row>
    <row r="1211" spans="1:6" ht="22.5" x14ac:dyDescent="0.2">
      <c r="A1211" s="17" t="s">
        <v>8019</v>
      </c>
      <c r="B1211" s="18" t="s">
        <v>8020</v>
      </c>
      <c r="C1211" s="17" t="s">
        <v>255</v>
      </c>
      <c r="D1211" s="19">
        <v>136.63999999999999</v>
      </c>
      <c r="F1211" s="3" t="str">
        <f t="shared" si="18"/>
        <v>C4489</v>
      </c>
    </row>
    <row r="1212" spans="1:6" x14ac:dyDescent="0.2">
      <c r="A1212" s="17">
        <v>0</v>
      </c>
      <c r="B1212" s="18"/>
      <c r="C1212" s="17">
        <v>0</v>
      </c>
      <c r="D1212" s="19">
        <v>0</v>
      </c>
      <c r="F1212" s="3">
        <f t="shared" si="18"/>
        <v>0</v>
      </c>
    </row>
    <row r="1213" spans="1:6" ht="22.5" x14ac:dyDescent="0.2">
      <c r="A1213" s="17" t="s">
        <v>8021</v>
      </c>
      <c r="B1213" s="18" t="s">
        <v>8022</v>
      </c>
      <c r="C1213" s="17" t="s">
        <v>255</v>
      </c>
      <c r="D1213" s="19">
        <v>266.44</v>
      </c>
      <c r="F1213" s="3" t="str">
        <f t="shared" si="18"/>
        <v>C4497</v>
      </c>
    </row>
    <row r="1214" spans="1:6" x14ac:dyDescent="0.2">
      <c r="A1214" s="17">
        <v>0</v>
      </c>
      <c r="B1214" s="18"/>
      <c r="C1214" s="17">
        <v>0</v>
      </c>
      <c r="D1214" s="19">
        <v>0</v>
      </c>
      <c r="F1214" s="3">
        <f t="shared" si="18"/>
        <v>0</v>
      </c>
    </row>
    <row r="1215" spans="1:6" ht="22.5" x14ac:dyDescent="0.2">
      <c r="A1215" s="17" t="s">
        <v>8023</v>
      </c>
      <c r="B1215" s="18" t="s">
        <v>8024</v>
      </c>
      <c r="C1215" s="17" t="s">
        <v>255</v>
      </c>
      <c r="D1215" s="19">
        <v>299.38</v>
      </c>
      <c r="F1215" s="3" t="str">
        <f t="shared" si="18"/>
        <v>C4498</v>
      </c>
    </row>
    <row r="1216" spans="1:6" x14ac:dyDescent="0.2">
      <c r="A1216" s="17">
        <v>0</v>
      </c>
      <c r="B1216" s="18"/>
      <c r="C1216" s="17">
        <v>0</v>
      </c>
      <c r="D1216" s="19">
        <v>0</v>
      </c>
      <c r="F1216" s="3">
        <f t="shared" si="18"/>
        <v>0</v>
      </c>
    </row>
    <row r="1217" spans="1:6" ht="22.5" x14ac:dyDescent="0.2">
      <c r="A1217" s="17" t="s">
        <v>8025</v>
      </c>
      <c r="B1217" s="18" t="s">
        <v>8026</v>
      </c>
      <c r="C1217" s="17" t="s">
        <v>255</v>
      </c>
      <c r="D1217" s="19">
        <v>277.08999999999997</v>
      </c>
      <c r="F1217" s="3" t="str">
        <f t="shared" si="18"/>
        <v>C4499</v>
      </c>
    </row>
    <row r="1218" spans="1:6" x14ac:dyDescent="0.2">
      <c r="A1218" s="17">
        <v>0</v>
      </c>
      <c r="B1218" s="18"/>
      <c r="C1218" s="17">
        <v>0</v>
      </c>
      <c r="D1218" s="19">
        <v>0</v>
      </c>
      <c r="F1218" s="3">
        <f t="shared" ref="F1218:F1281" si="19">A1218</f>
        <v>0</v>
      </c>
    </row>
    <row r="1219" spans="1:6" ht="22.5" x14ac:dyDescent="0.2">
      <c r="A1219" s="17" t="s">
        <v>8027</v>
      </c>
      <c r="B1219" s="18" t="s">
        <v>8028</v>
      </c>
      <c r="C1219" s="17" t="s">
        <v>255</v>
      </c>
      <c r="D1219" s="19">
        <v>311.35000000000002</v>
      </c>
      <c r="F1219" s="3" t="str">
        <f t="shared" si="19"/>
        <v>C4500</v>
      </c>
    </row>
    <row r="1220" spans="1:6" x14ac:dyDescent="0.2">
      <c r="A1220" s="17">
        <v>0</v>
      </c>
      <c r="B1220" s="18"/>
      <c r="C1220" s="17">
        <v>0</v>
      </c>
      <c r="D1220" s="19">
        <v>0</v>
      </c>
      <c r="F1220" s="3">
        <f t="shared" si="19"/>
        <v>0</v>
      </c>
    </row>
    <row r="1221" spans="1:6" ht="22.5" x14ac:dyDescent="0.2">
      <c r="A1221" s="17" t="s">
        <v>8029</v>
      </c>
      <c r="B1221" s="18" t="s">
        <v>8030</v>
      </c>
      <c r="C1221" s="17" t="s">
        <v>255</v>
      </c>
      <c r="D1221" s="19">
        <v>224.21</v>
      </c>
      <c r="F1221" s="3" t="str">
        <f t="shared" si="19"/>
        <v>C4493</v>
      </c>
    </row>
    <row r="1222" spans="1:6" x14ac:dyDescent="0.2">
      <c r="A1222" s="17">
        <v>0</v>
      </c>
      <c r="B1222" s="18"/>
      <c r="C1222" s="17">
        <v>0</v>
      </c>
      <c r="D1222" s="19">
        <v>0</v>
      </c>
      <c r="F1222" s="3">
        <f t="shared" si="19"/>
        <v>0</v>
      </c>
    </row>
    <row r="1223" spans="1:6" ht="22.5" x14ac:dyDescent="0.2">
      <c r="A1223" s="17" t="s">
        <v>8031</v>
      </c>
      <c r="B1223" s="18" t="s">
        <v>8032</v>
      </c>
      <c r="C1223" s="17" t="s">
        <v>255</v>
      </c>
      <c r="D1223" s="19">
        <v>272.64</v>
      </c>
      <c r="F1223" s="3" t="str">
        <f t="shared" si="19"/>
        <v>C4494</v>
      </c>
    </row>
    <row r="1224" spans="1:6" x14ac:dyDescent="0.2">
      <c r="A1224" s="17">
        <v>0</v>
      </c>
      <c r="B1224" s="18"/>
      <c r="C1224" s="17">
        <v>0</v>
      </c>
      <c r="D1224" s="19">
        <v>0</v>
      </c>
      <c r="F1224" s="3">
        <f t="shared" si="19"/>
        <v>0</v>
      </c>
    </row>
    <row r="1225" spans="1:6" x14ac:dyDescent="0.2">
      <c r="A1225" s="17" t="s">
        <v>8033</v>
      </c>
      <c r="B1225" s="18" t="s">
        <v>8034</v>
      </c>
      <c r="C1225" s="17" t="s">
        <v>255</v>
      </c>
      <c r="D1225" s="19">
        <v>26.88</v>
      </c>
      <c r="F1225" s="3" t="str">
        <f t="shared" si="19"/>
        <v>C5214</v>
      </c>
    </row>
    <row r="1226" spans="1:6" ht="22.5" x14ac:dyDescent="0.2">
      <c r="A1226" s="17" t="s">
        <v>8035</v>
      </c>
      <c r="B1226" s="18" t="s">
        <v>8036</v>
      </c>
      <c r="C1226" s="17" t="s">
        <v>26</v>
      </c>
      <c r="D1226" s="19">
        <v>212.82</v>
      </c>
      <c r="F1226" s="3" t="str">
        <f t="shared" si="19"/>
        <v>C4490</v>
      </c>
    </row>
    <row r="1227" spans="1:6" x14ac:dyDescent="0.2">
      <c r="A1227" s="17">
        <v>0</v>
      </c>
      <c r="B1227" s="18"/>
      <c r="C1227" s="17">
        <v>0</v>
      </c>
      <c r="D1227" s="19">
        <v>0</v>
      </c>
      <c r="F1227" s="3">
        <f t="shared" si="19"/>
        <v>0</v>
      </c>
    </row>
    <row r="1228" spans="1:6" ht="22.5" x14ac:dyDescent="0.2">
      <c r="A1228" s="17" t="s">
        <v>8037</v>
      </c>
      <c r="B1228" s="18" t="s">
        <v>8038</v>
      </c>
      <c r="C1228" s="17" t="s">
        <v>26</v>
      </c>
      <c r="D1228" s="19">
        <v>228.83</v>
      </c>
      <c r="F1228" s="3" t="str">
        <f t="shared" si="19"/>
        <v>C4491</v>
      </c>
    </row>
    <row r="1229" spans="1:6" x14ac:dyDescent="0.2">
      <c r="A1229" s="17">
        <v>0</v>
      </c>
      <c r="B1229" s="18"/>
      <c r="C1229" s="17">
        <v>0</v>
      </c>
      <c r="D1229" s="19">
        <v>0</v>
      </c>
      <c r="F1229" s="3">
        <f t="shared" si="19"/>
        <v>0</v>
      </c>
    </row>
    <row r="1230" spans="1:6" x14ac:dyDescent="0.2">
      <c r="A1230" s="17" t="s">
        <v>8039</v>
      </c>
      <c r="B1230" s="18" t="s">
        <v>8040</v>
      </c>
      <c r="C1230" s="17" t="s">
        <v>255</v>
      </c>
      <c r="D1230" s="19">
        <v>179.43</v>
      </c>
      <c r="F1230" s="3" t="str">
        <f t="shared" si="19"/>
        <v>C4492</v>
      </c>
    </row>
    <row r="1231" spans="1:6" x14ac:dyDescent="0.2">
      <c r="A1231" s="17">
        <v>0</v>
      </c>
      <c r="B1231" s="18"/>
      <c r="C1231" s="17">
        <v>0</v>
      </c>
      <c r="D1231" s="19">
        <v>0</v>
      </c>
      <c r="F1231" s="3">
        <f t="shared" si="19"/>
        <v>0</v>
      </c>
    </row>
    <row r="1232" spans="1:6" x14ac:dyDescent="0.2">
      <c r="A1232" s="14" t="s">
        <v>8041</v>
      </c>
      <c r="B1232" s="15"/>
      <c r="C1232" s="14">
        <v>0</v>
      </c>
      <c r="D1232" s="16">
        <v>3013.95</v>
      </c>
      <c r="F1232" s="3" t="str">
        <f t="shared" si="19"/>
        <v>ELEMENTOS VAZADOS</v>
      </c>
    </row>
    <row r="1233" spans="1:6" x14ac:dyDescent="0.2">
      <c r="A1233" s="17" t="s">
        <v>8042</v>
      </c>
      <c r="B1233" s="18" t="s">
        <v>8043</v>
      </c>
      <c r="C1233" s="17" t="s">
        <v>255</v>
      </c>
      <c r="D1233" s="19">
        <v>524.41999999999996</v>
      </c>
      <c r="F1233" s="3" t="str">
        <f t="shared" si="19"/>
        <v>C1177</v>
      </c>
    </row>
    <row r="1234" spans="1:6" x14ac:dyDescent="0.2">
      <c r="A1234" s="17" t="s">
        <v>8044</v>
      </c>
      <c r="B1234" s="18" t="s">
        <v>8045</v>
      </c>
      <c r="C1234" s="17" t="s">
        <v>255</v>
      </c>
      <c r="D1234" s="19">
        <v>126.65</v>
      </c>
      <c r="F1234" s="3" t="str">
        <f t="shared" si="19"/>
        <v>C1174</v>
      </c>
    </row>
    <row r="1235" spans="1:6" x14ac:dyDescent="0.2">
      <c r="A1235" s="17">
        <v>0</v>
      </c>
      <c r="B1235" s="18"/>
      <c r="C1235" s="17">
        <v>0</v>
      </c>
      <c r="D1235" s="19">
        <v>0</v>
      </c>
      <c r="F1235" s="3">
        <f t="shared" si="19"/>
        <v>0</v>
      </c>
    </row>
    <row r="1236" spans="1:6" ht="22.5" x14ac:dyDescent="0.2">
      <c r="A1236" s="17" t="s">
        <v>8046</v>
      </c>
      <c r="B1236" s="18" t="s">
        <v>8047</v>
      </c>
      <c r="C1236" s="17" t="s">
        <v>255</v>
      </c>
      <c r="D1236" s="19">
        <v>300.45</v>
      </c>
      <c r="F1236" s="3" t="str">
        <f t="shared" si="19"/>
        <v>C1175</v>
      </c>
    </row>
    <row r="1237" spans="1:6" x14ac:dyDescent="0.2">
      <c r="A1237" s="17">
        <v>0</v>
      </c>
      <c r="B1237" s="18"/>
      <c r="C1237" s="17">
        <v>0</v>
      </c>
      <c r="D1237" s="19">
        <v>0</v>
      </c>
      <c r="F1237" s="3">
        <f t="shared" si="19"/>
        <v>0</v>
      </c>
    </row>
    <row r="1238" spans="1:6" ht="22.5" x14ac:dyDescent="0.2">
      <c r="A1238" s="17" t="s">
        <v>8048</v>
      </c>
      <c r="B1238" s="18" t="s">
        <v>8049</v>
      </c>
      <c r="C1238" s="17" t="s">
        <v>255</v>
      </c>
      <c r="D1238" s="19">
        <v>246.66</v>
      </c>
      <c r="F1238" s="3" t="str">
        <f t="shared" si="19"/>
        <v>C1176</v>
      </c>
    </row>
    <row r="1239" spans="1:6" x14ac:dyDescent="0.2">
      <c r="A1239" s="17">
        <v>0</v>
      </c>
      <c r="B1239" s="18"/>
      <c r="C1239" s="17">
        <v>0</v>
      </c>
      <c r="D1239" s="19">
        <v>0</v>
      </c>
      <c r="F1239" s="3">
        <f t="shared" si="19"/>
        <v>0</v>
      </c>
    </row>
    <row r="1240" spans="1:6" ht="22.5" x14ac:dyDescent="0.2">
      <c r="A1240" s="17" t="s">
        <v>8050</v>
      </c>
      <c r="B1240" s="18" t="s">
        <v>8051</v>
      </c>
      <c r="C1240" s="17" t="s">
        <v>255</v>
      </c>
      <c r="D1240" s="19">
        <v>313.27999999999997</v>
      </c>
      <c r="F1240" s="3" t="str">
        <f t="shared" si="19"/>
        <v>C0051</v>
      </c>
    </row>
    <row r="1241" spans="1:6" x14ac:dyDescent="0.2">
      <c r="A1241" s="17">
        <v>0</v>
      </c>
      <c r="B1241" s="18"/>
      <c r="C1241" s="17">
        <v>0</v>
      </c>
      <c r="D1241" s="19">
        <v>0</v>
      </c>
      <c r="F1241" s="3">
        <f t="shared" si="19"/>
        <v>0</v>
      </c>
    </row>
    <row r="1242" spans="1:6" ht="22.5" x14ac:dyDescent="0.2">
      <c r="A1242" s="17" t="s">
        <v>8052</v>
      </c>
      <c r="B1242" s="18" t="s">
        <v>8053</v>
      </c>
      <c r="C1242" s="17" t="s">
        <v>255</v>
      </c>
      <c r="D1242" s="19">
        <v>130.91</v>
      </c>
      <c r="F1242" s="3" t="str">
        <f t="shared" si="19"/>
        <v>C0052</v>
      </c>
    </row>
    <row r="1243" spans="1:6" x14ac:dyDescent="0.2">
      <c r="A1243" s="17">
        <v>0</v>
      </c>
      <c r="B1243" s="18"/>
      <c r="C1243" s="17">
        <v>0</v>
      </c>
      <c r="D1243" s="19">
        <v>0</v>
      </c>
      <c r="F1243" s="3">
        <f t="shared" si="19"/>
        <v>0</v>
      </c>
    </row>
    <row r="1244" spans="1:6" x14ac:dyDescent="0.2">
      <c r="A1244" s="17" t="s">
        <v>8054</v>
      </c>
      <c r="B1244" s="18" t="s">
        <v>8055</v>
      </c>
      <c r="C1244" s="17" t="s">
        <v>255</v>
      </c>
      <c r="D1244" s="19">
        <v>181.2</v>
      </c>
      <c r="F1244" s="3" t="str">
        <f t="shared" si="19"/>
        <v>C0804</v>
      </c>
    </row>
    <row r="1245" spans="1:6" x14ac:dyDescent="0.2">
      <c r="A1245" s="17" t="s">
        <v>8056</v>
      </c>
      <c r="B1245" s="21" t="s">
        <v>8057</v>
      </c>
      <c r="C1245" s="17" t="s">
        <v>255</v>
      </c>
      <c r="D1245" s="19">
        <v>142.94999999999999</v>
      </c>
      <c r="F1245" s="3" t="str">
        <f t="shared" si="19"/>
        <v>C0805</v>
      </c>
    </row>
    <row r="1246" spans="1:6" x14ac:dyDescent="0.2">
      <c r="A1246" s="17" t="s">
        <v>8058</v>
      </c>
      <c r="B1246" s="18" t="s">
        <v>8059</v>
      </c>
      <c r="C1246" s="17" t="s">
        <v>255</v>
      </c>
      <c r="D1246" s="19">
        <v>140</v>
      </c>
      <c r="F1246" s="3" t="str">
        <f t="shared" si="19"/>
        <v>C0806</v>
      </c>
    </row>
    <row r="1247" spans="1:6" x14ac:dyDescent="0.2">
      <c r="A1247" s="17">
        <v>0</v>
      </c>
      <c r="B1247" s="18"/>
      <c r="C1247" s="17">
        <v>0</v>
      </c>
      <c r="D1247" s="19">
        <v>0</v>
      </c>
      <c r="F1247" s="3">
        <f t="shared" si="19"/>
        <v>0</v>
      </c>
    </row>
    <row r="1248" spans="1:6" x14ac:dyDescent="0.2">
      <c r="A1248" s="17" t="s">
        <v>8060</v>
      </c>
      <c r="B1248" s="18" t="s">
        <v>8061</v>
      </c>
      <c r="C1248" s="17" t="s">
        <v>255</v>
      </c>
      <c r="D1248" s="19">
        <v>748.79</v>
      </c>
      <c r="F1248" s="3" t="str">
        <f t="shared" si="19"/>
        <v>C4525</v>
      </c>
    </row>
    <row r="1249" spans="1:6" x14ac:dyDescent="0.2">
      <c r="A1249" s="17" t="s">
        <v>8062</v>
      </c>
      <c r="B1249" s="18" t="s">
        <v>8063</v>
      </c>
      <c r="C1249" s="17" t="s">
        <v>255</v>
      </c>
      <c r="D1249" s="19">
        <v>158.63999999999999</v>
      </c>
      <c r="F1249" s="3" t="str">
        <f t="shared" si="19"/>
        <v>C3534</v>
      </c>
    </row>
    <row r="1250" spans="1:6" x14ac:dyDescent="0.2">
      <c r="A1250" s="14" t="s">
        <v>8064</v>
      </c>
      <c r="B1250" s="15"/>
      <c r="C1250" s="14">
        <v>0</v>
      </c>
      <c r="D1250" s="16">
        <v>3732.19</v>
      </c>
      <c r="F1250" s="3" t="str">
        <f t="shared" si="19"/>
        <v>VERGAS E CHAPIM</v>
      </c>
    </row>
    <row r="1251" spans="1:6" x14ac:dyDescent="0.2">
      <c r="A1251" s="17" t="s">
        <v>8065</v>
      </c>
      <c r="B1251" s="18" t="s">
        <v>8066</v>
      </c>
      <c r="C1251" s="17" t="s">
        <v>255</v>
      </c>
      <c r="D1251" s="19">
        <v>348.79</v>
      </c>
      <c r="F1251" s="3" t="str">
        <f t="shared" si="19"/>
        <v>C3521</v>
      </c>
    </row>
    <row r="1252" spans="1:6" x14ac:dyDescent="0.2">
      <c r="A1252" s="17" t="s">
        <v>8067</v>
      </c>
      <c r="B1252" s="18" t="s">
        <v>8068</v>
      </c>
      <c r="C1252" s="17" t="s">
        <v>255</v>
      </c>
      <c r="D1252" s="19">
        <v>136.66</v>
      </c>
      <c r="F1252" s="3" t="str">
        <f t="shared" si="19"/>
        <v>C0773</v>
      </c>
    </row>
    <row r="1253" spans="1:6" x14ac:dyDescent="0.2">
      <c r="A1253" s="17" t="s">
        <v>8069</v>
      </c>
      <c r="B1253" s="18" t="s">
        <v>8070</v>
      </c>
      <c r="C1253" s="17" t="s">
        <v>271</v>
      </c>
      <c r="D1253" s="19">
        <v>1351.95</v>
      </c>
      <c r="F1253" s="3" t="str">
        <f t="shared" si="19"/>
        <v>C3532</v>
      </c>
    </row>
    <row r="1254" spans="1:6" x14ac:dyDescent="0.2">
      <c r="A1254" s="17" t="s">
        <v>8071</v>
      </c>
      <c r="B1254" s="18" t="s">
        <v>8072</v>
      </c>
      <c r="C1254" s="17" t="s">
        <v>0</v>
      </c>
      <c r="D1254" s="19">
        <v>86.39</v>
      </c>
      <c r="F1254" s="3" t="str">
        <f t="shared" si="19"/>
        <v>C2665</v>
      </c>
    </row>
    <row r="1255" spans="1:6" x14ac:dyDescent="0.2">
      <c r="A1255" s="17" t="s">
        <v>8073</v>
      </c>
      <c r="B1255" s="18" t="s">
        <v>8074</v>
      </c>
      <c r="C1255" s="17" t="s">
        <v>271</v>
      </c>
      <c r="D1255" s="19">
        <v>1808.4</v>
      </c>
      <c r="F1255" s="3" t="str">
        <f t="shared" si="19"/>
        <v>C2666</v>
      </c>
    </row>
    <row r="1256" spans="1:6" x14ac:dyDescent="0.2">
      <c r="A1256" s="14" t="s">
        <v>7834</v>
      </c>
      <c r="B1256" s="15"/>
      <c r="C1256" s="14">
        <v>0</v>
      </c>
      <c r="D1256" s="16">
        <v>6867.32</v>
      </c>
      <c r="F1256" s="3" t="str">
        <f t="shared" si="19"/>
        <v>OUTROS ELEMENTOS</v>
      </c>
    </row>
    <row r="1257" spans="1:6" x14ac:dyDescent="0.2">
      <c r="A1257" s="17" t="s">
        <v>8075</v>
      </c>
      <c r="B1257" s="18" t="s">
        <v>8076</v>
      </c>
      <c r="C1257" s="17" t="s">
        <v>0</v>
      </c>
      <c r="D1257" s="19">
        <v>470.69</v>
      </c>
      <c r="F1257" s="3" t="str">
        <f t="shared" si="19"/>
        <v>C0383</v>
      </c>
    </row>
    <row r="1258" spans="1:6" x14ac:dyDescent="0.2">
      <c r="A1258" s="17" t="s">
        <v>8077</v>
      </c>
      <c r="B1258" s="18" t="s">
        <v>8078</v>
      </c>
      <c r="C1258" s="17" t="s">
        <v>0</v>
      </c>
      <c r="D1258" s="19">
        <v>125.64</v>
      </c>
      <c r="F1258" s="3" t="str">
        <f t="shared" si="19"/>
        <v>C0384</v>
      </c>
    </row>
    <row r="1259" spans="1:6" x14ac:dyDescent="0.2">
      <c r="A1259" s="17" t="s">
        <v>8079</v>
      </c>
      <c r="B1259" s="18" t="s">
        <v>8080</v>
      </c>
      <c r="C1259" s="17" t="s">
        <v>255</v>
      </c>
      <c r="D1259" s="19">
        <v>867.47</v>
      </c>
      <c r="F1259" s="3" t="str">
        <f t="shared" si="19"/>
        <v>C4501</v>
      </c>
    </row>
    <row r="1260" spans="1:6" x14ac:dyDescent="0.2">
      <c r="A1260" s="17" t="s">
        <v>8081</v>
      </c>
      <c r="B1260" s="18" t="s">
        <v>8082</v>
      </c>
      <c r="C1260" s="17" t="s">
        <v>255</v>
      </c>
      <c r="D1260" s="19">
        <v>609.74</v>
      </c>
      <c r="F1260" s="3" t="str">
        <f t="shared" si="19"/>
        <v>C4444</v>
      </c>
    </row>
    <row r="1261" spans="1:6" x14ac:dyDescent="0.2">
      <c r="A1261" s="17" t="s">
        <v>8083</v>
      </c>
      <c r="B1261" s="18" t="s">
        <v>8084</v>
      </c>
      <c r="C1261" s="17" t="s">
        <v>255</v>
      </c>
      <c r="D1261" s="19">
        <v>286.99</v>
      </c>
      <c r="F1261" s="3" t="str">
        <f t="shared" si="19"/>
        <v>C1391</v>
      </c>
    </row>
    <row r="1262" spans="1:6" x14ac:dyDescent="0.2">
      <c r="A1262" s="17" t="s">
        <v>8085</v>
      </c>
      <c r="B1262" s="18" t="s">
        <v>8086</v>
      </c>
      <c r="C1262" s="17" t="s">
        <v>255</v>
      </c>
      <c r="D1262" s="19">
        <v>370.04</v>
      </c>
      <c r="F1262" s="3" t="str">
        <f t="shared" si="19"/>
        <v>C1791</v>
      </c>
    </row>
    <row r="1263" spans="1:6" x14ac:dyDescent="0.2">
      <c r="A1263" s="17" t="s">
        <v>8087</v>
      </c>
      <c r="B1263" s="18" t="s">
        <v>8088</v>
      </c>
      <c r="C1263" s="17" t="s">
        <v>255</v>
      </c>
      <c r="D1263" s="19">
        <v>895.23</v>
      </c>
      <c r="F1263" s="3" t="str">
        <f t="shared" si="19"/>
        <v>C1836</v>
      </c>
    </row>
    <row r="1264" spans="1:6" x14ac:dyDescent="0.2">
      <c r="A1264" s="17" t="s">
        <v>8089</v>
      </c>
      <c r="B1264" s="18" t="s">
        <v>8090</v>
      </c>
      <c r="C1264" s="17" t="s">
        <v>255</v>
      </c>
      <c r="D1264" s="19">
        <v>913.83</v>
      </c>
      <c r="F1264" s="3" t="str">
        <f t="shared" si="19"/>
        <v>C1837</v>
      </c>
    </row>
    <row r="1265" spans="1:6" x14ac:dyDescent="0.2">
      <c r="A1265" s="17" t="s">
        <v>8091</v>
      </c>
      <c r="B1265" s="18" t="s">
        <v>8092</v>
      </c>
      <c r="C1265" s="17" t="s">
        <v>0</v>
      </c>
      <c r="D1265" s="19">
        <v>59.06</v>
      </c>
      <c r="F1265" s="3" t="str">
        <f t="shared" si="19"/>
        <v>C1897</v>
      </c>
    </row>
    <row r="1266" spans="1:6" x14ac:dyDescent="0.2">
      <c r="A1266" s="17" t="s">
        <v>8093</v>
      </c>
      <c r="B1266" s="18" t="s">
        <v>8094</v>
      </c>
      <c r="C1266" s="17" t="s">
        <v>26</v>
      </c>
      <c r="D1266" s="19">
        <v>410.13</v>
      </c>
      <c r="F1266" s="3" t="str">
        <f t="shared" si="19"/>
        <v>C0032</v>
      </c>
    </row>
    <row r="1267" spans="1:6" ht="22.5" x14ac:dyDescent="0.2">
      <c r="A1267" s="17" t="s">
        <v>8095</v>
      </c>
      <c r="B1267" s="18" t="s">
        <v>8096</v>
      </c>
      <c r="C1267" s="17" t="s">
        <v>255</v>
      </c>
      <c r="D1267" s="19">
        <v>299.49</v>
      </c>
      <c r="F1267" s="3" t="str">
        <f t="shared" si="19"/>
        <v>C4756</v>
      </c>
    </row>
    <row r="1268" spans="1:6" x14ac:dyDescent="0.2">
      <c r="A1268" s="17">
        <v>0</v>
      </c>
      <c r="B1268" s="18"/>
      <c r="C1268" s="17">
        <v>0</v>
      </c>
      <c r="D1268" s="19">
        <v>0</v>
      </c>
      <c r="F1268" s="3">
        <f t="shared" si="19"/>
        <v>0</v>
      </c>
    </row>
    <row r="1269" spans="1:6" x14ac:dyDescent="0.2">
      <c r="A1269" s="17" t="s">
        <v>8097</v>
      </c>
      <c r="B1269" s="18" t="s">
        <v>8098</v>
      </c>
      <c r="C1269" s="17" t="s">
        <v>255</v>
      </c>
      <c r="D1269" s="19">
        <v>175.35</v>
      </c>
      <c r="F1269" s="3" t="str">
        <f t="shared" si="19"/>
        <v>C2910</v>
      </c>
    </row>
    <row r="1270" spans="1:6" x14ac:dyDescent="0.2">
      <c r="A1270" s="17" t="s">
        <v>8099</v>
      </c>
      <c r="B1270" s="18" t="s">
        <v>8100</v>
      </c>
      <c r="C1270" s="17" t="s">
        <v>255</v>
      </c>
      <c r="D1270" s="19">
        <v>367.8</v>
      </c>
      <c r="F1270" s="3" t="str">
        <f t="shared" si="19"/>
        <v>C2023</v>
      </c>
    </row>
    <row r="1271" spans="1:6" x14ac:dyDescent="0.2">
      <c r="A1271" s="17" t="s">
        <v>8101</v>
      </c>
      <c r="B1271" s="18" t="s">
        <v>8102</v>
      </c>
      <c r="C1271" s="17" t="s">
        <v>255</v>
      </c>
      <c r="D1271" s="19">
        <v>367.8</v>
      </c>
      <c r="F1271" s="3" t="str">
        <f t="shared" si="19"/>
        <v>C2024</v>
      </c>
    </row>
    <row r="1272" spans="1:6" x14ac:dyDescent="0.2">
      <c r="A1272" s="17" t="s">
        <v>8103</v>
      </c>
      <c r="B1272" s="18" t="s">
        <v>8104</v>
      </c>
      <c r="C1272" s="17" t="s">
        <v>255</v>
      </c>
      <c r="D1272" s="19">
        <v>174.55</v>
      </c>
      <c r="F1272" s="3" t="str">
        <f t="shared" si="19"/>
        <v>C2021</v>
      </c>
    </row>
    <row r="1273" spans="1:6" x14ac:dyDescent="0.2">
      <c r="A1273" s="17" t="s">
        <v>8105</v>
      </c>
      <c r="B1273" s="18" t="s">
        <v>8106</v>
      </c>
      <c r="C1273" s="17" t="s">
        <v>255</v>
      </c>
      <c r="D1273" s="19">
        <v>196.14</v>
      </c>
      <c r="F1273" s="3" t="str">
        <f t="shared" si="19"/>
        <v>C2022</v>
      </c>
    </row>
    <row r="1274" spans="1:6" ht="22.5" x14ac:dyDescent="0.2">
      <c r="A1274" s="17" t="s">
        <v>8107</v>
      </c>
      <c r="B1274" s="18" t="s">
        <v>8108</v>
      </c>
      <c r="C1274" s="17" t="s">
        <v>255</v>
      </c>
      <c r="D1274" s="19">
        <v>262.52999999999997</v>
      </c>
      <c r="F1274" s="3" t="str">
        <f t="shared" si="19"/>
        <v>C4757</v>
      </c>
    </row>
    <row r="1275" spans="1:6" x14ac:dyDescent="0.2">
      <c r="A1275" s="17">
        <v>0</v>
      </c>
      <c r="B1275" s="18"/>
      <c r="C1275" s="17">
        <v>0</v>
      </c>
      <c r="D1275" s="19">
        <v>0</v>
      </c>
      <c r="F1275" s="3">
        <f t="shared" si="19"/>
        <v>0</v>
      </c>
    </row>
    <row r="1276" spans="1:6" x14ac:dyDescent="0.2">
      <c r="A1276" s="17" t="s">
        <v>8109</v>
      </c>
      <c r="B1276" s="18" t="s">
        <v>8110</v>
      </c>
      <c r="C1276" s="17" t="s">
        <v>26</v>
      </c>
      <c r="D1276" s="19">
        <v>14.84</v>
      </c>
      <c r="F1276" s="3" t="str">
        <f t="shared" si="19"/>
        <v>C3674</v>
      </c>
    </row>
    <row r="1277" spans="1:6" x14ac:dyDescent="0.2">
      <c r="A1277" s="17">
        <v>0</v>
      </c>
      <c r="B1277" s="18"/>
      <c r="C1277" s="17">
        <v>0</v>
      </c>
      <c r="D1277" s="19">
        <v>0</v>
      </c>
      <c r="F1277" s="3">
        <f t="shared" si="19"/>
        <v>0</v>
      </c>
    </row>
    <row r="1278" spans="1:6" x14ac:dyDescent="0.2">
      <c r="A1278" s="14" t="s">
        <v>8111</v>
      </c>
      <c r="B1278" s="15"/>
      <c r="C1278" s="14">
        <v>0</v>
      </c>
      <c r="D1278" s="16">
        <v>94042.55</v>
      </c>
      <c r="F1278" s="3" t="str">
        <f t="shared" si="19"/>
        <v>ESQUADRIAS E FERRAGENS</v>
      </c>
    </row>
    <row r="1279" spans="1:6" x14ac:dyDescent="0.2">
      <c r="A1279" s="14" t="s">
        <v>8112</v>
      </c>
      <c r="B1279" s="15"/>
      <c r="C1279" s="14">
        <v>0</v>
      </c>
      <c r="D1279" s="16">
        <v>43147.519999999997</v>
      </c>
      <c r="F1279" s="3" t="str">
        <f t="shared" si="19"/>
        <v>ESQUADRIAS DE MADEIRA</v>
      </c>
    </row>
    <row r="1280" spans="1:6" x14ac:dyDescent="0.2">
      <c r="A1280" s="17" t="s">
        <v>8113</v>
      </c>
      <c r="B1280" s="18" t="s">
        <v>8114</v>
      </c>
      <c r="C1280" s="17" t="s">
        <v>255</v>
      </c>
      <c r="D1280" s="19">
        <v>196.63</v>
      </c>
      <c r="F1280" s="3" t="str">
        <f t="shared" si="19"/>
        <v>C0363</v>
      </c>
    </row>
    <row r="1281" spans="1:6" x14ac:dyDescent="0.2">
      <c r="A1281" s="17" t="s">
        <v>8115</v>
      </c>
      <c r="B1281" s="18" t="s">
        <v>8116</v>
      </c>
      <c r="C1281" s="17" t="s">
        <v>255</v>
      </c>
      <c r="D1281" s="19">
        <v>462.74</v>
      </c>
      <c r="F1281" s="3" t="str">
        <f t="shared" si="19"/>
        <v>C1284</v>
      </c>
    </row>
    <row r="1282" spans="1:6" x14ac:dyDescent="0.2">
      <c r="A1282" s="17" t="s">
        <v>8117</v>
      </c>
      <c r="B1282" s="18" t="s">
        <v>8118</v>
      </c>
      <c r="C1282" s="17" t="s">
        <v>26</v>
      </c>
      <c r="D1282" s="19">
        <v>402.98</v>
      </c>
      <c r="F1282" s="3" t="str">
        <f t="shared" ref="F1282:F1345" si="20">A1282</f>
        <v>C3544</v>
      </c>
    </row>
    <row r="1283" spans="1:6" x14ac:dyDescent="0.2">
      <c r="A1283" s="17" t="s">
        <v>8119</v>
      </c>
      <c r="B1283" s="18" t="s">
        <v>8120</v>
      </c>
      <c r="C1283" s="17" t="s">
        <v>255</v>
      </c>
      <c r="D1283" s="19">
        <v>318.05</v>
      </c>
      <c r="F1283" s="3" t="str">
        <f t="shared" si="20"/>
        <v>C1519</v>
      </c>
    </row>
    <row r="1284" spans="1:6" x14ac:dyDescent="0.2">
      <c r="A1284" s="17" t="s">
        <v>8121</v>
      </c>
      <c r="B1284" s="18" t="s">
        <v>8122</v>
      </c>
      <c r="C1284" s="17" t="s">
        <v>26</v>
      </c>
      <c r="D1284" s="19">
        <v>305.51</v>
      </c>
      <c r="F1284" s="3" t="str">
        <f t="shared" si="20"/>
        <v>C3543</v>
      </c>
    </row>
    <row r="1285" spans="1:6" x14ac:dyDescent="0.2">
      <c r="A1285" s="17" t="s">
        <v>8123</v>
      </c>
      <c r="B1285" s="18" t="s">
        <v>8124</v>
      </c>
      <c r="C1285" s="17" t="s">
        <v>26</v>
      </c>
      <c r="D1285" s="19">
        <v>354.93</v>
      </c>
      <c r="F1285" s="3" t="str">
        <f t="shared" si="20"/>
        <v>C3541</v>
      </c>
    </row>
    <row r="1286" spans="1:6" ht="22.5" x14ac:dyDescent="0.2">
      <c r="A1286" s="17" t="s">
        <v>8125</v>
      </c>
      <c r="B1286" s="18" t="s">
        <v>8126</v>
      </c>
      <c r="C1286" s="17" t="s">
        <v>26</v>
      </c>
      <c r="D1286" s="19">
        <v>426.61</v>
      </c>
      <c r="F1286" s="3" t="str">
        <f t="shared" si="20"/>
        <v>C3537</v>
      </c>
    </row>
    <row r="1287" spans="1:6" x14ac:dyDescent="0.2">
      <c r="A1287" s="17">
        <v>0</v>
      </c>
      <c r="B1287" s="18"/>
      <c r="C1287" s="17">
        <v>0</v>
      </c>
      <c r="D1287" s="19">
        <v>0</v>
      </c>
      <c r="F1287" s="3">
        <f t="shared" si="20"/>
        <v>0</v>
      </c>
    </row>
    <row r="1288" spans="1:6" ht="22.5" x14ac:dyDescent="0.2">
      <c r="A1288" s="17" t="s">
        <v>8127</v>
      </c>
      <c r="B1288" s="18" t="s">
        <v>8128</v>
      </c>
      <c r="C1288" s="17" t="s">
        <v>26</v>
      </c>
      <c r="D1288" s="19">
        <v>373.49</v>
      </c>
      <c r="F1288" s="3" t="str">
        <f t="shared" si="20"/>
        <v>C3539</v>
      </c>
    </row>
    <row r="1289" spans="1:6" x14ac:dyDescent="0.2">
      <c r="A1289" s="17">
        <v>0</v>
      </c>
      <c r="B1289" s="18"/>
      <c r="C1289" s="17">
        <v>0</v>
      </c>
      <c r="D1289" s="19">
        <v>0</v>
      </c>
      <c r="F1289" s="3">
        <f t="shared" si="20"/>
        <v>0</v>
      </c>
    </row>
    <row r="1290" spans="1:6" x14ac:dyDescent="0.2">
      <c r="A1290" s="17" t="s">
        <v>8129</v>
      </c>
      <c r="B1290" s="18" t="s">
        <v>8130</v>
      </c>
      <c r="C1290" s="17" t="s">
        <v>255</v>
      </c>
      <c r="D1290" s="19">
        <v>184.42</v>
      </c>
      <c r="F1290" s="3" t="str">
        <f t="shared" si="20"/>
        <v>C1959</v>
      </c>
    </row>
    <row r="1291" spans="1:6" x14ac:dyDescent="0.2">
      <c r="A1291" s="17" t="s">
        <v>8131</v>
      </c>
      <c r="B1291" s="18" t="s">
        <v>8132</v>
      </c>
      <c r="C1291" s="17" t="s">
        <v>255</v>
      </c>
      <c r="D1291" s="19">
        <v>192.33</v>
      </c>
      <c r="F1291" s="3" t="str">
        <f t="shared" si="20"/>
        <v>C1960</v>
      </c>
    </row>
    <row r="1292" spans="1:6" x14ac:dyDescent="0.2">
      <c r="A1292" s="17" t="s">
        <v>8133</v>
      </c>
      <c r="B1292" s="18" t="s">
        <v>8134</v>
      </c>
      <c r="C1292" s="17" t="s">
        <v>26</v>
      </c>
      <c r="D1292" s="19">
        <v>2663.81</v>
      </c>
      <c r="F1292" s="3" t="str">
        <f t="shared" si="20"/>
        <v>C1962</v>
      </c>
    </row>
    <row r="1293" spans="1:6" x14ac:dyDescent="0.2">
      <c r="A1293" s="17" t="s">
        <v>8135</v>
      </c>
      <c r="B1293" s="18" t="s">
        <v>8136</v>
      </c>
      <c r="C1293" s="17" t="s">
        <v>26</v>
      </c>
      <c r="D1293" s="19">
        <v>3497.66</v>
      </c>
      <c r="F1293" s="3" t="str">
        <f t="shared" si="20"/>
        <v>C1963</v>
      </c>
    </row>
    <row r="1294" spans="1:6" x14ac:dyDescent="0.2">
      <c r="A1294" s="17" t="s">
        <v>8137</v>
      </c>
      <c r="B1294" s="18" t="s">
        <v>8138</v>
      </c>
      <c r="C1294" s="17" t="s">
        <v>26</v>
      </c>
      <c r="D1294" s="19">
        <v>5165.37</v>
      </c>
      <c r="F1294" s="3" t="str">
        <f t="shared" si="20"/>
        <v>C1961</v>
      </c>
    </row>
    <row r="1295" spans="1:6" x14ac:dyDescent="0.2">
      <c r="A1295" s="17" t="s">
        <v>8139</v>
      </c>
      <c r="B1295" s="18" t="s">
        <v>8140</v>
      </c>
      <c r="C1295" s="17" t="s">
        <v>26</v>
      </c>
      <c r="D1295" s="19">
        <v>940.75</v>
      </c>
      <c r="F1295" s="3" t="str">
        <f t="shared" si="20"/>
        <v>C1977</v>
      </c>
    </row>
    <row r="1296" spans="1:6" x14ac:dyDescent="0.2">
      <c r="A1296" s="17" t="s">
        <v>8141</v>
      </c>
      <c r="B1296" s="18" t="s">
        <v>8142</v>
      </c>
      <c r="C1296" s="17" t="s">
        <v>26</v>
      </c>
      <c r="D1296" s="19">
        <v>990.83</v>
      </c>
      <c r="F1296" s="3" t="str">
        <f t="shared" si="20"/>
        <v>C1978</v>
      </c>
    </row>
    <row r="1297" spans="1:6" x14ac:dyDescent="0.2">
      <c r="A1297" s="17" t="s">
        <v>8143</v>
      </c>
      <c r="B1297" s="18" t="s">
        <v>8144</v>
      </c>
      <c r="C1297" s="17" t="s">
        <v>26</v>
      </c>
      <c r="D1297" s="19">
        <v>1013.52</v>
      </c>
      <c r="F1297" s="3" t="str">
        <f t="shared" si="20"/>
        <v>C1979</v>
      </c>
    </row>
    <row r="1298" spans="1:6" x14ac:dyDescent="0.2">
      <c r="A1298" s="17" t="s">
        <v>8145</v>
      </c>
      <c r="B1298" s="18" t="s">
        <v>8146</v>
      </c>
      <c r="C1298" s="17" t="s">
        <v>26</v>
      </c>
      <c r="D1298" s="19">
        <v>934.72</v>
      </c>
      <c r="F1298" s="3" t="str">
        <f t="shared" si="20"/>
        <v>C1985</v>
      </c>
    </row>
    <row r="1299" spans="1:6" x14ac:dyDescent="0.2">
      <c r="A1299" s="17" t="s">
        <v>8147</v>
      </c>
      <c r="B1299" s="18" t="s">
        <v>8148</v>
      </c>
      <c r="C1299" s="17" t="s">
        <v>26</v>
      </c>
      <c r="D1299" s="19">
        <v>958.9</v>
      </c>
      <c r="F1299" s="3" t="str">
        <f t="shared" si="20"/>
        <v>C1986</v>
      </c>
    </row>
    <row r="1300" spans="1:6" x14ac:dyDescent="0.2">
      <c r="A1300" s="17" t="s">
        <v>8149</v>
      </c>
      <c r="B1300" s="18" t="s">
        <v>8150</v>
      </c>
      <c r="C1300" s="17" t="s">
        <v>26</v>
      </c>
      <c r="D1300" s="19">
        <v>1002.81</v>
      </c>
      <c r="F1300" s="3" t="str">
        <f t="shared" si="20"/>
        <v>C1987</v>
      </c>
    </row>
    <row r="1301" spans="1:6" x14ac:dyDescent="0.2">
      <c r="A1301" s="20" t="s">
        <v>8151</v>
      </c>
      <c r="B1301" s="21" t="s">
        <v>8152</v>
      </c>
      <c r="C1301" s="20" t="s">
        <v>26</v>
      </c>
      <c r="D1301" s="22">
        <v>1052.8900000000001</v>
      </c>
      <c r="F1301" s="3" t="str">
        <f t="shared" si="20"/>
        <v>C1988</v>
      </c>
    </row>
    <row r="1302" spans="1:6" x14ac:dyDescent="0.2">
      <c r="A1302" s="17" t="s">
        <v>8153</v>
      </c>
      <c r="B1302" s="18" t="s">
        <v>8154</v>
      </c>
      <c r="C1302" s="17" t="s">
        <v>26</v>
      </c>
      <c r="D1302" s="19">
        <v>1075.58</v>
      </c>
      <c r="F1302" s="3" t="str">
        <f t="shared" si="20"/>
        <v>C1989</v>
      </c>
    </row>
    <row r="1303" spans="1:6" x14ac:dyDescent="0.2">
      <c r="A1303" s="17" t="s">
        <v>8155</v>
      </c>
      <c r="B1303" s="18" t="s">
        <v>8156</v>
      </c>
      <c r="C1303" s="17" t="s">
        <v>26</v>
      </c>
      <c r="D1303" s="19">
        <v>1408.08</v>
      </c>
      <c r="F1303" s="3" t="str">
        <f t="shared" si="20"/>
        <v>C1974</v>
      </c>
    </row>
    <row r="1304" spans="1:6" x14ac:dyDescent="0.2">
      <c r="A1304" s="17" t="s">
        <v>8157</v>
      </c>
      <c r="B1304" s="18" t="s">
        <v>8158</v>
      </c>
      <c r="C1304" s="17" t="s">
        <v>26</v>
      </c>
      <c r="D1304" s="19">
        <v>1508.24</v>
      </c>
      <c r="F1304" s="3" t="str">
        <f t="shared" si="20"/>
        <v>C1975</v>
      </c>
    </row>
    <row r="1305" spans="1:6" x14ac:dyDescent="0.2">
      <c r="A1305" s="17" t="s">
        <v>8159</v>
      </c>
      <c r="B1305" s="18" t="s">
        <v>8160</v>
      </c>
      <c r="C1305" s="17" t="s">
        <v>26</v>
      </c>
      <c r="D1305" s="19">
        <v>1553.62</v>
      </c>
      <c r="F1305" s="3" t="str">
        <f t="shared" si="20"/>
        <v>C1976</v>
      </c>
    </row>
    <row r="1306" spans="1:6" x14ac:dyDescent="0.2">
      <c r="A1306" s="20" t="s">
        <v>8161</v>
      </c>
      <c r="B1306" s="21" t="s">
        <v>8162</v>
      </c>
      <c r="C1306" s="20" t="s">
        <v>26</v>
      </c>
      <c r="D1306" s="22">
        <v>1333.11</v>
      </c>
      <c r="F1306" s="3" t="str">
        <f t="shared" si="20"/>
        <v>C1980</v>
      </c>
    </row>
    <row r="1307" spans="1:6" x14ac:dyDescent="0.2">
      <c r="A1307" s="17" t="s">
        <v>8163</v>
      </c>
      <c r="B1307" s="18" t="s">
        <v>8164</v>
      </c>
      <c r="C1307" s="17" t="s">
        <v>26</v>
      </c>
      <c r="D1307" s="19">
        <v>1381.47</v>
      </c>
      <c r="F1307" s="3" t="str">
        <f t="shared" si="20"/>
        <v>C1981</v>
      </c>
    </row>
    <row r="1308" spans="1:6" x14ac:dyDescent="0.2">
      <c r="A1308" s="17" t="s">
        <v>8165</v>
      </c>
      <c r="B1308" s="18" t="s">
        <v>8166</v>
      </c>
      <c r="C1308" s="17" t="s">
        <v>26</v>
      </c>
      <c r="D1308" s="19">
        <v>1469.29</v>
      </c>
      <c r="F1308" s="3" t="str">
        <f t="shared" si="20"/>
        <v>C1982</v>
      </c>
    </row>
    <row r="1309" spans="1:6" x14ac:dyDescent="0.2">
      <c r="A1309" s="17" t="s">
        <v>8167</v>
      </c>
      <c r="B1309" s="18" t="s">
        <v>8168</v>
      </c>
      <c r="C1309" s="17" t="s">
        <v>26</v>
      </c>
      <c r="D1309" s="19">
        <v>1569.45</v>
      </c>
      <c r="F1309" s="3" t="str">
        <f t="shared" si="20"/>
        <v>C1983</v>
      </c>
    </row>
    <row r="1310" spans="1:6" x14ac:dyDescent="0.2">
      <c r="A1310" s="17" t="s">
        <v>8169</v>
      </c>
      <c r="B1310" s="18" t="s">
        <v>8170</v>
      </c>
      <c r="C1310" s="17" t="s">
        <v>26</v>
      </c>
      <c r="D1310" s="19">
        <v>1614.83</v>
      </c>
      <c r="F1310" s="3" t="str">
        <f t="shared" si="20"/>
        <v>C1984</v>
      </c>
    </row>
    <row r="1311" spans="1:6" x14ac:dyDescent="0.2">
      <c r="A1311" s="17" t="s">
        <v>8171</v>
      </c>
      <c r="B1311" s="18" t="s">
        <v>8172</v>
      </c>
      <c r="C1311" s="17" t="s">
        <v>26</v>
      </c>
      <c r="D1311" s="19">
        <v>1374.97</v>
      </c>
      <c r="F1311" s="3" t="str">
        <f t="shared" si="20"/>
        <v>C4604</v>
      </c>
    </row>
    <row r="1312" spans="1:6" x14ac:dyDescent="0.2">
      <c r="A1312" s="17" t="s">
        <v>8173</v>
      </c>
      <c r="B1312" s="18" t="s">
        <v>8174</v>
      </c>
      <c r="C1312" s="17" t="s">
        <v>26</v>
      </c>
      <c r="D1312" s="19">
        <v>275.60000000000002</v>
      </c>
      <c r="F1312" s="3" t="str">
        <f t="shared" si="20"/>
        <v>C1992</v>
      </c>
    </row>
    <row r="1313" spans="1:6" x14ac:dyDescent="0.2">
      <c r="A1313" s="17" t="s">
        <v>8175</v>
      </c>
      <c r="B1313" s="18" t="s">
        <v>8176</v>
      </c>
      <c r="C1313" s="17" t="s">
        <v>26</v>
      </c>
      <c r="D1313" s="19">
        <v>430.68</v>
      </c>
      <c r="F1313" s="3" t="str">
        <f t="shared" si="20"/>
        <v>C3405</v>
      </c>
    </row>
    <row r="1314" spans="1:6" x14ac:dyDescent="0.2">
      <c r="A1314" s="17" t="s">
        <v>8177</v>
      </c>
      <c r="B1314" s="18" t="s">
        <v>8178</v>
      </c>
      <c r="C1314" s="17" t="s">
        <v>26</v>
      </c>
      <c r="D1314" s="19">
        <v>452.4</v>
      </c>
      <c r="F1314" s="3" t="str">
        <f t="shared" si="20"/>
        <v>C3542</v>
      </c>
    </row>
    <row r="1315" spans="1:6" ht="22.5" x14ac:dyDescent="0.2">
      <c r="A1315" s="17" t="s">
        <v>8179</v>
      </c>
      <c r="B1315" s="18" t="s">
        <v>8180</v>
      </c>
      <c r="C1315" s="17" t="s">
        <v>26</v>
      </c>
      <c r="D1315" s="19">
        <v>524.53</v>
      </c>
      <c r="F1315" s="3" t="str">
        <f t="shared" si="20"/>
        <v>C3538</v>
      </c>
    </row>
    <row r="1316" spans="1:6" x14ac:dyDescent="0.2">
      <c r="A1316" s="17">
        <v>0</v>
      </c>
      <c r="B1316" s="18"/>
      <c r="C1316" s="17">
        <v>0</v>
      </c>
      <c r="D1316" s="19">
        <v>0</v>
      </c>
      <c r="F1316" s="3">
        <f t="shared" si="20"/>
        <v>0</v>
      </c>
    </row>
    <row r="1317" spans="1:6" ht="22.5" x14ac:dyDescent="0.2">
      <c r="A1317" s="17" t="s">
        <v>8181</v>
      </c>
      <c r="B1317" s="18" t="s">
        <v>8182</v>
      </c>
      <c r="C1317" s="17" t="s">
        <v>26</v>
      </c>
      <c r="D1317" s="19">
        <v>470.96</v>
      </c>
      <c r="F1317" s="3" t="str">
        <f t="shared" si="20"/>
        <v>C3540</v>
      </c>
    </row>
    <row r="1318" spans="1:6" x14ac:dyDescent="0.2">
      <c r="A1318" s="17">
        <v>0</v>
      </c>
      <c r="B1318" s="18"/>
      <c r="C1318" s="17">
        <v>0</v>
      </c>
      <c r="D1318" s="19">
        <v>0</v>
      </c>
      <c r="F1318" s="3">
        <f t="shared" si="20"/>
        <v>0</v>
      </c>
    </row>
    <row r="1319" spans="1:6" x14ac:dyDescent="0.2">
      <c r="A1319" s="17" t="s">
        <v>8183</v>
      </c>
      <c r="B1319" s="18" t="s">
        <v>8184</v>
      </c>
      <c r="C1319" s="17" t="s">
        <v>255</v>
      </c>
      <c r="D1319" s="19">
        <v>430.3</v>
      </c>
      <c r="F1319" s="3" t="str">
        <f t="shared" si="20"/>
        <v>C1993</v>
      </c>
    </row>
    <row r="1320" spans="1:6" x14ac:dyDescent="0.2">
      <c r="A1320" s="20" t="s">
        <v>8185</v>
      </c>
      <c r="B1320" s="21" t="s">
        <v>8186</v>
      </c>
      <c r="C1320" s="20" t="s">
        <v>255</v>
      </c>
      <c r="D1320" s="22">
        <v>150.28</v>
      </c>
      <c r="F1320" s="3" t="str">
        <f t="shared" si="20"/>
        <v>C1994</v>
      </c>
    </row>
    <row r="1321" spans="1:6" x14ac:dyDescent="0.2">
      <c r="A1321" s="17" t="s">
        <v>8187</v>
      </c>
      <c r="B1321" s="18" t="s">
        <v>8188</v>
      </c>
      <c r="C1321" s="17" t="s">
        <v>26</v>
      </c>
      <c r="D1321" s="19">
        <v>362.67</v>
      </c>
      <c r="F1321" s="3" t="str">
        <f t="shared" si="20"/>
        <v>C4423</v>
      </c>
    </row>
    <row r="1322" spans="1:6" x14ac:dyDescent="0.2">
      <c r="A1322" s="17" t="s">
        <v>8189</v>
      </c>
      <c r="B1322" s="18" t="s">
        <v>8190</v>
      </c>
      <c r="C1322" s="17" t="s">
        <v>26</v>
      </c>
      <c r="D1322" s="19">
        <v>1042.77</v>
      </c>
      <c r="F1322" s="3" t="str">
        <f t="shared" si="20"/>
        <v>C4424</v>
      </c>
    </row>
    <row r="1323" spans="1:6" x14ac:dyDescent="0.2">
      <c r="A1323" s="17" t="s">
        <v>8191</v>
      </c>
      <c r="B1323" s="18" t="s">
        <v>8192</v>
      </c>
      <c r="C1323" s="17" t="s">
        <v>26</v>
      </c>
      <c r="D1323" s="19">
        <v>374.05</v>
      </c>
      <c r="F1323" s="3" t="str">
        <f t="shared" si="20"/>
        <v>C4425</v>
      </c>
    </row>
    <row r="1324" spans="1:6" x14ac:dyDescent="0.2">
      <c r="A1324" s="17" t="s">
        <v>8193</v>
      </c>
      <c r="B1324" s="18" t="s">
        <v>8194</v>
      </c>
      <c r="C1324" s="17" t="s">
        <v>26</v>
      </c>
      <c r="D1324" s="19">
        <v>1054.1500000000001</v>
      </c>
      <c r="F1324" s="3" t="str">
        <f t="shared" si="20"/>
        <v>C4426</v>
      </c>
    </row>
    <row r="1325" spans="1:6" x14ac:dyDescent="0.2">
      <c r="A1325" s="17" t="s">
        <v>8195</v>
      </c>
      <c r="B1325" s="18" t="s">
        <v>8196</v>
      </c>
      <c r="C1325" s="17" t="s">
        <v>26</v>
      </c>
      <c r="D1325" s="19">
        <v>393.17</v>
      </c>
      <c r="F1325" s="3" t="str">
        <f t="shared" si="20"/>
        <v>C4427</v>
      </c>
    </row>
    <row r="1326" spans="1:6" x14ac:dyDescent="0.2">
      <c r="A1326" s="17" t="s">
        <v>8197</v>
      </c>
      <c r="B1326" s="18" t="s">
        <v>8198</v>
      </c>
      <c r="C1326" s="17" t="s">
        <v>26</v>
      </c>
      <c r="D1326" s="19">
        <v>1073.27</v>
      </c>
      <c r="F1326" s="3" t="str">
        <f t="shared" si="20"/>
        <v>C4428</v>
      </c>
    </row>
    <row r="1327" spans="1:6" x14ac:dyDescent="0.2">
      <c r="A1327" s="17" t="s">
        <v>8199</v>
      </c>
      <c r="B1327" s="18" t="s">
        <v>8200</v>
      </c>
      <c r="C1327" s="17" t="s">
        <v>26</v>
      </c>
      <c r="D1327" s="19">
        <v>385.1</v>
      </c>
      <c r="F1327" s="3" t="str">
        <f t="shared" si="20"/>
        <v>C4396</v>
      </c>
    </row>
    <row r="1328" spans="1:6" x14ac:dyDescent="0.2">
      <c r="A1328" s="14" t="s">
        <v>8201</v>
      </c>
      <c r="B1328" s="15"/>
      <c r="C1328" s="14">
        <v>0</v>
      </c>
      <c r="D1328" s="16">
        <v>38124.85</v>
      </c>
      <c r="F1328" s="3" t="str">
        <f t="shared" si="20"/>
        <v>ESQUADRIAS METÁLICAS</v>
      </c>
    </row>
    <row r="1329" spans="1:6" x14ac:dyDescent="0.2">
      <c r="A1329" s="17" t="s">
        <v>8202</v>
      </c>
      <c r="B1329" s="18" t="s">
        <v>8203</v>
      </c>
      <c r="C1329" s="17" t="s">
        <v>26</v>
      </c>
      <c r="D1329" s="19">
        <v>2604.17</v>
      </c>
      <c r="F1329" s="3" t="str">
        <f t="shared" si="20"/>
        <v>C0807</v>
      </c>
    </row>
    <row r="1330" spans="1:6" x14ac:dyDescent="0.2">
      <c r="A1330" s="17" t="s">
        <v>8204</v>
      </c>
      <c r="B1330" s="18" t="s">
        <v>8205</v>
      </c>
      <c r="C1330" s="17" t="s">
        <v>255</v>
      </c>
      <c r="D1330" s="19">
        <v>277.82</v>
      </c>
      <c r="F1330" s="3" t="str">
        <f t="shared" si="20"/>
        <v>C4560</v>
      </c>
    </row>
    <row r="1331" spans="1:6" x14ac:dyDescent="0.2">
      <c r="A1331" s="17" t="s">
        <v>8206</v>
      </c>
      <c r="B1331" s="18" t="s">
        <v>8207</v>
      </c>
      <c r="C1331" s="17" t="s">
        <v>255</v>
      </c>
      <c r="D1331" s="19">
        <v>239.77</v>
      </c>
      <c r="F1331" s="3" t="str">
        <f t="shared" si="20"/>
        <v>C1426</v>
      </c>
    </row>
    <row r="1332" spans="1:6" x14ac:dyDescent="0.2">
      <c r="A1332" s="17" t="s">
        <v>8208</v>
      </c>
      <c r="B1332" s="18" t="s">
        <v>8209</v>
      </c>
      <c r="C1332" s="17" t="s">
        <v>255</v>
      </c>
      <c r="D1332" s="19">
        <v>453.07</v>
      </c>
      <c r="F1332" s="3" t="str">
        <f t="shared" si="20"/>
        <v>C3681</v>
      </c>
    </row>
    <row r="1333" spans="1:6" ht="22.5" x14ac:dyDescent="0.2">
      <c r="A1333" s="17" t="s">
        <v>8210</v>
      </c>
      <c r="B1333" s="18" t="s">
        <v>8211</v>
      </c>
      <c r="C1333" s="17" t="s">
        <v>255</v>
      </c>
      <c r="D1333" s="19">
        <v>1103.06</v>
      </c>
      <c r="F1333" s="3" t="str">
        <f t="shared" si="20"/>
        <v>C4955</v>
      </c>
    </row>
    <row r="1334" spans="1:6" x14ac:dyDescent="0.2">
      <c r="A1334" s="17">
        <v>0</v>
      </c>
      <c r="B1334" s="18"/>
      <c r="C1334" s="17">
        <v>0</v>
      </c>
      <c r="D1334" s="19">
        <v>0</v>
      </c>
      <c r="F1334" s="3">
        <f t="shared" si="20"/>
        <v>0</v>
      </c>
    </row>
    <row r="1335" spans="1:6" x14ac:dyDescent="0.2">
      <c r="A1335" s="17" t="s">
        <v>8212</v>
      </c>
      <c r="B1335" s="18" t="s">
        <v>8213</v>
      </c>
      <c r="C1335" s="17" t="s">
        <v>255</v>
      </c>
      <c r="D1335" s="19">
        <v>249.27</v>
      </c>
      <c r="F1335" s="3" t="str">
        <f t="shared" si="20"/>
        <v>C1437</v>
      </c>
    </row>
    <row r="1336" spans="1:6" x14ac:dyDescent="0.2">
      <c r="A1336" s="17" t="s">
        <v>8214</v>
      </c>
      <c r="B1336" s="18" t="s">
        <v>8215</v>
      </c>
      <c r="C1336" s="17" t="s">
        <v>255</v>
      </c>
      <c r="D1336" s="19">
        <v>527.57000000000005</v>
      </c>
      <c r="F1336" s="3" t="str">
        <f t="shared" si="20"/>
        <v>C4830</v>
      </c>
    </row>
    <row r="1337" spans="1:6" x14ac:dyDescent="0.2">
      <c r="A1337" s="17" t="s">
        <v>8216</v>
      </c>
      <c r="B1337" s="18" t="s">
        <v>8217</v>
      </c>
      <c r="C1337" s="17" t="s">
        <v>255</v>
      </c>
      <c r="D1337" s="19">
        <v>658.93</v>
      </c>
      <c r="F1337" s="3" t="str">
        <f t="shared" si="20"/>
        <v>C1516</v>
      </c>
    </row>
    <row r="1338" spans="1:6" x14ac:dyDescent="0.2">
      <c r="A1338" s="17" t="s">
        <v>8218</v>
      </c>
      <c r="B1338" s="18" t="s">
        <v>8219</v>
      </c>
      <c r="C1338" s="17" t="s">
        <v>255</v>
      </c>
      <c r="D1338" s="19">
        <v>363.58</v>
      </c>
      <c r="F1338" s="3" t="str">
        <f t="shared" si="20"/>
        <v>C1517</v>
      </c>
    </row>
    <row r="1339" spans="1:6" x14ac:dyDescent="0.2">
      <c r="A1339" s="17" t="s">
        <v>8220</v>
      </c>
      <c r="B1339" s="18" t="s">
        <v>8221</v>
      </c>
      <c r="C1339" s="17" t="s">
        <v>255</v>
      </c>
      <c r="D1339" s="19">
        <v>418.28</v>
      </c>
      <c r="F1339" s="3" t="str">
        <f t="shared" si="20"/>
        <v>C1518</v>
      </c>
    </row>
    <row r="1340" spans="1:6" ht="22.5" x14ac:dyDescent="0.2">
      <c r="A1340" s="17" t="s">
        <v>8222</v>
      </c>
      <c r="B1340" s="18" t="s">
        <v>8223</v>
      </c>
      <c r="C1340" s="17" t="s">
        <v>255</v>
      </c>
      <c r="D1340" s="19">
        <v>366.28</v>
      </c>
      <c r="F1340" s="3" t="str">
        <f t="shared" si="20"/>
        <v>C4515</v>
      </c>
    </row>
    <row r="1341" spans="1:6" x14ac:dyDescent="0.2">
      <c r="A1341" s="17">
        <v>0</v>
      </c>
      <c r="B1341" s="18"/>
      <c r="C1341" s="17">
        <v>0</v>
      </c>
      <c r="D1341" s="19">
        <v>0</v>
      </c>
      <c r="F1341" s="3">
        <f t="shared" si="20"/>
        <v>0</v>
      </c>
    </row>
    <row r="1342" spans="1:6" ht="22.5" x14ac:dyDescent="0.2">
      <c r="A1342" s="17" t="s">
        <v>8224</v>
      </c>
      <c r="B1342" s="18" t="s">
        <v>8225</v>
      </c>
      <c r="C1342" s="17" t="s">
        <v>255</v>
      </c>
      <c r="D1342" s="19">
        <v>311.95</v>
      </c>
      <c r="F1342" s="3" t="str">
        <f t="shared" si="20"/>
        <v>C4513</v>
      </c>
    </row>
    <row r="1343" spans="1:6" x14ac:dyDescent="0.2">
      <c r="A1343" s="17">
        <v>0</v>
      </c>
      <c r="B1343" s="18"/>
      <c r="C1343" s="17">
        <v>0</v>
      </c>
      <c r="D1343" s="19">
        <v>0</v>
      </c>
      <c r="F1343" s="3">
        <f t="shared" si="20"/>
        <v>0</v>
      </c>
    </row>
    <row r="1344" spans="1:6" ht="22.5" x14ac:dyDescent="0.2">
      <c r="A1344" s="17" t="s">
        <v>8226</v>
      </c>
      <c r="B1344" s="18" t="s">
        <v>8227</v>
      </c>
      <c r="C1344" s="17" t="s">
        <v>255</v>
      </c>
      <c r="D1344" s="19">
        <v>344.72</v>
      </c>
      <c r="F1344" s="3" t="str">
        <f t="shared" si="20"/>
        <v>C4519</v>
      </c>
    </row>
    <row r="1345" spans="1:6" x14ac:dyDescent="0.2">
      <c r="A1345" s="17">
        <v>0</v>
      </c>
      <c r="B1345" s="18"/>
      <c r="C1345" s="17">
        <v>0</v>
      </c>
      <c r="D1345" s="19">
        <v>0</v>
      </c>
      <c r="F1345" s="3">
        <f t="shared" si="20"/>
        <v>0</v>
      </c>
    </row>
    <row r="1346" spans="1:6" ht="22.5" x14ac:dyDescent="0.2">
      <c r="A1346" s="17" t="s">
        <v>8228</v>
      </c>
      <c r="B1346" s="18" t="s">
        <v>8229</v>
      </c>
      <c r="C1346" s="17" t="s">
        <v>255</v>
      </c>
      <c r="D1346" s="19">
        <v>397.68</v>
      </c>
      <c r="F1346" s="3" t="str">
        <f t="shared" ref="F1346:F1409" si="21">A1346</f>
        <v>C4521</v>
      </c>
    </row>
    <row r="1347" spans="1:6" x14ac:dyDescent="0.2">
      <c r="A1347" s="17">
        <v>0</v>
      </c>
      <c r="B1347" s="18"/>
      <c r="C1347" s="17">
        <v>0</v>
      </c>
      <c r="D1347" s="19">
        <v>0</v>
      </c>
      <c r="F1347" s="3">
        <f t="shared" si="21"/>
        <v>0</v>
      </c>
    </row>
    <row r="1348" spans="1:6" x14ac:dyDescent="0.2">
      <c r="A1348" s="17" t="s">
        <v>8230</v>
      </c>
      <c r="B1348" s="18" t="s">
        <v>8231</v>
      </c>
      <c r="C1348" s="17" t="s">
        <v>255</v>
      </c>
      <c r="D1348" s="19">
        <v>387.07</v>
      </c>
      <c r="F1348" s="3" t="str">
        <f t="shared" si="21"/>
        <v>C1958</v>
      </c>
    </row>
    <row r="1349" spans="1:6" x14ac:dyDescent="0.2">
      <c r="A1349" s="17" t="s">
        <v>8232</v>
      </c>
      <c r="B1349" s="18" t="s">
        <v>8233</v>
      </c>
      <c r="C1349" s="17" t="s">
        <v>26</v>
      </c>
      <c r="D1349" s="19">
        <v>1240.45</v>
      </c>
      <c r="F1349" s="3" t="str">
        <f t="shared" si="21"/>
        <v>C1966</v>
      </c>
    </row>
    <row r="1350" spans="1:6" x14ac:dyDescent="0.2">
      <c r="A1350" s="17" t="s">
        <v>8234</v>
      </c>
      <c r="B1350" s="18" t="s">
        <v>8235</v>
      </c>
      <c r="C1350" s="17" t="s">
        <v>26</v>
      </c>
      <c r="D1350" s="19">
        <v>1396.65</v>
      </c>
      <c r="F1350" s="3" t="str">
        <f t="shared" si="21"/>
        <v>C1964</v>
      </c>
    </row>
    <row r="1351" spans="1:6" x14ac:dyDescent="0.2">
      <c r="A1351" s="17" t="s">
        <v>8236</v>
      </c>
      <c r="B1351" s="18" t="s">
        <v>8237</v>
      </c>
      <c r="C1351" s="17" t="s">
        <v>255</v>
      </c>
      <c r="D1351" s="19">
        <v>2042.21</v>
      </c>
      <c r="F1351" s="3" t="str">
        <f t="shared" si="21"/>
        <v>C1965</v>
      </c>
    </row>
    <row r="1352" spans="1:6" x14ac:dyDescent="0.2">
      <c r="A1352" s="17" t="s">
        <v>8238</v>
      </c>
      <c r="B1352" s="18" t="s">
        <v>8239</v>
      </c>
      <c r="C1352" s="17" t="s">
        <v>255</v>
      </c>
      <c r="D1352" s="19">
        <v>359.69</v>
      </c>
      <c r="F1352" s="3" t="str">
        <f t="shared" si="21"/>
        <v>C1969</v>
      </c>
    </row>
    <row r="1353" spans="1:6" x14ac:dyDescent="0.2">
      <c r="A1353" s="17" t="s">
        <v>8240</v>
      </c>
      <c r="B1353" s="18" t="s">
        <v>8241</v>
      </c>
      <c r="C1353" s="17" t="s">
        <v>255</v>
      </c>
      <c r="D1353" s="19">
        <v>640.1</v>
      </c>
      <c r="F1353" s="3" t="str">
        <f t="shared" si="21"/>
        <v>C1967</v>
      </c>
    </row>
    <row r="1354" spans="1:6" x14ac:dyDescent="0.2">
      <c r="A1354" s="17" t="s">
        <v>8242</v>
      </c>
      <c r="B1354" s="18" t="s">
        <v>8243</v>
      </c>
      <c r="C1354" s="17" t="s">
        <v>255</v>
      </c>
      <c r="D1354" s="19">
        <v>447.85</v>
      </c>
      <c r="F1354" s="3" t="str">
        <f t="shared" si="21"/>
        <v>C1968</v>
      </c>
    </row>
    <row r="1355" spans="1:6" x14ac:dyDescent="0.2">
      <c r="A1355" s="17" t="s">
        <v>8244</v>
      </c>
      <c r="B1355" s="18" t="s">
        <v>8245</v>
      </c>
      <c r="C1355" s="17" t="s">
        <v>255</v>
      </c>
      <c r="D1355" s="19">
        <v>494.39</v>
      </c>
      <c r="F1355" s="3" t="str">
        <f t="shared" si="21"/>
        <v>C1973</v>
      </c>
    </row>
    <row r="1356" spans="1:6" x14ac:dyDescent="0.2">
      <c r="A1356" s="17" t="s">
        <v>8246</v>
      </c>
      <c r="B1356" s="18" t="s">
        <v>8247</v>
      </c>
      <c r="C1356" s="17" t="s">
        <v>255</v>
      </c>
      <c r="D1356" s="19">
        <v>292.7</v>
      </c>
      <c r="F1356" s="3" t="str">
        <f t="shared" si="21"/>
        <v>C1970</v>
      </c>
    </row>
    <row r="1357" spans="1:6" ht="22.5" x14ac:dyDescent="0.2">
      <c r="A1357" s="17" t="s">
        <v>8248</v>
      </c>
      <c r="B1357" s="18" t="s">
        <v>8249</v>
      </c>
      <c r="C1357" s="17" t="s">
        <v>255</v>
      </c>
      <c r="D1357" s="19">
        <v>449.4</v>
      </c>
      <c r="F1357" s="3" t="str">
        <f t="shared" si="21"/>
        <v>C4518</v>
      </c>
    </row>
    <row r="1358" spans="1:6" x14ac:dyDescent="0.2">
      <c r="A1358" s="17">
        <v>0</v>
      </c>
      <c r="B1358" s="18"/>
      <c r="C1358" s="17">
        <v>0</v>
      </c>
      <c r="D1358" s="19">
        <v>0</v>
      </c>
      <c r="F1358" s="3">
        <f t="shared" si="21"/>
        <v>0</v>
      </c>
    </row>
    <row r="1359" spans="1:6" ht="22.5" x14ac:dyDescent="0.2">
      <c r="A1359" s="17" t="s">
        <v>8250</v>
      </c>
      <c r="B1359" s="18" t="s">
        <v>8251</v>
      </c>
      <c r="C1359" s="17" t="s">
        <v>255</v>
      </c>
      <c r="D1359" s="19">
        <v>407.91</v>
      </c>
      <c r="F1359" s="3" t="str">
        <f t="shared" si="21"/>
        <v>C4517</v>
      </c>
    </row>
    <row r="1360" spans="1:6" x14ac:dyDescent="0.2">
      <c r="A1360" s="17">
        <v>0</v>
      </c>
      <c r="B1360" s="18"/>
      <c r="C1360" s="17">
        <v>0</v>
      </c>
      <c r="D1360" s="19">
        <v>0</v>
      </c>
      <c r="F1360" s="3">
        <f t="shared" si="21"/>
        <v>0</v>
      </c>
    </row>
    <row r="1361" spans="1:6" ht="22.5" x14ac:dyDescent="0.2">
      <c r="A1361" s="17" t="s">
        <v>8252</v>
      </c>
      <c r="B1361" s="18" t="s">
        <v>8253</v>
      </c>
      <c r="C1361" s="17" t="s">
        <v>255</v>
      </c>
      <c r="D1361" s="19">
        <v>438.25</v>
      </c>
      <c r="F1361" s="3" t="str">
        <f t="shared" si="21"/>
        <v>C4516</v>
      </c>
    </row>
    <row r="1362" spans="1:6" x14ac:dyDescent="0.2">
      <c r="A1362" s="17">
        <v>0</v>
      </c>
      <c r="B1362" s="18"/>
      <c r="C1362" s="17">
        <v>0</v>
      </c>
      <c r="D1362" s="19">
        <v>0</v>
      </c>
      <c r="F1362" s="3">
        <f t="shared" si="21"/>
        <v>0</v>
      </c>
    </row>
    <row r="1363" spans="1:6" ht="22.5" x14ac:dyDescent="0.2">
      <c r="A1363" s="17" t="s">
        <v>8254</v>
      </c>
      <c r="B1363" s="18" t="s">
        <v>8255</v>
      </c>
      <c r="C1363" s="17" t="s">
        <v>255</v>
      </c>
      <c r="D1363" s="19">
        <v>404.39</v>
      </c>
      <c r="F1363" s="3" t="str">
        <f t="shared" si="21"/>
        <v>C4514</v>
      </c>
    </row>
    <row r="1364" spans="1:6" x14ac:dyDescent="0.2">
      <c r="A1364" s="17">
        <v>0</v>
      </c>
      <c r="B1364" s="18"/>
      <c r="C1364" s="17">
        <v>0</v>
      </c>
      <c r="D1364" s="19">
        <v>0</v>
      </c>
      <c r="F1364" s="3">
        <f t="shared" si="21"/>
        <v>0</v>
      </c>
    </row>
    <row r="1365" spans="1:6" ht="22.5" x14ac:dyDescent="0.2">
      <c r="A1365" s="17" t="s">
        <v>8256</v>
      </c>
      <c r="B1365" s="18" t="s">
        <v>8257</v>
      </c>
      <c r="C1365" s="17" t="s">
        <v>255</v>
      </c>
      <c r="D1365" s="19">
        <v>494.41</v>
      </c>
      <c r="F1365" s="3" t="str">
        <f t="shared" si="21"/>
        <v>C4524</v>
      </c>
    </row>
    <row r="1366" spans="1:6" x14ac:dyDescent="0.2">
      <c r="A1366" s="17">
        <v>0</v>
      </c>
      <c r="B1366" s="18"/>
      <c r="C1366" s="17">
        <v>0</v>
      </c>
      <c r="D1366" s="19">
        <v>0</v>
      </c>
      <c r="F1366" s="3">
        <f t="shared" si="21"/>
        <v>0</v>
      </c>
    </row>
    <row r="1367" spans="1:6" ht="22.5" x14ac:dyDescent="0.2">
      <c r="A1367" s="17" t="s">
        <v>8258</v>
      </c>
      <c r="B1367" s="18" t="s">
        <v>8259</v>
      </c>
      <c r="C1367" s="17" t="s">
        <v>255</v>
      </c>
      <c r="D1367" s="19">
        <v>451.93</v>
      </c>
      <c r="F1367" s="3" t="str">
        <f t="shared" si="21"/>
        <v>C4523</v>
      </c>
    </row>
    <row r="1368" spans="1:6" x14ac:dyDescent="0.2">
      <c r="A1368" s="17">
        <v>0</v>
      </c>
      <c r="B1368" s="18"/>
      <c r="C1368" s="17">
        <v>0</v>
      </c>
      <c r="D1368" s="19">
        <v>0</v>
      </c>
      <c r="F1368" s="3">
        <f t="shared" si="21"/>
        <v>0</v>
      </c>
    </row>
    <row r="1369" spans="1:6" ht="22.5" x14ac:dyDescent="0.2">
      <c r="A1369" s="17" t="s">
        <v>8260</v>
      </c>
      <c r="B1369" s="18" t="s">
        <v>8261</v>
      </c>
      <c r="C1369" s="17" t="s">
        <v>255</v>
      </c>
      <c r="D1369" s="19">
        <v>464.45</v>
      </c>
      <c r="F1369" s="3" t="str">
        <f t="shared" si="21"/>
        <v>C4522</v>
      </c>
    </row>
    <row r="1370" spans="1:6" x14ac:dyDescent="0.2">
      <c r="A1370" s="17">
        <v>0</v>
      </c>
      <c r="B1370" s="18"/>
      <c r="C1370" s="17">
        <v>0</v>
      </c>
      <c r="D1370" s="19">
        <v>0</v>
      </c>
      <c r="F1370" s="3">
        <f t="shared" si="21"/>
        <v>0</v>
      </c>
    </row>
    <row r="1371" spans="1:6" ht="22.5" x14ac:dyDescent="0.2">
      <c r="A1371" s="17" t="s">
        <v>8262</v>
      </c>
      <c r="B1371" s="18" t="s">
        <v>8263</v>
      </c>
      <c r="C1371" s="17" t="s">
        <v>255</v>
      </c>
      <c r="D1371" s="19">
        <v>449.4</v>
      </c>
      <c r="F1371" s="3" t="str">
        <f t="shared" si="21"/>
        <v>C4520</v>
      </c>
    </row>
    <row r="1372" spans="1:6" x14ac:dyDescent="0.2">
      <c r="A1372" s="17">
        <v>0</v>
      </c>
      <c r="B1372" s="18"/>
      <c r="C1372" s="17">
        <v>0</v>
      </c>
      <c r="D1372" s="19">
        <v>0</v>
      </c>
      <c r="F1372" s="3">
        <f t="shared" si="21"/>
        <v>0</v>
      </c>
    </row>
    <row r="1373" spans="1:6" ht="22.5" x14ac:dyDescent="0.2">
      <c r="A1373" s="17" t="s">
        <v>8264</v>
      </c>
      <c r="B1373" s="18" t="s">
        <v>8265</v>
      </c>
      <c r="C1373" s="17" t="s">
        <v>26</v>
      </c>
      <c r="D1373" s="19">
        <v>3352.31</v>
      </c>
      <c r="F1373" s="3" t="str">
        <f t="shared" si="21"/>
        <v>C3737</v>
      </c>
    </row>
    <row r="1374" spans="1:6" x14ac:dyDescent="0.2">
      <c r="A1374" s="17">
        <v>0</v>
      </c>
      <c r="B1374" s="18"/>
      <c r="C1374" s="17">
        <v>0</v>
      </c>
      <c r="D1374" s="19">
        <v>0</v>
      </c>
      <c r="F1374" s="3">
        <f t="shared" si="21"/>
        <v>0</v>
      </c>
    </row>
    <row r="1375" spans="1:6" x14ac:dyDescent="0.2">
      <c r="A1375" s="17" t="s">
        <v>8266</v>
      </c>
      <c r="B1375" s="18" t="s">
        <v>8267</v>
      </c>
      <c r="C1375" s="17" t="s">
        <v>255</v>
      </c>
      <c r="D1375" s="19">
        <v>385.84</v>
      </c>
      <c r="F1375" s="3" t="str">
        <f t="shared" si="21"/>
        <v>C1991</v>
      </c>
    </row>
    <row r="1376" spans="1:6" ht="22.5" x14ac:dyDescent="0.2">
      <c r="A1376" s="17" t="s">
        <v>8268</v>
      </c>
      <c r="B1376" s="18" t="s">
        <v>8269</v>
      </c>
      <c r="C1376" s="17" t="s">
        <v>26</v>
      </c>
      <c r="D1376" s="19">
        <v>1858.25</v>
      </c>
      <c r="F1376" s="3" t="str">
        <f t="shared" si="21"/>
        <v>C4872</v>
      </c>
    </row>
    <row r="1377" spans="1:6" x14ac:dyDescent="0.2">
      <c r="A1377" s="17">
        <v>0</v>
      </c>
      <c r="B1377" s="18"/>
      <c r="C1377" s="17">
        <v>0</v>
      </c>
      <c r="D1377" s="19">
        <v>0</v>
      </c>
      <c r="F1377" s="3">
        <f t="shared" si="21"/>
        <v>0</v>
      </c>
    </row>
    <row r="1378" spans="1:6" ht="22.5" x14ac:dyDescent="0.2">
      <c r="A1378" s="17" t="s">
        <v>8270</v>
      </c>
      <c r="B1378" s="18" t="s">
        <v>8271</v>
      </c>
      <c r="C1378" s="17" t="s">
        <v>26</v>
      </c>
      <c r="D1378" s="19">
        <v>5316.16</v>
      </c>
      <c r="F1378" s="3" t="str">
        <f t="shared" si="21"/>
        <v>C4873</v>
      </c>
    </row>
    <row r="1379" spans="1:6" x14ac:dyDescent="0.2">
      <c r="A1379" s="17">
        <v>0</v>
      </c>
      <c r="B1379" s="18"/>
      <c r="C1379" s="17">
        <v>0</v>
      </c>
      <c r="D1379" s="19">
        <v>0</v>
      </c>
      <c r="F1379" s="3">
        <f t="shared" si="21"/>
        <v>0</v>
      </c>
    </row>
    <row r="1380" spans="1:6" ht="22.5" x14ac:dyDescent="0.2">
      <c r="A1380" s="17" t="s">
        <v>8272</v>
      </c>
      <c r="B1380" s="18" t="s">
        <v>8273</v>
      </c>
      <c r="C1380" s="17" t="s">
        <v>255</v>
      </c>
      <c r="D1380" s="19">
        <v>485.06</v>
      </c>
      <c r="F1380" s="3" t="str">
        <f t="shared" si="21"/>
        <v>C3733</v>
      </c>
    </row>
    <row r="1381" spans="1:6" x14ac:dyDescent="0.2">
      <c r="A1381" s="17">
        <v>0</v>
      </c>
      <c r="B1381" s="18"/>
      <c r="C1381" s="17">
        <v>0</v>
      </c>
      <c r="D1381" s="19">
        <v>0</v>
      </c>
      <c r="F1381" s="3">
        <f t="shared" si="21"/>
        <v>0</v>
      </c>
    </row>
    <row r="1382" spans="1:6" x14ac:dyDescent="0.2">
      <c r="A1382" s="17" t="s">
        <v>8274</v>
      </c>
      <c r="B1382" s="18" t="s">
        <v>8275</v>
      </c>
      <c r="C1382" s="17" t="s">
        <v>255</v>
      </c>
      <c r="D1382" s="19">
        <v>448.84</v>
      </c>
      <c r="F1382" s="3" t="str">
        <f t="shared" si="21"/>
        <v>C4397</v>
      </c>
    </row>
    <row r="1383" spans="1:6" x14ac:dyDescent="0.2">
      <c r="A1383" s="17" t="s">
        <v>8276</v>
      </c>
      <c r="B1383" s="18" t="s">
        <v>8277</v>
      </c>
      <c r="C1383" s="17" t="s">
        <v>255</v>
      </c>
      <c r="D1383" s="19">
        <v>211.68</v>
      </c>
      <c r="F1383" s="3" t="str">
        <f t="shared" si="21"/>
        <v>C1999</v>
      </c>
    </row>
    <row r="1384" spans="1:6" ht="22.5" x14ac:dyDescent="0.2">
      <c r="A1384" s="17" t="s">
        <v>8278</v>
      </c>
      <c r="B1384" s="18" t="s">
        <v>8279</v>
      </c>
      <c r="C1384" s="17" t="s">
        <v>255</v>
      </c>
      <c r="D1384" s="19">
        <v>487.12</v>
      </c>
      <c r="F1384" s="3" t="str">
        <f t="shared" si="21"/>
        <v>C3659</v>
      </c>
    </row>
    <row r="1385" spans="1:6" x14ac:dyDescent="0.2">
      <c r="A1385" s="17">
        <v>0</v>
      </c>
      <c r="B1385" s="18"/>
      <c r="C1385" s="17">
        <v>0</v>
      </c>
      <c r="D1385" s="19">
        <v>0</v>
      </c>
      <c r="F1385" s="3">
        <f t="shared" si="21"/>
        <v>0</v>
      </c>
    </row>
    <row r="1386" spans="1:6" x14ac:dyDescent="0.2">
      <c r="A1386" s="17" t="s">
        <v>8280</v>
      </c>
      <c r="B1386" s="18" t="s">
        <v>8281</v>
      </c>
      <c r="C1386" s="17" t="s">
        <v>26</v>
      </c>
      <c r="D1386" s="19">
        <v>1457.24</v>
      </c>
      <c r="F1386" s="3" t="str">
        <f t="shared" si="21"/>
        <v>C2903</v>
      </c>
    </row>
    <row r="1387" spans="1:6" x14ac:dyDescent="0.2">
      <c r="A1387" s="17">
        <v>0</v>
      </c>
      <c r="B1387" s="18"/>
      <c r="C1387" s="17">
        <v>0</v>
      </c>
      <c r="D1387" s="19">
        <v>0</v>
      </c>
      <c r="F1387" s="3">
        <f t="shared" si="21"/>
        <v>0</v>
      </c>
    </row>
    <row r="1388" spans="1:6" x14ac:dyDescent="0.2">
      <c r="A1388" s="17" t="s">
        <v>8282</v>
      </c>
      <c r="B1388" s="18" t="s">
        <v>8283</v>
      </c>
      <c r="C1388" s="17" t="s">
        <v>26</v>
      </c>
      <c r="D1388" s="19">
        <v>4335.8599999999997</v>
      </c>
      <c r="F1388" s="3" t="str">
        <f t="shared" si="21"/>
        <v>C2904</v>
      </c>
    </row>
    <row r="1389" spans="1:6" x14ac:dyDescent="0.2">
      <c r="A1389" s="17">
        <v>0</v>
      </c>
      <c r="B1389" s="18"/>
      <c r="C1389" s="17">
        <v>0</v>
      </c>
      <c r="D1389" s="19">
        <v>0</v>
      </c>
      <c r="F1389" s="3">
        <f t="shared" si="21"/>
        <v>0</v>
      </c>
    </row>
    <row r="1390" spans="1:6" x14ac:dyDescent="0.2">
      <c r="A1390" s="17" t="s">
        <v>8284</v>
      </c>
      <c r="B1390" s="18" t="s">
        <v>8285</v>
      </c>
      <c r="C1390" s="17" t="s">
        <v>255</v>
      </c>
      <c r="D1390" s="19">
        <v>78.59</v>
      </c>
      <c r="F1390" s="3" t="str">
        <f t="shared" si="21"/>
        <v>C3729</v>
      </c>
    </row>
    <row r="1391" spans="1:6" x14ac:dyDescent="0.2">
      <c r="A1391" s="17" t="s">
        <v>8286</v>
      </c>
      <c r="B1391" s="18" t="s">
        <v>8287</v>
      </c>
      <c r="C1391" s="17" t="s">
        <v>255</v>
      </c>
      <c r="D1391" s="19">
        <v>137.96</v>
      </c>
      <c r="F1391" s="3" t="str">
        <f t="shared" si="21"/>
        <v>C2423</v>
      </c>
    </row>
    <row r="1392" spans="1:6" x14ac:dyDescent="0.2">
      <c r="A1392" s="17" t="s">
        <v>8288</v>
      </c>
      <c r="B1392" s="18" t="s">
        <v>8289</v>
      </c>
      <c r="C1392" s="17" t="s">
        <v>26</v>
      </c>
      <c r="D1392" s="19">
        <v>376.61</v>
      </c>
      <c r="F1392" s="3" t="str">
        <f t="shared" si="21"/>
        <v>C3249</v>
      </c>
    </row>
    <row r="1393" spans="1:6" x14ac:dyDescent="0.2">
      <c r="A1393" s="17" t="s">
        <v>8290</v>
      </c>
      <c r="B1393" s="18" t="s">
        <v>8291</v>
      </c>
      <c r="C1393" s="17" t="s">
        <v>1284</v>
      </c>
      <c r="D1393" s="19">
        <v>8.25</v>
      </c>
      <c r="F1393" s="3" t="str">
        <f t="shared" si="21"/>
        <v>C4400</v>
      </c>
    </row>
    <row r="1394" spans="1:6" x14ac:dyDescent="0.2">
      <c r="A1394" s="17" t="s">
        <v>8292</v>
      </c>
      <c r="B1394" s="18" t="s">
        <v>8293</v>
      </c>
      <c r="C1394" s="17" t="s">
        <v>1284</v>
      </c>
      <c r="D1394" s="19">
        <v>7.68</v>
      </c>
      <c r="F1394" s="3" t="str">
        <f t="shared" si="21"/>
        <v>C4401</v>
      </c>
    </row>
    <row r="1395" spans="1:6" x14ac:dyDescent="0.2">
      <c r="A1395" s="14" t="s">
        <v>8294</v>
      </c>
      <c r="B1395" s="15"/>
      <c r="C1395" s="14">
        <v>0</v>
      </c>
      <c r="D1395" s="16">
        <v>5233.54</v>
      </c>
      <c r="F1395" s="3" t="str">
        <f t="shared" si="21"/>
        <v>MOBILIÁRIO</v>
      </c>
    </row>
    <row r="1396" spans="1:6" x14ac:dyDescent="0.2">
      <c r="A1396" s="17" t="s">
        <v>8295</v>
      </c>
      <c r="B1396" s="18" t="s">
        <v>8296</v>
      </c>
      <c r="C1396" s="17" t="s">
        <v>255</v>
      </c>
      <c r="D1396" s="19">
        <v>370.91</v>
      </c>
      <c r="F1396" s="3" t="str">
        <f t="shared" si="21"/>
        <v>C0221</v>
      </c>
    </row>
    <row r="1397" spans="1:6" x14ac:dyDescent="0.2">
      <c r="A1397" s="17" t="s">
        <v>8297</v>
      </c>
      <c r="B1397" s="18" t="s">
        <v>8298</v>
      </c>
      <c r="C1397" s="17" t="s">
        <v>255</v>
      </c>
      <c r="D1397" s="19">
        <v>504.03</v>
      </c>
      <c r="F1397" s="3" t="str">
        <f t="shared" si="21"/>
        <v>C0222</v>
      </c>
    </row>
    <row r="1398" spans="1:6" x14ac:dyDescent="0.2">
      <c r="A1398" s="17" t="s">
        <v>8299</v>
      </c>
      <c r="B1398" s="18" t="s">
        <v>8300</v>
      </c>
      <c r="C1398" s="17" t="s">
        <v>26</v>
      </c>
      <c r="D1398" s="19">
        <v>701.88</v>
      </c>
      <c r="F1398" s="3" t="str">
        <f t="shared" si="21"/>
        <v>C0223</v>
      </c>
    </row>
    <row r="1399" spans="1:6" x14ac:dyDescent="0.2">
      <c r="A1399" s="17" t="s">
        <v>8301</v>
      </c>
      <c r="B1399" s="18" t="s">
        <v>8302</v>
      </c>
      <c r="C1399" s="17" t="s">
        <v>26</v>
      </c>
      <c r="D1399" s="19">
        <v>274.74</v>
      </c>
      <c r="F1399" s="3" t="str">
        <f t="shared" si="21"/>
        <v>C0224</v>
      </c>
    </row>
    <row r="1400" spans="1:6" x14ac:dyDescent="0.2">
      <c r="A1400" s="17" t="s">
        <v>8303</v>
      </c>
      <c r="B1400" s="18" t="s">
        <v>8304</v>
      </c>
      <c r="C1400" s="17" t="s">
        <v>255</v>
      </c>
      <c r="D1400" s="19">
        <v>358.8</v>
      </c>
      <c r="F1400" s="3" t="str">
        <f t="shared" si="21"/>
        <v>C0226</v>
      </c>
    </row>
    <row r="1401" spans="1:6" x14ac:dyDescent="0.2">
      <c r="A1401" s="17" t="s">
        <v>8305</v>
      </c>
      <c r="B1401" s="18" t="s">
        <v>8306</v>
      </c>
      <c r="C1401" s="17" t="s">
        <v>255</v>
      </c>
      <c r="D1401" s="19">
        <v>688.9</v>
      </c>
      <c r="F1401" s="3" t="str">
        <f t="shared" si="21"/>
        <v>C0227</v>
      </c>
    </row>
    <row r="1402" spans="1:6" x14ac:dyDescent="0.2">
      <c r="A1402" s="17" t="s">
        <v>8307</v>
      </c>
      <c r="B1402" s="18" t="s">
        <v>8308</v>
      </c>
      <c r="C1402" s="17" t="s">
        <v>255</v>
      </c>
      <c r="D1402" s="19">
        <v>656.44</v>
      </c>
      <c r="F1402" s="3" t="str">
        <f t="shared" si="21"/>
        <v>C0228</v>
      </c>
    </row>
    <row r="1403" spans="1:6" x14ac:dyDescent="0.2">
      <c r="A1403" s="17" t="s">
        <v>8309</v>
      </c>
      <c r="B1403" s="18" t="s">
        <v>8310</v>
      </c>
      <c r="C1403" s="17" t="s">
        <v>255</v>
      </c>
      <c r="D1403" s="19">
        <v>674.89</v>
      </c>
      <c r="F1403" s="3" t="str">
        <f t="shared" si="21"/>
        <v>C0353</v>
      </c>
    </row>
    <row r="1404" spans="1:6" x14ac:dyDescent="0.2">
      <c r="A1404" s="17" t="s">
        <v>8311</v>
      </c>
      <c r="B1404" s="18" t="s">
        <v>8312</v>
      </c>
      <c r="C1404" s="17" t="s">
        <v>255</v>
      </c>
      <c r="D1404" s="19">
        <v>543.53</v>
      </c>
      <c r="F1404" s="3" t="str">
        <f t="shared" si="21"/>
        <v>C1450</v>
      </c>
    </row>
    <row r="1405" spans="1:6" x14ac:dyDescent="0.2">
      <c r="A1405" s="17" t="s">
        <v>8313</v>
      </c>
      <c r="B1405" s="18" t="s">
        <v>8314</v>
      </c>
      <c r="C1405" s="17" t="s">
        <v>26</v>
      </c>
      <c r="D1405" s="19">
        <v>294.43</v>
      </c>
      <c r="F1405" s="3" t="str">
        <f t="shared" si="21"/>
        <v>C2134</v>
      </c>
    </row>
    <row r="1406" spans="1:6" x14ac:dyDescent="0.2">
      <c r="A1406" s="17" t="s">
        <v>8315</v>
      </c>
      <c r="B1406" s="18" t="s">
        <v>8316</v>
      </c>
      <c r="C1406" s="17" t="s">
        <v>26</v>
      </c>
      <c r="D1406" s="19">
        <v>164.99</v>
      </c>
      <c r="F1406" s="3" t="str">
        <f t="shared" si="21"/>
        <v>C2295</v>
      </c>
    </row>
    <row r="1407" spans="1:6" x14ac:dyDescent="0.2">
      <c r="A1407" s="14" t="s">
        <v>7834</v>
      </c>
      <c r="B1407" s="15"/>
      <c r="C1407" s="14">
        <v>0</v>
      </c>
      <c r="D1407" s="16">
        <v>7536.64</v>
      </c>
      <c r="F1407" s="3" t="str">
        <f t="shared" si="21"/>
        <v>OUTROS ELEMENTOS</v>
      </c>
    </row>
    <row r="1408" spans="1:6" x14ac:dyDescent="0.2">
      <c r="A1408" s="17" t="s">
        <v>8317</v>
      </c>
      <c r="B1408" s="18" t="s">
        <v>8318</v>
      </c>
      <c r="C1408" s="17" t="s">
        <v>0</v>
      </c>
      <c r="D1408" s="19">
        <v>10.46</v>
      </c>
      <c r="F1408" s="3" t="str">
        <f t="shared" si="21"/>
        <v>C0042</v>
      </c>
    </row>
    <row r="1409" spans="1:6" x14ac:dyDescent="0.2">
      <c r="A1409" s="17" t="s">
        <v>8319</v>
      </c>
      <c r="B1409" s="18" t="s">
        <v>8320</v>
      </c>
      <c r="C1409" s="17" t="s">
        <v>8321</v>
      </c>
      <c r="D1409" s="19">
        <v>46.95</v>
      </c>
      <c r="F1409" s="3" t="str">
        <f t="shared" si="21"/>
        <v>C4422</v>
      </c>
    </row>
    <row r="1410" spans="1:6" x14ac:dyDescent="0.2">
      <c r="A1410" s="17" t="s">
        <v>8322</v>
      </c>
      <c r="B1410" s="18" t="s">
        <v>8323</v>
      </c>
      <c r="C1410" s="17" t="s">
        <v>26</v>
      </c>
      <c r="D1410" s="19">
        <v>33.56</v>
      </c>
      <c r="F1410" s="3" t="str">
        <f t="shared" ref="F1410:F1473" si="22">A1410</f>
        <v>C3437</v>
      </c>
    </row>
    <row r="1411" spans="1:6" x14ac:dyDescent="0.2">
      <c r="A1411" s="17" t="s">
        <v>8324</v>
      </c>
      <c r="B1411" s="18" t="s">
        <v>8325</v>
      </c>
      <c r="C1411" s="17" t="s">
        <v>26</v>
      </c>
      <c r="D1411" s="19">
        <v>24.2</v>
      </c>
      <c r="F1411" s="3" t="str">
        <f t="shared" si="22"/>
        <v>C3438</v>
      </c>
    </row>
    <row r="1412" spans="1:6" x14ac:dyDescent="0.2">
      <c r="A1412" s="17" t="s">
        <v>8326</v>
      </c>
      <c r="B1412" s="18" t="s">
        <v>8327</v>
      </c>
      <c r="C1412" s="17" t="s">
        <v>255</v>
      </c>
      <c r="D1412" s="19">
        <v>796.98</v>
      </c>
      <c r="F1412" s="3" t="str">
        <f t="shared" si="22"/>
        <v>C3651</v>
      </c>
    </row>
    <row r="1413" spans="1:6" x14ac:dyDescent="0.2">
      <c r="A1413" s="17" t="s">
        <v>8328</v>
      </c>
      <c r="B1413" s="18" t="s">
        <v>8329</v>
      </c>
      <c r="C1413" s="17" t="s">
        <v>26</v>
      </c>
      <c r="D1413" s="19">
        <v>169</v>
      </c>
      <c r="F1413" s="3" t="str">
        <f t="shared" si="22"/>
        <v>C0585</v>
      </c>
    </row>
    <row r="1414" spans="1:6" x14ac:dyDescent="0.2">
      <c r="A1414" s="17" t="s">
        <v>8330</v>
      </c>
      <c r="B1414" s="18" t="s">
        <v>8331</v>
      </c>
      <c r="C1414" s="17" t="s">
        <v>26</v>
      </c>
      <c r="D1414" s="19">
        <v>28.49</v>
      </c>
      <c r="F1414" s="3" t="str">
        <f t="shared" si="22"/>
        <v>C0586</v>
      </c>
    </row>
    <row r="1415" spans="1:6" x14ac:dyDescent="0.2">
      <c r="A1415" s="17" t="s">
        <v>8332</v>
      </c>
      <c r="B1415" s="18" t="s">
        <v>8333</v>
      </c>
      <c r="C1415" s="17" t="s">
        <v>26</v>
      </c>
      <c r="D1415" s="19">
        <v>19.14</v>
      </c>
      <c r="F1415" s="3" t="str">
        <f t="shared" si="22"/>
        <v>C0587</v>
      </c>
    </row>
    <row r="1416" spans="1:6" x14ac:dyDescent="0.2">
      <c r="A1416" s="17" t="s">
        <v>8334</v>
      </c>
      <c r="B1416" s="18" t="s">
        <v>8335</v>
      </c>
      <c r="C1416" s="17" t="s">
        <v>255</v>
      </c>
      <c r="D1416" s="19">
        <v>54.75</v>
      </c>
      <c r="F1416" s="3" t="str">
        <f t="shared" si="22"/>
        <v>C0699</v>
      </c>
    </row>
    <row r="1417" spans="1:6" x14ac:dyDescent="0.2">
      <c r="A1417" s="17" t="s">
        <v>8336</v>
      </c>
      <c r="B1417" s="18" t="s">
        <v>8337</v>
      </c>
      <c r="C1417" s="17" t="s">
        <v>255</v>
      </c>
      <c r="D1417" s="19">
        <v>65.760000000000005</v>
      </c>
      <c r="F1417" s="3" t="str">
        <f t="shared" si="22"/>
        <v>C0700</v>
      </c>
    </row>
    <row r="1418" spans="1:6" x14ac:dyDescent="0.2">
      <c r="A1418" s="17" t="s">
        <v>8338</v>
      </c>
      <c r="B1418" s="18" t="s">
        <v>8339</v>
      </c>
      <c r="C1418" s="17" t="s">
        <v>255</v>
      </c>
      <c r="D1418" s="19">
        <v>61.94</v>
      </c>
      <c r="F1418" s="3" t="str">
        <f t="shared" si="22"/>
        <v>C0701</v>
      </c>
    </row>
    <row r="1419" spans="1:6" x14ac:dyDescent="0.2">
      <c r="A1419" s="17" t="s">
        <v>8340</v>
      </c>
      <c r="B1419" s="18" t="s">
        <v>8341</v>
      </c>
      <c r="C1419" s="17" t="s">
        <v>0</v>
      </c>
      <c r="D1419" s="19">
        <v>104.62</v>
      </c>
      <c r="F1419" s="3" t="str">
        <f t="shared" si="22"/>
        <v>C0922</v>
      </c>
    </row>
    <row r="1420" spans="1:6" x14ac:dyDescent="0.2">
      <c r="A1420" s="17" t="s">
        <v>8342</v>
      </c>
      <c r="B1420" s="18" t="s">
        <v>8343</v>
      </c>
      <c r="C1420" s="17" t="s">
        <v>0</v>
      </c>
      <c r="D1420" s="19">
        <v>86.3</v>
      </c>
      <c r="F1420" s="3" t="str">
        <f t="shared" si="22"/>
        <v>C0923</v>
      </c>
    </row>
    <row r="1421" spans="1:6" x14ac:dyDescent="0.2">
      <c r="A1421" s="17" t="s">
        <v>8344</v>
      </c>
      <c r="B1421" s="18" t="s">
        <v>8345</v>
      </c>
      <c r="C1421" s="17" t="s">
        <v>0</v>
      </c>
      <c r="D1421" s="19">
        <v>199.2</v>
      </c>
      <c r="F1421" s="3" t="str">
        <f t="shared" si="22"/>
        <v>C0924</v>
      </c>
    </row>
    <row r="1422" spans="1:6" x14ac:dyDescent="0.2">
      <c r="A1422" s="17" t="s">
        <v>8346</v>
      </c>
      <c r="B1422" s="18" t="s">
        <v>8347</v>
      </c>
      <c r="C1422" s="17" t="s">
        <v>26</v>
      </c>
      <c r="D1422" s="19">
        <v>28.59</v>
      </c>
      <c r="F1422" s="3" t="str">
        <f t="shared" si="22"/>
        <v>C1144</v>
      </c>
    </row>
    <row r="1423" spans="1:6" x14ac:dyDescent="0.2">
      <c r="A1423" s="20" t="s">
        <v>8348</v>
      </c>
      <c r="B1423" s="21" t="s">
        <v>8349</v>
      </c>
      <c r="C1423" s="20" t="s">
        <v>26</v>
      </c>
      <c r="D1423" s="22">
        <v>47.81</v>
      </c>
      <c r="F1423" s="3" t="str">
        <f t="shared" si="22"/>
        <v>C1143</v>
      </c>
    </row>
    <row r="1424" spans="1:6" x14ac:dyDescent="0.2">
      <c r="A1424" s="17" t="s">
        <v>8350</v>
      </c>
      <c r="B1424" s="18" t="s">
        <v>8351</v>
      </c>
      <c r="C1424" s="17" t="s">
        <v>26</v>
      </c>
      <c r="D1424" s="19">
        <v>27.91</v>
      </c>
      <c r="F1424" s="3" t="str">
        <f t="shared" si="22"/>
        <v>C1145</v>
      </c>
    </row>
    <row r="1425" spans="1:6" x14ac:dyDescent="0.2">
      <c r="A1425" s="17" t="s">
        <v>8352</v>
      </c>
      <c r="B1425" s="18" t="s">
        <v>8353</v>
      </c>
      <c r="C1425" s="17" t="s">
        <v>26</v>
      </c>
      <c r="D1425" s="19">
        <v>122.46</v>
      </c>
      <c r="F1425" s="3" t="str">
        <f t="shared" si="22"/>
        <v>C1146</v>
      </c>
    </row>
    <row r="1426" spans="1:6" x14ac:dyDescent="0.2">
      <c r="A1426" s="17" t="s">
        <v>8354</v>
      </c>
      <c r="B1426" s="21" t="s">
        <v>8355</v>
      </c>
      <c r="C1426" s="17" t="s">
        <v>26</v>
      </c>
      <c r="D1426" s="19">
        <v>24.1</v>
      </c>
      <c r="F1426" s="3" t="str">
        <f t="shared" si="22"/>
        <v>C4588</v>
      </c>
    </row>
    <row r="1427" spans="1:6" x14ac:dyDescent="0.2">
      <c r="A1427" s="17" t="s">
        <v>8356</v>
      </c>
      <c r="B1427" s="18" t="s">
        <v>8357</v>
      </c>
      <c r="C1427" s="17" t="s">
        <v>26</v>
      </c>
      <c r="D1427" s="19">
        <v>111.54</v>
      </c>
      <c r="F1427" s="3" t="str">
        <f t="shared" si="22"/>
        <v>C4552</v>
      </c>
    </row>
    <row r="1428" spans="1:6" x14ac:dyDescent="0.2">
      <c r="A1428" s="17" t="s">
        <v>8358</v>
      </c>
      <c r="B1428" s="18" t="s">
        <v>8359</v>
      </c>
      <c r="C1428" s="17" t="s">
        <v>26</v>
      </c>
      <c r="D1428" s="19">
        <v>153.5</v>
      </c>
      <c r="F1428" s="3" t="str">
        <f t="shared" si="22"/>
        <v>C1360</v>
      </c>
    </row>
    <row r="1429" spans="1:6" x14ac:dyDescent="0.2">
      <c r="A1429" s="17" t="s">
        <v>8360</v>
      </c>
      <c r="B1429" s="18" t="s">
        <v>8361</v>
      </c>
      <c r="C1429" s="17" t="s">
        <v>26</v>
      </c>
      <c r="D1429" s="19">
        <v>145.21</v>
      </c>
      <c r="F1429" s="3" t="str">
        <f t="shared" si="22"/>
        <v>C1361</v>
      </c>
    </row>
    <row r="1430" spans="1:6" x14ac:dyDescent="0.2">
      <c r="A1430" s="17" t="s">
        <v>8362</v>
      </c>
      <c r="B1430" s="18" t="s">
        <v>8363</v>
      </c>
      <c r="C1430" s="17" t="s">
        <v>26</v>
      </c>
      <c r="D1430" s="19">
        <v>108.7</v>
      </c>
      <c r="F1430" s="3" t="str">
        <f t="shared" si="22"/>
        <v>C1362</v>
      </c>
    </row>
    <row r="1431" spans="1:6" x14ac:dyDescent="0.2">
      <c r="A1431" s="17" t="s">
        <v>8364</v>
      </c>
      <c r="B1431" s="18" t="s">
        <v>8365</v>
      </c>
      <c r="C1431" s="17" t="s">
        <v>26</v>
      </c>
      <c r="D1431" s="19">
        <v>108.7</v>
      </c>
      <c r="F1431" s="3" t="str">
        <f t="shared" si="22"/>
        <v>C4553</v>
      </c>
    </row>
    <row r="1432" spans="1:6" x14ac:dyDescent="0.2">
      <c r="A1432" s="17" t="s">
        <v>8366</v>
      </c>
      <c r="B1432" s="18" t="s">
        <v>8367</v>
      </c>
      <c r="C1432" s="17" t="s">
        <v>26</v>
      </c>
      <c r="D1432" s="19">
        <v>139.63999999999999</v>
      </c>
      <c r="F1432" s="3" t="str">
        <f t="shared" si="22"/>
        <v>C4587</v>
      </c>
    </row>
    <row r="1433" spans="1:6" x14ac:dyDescent="0.2">
      <c r="A1433" s="17" t="s">
        <v>8368</v>
      </c>
      <c r="B1433" s="18" t="s">
        <v>8369</v>
      </c>
      <c r="C1433" s="17" t="s">
        <v>26</v>
      </c>
      <c r="D1433" s="19">
        <v>26.98</v>
      </c>
      <c r="F1433" s="3" t="str">
        <f t="shared" si="22"/>
        <v>C1364</v>
      </c>
    </row>
    <row r="1434" spans="1:6" x14ac:dyDescent="0.2">
      <c r="A1434" s="17" t="s">
        <v>8370</v>
      </c>
      <c r="B1434" s="18" t="s">
        <v>8371</v>
      </c>
      <c r="C1434" s="17" t="s">
        <v>26</v>
      </c>
      <c r="D1434" s="19">
        <v>23.47</v>
      </c>
      <c r="F1434" s="3" t="str">
        <f t="shared" si="22"/>
        <v>C1365</v>
      </c>
    </row>
    <row r="1435" spans="1:6" x14ac:dyDescent="0.2">
      <c r="A1435" s="17" t="s">
        <v>8372</v>
      </c>
      <c r="B1435" s="18" t="s">
        <v>8373</v>
      </c>
      <c r="C1435" s="17" t="s">
        <v>26</v>
      </c>
      <c r="D1435" s="19">
        <v>12.86</v>
      </c>
      <c r="F1435" s="3" t="str">
        <f t="shared" si="22"/>
        <v>C1366</v>
      </c>
    </row>
    <row r="1436" spans="1:6" x14ac:dyDescent="0.2">
      <c r="A1436" s="17" t="s">
        <v>8374</v>
      </c>
      <c r="B1436" s="18" t="s">
        <v>8375</v>
      </c>
      <c r="C1436" s="17" t="s">
        <v>0</v>
      </c>
      <c r="D1436" s="19">
        <v>59.15</v>
      </c>
      <c r="F1436" s="3" t="str">
        <f t="shared" si="22"/>
        <v>C1407</v>
      </c>
    </row>
    <row r="1437" spans="1:6" x14ac:dyDescent="0.2">
      <c r="A1437" s="17" t="s">
        <v>8376</v>
      </c>
      <c r="B1437" s="18" t="s">
        <v>8377</v>
      </c>
      <c r="C1437" s="17" t="s">
        <v>0</v>
      </c>
      <c r="D1437" s="19">
        <v>57.02</v>
      </c>
      <c r="F1437" s="3" t="str">
        <f t="shared" si="22"/>
        <v>C3673</v>
      </c>
    </row>
    <row r="1438" spans="1:6" x14ac:dyDescent="0.2">
      <c r="A1438" s="17" t="s">
        <v>8378</v>
      </c>
      <c r="B1438" s="18" t="s">
        <v>8379</v>
      </c>
      <c r="C1438" s="17" t="s">
        <v>8321</v>
      </c>
      <c r="D1438" s="19">
        <v>586.20000000000005</v>
      </c>
      <c r="F1438" s="3" t="str">
        <f t="shared" si="22"/>
        <v>C4421</v>
      </c>
    </row>
    <row r="1439" spans="1:6" x14ac:dyDescent="0.2">
      <c r="A1439" s="17" t="s">
        <v>8380</v>
      </c>
      <c r="B1439" s="18" t="s">
        <v>8381</v>
      </c>
      <c r="C1439" s="17" t="s">
        <v>0</v>
      </c>
      <c r="D1439" s="19">
        <v>67.38</v>
      </c>
      <c r="F1439" s="3" t="str">
        <f t="shared" si="22"/>
        <v>C1408</v>
      </c>
    </row>
    <row r="1440" spans="1:6" x14ac:dyDescent="0.2">
      <c r="A1440" s="17" t="s">
        <v>8382</v>
      </c>
      <c r="B1440" s="18" t="s">
        <v>8383</v>
      </c>
      <c r="C1440" s="17" t="s">
        <v>255</v>
      </c>
      <c r="D1440" s="19">
        <v>208</v>
      </c>
      <c r="F1440" s="3" t="str">
        <f t="shared" si="22"/>
        <v>C1447</v>
      </c>
    </row>
    <row r="1441" spans="1:6" x14ac:dyDescent="0.2">
      <c r="A1441" s="17" t="s">
        <v>8384</v>
      </c>
      <c r="B1441" s="18" t="s">
        <v>8385</v>
      </c>
      <c r="C1441" s="17" t="s">
        <v>0</v>
      </c>
      <c r="D1441" s="19">
        <v>102.27</v>
      </c>
      <c r="F1441" s="3" t="str">
        <f t="shared" si="22"/>
        <v>C3683</v>
      </c>
    </row>
    <row r="1442" spans="1:6" x14ac:dyDescent="0.2">
      <c r="A1442" s="17" t="s">
        <v>8386</v>
      </c>
      <c r="B1442" s="18" t="s">
        <v>8387</v>
      </c>
      <c r="C1442" s="17" t="s">
        <v>0</v>
      </c>
      <c r="D1442" s="19">
        <v>365.28</v>
      </c>
      <c r="F1442" s="3" t="str">
        <f t="shared" si="22"/>
        <v>C1449</v>
      </c>
    </row>
    <row r="1443" spans="1:6" x14ac:dyDescent="0.2">
      <c r="A1443" s="17" t="s">
        <v>8388</v>
      </c>
      <c r="B1443" s="18" t="s">
        <v>8389</v>
      </c>
      <c r="C1443" s="17" t="s">
        <v>26</v>
      </c>
      <c r="D1443" s="19">
        <v>780.73</v>
      </c>
      <c r="F1443" s="3" t="str">
        <f t="shared" si="22"/>
        <v>C1795</v>
      </c>
    </row>
    <row r="1444" spans="1:6" ht="22.5" x14ac:dyDescent="0.2">
      <c r="A1444" s="17" t="s">
        <v>8390</v>
      </c>
      <c r="B1444" s="18" t="s">
        <v>8391</v>
      </c>
      <c r="C1444" s="17" t="s">
        <v>26</v>
      </c>
      <c r="D1444" s="19">
        <v>289.85000000000002</v>
      </c>
      <c r="F1444" s="3" t="str">
        <f t="shared" si="22"/>
        <v>C4954</v>
      </c>
    </row>
    <row r="1445" spans="1:6" x14ac:dyDescent="0.2">
      <c r="A1445" s="17">
        <v>0</v>
      </c>
      <c r="B1445" s="18"/>
      <c r="C1445" s="17">
        <v>0</v>
      </c>
      <c r="D1445" s="19">
        <v>0</v>
      </c>
      <c r="F1445" s="3">
        <f t="shared" si="22"/>
        <v>0</v>
      </c>
    </row>
    <row r="1446" spans="1:6" x14ac:dyDescent="0.2">
      <c r="A1446" s="17" t="s">
        <v>8392</v>
      </c>
      <c r="B1446" s="18" t="s">
        <v>8393</v>
      </c>
      <c r="C1446" s="17" t="s">
        <v>26</v>
      </c>
      <c r="D1446" s="19">
        <v>187.47</v>
      </c>
      <c r="F1446" s="3" t="str">
        <f t="shared" si="22"/>
        <v>C1796</v>
      </c>
    </row>
    <row r="1447" spans="1:6" x14ac:dyDescent="0.2">
      <c r="A1447" s="17" t="s">
        <v>8394</v>
      </c>
      <c r="B1447" s="18" t="s">
        <v>8395</v>
      </c>
      <c r="C1447" s="17" t="s">
        <v>26</v>
      </c>
      <c r="D1447" s="19">
        <v>17.8</v>
      </c>
      <c r="F1447" s="3" t="str">
        <f t="shared" si="22"/>
        <v>C3552</v>
      </c>
    </row>
    <row r="1448" spans="1:6" x14ac:dyDescent="0.2">
      <c r="A1448" s="17" t="s">
        <v>8396</v>
      </c>
      <c r="B1448" s="18" t="s">
        <v>8397</v>
      </c>
      <c r="C1448" s="17" t="s">
        <v>26</v>
      </c>
      <c r="D1448" s="19">
        <v>51.52</v>
      </c>
      <c r="F1448" s="3" t="str">
        <f t="shared" si="22"/>
        <v>C1868</v>
      </c>
    </row>
    <row r="1449" spans="1:6" x14ac:dyDescent="0.2">
      <c r="A1449" s="17" t="s">
        <v>8398</v>
      </c>
      <c r="B1449" s="18" t="s">
        <v>8399</v>
      </c>
      <c r="C1449" s="17" t="s">
        <v>0</v>
      </c>
      <c r="D1449" s="19">
        <v>127.34</v>
      </c>
      <c r="F1449" s="3" t="str">
        <f t="shared" si="22"/>
        <v>C3522</v>
      </c>
    </row>
    <row r="1450" spans="1:6" x14ac:dyDescent="0.2">
      <c r="A1450" s="17" t="s">
        <v>8400</v>
      </c>
      <c r="B1450" s="18" t="s">
        <v>8401</v>
      </c>
      <c r="C1450" s="17" t="s">
        <v>26</v>
      </c>
      <c r="D1450" s="19">
        <v>150.15</v>
      </c>
      <c r="F1450" s="3" t="str">
        <f t="shared" si="22"/>
        <v>C3676</v>
      </c>
    </row>
    <row r="1451" spans="1:6" ht="33.75" x14ac:dyDescent="0.2">
      <c r="A1451" s="17" t="s">
        <v>8402</v>
      </c>
      <c r="B1451" s="18" t="s">
        <v>8403</v>
      </c>
      <c r="C1451" s="17" t="s">
        <v>255</v>
      </c>
      <c r="D1451" s="19">
        <v>630.91</v>
      </c>
      <c r="F1451" s="3" t="str">
        <f t="shared" si="22"/>
        <v>C4556</v>
      </c>
    </row>
    <row r="1452" spans="1:6" x14ac:dyDescent="0.2">
      <c r="A1452" s="17">
        <v>0</v>
      </c>
      <c r="B1452" s="18"/>
      <c r="C1452" s="17">
        <v>0</v>
      </c>
      <c r="D1452" s="19">
        <v>0</v>
      </c>
      <c r="F1452" s="3">
        <f t="shared" si="22"/>
        <v>0</v>
      </c>
    </row>
    <row r="1453" spans="1:6" ht="45" x14ac:dyDescent="0.2">
      <c r="A1453" s="17" t="s">
        <v>8404</v>
      </c>
      <c r="B1453" s="18" t="s">
        <v>8405</v>
      </c>
      <c r="C1453" s="17" t="s">
        <v>255</v>
      </c>
      <c r="D1453" s="19">
        <v>630.91</v>
      </c>
      <c r="F1453" s="3" t="str">
        <f t="shared" si="22"/>
        <v>C4557</v>
      </c>
    </row>
    <row r="1454" spans="1:6" x14ac:dyDescent="0.2">
      <c r="A1454" s="17">
        <v>0</v>
      </c>
      <c r="B1454" s="18"/>
      <c r="C1454" s="17">
        <v>0</v>
      </c>
      <c r="D1454" s="19">
        <v>0</v>
      </c>
      <c r="F1454" s="3">
        <f t="shared" si="22"/>
        <v>0</v>
      </c>
    </row>
    <row r="1455" spans="1:6" x14ac:dyDescent="0.2">
      <c r="A1455" s="17" t="s">
        <v>8406</v>
      </c>
      <c r="B1455" s="18" t="s">
        <v>8407</v>
      </c>
      <c r="C1455" s="17" t="s">
        <v>26</v>
      </c>
      <c r="D1455" s="19">
        <v>34.799999999999997</v>
      </c>
      <c r="F1455" s="3" t="str">
        <f t="shared" si="22"/>
        <v>C2031</v>
      </c>
    </row>
    <row r="1456" spans="1:6" x14ac:dyDescent="0.2">
      <c r="A1456" s="17" t="s">
        <v>8408</v>
      </c>
      <c r="B1456" s="18" t="s">
        <v>8409</v>
      </c>
      <c r="C1456" s="17" t="s">
        <v>255</v>
      </c>
      <c r="D1456" s="19">
        <v>99.51</v>
      </c>
      <c r="F1456" s="3" t="str">
        <f t="shared" si="22"/>
        <v>C2215</v>
      </c>
    </row>
    <row r="1457" spans="1:6" x14ac:dyDescent="0.2">
      <c r="A1457" s="17" t="s">
        <v>8410</v>
      </c>
      <c r="B1457" s="18" t="s">
        <v>8411</v>
      </c>
      <c r="C1457" s="17" t="s">
        <v>26</v>
      </c>
      <c r="D1457" s="19">
        <v>10.69</v>
      </c>
      <c r="F1457" s="3" t="str">
        <f t="shared" si="22"/>
        <v>C2319</v>
      </c>
    </row>
    <row r="1458" spans="1:6" ht="22.5" x14ac:dyDescent="0.2">
      <c r="A1458" s="17" t="s">
        <v>8412</v>
      </c>
      <c r="B1458" s="18" t="s">
        <v>8413</v>
      </c>
      <c r="C1458" s="17" t="s">
        <v>255</v>
      </c>
      <c r="D1458" s="19">
        <v>296.87</v>
      </c>
      <c r="F1458" s="3" t="str">
        <f t="shared" si="22"/>
        <v>C3675</v>
      </c>
    </row>
    <row r="1459" spans="1:6" x14ac:dyDescent="0.2">
      <c r="A1459" s="17">
        <v>0</v>
      </c>
      <c r="B1459" s="18"/>
      <c r="C1459" s="17">
        <v>0</v>
      </c>
      <c r="D1459" s="19">
        <v>0</v>
      </c>
      <c r="F1459" s="3">
        <f t="shared" si="22"/>
        <v>0</v>
      </c>
    </row>
    <row r="1460" spans="1:6" x14ac:dyDescent="0.2">
      <c r="A1460" s="14" t="s">
        <v>8414</v>
      </c>
      <c r="B1460" s="15"/>
      <c r="C1460" s="14">
        <v>0</v>
      </c>
      <c r="D1460" s="16">
        <v>79730.320000000007</v>
      </c>
      <c r="F1460" s="3" t="str">
        <f t="shared" si="22"/>
        <v>VIDROS</v>
      </c>
    </row>
    <row r="1461" spans="1:6" x14ac:dyDescent="0.2">
      <c r="A1461" s="14" t="s">
        <v>8415</v>
      </c>
      <c r="B1461" s="15"/>
      <c r="C1461" s="14">
        <v>0</v>
      </c>
      <c r="D1461" s="16">
        <v>2357.13</v>
      </c>
      <c r="F1461" s="3" t="str">
        <f t="shared" si="22"/>
        <v>CRISTAL COMUM</v>
      </c>
    </row>
    <row r="1462" spans="1:6" x14ac:dyDescent="0.2">
      <c r="A1462" s="17" t="s">
        <v>8416</v>
      </c>
      <c r="B1462" s="18" t="s">
        <v>8417</v>
      </c>
      <c r="C1462" s="17" t="s">
        <v>255</v>
      </c>
      <c r="D1462" s="19">
        <v>179.43</v>
      </c>
      <c r="F1462" s="3" t="str">
        <f t="shared" si="22"/>
        <v>C2670</v>
      </c>
    </row>
    <row r="1463" spans="1:6" x14ac:dyDescent="0.2">
      <c r="A1463" s="17" t="s">
        <v>8418</v>
      </c>
      <c r="B1463" s="18" t="s">
        <v>8419</v>
      </c>
      <c r="C1463" s="17" t="s">
        <v>255</v>
      </c>
      <c r="D1463" s="19">
        <v>209.33</v>
      </c>
      <c r="F1463" s="3" t="str">
        <f t="shared" si="22"/>
        <v>C2671</v>
      </c>
    </row>
    <row r="1464" spans="1:6" x14ac:dyDescent="0.2">
      <c r="A1464" s="17" t="s">
        <v>8420</v>
      </c>
      <c r="B1464" s="18" t="s">
        <v>8421</v>
      </c>
      <c r="C1464" s="17" t="s">
        <v>255</v>
      </c>
      <c r="D1464" s="19">
        <v>254.19</v>
      </c>
      <c r="F1464" s="3" t="str">
        <f t="shared" si="22"/>
        <v>C2672</v>
      </c>
    </row>
    <row r="1465" spans="1:6" x14ac:dyDescent="0.2">
      <c r="A1465" s="17" t="s">
        <v>8422</v>
      </c>
      <c r="B1465" s="18" t="s">
        <v>8423</v>
      </c>
      <c r="C1465" s="17" t="s">
        <v>255</v>
      </c>
      <c r="D1465" s="19">
        <v>239.24</v>
      </c>
      <c r="F1465" s="3" t="str">
        <f t="shared" si="22"/>
        <v>C2673</v>
      </c>
    </row>
    <row r="1466" spans="1:6" x14ac:dyDescent="0.2">
      <c r="A1466" s="17" t="s">
        <v>8424</v>
      </c>
      <c r="B1466" s="18" t="s">
        <v>8425</v>
      </c>
      <c r="C1466" s="17" t="s">
        <v>255</v>
      </c>
      <c r="D1466" s="19">
        <v>258.24</v>
      </c>
      <c r="F1466" s="3" t="str">
        <f t="shared" si="22"/>
        <v>C2674</v>
      </c>
    </row>
    <row r="1467" spans="1:6" x14ac:dyDescent="0.2">
      <c r="A1467" s="17" t="s">
        <v>8426</v>
      </c>
      <c r="B1467" s="18" t="s">
        <v>8427</v>
      </c>
      <c r="C1467" s="17" t="s">
        <v>255</v>
      </c>
      <c r="D1467" s="19">
        <v>358.85</v>
      </c>
      <c r="F1467" s="3" t="str">
        <f t="shared" si="22"/>
        <v>C2675</v>
      </c>
    </row>
    <row r="1468" spans="1:6" ht="22.5" x14ac:dyDescent="0.2">
      <c r="A1468" s="17" t="s">
        <v>8428</v>
      </c>
      <c r="B1468" s="18" t="s">
        <v>8429</v>
      </c>
      <c r="C1468" s="17" t="s">
        <v>255</v>
      </c>
      <c r="D1468" s="19">
        <v>708.33</v>
      </c>
      <c r="F1468" s="3" t="str">
        <f t="shared" si="22"/>
        <v>C4826</v>
      </c>
    </row>
    <row r="1469" spans="1:6" x14ac:dyDescent="0.2">
      <c r="A1469" s="17">
        <v>0</v>
      </c>
      <c r="B1469" s="18"/>
      <c r="C1469" s="17">
        <v>0</v>
      </c>
      <c r="D1469" s="19">
        <v>0</v>
      </c>
      <c r="F1469" s="3">
        <f t="shared" si="22"/>
        <v>0</v>
      </c>
    </row>
    <row r="1470" spans="1:6" x14ac:dyDescent="0.2">
      <c r="A1470" s="17" t="s">
        <v>8430</v>
      </c>
      <c r="B1470" s="18" t="s">
        <v>8431</v>
      </c>
      <c r="C1470" s="17" t="s">
        <v>255</v>
      </c>
      <c r="D1470" s="19">
        <v>149.52000000000001</v>
      </c>
      <c r="F1470" s="3" t="str">
        <f t="shared" si="22"/>
        <v>C2984</v>
      </c>
    </row>
    <row r="1471" spans="1:6" x14ac:dyDescent="0.2">
      <c r="A1471" s="14" t="s">
        <v>8432</v>
      </c>
      <c r="B1471" s="15"/>
      <c r="C1471" s="14">
        <v>0</v>
      </c>
      <c r="D1471" s="16">
        <v>74670.080000000002</v>
      </c>
      <c r="F1471" s="3" t="str">
        <f t="shared" si="22"/>
        <v>CRISTAL TEMPERADO</v>
      </c>
    </row>
    <row r="1472" spans="1:6" x14ac:dyDescent="0.2">
      <c r="A1472" s="17" t="s">
        <v>8433</v>
      </c>
      <c r="B1472" s="18" t="s">
        <v>8434</v>
      </c>
      <c r="C1472" s="17" t="s">
        <v>8321</v>
      </c>
      <c r="D1472" s="19">
        <v>2611.36</v>
      </c>
      <c r="F1472" s="3" t="str">
        <f t="shared" si="22"/>
        <v>C1382</v>
      </c>
    </row>
    <row r="1473" spans="1:6" ht="22.5" x14ac:dyDescent="0.2">
      <c r="A1473" s="17" t="s">
        <v>8435</v>
      </c>
      <c r="B1473" s="18" t="s">
        <v>8436</v>
      </c>
      <c r="C1473" s="17" t="s">
        <v>8321</v>
      </c>
      <c r="D1473" s="19">
        <v>4356.26</v>
      </c>
      <c r="F1473" s="3" t="str">
        <f t="shared" si="22"/>
        <v>C1383</v>
      </c>
    </row>
    <row r="1474" spans="1:6" x14ac:dyDescent="0.2">
      <c r="A1474" s="17">
        <v>0</v>
      </c>
      <c r="B1474" s="18"/>
      <c r="C1474" s="17">
        <v>0</v>
      </c>
      <c r="D1474" s="19">
        <v>0</v>
      </c>
      <c r="F1474" s="3">
        <f t="shared" ref="F1474:F1537" si="23">A1474</f>
        <v>0</v>
      </c>
    </row>
    <row r="1475" spans="1:6" ht="22.5" x14ac:dyDescent="0.2">
      <c r="A1475" s="17" t="s">
        <v>8437</v>
      </c>
      <c r="B1475" s="18" t="s">
        <v>8438</v>
      </c>
      <c r="C1475" s="17" t="s">
        <v>8321</v>
      </c>
      <c r="D1475" s="19">
        <v>6678.01</v>
      </c>
      <c r="F1475" s="3" t="str">
        <f t="shared" si="23"/>
        <v>C1384</v>
      </c>
    </row>
    <row r="1476" spans="1:6" x14ac:dyDescent="0.2">
      <c r="A1476" s="17">
        <v>0</v>
      </c>
      <c r="B1476" s="18"/>
      <c r="C1476" s="17">
        <v>0</v>
      </c>
      <c r="D1476" s="19">
        <v>0</v>
      </c>
      <c r="F1476" s="3">
        <f t="shared" si="23"/>
        <v>0</v>
      </c>
    </row>
    <row r="1477" spans="1:6" x14ac:dyDescent="0.2">
      <c r="A1477" s="17" t="s">
        <v>8439</v>
      </c>
      <c r="B1477" s="18" t="s">
        <v>8440</v>
      </c>
      <c r="C1477" s="17" t="s">
        <v>8321</v>
      </c>
      <c r="D1477" s="19">
        <v>4049.67</v>
      </c>
      <c r="F1477" s="3" t="str">
        <f t="shared" si="23"/>
        <v>C1385</v>
      </c>
    </row>
    <row r="1478" spans="1:6" x14ac:dyDescent="0.2">
      <c r="A1478" s="17">
        <v>0</v>
      </c>
      <c r="B1478" s="18"/>
      <c r="C1478" s="17">
        <v>0</v>
      </c>
      <c r="D1478" s="19">
        <v>0</v>
      </c>
      <c r="F1478" s="3">
        <f t="shared" si="23"/>
        <v>0</v>
      </c>
    </row>
    <row r="1479" spans="1:6" x14ac:dyDescent="0.2">
      <c r="A1479" s="17" t="s">
        <v>8441</v>
      </c>
      <c r="B1479" s="18" t="s">
        <v>8442</v>
      </c>
      <c r="C1479" s="17" t="s">
        <v>8321</v>
      </c>
      <c r="D1479" s="19">
        <v>2089.41</v>
      </c>
      <c r="F1479" s="3" t="str">
        <f t="shared" si="23"/>
        <v>C1386</v>
      </c>
    </row>
    <row r="1480" spans="1:6" x14ac:dyDescent="0.2">
      <c r="A1480" s="17" t="s">
        <v>8443</v>
      </c>
      <c r="B1480" s="18" t="s">
        <v>8444</v>
      </c>
      <c r="C1480" s="17" t="s">
        <v>8321</v>
      </c>
      <c r="D1480" s="19">
        <v>1240.81</v>
      </c>
      <c r="F1480" s="3" t="str">
        <f t="shared" si="23"/>
        <v>C1387</v>
      </c>
    </row>
    <row r="1481" spans="1:6" x14ac:dyDescent="0.2">
      <c r="A1481" s="17" t="s">
        <v>8445</v>
      </c>
      <c r="B1481" s="18" t="s">
        <v>8446</v>
      </c>
      <c r="C1481" s="17" t="s">
        <v>8321</v>
      </c>
      <c r="D1481" s="19">
        <v>2445.17</v>
      </c>
      <c r="F1481" s="3" t="str">
        <f t="shared" si="23"/>
        <v>C1388</v>
      </c>
    </row>
    <row r="1482" spans="1:6" x14ac:dyDescent="0.2">
      <c r="A1482" s="17" t="s">
        <v>8447</v>
      </c>
      <c r="B1482" s="18" t="s">
        <v>8448</v>
      </c>
      <c r="C1482" s="17" t="s">
        <v>8321</v>
      </c>
      <c r="D1482" s="19">
        <v>3649.53</v>
      </c>
      <c r="F1482" s="3" t="str">
        <f t="shared" si="23"/>
        <v>C1389</v>
      </c>
    </row>
    <row r="1483" spans="1:6" x14ac:dyDescent="0.2">
      <c r="A1483" s="17" t="s">
        <v>8449</v>
      </c>
      <c r="B1483" s="18" t="s">
        <v>8450</v>
      </c>
      <c r="C1483" s="17" t="s">
        <v>8321</v>
      </c>
      <c r="D1483" s="19">
        <v>1344.36</v>
      </c>
      <c r="F1483" s="3" t="str">
        <f t="shared" si="23"/>
        <v>C1390</v>
      </c>
    </row>
    <row r="1484" spans="1:6" x14ac:dyDescent="0.2">
      <c r="A1484" s="17" t="s">
        <v>8451</v>
      </c>
      <c r="B1484" s="18" t="s">
        <v>8452</v>
      </c>
      <c r="C1484" s="17" t="s">
        <v>8321</v>
      </c>
      <c r="D1484" s="19">
        <v>5664.64</v>
      </c>
      <c r="F1484" s="3" t="str">
        <f t="shared" si="23"/>
        <v>C1952</v>
      </c>
    </row>
    <row r="1485" spans="1:6" x14ac:dyDescent="0.2">
      <c r="A1485" s="17" t="s">
        <v>8453</v>
      </c>
      <c r="B1485" s="18" t="s">
        <v>8454</v>
      </c>
      <c r="C1485" s="17" t="s">
        <v>8321</v>
      </c>
      <c r="D1485" s="19">
        <v>6257.52</v>
      </c>
      <c r="F1485" s="3" t="str">
        <f t="shared" si="23"/>
        <v>C1953</v>
      </c>
    </row>
    <row r="1486" spans="1:6" x14ac:dyDescent="0.2">
      <c r="A1486" s="17" t="s">
        <v>8455</v>
      </c>
      <c r="B1486" s="18" t="s">
        <v>8456</v>
      </c>
      <c r="C1486" s="17" t="s">
        <v>8321</v>
      </c>
      <c r="D1486" s="19">
        <v>8940.85</v>
      </c>
      <c r="F1486" s="3" t="str">
        <f t="shared" si="23"/>
        <v>C1954</v>
      </c>
    </row>
    <row r="1487" spans="1:6" x14ac:dyDescent="0.2">
      <c r="A1487" s="17">
        <v>0</v>
      </c>
      <c r="B1487" s="18"/>
      <c r="C1487" s="17">
        <v>0</v>
      </c>
      <c r="D1487" s="19">
        <v>0</v>
      </c>
      <c r="F1487" s="3">
        <f t="shared" si="23"/>
        <v>0</v>
      </c>
    </row>
    <row r="1488" spans="1:6" ht="22.5" x14ac:dyDescent="0.2">
      <c r="A1488" s="17" t="s">
        <v>8457</v>
      </c>
      <c r="B1488" s="18" t="s">
        <v>8458</v>
      </c>
      <c r="C1488" s="17" t="s">
        <v>8321</v>
      </c>
      <c r="D1488" s="19">
        <v>11026.19</v>
      </c>
      <c r="F1488" s="3" t="str">
        <f t="shared" si="23"/>
        <v>C1955</v>
      </c>
    </row>
    <row r="1489" spans="1:6" x14ac:dyDescent="0.2">
      <c r="A1489" s="17">
        <v>0</v>
      </c>
      <c r="B1489" s="18"/>
      <c r="C1489" s="17">
        <v>0</v>
      </c>
      <c r="D1489" s="19">
        <v>0</v>
      </c>
      <c r="F1489" s="3">
        <f t="shared" si="23"/>
        <v>0</v>
      </c>
    </row>
    <row r="1490" spans="1:6" x14ac:dyDescent="0.2">
      <c r="A1490" s="17" t="s">
        <v>8459</v>
      </c>
      <c r="B1490" s="18" t="s">
        <v>8460</v>
      </c>
      <c r="C1490" s="17" t="s">
        <v>8321</v>
      </c>
      <c r="D1490" s="19">
        <v>2927.71</v>
      </c>
      <c r="F1490" s="3" t="str">
        <f t="shared" si="23"/>
        <v>C1956</v>
      </c>
    </row>
    <row r="1491" spans="1:6" x14ac:dyDescent="0.2">
      <c r="A1491" s="17" t="s">
        <v>8461</v>
      </c>
      <c r="B1491" s="18" t="s">
        <v>8462</v>
      </c>
      <c r="C1491" s="17" t="s">
        <v>8321</v>
      </c>
      <c r="D1491" s="19">
        <v>3224.15</v>
      </c>
      <c r="F1491" s="3" t="str">
        <f t="shared" si="23"/>
        <v>C1957</v>
      </c>
    </row>
    <row r="1492" spans="1:6" x14ac:dyDescent="0.2">
      <c r="A1492" s="17" t="s">
        <v>8463</v>
      </c>
      <c r="B1492" s="18" t="s">
        <v>8464</v>
      </c>
      <c r="C1492" s="17" t="s">
        <v>8321</v>
      </c>
      <c r="D1492" s="19">
        <v>2355.21</v>
      </c>
      <c r="F1492" s="3" t="str">
        <f t="shared" si="23"/>
        <v>C1972</v>
      </c>
    </row>
    <row r="1493" spans="1:6" x14ac:dyDescent="0.2">
      <c r="A1493" s="17" t="s">
        <v>8465</v>
      </c>
      <c r="B1493" s="18" t="s">
        <v>8466</v>
      </c>
      <c r="C1493" s="17" t="s">
        <v>8321</v>
      </c>
      <c r="D1493" s="19">
        <v>4688.54</v>
      </c>
      <c r="F1493" s="3" t="str">
        <f t="shared" si="23"/>
        <v>C1971</v>
      </c>
    </row>
    <row r="1494" spans="1:6" x14ac:dyDescent="0.2">
      <c r="A1494" s="17" t="s">
        <v>8467</v>
      </c>
      <c r="B1494" s="18" t="s">
        <v>8468</v>
      </c>
      <c r="C1494" s="17" t="s">
        <v>255</v>
      </c>
      <c r="D1494" s="19">
        <v>291.54000000000002</v>
      </c>
      <c r="F1494" s="3" t="str">
        <f t="shared" si="23"/>
        <v>C4949</v>
      </c>
    </row>
    <row r="1495" spans="1:6" x14ac:dyDescent="0.2">
      <c r="A1495" s="17" t="s">
        <v>8469</v>
      </c>
      <c r="B1495" s="18" t="s">
        <v>8470</v>
      </c>
      <c r="C1495" s="17" t="s">
        <v>255</v>
      </c>
      <c r="D1495" s="19">
        <v>369.02</v>
      </c>
      <c r="F1495" s="3" t="str">
        <f t="shared" si="23"/>
        <v>C4950</v>
      </c>
    </row>
    <row r="1496" spans="1:6" x14ac:dyDescent="0.2">
      <c r="A1496" s="17" t="s">
        <v>8471</v>
      </c>
      <c r="B1496" s="18" t="s">
        <v>8472</v>
      </c>
      <c r="C1496" s="17" t="s">
        <v>255</v>
      </c>
      <c r="D1496" s="19">
        <v>460.14</v>
      </c>
      <c r="F1496" s="3" t="str">
        <f t="shared" si="23"/>
        <v>C4951</v>
      </c>
    </row>
    <row r="1497" spans="1:6" x14ac:dyDescent="0.2">
      <c r="A1497" s="14" t="s">
        <v>8473</v>
      </c>
      <c r="B1497" s="15"/>
      <c r="C1497" s="14">
        <v>0</v>
      </c>
      <c r="D1497" s="16">
        <v>2703.11</v>
      </c>
      <c r="F1497" s="3" t="str">
        <f t="shared" si="23"/>
        <v xml:space="preserve">OUTROS  ELEMENTOS </v>
      </c>
    </row>
    <row r="1498" spans="1:6" x14ac:dyDescent="0.2">
      <c r="A1498" s="17" t="s">
        <v>8474</v>
      </c>
      <c r="B1498" s="18" t="s">
        <v>8475</v>
      </c>
      <c r="C1498" s="17" t="s">
        <v>255</v>
      </c>
      <c r="D1498" s="19">
        <v>544.30999999999995</v>
      </c>
      <c r="F1498" s="3" t="str">
        <f t="shared" si="23"/>
        <v>C3650</v>
      </c>
    </row>
    <row r="1499" spans="1:6" x14ac:dyDescent="0.2">
      <c r="A1499" s="17" t="s">
        <v>8476</v>
      </c>
      <c r="B1499" s="18" t="s">
        <v>8477</v>
      </c>
      <c r="C1499" s="17" t="s">
        <v>255</v>
      </c>
      <c r="D1499" s="19">
        <v>705.83</v>
      </c>
      <c r="F1499" s="3" t="str">
        <f t="shared" si="23"/>
        <v>C1451</v>
      </c>
    </row>
    <row r="1500" spans="1:6" x14ac:dyDescent="0.2">
      <c r="A1500" s="17" t="s">
        <v>8478</v>
      </c>
      <c r="B1500" s="18" t="s">
        <v>8479</v>
      </c>
      <c r="C1500" s="17" t="s">
        <v>255</v>
      </c>
      <c r="D1500" s="19">
        <v>49.39</v>
      </c>
      <c r="F1500" s="3" t="str">
        <f t="shared" si="23"/>
        <v>C1873</v>
      </c>
    </row>
    <row r="1501" spans="1:6" x14ac:dyDescent="0.2">
      <c r="A1501" s="17" t="s">
        <v>8480</v>
      </c>
      <c r="B1501" s="18" t="s">
        <v>8481</v>
      </c>
      <c r="C1501" s="17" t="s">
        <v>255</v>
      </c>
      <c r="D1501" s="19">
        <v>95.17</v>
      </c>
      <c r="F1501" s="3" t="str">
        <f t="shared" si="23"/>
        <v>C1874</v>
      </c>
    </row>
    <row r="1502" spans="1:6" x14ac:dyDescent="0.2">
      <c r="A1502" s="17" t="s">
        <v>8482</v>
      </c>
      <c r="B1502" s="18" t="s">
        <v>8483</v>
      </c>
      <c r="C1502" s="17" t="s">
        <v>255</v>
      </c>
      <c r="D1502" s="19">
        <v>488.49</v>
      </c>
      <c r="F1502" s="3" t="str">
        <f t="shared" si="23"/>
        <v>C3649</v>
      </c>
    </row>
    <row r="1503" spans="1:6" x14ac:dyDescent="0.2">
      <c r="A1503" s="20" t="s">
        <v>8484</v>
      </c>
      <c r="B1503" s="21" t="s">
        <v>8485</v>
      </c>
      <c r="C1503" s="20" t="s">
        <v>255</v>
      </c>
      <c r="D1503" s="22">
        <v>397.62</v>
      </c>
      <c r="F1503" s="3" t="str">
        <f t="shared" si="23"/>
        <v>C2679</v>
      </c>
    </row>
    <row r="1504" spans="1:6" x14ac:dyDescent="0.2">
      <c r="A1504" s="17" t="s">
        <v>8486</v>
      </c>
      <c r="B1504" s="18" t="s">
        <v>8487</v>
      </c>
      <c r="C1504" s="17" t="s">
        <v>255</v>
      </c>
      <c r="D1504" s="19">
        <v>422.3</v>
      </c>
      <c r="F1504" s="3" t="str">
        <f t="shared" si="23"/>
        <v>C2680</v>
      </c>
    </row>
    <row r="1505" spans="1:6" x14ac:dyDescent="0.2">
      <c r="A1505" s="14" t="s">
        <v>8488</v>
      </c>
      <c r="B1505" s="15"/>
      <c r="C1505" s="14">
        <v>0</v>
      </c>
      <c r="D1505" s="16">
        <v>25157.93</v>
      </c>
      <c r="F1505" s="3" t="str">
        <f t="shared" si="23"/>
        <v>COBERTURA</v>
      </c>
    </row>
    <row r="1506" spans="1:6" x14ac:dyDescent="0.2">
      <c r="A1506" s="14" t="s">
        <v>8489</v>
      </c>
      <c r="B1506" s="15"/>
      <c r="C1506" s="14">
        <v>0</v>
      </c>
      <c r="D1506" s="16">
        <v>1783.06</v>
      </c>
      <c r="F1506" s="3" t="str">
        <f t="shared" si="23"/>
        <v>ESTRUTURA DE MADEIRA</v>
      </c>
    </row>
    <row r="1507" spans="1:6" x14ac:dyDescent="0.2">
      <c r="A1507" s="17" t="s">
        <v>8490</v>
      </c>
      <c r="B1507" s="18" t="s">
        <v>8491</v>
      </c>
      <c r="C1507" s="17" t="s">
        <v>255</v>
      </c>
      <c r="D1507" s="19">
        <v>108.69</v>
      </c>
      <c r="F1507" s="3" t="str">
        <f t="shared" si="23"/>
        <v>C3722</v>
      </c>
    </row>
    <row r="1508" spans="1:6" ht="22.5" x14ac:dyDescent="0.2">
      <c r="A1508" s="17" t="s">
        <v>8492</v>
      </c>
      <c r="B1508" s="18" t="s">
        <v>8493</v>
      </c>
      <c r="C1508" s="17" t="s">
        <v>255</v>
      </c>
      <c r="D1508" s="19">
        <v>135.52000000000001</v>
      </c>
      <c r="F1508" s="3" t="str">
        <f t="shared" si="23"/>
        <v>C1336</v>
      </c>
    </row>
    <row r="1509" spans="1:6" x14ac:dyDescent="0.2">
      <c r="A1509" s="17">
        <v>0</v>
      </c>
      <c r="B1509" s="18"/>
      <c r="C1509" s="17">
        <v>0</v>
      </c>
      <c r="D1509" s="19">
        <v>0</v>
      </c>
      <c r="F1509" s="3">
        <f t="shared" si="23"/>
        <v>0</v>
      </c>
    </row>
    <row r="1510" spans="1:6" ht="22.5" x14ac:dyDescent="0.2">
      <c r="A1510" s="17" t="s">
        <v>8494</v>
      </c>
      <c r="B1510" s="18" t="s">
        <v>8495</v>
      </c>
      <c r="C1510" s="17" t="s">
        <v>255</v>
      </c>
      <c r="D1510" s="19">
        <v>152.36000000000001</v>
      </c>
      <c r="F1510" s="3" t="str">
        <f t="shared" si="23"/>
        <v>C1337</v>
      </c>
    </row>
    <row r="1511" spans="1:6" x14ac:dyDescent="0.2">
      <c r="A1511" s="17">
        <v>0</v>
      </c>
      <c r="B1511" s="18"/>
      <c r="C1511" s="17">
        <v>0</v>
      </c>
      <c r="D1511" s="19">
        <v>0</v>
      </c>
      <c r="F1511" s="3">
        <f t="shared" si="23"/>
        <v>0</v>
      </c>
    </row>
    <row r="1512" spans="1:6" ht="22.5" x14ac:dyDescent="0.2">
      <c r="A1512" s="17" t="s">
        <v>8496</v>
      </c>
      <c r="B1512" s="18" t="s">
        <v>8497</v>
      </c>
      <c r="C1512" s="17" t="s">
        <v>255</v>
      </c>
      <c r="D1512" s="19">
        <v>172.08</v>
      </c>
      <c r="F1512" s="3" t="str">
        <f t="shared" si="23"/>
        <v>C1335</v>
      </c>
    </row>
    <row r="1513" spans="1:6" x14ac:dyDescent="0.2">
      <c r="A1513" s="17">
        <v>0</v>
      </c>
      <c r="B1513" s="18"/>
      <c r="C1513" s="17">
        <v>0</v>
      </c>
      <c r="D1513" s="19">
        <v>0</v>
      </c>
      <c r="F1513" s="3">
        <f t="shared" si="23"/>
        <v>0</v>
      </c>
    </row>
    <row r="1514" spans="1:6" ht="22.5" x14ac:dyDescent="0.2">
      <c r="A1514" s="17" t="s">
        <v>8498</v>
      </c>
      <c r="B1514" s="18" t="s">
        <v>8499</v>
      </c>
      <c r="C1514" s="17" t="s">
        <v>255</v>
      </c>
      <c r="D1514" s="19">
        <v>101.93</v>
      </c>
      <c r="F1514" s="3" t="str">
        <f t="shared" si="23"/>
        <v>C1338</v>
      </c>
    </row>
    <row r="1515" spans="1:6" x14ac:dyDescent="0.2">
      <c r="A1515" s="17">
        <v>0</v>
      </c>
      <c r="B1515" s="18"/>
      <c r="C1515" s="17">
        <v>0</v>
      </c>
      <c r="D1515" s="19">
        <v>0</v>
      </c>
      <c r="F1515" s="3">
        <f t="shared" si="23"/>
        <v>0</v>
      </c>
    </row>
    <row r="1516" spans="1:6" ht="22.5" x14ac:dyDescent="0.2">
      <c r="A1516" s="17" t="s">
        <v>8500</v>
      </c>
      <c r="B1516" s="18" t="s">
        <v>8501</v>
      </c>
      <c r="C1516" s="17" t="s">
        <v>255</v>
      </c>
      <c r="D1516" s="19">
        <v>120.09</v>
      </c>
      <c r="F1516" s="3" t="str">
        <f t="shared" si="23"/>
        <v>C1339</v>
      </c>
    </row>
    <row r="1517" spans="1:6" x14ac:dyDescent="0.2">
      <c r="A1517" s="17">
        <v>0</v>
      </c>
      <c r="B1517" s="18"/>
      <c r="C1517" s="17">
        <v>0</v>
      </c>
      <c r="D1517" s="19">
        <v>0</v>
      </c>
      <c r="F1517" s="3">
        <f t="shared" si="23"/>
        <v>0</v>
      </c>
    </row>
    <row r="1518" spans="1:6" ht="22.5" x14ac:dyDescent="0.2">
      <c r="A1518" s="17" t="s">
        <v>8502</v>
      </c>
      <c r="B1518" s="18" t="s">
        <v>8503</v>
      </c>
      <c r="C1518" s="17" t="s">
        <v>255</v>
      </c>
      <c r="D1518" s="19">
        <v>145.68</v>
      </c>
      <c r="F1518" s="3" t="str">
        <f t="shared" si="23"/>
        <v>C1340</v>
      </c>
    </row>
    <row r="1519" spans="1:6" x14ac:dyDescent="0.2">
      <c r="A1519" s="17">
        <v>0</v>
      </c>
      <c r="B1519" s="18"/>
      <c r="C1519" s="17">
        <v>0</v>
      </c>
      <c r="D1519" s="19">
        <v>0</v>
      </c>
      <c r="F1519" s="3">
        <f t="shared" si="23"/>
        <v>0</v>
      </c>
    </row>
    <row r="1520" spans="1:6" ht="22.5" x14ac:dyDescent="0.2">
      <c r="A1520" s="17" t="s">
        <v>8504</v>
      </c>
      <c r="B1520" s="18" t="s">
        <v>8505</v>
      </c>
      <c r="C1520" s="17" t="s">
        <v>255</v>
      </c>
      <c r="D1520" s="19">
        <v>73.23</v>
      </c>
      <c r="F1520" s="3" t="str">
        <f t="shared" si="23"/>
        <v>C4511</v>
      </c>
    </row>
    <row r="1521" spans="1:6" x14ac:dyDescent="0.2">
      <c r="A1521" s="17">
        <v>0</v>
      </c>
      <c r="B1521" s="18"/>
      <c r="C1521" s="17">
        <v>0</v>
      </c>
      <c r="D1521" s="19">
        <v>0</v>
      </c>
      <c r="F1521" s="3">
        <f t="shared" si="23"/>
        <v>0</v>
      </c>
    </row>
    <row r="1522" spans="1:6" ht="22.5" x14ac:dyDescent="0.2">
      <c r="A1522" s="17" t="s">
        <v>8506</v>
      </c>
      <c r="B1522" s="18" t="s">
        <v>8507</v>
      </c>
      <c r="C1522" s="17" t="s">
        <v>255</v>
      </c>
      <c r="D1522" s="19">
        <v>38.869999999999997</v>
      </c>
      <c r="F1522" s="3" t="str">
        <f t="shared" si="23"/>
        <v>C1341</v>
      </c>
    </row>
    <row r="1523" spans="1:6" x14ac:dyDescent="0.2">
      <c r="A1523" s="17">
        <v>0</v>
      </c>
      <c r="B1523" s="18"/>
      <c r="C1523" s="17">
        <v>0</v>
      </c>
      <c r="D1523" s="19">
        <v>0</v>
      </c>
      <c r="F1523" s="3">
        <f t="shared" si="23"/>
        <v>0</v>
      </c>
    </row>
    <row r="1524" spans="1:6" x14ac:dyDescent="0.2">
      <c r="A1524" s="17" t="s">
        <v>8508</v>
      </c>
      <c r="B1524" s="18" t="s">
        <v>8509</v>
      </c>
      <c r="C1524" s="17" t="s">
        <v>255</v>
      </c>
      <c r="D1524" s="19">
        <v>45.12</v>
      </c>
      <c r="F1524" s="3" t="str">
        <f t="shared" si="23"/>
        <v>C3005</v>
      </c>
    </row>
    <row r="1525" spans="1:6" x14ac:dyDescent="0.2">
      <c r="A1525" s="17" t="s">
        <v>8510</v>
      </c>
      <c r="B1525" s="18" t="s">
        <v>8511</v>
      </c>
      <c r="C1525" s="17" t="s">
        <v>255</v>
      </c>
      <c r="D1525" s="19">
        <v>60.4</v>
      </c>
      <c r="F1525" s="3" t="str">
        <f t="shared" si="23"/>
        <v>C4459</v>
      </c>
    </row>
    <row r="1526" spans="1:6" x14ac:dyDescent="0.2">
      <c r="A1526" s="17" t="s">
        <v>8512</v>
      </c>
      <c r="B1526" s="18" t="s">
        <v>8513</v>
      </c>
      <c r="C1526" s="17" t="s">
        <v>255</v>
      </c>
      <c r="D1526" s="19">
        <v>108.42</v>
      </c>
      <c r="F1526" s="3" t="str">
        <f t="shared" si="23"/>
        <v>C4460</v>
      </c>
    </row>
    <row r="1527" spans="1:6" x14ac:dyDescent="0.2">
      <c r="A1527" s="17" t="s">
        <v>8514</v>
      </c>
      <c r="B1527" s="18" t="s">
        <v>8515</v>
      </c>
      <c r="C1527" s="17" t="s">
        <v>255</v>
      </c>
      <c r="D1527" s="19">
        <v>72.87</v>
      </c>
      <c r="F1527" s="3" t="str">
        <f t="shared" si="23"/>
        <v>C4467</v>
      </c>
    </row>
    <row r="1528" spans="1:6" x14ac:dyDescent="0.2">
      <c r="A1528" s="17" t="s">
        <v>8516</v>
      </c>
      <c r="B1528" s="18" t="s">
        <v>8517</v>
      </c>
      <c r="C1528" s="17" t="s">
        <v>255</v>
      </c>
      <c r="D1528" s="19">
        <v>44.68</v>
      </c>
      <c r="F1528" s="3" t="str">
        <f t="shared" si="23"/>
        <v>C3006</v>
      </c>
    </row>
    <row r="1529" spans="1:6" x14ac:dyDescent="0.2">
      <c r="A1529" s="17" t="s">
        <v>8518</v>
      </c>
      <c r="B1529" s="18" t="s">
        <v>8519</v>
      </c>
      <c r="C1529" s="17" t="s">
        <v>0</v>
      </c>
      <c r="D1529" s="19">
        <v>24.04</v>
      </c>
      <c r="F1529" s="3" t="str">
        <f t="shared" si="23"/>
        <v>C2237</v>
      </c>
    </row>
    <row r="1530" spans="1:6" x14ac:dyDescent="0.2">
      <c r="A1530" s="17" t="s">
        <v>8520</v>
      </c>
      <c r="B1530" s="18" t="s">
        <v>8521</v>
      </c>
      <c r="C1530" s="17" t="s">
        <v>0</v>
      </c>
      <c r="D1530" s="19">
        <v>145.21</v>
      </c>
      <c r="F1530" s="3" t="str">
        <f t="shared" si="23"/>
        <v>C2460</v>
      </c>
    </row>
    <row r="1531" spans="1:6" x14ac:dyDescent="0.2">
      <c r="A1531" s="17" t="s">
        <v>8522</v>
      </c>
      <c r="B1531" s="18" t="s">
        <v>8523</v>
      </c>
      <c r="C1531" s="17" t="s">
        <v>0</v>
      </c>
      <c r="D1531" s="19">
        <v>71.37</v>
      </c>
      <c r="F1531" s="3" t="str">
        <f t="shared" si="23"/>
        <v>C2678</v>
      </c>
    </row>
    <row r="1532" spans="1:6" x14ac:dyDescent="0.2">
      <c r="A1532" s="17" t="s">
        <v>8524</v>
      </c>
      <c r="B1532" s="18" t="s">
        <v>8525</v>
      </c>
      <c r="C1532" s="17" t="s">
        <v>0</v>
      </c>
      <c r="D1532" s="19">
        <v>162.5</v>
      </c>
      <c r="F1532" s="3" t="str">
        <f t="shared" si="23"/>
        <v>C3721</v>
      </c>
    </row>
    <row r="1533" spans="1:6" x14ac:dyDescent="0.2">
      <c r="A1533" s="14" t="s">
        <v>8526</v>
      </c>
      <c r="B1533" s="15"/>
      <c r="C1533" s="14">
        <v>0</v>
      </c>
      <c r="D1533" s="16">
        <v>9980.76</v>
      </c>
      <c r="F1533" s="3" t="str">
        <f t="shared" si="23"/>
        <v>ESTRUTURA METÁLICA</v>
      </c>
    </row>
    <row r="1534" spans="1:6" x14ac:dyDescent="0.2">
      <c r="A1534" s="17" t="s">
        <v>8527</v>
      </c>
      <c r="B1534" s="18" t="s">
        <v>8528</v>
      </c>
      <c r="C1534" s="17" t="s">
        <v>255</v>
      </c>
      <c r="D1534" s="19">
        <v>78.040000000000006</v>
      </c>
      <c r="F1534" s="3" t="str">
        <f t="shared" si="23"/>
        <v>C0818</v>
      </c>
    </row>
    <row r="1535" spans="1:6" x14ac:dyDescent="0.2">
      <c r="A1535" s="17" t="s">
        <v>8529</v>
      </c>
      <c r="B1535" s="18" t="s">
        <v>8530</v>
      </c>
      <c r="C1535" s="17" t="s">
        <v>255</v>
      </c>
      <c r="D1535" s="19">
        <v>88.07</v>
      </c>
      <c r="F1535" s="3" t="str">
        <f t="shared" si="23"/>
        <v>C0819</v>
      </c>
    </row>
    <row r="1536" spans="1:6" x14ac:dyDescent="0.2">
      <c r="A1536" s="17" t="s">
        <v>8531</v>
      </c>
      <c r="B1536" s="18" t="s">
        <v>8532</v>
      </c>
      <c r="C1536" s="17" t="s">
        <v>255</v>
      </c>
      <c r="D1536" s="19">
        <v>97.43</v>
      </c>
      <c r="F1536" s="3" t="str">
        <f t="shared" si="23"/>
        <v>C0820</v>
      </c>
    </row>
    <row r="1537" spans="1:6" x14ac:dyDescent="0.2">
      <c r="A1537" s="17" t="s">
        <v>8533</v>
      </c>
      <c r="B1537" s="18" t="s">
        <v>8534</v>
      </c>
      <c r="C1537" s="17" t="s">
        <v>255</v>
      </c>
      <c r="D1537" s="19">
        <v>231.74</v>
      </c>
      <c r="F1537" s="3" t="str">
        <f t="shared" si="23"/>
        <v>C1318</v>
      </c>
    </row>
    <row r="1538" spans="1:6" x14ac:dyDescent="0.2">
      <c r="A1538" s="17" t="s">
        <v>8535</v>
      </c>
      <c r="B1538" s="18" t="s">
        <v>8536</v>
      </c>
      <c r="C1538" s="17" t="s">
        <v>255</v>
      </c>
      <c r="D1538" s="19">
        <v>261.11</v>
      </c>
      <c r="F1538" s="3" t="str">
        <f t="shared" ref="F1538:F1601" si="24">A1538</f>
        <v>C1319</v>
      </c>
    </row>
    <row r="1539" spans="1:6" x14ac:dyDescent="0.2">
      <c r="A1539" s="17" t="s">
        <v>8537</v>
      </c>
      <c r="B1539" s="18" t="s">
        <v>8538</v>
      </c>
      <c r="C1539" s="17" t="s">
        <v>255</v>
      </c>
      <c r="D1539" s="19">
        <v>290.48</v>
      </c>
      <c r="F1539" s="3" t="str">
        <f t="shared" si="24"/>
        <v>C1320</v>
      </c>
    </row>
    <row r="1540" spans="1:6" x14ac:dyDescent="0.2">
      <c r="A1540" s="17" t="s">
        <v>8539</v>
      </c>
      <c r="B1540" s="18" t="s">
        <v>8540</v>
      </c>
      <c r="C1540" s="17" t="s">
        <v>255</v>
      </c>
      <c r="D1540" s="19">
        <v>244.79</v>
      </c>
      <c r="F1540" s="3" t="str">
        <f t="shared" si="24"/>
        <v>C1324</v>
      </c>
    </row>
    <row r="1541" spans="1:6" x14ac:dyDescent="0.2">
      <c r="A1541" s="17" t="s">
        <v>8541</v>
      </c>
      <c r="B1541" s="18" t="s">
        <v>8542</v>
      </c>
      <c r="C1541" s="17" t="s">
        <v>255</v>
      </c>
      <c r="D1541" s="19">
        <v>264.37</v>
      </c>
      <c r="F1541" s="3" t="str">
        <f t="shared" si="24"/>
        <v>C1321</v>
      </c>
    </row>
    <row r="1542" spans="1:6" x14ac:dyDescent="0.2">
      <c r="A1542" s="17" t="s">
        <v>8543</v>
      </c>
      <c r="B1542" s="18" t="s">
        <v>8544</v>
      </c>
      <c r="C1542" s="17" t="s">
        <v>255</v>
      </c>
      <c r="D1542" s="19">
        <v>283.95</v>
      </c>
      <c r="F1542" s="3" t="str">
        <f t="shared" si="24"/>
        <v>C1322</v>
      </c>
    </row>
    <row r="1543" spans="1:6" x14ac:dyDescent="0.2">
      <c r="A1543" s="17" t="s">
        <v>8545</v>
      </c>
      <c r="B1543" s="18" t="s">
        <v>8546</v>
      </c>
      <c r="C1543" s="17" t="s">
        <v>255</v>
      </c>
      <c r="D1543" s="19">
        <v>316.58</v>
      </c>
      <c r="F1543" s="3" t="str">
        <f t="shared" si="24"/>
        <v>C1323</v>
      </c>
    </row>
    <row r="1544" spans="1:6" x14ac:dyDescent="0.2">
      <c r="A1544" s="17" t="s">
        <v>8547</v>
      </c>
      <c r="B1544" s="18" t="s">
        <v>8548</v>
      </c>
      <c r="C1544" s="17" t="s">
        <v>255</v>
      </c>
      <c r="D1544" s="19">
        <v>319.83999999999997</v>
      </c>
      <c r="F1544" s="3" t="str">
        <f t="shared" si="24"/>
        <v>C1325</v>
      </c>
    </row>
    <row r="1545" spans="1:6" x14ac:dyDescent="0.2">
      <c r="A1545" s="17" t="s">
        <v>8549</v>
      </c>
      <c r="B1545" s="18" t="s">
        <v>8550</v>
      </c>
      <c r="C1545" s="17" t="s">
        <v>255</v>
      </c>
      <c r="D1545" s="19">
        <v>247.71</v>
      </c>
      <c r="F1545" s="3" t="str">
        <f t="shared" si="24"/>
        <v>C1342</v>
      </c>
    </row>
    <row r="1546" spans="1:6" x14ac:dyDescent="0.2">
      <c r="A1546" s="17" t="s">
        <v>8551</v>
      </c>
      <c r="B1546" s="18" t="s">
        <v>8552</v>
      </c>
      <c r="C1546" s="17" t="s">
        <v>255</v>
      </c>
      <c r="D1546" s="19">
        <v>290.13</v>
      </c>
      <c r="F1546" s="3" t="str">
        <f t="shared" si="24"/>
        <v>C1343</v>
      </c>
    </row>
    <row r="1547" spans="1:6" x14ac:dyDescent="0.2">
      <c r="A1547" s="17" t="s">
        <v>8553</v>
      </c>
      <c r="B1547" s="18" t="s">
        <v>8554</v>
      </c>
      <c r="C1547" s="17" t="s">
        <v>255</v>
      </c>
      <c r="D1547" s="19">
        <v>329.29</v>
      </c>
      <c r="F1547" s="3" t="str">
        <f t="shared" si="24"/>
        <v>C1344</v>
      </c>
    </row>
    <row r="1548" spans="1:6" x14ac:dyDescent="0.2">
      <c r="A1548" s="17" t="s">
        <v>8555</v>
      </c>
      <c r="B1548" s="18" t="s">
        <v>8556</v>
      </c>
      <c r="C1548" s="17" t="s">
        <v>255</v>
      </c>
      <c r="D1548" s="19">
        <v>368.44</v>
      </c>
      <c r="F1548" s="3" t="str">
        <f t="shared" si="24"/>
        <v>C1345</v>
      </c>
    </row>
    <row r="1549" spans="1:6" x14ac:dyDescent="0.2">
      <c r="A1549" s="17" t="s">
        <v>8557</v>
      </c>
      <c r="B1549" s="18" t="s">
        <v>8558</v>
      </c>
      <c r="C1549" s="17" t="s">
        <v>255</v>
      </c>
      <c r="D1549" s="19">
        <v>407.6</v>
      </c>
      <c r="F1549" s="3" t="str">
        <f t="shared" si="24"/>
        <v>C1346</v>
      </c>
    </row>
    <row r="1550" spans="1:6" x14ac:dyDescent="0.2">
      <c r="A1550" s="17" t="s">
        <v>8559</v>
      </c>
      <c r="B1550" s="18" t="s">
        <v>8560</v>
      </c>
      <c r="C1550" s="17" t="s">
        <v>0</v>
      </c>
      <c r="D1550" s="19">
        <v>592.58000000000004</v>
      </c>
      <c r="F1550" s="3" t="str">
        <f t="shared" si="24"/>
        <v>C1352</v>
      </c>
    </row>
    <row r="1551" spans="1:6" x14ac:dyDescent="0.2">
      <c r="A1551" s="17" t="s">
        <v>8561</v>
      </c>
      <c r="B1551" s="18" t="s">
        <v>8562</v>
      </c>
      <c r="C1551" s="17" t="s">
        <v>255</v>
      </c>
      <c r="D1551" s="19">
        <v>256.77</v>
      </c>
      <c r="F1551" s="3" t="str">
        <f t="shared" si="24"/>
        <v>C1353</v>
      </c>
    </row>
    <row r="1552" spans="1:6" ht="33.75" x14ac:dyDescent="0.2">
      <c r="A1552" s="17" t="s">
        <v>8563</v>
      </c>
      <c r="B1552" s="18" t="s">
        <v>8564</v>
      </c>
      <c r="C1552" s="17" t="s">
        <v>1284</v>
      </c>
      <c r="D1552" s="19">
        <v>20.29</v>
      </c>
      <c r="F1552" s="3" t="str">
        <f t="shared" si="24"/>
        <v>C5217</v>
      </c>
    </row>
    <row r="1553" spans="1:6" x14ac:dyDescent="0.2">
      <c r="A1553" s="17">
        <v>0</v>
      </c>
      <c r="B1553" s="18"/>
      <c r="C1553" s="17">
        <v>0</v>
      </c>
      <c r="D1553" s="19">
        <v>0</v>
      </c>
      <c r="F1553" s="3">
        <f t="shared" si="24"/>
        <v>0</v>
      </c>
    </row>
    <row r="1554" spans="1:6" ht="22.5" x14ac:dyDescent="0.2">
      <c r="A1554" s="17" t="s">
        <v>8565</v>
      </c>
      <c r="B1554" s="18" t="s">
        <v>8566</v>
      </c>
      <c r="C1554" s="17" t="s">
        <v>1284</v>
      </c>
      <c r="D1554" s="19">
        <v>20.239999999999998</v>
      </c>
      <c r="F1554" s="3" t="str">
        <f t="shared" si="24"/>
        <v>C5218</v>
      </c>
    </row>
    <row r="1555" spans="1:6" x14ac:dyDescent="0.2">
      <c r="A1555" s="17">
        <v>0</v>
      </c>
      <c r="B1555" s="18"/>
      <c r="C1555" s="17">
        <v>0</v>
      </c>
      <c r="D1555" s="19">
        <v>0</v>
      </c>
      <c r="F1555" s="3">
        <f t="shared" si="24"/>
        <v>0</v>
      </c>
    </row>
    <row r="1556" spans="1:6" ht="22.5" x14ac:dyDescent="0.2">
      <c r="A1556" s="17" t="s">
        <v>8567</v>
      </c>
      <c r="B1556" s="18" t="s">
        <v>8568</v>
      </c>
      <c r="C1556" s="17" t="s">
        <v>1284</v>
      </c>
      <c r="D1556" s="19">
        <v>11.45</v>
      </c>
      <c r="F1556" s="3" t="str">
        <f t="shared" si="24"/>
        <v>C5215</v>
      </c>
    </row>
    <row r="1557" spans="1:6" x14ac:dyDescent="0.2">
      <c r="A1557" s="17">
        <v>0</v>
      </c>
      <c r="B1557" s="18"/>
      <c r="C1557" s="17">
        <v>0</v>
      </c>
      <c r="D1557" s="19">
        <v>0</v>
      </c>
      <c r="F1557" s="3">
        <f t="shared" si="24"/>
        <v>0</v>
      </c>
    </row>
    <row r="1558" spans="1:6" ht="33.75" x14ac:dyDescent="0.2">
      <c r="A1558" s="17" t="s">
        <v>8569</v>
      </c>
      <c r="B1558" s="18" t="s">
        <v>8570</v>
      </c>
      <c r="C1558" s="17" t="s">
        <v>1284</v>
      </c>
      <c r="D1558" s="19">
        <v>17.68</v>
      </c>
      <c r="F1558" s="3" t="str">
        <f t="shared" si="24"/>
        <v>C5216</v>
      </c>
    </row>
    <row r="1559" spans="1:6" x14ac:dyDescent="0.2">
      <c r="A1559" s="17">
        <v>0</v>
      </c>
      <c r="B1559" s="18"/>
      <c r="C1559" s="17">
        <v>0</v>
      </c>
      <c r="D1559" s="19">
        <v>0</v>
      </c>
      <c r="F1559" s="3">
        <f t="shared" si="24"/>
        <v>0</v>
      </c>
    </row>
    <row r="1560" spans="1:6" ht="22.5" x14ac:dyDescent="0.2">
      <c r="A1560" s="17" t="s">
        <v>8571</v>
      </c>
      <c r="B1560" s="18" t="s">
        <v>8572</v>
      </c>
      <c r="C1560" s="17" t="s">
        <v>1284</v>
      </c>
      <c r="D1560" s="19">
        <v>20.02</v>
      </c>
      <c r="F1560" s="3" t="str">
        <f t="shared" si="24"/>
        <v>C5219</v>
      </c>
    </row>
    <row r="1561" spans="1:6" x14ac:dyDescent="0.2">
      <c r="A1561" s="17">
        <v>0</v>
      </c>
      <c r="B1561" s="18"/>
      <c r="C1561" s="17">
        <v>0</v>
      </c>
      <c r="D1561" s="19">
        <v>0</v>
      </c>
      <c r="F1561" s="3">
        <f t="shared" si="24"/>
        <v>0</v>
      </c>
    </row>
    <row r="1562" spans="1:6" ht="22.5" x14ac:dyDescent="0.2">
      <c r="A1562" s="17" t="s">
        <v>8573</v>
      </c>
      <c r="B1562" s="18" t="s">
        <v>8574</v>
      </c>
      <c r="C1562" s="17" t="s">
        <v>1284</v>
      </c>
      <c r="D1562" s="19">
        <v>19.14</v>
      </c>
      <c r="F1562" s="3" t="str">
        <f t="shared" si="24"/>
        <v>C5220</v>
      </c>
    </row>
    <row r="1563" spans="1:6" x14ac:dyDescent="0.2">
      <c r="A1563" s="17">
        <v>0</v>
      </c>
      <c r="B1563" s="18"/>
      <c r="C1563" s="17">
        <v>0</v>
      </c>
      <c r="D1563" s="19">
        <v>0</v>
      </c>
      <c r="F1563" s="3">
        <f t="shared" si="24"/>
        <v>0</v>
      </c>
    </row>
    <row r="1564" spans="1:6" x14ac:dyDescent="0.2">
      <c r="A1564" s="17" t="s">
        <v>8575</v>
      </c>
      <c r="B1564" s="18" t="s">
        <v>8576</v>
      </c>
      <c r="C1564" s="17" t="s">
        <v>255</v>
      </c>
      <c r="D1564" s="19">
        <v>33.31</v>
      </c>
      <c r="F1564" s="3" t="str">
        <f t="shared" si="24"/>
        <v>C1600</v>
      </c>
    </row>
    <row r="1565" spans="1:6" x14ac:dyDescent="0.2">
      <c r="A1565" s="17" t="s">
        <v>8577</v>
      </c>
      <c r="B1565" s="18" t="s">
        <v>8578</v>
      </c>
      <c r="C1565" s="17" t="s">
        <v>255</v>
      </c>
      <c r="D1565" s="19">
        <v>42.92</v>
      </c>
      <c r="F1565" s="3" t="str">
        <f t="shared" si="24"/>
        <v>C1601</v>
      </c>
    </row>
    <row r="1566" spans="1:6" x14ac:dyDescent="0.2">
      <c r="A1566" s="17" t="s">
        <v>8579</v>
      </c>
      <c r="B1566" s="18" t="s">
        <v>8580</v>
      </c>
      <c r="C1566" s="17" t="s">
        <v>255</v>
      </c>
      <c r="D1566" s="19">
        <v>55.54</v>
      </c>
      <c r="F1566" s="3" t="str">
        <f t="shared" si="24"/>
        <v>C1602</v>
      </c>
    </row>
    <row r="1567" spans="1:6" x14ac:dyDescent="0.2">
      <c r="A1567" s="17" t="s">
        <v>8581</v>
      </c>
      <c r="B1567" s="18" t="s">
        <v>8582</v>
      </c>
      <c r="C1567" s="17" t="s">
        <v>255</v>
      </c>
      <c r="D1567" s="19">
        <v>57.94</v>
      </c>
      <c r="F1567" s="3" t="str">
        <f t="shared" si="24"/>
        <v>C1597</v>
      </c>
    </row>
    <row r="1568" spans="1:6" x14ac:dyDescent="0.2">
      <c r="A1568" s="17" t="s">
        <v>8583</v>
      </c>
      <c r="B1568" s="18" t="s">
        <v>8584</v>
      </c>
      <c r="C1568" s="17" t="s">
        <v>255</v>
      </c>
      <c r="D1568" s="19">
        <v>67.739999999999995</v>
      </c>
      <c r="F1568" s="3" t="str">
        <f t="shared" si="24"/>
        <v>C1598</v>
      </c>
    </row>
    <row r="1569" spans="1:6" x14ac:dyDescent="0.2">
      <c r="A1569" s="17" t="s">
        <v>8585</v>
      </c>
      <c r="B1569" s="18" t="s">
        <v>8586</v>
      </c>
      <c r="C1569" s="17" t="s">
        <v>255</v>
      </c>
      <c r="D1569" s="19">
        <v>77.099999999999994</v>
      </c>
      <c r="F1569" s="3" t="str">
        <f t="shared" si="24"/>
        <v>C1599</v>
      </c>
    </row>
    <row r="1570" spans="1:6" x14ac:dyDescent="0.2">
      <c r="A1570" s="17" t="s">
        <v>8587</v>
      </c>
      <c r="B1570" s="18" t="s">
        <v>8588</v>
      </c>
      <c r="C1570" s="17" t="s">
        <v>0</v>
      </c>
      <c r="D1570" s="19">
        <v>511.58</v>
      </c>
      <c r="F1570" s="3" t="str">
        <f t="shared" si="24"/>
        <v>C1879</v>
      </c>
    </row>
    <row r="1571" spans="1:6" x14ac:dyDescent="0.2">
      <c r="A1571" s="17" t="s">
        <v>8589</v>
      </c>
      <c r="B1571" s="18" t="s">
        <v>8590</v>
      </c>
      <c r="C1571" s="17" t="s">
        <v>0</v>
      </c>
      <c r="D1571" s="19">
        <v>985.69</v>
      </c>
      <c r="F1571" s="3" t="str">
        <f t="shared" si="24"/>
        <v>C1878</v>
      </c>
    </row>
    <row r="1572" spans="1:6" x14ac:dyDescent="0.2">
      <c r="A1572" s="17" t="s">
        <v>8591</v>
      </c>
      <c r="B1572" s="18" t="s">
        <v>8592</v>
      </c>
      <c r="C1572" s="17" t="s">
        <v>0</v>
      </c>
      <c r="D1572" s="19">
        <v>1278.52</v>
      </c>
      <c r="F1572" s="3" t="str">
        <f t="shared" si="24"/>
        <v>C1880</v>
      </c>
    </row>
    <row r="1573" spans="1:6" x14ac:dyDescent="0.2">
      <c r="A1573" s="17" t="s">
        <v>8593</v>
      </c>
      <c r="B1573" s="18" t="s">
        <v>8594</v>
      </c>
      <c r="C1573" s="17" t="s">
        <v>0</v>
      </c>
      <c r="D1573" s="19">
        <v>1762.27</v>
      </c>
      <c r="F1573" s="3" t="str">
        <f t="shared" si="24"/>
        <v>C1881</v>
      </c>
    </row>
    <row r="1574" spans="1:6" x14ac:dyDescent="0.2">
      <c r="A1574" s="17" t="s">
        <v>8595</v>
      </c>
      <c r="B1574" s="18" t="s">
        <v>8596</v>
      </c>
      <c r="C1574" s="17" t="s">
        <v>0</v>
      </c>
      <c r="D1574" s="19">
        <v>30.41</v>
      </c>
      <c r="F1574" s="3" t="str">
        <f t="shared" si="24"/>
        <v>C4395</v>
      </c>
    </row>
    <row r="1575" spans="1:6" x14ac:dyDescent="0.2">
      <c r="A1575" s="14" t="s">
        <v>8597</v>
      </c>
      <c r="B1575" s="15"/>
      <c r="C1575" s="14">
        <v>0</v>
      </c>
      <c r="D1575" s="16">
        <v>6256.67</v>
      </c>
      <c r="F1575" s="3" t="str">
        <f t="shared" si="24"/>
        <v>TELHAS</v>
      </c>
    </row>
    <row r="1576" spans="1:6" x14ac:dyDescent="0.2">
      <c r="A1576" s="17" t="s">
        <v>8598</v>
      </c>
      <c r="B1576" s="18" t="s">
        <v>8599</v>
      </c>
      <c r="C1576" s="17" t="s">
        <v>0</v>
      </c>
      <c r="D1576" s="19">
        <v>27.99</v>
      </c>
      <c r="F1576" s="3" t="str">
        <f t="shared" si="24"/>
        <v>C0041</v>
      </c>
    </row>
    <row r="1577" spans="1:6" x14ac:dyDescent="0.2">
      <c r="A1577" s="17" t="s">
        <v>8600</v>
      </c>
      <c r="B1577" s="18" t="s">
        <v>8601</v>
      </c>
      <c r="C1577" s="17" t="s">
        <v>0</v>
      </c>
      <c r="D1577" s="19">
        <v>14</v>
      </c>
      <c r="F1577" s="3" t="str">
        <f t="shared" si="24"/>
        <v>C0387</v>
      </c>
    </row>
    <row r="1578" spans="1:6" x14ac:dyDescent="0.2">
      <c r="A1578" s="17" t="s">
        <v>8602</v>
      </c>
      <c r="B1578" s="18" t="s">
        <v>8603</v>
      </c>
      <c r="C1578" s="17" t="s">
        <v>0</v>
      </c>
      <c r="D1578" s="19">
        <v>56.64</v>
      </c>
      <c r="F1578" s="3" t="str">
        <f t="shared" si="24"/>
        <v>C0675</v>
      </c>
    </row>
    <row r="1579" spans="1:6" x14ac:dyDescent="0.2">
      <c r="A1579" s="17" t="s">
        <v>8604</v>
      </c>
      <c r="B1579" s="18" t="s">
        <v>8605</v>
      </c>
      <c r="C1579" s="17" t="s">
        <v>255</v>
      </c>
      <c r="D1579" s="19">
        <v>78.08</v>
      </c>
      <c r="F1579" s="3" t="str">
        <f t="shared" si="24"/>
        <v>C0803</v>
      </c>
    </row>
    <row r="1580" spans="1:6" x14ac:dyDescent="0.2">
      <c r="A1580" s="17" t="s">
        <v>8606</v>
      </c>
      <c r="B1580" s="18" t="s">
        <v>8607</v>
      </c>
      <c r="C1580" s="17" t="s">
        <v>0</v>
      </c>
      <c r="D1580" s="19">
        <v>83.18</v>
      </c>
      <c r="F1580" s="3" t="str">
        <f t="shared" si="24"/>
        <v>C0987</v>
      </c>
    </row>
    <row r="1581" spans="1:6" x14ac:dyDescent="0.2">
      <c r="A1581" s="17" t="s">
        <v>8608</v>
      </c>
      <c r="B1581" s="18" t="s">
        <v>8609</v>
      </c>
      <c r="C1581" s="17" t="s">
        <v>0</v>
      </c>
      <c r="D1581" s="19">
        <v>56.21</v>
      </c>
      <c r="F1581" s="3" t="str">
        <f t="shared" si="24"/>
        <v>C0988</v>
      </c>
    </row>
    <row r="1582" spans="1:6" x14ac:dyDescent="0.2">
      <c r="A1582" s="17" t="s">
        <v>8610</v>
      </c>
      <c r="B1582" s="18" t="s">
        <v>8611</v>
      </c>
      <c r="C1582" s="17" t="s">
        <v>0</v>
      </c>
      <c r="D1582" s="19">
        <v>29.55</v>
      </c>
      <c r="F1582" s="3" t="str">
        <f t="shared" si="24"/>
        <v>C0989</v>
      </c>
    </row>
    <row r="1583" spans="1:6" x14ac:dyDescent="0.2">
      <c r="A1583" s="17" t="s">
        <v>8612</v>
      </c>
      <c r="B1583" s="18" t="s">
        <v>8613</v>
      </c>
      <c r="C1583" s="17" t="s">
        <v>0</v>
      </c>
      <c r="D1583" s="19">
        <v>30.72</v>
      </c>
      <c r="F1583" s="3" t="str">
        <f t="shared" si="24"/>
        <v>C0990</v>
      </c>
    </row>
    <row r="1584" spans="1:6" x14ac:dyDescent="0.2">
      <c r="A1584" s="17" t="s">
        <v>8614</v>
      </c>
      <c r="B1584" s="18" t="s">
        <v>8615</v>
      </c>
      <c r="C1584" s="17" t="s">
        <v>0</v>
      </c>
      <c r="D1584" s="19">
        <v>101.88</v>
      </c>
      <c r="F1584" s="3" t="str">
        <f t="shared" si="24"/>
        <v>C0994</v>
      </c>
    </row>
    <row r="1585" spans="1:6" x14ac:dyDescent="0.2">
      <c r="A1585" s="17" t="s">
        <v>8616</v>
      </c>
      <c r="B1585" s="18" t="s">
        <v>8617</v>
      </c>
      <c r="C1585" s="17" t="s">
        <v>0</v>
      </c>
      <c r="D1585" s="19">
        <v>157.29</v>
      </c>
      <c r="F1585" s="3" t="str">
        <f t="shared" si="24"/>
        <v>C0995</v>
      </c>
    </row>
    <row r="1586" spans="1:6" x14ac:dyDescent="0.2">
      <c r="A1586" s="17" t="s">
        <v>8618</v>
      </c>
      <c r="B1586" s="18" t="s">
        <v>8619</v>
      </c>
      <c r="C1586" s="17" t="s">
        <v>0</v>
      </c>
      <c r="D1586" s="19">
        <v>171.68</v>
      </c>
      <c r="F1586" s="3" t="str">
        <f t="shared" si="24"/>
        <v>C0996</v>
      </c>
    </row>
    <row r="1587" spans="1:6" x14ac:dyDescent="0.2">
      <c r="A1587" s="17" t="s">
        <v>8620</v>
      </c>
      <c r="B1587" s="18" t="s">
        <v>8621</v>
      </c>
      <c r="C1587" s="17" t="s">
        <v>0</v>
      </c>
      <c r="D1587" s="19">
        <v>126.97</v>
      </c>
      <c r="F1587" s="3" t="str">
        <f t="shared" si="24"/>
        <v>C0997</v>
      </c>
    </row>
    <row r="1588" spans="1:6" x14ac:dyDescent="0.2">
      <c r="A1588" s="17" t="s">
        <v>8622</v>
      </c>
      <c r="B1588" s="18" t="s">
        <v>8623</v>
      </c>
      <c r="C1588" s="17" t="s">
        <v>0</v>
      </c>
      <c r="D1588" s="19">
        <v>167.31</v>
      </c>
      <c r="F1588" s="3" t="str">
        <f t="shared" si="24"/>
        <v>C0998</v>
      </c>
    </row>
    <row r="1589" spans="1:6" x14ac:dyDescent="0.2">
      <c r="A1589" s="17" t="s">
        <v>8624</v>
      </c>
      <c r="B1589" s="18" t="s">
        <v>8625</v>
      </c>
      <c r="C1589" s="17" t="s">
        <v>0</v>
      </c>
      <c r="D1589" s="19">
        <v>94.68</v>
      </c>
      <c r="F1589" s="3" t="str">
        <f t="shared" si="24"/>
        <v>C0999</v>
      </c>
    </row>
    <row r="1590" spans="1:6" x14ac:dyDescent="0.2">
      <c r="A1590" s="17" t="s">
        <v>8626</v>
      </c>
      <c r="B1590" s="18" t="s">
        <v>8627</v>
      </c>
      <c r="C1590" s="17" t="s">
        <v>0</v>
      </c>
      <c r="D1590" s="19">
        <v>43.53</v>
      </c>
      <c r="F1590" s="3" t="str">
        <f t="shared" si="24"/>
        <v>C1000</v>
      </c>
    </row>
    <row r="1591" spans="1:6" x14ac:dyDescent="0.2">
      <c r="A1591" s="17" t="s">
        <v>8628</v>
      </c>
      <c r="B1591" s="18" t="s">
        <v>8629</v>
      </c>
      <c r="C1591" s="17" t="s">
        <v>0</v>
      </c>
      <c r="D1591" s="19">
        <v>23.91</v>
      </c>
      <c r="F1591" s="3" t="str">
        <f t="shared" si="24"/>
        <v>C1001</v>
      </c>
    </row>
    <row r="1592" spans="1:6" x14ac:dyDescent="0.2">
      <c r="A1592" s="17" t="s">
        <v>8630</v>
      </c>
      <c r="B1592" s="18" t="s">
        <v>8631</v>
      </c>
      <c r="C1592" s="17" t="s">
        <v>0</v>
      </c>
      <c r="D1592" s="19">
        <v>108</v>
      </c>
      <c r="F1592" s="3" t="str">
        <f t="shared" si="24"/>
        <v>C5202</v>
      </c>
    </row>
    <row r="1593" spans="1:6" x14ac:dyDescent="0.2">
      <c r="A1593" s="17" t="s">
        <v>8632</v>
      </c>
      <c r="B1593" s="18" t="s">
        <v>8633</v>
      </c>
      <c r="C1593" s="17" t="s">
        <v>0</v>
      </c>
      <c r="D1593" s="19">
        <v>30.1</v>
      </c>
      <c r="F1593" s="3" t="str">
        <f t="shared" si="24"/>
        <v>C4463</v>
      </c>
    </row>
    <row r="1594" spans="1:6" x14ac:dyDescent="0.2">
      <c r="A1594" s="17" t="s">
        <v>8634</v>
      </c>
      <c r="B1594" s="18" t="s">
        <v>8635</v>
      </c>
      <c r="C1594" s="17" t="s">
        <v>0</v>
      </c>
      <c r="D1594" s="19">
        <v>77.73</v>
      </c>
      <c r="F1594" s="3" t="str">
        <f t="shared" si="24"/>
        <v>C1002</v>
      </c>
    </row>
    <row r="1595" spans="1:6" x14ac:dyDescent="0.2">
      <c r="A1595" s="17" t="s">
        <v>8636</v>
      </c>
      <c r="B1595" s="18" t="s">
        <v>8637</v>
      </c>
      <c r="C1595" s="17" t="s">
        <v>0</v>
      </c>
      <c r="D1595" s="19">
        <v>53.6</v>
      </c>
      <c r="F1595" s="3" t="str">
        <f t="shared" si="24"/>
        <v>C1003</v>
      </c>
    </row>
    <row r="1596" spans="1:6" x14ac:dyDescent="0.2">
      <c r="A1596" s="17" t="s">
        <v>8638</v>
      </c>
      <c r="B1596" s="18" t="s">
        <v>8639</v>
      </c>
      <c r="C1596" s="17" t="s">
        <v>0</v>
      </c>
      <c r="D1596" s="19">
        <v>71.05</v>
      </c>
      <c r="F1596" s="3" t="str">
        <f t="shared" si="24"/>
        <v>C1004</v>
      </c>
    </row>
    <row r="1597" spans="1:6" x14ac:dyDescent="0.2">
      <c r="A1597" s="17" t="s">
        <v>8640</v>
      </c>
      <c r="B1597" s="18" t="s">
        <v>8641</v>
      </c>
      <c r="C1597" s="17" t="s">
        <v>0</v>
      </c>
      <c r="D1597" s="19">
        <v>63.45</v>
      </c>
      <c r="F1597" s="3" t="str">
        <f t="shared" si="24"/>
        <v>C1005</v>
      </c>
    </row>
    <row r="1598" spans="1:6" x14ac:dyDescent="0.2">
      <c r="A1598" s="17" t="s">
        <v>8642</v>
      </c>
      <c r="B1598" s="18" t="s">
        <v>8643</v>
      </c>
      <c r="C1598" s="17" t="s">
        <v>0</v>
      </c>
      <c r="D1598" s="19">
        <v>52.9</v>
      </c>
      <c r="F1598" s="3" t="str">
        <f t="shared" si="24"/>
        <v>C1006</v>
      </c>
    </row>
    <row r="1599" spans="1:6" x14ac:dyDescent="0.2">
      <c r="A1599" s="17" t="s">
        <v>8644</v>
      </c>
      <c r="B1599" s="18" t="s">
        <v>8645</v>
      </c>
      <c r="C1599" s="17" t="s">
        <v>255</v>
      </c>
      <c r="D1599" s="19">
        <v>10.23</v>
      </c>
      <c r="F1599" s="3" t="str">
        <f t="shared" si="24"/>
        <v>C3858</v>
      </c>
    </row>
    <row r="1600" spans="1:6" x14ac:dyDescent="0.2">
      <c r="A1600" s="17" t="s">
        <v>8646</v>
      </c>
      <c r="B1600" s="18" t="s">
        <v>8647</v>
      </c>
      <c r="C1600" s="17" t="s">
        <v>0</v>
      </c>
      <c r="D1600" s="19">
        <v>13.9</v>
      </c>
      <c r="F1600" s="3" t="str">
        <f t="shared" si="24"/>
        <v>C4464</v>
      </c>
    </row>
    <row r="1601" spans="1:6" x14ac:dyDescent="0.2">
      <c r="A1601" s="17" t="s">
        <v>8648</v>
      </c>
      <c r="B1601" s="18" t="s">
        <v>8649</v>
      </c>
      <c r="C1601" s="17" t="s">
        <v>255</v>
      </c>
      <c r="D1601" s="19">
        <v>53.66</v>
      </c>
      <c r="F1601" s="3" t="str">
        <f t="shared" si="24"/>
        <v>C1363</v>
      </c>
    </row>
    <row r="1602" spans="1:6" x14ac:dyDescent="0.2">
      <c r="A1602" s="17" t="s">
        <v>8650</v>
      </c>
      <c r="B1602" s="18" t="s">
        <v>8651</v>
      </c>
      <c r="C1602" s="17" t="s">
        <v>26</v>
      </c>
      <c r="D1602" s="19">
        <v>249.24</v>
      </c>
      <c r="F1602" s="3" t="str">
        <f t="shared" ref="F1602:F1665" si="25">A1602</f>
        <v>C1380</v>
      </c>
    </row>
    <row r="1603" spans="1:6" x14ac:dyDescent="0.2">
      <c r="A1603" s="17" t="s">
        <v>8652</v>
      </c>
      <c r="B1603" s="18" t="s">
        <v>8653</v>
      </c>
      <c r="C1603" s="17" t="s">
        <v>26</v>
      </c>
      <c r="D1603" s="19">
        <v>150.09</v>
      </c>
      <c r="F1603" s="3" t="str">
        <f t="shared" si="25"/>
        <v>C1381</v>
      </c>
    </row>
    <row r="1604" spans="1:6" x14ac:dyDescent="0.2">
      <c r="A1604" s="17" t="s">
        <v>8654</v>
      </c>
      <c r="B1604" s="18" t="s">
        <v>8655</v>
      </c>
      <c r="C1604" s="17" t="s">
        <v>255</v>
      </c>
      <c r="D1604" s="19">
        <v>12.79</v>
      </c>
      <c r="F1604" s="3" t="str">
        <f t="shared" si="25"/>
        <v>C3859</v>
      </c>
    </row>
    <row r="1605" spans="1:6" x14ac:dyDescent="0.2">
      <c r="A1605" s="17" t="s">
        <v>8656</v>
      </c>
      <c r="B1605" s="18" t="s">
        <v>8657</v>
      </c>
      <c r="C1605" s="17" t="s">
        <v>255</v>
      </c>
      <c r="D1605" s="19">
        <v>50.65</v>
      </c>
      <c r="F1605" s="3" t="str">
        <f t="shared" si="25"/>
        <v>C2199</v>
      </c>
    </row>
    <row r="1606" spans="1:6" x14ac:dyDescent="0.2">
      <c r="A1606" s="17" t="s">
        <v>8658</v>
      </c>
      <c r="B1606" s="18" t="s">
        <v>8659</v>
      </c>
      <c r="C1606" s="17" t="s">
        <v>255</v>
      </c>
      <c r="D1606" s="19">
        <v>51.14</v>
      </c>
      <c r="F1606" s="3" t="str">
        <f t="shared" si="25"/>
        <v>C2200</v>
      </c>
    </row>
    <row r="1607" spans="1:6" x14ac:dyDescent="0.2">
      <c r="A1607" s="17" t="s">
        <v>8660</v>
      </c>
      <c r="B1607" s="18" t="s">
        <v>8661</v>
      </c>
      <c r="C1607" s="17" t="s">
        <v>255</v>
      </c>
      <c r="D1607" s="19">
        <v>57.53</v>
      </c>
      <c r="F1607" s="3" t="str">
        <f t="shared" si="25"/>
        <v>C2201</v>
      </c>
    </row>
    <row r="1608" spans="1:6" x14ac:dyDescent="0.2">
      <c r="A1608" s="17" t="s">
        <v>8662</v>
      </c>
      <c r="B1608" s="18" t="s">
        <v>8663</v>
      </c>
      <c r="C1608" s="17" t="s">
        <v>255</v>
      </c>
      <c r="D1608" s="19">
        <v>42</v>
      </c>
      <c r="F1608" s="3" t="str">
        <f t="shared" si="25"/>
        <v>C2203</v>
      </c>
    </row>
    <row r="1609" spans="1:6" x14ac:dyDescent="0.2">
      <c r="A1609" s="17" t="s">
        <v>8664</v>
      </c>
      <c r="B1609" s="18" t="s">
        <v>8665</v>
      </c>
      <c r="C1609" s="17" t="s">
        <v>0</v>
      </c>
      <c r="D1609" s="19">
        <v>65.900000000000006</v>
      </c>
      <c r="F1609" s="3" t="str">
        <f t="shared" si="25"/>
        <v>C2303</v>
      </c>
    </row>
    <row r="1610" spans="1:6" x14ac:dyDescent="0.2">
      <c r="A1610" s="17" t="s">
        <v>8666</v>
      </c>
      <c r="B1610" s="18" t="s">
        <v>8667</v>
      </c>
      <c r="C1610" s="17" t="s">
        <v>0</v>
      </c>
      <c r="D1610" s="19">
        <v>40.86</v>
      </c>
      <c r="F1610" s="3" t="str">
        <f t="shared" si="25"/>
        <v>C2304</v>
      </c>
    </row>
    <row r="1611" spans="1:6" x14ac:dyDescent="0.2">
      <c r="A1611" s="17" t="s">
        <v>8668</v>
      </c>
      <c r="B1611" s="18" t="s">
        <v>8669</v>
      </c>
      <c r="C1611" s="17" t="s">
        <v>0</v>
      </c>
      <c r="D1611" s="19">
        <v>113.12</v>
      </c>
      <c r="F1611" s="3" t="str">
        <f t="shared" si="25"/>
        <v>C2305</v>
      </c>
    </row>
    <row r="1612" spans="1:6" x14ac:dyDescent="0.2">
      <c r="A1612" s="17" t="s">
        <v>8670</v>
      </c>
      <c r="B1612" s="18" t="s">
        <v>8671</v>
      </c>
      <c r="C1612" s="17" t="s">
        <v>255</v>
      </c>
      <c r="D1612" s="19">
        <v>70.31</v>
      </c>
      <c r="F1612" s="3" t="str">
        <f t="shared" si="25"/>
        <v>C4462</v>
      </c>
    </row>
    <row r="1613" spans="1:6" x14ac:dyDescent="0.2">
      <c r="A1613" s="17" t="s">
        <v>8672</v>
      </c>
      <c r="B1613" s="18" t="s">
        <v>8673</v>
      </c>
      <c r="C1613" s="17" t="s">
        <v>255</v>
      </c>
      <c r="D1613" s="19">
        <v>117.51</v>
      </c>
      <c r="F1613" s="3" t="str">
        <f t="shared" si="25"/>
        <v>C2429</v>
      </c>
    </row>
    <row r="1614" spans="1:6" x14ac:dyDescent="0.2">
      <c r="A1614" s="17" t="s">
        <v>8674</v>
      </c>
      <c r="B1614" s="18" t="s">
        <v>8675</v>
      </c>
      <c r="C1614" s="17" t="s">
        <v>255</v>
      </c>
      <c r="D1614" s="19">
        <v>129.21</v>
      </c>
      <c r="F1614" s="3" t="str">
        <f t="shared" si="25"/>
        <v>C2430</v>
      </c>
    </row>
    <row r="1615" spans="1:6" x14ac:dyDescent="0.2">
      <c r="A1615" s="17" t="s">
        <v>8676</v>
      </c>
      <c r="B1615" s="18" t="s">
        <v>8677</v>
      </c>
      <c r="C1615" s="17" t="s">
        <v>255</v>
      </c>
      <c r="D1615" s="19">
        <v>133.86000000000001</v>
      </c>
      <c r="F1615" s="3" t="str">
        <f t="shared" si="25"/>
        <v>C2431</v>
      </c>
    </row>
    <row r="1616" spans="1:6" x14ac:dyDescent="0.2">
      <c r="A1616" s="17" t="s">
        <v>8678</v>
      </c>
      <c r="B1616" s="18" t="s">
        <v>8679</v>
      </c>
      <c r="C1616" s="17" t="s">
        <v>255</v>
      </c>
      <c r="D1616" s="19">
        <v>133.86000000000001</v>
      </c>
      <c r="F1616" s="3" t="str">
        <f t="shared" si="25"/>
        <v>C2432</v>
      </c>
    </row>
    <row r="1617" spans="1:6" x14ac:dyDescent="0.2">
      <c r="A1617" s="17" t="s">
        <v>8680</v>
      </c>
      <c r="B1617" s="18" t="s">
        <v>8681</v>
      </c>
      <c r="C1617" s="17" t="s">
        <v>255</v>
      </c>
      <c r="D1617" s="19">
        <v>216.43</v>
      </c>
      <c r="F1617" s="3" t="str">
        <f t="shared" si="25"/>
        <v>C2433</v>
      </c>
    </row>
    <row r="1618" spans="1:6" x14ac:dyDescent="0.2">
      <c r="A1618" s="17" t="s">
        <v>8682</v>
      </c>
      <c r="B1618" s="18" t="s">
        <v>8683</v>
      </c>
      <c r="C1618" s="17" t="s">
        <v>255</v>
      </c>
      <c r="D1618" s="19">
        <v>236.16</v>
      </c>
      <c r="F1618" s="3" t="str">
        <f t="shared" si="25"/>
        <v>C2434</v>
      </c>
    </row>
    <row r="1619" spans="1:6" x14ac:dyDescent="0.2">
      <c r="A1619" s="17" t="s">
        <v>8684</v>
      </c>
      <c r="B1619" s="18" t="s">
        <v>8685</v>
      </c>
      <c r="C1619" s="17" t="s">
        <v>255</v>
      </c>
      <c r="D1619" s="19">
        <v>272.41000000000003</v>
      </c>
      <c r="F1619" s="3" t="str">
        <f t="shared" si="25"/>
        <v>C2435</v>
      </c>
    </row>
    <row r="1620" spans="1:6" x14ac:dyDescent="0.2">
      <c r="A1620" s="17" t="s">
        <v>8686</v>
      </c>
      <c r="B1620" s="18" t="s">
        <v>8687</v>
      </c>
      <c r="C1620" s="17" t="s">
        <v>255</v>
      </c>
      <c r="D1620" s="19">
        <v>159.91</v>
      </c>
      <c r="F1620" s="3" t="str">
        <f t="shared" si="25"/>
        <v>C2425</v>
      </c>
    </row>
    <row r="1621" spans="1:6" x14ac:dyDescent="0.2">
      <c r="A1621" s="17" t="s">
        <v>8688</v>
      </c>
      <c r="B1621" s="18" t="s">
        <v>8689</v>
      </c>
      <c r="C1621" s="17" t="s">
        <v>255</v>
      </c>
      <c r="D1621" s="19">
        <v>159.91</v>
      </c>
      <c r="F1621" s="3" t="str">
        <f t="shared" si="25"/>
        <v>C2426</v>
      </c>
    </row>
    <row r="1622" spans="1:6" x14ac:dyDescent="0.2">
      <c r="A1622" s="17" t="s">
        <v>8690</v>
      </c>
      <c r="B1622" s="18" t="s">
        <v>8691</v>
      </c>
      <c r="C1622" s="17" t="s">
        <v>255</v>
      </c>
      <c r="D1622" s="19">
        <v>76.44</v>
      </c>
      <c r="F1622" s="3" t="str">
        <f t="shared" si="25"/>
        <v>C4827</v>
      </c>
    </row>
    <row r="1623" spans="1:6" x14ac:dyDescent="0.2">
      <c r="A1623" s="17" t="s">
        <v>8692</v>
      </c>
      <c r="B1623" s="18" t="s">
        <v>8693</v>
      </c>
      <c r="C1623" s="17" t="s">
        <v>255</v>
      </c>
      <c r="D1623" s="19">
        <v>67.77</v>
      </c>
      <c r="F1623" s="3" t="str">
        <f t="shared" si="25"/>
        <v>C4554</v>
      </c>
    </row>
    <row r="1624" spans="1:6" x14ac:dyDescent="0.2">
      <c r="A1624" s="17" t="s">
        <v>8694</v>
      </c>
      <c r="B1624" s="18" t="s">
        <v>8695</v>
      </c>
      <c r="C1624" s="17" t="s">
        <v>255</v>
      </c>
      <c r="D1624" s="19">
        <v>57.81</v>
      </c>
      <c r="F1624" s="3" t="str">
        <f t="shared" si="25"/>
        <v>C2436</v>
      </c>
    </row>
    <row r="1625" spans="1:6" x14ac:dyDescent="0.2">
      <c r="A1625" s="17" t="s">
        <v>8696</v>
      </c>
      <c r="B1625" s="18" t="s">
        <v>8697</v>
      </c>
      <c r="C1625" s="17" t="s">
        <v>255</v>
      </c>
      <c r="D1625" s="19">
        <v>133.9</v>
      </c>
      <c r="F1625" s="3" t="str">
        <f t="shared" si="25"/>
        <v>C2437</v>
      </c>
    </row>
    <row r="1626" spans="1:6" x14ac:dyDescent="0.2">
      <c r="A1626" s="17" t="s">
        <v>8698</v>
      </c>
      <c r="B1626" s="18" t="s">
        <v>8699</v>
      </c>
      <c r="C1626" s="17" t="s">
        <v>255</v>
      </c>
      <c r="D1626" s="19">
        <v>177.32</v>
      </c>
      <c r="F1626" s="3" t="str">
        <f t="shared" si="25"/>
        <v>C2438</v>
      </c>
    </row>
    <row r="1627" spans="1:6" x14ac:dyDescent="0.2">
      <c r="A1627" s="17" t="s">
        <v>8700</v>
      </c>
      <c r="B1627" s="18" t="s">
        <v>8701</v>
      </c>
      <c r="C1627" s="17" t="s">
        <v>255</v>
      </c>
      <c r="D1627" s="19">
        <v>180.15</v>
      </c>
      <c r="F1627" s="3" t="str">
        <f t="shared" si="25"/>
        <v>C2439</v>
      </c>
    </row>
    <row r="1628" spans="1:6" x14ac:dyDescent="0.2">
      <c r="A1628" s="17" t="s">
        <v>8702</v>
      </c>
      <c r="B1628" s="18" t="s">
        <v>8703</v>
      </c>
      <c r="C1628" s="17" t="s">
        <v>255</v>
      </c>
      <c r="D1628" s="19">
        <v>163.78</v>
      </c>
      <c r="F1628" s="3" t="str">
        <f t="shared" si="25"/>
        <v>C2440</v>
      </c>
    </row>
    <row r="1629" spans="1:6" x14ac:dyDescent="0.2">
      <c r="A1629" s="17" t="s">
        <v>8704</v>
      </c>
      <c r="B1629" s="18" t="s">
        <v>8705</v>
      </c>
      <c r="C1629" s="17" t="s">
        <v>255</v>
      </c>
      <c r="D1629" s="19">
        <v>146.97999999999999</v>
      </c>
      <c r="F1629" s="3" t="str">
        <f t="shared" si="25"/>
        <v>C2441</v>
      </c>
    </row>
    <row r="1630" spans="1:6" x14ac:dyDescent="0.2">
      <c r="A1630" s="17" t="s">
        <v>8706</v>
      </c>
      <c r="B1630" s="18" t="s">
        <v>8707</v>
      </c>
      <c r="C1630" s="17" t="s">
        <v>255</v>
      </c>
      <c r="D1630" s="19">
        <v>148.36000000000001</v>
      </c>
      <c r="F1630" s="3" t="str">
        <f t="shared" si="25"/>
        <v>C2442</v>
      </c>
    </row>
    <row r="1631" spans="1:6" x14ac:dyDescent="0.2">
      <c r="A1631" s="17" t="s">
        <v>8708</v>
      </c>
      <c r="B1631" s="18" t="s">
        <v>8709</v>
      </c>
      <c r="C1631" s="17" t="s">
        <v>255</v>
      </c>
      <c r="D1631" s="19">
        <v>30.43</v>
      </c>
      <c r="F1631" s="3" t="str">
        <f t="shared" si="25"/>
        <v>C2443</v>
      </c>
    </row>
    <row r="1632" spans="1:6" x14ac:dyDescent="0.2">
      <c r="A1632" s="17" t="s">
        <v>8710</v>
      </c>
      <c r="B1632" s="18" t="s">
        <v>8711</v>
      </c>
      <c r="C1632" s="17" t="s">
        <v>255</v>
      </c>
      <c r="D1632" s="19">
        <v>177.8</v>
      </c>
      <c r="F1632" s="3" t="str">
        <f t="shared" si="25"/>
        <v>C2444</v>
      </c>
    </row>
    <row r="1633" spans="1:6" x14ac:dyDescent="0.2">
      <c r="A1633" s="17" t="s">
        <v>8712</v>
      </c>
      <c r="B1633" s="18" t="s">
        <v>8713</v>
      </c>
      <c r="C1633" s="17" t="s">
        <v>255</v>
      </c>
      <c r="D1633" s="19">
        <v>56.35</v>
      </c>
      <c r="F1633" s="3" t="str">
        <f t="shared" si="25"/>
        <v>C2446</v>
      </c>
    </row>
    <row r="1634" spans="1:6" x14ac:dyDescent="0.2">
      <c r="A1634" s="17" t="s">
        <v>8714</v>
      </c>
      <c r="B1634" s="18" t="s">
        <v>8715</v>
      </c>
      <c r="C1634" s="17" t="s">
        <v>255</v>
      </c>
      <c r="D1634" s="19">
        <v>53</v>
      </c>
      <c r="F1634" s="3" t="str">
        <f t="shared" si="25"/>
        <v>C2445</v>
      </c>
    </row>
    <row r="1635" spans="1:6" x14ac:dyDescent="0.2">
      <c r="A1635" s="17" t="s">
        <v>8716</v>
      </c>
      <c r="B1635" s="18" t="s">
        <v>8717</v>
      </c>
      <c r="C1635" s="17" t="s">
        <v>255</v>
      </c>
      <c r="D1635" s="19">
        <v>68.650000000000006</v>
      </c>
      <c r="F1635" s="3" t="str">
        <f t="shared" si="25"/>
        <v>C3745</v>
      </c>
    </row>
    <row r="1636" spans="1:6" x14ac:dyDescent="0.2">
      <c r="A1636" s="17" t="s">
        <v>8718</v>
      </c>
      <c r="B1636" s="18" t="s">
        <v>8719</v>
      </c>
      <c r="C1636" s="17" t="s">
        <v>255</v>
      </c>
      <c r="D1636" s="19">
        <v>19.89</v>
      </c>
      <c r="F1636" s="3" t="str">
        <f t="shared" si="25"/>
        <v>C2447</v>
      </c>
    </row>
    <row r="1637" spans="1:6" x14ac:dyDescent="0.2">
      <c r="A1637" s="17" t="s">
        <v>8720</v>
      </c>
      <c r="B1637" s="18" t="s">
        <v>8721</v>
      </c>
      <c r="C1637" s="17" t="s">
        <v>255</v>
      </c>
      <c r="D1637" s="19">
        <v>25.16</v>
      </c>
      <c r="F1637" s="3" t="str">
        <f t="shared" si="25"/>
        <v>C2448</v>
      </c>
    </row>
    <row r="1638" spans="1:6" x14ac:dyDescent="0.2">
      <c r="A1638" s="17" t="s">
        <v>8722</v>
      </c>
      <c r="B1638" s="18" t="s">
        <v>8723</v>
      </c>
      <c r="C1638" s="17" t="s">
        <v>255</v>
      </c>
      <c r="D1638" s="19">
        <v>40.67</v>
      </c>
      <c r="F1638" s="3" t="str">
        <f t="shared" si="25"/>
        <v>C2449</v>
      </c>
    </row>
    <row r="1639" spans="1:6" x14ac:dyDescent="0.2">
      <c r="A1639" s="17" t="s">
        <v>8724</v>
      </c>
      <c r="B1639" s="18" t="s">
        <v>8725</v>
      </c>
      <c r="C1639" s="17" t="s">
        <v>255</v>
      </c>
      <c r="D1639" s="19">
        <v>164.68</v>
      </c>
      <c r="F1639" s="3" t="str">
        <f t="shared" si="25"/>
        <v>C2450</v>
      </c>
    </row>
    <row r="1640" spans="1:6" x14ac:dyDescent="0.2">
      <c r="A1640" s="17" t="s">
        <v>8726</v>
      </c>
      <c r="B1640" s="18" t="s">
        <v>8727</v>
      </c>
      <c r="C1640" s="17" t="s">
        <v>255</v>
      </c>
      <c r="D1640" s="19">
        <v>49.29</v>
      </c>
      <c r="F1640" s="3" t="str">
        <f t="shared" si="25"/>
        <v>C2451</v>
      </c>
    </row>
    <row r="1641" spans="1:6" x14ac:dyDescent="0.2">
      <c r="A1641" s="17" t="s">
        <v>8728</v>
      </c>
      <c r="B1641" s="18" t="s">
        <v>8729</v>
      </c>
      <c r="C1641" s="17" t="s">
        <v>255</v>
      </c>
      <c r="D1641" s="19">
        <v>84.19</v>
      </c>
      <c r="F1641" s="3" t="str">
        <f t="shared" si="25"/>
        <v>C2452</v>
      </c>
    </row>
    <row r="1642" spans="1:6" x14ac:dyDescent="0.2">
      <c r="A1642" s="17" t="s">
        <v>8730</v>
      </c>
      <c r="B1642" s="18" t="s">
        <v>8731</v>
      </c>
      <c r="C1642" s="17" t="s">
        <v>255</v>
      </c>
      <c r="D1642" s="19">
        <v>72.92</v>
      </c>
      <c r="F1642" s="3" t="str">
        <f t="shared" si="25"/>
        <v>C2453</v>
      </c>
    </row>
    <row r="1643" spans="1:6" x14ac:dyDescent="0.2">
      <c r="A1643" s="14" t="s">
        <v>8732</v>
      </c>
      <c r="B1643" s="15"/>
      <c r="C1643" s="14">
        <v>0</v>
      </c>
      <c r="D1643" s="16">
        <v>834.71</v>
      </c>
      <c r="F1643" s="3" t="str">
        <f t="shared" si="25"/>
        <v>COBERTURA (MADEIRAMENTO E TELHAMENTO)</v>
      </c>
    </row>
    <row r="1644" spans="1:6" x14ac:dyDescent="0.2">
      <c r="A1644" s="17" t="s">
        <v>8733</v>
      </c>
      <c r="B1644" s="18" t="s">
        <v>8734</v>
      </c>
      <c r="C1644" s="17" t="s">
        <v>255</v>
      </c>
      <c r="D1644" s="19">
        <v>180.16</v>
      </c>
      <c r="F1644" s="3" t="str">
        <f t="shared" si="25"/>
        <v>C0800</v>
      </c>
    </row>
    <row r="1645" spans="1:6" x14ac:dyDescent="0.2">
      <c r="A1645" s="17" t="s">
        <v>8735</v>
      </c>
      <c r="B1645" s="18" t="s">
        <v>8736</v>
      </c>
      <c r="C1645" s="17" t="s">
        <v>255</v>
      </c>
      <c r="D1645" s="19">
        <v>195.74</v>
      </c>
      <c r="F1645" s="3" t="str">
        <f t="shared" si="25"/>
        <v>C0801</v>
      </c>
    </row>
    <row r="1646" spans="1:6" x14ac:dyDescent="0.2">
      <c r="A1646" s="17" t="s">
        <v>8737</v>
      </c>
      <c r="B1646" s="18" t="s">
        <v>8738</v>
      </c>
      <c r="C1646" s="17" t="s">
        <v>255</v>
      </c>
      <c r="D1646" s="19">
        <v>149.37</v>
      </c>
      <c r="F1646" s="3" t="str">
        <f t="shared" si="25"/>
        <v>C0802</v>
      </c>
    </row>
    <row r="1647" spans="1:6" x14ac:dyDescent="0.2">
      <c r="A1647" s="17" t="s">
        <v>8739</v>
      </c>
      <c r="B1647" s="18" t="s">
        <v>8740</v>
      </c>
      <c r="C1647" s="17" t="s">
        <v>255</v>
      </c>
      <c r="D1647" s="19">
        <v>130.71</v>
      </c>
      <c r="F1647" s="3" t="str">
        <f t="shared" si="25"/>
        <v>C4465</v>
      </c>
    </row>
    <row r="1648" spans="1:6" x14ac:dyDescent="0.2">
      <c r="A1648" s="17" t="s">
        <v>8741</v>
      </c>
      <c r="B1648" s="18" t="s">
        <v>8742</v>
      </c>
      <c r="C1648" s="17" t="s">
        <v>255</v>
      </c>
      <c r="D1648" s="19">
        <v>178.73</v>
      </c>
      <c r="F1648" s="3" t="str">
        <f t="shared" si="25"/>
        <v>C4466</v>
      </c>
    </row>
    <row r="1649" spans="1:6" x14ac:dyDescent="0.2">
      <c r="A1649" s="14" t="s">
        <v>8743</v>
      </c>
      <c r="B1649" s="15"/>
      <c r="C1649" s="14">
        <v>0</v>
      </c>
      <c r="D1649" s="16">
        <v>4136.5</v>
      </c>
      <c r="F1649" s="3" t="str">
        <f t="shared" si="25"/>
        <v>DOMOS</v>
      </c>
    </row>
    <row r="1650" spans="1:6" x14ac:dyDescent="0.2">
      <c r="A1650" s="17" t="s">
        <v>8744</v>
      </c>
      <c r="B1650" s="18" t="s">
        <v>8745</v>
      </c>
      <c r="C1650" s="17" t="s">
        <v>255</v>
      </c>
      <c r="D1650" s="19">
        <v>630.53</v>
      </c>
      <c r="F1650" s="3" t="str">
        <f t="shared" si="25"/>
        <v>C4370</v>
      </c>
    </row>
    <row r="1651" spans="1:6" x14ac:dyDescent="0.2">
      <c r="A1651" s="17" t="s">
        <v>8746</v>
      </c>
      <c r="B1651" s="18" t="s">
        <v>8747</v>
      </c>
      <c r="C1651" s="17" t="s">
        <v>255</v>
      </c>
      <c r="D1651" s="19">
        <v>130.68</v>
      </c>
      <c r="F1651" s="3" t="str">
        <f t="shared" si="25"/>
        <v>C0769</v>
      </c>
    </row>
    <row r="1652" spans="1:6" x14ac:dyDescent="0.2">
      <c r="A1652" s="17" t="s">
        <v>8748</v>
      </c>
      <c r="B1652" s="18" t="s">
        <v>8749</v>
      </c>
      <c r="C1652" s="17" t="s">
        <v>255</v>
      </c>
      <c r="D1652" s="19">
        <v>547.41999999999996</v>
      </c>
      <c r="F1652" s="3" t="str">
        <f t="shared" si="25"/>
        <v>C0770</v>
      </c>
    </row>
    <row r="1653" spans="1:6" x14ac:dyDescent="0.2">
      <c r="A1653" s="17" t="s">
        <v>8750</v>
      </c>
      <c r="B1653" s="18" t="s">
        <v>8751</v>
      </c>
      <c r="C1653" s="17" t="s">
        <v>255</v>
      </c>
      <c r="D1653" s="19">
        <v>97.67</v>
      </c>
      <c r="F1653" s="3" t="str">
        <f t="shared" si="25"/>
        <v>C0771</v>
      </c>
    </row>
    <row r="1654" spans="1:6" x14ac:dyDescent="0.2">
      <c r="A1654" s="17" t="s">
        <v>8752</v>
      </c>
      <c r="B1654" s="18" t="s">
        <v>8753</v>
      </c>
      <c r="C1654" s="17" t="s">
        <v>255</v>
      </c>
      <c r="D1654" s="19">
        <v>668.03</v>
      </c>
      <c r="F1654" s="3" t="str">
        <f t="shared" si="25"/>
        <v>C1147</v>
      </c>
    </row>
    <row r="1655" spans="1:6" x14ac:dyDescent="0.2">
      <c r="A1655" s="17" t="s">
        <v>8754</v>
      </c>
      <c r="B1655" s="18" t="s">
        <v>8755</v>
      </c>
      <c r="C1655" s="17" t="s">
        <v>255</v>
      </c>
      <c r="D1655" s="19">
        <v>528.66</v>
      </c>
      <c r="F1655" s="3" t="str">
        <f t="shared" si="25"/>
        <v>C1148</v>
      </c>
    </row>
    <row r="1656" spans="1:6" x14ac:dyDescent="0.2">
      <c r="A1656" s="17" t="s">
        <v>8756</v>
      </c>
      <c r="B1656" s="18" t="s">
        <v>8757</v>
      </c>
      <c r="C1656" s="17" t="s">
        <v>255</v>
      </c>
      <c r="D1656" s="19">
        <v>726.45</v>
      </c>
      <c r="F1656" s="3" t="str">
        <f t="shared" si="25"/>
        <v>C1149</v>
      </c>
    </row>
    <row r="1657" spans="1:6" x14ac:dyDescent="0.2">
      <c r="A1657" s="17" t="s">
        <v>8758</v>
      </c>
      <c r="B1657" s="18" t="s">
        <v>8759</v>
      </c>
      <c r="C1657" s="17" t="s">
        <v>255</v>
      </c>
      <c r="D1657" s="19">
        <v>807.06</v>
      </c>
      <c r="F1657" s="3" t="str">
        <f t="shared" si="25"/>
        <v>C1150</v>
      </c>
    </row>
    <row r="1658" spans="1:6" x14ac:dyDescent="0.2">
      <c r="A1658" s="14" t="s">
        <v>7834</v>
      </c>
      <c r="B1658" s="15"/>
      <c r="C1658" s="14">
        <v>0</v>
      </c>
      <c r="D1658" s="16">
        <v>2166.23</v>
      </c>
      <c r="F1658" s="3" t="str">
        <f t="shared" si="25"/>
        <v>OUTROS ELEMENTOS</v>
      </c>
    </row>
    <row r="1659" spans="1:6" x14ac:dyDescent="0.2">
      <c r="A1659" s="17" t="s">
        <v>8760</v>
      </c>
      <c r="B1659" s="18" t="s">
        <v>8761</v>
      </c>
      <c r="C1659" s="17" t="s">
        <v>0</v>
      </c>
      <c r="D1659" s="19">
        <v>31.97</v>
      </c>
      <c r="F1659" s="3" t="str">
        <f t="shared" si="25"/>
        <v>C3448</v>
      </c>
    </row>
    <row r="1660" spans="1:6" x14ac:dyDescent="0.2">
      <c r="A1660" s="17" t="s">
        <v>8762</v>
      </c>
      <c r="B1660" s="18" t="s">
        <v>8763</v>
      </c>
      <c r="C1660" s="17" t="s">
        <v>0</v>
      </c>
      <c r="D1660" s="19">
        <v>31.89</v>
      </c>
      <c r="F1660" s="3" t="str">
        <f t="shared" si="25"/>
        <v>C0388</v>
      </c>
    </row>
    <row r="1661" spans="1:6" x14ac:dyDescent="0.2">
      <c r="A1661" s="17" t="s">
        <v>8764</v>
      </c>
      <c r="B1661" s="18" t="s">
        <v>8765</v>
      </c>
      <c r="C1661" s="17" t="s">
        <v>0</v>
      </c>
      <c r="D1661" s="19">
        <v>66.260000000000005</v>
      </c>
      <c r="F1661" s="3" t="str">
        <f t="shared" si="25"/>
        <v>C0657</v>
      </c>
    </row>
    <row r="1662" spans="1:6" x14ac:dyDescent="0.2">
      <c r="A1662" s="17" t="s">
        <v>8766</v>
      </c>
      <c r="B1662" s="18" t="s">
        <v>8767</v>
      </c>
      <c r="C1662" s="17" t="s">
        <v>0</v>
      </c>
      <c r="D1662" s="19">
        <v>157.19</v>
      </c>
      <c r="F1662" s="3" t="str">
        <f t="shared" si="25"/>
        <v>C0658</v>
      </c>
    </row>
    <row r="1663" spans="1:6" x14ac:dyDescent="0.2">
      <c r="A1663" s="17" t="s">
        <v>8768</v>
      </c>
      <c r="B1663" s="18" t="s">
        <v>8769</v>
      </c>
      <c r="C1663" s="17" t="s">
        <v>0</v>
      </c>
      <c r="D1663" s="19">
        <v>189.51</v>
      </c>
      <c r="F1663" s="3" t="str">
        <f t="shared" si="25"/>
        <v>C0659</v>
      </c>
    </row>
    <row r="1664" spans="1:6" x14ac:dyDescent="0.2">
      <c r="A1664" s="17" t="s">
        <v>8770</v>
      </c>
      <c r="B1664" s="18" t="s">
        <v>8771</v>
      </c>
      <c r="C1664" s="17" t="s">
        <v>0</v>
      </c>
      <c r="D1664" s="19">
        <v>65.22</v>
      </c>
      <c r="F1664" s="3" t="str">
        <f t="shared" si="25"/>
        <v>C0660</v>
      </c>
    </row>
    <row r="1665" spans="1:6" x14ac:dyDescent="0.2">
      <c r="A1665" s="17" t="s">
        <v>8772</v>
      </c>
      <c r="B1665" s="18" t="s">
        <v>8773</v>
      </c>
      <c r="C1665" s="17" t="s">
        <v>0</v>
      </c>
      <c r="D1665" s="19">
        <v>84.11</v>
      </c>
      <c r="F1665" s="3" t="str">
        <f t="shared" si="25"/>
        <v>C0661</v>
      </c>
    </row>
    <row r="1666" spans="1:6" x14ac:dyDescent="0.2">
      <c r="A1666" s="17" t="s">
        <v>8774</v>
      </c>
      <c r="B1666" s="18" t="s">
        <v>8775</v>
      </c>
      <c r="C1666" s="17" t="s">
        <v>0</v>
      </c>
      <c r="D1666" s="19">
        <v>46.78</v>
      </c>
      <c r="F1666" s="3" t="str">
        <f t="shared" ref="F1666:F1729" si="26">A1666</f>
        <v>C0662</v>
      </c>
    </row>
    <row r="1667" spans="1:6" x14ac:dyDescent="0.2">
      <c r="A1667" s="17" t="s">
        <v>8776</v>
      </c>
      <c r="B1667" s="18" t="s">
        <v>8777</v>
      </c>
      <c r="C1667" s="17" t="s">
        <v>255</v>
      </c>
      <c r="D1667" s="19">
        <v>170.11</v>
      </c>
      <c r="F1667" s="3" t="str">
        <f t="shared" si="26"/>
        <v>C4910</v>
      </c>
    </row>
    <row r="1668" spans="1:6" x14ac:dyDescent="0.2">
      <c r="A1668" s="17">
        <v>0</v>
      </c>
      <c r="B1668" s="18"/>
      <c r="C1668" s="17">
        <v>0</v>
      </c>
      <c r="D1668" s="19">
        <v>0</v>
      </c>
      <c r="F1668" s="3">
        <f t="shared" si="26"/>
        <v>0</v>
      </c>
    </row>
    <row r="1669" spans="1:6" x14ac:dyDescent="0.2">
      <c r="A1669" s="17" t="s">
        <v>8778</v>
      </c>
      <c r="B1669" s="18" t="s">
        <v>8779</v>
      </c>
      <c r="C1669" s="17" t="s">
        <v>255</v>
      </c>
      <c r="D1669" s="19">
        <v>38.24</v>
      </c>
      <c r="F1669" s="3" t="str">
        <f t="shared" si="26"/>
        <v>C3684</v>
      </c>
    </row>
    <row r="1670" spans="1:6" x14ac:dyDescent="0.2">
      <c r="A1670" s="17" t="s">
        <v>8780</v>
      </c>
      <c r="B1670" s="18" t="s">
        <v>8781</v>
      </c>
      <c r="C1670" s="17" t="s">
        <v>255</v>
      </c>
      <c r="D1670" s="19">
        <v>172.89</v>
      </c>
      <c r="F1670" s="3" t="str">
        <f t="shared" si="26"/>
        <v>C3746</v>
      </c>
    </row>
    <row r="1671" spans="1:6" x14ac:dyDescent="0.2">
      <c r="A1671" s="17" t="s">
        <v>8782</v>
      </c>
      <c r="B1671" s="18" t="s">
        <v>8783</v>
      </c>
      <c r="C1671" s="17" t="s">
        <v>255</v>
      </c>
      <c r="D1671" s="19">
        <v>10.37</v>
      </c>
      <c r="F1671" s="3" t="str">
        <f t="shared" si="26"/>
        <v>C1631</v>
      </c>
    </row>
    <row r="1672" spans="1:6" x14ac:dyDescent="0.2">
      <c r="A1672" s="17" t="s">
        <v>8784</v>
      </c>
      <c r="B1672" s="18" t="s">
        <v>8785</v>
      </c>
      <c r="C1672" s="17" t="s">
        <v>0</v>
      </c>
      <c r="D1672" s="19">
        <v>125.91</v>
      </c>
      <c r="F1672" s="3" t="str">
        <f t="shared" si="26"/>
        <v>C2248</v>
      </c>
    </row>
    <row r="1673" spans="1:6" x14ac:dyDescent="0.2">
      <c r="A1673" s="17" t="s">
        <v>8786</v>
      </c>
      <c r="B1673" s="18" t="s">
        <v>8787</v>
      </c>
      <c r="C1673" s="17" t="s">
        <v>0</v>
      </c>
      <c r="D1673" s="19">
        <v>38.200000000000003</v>
      </c>
      <c r="F1673" s="3" t="str">
        <f t="shared" si="26"/>
        <v>C2249</v>
      </c>
    </row>
    <row r="1674" spans="1:6" x14ac:dyDescent="0.2">
      <c r="A1674" s="17" t="s">
        <v>8788</v>
      </c>
      <c r="B1674" s="18" t="s">
        <v>8789</v>
      </c>
      <c r="C1674" s="17" t="s">
        <v>0</v>
      </c>
      <c r="D1674" s="19">
        <v>109.11</v>
      </c>
      <c r="F1674" s="3" t="str">
        <f t="shared" si="26"/>
        <v>C2250</v>
      </c>
    </row>
    <row r="1675" spans="1:6" x14ac:dyDescent="0.2">
      <c r="A1675" s="17" t="s">
        <v>8790</v>
      </c>
      <c r="B1675" s="18" t="s">
        <v>8791</v>
      </c>
      <c r="C1675" s="17" t="s">
        <v>0</v>
      </c>
      <c r="D1675" s="19">
        <v>137.12</v>
      </c>
      <c r="F1675" s="3" t="str">
        <f t="shared" si="26"/>
        <v>C2251</v>
      </c>
    </row>
    <row r="1676" spans="1:6" x14ac:dyDescent="0.2">
      <c r="A1676" s="17" t="s">
        <v>8792</v>
      </c>
      <c r="B1676" s="18" t="s">
        <v>8793</v>
      </c>
      <c r="C1676" s="17" t="s">
        <v>0</v>
      </c>
      <c r="D1676" s="19">
        <v>81.260000000000005</v>
      </c>
      <c r="F1676" s="3" t="str">
        <f t="shared" si="26"/>
        <v>C2252</v>
      </c>
    </row>
    <row r="1677" spans="1:6" x14ac:dyDescent="0.2">
      <c r="A1677" s="17" t="s">
        <v>8794</v>
      </c>
      <c r="B1677" s="18" t="s">
        <v>8795</v>
      </c>
      <c r="C1677" s="17" t="s">
        <v>0</v>
      </c>
      <c r="D1677" s="19">
        <v>63.45</v>
      </c>
      <c r="F1677" s="3" t="str">
        <f t="shared" si="26"/>
        <v>C2253</v>
      </c>
    </row>
    <row r="1678" spans="1:6" x14ac:dyDescent="0.2">
      <c r="A1678" s="17" t="s">
        <v>8796</v>
      </c>
      <c r="B1678" s="18" t="s">
        <v>8797</v>
      </c>
      <c r="C1678" s="17" t="s">
        <v>0</v>
      </c>
      <c r="D1678" s="19">
        <v>126.76</v>
      </c>
      <c r="F1678" s="3" t="str">
        <f t="shared" si="26"/>
        <v>C3652</v>
      </c>
    </row>
    <row r="1679" spans="1:6" x14ac:dyDescent="0.2">
      <c r="A1679" s="17" t="s">
        <v>8798</v>
      </c>
      <c r="B1679" s="18" t="s">
        <v>8799</v>
      </c>
      <c r="C1679" s="17" t="s">
        <v>255</v>
      </c>
      <c r="D1679" s="19">
        <v>155.65</v>
      </c>
      <c r="F1679" s="3" t="str">
        <f t="shared" si="26"/>
        <v>C4911</v>
      </c>
    </row>
    <row r="1680" spans="1:6" x14ac:dyDescent="0.2">
      <c r="A1680" s="17">
        <v>0</v>
      </c>
      <c r="B1680" s="18"/>
      <c r="C1680" s="17">
        <v>0</v>
      </c>
      <c r="D1680" s="19">
        <v>0</v>
      </c>
      <c r="F1680" s="3">
        <f t="shared" si="26"/>
        <v>0</v>
      </c>
    </row>
    <row r="1681" spans="1:6" x14ac:dyDescent="0.2">
      <c r="A1681" s="17" t="s">
        <v>8800</v>
      </c>
      <c r="B1681" s="18" t="s">
        <v>8801</v>
      </c>
      <c r="C1681" s="17" t="s">
        <v>255</v>
      </c>
      <c r="D1681" s="19">
        <v>264.23</v>
      </c>
      <c r="F1681" s="3" t="str">
        <f t="shared" si="26"/>
        <v>C2479</v>
      </c>
    </row>
    <row r="1682" spans="1:6" x14ac:dyDescent="0.2">
      <c r="A1682" s="14" t="s">
        <v>8802</v>
      </c>
      <c r="B1682" s="15"/>
      <c r="C1682" s="14">
        <v>0</v>
      </c>
      <c r="D1682" s="16">
        <v>3124.78</v>
      </c>
      <c r="F1682" s="3" t="str">
        <f t="shared" si="26"/>
        <v>IMPERMEABILIZAÇÃO</v>
      </c>
    </row>
    <row r="1683" spans="1:6" x14ac:dyDescent="0.2">
      <c r="A1683" s="14" t="s">
        <v>8803</v>
      </c>
      <c r="B1683" s="15"/>
      <c r="C1683" s="14">
        <v>0</v>
      </c>
      <c r="D1683" s="16">
        <v>94.07</v>
      </c>
      <c r="F1683" s="3" t="str">
        <f t="shared" si="26"/>
        <v>BALDRAMES</v>
      </c>
    </row>
    <row r="1684" spans="1:6" ht="22.5" x14ac:dyDescent="0.2">
      <c r="A1684" s="17" t="s">
        <v>8804</v>
      </c>
      <c r="B1684" s="18" t="s">
        <v>8805</v>
      </c>
      <c r="C1684" s="17" t="s">
        <v>255</v>
      </c>
      <c r="D1684" s="19">
        <v>47.39</v>
      </c>
      <c r="F1684" s="3" t="str">
        <f t="shared" si="26"/>
        <v>C1462</v>
      </c>
    </row>
    <row r="1685" spans="1:6" x14ac:dyDescent="0.2">
      <c r="A1685" s="17">
        <v>0</v>
      </c>
      <c r="B1685" s="18"/>
      <c r="C1685" s="17">
        <v>0</v>
      </c>
      <c r="D1685" s="19">
        <v>0</v>
      </c>
      <c r="F1685" s="3">
        <f t="shared" si="26"/>
        <v>0</v>
      </c>
    </row>
    <row r="1686" spans="1:6" x14ac:dyDescent="0.2">
      <c r="A1686" s="17" t="s">
        <v>8806</v>
      </c>
      <c r="B1686" s="18" t="s">
        <v>8807</v>
      </c>
      <c r="C1686" s="17" t="s">
        <v>0</v>
      </c>
      <c r="D1686" s="19">
        <v>46.68</v>
      </c>
      <c r="F1686" s="3" t="str">
        <f t="shared" si="26"/>
        <v>C1466</v>
      </c>
    </row>
    <row r="1687" spans="1:6" x14ac:dyDescent="0.2">
      <c r="A1687" s="17">
        <v>0</v>
      </c>
      <c r="B1687" s="18"/>
      <c r="C1687" s="17">
        <v>0</v>
      </c>
      <c r="D1687" s="19">
        <v>0</v>
      </c>
      <c r="F1687" s="3">
        <f t="shared" si="26"/>
        <v>0</v>
      </c>
    </row>
    <row r="1688" spans="1:6" x14ac:dyDescent="0.2">
      <c r="A1688" s="14" t="s">
        <v>8808</v>
      </c>
      <c r="B1688" s="15"/>
      <c r="C1688" s="14">
        <v>0</v>
      </c>
      <c r="D1688" s="16">
        <v>127.37</v>
      </c>
      <c r="F1688" s="3" t="str">
        <f t="shared" si="26"/>
        <v>PISOS</v>
      </c>
    </row>
    <row r="1689" spans="1:6" ht="22.5" x14ac:dyDescent="0.2">
      <c r="A1689" s="17" t="s">
        <v>8809</v>
      </c>
      <c r="B1689" s="18" t="s">
        <v>8810</v>
      </c>
      <c r="C1689" s="17" t="s">
        <v>255</v>
      </c>
      <c r="D1689" s="19">
        <v>13.6</v>
      </c>
      <c r="F1689" s="3" t="str">
        <f t="shared" si="26"/>
        <v>C1424</v>
      </c>
    </row>
    <row r="1690" spans="1:6" x14ac:dyDescent="0.2">
      <c r="A1690" s="17">
        <v>0</v>
      </c>
      <c r="B1690" s="18"/>
      <c r="C1690" s="17">
        <v>0</v>
      </c>
      <c r="D1690" s="19">
        <v>0</v>
      </c>
      <c r="F1690" s="3">
        <f t="shared" si="26"/>
        <v>0</v>
      </c>
    </row>
    <row r="1691" spans="1:6" x14ac:dyDescent="0.2">
      <c r="A1691" s="17" t="s">
        <v>8811</v>
      </c>
      <c r="B1691" s="18" t="s">
        <v>8812</v>
      </c>
      <c r="C1691" s="17" t="s">
        <v>255</v>
      </c>
      <c r="D1691" s="19">
        <v>54.71</v>
      </c>
      <c r="F1691" s="3" t="str">
        <f t="shared" si="26"/>
        <v>C1465</v>
      </c>
    </row>
    <row r="1692" spans="1:6" x14ac:dyDescent="0.2">
      <c r="A1692" s="17" t="s">
        <v>8813</v>
      </c>
      <c r="B1692" s="18" t="s">
        <v>8814</v>
      </c>
      <c r="C1692" s="17" t="s">
        <v>255</v>
      </c>
      <c r="D1692" s="19">
        <v>19</v>
      </c>
      <c r="F1692" s="3" t="str">
        <f t="shared" si="26"/>
        <v>C1472</v>
      </c>
    </row>
    <row r="1693" spans="1:6" x14ac:dyDescent="0.2">
      <c r="A1693" s="17" t="s">
        <v>8815</v>
      </c>
      <c r="B1693" s="18" t="s">
        <v>8816</v>
      </c>
      <c r="C1693" s="17" t="s">
        <v>255</v>
      </c>
      <c r="D1693" s="19">
        <v>40.06</v>
      </c>
      <c r="F1693" s="3" t="str">
        <f t="shared" si="26"/>
        <v>C2057</v>
      </c>
    </row>
    <row r="1694" spans="1:6" x14ac:dyDescent="0.2">
      <c r="A1694" s="14" t="s">
        <v>8817</v>
      </c>
      <c r="B1694" s="15"/>
      <c r="C1694" s="14">
        <v>0</v>
      </c>
      <c r="D1694" s="16">
        <v>166.24</v>
      </c>
      <c r="F1694" s="3" t="str">
        <f t="shared" si="26"/>
        <v>CALHAS</v>
      </c>
    </row>
    <row r="1695" spans="1:6" ht="22.5" x14ac:dyDescent="0.2">
      <c r="A1695" s="17" t="s">
        <v>8818</v>
      </c>
      <c r="B1695" s="18" t="s">
        <v>8819</v>
      </c>
      <c r="C1695" s="17" t="s">
        <v>255</v>
      </c>
      <c r="D1695" s="19">
        <v>69.599999999999994</v>
      </c>
      <c r="F1695" s="3" t="str">
        <f t="shared" si="26"/>
        <v>C1458</v>
      </c>
    </row>
    <row r="1696" spans="1:6" x14ac:dyDescent="0.2">
      <c r="A1696" s="17">
        <v>0</v>
      </c>
      <c r="B1696" s="18"/>
      <c r="C1696" s="17">
        <v>0</v>
      </c>
      <c r="D1696" s="19">
        <v>0</v>
      </c>
      <c r="F1696" s="3">
        <f t="shared" si="26"/>
        <v>0</v>
      </c>
    </row>
    <row r="1697" spans="1:6" x14ac:dyDescent="0.2">
      <c r="A1697" s="17" t="s">
        <v>8820</v>
      </c>
      <c r="B1697" s="18" t="s">
        <v>8821</v>
      </c>
      <c r="C1697" s="17" t="s">
        <v>255</v>
      </c>
      <c r="D1697" s="19">
        <v>41.53</v>
      </c>
      <c r="F1697" s="3" t="str">
        <f t="shared" si="26"/>
        <v>C1463</v>
      </c>
    </row>
    <row r="1698" spans="1:6" x14ac:dyDescent="0.2">
      <c r="A1698" s="17">
        <v>0</v>
      </c>
      <c r="B1698" s="18"/>
      <c r="C1698" s="17">
        <v>0</v>
      </c>
      <c r="D1698" s="19">
        <v>0</v>
      </c>
      <c r="F1698" s="3">
        <f t="shared" si="26"/>
        <v>0</v>
      </c>
    </row>
    <row r="1699" spans="1:6" ht="22.5" x14ac:dyDescent="0.2">
      <c r="A1699" s="17" t="s">
        <v>8822</v>
      </c>
      <c r="B1699" s="18" t="s">
        <v>8823</v>
      </c>
      <c r="C1699" s="17" t="s">
        <v>255</v>
      </c>
      <c r="D1699" s="19">
        <v>55.11</v>
      </c>
      <c r="F1699" s="3" t="str">
        <f t="shared" si="26"/>
        <v>C1470</v>
      </c>
    </row>
    <row r="1700" spans="1:6" x14ac:dyDescent="0.2">
      <c r="A1700" s="17">
        <v>0</v>
      </c>
      <c r="B1700" s="18"/>
      <c r="C1700" s="17">
        <v>0</v>
      </c>
      <c r="D1700" s="19">
        <v>0</v>
      </c>
      <c r="F1700" s="3">
        <f t="shared" si="26"/>
        <v>0</v>
      </c>
    </row>
    <row r="1701" spans="1:6" x14ac:dyDescent="0.2">
      <c r="A1701" s="14" t="s">
        <v>8824</v>
      </c>
      <c r="B1701" s="15"/>
      <c r="C1701" s="14">
        <v>0</v>
      </c>
      <c r="D1701" s="16">
        <v>697.05</v>
      </c>
      <c r="F1701" s="3" t="str">
        <f t="shared" si="26"/>
        <v>COBERTURAS</v>
      </c>
    </row>
    <row r="1702" spans="1:6" ht="22.5" x14ac:dyDescent="0.2">
      <c r="A1702" s="17" t="s">
        <v>8825</v>
      </c>
      <c r="B1702" s="18" t="s">
        <v>8826</v>
      </c>
      <c r="C1702" s="17" t="s">
        <v>255</v>
      </c>
      <c r="D1702" s="19">
        <v>171.8</v>
      </c>
      <c r="F1702" s="3" t="str">
        <f t="shared" si="26"/>
        <v>C1476</v>
      </c>
    </row>
    <row r="1703" spans="1:6" x14ac:dyDescent="0.2">
      <c r="A1703" s="17">
        <v>0</v>
      </c>
      <c r="B1703" s="18"/>
      <c r="C1703" s="17">
        <v>0</v>
      </c>
      <c r="D1703" s="19">
        <v>0</v>
      </c>
      <c r="F1703" s="3">
        <f t="shared" si="26"/>
        <v>0</v>
      </c>
    </row>
    <row r="1704" spans="1:6" x14ac:dyDescent="0.2">
      <c r="A1704" s="17" t="s">
        <v>8827</v>
      </c>
      <c r="B1704" s="18" t="s">
        <v>8828</v>
      </c>
      <c r="C1704" s="17" t="s">
        <v>255</v>
      </c>
      <c r="D1704" s="19">
        <v>233.95</v>
      </c>
      <c r="F1704" s="3" t="str">
        <f t="shared" si="26"/>
        <v>C1173</v>
      </c>
    </row>
    <row r="1705" spans="1:6" x14ac:dyDescent="0.2">
      <c r="A1705" s="17">
        <v>0</v>
      </c>
      <c r="B1705" s="18"/>
      <c r="C1705" s="17">
        <v>0</v>
      </c>
      <c r="D1705" s="19">
        <v>0</v>
      </c>
      <c r="F1705" s="3">
        <f t="shared" si="26"/>
        <v>0</v>
      </c>
    </row>
    <row r="1706" spans="1:6" ht="22.5" x14ac:dyDescent="0.2">
      <c r="A1706" s="17" t="s">
        <v>8829</v>
      </c>
      <c r="B1706" s="18" t="s">
        <v>8830</v>
      </c>
      <c r="C1706" s="17" t="s">
        <v>255</v>
      </c>
      <c r="D1706" s="19">
        <v>187.31</v>
      </c>
      <c r="F1706" s="3" t="str">
        <f t="shared" si="26"/>
        <v>C1232</v>
      </c>
    </row>
    <row r="1707" spans="1:6" x14ac:dyDescent="0.2">
      <c r="A1707" s="17">
        <v>0</v>
      </c>
      <c r="B1707" s="18"/>
      <c r="C1707" s="17">
        <v>0</v>
      </c>
      <c r="D1707" s="19">
        <v>0</v>
      </c>
      <c r="F1707" s="3">
        <f t="shared" si="26"/>
        <v>0</v>
      </c>
    </row>
    <row r="1708" spans="1:6" ht="22.5" x14ac:dyDescent="0.2">
      <c r="A1708" s="17" t="s">
        <v>8831</v>
      </c>
      <c r="B1708" s="18" t="s">
        <v>8832</v>
      </c>
      <c r="C1708" s="17" t="s">
        <v>255</v>
      </c>
      <c r="D1708" s="19">
        <v>69.599999999999994</v>
      </c>
      <c r="F1708" s="3" t="str">
        <f t="shared" si="26"/>
        <v>C1459</v>
      </c>
    </row>
    <row r="1709" spans="1:6" x14ac:dyDescent="0.2">
      <c r="A1709" s="17">
        <v>0</v>
      </c>
      <c r="B1709" s="18"/>
      <c r="C1709" s="17">
        <v>0</v>
      </c>
      <c r="D1709" s="19">
        <v>0</v>
      </c>
      <c r="F1709" s="3">
        <f t="shared" si="26"/>
        <v>0</v>
      </c>
    </row>
    <row r="1710" spans="1:6" x14ac:dyDescent="0.2">
      <c r="A1710" s="17" t="s">
        <v>8833</v>
      </c>
      <c r="B1710" s="18" t="s">
        <v>8834</v>
      </c>
      <c r="C1710" s="17" t="s">
        <v>255</v>
      </c>
      <c r="D1710" s="19">
        <v>34.39</v>
      </c>
      <c r="F1710" s="3" t="str">
        <f t="shared" si="26"/>
        <v>C1779</v>
      </c>
    </row>
    <row r="1711" spans="1:6" x14ac:dyDescent="0.2">
      <c r="A1711" s="17">
        <v>0</v>
      </c>
      <c r="B1711" s="18"/>
      <c r="C1711" s="17">
        <v>0</v>
      </c>
      <c r="D1711" s="19">
        <v>0</v>
      </c>
      <c r="F1711" s="3">
        <f t="shared" si="26"/>
        <v>0</v>
      </c>
    </row>
    <row r="1712" spans="1:6" x14ac:dyDescent="0.2">
      <c r="A1712" s="14" t="s">
        <v>8835</v>
      </c>
      <c r="B1712" s="15"/>
      <c r="C1712" s="14">
        <v>0</v>
      </c>
      <c r="D1712" s="16">
        <v>263.89</v>
      </c>
      <c r="F1712" s="3" t="str">
        <f t="shared" si="26"/>
        <v>RESERVATÓRIOS</v>
      </c>
    </row>
    <row r="1713" spans="1:6" ht="22.5" x14ac:dyDescent="0.2">
      <c r="A1713" s="17" t="s">
        <v>8836</v>
      </c>
      <c r="B1713" s="18" t="s">
        <v>8837</v>
      </c>
      <c r="C1713" s="17" t="s">
        <v>255</v>
      </c>
      <c r="D1713" s="19">
        <v>35.99</v>
      </c>
      <c r="F1713" s="3" t="str">
        <f t="shared" si="26"/>
        <v>C1473</v>
      </c>
    </row>
    <row r="1714" spans="1:6" x14ac:dyDescent="0.2">
      <c r="A1714" s="17">
        <v>0</v>
      </c>
      <c r="B1714" s="18"/>
      <c r="C1714" s="17">
        <v>0</v>
      </c>
      <c r="D1714" s="19">
        <v>0</v>
      </c>
      <c r="F1714" s="3">
        <f t="shared" si="26"/>
        <v>0</v>
      </c>
    </row>
    <row r="1715" spans="1:6" x14ac:dyDescent="0.2">
      <c r="A1715" s="17" t="s">
        <v>8838</v>
      </c>
      <c r="B1715" s="18" t="s">
        <v>8839</v>
      </c>
      <c r="C1715" s="17" t="s">
        <v>255</v>
      </c>
      <c r="D1715" s="19">
        <v>87.01</v>
      </c>
      <c r="F1715" s="3" t="str">
        <f t="shared" si="26"/>
        <v>C1475</v>
      </c>
    </row>
    <row r="1716" spans="1:6" x14ac:dyDescent="0.2">
      <c r="A1716" s="17" t="s">
        <v>8840</v>
      </c>
      <c r="B1716" s="18" t="s">
        <v>8841</v>
      </c>
      <c r="C1716" s="17" t="s">
        <v>255</v>
      </c>
      <c r="D1716" s="19">
        <v>93.19</v>
      </c>
      <c r="F1716" s="3" t="str">
        <f t="shared" si="26"/>
        <v>C1469</v>
      </c>
    </row>
    <row r="1717" spans="1:6" x14ac:dyDescent="0.2">
      <c r="A1717" s="17" t="s">
        <v>8842</v>
      </c>
      <c r="B1717" s="18" t="s">
        <v>8843</v>
      </c>
      <c r="C1717" s="17" t="s">
        <v>255</v>
      </c>
      <c r="D1717" s="19">
        <v>19.82</v>
      </c>
      <c r="F1717" s="3" t="str">
        <f t="shared" si="26"/>
        <v>C1460</v>
      </c>
    </row>
    <row r="1718" spans="1:6" ht="22.5" x14ac:dyDescent="0.2">
      <c r="A1718" s="17" t="s">
        <v>8844</v>
      </c>
      <c r="B1718" s="18" t="s">
        <v>8845</v>
      </c>
      <c r="C1718" s="17" t="s">
        <v>255</v>
      </c>
      <c r="D1718" s="19">
        <v>24.44</v>
      </c>
      <c r="F1718" s="3" t="str">
        <f t="shared" si="26"/>
        <v>C1467</v>
      </c>
    </row>
    <row r="1719" spans="1:6" x14ac:dyDescent="0.2">
      <c r="A1719" s="17">
        <v>0</v>
      </c>
      <c r="B1719" s="18"/>
      <c r="C1719" s="17">
        <v>0</v>
      </c>
      <c r="D1719" s="19">
        <v>0</v>
      </c>
      <c r="F1719" s="3">
        <f t="shared" si="26"/>
        <v>0</v>
      </c>
    </row>
    <row r="1720" spans="1:6" x14ac:dyDescent="0.2">
      <c r="A1720" s="17" t="s">
        <v>8846</v>
      </c>
      <c r="B1720" s="18" t="s">
        <v>8847</v>
      </c>
      <c r="C1720" s="17" t="s">
        <v>255</v>
      </c>
      <c r="D1720" s="19">
        <v>3.44</v>
      </c>
      <c r="F1720" s="3" t="str">
        <f t="shared" si="26"/>
        <v>C2033</v>
      </c>
    </row>
    <row r="1721" spans="1:6" x14ac:dyDescent="0.2">
      <c r="A1721" s="17">
        <v>0</v>
      </c>
      <c r="B1721" s="18"/>
      <c r="C1721" s="17">
        <v>0</v>
      </c>
      <c r="D1721" s="19">
        <v>0</v>
      </c>
      <c r="F1721" s="3">
        <f t="shared" si="26"/>
        <v>0</v>
      </c>
    </row>
    <row r="1722" spans="1:6" x14ac:dyDescent="0.2">
      <c r="A1722" s="14" t="s">
        <v>8848</v>
      </c>
      <c r="B1722" s="15"/>
      <c r="C1722" s="14">
        <v>0</v>
      </c>
      <c r="D1722" s="16">
        <v>266.77</v>
      </c>
      <c r="F1722" s="3" t="str">
        <f t="shared" si="26"/>
        <v>CORTINA</v>
      </c>
    </row>
    <row r="1723" spans="1:6" ht="22.5" x14ac:dyDescent="0.2">
      <c r="A1723" s="17" t="s">
        <v>8849</v>
      </c>
      <c r="B1723" s="18" t="s">
        <v>8850</v>
      </c>
      <c r="C1723" s="17" t="s">
        <v>255</v>
      </c>
      <c r="D1723" s="19">
        <v>37.94</v>
      </c>
      <c r="F1723" s="3" t="str">
        <f t="shared" si="26"/>
        <v>C0667</v>
      </c>
    </row>
    <row r="1724" spans="1:6" x14ac:dyDescent="0.2">
      <c r="A1724" s="17">
        <v>0</v>
      </c>
      <c r="B1724" s="18"/>
      <c r="C1724" s="17">
        <v>0</v>
      </c>
      <c r="D1724" s="19">
        <v>0</v>
      </c>
      <c r="F1724" s="3">
        <f t="shared" si="26"/>
        <v>0</v>
      </c>
    </row>
    <row r="1725" spans="1:6" ht="22.5" x14ac:dyDescent="0.2">
      <c r="A1725" s="17" t="s">
        <v>8851</v>
      </c>
      <c r="B1725" s="18" t="s">
        <v>8852</v>
      </c>
      <c r="C1725" s="17" t="s">
        <v>255</v>
      </c>
      <c r="D1725" s="19">
        <v>47.2</v>
      </c>
      <c r="F1725" s="3" t="str">
        <f t="shared" si="26"/>
        <v>C0668</v>
      </c>
    </row>
    <row r="1726" spans="1:6" x14ac:dyDescent="0.2">
      <c r="A1726" s="17">
        <v>0</v>
      </c>
      <c r="B1726" s="18"/>
      <c r="C1726" s="17">
        <v>0</v>
      </c>
      <c r="D1726" s="19">
        <v>0</v>
      </c>
      <c r="F1726" s="3">
        <f t="shared" si="26"/>
        <v>0</v>
      </c>
    </row>
    <row r="1727" spans="1:6" ht="22.5" x14ac:dyDescent="0.2">
      <c r="A1727" s="17" t="s">
        <v>8853</v>
      </c>
      <c r="B1727" s="18" t="s">
        <v>8854</v>
      </c>
      <c r="C1727" s="17" t="s">
        <v>255</v>
      </c>
      <c r="D1727" s="19">
        <v>14.31</v>
      </c>
      <c r="F1727" s="3" t="str">
        <f t="shared" si="26"/>
        <v>C1461</v>
      </c>
    </row>
    <row r="1728" spans="1:6" x14ac:dyDescent="0.2">
      <c r="A1728" s="17">
        <v>0</v>
      </c>
      <c r="B1728" s="18"/>
      <c r="C1728" s="17">
        <v>0</v>
      </c>
      <c r="D1728" s="19">
        <v>0</v>
      </c>
      <c r="F1728" s="3">
        <f t="shared" si="26"/>
        <v>0</v>
      </c>
    </row>
    <row r="1729" spans="1:6" ht="22.5" x14ac:dyDescent="0.2">
      <c r="A1729" s="17" t="s">
        <v>8855</v>
      </c>
      <c r="B1729" s="18" t="s">
        <v>8856</v>
      </c>
      <c r="C1729" s="17" t="s">
        <v>255</v>
      </c>
      <c r="D1729" s="19">
        <v>64.150000000000006</v>
      </c>
      <c r="F1729" s="3" t="str">
        <f t="shared" si="26"/>
        <v>C2188</v>
      </c>
    </row>
    <row r="1730" spans="1:6" x14ac:dyDescent="0.2">
      <c r="A1730" s="17">
        <v>0</v>
      </c>
      <c r="B1730" s="18"/>
      <c r="C1730" s="17">
        <v>0</v>
      </c>
      <c r="D1730" s="19">
        <v>0</v>
      </c>
      <c r="F1730" s="3">
        <f t="shared" ref="F1730:F1793" si="27">A1730</f>
        <v>0</v>
      </c>
    </row>
    <row r="1731" spans="1:6" ht="22.5" x14ac:dyDescent="0.2">
      <c r="A1731" s="17" t="s">
        <v>8857</v>
      </c>
      <c r="B1731" s="18" t="s">
        <v>8858</v>
      </c>
      <c r="C1731" s="17" t="s">
        <v>255</v>
      </c>
      <c r="D1731" s="19">
        <v>103.17</v>
      </c>
      <c r="F1731" s="3" t="str">
        <f t="shared" si="27"/>
        <v>C2217</v>
      </c>
    </row>
    <row r="1732" spans="1:6" x14ac:dyDescent="0.2">
      <c r="A1732" s="17">
        <v>0</v>
      </c>
      <c r="B1732" s="18"/>
      <c r="C1732" s="17">
        <v>0</v>
      </c>
      <c r="D1732" s="19">
        <v>0</v>
      </c>
      <c r="F1732" s="3">
        <f t="shared" si="27"/>
        <v>0</v>
      </c>
    </row>
    <row r="1733" spans="1:6" x14ac:dyDescent="0.2">
      <c r="A1733" s="14" t="s">
        <v>7834</v>
      </c>
      <c r="B1733" s="15"/>
      <c r="C1733" s="14">
        <v>0</v>
      </c>
      <c r="D1733" s="16">
        <v>341.24</v>
      </c>
      <c r="F1733" s="3" t="str">
        <f t="shared" si="27"/>
        <v>OUTROS ELEMENTOS</v>
      </c>
    </row>
    <row r="1734" spans="1:6" ht="22.5" x14ac:dyDescent="0.2">
      <c r="A1734" s="17" t="s">
        <v>8859</v>
      </c>
      <c r="B1734" s="18" t="s">
        <v>8860</v>
      </c>
      <c r="C1734" s="17" t="s">
        <v>255</v>
      </c>
      <c r="D1734" s="19">
        <v>55.87</v>
      </c>
      <c r="F1734" s="3" t="str">
        <f t="shared" si="27"/>
        <v>C4723</v>
      </c>
    </row>
    <row r="1735" spans="1:6" x14ac:dyDescent="0.2">
      <c r="A1735" s="17">
        <v>0</v>
      </c>
      <c r="B1735" s="18"/>
      <c r="C1735" s="17">
        <v>0</v>
      </c>
      <c r="D1735" s="19">
        <v>0</v>
      </c>
      <c r="F1735" s="3">
        <f t="shared" si="27"/>
        <v>0</v>
      </c>
    </row>
    <row r="1736" spans="1:6" ht="22.5" x14ac:dyDescent="0.2">
      <c r="A1736" s="17" t="s">
        <v>8861</v>
      </c>
      <c r="B1736" s="18" t="s">
        <v>8862</v>
      </c>
      <c r="C1736" s="17" t="s">
        <v>255</v>
      </c>
      <c r="D1736" s="19">
        <v>42.34</v>
      </c>
      <c r="F1736" s="3" t="str">
        <f t="shared" si="27"/>
        <v>C4722</v>
      </c>
    </row>
    <row r="1737" spans="1:6" x14ac:dyDescent="0.2">
      <c r="A1737" s="17">
        <v>0</v>
      </c>
      <c r="B1737" s="18"/>
      <c r="C1737" s="17">
        <v>0</v>
      </c>
      <c r="D1737" s="19">
        <v>0</v>
      </c>
      <c r="F1737" s="3">
        <f t="shared" si="27"/>
        <v>0</v>
      </c>
    </row>
    <row r="1738" spans="1:6" ht="22.5" x14ac:dyDescent="0.2">
      <c r="A1738" s="17" t="s">
        <v>8863</v>
      </c>
      <c r="B1738" s="18" t="s">
        <v>8864</v>
      </c>
      <c r="C1738" s="17" t="s">
        <v>255</v>
      </c>
      <c r="D1738" s="19">
        <v>7.77</v>
      </c>
      <c r="F1738" s="3" t="str">
        <f t="shared" si="27"/>
        <v>C4724</v>
      </c>
    </row>
    <row r="1739" spans="1:6" x14ac:dyDescent="0.2">
      <c r="A1739" s="17">
        <v>0</v>
      </c>
      <c r="B1739" s="18"/>
      <c r="C1739" s="17">
        <v>0</v>
      </c>
      <c r="D1739" s="19">
        <v>0</v>
      </c>
      <c r="F1739" s="3">
        <f t="shared" si="27"/>
        <v>0</v>
      </c>
    </row>
    <row r="1740" spans="1:6" x14ac:dyDescent="0.2">
      <c r="A1740" s="17" t="s">
        <v>8865</v>
      </c>
      <c r="B1740" s="18" t="s">
        <v>8866</v>
      </c>
      <c r="C1740" s="17" t="s">
        <v>255</v>
      </c>
      <c r="D1740" s="19">
        <v>43.18</v>
      </c>
      <c r="F1740" s="3" t="str">
        <f t="shared" si="27"/>
        <v>C2841</v>
      </c>
    </row>
    <row r="1741" spans="1:6" x14ac:dyDescent="0.2">
      <c r="A1741" s="17">
        <v>0</v>
      </c>
      <c r="B1741" s="18"/>
      <c r="C1741" s="17">
        <v>0</v>
      </c>
      <c r="D1741" s="19">
        <v>0</v>
      </c>
      <c r="F1741" s="3">
        <f t="shared" si="27"/>
        <v>0</v>
      </c>
    </row>
    <row r="1742" spans="1:6" x14ac:dyDescent="0.2">
      <c r="A1742" s="17" t="s">
        <v>8867</v>
      </c>
      <c r="B1742" s="18" t="s">
        <v>8868</v>
      </c>
      <c r="C1742" s="17" t="s">
        <v>255</v>
      </c>
      <c r="D1742" s="19">
        <v>67.08</v>
      </c>
      <c r="F1742" s="3" t="str">
        <f t="shared" si="27"/>
        <v>C2842</v>
      </c>
    </row>
    <row r="1743" spans="1:6" x14ac:dyDescent="0.2">
      <c r="A1743" s="17" t="s">
        <v>8869</v>
      </c>
      <c r="B1743" s="18" t="s">
        <v>8870</v>
      </c>
      <c r="C1743" s="17" t="s">
        <v>255</v>
      </c>
      <c r="D1743" s="19">
        <v>40.18</v>
      </c>
      <c r="F1743" s="3" t="str">
        <f t="shared" si="27"/>
        <v>C2843</v>
      </c>
    </row>
    <row r="1744" spans="1:6" x14ac:dyDescent="0.2">
      <c r="A1744" s="17" t="s">
        <v>8871</v>
      </c>
      <c r="B1744" s="18" t="s">
        <v>8872</v>
      </c>
      <c r="C1744" s="17" t="s">
        <v>255</v>
      </c>
      <c r="D1744" s="19">
        <v>63.86</v>
      </c>
      <c r="F1744" s="3" t="str">
        <f t="shared" si="27"/>
        <v>C3444</v>
      </c>
    </row>
    <row r="1745" spans="1:6" ht="22.5" x14ac:dyDescent="0.2">
      <c r="A1745" s="17" t="s">
        <v>8873</v>
      </c>
      <c r="B1745" s="18" t="s">
        <v>8874</v>
      </c>
      <c r="C1745" s="17" t="s">
        <v>255</v>
      </c>
      <c r="D1745" s="19">
        <v>20.96</v>
      </c>
      <c r="F1745" s="3" t="str">
        <f t="shared" si="27"/>
        <v>C4021</v>
      </c>
    </row>
    <row r="1746" spans="1:6" x14ac:dyDescent="0.2">
      <c r="A1746" s="17">
        <v>0</v>
      </c>
      <c r="B1746" s="18"/>
      <c r="C1746" s="17">
        <v>0</v>
      </c>
      <c r="D1746" s="19">
        <v>0</v>
      </c>
      <c r="F1746" s="3">
        <f t="shared" si="27"/>
        <v>0</v>
      </c>
    </row>
    <row r="1747" spans="1:6" x14ac:dyDescent="0.2">
      <c r="A1747" s="14" t="s">
        <v>8875</v>
      </c>
      <c r="B1747" s="15"/>
      <c r="C1747" s="14">
        <v>0</v>
      </c>
      <c r="D1747" s="16">
        <v>1168.1500000000001</v>
      </c>
      <c r="F1747" s="3" t="str">
        <f t="shared" si="27"/>
        <v>IMPERMEABILIZAÇÃO UTILIZANDO MANTA ASFÁLTICA (ABNT NBR 9952:2014)</v>
      </c>
    </row>
    <row r="1748" spans="1:6" ht="33.75" x14ac:dyDescent="0.2">
      <c r="A1748" s="17" t="s">
        <v>8876</v>
      </c>
      <c r="B1748" s="18" t="s">
        <v>8877</v>
      </c>
      <c r="C1748" s="17" t="s">
        <v>255</v>
      </c>
      <c r="D1748" s="19">
        <v>63.46</v>
      </c>
      <c r="F1748" s="3" t="str">
        <f t="shared" si="27"/>
        <v>C5013</v>
      </c>
    </row>
    <row r="1749" spans="1:6" x14ac:dyDescent="0.2">
      <c r="A1749" s="17">
        <v>0</v>
      </c>
      <c r="B1749" s="18"/>
      <c r="C1749" s="17">
        <v>0</v>
      </c>
      <c r="D1749" s="19">
        <v>0</v>
      </c>
      <c r="F1749" s="3">
        <f t="shared" si="27"/>
        <v>0</v>
      </c>
    </row>
    <row r="1750" spans="1:6" ht="33.75" x14ac:dyDescent="0.2">
      <c r="A1750" s="17" t="s">
        <v>8878</v>
      </c>
      <c r="B1750" s="18" t="s">
        <v>8879</v>
      </c>
      <c r="C1750" s="17" t="s">
        <v>255</v>
      </c>
      <c r="D1750" s="19">
        <v>76.63</v>
      </c>
      <c r="F1750" s="3" t="str">
        <f t="shared" si="27"/>
        <v>C5014</v>
      </c>
    </row>
    <row r="1751" spans="1:6" x14ac:dyDescent="0.2">
      <c r="A1751" s="17">
        <v>0</v>
      </c>
      <c r="B1751" s="18"/>
      <c r="C1751" s="17">
        <v>0</v>
      </c>
      <c r="D1751" s="19">
        <v>0</v>
      </c>
      <c r="F1751" s="3">
        <f t="shared" si="27"/>
        <v>0</v>
      </c>
    </row>
    <row r="1752" spans="1:6" ht="22.5" x14ac:dyDescent="0.2">
      <c r="A1752" s="17" t="s">
        <v>8880</v>
      </c>
      <c r="B1752" s="18" t="s">
        <v>38439</v>
      </c>
      <c r="C1752" s="17" t="s">
        <v>255</v>
      </c>
      <c r="D1752" s="19">
        <v>70.34</v>
      </c>
      <c r="F1752" s="3" t="str">
        <f t="shared" si="27"/>
        <v>C5015</v>
      </c>
    </row>
    <row r="1753" spans="1:6" x14ac:dyDescent="0.2">
      <c r="A1753" s="17">
        <v>0</v>
      </c>
      <c r="B1753" s="18"/>
      <c r="C1753" s="17">
        <v>0</v>
      </c>
      <c r="D1753" s="19">
        <v>0</v>
      </c>
      <c r="F1753" s="3">
        <f t="shared" si="27"/>
        <v>0</v>
      </c>
    </row>
    <row r="1754" spans="1:6" ht="33.75" x14ac:dyDescent="0.2">
      <c r="A1754" s="17" t="s">
        <v>8881</v>
      </c>
      <c r="B1754" s="18" t="s">
        <v>8882</v>
      </c>
      <c r="C1754" s="17" t="s">
        <v>255</v>
      </c>
      <c r="D1754" s="19">
        <v>80.78</v>
      </c>
      <c r="F1754" s="3" t="str">
        <f t="shared" si="27"/>
        <v>C5016</v>
      </c>
    </row>
    <row r="1755" spans="1:6" x14ac:dyDescent="0.2">
      <c r="A1755" s="17">
        <v>0</v>
      </c>
      <c r="B1755" s="18"/>
      <c r="C1755" s="17">
        <v>0</v>
      </c>
      <c r="D1755" s="19">
        <v>0</v>
      </c>
      <c r="F1755" s="3">
        <f t="shared" si="27"/>
        <v>0</v>
      </c>
    </row>
    <row r="1756" spans="1:6" ht="22.5" x14ac:dyDescent="0.2">
      <c r="A1756" s="17" t="s">
        <v>8883</v>
      </c>
      <c r="B1756" s="18" t="s">
        <v>8884</v>
      </c>
      <c r="C1756" s="17" t="s">
        <v>255</v>
      </c>
      <c r="D1756" s="19">
        <v>60.69</v>
      </c>
      <c r="F1756" s="3" t="str">
        <f t="shared" si="27"/>
        <v>C5017</v>
      </c>
    </row>
    <row r="1757" spans="1:6" x14ac:dyDescent="0.2">
      <c r="A1757" s="17">
        <v>0</v>
      </c>
      <c r="B1757" s="18"/>
      <c r="C1757" s="17">
        <v>0</v>
      </c>
      <c r="D1757" s="19">
        <v>0</v>
      </c>
      <c r="F1757" s="3">
        <f t="shared" si="27"/>
        <v>0</v>
      </c>
    </row>
    <row r="1758" spans="1:6" ht="22.5" x14ac:dyDescent="0.2">
      <c r="A1758" s="17" t="s">
        <v>8885</v>
      </c>
      <c r="B1758" s="18" t="s">
        <v>8886</v>
      </c>
      <c r="C1758" s="17" t="s">
        <v>255</v>
      </c>
      <c r="D1758" s="19">
        <v>68.959999999999994</v>
      </c>
      <c r="F1758" s="3" t="str">
        <f t="shared" si="27"/>
        <v>C5018</v>
      </c>
    </row>
    <row r="1759" spans="1:6" x14ac:dyDescent="0.2">
      <c r="A1759" s="17">
        <v>0</v>
      </c>
      <c r="B1759" s="18"/>
      <c r="C1759" s="17">
        <v>0</v>
      </c>
      <c r="D1759" s="19">
        <v>0</v>
      </c>
      <c r="F1759" s="3">
        <f t="shared" si="27"/>
        <v>0</v>
      </c>
    </row>
    <row r="1760" spans="1:6" ht="22.5" x14ac:dyDescent="0.2">
      <c r="A1760" s="17" t="s">
        <v>8887</v>
      </c>
      <c r="B1760" s="18" t="s">
        <v>8888</v>
      </c>
      <c r="C1760" s="17" t="s">
        <v>255</v>
      </c>
      <c r="D1760" s="19">
        <v>64.849999999999994</v>
      </c>
      <c r="F1760" s="3" t="str">
        <f t="shared" si="27"/>
        <v>C5019</v>
      </c>
    </row>
    <row r="1761" spans="1:6" x14ac:dyDescent="0.2">
      <c r="A1761" s="17">
        <v>0</v>
      </c>
      <c r="B1761" s="18"/>
      <c r="C1761" s="17">
        <v>0</v>
      </c>
      <c r="D1761" s="19">
        <v>0</v>
      </c>
      <c r="F1761" s="3">
        <f t="shared" si="27"/>
        <v>0</v>
      </c>
    </row>
    <row r="1762" spans="1:6" ht="22.5" x14ac:dyDescent="0.2">
      <c r="A1762" s="17" t="s">
        <v>8889</v>
      </c>
      <c r="B1762" s="18" t="s">
        <v>8890</v>
      </c>
      <c r="C1762" s="17" t="s">
        <v>255</v>
      </c>
      <c r="D1762" s="19">
        <v>73.19</v>
      </c>
      <c r="F1762" s="3" t="str">
        <f t="shared" si="27"/>
        <v>C5020</v>
      </c>
    </row>
    <row r="1763" spans="1:6" x14ac:dyDescent="0.2">
      <c r="A1763" s="17">
        <v>0</v>
      </c>
      <c r="B1763" s="18"/>
      <c r="C1763" s="17">
        <v>0</v>
      </c>
      <c r="D1763" s="19">
        <v>0</v>
      </c>
      <c r="F1763" s="3">
        <f t="shared" si="27"/>
        <v>0</v>
      </c>
    </row>
    <row r="1764" spans="1:6" ht="22.5" x14ac:dyDescent="0.2">
      <c r="A1764" s="17" t="s">
        <v>8891</v>
      </c>
      <c r="B1764" s="18" t="s">
        <v>8892</v>
      </c>
      <c r="C1764" s="17" t="s">
        <v>255</v>
      </c>
      <c r="D1764" s="19">
        <v>70.95</v>
      </c>
      <c r="F1764" s="3" t="str">
        <f t="shared" si="27"/>
        <v>C5021</v>
      </c>
    </row>
    <row r="1765" spans="1:6" x14ac:dyDescent="0.2">
      <c r="A1765" s="17">
        <v>0</v>
      </c>
      <c r="B1765" s="18"/>
      <c r="C1765" s="17">
        <v>0</v>
      </c>
      <c r="D1765" s="19">
        <v>0</v>
      </c>
      <c r="F1765" s="3">
        <f t="shared" si="27"/>
        <v>0</v>
      </c>
    </row>
    <row r="1766" spans="1:6" ht="22.5" x14ac:dyDescent="0.2">
      <c r="A1766" s="17" t="s">
        <v>8893</v>
      </c>
      <c r="B1766" s="18" t="s">
        <v>8894</v>
      </c>
      <c r="C1766" s="17" t="s">
        <v>255</v>
      </c>
      <c r="D1766" s="19">
        <v>82.15</v>
      </c>
      <c r="F1766" s="3" t="str">
        <f t="shared" si="27"/>
        <v>C5022</v>
      </c>
    </row>
    <row r="1767" spans="1:6" x14ac:dyDescent="0.2">
      <c r="A1767" s="17">
        <v>0</v>
      </c>
      <c r="B1767" s="18"/>
      <c r="C1767" s="17">
        <v>0</v>
      </c>
      <c r="D1767" s="19">
        <v>0</v>
      </c>
      <c r="F1767" s="3">
        <f t="shared" si="27"/>
        <v>0</v>
      </c>
    </row>
    <row r="1768" spans="1:6" ht="22.5" x14ac:dyDescent="0.2">
      <c r="A1768" s="17" t="s">
        <v>8895</v>
      </c>
      <c r="B1768" s="18" t="s">
        <v>8896</v>
      </c>
      <c r="C1768" s="17" t="s">
        <v>255</v>
      </c>
      <c r="D1768" s="19">
        <v>125.68</v>
      </c>
      <c r="F1768" s="3" t="str">
        <f t="shared" si="27"/>
        <v>C5023</v>
      </c>
    </row>
    <row r="1769" spans="1:6" x14ac:dyDescent="0.2">
      <c r="A1769" s="17">
        <v>0</v>
      </c>
      <c r="B1769" s="18"/>
      <c r="C1769" s="17">
        <v>0</v>
      </c>
      <c r="D1769" s="19">
        <v>0</v>
      </c>
      <c r="F1769" s="3">
        <f t="shared" si="27"/>
        <v>0</v>
      </c>
    </row>
    <row r="1770" spans="1:6" ht="22.5" x14ac:dyDescent="0.2">
      <c r="A1770" s="17" t="s">
        <v>8897</v>
      </c>
      <c r="B1770" s="18" t="s">
        <v>8898</v>
      </c>
      <c r="C1770" s="17" t="s">
        <v>255</v>
      </c>
      <c r="D1770" s="19">
        <v>129.91999999999999</v>
      </c>
      <c r="F1770" s="3" t="str">
        <f t="shared" si="27"/>
        <v>C5024</v>
      </c>
    </row>
    <row r="1771" spans="1:6" x14ac:dyDescent="0.2">
      <c r="A1771" s="17">
        <v>0</v>
      </c>
      <c r="B1771" s="18"/>
      <c r="C1771" s="17">
        <v>0</v>
      </c>
      <c r="D1771" s="19">
        <v>0</v>
      </c>
      <c r="F1771" s="3">
        <f t="shared" si="27"/>
        <v>0</v>
      </c>
    </row>
    <row r="1772" spans="1:6" ht="22.5" x14ac:dyDescent="0.2">
      <c r="A1772" s="17" t="s">
        <v>8899</v>
      </c>
      <c r="B1772" s="18" t="s">
        <v>8900</v>
      </c>
      <c r="C1772" s="17" t="s">
        <v>255</v>
      </c>
      <c r="D1772" s="19">
        <v>134.08000000000001</v>
      </c>
      <c r="F1772" s="3" t="str">
        <f t="shared" si="27"/>
        <v>C5029</v>
      </c>
    </row>
    <row r="1773" spans="1:6" x14ac:dyDescent="0.2">
      <c r="A1773" s="17">
        <v>0</v>
      </c>
      <c r="B1773" s="18"/>
      <c r="C1773" s="17">
        <v>0</v>
      </c>
      <c r="D1773" s="19">
        <v>0</v>
      </c>
      <c r="F1773" s="3">
        <f t="shared" si="27"/>
        <v>0</v>
      </c>
    </row>
    <row r="1774" spans="1:6" x14ac:dyDescent="0.2">
      <c r="A1774" s="17" t="s">
        <v>8901</v>
      </c>
      <c r="B1774" s="18" t="s">
        <v>8902</v>
      </c>
      <c r="C1774" s="17" t="s">
        <v>255</v>
      </c>
      <c r="D1774" s="19">
        <v>32.22</v>
      </c>
      <c r="F1774" s="3" t="str">
        <f t="shared" si="27"/>
        <v>C5025</v>
      </c>
    </row>
    <row r="1775" spans="1:6" ht="22.5" x14ac:dyDescent="0.2">
      <c r="A1775" s="17" t="s">
        <v>8903</v>
      </c>
      <c r="B1775" s="18" t="s">
        <v>8904</v>
      </c>
      <c r="C1775" s="17" t="s">
        <v>255</v>
      </c>
      <c r="D1775" s="19">
        <v>34.25</v>
      </c>
      <c r="F1775" s="3" t="str">
        <f t="shared" si="27"/>
        <v>C5026</v>
      </c>
    </row>
    <row r="1776" spans="1:6" x14ac:dyDescent="0.2">
      <c r="A1776" s="17">
        <v>0</v>
      </c>
      <c r="B1776" s="18"/>
      <c r="C1776" s="17">
        <v>0</v>
      </c>
      <c r="D1776" s="19">
        <v>0</v>
      </c>
      <c r="F1776" s="3">
        <f t="shared" si="27"/>
        <v>0</v>
      </c>
    </row>
    <row r="1777" spans="1:6" x14ac:dyDescent="0.2">
      <c r="A1777" s="14" t="s">
        <v>8905</v>
      </c>
      <c r="B1777" s="15"/>
      <c r="C1777" s="14">
        <v>0</v>
      </c>
      <c r="D1777" s="16">
        <v>1107.3900000000001</v>
      </c>
      <c r="F1777" s="3" t="str">
        <f t="shared" si="27"/>
        <v>PROTEÇÃO TÉRMICA</v>
      </c>
    </row>
    <row r="1778" spans="1:6" x14ac:dyDescent="0.2">
      <c r="A1778" s="14" t="s">
        <v>8906</v>
      </c>
      <c r="B1778" s="15"/>
      <c r="C1778" s="14">
        <v>0</v>
      </c>
      <c r="D1778" s="16">
        <v>316.14</v>
      </c>
      <c r="F1778" s="3" t="str">
        <f t="shared" si="27"/>
        <v>ISOLAMENTO DE PAREDES</v>
      </c>
    </row>
    <row r="1779" spans="1:6" ht="22.5" x14ac:dyDescent="0.2">
      <c r="A1779" s="17" t="s">
        <v>8907</v>
      </c>
      <c r="B1779" s="18" t="s">
        <v>8908</v>
      </c>
      <c r="C1779" s="17" t="s">
        <v>255</v>
      </c>
      <c r="D1779" s="19">
        <v>62.98</v>
      </c>
      <c r="F1779" s="3" t="str">
        <f t="shared" si="27"/>
        <v>C1505</v>
      </c>
    </row>
    <row r="1780" spans="1:6" x14ac:dyDescent="0.2">
      <c r="A1780" s="17">
        <v>0</v>
      </c>
      <c r="B1780" s="18"/>
      <c r="C1780" s="17">
        <v>0</v>
      </c>
      <c r="D1780" s="19">
        <v>0</v>
      </c>
      <c r="F1780" s="3">
        <f t="shared" si="27"/>
        <v>0</v>
      </c>
    </row>
    <row r="1781" spans="1:6" ht="22.5" x14ac:dyDescent="0.2">
      <c r="A1781" s="17" t="s">
        <v>8909</v>
      </c>
      <c r="B1781" s="18" t="s">
        <v>8910</v>
      </c>
      <c r="C1781" s="17" t="s">
        <v>255</v>
      </c>
      <c r="D1781" s="19">
        <v>89.28</v>
      </c>
      <c r="F1781" s="3" t="str">
        <f t="shared" si="27"/>
        <v>C1503</v>
      </c>
    </row>
    <row r="1782" spans="1:6" x14ac:dyDescent="0.2">
      <c r="A1782" s="17">
        <v>0</v>
      </c>
      <c r="B1782" s="18"/>
      <c r="C1782" s="17">
        <v>0</v>
      </c>
      <c r="D1782" s="19">
        <v>0</v>
      </c>
      <c r="F1782" s="3">
        <f t="shared" si="27"/>
        <v>0</v>
      </c>
    </row>
    <row r="1783" spans="1:6" ht="22.5" x14ac:dyDescent="0.2">
      <c r="A1783" s="17" t="s">
        <v>8911</v>
      </c>
      <c r="B1783" s="18" t="s">
        <v>8912</v>
      </c>
      <c r="C1783" s="17" t="s">
        <v>255</v>
      </c>
      <c r="D1783" s="19">
        <v>70.459999999999994</v>
      </c>
      <c r="F1783" s="3" t="str">
        <f t="shared" si="27"/>
        <v>C1506</v>
      </c>
    </row>
    <row r="1784" spans="1:6" x14ac:dyDescent="0.2">
      <c r="A1784" s="17">
        <v>0</v>
      </c>
      <c r="B1784" s="18"/>
      <c r="C1784" s="17">
        <v>0</v>
      </c>
      <c r="D1784" s="19">
        <v>0</v>
      </c>
      <c r="F1784" s="3">
        <f t="shared" si="27"/>
        <v>0</v>
      </c>
    </row>
    <row r="1785" spans="1:6" x14ac:dyDescent="0.2">
      <c r="A1785" s="17" t="s">
        <v>8913</v>
      </c>
      <c r="B1785" s="18" t="s">
        <v>8914</v>
      </c>
      <c r="C1785" s="17" t="s">
        <v>255</v>
      </c>
      <c r="D1785" s="19">
        <v>93.42</v>
      </c>
      <c r="F1785" s="3" t="str">
        <f t="shared" si="27"/>
        <v>C1504</v>
      </c>
    </row>
    <row r="1786" spans="1:6" x14ac:dyDescent="0.2">
      <c r="A1786" s="14" t="s">
        <v>8915</v>
      </c>
      <c r="B1786" s="15"/>
      <c r="C1786" s="14">
        <v>0</v>
      </c>
      <c r="D1786" s="16">
        <v>658.02</v>
      </c>
      <c r="F1786" s="3" t="str">
        <f t="shared" si="27"/>
        <v>ISOLAMENTO DE COBERTURAS E LAJES</v>
      </c>
    </row>
    <row r="1787" spans="1:6" x14ac:dyDescent="0.2">
      <c r="A1787" s="17" t="s">
        <v>8916</v>
      </c>
      <c r="B1787" s="18" t="s">
        <v>8917</v>
      </c>
      <c r="C1787" s="17" t="s">
        <v>255</v>
      </c>
      <c r="D1787" s="19">
        <v>172.27</v>
      </c>
      <c r="F1787" s="3" t="str">
        <f t="shared" si="27"/>
        <v>C1500</v>
      </c>
    </row>
    <row r="1788" spans="1:6" x14ac:dyDescent="0.2">
      <c r="A1788" s="17" t="s">
        <v>8918</v>
      </c>
      <c r="B1788" s="18" t="s">
        <v>8919</v>
      </c>
      <c r="C1788" s="17" t="s">
        <v>255</v>
      </c>
      <c r="D1788" s="19">
        <v>84.29</v>
      </c>
      <c r="F1788" s="3" t="str">
        <f t="shared" si="27"/>
        <v>C1508</v>
      </c>
    </row>
    <row r="1789" spans="1:6" ht="22.5" x14ac:dyDescent="0.2">
      <c r="A1789" s="17" t="s">
        <v>8920</v>
      </c>
      <c r="B1789" s="18" t="s">
        <v>8921</v>
      </c>
      <c r="C1789" s="17" t="s">
        <v>255</v>
      </c>
      <c r="D1789" s="19">
        <v>40.299999999999997</v>
      </c>
      <c r="F1789" s="3" t="str">
        <f t="shared" si="27"/>
        <v>C1510</v>
      </c>
    </row>
    <row r="1790" spans="1:6" x14ac:dyDescent="0.2">
      <c r="A1790" s="17">
        <v>0</v>
      </c>
      <c r="B1790" s="18"/>
      <c r="C1790" s="17">
        <v>0</v>
      </c>
      <c r="D1790" s="19">
        <v>0</v>
      </c>
      <c r="F1790" s="3">
        <f t="shared" si="27"/>
        <v>0</v>
      </c>
    </row>
    <row r="1791" spans="1:6" x14ac:dyDescent="0.2">
      <c r="A1791" s="17" t="s">
        <v>8922</v>
      </c>
      <c r="B1791" s="18" t="s">
        <v>8923</v>
      </c>
      <c r="C1791" s="17" t="s">
        <v>255</v>
      </c>
      <c r="D1791" s="19">
        <v>91.9</v>
      </c>
      <c r="F1791" s="3" t="str">
        <f t="shared" si="27"/>
        <v>C1511</v>
      </c>
    </row>
    <row r="1792" spans="1:6" x14ac:dyDescent="0.2">
      <c r="A1792" s="17" t="s">
        <v>8924</v>
      </c>
      <c r="B1792" s="18" t="s">
        <v>8925</v>
      </c>
      <c r="C1792" s="17" t="s">
        <v>255</v>
      </c>
      <c r="D1792" s="19">
        <v>49.22</v>
      </c>
      <c r="F1792" s="3" t="str">
        <f t="shared" si="27"/>
        <v>C1512</v>
      </c>
    </row>
    <row r="1793" spans="1:6" x14ac:dyDescent="0.2">
      <c r="A1793" s="17" t="s">
        <v>8926</v>
      </c>
      <c r="B1793" s="18" t="s">
        <v>8927</v>
      </c>
      <c r="C1793" s="17" t="s">
        <v>255</v>
      </c>
      <c r="D1793" s="19">
        <v>220.04</v>
      </c>
      <c r="F1793" s="3" t="str">
        <f t="shared" si="27"/>
        <v>C1513</v>
      </c>
    </row>
    <row r="1794" spans="1:6" x14ac:dyDescent="0.2">
      <c r="A1794" s="17">
        <v>0</v>
      </c>
      <c r="B1794" s="18"/>
      <c r="C1794" s="17">
        <v>0</v>
      </c>
      <c r="D1794" s="19">
        <v>0</v>
      </c>
      <c r="F1794" s="3">
        <f t="shared" ref="F1794:F1857" si="28">A1794</f>
        <v>0</v>
      </c>
    </row>
    <row r="1795" spans="1:6" x14ac:dyDescent="0.2">
      <c r="A1795" s="14" t="s">
        <v>8928</v>
      </c>
      <c r="B1795" s="15"/>
      <c r="C1795" s="14">
        <v>0</v>
      </c>
      <c r="D1795" s="16">
        <v>133.22999999999999</v>
      </c>
      <c r="F1795" s="3" t="str">
        <f t="shared" si="28"/>
        <v>ISOLAMENTO DE TUBOS DE AÇO</v>
      </c>
    </row>
    <row r="1796" spans="1:6" x14ac:dyDescent="0.2">
      <c r="A1796" s="17" t="s">
        <v>8929</v>
      </c>
      <c r="B1796" s="18" t="s">
        <v>8930</v>
      </c>
      <c r="C1796" s="17" t="s">
        <v>0</v>
      </c>
      <c r="D1796" s="19">
        <v>56.33</v>
      </c>
      <c r="F1796" s="3" t="str">
        <f t="shared" si="28"/>
        <v>C3717</v>
      </c>
    </row>
    <row r="1797" spans="1:6" x14ac:dyDescent="0.2">
      <c r="A1797" s="17">
        <v>0</v>
      </c>
      <c r="B1797" s="18"/>
      <c r="C1797" s="17">
        <v>0</v>
      </c>
      <c r="D1797" s="19">
        <v>0</v>
      </c>
      <c r="F1797" s="3">
        <f t="shared" si="28"/>
        <v>0</v>
      </c>
    </row>
    <row r="1798" spans="1:6" x14ac:dyDescent="0.2">
      <c r="A1798" s="17" t="s">
        <v>8931</v>
      </c>
      <c r="B1798" s="18" t="s">
        <v>8932</v>
      </c>
      <c r="C1798" s="17" t="s">
        <v>0</v>
      </c>
      <c r="D1798" s="19">
        <v>76.900000000000006</v>
      </c>
      <c r="F1798" s="3" t="str">
        <f t="shared" si="28"/>
        <v>C3718</v>
      </c>
    </row>
    <row r="1799" spans="1:6" x14ac:dyDescent="0.2">
      <c r="A1799" s="17">
        <v>0</v>
      </c>
      <c r="B1799" s="18"/>
      <c r="C1799" s="17">
        <v>0</v>
      </c>
      <c r="D1799" s="19">
        <v>0</v>
      </c>
      <c r="F1799" s="3">
        <f t="shared" si="28"/>
        <v>0</v>
      </c>
    </row>
    <row r="1800" spans="1:6" x14ac:dyDescent="0.2">
      <c r="A1800" s="14" t="s">
        <v>8933</v>
      </c>
      <c r="B1800" s="15"/>
      <c r="C1800" s="14">
        <v>0</v>
      </c>
      <c r="D1800" s="16">
        <v>10939.62</v>
      </c>
      <c r="F1800" s="3" t="str">
        <f t="shared" si="28"/>
        <v>REVESTIMENTOS</v>
      </c>
    </row>
    <row r="1801" spans="1:6" x14ac:dyDescent="0.2">
      <c r="A1801" s="14" t="s">
        <v>8934</v>
      </c>
      <c r="B1801" s="15"/>
      <c r="C1801" s="14">
        <v>0</v>
      </c>
      <c r="D1801" s="16">
        <v>1549.49</v>
      </c>
      <c r="F1801" s="3" t="str">
        <f t="shared" si="28"/>
        <v>ARGAMASSAS PARA PAREDES INTERNAS E EXTERNAS</v>
      </c>
    </row>
    <row r="1802" spans="1:6" x14ac:dyDescent="0.2">
      <c r="A1802" s="17" t="s">
        <v>8935</v>
      </c>
      <c r="B1802" s="18" t="s">
        <v>8936</v>
      </c>
      <c r="C1802" s="17" t="s">
        <v>255</v>
      </c>
      <c r="D1802" s="19">
        <v>7.42</v>
      </c>
      <c r="F1802" s="3" t="str">
        <f t="shared" si="28"/>
        <v>C0776</v>
      </c>
    </row>
    <row r="1803" spans="1:6" x14ac:dyDescent="0.2">
      <c r="A1803" s="17">
        <v>0</v>
      </c>
      <c r="B1803" s="18"/>
      <c r="C1803" s="17">
        <v>0</v>
      </c>
      <c r="D1803" s="19">
        <v>0</v>
      </c>
      <c r="F1803" s="3">
        <f t="shared" si="28"/>
        <v>0</v>
      </c>
    </row>
    <row r="1804" spans="1:6" x14ac:dyDescent="0.2">
      <c r="A1804" s="17" t="s">
        <v>8937</v>
      </c>
      <c r="B1804" s="18" t="s">
        <v>8938</v>
      </c>
      <c r="C1804" s="17" t="s">
        <v>255</v>
      </c>
      <c r="D1804" s="19">
        <v>11.97</v>
      </c>
      <c r="F1804" s="3" t="str">
        <f t="shared" si="28"/>
        <v>C0777</v>
      </c>
    </row>
    <row r="1805" spans="1:6" x14ac:dyDescent="0.2">
      <c r="A1805" s="17">
        <v>0</v>
      </c>
      <c r="B1805" s="18"/>
      <c r="C1805" s="17">
        <v>0</v>
      </c>
      <c r="D1805" s="19">
        <v>0</v>
      </c>
      <c r="F1805" s="3">
        <f t="shared" si="28"/>
        <v>0</v>
      </c>
    </row>
    <row r="1806" spans="1:6" x14ac:dyDescent="0.2">
      <c r="A1806" s="17" t="s">
        <v>8939</v>
      </c>
      <c r="B1806" s="18" t="s">
        <v>8940</v>
      </c>
      <c r="C1806" s="17" t="s">
        <v>255</v>
      </c>
      <c r="D1806" s="19">
        <v>38.200000000000003</v>
      </c>
      <c r="F1806" s="3" t="str">
        <f t="shared" si="28"/>
        <v>C1220</v>
      </c>
    </row>
    <row r="1807" spans="1:6" x14ac:dyDescent="0.2">
      <c r="A1807" s="17" t="s">
        <v>8941</v>
      </c>
      <c r="B1807" s="18" t="s">
        <v>8942</v>
      </c>
      <c r="C1807" s="17" t="s">
        <v>255</v>
      </c>
      <c r="D1807" s="19">
        <v>36.479999999999997</v>
      </c>
      <c r="F1807" s="3" t="str">
        <f t="shared" si="28"/>
        <v>C1221</v>
      </c>
    </row>
    <row r="1808" spans="1:6" x14ac:dyDescent="0.2">
      <c r="A1808" s="17" t="s">
        <v>8943</v>
      </c>
      <c r="B1808" s="18" t="s">
        <v>8944</v>
      </c>
      <c r="C1808" s="17" t="s">
        <v>255</v>
      </c>
      <c r="D1808" s="19">
        <v>35.44</v>
      </c>
      <c r="F1808" s="3" t="str">
        <f t="shared" si="28"/>
        <v>C1226</v>
      </c>
    </row>
    <row r="1809" spans="1:6" x14ac:dyDescent="0.2">
      <c r="A1809" s="17" t="s">
        <v>8945</v>
      </c>
      <c r="B1809" s="18" t="s">
        <v>8946</v>
      </c>
      <c r="C1809" s="17" t="s">
        <v>255</v>
      </c>
      <c r="D1809" s="19">
        <v>34.75</v>
      </c>
      <c r="F1809" s="3" t="str">
        <f t="shared" si="28"/>
        <v>C3245</v>
      </c>
    </row>
    <row r="1810" spans="1:6" x14ac:dyDescent="0.2">
      <c r="A1810" s="17" t="s">
        <v>8947</v>
      </c>
      <c r="B1810" s="18" t="s">
        <v>8948</v>
      </c>
      <c r="C1810" s="17" t="s">
        <v>255</v>
      </c>
      <c r="D1810" s="19">
        <v>34.25</v>
      </c>
      <c r="F1810" s="3" t="str">
        <f t="shared" si="28"/>
        <v>C3246</v>
      </c>
    </row>
    <row r="1811" spans="1:6" ht="22.5" x14ac:dyDescent="0.2">
      <c r="A1811" s="17" t="s">
        <v>8949</v>
      </c>
      <c r="B1811" s="18" t="s">
        <v>8950</v>
      </c>
      <c r="C1811" s="17" t="s">
        <v>255</v>
      </c>
      <c r="D1811" s="19">
        <v>34.28</v>
      </c>
      <c r="F1811" s="3" t="str">
        <f t="shared" si="28"/>
        <v>C1211</v>
      </c>
    </row>
    <row r="1812" spans="1:6" x14ac:dyDescent="0.2">
      <c r="A1812" s="17">
        <v>0</v>
      </c>
      <c r="B1812" s="18"/>
      <c r="C1812" s="17">
        <v>0</v>
      </c>
      <c r="D1812" s="19">
        <v>0</v>
      </c>
      <c r="F1812" s="3">
        <f t="shared" si="28"/>
        <v>0</v>
      </c>
    </row>
    <row r="1813" spans="1:6" x14ac:dyDescent="0.2">
      <c r="A1813" s="17" t="s">
        <v>8951</v>
      </c>
      <c r="B1813" s="18" t="s">
        <v>8952</v>
      </c>
      <c r="C1813" s="17" t="s">
        <v>255</v>
      </c>
      <c r="D1813" s="19">
        <v>46.49</v>
      </c>
      <c r="F1813" s="3" t="str">
        <f t="shared" si="28"/>
        <v>C3023</v>
      </c>
    </row>
    <row r="1814" spans="1:6" x14ac:dyDescent="0.2">
      <c r="A1814" s="17" t="s">
        <v>8953</v>
      </c>
      <c r="B1814" s="18" t="s">
        <v>8954</v>
      </c>
      <c r="C1814" s="17" t="s">
        <v>255</v>
      </c>
      <c r="D1814" s="19">
        <v>44.77</v>
      </c>
      <c r="F1814" s="3" t="str">
        <f t="shared" si="28"/>
        <v>C3029</v>
      </c>
    </row>
    <row r="1815" spans="1:6" x14ac:dyDescent="0.2">
      <c r="A1815" s="17" t="s">
        <v>8955</v>
      </c>
      <c r="B1815" s="18" t="s">
        <v>8956</v>
      </c>
      <c r="C1815" s="17" t="s">
        <v>255</v>
      </c>
      <c r="D1815" s="19">
        <v>43.73</v>
      </c>
      <c r="F1815" s="3" t="str">
        <f t="shared" si="28"/>
        <v>C3080</v>
      </c>
    </row>
    <row r="1816" spans="1:6" x14ac:dyDescent="0.2">
      <c r="A1816" s="17" t="s">
        <v>8957</v>
      </c>
      <c r="B1816" s="18" t="s">
        <v>8958</v>
      </c>
      <c r="C1816" s="17" t="s">
        <v>255</v>
      </c>
      <c r="D1816" s="19">
        <v>43.04</v>
      </c>
      <c r="F1816" s="3" t="str">
        <f t="shared" si="28"/>
        <v>C3120</v>
      </c>
    </row>
    <row r="1817" spans="1:6" x14ac:dyDescent="0.2">
      <c r="A1817" s="17" t="s">
        <v>8959</v>
      </c>
      <c r="B1817" s="18" t="s">
        <v>8960</v>
      </c>
      <c r="C1817" s="17" t="s">
        <v>255</v>
      </c>
      <c r="D1817" s="19">
        <v>42.54</v>
      </c>
      <c r="F1817" s="3" t="str">
        <f t="shared" si="28"/>
        <v>C3122</v>
      </c>
    </row>
    <row r="1818" spans="1:6" ht="22.5" x14ac:dyDescent="0.2">
      <c r="A1818" s="17" t="s">
        <v>8961</v>
      </c>
      <c r="B1818" s="18" t="s">
        <v>8962</v>
      </c>
      <c r="C1818" s="17" t="s">
        <v>255</v>
      </c>
      <c r="D1818" s="19">
        <v>36.67</v>
      </c>
      <c r="F1818" s="3" t="str">
        <f t="shared" si="28"/>
        <v>C1212</v>
      </c>
    </row>
    <row r="1819" spans="1:6" x14ac:dyDescent="0.2">
      <c r="A1819" s="17">
        <v>0</v>
      </c>
      <c r="B1819" s="18"/>
      <c r="C1819" s="17">
        <v>0</v>
      </c>
      <c r="D1819" s="19">
        <v>0</v>
      </c>
      <c r="F1819" s="3">
        <f t="shared" si="28"/>
        <v>0</v>
      </c>
    </row>
    <row r="1820" spans="1:6" ht="22.5" x14ac:dyDescent="0.2">
      <c r="A1820" s="17" t="s">
        <v>8963</v>
      </c>
      <c r="B1820" s="18" t="s">
        <v>8964</v>
      </c>
      <c r="C1820" s="17" t="s">
        <v>255</v>
      </c>
      <c r="D1820" s="19">
        <v>36.71</v>
      </c>
      <c r="F1820" s="3" t="str">
        <f t="shared" si="28"/>
        <v>C1213</v>
      </c>
    </row>
    <row r="1821" spans="1:6" x14ac:dyDescent="0.2">
      <c r="A1821" s="17">
        <v>0</v>
      </c>
      <c r="B1821" s="18"/>
      <c r="C1821" s="17">
        <v>0</v>
      </c>
      <c r="D1821" s="19">
        <v>0</v>
      </c>
      <c r="F1821" s="3">
        <f t="shared" si="28"/>
        <v>0</v>
      </c>
    </row>
    <row r="1822" spans="1:6" x14ac:dyDescent="0.2">
      <c r="A1822" s="17" t="s">
        <v>8965</v>
      </c>
      <c r="B1822" s="18" t="s">
        <v>8966</v>
      </c>
      <c r="C1822" s="17" t="s">
        <v>0</v>
      </c>
      <c r="D1822" s="19">
        <v>5.52</v>
      </c>
      <c r="F1822" s="3" t="str">
        <f t="shared" si="28"/>
        <v>C1238</v>
      </c>
    </row>
    <row r="1823" spans="1:6" x14ac:dyDescent="0.2">
      <c r="A1823" s="17" t="s">
        <v>8967</v>
      </c>
      <c r="B1823" s="18" t="s">
        <v>8968</v>
      </c>
      <c r="C1823" s="17" t="s">
        <v>0</v>
      </c>
      <c r="D1823" s="19">
        <v>7.76</v>
      </c>
      <c r="F1823" s="3" t="str">
        <f t="shared" si="28"/>
        <v>C1239</v>
      </c>
    </row>
    <row r="1824" spans="1:6" x14ac:dyDescent="0.2">
      <c r="A1824" s="17" t="s">
        <v>8969</v>
      </c>
      <c r="B1824" s="18" t="s">
        <v>8970</v>
      </c>
      <c r="C1824" s="17" t="s">
        <v>0</v>
      </c>
      <c r="D1824" s="19">
        <v>12.31</v>
      </c>
      <c r="F1824" s="3" t="str">
        <f t="shared" si="28"/>
        <v>C1240</v>
      </c>
    </row>
    <row r="1825" spans="1:6" ht="22.5" x14ac:dyDescent="0.2">
      <c r="A1825" s="17" t="s">
        <v>8971</v>
      </c>
      <c r="B1825" s="18" t="s">
        <v>8972</v>
      </c>
      <c r="C1825" s="17" t="s">
        <v>0</v>
      </c>
      <c r="D1825" s="19">
        <v>20.11</v>
      </c>
      <c r="F1825" s="3" t="str">
        <f t="shared" si="28"/>
        <v>C1245</v>
      </c>
    </row>
    <row r="1826" spans="1:6" x14ac:dyDescent="0.2">
      <c r="A1826" s="17">
        <v>0</v>
      </c>
      <c r="B1826" s="18"/>
      <c r="C1826" s="17">
        <v>0</v>
      </c>
      <c r="D1826" s="19">
        <v>0</v>
      </c>
      <c r="F1826" s="3">
        <f t="shared" si="28"/>
        <v>0</v>
      </c>
    </row>
    <row r="1827" spans="1:6" ht="22.5" x14ac:dyDescent="0.2">
      <c r="A1827" s="17" t="s">
        <v>8973</v>
      </c>
      <c r="B1827" s="18" t="s">
        <v>8974</v>
      </c>
      <c r="C1827" s="17" t="s">
        <v>0</v>
      </c>
      <c r="D1827" s="19">
        <v>6.37</v>
      </c>
      <c r="F1827" s="3" t="str">
        <f t="shared" si="28"/>
        <v>C1247</v>
      </c>
    </row>
    <row r="1828" spans="1:6" x14ac:dyDescent="0.2">
      <c r="A1828" s="17">
        <v>0</v>
      </c>
      <c r="B1828" s="18"/>
      <c r="C1828" s="17">
        <v>0</v>
      </c>
      <c r="D1828" s="19">
        <v>0</v>
      </c>
      <c r="F1828" s="3">
        <f t="shared" si="28"/>
        <v>0</v>
      </c>
    </row>
    <row r="1829" spans="1:6" ht="22.5" x14ac:dyDescent="0.2">
      <c r="A1829" s="17" t="s">
        <v>8975</v>
      </c>
      <c r="B1829" s="18" t="s">
        <v>8976</v>
      </c>
      <c r="C1829" s="17" t="s">
        <v>255</v>
      </c>
      <c r="D1829" s="19">
        <v>7.24</v>
      </c>
      <c r="F1829" s="3" t="str">
        <f t="shared" si="28"/>
        <v>C3545</v>
      </c>
    </row>
    <row r="1830" spans="1:6" x14ac:dyDescent="0.2">
      <c r="A1830" s="17">
        <v>0</v>
      </c>
      <c r="B1830" s="18"/>
      <c r="C1830" s="17">
        <v>0</v>
      </c>
      <c r="D1830" s="19">
        <v>0</v>
      </c>
      <c r="F1830" s="3">
        <f t="shared" si="28"/>
        <v>0</v>
      </c>
    </row>
    <row r="1831" spans="1:6" x14ac:dyDescent="0.2">
      <c r="A1831" s="17" t="s">
        <v>8977</v>
      </c>
      <c r="B1831" s="18" t="s">
        <v>8978</v>
      </c>
      <c r="C1831" s="17" t="s">
        <v>255</v>
      </c>
      <c r="D1831" s="19">
        <v>15.81</v>
      </c>
      <c r="F1831" s="3" t="str">
        <f t="shared" si="28"/>
        <v>C3546</v>
      </c>
    </row>
    <row r="1832" spans="1:6" x14ac:dyDescent="0.2">
      <c r="A1832" s="17" t="s">
        <v>8979</v>
      </c>
      <c r="B1832" s="18" t="s">
        <v>8980</v>
      </c>
      <c r="C1832" s="17" t="s">
        <v>255</v>
      </c>
      <c r="D1832" s="19">
        <v>124.79</v>
      </c>
      <c r="F1832" s="3" t="str">
        <f t="shared" si="28"/>
        <v>C4831</v>
      </c>
    </row>
    <row r="1833" spans="1:6" ht="22.5" x14ac:dyDescent="0.2">
      <c r="A1833" s="17" t="s">
        <v>8981</v>
      </c>
      <c r="B1833" s="18" t="s">
        <v>8982</v>
      </c>
      <c r="C1833" s="17" t="s">
        <v>255</v>
      </c>
      <c r="D1833" s="19">
        <v>41.65</v>
      </c>
      <c r="F1833" s="3" t="str">
        <f t="shared" si="28"/>
        <v>C2110</v>
      </c>
    </row>
    <row r="1834" spans="1:6" x14ac:dyDescent="0.2">
      <c r="A1834" s="17">
        <v>0</v>
      </c>
      <c r="B1834" s="18"/>
      <c r="C1834" s="17">
        <v>0</v>
      </c>
      <c r="D1834" s="19">
        <v>0</v>
      </c>
      <c r="F1834" s="3">
        <f t="shared" si="28"/>
        <v>0</v>
      </c>
    </row>
    <row r="1835" spans="1:6" x14ac:dyDescent="0.2">
      <c r="A1835" s="17" t="s">
        <v>8983</v>
      </c>
      <c r="B1835" s="18" t="s">
        <v>8984</v>
      </c>
      <c r="C1835" s="17" t="s">
        <v>255</v>
      </c>
      <c r="D1835" s="19">
        <v>26.12</v>
      </c>
      <c r="F1835" s="3" t="str">
        <f t="shared" si="28"/>
        <v>C2121</v>
      </c>
    </row>
    <row r="1836" spans="1:6" x14ac:dyDescent="0.2">
      <c r="A1836" s="17">
        <v>0</v>
      </c>
      <c r="B1836" s="18"/>
      <c r="C1836" s="17">
        <v>0</v>
      </c>
      <c r="D1836" s="19">
        <v>0</v>
      </c>
      <c r="F1836" s="3">
        <f t="shared" si="28"/>
        <v>0</v>
      </c>
    </row>
    <row r="1837" spans="1:6" x14ac:dyDescent="0.2">
      <c r="A1837" s="17" t="s">
        <v>8985</v>
      </c>
      <c r="B1837" s="18" t="s">
        <v>8986</v>
      </c>
      <c r="C1837" s="17" t="s">
        <v>255</v>
      </c>
      <c r="D1837" s="19">
        <v>25.69</v>
      </c>
      <c r="F1837" s="3" t="str">
        <f t="shared" si="28"/>
        <v>C2122</v>
      </c>
    </row>
    <row r="1838" spans="1:6" x14ac:dyDescent="0.2">
      <c r="A1838" s="17">
        <v>0</v>
      </c>
      <c r="B1838" s="18"/>
      <c r="C1838" s="17">
        <v>0</v>
      </c>
      <c r="D1838" s="19">
        <v>0</v>
      </c>
      <c r="F1838" s="3">
        <f t="shared" si="28"/>
        <v>0</v>
      </c>
    </row>
    <row r="1839" spans="1:6" x14ac:dyDescent="0.2">
      <c r="A1839" s="17" t="s">
        <v>8987</v>
      </c>
      <c r="B1839" s="18" t="s">
        <v>8988</v>
      </c>
      <c r="C1839" s="17" t="s">
        <v>255</v>
      </c>
      <c r="D1839" s="19">
        <v>25.76</v>
      </c>
      <c r="F1839" s="3" t="str">
        <f t="shared" si="28"/>
        <v>C2123</v>
      </c>
    </row>
    <row r="1840" spans="1:6" x14ac:dyDescent="0.2">
      <c r="A1840" s="17">
        <v>0</v>
      </c>
      <c r="B1840" s="18"/>
      <c r="C1840" s="17">
        <v>0</v>
      </c>
      <c r="D1840" s="19">
        <v>0</v>
      </c>
      <c r="F1840" s="3">
        <f t="shared" si="28"/>
        <v>0</v>
      </c>
    </row>
    <row r="1841" spans="1:6" x14ac:dyDescent="0.2">
      <c r="A1841" s="17" t="s">
        <v>8989</v>
      </c>
      <c r="B1841" s="18" t="s">
        <v>8990</v>
      </c>
      <c r="C1841" s="17" t="s">
        <v>255</v>
      </c>
      <c r="D1841" s="19">
        <v>41.35</v>
      </c>
      <c r="F1841" s="3" t="str">
        <f t="shared" si="28"/>
        <v>C3408</v>
      </c>
    </row>
    <row r="1842" spans="1:6" x14ac:dyDescent="0.2">
      <c r="A1842" s="17" t="s">
        <v>8991</v>
      </c>
      <c r="B1842" s="18" t="s">
        <v>8992</v>
      </c>
      <c r="C1842" s="17" t="s">
        <v>255</v>
      </c>
      <c r="D1842" s="19">
        <v>39.21</v>
      </c>
      <c r="F1842" s="3" t="str">
        <f t="shared" si="28"/>
        <v>C3409</v>
      </c>
    </row>
    <row r="1843" spans="1:6" x14ac:dyDescent="0.2">
      <c r="A1843" s="17" t="s">
        <v>8993</v>
      </c>
      <c r="B1843" s="18" t="s">
        <v>8994</v>
      </c>
      <c r="C1843" s="17" t="s">
        <v>255</v>
      </c>
      <c r="D1843" s="19">
        <v>37.909999999999997</v>
      </c>
      <c r="F1843" s="3" t="str">
        <f t="shared" si="28"/>
        <v>C3124</v>
      </c>
    </row>
    <row r="1844" spans="1:6" x14ac:dyDescent="0.2">
      <c r="A1844" s="17" t="s">
        <v>8995</v>
      </c>
      <c r="B1844" s="18" t="s">
        <v>8996</v>
      </c>
      <c r="C1844" s="17" t="s">
        <v>255</v>
      </c>
      <c r="D1844" s="19">
        <v>37.04</v>
      </c>
      <c r="F1844" s="3" t="str">
        <f t="shared" si="28"/>
        <v>C3407</v>
      </c>
    </row>
    <row r="1845" spans="1:6" x14ac:dyDescent="0.2">
      <c r="A1845" s="17" t="s">
        <v>8997</v>
      </c>
      <c r="B1845" s="18" t="s">
        <v>8998</v>
      </c>
      <c r="C1845" s="17" t="s">
        <v>255</v>
      </c>
      <c r="D1845" s="19">
        <v>36.42</v>
      </c>
      <c r="F1845" s="3" t="str">
        <f t="shared" si="28"/>
        <v>C3162</v>
      </c>
    </row>
    <row r="1846" spans="1:6" x14ac:dyDescent="0.2">
      <c r="A1846" s="17" t="s">
        <v>8999</v>
      </c>
      <c r="B1846" s="18" t="s">
        <v>9000</v>
      </c>
      <c r="C1846" s="17" t="s">
        <v>255</v>
      </c>
      <c r="D1846" s="19">
        <v>51.72</v>
      </c>
      <c r="F1846" s="3" t="str">
        <f t="shared" si="28"/>
        <v>C3028</v>
      </c>
    </row>
    <row r="1847" spans="1:6" x14ac:dyDescent="0.2">
      <c r="A1847" s="17" t="s">
        <v>9001</v>
      </c>
      <c r="B1847" s="18" t="s">
        <v>9002</v>
      </c>
      <c r="C1847" s="17" t="s">
        <v>255</v>
      </c>
      <c r="D1847" s="19">
        <v>49.57</v>
      </c>
      <c r="F1847" s="3" t="str">
        <f t="shared" si="28"/>
        <v>C3037</v>
      </c>
    </row>
    <row r="1848" spans="1:6" x14ac:dyDescent="0.2">
      <c r="A1848" s="17" t="s">
        <v>9003</v>
      </c>
      <c r="B1848" s="18" t="s">
        <v>9004</v>
      </c>
      <c r="C1848" s="17" t="s">
        <v>255</v>
      </c>
      <c r="D1848" s="19">
        <v>48.27</v>
      </c>
      <c r="F1848" s="3" t="str">
        <f t="shared" si="28"/>
        <v>C3087</v>
      </c>
    </row>
    <row r="1849" spans="1:6" x14ac:dyDescent="0.2">
      <c r="A1849" s="17" t="s">
        <v>9005</v>
      </c>
      <c r="B1849" s="18" t="s">
        <v>9006</v>
      </c>
      <c r="C1849" s="17" t="s">
        <v>255</v>
      </c>
      <c r="D1849" s="19">
        <v>47.4</v>
      </c>
      <c r="F1849" s="3" t="str">
        <f t="shared" si="28"/>
        <v>C3121</v>
      </c>
    </row>
    <row r="1850" spans="1:6" x14ac:dyDescent="0.2">
      <c r="A1850" s="17" t="s">
        <v>9007</v>
      </c>
      <c r="B1850" s="18" t="s">
        <v>9008</v>
      </c>
      <c r="C1850" s="17" t="s">
        <v>255</v>
      </c>
      <c r="D1850" s="19">
        <v>46.78</v>
      </c>
      <c r="F1850" s="3" t="str">
        <f t="shared" si="28"/>
        <v>C3123</v>
      </c>
    </row>
    <row r="1851" spans="1:6" x14ac:dyDescent="0.2">
      <c r="A1851" s="17" t="s">
        <v>9009</v>
      </c>
      <c r="B1851" s="18" t="s">
        <v>9010</v>
      </c>
      <c r="C1851" s="17" t="s">
        <v>255</v>
      </c>
      <c r="D1851" s="19">
        <v>30.49</v>
      </c>
      <c r="F1851" s="3" t="str">
        <f t="shared" si="28"/>
        <v>C2126</v>
      </c>
    </row>
    <row r="1852" spans="1:6" x14ac:dyDescent="0.2">
      <c r="A1852" s="17" t="s">
        <v>9011</v>
      </c>
      <c r="B1852" s="18" t="s">
        <v>9012</v>
      </c>
      <c r="C1852" s="17" t="s">
        <v>255</v>
      </c>
      <c r="D1852" s="19">
        <v>60.09</v>
      </c>
      <c r="F1852" s="3" t="str">
        <f t="shared" si="28"/>
        <v>C4002</v>
      </c>
    </row>
    <row r="1853" spans="1:6" ht="22.5" x14ac:dyDescent="0.2">
      <c r="A1853" s="17" t="s">
        <v>9013</v>
      </c>
      <c r="B1853" s="18" t="s">
        <v>9014</v>
      </c>
      <c r="C1853" s="17" t="s">
        <v>255</v>
      </c>
      <c r="D1853" s="19">
        <v>35.369999999999997</v>
      </c>
      <c r="F1853" s="3" t="str">
        <f t="shared" si="28"/>
        <v>C2108</v>
      </c>
    </row>
    <row r="1854" spans="1:6" x14ac:dyDescent="0.2">
      <c r="A1854" s="17">
        <v>0</v>
      </c>
      <c r="B1854" s="18"/>
      <c r="C1854" s="17">
        <v>0</v>
      </c>
      <c r="D1854" s="19">
        <v>0</v>
      </c>
      <c r="F1854" s="3">
        <f t="shared" si="28"/>
        <v>0</v>
      </c>
    </row>
    <row r="1855" spans="1:6" x14ac:dyDescent="0.2">
      <c r="A1855" s="17" t="s">
        <v>9015</v>
      </c>
      <c r="B1855" s="18" t="s">
        <v>9016</v>
      </c>
      <c r="C1855" s="17" t="s">
        <v>255</v>
      </c>
      <c r="D1855" s="19">
        <v>103.14</v>
      </c>
      <c r="F1855" s="3" t="str">
        <f t="shared" si="28"/>
        <v>C2127</v>
      </c>
    </row>
    <row r="1856" spans="1:6" ht="22.5" x14ac:dyDescent="0.2">
      <c r="A1856" s="17" t="s">
        <v>9017</v>
      </c>
      <c r="B1856" s="18" t="s">
        <v>9018</v>
      </c>
      <c r="C1856" s="17" t="s">
        <v>255</v>
      </c>
      <c r="D1856" s="19">
        <v>21.69</v>
      </c>
      <c r="F1856" s="3" t="str">
        <f t="shared" si="28"/>
        <v>C4510</v>
      </c>
    </row>
    <row r="1857" spans="1:6" x14ac:dyDescent="0.2">
      <c r="A1857" s="17">
        <v>0</v>
      </c>
      <c r="B1857" s="18"/>
      <c r="C1857" s="17">
        <v>0</v>
      </c>
      <c r="D1857" s="19">
        <v>0</v>
      </c>
      <c r="F1857" s="3">
        <f t="shared" si="28"/>
        <v>0</v>
      </c>
    </row>
    <row r="1858" spans="1:6" x14ac:dyDescent="0.2">
      <c r="A1858" s="17" t="s">
        <v>9019</v>
      </c>
      <c r="B1858" s="18" t="s">
        <v>9020</v>
      </c>
      <c r="C1858" s="17" t="s">
        <v>255</v>
      </c>
      <c r="D1858" s="19">
        <v>16.89</v>
      </c>
      <c r="F1858" s="3" t="str">
        <f t="shared" ref="F1858:F1921" si="29">A1858</f>
        <v>C4509</v>
      </c>
    </row>
    <row r="1859" spans="1:6" x14ac:dyDescent="0.2">
      <c r="A1859" s="17" t="s">
        <v>9021</v>
      </c>
      <c r="B1859" s="18" t="s">
        <v>9022</v>
      </c>
      <c r="C1859" s="17" t="s">
        <v>255</v>
      </c>
      <c r="D1859" s="19">
        <v>0.28000000000000003</v>
      </c>
      <c r="F1859" s="3" t="str">
        <f t="shared" si="29"/>
        <v>C2205</v>
      </c>
    </row>
    <row r="1860" spans="1:6" x14ac:dyDescent="0.2">
      <c r="A1860" s="14" t="s">
        <v>9023</v>
      </c>
      <c r="B1860" s="15"/>
      <c r="C1860" s="14">
        <v>0</v>
      </c>
      <c r="D1860" s="16">
        <v>7151.46</v>
      </c>
      <c r="F1860" s="3" t="str">
        <f t="shared" si="29"/>
        <v>ACABAMENTOS DE PAREDES INTERNAS E EXTERNAS</v>
      </c>
    </row>
    <row r="1861" spans="1:6" x14ac:dyDescent="0.2">
      <c r="A1861" s="17" t="s">
        <v>9024</v>
      </c>
      <c r="B1861" s="18" t="s">
        <v>9025</v>
      </c>
      <c r="C1861" s="17" t="s">
        <v>255</v>
      </c>
      <c r="D1861" s="19">
        <v>14.73</v>
      </c>
      <c r="F1861" s="3" t="str">
        <f t="shared" si="29"/>
        <v>C0007</v>
      </c>
    </row>
    <row r="1862" spans="1:6" x14ac:dyDescent="0.2">
      <c r="A1862" s="17">
        <v>0</v>
      </c>
      <c r="B1862" s="18"/>
      <c r="C1862" s="17">
        <v>0</v>
      </c>
      <c r="D1862" s="19">
        <v>0</v>
      </c>
      <c r="F1862" s="3">
        <f t="shared" si="29"/>
        <v>0</v>
      </c>
    </row>
    <row r="1863" spans="1:6" ht="22.5" x14ac:dyDescent="0.2">
      <c r="A1863" s="17" t="s">
        <v>9026</v>
      </c>
      <c r="B1863" s="18" t="s">
        <v>9027</v>
      </c>
      <c r="C1863" s="17" t="s">
        <v>255</v>
      </c>
      <c r="D1863" s="19">
        <v>131.04</v>
      </c>
      <c r="F1863" s="3" t="str">
        <f t="shared" si="29"/>
        <v>C0334</v>
      </c>
    </row>
    <row r="1864" spans="1:6" x14ac:dyDescent="0.2">
      <c r="A1864" s="17">
        <v>0</v>
      </c>
      <c r="B1864" s="18"/>
      <c r="C1864" s="17">
        <v>0</v>
      </c>
      <c r="D1864" s="19">
        <v>0</v>
      </c>
      <c r="F1864" s="3">
        <f t="shared" si="29"/>
        <v>0</v>
      </c>
    </row>
    <row r="1865" spans="1:6" ht="22.5" x14ac:dyDescent="0.2">
      <c r="A1865" s="17" t="s">
        <v>9028</v>
      </c>
      <c r="B1865" s="18" t="s">
        <v>9029</v>
      </c>
      <c r="C1865" s="17" t="s">
        <v>255</v>
      </c>
      <c r="D1865" s="19">
        <v>130.12</v>
      </c>
      <c r="F1865" s="3" t="str">
        <f t="shared" si="29"/>
        <v>C0335</v>
      </c>
    </row>
    <row r="1866" spans="1:6" x14ac:dyDescent="0.2">
      <c r="A1866" s="17">
        <v>0</v>
      </c>
      <c r="B1866" s="18"/>
      <c r="C1866" s="17">
        <v>0</v>
      </c>
      <c r="D1866" s="19">
        <v>0</v>
      </c>
      <c r="F1866" s="3">
        <f t="shared" si="29"/>
        <v>0</v>
      </c>
    </row>
    <row r="1867" spans="1:6" x14ac:dyDescent="0.2">
      <c r="A1867" s="17" t="s">
        <v>9030</v>
      </c>
      <c r="B1867" s="18" t="s">
        <v>9031</v>
      </c>
      <c r="C1867" s="17" t="s">
        <v>255</v>
      </c>
      <c r="D1867" s="19">
        <v>65.819999999999993</v>
      </c>
      <c r="F1867" s="3" t="str">
        <f t="shared" si="29"/>
        <v>C0336</v>
      </c>
    </row>
    <row r="1868" spans="1:6" x14ac:dyDescent="0.2">
      <c r="A1868" s="17" t="s">
        <v>9032</v>
      </c>
      <c r="B1868" s="18" t="s">
        <v>9033</v>
      </c>
      <c r="C1868" s="17" t="s">
        <v>255</v>
      </c>
      <c r="D1868" s="19">
        <v>78.459999999999994</v>
      </c>
      <c r="F1868" s="3" t="str">
        <f t="shared" si="29"/>
        <v>C0337</v>
      </c>
    </row>
    <row r="1869" spans="1:6" ht="22.5" x14ac:dyDescent="0.2">
      <c r="A1869" s="17" t="s">
        <v>9034</v>
      </c>
      <c r="B1869" s="18" t="s">
        <v>9035</v>
      </c>
      <c r="C1869" s="17" t="s">
        <v>255</v>
      </c>
      <c r="D1869" s="19">
        <v>121.38</v>
      </c>
      <c r="F1869" s="3" t="str">
        <f t="shared" si="29"/>
        <v>C0338</v>
      </c>
    </row>
    <row r="1870" spans="1:6" x14ac:dyDescent="0.2">
      <c r="A1870" s="17">
        <v>0</v>
      </c>
      <c r="B1870" s="18"/>
      <c r="C1870" s="17">
        <v>0</v>
      </c>
      <c r="D1870" s="19">
        <v>0</v>
      </c>
      <c r="F1870" s="3">
        <f t="shared" si="29"/>
        <v>0</v>
      </c>
    </row>
    <row r="1871" spans="1:6" ht="22.5" x14ac:dyDescent="0.2">
      <c r="A1871" s="17" t="s">
        <v>9036</v>
      </c>
      <c r="B1871" s="18" t="s">
        <v>9037</v>
      </c>
      <c r="C1871" s="17" t="s">
        <v>255</v>
      </c>
      <c r="D1871" s="19">
        <v>120.19</v>
      </c>
      <c r="F1871" s="3" t="str">
        <f t="shared" si="29"/>
        <v>C0339</v>
      </c>
    </row>
    <row r="1872" spans="1:6" x14ac:dyDescent="0.2">
      <c r="A1872" s="17">
        <v>0</v>
      </c>
      <c r="B1872" s="18"/>
      <c r="C1872" s="17">
        <v>0</v>
      </c>
      <c r="D1872" s="19">
        <v>0</v>
      </c>
      <c r="F1872" s="3">
        <f t="shared" si="29"/>
        <v>0</v>
      </c>
    </row>
    <row r="1873" spans="1:6" x14ac:dyDescent="0.2">
      <c r="A1873" s="17" t="s">
        <v>9038</v>
      </c>
      <c r="B1873" s="18" t="s">
        <v>9039</v>
      </c>
      <c r="C1873" s="17" t="s">
        <v>255</v>
      </c>
      <c r="D1873" s="19">
        <v>63.65</v>
      </c>
      <c r="F1873" s="3" t="str">
        <f t="shared" si="29"/>
        <v>C0340</v>
      </c>
    </row>
    <row r="1874" spans="1:6" x14ac:dyDescent="0.2">
      <c r="A1874" s="17" t="s">
        <v>9040</v>
      </c>
      <c r="B1874" s="18" t="s">
        <v>9041</v>
      </c>
      <c r="C1874" s="17" t="s">
        <v>255</v>
      </c>
      <c r="D1874" s="19">
        <v>76.05</v>
      </c>
      <c r="F1874" s="3" t="str">
        <f t="shared" si="29"/>
        <v>C0341</v>
      </c>
    </row>
    <row r="1875" spans="1:6" ht="22.5" x14ac:dyDescent="0.2">
      <c r="A1875" s="17" t="s">
        <v>9042</v>
      </c>
      <c r="B1875" s="18" t="s">
        <v>9043</v>
      </c>
      <c r="C1875" s="17" t="s">
        <v>255</v>
      </c>
      <c r="D1875" s="19">
        <v>154.02000000000001</v>
      </c>
      <c r="F1875" s="3" t="str">
        <f t="shared" si="29"/>
        <v>C0342</v>
      </c>
    </row>
    <row r="1876" spans="1:6" x14ac:dyDescent="0.2">
      <c r="A1876" s="17">
        <v>0</v>
      </c>
      <c r="B1876" s="18"/>
      <c r="C1876" s="17">
        <v>0</v>
      </c>
      <c r="D1876" s="19">
        <v>0</v>
      </c>
      <c r="F1876" s="3">
        <f t="shared" si="29"/>
        <v>0</v>
      </c>
    </row>
    <row r="1877" spans="1:6" ht="22.5" x14ac:dyDescent="0.2">
      <c r="A1877" s="17" t="s">
        <v>9044</v>
      </c>
      <c r="B1877" s="18" t="s">
        <v>9045</v>
      </c>
      <c r="C1877" s="17" t="s">
        <v>255</v>
      </c>
      <c r="D1877" s="19">
        <v>155.19999999999999</v>
      </c>
      <c r="F1877" s="3" t="str">
        <f t="shared" si="29"/>
        <v>C0343</v>
      </c>
    </row>
    <row r="1878" spans="1:6" x14ac:dyDescent="0.2">
      <c r="A1878" s="17">
        <v>0</v>
      </c>
      <c r="B1878" s="18"/>
      <c r="C1878" s="17">
        <v>0</v>
      </c>
      <c r="D1878" s="19">
        <v>0</v>
      </c>
      <c r="F1878" s="3">
        <f t="shared" si="29"/>
        <v>0</v>
      </c>
    </row>
    <row r="1879" spans="1:6" x14ac:dyDescent="0.2">
      <c r="A1879" s="17" t="s">
        <v>9046</v>
      </c>
      <c r="B1879" s="18" t="s">
        <v>9047</v>
      </c>
      <c r="C1879" s="17" t="s">
        <v>255</v>
      </c>
      <c r="D1879" s="19">
        <v>70.17</v>
      </c>
      <c r="F1879" s="3" t="str">
        <f t="shared" si="29"/>
        <v>C0344</v>
      </c>
    </row>
    <row r="1880" spans="1:6" x14ac:dyDescent="0.2">
      <c r="A1880" s="17" t="s">
        <v>9048</v>
      </c>
      <c r="B1880" s="18" t="s">
        <v>9049</v>
      </c>
      <c r="C1880" s="17" t="s">
        <v>255</v>
      </c>
      <c r="D1880" s="19">
        <v>84.5</v>
      </c>
      <c r="F1880" s="3" t="str">
        <f t="shared" si="29"/>
        <v>C0345</v>
      </c>
    </row>
    <row r="1881" spans="1:6" x14ac:dyDescent="0.2">
      <c r="A1881" s="17" t="s">
        <v>9050</v>
      </c>
      <c r="B1881" s="18" t="s">
        <v>9051</v>
      </c>
      <c r="C1881" s="17" t="s">
        <v>0</v>
      </c>
      <c r="D1881" s="19">
        <v>26.69</v>
      </c>
      <c r="F1881" s="3" t="str">
        <f t="shared" si="29"/>
        <v>C0674</v>
      </c>
    </row>
    <row r="1882" spans="1:6" x14ac:dyDescent="0.2">
      <c r="A1882" s="17" t="s">
        <v>9052</v>
      </c>
      <c r="B1882" s="18" t="s">
        <v>9053</v>
      </c>
      <c r="C1882" s="17" t="s">
        <v>0</v>
      </c>
      <c r="D1882" s="19">
        <v>38.99</v>
      </c>
      <c r="F1882" s="3" t="str">
        <f t="shared" si="29"/>
        <v>C4832</v>
      </c>
    </row>
    <row r="1883" spans="1:6" x14ac:dyDescent="0.2">
      <c r="A1883" s="17" t="s">
        <v>9054</v>
      </c>
      <c r="B1883" s="18" t="s">
        <v>9055</v>
      </c>
      <c r="C1883" s="17" t="s">
        <v>255</v>
      </c>
      <c r="D1883" s="19">
        <v>124.6</v>
      </c>
      <c r="F1883" s="3" t="str">
        <f t="shared" si="29"/>
        <v>C4431</v>
      </c>
    </row>
    <row r="1884" spans="1:6" x14ac:dyDescent="0.2">
      <c r="A1884" s="17">
        <v>0</v>
      </c>
      <c r="B1884" s="18"/>
      <c r="C1884" s="17">
        <v>0</v>
      </c>
      <c r="D1884" s="19">
        <v>0</v>
      </c>
      <c r="F1884" s="3">
        <f t="shared" si="29"/>
        <v>0</v>
      </c>
    </row>
    <row r="1885" spans="1:6" ht="22.5" x14ac:dyDescent="0.2">
      <c r="A1885" s="17" t="s">
        <v>9056</v>
      </c>
      <c r="B1885" s="18" t="s">
        <v>9057</v>
      </c>
      <c r="C1885" s="17" t="s">
        <v>255</v>
      </c>
      <c r="D1885" s="19">
        <v>106.37</v>
      </c>
      <c r="F1885" s="3" t="str">
        <f t="shared" si="29"/>
        <v>C4432</v>
      </c>
    </row>
    <row r="1886" spans="1:6" x14ac:dyDescent="0.2">
      <c r="A1886" s="17">
        <v>0</v>
      </c>
      <c r="B1886" s="18"/>
      <c r="C1886" s="17">
        <v>0</v>
      </c>
      <c r="D1886" s="19">
        <v>0</v>
      </c>
      <c r="F1886" s="3">
        <f t="shared" si="29"/>
        <v>0</v>
      </c>
    </row>
    <row r="1887" spans="1:6" ht="22.5" x14ac:dyDescent="0.2">
      <c r="A1887" s="17" t="s">
        <v>9058</v>
      </c>
      <c r="B1887" s="18" t="s">
        <v>9059</v>
      </c>
      <c r="C1887" s="17" t="s">
        <v>255</v>
      </c>
      <c r="D1887" s="19">
        <v>136.02000000000001</v>
      </c>
      <c r="F1887" s="3" t="str">
        <f t="shared" si="29"/>
        <v>C4434</v>
      </c>
    </row>
    <row r="1888" spans="1:6" x14ac:dyDescent="0.2">
      <c r="A1888" s="17">
        <v>0</v>
      </c>
      <c r="B1888" s="18"/>
      <c r="C1888" s="17">
        <v>0</v>
      </c>
      <c r="D1888" s="19">
        <v>0</v>
      </c>
      <c r="F1888" s="3">
        <f t="shared" si="29"/>
        <v>0</v>
      </c>
    </row>
    <row r="1889" spans="1:6" x14ac:dyDescent="0.2">
      <c r="A1889" s="17" t="s">
        <v>9060</v>
      </c>
      <c r="B1889" s="18" t="s">
        <v>9061</v>
      </c>
      <c r="C1889" s="17" t="s">
        <v>255</v>
      </c>
      <c r="D1889" s="19">
        <v>87.14</v>
      </c>
      <c r="F1889" s="3" t="str">
        <f t="shared" si="29"/>
        <v>C4442</v>
      </c>
    </row>
    <row r="1890" spans="1:6" x14ac:dyDescent="0.2">
      <c r="A1890" s="17">
        <v>0</v>
      </c>
      <c r="B1890" s="18"/>
      <c r="C1890" s="17">
        <v>0</v>
      </c>
      <c r="D1890" s="19">
        <v>0</v>
      </c>
      <c r="F1890" s="3">
        <f t="shared" si="29"/>
        <v>0</v>
      </c>
    </row>
    <row r="1891" spans="1:6" ht="22.5" x14ac:dyDescent="0.2">
      <c r="A1891" s="17" t="s">
        <v>9062</v>
      </c>
      <c r="B1891" s="18" t="s">
        <v>9063</v>
      </c>
      <c r="C1891" s="17" t="s">
        <v>255</v>
      </c>
      <c r="D1891" s="19">
        <v>73.75</v>
      </c>
      <c r="F1891" s="3" t="str">
        <f t="shared" si="29"/>
        <v>C4443</v>
      </c>
    </row>
    <row r="1892" spans="1:6" x14ac:dyDescent="0.2">
      <c r="A1892" s="17">
        <v>0</v>
      </c>
      <c r="B1892" s="18"/>
      <c r="C1892" s="17">
        <v>0</v>
      </c>
      <c r="D1892" s="19">
        <v>0</v>
      </c>
      <c r="F1892" s="3">
        <f t="shared" si="29"/>
        <v>0</v>
      </c>
    </row>
    <row r="1893" spans="1:6" ht="22.5" x14ac:dyDescent="0.2">
      <c r="A1893" s="20" t="s">
        <v>9064</v>
      </c>
      <c r="B1893" s="21" t="s">
        <v>9065</v>
      </c>
      <c r="C1893" s="20" t="s">
        <v>255</v>
      </c>
      <c r="D1893" s="22">
        <v>108.24</v>
      </c>
      <c r="F1893" s="3" t="str">
        <f t="shared" si="29"/>
        <v>C4445</v>
      </c>
    </row>
    <row r="1894" spans="1:6" x14ac:dyDescent="0.2">
      <c r="A1894" s="17">
        <v>0</v>
      </c>
      <c r="B1894" s="18"/>
      <c r="C1894" s="17">
        <v>0</v>
      </c>
      <c r="D1894" s="19">
        <v>0</v>
      </c>
      <c r="F1894" s="3">
        <f t="shared" si="29"/>
        <v>0</v>
      </c>
    </row>
    <row r="1895" spans="1:6" x14ac:dyDescent="0.2">
      <c r="A1895" s="17" t="s">
        <v>9066</v>
      </c>
      <c r="B1895" s="18" t="s">
        <v>9067</v>
      </c>
      <c r="C1895" s="17" t="s">
        <v>255</v>
      </c>
      <c r="D1895" s="19">
        <v>94.96</v>
      </c>
      <c r="F1895" s="3" t="str">
        <f t="shared" si="29"/>
        <v>C0766</v>
      </c>
    </row>
    <row r="1896" spans="1:6" x14ac:dyDescent="0.2">
      <c r="A1896" s="17">
        <v>0</v>
      </c>
      <c r="B1896" s="18"/>
      <c r="C1896" s="17">
        <v>0</v>
      </c>
      <c r="D1896" s="19">
        <v>0</v>
      </c>
      <c r="F1896" s="3">
        <f t="shared" si="29"/>
        <v>0</v>
      </c>
    </row>
    <row r="1897" spans="1:6" x14ac:dyDescent="0.2">
      <c r="A1897" s="17" t="s">
        <v>9068</v>
      </c>
      <c r="B1897" s="18" t="s">
        <v>9069</v>
      </c>
      <c r="C1897" s="17" t="s">
        <v>255</v>
      </c>
      <c r="D1897" s="19">
        <v>20.52</v>
      </c>
      <c r="F1897" s="3" t="str">
        <f t="shared" si="29"/>
        <v>C0782</v>
      </c>
    </row>
    <row r="1898" spans="1:6" x14ac:dyDescent="0.2">
      <c r="A1898" s="17" t="s">
        <v>9070</v>
      </c>
      <c r="B1898" s="18" t="s">
        <v>9071</v>
      </c>
      <c r="C1898" s="17" t="s">
        <v>0</v>
      </c>
      <c r="D1898" s="19">
        <v>29.72</v>
      </c>
      <c r="F1898" s="3" t="str">
        <f t="shared" si="29"/>
        <v>C1367</v>
      </c>
    </row>
    <row r="1899" spans="1:6" x14ac:dyDescent="0.2">
      <c r="A1899" s="17" t="s">
        <v>9072</v>
      </c>
      <c r="B1899" s="18" t="s">
        <v>9073</v>
      </c>
      <c r="C1899" s="17" t="s">
        <v>255</v>
      </c>
      <c r="D1899" s="19">
        <v>157.44</v>
      </c>
      <c r="F1899" s="3" t="str">
        <f t="shared" si="29"/>
        <v>C4411</v>
      </c>
    </row>
    <row r="1900" spans="1:6" x14ac:dyDescent="0.2">
      <c r="A1900" s="17" t="s">
        <v>9074</v>
      </c>
      <c r="B1900" s="18" t="s">
        <v>9075</v>
      </c>
      <c r="C1900" s="17" t="s">
        <v>255</v>
      </c>
      <c r="D1900" s="19">
        <v>187.25</v>
      </c>
      <c r="F1900" s="3" t="str">
        <f t="shared" si="29"/>
        <v>C1849</v>
      </c>
    </row>
    <row r="1901" spans="1:6" x14ac:dyDescent="0.2">
      <c r="A1901" s="17" t="s">
        <v>9076</v>
      </c>
      <c r="B1901" s="18" t="s">
        <v>9077</v>
      </c>
      <c r="C1901" s="17" t="s">
        <v>255</v>
      </c>
      <c r="D1901" s="19">
        <v>200.04</v>
      </c>
      <c r="F1901" s="3" t="str">
        <f t="shared" si="29"/>
        <v>C1850</v>
      </c>
    </row>
    <row r="1902" spans="1:6" x14ac:dyDescent="0.2">
      <c r="A1902" s="17" t="s">
        <v>9078</v>
      </c>
      <c r="B1902" s="18" t="s">
        <v>9079</v>
      </c>
      <c r="C1902" s="17" t="s">
        <v>255</v>
      </c>
      <c r="D1902" s="19">
        <v>207.31</v>
      </c>
      <c r="F1902" s="3" t="str">
        <f t="shared" si="29"/>
        <v>C1851</v>
      </c>
    </row>
    <row r="1903" spans="1:6" x14ac:dyDescent="0.2">
      <c r="A1903" s="17">
        <v>0</v>
      </c>
      <c r="B1903" s="18"/>
      <c r="C1903" s="17">
        <v>0</v>
      </c>
      <c r="D1903" s="19">
        <v>0</v>
      </c>
      <c r="F1903" s="3">
        <f t="shared" si="29"/>
        <v>0</v>
      </c>
    </row>
    <row r="1904" spans="1:6" x14ac:dyDescent="0.2">
      <c r="A1904" s="17" t="s">
        <v>9080</v>
      </c>
      <c r="B1904" s="18" t="s">
        <v>9081</v>
      </c>
      <c r="C1904" s="17" t="s">
        <v>255</v>
      </c>
      <c r="D1904" s="19">
        <v>161.56</v>
      </c>
      <c r="F1904" s="3" t="str">
        <f t="shared" si="29"/>
        <v>C1853</v>
      </c>
    </row>
    <row r="1905" spans="1:6" x14ac:dyDescent="0.2">
      <c r="A1905" s="17" t="s">
        <v>9082</v>
      </c>
      <c r="B1905" s="18" t="s">
        <v>9083</v>
      </c>
      <c r="C1905" s="17" t="s">
        <v>255</v>
      </c>
      <c r="D1905" s="19">
        <v>159.81</v>
      </c>
      <c r="F1905" s="3" t="str">
        <f t="shared" si="29"/>
        <v>C1861</v>
      </c>
    </row>
    <row r="1906" spans="1:6" x14ac:dyDescent="0.2">
      <c r="A1906" s="17">
        <v>0</v>
      </c>
      <c r="B1906" s="18"/>
      <c r="C1906" s="17">
        <v>0</v>
      </c>
      <c r="D1906" s="19">
        <v>0</v>
      </c>
      <c r="F1906" s="3">
        <f t="shared" si="29"/>
        <v>0</v>
      </c>
    </row>
    <row r="1907" spans="1:6" ht="22.5" x14ac:dyDescent="0.2">
      <c r="A1907" s="17" t="s">
        <v>9084</v>
      </c>
      <c r="B1907" s="18" t="s">
        <v>9085</v>
      </c>
      <c r="C1907" s="17" t="s">
        <v>0</v>
      </c>
      <c r="D1907" s="19">
        <v>27.49</v>
      </c>
      <c r="F1907" s="3" t="str">
        <f t="shared" si="29"/>
        <v>C1857</v>
      </c>
    </row>
    <row r="1908" spans="1:6" x14ac:dyDescent="0.2">
      <c r="A1908" s="17">
        <v>0</v>
      </c>
      <c r="B1908" s="18"/>
      <c r="C1908" s="17">
        <v>0</v>
      </c>
      <c r="D1908" s="19">
        <v>0</v>
      </c>
      <c r="F1908" s="3">
        <f t="shared" si="29"/>
        <v>0</v>
      </c>
    </row>
    <row r="1909" spans="1:6" ht="22.5" x14ac:dyDescent="0.2">
      <c r="A1909" s="17" t="s">
        <v>9086</v>
      </c>
      <c r="B1909" s="18" t="s">
        <v>9087</v>
      </c>
      <c r="C1909" s="17" t="s">
        <v>0</v>
      </c>
      <c r="D1909" s="19">
        <v>46.62</v>
      </c>
      <c r="F1909" s="3" t="str">
        <f t="shared" si="29"/>
        <v>C1856</v>
      </c>
    </row>
    <row r="1910" spans="1:6" x14ac:dyDescent="0.2">
      <c r="A1910" s="17">
        <v>0</v>
      </c>
      <c r="B1910" s="18"/>
      <c r="C1910" s="17">
        <v>0</v>
      </c>
      <c r="D1910" s="19">
        <v>0</v>
      </c>
      <c r="F1910" s="3">
        <f t="shared" si="29"/>
        <v>0</v>
      </c>
    </row>
    <row r="1911" spans="1:6" ht="22.5" x14ac:dyDescent="0.2">
      <c r="A1911" s="17" t="s">
        <v>9088</v>
      </c>
      <c r="B1911" s="18" t="s">
        <v>9089</v>
      </c>
      <c r="C1911" s="17" t="s">
        <v>0</v>
      </c>
      <c r="D1911" s="19">
        <v>63.84</v>
      </c>
      <c r="F1911" s="3" t="str">
        <f t="shared" si="29"/>
        <v>C1854</v>
      </c>
    </row>
    <row r="1912" spans="1:6" x14ac:dyDescent="0.2">
      <c r="A1912" s="17">
        <v>0</v>
      </c>
      <c r="B1912" s="18"/>
      <c r="C1912" s="17">
        <v>0</v>
      </c>
      <c r="D1912" s="19">
        <v>0</v>
      </c>
      <c r="F1912" s="3">
        <f t="shared" si="29"/>
        <v>0</v>
      </c>
    </row>
    <row r="1913" spans="1:6" ht="22.5" x14ac:dyDescent="0.2">
      <c r="A1913" s="17" t="s">
        <v>9090</v>
      </c>
      <c r="B1913" s="18" t="s">
        <v>9091</v>
      </c>
      <c r="C1913" s="17" t="s">
        <v>0</v>
      </c>
      <c r="D1913" s="19">
        <v>91.12</v>
      </c>
      <c r="F1913" s="3" t="str">
        <f t="shared" si="29"/>
        <v>C1855</v>
      </c>
    </row>
    <row r="1914" spans="1:6" x14ac:dyDescent="0.2">
      <c r="A1914" s="17">
        <v>0</v>
      </c>
      <c r="B1914" s="18"/>
      <c r="C1914" s="17">
        <v>0</v>
      </c>
      <c r="D1914" s="19">
        <v>0</v>
      </c>
      <c r="F1914" s="3">
        <f t="shared" si="29"/>
        <v>0</v>
      </c>
    </row>
    <row r="1915" spans="1:6" x14ac:dyDescent="0.2">
      <c r="A1915" s="17" t="s">
        <v>9092</v>
      </c>
      <c r="B1915" s="18" t="s">
        <v>9093</v>
      </c>
      <c r="C1915" s="17" t="s">
        <v>255</v>
      </c>
      <c r="D1915" s="19">
        <v>239.33</v>
      </c>
      <c r="F1915" s="3" t="str">
        <f t="shared" si="29"/>
        <v>C1858</v>
      </c>
    </row>
    <row r="1916" spans="1:6" ht="22.5" x14ac:dyDescent="0.2">
      <c r="A1916" s="17" t="s">
        <v>9094</v>
      </c>
      <c r="B1916" s="18" t="s">
        <v>9095</v>
      </c>
      <c r="C1916" s="17" t="s">
        <v>255</v>
      </c>
      <c r="D1916" s="19">
        <v>410.91</v>
      </c>
      <c r="F1916" s="3" t="str">
        <f t="shared" si="29"/>
        <v>C1801</v>
      </c>
    </row>
    <row r="1917" spans="1:6" x14ac:dyDescent="0.2">
      <c r="A1917" s="17">
        <v>0</v>
      </c>
      <c r="B1917" s="18"/>
      <c r="C1917" s="17">
        <v>0</v>
      </c>
      <c r="D1917" s="19">
        <v>0</v>
      </c>
      <c r="F1917" s="3">
        <f t="shared" si="29"/>
        <v>0</v>
      </c>
    </row>
    <row r="1918" spans="1:6" ht="22.5" x14ac:dyDescent="0.2">
      <c r="A1918" s="17" t="s">
        <v>9096</v>
      </c>
      <c r="B1918" s="18" t="s">
        <v>9097</v>
      </c>
      <c r="C1918" s="17" t="s">
        <v>255</v>
      </c>
      <c r="D1918" s="19">
        <v>77.34</v>
      </c>
      <c r="F1918" s="3" t="str">
        <f t="shared" si="29"/>
        <v>C1866</v>
      </c>
    </row>
    <row r="1919" spans="1:6" x14ac:dyDescent="0.2">
      <c r="A1919" s="17">
        <v>0</v>
      </c>
      <c r="B1919" s="18"/>
      <c r="C1919" s="17">
        <v>0</v>
      </c>
      <c r="D1919" s="19">
        <v>0</v>
      </c>
      <c r="F1919" s="3">
        <f t="shared" si="29"/>
        <v>0</v>
      </c>
    </row>
    <row r="1920" spans="1:6" x14ac:dyDescent="0.2">
      <c r="A1920" s="17" t="s">
        <v>9098</v>
      </c>
      <c r="B1920" s="18" t="s">
        <v>9099</v>
      </c>
      <c r="C1920" s="17" t="s">
        <v>255</v>
      </c>
      <c r="D1920" s="19">
        <v>71.03</v>
      </c>
      <c r="F1920" s="3" t="str">
        <f t="shared" si="29"/>
        <v>C1867</v>
      </c>
    </row>
    <row r="1921" spans="1:6" x14ac:dyDescent="0.2">
      <c r="A1921" s="17">
        <v>0</v>
      </c>
      <c r="B1921" s="18"/>
      <c r="C1921" s="17">
        <v>0</v>
      </c>
      <c r="D1921" s="19">
        <v>0</v>
      </c>
      <c r="F1921" s="3">
        <f t="shared" si="29"/>
        <v>0</v>
      </c>
    </row>
    <row r="1922" spans="1:6" x14ac:dyDescent="0.2">
      <c r="A1922" s="17" t="s">
        <v>9100</v>
      </c>
      <c r="B1922" s="18" t="s">
        <v>9101</v>
      </c>
      <c r="C1922" s="17" t="s">
        <v>0</v>
      </c>
      <c r="D1922" s="19">
        <v>30.27</v>
      </c>
      <c r="F1922" s="3" t="str">
        <f t="shared" ref="F1922:F1985" si="30">A1922</f>
        <v>C1877</v>
      </c>
    </row>
    <row r="1923" spans="1:6" x14ac:dyDescent="0.2">
      <c r="A1923" s="17" t="s">
        <v>9102</v>
      </c>
      <c r="B1923" s="18" t="s">
        <v>9103</v>
      </c>
      <c r="C1923" s="17" t="s">
        <v>0</v>
      </c>
      <c r="D1923" s="19">
        <v>23.91</v>
      </c>
      <c r="F1923" s="3" t="str">
        <f t="shared" si="30"/>
        <v>C1904</v>
      </c>
    </row>
    <row r="1924" spans="1:6" x14ac:dyDescent="0.2">
      <c r="A1924" s="17" t="s">
        <v>9104</v>
      </c>
      <c r="B1924" s="18" t="s">
        <v>9105</v>
      </c>
      <c r="C1924" s="17" t="s">
        <v>255</v>
      </c>
      <c r="D1924" s="19">
        <v>281.95999999999998</v>
      </c>
      <c r="F1924" s="3" t="str">
        <f t="shared" si="30"/>
        <v>C1936</v>
      </c>
    </row>
    <row r="1925" spans="1:6" x14ac:dyDescent="0.2">
      <c r="A1925" s="17" t="s">
        <v>9106</v>
      </c>
      <c r="B1925" s="18" t="s">
        <v>9107</v>
      </c>
      <c r="C1925" s="17" t="s">
        <v>255</v>
      </c>
      <c r="D1925" s="19">
        <v>168.43</v>
      </c>
      <c r="F1925" s="3" t="str">
        <f t="shared" si="30"/>
        <v>C4436</v>
      </c>
    </row>
    <row r="1926" spans="1:6" x14ac:dyDescent="0.2">
      <c r="A1926" s="17" t="s">
        <v>9108</v>
      </c>
      <c r="B1926" s="18" t="s">
        <v>9109</v>
      </c>
      <c r="C1926" s="17" t="s">
        <v>255</v>
      </c>
      <c r="D1926" s="19">
        <v>140.65</v>
      </c>
      <c r="F1926" s="3" t="str">
        <f t="shared" si="30"/>
        <v>C4447</v>
      </c>
    </row>
    <row r="1927" spans="1:6" x14ac:dyDescent="0.2">
      <c r="A1927" s="17" t="s">
        <v>9110</v>
      </c>
      <c r="B1927" s="18" t="s">
        <v>9111</v>
      </c>
      <c r="C1927" s="17" t="s">
        <v>255</v>
      </c>
      <c r="D1927" s="19">
        <v>155.38</v>
      </c>
      <c r="F1927" s="3" t="str">
        <f t="shared" si="30"/>
        <v>C4435</v>
      </c>
    </row>
    <row r="1928" spans="1:6" x14ac:dyDescent="0.2">
      <c r="A1928" s="17" t="s">
        <v>9112</v>
      </c>
      <c r="B1928" s="18" t="s">
        <v>9113</v>
      </c>
      <c r="C1928" s="17" t="s">
        <v>255</v>
      </c>
      <c r="D1928" s="19">
        <v>127.6</v>
      </c>
      <c r="F1928" s="3" t="str">
        <f t="shared" si="30"/>
        <v>C4446</v>
      </c>
    </row>
    <row r="1929" spans="1:6" ht="22.5" x14ac:dyDescent="0.2">
      <c r="A1929" s="17" t="s">
        <v>9114</v>
      </c>
      <c r="B1929" s="18" t="s">
        <v>9115</v>
      </c>
      <c r="C1929" s="17" t="s">
        <v>255</v>
      </c>
      <c r="D1929" s="19">
        <v>14.15</v>
      </c>
      <c r="F1929" s="3" t="str">
        <f t="shared" si="30"/>
        <v>C1102</v>
      </c>
    </row>
    <row r="1930" spans="1:6" x14ac:dyDescent="0.2">
      <c r="A1930" s="17">
        <v>0</v>
      </c>
      <c r="B1930" s="18"/>
      <c r="C1930" s="17">
        <v>0</v>
      </c>
      <c r="D1930" s="19">
        <v>0</v>
      </c>
      <c r="F1930" s="3">
        <f t="shared" si="30"/>
        <v>0</v>
      </c>
    </row>
    <row r="1931" spans="1:6" ht="22.5" x14ac:dyDescent="0.2">
      <c r="A1931" s="17" t="s">
        <v>9116</v>
      </c>
      <c r="B1931" s="18" t="s">
        <v>9117</v>
      </c>
      <c r="C1931" s="17" t="s">
        <v>255</v>
      </c>
      <c r="D1931" s="19">
        <v>10.050000000000001</v>
      </c>
      <c r="F1931" s="3" t="str">
        <f t="shared" si="30"/>
        <v>C1120</v>
      </c>
    </row>
    <row r="1932" spans="1:6" x14ac:dyDescent="0.2">
      <c r="A1932" s="17">
        <v>0</v>
      </c>
      <c r="B1932" s="18"/>
      <c r="C1932" s="17">
        <v>0</v>
      </c>
      <c r="D1932" s="19">
        <v>0</v>
      </c>
      <c r="F1932" s="3">
        <f t="shared" si="30"/>
        <v>0</v>
      </c>
    </row>
    <row r="1933" spans="1:6" ht="22.5" x14ac:dyDescent="0.2">
      <c r="A1933" s="17" t="s">
        <v>9118</v>
      </c>
      <c r="B1933" s="18" t="s">
        <v>9119</v>
      </c>
      <c r="C1933" s="17" t="s">
        <v>255</v>
      </c>
      <c r="D1933" s="19">
        <v>9.6300000000000008</v>
      </c>
      <c r="F1933" s="3" t="str">
        <f t="shared" si="30"/>
        <v>C1123</v>
      </c>
    </row>
    <row r="1934" spans="1:6" x14ac:dyDescent="0.2">
      <c r="A1934" s="17">
        <v>0</v>
      </c>
      <c r="B1934" s="18"/>
      <c r="C1934" s="17">
        <v>0</v>
      </c>
      <c r="D1934" s="19">
        <v>0</v>
      </c>
      <c r="F1934" s="3">
        <f t="shared" si="30"/>
        <v>0</v>
      </c>
    </row>
    <row r="1935" spans="1:6" ht="22.5" x14ac:dyDescent="0.2">
      <c r="A1935" s="20" t="s">
        <v>9120</v>
      </c>
      <c r="B1935" s="21" t="s">
        <v>9121</v>
      </c>
      <c r="C1935" s="20" t="s">
        <v>255</v>
      </c>
      <c r="D1935" s="22">
        <v>20.66</v>
      </c>
      <c r="F1935" s="3" t="str">
        <f t="shared" si="30"/>
        <v>C1126</v>
      </c>
    </row>
    <row r="1936" spans="1:6" x14ac:dyDescent="0.2">
      <c r="A1936" s="17">
        <v>0</v>
      </c>
      <c r="B1936" s="18"/>
      <c r="C1936" s="17">
        <v>0</v>
      </c>
      <c r="D1936" s="19">
        <v>0</v>
      </c>
      <c r="F1936" s="3">
        <f t="shared" si="30"/>
        <v>0</v>
      </c>
    </row>
    <row r="1937" spans="1:6" ht="22.5" x14ac:dyDescent="0.2">
      <c r="A1937" s="17" t="s">
        <v>9122</v>
      </c>
      <c r="B1937" s="18" t="s">
        <v>9123</v>
      </c>
      <c r="C1937" s="17" t="s">
        <v>255</v>
      </c>
      <c r="D1937" s="19">
        <v>12.35</v>
      </c>
      <c r="F1937" s="3" t="str">
        <f t="shared" si="30"/>
        <v>C1129</v>
      </c>
    </row>
    <row r="1938" spans="1:6" x14ac:dyDescent="0.2">
      <c r="A1938" s="17">
        <v>0</v>
      </c>
      <c r="B1938" s="18"/>
      <c r="C1938" s="17">
        <v>0</v>
      </c>
      <c r="D1938" s="19">
        <v>0</v>
      </c>
      <c r="F1938" s="3">
        <f t="shared" si="30"/>
        <v>0</v>
      </c>
    </row>
    <row r="1939" spans="1:6" ht="22.5" x14ac:dyDescent="0.2">
      <c r="A1939" s="20" t="s">
        <v>9124</v>
      </c>
      <c r="B1939" s="21" t="s">
        <v>9125</v>
      </c>
      <c r="C1939" s="20" t="s">
        <v>255</v>
      </c>
      <c r="D1939" s="22">
        <v>11.3</v>
      </c>
      <c r="F1939" s="3" t="str">
        <f t="shared" si="30"/>
        <v>C1427</v>
      </c>
    </row>
    <row r="1940" spans="1:6" x14ac:dyDescent="0.2">
      <c r="A1940" s="17">
        <v>0</v>
      </c>
      <c r="B1940" s="18"/>
      <c r="C1940" s="17">
        <v>0</v>
      </c>
      <c r="D1940" s="19">
        <v>0</v>
      </c>
      <c r="F1940" s="3">
        <f t="shared" si="30"/>
        <v>0</v>
      </c>
    </row>
    <row r="1941" spans="1:6" ht="22.5" x14ac:dyDescent="0.2">
      <c r="A1941" s="17" t="s">
        <v>9126</v>
      </c>
      <c r="B1941" s="18" t="s">
        <v>9127</v>
      </c>
      <c r="C1941" s="17" t="s">
        <v>255</v>
      </c>
      <c r="D1941" s="19">
        <v>27.17</v>
      </c>
      <c r="F1941" s="3" t="str">
        <f t="shared" si="30"/>
        <v>C2058</v>
      </c>
    </row>
    <row r="1942" spans="1:6" x14ac:dyDescent="0.2">
      <c r="A1942" s="17">
        <v>0</v>
      </c>
      <c r="B1942" s="18"/>
      <c r="C1942" s="17">
        <v>0</v>
      </c>
      <c r="D1942" s="19">
        <v>0</v>
      </c>
      <c r="F1942" s="3">
        <f t="shared" si="30"/>
        <v>0</v>
      </c>
    </row>
    <row r="1943" spans="1:6" ht="22.5" x14ac:dyDescent="0.2">
      <c r="A1943" s="17" t="s">
        <v>9128</v>
      </c>
      <c r="B1943" s="18" t="s">
        <v>9129</v>
      </c>
      <c r="C1943" s="17" t="s">
        <v>255</v>
      </c>
      <c r="D1943" s="19">
        <v>14.65</v>
      </c>
      <c r="F1943" s="3" t="str">
        <f t="shared" si="30"/>
        <v>C2780</v>
      </c>
    </row>
    <row r="1944" spans="1:6" x14ac:dyDescent="0.2">
      <c r="A1944" s="17">
        <v>0</v>
      </c>
      <c r="B1944" s="18"/>
      <c r="C1944" s="17">
        <v>0</v>
      </c>
      <c r="D1944" s="19">
        <v>0</v>
      </c>
      <c r="F1944" s="3">
        <f t="shared" si="30"/>
        <v>0</v>
      </c>
    </row>
    <row r="1945" spans="1:6" ht="22.5" x14ac:dyDescent="0.2">
      <c r="A1945" s="17" t="s">
        <v>9130</v>
      </c>
      <c r="B1945" s="18" t="s">
        <v>9131</v>
      </c>
      <c r="C1945" s="17" t="s">
        <v>255</v>
      </c>
      <c r="D1945" s="19">
        <v>12.97</v>
      </c>
      <c r="F1945" s="3" t="str">
        <f t="shared" si="30"/>
        <v>C2828</v>
      </c>
    </row>
    <row r="1946" spans="1:6" x14ac:dyDescent="0.2">
      <c r="A1946" s="17">
        <v>0</v>
      </c>
      <c r="B1946" s="18"/>
      <c r="C1946" s="17">
        <v>0</v>
      </c>
      <c r="D1946" s="19">
        <v>0</v>
      </c>
      <c r="F1946" s="3">
        <f t="shared" si="30"/>
        <v>0</v>
      </c>
    </row>
    <row r="1947" spans="1:6" x14ac:dyDescent="0.2">
      <c r="A1947" s="17" t="s">
        <v>9132</v>
      </c>
      <c r="B1947" s="18" t="s">
        <v>9133</v>
      </c>
      <c r="C1947" s="17" t="s">
        <v>255</v>
      </c>
      <c r="D1947" s="19">
        <v>13.09</v>
      </c>
      <c r="F1947" s="3" t="str">
        <f t="shared" si="30"/>
        <v>C2190</v>
      </c>
    </row>
    <row r="1948" spans="1:6" x14ac:dyDescent="0.2">
      <c r="A1948" s="17" t="s">
        <v>9134</v>
      </c>
      <c r="B1948" s="18" t="s">
        <v>9135</v>
      </c>
      <c r="C1948" s="17" t="s">
        <v>255</v>
      </c>
      <c r="D1948" s="19">
        <v>10.85</v>
      </c>
      <c r="F1948" s="3" t="str">
        <f t="shared" si="30"/>
        <v>C2191</v>
      </c>
    </row>
    <row r="1949" spans="1:6" x14ac:dyDescent="0.2">
      <c r="A1949" s="17" t="s">
        <v>9136</v>
      </c>
      <c r="B1949" s="18" t="s">
        <v>9137</v>
      </c>
      <c r="C1949" s="17" t="s">
        <v>255</v>
      </c>
      <c r="D1949" s="19">
        <v>59.79</v>
      </c>
      <c r="F1949" s="3" t="str">
        <f t="shared" si="30"/>
        <v>C2103</v>
      </c>
    </row>
    <row r="1950" spans="1:6" x14ac:dyDescent="0.2">
      <c r="A1950" s="17" t="s">
        <v>9138</v>
      </c>
      <c r="B1950" s="18" t="s">
        <v>9139</v>
      </c>
      <c r="C1950" s="17" t="s">
        <v>255</v>
      </c>
      <c r="D1950" s="19">
        <v>53.62</v>
      </c>
      <c r="F1950" s="3" t="str">
        <f t="shared" si="30"/>
        <v>C2212</v>
      </c>
    </row>
    <row r="1951" spans="1:6" x14ac:dyDescent="0.2">
      <c r="A1951" s="17" t="s">
        <v>9140</v>
      </c>
      <c r="B1951" s="18" t="s">
        <v>9141</v>
      </c>
      <c r="C1951" s="17" t="s">
        <v>255</v>
      </c>
      <c r="D1951" s="19">
        <v>85.4</v>
      </c>
      <c r="F1951" s="3" t="str">
        <f t="shared" si="30"/>
        <v>C2223</v>
      </c>
    </row>
    <row r="1952" spans="1:6" x14ac:dyDescent="0.2">
      <c r="A1952" s="17" t="s">
        <v>9142</v>
      </c>
      <c r="B1952" s="18" t="s">
        <v>9143</v>
      </c>
      <c r="C1952" s="17" t="s">
        <v>255</v>
      </c>
      <c r="D1952" s="19">
        <v>93.41</v>
      </c>
      <c r="F1952" s="3" t="str">
        <f t="shared" si="30"/>
        <v>C2224</v>
      </c>
    </row>
    <row r="1953" spans="1:6" x14ac:dyDescent="0.2">
      <c r="A1953" s="17" t="s">
        <v>9144</v>
      </c>
      <c r="B1953" s="18" t="s">
        <v>9145</v>
      </c>
      <c r="C1953" s="17" t="s">
        <v>255</v>
      </c>
      <c r="D1953" s="19">
        <v>120.8</v>
      </c>
      <c r="F1953" s="3" t="str">
        <f t="shared" si="30"/>
        <v>C2225</v>
      </c>
    </row>
    <row r="1954" spans="1:6" x14ac:dyDescent="0.2">
      <c r="A1954" s="17" t="s">
        <v>9146</v>
      </c>
      <c r="B1954" s="18" t="s">
        <v>9147</v>
      </c>
      <c r="C1954" s="17" t="s">
        <v>255</v>
      </c>
      <c r="D1954" s="19">
        <v>76.58</v>
      </c>
      <c r="F1954" s="3" t="str">
        <f t="shared" si="30"/>
        <v>C2226</v>
      </c>
    </row>
    <row r="1955" spans="1:6" x14ac:dyDescent="0.2">
      <c r="A1955" s="17" t="s">
        <v>9148</v>
      </c>
      <c r="B1955" s="18" t="s">
        <v>9149</v>
      </c>
      <c r="C1955" s="17" t="s">
        <v>255</v>
      </c>
      <c r="D1955" s="19">
        <v>106.31</v>
      </c>
      <c r="F1955" s="3" t="str">
        <f t="shared" si="30"/>
        <v>C2227</v>
      </c>
    </row>
    <row r="1956" spans="1:6" x14ac:dyDescent="0.2">
      <c r="A1956" s="17" t="s">
        <v>9150</v>
      </c>
      <c r="B1956" s="18" t="s">
        <v>9151</v>
      </c>
      <c r="C1956" s="17" t="s">
        <v>255</v>
      </c>
      <c r="D1956" s="19">
        <v>115.96</v>
      </c>
      <c r="F1956" s="3" t="str">
        <f t="shared" si="30"/>
        <v>C2228</v>
      </c>
    </row>
    <row r="1957" spans="1:6" x14ac:dyDescent="0.2">
      <c r="A1957" s="17" t="s">
        <v>9152</v>
      </c>
      <c r="B1957" s="18" t="s">
        <v>9153</v>
      </c>
      <c r="C1957" s="17" t="s">
        <v>255</v>
      </c>
      <c r="D1957" s="19">
        <v>76.06</v>
      </c>
      <c r="F1957" s="3" t="str">
        <f t="shared" si="30"/>
        <v>C2216</v>
      </c>
    </row>
    <row r="1958" spans="1:6" x14ac:dyDescent="0.2">
      <c r="A1958" s="17" t="s">
        <v>9154</v>
      </c>
      <c r="B1958" s="18" t="s">
        <v>9155</v>
      </c>
      <c r="C1958" s="17" t="s">
        <v>255</v>
      </c>
      <c r="D1958" s="19">
        <v>150.24</v>
      </c>
      <c r="F1958" s="3" t="str">
        <f t="shared" si="30"/>
        <v>C2213</v>
      </c>
    </row>
    <row r="1959" spans="1:6" x14ac:dyDescent="0.2">
      <c r="A1959" s="17" t="s">
        <v>9156</v>
      </c>
      <c r="B1959" s="18" t="s">
        <v>9157</v>
      </c>
      <c r="C1959" s="17" t="s">
        <v>255</v>
      </c>
      <c r="D1959" s="19">
        <v>148.38999999999999</v>
      </c>
      <c r="F1959" s="3" t="str">
        <f t="shared" si="30"/>
        <v>C2218</v>
      </c>
    </row>
    <row r="1960" spans="1:6" x14ac:dyDescent="0.2">
      <c r="A1960" s="17" t="s">
        <v>9158</v>
      </c>
      <c r="B1960" s="18" t="s">
        <v>9159</v>
      </c>
      <c r="C1960" s="17" t="s">
        <v>255</v>
      </c>
      <c r="D1960" s="19">
        <v>31.21</v>
      </c>
      <c r="F1960" s="3" t="str">
        <f t="shared" si="30"/>
        <v>C2214</v>
      </c>
    </row>
    <row r="1961" spans="1:6" x14ac:dyDescent="0.2">
      <c r="A1961" s="17" t="s">
        <v>9160</v>
      </c>
      <c r="B1961" s="18" t="s">
        <v>9161</v>
      </c>
      <c r="C1961" s="17" t="s">
        <v>255</v>
      </c>
      <c r="D1961" s="19">
        <v>49.75</v>
      </c>
      <c r="F1961" s="3" t="str">
        <f t="shared" si="30"/>
        <v>C2221</v>
      </c>
    </row>
    <row r="1962" spans="1:6" x14ac:dyDescent="0.2">
      <c r="A1962" s="17" t="s">
        <v>9162</v>
      </c>
      <c r="B1962" s="18" t="s">
        <v>9163</v>
      </c>
      <c r="C1962" s="17" t="s">
        <v>255</v>
      </c>
      <c r="D1962" s="19">
        <v>566.14</v>
      </c>
      <c r="F1962" s="3" t="str">
        <f t="shared" si="30"/>
        <v>C2222</v>
      </c>
    </row>
    <row r="1963" spans="1:6" x14ac:dyDescent="0.2">
      <c r="A1963" s="17" t="s">
        <v>9164</v>
      </c>
      <c r="B1963" s="18" t="s">
        <v>9165</v>
      </c>
      <c r="C1963" s="17" t="s">
        <v>255</v>
      </c>
      <c r="D1963" s="19">
        <v>119.32</v>
      </c>
      <c r="F1963" s="3" t="str">
        <f t="shared" si="30"/>
        <v>C4128</v>
      </c>
    </row>
    <row r="1964" spans="1:6" x14ac:dyDescent="0.2">
      <c r="A1964" s="14" t="s">
        <v>9166</v>
      </c>
      <c r="B1964" s="15"/>
      <c r="C1964" s="14">
        <v>0</v>
      </c>
      <c r="D1964" s="16">
        <v>462.73</v>
      </c>
      <c r="F1964" s="3" t="str">
        <f t="shared" si="30"/>
        <v>ARGAMASSAS PARA TETOS</v>
      </c>
    </row>
    <row r="1965" spans="1:6" x14ac:dyDescent="0.2">
      <c r="A1965" s="17" t="s">
        <v>9167</v>
      </c>
      <c r="B1965" s="21" t="s">
        <v>9168</v>
      </c>
      <c r="C1965" s="17" t="s">
        <v>255</v>
      </c>
      <c r="D1965" s="19">
        <v>14.44</v>
      </c>
      <c r="F1965" s="3" t="str">
        <f t="shared" si="30"/>
        <v>C0778</v>
      </c>
    </row>
    <row r="1966" spans="1:6" x14ac:dyDescent="0.2">
      <c r="A1966" s="17">
        <v>0</v>
      </c>
      <c r="B1966" s="18"/>
      <c r="C1966" s="17">
        <v>0</v>
      </c>
      <c r="D1966" s="19">
        <v>0</v>
      </c>
      <c r="F1966" s="3">
        <f t="shared" si="30"/>
        <v>0</v>
      </c>
    </row>
    <row r="1967" spans="1:6" x14ac:dyDescent="0.2">
      <c r="A1967" s="17" t="s">
        <v>9169</v>
      </c>
      <c r="B1967" s="18" t="s">
        <v>9170</v>
      </c>
      <c r="C1967" s="17" t="s">
        <v>255</v>
      </c>
      <c r="D1967" s="19">
        <v>10.34</v>
      </c>
      <c r="F1967" s="3" t="str">
        <f t="shared" si="30"/>
        <v>C0779</v>
      </c>
    </row>
    <row r="1968" spans="1:6" x14ac:dyDescent="0.2">
      <c r="A1968" s="17" t="s">
        <v>9171</v>
      </c>
      <c r="B1968" s="18" t="s">
        <v>9172</v>
      </c>
      <c r="C1968" s="17" t="s">
        <v>255</v>
      </c>
      <c r="D1968" s="19">
        <v>13.93</v>
      </c>
      <c r="F1968" s="3" t="str">
        <f t="shared" si="30"/>
        <v>C0781</v>
      </c>
    </row>
    <row r="1969" spans="1:6" ht="22.5" x14ac:dyDescent="0.2">
      <c r="A1969" s="17" t="s">
        <v>9173</v>
      </c>
      <c r="B1969" s="18" t="s">
        <v>9174</v>
      </c>
      <c r="C1969" s="17" t="s">
        <v>255</v>
      </c>
      <c r="D1969" s="19">
        <v>41.64</v>
      </c>
      <c r="F1969" s="3" t="str">
        <f t="shared" si="30"/>
        <v>C3034</v>
      </c>
    </row>
    <row r="1970" spans="1:6" x14ac:dyDescent="0.2">
      <c r="A1970" s="17">
        <v>0</v>
      </c>
      <c r="B1970" s="18"/>
      <c r="C1970" s="17">
        <v>0</v>
      </c>
      <c r="D1970" s="19">
        <v>0</v>
      </c>
      <c r="F1970" s="3">
        <f t="shared" si="30"/>
        <v>0</v>
      </c>
    </row>
    <row r="1971" spans="1:6" ht="22.5" x14ac:dyDescent="0.2">
      <c r="A1971" s="17" t="s">
        <v>9175</v>
      </c>
      <c r="B1971" s="18" t="s">
        <v>9176</v>
      </c>
      <c r="C1971" s="17" t="s">
        <v>255</v>
      </c>
      <c r="D1971" s="19">
        <v>40.97</v>
      </c>
      <c r="F1971" s="3" t="str">
        <f t="shared" si="30"/>
        <v>C1218</v>
      </c>
    </row>
    <row r="1972" spans="1:6" x14ac:dyDescent="0.2">
      <c r="A1972" s="17">
        <v>0</v>
      </c>
      <c r="B1972" s="18"/>
      <c r="C1972" s="17">
        <v>0</v>
      </c>
      <c r="D1972" s="19">
        <v>0</v>
      </c>
      <c r="F1972" s="3">
        <f t="shared" si="30"/>
        <v>0</v>
      </c>
    </row>
    <row r="1973" spans="1:6" ht="22.5" x14ac:dyDescent="0.2">
      <c r="A1973" s="17" t="s">
        <v>9177</v>
      </c>
      <c r="B1973" s="18" t="s">
        <v>9178</v>
      </c>
      <c r="C1973" s="17" t="s">
        <v>255</v>
      </c>
      <c r="D1973" s="19">
        <v>38.880000000000003</v>
      </c>
      <c r="F1973" s="3" t="str">
        <f t="shared" si="30"/>
        <v>C1217</v>
      </c>
    </row>
    <row r="1974" spans="1:6" x14ac:dyDescent="0.2">
      <c r="A1974" s="17">
        <v>0</v>
      </c>
      <c r="B1974" s="18"/>
      <c r="C1974" s="17">
        <v>0</v>
      </c>
      <c r="D1974" s="19">
        <v>0</v>
      </c>
      <c r="F1974" s="3">
        <f t="shared" si="30"/>
        <v>0</v>
      </c>
    </row>
    <row r="1975" spans="1:6" x14ac:dyDescent="0.2">
      <c r="A1975" s="20" t="s">
        <v>9179</v>
      </c>
      <c r="B1975" s="21" t="s">
        <v>9180</v>
      </c>
      <c r="C1975" s="20" t="s">
        <v>255</v>
      </c>
      <c r="D1975" s="22">
        <v>30.52</v>
      </c>
      <c r="F1975" s="3" t="str">
        <f t="shared" si="30"/>
        <v>C2111</v>
      </c>
    </row>
    <row r="1976" spans="1:6" x14ac:dyDescent="0.2">
      <c r="A1976" s="17">
        <v>0</v>
      </c>
      <c r="B1976" s="18"/>
      <c r="C1976" s="17">
        <v>0</v>
      </c>
      <c r="D1976" s="19">
        <v>0</v>
      </c>
      <c r="F1976" s="3">
        <f t="shared" si="30"/>
        <v>0</v>
      </c>
    </row>
    <row r="1977" spans="1:6" x14ac:dyDescent="0.2">
      <c r="A1977" s="17" t="s">
        <v>9181</v>
      </c>
      <c r="B1977" s="18" t="s">
        <v>9182</v>
      </c>
      <c r="C1977" s="17" t="s">
        <v>255</v>
      </c>
      <c r="D1977" s="19">
        <v>30.71</v>
      </c>
      <c r="F1977" s="3" t="str">
        <f t="shared" si="30"/>
        <v>C2107</v>
      </c>
    </row>
    <row r="1978" spans="1:6" x14ac:dyDescent="0.2">
      <c r="A1978" s="17">
        <v>0</v>
      </c>
      <c r="B1978" s="18"/>
      <c r="C1978" s="17">
        <v>0</v>
      </c>
      <c r="D1978" s="19">
        <v>0</v>
      </c>
      <c r="F1978" s="3">
        <f t="shared" si="30"/>
        <v>0</v>
      </c>
    </row>
    <row r="1979" spans="1:6" x14ac:dyDescent="0.2">
      <c r="A1979" s="17" t="s">
        <v>9183</v>
      </c>
      <c r="B1979" s="18" t="s">
        <v>9184</v>
      </c>
      <c r="C1979" s="17" t="s">
        <v>255</v>
      </c>
      <c r="D1979" s="19">
        <v>30.39</v>
      </c>
      <c r="F1979" s="3" t="str">
        <f t="shared" si="30"/>
        <v>C2112</v>
      </c>
    </row>
    <row r="1980" spans="1:6" x14ac:dyDescent="0.2">
      <c r="A1980" s="17">
        <v>0</v>
      </c>
      <c r="B1980" s="18"/>
      <c r="C1980" s="17">
        <v>0</v>
      </c>
      <c r="D1980" s="19">
        <v>0</v>
      </c>
      <c r="F1980" s="3">
        <f t="shared" si="30"/>
        <v>0</v>
      </c>
    </row>
    <row r="1981" spans="1:6" x14ac:dyDescent="0.2">
      <c r="A1981" s="17" t="s">
        <v>9185</v>
      </c>
      <c r="B1981" s="18" t="s">
        <v>9186</v>
      </c>
      <c r="C1981" s="17" t="s">
        <v>255</v>
      </c>
      <c r="D1981" s="19">
        <v>30.14</v>
      </c>
      <c r="F1981" s="3" t="str">
        <f t="shared" si="30"/>
        <v>C2113</v>
      </c>
    </row>
    <row r="1982" spans="1:6" x14ac:dyDescent="0.2">
      <c r="A1982" s="17">
        <v>0</v>
      </c>
      <c r="B1982" s="18"/>
      <c r="C1982" s="17">
        <v>0</v>
      </c>
      <c r="D1982" s="19">
        <v>0</v>
      </c>
      <c r="F1982" s="3">
        <f t="shared" si="30"/>
        <v>0</v>
      </c>
    </row>
    <row r="1983" spans="1:6" x14ac:dyDescent="0.2">
      <c r="A1983" s="17" t="s">
        <v>9187</v>
      </c>
      <c r="B1983" s="18" t="s">
        <v>9188</v>
      </c>
      <c r="C1983" s="17" t="s">
        <v>255</v>
      </c>
      <c r="D1983" s="19">
        <v>30.21</v>
      </c>
      <c r="F1983" s="3" t="str">
        <f t="shared" si="30"/>
        <v>C2116</v>
      </c>
    </row>
    <row r="1984" spans="1:6" x14ac:dyDescent="0.2">
      <c r="A1984" s="17">
        <v>0</v>
      </c>
      <c r="B1984" s="18"/>
      <c r="C1984" s="17">
        <v>0</v>
      </c>
      <c r="D1984" s="19">
        <v>0</v>
      </c>
      <c r="F1984" s="3">
        <f t="shared" si="30"/>
        <v>0</v>
      </c>
    </row>
    <row r="1985" spans="1:6" x14ac:dyDescent="0.2">
      <c r="A1985" s="17" t="s">
        <v>9189</v>
      </c>
      <c r="B1985" s="18" t="s">
        <v>9190</v>
      </c>
      <c r="C1985" s="17" t="s">
        <v>255</v>
      </c>
      <c r="D1985" s="19">
        <v>29.44</v>
      </c>
      <c r="F1985" s="3" t="str">
        <f t="shared" si="30"/>
        <v>C2125</v>
      </c>
    </row>
    <row r="1986" spans="1:6" x14ac:dyDescent="0.2">
      <c r="A1986" s="17">
        <v>0</v>
      </c>
      <c r="B1986" s="18"/>
      <c r="C1986" s="17">
        <v>0</v>
      </c>
      <c r="D1986" s="19">
        <v>0</v>
      </c>
      <c r="F1986" s="3">
        <f t="shared" ref="F1986:F2049" si="31">A1986</f>
        <v>0</v>
      </c>
    </row>
    <row r="1987" spans="1:6" ht="22.5" x14ac:dyDescent="0.2">
      <c r="A1987" s="17" t="s">
        <v>9191</v>
      </c>
      <c r="B1987" s="18" t="s">
        <v>9192</v>
      </c>
      <c r="C1987" s="17" t="s">
        <v>255</v>
      </c>
      <c r="D1987" s="19">
        <v>41.64</v>
      </c>
      <c r="F1987" s="3" t="str">
        <f t="shared" si="31"/>
        <v>C3032</v>
      </c>
    </row>
    <row r="1988" spans="1:6" x14ac:dyDescent="0.2">
      <c r="A1988" s="17">
        <v>0</v>
      </c>
      <c r="B1988" s="18"/>
      <c r="C1988" s="17">
        <v>0</v>
      </c>
      <c r="D1988" s="19">
        <v>0</v>
      </c>
      <c r="F1988" s="3">
        <f t="shared" si="31"/>
        <v>0</v>
      </c>
    </row>
    <row r="1989" spans="1:6" ht="22.5" x14ac:dyDescent="0.2">
      <c r="A1989" s="17" t="s">
        <v>9193</v>
      </c>
      <c r="B1989" s="18" t="s">
        <v>9194</v>
      </c>
      <c r="C1989" s="17" t="s">
        <v>255</v>
      </c>
      <c r="D1989" s="19">
        <v>40.47</v>
      </c>
      <c r="F1989" s="3" t="str">
        <f t="shared" si="31"/>
        <v>C3033</v>
      </c>
    </row>
    <row r="1990" spans="1:6" x14ac:dyDescent="0.2">
      <c r="A1990" s="17">
        <v>0</v>
      </c>
      <c r="B1990" s="18"/>
      <c r="C1990" s="17">
        <v>0</v>
      </c>
      <c r="D1990" s="19">
        <v>0</v>
      </c>
      <c r="F1990" s="3">
        <f t="shared" si="31"/>
        <v>0</v>
      </c>
    </row>
    <row r="1991" spans="1:6" x14ac:dyDescent="0.2">
      <c r="A1991" s="17" t="s">
        <v>9195</v>
      </c>
      <c r="B1991" s="18" t="s">
        <v>9196</v>
      </c>
      <c r="C1991" s="17" t="s">
        <v>255</v>
      </c>
      <c r="D1991" s="19">
        <v>39.01</v>
      </c>
      <c r="F1991" s="3" t="str">
        <f t="shared" si="31"/>
        <v>C3035</v>
      </c>
    </row>
    <row r="1992" spans="1:6" x14ac:dyDescent="0.2">
      <c r="A1992" s="17">
        <v>0</v>
      </c>
      <c r="B1992" s="18"/>
      <c r="C1992" s="17">
        <v>0</v>
      </c>
      <c r="D1992" s="19">
        <v>0</v>
      </c>
      <c r="F1992" s="3">
        <f t="shared" si="31"/>
        <v>0</v>
      </c>
    </row>
    <row r="1993" spans="1:6" x14ac:dyDescent="0.2">
      <c r="A1993" s="14" t="s">
        <v>9197</v>
      </c>
      <c r="B1993" s="15"/>
      <c r="C1993" s="14">
        <v>0</v>
      </c>
      <c r="D1993" s="16">
        <v>1775.94</v>
      </c>
      <c r="F1993" s="3" t="str">
        <f t="shared" si="31"/>
        <v>ACABAMENTOS PARA TETOS</v>
      </c>
    </row>
    <row r="1994" spans="1:6" ht="22.5" x14ac:dyDescent="0.2">
      <c r="A1994" s="17" t="s">
        <v>9198</v>
      </c>
      <c r="B1994" s="18" t="s">
        <v>9199</v>
      </c>
      <c r="C1994" s="17" t="s">
        <v>255</v>
      </c>
      <c r="D1994" s="19">
        <v>120.58</v>
      </c>
      <c r="F1994" s="3" t="str">
        <f t="shared" si="31"/>
        <v>C4479</v>
      </c>
    </row>
    <row r="1995" spans="1:6" x14ac:dyDescent="0.2">
      <c r="A1995" s="17">
        <v>0</v>
      </c>
      <c r="B1995" s="18"/>
      <c r="C1995" s="17">
        <v>0</v>
      </c>
      <c r="D1995" s="19">
        <v>0</v>
      </c>
      <c r="F1995" s="3">
        <f t="shared" si="31"/>
        <v>0</v>
      </c>
    </row>
    <row r="1996" spans="1:6" ht="22.5" x14ac:dyDescent="0.2">
      <c r="A1996" s="17" t="s">
        <v>9200</v>
      </c>
      <c r="B1996" s="18" t="s">
        <v>9201</v>
      </c>
      <c r="C1996" s="17" t="s">
        <v>255</v>
      </c>
      <c r="D1996" s="19">
        <v>101.88</v>
      </c>
      <c r="F1996" s="3" t="str">
        <f t="shared" si="31"/>
        <v>C4480</v>
      </c>
    </row>
    <row r="1997" spans="1:6" x14ac:dyDescent="0.2">
      <c r="A1997" s="17">
        <v>0</v>
      </c>
      <c r="B1997" s="18"/>
      <c r="C1997" s="17">
        <v>0</v>
      </c>
      <c r="D1997" s="19">
        <v>0</v>
      </c>
      <c r="F1997" s="3">
        <f t="shared" si="31"/>
        <v>0</v>
      </c>
    </row>
    <row r="1998" spans="1:6" ht="22.5" x14ac:dyDescent="0.2">
      <c r="A1998" s="17" t="s">
        <v>9202</v>
      </c>
      <c r="B1998" s="18" t="s">
        <v>9203</v>
      </c>
      <c r="C1998" s="17" t="s">
        <v>255</v>
      </c>
      <c r="D1998" s="19">
        <v>104.86</v>
      </c>
      <c r="F1998" s="3" t="str">
        <f t="shared" si="31"/>
        <v>C4481</v>
      </c>
    </row>
    <row r="1999" spans="1:6" x14ac:dyDescent="0.2">
      <c r="A1999" s="17">
        <v>0</v>
      </c>
      <c r="B1999" s="18"/>
      <c r="C1999" s="17">
        <v>0</v>
      </c>
      <c r="D1999" s="19">
        <v>0</v>
      </c>
      <c r="F1999" s="3">
        <f t="shared" si="31"/>
        <v>0</v>
      </c>
    </row>
    <row r="2000" spans="1:6" ht="33.75" x14ac:dyDescent="0.2">
      <c r="A2000" s="17" t="s">
        <v>9204</v>
      </c>
      <c r="B2000" s="18" t="s">
        <v>9205</v>
      </c>
      <c r="C2000" s="17" t="s">
        <v>255</v>
      </c>
      <c r="D2000" s="19">
        <v>90.67</v>
      </c>
      <c r="F2000" s="3" t="str">
        <f t="shared" si="31"/>
        <v>C4790</v>
      </c>
    </row>
    <row r="2001" spans="1:6" x14ac:dyDescent="0.2">
      <c r="A2001" s="17">
        <v>0</v>
      </c>
      <c r="B2001" s="18"/>
      <c r="C2001" s="17">
        <v>0</v>
      </c>
      <c r="D2001" s="19">
        <v>0</v>
      </c>
      <c r="F2001" s="3">
        <f t="shared" si="31"/>
        <v>0</v>
      </c>
    </row>
    <row r="2002" spans="1:6" x14ac:dyDescent="0.2">
      <c r="A2002" s="17" t="s">
        <v>9206</v>
      </c>
      <c r="B2002" s="18" t="s">
        <v>9207</v>
      </c>
      <c r="C2002" s="17" t="s">
        <v>255</v>
      </c>
      <c r="D2002" s="19">
        <v>54.69</v>
      </c>
      <c r="F2002" s="3" t="str">
        <f t="shared" si="31"/>
        <v>C4285</v>
      </c>
    </row>
    <row r="2003" spans="1:6" x14ac:dyDescent="0.2">
      <c r="A2003" s="17" t="s">
        <v>9208</v>
      </c>
      <c r="B2003" s="18" t="s">
        <v>9209</v>
      </c>
      <c r="C2003" s="17" t="s">
        <v>255</v>
      </c>
      <c r="D2003" s="19">
        <v>71.94</v>
      </c>
      <c r="F2003" s="3" t="str">
        <f t="shared" si="31"/>
        <v>C4294</v>
      </c>
    </row>
    <row r="2004" spans="1:6" ht="22.5" x14ac:dyDescent="0.2">
      <c r="A2004" s="17" t="s">
        <v>9210</v>
      </c>
      <c r="B2004" s="18" t="s">
        <v>9211</v>
      </c>
      <c r="C2004" s="17" t="s">
        <v>255</v>
      </c>
      <c r="D2004" s="19">
        <v>38.78</v>
      </c>
      <c r="F2004" s="3" t="str">
        <f t="shared" si="31"/>
        <v>C3970</v>
      </c>
    </row>
    <row r="2005" spans="1:6" x14ac:dyDescent="0.2">
      <c r="A2005" s="17">
        <v>0</v>
      </c>
      <c r="B2005" s="18"/>
      <c r="C2005" s="17">
        <v>0</v>
      </c>
      <c r="D2005" s="19">
        <v>0</v>
      </c>
      <c r="F2005" s="3">
        <f t="shared" si="31"/>
        <v>0</v>
      </c>
    </row>
    <row r="2006" spans="1:6" ht="22.5" x14ac:dyDescent="0.2">
      <c r="A2006" s="17" t="s">
        <v>9212</v>
      </c>
      <c r="B2006" s="18" t="s">
        <v>9213</v>
      </c>
      <c r="C2006" s="17" t="s">
        <v>255</v>
      </c>
      <c r="D2006" s="19">
        <v>31.03</v>
      </c>
      <c r="F2006" s="3" t="str">
        <f t="shared" si="31"/>
        <v>C3971</v>
      </c>
    </row>
    <row r="2007" spans="1:6" x14ac:dyDescent="0.2">
      <c r="A2007" s="17">
        <v>0</v>
      </c>
      <c r="B2007" s="18"/>
      <c r="C2007" s="17">
        <v>0</v>
      </c>
      <c r="D2007" s="19">
        <v>0</v>
      </c>
      <c r="F2007" s="3">
        <f t="shared" si="31"/>
        <v>0</v>
      </c>
    </row>
    <row r="2008" spans="1:6" x14ac:dyDescent="0.2">
      <c r="A2008" s="17" t="s">
        <v>9214</v>
      </c>
      <c r="B2008" s="18" t="s">
        <v>9215</v>
      </c>
      <c r="C2008" s="17" t="s">
        <v>255</v>
      </c>
      <c r="D2008" s="19">
        <v>171.16</v>
      </c>
      <c r="F2008" s="3" t="str">
        <f t="shared" si="31"/>
        <v>C2998</v>
      </c>
    </row>
    <row r="2009" spans="1:6" x14ac:dyDescent="0.2">
      <c r="A2009" s="17" t="s">
        <v>9216</v>
      </c>
      <c r="B2009" s="18" t="s">
        <v>9217</v>
      </c>
      <c r="C2009" s="17" t="s">
        <v>255</v>
      </c>
      <c r="D2009" s="19">
        <v>86.28</v>
      </c>
      <c r="F2009" s="3" t="str">
        <f t="shared" si="31"/>
        <v>C4484</v>
      </c>
    </row>
    <row r="2010" spans="1:6" x14ac:dyDescent="0.2">
      <c r="A2010" s="17" t="s">
        <v>9218</v>
      </c>
      <c r="B2010" s="18" t="s">
        <v>9219</v>
      </c>
      <c r="C2010" s="17" t="s">
        <v>255</v>
      </c>
      <c r="D2010" s="19">
        <v>118.85</v>
      </c>
      <c r="F2010" s="3" t="str">
        <f t="shared" si="31"/>
        <v>C4485</v>
      </c>
    </row>
    <row r="2011" spans="1:6" x14ac:dyDescent="0.2">
      <c r="A2011" s="17" t="s">
        <v>9220</v>
      </c>
      <c r="B2011" s="18" t="s">
        <v>9221</v>
      </c>
      <c r="C2011" s="17" t="s">
        <v>255</v>
      </c>
      <c r="D2011" s="19">
        <v>70.930000000000007</v>
      </c>
      <c r="F2011" s="3" t="str">
        <f t="shared" si="31"/>
        <v>C4482</v>
      </c>
    </row>
    <row r="2012" spans="1:6" x14ac:dyDescent="0.2">
      <c r="A2012" s="17" t="s">
        <v>9222</v>
      </c>
      <c r="B2012" s="18" t="s">
        <v>9223</v>
      </c>
      <c r="C2012" s="17" t="s">
        <v>255</v>
      </c>
      <c r="D2012" s="19">
        <v>76.69</v>
      </c>
      <c r="F2012" s="3" t="str">
        <f t="shared" si="31"/>
        <v>C4483</v>
      </c>
    </row>
    <row r="2013" spans="1:6" x14ac:dyDescent="0.2">
      <c r="A2013" s="17" t="s">
        <v>9224</v>
      </c>
      <c r="B2013" s="18" t="s">
        <v>9225</v>
      </c>
      <c r="C2013" s="17" t="s">
        <v>255</v>
      </c>
      <c r="D2013" s="19">
        <v>196.35</v>
      </c>
      <c r="F2013" s="3" t="str">
        <f t="shared" si="31"/>
        <v>C4472</v>
      </c>
    </row>
    <row r="2014" spans="1:6" x14ac:dyDescent="0.2">
      <c r="A2014" s="17" t="s">
        <v>9226</v>
      </c>
      <c r="B2014" s="21" t="s">
        <v>9227</v>
      </c>
      <c r="C2014" s="17" t="s">
        <v>255</v>
      </c>
      <c r="D2014" s="19">
        <v>69.540000000000006</v>
      </c>
      <c r="F2014" s="3" t="str">
        <f t="shared" si="31"/>
        <v>C4468</v>
      </c>
    </row>
    <row r="2015" spans="1:6" ht="22.5" x14ac:dyDescent="0.2">
      <c r="A2015" s="17" t="s">
        <v>9228</v>
      </c>
      <c r="B2015" s="18" t="s">
        <v>9229</v>
      </c>
      <c r="C2015" s="17" t="s">
        <v>255</v>
      </c>
      <c r="D2015" s="19">
        <v>125.67</v>
      </c>
      <c r="F2015" s="3" t="str">
        <f t="shared" si="31"/>
        <v>C4471</v>
      </c>
    </row>
    <row r="2016" spans="1:6" x14ac:dyDescent="0.2">
      <c r="A2016" s="17">
        <v>0</v>
      </c>
      <c r="B2016" s="18"/>
      <c r="C2016" s="17">
        <v>0</v>
      </c>
      <c r="D2016" s="19">
        <v>0</v>
      </c>
      <c r="F2016" s="3">
        <f t="shared" si="31"/>
        <v>0</v>
      </c>
    </row>
    <row r="2017" spans="1:6" x14ac:dyDescent="0.2">
      <c r="A2017" s="17" t="s">
        <v>9230</v>
      </c>
      <c r="B2017" s="18" t="s">
        <v>9231</v>
      </c>
      <c r="C2017" s="17" t="s">
        <v>255</v>
      </c>
      <c r="D2017" s="19">
        <v>88.88</v>
      </c>
      <c r="F2017" s="3" t="str">
        <f t="shared" si="31"/>
        <v>C4469</v>
      </c>
    </row>
    <row r="2018" spans="1:6" x14ac:dyDescent="0.2">
      <c r="A2018" s="17">
        <v>0</v>
      </c>
      <c r="B2018" s="18"/>
      <c r="C2018" s="17">
        <v>0</v>
      </c>
      <c r="D2018" s="19">
        <v>0</v>
      </c>
      <c r="F2018" s="3">
        <f t="shared" si="31"/>
        <v>0</v>
      </c>
    </row>
    <row r="2019" spans="1:6" ht="26.25" customHeight="1" x14ac:dyDescent="0.2">
      <c r="A2019" s="17" t="s">
        <v>9232</v>
      </c>
      <c r="B2019" s="18" t="s">
        <v>9233</v>
      </c>
      <c r="C2019" s="17" t="s">
        <v>255</v>
      </c>
      <c r="D2019" s="19">
        <v>91.51</v>
      </c>
      <c r="F2019" s="3" t="str">
        <f t="shared" si="31"/>
        <v>C4470</v>
      </c>
    </row>
    <row r="2020" spans="1:6" x14ac:dyDescent="0.2">
      <c r="A2020" s="17">
        <v>0</v>
      </c>
      <c r="B2020" s="18"/>
      <c r="C2020" s="17">
        <v>0</v>
      </c>
      <c r="D2020" s="19">
        <v>0</v>
      </c>
      <c r="F2020" s="3">
        <f t="shared" si="31"/>
        <v>0</v>
      </c>
    </row>
    <row r="2021" spans="1:6" x14ac:dyDescent="0.2">
      <c r="A2021" s="17" t="s">
        <v>9234</v>
      </c>
      <c r="B2021" s="18" t="s">
        <v>9235</v>
      </c>
      <c r="C2021" s="17" t="s">
        <v>255</v>
      </c>
      <c r="D2021" s="19">
        <v>15.34</v>
      </c>
      <c r="F2021" s="3" t="str">
        <f t="shared" si="31"/>
        <v>C4512</v>
      </c>
    </row>
    <row r="2022" spans="1:6" x14ac:dyDescent="0.2">
      <c r="A2022" s="17" t="s">
        <v>9236</v>
      </c>
      <c r="B2022" s="18" t="s">
        <v>9237</v>
      </c>
      <c r="C2022" s="17" t="s">
        <v>0</v>
      </c>
      <c r="D2022" s="19">
        <v>19.39</v>
      </c>
      <c r="F2022" s="3" t="str">
        <f t="shared" si="31"/>
        <v>C4506</v>
      </c>
    </row>
    <row r="2023" spans="1:6" x14ac:dyDescent="0.2">
      <c r="A2023" s="17" t="s">
        <v>9238</v>
      </c>
      <c r="B2023" s="18" t="s">
        <v>9239</v>
      </c>
      <c r="C2023" s="17" t="s">
        <v>0</v>
      </c>
      <c r="D2023" s="19">
        <v>19.39</v>
      </c>
      <c r="F2023" s="3" t="str">
        <f t="shared" si="31"/>
        <v>C4284</v>
      </c>
    </row>
    <row r="2024" spans="1:6" x14ac:dyDescent="0.2">
      <c r="A2024" s="17" t="s">
        <v>9240</v>
      </c>
      <c r="B2024" s="18" t="s">
        <v>9241</v>
      </c>
      <c r="C2024" s="17" t="s">
        <v>26</v>
      </c>
      <c r="D2024" s="19">
        <v>11.53</v>
      </c>
      <c r="F2024" s="3" t="str">
        <f t="shared" si="31"/>
        <v>C2478</v>
      </c>
    </row>
    <row r="2025" spans="1:6" x14ac:dyDescent="0.2">
      <c r="A2025" s="14" t="s">
        <v>8808</v>
      </c>
      <c r="B2025" s="15"/>
      <c r="C2025" s="14">
        <v>0</v>
      </c>
      <c r="D2025" s="16">
        <v>15965.89</v>
      </c>
      <c r="F2025" s="3" t="str">
        <f t="shared" si="31"/>
        <v>PISOS</v>
      </c>
    </row>
    <row r="2026" spans="1:6" x14ac:dyDescent="0.2">
      <c r="A2026" s="14" t="s">
        <v>9242</v>
      </c>
      <c r="B2026" s="15"/>
      <c r="C2026" s="14">
        <v>0</v>
      </c>
      <c r="D2026" s="16">
        <v>12757</v>
      </c>
      <c r="F2026" s="3" t="str">
        <f t="shared" si="31"/>
        <v>PISOS INTERNOS</v>
      </c>
    </row>
    <row r="2027" spans="1:6" x14ac:dyDescent="0.2">
      <c r="A2027" s="17" t="s">
        <v>9243</v>
      </c>
      <c r="B2027" s="18" t="s">
        <v>9244</v>
      </c>
      <c r="C2027" s="17" t="s">
        <v>255</v>
      </c>
      <c r="D2027" s="19">
        <v>53.53</v>
      </c>
      <c r="F2027" s="3" t="str">
        <f t="shared" si="31"/>
        <v>C0099</v>
      </c>
    </row>
    <row r="2028" spans="1:6" ht="22.5" x14ac:dyDescent="0.2">
      <c r="A2028" s="17" t="s">
        <v>9245</v>
      </c>
      <c r="B2028" s="18" t="s">
        <v>9246</v>
      </c>
      <c r="C2028" s="17" t="s">
        <v>255</v>
      </c>
      <c r="D2028" s="19">
        <v>97.85</v>
      </c>
      <c r="F2028" s="3" t="str">
        <f t="shared" si="31"/>
        <v>C4437</v>
      </c>
    </row>
    <row r="2029" spans="1:6" x14ac:dyDescent="0.2">
      <c r="A2029" s="17">
        <v>0</v>
      </c>
      <c r="B2029" s="18"/>
      <c r="C2029" s="17">
        <v>0</v>
      </c>
      <c r="D2029" s="19">
        <v>0</v>
      </c>
      <c r="F2029" s="3">
        <f t="shared" si="31"/>
        <v>0</v>
      </c>
    </row>
    <row r="2030" spans="1:6" ht="22.5" x14ac:dyDescent="0.2">
      <c r="A2030" s="17" t="s">
        <v>9247</v>
      </c>
      <c r="B2030" s="18" t="s">
        <v>9248</v>
      </c>
      <c r="C2030" s="17" t="s">
        <v>255</v>
      </c>
      <c r="D2030" s="19">
        <v>127.49</v>
      </c>
      <c r="F2030" s="3" t="str">
        <f t="shared" si="31"/>
        <v>C4439</v>
      </c>
    </row>
    <row r="2031" spans="1:6" x14ac:dyDescent="0.2">
      <c r="A2031" s="17">
        <v>0</v>
      </c>
      <c r="B2031" s="18"/>
      <c r="C2031" s="17">
        <v>0</v>
      </c>
      <c r="D2031" s="19">
        <v>0</v>
      </c>
      <c r="F2031" s="3">
        <f t="shared" si="31"/>
        <v>0</v>
      </c>
    </row>
    <row r="2032" spans="1:6" ht="22.5" x14ac:dyDescent="0.2">
      <c r="A2032" s="17" t="s">
        <v>9249</v>
      </c>
      <c r="B2032" s="18" t="s">
        <v>9250</v>
      </c>
      <c r="C2032" s="17" t="s">
        <v>255</v>
      </c>
      <c r="D2032" s="19">
        <v>68.64</v>
      </c>
      <c r="F2032" s="3" t="str">
        <f t="shared" si="31"/>
        <v>C2996</v>
      </c>
    </row>
    <row r="2033" spans="1:6" x14ac:dyDescent="0.2">
      <c r="A2033" s="17">
        <v>0</v>
      </c>
      <c r="B2033" s="18"/>
      <c r="C2033" s="17">
        <v>0</v>
      </c>
      <c r="D2033" s="19">
        <v>0</v>
      </c>
      <c r="F2033" s="3">
        <f t="shared" si="31"/>
        <v>0</v>
      </c>
    </row>
    <row r="2034" spans="1:6" ht="22.5" x14ac:dyDescent="0.2">
      <c r="A2034" s="17" t="s">
        <v>9251</v>
      </c>
      <c r="B2034" s="18" t="s">
        <v>9252</v>
      </c>
      <c r="C2034" s="17" t="s">
        <v>255</v>
      </c>
      <c r="D2034" s="19">
        <v>103.12</v>
      </c>
      <c r="F2034" s="3" t="str">
        <f t="shared" si="31"/>
        <v>C3001</v>
      </c>
    </row>
    <row r="2035" spans="1:6" x14ac:dyDescent="0.2">
      <c r="A2035" s="17">
        <v>0</v>
      </c>
      <c r="B2035" s="18"/>
      <c r="C2035" s="17">
        <v>0</v>
      </c>
      <c r="D2035" s="19">
        <v>0</v>
      </c>
      <c r="F2035" s="3">
        <f t="shared" si="31"/>
        <v>0</v>
      </c>
    </row>
    <row r="2036" spans="1:6" x14ac:dyDescent="0.2">
      <c r="A2036" s="17" t="s">
        <v>9253</v>
      </c>
      <c r="B2036" s="18" t="s">
        <v>9254</v>
      </c>
      <c r="C2036" s="17" t="s">
        <v>271</v>
      </c>
      <c r="D2036" s="19">
        <v>485.58</v>
      </c>
      <c r="F2036" s="3" t="str">
        <f t="shared" si="31"/>
        <v>C0837</v>
      </c>
    </row>
    <row r="2037" spans="1:6" x14ac:dyDescent="0.2">
      <c r="A2037" s="17" t="s">
        <v>9255</v>
      </c>
      <c r="B2037" s="18" t="s">
        <v>9256</v>
      </c>
      <c r="C2037" s="17" t="s">
        <v>0</v>
      </c>
      <c r="D2037" s="19">
        <v>19.09</v>
      </c>
      <c r="F2037" s="3" t="str">
        <f t="shared" si="31"/>
        <v>C0871</v>
      </c>
    </row>
    <row r="2038" spans="1:6" x14ac:dyDescent="0.2">
      <c r="A2038" s="17" t="s">
        <v>9257</v>
      </c>
      <c r="B2038" s="18" t="s">
        <v>9258</v>
      </c>
      <c r="C2038" s="17" t="s">
        <v>0</v>
      </c>
      <c r="D2038" s="19">
        <v>44.18</v>
      </c>
      <c r="F2038" s="3" t="str">
        <f t="shared" si="31"/>
        <v>C1032</v>
      </c>
    </row>
    <row r="2039" spans="1:6" x14ac:dyDescent="0.2">
      <c r="A2039" s="17" t="s">
        <v>9259</v>
      </c>
      <c r="B2039" s="18" t="s">
        <v>9260</v>
      </c>
      <c r="C2039" s="17" t="s">
        <v>0</v>
      </c>
      <c r="D2039" s="19">
        <v>126.73</v>
      </c>
      <c r="F2039" s="3" t="str">
        <f t="shared" si="31"/>
        <v>C1033</v>
      </c>
    </row>
    <row r="2040" spans="1:6" x14ac:dyDescent="0.2">
      <c r="A2040" s="17" t="s">
        <v>9261</v>
      </c>
      <c r="B2040" s="18" t="s">
        <v>9262</v>
      </c>
      <c r="C2040" s="17" t="s">
        <v>0</v>
      </c>
      <c r="D2040" s="19">
        <v>113.12</v>
      </c>
      <c r="F2040" s="3" t="str">
        <f t="shared" si="31"/>
        <v>C1034</v>
      </c>
    </row>
    <row r="2041" spans="1:6" x14ac:dyDescent="0.2">
      <c r="A2041" s="17" t="s">
        <v>9263</v>
      </c>
      <c r="B2041" s="18" t="s">
        <v>9264</v>
      </c>
      <c r="C2041" s="17" t="s">
        <v>0</v>
      </c>
      <c r="D2041" s="19">
        <v>131.87</v>
      </c>
      <c r="F2041" s="3" t="str">
        <f t="shared" si="31"/>
        <v>C1035</v>
      </c>
    </row>
    <row r="2042" spans="1:6" x14ac:dyDescent="0.2">
      <c r="A2042" s="17" t="s">
        <v>9265</v>
      </c>
      <c r="B2042" s="18" t="s">
        <v>9266</v>
      </c>
      <c r="C2042" s="17" t="s">
        <v>0</v>
      </c>
      <c r="D2042" s="19">
        <v>86.28</v>
      </c>
      <c r="F2042" s="3" t="str">
        <f t="shared" si="31"/>
        <v>C1036</v>
      </c>
    </row>
    <row r="2043" spans="1:6" x14ac:dyDescent="0.2">
      <c r="A2043" s="17" t="s">
        <v>9267</v>
      </c>
      <c r="B2043" s="18" t="s">
        <v>9268</v>
      </c>
      <c r="C2043" s="17" t="s">
        <v>0</v>
      </c>
      <c r="D2043" s="19">
        <v>62.46</v>
      </c>
      <c r="F2043" s="3" t="str">
        <f t="shared" si="31"/>
        <v>C1037</v>
      </c>
    </row>
    <row r="2044" spans="1:6" x14ac:dyDescent="0.2">
      <c r="A2044" s="17" t="s">
        <v>9269</v>
      </c>
      <c r="B2044" s="18" t="s">
        <v>9270</v>
      </c>
      <c r="C2044" s="17" t="s">
        <v>0</v>
      </c>
      <c r="D2044" s="19">
        <v>97.96</v>
      </c>
      <c r="F2044" s="3" t="str">
        <f t="shared" si="31"/>
        <v>C1038</v>
      </c>
    </row>
    <row r="2045" spans="1:6" x14ac:dyDescent="0.2">
      <c r="A2045" s="17" t="s">
        <v>9271</v>
      </c>
      <c r="B2045" s="18" t="s">
        <v>9272</v>
      </c>
      <c r="C2045" s="17" t="s">
        <v>255</v>
      </c>
      <c r="D2045" s="19">
        <v>26.85</v>
      </c>
      <c r="F2045" s="3" t="str">
        <f t="shared" si="31"/>
        <v>C1237</v>
      </c>
    </row>
    <row r="2046" spans="1:6" x14ac:dyDescent="0.2">
      <c r="A2046" s="17" t="s">
        <v>9273</v>
      </c>
      <c r="B2046" s="18" t="s">
        <v>9274</v>
      </c>
      <c r="C2046" s="17" t="s">
        <v>255</v>
      </c>
      <c r="D2046" s="19">
        <v>548.89</v>
      </c>
      <c r="F2046" s="3" t="str">
        <f t="shared" si="31"/>
        <v>C4066</v>
      </c>
    </row>
    <row r="2047" spans="1:6" x14ac:dyDescent="0.2">
      <c r="A2047" s="17">
        <v>0</v>
      </c>
      <c r="B2047" s="18"/>
      <c r="C2047" s="17">
        <v>0</v>
      </c>
      <c r="D2047" s="19">
        <v>0</v>
      </c>
      <c r="F2047" s="3">
        <f t="shared" si="31"/>
        <v>0</v>
      </c>
    </row>
    <row r="2048" spans="1:6" x14ac:dyDescent="0.2">
      <c r="A2048" s="17" t="s">
        <v>9275</v>
      </c>
      <c r="B2048" s="18" t="s">
        <v>9276</v>
      </c>
      <c r="C2048" s="17" t="s">
        <v>255</v>
      </c>
      <c r="D2048" s="19">
        <v>370.94</v>
      </c>
      <c r="F2048" s="3" t="str">
        <f t="shared" si="31"/>
        <v>C4065</v>
      </c>
    </row>
    <row r="2049" spans="1:6" x14ac:dyDescent="0.2">
      <c r="A2049" s="17">
        <v>0</v>
      </c>
      <c r="B2049" s="18"/>
      <c r="C2049" s="17">
        <v>0</v>
      </c>
      <c r="D2049" s="19">
        <v>0</v>
      </c>
      <c r="F2049" s="3">
        <f t="shared" si="31"/>
        <v>0</v>
      </c>
    </row>
    <row r="2050" spans="1:6" x14ac:dyDescent="0.2">
      <c r="A2050" s="17" t="s">
        <v>9277</v>
      </c>
      <c r="B2050" s="18" t="s">
        <v>9278</v>
      </c>
      <c r="C2050" s="17" t="s">
        <v>255</v>
      </c>
      <c r="D2050" s="19">
        <v>450.18</v>
      </c>
      <c r="F2050" s="3" t="str">
        <f t="shared" ref="F2050:F2113" si="32">A2050</f>
        <v>C4067</v>
      </c>
    </row>
    <row r="2051" spans="1:6" x14ac:dyDescent="0.2">
      <c r="A2051" s="17">
        <v>0</v>
      </c>
      <c r="B2051" s="18"/>
      <c r="C2051" s="17">
        <v>0</v>
      </c>
      <c r="D2051" s="19">
        <v>0</v>
      </c>
      <c r="F2051" s="3">
        <f t="shared" si="32"/>
        <v>0</v>
      </c>
    </row>
    <row r="2052" spans="1:6" x14ac:dyDescent="0.2">
      <c r="A2052" s="17" t="s">
        <v>9279</v>
      </c>
      <c r="B2052" s="18" t="s">
        <v>9280</v>
      </c>
      <c r="C2052" s="17" t="s">
        <v>255</v>
      </c>
      <c r="D2052" s="19">
        <v>497.74</v>
      </c>
      <c r="F2052" s="3" t="str">
        <f t="shared" si="32"/>
        <v>C4064</v>
      </c>
    </row>
    <row r="2053" spans="1:6" x14ac:dyDescent="0.2">
      <c r="A2053" s="17">
        <v>0</v>
      </c>
      <c r="B2053" s="18"/>
      <c r="C2053" s="17">
        <v>0</v>
      </c>
      <c r="D2053" s="19">
        <v>0</v>
      </c>
      <c r="F2053" s="3">
        <f t="shared" si="32"/>
        <v>0</v>
      </c>
    </row>
    <row r="2054" spans="1:6" x14ac:dyDescent="0.2">
      <c r="A2054" s="17" t="s">
        <v>9281</v>
      </c>
      <c r="B2054" s="18" t="s">
        <v>9282</v>
      </c>
      <c r="C2054" s="17" t="s">
        <v>255</v>
      </c>
      <c r="D2054" s="19">
        <v>1.85</v>
      </c>
      <c r="F2054" s="3" t="str">
        <f t="shared" si="32"/>
        <v>C1623</v>
      </c>
    </row>
    <row r="2055" spans="1:6" x14ac:dyDescent="0.2">
      <c r="A2055" s="17" t="s">
        <v>9283</v>
      </c>
      <c r="B2055" s="18" t="s">
        <v>9284</v>
      </c>
      <c r="C2055" s="17" t="s">
        <v>255</v>
      </c>
      <c r="D2055" s="19">
        <v>106.08</v>
      </c>
      <c r="F2055" s="3" t="str">
        <f t="shared" si="32"/>
        <v>C3547</v>
      </c>
    </row>
    <row r="2056" spans="1:6" x14ac:dyDescent="0.2">
      <c r="A2056" s="17" t="s">
        <v>9285</v>
      </c>
      <c r="B2056" s="18" t="s">
        <v>9286</v>
      </c>
      <c r="C2056" s="17" t="s">
        <v>255</v>
      </c>
      <c r="D2056" s="19">
        <v>29.57</v>
      </c>
      <c r="F2056" s="3" t="str">
        <f t="shared" si="32"/>
        <v>C3549</v>
      </c>
    </row>
    <row r="2057" spans="1:6" x14ac:dyDescent="0.2">
      <c r="A2057" s="17" t="s">
        <v>9287</v>
      </c>
      <c r="B2057" s="18" t="s">
        <v>9288</v>
      </c>
      <c r="C2057" s="17" t="s">
        <v>271</v>
      </c>
      <c r="D2057" s="19">
        <v>425.51</v>
      </c>
      <c r="F2057" s="3" t="str">
        <f t="shared" si="32"/>
        <v>C3548</v>
      </c>
    </row>
    <row r="2058" spans="1:6" x14ac:dyDescent="0.2">
      <c r="A2058" s="17">
        <v>0</v>
      </c>
      <c r="B2058" s="18"/>
      <c r="C2058" s="17">
        <v>0</v>
      </c>
      <c r="D2058" s="19">
        <v>0</v>
      </c>
      <c r="F2058" s="3">
        <f t="shared" si="32"/>
        <v>0</v>
      </c>
    </row>
    <row r="2059" spans="1:6" x14ac:dyDescent="0.2">
      <c r="A2059" s="17" t="s">
        <v>9289</v>
      </c>
      <c r="B2059" s="18" t="s">
        <v>9290</v>
      </c>
      <c r="C2059" s="17" t="s">
        <v>255</v>
      </c>
      <c r="D2059" s="19">
        <v>104.65</v>
      </c>
      <c r="F2059" s="3" t="str">
        <f t="shared" si="32"/>
        <v>C1846</v>
      </c>
    </row>
    <row r="2060" spans="1:6" x14ac:dyDescent="0.2">
      <c r="A2060" s="17" t="s">
        <v>9291</v>
      </c>
      <c r="B2060" s="18" t="s">
        <v>9292</v>
      </c>
      <c r="C2060" s="17" t="s">
        <v>255</v>
      </c>
      <c r="D2060" s="19">
        <v>153.66</v>
      </c>
      <c r="F2060" s="3" t="str">
        <f t="shared" si="32"/>
        <v>C1852</v>
      </c>
    </row>
    <row r="2061" spans="1:6" x14ac:dyDescent="0.2">
      <c r="A2061" s="17" t="s">
        <v>9293</v>
      </c>
      <c r="B2061" s="18" t="s">
        <v>9294</v>
      </c>
      <c r="C2061" s="17" t="s">
        <v>255</v>
      </c>
      <c r="D2061" s="19">
        <v>247.46</v>
      </c>
      <c r="F2061" s="3" t="str">
        <f t="shared" si="32"/>
        <v>C1859</v>
      </c>
    </row>
    <row r="2062" spans="1:6" x14ac:dyDescent="0.2">
      <c r="A2062" s="17" t="s">
        <v>9295</v>
      </c>
      <c r="B2062" s="18" t="s">
        <v>9296</v>
      </c>
      <c r="C2062" s="17" t="s">
        <v>255</v>
      </c>
      <c r="D2062" s="19">
        <v>162.56</v>
      </c>
      <c r="F2062" s="3" t="str">
        <f t="shared" si="32"/>
        <v>C3015</v>
      </c>
    </row>
    <row r="2063" spans="1:6" x14ac:dyDescent="0.2">
      <c r="A2063" s="17" t="s">
        <v>9297</v>
      </c>
      <c r="B2063" s="18" t="s">
        <v>9298</v>
      </c>
      <c r="C2063" s="17" t="s">
        <v>0</v>
      </c>
      <c r="D2063" s="19">
        <v>95.24</v>
      </c>
      <c r="F2063" s="3" t="str">
        <f t="shared" si="32"/>
        <v>C1869</v>
      </c>
    </row>
    <row r="2064" spans="1:6" x14ac:dyDescent="0.2">
      <c r="A2064" s="17" t="s">
        <v>9299</v>
      </c>
      <c r="B2064" s="18" t="s">
        <v>9300</v>
      </c>
      <c r="C2064" s="17" t="s">
        <v>0</v>
      </c>
      <c r="D2064" s="19">
        <v>91.7</v>
      </c>
      <c r="F2064" s="3" t="str">
        <f t="shared" si="32"/>
        <v>C1870</v>
      </c>
    </row>
    <row r="2065" spans="1:6" x14ac:dyDescent="0.2">
      <c r="A2065" s="17" t="s">
        <v>9301</v>
      </c>
      <c r="B2065" s="18" t="s">
        <v>9302</v>
      </c>
      <c r="C2065" s="17" t="s">
        <v>0</v>
      </c>
      <c r="D2065" s="19">
        <v>127.97</v>
      </c>
      <c r="F2065" s="3" t="str">
        <f t="shared" si="32"/>
        <v>C1871</v>
      </c>
    </row>
    <row r="2066" spans="1:6" x14ac:dyDescent="0.2">
      <c r="A2066" s="17" t="s">
        <v>9303</v>
      </c>
      <c r="B2066" s="18" t="s">
        <v>9304</v>
      </c>
      <c r="C2066" s="17" t="s">
        <v>255</v>
      </c>
      <c r="D2066" s="19">
        <v>183.32</v>
      </c>
      <c r="F2066" s="3" t="str">
        <f t="shared" si="32"/>
        <v>C3016</v>
      </c>
    </row>
    <row r="2067" spans="1:6" x14ac:dyDescent="0.2">
      <c r="A2067" s="17" t="s">
        <v>9305</v>
      </c>
      <c r="B2067" s="18" t="s">
        <v>9306</v>
      </c>
      <c r="C2067" s="17" t="s">
        <v>0</v>
      </c>
      <c r="D2067" s="19">
        <v>56.81</v>
      </c>
      <c r="F2067" s="3" t="str">
        <f t="shared" si="32"/>
        <v>C1872</v>
      </c>
    </row>
    <row r="2068" spans="1:6" x14ac:dyDescent="0.2">
      <c r="A2068" s="17" t="s">
        <v>9307</v>
      </c>
      <c r="B2068" s="18" t="s">
        <v>9308</v>
      </c>
      <c r="C2068" s="17" t="s">
        <v>255</v>
      </c>
      <c r="D2068" s="19">
        <v>183.8</v>
      </c>
      <c r="F2068" s="3" t="str">
        <f t="shared" si="32"/>
        <v>C1912</v>
      </c>
    </row>
    <row r="2069" spans="1:6" x14ac:dyDescent="0.2">
      <c r="A2069" s="17" t="s">
        <v>9309</v>
      </c>
      <c r="B2069" s="18" t="s">
        <v>9310</v>
      </c>
      <c r="C2069" s="17" t="s">
        <v>255</v>
      </c>
      <c r="D2069" s="19">
        <v>50.13</v>
      </c>
      <c r="F2069" s="3" t="str">
        <f t="shared" si="32"/>
        <v>C1914</v>
      </c>
    </row>
    <row r="2070" spans="1:6" x14ac:dyDescent="0.2">
      <c r="A2070" s="17" t="s">
        <v>9311</v>
      </c>
      <c r="B2070" s="18" t="s">
        <v>9312</v>
      </c>
      <c r="C2070" s="17" t="s">
        <v>255</v>
      </c>
      <c r="D2070" s="19">
        <v>50.8</v>
      </c>
      <c r="F2070" s="3" t="str">
        <f t="shared" si="32"/>
        <v>C1915</v>
      </c>
    </row>
    <row r="2071" spans="1:6" x14ac:dyDescent="0.2">
      <c r="A2071" s="17">
        <v>0</v>
      </c>
      <c r="B2071" s="18"/>
      <c r="C2071" s="17">
        <v>0</v>
      </c>
      <c r="D2071" s="19">
        <v>0</v>
      </c>
      <c r="F2071" s="3">
        <f t="shared" si="32"/>
        <v>0</v>
      </c>
    </row>
    <row r="2072" spans="1:6" ht="22.5" x14ac:dyDescent="0.2">
      <c r="A2072" s="17" t="s">
        <v>9313</v>
      </c>
      <c r="B2072" s="18" t="s">
        <v>9314</v>
      </c>
      <c r="C2072" s="17" t="s">
        <v>255</v>
      </c>
      <c r="D2072" s="19">
        <v>52.9</v>
      </c>
      <c r="F2072" s="3" t="str">
        <f t="shared" si="32"/>
        <v>C1916</v>
      </c>
    </row>
    <row r="2073" spans="1:6" x14ac:dyDescent="0.2">
      <c r="A2073" s="17">
        <v>0</v>
      </c>
      <c r="B2073" s="18"/>
      <c r="C2073" s="17">
        <v>0</v>
      </c>
      <c r="D2073" s="19">
        <v>0</v>
      </c>
      <c r="F2073" s="3">
        <f t="shared" si="32"/>
        <v>0</v>
      </c>
    </row>
    <row r="2074" spans="1:6" x14ac:dyDescent="0.2">
      <c r="A2074" s="20" t="s">
        <v>9315</v>
      </c>
      <c r="B2074" s="21" t="s">
        <v>9316</v>
      </c>
      <c r="C2074" s="20" t="s">
        <v>255</v>
      </c>
      <c r="D2074" s="22">
        <v>52.61</v>
      </c>
      <c r="F2074" s="3" t="str">
        <f t="shared" si="32"/>
        <v>C4601</v>
      </c>
    </row>
    <row r="2075" spans="1:6" x14ac:dyDescent="0.2">
      <c r="A2075" s="17" t="s">
        <v>9317</v>
      </c>
      <c r="B2075" s="18" t="s">
        <v>9318</v>
      </c>
      <c r="C2075" s="17" t="s">
        <v>255</v>
      </c>
      <c r="D2075" s="19">
        <v>216.17</v>
      </c>
      <c r="F2075" s="3" t="str">
        <f t="shared" si="32"/>
        <v>C2901</v>
      </c>
    </row>
    <row r="2076" spans="1:6" x14ac:dyDescent="0.2">
      <c r="A2076" s="17" t="s">
        <v>9319</v>
      </c>
      <c r="B2076" s="18" t="s">
        <v>9320</v>
      </c>
      <c r="C2076" s="17" t="s">
        <v>255</v>
      </c>
      <c r="D2076" s="19">
        <v>145.44999999999999</v>
      </c>
      <c r="F2076" s="3" t="str">
        <f t="shared" si="32"/>
        <v>C1921</v>
      </c>
    </row>
    <row r="2077" spans="1:6" ht="22.5" x14ac:dyDescent="0.2">
      <c r="A2077" s="17" t="s">
        <v>9321</v>
      </c>
      <c r="B2077" s="18" t="s">
        <v>9322</v>
      </c>
      <c r="C2077" s="17" t="s">
        <v>255</v>
      </c>
      <c r="D2077" s="19">
        <v>284.12</v>
      </c>
      <c r="F2077" s="3" t="str">
        <f t="shared" si="32"/>
        <v>C4833</v>
      </c>
    </row>
    <row r="2078" spans="1:6" x14ac:dyDescent="0.2">
      <c r="A2078" s="17">
        <v>0</v>
      </c>
      <c r="B2078" s="18"/>
      <c r="C2078" s="17">
        <v>0</v>
      </c>
      <c r="D2078" s="19">
        <v>0</v>
      </c>
      <c r="F2078" s="3">
        <f t="shared" si="32"/>
        <v>0</v>
      </c>
    </row>
    <row r="2079" spans="1:6" ht="22.5" x14ac:dyDescent="0.2">
      <c r="A2079" s="17" t="s">
        <v>9323</v>
      </c>
      <c r="B2079" s="18" t="s">
        <v>9324</v>
      </c>
      <c r="C2079" s="17" t="s">
        <v>255</v>
      </c>
      <c r="D2079" s="19">
        <v>448</v>
      </c>
      <c r="F2079" s="3" t="str">
        <f t="shared" si="32"/>
        <v>C5210</v>
      </c>
    </row>
    <row r="2080" spans="1:6" x14ac:dyDescent="0.2">
      <c r="A2080" s="17">
        <v>0</v>
      </c>
      <c r="B2080" s="18"/>
      <c r="C2080" s="17">
        <v>0</v>
      </c>
      <c r="D2080" s="19">
        <v>0</v>
      </c>
      <c r="F2080" s="3">
        <f t="shared" si="32"/>
        <v>0</v>
      </c>
    </row>
    <row r="2081" spans="1:6" x14ac:dyDescent="0.2">
      <c r="A2081" s="17" t="s">
        <v>9325</v>
      </c>
      <c r="B2081" s="18" t="s">
        <v>9326</v>
      </c>
      <c r="C2081" s="17" t="s">
        <v>255</v>
      </c>
      <c r="D2081" s="19">
        <v>408.85</v>
      </c>
      <c r="F2081" s="3" t="str">
        <f t="shared" si="32"/>
        <v>C3024</v>
      </c>
    </row>
    <row r="2082" spans="1:6" x14ac:dyDescent="0.2">
      <c r="A2082" s="17" t="s">
        <v>9327</v>
      </c>
      <c r="B2082" s="18" t="s">
        <v>9328</v>
      </c>
      <c r="C2082" s="17" t="s">
        <v>255</v>
      </c>
      <c r="D2082" s="19">
        <v>109.79</v>
      </c>
      <c r="F2082" s="3" t="str">
        <f t="shared" si="32"/>
        <v>C1919</v>
      </c>
    </row>
    <row r="2083" spans="1:6" x14ac:dyDescent="0.2">
      <c r="A2083" s="17" t="s">
        <v>9329</v>
      </c>
      <c r="B2083" s="18" t="s">
        <v>9330</v>
      </c>
      <c r="C2083" s="17" t="s">
        <v>255</v>
      </c>
      <c r="D2083" s="19">
        <v>136.06</v>
      </c>
      <c r="F2083" s="3" t="str">
        <f t="shared" si="32"/>
        <v>C1920</v>
      </c>
    </row>
    <row r="2084" spans="1:6" x14ac:dyDescent="0.2">
      <c r="A2084" s="17" t="s">
        <v>9331</v>
      </c>
      <c r="B2084" s="18" t="s">
        <v>9332</v>
      </c>
      <c r="C2084" s="17" t="s">
        <v>255</v>
      </c>
      <c r="D2084" s="19">
        <v>114.29</v>
      </c>
      <c r="F2084" s="3" t="str">
        <f t="shared" si="32"/>
        <v>C1922</v>
      </c>
    </row>
    <row r="2085" spans="1:6" x14ac:dyDescent="0.2">
      <c r="A2085" s="17" t="s">
        <v>9333</v>
      </c>
      <c r="B2085" s="18" t="s">
        <v>9334</v>
      </c>
      <c r="C2085" s="17" t="s">
        <v>271</v>
      </c>
      <c r="D2085" s="19">
        <v>647.03</v>
      </c>
      <c r="F2085" s="3" t="str">
        <f t="shared" si="32"/>
        <v>C3025</v>
      </c>
    </row>
    <row r="2086" spans="1:6" x14ac:dyDescent="0.2">
      <c r="A2086" s="17" t="s">
        <v>9335</v>
      </c>
      <c r="B2086" s="18" t="s">
        <v>9336</v>
      </c>
      <c r="C2086" s="17" t="s">
        <v>255</v>
      </c>
      <c r="D2086" s="19">
        <v>64.91</v>
      </c>
      <c r="F2086" s="3" t="str">
        <f t="shared" si="32"/>
        <v>C3026</v>
      </c>
    </row>
    <row r="2087" spans="1:6" x14ac:dyDescent="0.2">
      <c r="A2087" s="17" t="s">
        <v>9337</v>
      </c>
      <c r="B2087" s="18" t="s">
        <v>9338</v>
      </c>
      <c r="C2087" s="17" t="s">
        <v>255</v>
      </c>
      <c r="D2087" s="19">
        <v>47.19</v>
      </c>
      <c r="F2087" s="3" t="str">
        <f t="shared" si="32"/>
        <v>C3027</v>
      </c>
    </row>
    <row r="2088" spans="1:6" x14ac:dyDescent="0.2">
      <c r="A2088" s="17" t="s">
        <v>9339</v>
      </c>
      <c r="B2088" s="18" t="s">
        <v>9340</v>
      </c>
      <c r="C2088" s="17" t="s">
        <v>255</v>
      </c>
      <c r="D2088" s="19">
        <v>78.66</v>
      </c>
      <c r="F2088" s="3" t="str">
        <f t="shared" si="32"/>
        <v>C2902</v>
      </c>
    </row>
    <row r="2089" spans="1:6" ht="22.5" x14ac:dyDescent="0.2">
      <c r="A2089" s="17" t="s">
        <v>9341</v>
      </c>
      <c r="B2089" s="18" t="s">
        <v>9342</v>
      </c>
      <c r="C2089" s="17" t="s">
        <v>255</v>
      </c>
      <c r="D2089" s="19">
        <v>299.97000000000003</v>
      </c>
      <c r="F2089" s="3" t="str">
        <f t="shared" si="32"/>
        <v>C4022</v>
      </c>
    </row>
    <row r="2090" spans="1:6" x14ac:dyDescent="0.2">
      <c r="A2090" s="17">
        <v>0</v>
      </c>
      <c r="B2090" s="18"/>
      <c r="C2090" s="17">
        <v>0</v>
      </c>
      <c r="D2090" s="19">
        <v>0</v>
      </c>
      <c r="F2090" s="3">
        <f t="shared" si="32"/>
        <v>0</v>
      </c>
    </row>
    <row r="2091" spans="1:6" x14ac:dyDescent="0.2">
      <c r="A2091" s="17" t="s">
        <v>9343</v>
      </c>
      <c r="B2091" s="18" t="s">
        <v>9344</v>
      </c>
      <c r="C2091" s="17" t="s">
        <v>255</v>
      </c>
      <c r="D2091" s="19">
        <v>89.23</v>
      </c>
      <c r="F2091" s="3" t="str">
        <f t="shared" si="32"/>
        <v>C4503</v>
      </c>
    </row>
    <row r="2092" spans="1:6" x14ac:dyDescent="0.2">
      <c r="A2092" s="17" t="s">
        <v>9345</v>
      </c>
      <c r="B2092" s="18" t="s">
        <v>9346</v>
      </c>
      <c r="C2092" s="17" t="s">
        <v>255</v>
      </c>
      <c r="D2092" s="19">
        <v>111.54</v>
      </c>
      <c r="F2092" s="3" t="str">
        <f t="shared" si="32"/>
        <v>C4504</v>
      </c>
    </row>
    <row r="2093" spans="1:6" ht="22.5" x14ac:dyDescent="0.2">
      <c r="A2093" s="17" t="s">
        <v>9347</v>
      </c>
      <c r="B2093" s="18" t="s">
        <v>9348</v>
      </c>
      <c r="C2093" s="17" t="s">
        <v>255</v>
      </c>
      <c r="D2093" s="19">
        <v>248.06</v>
      </c>
      <c r="F2093" s="3" t="str">
        <f t="shared" si="32"/>
        <v>C1934</v>
      </c>
    </row>
    <row r="2094" spans="1:6" x14ac:dyDescent="0.2">
      <c r="A2094" s="17">
        <v>0</v>
      </c>
      <c r="B2094" s="18"/>
      <c r="C2094" s="17">
        <v>0</v>
      </c>
      <c r="D2094" s="19">
        <v>0</v>
      </c>
      <c r="F2094" s="3">
        <f t="shared" si="32"/>
        <v>0</v>
      </c>
    </row>
    <row r="2095" spans="1:6" x14ac:dyDescent="0.2">
      <c r="A2095" s="17" t="s">
        <v>9349</v>
      </c>
      <c r="B2095" s="18" t="s">
        <v>9350</v>
      </c>
      <c r="C2095" s="17" t="s">
        <v>255</v>
      </c>
      <c r="D2095" s="19">
        <v>306.31</v>
      </c>
      <c r="F2095" s="3" t="str">
        <f t="shared" si="32"/>
        <v>C1933</v>
      </c>
    </row>
    <row r="2096" spans="1:6" x14ac:dyDescent="0.2">
      <c r="A2096" s="17" t="s">
        <v>9351</v>
      </c>
      <c r="B2096" s="18" t="s">
        <v>9352</v>
      </c>
      <c r="C2096" s="17" t="s">
        <v>255</v>
      </c>
      <c r="D2096" s="19">
        <v>16.16</v>
      </c>
      <c r="F2096" s="3" t="str">
        <f t="shared" si="32"/>
        <v>C4099</v>
      </c>
    </row>
    <row r="2097" spans="1:6" x14ac:dyDescent="0.2">
      <c r="A2097" s="17" t="s">
        <v>9353</v>
      </c>
      <c r="B2097" s="18" t="s">
        <v>9354</v>
      </c>
      <c r="C2097" s="17" t="s">
        <v>255</v>
      </c>
      <c r="D2097" s="19">
        <v>62.4</v>
      </c>
      <c r="F2097" s="3" t="str">
        <f t="shared" si="32"/>
        <v>C1943</v>
      </c>
    </row>
    <row r="2098" spans="1:6" x14ac:dyDescent="0.2">
      <c r="A2098" s="17" t="s">
        <v>9355</v>
      </c>
      <c r="B2098" s="18" t="s">
        <v>9356</v>
      </c>
      <c r="C2098" s="17" t="s">
        <v>255</v>
      </c>
      <c r="D2098" s="19">
        <v>60.61</v>
      </c>
      <c r="F2098" s="3" t="str">
        <f t="shared" si="32"/>
        <v>C1944</v>
      </c>
    </row>
    <row r="2099" spans="1:6" x14ac:dyDescent="0.2">
      <c r="A2099" s="17" t="s">
        <v>9357</v>
      </c>
      <c r="B2099" s="18" t="s">
        <v>9358</v>
      </c>
      <c r="C2099" s="17" t="s">
        <v>255</v>
      </c>
      <c r="D2099" s="19">
        <v>159.91</v>
      </c>
      <c r="F2099" s="3" t="str">
        <f t="shared" si="32"/>
        <v>C4441</v>
      </c>
    </row>
    <row r="2100" spans="1:6" x14ac:dyDescent="0.2">
      <c r="A2100" s="17" t="s">
        <v>9359</v>
      </c>
      <c r="B2100" s="18" t="s">
        <v>9360</v>
      </c>
      <c r="C2100" s="17" t="s">
        <v>255</v>
      </c>
      <c r="D2100" s="19">
        <v>135.54</v>
      </c>
      <c r="F2100" s="3" t="str">
        <f t="shared" si="32"/>
        <v>C3007</v>
      </c>
    </row>
    <row r="2101" spans="1:6" x14ac:dyDescent="0.2">
      <c r="A2101" s="17" t="s">
        <v>9361</v>
      </c>
      <c r="B2101" s="18" t="s">
        <v>9362</v>
      </c>
      <c r="C2101" s="17" t="s">
        <v>255</v>
      </c>
      <c r="D2101" s="19">
        <v>122.48</v>
      </c>
      <c r="F2101" s="3" t="str">
        <f t="shared" si="32"/>
        <v>C3002</v>
      </c>
    </row>
    <row r="2102" spans="1:6" x14ac:dyDescent="0.2">
      <c r="A2102" s="17" t="s">
        <v>9363</v>
      </c>
      <c r="B2102" s="18" t="s">
        <v>9364</v>
      </c>
      <c r="C2102" s="17" t="s">
        <v>255</v>
      </c>
      <c r="D2102" s="19">
        <v>146.85</v>
      </c>
      <c r="F2102" s="3" t="str">
        <f t="shared" si="32"/>
        <v>C4440</v>
      </c>
    </row>
    <row r="2103" spans="1:6" x14ac:dyDescent="0.2">
      <c r="A2103" s="17" t="s">
        <v>9365</v>
      </c>
      <c r="B2103" s="18" t="s">
        <v>9366</v>
      </c>
      <c r="C2103" s="17" t="s">
        <v>255</v>
      </c>
      <c r="D2103" s="19">
        <v>52.24</v>
      </c>
      <c r="F2103" s="3" t="str">
        <f t="shared" si="32"/>
        <v>C2101</v>
      </c>
    </row>
    <row r="2104" spans="1:6" x14ac:dyDescent="0.2">
      <c r="A2104" s="17" t="s">
        <v>9367</v>
      </c>
      <c r="B2104" s="21" t="s">
        <v>9368</v>
      </c>
      <c r="C2104" s="17" t="s">
        <v>255</v>
      </c>
      <c r="D2104" s="19">
        <v>29.6</v>
      </c>
      <c r="F2104" s="3" t="str">
        <f t="shared" si="32"/>
        <v>C2181</v>
      </c>
    </row>
    <row r="2105" spans="1:6" x14ac:dyDescent="0.2">
      <c r="A2105" s="17">
        <v>0</v>
      </c>
      <c r="B2105" s="18"/>
      <c r="C2105" s="17">
        <v>0</v>
      </c>
      <c r="D2105" s="19">
        <v>0</v>
      </c>
      <c r="F2105" s="3">
        <f t="shared" si="32"/>
        <v>0</v>
      </c>
    </row>
    <row r="2106" spans="1:6" x14ac:dyDescent="0.2">
      <c r="A2106" s="17" t="s">
        <v>9369</v>
      </c>
      <c r="B2106" s="18" t="s">
        <v>9370</v>
      </c>
      <c r="C2106" s="17" t="s">
        <v>255</v>
      </c>
      <c r="D2106" s="19">
        <v>27.02</v>
      </c>
      <c r="F2106" s="3" t="str">
        <f t="shared" si="32"/>
        <v>C2179</v>
      </c>
    </row>
    <row r="2107" spans="1:6" x14ac:dyDescent="0.2">
      <c r="A2107" s="17">
        <v>0</v>
      </c>
      <c r="B2107" s="18"/>
      <c r="C2107" s="17">
        <v>0</v>
      </c>
      <c r="D2107" s="19">
        <v>0</v>
      </c>
      <c r="F2107" s="3">
        <f t="shared" si="32"/>
        <v>0</v>
      </c>
    </row>
    <row r="2108" spans="1:6" x14ac:dyDescent="0.2">
      <c r="A2108" s="17" t="s">
        <v>9371</v>
      </c>
      <c r="B2108" s="18" t="s">
        <v>9372</v>
      </c>
      <c r="C2108" s="17" t="s">
        <v>255</v>
      </c>
      <c r="D2108" s="19">
        <v>25.46</v>
      </c>
      <c r="F2108" s="3" t="str">
        <f t="shared" si="32"/>
        <v>C2180</v>
      </c>
    </row>
    <row r="2109" spans="1:6" x14ac:dyDescent="0.2">
      <c r="A2109" s="17">
        <v>0</v>
      </c>
      <c r="B2109" s="18"/>
      <c r="C2109" s="17">
        <v>0</v>
      </c>
      <c r="D2109" s="19">
        <v>0</v>
      </c>
      <c r="F2109" s="3">
        <f t="shared" si="32"/>
        <v>0</v>
      </c>
    </row>
    <row r="2110" spans="1:6" ht="22.5" x14ac:dyDescent="0.2">
      <c r="A2110" s="17" t="s">
        <v>9373</v>
      </c>
      <c r="B2110" s="18" t="s">
        <v>9374</v>
      </c>
      <c r="C2110" s="17" t="s">
        <v>255</v>
      </c>
      <c r="D2110" s="19">
        <v>29.66</v>
      </c>
      <c r="F2110" s="3" t="str">
        <f t="shared" si="32"/>
        <v>C2184</v>
      </c>
    </row>
    <row r="2111" spans="1:6" x14ac:dyDescent="0.2">
      <c r="A2111" s="17">
        <v>0</v>
      </c>
      <c r="B2111" s="18"/>
      <c r="C2111" s="17">
        <v>0</v>
      </c>
      <c r="D2111" s="19">
        <v>0</v>
      </c>
      <c r="F2111" s="3">
        <f t="shared" si="32"/>
        <v>0</v>
      </c>
    </row>
    <row r="2112" spans="1:6" ht="22.5" x14ac:dyDescent="0.2">
      <c r="A2112" s="17" t="s">
        <v>9375</v>
      </c>
      <c r="B2112" s="18" t="s">
        <v>9376</v>
      </c>
      <c r="C2112" s="17" t="s">
        <v>0</v>
      </c>
      <c r="D2112" s="19">
        <v>8.86</v>
      </c>
      <c r="F2112" s="3" t="str">
        <f t="shared" si="32"/>
        <v>C2185</v>
      </c>
    </row>
    <row r="2113" spans="1:6" x14ac:dyDescent="0.2">
      <c r="A2113" s="17">
        <v>0</v>
      </c>
      <c r="B2113" s="18"/>
      <c r="C2113" s="17">
        <v>0</v>
      </c>
      <c r="D2113" s="19">
        <v>0</v>
      </c>
      <c r="F2113" s="3">
        <f t="shared" si="32"/>
        <v>0</v>
      </c>
    </row>
    <row r="2114" spans="1:6" ht="22.5" x14ac:dyDescent="0.2">
      <c r="A2114" s="17" t="s">
        <v>9377</v>
      </c>
      <c r="B2114" s="18" t="s">
        <v>9378</v>
      </c>
      <c r="C2114" s="17" t="s">
        <v>0</v>
      </c>
      <c r="D2114" s="19">
        <v>5.28</v>
      </c>
      <c r="F2114" s="3" t="str">
        <f t="shared" ref="F2114:F2177" si="33">A2114</f>
        <v>C2186</v>
      </c>
    </row>
    <row r="2115" spans="1:6" x14ac:dyDescent="0.2">
      <c r="A2115" s="17">
        <v>0</v>
      </c>
      <c r="B2115" s="18"/>
      <c r="C2115" s="17">
        <v>0</v>
      </c>
      <c r="D2115" s="19">
        <v>0</v>
      </c>
      <c r="F2115" s="3">
        <f t="shared" si="33"/>
        <v>0</v>
      </c>
    </row>
    <row r="2116" spans="1:6" x14ac:dyDescent="0.2">
      <c r="A2116" s="17" t="s">
        <v>9379</v>
      </c>
      <c r="B2116" s="18" t="s">
        <v>9380</v>
      </c>
      <c r="C2116" s="17" t="s">
        <v>255</v>
      </c>
      <c r="D2116" s="19">
        <v>141.07</v>
      </c>
      <c r="F2116" s="3" t="str">
        <f t="shared" si="33"/>
        <v>C2234</v>
      </c>
    </row>
    <row r="2117" spans="1:6" x14ac:dyDescent="0.2">
      <c r="A2117" s="17" t="s">
        <v>9381</v>
      </c>
      <c r="B2117" s="18" t="s">
        <v>9382</v>
      </c>
      <c r="C2117" s="17" t="s">
        <v>255</v>
      </c>
      <c r="D2117" s="19">
        <v>181.83</v>
      </c>
      <c r="F2117" s="3" t="str">
        <f t="shared" si="33"/>
        <v>C2219</v>
      </c>
    </row>
    <row r="2118" spans="1:6" x14ac:dyDescent="0.2">
      <c r="A2118" s="17" t="s">
        <v>9383</v>
      </c>
      <c r="B2118" s="18" t="s">
        <v>9384</v>
      </c>
      <c r="C2118" s="17" t="s">
        <v>0</v>
      </c>
      <c r="D2118" s="19">
        <v>9</v>
      </c>
      <c r="F2118" s="3" t="str">
        <f t="shared" si="33"/>
        <v>C2240</v>
      </c>
    </row>
    <row r="2119" spans="1:6" x14ac:dyDescent="0.2">
      <c r="A2119" s="17" t="s">
        <v>9385</v>
      </c>
      <c r="B2119" s="18" t="s">
        <v>9386</v>
      </c>
      <c r="C2119" s="17" t="s">
        <v>0</v>
      </c>
      <c r="D2119" s="19">
        <v>49.5</v>
      </c>
      <c r="F2119" s="3" t="str">
        <f t="shared" si="33"/>
        <v>C4001</v>
      </c>
    </row>
    <row r="2120" spans="1:6" x14ac:dyDescent="0.2">
      <c r="A2120" s="17" t="s">
        <v>9387</v>
      </c>
      <c r="B2120" s="18" t="s">
        <v>9388</v>
      </c>
      <c r="C2120" s="17" t="s">
        <v>0</v>
      </c>
      <c r="D2120" s="19">
        <v>38.51</v>
      </c>
      <c r="F2120" s="3" t="str">
        <f t="shared" si="33"/>
        <v>C2241</v>
      </c>
    </row>
    <row r="2121" spans="1:6" x14ac:dyDescent="0.2">
      <c r="A2121" s="17" t="s">
        <v>9389</v>
      </c>
      <c r="B2121" s="18" t="s">
        <v>9390</v>
      </c>
      <c r="C2121" s="17" t="s">
        <v>0</v>
      </c>
      <c r="D2121" s="19">
        <v>33.69</v>
      </c>
      <c r="F2121" s="3" t="str">
        <f t="shared" si="33"/>
        <v>C2242</v>
      </c>
    </row>
    <row r="2122" spans="1:6" x14ac:dyDescent="0.2">
      <c r="A2122" s="17" t="s">
        <v>9391</v>
      </c>
      <c r="B2122" s="18" t="s">
        <v>9392</v>
      </c>
      <c r="C2122" s="17" t="s">
        <v>0</v>
      </c>
      <c r="D2122" s="19">
        <v>14.46</v>
      </c>
      <c r="F2122" s="3" t="str">
        <f t="shared" si="33"/>
        <v>C2245</v>
      </c>
    </row>
    <row r="2123" spans="1:6" x14ac:dyDescent="0.2">
      <c r="A2123" s="20" t="s">
        <v>9393</v>
      </c>
      <c r="B2123" s="21" t="s">
        <v>9394</v>
      </c>
      <c r="C2123" s="20" t="s">
        <v>0</v>
      </c>
      <c r="D2123" s="22">
        <v>24.2</v>
      </c>
      <c r="F2123" s="3" t="str">
        <f t="shared" si="33"/>
        <v>C2244</v>
      </c>
    </row>
    <row r="2124" spans="1:6" x14ac:dyDescent="0.2">
      <c r="A2124" s="17" t="s">
        <v>9395</v>
      </c>
      <c r="B2124" s="18" t="s">
        <v>9396</v>
      </c>
      <c r="C2124" s="17" t="s">
        <v>0</v>
      </c>
      <c r="D2124" s="19">
        <v>63.9</v>
      </c>
      <c r="F2124" s="3" t="str">
        <f t="shared" si="33"/>
        <v>C2246</v>
      </c>
    </row>
    <row r="2125" spans="1:6" x14ac:dyDescent="0.2">
      <c r="A2125" s="17" t="s">
        <v>9397</v>
      </c>
      <c r="B2125" s="18" t="s">
        <v>9398</v>
      </c>
      <c r="C2125" s="17" t="s">
        <v>0</v>
      </c>
      <c r="D2125" s="19">
        <v>27.12</v>
      </c>
      <c r="F2125" s="3" t="str">
        <f t="shared" si="33"/>
        <v>C4505</v>
      </c>
    </row>
    <row r="2126" spans="1:6" x14ac:dyDescent="0.2">
      <c r="A2126" s="17" t="s">
        <v>9399</v>
      </c>
      <c r="B2126" s="18" t="s">
        <v>9400</v>
      </c>
      <c r="C2126" s="17" t="s">
        <v>0</v>
      </c>
      <c r="D2126" s="19">
        <v>9.27</v>
      </c>
      <c r="F2126" s="3" t="str">
        <f t="shared" si="33"/>
        <v>C2283</v>
      </c>
    </row>
    <row r="2127" spans="1:6" x14ac:dyDescent="0.2">
      <c r="A2127" s="17" t="s">
        <v>3</v>
      </c>
      <c r="B2127" s="18" t="s">
        <v>9401</v>
      </c>
      <c r="C2127" s="17" t="s">
        <v>0</v>
      </c>
      <c r="D2127" s="19">
        <v>95.24</v>
      </c>
      <c r="F2127" s="3" t="str">
        <f t="shared" si="33"/>
        <v>C2284</v>
      </c>
    </row>
    <row r="2128" spans="1:6" x14ac:dyDescent="0.2">
      <c r="A2128" s="17" t="s">
        <v>4</v>
      </c>
      <c r="B2128" s="18" t="s">
        <v>9402</v>
      </c>
      <c r="C2128" s="17" t="s">
        <v>0</v>
      </c>
      <c r="D2128" s="19">
        <v>166.86</v>
      </c>
      <c r="F2128" s="3" t="str">
        <f t="shared" si="33"/>
        <v>C2285</v>
      </c>
    </row>
    <row r="2129" spans="1:6" x14ac:dyDescent="0.2">
      <c r="A2129" s="17" t="s">
        <v>9403</v>
      </c>
      <c r="B2129" s="18" t="s">
        <v>9404</v>
      </c>
      <c r="C2129" s="17" t="s">
        <v>0</v>
      </c>
      <c r="D2129" s="19">
        <v>65.78</v>
      </c>
      <c r="F2129" s="3" t="str">
        <f t="shared" si="33"/>
        <v>C2286</v>
      </c>
    </row>
    <row r="2130" spans="1:6" x14ac:dyDescent="0.2">
      <c r="A2130" s="17" t="s">
        <v>9405</v>
      </c>
      <c r="B2130" s="18" t="s">
        <v>9406</v>
      </c>
      <c r="C2130" s="17" t="s">
        <v>0</v>
      </c>
      <c r="D2130" s="19">
        <v>109.15</v>
      </c>
      <c r="F2130" s="3" t="str">
        <f t="shared" si="33"/>
        <v>C2287</v>
      </c>
    </row>
    <row r="2131" spans="1:6" x14ac:dyDescent="0.2">
      <c r="A2131" s="17" t="s">
        <v>9407</v>
      </c>
      <c r="B2131" s="18" t="s">
        <v>9408</v>
      </c>
      <c r="C2131" s="17" t="s">
        <v>255</v>
      </c>
      <c r="D2131" s="19">
        <v>175.5</v>
      </c>
      <c r="F2131" s="3" t="str">
        <f t="shared" si="33"/>
        <v>C3058</v>
      </c>
    </row>
    <row r="2132" spans="1:6" x14ac:dyDescent="0.2">
      <c r="A2132" s="17" t="s">
        <v>9409</v>
      </c>
      <c r="B2132" s="18" t="s">
        <v>9410</v>
      </c>
      <c r="C2132" s="17" t="s">
        <v>0</v>
      </c>
      <c r="D2132" s="19">
        <v>63.51</v>
      </c>
      <c r="F2132" s="3" t="str">
        <f t="shared" si="33"/>
        <v>C2288</v>
      </c>
    </row>
    <row r="2133" spans="1:6" x14ac:dyDescent="0.2">
      <c r="A2133" s="17" t="s">
        <v>9411</v>
      </c>
      <c r="B2133" s="18" t="s">
        <v>9412</v>
      </c>
      <c r="C2133" s="17" t="s">
        <v>0</v>
      </c>
      <c r="D2133" s="19">
        <v>102.91</v>
      </c>
      <c r="F2133" s="3" t="str">
        <f t="shared" si="33"/>
        <v>C2289</v>
      </c>
    </row>
    <row r="2134" spans="1:6" x14ac:dyDescent="0.2">
      <c r="A2134" s="17" t="s">
        <v>9413</v>
      </c>
      <c r="B2134" s="18" t="s">
        <v>9414</v>
      </c>
      <c r="C2134" s="17" t="s">
        <v>255</v>
      </c>
      <c r="D2134" s="19">
        <v>403.8</v>
      </c>
      <c r="F2134" s="3" t="str">
        <f t="shared" si="33"/>
        <v>C3488</v>
      </c>
    </row>
    <row r="2135" spans="1:6" x14ac:dyDescent="0.2">
      <c r="A2135" s="17" t="s">
        <v>9415</v>
      </c>
      <c r="B2135" s="18" t="s">
        <v>9416</v>
      </c>
      <c r="C2135" s="17" t="s">
        <v>255</v>
      </c>
      <c r="D2135" s="19">
        <v>242.41</v>
      </c>
      <c r="F2135" s="3" t="str">
        <f t="shared" si="33"/>
        <v>C2296</v>
      </c>
    </row>
    <row r="2136" spans="1:6" x14ac:dyDescent="0.2">
      <c r="A2136" s="17" t="s">
        <v>9417</v>
      </c>
      <c r="B2136" s="18" t="s">
        <v>9418</v>
      </c>
      <c r="C2136" s="17" t="s">
        <v>255</v>
      </c>
      <c r="D2136" s="19">
        <v>197.71</v>
      </c>
      <c r="F2136" s="3" t="str">
        <f t="shared" si="33"/>
        <v>C2297</v>
      </c>
    </row>
    <row r="2137" spans="1:6" x14ac:dyDescent="0.2">
      <c r="A2137" s="17" t="s">
        <v>9419</v>
      </c>
      <c r="B2137" s="18" t="s">
        <v>9420</v>
      </c>
      <c r="C2137" s="17" t="s">
        <v>255</v>
      </c>
      <c r="D2137" s="19">
        <v>95.93</v>
      </c>
      <c r="F2137" s="3" t="str">
        <f t="shared" si="33"/>
        <v>C2315</v>
      </c>
    </row>
    <row r="2138" spans="1:6" x14ac:dyDescent="0.2">
      <c r="A2138" s="17" t="s">
        <v>9421</v>
      </c>
      <c r="B2138" s="18" t="s">
        <v>9422</v>
      </c>
      <c r="C2138" s="17" t="s">
        <v>255</v>
      </c>
      <c r="D2138" s="19">
        <v>118.83</v>
      </c>
      <c r="F2138" s="3" t="str">
        <f t="shared" si="33"/>
        <v>C2314</v>
      </c>
    </row>
    <row r="2139" spans="1:6" x14ac:dyDescent="0.2">
      <c r="A2139" s="14" t="s">
        <v>9423</v>
      </c>
      <c r="B2139" s="15"/>
      <c r="C2139" s="14">
        <v>0</v>
      </c>
      <c r="D2139" s="16">
        <v>3208.89</v>
      </c>
      <c r="F2139" s="3" t="str">
        <f t="shared" si="33"/>
        <v>PISOS EXTERNOS</v>
      </c>
    </row>
    <row r="2140" spans="1:6" x14ac:dyDescent="0.2">
      <c r="A2140" s="17" t="s">
        <v>9424</v>
      </c>
      <c r="B2140" s="18" t="s">
        <v>9425</v>
      </c>
      <c r="C2140" s="17" t="s">
        <v>255</v>
      </c>
      <c r="D2140" s="19">
        <v>294.38</v>
      </c>
      <c r="F2140" s="3" t="str">
        <f t="shared" si="33"/>
        <v>C3410</v>
      </c>
    </row>
    <row r="2141" spans="1:6" x14ac:dyDescent="0.2">
      <c r="A2141" s="17" t="s">
        <v>9426</v>
      </c>
      <c r="B2141" s="18" t="s">
        <v>9427</v>
      </c>
      <c r="C2141" s="17" t="s">
        <v>255</v>
      </c>
      <c r="D2141" s="19">
        <v>148.05000000000001</v>
      </c>
      <c r="F2141" s="3" t="str">
        <f t="shared" si="33"/>
        <v>C1586</v>
      </c>
    </row>
    <row r="2142" spans="1:6" x14ac:dyDescent="0.2">
      <c r="A2142" s="17" t="s">
        <v>9428</v>
      </c>
      <c r="B2142" s="18" t="s">
        <v>9429</v>
      </c>
      <c r="C2142" s="17" t="s">
        <v>255</v>
      </c>
      <c r="D2142" s="19">
        <v>1.43</v>
      </c>
      <c r="F2142" s="3" t="str">
        <f t="shared" si="33"/>
        <v>C5225</v>
      </c>
    </row>
    <row r="2143" spans="1:6" ht="22.5" x14ac:dyDescent="0.2">
      <c r="A2143" s="17" t="s">
        <v>9430</v>
      </c>
      <c r="B2143" s="18" t="s">
        <v>9431</v>
      </c>
      <c r="C2143" s="17" t="s">
        <v>255</v>
      </c>
      <c r="D2143" s="19">
        <v>150.5</v>
      </c>
      <c r="F2143" s="3" t="str">
        <f t="shared" si="33"/>
        <v>C1862</v>
      </c>
    </row>
    <row r="2144" spans="1:6" x14ac:dyDescent="0.2">
      <c r="A2144" s="17">
        <v>0</v>
      </c>
      <c r="B2144" s="18"/>
      <c r="C2144" s="17">
        <v>0</v>
      </c>
      <c r="D2144" s="19">
        <v>0</v>
      </c>
      <c r="F2144" s="3">
        <f t="shared" si="33"/>
        <v>0</v>
      </c>
    </row>
    <row r="2145" spans="1:6" x14ac:dyDescent="0.2">
      <c r="A2145" s="17" t="s">
        <v>1</v>
      </c>
      <c r="B2145" s="18" t="s">
        <v>9432</v>
      </c>
      <c r="C2145" s="17" t="s">
        <v>255</v>
      </c>
      <c r="D2145" s="19">
        <v>63.16</v>
      </c>
      <c r="F2145" s="3" t="str">
        <f t="shared" si="33"/>
        <v>C1863</v>
      </c>
    </row>
    <row r="2146" spans="1:6" x14ac:dyDescent="0.2">
      <c r="A2146" s="17">
        <v>0</v>
      </c>
      <c r="B2146" s="18"/>
      <c r="C2146" s="17">
        <v>0</v>
      </c>
      <c r="D2146" s="19">
        <v>0</v>
      </c>
      <c r="F2146" s="3">
        <f t="shared" si="33"/>
        <v>0</v>
      </c>
    </row>
    <row r="2147" spans="1:6" x14ac:dyDescent="0.2">
      <c r="A2147" s="17" t="s">
        <v>9433</v>
      </c>
      <c r="B2147" s="18" t="s">
        <v>9434</v>
      </c>
      <c r="C2147" s="17" t="s">
        <v>255</v>
      </c>
      <c r="D2147" s="19">
        <v>181.85</v>
      </c>
      <c r="F2147" s="3" t="str">
        <f t="shared" si="33"/>
        <v>C1864</v>
      </c>
    </row>
    <row r="2148" spans="1:6" x14ac:dyDescent="0.2">
      <c r="A2148" s="17" t="s">
        <v>9435</v>
      </c>
      <c r="B2148" s="18" t="s">
        <v>9436</v>
      </c>
      <c r="C2148" s="17" t="s">
        <v>255</v>
      </c>
      <c r="D2148" s="19">
        <v>181.85</v>
      </c>
      <c r="F2148" s="3" t="str">
        <f t="shared" si="33"/>
        <v>C1865</v>
      </c>
    </row>
    <row r="2149" spans="1:6" x14ac:dyDescent="0.2">
      <c r="A2149" s="17" t="s">
        <v>9437</v>
      </c>
      <c r="B2149" s="18" t="s">
        <v>9438</v>
      </c>
      <c r="C2149" s="17" t="s">
        <v>255</v>
      </c>
      <c r="D2149" s="19">
        <v>287.14</v>
      </c>
      <c r="F2149" s="3" t="str">
        <f t="shared" si="33"/>
        <v>C3014</v>
      </c>
    </row>
    <row r="2150" spans="1:6" x14ac:dyDescent="0.2">
      <c r="A2150" s="17" t="s">
        <v>9439</v>
      </c>
      <c r="B2150" s="18" t="s">
        <v>9440</v>
      </c>
      <c r="C2150" s="17" t="s">
        <v>255</v>
      </c>
      <c r="D2150" s="19">
        <v>58.39</v>
      </c>
      <c r="F2150" s="3" t="str">
        <f t="shared" si="33"/>
        <v>C3450</v>
      </c>
    </row>
    <row r="2151" spans="1:6" x14ac:dyDescent="0.2">
      <c r="A2151" s="17">
        <v>0</v>
      </c>
      <c r="B2151" s="18"/>
      <c r="C2151" s="17">
        <v>0</v>
      </c>
      <c r="D2151" s="19">
        <v>0</v>
      </c>
      <c r="F2151" s="3">
        <f t="shared" si="33"/>
        <v>0</v>
      </c>
    </row>
    <row r="2152" spans="1:6" x14ac:dyDescent="0.2">
      <c r="A2152" s="17" t="s">
        <v>9441</v>
      </c>
      <c r="B2152" s="18" t="s">
        <v>9442</v>
      </c>
      <c r="C2152" s="17" t="s">
        <v>255</v>
      </c>
      <c r="D2152" s="19">
        <v>91.29</v>
      </c>
      <c r="F2152" s="3" t="str">
        <f t="shared" si="33"/>
        <v>C1847</v>
      </c>
    </row>
    <row r="2153" spans="1:6" x14ac:dyDescent="0.2">
      <c r="A2153" s="17" t="s">
        <v>9443</v>
      </c>
      <c r="B2153" s="18" t="s">
        <v>9444</v>
      </c>
      <c r="C2153" s="17" t="s">
        <v>255</v>
      </c>
      <c r="D2153" s="19">
        <v>120.93</v>
      </c>
      <c r="F2153" s="3" t="str">
        <f t="shared" si="33"/>
        <v>C1917</v>
      </c>
    </row>
    <row r="2154" spans="1:6" x14ac:dyDescent="0.2">
      <c r="A2154" s="17" t="s">
        <v>9445</v>
      </c>
      <c r="B2154" s="18" t="s">
        <v>9446</v>
      </c>
      <c r="C2154" s="17" t="s">
        <v>255</v>
      </c>
      <c r="D2154" s="19">
        <v>144.11000000000001</v>
      </c>
      <c r="F2154" s="3" t="str">
        <f t="shared" si="33"/>
        <v>C1935</v>
      </c>
    </row>
    <row r="2155" spans="1:6" x14ac:dyDescent="0.2">
      <c r="A2155" s="20" t="s">
        <v>9447</v>
      </c>
      <c r="B2155" s="21" t="s">
        <v>9448</v>
      </c>
      <c r="C2155" s="20" t="s">
        <v>255</v>
      </c>
      <c r="D2155" s="22">
        <v>50.91</v>
      </c>
      <c r="F2155" s="3" t="str">
        <f t="shared" si="33"/>
        <v>C5028</v>
      </c>
    </row>
    <row r="2156" spans="1:6" x14ac:dyDescent="0.2">
      <c r="A2156" s="17">
        <v>0</v>
      </c>
      <c r="B2156" s="18"/>
      <c r="C2156" s="17">
        <v>0</v>
      </c>
      <c r="D2156" s="19">
        <v>0</v>
      </c>
      <c r="F2156" s="3">
        <f t="shared" si="33"/>
        <v>0</v>
      </c>
    </row>
    <row r="2157" spans="1:6" ht="22.5" x14ac:dyDescent="0.2">
      <c r="A2157" s="20" t="s">
        <v>9449</v>
      </c>
      <c r="B2157" s="21" t="s">
        <v>9450</v>
      </c>
      <c r="C2157" s="20" t="s">
        <v>255</v>
      </c>
      <c r="D2157" s="22">
        <v>59.07</v>
      </c>
      <c r="F2157" s="3" t="str">
        <f t="shared" si="33"/>
        <v>C5027</v>
      </c>
    </row>
    <row r="2158" spans="1:6" x14ac:dyDescent="0.2">
      <c r="A2158" s="17">
        <v>0</v>
      </c>
      <c r="B2158" s="18"/>
      <c r="C2158" s="17">
        <v>0</v>
      </c>
      <c r="D2158" s="19">
        <v>0</v>
      </c>
      <c r="F2158" s="3">
        <f t="shared" si="33"/>
        <v>0</v>
      </c>
    </row>
    <row r="2159" spans="1:6" ht="33.75" x14ac:dyDescent="0.2">
      <c r="A2159" s="17" t="s">
        <v>9451</v>
      </c>
      <c r="B2159" s="18" t="s">
        <v>9452</v>
      </c>
      <c r="C2159" s="17" t="s">
        <v>255</v>
      </c>
      <c r="D2159" s="19">
        <v>62.02</v>
      </c>
      <c r="F2159" s="3" t="str">
        <f t="shared" si="33"/>
        <v>C4916</v>
      </c>
    </row>
    <row r="2160" spans="1:6" x14ac:dyDescent="0.2">
      <c r="A2160" s="17">
        <v>0</v>
      </c>
      <c r="B2160" s="18"/>
      <c r="C2160" s="17">
        <v>0</v>
      </c>
      <c r="D2160" s="19">
        <v>0</v>
      </c>
      <c r="F2160" s="3">
        <f t="shared" si="33"/>
        <v>0</v>
      </c>
    </row>
    <row r="2161" spans="1:6" ht="22.5" x14ac:dyDescent="0.2">
      <c r="A2161" s="17" t="s">
        <v>9453</v>
      </c>
      <c r="B2161" s="18" t="s">
        <v>9454</v>
      </c>
      <c r="C2161" s="17" t="s">
        <v>255</v>
      </c>
      <c r="D2161" s="19">
        <v>55.56</v>
      </c>
      <c r="F2161" s="3" t="str">
        <f t="shared" si="33"/>
        <v>C4819</v>
      </c>
    </row>
    <row r="2162" spans="1:6" x14ac:dyDescent="0.2">
      <c r="A2162" s="17">
        <v>0</v>
      </c>
      <c r="B2162" s="18"/>
      <c r="C2162" s="17">
        <v>0</v>
      </c>
      <c r="D2162" s="19">
        <v>0</v>
      </c>
      <c r="F2162" s="3">
        <f t="shared" si="33"/>
        <v>0</v>
      </c>
    </row>
    <row r="2163" spans="1:6" ht="22.5" x14ac:dyDescent="0.2">
      <c r="A2163" s="17" t="s">
        <v>9455</v>
      </c>
      <c r="B2163" s="18" t="s">
        <v>9456</v>
      </c>
      <c r="C2163" s="17" t="s">
        <v>255</v>
      </c>
      <c r="D2163" s="19">
        <v>77.180000000000007</v>
      </c>
      <c r="F2163" s="3" t="str">
        <f t="shared" si="33"/>
        <v>C4917</v>
      </c>
    </row>
    <row r="2164" spans="1:6" x14ac:dyDescent="0.2">
      <c r="A2164" s="17">
        <v>0</v>
      </c>
      <c r="B2164" s="18"/>
      <c r="C2164" s="17">
        <v>0</v>
      </c>
      <c r="D2164" s="19">
        <v>0</v>
      </c>
      <c r="F2164" s="3">
        <f t="shared" si="33"/>
        <v>0</v>
      </c>
    </row>
    <row r="2165" spans="1:6" ht="22.5" x14ac:dyDescent="0.2">
      <c r="A2165" s="17" t="s">
        <v>9457</v>
      </c>
      <c r="B2165" s="18" t="s">
        <v>9458</v>
      </c>
      <c r="C2165" s="17" t="s">
        <v>255</v>
      </c>
      <c r="D2165" s="19">
        <v>87.04</v>
      </c>
      <c r="F2165" s="3" t="str">
        <f t="shared" si="33"/>
        <v>C4918</v>
      </c>
    </row>
    <row r="2166" spans="1:6" x14ac:dyDescent="0.2">
      <c r="A2166" s="17">
        <v>0</v>
      </c>
      <c r="B2166" s="18"/>
      <c r="C2166" s="17">
        <v>0</v>
      </c>
      <c r="D2166" s="19">
        <v>0</v>
      </c>
      <c r="F2166" s="3">
        <f t="shared" si="33"/>
        <v>0</v>
      </c>
    </row>
    <row r="2167" spans="1:6" x14ac:dyDescent="0.2">
      <c r="A2167" s="17" t="s">
        <v>9459</v>
      </c>
      <c r="B2167" s="18" t="s">
        <v>9460</v>
      </c>
      <c r="C2167" s="17" t="s">
        <v>255</v>
      </c>
      <c r="D2167" s="19">
        <v>205.53</v>
      </c>
      <c r="F2167" s="3" t="str">
        <f t="shared" si="33"/>
        <v>C4165</v>
      </c>
    </row>
    <row r="2168" spans="1:6" x14ac:dyDescent="0.2">
      <c r="A2168" s="17" t="s">
        <v>9461</v>
      </c>
      <c r="B2168" s="18" t="s">
        <v>9462</v>
      </c>
      <c r="C2168" s="17" t="s">
        <v>255</v>
      </c>
      <c r="D2168" s="19">
        <v>50.63</v>
      </c>
      <c r="F2168" s="3" t="str">
        <f t="shared" si="33"/>
        <v>C3012</v>
      </c>
    </row>
    <row r="2169" spans="1:6" x14ac:dyDescent="0.2">
      <c r="A2169" s="17" t="s">
        <v>9463</v>
      </c>
      <c r="B2169" s="18" t="s">
        <v>9464</v>
      </c>
      <c r="C2169" s="17" t="s">
        <v>255</v>
      </c>
      <c r="D2169" s="19">
        <v>52.94</v>
      </c>
      <c r="F2169" s="3" t="str">
        <f t="shared" si="33"/>
        <v>C3013</v>
      </c>
    </row>
    <row r="2170" spans="1:6" x14ac:dyDescent="0.2">
      <c r="A2170" s="17" t="s">
        <v>9465</v>
      </c>
      <c r="B2170" s="18" t="s">
        <v>9466</v>
      </c>
      <c r="C2170" s="17" t="s">
        <v>255</v>
      </c>
      <c r="D2170" s="19">
        <v>71.510000000000005</v>
      </c>
      <c r="F2170" s="3" t="str">
        <f t="shared" si="33"/>
        <v>C1923</v>
      </c>
    </row>
    <row r="2171" spans="1:6" x14ac:dyDescent="0.2">
      <c r="A2171" s="17">
        <v>0</v>
      </c>
      <c r="B2171" s="18"/>
      <c r="C2171" s="17">
        <v>0</v>
      </c>
      <c r="D2171" s="19">
        <v>0</v>
      </c>
      <c r="F2171" s="3">
        <f t="shared" si="33"/>
        <v>0</v>
      </c>
    </row>
    <row r="2172" spans="1:6" x14ac:dyDescent="0.2">
      <c r="A2172" s="17" t="s">
        <v>9467</v>
      </c>
      <c r="B2172" s="18" t="s">
        <v>9468</v>
      </c>
      <c r="C2172" s="17" t="s">
        <v>255</v>
      </c>
      <c r="D2172" s="19">
        <v>91.63</v>
      </c>
      <c r="F2172" s="3" t="str">
        <f t="shared" si="33"/>
        <v>C1089</v>
      </c>
    </row>
    <row r="2173" spans="1:6" x14ac:dyDescent="0.2">
      <c r="A2173" s="17">
        <v>0</v>
      </c>
      <c r="B2173" s="18"/>
      <c r="C2173" s="17">
        <v>0</v>
      </c>
      <c r="D2173" s="19">
        <v>0</v>
      </c>
      <c r="F2173" s="3">
        <f t="shared" si="33"/>
        <v>0</v>
      </c>
    </row>
    <row r="2174" spans="1:6" ht="22.5" x14ac:dyDescent="0.2">
      <c r="A2174" s="17" t="s">
        <v>9469</v>
      </c>
      <c r="B2174" s="18" t="s">
        <v>9470</v>
      </c>
      <c r="C2174" s="17" t="s">
        <v>255</v>
      </c>
      <c r="D2174" s="19">
        <v>110.11</v>
      </c>
      <c r="F2174" s="3" t="str">
        <f t="shared" si="33"/>
        <v>C3782</v>
      </c>
    </row>
    <row r="2175" spans="1:6" x14ac:dyDescent="0.2">
      <c r="A2175" s="17">
        <v>0</v>
      </c>
      <c r="B2175" s="18"/>
      <c r="C2175" s="17">
        <v>0</v>
      </c>
      <c r="D2175" s="19">
        <v>0</v>
      </c>
      <c r="F2175" s="3">
        <f t="shared" si="33"/>
        <v>0</v>
      </c>
    </row>
    <row r="2176" spans="1:6" ht="22.5" x14ac:dyDescent="0.2">
      <c r="A2176" s="17" t="s">
        <v>9471</v>
      </c>
      <c r="B2176" s="18" t="s">
        <v>9472</v>
      </c>
      <c r="C2176" s="17" t="s">
        <v>255</v>
      </c>
      <c r="D2176" s="19">
        <v>100.4</v>
      </c>
      <c r="F2176" s="3" t="str">
        <f t="shared" si="33"/>
        <v>C4576</v>
      </c>
    </row>
    <row r="2177" spans="1:6" x14ac:dyDescent="0.2">
      <c r="A2177" s="17">
        <v>0</v>
      </c>
      <c r="B2177" s="18"/>
      <c r="C2177" s="17">
        <v>0</v>
      </c>
      <c r="D2177" s="19">
        <v>0</v>
      </c>
      <c r="F2177" s="3">
        <f t="shared" si="33"/>
        <v>0</v>
      </c>
    </row>
    <row r="2178" spans="1:6" x14ac:dyDescent="0.2">
      <c r="A2178" s="17" t="s">
        <v>9473</v>
      </c>
      <c r="B2178" s="18" t="s">
        <v>9474</v>
      </c>
      <c r="C2178" s="17" t="s">
        <v>255</v>
      </c>
      <c r="D2178" s="19">
        <v>119.67</v>
      </c>
      <c r="F2178" s="3" t="str">
        <f t="shared" ref="F2178:F2241" si="34">A2178</f>
        <v>C1924</v>
      </c>
    </row>
    <row r="2179" spans="1:6" x14ac:dyDescent="0.2">
      <c r="A2179" s="17" t="s">
        <v>9475</v>
      </c>
      <c r="B2179" s="18" t="s">
        <v>9476</v>
      </c>
      <c r="C2179" s="17" t="s">
        <v>255</v>
      </c>
      <c r="D2179" s="19">
        <v>105.07</v>
      </c>
      <c r="F2179" s="3" t="str">
        <f t="shared" si="34"/>
        <v>C1925</v>
      </c>
    </row>
    <row r="2180" spans="1:6" x14ac:dyDescent="0.2">
      <c r="A2180" s="17" t="s">
        <v>9477</v>
      </c>
      <c r="B2180" s="18" t="s">
        <v>9478</v>
      </c>
      <c r="C2180" s="17" t="s">
        <v>255</v>
      </c>
      <c r="D2180" s="19">
        <v>87.43</v>
      </c>
      <c r="F2180" s="3" t="str">
        <f t="shared" si="34"/>
        <v>C1926</v>
      </c>
    </row>
    <row r="2181" spans="1:6" x14ac:dyDescent="0.2">
      <c r="A2181" s="17" t="s">
        <v>9479</v>
      </c>
      <c r="B2181" s="18" t="s">
        <v>9480</v>
      </c>
      <c r="C2181" s="17" t="s">
        <v>255</v>
      </c>
      <c r="D2181" s="19">
        <v>86.41</v>
      </c>
      <c r="F2181" s="3" t="str">
        <f t="shared" si="34"/>
        <v>C1927</v>
      </c>
    </row>
    <row r="2182" spans="1:6" x14ac:dyDescent="0.2">
      <c r="A2182" s="17" t="s">
        <v>9481</v>
      </c>
      <c r="B2182" s="18" t="s">
        <v>9482</v>
      </c>
      <c r="C2182" s="17" t="s">
        <v>255</v>
      </c>
      <c r="D2182" s="19">
        <v>12.7</v>
      </c>
      <c r="F2182" s="3" t="str">
        <f t="shared" si="34"/>
        <v>C2032</v>
      </c>
    </row>
    <row r="2183" spans="1:6" x14ac:dyDescent="0.2">
      <c r="A2183" s="14" t="s">
        <v>9483</v>
      </c>
      <c r="B2183" s="15"/>
      <c r="C2183" s="14">
        <v>0</v>
      </c>
      <c r="D2183" s="16">
        <v>1857643.43</v>
      </c>
      <c r="F2183" s="3" t="str">
        <f t="shared" si="34"/>
        <v>INSTALAÇÕES HIDRÁULICAS</v>
      </c>
    </row>
    <row r="2184" spans="1:6" x14ac:dyDescent="0.2">
      <c r="A2184" s="14" t="s">
        <v>9484</v>
      </c>
      <c r="B2184" s="15"/>
      <c r="C2184" s="14">
        <v>0</v>
      </c>
      <c r="D2184" s="16">
        <v>8078.46</v>
      </c>
      <c r="F2184" s="3" t="str">
        <f t="shared" si="34"/>
        <v>TUBOS E CONEXÕES DE FERRO FUNDIDO</v>
      </c>
    </row>
    <row r="2185" spans="1:6" x14ac:dyDescent="0.2">
      <c r="A2185" s="17" t="s">
        <v>9485</v>
      </c>
      <c r="B2185" s="18" t="s">
        <v>9486</v>
      </c>
      <c r="C2185" s="17" t="s">
        <v>0</v>
      </c>
      <c r="D2185" s="19">
        <v>5.92</v>
      </c>
      <c r="F2185" s="3" t="str">
        <f t="shared" si="34"/>
        <v>C0319</v>
      </c>
    </row>
    <row r="2186" spans="1:6" x14ac:dyDescent="0.2">
      <c r="A2186" s="17" t="s">
        <v>9487</v>
      </c>
      <c r="B2186" s="18" t="s">
        <v>9488</v>
      </c>
      <c r="C2186" s="17" t="s">
        <v>0</v>
      </c>
      <c r="D2186" s="19">
        <v>7.36</v>
      </c>
      <c r="F2186" s="3" t="str">
        <f t="shared" si="34"/>
        <v>C0322</v>
      </c>
    </row>
    <row r="2187" spans="1:6" x14ac:dyDescent="0.2">
      <c r="A2187" s="17" t="s">
        <v>9489</v>
      </c>
      <c r="B2187" s="18" t="s">
        <v>9490</v>
      </c>
      <c r="C2187" s="17" t="s">
        <v>0</v>
      </c>
      <c r="D2187" s="19">
        <v>11.96</v>
      </c>
      <c r="F2187" s="3" t="str">
        <f t="shared" si="34"/>
        <v>C0308</v>
      </c>
    </row>
    <row r="2188" spans="1:6" x14ac:dyDescent="0.2">
      <c r="A2188" s="17" t="s">
        <v>9491</v>
      </c>
      <c r="B2188" s="18" t="s">
        <v>9492</v>
      </c>
      <c r="C2188" s="17" t="s">
        <v>0</v>
      </c>
      <c r="D2188" s="19">
        <v>15.95</v>
      </c>
      <c r="F2188" s="3" t="str">
        <f t="shared" si="34"/>
        <v>C0311</v>
      </c>
    </row>
    <row r="2189" spans="1:6" x14ac:dyDescent="0.2">
      <c r="A2189" s="17" t="s">
        <v>9493</v>
      </c>
      <c r="B2189" s="18" t="s">
        <v>9494</v>
      </c>
      <c r="C2189" s="17" t="s">
        <v>0</v>
      </c>
      <c r="D2189" s="19">
        <v>19.11</v>
      </c>
      <c r="F2189" s="3" t="str">
        <f t="shared" si="34"/>
        <v>C0312</v>
      </c>
    </row>
    <row r="2190" spans="1:6" x14ac:dyDescent="0.2">
      <c r="A2190" s="17" t="s">
        <v>9495</v>
      </c>
      <c r="B2190" s="18" t="s">
        <v>9496</v>
      </c>
      <c r="C2190" s="17" t="s">
        <v>0</v>
      </c>
      <c r="D2190" s="19">
        <v>23.05</v>
      </c>
      <c r="F2190" s="3" t="str">
        <f t="shared" si="34"/>
        <v>C0313</v>
      </c>
    </row>
    <row r="2191" spans="1:6" x14ac:dyDescent="0.2">
      <c r="A2191" s="17" t="s">
        <v>9497</v>
      </c>
      <c r="B2191" s="18" t="s">
        <v>9498</v>
      </c>
      <c r="C2191" s="17" t="s">
        <v>0</v>
      </c>
      <c r="D2191" s="19">
        <v>29.22</v>
      </c>
      <c r="F2191" s="3" t="str">
        <f t="shared" si="34"/>
        <v>C0314</v>
      </c>
    </row>
    <row r="2192" spans="1:6" x14ac:dyDescent="0.2">
      <c r="A2192" s="17" t="s">
        <v>9499</v>
      </c>
      <c r="B2192" s="18" t="s">
        <v>9500</v>
      </c>
      <c r="C2192" s="17" t="s">
        <v>0</v>
      </c>
      <c r="D2192" s="19">
        <v>34.67</v>
      </c>
      <c r="F2192" s="3" t="str">
        <f t="shared" si="34"/>
        <v>C0315</v>
      </c>
    </row>
    <row r="2193" spans="1:6" x14ac:dyDescent="0.2">
      <c r="A2193" s="17" t="s">
        <v>9501</v>
      </c>
      <c r="B2193" s="18" t="s">
        <v>9502</v>
      </c>
      <c r="C2193" s="17" t="s">
        <v>0</v>
      </c>
      <c r="D2193" s="19">
        <v>40.200000000000003</v>
      </c>
      <c r="F2193" s="3" t="str">
        <f t="shared" si="34"/>
        <v>C0316</v>
      </c>
    </row>
    <row r="2194" spans="1:6" x14ac:dyDescent="0.2">
      <c r="A2194" s="17" t="s">
        <v>9503</v>
      </c>
      <c r="B2194" s="18" t="s">
        <v>9504</v>
      </c>
      <c r="C2194" s="17" t="s">
        <v>0</v>
      </c>
      <c r="D2194" s="19">
        <v>50.88</v>
      </c>
      <c r="F2194" s="3" t="str">
        <f t="shared" si="34"/>
        <v>C0317</v>
      </c>
    </row>
    <row r="2195" spans="1:6" x14ac:dyDescent="0.2">
      <c r="A2195" s="17" t="s">
        <v>9505</v>
      </c>
      <c r="B2195" s="18" t="s">
        <v>9506</v>
      </c>
      <c r="C2195" s="17" t="s">
        <v>0</v>
      </c>
      <c r="D2195" s="19">
        <v>62.29</v>
      </c>
      <c r="F2195" s="3" t="str">
        <f t="shared" si="34"/>
        <v>C0318</v>
      </c>
    </row>
    <row r="2196" spans="1:6" x14ac:dyDescent="0.2">
      <c r="A2196" s="17" t="s">
        <v>9507</v>
      </c>
      <c r="B2196" s="18" t="s">
        <v>9508</v>
      </c>
      <c r="C2196" s="17" t="s">
        <v>0</v>
      </c>
      <c r="D2196" s="19">
        <v>76.430000000000007</v>
      </c>
      <c r="F2196" s="3" t="str">
        <f t="shared" si="34"/>
        <v>C0320</v>
      </c>
    </row>
    <row r="2197" spans="1:6" x14ac:dyDescent="0.2">
      <c r="A2197" s="17" t="s">
        <v>9509</v>
      </c>
      <c r="B2197" s="18" t="s">
        <v>9510</v>
      </c>
      <c r="C2197" s="17" t="s">
        <v>0</v>
      </c>
      <c r="D2197" s="19">
        <v>92.99</v>
      </c>
      <c r="F2197" s="3" t="str">
        <f t="shared" si="34"/>
        <v>C0321</v>
      </c>
    </row>
    <row r="2198" spans="1:6" x14ac:dyDescent="0.2">
      <c r="A2198" s="17" t="s">
        <v>9511</v>
      </c>
      <c r="B2198" s="18" t="s">
        <v>9512</v>
      </c>
      <c r="C2198" s="17" t="s">
        <v>0</v>
      </c>
      <c r="D2198" s="19">
        <v>97.29</v>
      </c>
      <c r="F2198" s="3" t="str">
        <f t="shared" si="34"/>
        <v>C0323</v>
      </c>
    </row>
    <row r="2199" spans="1:6" x14ac:dyDescent="0.2">
      <c r="A2199" s="17" t="s">
        <v>9513</v>
      </c>
      <c r="B2199" s="18" t="s">
        <v>9514</v>
      </c>
      <c r="C2199" s="17" t="s">
        <v>0</v>
      </c>
      <c r="D2199" s="19">
        <v>123.59</v>
      </c>
      <c r="F2199" s="3" t="str">
        <f t="shared" si="34"/>
        <v>C0324</v>
      </c>
    </row>
    <row r="2200" spans="1:6" x14ac:dyDescent="0.2">
      <c r="A2200" s="17" t="s">
        <v>9515</v>
      </c>
      <c r="B2200" s="18" t="s">
        <v>9516</v>
      </c>
      <c r="C2200" s="17" t="s">
        <v>0</v>
      </c>
      <c r="D2200" s="19">
        <v>145.13999999999999</v>
      </c>
      <c r="F2200" s="3" t="str">
        <f t="shared" si="34"/>
        <v>C0307</v>
      </c>
    </row>
    <row r="2201" spans="1:6" x14ac:dyDescent="0.2">
      <c r="A2201" s="17" t="s">
        <v>9517</v>
      </c>
      <c r="B2201" s="18" t="s">
        <v>9518</v>
      </c>
      <c r="C2201" s="17" t="s">
        <v>0</v>
      </c>
      <c r="D2201" s="19">
        <v>165.18</v>
      </c>
      <c r="F2201" s="3" t="str">
        <f t="shared" si="34"/>
        <v>C0309</v>
      </c>
    </row>
    <row r="2202" spans="1:6" x14ac:dyDescent="0.2">
      <c r="A2202" s="17" t="s">
        <v>9519</v>
      </c>
      <c r="B2202" s="18" t="s">
        <v>9520</v>
      </c>
      <c r="C2202" s="17" t="s">
        <v>0</v>
      </c>
      <c r="D2202" s="19">
        <v>189.57</v>
      </c>
      <c r="F2202" s="3" t="str">
        <f t="shared" si="34"/>
        <v>C0310</v>
      </c>
    </row>
    <row r="2203" spans="1:6" x14ac:dyDescent="0.2">
      <c r="A2203" s="17" t="s">
        <v>9521</v>
      </c>
      <c r="B2203" s="18" t="s">
        <v>9522</v>
      </c>
      <c r="C2203" s="17" t="s">
        <v>26</v>
      </c>
      <c r="D2203" s="19">
        <v>96.46</v>
      </c>
      <c r="F2203" s="3" t="str">
        <f t="shared" si="34"/>
        <v>C0475</v>
      </c>
    </row>
    <row r="2204" spans="1:6" x14ac:dyDescent="0.2">
      <c r="A2204" s="17" t="s">
        <v>9523</v>
      </c>
      <c r="B2204" s="18" t="s">
        <v>9524</v>
      </c>
      <c r="C2204" s="17" t="s">
        <v>26</v>
      </c>
      <c r="D2204" s="19">
        <v>124.7</v>
      </c>
      <c r="F2204" s="3" t="str">
        <f t="shared" si="34"/>
        <v>C0476</v>
      </c>
    </row>
    <row r="2205" spans="1:6" x14ac:dyDescent="0.2">
      <c r="A2205" s="17" t="s">
        <v>9525</v>
      </c>
      <c r="B2205" s="18" t="s">
        <v>9526</v>
      </c>
      <c r="C2205" s="17" t="s">
        <v>26</v>
      </c>
      <c r="D2205" s="19">
        <v>360.2</v>
      </c>
      <c r="F2205" s="3" t="str">
        <f t="shared" si="34"/>
        <v>C0477</v>
      </c>
    </row>
    <row r="2206" spans="1:6" x14ac:dyDescent="0.2">
      <c r="A2206" s="17" t="s">
        <v>9527</v>
      </c>
      <c r="B2206" s="18" t="s">
        <v>9528</v>
      </c>
      <c r="C2206" s="17" t="s">
        <v>26</v>
      </c>
      <c r="D2206" s="19">
        <v>282.52999999999997</v>
      </c>
      <c r="F2206" s="3" t="str">
        <f t="shared" si="34"/>
        <v>C0655</v>
      </c>
    </row>
    <row r="2207" spans="1:6" x14ac:dyDescent="0.2">
      <c r="A2207" s="17" t="s">
        <v>9529</v>
      </c>
      <c r="B2207" s="18" t="s">
        <v>9530</v>
      </c>
      <c r="C2207" s="17" t="s">
        <v>26</v>
      </c>
      <c r="D2207" s="19">
        <v>70.89</v>
      </c>
      <c r="F2207" s="3" t="str">
        <f t="shared" si="34"/>
        <v>C1438</v>
      </c>
    </row>
    <row r="2208" spans="1:6" x14ac:dyDescent="0.2">
      <c r="A2208" s="17" t="s">
        <v>9531</v>
      </c>
      <c r="B2208" s="18" t="s">
        <v>9532</v>
      </c>
      <c r="C2208" s="17" t="s">
        <v>26</v>
      </c>
      <c r="D2208" s="19">
        <v>92.8</v>
      </c>
      <c r="F2208" s="3" t="str">
        <f t="shared" si="34"/>
        <v>C1536</v>
      </c>
    </row>
    <row r="2209" spans="1:6" x14ac:dyDescent="0.2">
      <c r="A2209" s="17" t="s">
        <v>9533</v>
      </c>
      <c r="B2209" s="18" t="s">
        <v>9534</v>
      </c>
      <c r="C2209" s="17" t="s">
        <v>26</v>
      </c>
      <c r="D2209" s="19">
        <v>135.11000000000001</v>
      </c>
      <c r="F2209" s="3" t="str">
        <f t="shared" si="34"/>
        <v>C1537</v>
      </c>
    </row>
    <row r="2210" spans="1:6" x14ac:dyDescent="0.2">
      <c r="A2210" s="17" t="s">
        <v>9535</v>
      </c>
      <c r="B2210" s="18" t="s">
        <v>9536</v>
      </c>
      <c r="C2210" s="17" t="s">
        <v>26</v>
      </c>
      <c r="D2210" s="19">
        <v>177.59</v>
      </c>
      <c r="F2210" s="3" t="str">
        <f t="shared" si="34"/>
        <v>C1535</v>
      </c>
    </row>
    <row r="2211" spans="1:6" x14ac:dyDescent="0.2">
      <c r="A2211" s="17" t="s">
        <v>9537</v>
      </c>
      <c r="B2211" s="18" t="s">
        <v>9538</v>
      </c>
      <c r="C2211" s="17" t="s">
        <v>26</v>
      </c>
      <c r="D2211" s="19">
        <v>388.14</v>
      </c>
      <c r="F2211" s="3" t="str">
        <f t="shared" si="34"/>
        <v>C1538</v>
      </c>
    </row>
    <row r="2212" spans="1:6" x14ac:dyDescent="0.2">
      <c r="A2212" s="17" t="s">
        <v>9539</v>
      </c>
      <c r="B2212" s="18" t="s">
        <v>9540</v>
      </c>
      <c r="C2212" s="17" t="s">
        <v>26</v>
      </c>
      <c r="D2212" s="19">
        <v>158.49</v>
      </c>
      <c r="F2212" s="3" t="str">
        <f t="shared" si="34"/>
        <v>C1534</v>
      </c>
    </row>
    <row r="2213" spans="1:6" x14ac:dyDescent="0.2">
      <c r="A2213" s="17" t="s">
        <v>9541</v>
      </c>
      <c r="B2213" s="18" t="s">
        <v>9542</v>
      </c>
      <c r="C2213" s="17" t="s">
        <v>26</v>
      </c>
      <c r="D2213" s="19">
        <v>62.14</v>
      </c>
      <c r="F2213" s="3" t="str">
        <f t="shared" si="34"/>
        <v>C1539</v>
      </c>
    </row>
    <row r="2214" spans="1:6" x14ac:dyDescent="0.2">
      <c r="A2214" s="17" t="s">
        <v>9543</v>
      </c>
      <c r="B2214" s="18" t="s">
        <v>9544</v>
      </c>
      <c r="C2214" s="17" t="s">
        <v>26</v>
      </c>
      <c r="D2214" s="19">
        <v>561.22</v>
      </c>
      <c r="F2214" s="3" t="str">
        <f t="shared" si="34"/>
        <v>C1569</v>
      </c>
    </row>
    <row r="2215" spans="1:6" x14ac:dyDescent="0.2">
      <c r="A2215" s="17" t="s">
        <v>9545</v>
      </c>
      <c r="B2215" s="18" t="s">
        <v>9546</v>
      </c>
      <c r="C2215" s="17" t="s">
        <v>26</v>
      </c>
      <c r="D2215" s="19">
        <v>146.47</v>
      </c>
      <c r="F2215" s="3" t="str">
        <f t="shared" si="34"/>
        <v>C1679</v>
      </c>
    </row>
    <row r="2216" spans="1:6" x14ac:dyDescent="0.2">
      <c r="A2216" s="17" t="s">
        <v>9547</v>
      </c>
      <c r="B2216" s="18" t="s">
        <v>9548</v>
      </c>
      <c r="C2216" s="17" t="s">
        <v>26</v>
      </c>
      <c r="D2216" s="19">
        <v>179.58</v>
      </c>
      <c r="F2216" s="3" t="str">
        <f t="shared" si="34"/>
        <v>C1680</v>
      </c>
    </row>
    <row r="2217" spans="1:6" x14ac:dyDescent="0.2">
      <c r="A2217" s="17" t="s">
        <v>9549</v>
      </c>
      <c r="B2217" s="18" t="s">
        <v>9550</v>
      </c>
      <c r="C2217" s="17" t="s">
        <v>26</v>
      </c>
      <c r="D2217" s="19">
        <v>338.17</v>
      </c>
      <c r="F2217" s="3" t="str">
        <f t="shared" si="34"/>
        <v>C1681</v>
      </c>
    </row>
    <row r="2218" spans="1:6" x14ac:dyDescent="0.2">
      <c r="A2218" s="17" t="s">
        <v>9551</v>
      </c>
      <c r="B2218" s="18" t="s">
        <v>9552</v>
      </c>
      <c r="C2218" s="17" t="s">
        <v>26</v>
      </c>
      <c r="D2218" s="19">
        <v>210.93</v>
      </c>
      <c r="F2218" s="3" t="str">
        <f t="shared" si="34"/>
        <v>C1682</v>
      </c>
    </row>
    <row r="2219" spans="1:6" x14ac:dyDescent="0.2">
      <c r="A2219" s="17" t="s">
        <v>9553</v>
      </c>
      <c r="B2219" s="18" t="s">
        <v>9554</v>
      </c>
      <c r="C2219" s="17" t="s">
        <v>26</v>
      </c>
      <c r="D2219" s="19">
        <v>78.680000000000007</v>
      </c>
      <c r="F2219" s="3" t="str">
        <f t="shared" si="34"/>
        <v>C1683</v>
      </c>
    </row>
    <row r="2220" spans="1:6" x14ac:dyDescent="0.2">
      <c r="A2220" s="17" t="s">
        <v>9555</v>
      </c>
      <c r="B2220" s="18" t="s">
        <v>9556</v>
      </c>
      <c r="C2220" s="17" t="s">
        <v>26</v>
      </c>
      <c r="D2220" s="19">
        <v>95.34</v>
      </c>
      <c r="F2220" s="3" t="str">
        <f t="shared" si="34"/>
        <v>C1684</v>
      </c>
    </row>
    <row r="2221" spans="1:6" x14ac:dyDescent="0.2">
      <c r="A2221" s="17" t="s">
        <v>9557</v>
      </c>
      <c r="B2221" s="18" t="s">
        <v>9558</v>
      </c>
      <c r="C2221" s="17" t="s">
        <v>26</v>
      </c>
      <c r="D2221" s="19">
        <v>244.12</v>
      </c>
      <c r="F2221" s="3" t="str">
        <f t="shared" si="34"/>
        <v>C1685</v>
      </c>
    </row>
    <row r="2222" spans="1:6" x14ac:dyDescent="0.2">
      <c r="A2222" s="17" t="s">
        <v>9559</v>
      </c>
      <c r="B2222" s="18" t="s">
        <v>9560</v>
      </c>
      <c r="C2222" s="17" t="s">
        <v>26</v>
      </c>
      <c r="D2222" s="19">
        <v>312.98</v>
      </c>
      <c r="F2222" s="3" t="str">
        <f t="shared" si="34"/>
        <v>C1686</v>
      </c>
    </row>
    <row r="2223" spans="1:6" x14ac:dyDescent="0.2">
      <c r="A2223" s="17" t="s">
        <v>9561</v>
      </c>
      <c r="B2223" s="18" t="s">
        <v>9562</v>
      </c>
      <c r="C2223" s="17" t="s">
        <v>26</v>
      </c>
      <c r="D2223" s="19">
        <v>74.569999999999993</v>
      </c>
      <c r="F2223" s="3" t="str">
        <f t="shared" si="34"/>
        <v>C1938</v>
      </c>
    </row>
    <row r="2224" spans="1:6" x14ac:dyDescent="0.2">
      <c r="A2224" s="17" t="s">
        <v>9563</v>
      </c>
      <c r="B2224" s="18" t="s">
        <v>9564</v>
      </c>
      <c r="C2224" s="17" t="s">
        <v>26</v>
      </c>
      <c r="D2224" s="19">
        <v>97.17</v>
      </c>
      <c r="F2224" s="3" t="str">
        <f t="shared" si="34"/>
        <v>C1939</v>
      </c>
    </row>
    <row r="2225" spans="1:6" x14ac:dyDescent="0.2">
      <c r="A2225" s="17" t="s">
        <v>9565</v>
      </c>
      <c r="B2225" s="18" t="s">
        <v>9566</v>
      </c>
      <c r="C2225" s="17" t="s">
        <v>26</v>
      </c>
      <c r="D2225" s="19">
        <v>160.31</v>
      </c>
      <c r="F2225" s="3" t="str">
        <f t="shared" si="34"/>
        <v>C1940</v>
      </c>
    </row>
    <row r="2226" spans="1:6" x14ac:dyDescent="0.2">
      <c r="A2226" s="17" t="s">
        <v>9567</v>
      </c>
      <c r="B2226" s="18" t="s">
        <v>9568</v>
      </c>
      <c r="C2226" s="17" t="s">
        <v>26</v>
      </c>
      <c r="D2226" s="19">
        <v>181.4</v>
      </c>
      <c r="F2226" s="3" t="str">
        <f t="shared" si="34"/>
        <v>C1941</v>
      </c>
    </row>
    <row r="2227" spans="1:6" x14ac:dyDescent="0.2">
      <c r="A2227" s="17" t="s">
        <v>9569</v>
      </c>
      <c r="B2227" s="18" t="s">
        <v>9570</v>
      </c>
      <c r="C2227" s="17" t="s">
        <v>26</v>
      </c>
      <c r="D2227" s="19">
        <v>132.85</v>
      </c>
      <c r="F2227" s="3" t="str">
        <f t="shared" si="34"/>
        <v>C2415</v>
      </c>
    </row>
    <row r="2228" spans="1:6" x14ac:dyDescent="0.2">
      <c r="A2228" s="17" t="s">
        <v>9571</v>
      </c>
      <c r="B2228" s="18" t="s">
        <v>9572</v>
      </c>
      <c r="C2228" s="17" t="s">
        <v>26</v>
      </c>
      <c r="D2228" s="19">
        <v>224.9</v>
      </c>
      <c r="F2228" s="3" t="str">
        <f t="shared" si="34"/>
        <v>C2416</v>
      </c>
    </row>
    <row r="2229" spans="1:6" x14ac:dyDescent="0.2">
      <c r="A2229" s="17" t="s">
        <v>9573</v>
      </c>
      <c r="B2229" s="18" t="s">
        <v>9574</v>
      </c>
      <c r="C2229" s="17" t="s">
        <v>26</v>
      </c>
      <c r="D2229" s="19">
        <v>231.44</v>
      </c>
      <c r="F2229" s="3" t="str">
        <f t="shared" si="34"/>
        <v>C2422</v>
      </c>
    </row>
    <row r="2230" spans="1:6" x14ac:dyDescent="0.2">
      <c r="A2230" s="17" t="s">
        <v>9575</v>
      </c>
      <c r="B2230" s="18" t="s">
        <v>9576</v>
      </c>
      <c r="C2230" s="17" t="s">
        <v>26</v>
      </c>
      <c r="D2230" s="19">
        <v>205.75</v>
      </c>
      <c r="F2230" s="3" t="str">
        <f t="shared" si="34"/>
        <v>C2418</v>
      </c>
    </row>
    <row r="2231" spans="1:6" x14ac:dyDescent="0.2">
      <c r="A2231" s="17" t="s">
        <v>9577</v>
      </c>
      <c r="B2231" s="18" t="s">
        <v>9578</v>
      </c>
      <c r="C2231" s="17" t="s">
        <v>26</v>
      </c>
      <c r="D2231" s="19">
        <v>269.51</v>
      </c>
      <c r="F2231" s="3" t="str">
        <f t="shared" si="34"/>
        <v>C2419</v>
      </c>
    </row>
    <row r="2232" spans="1:6" x14ac:dyDescent="0.2">
      <c r="A2232" s="17" t="s">
        <v>9579</v>
      </c>
      <c r="B2232" s="18" t="s">
        <v>9580</v>
      </c>
      <c r="C2232" s="17" t="s">
        <v>26</v>
      </c>
      <c r="D2232" s="19">
        <v>248.82</v>
      </c>
      <c r="F2232" s="3" t="str">
        <f t="shared" si="34"/>
        <v>C2417</v>
      </c>
    </row>
    <row r="2233" spans="1:6" x14ac:dyDescent="0.2">
      <c r="A2233" s="17" t="s">
        <v>9581</v>
      </c>
      <c r="B2233" s="18" t="s">
        <v>9582</v>
      </c>
      <c r="C2233" s="17" t="s">
        <v>26</v>
      </c>
      <c r="D2233" s="19">
        <v>436</v>
      </c>
      <c r="F2233" s="3" t="str">
        <f t="shared" si="34"/>
        <v>C2420</v>
      </c>
    </row>
    <row r="2234" spans="1:6" x14ac:dyDescent="0.2">
      <c r="A2234" s="17" t="s">
        <v>9583</v>
      </c>
      <c r="B2234" s="18" t="s">
        <v>9584</v>
      </c>
      <c r="C2234" s="17" t="s">
        <v>26</v>
      </c>
      <c r="D2234" s="19">
        <v>508.4</v>
      </c>
      <c r="F2234" s="3" t="str">
        <f t="shared" si="34"/>
        <v>C2421</v>
      </c>
    </row>
    <row r="2235" spans="1:6" x14ac:dyDescent="0.2">
      <c r="A2235" s="14" t="s">
        <v>9585</v>
      </c>
      <c r="B2235" s="15"/>
      <c r="C2235" s="14">
        <v>0</v>
      </c>
      <c r="D2235" s="16">
        <v>28097.11</v>
      </c>
      <c r="F2235" s="3" t="str">
        <f t="shared" si="34"/>
        <v>TUBOS E CONEXÕES DE AÇO</v>
      </c>
    </row>
    <row r="2236" spans="1:6" x14ac:dyDescent="0.2">
      <c r="A2236" s="17" t="s">
        <v>9586</v>
      </c>
      <c r="B2236" s="18" t="s">
        <v>9587</v>
      </c>
      <c r="C2236" s="17" t="s">
        <v>0</v>
      </c>
      <c r="D2236" s="19">
        <v>39.9</v>
      </c>
      <c r="F2236" s="3" t="str">
        <f t="shared" si="34"/>
        <v>C0264</v>
      </c>
    </row>
    <row r="2237" spans="1:6" x14ac:dyDescent="0.2">
      <c r="A2237" s="17" t="s">
        <v>9588</v>
      </c>
      <c r="B2237" s="18" t="s">
        <v>9589</v>
      </c>
      <c r="C2237" s="17" t="s">
        <v>0</v>
      </c>
      <c r="D2237" s="19">
        <v>60.99</v>
      </c>
      <c r="F2237" s="3" t="str">
        <f t="shared" si="34"/>
        <v>C0265</v>
      </c>
    </row>
    <row r="2238" spans="1:6" x14ac:dyDescent="0.2">
      <c r="A2238" s="17" t="s">
        <v>9590</v>
      </c>
      <c r="B2238" s="18" t="s">
        <v>9591</v>
      </c>
      <c r="C2238" s="17" t="s">
        <v>0</v>
      </c>
      <c r="D2238" s="19">
        <v>73.790000000000006</v>
      </c>
      <c r="F2238" s="3" t="str">
        <f t="shared" si="34"/>
        <v>C0266</v>
      </c>
    </row>
    <row r="2239" spans="1:6" x14ac:dyDescent="0.2">
      <c r="A2239" s="17" t="s">
        <v>9592</v>
      </c>
      <c r="B2239" s="18" t="s">
        <v>9593</v>
      </c>
      <c r="C2239" s="17" t="s">
        <v>0</v>
      </c>
      <c r="D2239" s="19">
        <v>88.45</v>
      </c>
      <c r="F2239" s="3" t="str">
        <f t="shared" si="34"/>
        <v>C0267</v>
      </c>
    </row>
    <row r="2240" spans="1:6" x14ac:dyDescent="0.2">
      <c r="A2240" s="17" t="s">
        <v>9594</v>
      </c>
      <c r="B2240" s="18" t="s">
        <v>9595</v>
      </c>
      <c r="C2240" s="17" t="s">
        <v>0</v>
      </c>
      <c r="D2240" s="19">
        <v>90.51</v>
      </c>
      <c r="F2240" s="3" t="str">
        <f t="shared" si="34"/>
        <v>C0268</v>
      </c>
    </row>
    <row r="2241" spans="1:6" x14ac:dyDescent="0.2">
      <c r="A2241" s="17" t="s">
        <v>9596</v>
      </c>
      <c r="B2241" s="18" t="s">
        <v>9597</v>
      </c>
      <c r="C2241" s="17" t="s">
        <v>0</v>
      </c>
      <c r="D2241" s="19">
        <v>114.22</v>
      </c>
      <c r="F2241" s="3" t="str">
        <f t="shared" si="34"/>
        <v>C0269</v>
      </c>
    </row>
    <row r="2242" spans="1:6" x14ac:dyDescent="0.2">
      <c r="A2242" s="17" t="s">
        <v>9598</v>
      </c>
      <c r="B2242" s="18" t="s">
        <v>9599</v>
      </c>
      <c r="C2242" s="17" t="s">
        <v>0</v>
      </c>
      <c r="D2242" s="19">
        <v>132.85</v>
      </c>
      <c r="F2242" s="3" t="str">
        <f t="shared" ref="F2242:F2305" si="35">A2242</f>
        <v>C0270</v>
      </c>
    </row>
    <row r="2243" spans="1:6" x14ac:dyDescent="0.2">
      <c r="A2243" s="17" t="s">
        <v>9600</v>
      </c>
      <c r="B2243" s="18" t="s">
        <v>9601</v>
      </c>
      <c r="C2243" s="17" t="s">
        <v>0</v>
      </c>
      <c r="D2243" s="19">
        <v>164.36</v>
      </c>
      <c r="F2243" s="3" t="str">
        <f t="shared" si="35"/>
        <v>C0271</v>
      </c>
    </row>
    <row r="2244" spans="1:6" x14ac:dyDescent="0.2">
      <c r="A2244" s="17" t="s">
        <v>9602</v>
      </c>
      <c r="B2244" s="18" t="s">
        <v>9603</v>
      </c>
      <c r="C2244" s="17" t="s">
        <v>0</v>
      </c>
      <c r="D2244" s="19">
        <v>184.41</v>
      </c>
      <c r="F2244" s="3" t="str">
        <f t="shared" si="35"/>
        <v>C0272</v>
      </c>
    </row>
    <row r="2245" spans="1:6" x14ac:dyDescent="0.2">
      <c r="A2245" s="17" t="s">
        <v>9604</v>
      </c>
      <c r="B2245" s="18" t="s">
        <v>9605</v>
      </c>
      <c r="C2245" s="17" t="s">
        <v>0</v>
      </c>
      <c r="D2245" s="19">
        <v>271.8</v>
      </c>
      <c r="F2245" s="3" t="str">
        <f t="shared" si="35"/>
        <v>C0273</v>
      </c>
    </row>
    <row r="2246" spans="1:6" x14ac:dyDescent="0.2">
      <c r="A2246" s="17" t="s">
        <v>9606</v>
      </c>
      <c r="B2246" s="18" t="s">
        <v>9607</v>
      </c>
      <c r="C2246" s="17" t="s">
        <v>0</v>
      </c>
      <c r="D2246" s="19">
        <v>344.84</v>
      </c>
      <c r="F2246" s="3" t="str">
        <f t="shared" si="35"/>
        <v>C0274</v>
      </c>
    </row>
    <row r="2247" spans="1:6" x14ac:dyDescent="0.2">
      <c r="A2247" s="17" t="s">
        <v>9608</v>
      </c>
      <c r="B2247" s="18" t="s">
        <v>9609</v>
      </c>
      <c r="C2247" s="17" t="s">
        <v>0</v>
      </c>
      <c r="D2247" s="19">
        <v>94.57</v>
      </c>
      <c r="F2247" s="3" t="str">
        <f t="shared" si="35"/>
        <v>C0248</v>
      </c>
    </row>
    <row r="2248" spans="1:6" x14ac:dyDescent="0.2">
      <c r="A2248" s="17" t="s">
        <v>9610</v>
      </c>
      <c r="B2248" s="18" t="s">
        <v>9611</v>
      </c>
      <c r="C2248" s="17" t="s">
        <v>0</v>
      </c>
      <c r="D2248" s="19">
        <v>118.25</v>
      </c>
      <c r="F2248" s="3" t="str">
        <f t="shared" si="35"/>
        <v>C0249</v>
      </c>
    </row>
    <row r="2249" spans="1:6" x14ac:dyDescent="0.2">
      <c r="A2249" s="17" t="s">
        <v>9612</v>
      </c>
      <c r="B2249" s="18" t="s">
        <v>9613</v>
      </c>
      <c r="C2249" s="17" t="s">
        <v>0</v>
      </c>
      <c r="D2249" s="19">
        <v>138.66</v>
      </c>
      <c r="F2249" s="3" t="str">
        <f t="shared" si="35"/>
        <v>C0250</v>
      </c>
    </row>
    <row r="2250" spans="1:6" x14ac:dyDescent="0.2">
      <c r="A2250" s="17" t="s">
        <v>9614</v>
      </c>
      <c r="B2250" s="18" t="s">
        <v>9615</v>
      </c>
      <c r="C2250" s="17" t="s">
        <v>0</v>
      </c>
      <c r="D2250" s="19">
        <v>165.71</v>
      </c>
      <c r="F2250" s="3" t="str">
        <f t="shared" si="35"/>
        <v>C0251</v>
      </c>
    </row>
    <row r="2251" spans="1:6" x14ac:dyDescent="0.2">
      <c r="A2251" s="17" t="s">
        <v>9616</v>
      </c>
      <c r="B2251" s="18" t="s">
        <v>9617</v>
      </c>
      <c r="C2251" s="17" t="s">
        <v>0</v>
      </c>
      <c r="D2251" s="19">
        <v>174.41</v>
      </c>
      <c r="F2251" s="3" t="str">
        <f t="shared" si="35"/>
        <v>C0252</v>
      </c>
    </row>
    <row r="2252" spans="1:6" x14ac:dyDescent="0.2">
      <c r="A2252" s="17" t="s">
        <v>9618</v>
      </c>
      <c r="B2252" s="18" t="s">
        <v>9619</v>
      </c>
      <c r="C2252" s="17" t="s">
        <v>0</v>
      </c>
      <c r="D2252" s="19">
        <v>186.98</v>
      </c>
      <c r="F2252" s="3" t="str">
        <f t="shared" si="35"/>
        <v>C0253</v>
      </c>
    </row>
    <row r="2253" spans="1:6" x14ac:dyDescent="0.2">
      <c r="A2253" s="17" t="s">
        <v>9620</v>
      </c>
      <c r="B2253" s="18" t="s">
        <v>9621</v>
      </c>
      <c r="C2253" s="17" t="s">
        <v>0</v>
      </c>
      <c r="D2253" s="19">
        <v>209.1</v>
      </c>
      <c r="F2253" s="3" t="str">
        <f t="shared" si="35"/>
        <v>C0254</v>
      </c>
    </row>
    <row r="2254" spans="1:6" x14ac:dyDescent="0.2">
      <c r="A2254" s="17" t="s">
        <v>9622</v>
      </c>
      <c r="B2254" s="18" t="s">
        <v>9623</v>
      </c>
      <c r="C2254" s="17" t="s">
        <v>0</v>
      </c>
      <c r="D2254" s="19">
        <v>241.42</v>
      </c>
      <c r="F2254" s="3" t="str">
        <f t="shared" si="35"/>
        <v>C0255</v>
      </c>
    </row>
    <row r="2255" spans="1:6" x14ac:dyDescent="0.2">
      <c r="A2255" s="17" t="s">
        <v>9624</v>
      </c>
      <c r="B2255" s="18" t="s">
        <v>9625</v>
      </c>
      <c r="C2255" s="17" t="s">
        <v>0</v>
      </c>
      <c r="D2255" s="19">
        <v>314.66000000000003</v>
      </c>
      <c r="F2255" s="3" t="str">
        <f t="shared" si="35"/>
        <v>C0256</v>
      </c>
    </row>
    <row r="2256" spans="1:6" x14ac:dyDescent="0.2">
      <c r="A2256" s="17" t="s">
        <v>9626</v>
      </c>
      <c r="B2256" s="18" t="s">
        <v>9627</v>
      </c>
      <c r="C2256" s="17" t="s">
        <v>0</v>
      </c>
      <c r="D2256" s="19">
        <v>327.63</v>
      </c>
      <c r="F2256" s="3" t="str">
        <f t="shared" si="35"/>
        <v>C0257</v>
      </c>
    </row>
    <row r="2257" spans="1:6" x14ac:dyDescent="0.2">
      <c r="A2257" s="17" t="s">
        <v>9628</v>
      </c>
      <c r="B2257" s="18" t="s">
        <v>9629</v>
      </c>
      <c r="C2257" s="17" t="s">
        <v>0</v>
      </c>
      <c r="D2257" s="19">
        <v>357.5</v>
      </c>
      <c r="F2257" s="3" t="str">
        <f t="shared" si="35"/>
        <v>C0258</v>
      </c>
    </row>
    <row r="2258" spans="1:6" x14ac:dyDescent="0.2">
      <c r="A2258" s="17" t="s">
        <v>9630</v>
      </c>
      <c r="B2258" s="18" t="s">
        <v>9631</v>
      </c>
      <c r="C2258" s="17" t="s">
        <v>0</v>
      </c>
      <c r="D2258" s="19">
        <v>456.75</v>
      </c>
      <c r="F2258" s="3" t="str">
        <f t="shared" si="35"/>
        <v>C0259</v>
      </c>
    </row>
    <row r="2259" spans="1:6" x14ac:dyDescent="0.2">
      <c r="A2259" s="17" t="s">
        <v>9632</v>
      </c>
      <c r="B2259" s="18" t="s">
        <v>9633</v>
      </c>
      <c r="C2259" s="17" t="s">
        <v>0</v>
      </c>
      <c r="D2259" s="19">
        <v>498.68</v>
      </c>
      <c r="F2259" s="3" t="str">
        <f t="shared" si="35"/>
        <v>C0260</v>
      </c>
    </row>
    <row r="2260" spans="1:6" x14ac:dyDescent="0.2">
      <c r="A2260" s="17" t="s">
        <v>9634</v>
      </c>
      <c r="B2260" s="18" t="s">
        <v>9635</v>
      </c>
      <c r="C2260" s="17" t="s">
        <v>0</v>
      </c>
      <c r="D2260" s="19">
        <v>533.22</v>
      </c>
      <c r="F2260" s="3" t="str">
        <f t="shared" si="35"/>
        <v>C0261</v>
      </c>
    </row>
    <row r="2261" spans="1:6" x14ac:dyDescent="0.2">
      <c r="A2261" s="17" t="s">
        <v>9636</v>
      </c>
      <c r="B2261" s="18" t="s">
        <v>9637</v>
      </c>
      <c r="C2261" s="17" t="s">
        <v>0</v>
      </c>
      <c r="D2261" s="19">
        <v>581.30999999999995</v>
      </c>
      <c r="F2261" s="3" t="str">
        <f t="shared" si="35"/>
        <v>C0262</v>
      </c>
    </row>
    <row r="2262" spans="1:6" x14ac:dyDescent="0.2">
      <c r="A2262" s="17" t="s">
        <v>9638</v>
      </c>
      <c r="B2262" s="18" t="s">
        <v>9639</v>
      </c>
      <c r="C2262" s="17" t="s">
        <v>0</v>
      </c>
      <c r="D2262" s="19">
        <v>667.34</v>
      </c>
      <c r="F2262" s="3" t="str">
        <f t="shared" si="35"/>
        <v>C0234</v>
      </c>
    </row>
    <row r="2263" spans="1:6" x14ac:dyDescent="0.2">
      <c r="A2263" s="17" t="s">
        <v>9640</v>
      </c>
      <c r="B2263" s="18" t="s">
        <v>9641</v>
      </c>
      <c r="C2263" s="17" t="s">
        <v>0</v>
      </c>
      <c r="D2263" s="19">
        <v>824.34</v>
      </c>
      <c r="F2263" s="3" t="str">
        <f t="shared" si="35"/>
        <v>C0263</v>
      </c>
    </row>
    <row r="2264" spans="1:6" x14ac:dyDescent="0.2">
      <c r="A2264" s="17" t="s">
        <v>9642</v>
      </c>
      <c r="B2264" s="18" t="s">
        <v>9643</v>
      </c>
      <c r="C2264" s="17" t="s">
        <v>0</v>
      </c>
      <c r="D2264" s="19">
        <v>959.3</v>
      </c>
      <c r="F2264" s="3" t="str">
        <f t="shared" si="35"/>
        <v>C0247</v>
      </c>
    </row>
    <row r="2265" spans="1:6" x14ac:dyDescent="0.2">
      <c r="A2265" s="17" t="s">
        <v>9644</v>
      </c>
      <c r="B2265" s="18" t="s">
        <v>9645</v>
      </c>
      <c r="C2265" s="17" t="s">
        <v>0</v>
      </c>
      <c r="D2265" s="19">
        <v>16.600000000000001</v>
      </c>
      <c r="F2265" s="3" t="str">
        <f t="shared" si="35"/>
        <v>C4875</v>
      </c>
    </row>
    <row r="2266" spans="1:6" x14ac:dyDescent="0.2">
      <c r="A2266" s="17">
        <v>0</v>
      </c>
      <c r="B2266" s="18"/>
      <c r="C2266" s="17">
        <v>0</v>
      </c>
      <c r="D2266" s="19">
        <v>0</v>
      </c>
      <c r="F2266" s="3">
        <f t="shared" si="35"/>
        <v>0</v>
      </c>
    </row>
    <row r="2267" spans="1:6" x14ac:dyDescent="0.2">
      <c r="A2267" s="17" t="s">
        <v>9646</v>
      </c>
      <c r="B2267" s="18" t="s">
        <v>9647</v>
      </c>
      <c r="C2267" s="17" t="s">
        <v>26</v>
      </c>
      <c r="D2267" s="19">
        <v>25.42</v>
      </c>
      <c r="F2267" s="3" t="str">
        <f t="shared" si="35"/>
        <v>C4373</v>
      </c>
    </row>
    <row r="2268" spans="1:6" x14ac:dyDescent="0.2">
      <c r="A2268" s="17" t="s">
        <v>9648</v>
      </c>
      <c r="B2268" s="18" t="s">
        <v>9649</v>
      </c>
      <c r="C2268" s="17" t="s">
        <v>26</v>
      </c>
      <c r="D2268" s="19">
        <v>31.63</v>
      </c>
      <c r="F2268" s="3" t="str">
        <f t="shared" si="35"/>
        <v>C4374</v>
      </c>
    </row>
    <row r="2269" spans="1:6" x14ac:dyDescent="0.2">
      <c r="A2269" s="17" t="s">
        <v>9650</v>
      </c>
      <c r="B2269" s="18" t="s">
        <v>9651</v>
      </c>
      <c r="C2269" s="17" t="s">
        <v>26</v>
      </c>
      <c r="D2269" s="19">
        <v>43.78</v>
      </c>
      <c r="F2269" s="3" t="str">
        <f t="shared" si="35"/>
        <v>C4376</v>
      </c>
    </row>
    <row r="2270" spans="1:6" x14ac:dyDescent="0.2">
      <c r="A2270" s="17" t="s">
        <v>9652</v>
      </c>
      <c r="B2270" s="18" t="s">
        <v>9653</v>
      </c>
      <c r="C2270" s="17" t="s">
        <v>26</v>
      </c>
      <c r="D2270" s="19">
        <v>8.23</v>
      </c>
      <c r="F2270" s="3" t="str">
        <f t="shared" si="35"/>
        <v>C0510</v>
      </c>
    </row>
    <row r="2271" spans="1:6" x14ac:dyDescent="0.2">
      <c r="A2271" s="17" t="s">
        <v>9654</v>
      </c>
      <c r="B2271" s="18" t="s">
        <v>9655</v>
      </c>
      <c r="C2271" s="17" t="s">
        <v>26</v>
      </c>
      <c r="D2271" s="19">
        <v>19.3</v>
      </c>
      <c r="F2271" s="3" t="str">
        <f t="shared" si="35"/>
        <v>C0511</v>
      </c>
    </row>
    <row r="2272" spans="1:6" x14ac:dyDescent="0.2">
      <c r="A2272" s="17" t="s">
        <v>9656</v>
      </c>
      <c r="B2272" s="18" t="s">
        <v>9657</v>
      </c>
      <c r="C2272" s="17" t="s">
        <v>26</v>
      </c>
      <c r="D2272" s="19">
        <v>48.64</v>
      </c>
      <c r="F2272" s="3" t="str">
        <f t="shared" si="35"/>
        <v>C0512</v>
      </c>
    </row>
    <row r="2273" spans="1:6" x14ac:dyDescent="0.2">
      <c r="A2273" s="17" t="s">
        <v>9658</v>
      </c>
      <c r="B2273" s="18" t="s">
        <v>9659</v>
      </c>
      <c r="C2273" s="17" t="s">
        <v>26</v>
      </c>
      <c r="D2273" s="19">
        <v>115.09</v>
      </c>
      <c r="F2273" s="3" t="str">
        <f t="shared" si="35"/>
        <v>C0509</v>
      </c>
    </row>
    <row r="2274" spans="1:6" x14ac:dyDescent="0.2">
      <c r="A2274" s="17" t="s">
        <v>9660</v>
      </c>
      <c r="B2274" s="18" t="s">
        <v>9661</v>
      </c>
      <c r="C2274" s="17" t="s">
        <v>26</v>
      </c>
      <c r="D2274" s="19">
        <v>48.64</v>
      </c>
      <c r="F2274" s="3" t="str">
        <f t="shared" si="35"/>
        <v>C0513</v>
      </c>
    </row>
    <row r="2275" spans="1:6" x14ac:dyDescent="0.2">
      <c r="A2275" s="17" t="s">
        <v>9662</v>
      </c>
      <c r="B2275" s="18" t="s">
        <v>9663</v>
      </c>
      <c r="C2275" s="17" t="s">
        <v>26</v>
      </c>
      <c r="D2275" s="19">
        <v>80.48</v>
      </c>
      <c r="F2275" s="3" t="str">
        <f t="shared" si="35"/>
        <v>C3700</v>
      </c>
    </row>
    <row r="2276" spans="1:6" x14ac:dyDescent="0.2">
      <c r="A2276" s="17" t="s">
        <v>9664</v>
      </c>
      <c r="B2276" s="18" t="s">
        <v>9665</v>
      </c>
      <c r="C2276" s="17" t="s">
        <v>26</v>
      </c>
      <c r="D2276" s="19">
        <v>129.30000000000001</v>
      </c>
      <c r="F2276" s="3" t="str">
        <f t="shared" si="35"/>
        <v>C3701</v>
      </c>
    </row>
    <row r="2277" spans="1:6" x14ac:dyDescent="0.2">
      <c r="A2277" s="17" t="s">
        <v>9666</v>
      </c>
      <c r="B2277" s="18" t="s">
        <v>9667</v>
      </c>
      <c r="C2277" s="17" t="s">
        <v>26</v>
      </c>
      <c r="D2277" s="19">
        <v>174.26</v>
      </c>
      <c r="F2277" s="3" t="str">
        <f t="shared" si="35"/>
        <v>C3702</v>
      </c>
    </row>
    <row r="2278" spans="1:6" x14ac:dyDescent="0.2">
      <c r="A2278" s="17" t="s">
        <v>9668</v>
      </c>
      <c r="B2278" s="18" t="s">
        <v>9669</v>
      </c>
      <c r="C2278" s="17" t="s">
        <v>26</v>
      </c>
      <c r="D2278" s="19">
        <v>184.83</v>
      </c>
      <c r="F2278" s="3" t="str">
        <f t="shared" si="35"/>
        <v>C3703</v>
      </c>
    </row>
    <row r="2279" spans="1:6" x14ac:dyDescent="0.2">
      <c r="A2279" s="17" t="s">
        <v>9670</v>
      </c>
      <c r="B2279" s="18" t="s">
        <v>9671</v>
      </c>
      <c r="C2279" s="17" t="s">
        <v>26</v>
      </c>
      <c r="D2279" s="19">
        <v>195.4</v>
      </c>
      <c r="F2279" s="3" t="str">
        <f t="shared" si="35"/>
        <v>C3704</v>
      </c>
    </row>
    <row r="2280" spans="1:6" x14ac:dyDescent="0.2">
      <c r="A2280" s="17" t="s">
        <v>9672</v>
      </c>
      <c r="B2280" s="18" t="s">
        <v>9673</v>
      </c>
      <c r="C2280" s="17" t="s">
        <v>26</v>
      </c>
      <c r="D2280" s="19">
        <v>207.53</v>
      </c>
      <c r="F2280" s="3" t="str">
        <f t="shared" si="35"/>
        <v>C3705</v>
      </c>
    </row>
    <row r="2281" spans="1:6" x14ac:dyDescent="0.2">
      <c r="A2281" s="17" t="s">
        <v>9674</v>
      </c>
      <c r="B2281" s="18" t="s">
        <v>9675</v>
      </c>
      <c r="C2281" s="17" t="s">
        <v>26</v>
      </c>
      <c r="D2281" s="19">
        <v>218.3</v>
      </c>
      <c r="F2281" s="3" t="str">
        <f t="shared" si="35"/>
        <v>C3706</v>
      </c>
    </row>
    <row r="2282" spans="1:6" x14ac:dyDescent="0.2">
      <c r="A2282" s="17" t="s">
        <v>9676</v>
      </c>
      <c r="B2282" s="18" t="s">
        <v>9677</v>
      </c>
      <c r="C2282" s="17" t="s">
        <v>26</v>
      </c>
      <c r="D2282" s="19">
        <v>24.77</v>
      </c>
      <c r="F2282" s="3" t="str">
        <f t="shared" si="35"/>
        <v>C0940</v>
      </c>
    </row>
    <row r="2283" spans="1:6" x14ac:dyDescent="0.2">
      <c r="A2283" s="17" t="s">
        <v>9678</v>
      </c>
      <c r="B2283" s="18" t="s">
        <v>9679</v>
      </c>
      <c r="C2283" s="17" t="s">
        <v>26</v>
      </c>
      <c r="D2283" s="19">
        <v>28.61</v>
      </c>
      <c r="F2283" s="3" t="str">
        <f t="shared" si="35"/>
        <v>C0941</v>
      </c>
    </row>
    <row r="2284" spans="1:6" x14ac:dyDescent="0.2">
      <c r="A2284" s="17" t="s">
        <v>9680</v>
      </c>
      <c r="B2284" s="18" t="s">
        <v>9681</v>
      </c>
      <c r="C2284" s="17" t="s">
        <v>26</v>
      </c>
      <c r="D2284" s="19">
        <v>34.42</v>
      </c>
      <c r="F2284" s="3" t="str">
        <f t="shared" si="35"/>
        <v>C0942</v>
      </c>
    </row>
    <row r="2285" spans="1:6" x14ac:dyDescent="0.2">
      <c r="A2285" s="17" t="s">
        <v>9682</v>
      </c>
      <c r="B2285" s="18" t="s">
        <v>9683</v>
      </c>
      <c r="C2285" s="17" t="s">
        <v>26</v>
      </c>
      <c r="D2285" s="19">
        <v>57.06</v>
      </c>
      <c r="F2285" s="3" t="str">
        <f t="shared" si="35"/>
        <v>C0943</v>
      </c>
    </row>
    <row r="2286" spans="1:6" x14ac:dyDescent="0.2">
      <c r="A2286" s="17" t="s">
        <v>9684</v>
      </c>
      <c r="B2286" s="18" t="s">
        <v>9685</v>
      </c>
      <c r="C2286" s="17" t="s">
        <v>26</v>
      </c>
      <c r="D2286" s="19">
        <v>66.11</v>
      </c>
      <c r="F2286" s="3" t="str">
        <f t="shared" si="35"/>
        <v>C0944</v>
      </c>
    </row>
    <row r="2287" spans="1:6" x14ac:dyDescent="0.2">
      <c r="A2287" s="17" t="s">
        <v>9686</v>
      </c>
      <c r="B2287" s="18" t="s">
        <v>9687</v>
      </c>
      <c r="C2287" s="17" t="s">
        <v>26</v>
      </c>
      <c r="D2287" s="19">
        <v>85.51</v>
      </c>
      <c r="F2287" s="3" t="str">
        <f t="shared" si="35"/>
        <v>C0945</v>
      </c>
    </row>
    <row r="2288" spans="1:6" x14ac:dyDescent="0.2">
      <c r="A2288" s="17" t="s">
        <v>9688</v>
      </c>
      <c r="B2288" s="18" t="s">
        <v>9689</v>
      </c>
      <c r="C2288" s="17" t="s">
        <v>26</v>
      </c>
      <c r="D2288" s="19">
        <v>135.43</v>
      </c>
      <c r="F2288" s="3" t="str">
        <f t="shared" si="35"/>
        <v>C0946</v>
      </c>
    </row>
    <row r="2289" spans="1:6" x14ac:dyDescent="0.2">
      <c r="A2289" s="17" t="s">
        <v>9690</v>
      </c>
      <c r="B2289" s="18" t="s">
        <v>9691</v>
      </c>
      <c r="C2289" s="17" t="s">
        <v>26</v>
      </c>
      <c r="D2289" s="19">
        <v>177.04</v>
      </c>
      <c r="F2289" s="3" t="str">
        <f t="shared" si="35"/>
        <v>C0947</v>
      </c>
    </row>
    <row r="2290" spans="1:6" x14ac:dyDescent="0.2">
      <c r="A2290" s="17" t="s">
        <v>9692</v>
      </c>
      <c r="B2290" s="18" t="s">
        <v>9693</v>
      </c>
      <c r="C2290" s="17" t="s">
        <v>26</v>
      </c>
      <c r="D2290" s="19">
        <v>314.5</v>
      </c>
      <c r="F2290" s="3" t="str">
        <f t="shared" si="35"/>
        <v>C0948</v>
      </c>
    </row>
    <row r="2291" spans="1:6" x14ac:dyDescent="0.2">
      <c r="A2291" s="17" t="s">
        <v>9694</v>
      </c>
      <c r="B2291" s="18" t="s">
        <v>9695</v>
      </c>
      <c r="C2291" s="17" t="s">
        <v>26</v>
      </c>
      <c r="D2291" s="19">
        <v>445.74</v>
      </c>
      <c r="F2291" s="3" t="str">
        <f t="shared" si="35"/>
        <v>C0949</v>
      </c>
    </row>
    <row r="2292" spans="1:6" x14ac:dyDescent="0.2">
      <c r="A2292" s="17" t="s">
        <v>9696</v>
      </c>
      <c r="B2292" s="18" t="s">
        <v>9697</v>
      </c>
      <c r="C2292" s="17" t="s">
        <v>26</v>
      </c>
      <c r="D2292" s="19">
        <v>1069.46</v>
      </c>
      <c r="F2292" s="3" t="str">
        <f t="shared" si="35"/>
        <v>C0950</v>
      </c>
    </row>
    <row r="2293" spans="1:6" x14ac:dyDescent="0.2">
      <c r="A2293" s="17" t="s">
        <v>9698</v>
      </c>
      <c r="B2293" s="18" t="s">
        <v>9699</v>
      </c>
      <c r="C2293" s="17" t="s">
        <v>26</v>
      </c>
      <c r="D2293" s="19">
        <v>30.04</v>
      </c>
      <c r="F2293" s="3" t="str">
        <f t="shared" si="35"/>
        <v>C0960</v>
      </c>
    </row>
    <row r="2294" spans="1:6" x14ac:dyDescent="0.2">
      <c r="A2294" s="17" t="s">
        <v>9700</v>
      </c>
      <c r="B2294" s="18" t="s">
        <v>9701</v>
      </c>
      <c r="C2294" s="17" t="s">
        <v>26</v>
      </c>
      <c r="D2294" s="19">
        <v>52.42</v>
      </c>
      <c r="F2294" s="3" t="str">
        <f t="shared" si="35"/>
        <v>C0962</v>
      </c>
    </row>
    <row r="2295" spans="1:6" x14ac:dyDescent="0.2">
      <c r="A2295" s="17" t="s">
        <v>9702</v>
      </c>
      <c r="B2295" s="18" t="s">
        <v>9703</v>
      </c>
      <c r="C2295" s="17" t="s">
        <v>26</v>
      </c>
      <c r="D2295" s="19">
        <v>154.37</v>
      </c>
      <c r="F2295" s="3" t="str">
        <f t="shared" si="35"/>
        <v>C0961</v>
      </c>
    </row>
    <row r="2296" spans="1:6" x14ac:dyDescent="0.2">
      <c r="A2296" s="17" t="s">
        <v>9704</v>
      </c>
      <c r="B2296" s="18" t="s">
        <v>9705</v>
      </c>
      <c r="C2296" s="17" t="s">
        <v>26</v>
      </c>
      <c r="D2296" s="19">
        <v>49.98</v>
      </c>
      <c r="F2296" s="3" t="str">
        <f t="shared" si="35"/>
        <v>C0965</v>
      </c>
    </row>
    <row r="2297" spans="1:6" x14ac:dyDescent="0.2">
      <c r="A2297" s="17" t="s">
        <v>9706</v>
      </c>
      <c r="B2297" s="18" t="s">
        <v>9707</v>
      </c>
      <c r="C2297" s="17" t="s">
        <v>26</v>
      </c>
      <c r="D2297" s="19">
        <v>68.290000000000006</v>
      </c>
      <c r="F2297" s="3" t="str">
        <f t="shared" si="35"/>
        <v>C0964</v>
      </c>
    </row>
    <row r="2298" spans="1:6" x14ac:dyDescent="0.2">
      <c r="A2298" s="17" t="s">
        <v>9708</v>
      </c>
      <c r="B2298" s="18" t="s">
        <v>9709</v>
      </c>
      <c r="C2298" s="17" t="s">
        <v>26</v>
      </c>
      <c r="D2298" s="19">
        <v>111.34</v>
      </c>
      <c r="F2298" s="3" t="str">
        <f t="shared" si="35"/>
        <v>C0967</v>
      </c>
    </row>
    <row r="2299" spans="1:6" x14ac:dyDescent="0.2">
      <c r="A2299" s="17" t="s">
        <v>9710</v>
      </c>
      <c r="B2299" s="18" t="s">
        <v>9711</v>
      </c>
      <c r="C2299" s="17" t="s">
        <v>26</v>
      </c>
      <c r="D2299" s="19">
        <v>111.34</v>
      </c>
      <c r="F2299" s="3" t="str">
        <f t="shared" si="35"/>
        <v>C0966</v>
      </c>
    </row>
    <row r="2300" spans="1:6" x14ac:dyDescent="0.2">
      <c r="A2300" s="17" t="s">
        <v>9712</v>
      </c>
      <c r="B2300" s="18" t="s">
        <v>9713</v>
      </c>
      <c r="C2300" s="17" t="s">
        <v>26</v>
      </c>
      <c r="D2300" s="19">
        <v>266.7</v>
      </c>
      <c r="F2300" s="3" t="str">
        <f t="shared" si="35"/>
        <v>C0969</v>
      </c>
    </row>
    <row r="2301" spans="1:6" x14ac:dyDescent="0.2">
      <c r="A2301" s="17" t="s">
        <v>9714</v>
      </c>
      <c r="B2301" s="18" t="s">
        <v>9715</v>
      </c>
      <c r="C2301" s="17" t="s">
        <v>26</v>
      </c>
      <c r="D2301" s="19">
        <v>266.7</v>
      </c>
      <c r="F2301" s="3" t="str">
        <f t="shared" si="35"/>
        <v>C0968</v>
      </c>
    </row>
    <row r="2302" spans="1:6" x14ac:dyDescent="0.2">
      <c r="A2302" s="17" t="s">
        <v>9716</v>
      </c>
      <c r="B2302" s="18" t="s">
        <v>9717</v>
      </c>
      <c r="C2302" s="17" t="s">
        <v>26</v>
      </c>
      <c r="D2302" s="19">
        <v>31.63</v>
      </c>
      <c r="F2302" s="3" t="str">
        <f t="shared" si="35"/>
        <v>C4375</v>
      </c>
    </row>
    <row r="2303" spans="1:6" x14ac:dyDescent="0.2">
      <c r="A2303" s="17" t="s">
        <v>9718</v>
      </c>
      <c r="B2303" s="18" t="s">
        <v>9719</v>
      </c>
      <c r="C2303" s="17" t="s">
        <v>26</v>
      </c>
      <c r="D2303" s="19">
        <v>34.270000000000003</v>
      </c>
      <c r="F2303" s="3" t="str">
        <f t="shared" si="35"/>
        <v>C1016</v>
      </c>
    </row>
    <row r="2304" spans="1:6" x14ac:dyDescent="0.2">
      <c r="A2304" s="17" t="s">
        <v>9720</v>
      </c>
      <c r="B2304" s="18" t="s">
        <v>9721</v>
      </c>
      <c r="C2304" s="17" t="s">
        <v>26</v>
      </c>
      <c r="D2304" s="19">
        <v>267.99</v>
      </c>
      <c r="F2304" s="3" t="str">
        <f t="shared" si="35"/>
        <v>C1017</v>
      </c>
    </row>
    <row r="2305" spans="1:6" x14ac:dyDescent="0.2">
      <c r="A2305" s="17" t="s">
        <v>9722</v>
      </c>
      <c r="B2305" s="18" t="s">
        <v>9723</v>
      </c>
      <c r="C2305" s="17" t="s">
        <v>26</v>
      </c>
      <c r="D2305" s="19">
        <v>713.32</v>
      </c>
      <c r="F2305" s="3" t="str">
        <f t="shared" si="35"/>
        <v>C1018</v>
      </c>
    </row>
    <row r="2306" spans="1:6" x14ac:dyDescent="0.2">
      <c r="A2306" s="17" t="s">
        <v>9724</v>
      </c>
      <c r="B2306" s="18" t="s">
        <v>9725</v>
      </c>
      <c r="C2306" s="17" t="s">
        <v>26</v>
      </c>
      <c r="D2306" s="19">
        <v>29.05</v>
      </c>
      <c r="F2306" s="3" t="str">
        <f t="shared" ref="F2306:F2369" si="36">A2306</f>
        <v>C1394</v>
      </c>
    </row>
    <row r="2307" spans="1:6" x14ac:dyDescent="0.2">
      <c r="A2307" s="17" t="s">
        <v>9726</v>
      </c>
      <c r="B2307" s="18" t="s">
        <v>9727</v>
      </c>
      <c r="C2307" s="17" t="s">
        <v>26</v>
      </c>
      <c r="D2307" s="19">
        <v>28.92</v>
      </c>
      <c r="F2307" s="3" t="str">
        <f t="shared" si="36"/>
        <v>C1395</v>
      </c>
    </row>
    <row r="2308" spans="1:6" x14ac:dyDescent="0.2">
      <c r="A2308" s="17" t="s">
        <v>9728</v>
      </c>
      <c r="B2308" s="18" t="s">
        <v>9729</v>
      </c>
      <c r="C2308" s="17" t="s">
        <v>26</v>
      </c>
      <c r="D2308" s="19">
        <v>61.8</v>
      </c>
      <c r="F2308" s="3" t="str">
        <f t="shared" si="36"/>
        <v>C1396</v>
      </c>
    </row>
    <row r="2309" spans="1:6" x14ac:dyDescent="0.2">
      <c r="A2309" s="17" t="s">
        <v>9730</v>
      </c>
      <c r="B2309" s="18" t="s">
        <v>9731</v>
      </c>
      <c r="C2309" s="17" t="s">
        <v>26</v>
      </c>
      <c r="D2309" s="19">
        <v>61.58</v>
      </c>
      <c r="F2309" s="3" t="str">
        <f t="shared" si="36"/>
        <v>C1392</v>
      </c>
    </row>
    <row r="2310" spans="1:6" x14ac:dyDescent="0.2">
      <c r="A2310" s="17" t="s">
        <v>9732</v>
      </c>
      <c r="B2310" s="18" t="s">
        <v>9733</v>
      </c>
      <c r="C2310" s="17" t="s">
        <v>26</v>
      </c>
      <c r="D2310" s="19">
        <v>127.16</v>
      </c>
      <c r="F2310" s="3" t="str">
        <f t="shared" si="36"/>
        <v>C1397</v>
      </c>
    </row>
    <row r="2311" spans="1:6" x14ac:dyDescent="0.2">
      <c r="A2311" s="17" t="s">
        <v>9734</v>
      </c>
      <c r="B2311" s="18" t="s">
        <v>9735</v>
      </c>
      <c r="C2311" s="17" t="s">
        <v>26</v>
      </c>
      <c r="D2311" s="19">
        <v>126.91</v>
      </c>
      <c r="F2311" s="3" t="str">
        <f t="shared" si="36"/>
        <v>C1398</v>
      </c>
    </row>
    <row r="2312" spans="1:6" x14ac:dyDescent="0.2">
      <c r="A2312" s="17" t="s">
        <v>9736</v>
      </c>
      <c r="B2312" s="18" t="s">
        <v>9737</v>
      </c>
      <c r="C2312" s="17" t="s">
        <v>26</v>
      </c>
      <c r="D2312" s="19">
        <v>241.11</v>
      </c>
      <c r="F2312" s="3" t="str">
        <f t="shared" si="36"/>
        <v>C1393</v>
      </c>
    </row>
    <row r="2313" spans="1:6" ht="22.5" x14ac:dyDescent="0.2">
      <c r="A2313" s="17" t="s">
        <v>9738</v>
      </c>
      <c r="B2313" s="18" t="s">
        <v>9739</v>
      </c>
      <c r="C2313" s="17" t="s">
        <v>0</v>
      </c>
      <c r="D2313" s="19">
        <v>251.93</v>
      </c>
      <c r="F2313" s="3" t="str">
        <f t="shared" si="36"/>
        <v>C3845</v>
      </c>
    </row>
    <row r="2314" spans="1:6" x14ac:dyDescent="0.2">
      <c r="A2314" s="17">
        <v>0</v>
      </c>
      <c r="B2314" s="18"/>
      <c r="C2314" s="17">
        <v>0</v>
      </c>
      <c r="D2314" s="19">
        <v>0</v>
      </c>
      <c r="F2314" s="3">
        <f t="shared" si="36"/>
        <v>0</v>
      </c>
    </row>
    <row r="2315" spans="1:6" ht="22.5" x14ac:dyDescent="0.2">
      <c r="A2315" s="17" t="s">
        <v>9740</v>
      </c>
      <c r="B2315" s="18" t="s">
        <v>9741</v>
      </c>
      <c r="C2315" s="17" t="s">
        <v>0</v>
      </c>
      <c r="D2315" s="19">
        <v>357.51</v>
      </c>
      <c r="F2315" s="3" t="str">
        <f t="shared" si="36"/>
        <v>C3844</v>
      </c>
    </row>
    <row r="2316" spans="1:6" x14ac:dyDescent="0.2">
      <c r="A2316" s="17">
        <v>0</v>
      </c>
      <c r="B2316" s="18"/>
      <c r="C2316" s="17">
        <v>0</v>
      </c>
      <c r="D2316" s="19">
        <v>0</v>
      </c>
      <c r="F2316" s="3">
        <f t="shared" si="36"/>
        <v>0</v>
      </c>
    </row>
    <row r="2317" spans="1:6" x14ac:dyDescent="0.2">
      <c r="A2317" s="17" t="s">
        <v>9742</v>
      </c>
      <c r="B2317" s="18" t="s">
        <v>9743</v>
      </c>
      <c r="C2317" s="17" t="s">
        <v>26</v>
      </c>
      <c r="D2317" s="19">
        <v>149.72999999999999</v>
      </c>
      <c r="F2317" s="3" t="str">
        <f t="shared" si="36"/>
        <v>C3719</v>
      </c>
    </row>
    <row r="2318" spans="1:6" x14ac:dyDescent="0.2">
      <c r="A2318" s="17" t="s">
        <v>9744</v>
      </c>
      <c r="B2318" s="18" t="s">
        <v>9745</v>
      </c>
      <c r="C2318" s="17" t="s">
        <v>26</v>
      </c>
      <c r="D2318" s="19">
        <v>169.12</v>
      </c>
      <c r="F2318" s="3" t="str">
        <f t="shared" si="36"/>
        <v>C3720</v>
      </c>
    </row>
    <row r="2319" spans="1:6" x14ac:dyDescent="0.2">
      <c r="A2319" s="17" t="s">
        <v>9746</v>
      </c>
      <c r="B2319" s="18" t="s">
        <v>9747</v>
      </c>
      <c r="C2319" s="17" t="s">
        <v>26</v>
      </c>
      <c r="D2319" s="19">
        <v>19.21</v>
      </c>
      <c r="F2319" s="3" t="str">
        <f t="shared" si="36"/>
        <v>C1691</v>
      </c>
    </row>
    <row r="2320" spans="1:6" x14ac:dyDescent="0.2">
      <c r="A2320" s="17" t="s">
        <v>9748</v>
      </c>
      <c r="B2320" s="18" t="s">
        <v>9749</v>
      </c>
      <c r="C2320" s="17" t="s">
        <v>26</v>
      </c>
      <c r="D2320" s="19">
        <v>37.340000000000003</v>
      </c>
      <c r="F2320" s="3" t="str">
        <f t="shared" si="36"/>
        <v>C1692</v>
      </c>
    </row>
    <row r="2321" spans="1:6" x14ac:dyDescent="0.2">
      <c r="A2321" s="17" t="s">
        <v>9750</v>
      </c>
      <c r="B2321" s="18" t="s">
        <v>9751</v>
      </c>
      <c r="C2321" s="17" t="s">
        <v>26</v>
      </c>
      <c r="D2321" s="19">
        <v>133.4</v>
      </c>
      <c r="F2321" s="3" t="str">
        <f t="shared" si="36"/>
        <v>C1690</v>
      </c>
    </row>
    <row r="2322" spans="1:6" x14ac:dyDescent="0.2">
      <c r="A2322" s="17" t="s">
        <v>9752</v>
      </c>
      <c r="B2322" s="18" t="s">
        <v>9753</v>
      </c>
      <c r="C2322" s="17" t="s">
        <v>26</v>
      </c>
      <c r="D2322" s="19">
        <v>222.23</v>
      </c>
      <c r="F2322" s="3" t="str">
        <f t="shared" si="36"/>
        <v>C1688</v>
      </c>
    </row>
    <row r="2323" spans="1:6" x14ac:dyDescent="0.2">
      <c r="A2323" s="17" t="s">
        <v>9754</v>
      </c>
      <c r="B2323" s="18" t="s">
        <v>9755</v>
      </c>
      <c r="C2323" s="17" t="s">
        <v>26</v>
      </c>
      <c r="D2323" s="19">
        <v>222.23</v>
      </c>
      <c r="F2323" s="3" t="str">
        <f t="shared" si="36"/>
        <v>C1693</v>
      </c>
    </row>
    <row r="2324" spans="1:6" x14ac:dyDescent="0.2">
      <c r="A2324" s="17" t="s">
        <v>9756</v>
      </c>
      <c r="B2324" s="18" t="s">
        <v>9757</v>
      </c>
      <c r="C2324" s="17" t="s">
        <v>26</v>
      </c>
      <c r="D2324" s="19">
        <v>222.23</v>
      </c>
      <c r="F2324" s="3" t="str">
        <f t="shared" si="36"/>
        <v>C1689</v>
      </c>
    </row>
    <row r="2325" spans="1:6" x14ac:dyDescent="0.2">
      <c r="A2325" s="17" t="s">
        <v>9758</v>
      </c>
      <c r="B2325" s="18" t="s">
        <v>9759</v>
      </c>
      <c r="C2325" s="17" t="s">
        <v>26</v>
      </c>
      <c r="D2325" s="19">
        <v>222.23</v>
      </c>
      <c r="F2325" s="3" t="str">
        <f t="shared" si="36"/>
        <v>C1687</v>
      </c>
    </row>
    <row r="2326" spans="1:6" x14ac:dyDescent="0.2">
      <c r="A2326" s="17" t="s">
        <v>9760</v>
      </c>
      <c r="B2326" s="18" t="s">
        <v>9761</v>
      </c>
      <c r="C2326" s="17" t="s">
        <v>26</v>
      </c>
      <c r="D2326" s="19">
        <v>62.02</v>
      </c>
      <c r="F2326" s="3" t="str">
        <f t="shared" si="36"/>
        <v>C3712</v>
      </c>
    </row>
    <row r="2327" spans="1:6" x14ac:dyDescent="0.2">
      <c r="A2327" s="17" t="s">
        <v>9762</v>
      </c>
      <c r="B2327" s="18" t="s">
        <v>9763</v>
      </c>
      <c r="C2327" s="17" t="s">
        <v>26</v>
      </c>
      <c r="D2327" s="19">
        <v>75.819999999999993</v>
      </c>
      <c r="F2327" s="3" t="str">
        <f t="shared" si="36"/>
        <v>C3713</v>
      </c>
    </row>
    <row r="2328" spans="1:6" x14ac:dyDescent="0.2">
      <c r="A2328" s="17" t="s">
        <v>9764</v>
      </c>
      <c r="B2328" s="18" t="s">
        <v>9765</v>
      </c>
      <c r="C2328" s="17" t="s">
        <v>26</v>
      </c>
      <c r="D2328" s="19">
        <v>100.48</v>
      </c>
      <c r="F2328" s="3" t="str">
        <f t="shared" si="36"/>
        <v>C4402</v>
      </c>
    </row>
    <row r="2329" spans="1:6" x14ac:dyDescent="0.2">
      <c r="A2329" s="17" t="s">
        <v>9766</v>
      </c>
      <c r="B2329" s="18" t="s">
        <v>9767</v>
      </c>
      <c r="C2329" s="17" t="s">
        <v>26</v>
      </c>
      <c r="D2329" s="19">
        <v>96.74</v>
      </c>
      <c r="F2329" s="3" t="str">
        <f t="shared" si="36"/>
        <v>C1694</v>
      </c>
    </row>
    <row r="2330" spans="1:6" x14ac:dyDescent="0.2">
      <c r="A2330" s="17" t="s">
        <v>9768</v>
      </c>
      <c r="B2330" s="18" t="s">
        <v>9769</v>
      </c>
      <c r="C2330" s="17" t="s">
        <v>26</v>
      </c>
      <c r="D2330" s="19">
        <v>126</v>
      </c>
      <c r="F2330" s="3" t="str">
        <f t="shared" si="36"/>
        <v>C1695</v>
      </c>
    </row>
    <row r="2331" spans="1:6" x14ac:dyDescent="0.2">
      <c r="A2331" s="17" t="s">
        <v>9770</v>
      </c>
      <c r="B2331" s="18" t="s">
        <v>9771</v>
      </c>
      <c r="C2331" s="17" t="s">
        <v>26</v>
      </c>
      <c r="D2331" s="19">
        <v>193.06</v>
      </c>
      <c r="F2331" s="3" t="str">
        <f t="shared" si="36"/>
        <v>C1696</v>
      </c>
    </row>
    <row r="2332" spans="1:6" x14ac:dyDescent="0.2">
      <c r="A2332" s="17" t="s">
        <v>9772</v>
      </c>
      <c r="B2332" s="18" t="s">
        <v>9773</v>
      </c>
      <c r="C2332" s="17" t="s">
        <v>26</v>
      </c>
      <c r="D2332" s="19">
        <v>47.73</v>
      </c>
      <c r="F2332" s="3" t="str">
        <f t="shared" si="36"/>
        <v>C1705</v>
      </c>
    </row>
    <row r="2333" spans="1:6" x14ac:dyDescent="0.2">
      <c r="A2333" s="17" t="s">
        <v>9774</v>
      </c>
      <c r="B2333" s="18" t="s">
        <v>9775</v>
      </c>
      <c r="C2333" s="17" t="s">
        <v>26</v>
      </c>
      <c r="D2333" s="19">
        <v>35.82</v>
      </c>
      <c r="F2333" s="3" t="str">
        <f t="shared" si="36"/>
        <v>C1706</v>
      </c>
    </row>
    <row r="2334" spans="1:6" x14ac:dyDescent="0.2">
      <c r="A2334" s="17" t="s">
        <v>9776</v>
      </c>
      <c r="B2334" s="18" t="s">
        <v>9777</v>
      </c>
      <c r="C2334" s="17" t="s">
        <v>26</v>
      </c>
      <c r="D2334" s="19">
        <v>88.56</v>
      </c>
      <c r="F2334" s="3" t="str">
        <f t="shared" si="36"/>
        <v>C1707</v>
      </c>
    </row>
    <row r="2335" spans="1:6" x14ac:dyDescent="0.2">
      <c r="A2335" s="17" t="s">
        <v>9778</v>
      </c>
      <c r="B2335" s="18" t="s">
        <v>9779</v>
      </c>
      <c r="C2335" s="17" t="s">
        <v>26</v>
      </c>
      <c r="D2335" s="19">
        <v>191.46</v>
      </c>
      <c r="F2335" s="3" t="str">
        <f t="shared" si="36"/>
        <v>C1704</v>
      </c>
    </row>
    <row r="2336" spans="1:6" x14ac:dyDescent="0.2">
      <c r="A2336" s="17" t="s">
        <v>9780</v>
      </c>
      <c r="B2336" s="18" t="s">
        <v>9781</v>
      </c>
      <c r="C2336" s="17" t="s">
        <v>26</v>
      </c>
      <c r="D2336" s="19">
        <v>18.54</v>
      </c>
      <c r="F2336" s="3" t="str">
        <f t="shared" si="36"/>
        <v>C1822</v>
      </c>
    </row>
    <row r="2337" spans="1:6" x14ac:dyDescent="0.2">
      <c r="A2337" s="17" t="s">
        <v>9782</v>
      </c>
      <c r="B2337" s="18" t="s">
        <v>9783</v>
      </c>
      <c r="C2337" s="17" t="s">
        <v>26</v>
      </c>
      <c r="D2337" s="19">
        <v>18.54</v>
      </c>
      <c r="F2337" s="3" t="str">
        <f t="shared" si="36"/>
        <v>C1826</v>
      </c>
    </row>
    <row r="2338" spans="1:6" x14ac:dyDescent="0.2">
      <c r="A2338" s="17" t="s">
        <v>9784</v>
      </c>
      <c r="B2338" s="18" t="s">
        <v>9785</v>
      </c>
      <c r="C2338" s="17" t="s">
        <v>26</v>
      </c>
      <c r="D2338" s="19">
        <v>41.71</v>
      </c>
      <c r="F2338" s="3" t="str">
        <f t="shared" si="36"/>
        <v>C1823</v>
      </c>
    </row>
    <row r="2339" spans="1:6" x14ac:dyDescent="0.2">
      <c r="A2339" s="17" t="s">
        <v>9786</v>
      </c>
      <c r="B2339" s="18" t="s">
        <v>9787</v>
      </c>
      <c r="C2339" s="17" t="s">
        <v>26</v>
      </c>
      <c r="D2339" s="19">
        <v>41.71</v>
      </c>
      <c r="F2339" s="3" t="str">
        <f t="shared" si="36"/>
        <v>C1824</v>
      </c>
    </row>
    <row r="2340" spans="1:6" x14ac:dyDescent="0.2">
      <c r="A2340" s="17" t="s">
        <v>9788</v>
      </c>
      <c r="B2340" s="18" t="s">
        <v>9789</v>
      </c>
      <c r="C2340" s="17" t="s">
        <v>26</v>
      </c>
      <c r="D2340" s="19">
        <v>81.010000000000005</v>
      </c>
      <c r="F2340" s="3" t="str">
        <f t="shared" si="36"/>
        <v>C1825</v>
      </c>
    </row>
    <row r="2341" spans="1:6" x14ac:dyDescent="0.2">
      <c r="A2341" s="17">
        <v>0</v>
      </c>
      <c r="B2341" s="18"/>
      <c r="C2341" s="17">
        <v>0</v>
      </c>
      <c r="D2341" s="19">
        <v>0</v>
      </c>
      <c r="F2341" s="3">
        <f t="shared" si="36"/>
        <v>0</v>
      </c>
    </row>
    <row r="2342" spans="1:6" x14ac:dyDescent="0.2">
      <c r="A2342" s="17" t="s">
        <v>9790</v>
      </c>
      <c r="B2342" s="18" t="s">
        <v>9791</v>
      </c>
      <c r="C2342" s="17" t="s">
        <v>26</v>
      </c>
      <c r="D2342" s="19">
        <v>151.21</v>
      </c>
      <c r="F2342" s="3" t="str">
        <f t="shared" si="36"/>
        <v>C1815</v>
      </c>
    </row>
    <row r="2343" spans="1:6" x14ac:dyDescent="0.2">
      <c r="A2343" s="17" t="s">
        <v>9792</v>
      </c>
      <c r="B2343" s="18" t="s">
        <v>9793</v>
      </c>
      <c r="C2343" s="17" t="s">
        <v>26</v>
      </c>
      <c r="D2343" s="19">
        <v>14.82</v>
      </c>
      <c r="F2343" s="3" t="str">
        <f t="shared" si="36"/>
        <v>C1817</v>
      </c>
    </row>
    <row r="2344" spans="1:6" x14ac:dyDescent="0.2">
      <c r="A2344" s="17" t="s">
        <v>9794</v>
      </c>
      <c r="B2344" s="18" t="s">
        <v>9795</v>
      </c>
      <c r="C2344" s="17" t="s">
        <v>26</v>
      </c>
      <c r="D2344" s="19">
        <v>33.89</v>
      </c>
      <c r="F2344" s="3" t="str">
        <f t="shared" si="36"/>
        <v>C1818</v>
      </c>
    </row>
    <row r="2345" spans="1:6" x14ac:dyDescent="0.2">
      <c r="A2345" s="17" t="s">
        <v>9796</v>
      </c>
      <c r="B2345" s="18" t="s">
        <v>9797</v>
      </c>
      <c r="C2345" s="17" t="s">
        <v>26</v>
      </c>
      <c r="D2345" s="19">
        <v>77.09</v>
      </c>
      <c r="F2345" s="3" t="str">
        <f t="shared" si="36"/>
        <v>C1821</v>
      </c>
    </row>
    <row r="2346" spans="1:6" x14ac:dyDescent="0.2">
      <c r="A2346" s="17" t="s">
        <v>9798</v>
      </c>
      <c r="B2346" s="18" t="s">
        <v>9799</v>
      </c>
      <c r="C2346" s="17" t="s">
        <v>26</v>
      </c>
      <c r="D2346" s="19">
        <v>77.09</v>
      </c>
      <c r="F2346" s="3" t="str">
        <f t="shared" si="36"/>
        <v>C1819</v>
      </c>
    </row>
    <row r="2347" spans="1:6" x14ac:dyDescent="0.2">
      <c r="A2347" s="17" t="s">
        <v>9800</v>
      </c>
      <c r="B2347" s="18" t="s">
        <v>9801</v>
      </c>
      <c r="C2347" s="17" t="s">
        <v>26</v>
      </c>
      <c r="D2347" s="19">
        <v>178.58</v>
      </c>
      <c r="F2347" s="3" t="str">
        <f t="shared" si="36"/>
        <v>C1816</v>
      </c>
    </row>
    <row r="2348" spans="1:6" x14ac:dyDescent="0.2">
      <c r="A2348" s="17" t="s">
        <v>9802</v>
      </c>
      <c r="B2348" s="18" t="s">
        <v>9803</v>
      </c>
      <c r="C2348" s="17" t="s">
        <v>26</v>
      </c>
      <c r="D2348" s="19">
        <v>36.26</v>
      </c>
      <c r="F2348" s="3" t="str">
        <f t="shared" si="36"/>
        <v>C3711</v>
      </c>
    </row>
    <row r="2349" spans="1:6" x14ac:dyDescent="0.2">
      <c r="A2349" s="17" t="s">
        <v>9804</v>
      </c>
      <c r="B2349" s="18" t="s">
        <v>9805</v>
      </c>
      <c r="C2349" s="17" t="s">
        <v>26</v>
      </c>
      <c r="D2349" s="19">
        <v>36.26</v>
      </c>
      <c r="F2349" s="3" t="str">
        <f t="shared" si="36"/>
        <v>C3710</v>
      </c>
    </row>
    <row r="2350" spans="1:6" x14ac:dyDescent="0.2">
      <c r="A2350" s="17" t="s">
        <v>9806</v>
      </c>
      <c r="B2350" s="18" t="s">
        <v>9807</v>
      </c>
      <c r="C2350" s="17" t="s">
        <v>26</v>
      </c>
      <c r="D2350" s="19">
        <v>36.299999999999997</v>
      </c>
      <c r="F2350" s="3" t="str">
        <f t="shared" si="36"/>
        <v>C3709</v>
      </c>
    </row>
    <row r="2351" spans="1:6" x14ac:dyDescent="0.2">
      <c r="A2351" s="17" t="s">
        <v>9808</v>
      </c>
      <c r="B2351" s="18" t="s">
        <v>9809</v>
      </c>
      <c r="C2351" s="17" t="s">
        <v>26</v>
      </c>
      <c r="D2351" s="19">
        <v>50.66</v>
      </c>
      <c r="F2351" s="3" t="str">
        <f t="shared" si="36"/>
        <v>C3708</v>
      </c>
    </row>
    <row r="2352" spans="1:6" x14ac:dyDescent="0.2">
      <c r="A2352" s="17" t="s">
        <v>9810</v>
      </c>
      <c r="B2352" s="18" t="s">
        <v>9811</v>
      </c>
      <c r="C2352" s="17" t="s">
        <v>26</v>
      </c>
      <c r="D2352" s="19">
        <v>47.12</v>
      </c>
      <c r="F2352" s="3" t="str">
        <f t="shared" si="36"/>
        <v>C3707</v>
      </c>
    </row>
    <row r="2353" spans="1:6" x14ac:dyDescent="0.2">
      <c r="A2353" s="17" t="s">
        <v>9812</v>
      </c>
      <c r="B2353" s="18" t="s">
        <v>9813</v>
      </c>
      <c r="C2353" s="17" t="s">
        <v>26</v>
      </c>
      <c r="D2353" s="19">
        <v>15.63</v>
      </c>
      <c r="F2353" s="3" t="str">
        <f t="shared" si="36"/>
        <v>C2307</v>
      </c>
    </row>
    <row r="2354" spans="1:6" x14ac:dyDescent="0.2">
      <c r="A2354" s="17" t="s">
        <v>9814</v>
      </c>
      <c r="B2354" s="18" t="s">
        <v>9815</v>
      </c>
      <c r="C2354" s="17" t="s">
        <v>26</v>
      </c>
      <c r="D2354" s="19">
        <v>25.01</v>
      </c>
      <c r="F2354" s="3" t="str">
        <f t="shared" si="36"/>
        <v>C2308</v>
      </c>
    </row>
    <row r="2355" spans="1:6" x14ac:dyDescent="0.2">
      <c r="A2355" s="17" t="s">
        <v>9816</v>
      </c>
      <c r="B2355" s="18" t="s">
        <v>9817</v>
      </c>
      <c r="C2355" s="17" t="s">
        <v>26</v>
      </c>
      <c r="D2355" s="19">
        <v>64.319999999999993</v>
      </c>
      <c r="F2355" s="3" t="str">
        <f t="shared" si="36"/>
        <v>C2309</v>
      </c>
    </row>
    <row r="2356" spans="1:6" x14ac:dyDescent="0.2">
      <c r="A2356" s="17" t="s">
        <v>9818</v>
      </c>
      <c r="B2356" s="18" t="s">
        <v>9819</v>
      </c>
      <c r="C2356" s="17" t="s">
        <v>26</v>
      </c>
      <c r="D2356" s="19">
        <v>143.71</v>
      </c>
      <c r="F2356" s="3" t="str">
        <f t="shared" si="36"/>
        <v>C2306</v>
      </c>
    </row>
    <row r="2357" spans="1:6" x14ac:dyDescent="0.2">
      <c r="A2357" s="17" t="s">
        <v>9820</v>
      </c>
      <c r="B2357" s="18" t="s">
        <v>9821</v>
      </c>
      <c r="C2357" s="17" t="s">
        <v>26</v>
      </c>
      <c r="D2357" s="19">
        <v>22.79</v>
      </c>
      <c r="F2357" s="3" t="str">
        <f t="shared" si="36"/>
        <v>C3692</v>
      </c>
    </row>
    <row r="2358" spans="1:6" x14ac:dyDescent="0.2">
      <c r="A2358" s="17" t="s">
        <v>9822</v>
      </c>
      <c r="B2358" s="18" t="s">
        <v>9823</v>
      </c>
      <c r="C2358" s="17" t="s">
        <v>26</v>
      </c>
      <c r="D2358" s="19">
        <v>23.39</v>
      </c>
      <c r="F2358" s="3" t="str">
        <f t="shared" si="36"/>
        <v>C3693</v>
      </c>
    </row>
    <row r="2359" spans="1:6" x14ac:dyDescent="0.2">
      <c r="A2359" s="17" t="s">
        <v>9824</v>
      </c>
      <c r="B2359" s="18" t="s">
        <v>9825</v>
      </c>
      <c r="C2359" s="17" t="s">
        <v>26</v>
      </c>
      <c r="D2359" s="19">
        <v>37.479999999999997</v>
      </c>
      <c r="F2359" s="3" t="str">
        <f t="shared" si="36"/>
        <v>C3694</v>
      </c>
    </row>
    <row r="2360" spans="1:6" x14ac:dyDescent="0.2">
      <c r="A2360" s="17" t="s">
        <v>9826</v>
      </c>
      <c r="B2360" s="18" t="s">
        <v>9827</v>
      </c>
      <c r="C2360" s="17" t="s">
        <v>26</v>
      </c>
      <c r="D2360" s="19">
        <v>38.51</v>
      </c>
      <c r="F2360" s="3" t="str">
        <f t="shared" si="36"/>
        <v>C3696</v>
      </c>
    </row>
    <row r="2361" spans="1:6" x14ac:dyDescent="0.2">
      <c r="A2361" s="17" t="s">
        <v>9828</v>
      </c>
      <c r="B2361" s="18" t="s">
        <v>9829</v>
      </c>
      <c r="C2361" s="17" t="s">
        <v>26</v>
      </c>
      <c r="D2361" s="19">
        <v>105.63</v>
      </c>
      <c r="F2361" s="3" t="str">
        <f t="shared" si="36"/>
        <v>C3697</v>
      </c>
    </row>
    <row r="2362" spans="1:6" x14ac:dyDescent="0.2">
      <c r="A2362" s="17" t="s">
        <v>9830</v>
      </c>
      <c r="B2362" s="18" t="s">
        <v>9831</v>
      </c>
      <c r="C2362" s="17" t="s">
        <v>26</v>
      </c>
      <c r="D2362" s="19">
        <v>136.6</v>
      </c>
      <c r="F2362" s="3" t="str">
        <f t="shared" si="36"/>
        <v>C3698</v>
      </c>
    </row>
    <row r="2363" spans="1:6" x14ac:dyDescent="0.2">
      <c r="A2363" s="17" t="s">
        <v>9832</v>
      </c>
      <c r="B2363" s="18" t="s">
        <v>9833</v>
      </c>
      <c r="C2363" s="17" t="s">
        <v>26</v>
      </c>
      <c r="D2363" s="19">
        <v>166.97</v>
      </c>
      <c r="F2363" s="3" t="str">
        <f t="shared" si="36"/>
        <v>C3699</v>
      </c>
    </row>
    <row r="2364" spans="1:6" x14ac:dyDescent="0.2">
      <c r="A2364" s="17" t="s">
        <v>9834</v>
      </c>
      <c r="B2364" s="18" t="s">
        <v>9835</v>
      </c>
      <c r="C2364" s="17" t="s">
        <v>26</v>
      </c>
      <c r="D2364" s="19">
        <v>30.11</v>
      </c>
      <c r="F2364" s="3" t="str">
        <f t="shared" si="36"/>
        <v>C2321</v>
      </c>
    </row>
    <row r="2365" spans="1:6" x14ac:dyDescent="0.2">
      <c r="A2365" s="17" t="s">
        <v>9836</v>
      </c>
      <c r="B2365" s="18" t="s">
        <v>9837</v>
      </c>
      <c r="C2365" s="17" t="s">
        <v>26</v>
      </c>
      <c r="D2365" s="19">
        <v>34.57</v>
      </c>
      <c r="F2365" s="3" t="str">
        <f t="shared" si="36"/>
        <v>C2322</v>
      </c>
    </row>
    <row r="2366" spans="1:6" x14ac:dyDescent="0.2">
      <c r="A2366" s="17" t="s">
        <v>9838</v>
      </c>
      <c r="B2366" s="18" t="s">
        <v>9839</v>
      </c>
      <c r="C2366" s="17" t="s">
        <v>26</v>
      </c>
      <c r="D2366" s="19">
        <v>43.7</v>
      </c>
      <c r="F2366" s="3" t="str">
        <f t="shared" si="36"/>
        <v>C2323</v>
      </c>
    </row>
    <row r="2367" spans="1:6" x14ac:dyDescent="0.2">
      <c r="A2367" s="17" t="s">
        <v>9840</v>
      </c>
      <c r="B2367" s="18" t="s">
        <v>9841</v>
      </c>
      <c r="C2367" s="17" t="s">
        <v>26</v>
      </c>
      <c r="D2367" s="19">
        <v>70.11</v>
      </c>
      <c r="F2367" s="3" t="str">
        <f t="shared" si="36"/>
        <v>C2324</v>
      </c>
    </row>
    <row r="2368" spans="1:6" x14ac:dyDescent="0.2">
      <c r="A2368" s="17" t="s">
        <v>9842</v>
      </c>
      <c r="B2368" s="18" t="s">
        <v>9843</v>
      </c>
      <c r="C2368" s="17" t="s">
        <v>26</v>
      </c>
      <c r="D2368" s="19">
        <v>79.959999999999994</v>
      </c>
      <c r="F2368" s="3" t="str">
        <f t="shared" si="36"/>
        <v>C2325</v>
      </c>
    </row>
    <row r="2369" spans="1:6" x14ac:dyDescent="0.2">
      <c r="A2369" s="17" t="s">
        <v>9844</v>
      </c>
      <c r="B2369" s="18" t="s">
        <v>9845</v>
      </c>
      <c r="C2369" s="17" t="s">
        <v>26</v>
      </c>
      <c r="D2369" s="19">
        <v>107.27</v>
      </c>
      <c r="F2369" s="3" t="str">
        <f t="shared" si="36"/>
        <v>C2326</v>
      </c>
    </row>
    <row r="2370" spans="1:6" x14ac:dyDescent="0.2">
      <c r="A2370" s="17" t="s">
        <v>9846</v>
      </c>
      <c r="B2370" s="18" t="s">
        <v>9847</v>
      </c>
      <c r="C2370" s="17" t="s">
        <v>26</v>
      </c>
      <c r="D2370" s="19">
        <v>180.22</v>
      </c>
      <c r="F2370" s="3" t="str">
        <f t="shared" ref="F2370:F2433" si="37">A2370</f>
        <v>C2327</v>
      </c>
    </row>
    <row r="2371" spans="1:6" x14ac:dyDescent="0.2">
      <c r="A2371" s="17" t="s">
        <v>9848</v>
      </c>
      <c r="B2371" s="18" t="s">
        <v>9849</v>
      </c>
      <c r="C2371" s="17" t="s">
        <v>26</v>
      </c>
      <c r="D2371" s="19">
        <v>227.94</v>
      </c>
      <c r="F2371" s="3" t="str">
        <f t="shared" si="37"/>
        <v>C2328</v>
      </c>
    </row>
    <row r="2372" spans="1:6" x14ac:dyDescent="0.2">
      <c r="A2372" s="17" t="s">
        <v>9850</v>
      </c>
      <c r="B2372" s="18" t="s">
        <v>9851</v>
      </c>
      <c r="C2372" s="17" t="s">
        <v>26</v>
      </c>
      <c r="D2372" s="19">
        <v>396.2</v>
      </c>
      <c r="F2372" s="3" t="str">
        <f t="shared" si="37"/>
        <v>C2329</v>
      </c>
    </row>
    <row r="2373" spans="1:6" x14ac:dyDescent="0.2">
      <c r="A2373" s="17" t="s">
        <v>9852</v>
      </c>
      <c r="B2373" s="18" t="s">
        <v>9853</v>
      </c>
      <c r="C2373" s="17" t="s">
        <v>26</v>
      </c>
      <c r="D2373" s="19">
        <v>552.62</v>
      </c>
      <c r="F2373" s="3" t="str">
        <f t="shared" si="37"/>
        <v>C2330</v>
      </c>
    </row>
    <row r="2374" spans="1:6" x14ac:dyDescent="0.2">
      <c r="A2374" s="17" t="s">
        <v>9854</v>
      </c>
      <c r="B2374" s="18" t="s">
        <v>9855</v>
      </c>
      <c r="C2374" s="17" t="s">
        <v>26</v>
      </c>
      <c r="D2374" s="19">
        <v>1225.1400000000001</v>
      </c>
      <c r="F2374" s="3" t="str">
        <f t="shared" si="37"/>
        <v>C2331</v>
      </c>
    </row>
    <row r="2375" spans="1:6" ht="22.5" x14ac:dyDescent="0.2">
      <c r="A2375" s="17" t="s">
        <v>9856</v>
      </c>
      <c r="B2375" s="18" t="s">
        <v>9857</v>
      </c>
      <c r="C2375" s="17" t="s">
        <v>26</v>
      </c>
      <c r="D2375" s="19">
        <v>36.979999999999997</v>
      </c>
      <c r="F2375" s="3" t="str">
        <f t="shared" si="37"/>
        <v>C2394</v>
      </c>
    </row>
    <row r="2376" spans="1:6" x14ac:dyDescent="0.2">
      <c r="A2376" s="17">
        <v>0</v>
      </c>
      <c r="B2376" s="18"/>
      <c r="C2376" s="17">
        <v>0</v>
      </c>
      <c r="D2376" s="19">
        <v>0</v>
      </c>
      <c r="F2376" s="3">
        <f t="shared" si="37"/>
        <v>0</v>
      </c>
    </row>
    <row r="2377" spans="1:6" x14ac:dyDescent="0.2">
      <c r="A2377" s="17" t="s">
        <v>9858</v>
      </c>
      <c r="B2377" s="18" t="s">
        <v>9859</v>
      </c>
      <c r="C2377" s="17" t="s">
        <v>26</v>
      </c>
      <c r="D2377" s="19">
        <v>74.8</v>
      </c>
      <c r="F2377" s="3" t="str">
        <f t="shared" si="37"/>
        <v>C2395</v>
      </c>
    </row>
    <row r="2378" spans="1:6" ht="22.5" x14ac:dyDescent="0.2">
      <c r="A2378" s="17" t="s">
        <v>9860</v>
      </c>
      <c r="B2378" s="18" t="s">
        <v>9861</v>
      </c>
      <c r="C2378" s="17" t="s">
        <v>26</v>
      </c>
      <c r="D2378" s="19">
        <v>191.59</v>
      </c>
      <c r="F2378" s="3" t="str">
        <f t="shared" si="37"/>
        <v>C2396</v>
      </c>
    </row>
    <row r="2379" spans="1:6" x14ac:dyDescent="0.2">
      <c r="A2379" s="17">
        <v>0</v>
      </c>
      <c r="B2379" s="18"/>
      <c r="C2379" s="17">
        <v>0</v>
      </c>
      <c r="D2379" s="19">
        <v>0</v>
      </c>
      <c r="F2379" s="3">
        <f t="shared" si="37"/>
        <v>0</v>
      </c>
    </row>
    <row r="2380" spans="1:6" ht="22.5" x14ac:dyDescent="0.2">
      <c r="A2380" s="17" t="s">
        <v>9862</v>
      </c>
      <c r="B2380" s="18" t="s">
        <v>9863</v>
      </c>
      <c r="C2380" s="17" t="s">
        <v>26</v>
      </c>
      <c r="D2380" s="19">
        <v>462.91</v>
      </c>
      <c r="F2380" s="3" t="str">
        <f t="shared" si="37"/>
        <v>C2397</v>
      </c>
    </row>
    <row r="2381" spans="1:6" x14ac:dyDescent="0.2">
      <c r="A2381" s="17">
        <v>0</v>
      </c>
      <c r="B2381" s="18"/>
      <c r="C2381" s="17">
        <v>0</v>
      </c>
      <c r="D2381" s="19">
        <v>0</v>
      </c>
      <c r="F2381" s="3">
        <f t="shared" si="37"/>
        <v>0</v>
      </c>
    </row>
    <row r="2382" spans="1:6" x14ac:dyDescent="0.2">
      <c r="A2382" s="17" t="s">
        <v>9864</v>
      </c>
      <c r="B2382" s="18" t="s">
        <v>9865</v>
      </c>
      <c r="C2382" s="17" t="s">
        <v>0</v>
      </c>
      <c r="D2382" s="19">
        <v>26.55</v>
      </c>
      <c r="F2382" s="3" t="str">
        <f t="shared" si="37"/>
        <v>C3685</v>
      </c>
    </row>
    <row r="2383" spans="1:6" x14ac:dyDescent="0.2">
      <c r="A2383" s="17" t="s">
        <v>9866</v>
      </c>
      <c r="B2383" s="18" t="s">
        <v>9867</v>
      </c>
      <c r="C2383" s="17" t="s">
        <v>0</v>
      </c>
      <c r="D2383" s="19">
        <v>40.93</v>
      </c>
      <c r="F2383" s="3" t="str">
        <f t="shared" si="37"/>
        <v>C3686</v>
      </c>
    </row>
    <row r="2384" spans="1:6" x14ac:dyDescent="0.2">
      <c r="A2384" s="17" t="s">
        <v>9868</v>
      </c>
      <c r="B2384" s="18" t="s">
        <v>9869</v>
      </c>
      <c r="C2384" s="17" t="s">
        <v>0</v>
      </c>
      <c r="D2384" s="19">
        <v>48.92</v>
      </c>
      <c r="F2384" s="3" t="str">
        <f t="shared" si="37"/>
        <v>C3687</v>
      </c>
    </row>
    <row r="2385" spans="1:6" x14ac:dyDescent="0.2">
      <c r="A2385" s="17" t="s">
        <v>9870</v>
      </c>
      <c r="B2385" s="18" t="s">
        <v>9871</v>
      </c>
      <c r="C2385" s="17" t="s">
        <v>0</v>
      </c>
      <c r="D2385" s="19">
        <v>68.900000000000006</v>
      </c>
      <c r="F2385" s="3" t="str">
        <f t="shared" si="37"/>
        <v>C3688</v>
      </c>
    </row>
    <row r="2386" spans="1:6" x14ac:dyDescent="0.2">
      <c r="A2386" s="17" t="s">
        <v>9872</v>
      </c>
      <c r="B2386" s="18" t="s">
        <v>9873</v>
      </c>
      <c r="C2386" s="17" t="s">
        <v>0</v>
      </c>
      <c r="D2386" s="19">
        <v>135.28</v>
      </c>
      <c r="F2386" s="3" t="str">
        <f t="shared" si="37"/>
        <v>C3690</v>
      </c>
    </row>
    <row r="2387" spans="1:6" x14ac:dyDescent="0.2">
      <c r="A2387" s="17" t="s">
        <v>9874</v>
      </c>
      <c r="B2387" s="18" t="s">
        <v>9875</v>
      </c>
      <c r="C2387" s="17" t="s">
        <v>0</v>
      </c>
      <c r="D2387" s="19">
        <v>75.87</v>
      </c>
      <c r="F2387" s="3" t="str">
        <f t="shared" si="37"/>
        <v>C3689</v>
      </c>
    </row>
    <row r="2388" spans="1:6" x14ac:dyDescent="0.2">
      <c r="A2388" s="17" t="s">
        <v>9876</v>
      </c>
      <c r="B2388" s="18" t="s">
        <v>9877</v>
      </c>
      <c r="C2388" s="17" t="s">
        <v>0</v>
      </c>
      <c r="D2388" s="19">
        <v>181.77</v>
      </c>
      <c r="F2388" s="3" t="str">
        <f t="shared" si="37"/>
        <v>C3691</v>
      </c>
    </row>
    <row r="2389" spans="1:6" x14ac:dyDescent="0.2">
      <c r="A2389" s="17" t="s">
        <v>9878</v>
      </c>
      <c r="B2389" s="18" t="s">
        <v>9879</v>
      </c>
      <c r="C2389" s="17" t="s">
        <v>0</v>
      </c>
      <c r="D2389" s="19">
        <v>30.16</v>
      </c>
      <c r="F2389" s="3" t="str">
        <f t="shared" si="37"/>
        <v>C2558</v>
      </c>
    </row>
    <row r="2390" spans="1:6" x14ac:dyDescent="0.2">
      <c r="A2390" s="17" t="s">
        <v>9880</v>
      </c>
      <c r="B2390" s="18" t="s">
        <v>9881</v>
      </c>
      <c r="C2390" s="17" t="s">
        <v>0</v>
      </c>
      <c r="D2390" s="19">
        <v>36.42</v>
      </c>
      <c r="F2390" s="3" t="str">
        <f t="shared" si="37"/>
        <v>C2559</v>
      </c>
    </row>
    <row r="2391" spans="1:6" x14ac:dyDescent="0.2">
      <c r="A2391" s="17" t="s">
        <v>9882</v>
      </c>
      <c r="B2391" s="18" t="s">
        <v>9883</v>
      </c>
      <c r="C2391" s="17" t="s">
        <v>0</v>
      </c>
      <c r="D2391" s="19">
        <v>49.1</v>
      </c>
      <c r="F2391" s="3" t="str">
        <f t="shared" si="37"/>
        <v>C2560</v>
      </c>
    </row>
    <row r="2392" spans="1:6" x14ac:dyDescent="0.2">
      <c r="A2392" s="17" t="s">
        <v>9884</v>
      </c>
      <c r="B2392" s="18" t="s">
        <v>9885</v>
      </c>
      <c r="C2392" s="17" t="s">
        <v>0</v>
      </c>
      <c r="D2392" s="19">
        <v>65.48</v>
      </c>
      <c r="F2392" s="3" t="str">
        <f t="shared" si="37"/>
        <v>C2561</v>
      </c>
    </row>
    <row r="2393" spans="1:6" x14ac:dyDescent="0.2">
      <c r="A2393" s="17" t="s">
        <v>9886</v>
      </c>
      <c r="B2393" s="18" t="s">
        <v>9887</v>
      </c>
      <c r="C2393" s="17" t="s">
        <v>0</v>
      </c>
      <c r="D2393" s="19">
        <v>77.77</v>
      </c>
      <c r="F2393" s="3" t="str">
        <f t="shared" si="37"/>
        <v>C2554</v>
      </c>
    </row>
    <row r="2394" spans="1:6" x14ac:dyDescent="0.2">
      <c r="A2394" s="17" t="s">
        <v>9888</v>
      </c>
      <c r="B2394" s="18" t="s">
        <v>9889</v>
      </c>
      <c r="C2394" s="17" t="s">
        <v>0</v>
      </c>
      <c r="D2394" s="19">
        <v>105.5</v>
      </c>
      <c r="F2394" s="3" t="str">
        <f t="shared" si="37"/>
        <v>C2562</v>
      </c>
    </row>
    <row r="2395" spans="1:6" x14ac:dyDescent="0.2">
      <c r="A2395" s="17" t="s">
        <v>9890</v>
      </c>
      <c r="B2395" s="18" t="s">
        <v>9891</v>
      </c>
      <c r="C2395" s="17" t="s">
        <v>0</v>
      </c>
      <c r="D2395" s="19">
        <v>127.17</v>
      </c>
      <c r="F2395" s="3" t="str">
        <f t="shared" si="37"/>
        <v>C2563</v>
      </c>
    </row>
    <row r="2396" spans="1:6" x14ac:dyDescent="0.2">
      <c r="A2396" s="17" t="s">
        <v>9892</v>
      </c>
      <c r="B2396" s="18" t="s">
        <v>9893</v>
      </c>
      <c r="C2396" s="17" t="s">
        <v>0</v>
      </c>
      <c r="D2396" s="19">
        <v>164.78</v>
      </c>
      <c r="F2396" s="3" t="str">
        <f t="shared" si="37"/>
        <v>C2564</v>
      </c>
    </row>
    <row r="2397" spans="1:6" x14ac:dyDescent="0.2">
      <c r="A2397" s="17" t="s">
        <v>9894</v>
      </c>
      <c r="B2397" s="18" t="s">
        <v>9895</v>
      </c>
      <c r="C2397" s="17" t="s">
        <v>0</v>
      </c>
      <c r="D2397" s="19">
        <v>217.25</v>
      </c>
      <c r="F2397" s="3" t="str">
        <f t="shared" si="37"/>
        <v>C2555</v>
      </c>
    </row>
    <row r="2398" spans="1:6" x14ac:dyDescent="0.2">
      <c r="A2398" s="17" t="s">
        <v>9896</v>
      </c>
      <c r="B2398" s="18" t="s">
        <v>9897</v>
      </c>
      <c r="C2398" s="17" t="s">
        <v>0</v>
      </c>
      <c r="D2398" s="19">
        <v>305.77999999999997</v>
      </c>
      <c r="F2398" s="3" t="str">
        <f t="shared" si="37"/>
        <v>C2556</v>
      </c>
    </row>
    <row r="2399" spans="1:6" x14ac:dyDescent="0.2">
      <c r="A2399" s="17" t="s">
        <v>9898</v>
      </c>
      <c r="B2399" s="18" t="s">
        <v>9899</v>
      </c>
      <c r="C2399" s="17" t="s">
        <v>0</v>
      </c>
      <c r="D2399" s="19">
        <v>337.58</v>
      </c>
      <c r="F2399" s="3" t="str">
        <f t="shared" si="37"/>
        <v>C2557</v>
      </c>
    </row>
    <row r="2400" spans="1:6" x14ac:dyDescent="0.2">
      <c r="A2400" s="17" t="s">
        <v>9900</v>
      </c>
      <c r="B2400" s="18" t="s">
        <v>9901</v>
      </c>
      <c r="C2400" s="17" t="s">
        <v>0</v>
      </c>
      <c r="D2400" s="19">
        <v>59.38</v>
      </c>
      <c r="F2400" s="3" t="str">
        <f t="shared" si="37"/>
        <v>C2543</v>
      </c>
    </row>
    <row r="2401" spans="1:6" x14ac:dyDescent="0.2">
      <c r="A2401" s="17" t="s">
        <v>9902</v>
      </c>
      <c r="B2401" s="18" t="s">
        <v>9903</v>
      </c>
      <c r="C2401" s="17" t="s">
        <v>0</v>
      </c>
      <c r="D2401" s="19">
        <v>71.45</v>
      </c>
      <c r="F2401" s="3" t="str">
        <f t="shared" si="37"/>
        <v>C2544</v>
      </c>
    </row>
    <row r="2402" spans="1:6" x14ac:dyDescent="0.2">
      <c r="A2402" s="17" t="s">
        <v>9904</v>
      </c>
      <c r="B2402" s="18" t="s">
        <v>9905</v>
      </c>
      <c r="C2402" s="17" t="s">
        <v>0</v>
      </c>
      <c r="D2402" s="19">
        <v>98.83</v>
      </c>
      <c r="F2402" s="3" t="str">
        <f t="shared" si="37"/>
        <v>C2545</v>
      </c>
    </row>
    <row r="2403" spans="1:6" x14ac:dyDescent="0.2">
      <c r="A2403" s="17" t="s">
        <v>9906</v>
      </c>
      <c r="B2403" s="18" t="s">
        <v>9907</v>
      </c>
      <c r="C2403" s="17" t="s">
        <v>0</v>
      </c>
      <c r="D2403" s="19">
        <v>116.66</v>
      </c>
      <c r="F2403" s="3" t="str">
        <f t="shared" si="37"/>
        <v>C2546</v>
      </c>
    </row>
    <row r="2404" spans="1:6" x14ac:dyDescent="0.2">
      <c r="A2404" s="17" t="s">
        <v>9908</v>
      </c>
      <c r="B2404" s="18" t="s">
        <v>9909</v>
      </c>
      <c r="C2404" s="17" t="s">
        <v>0</v>
      </c>
      <c r="D2404" s="19">
        <v>130.76</v>
      </c>
      <c r="F2404" s="3" t="str">
        <f t="shared" si="37"/>
        <v>C2547</v>
      </c>
    </row>
    <row r="2405" spans="1:6" x14ac:dyDescent="0.2">
      <c r="A2405" s="17" t="s">
        <v>9910</v>
      </c>
      <c r="B2405" s="18" t="s">
        <v>9911</v>
      </c>
      <c r="C2405" s="17" t="s">
        <v>0</v>
      </c>
      <c r="D2405" s="19">
        <v>170.62</v>
      </c>
      <c r="F2405" s="3" t="str">
        <f t="shared" si="37"/>
        <v>C2552</v>
      </c>
    </row>
    <row r="2406" spans="1:6" x14ac:dyDescent="0.2">
      <c r="A2406" s="17" t="s">
        <v>9912</v>
      </c>
      <c r="B2406" s="18" t="s">
        <v>9913</v>
      </c>
      <c r="C2406" s="17" t="s">
        <v>0</v>
      </c>
      <c r="D2406" s="19">
        <v>203.84</v>
      </c>
      <c r="F2406" s="3" t="str">
        <f t="shared" si="37"/>
        <v>C2553</v>
      </c>
    </row>
    <row r="2407" spans="1:6" x14ac:dyDescent="0.2">
      <c r="A2407" s="17" t="s">
        <v>9914</v>
      </c>
      <c r="B2407" s="18" t="s">
        <v>9915</v>
      </c>
      <c r="C2407" s="17" t="s">
        <v>0</v>
      </c>
      <c r="D2407" s="19">
        <v>244.04</v>
      </c>
      <c r="F2407" s="3" t="str">
        <f t="shared" si="37"/>
        <v>C2548</v>
      </c>
    </row>
    <row r="2408" spans="1:6" x14ac:dyDescent="0.2">
      <c r="A2408" s="17" t="s">
        <v>9916</v>
      </c>
      <c r="B2408" s="18" t="s">
        <v>9917</v>
      </c>
      <c r="C2408" s="17" t="s">
        <v>0</v>
      </c>
      <c r="D2408" s="19">
        <v>312.41000000000003</v>
      </c>
      <c r="F2408" s="3" t="str">
        <f t="shared" si="37"/>
        <v>C2549</v>
      </c>
    </row>
    <row r="2409" spans="1:6" x14ac:dyDescent="0.2">
      <c r="A2409" s="17" t="s">
        <v>9918</v>
      </c>
      <c r="B2409" s="18" t="s">
        <v>9919</v>
      </c>
      <c r="C2409" s="17" t="s">
        <v>0</v>
      </c>
      <c r="D2409" s="19">
        <v>429.38</v>
      </c>
      <c r="F2409" s="3" t="str">
        <f t="shared" si="37"/>
        <v>C2550</v>
      </c>
    </row>
    <row r="2410" spans="1:6" x14ac:dyDescent="0.2">
      <c r="A2410" s="17" t="s">
        <v>9920</v>
      </c>
      <c r="B2410" s="18" t="s">
        <v>9921</v>
      </c>
      <c r="C2410" s="17" t="s">
        <v>0</v>
      </c>
      <c r="D2410" s="19">
        <v>467.79</v>
      </c>
      <c r="F2410" s="3" t="str">
        <f t="shared" si="37"/>
        <v>C2551</v>
      </c>
    </row>
    <row r="2411" spans="1:6" x14ac:dyDescent="0.2">
      <c r="A2411" s="14" t="s">
        <v>9922</v>
      </c>
      <c r="B2411" s="15"/>
      <c r="C2411" s="14">
        <v>0</v>
      </c>
      <c r="D2411" s="16">
        <v>18691.96</v>
      </c>
      <c r="F2411" s="3" t="str">
        <f t="shared" si="37"/>
        <v>TUBOS E CONEXÕES DE PVC</v>
      </c>
    </row>
    <row r="2412" spans="1:6" x14ac:dyDescent="0.2">
      <c r="A2412" s="17" t="s">
        <v>9923</v>
      </c>
      <c r="B2412" s="18" t="s">
        <v>9924</v>
      </c>
      <c r="C2412" s="17" t="s">
        <v>26</v>
      </c>
      <c r="D2412" s="19">
        <v>9.6999999999999993</v>
      </c>
      <c r="F2412" s="3" t="str">
        <f t="shared" si="37"/>
        <v>C0014</v>
      </c>
    </row>
    <row r="2413" spans="1:6" x14ac:dyDescent="0.2">
      <c r="A2413" s="17" t="s">
        <v>9925</v>
      </c>
      <c r="B2413" s="18" t="s">
        <v>9926</v>
      </c>
      <c r="C2413" s="17" t="s">
        <v>26</v>
      </c>
      <c r="D2413" s="19">
        <v>7.93</v>
      </c>
      <c r="F2413" s="3" t="str">
        <f t="shared" si="37"/>
        <v>C0015</v>
      </c>
    </row>
    <row r="2414" spans="1:6" x14ac:dyDescent="0.2">
      <c r="A2414" s="17" t="s">
        <v>9927</v>
      </c>
      <c r="B2414" s="18" t="s">
        <v>9928</v>
      </c>
      <c r="C2414" s="17" t="s">
        <v>26</v>
      </c>
      <c r="D2414" s="19">
        <v>5.08</v>
      </c>
      <c r="F2414" s="3" t="str">
        <f t="shared" si="37"/>
        <v>C3653</v>
      </c>
    </row>
    <row r="2415" spans="1:6" x14ac:dyDescent="0.2">
      <c r="A2415" s="17" t="s">
        <v>9929</v>
      </c>
      <c r="B2415" s="18" t="s">
        <v>9930</v>
      </c>
      <c r="C2415" s="17" t="s">
        <v>26</v>
      </c>
      <c r="D2415" s="19">
        <v>6.23</v>
      </c>
      <c r="F2415" s="3" t="str">
        <f t="shared" si="37"/>
        <v>C3654</v>
      </c>
    </row>
    <row r="2416" spans="1:6" x14ac:dyDescent="0.2">
      <c r="A2416" s="17" t="s">
        <v>9931</v>
      </c>
      <c r="B2416" s="18" t="s">
        <v>9932</v>
      </c>
      <c r="C2416" s="17" t="s">
        <v>26</v>
      </c>
      <c r="D2416" s="19">
        <v>10.91</v>
      </c>
      <c r="F2416" s="3" t="str">
        <f t="shared" si="37"/>
        <v>C3655</v>
      </c>
    </row>
    <row r="2417" spans="1:6" x14ac:dyDescent="0.2">
      <c r="A2417" s="17" t="s">
        <v>9933</v>
      </c>
      <c r="B2417" s="18" t="s">
        <v>9934</v>
      </c>
      <c r="C2417" s="17" t="s">
        <v>26</v>
      </c>
      <c r="D2417" s="19">
        <v>11.77</v>
      </c>
      <c r="F2417" s="3" t="str">
        <f t="shared" si="37"/>
        <v>C3656</v>
      </c>
    </row>
    <row r="2418" spans="1:6" x14ac:dyDescent="0.2">
      <c r="A2418" s="17" t="s">
        <v>9935</v>
      </c>
      <c r="B2418" s="18" t="s">
        <v>9936</v>
      </c>
      <c r="C2418" s="17" t="s">
        <v>26</v>
      </c>
      <c r="D2418" s="19">
        <v>19.5</v>
      </c>
      <c r="F2418" s="3" t="str">
        <f t="shared" si="37"/>
        <v>C3657</v>
      </c>
    </row>
    <row r="2419" spans="1:6" x14ac:dyDescent="0.2">
      <c r="A2419" s="17" t="s">
        <v>9937</v>
      </c>
      <c r="B2419" s="18" t="s">
        <v>9938</v>
      </c>
      <c r="C2419" s="17" t="s">
        <v>26</v>
      </c>
      <c r="D2419" s="19">
        <v>31.13</v>
      </c>
      <c r="F2419" s="3" t="str">
        <f t="shared" si="37"/>
        <v>C0016</v>
      </c>
    </row>
    <row r="2420" spans="1:6" x14ac:dyDescent="0.2">
      <c r="A2420" s="17" t="s">
        <v>9939</v>
      </c>
      <c r="B2420" s="18" t="s">
        <v>9940</v>
      </c>
      <c r="C2420" s="17" t="s">
        <v>26</v>
      </c>
      <c r="D2420" s="19">
        <v>39.44</v>
      </c>
      <c r="F2420" s="3" t="str">
        <f t="shared" si="37"/>
        <v>C0017</v>
      </c>
    </row>
    <row r="2421" spans="1:6" x14ac:dyDescent="0.2">
      <c r="A2421" s="17" t="s">
        <v>9941</v>
      </c>
      <c r="B2421" s="18" t="s">
        <v>9942</v>
      </c>
      <c r="C2421" s="17" t="s">
        <v>26</v>
      </c>
      <c r="D2421" s="19">
        <v>16.71</v>
      </c>
      <c r="F2421" s="3" t="str">
        <f t="shared" si="37"/>
        <v>C0019</v>
      </c>
    </row>
    <row r="2422" spans="1:6" x14ac:dyDescent="0.2">
      <c r="A2422" s="17" t="s">
        <v>9943</v>
      </c>
      <c r="B2422" s="18" t="s">
        <v>9944</v>
      </c>
      <c r="C2422" s="17" t="s">
        <v>26</v>
      </c>
      <c r="D2422" s="19">
        <v>20.71</v>
      </c>
      <c r="F2422" s="3" t="str">
        <f t="shared" si="37"/>
        <v>C0020</v>
      </c>
    </row>
    <row r="2423" spans="1:6" x14ac:dyDescent="0.2">
      <c r="A2423" s="17" t="s">
        <v>9945</v>
      </c>
      <c r="B2423" s="18" t="s">
        <v>9946</v>
      </c>
      <c r="C2423" s="17" t="s">
        <v>26</v>
      </c>
      <c r="D2423" s="19">
        <v>24.88</v>
      </c>
      <c r="F2423" s="3" t="str">
        <f t="shared" si="37"/>
        <v>C0021</v>
      </c>
    </row>
    <row r="2424" spans="1:6" x14ac:dyDescent="0.2">
      <c r="A2424" s="17" t="s">
        <v>9947</v>
      </c>
      <c r="B2424" s="18" t="s">
        <v>9948</v>
      </c>
      <c r="C2424" s="17" t="s">
        <v>26</v>
      </c>
      <c r="D2424" s="19">
        <v>39.49</v>
      </c>
      <c r="F2424" s="3" t="str">
        <f t="shared" si="37"/>
        <v>C0022</v>
      </c>
    </row>
    <row r="2425" spans="1:6" x14ac:dyDescent="0.2">
      <c r="A2425" s="17" t="s">
        <v>9949</v>
      </c>
      <c r="B2425" s="18" t="s">
        <v>9950</v>
      </c>
      <c r="C2425" s="17" t="s">
        <v>26</v>
      </c>
      <c r="D2425" s="19">
        <v>42.64</v>
      </c>
      <c r="F2425" s="3" t="str">
        <f t="shared" si="37"/>
        <v>C0023</v>
      </c>
    </row>
    <row r="2426" spans="1:6" x14ac:dyDescent="0.2">
      <c r="A2426" s="17" t="s">
        <v>9951</v>
      </c>
      <c r="B2426" s="18" t="s">
        <v>9952</v>
      </c>
      <c r="C2426" s="17" t="s">
        <v>26</v>
      </c>
      <c r="D2426" s="19">
        <v>67.819999999999993</v>
      </c>
      <c r="F2426" s="3" t="str">
        <f t="shared" si="37"/>
        <v>C0024</v>
      </c>
    </row>
    <row r="2427" spans="1:6" x14ac:dyDescent="0.2">
      <c r="A2427" s="17" t="s">
        <v>9953</v>
      </c>
      <c r="B2427" s="18" t="s">
        <v>9954</v>
      </c>
      <c r="C2427" s="17" t="s">
        <v>26</v>
      </c>
      <c r="D2427" s="19">
        <v>244.85</v>
      </c>
      <c r="F2427" s="3" t="str">
        <f t="shared" si="37"/>
        <v>C0025</v>
      </c>
    </row>
    <row r="2428" spans="1:6" x14ac:dyDescent="0.2">
      <c r="A2428" s="17" t="s">
        <v>9955</v>
      </c>
      <c r="B2428" s="18" t="s">
        <v>9956</v>
      </c>
      <c r="C2428" s="17" t="s">
        <v>26</v>
      </c>
      <c r="D2428" s="19">
        <v>345.72</v>
      </c>
      <c r="F2428" s="3" t="str">
        <f t="shared" si="37"/>
        <v>C0026</v>
      </c>
    </row>
    <row r="2429" spans="1:6" x14ac:dyDescent="0.2">
      <c r="A2429" s="17" t="s">
        <v>9957</v>
      </c>
      <c r="B2429" s="18" t="s">
        <v>9958</v>
      </c>
      <c r="C2429" s="17" t="s">
        <v>26</v>
      </c>
      <c r="D2429" s="19">
        <v>307.76</v>
      </c>
      <c r="F2429" s="3" t="str">
        <f t="shared" si="37"/>
        <v>C0018</v>
      </c>
    </row>
    <row r="2430" spans="1:6" x14ac:dyDescent="0.2">
      <c r="A2430" s="17" t="s">
        <v>9959</v>
      </c>
      <c r="B2430" s="18" t="s">
        <v>9960</v>
      </c>
      <c r="C2430" s="17" t="s">
        <v>0</v>
      </c>
      <c r="D2430" s="19">
        <v>51.22</v>
      </c>
      <c r="F2430" s="3" t="str">
        <f t="shared" si="37"/>
        <v>C4330</v>
      </c>
    </row>
    <row r="2431" spans="1:6" x14ac:dyDescent="0.2">
      <c r="A2431" s="17">
        <v>0</v>
      </c>
      <c r="B2431" s="18"/>
      <c r="C2431" s="17">
        <v>0</v>
      </c>
      <c r="D2431" s="19">
        <v>0</v>
      </c>
      <c r="F2431" s="3">
        <f t="shared" si="37"/>
        <v>0</v>
      </c>
    </row>
    <row r="2432" spans="1:6" x14ac:dyDescent="0.2">
      <c r="A2432" s="17" t="s">
        <v>9961</v>
      </c>
      <c r="B2432" s="18" t="s">
        <v>9962</v>
      </c>
      <c r="C2432" s="17" t="s">
        <v>0</v>
      </c>
      <c r="D2432" s="19">
        <v>134.41999999999999</v>
      </c>
      <c r="F2432" s="3" t="str">
        <f t="shared" si="37"/>
        <v>C4329</v>
      </c>
    </row>
    <row r="2433" spans="1:6" x14ac:dyDescent="0.2">
      <c r="A2433" s="17">
        <v>0</v>
      </c>
      <c r="B2433" s="18"/>
      <c r="C2433" s="17">
        <v>0</v>
      </c>
      <c r="D2433" s="19">
        <v>0</v>
      </c>
      <c r="F2433" s="3">
        <f t="shared" si="37"/>
        <v>0</v>
      </c>
    </row>
    <row r="2434" spans="1:6" x14ac:dyDescent="0.2">
      <c r="A2434" s="17" t="s">
        <v>9963</v>
      </c>
      <c r="B2434" s="18" t="s">
        <v>9964</v>
      </c>
      <c r="C2434" s="17" t="s">
        <v>0</v>
      </c>
      <c r="D2434" s="19">
        <v>2.09</v>
      </c>
      <c r="F2434" s="3" t="str">
        <f t="shared" ref="F2434:F2497" si="38">A2434</f>
        <v>C0289</v>
      </c>
    </row>
    <row r="2435" spans="1:6" x14ac:dyDescent="0.2">
      <c r="A2435" s="17" t="s">
        <v>9965</v>
      </c>
      <c r="B2435" s="18" t="s">
        <v>9966</v>
      </c>
      <c r="C2435" s="17" t="s">
        <v>0</v>
      </c>
      <c r="D2435" s="19">
        <v>2.2999999999999998</v>
      </c>
      <c r="F2435" s="3" t="str">
        <f t="shared" si="38"/>
        <v>C0291</v>
      </c>
    </row>
    <row r="2436" spans="1:6" x14ac:dyDescent="0.2">
      <c r="A2436" s="17" t="s">
        <v>9967</v>
      </c>
      <c r="B2436" s="18" t="s">
        <v>9968</v>
      </c>
      <c r="C2436" s="17" t="s">
        <v>0</v>
      </c>
      <c r="D2436" s="19">
        <v>2.77</v>
      </c>
      <c r="F2436" s="3" t="str">
        <f t="shared" si="38"/>
        <v>C0292</v>
      </c>
    </row>
    <row r="2437" spans="1:6" x14ac:dyDescent="0.2">
      <c r="A2437" s="17" t="s">
        <v>9969</v>
      </c>
      <c r="B2437" s="18" t="s">
        <v>9970</v>
      </c>
      <c r="C2437" s="17" t="s">
        <v>0</v>
      </c>
      <c r="D2437" s="19">
        <v>3.68</v>
      </c>
      <c r="F2437" s="3" t="str">
        <f t="shared" si="38"/>
        <v>C0281</v>
      </c>
    </row>
    <row r="2438" spans="1:6" x14ac:dyDescent="0.2">
      <c r="A2438" s="17" t="s">
        <v>9971</v>
      </c>
      <c r="B2438" s="18" t="s">
        <v>9972</v>
      </c>
      <c r="C2438" s="17" t="s">
        <v>0</v>
      </c>
      <c r="D2438" s="19">
        <v>4.6900000000000004</v>
      </c>
      <c r="F2438" s="3" t="str">
        <f t="shared" si="38"/>
        <v>C0282</v>
      </c>
    </row>
    <row r="2439" spans="1:6" x14ac:dyDescent="0.2">
      <c r="A2439" s="17" t="s">
        <v>9973</v>
      </c>
      <c r="B2439" s="18" t="s">
        <v>9974</v>
      </c>
      <c r="C2439" s="17" t="s">
        <v>0</v>
      </c>
      <c r="D2439" s="19">
        <v>5.32</v>
      </c>
      <c r="F2439" s="3" t="str">
        <f t="shared" si="38"/>
        <v>C0283</v>
      </c>
    </row>
    <row r="2440" spans="1:6" x14ac:dyDescent="0.2">
      <c r="A2440" s="17" t="s">
        <v>9975</v>
      </c>
      <c r="B2440" s="18" t="s">
        <v>9976</v>
      </c>
      <c r="C2440" s="17" t="s">
        <v>0</v>
      </c>
      <c r="D2440" s="19">
        <v>6.94</v>
      </c>
      <c r="F2440" s="3" t="str">
        <f t="shared" si="38"/>
        <v>C0284</v>
      </c>
    </row>
    <row r="2441" spans="1:6" x14ac:dyDescent="0.2">
      <c r="A2441" s="17" t="s">
        <v>9977</v>
      </c>
      <c r="B2441" s="18" t="s">
        <v>9978</v>
      </c>
      <c r="C2441" s="17" t="s">
        <v>0</v>
      </c>
      <c r="D2441" s="19">
        <v>9</v>
      </c>
      <c r="F2441" s="3" t="str">
        <f t="shared" si="38"/>
        <v>C0285</v>
      </c>
    </row>
    <row r="2442" spans="1:6" x14ac:dyDescent="0.2">
      <c r="A2442" s="17" t="s">
        <v>9979</v>
      </c>
      <c r="B2442" s="18" t="s">
        <v>9980</v>
      </c>
      <c r="C2442" s="17" t="s">
        <v>0</v>
      </c>
      <c r="D2442" s="19">
        <v>11.02</v>
      </c>
      <c r="F2442" s="3" t="str">
        <f t="shared" si="38"/>
        <v>C0286</v>
      </c>
    </row>
    <row r="2443" spans="1:6" x14ac:dyDescent="0.2">
      <c r="A2443" s="17" t="s">
        <v>9981</v>
      </c>
      <c r="B2443" s="18" t="s">
        <v>9982</v>
      </c>
      <c r="C2443" s="17" t="s">
        <v>0</v>
      </c>
      <c r="D2443" s="19">
        <v>12.26</v>
      </c>
      <c r="F2443" s="3" t="str">
        <f t="shared" si="38"/>
        <v>C0287</v>
      </c>
    </row>
    <row r="2444" spans="1:6" x14ac:dyDescent="0.2">
      <c r="A2444" s="17" t="s">
        <v>9983</v>
      </c>
      <c r="B2444" s="18" t="s">
        <v>9984</v>
      </c>
      <c r="C2444" s="17" t="s">
        <v>0</v>
      </c>
      <c r="D2444" s="19">
        <v>13.88</v>
      </c>
      <c r="F2444" s="3" t="str">
        <f t="shared" si="38"/>
        <v>C0288</v>
      </c>
    </row>
    <row r="2445" spans="1:6" x14ac:dyDescent="0.2">
      <c r="A2445" s="17" t="s">
        <v>9985</v>
      </c>
      <c r="B2445" s="18" t="s">
        <v>9986</v>
      </c>
      <c r="C2445" s="17" t="s">
        <v>0</v>
      </c>
      <c r="D2445" s="19">
        <v>16.02</v>
      </c>
      <c r="F2445" s="3" t="str">
        <f t="shared" si="38"/>
        <v>C0290</v>
      </c>
    </row>
    <row r="2446" spans="1:6" x14ac:dyDescent="0.2">
      <c r="A2446" s="17" t="s">
        <v>9987</v>
      </c>
      <c r="B2446" s="18" t="s">
        <v>9988</v>
      </c>
      <c r="C2446" s="17" t="s">
        <v>0</v>
      </c>
      <c r="D2446" s="19">
        <v>18.5</v>
      </c>
      <c r="F2446" s="3" t="str">
        <f t="shared" si="38"/>
        <v>C0233</v>
      </c>
    </row>
    <row r="2447" spans="1:6" x14ac:dyDescent="0.2">
      <c r="A2447" s="17" t="s">
        <v>9989</v>
      </c>
      <c r="B2447" s="18" t="s">
        <v>9990</v>
      </c>
      <c r="C2447" s="17" t="s">
        <v>0</v>
      </c>
      <c r="D2447" s="19">
        <v>1.26</v>
      </c>
      <c r="F2447" s="3" t="str">
        <f t="shared" si="38"/>
        <v>C0277</v>
      </c>
    </row>
    <row r="2448" spans="1:6" x14ac:dyDescent="0.2">
      <c r="A2448" s="17" t="s">
        <v>9991</v>
      </c>
      <c r="B2448" s="18" t="s">
        <v>9992</v>
      </c>
      <c r="C2448" s="17" t="s">
        <v>0</v>
      </c>
      <c r="D2448" s="19">
        <v>1.64</v>
      </c>
      <c r="F2448" s="3" t="str">
        <f t="shared" si="38"/>
        <v>C0278</v>
      </c>
    </row>
    <row r="2449" spans="1:6" x14ac:dyDescent="0.2">
      <c r="A2449" s="17" t="s">
        <v>9993</v>
      </c>
      <c r="B2449" s="18" t="s">
        <v>9994</v>
      </c>
      <c r="C2449" s="17" t="s">
        <v>0</v>
      </c>
      <c r="D2449" s="19">
        <v>1.64</v>
      </c>
      <c r="F2449" s="3" t="str">
        <f t="shared" si="38"/>
        <v>C0279</v>
      </c>
    </row>
    <row r="2450" spans="1:6" x14ac:dyDescent="0.2">
      <c r="A2450" s="17" t="s">
        <v>9995</v>
      </c>
      <c r="B2450" s="18" t="s">
        <v>9996</v>
      </c>
      <c r="C2450" s="17" t="s">
        <v>0</v>
      </c>
      <c r="D2450" s="19">
        <v>1.68</v>
      </c>
      <c r="F2450" s="3" t="str">
        <f t="shared" si="38"/>
        <v>C0280</v>
      </c>
    </row>
    <row r="2451" spans="1:6" x14ac:dyDescent="0.2">
      <c r="A2451" s="17" t="s">
        <v>9997</v>
      </c>
      <c r="B2451" s="18" t="s">
        <v>9998</v>
      </c>
      <c r="C2451" s="17" t="s">
        <v>0</v>
      </c>
      <c r="D2451" s="19">
        <v>1.68</v>
      </c>
      <c r="F2451" s="3" t="str">
        <f t="shared" si="38"/>
        <v>C0275</v>
      </c>
    </row>
    <row r="2452" spans="1:6" x14ac:dyDescent="0.2">
      <c r="A2452" s="17" t="s">
        <v>9999</v>
      </c>
      <c r="B2452" s="18" t="s">
        <v>10000</v>
      </c>
      <c r="C2452" s="17" t="s">
        <v>0</v>
      </c>
      <c r="D2452" s="19">
        <v>2.52</v>
      </c>
      <c r="F2452" s="3" t="str">
        <f t="shared" si="38"/>
        <v>C0276</v>
      </c>
    </row>
    <row r="2453" spans="1:6" x14ac:dyDescent="0.2">
      <c r="A2453" s="17" t="s">
        <v>10001</v>
      </c>
      <c r="B2453" s="18" t="s">
        <v>10002</v>
      </c>
      <c r="C2453" s="17" t="s">
        <v>26</v>
      </c>
      <c r="D2453" s="19">
        <v>11.79</v>
      </c>
      <c r="F2453" s="3" t="str">
        <f t="shared" si="38"/>
        <v>C0488</v>
      </c>
    </row>
    <row r="2454" spans="1:6" x14ac:dyDescent="0.2">
      <c r="A2454" s="17" t="s">
        <v>10003</v>
      </c>
      <c r="B2454" s="18" t="s">
        <v>10004</v>
      </c>
      <c r="C2454" s="17" t="s">
        <v>26</v>
      </c>
      <c r="D2454" s="19">
        <v>5.36</v>
      </c>
      <c r="F2454" s="3" t="str">
        <f t="shared" si="38"/>
        <v>C0507</v>
      </c>
    </row>
    <row r="2455" spans="1:6" x14ac:dyDescent="0.2">
      <c r="A2455" s="17" t="s">
        <v>10005</v>
      </c>
      <c r="B2455" s="18" t="s">
        <v>10006</v>
      </c>
      <c r="C2455" s="17" t="s">
        <v>26</v>
      </c>
      <c r="D2455" s="19">
        <v>7.96</v>
      </c>
      <c r="F2455" s="3" t="str">
        <f t="shared" si="38"/>
        <v>C0496</v>
      </c>
    </row>
    <row r="2456" spans="1:6" x14ac:dyDescent="0.2">
      <c r="A2456" s="17" t="s">
        <v>10007</v>
      </c>
      <c r="B2456" s="18" t="s">
        <v>10008</v>
      </c>
      <c r="C2456" s="17" t="s">
        <v>26</v>
      </c>
      <c r="D2456" s="19">
        <v>7.88</v>
      </c>
      <c r="F2456" s="3" t="str">
        <f t="shared" si="38"/>
        <v>C0497</v>
      </c>
    </row>
    <row r="2457" spans="1:6" x14ac:dyDescent="0.2">
      <c r="A2457" s="17" t="s">
        <v>10009</v>
      </c>
      <c r="B2457" s="18" t="s">
        <v>10010</v>
      </c>
      <c r="C2457" s="17" t="s">
        <v>26</v>
      </c>
      <c r="D2457" s="19">
        <v>11.77</v>
      </c>
      <c r="F2457" s="3" t="str">
        <f t="shared" si="38"/>
        <v>C0494</v>
      </c>
    </row>
    <row r="2458" spans="1:6" x14ac:dyDescent="0.2">
      <c r="A2458" s="17" t="s">
        <v>10011</v>
      </c>
      <c r="B2458" s="18" t="s">
        <v>10012</v>
      </c>
      <c r="C2458" s="17" t="s">
        <v>26</v>
      </c>
      <c r="D2458" s="19">
        <v>11.89</v>
      </c>
      <c r="F2458" s="3" t="str">
        <f t="shared" si="38"/>
        <v>C0495</v>
      </c>
    </row>
    <row r="2459" spans="1:6" x14ac:dyDescent="0.2">
      <c r="A2459" s="17" t="s">
        <v>10013</v>
      </c>
      <c r="B2459" s="18" t="s">
        <v>10014</v>
      </c>
      <c r="C2459" s="17" t="s">
        <v>26</v>
      </c>
      <c r="D2459" s="19">
        <v>12.11</v>
      </c>
      <c r="F2459" s="3" t="str">
        <f t="shared" si="38"/>
        <v>C0493</v>
      </c>
    </row>
    <row r="2460" spans="1:6" x14ac:dyDescent="0.2">
      <c r="A2460" s="17" t="s">
        <v>10015</v>
      </c>
      <c r="B2460" s="18" t="s">
        <v>10016</v>
      </c>
      <c r="C2460" s="17" t="s">
        <v>26</v>
      </c>
      <c r="D2460" s="19">
        <v>12.85</v>
      </c>
      <c r="F2460" s="3" t="str">
        <f t="shared" si="38"/>
        <v>C0491</v>
      </c>
    </row>
    <row r="2461" spans="1:6" x14ac:dyDescent="0.2">
      <c r="A2461" s="17" t="s">
        <v>10017</v>
      </c>
      <c r="B2461" s="18" t="s">
        <v>10018</v>
      </c>
      <c r="C2461" s="17" t="s">
        <v>26</v>
      </c>
      <c r="D2461" s="19">
        <v>14.32</v>
      </c>
      <c r="F2461" s="3" t="str">
        <f t="shared" si="38"/>
        <v>C0492</v>
      </c>
    </row>
    <row r="2462" spans="1:6" x14ac:dyDescent="0.2">
      <c r="A2462" s="17" t="s">
        <v>10019</v>
      </c>
      <c r="B2462" s="18" t="s">
        <v>10020</v>
      </c>
      <c r="C2462" s="17" t="s">
        <v>26</v>
      </c>
      <c r="D2462" s="19">
        <v>15.77</v>
      </c>
      <c r="F2462" s="3" t="str">
        <f t="shared" si="38"/>
        <v>C0490</v>
      </c>
    </row>
    <row r="2463" spans="1:6" x14ac:dyDescent="0.2">
      <c r="A2463" s="17" t="s">
        <v>10021</v>
      </c>
      <c r="B2463" s="18" t="s">
        <v>10022</v>
      </c>
      <c r="C2463" s="17" t="s">
        <v>26</v>
      </c>
      <c r="D2463" s="19">
        <v>14.27</v>
      </c>
      <c r="F2463" s="3" t="str">
        <f t="shared" si="38"/>
        <v>C0489</v>
      </c>
    </row>
    <row r="2464" spans="1:6" x14ac:dyDescent="0.2">
      <c r="A2464" s="17" t="s">
        <v>10023</v>
      </c>
      <c r="B2464" s="18" t="s">
        <v>10024</v>
      </c>
      <c r="C2464" s="17" t="s">
        <v>26</v>
      </c>
      <c r="D2464" s="19">
        <v>22.5</v>
      </c>
      <c r="F2464" s="3" t="str">
        <f t="shared" si="38"/>
        <v>C0503</v>
      </c>
    </row>
    <row r="2465" spans="1:6" x14ac:dyDescent="0.2">
      <c r="A2465" s="17" t="s">
        <v>10025</v>
      </c>
      <c r="B2465" s="18" t="s">
        <v>10026</v>
      </c>
      <c r="C2465" s="17" t="s">
        <v>26</v>
      </c>
      <c r="D2465" s="19">
        <v>22.57</v>
      </c>
      <c r="F2465" s="3" t="str">
        <f t="shared" si="38"/>
        <v>C0502</v>
      </c>
    </row>
    <row r="2466" spans="1:6" x14ac:dyDescent="0.2">
      <c r="A2466" s="17" t="s">
        <v>10027</v>
      </c>
      <c r="B2466" s="18" t="s">
        <v>10028</v>
      </c>
      <c r="C2466" s="17" t="s">
        <v>26</v>
      </c>
      <c r="D2466" s="19">
        <v>24.75</v>
      </c>
      <c r="F2466" s="3" t="str">
        <f t="shared" si="38"/>
        <v>C0501</v>
      </c>
    </row>
    <row r="2467" spans="1:6" x14ac:dyDescent="0.2">
      <c r="A2467" s="17" t="s">
        <v>10029</v>
      </c>
      <c r="B2467" s="18" t="s">
        <v>10030</v>
      </c>
      <c r="C2467" s="17" t="s">
        <v>26</v>
      </c>
      <c r="D2467" s="19">
        <v>34</v>
      </c>
      <c r="F2467" s="3" t="str">
        <f t="shared" si="38"/>
        <v>C0499</v>
      </c>
    </row>
    <row r="2468" spans="1:6" x14ac:dyDescent="0.2">
      <c r="A2468" s="17" t="s">
        <v>10031</v>
      </c>
      <c r="B2468" s="18" t="s">
        <v>10032</v>
      </c>
      <c r="C2468" s="17" t="s">
        <v>26</v>
      </c>
      <c r="D2468" s="19">
        <v>36.33</v>
      </c>
      <c r="F2468" s="3" t="str">
        <f t="shared" si="38"/>
        <v>C0498</v>
      </c>
    </row>
    <row r="2469" spans="1:6" x14ac:dyDescent="0.2">
      <c r="A2469" s="17" t="s">
        <v>10033</v>
      </c>
      <c r="B2469" s="18" t="s">
        <v>10034</v>
      </c>
      <c r="C2469" s="17" t="s">
        <v>26</v>
      </c>
      <c r="D2469" s="19">
        <v>43.3</v>
      </c>
      <c r="F2469" s="3" t="str">
        <f t="shared" si="38"/>
        <v>C0500</v>
      </c>
    </row>
    <row r="2470" spans="1:6" x14ac:dyDescent="0.2">
      <c r="A2470" s="17" t="s">
        <v>10035</v>
      </c>
      <c r="B2470" s="18" t="s">
        <v>10036</v>
      </c>
      <c r="C2470" s="17" t="s">
        <v>26</v>
      </c>
      <c r="D2470" s="19">
        <v>35.6</v>
      </c>
      <c r="F2470" s="3" t="str">
        <f t="shared" si="38"/>
        <v>C0504</v>
      </c>
    </row>
    <row r="2471" spans="1:6" x14ac:dyDescent="0.2">
      <c r="A2471" s="17" t="s">
        <v>10037</v>
      </c>
      <c r="B2471" s="18" t="s">
        <v>10038</v>
      </c>
      <c r="C2471" s="17" t="s">
        <v>26</v>
      </c>
      <c r="D2471" s="19">
        <v>25.67</v>
      </c>
      <c r="F2471" s="3" t="str">
        <f t="shared" si="38"/>
        <v>C0506</v>
      </c>
    </row>
    <row r="2472" spans="1:6" x14ac:dyDescent="0.2">
      <c r="A2472" s="17" t="s">
        <v>10039</v>
      </c>
      <c r="B2472" s="18" t="s">
        <v>10040</v>
      </c>
      <c r="C2472" s="17" t="s">
        <v>26</v>
      </c>
      <c r="D2472" s="19">
        <v>47.49</v>
      </c>
      <c r="F2472" s="3" t="str">
        <f t="shared" si="38"/>
        <v>C0505</v>
      </c>
    </row>
    <row r="2473" spans="1:6" x14ac:dyDescent="0.2">
      <c r="A2473" s="17" t="s">
        <v>10041</v>
      </c>
      <c r="B2473" s="18" t="s">
        <v>10042</v>
      </c>
      <c r="C2473" s="17" t="s">
        <v>26</v>
      </c>
      <c r="D2473" s="19">
        <v>108.61</v>
      </c>
      <c r="F2473" s="3" t="str">
        <f t="shared" si="38"/>
        <v>C0508</v>
      </c>
    </row>
    <row r="2474" spans="1:6" x14ac:dyDescent="0.2">
      <c r="A2474" s="17" t="s">
        <v>10043</v>
      </c>
      <c r="B2474" s="18" t="s">
        <v>10044</v>
      </c>
      <c r="C2474" s="17" t="s">
        <v>26</v>
      </c>
      <c r="D2474" s="19">
        <v>59.56</v>
      </c>
      <c r="F2474" s="3" t="str">
        <f t="shared" si="38"/>
        <v>C3586</v>
      </c>
    </row>
    <row r="2475" spans="1:6" x14ac:dyDescent="0.2">
      <c r="A2475" s="17" t="s">
        <v>10045</v>
      </c>
      <c r="B2475" s="18" t="s">
        <v>10046</v>
      </c>
      <c r="C2475" s="17" t="s">
        <v>26</v>
      </c>
      <c r="D2475" s="19">
        <v>7.04</v>
      </c>
      <c r="F2475" s="3" t="str">
        <f t="shared" si="38"/>
        <v>C0680</v>
      </c>
    </row>
    <row r="2476" spans="1:6" x14ac:dyDescent="0.2">
      <c r="A2476" s="17" t="s">
        <v>10047</v>
      </c>
      <c r="B2476" s="18" t="s">
        <v>10048</v>
      </c>
      <c r="C2476" s="17" t="s">
        <v>26</v>
      </c>
      <c r="D2476" s="19">
        <v>11.65</v>
      </c>
      <c r="F2476" s="3" t="str">
        <f t="shared" si="38"/>
        <v>C0676</v>
      </c>
    </row>
    <row r="2477" spans="1:6" x14ac:dyDescent="0.2">
      <c r="A2477" s="17" t="s">
        <v>10049</v>
      </c>
      <c r="B2477" s="18" t="s">
        <v>10050</v>
      </c>
      <c r="C2477" s="17" t="s">
        <v>26</v>
      </c>
      <c r="D2477" s="19">
        <v>17.489999999999998</v>
      </c>
      <c r="F2477" s="3" t="str">
        <f t="shared" si="38"/>
        <v>C0678</v>
      </c>
    </row>
    <row r="2478" spans="1:6" x14ac:dyDescent="0.2">
      <c r="A2478" s="17" t="s">
        <v>10051</v>
      </c>
      <c r="B2478" s="18" t="s">
        <v>10052</v>
      </c>
      <c r="C2478" s="17" t="s">
        <v>26</v>
      </c>
      <c r="D2478" s="19">
        <v>8.16</v>
      </c>
      <c r="F2478" s="3" t="str">
        <f t="shared" si="38"/>
        <v>C0679</v>
      </c>
    </row>
    <row r="2479" spans="1:6" x14ac:dyDescent="0.2">
      <c r="A2479" s="17" t="s">
        <v>10053</v>
      </c>
      <c r="B2479" s="18" t="s">
        <v>10054</v>
      </c>
      <c r="C2479" s="17" t="s">
        <v>26</v>
      </c>
      <c r="D2479" s="19">
        <v>11.97</v>
      </c>
      <c r="F2479" s="3" t="str">
        <f t="shared" si="38"/>
        <v>C0681</v>
      </c>
    </row>
    <row r="2480" spans="1:6" x14ac:dyDescent="0.2">
      <c r="A2480" s="17" t="s">
        <v>10055</v>
      </c>
      <c r="B2480" s="18" t="s">
        <v>10056</v>
      </c>
      <c r="C2480" s="17" t="s">
        <v>26</v>
      </c>
      <c r="D2480" s="19">
        <v>17.45</v>
      </c>
      <c r="F2480" s="3" t="str">
        <f t="shared" si="38"/>
        <v>C0677</v>
      </c>
    </row>
    <row r="2481" spans="1:6" x14ac:dyDescent="0.2">
      <c r="A2481" s="17" t="s">
        <v>10057</v>
      </c>
      <c r="B2481" s="18" t="s">
        <v>10058</v>
      </c>
      <c r="C2481" s="17" t="s">
        <v>26</v>
      </c>
      <c r="D2481" s="19">
        <v>5.86</v>
      </c>
      <c r="F2481" s="3" t="str">
        <f t="shared" si="38"/>
        <v>C0685</v>
      </c>
    </row>
    <row r="2482" spans="1:6" x14ac:dyDescent="0.2">
      <c r="A2482" s="17" t="s">
        <v>10059</v>
      </c>
      <c r="B2482" s="18" t="s">
        <v>10060</v>
      </c>
      <c r="C2482" s="17" t="s">
        <v>26</v>
      </c>
      <c r="D2482" s="19">
        <v>6.48</v>
      </c>
      <c r="F2482" s="3" t="str">
        <f t="shared" si="38"/>
        <v>C0688</v>
      </c>
    </row>
    <row r="2483" spans="1:6" x14ac:dyDescent="0.2">
      <c r="A2483" s="17" t="s">
        <v>10061</v>
      </c>
      <c r="B2483" s="18" t="s">
        <v>10062</v>
      </c>
      <c r="C2483" s="17" t="s">
        <v>26</v>
      </c>
      <c r="D2483" s="19">
        <v>9.4499999999999993</v>
      </c>
      <c r="F2483" s="3" t="str">
        <f t="shared" si="38"/>
        <v>C0684</v>
      </c>
    </row>
    <row r="2484" spans="1:6" x14ac:dyDescent="0.2">
      <c r="A2484" s="17" t="s">
        <v>10063</v>
      </c>
      <c r="B2484" s="18" t="s">
        <v>10064</v>
      </c>
      <c r="C2484" s="17" t="s">
        <v>26</v>
      </c>
      <c r="D2484" s="19">
        <v>18.18</v>
      </c>
      <c r="F2484" s="3" t="str">
        <f t="shared" si="38"/>
        <v>C0683</v>
      </c>
    </row>
    <row r="2485" spans="1:6" x14ac:dyDescent="0.2">
      <c r="A2485" s="17" t="s">
        <v>10065</v>
      </c>
      <c r="B2485" s="18" t="s">
        <v>10066</v>
      </c>
      <c r="C2485" s="17" t="s">
        <v>26</v>
      </c>
      <c r="D2485" s="19">
        <v>18.63</v>
      </c>
      <c r="F2485" s="3" t="str">
        <f t="shared" si="38"/>
        <v>C0682</v>
      </c>
    </row>
    <row r="2486" spans="1:6" x14ac:dyDescent="0.2">
      <c r="A2486" s="17" t="s">
        <v>10067</v>
      </c>
      <c r="B2486" s="18" t="s">
        <v>10068</v>
      </c>
      <c r="C2486" s="17" t="s">
        <v>26</v>
      </c>
      <c r="D2486" s="19">
        <v>32.909999999999997</v>
      </c>
      <c r="F2486" s="3" t="str">
        <f t="shared" si="38"/>
        <v>C0686</v>
      </c>
    </row>
    <row r="2487" spans="1:6" x14ac:dyDescent="0.2">
      <c r="A2487" s="17" t="s">
        <v>10069</v>
      </c>
      <c r="B2487" s="18" t="s">
        <v>10070</v>
      </c>
      <c r="C2487" s="17" t="s">
        <v>26</v>
      </c>
      <c r="D2487" s="19">
        <v>40.44</v>
      </c>
      <c r="F2487" s="3" t="str">
        <f t="shared" si="38"/>
        <v>C0687</v>
      </c>
    </row>
    <row r="2488" spans="1:6" x14ac:dyDescent="0.2">
      <c r="A2488" s="17" t="s">
        <v>10071</v>
      </c>
      <c r="B2488" s="18" t="s">
        <v>10072</v>
      </c>
      <c r="C2488" s="17" t="s">
        <v>26</v>
      </c>
      <c r="D2488" s="19">
        <v>61.96</v>
      </c>
      <c r="F2488" s="3" t="str">
        <f t="shared" si="38"/>
        <v>C0689</v>
      </c>
    </row>
    <row r="2489" spans="1:6" x14ac:dyDescent="0.2">
      <c r="A2489" s="17" t="s">
        <v>10073</v>
      </c>
      <c r="B2489" s="18" t="s">
        <v>10074</v>
      </c>
      <c r="C2489" s="17" t="s">
        <v>26</v>
      </c>
      <c r="D2489" s="19">
        <v>3.55</v>
      </c>
      <c r="F2489" s="3" t="str">
        <f t="shared" si="38"/>
        <v>C0690</v>
      </c>
    </row>
    <row r="2490" spans="1:6" x14ac:dyDescent="0.2">
      <c r="A2490" s="17" t="s">
        <v>10075</v>
      </c>
      <c r="B2490" s="18" t="s">
        <v>10076</v>
      </c>
      <c r="C2490" s="17" t="s">
        <v>26</v>
      </c>
      <c r="D2490" s="19">
        <v>3.68</v>
      </c>
      <c r="F2490" s="3" t="str">
        <f t="shared" si="38"/>
        <v>C0691</v>
      </c>
    </row>
    <row r="2491" spans="1:6" x14ac:dyDescent="0.2">
      <c r="A2491" s="17" t="s">
        <v>10077</v>
      </c>
      <c r="B2491" s="18" t="s">
        <v>10078</v>
      </c>
      <c r="C2491" s="17" t="s">
        <v>26</v>
      </c>
      <c r="D2491" s="19">
        <v>4.7</v>
      </c>
      <c r="F2491" s="3" t="str">
        <f t="shared" si="38"/>
        <v>C0692</v>
      </c>
    </row>
    <row r="2492" spans="1:6" x14ac:dyDescent="0.2">
      <c r="A2492" s="17" t="s">
        <v>10079</v>
      </c>
      <c r="B2492" s="18" t="s">
        <v>10080</v>
      </c>
      <c r="C2492" s="17" t="s">
        <v>26</v>
      </c>
      <c r="D2492" s="19">
        <v>8.01</v>
      </c>
      <c r="F2492" s="3" t="str">
        <f t="shared" si="38"/>
        <v>C0693</v>
      </c>
    </row>
    <row r="2493" spans="1:6" x14ac:dyDescent="0.2">
      <c r="A2493" s="17" t="s">
        <v>10081</v>
      </c>
      <c r="B2493" s="18" t="s">
        <v>10082</v>
      </c>
      <c r="C2493" s="17" t="s">
        <v>26</v>
      </c>
      <c r="D2493" s="19">
        <v>11.89</v>
      </c>
      <c r="F2493" s="3" t="str">
        <f t="shared" si="38"/>
        <v>C0694</v>
      </c>
    </row>
    <row r="2494" spans="1:6" x14ac:dyDescent="0.2">
      <c r="A2494" s="17" t="s">
        <v>10083</v>
      </c>
      <c r="B2494" s="18" t="s">
        <v>10084</v>
      </c>
      <c r="C2494" s="17" t="s">
        <v>26</v>
      </c>
      <c r="D2494" s="19">
        <v>17.579999999999998</v>
      </c>
      <c r="F2494" s="3" t="str">
        <f t="shared" si="38"/>
        <v>C0695</v>
      </c>
    </row>
    <row r="2495" spans="1:6" x14ac:dyDescent="0.2">
      <c r="A2495" s="17" t="s">
        <v>10085</v>
      </c>
      <c r="B2495" s="18" t="s">
        <v>10086</v>
      </c>
      <c r="C2495" s="17" t="s">
        <v>26</v>
      </c>
      <c r="D2495" s="19">
        <v>29.33</v>
      </c>
      <c r="F2495" s="3" t="str">
        <f t="shared" si="38"/>
        <v>C0696</v>
      </c>
    </row>
    <row r="2496" spans="1:6" x14ac:dyDescent="0.2">
      <c r="A2496" s="17" t="s">
        <v>10087</v>
      </c>
      <c r="B2496" s="18" t="s">
        <v>10088</v>
      </c>
      <c r="C2496" s="17" t="s">
        <v>26</v>
      </c>
      <c r="D2496" s="19">
        <v>59.15</v>
      </c>
      <c r="F2496" s="3" t="str">
        <f t="shared" si="38"/>
        <v>C0697</v>
      </c>
    </row>
    <row r="2497" spans="1:6" x14ac:dyDescent="0.2">
      <c r="A2497" s="17" t="s">
        <v>10089</v>
      </c>
      <c r="B2497" s="18" t="s">
        <v>10090</v>
      </c>
      <c r="C2497" s="17" t="s">
        <v>26</v>
      </c>
      <c r="D2497" s="19">
        <v>92.85</v>
      </c>
      <c r="F2497" s="3" t="str">
        <f t="shared" si="38"/>
        <v>C0698</v>
      </c>
    </row>
    <row r="2498" spans="1:6" x14ac:dyDescent="0.2">
      <c r="A2498" s="17" t="s">
        <v>10091</v>
      </c>
      <c r="B2498" s="18" t="s">
        <v>10092</v>
      </c>
      <c r="C2498" s="17" t="s">
        <v>26</v>
      </c>
      <c r="D2498" s="19">
        <v>8.75</v>
      </c>
      <c r="F2498" s="3" t="str">
        <f t="shared" ref="F2498:F2561" si="39">A2498</f>
        <v>C0952</v>
      </c>
    </row>
    <row r="2499" spans="1:6" x14ac:dyDescent="0.2">
      <c r="A2499" s="17" t="s">
        <v>10093</v>
      </c>
      <c r="B2499" s="18" t="s">
        <v>10094</v>
      </c>
      <c r="C2499" s="17" t="s">
        <v>26</v>
      </c>
      <c r="D2499" s="19">
        <v>8.98</v>
      </c>
      <c r="F2499" s="3" t="str">
        <f t="shared" si="39"/>
        <v>C0953</v>
      </c>
    </row>
    <row r="2500" spans="1:6" x14ac:dyDescent="0.2">
      <c r="A2500" s="17" t="s">
        <v>10095</v>
      </c>
      <c r="B2500" s="18" t="s">
        <v>10096</v>
      </c>
      <c r="C2500" s="17" t="s">
        <v>26</v>
      </c>
      <c r="D2500" s="19">
        <v>11</v>
      </c>
      <c r="F2500" s="3" t="str">
        <f t="shared" si="39"/>
        <v>C0954</v>
      </c>
    </row>
    <row r="2501" spans="1:6" x14ac:dyDescent="0.2">
      <c r="A2501" s="17" t="s">
        <v>10097</v>
      </c>
      <c r="B2501" s="18" t="s">
        <v>10098</v>
      </c>
      <c r="C2501" s="17" t="s">
        <v>26</v>
      </c>
      <c r="D2501" s="19">
        <v>19.25</v>
      </c>
      <c r="F2501" s="3" t="str">
        <f t="shared" si="39"/>
        <v>C0955</v>
      </c>
    </row>
    <row r="2502" spans="1:6" x14ac:dyDescent="0.2">
      <c r="A2502" s="17" t="s">
        <v>10099</v>
      </c>
      <c r="B2502" s="18" t="s">
        <v>10100</v>
      </c>
      <c r="C2502" s="17" t="s">
        <v>26</v>
      </c>
      <c r="D2502" s="19">
        <v>18.64</v>
      </c>
      <c r="F2502" s="3" t="str">
        <f t="shared" si="39"/>
        <v>C0956</v>
      </c>
    </row>
    <row r="2503" spans="1:6" x14ac:dyDescent="0.2">
      <c r="A2503" s="17" t="s">
        <v>10101</v>
      </c>
      <c r="B2503" s="18" t="s">
        <v>10102</v>
      </c>
      <c r="C2503" s="17" t="s">
        <v>26</v>
      </c>
      <c r="D2503" s="19">
        <v>45.19</v>
      </c>
      <c r="F2503" s="3" t="str">
        <f t="shared" si="39"/>
        <v>C0957</v>
      </c>
    </row>
    <row r="2504" spans="1:6" x14ac:dyDescent="0.2">
      <c r="A2504" s="17" t="s">
        <v>10103</v>
      </c>
      <c r="B2504" s="18" t="s">
        <v>10104</v>
      </c>
      <c r="C2504" s="17" t="s">
        <v>26</v>
      </c>
      <c r="D2504" s="19">
        <v>84.72</v>
      </c>
      <c r="F2504" s="3" t="str">
        <f t="shared" si="39"/>
        <v>C0958</v>
      </c>
    </row>
    <row r="2505" spans="1:6" x14ac:dyDescent="0.2">
      <c r="A2505" s="17" t="s">
        <v>10105</v>
      </c>
      <c r="B2505" s="18" t="s">
        <v>10106</v>
      </c>
      <c r="C2505" s="17" t="s">
        <v>26</v>
      </c>
      <c r="D2505" s="19">
        <v>130.09</v>
      </c>
      <c r="F2505" s="3" t="str">
        <f t="shared" si="39"/>
        <v>C0959</v>
      </c>
    </row>
    <row r="2506" spans="1:6" x14ac:dyDescent="0.2">
      <c r="A2506" s="17" t="s">
        <v>10107</v>
      </c>
      <c r="B2506" s="18" t="s">
        <v>10108</v>
      </c>
      <c r="C2506" s="17" t="s">
        <v>26</v>
      </c>
      <c r="D2506" s="19">
        <v>248.55</v>
      </c>
      <c r="F2506" s="3" t="str">
        <f t="shared" si="39"/>
        <v>C0951</v>
      </c>
    </row>
    <row r="2507" spans="1:6" x14ac:dyDescent="0.2">
      <c r="A2507" s="17" t="s">
        <v>10109</v>
      </c>
      <c r="B2507" s="18" t="s">
        <v>10110</v>
      </c>
      <c r="C2507" s="17" t="s">
        <v>26</v>
      </c>
      <c r="D2507" s="19">
        <v>21.59</v>
      </c>
      <c r="F2507" s="3" t="str">
        <f t="shared" si="39"/>
        <v>C0973</v>
      </c>
    </row>
    <row r="2508" spans="1:6" x14ac:dyDescent="0.2">
      <c r="A2508" s="17" t="s">
        <v>10111</v>
      </c>
      <c r="B2508" s="18" t="s">
        <v>10112</v>
      </c>
      <c r="C2508" s="17" t="s">
        <v>26</v>
      </c>
      <c r="D2508" s="19">
        <v>28.04</v>
      </c>
      <c r="F2508" s="3" t="str">
        <f t="shared" si="39"/>
        <v>C0975</v>
      </c>
    </row>
    <row r="2509" spans="1:6" x14ac:dyDescent="0.2">
      <c r="A2509" s="17" t="s">
        <v>10113</v>
      </c>
      <c r="B2509" s="18" t="s">
        <v>10114</v>
      </c>
      <c r="C2509" s="17" t="s">
        <v>26</v>
      </c>
      <c r="D2509" s="19">
        <v>26.49</v>
      </c>
      <c r="F2509" s="3" t="str">
        <f t="shared" si="39"/>
        <v>C0972</v>
      </c>
    </row>
    <row r="2510" spans="1:6" x14ac:dyDescent="0.2">
      <c r="A2510" s="17" t="s">
        <v>10115</v>
      </c>
      <c r="B2510" s="18" t="s">
        <v>10116</v>
      </c>
      <c r="C2510" s="17" t="s">
        <v>26</v>
      </c>
      <c r="D2510" s="19">
        <v>45.93</v>
      </c>
      <c r="F2510" s="3" t="str">
        <f t="shared" si="39"/>
        <v>C0971</v>
      </c>
    </row>
    <row r="2511" spans="1:6" x14ac:dyDescent="0.2">
      <c r="A2511" s="17" t="s">
        <v>10117</v>
      </c>
      <c r="B2511" s="18" t="s">
        <v>10118</v>
      </c>
      <c r="C2511" s="17" t="s">
        <v>26</v>
      </c>
      <c r="D2511" s="19">
        <v>55.56</v>
      </c>
      <c r="F2511" s="3" t="str">
        <f t="shared" si="39"/>
        <v>C0970</v>
      </c>
    </row>
    <row r="2512" spans="1:6" x14ac:dyDescent="0.2">
      <c r="A2512" s="17" t="s">
        <v>10119</v>
      </c>
      <c r="B2512" s="18" t="s">
        <v>10120</v>
      </c>
      <c r="C2512" s="17" t="s">
        <v>26</v>
      </c>
      <c r="D2512" s="19">
        <v>61.21</v>
      </c>
      <c r="F2512" s="3" t="str">
        <f t="shared" si="39"/>
        <v>C0974</v>
      </c>
    </row>
    <row r="2513" spans="1:6" x14ac:dyDescent="0.2">
      <c r="A2513" s="17" t="s">
        <v>10121</v>
      </c>
      <c r="B2513" s="18" t="s">
        <v>10122</v>
      </c>
      <c r="C2513" s="17" t="s">
        <v>26</v>
      </c>
      <c r="D2513" s="19">
        <v>18.32</v>
      </c>
      <c r="F2513" s="3" t="str">
        <f t="shared" si="39"/>
        <v>C0976</v>
      </c>
    </row>
    <row r="2514" spans="1:6" x14ac:dyDescent="0.2">
      <c r="A2514" s="17" t="s">
        <v>10123</v>
      </c>
      <c r="B2514" s="18" t="s">
        <v>10124</v>
      </c>
      <c r="C2514" s="17" t="s">
        <v>26</v>
      </c>
      <c r="D2514" s="19">
        <v>21.8</v>
      </c>
      <c r="F2514" s="3" t="str">
        <f t="shared" si="39"/>
        <v>C0977</v>
      </c>
    </row>
    <row r="2515" spans="1:6" x14ac:dyDescent="0.2">
      <c r="A2515" s="17" t="s">
        <v>10125</v>
      </c>
      <c r="B2515" s="18" t="s">
        <v>10126</v>
      </c>
      <c r="C2515" s="17" t="s">
        <v>26</v>
      </c>
      <c r="D2515" s="19">
        <v>23.09</v>
      </c>
      <c r="F2515" s="3" t="str">
        <f t="shared" si="39"/>
        <v>C0978</v>
      </c>
    </row>
    <row r="2516" spans="1:6" x14ac:dyDescent="0.2">
      <c r="A2516" s="17" t="s">
        <v>10127</v>
      </c>
      <c r="B2516" s="18" t="s">
        <v>10128</v>
      </c>
      <c r="C2516" s="17" t="s">
        <v>26</v>
      </c>
      <c r="D2516" s="19">
        <v>32.33</v>
      </c>
      <c r="F2516" s="3" t="str">
        <f t="shared" si="39"/>
        <v>C0980</v>
      </c>
    </row>
    <row r="2517" spans="1:6" x14ac:dyDescent="0.2">
      <c r="A2517" s="17" t="s">
        <v>10129</v>
      </c>
      <c r="B2517" s="18" t="s">
        <v>10130</v>
      </c>
      <c r="C2517" s="17" t="s">
        <v>26</v>
      </c>
      <c r="D2517" s="19">
        <v>47.07</v>
      </c>
      <c r="F2517" s="3" t="str">
        <f t="shared" si="39"/>
        <v>C0981</v>
      </c>
    </row>
    <row r="2518" spans="1:6" x14ac:dyDescent="0.2">
      <c r="A2518" s="17" t="s">
        <v>10131</v>
      </c>
      <c r="B2518" s="18" t="s">
        <v>10132</v>
      </c>
      <c r="C2518" s="17" t="s">
        <v>26</v>
      </c>
      <c r="D2518" s="19">
        <v>50.67</v>
      </c>
      <c r="F2518" s="3" t="str">
        <f t="shared" si="39"/>
        <v>C0982</v>
      </c>
    </row>
    <row r="2519" spans="1:6" x14ac:dyDescent="0.2">
      <c r="A2519" s="17" t="s">
        <v>10133</v>
      </c>
      <c r="B2519" s="18" t="s">
        <v>10134</v>
      </c>
      <c r="C2519" s="17" t="s">
        <v>26</v>
      </c>
      <c r="D2519" s="19">
        <v>74.83</v>
      </c>
      <c r="F2519" s="3" t="str">
        <f t="shared" si="39"/>
        <v>C0983</v>
      </c>
    </row>
    <row r="2520" spans="1:6" x14ac:dyDescent="0.2">
      <c r="A2520" s="17" t="s">
        <v>10135</v>
      </c>
      <c r="B2520" s="18" t="s">
        <v>10136</v>
      </c>
      <c r="C2520" s="17" t="s">
        <v>26</v>
      </c>
      <c r="D2520" s="19">
        <v>101.4</v>
      </c>
      <c r="F2520" s="3" t="str">
        <f t="shared" si="39"/>
        <v>C0984</v>
      </c>
    </row>
    <row r="2521" spans="1:6" x14ac:dyDescent="0.2">
      <c r="A2521" s="17" t="s">
        <v>10137</v>
      </c>
      <c r="B2521" s="18" t="s">
        <v>10138</v>
      </c>
      <c r="C2521" s="17" t="s">
        <v>26</v>
      </c>
      <c r="D2521" s="19">
        <v>191.01</v>
      </c>
      <c r="F2521" s="3" t="str">
        <f t="shared" si="39"/>
        <v>C0979</v>
      </c>
    </row>
    <row r="2522" spans="1:6" x14ac:dyDescent="0.2">
      <c r="A2522" s="17" t="s">
        <v>10139</v>
      </c>
      <c r="B2522" s="18" t="s">
        <v>10140</v>
      </c>
      <c r="C2522" s="17" t="s">
        <v>26</v>
      </c>
      <c r="D2522" s="19">
        <v>11.06</v>
      </c>
      <c r="F2522" s="3" t="str">
        <f t="shared" si="39"/>
        <v>C1525</v>
      </c>
    </row>
    <row r="2523" spans="1:6" x14ac:dyDescent="0.2">
      <c r="A2523" s="17" t="s">
        <v>10141</v>
      </c>
      <c r="B2523" s="18" t="s">
        <v>10142</v>
      </c>
      <c r="C2523" s="17" t="s">
        <v>26</v>
      </c>
      <c r="D2523" s="19">
        <v>11.71</v>
      </c>
      <c r="F2523" s="3" t="str">
        <f t="shared" si="39"/>
        <v>C1526</v>
      </c>
    </row>
    <row r="2524" spans="1:6" x14ac:dyDescent="0.2">
      <c r="A2524" s="17" t="s">
        <v>10143</v>
      </c>
      <c r="B2524" s="18" t="s">
        <v>10144</v>
      </c>
      <c r="C2524" s="17" t="s">
        <v>26</v>
      </c>
      <c r="D2524" s="19">
        <v>19.739999999999998</v>
      </c>
      <c r="F2524" s="3" t="str">
        <f t="shared" si="39"/>
        <v>C1527</v>
      </c>
    </row>
    <row r="2525" spans="1:6" x14ac:dyDescent="0.2">
      <c r="A2525" s="17" t="s">
        <v>10145</v>
      </c>
      <c r="B2525" s="18" t="s">
        <v>10146</v>
      </c>
      <c r="C2525" s="17" t="s">
        <v>26</v>
      </c>
      <c r="D2525" s="19">
        <v>39.46</v>
      </c>
      <c r="F2525" s="3" t="str">
        <f t="shared" si="39"/>
        <v>C1532</v>
      </c>
    </row>
    <row r="2526" spans="1:6" x14ac:dyDescent="0.2">
      <c r="A2526" s="17" t="s">
        <v>10147</v>
      </c>
      <c r="B2526" s="18" t="s">
        <v>10148</v>
      </c>
      <c r="C2526" s="17" t="s">
        <v>26</v>
      </c>
      <c r="D2526" s="19">
        <v>51.99</v>
      </c>
      <c r="F2526" s="3" t="str">
        <f t="shared" si="39"/>
        <v>C1528</v>
      </c>
    </row>
    <row r="2527" spans="1:6" x14ac:dyDescent="0.2">
      <c r="A2527" s="17" t="s">
        <v>10149</v>
      </c>
      <c r="B2527" s="18" t="s">
        <v>10150</v>
      </c>
      <c r="C2527" s="17" t="s">
        <v>26</v>
      </c>
      <c r="D2527" s="19">
        <v>54.05</v>
      </c>
      <c r="F2527" s="3" t="str">
        <f t="shared" si="39"/>
        <v>C1530</v>
      </c>
    </row>
    <row r="2528" spans="1:6" x14ac:dyDescent="0.2">
      <c r="A2528" s="17" t="s">
        <v>10151</v>
      </c>
      <c r="B2528" s="18" t="s">
        <v>10152</v>
      </c>
      <c r="C2528" s="17" t="s">
        <v>26</v>
      </c>
      <c r="D2528" s="19">
        <v>36.92</v>
      </c>
      <c r="F2528" s="3" t="str">
        <f t="shared" si="39"/>
        <v>C1533</v>
      </c>
    </row>
    <row r="2529" spans="1:6" x14ac:dyDescent="0.2">
      <c r="A2529" s="17" t="s">
        <v>10153</v>
      </c>
      <c r="B2529" s="18" t="s">
        <v>10154</v>
      </c>
      <c r="C2529" s="17" t="s">
        <v>26</v>
      </c>
      <c r="D2529" s="19">
        <v>49.91</v>
      </c>
      <c r="F2529" s="3" t="str">
        <f t="shared" si="39"/>
        <v>C1529</v>
      </c>
    </row>
    <row r="2530" spans="1:6" x14ac:dyDescent="0.2">
      <c r="A2530" s="17" t="s">
        <v>10155</v>
      </c>
      <c r="B2530" s="18" t="s">
        <v>10156</v>
      </c>
      <c r="C2530" s="17" t="s">
        <v>26</v>
      </c>
      <c r="D2530" s="19">
        <v>52.76</v>
      </c>
      <c r="F2530" s="3" t="str">
        <f t="shared" si="39"/>
        <v>C1531</v>
      </c>
    </row>
    <row r="2531" spans="1:6" x14ac:dyDescent="0.2">
      <c r="A2531" s="17" t="s">
        <v>10157</v>
      </c>
      <c r="B2531" s="18" t="s">
        <v>10158</v>
      </c>
      <c r="C2531" s="17" t="s">
        <v>26</v>
      </c>
      <c r="D2531" s="19">
        <v>11.52</v>
      </c>
      <c r="F2531" s="3" t="str">
        <f t="shared" si="39"/>
        <v>C1543</v>
      </c>
    </row>
    <row r="2532" spans="1:6" x14ac:dyDescent="0.2">
      <c r="A2532" s="17" t="s">
        <v>10159</v>
      </c>
      <c r="B2532" s="18" t="s">
        <v>10160</v>
      </c>
      <c r="C2532" s="17" t="s">
        <v>26</v>
      </c>
      <c r="D2532" s="19">
        <v>12.52</v>
      </c>
      <c r="F2532" s="3" t="str">
        <f t="shared" si="39"/>
        <v>C1547</v>
      </c>
    </row>
    <row r="2533" spans="1:6" x14ac:dyDescent="0.2">
      <c r="A2533" s="17" t="s">
        <v>10161</v>
      </c>
      <c r="B2533" s="18" t="s">
        <v>10162</v>
      </c>
      <c r="C2533" s="17" t="s">
        <v>26</v>
      </c>
      <c r="D2533" s="19">
        <v>15.67</v>
      </c>
      <c r="F2533" s="3" t="str">
        <f t="shared" si="39"/>
        <v>C1542</v>
      </c>
    </row>
    <row r="2534" spans="1:6" x14ac:dyDescent="0.2">
      <c r="A2534" s="17" t="s">
        <v>10163</v>
      </c>
      <c r="B2534" s="18" t="s">
        <v>10164</v>
      </c>
      <c r="C2534" s="17" t="s">
        <v>26</v>
      </c>
      <c r="D2534" s="19">
        <v>28.71</v>
      </c>
      <c r="F2534" s="3" t="str">
        <f t="shared" si="39"/>
        <v>C1541</v>
      </c>
    </row>
    <row r="2535" spans="1:6" x14ac:dyDescent="0.2">
      <c r="A2535" s="17" t="s">
        <v>10165</v>
      </c>
      <c r="B2535" s="18" t="s">
        <v>10166</v>
      </c>
      <c r="C2535" s="17" t="s">
        <v>26</v>
      </c>
      <c r="D2535" s="19">
        <v>29.87</v>
      </c>
      <c r="F2535" s="3" t="str">
        <f t="shared" si="39"/>
        <v>C1540</v>
      </c>
    </row>
    <row r="2536" spans="1:6" x14ac:dyDescent="0.2">
      <c r="A2536" s="17" t="s">
        <v>10167</v>
      </c>
      <c r="B2536" s="18" t="s">
        <v>10168</v>
      </c>
      <c r="C2536" s="17" t="s">
        <v>26</v>
      </c>
      <c r="D2536" s="19">
        <v>51.36</v>
      </c>
      <c r="F2536" s="3" t="str">
        <f t="shared" si="39"/>
        <v>C1545</v>
      </c>
    </row>
    <row r="2537" spans="1:6" x14ac:dyDescent="0.2">
      <c r="A2537" s="17" t="s">
        <v>10169</v>
      </c>
      <c r="B2537" s="18" t="s">
        <v>10170</v>
      </c>
      <c r="C2537" s="17" t="s">
        <v>26</v>
      </c>
      <c r="D2537" s="19">
        <v>74.38</v>
      </c>
      <c r="F2537" s="3" t="str">
        <f t="shared" si="39"/>
        <v>C1544</v>
      </c>
    </row>
    <row r="2538" spans="1:6" x14ac:dyDescent="0.2">
      <c r="A2538" s="17" t="s">
        <v>10171</v>
      </c>
      <c r="B2538" s="18" t="s">
        <v>10172</v>
      </c>
      <c r="C2538" s="17" t="s">
        <v>26</v>
      </c>
      <c r="D2538" s="19">
        <v>76.98</v>
      </c>
      <c r="F2538" s="3" t="str">
        <f t="shared" si="39"/>
        <v>C1546</v>
      </c>
    </row>
    <row r="2539" spans="1:6" x14ac:dyDescent="0.2">
      <c r="A2539" s="17" t="s">
        <v>10173</v>
      </c>
      <c r="B2539" s="18" t="s">
        <v>10174</v>
      </c>
      <c r="C2539" s="17" t="s">
        <v>26</v>
      </c>
      <c r="D2539" s="19">
        <v>161.5</v>
      </c>
      <c r="F2539" s="3" t="str">
        <f t="shared" si="39"/>
        <v>C1548</v>
      </c>
    </row>
    <row r="2540" spans="1:6" x14ac:dyDescent="0.2">
      <c r="A2540" s="17" t="s">
        <v>10175</v>
      </c>
      <c r="B2540" s="18" t="s">
        <v>10176</v>
      </c>
      <c r="C2540" s="17" t="s">
        <v>26</v>
      </c>
      <c r="D2540" s="19">
        <v>15.83</v>
      </c>
      <c r="F2540" s="3" t="str">
        <f t="shared" si="39"/>
        <v>C1551</v>
      </c>
    </row>
    <row r="2541" spans="1:6" x14ac:dyDescent="0.2">
      <c r="A2541" s="17" t="s">
        <v>10177</v>
      </c>
      <c r="B2541" s="18" t="s">
        <v>10178</v>
      </c>
      <c r="C2541" s="17" t="s">
        <v>26</v>
      </c>
      <c r="D2541" s="19">
        <v>17.47</v>
      </c>
      <c r="F2541" s="3" t="str">
        <f t="shared" si="39"/>
        <v>C1552</v>
      </c>
    </row>
    <row r="2542" spans="1:6" x14ac:dyDescent="0.2">
      <c r="A2542" s="17" t="s">
        <v>10179</v>
      </c>
      <c r="B2542" s="18" t="s">
        <v>10180</v>
      </c>
      <c r="C2542" s="17" t="s">
        <v>26</v>
      </c>
      <c r="D2542" s="19">
        <v>28.04</v>
      </c>
      <c r="F2542" s="3" t="str">
        <f t="shared" si="39"/>
        <v>C1554</v>
      </c>
    </row>
    <row r="2543" spans="1:6" x14ac:dyDescent="0.2">
      <c r="A2543" s="17" t="s">
        <v>10181</v>
      </c>
      <c r="B2543" s="18" t="s">
        <v>10182</v>
      </c>
      <c r="C2543" s="17" t="s">
        <v>26</v>
      </c>
      <c r="D2543" s="19">
        <v>36.03</v>
      </c>
      <c r="F2543" s="3" t="str">
        <f t="shared" si="39"/>
        <v>C1549</v>
      </c>
    </row>
    <row r="2544" spans="1:6" x14ac:dyDescent="0.2">
      <c r="A2544" s="17" t="s">
        <v>10183</v>
      </c>
      <c r="B2544" s="18" t="s">
        <v>10184</v>
      </c>
      <c r="C2544" s="17" t="s">
        <v>26</v>
      </c>
      <c r="D2544" s="19">
        <v>20.21</v>
      </c>
      <c r="F2544" s="3" t="str">
        <f t="shared" si="39"/>
        <v>C1553</v>
      </c>
    </row>
    <row r="2545" spans="1:6" x14ac:dyDescent="0.2">
      <c r="A2545" s="17" t="s">
        <v>10185</v>
      </c>
      <c r="B2545" s="18" t="s">
        <v>10186</v>
      </c>
      <c r="C2545" s="17" t="s">
        <v>26</v>
      </c>
      <c r="D2545" s="19">
        <v>29.2</v>
      </c>
      <c r="F2545" s="3" t="str">
        <f t="shared" si="39"/>
        <v>C1555</v>
      </c>
    </row>
    <row r="2546" spans="1:6" x14ac:dyDescent="0.2">
      <c r="A2546" s="17" t="s">
        <v>10187</v>
      </c>
      <c r="B2546" s="18" t="s">
        <v>10188</v>
      </c>
      <c r="C2546" s="17" t="s">
        <v>26</v>
      </c>
      <c r="D2546" s="19">
        <v>36.74</v>
      </c>
      <c r="F2546" s="3" t="str">
        <f t="shared" si="39"/>
        <v>C1550</v>
      </c>
    </row>
    <row r="2547" spans="1:6" x14ac:dyDescent="0.2">
      <c r="A2547" s="17" t="s">
        <v>10189</v>
      </c>
      <c r="B2547" s="18" t="s">
        <v>10190</v>
      </c>
      <c r="C2547" s="17" t="s">
        <v>26</v>
      </c>
      <c r="D2547" s="19">
        <v>147</v>
      </c>
      <c r="F2547" s="3" t="str">
        <f t="shared" si="39"/>
        <v>C1556</v>
      </c>
    </row>
    <row r="2548" spans="1:6" x14ac:dyDescent="0.2">
      <c r="A2548" s="17" t="s">
        <v>10191</v>
      </c>
      <c r="B2548" s="18" t="s">
        <v>10192</v>
      </c>
      <c r="C2548" s="17" t="s">
        <v>26</v>
      </c>
      <c r="D2548" s="19">
        <v>124.83</v>
      </c>
      <c r="F2548" s="3" t="str">
        <f t="shared" si="39"/>
        <v>C1557</v>
      </c>
    </row>
    <row r="2549" spans="1:6" x14ac:dyDescent="0.2">
      <c r="A2549" s="17" t="s">
        <v>10193</v>
      </c>
      <c r="B2549" s="18" t="s">
        <v>10194</v>
      </c>
      <c r="C2549" s="17" t="s">
        <v>26</v>
      </c>
      <c r="D2549" s="19">
        <v>15.17</v>
      </c>
      <c r="F2549" s="3" t="str">
        <f t="shared" si="39"/>
        <v>C1558</v>
      </c>
    </row>
    <row r="2550" spans="1:6" x14ac:dyDescent="0.2">
      <c r="A2550" s="17" t="s">
        <v>10195</v>
      </c>
      <c r="B2550" s="18" t="s">
        <v>10196</v>
      </c>
      <c r="C2550" s="17" t="s">
        <v>26</v>
      </c>
      <c r="D2550" s="19">
        <v>17.02</v>
      </c>
      <c r="F2550" s="3" t="str">
        <f t="shared" si="39"/>
        <v>C1559</v>
      </c>
    </row>
    <row r="2551" spans="1:6" x14ac:dyDescent="0.2">
      <c r="A2551" s="17" t="s">
        <v>10197</v>
      </c>
      <c r="B2551" s="18" t="s">
        <v>10198</v>
      </c>
      <c r="C2551" s="17" t="s">
        <v>26</v>
      </c>
      <c r="D2551" s="19">
        <v>13.15</v>
      </c>
      <c r="F2551" s="3" t="str">
        <f t="shared" si="39"/>
        <v>C1560</v>
      </c>
    </row>
    <row r="2552" spans="1:6" x14ac:dyDescent="0.2">
      <c r="A2552" s="17" t="s">
        <v>10199</v>
      </c>
      <c r="B2552" s="18" t="s">
        <v>10200</v>
      </c>
      <c r="C2552" s="17" t="s">
        <v>26</v>
      </c>
      <c r="D2552" s="19">
        <v>23.17</v>
      </c>
      <c r="F2552" s="3" t="str">
        <f t="shared" si="39"/>
        <v>C1561</v>
      </c>
    </row>
    <row r="2553" spans="1:6" x14ac:dyDescent="0.2">
      <c r="A2553" s="17" t="s">
        <v>10201</v>
      </c>
      <c r="B2553" s="18" t="s">
        <v>10202</v>
      </c>
      <c r="C2553" s="17" t="s">
        <v>26</v>
      </c>
      <c r="D2553" s="19">
        <v>13.29</v>
      </c>
      <c r="F2553" s="3" t="str">
        <f t="shared" si="39"/>
        <v>C1568</v>
      </c>
    </row>
    <row r="2554" spans="1:6" x14ac:dyDescent="0.2">
      <c r="A2554" s="17" t="s">
        <v>10203</v>
      </c>
      <c r="B2554" s="18" t="s">
        <v>10204</v>
      </c>
      <c r="C2554" s="17" t="s">
        <v>26</v>
      </c>
      <c r="D2554" s="19">
        <v>15.18</v>
      </c>
      <c r="F2554" s="3" t="str">
        <f t="shared" si="39"/>
        <v>C1567</v>
      </c>
    </row>
    <row r="2555" spans="1:6" x14ac:dyDescent="0.2">
      <c r="A2555" s="17" t="s">
        <v>10205</v>
      </c>
      <c r="B2555" s="18" t="s">
        <v>10206</v>
      </c>
      <c r="C2555" s="17" t="s">
        <v>26</v>
      </c>
      <c r="D2555" s="19">
        <v>14.03</v>
      </c>
      <c r="F2555" s="3" t="str">
        <f t="shared" si="39"/>
        <v>C1562</v>
      </c>
    </row>
    <row r="2556" spans="1:6" x14ac:dyDescent="0.2">
      <c r="A2556" s="17" t="s">
        <v>10207</v>
      </c>
      <c r="B2556" s="18" t="s">
        <v>10208</v>
      </c>
      <c r="C2556" s="17" t="s">
        <v>26</v>
      </c>
      <c r="D2556" s="19">
        <v>28.72</v>
      </c>
      <c r="F2556" s="3" t="str">
        <f t="shared" si="39"/>
        <v>C1563</v>
      </c>
    </row>
    <row r="2557" spans="1:6" x14ac:dyDescent="0.2">
      <c r="A2557" s="17" t="s">
        <v>10209</v>
      </c>
      <c r="B2557" s="18" t="s">
        <v>10210</v>
      </c>
      <c r="C2557" s="17" t="s">
        <v>26</v>
      </c>
      <c r="D2557" s="19">
        <v>11.34</v>
      </c>
      <c r="F2557" s="3" t="str">
        <f t="shared" si="39"/>
        <v>C1564</v>
      </c>
    </row>
    <row r="2558" spans="1:6" x14ac:dyDescent="0.2">
      <c r="A2558" s="17" t="s">
        <v>10211</v>
      </c>
      <c r="B2558" s="18" t="s">
        <v>10212</v>
      </c>
      <c r="C2558" s="17" t="s">
        <v>26</v>
      </c>
      <c r="D2558" s="19">
        <v>14.28</v>
      </c>
      <c r="F2558" s="3" t="str">
        <f t="shared" si="39"/>
        <v>C1565</v>
      </c>
    </row>
    <row r="2559" spans="1:6" x14ac:dyDescent="0.2">
      <c r="A2559" s="17" t="s">
        <v>10213</v>
      </c>
      <c r="B2559" s="18" t="s">
        <v>10214</v>
      </c>
      <c r="C2559" s="17" t="s">
        <v>26</v>
      </c>
      <c r="D2559" s="19">
        <v>17.53</v>
      </c>
      <c r="F2559" s="3" t="str">
        <f t="shared" si="39"/>
        <v>C1566</v>
      </c>
    </row>
    <row r="2560" spans="1:6" x14ac:dyDescent="0.2">
      <c r="A2560" s="17" t="s">
        <v>10215</v>
      </c>
      <c r="B2560" s="18" t="s">
        <v>10216</v>
      </c>
      <c r="C2560" s="17" t="s">
        <v>26</v>
      </c>
      <c r="D2560" s="19">
        <v>19.649999999999999</v>
      </c>
      <c r="F2560" s="3" t="str">
        <f t="shared" si="39"/>
        <v>C4388</v>
      </c>
    </row>
    <row r="2561" spans="1:6" x14ac:dyDescent="0.2">
      <c r="A2561" s="17" t="s">
        <v>10217</v>
      </c>
      <c r="B2561" s="18" t="s">
        <v>10218</v>
      </c>
      <c r="C2561" s="17" t="s">
        <v>26</v>
      </c>
      <c r="D2561" s="19">
        <v>21.56</v>
      </c>
      <c r="F2561" s="3" t="str">
        <f t="shared" si="39"/>
        <v>C4669</v>
      </c>
    </row>
    <row r="2562" spans="1:6" x14ac:dyDescent="0.2">
      <c r="A2562" s="17" t="s">
        <v>10219</v>
      </c>
      <c r="B2562" s="18" t="s">
        <v>10220</v>
      </c>
      <c r="C2562" s="17" t="s">
        <v>26</v>
      </c>
      <c r="D2562" s="19">
        <v>27.68</v>
      </c>
      <c r="F2562" s="3" t="str">
        <f t="shared" ref="F2562:F2625" si="40">A2562</f>
        <v>C4389</v>
      </c>
    </row>
    <row r="2563" spans="1:6" x14ac:dyDescent="0.2">
      <c r="A2563" s="17" t="s">
        <v>10221</v>
      </c>
      <c r="B2563" s="18" t="s">
        <v>10222</v>
      </c>
      <c r="C2563" s="17" t="s">
        <v>26</v>
      </c>
      <c r="D2563" s="19">
        <v>33.22</v>
      </c>
      <c r="F2563" s="3" t="str">
        <f t="shared" si="40"/>
        <v>C4390</v>
      </c>
    </row>
    <row r="2564" spans="1:6" x14ac:dyDescent="0.2">
      <c r="A2564" s="17" t="s">
        <v>10223</v>
      </c>
      <c r="B2564" s="18" t="s">
        <v>10224</v>
      </c>
      <c r="C2564" s="17" t="s">
        <v>26</v>
      </c>
      <c r="D2564" s="19">
        <v>8.5299999999999994</v>
      </c>
      <c r="F2564" s="3" t="str">
        <f t="shared" si="40"/>
        <v>C4391</v>
      </c>
    </row>
    <row r="2565" spans="1:6" x14ac:dyDescent="0.2">
      <c r="A2565" s="17" t="s">
        <v>10225</v>
      </c>
      <c r="B2565" s="18" t="s">
        <v>10226</v>
      </c>
      <c r="C2565" s="17" t="s">
        <v>26</v>
      </c>
      <c r="D2565" s="19">
        <v>12.88</v>
      </c>
      <c r="F2565" s="3" t="str">
        <f t="shared" si="40"/>
        <v>C4392</v>
      </c>
    </row>
    <row r="2566" spans="1:6" x14ac:dyDescent="0.2">
      <c r="A2566" s="17" t="s">
        <v>10227</v>
      </c>
      <c r="B2566" s="18" t="s">
        <v>10228</v>
      </c>
      <c r="C2566" s="17" t="s">
        <v>26</v>
      </c>
      <c r="D2566" s="19">
        <v>15.84</v>
      </c>
      <c r="F2566" s="3" t="str">
        <f t="shared" si="40"/>
        <v>C4393</v>
      </c>
    </row>
    <row r="2567" spans="1:6" x14ac:dyDescent="0.2">
      <c r="A2567" s="17" t="s">
        <v>10229</v>
      </c>
      <c r="B2567" s="18" t="s">
        <v>10230</v>
      </c>
      <c r="C2567" s="17" t="s">
        <v>26</v>
      </c>
      <c r="D2567" s="19">
        <v>31.56</v>
      </c>
      <c r="F2567" s="3" t="str">
        <f t="shared" si="40"/>
        <v>C3994</v>
      </c>
    </row>
    <row r="2568" spans="1:6" x14ac:dyDescent="0.2">
      <c r="A2568" s="17" t="s">
        <v>10231</v>
      </c>
      <c r="B2568" s="18" t="s">
        <v>10232</v>
      </c>
      <c r="C2568" s="17" t="s">
        <v>26</v>
      </c>
      <c r="D2568" s="19">
        <v>41.21</v>
      </c>
      <c r="F2568" s="3" t="str">
        <f t="shared" si="40"/>
        <v>C1575</v>
      </c>
    </row>
    <row r="2569" spans="1:6" x14ac:dyDescent="0.2">
      <c r="A2569" s="17" t="s">
        <v>10233</v>
      </c>
      <c r="B2569" s="18" t="s">
        <v>10234</v>
      </c>
      <c r="C2569" s="17" t="s">
        <v>26</v>
      </c>
      <c r="D2569" s="19">
        <v>48.31</v>
      </c>
      <c r="F2569" s="3" t="str">
        <f t="shared" si="40"/>
        <v>C1574</v>
      </c>
    </row>
    <row r="2570" spans="1:6" x14ac:dyDescent="0.2">
      <c r="A2570" s="17" t="s">
        <v>10235</v>
      </c>
      <c r="B2570" s="18" t="s">
        <v>10236</v>
      </c>
      <c r="C2570" s="17" t="s">
        <v>26</v>
      </c>
      <c r="D2570" s="19">
        <v>36.950000000000003</v>
      </c>
      <c r="F2570" s="3" t="str">
        <f t="shared" si="40"/>
        <v>C1579</v>
      </c>
    </row>
    <row r="2571" spans="1:6" x14ac:dyDescent="0.2">
      <c r="A2571" s="17" t="s">
        <v>10237</v>
      </c>
      <c r="B2571" s="18" t="s">
        <v>10238</v>
      </c>
      <c r="C2571" s="17" t="s">
        <v>26</v>
      </c>
      <c r="D2571" s="19">
        <v>38.72</v>
      </c>
      <c r="F2571" s="3" t="str">
        <f t="shared" si="40"/>
        <v>C1580</v>
      </c>
    </row>
    <row r="2572" spans="1:6" x14ac:dyDescent="0.2">
      <c r="A2572" s="17" t="s">
        <v>10239</v>
      </c>
      <c r="B2572" s="18" t="s">
        <v>10240</v>
      </c>
      <c r="C2572" s="17" t="s">
        <v>26</v>
      </c>
      <c r="D2572" s="19">
        <v>49.68</v>
      </c>
      <c r="F2572" s="3" t="str">
        <f t="shared" si="40"/>
        <v>C1576</v>
      </c>
    </row>
    <row r="2573" spans="1:6" x14ac:dyDescent="0.2">
      <c r="A2573" s="17" t="s">
        <v>10241</v>
      </c>
      <c r="B2573" s="18" t="s">
        <v>10242</v>
      </c>
      <c r="C2573" s="17" t="s">
        <v>26</v>
      </c>
      <c r="D2573" s="19">
        <v>56.21</v>
      </c>
      <c r="F2573" s="3" t="str">
        <f t="shared" si="40"/>
        <v>C1577</v>
      </c>
    </row>
    <row r="2574" spans="1:6" x14ac:dyDescent="0.2">
      <c r="A2574" s="17" t="s">
        <v>10243</v>
      </c>
      <c r="B2574" s="18" t="s">
        <v>10244</v>
      </c>
      <c r="C2574" s="17" t="s">
        <v>26</v>
      </c>
      <c r="D2574" s="19">
        <v>113.63</v>
      </c>
      <c r="F2574" s="3" t="str">
        <f t="shared" si="40"/>
        <v>C1578</v>
      </c>
    </row>
    <row r="2575" spans="1:6" x14ac:dyDescent="0.2">
      <c r="A2575" s="17" t="s">
        <v>10245</v>
      </c>
      <c r="B2575" s="18" t="s">
        <v>10246</v>
      </c>
      <c r="C2575" s="17" t="s">
        <v>26</v>
      </c>
      <c r="D2575" s="19">
        <v>48.64</v>
      </c>
      <c r="F2575" s="3" t="str">
        <f t="shared" si="40"/>
        <v>C1582</v>
      </c>
    </row>
    <row r="2576" spans="1:6" x14ac:dyDescent="0.2">
      <c r="A2576" s="17" t="s">
        <v>10247</v>
      </c>
      <c r="B2576" s="18" t="s">
        <v>10248</v>
      </c>
      <c r="C2576" s="17" t="s">
        <v>26</v>
      </c>
      <c r="D2576" s="19">
        <v>55.98</v>
      </c>
      <c r="F2576" s="3" t="str">
        <f t="shared" si="40"/>
        <v>C1583</v>
      </c>
    </row>
    <row r="2577" spans="1:6" x14ac:dyDescent="0.2">
      <c r="A2577" s="17" t="s">
        <v>10249</v>
      </c>
      <c r="B2577" s="18" t="s">
        <v>10250</v>
      </c>
      <c r="C2577" s="17" t="s">
        <v>26</v>
      </c>
      <c r="D2577" s="19">
        <v>105.06</v>
      </c>
      <c r="F2577" s="3" t="str">
        <f t="shared" si="40"/>
        <v>C1581</v>
      </c>
    </row>
    <row r="2578" spans="1:6" x14ac:dyDescent="0.2">
      <c r="A2578" s="17" t="s">
        <v>10251</v>
      </c>
      <c r="B2578" s="18" t="s">
        <v>10252</v>
      </c>
      <c r="C2578" s="17" t="s">
        <v>26</v>
      </c>
      <c r="D2578" s="19">
        <v>40.57</v>
      </c>
      <c r="F2578" s="3" t="str">
        <f t="shared" si="40"/>
        <v>C1585</v>
      </c>
    </row>
    <row r="2579" spans="1:6" x14ac:dyDescent="0.2">
      <c r="A2579" s="17" t="s">
        <v>10253</v>
      </c>
      <c r="B2579" s="18" t="s">
        <v>10254</v>
      </c>
      <c r="C2579" s="17" t="s">
        <v>26</v>
      </c>
      <c r="D2579" s="19">
        <v>48.4</v>
      </c>
      <c r="F2579" s="3" t="str">
        <f t="shared" si="40"/>
        <v>C1584</v>
      </c>
    </row>
    <row r="2580" spans="1:6" x14ac:dyDescent="0.2">
      <c r="A2580" s="17" t="s">
        <v>10255</v>
      </c>
      <c r="B2580" s="18" t="s">
        <v>10256</v>
      </c>
      <c r="C2580" s="17" t="s">
        <v>26</v>
      </c>
      <c r="D2580" s="19">
        <v>51.83</v>
      </c>
      <c r="F2580" s="3" t="str">
        <f t="shared" si="40"/>
        <v>C1572</v>
      </c>
    </row>
    <row r="2581" spans="1:6" x14ac:dyDescent="0.2">
      <c r="A2581" s="17" t="s">
        <v>10257</v>
      </c>
      <c r="B2581" s="18" t="s">
        <v>10258</v>
      </c>
      <c r="C2581" s="17" t="s">
        <v>26</v>
      </c>
      <c r="D2581" s="19">
        <v>79.959999999999994</v>
      </c>
      <c r="F2581" s="3" t="str">
        <f t="shared" si="40"/>
        <v>C1570</v>
      </c>
    </row>
    <row r="2582" spans="1:6" x14ac:dyDescent="0.2">
      <c r="A2582" s="17" t="s">
        <v>10259</v>
      </c>
      <c r="B2582" s="18" t="s">
        <v>10260</v>
      </c>
      <c r="C2582" s="17" t="s">
        <v>26</v>
      </c>
      <c r="D2582" s="19">
        <v>50.54</v>
      </c>
      <c r="F2582" s="3" t="str">
        <f t="shared" si="40"/>
        <v>C1573</v>
      </c>
    </row>
    <row r="2583" spans="1:6" x14ac:dyDescent="0.2">
      <c r="A2583" s="17" t="s">
        <v>10261</v>
      </c>
      <c r="B2583" s="18" t="s">
        <v>10262</v>
      </c>
      <c r="C2583" s="17" t="s">
        <v>26</v>
      </c>
      <c r="D2583" s="19">
        <v>80.150000000000006</v>
      </c>
      <c r="F2583" s="3" t="str">
        <f t="shared" si="40"/>
        <v>C1571</v>
      </c>
    </row>
    <row r="2584" spans="1:6" x14ac:dyDescent="0.2">
      <c r="A2584" s="17" t="s">
        <v>10263</v>
      </c>
      <c r="B2584" s="18" t="s">
        <v>10264</v>
      </c>
      <c r="C2584" s="17" t="s">
        <v>26</v>
      </c>
      <c r="D2584" s="19">
        <v>6.58</v>
      </c>
      <c r="F2584" s="3" t="str">
        <f t="shared" si="40"/>
        <v>C1720</v>
      </c>
    </row>
    <row r="2585" spans="1:6" x14ac:dyDescent="0.2">
      <c r="A2585" s="17" t="s">
        <v>10265</v>
      </c>
      <c r="B2585" s="18" t="s">
        <v>10266</v>
      </c>
      <c r="C2585" s="17" t="s">
        <v>26</v>
      </c>
      <c r="D2585" s="19">
        <v>7.61</v>
      </c>
      <c r="F2585" s="3" t="str">
        <f t="shared" si="40"/>
        <v>C1724</v>
      </c>
    </row>
    <row r="2586" spans="1:6" x14ac:dyDescent="0.2">
      <c r="A2586" s="17" t="s">
        <v>10267</v>
      </c>
      <c r="B2586" s="18" t="s">
        <v>10268</v>
      </c>
      <c r="C2586" s="17" t="s">
        <v>26</v>
      </c>
      <c r="D2586" s="19">
        <v>10.24</v>
      </c>
      <c r="F2586" s="3" t="str">
        <f t="shared" si="40"/>
        <v>C1719</v>
      </c>
    </row>
    <row r="2587" spans="1:6" x14ac:dyDescent="0.2">
      <c r="A2587" s="17" t="s">
        <v>10269</v>
      </c>
      <c r="B2587" s="18" t="s">
        <v>10270</v>
      </c>
      <c r="C2587" s="17" t="s">
        <v>26</v>
      </c>
      <c r="D2587" s="19">
        <v>14.57</v>
      </c>
      <c r="F2587" s="3" t="str">
        <f t="shared" si="40"/>
        <v>C1718</v>
      </c>
    </row>
    <row r="2588" spans="1:6" x14ac:dyDescent="0.2">
      <c r="A2588" s="17" t="s">
        <v>10271</v>
      </c>
      <c r="B2588" s="18" t="s">
        <v>10272</v>
      </c>
      <c r="C2588" s="17" t="s">
        <v>26</v>
      </c>
      <c r="D2588" s="19">
        <v>20.88</v>
      </c>
      <c r="F2588" s="3" t="str">
        <f t="shared" si="40"/>
        <v>C1717</v>
      </c>
    </row>
    <row r="2589" spans="1:6" x14ac:dyDescent="0.2">
      <c r="A2589" s="17" t="s">
        <v>10273</v>
      </c>
      <c r="B2589" s="18" t="s">
        <v>10274</v>
      </c>
      <c r="C2589" s="17" t="s">
        <v>26</v>
      </c>
      <c r="D2589" s="19">
        <v>23.1</v>
      </c>
      <c r="F2589" s="3" t="str">
        <f t="shared" si="40"/>
        <v>C1722</v>
      </c>
    </row>
    <row r="2590" spans="1:6" x14ac:dyDescent="0.2">
      <c r="A2590" s="17" t="s">
        <v>10275</v>
      </c>
      <c r="B2590" s="18" t="s">
        <v>10276</v>
      </c>
      <c r="C2590" s="17" t="s">
        <v>26</v>
      </c>
      <c r="D2590" s="19">
        <v>34.04</v>
      </c>
      <c r="F2590" s="3" t="str">
        <f t="shared" si="40"/>
        <v>C1721</v>
      </c>
    </row>
    <row r="2591" spans="1:6" x14ac:dyDescent="0.2">
      <c r="A2591" s="17" t="s">
        <v>10277</v>
      </c>
      <c r="B2591" s="18" t="s">
        <v>10278</v>
      </c>
      <c r="C2591" s="17" t="s">
        <v>26</v>
      </c>
      <c r="D2591" s="19">
        <v>44.59</v>
      </c>
      <c r="F2591" s="3" t="str">
        <f t="shared" si="40"/>
        <v>C1723</v>
      </c>
    </row>
    <row r="2592" spans="1:6" x14ac:dyDescent="0.2">
      <c r="A2592" s="17" t="s">
        <v>10279</v>
      </c>
      <c r="B2592" s="18" t="s">
        <v>10280</v>
      </c>
      <c r="C2592" s="17" t="s">
        <v>26</v>
      </c>
      <c r="D2592" s="19">
        <v>61.53</v>
      </c>
      <c r="F2592" s="3" t="str">
        <f t="shared" si="40"/>
        <v>C1725</v>
      </c>
    </row>
    <row r="2593" spans="1:6" x14ac:dyDescent="0.2">
      <c r="A2593" s="17" t="s">
        <v>10281</v>
      </c>
      <c r="B2593" s="18" t="s">
        <v>10282</v>
      </c>
      <c r="C2593" s="17" t="s">
        <v>26</v>
      </c>
      <c r="D2593" s="19">
        <v>9.86</v>
      </c>
      <c r="F2593" s="3" t="str">
        <f t="shared" si="40"/>
        <v>C1726</v>
      </c>
    </row>
    <row r="2594" spans="1:6" x14ac:dyDescent="0.2">
      <c r="A2594" s="17" t="s">
        <v>10283</v>
      </c>
      <c r="B2594" s="18" t="s">
        <v>10284</v>
      </c>
      <c r="C2594" s="17" t="s">
        <v>26</v>
      </c>
      <c r="D2594" s="19">
        <v>11.56</v>
      </c>
      <c r="F2594" s="3" t="str">
        <f t="shared" si="40"/>
        <v>C1727</v>
      </c>
    </row>
    <row r="2595" spans="1:6" x14ac:dyDescent="0.2">
      <c r="A2595" s="17" t="s">
        <v>10285</v>
      </c>
      <c r="B2595" s="18" t="s">
        <v>10286</v>
      </c>
      <c r="C2595" s="17" t="s">
        <v>26</v>
      </c>
      <c r="D2595" s="19">
        <v>5.23</v>
      </c>
      <c r="F2595" s="3" t="str">
        <f t="shared" si="40"/>
        <v>C1728</v>
      </c>
    </row>
    <row r="2596" spans="1:6" x14ac:dyDescent="0.2">
      <c r="A2596" s="17" t="s">
        <v>10287</v>
      </c>
      <c r="B2596" s="18" t="s">
        <v>10288</v>
      </c>
      <c r="C2596" s="17" t="s">
        <v>26</v>
      </c>
      <c r="D2596" s="19">
        <v>5.54</v>
      </c>
      <c r="F2596" s="3" t="str">
        <f t="shared" si="40"/>
        <v>C1729</v>
      </c>
    </row>
    <row r="2597" spans="1:6" x14ac:dyDescent="0.2">
      <c r="A2597" s="17" t="s">
        <v>10289</v>
      </c>
      <c r="B2597" s="18" t="s">
        <v>10290</v>
      </c>
      <c r="C2597" s="17" t="s">
        <v>26</v>
      </c>
      <c r="D2597" s="19">
        <v>7.13</v>
      </c>
      <c r="F2597" s="3" t="str">
        <f t="shared" si="40"/>
        <v>C1730</v>
      </c>
    </row>
    <row r="2598" spans="1:6" x14ac:dyDescent="0.2">
      <c r="A2598" s="17" t="s">
        <v>10291</v>
      </c>
      <c r="B2598" s="18" t="s">
        <v>10292</v>
      </c>
      <c r="C2598" s="17" t="s">
        <v>26</v>
      </c>
      <c r="D2598" s="19">
        <v>12.1</v>
      </c>
      <c r="F2598" s="3" t="str">
        <f t="shared" si="40"/>
        <v>C1731</v>
      </c>
    </row>
    <row r="2599" spans="1:6" x14ac:dyDescent="0.2">
      <c r="A2599" s="17" t="s">
        <v>10293</v>
      </c>
      <c r="B2599" s="18" t="s">
        <v>10294</v>
      </c>
      <c r="C2599" s="17" t="s">
        <v>26</v>
      </c>
      <c r="D2599" s="19">
        <v>13.02</v>
      </c>
      <c r="F2599" s="3" t="str">
        <f t="shared" si="40"/>
        <v>C1732</v>
      </c>
    </row>
    <row r="2600" spans="1:6" x14ac:dyDescent="0.2">
      <c r="A2600" s="17" t="s">
        <v>10295</v>
      </c>
      <c r="B2600" s="18" t="s">
        <v>10296</v>
      </c>
      <c r="C2600" s="17" t="s">
        <v>26</v>
      </c>
      <c r="D2600" s="19">
        <v>23.66</v>
      </c>
      <c r="F2600" s="3" t="str">
        <f t="shared" si="40"/>
        <v>C1733</v>
      </c>
    </row>
    <row r="2601" spans="1:6" x14ac:dyDescent="0.2">
      <c r="A2601" s="17" t="s">
        <v>10297</v>
      </c>
      <c r="B2601" s="18" t="s">
        <v>10298</v>
      </c>
      <c r="C2601" s="17" t="s">
        <v>26</v>
      </c>
      <c r="D2601" s="19">
        <v>34.549999999999997</v>
      </c>
      <c r="F2601" s="3" t="str">
        <f t="shared" si="40"/>
        <v>C1734</v>
      </c>
    </row>
    <row r="2602" spans="1:6" x14ac:dyDescent="0.2">
      <c r="A2602" s="17" t="s">
        <v>10299</v>
      </c>
      <c r="B2602" s="18" t="s">
        <v>10300</v>
      </c>
      <c r="C2602" s="17" t="s">
        <v>26</v>
      </c>
      <c r="D2602" s="19">
        <v>62.01</v>
      </c>
      <c r="F2602" s="3" t="str">
        <f t="shared" si="40"/>
        <v>C1735</v>
      </c>
    </row>
    <row r="2603" spans="1:6" x14ac:dyDescent="0.2">
      <c r="A2603" s="17" t="s">
        <v>10301</v>
      </c>
      <c r="B2603" s="18" t="s">
        <v>10302</v>
      </c>
      <c r="C2603" s="17" t="s">
        <v>26</v>
      </c>
      <c r="D2603" s="19">
        <v>62.87</v>
      </c>
      <c r="F2603" s="3" t="str">
        <f t="shared" si="40"/>
        <v>C1736</v>
      </c>
    </row>
    <row r="2604" spans="1:6" x14ac:dyDescent="0.2">
      <c r="A2604" s="17" t="s">
        <v>10303</v>
      </c>
      <c r="B2604" s="18" t="s">
        <v>10304</v>
      </c>
      <c r="C2604" s="17" t="s">
        <v>26</v>
      </c>
      <c r="D2604" s="19">
        <v>8.23</v>
      </c>
      <c r="F2604" s="3" t="str">
        <f t="shared" si="40"/>
        <v>C1737</v>
      </c>
    </row>
    <row r="2605" spans="1:6" x14ac:dyDescent="0.2">
      <c r="A2605" s="17" t="s">
        <v>10305</v>
      </c>
      <c r="B2605" s="18" t="s">
        <v>10306</v>
      </c>
      <c r="C2605" s="17" t="s">
        <v>26</v>
      </c>
      <c r="D2605" s="19">
        <v>8.91</v>
      </c>
      <c r="F2605" s="3" t="str">
        <f t="shared" si="40"/>
        <v>C1738</v>
      </c>
    </row>
    <row r="2606" spans="1:6" x14ac:dyDescent="0.2">
      <c r="A2606" s="17" t="s">
        <v>10307</v>
      </c>
      <c r="B2606" s="18" t="s">
        <v>10308</v>
      </c>
      <c r="C2606" s="17" t="s">
        <v>26</v>
      </c>
      <c r="D2606" s="19">
        <v>8.59</v>
      </c>
      <c r="F2606" s="3" t="str">
        <f t="shared" si="40"/>
        <v>C1739</v>
      </c>
    </row>
    <row r="2607" spans="1:6" x14ac:dyDescent="0.2">
      <c r="A2607" s="17" t="s">
        <v>10309</v>
      </c>
      <c r="B2607" s="18" t="s">
        <v>10310</v>
      </c>
      <c r="C2607" s="17" t="s">
        <v>26</v>
      </c>
      <c r="D2607" s="19">
        <v>12.04</v>
      </c>
      <c r="F2607" s="3" t="str">
        <f t="shared" si="40"/>
        <v>C1740</v>
      </c>
    </row>
    <row r="2608" spans="1:6" x14ac:dyDescent="0.2">
      <c r="A2608" s="17" t="s">
        <v>10311</v>
      </c>
      <c r="B2608" s="18" t="s">
        <v>10312</v>
      </c>
      <c r="C2608" s="17" t="s">
        <v>26</v>
      </c>
      <c r="D2608" s="19">
        <v>22.91</v>
      </c>
      <c r="F2608" s="3" t="str">
        <f t="shared" si="40"/>
        <v>C1741</v>
      </c>
    </row>
    <row r="2609" spans="1:6" x14ac:dyDescent="0.2">
      <c r="A2609" s="17" t="s">
        <v>10313</v>
      </c>
      <c r="B2609" s="18" t="s">
        <v>10314</v>
      </c>
      <c r="C2609" s="17" t="s">
        <v>26</v>
      </c>
      <c r="D2609" s="19">
        <v>32.049999999999997</v>
      </c>
      <c r="F2609" s="3" t="str">
        <f t="shared" si="40"/>
        <v>C1742</v>
      </c>
    </row>
    <row r="2610" spans="1:6" x14ac:dyDescent="0.2">
      <c r="A2610" s="17" t="s">
        <v>10315</v>
      </c>
      <c r="B2610" s="18" t="s">
        <v>10316</v>
      </c>
      <c r="C2610" s="17" t="s">
        <v>26</v>
      </c>
      <c r="D2610" s="19">
        <v>9.11</v>
      </c>
      <c r="F2610" s="3" t="str">
        <f t="shared" si="40"/>
        <v>C1752</v>
      </c>
    </row>
    <row r="2611" spans="1:6" x14ac:dyDescent="0.2">
      <c r="A2611" s="17" t="s">
        <v>10317</v>
      </c>
      <c r="B2611" s="18" t="s">
        <v>10318</v>
      </c>
      <c r="C2611" s="17" t="s">
        <v>26</v>
      </c>
      <c r="D2611" s="19">
        <v>10.87</v>
      </c>
      <c r="F2611" s="3" t="str">
        <f t="shared" si="40"/>
        <v>C1751</v>
      </c>
    </row>
    <row r="2612" spans="1:6" x14ac:dyDescent="0.2">
      <c r="A2612" s="17" t="s">
        <v>10319</v>
      </c>
      <c r="B2612" s="18" t="s">
        <v>10320</v>
      </c>
      <c r="C2612" s="17" t="s">
        <v>26</v>
      </c>
      <c r="D2612" s="19">
        <v>10.89</v>
      </c>
      <c r="F2612" s="3" t="str">
        <f t="shared" si="40"/>
        <v>C1753</v>
      </c>
    </row>
    <row r="2613" spans="1:6" x14ac:dyDescent="0.2">
      <c r="A2613" s="17" t="s">
        <v>10321</v>
      </c>
      <c r="B2613" s="18" t="s">
        <v>10322</v>
      </c>
      <c r="C2613" s="17" t="s">
        <v>26</v>
      </c>
      <c r="D2613" s="19">
        <v>6.04</v>
      </c>
      <c r="F2613" s="3" t="str">
        <f t="shared" si="40"/>
        <v>C1743</v>
      </c>
    </row>
    <row r="2614" spans="1:6" x14ac:dyDescent="0.2">
      <c r="A2614" s="17" t="s">
        <v>10323</v>
      </c>
      <c r="B2614" s="18" t="s">
        <v>10324</v>
      </c>
      <c r="C2614" s="17" t="s">
        <v>26</v>
      </c>
      <c r="D2614" s="19">
        <v>8.18</v>
      </c>
      <c r="F2614" s="3" t="str">
        <f t="shared" si="40"/>
        <v>C1744</v>
      </c>
    </row>
    <row r="2615" spans="1:6" x14ac:dyDescent="0.2">
      <c r="A2615" s="17" t="s">
        <v>10325</v>
      </c>
      <c r="B2615" s="18" t="s">
        <v>10326</v>
      </c>
      <c r="C2615" s="17" t="s">
        <v>26</v>
      </c>
      <c r="D2615" s="19">
        <v>17.899999999999999</v>
      </c>
      <c r="F2615" s="3" t="str">
        <f t="shared" si="40"/>
        <v>C1745</v>
      </c>
    </row>
    <row r="2616" spans="1:6" x14ac:dyDescent="0.2">
      <c r="A2616" s="17" t="s">
        <v>10327</v>
      </c>
      <c r="B2616" s="18" t="s">
        <v>10328</v>
      </c>
      <c r="C2616" s="17" t="s">
        <v>26</v>
      </c>
      <c r="D2616" s="19">
        <v>27.49</v>
      </c>
      <c r="F2616" s="3" t="str">
        <f t="shared" si="40"/>
        <v>C1748</v>
      </c>
    </row>
    <row r="2617" spans="1:6" x14ac:dyDescent="0.2">
      <c r="A2617" s="17" t="s">
        <v>10329</v>
      </c>
      <c r="B2617" s="18" t="s">
        <v>10330</v>
      </c>
      <c r="C2617" s="17" t="s">
        <v>26</v>
      </c>
      <c r="D2617" s="19">
        <v>36.24</v>
      </c>
      <c r="F2617" s="3" t="str">
        <f t="shared" si="40"/>
        <v>C1749</v>
      </c>
    </row>
    <row r="2618" spans="1:6" x14ac:dyDescent="0.2">
      <c r="A2618" s="17" t="s">
        <v>10331</v>
      </c>
      <c r="B2618" s="18" t="s">
        <v>10332</v>
      </c>
      <c r="C2618" s="17" t="s">
        <v>26</v>
      </c>
      <c r="D2618" s="19">
        <v>44.28</v>
      </c>
      <c r="F2618" s="3" t="str">
        <f t="shared" si="40"/>
        <v>C1750</v>
      </c>
    </row>
    <row r="2619" spans="1:6" x14ac:dyDescent="0.2">
      <c r="A2619" s="17" t="s">
        <v>10333</v>
      </c>
      <c r="B2619" s="18" t="s">
        <v>10334</v>
      </c>
      <c r="C2619" s="17" t="s">
        <v>26</v>
      </c>
      <c r="D2619" s="19">
        <v>68.73</v>
      </c>
      <c r="F2619" s="3" t="str">
        <f t="shared" si="40"/>
        <v>C1746</v>
      </c>
    </row>
    <row r="2620" spans="1:6" x14ac:dyDescent="0.2">
      <c r="A2620" s="17" t="s">
        <v>10335</v>
      </c>
      <c r="B2620" s="18" t="s">
        <v>10336</v>
      </c>
      <c r="C2620" s="17" t="s">
        <v>26</v>
      </c>
      <c r="D2620" s="19">
        <v>64.180000000000007</v>
      </c>
      <c r="F2620" s="3" t="str">
        <f t="shared" si="40"/>
        <v>C1747</v>
      </c>
    </row>
    <row r="2621" spans="1:6" x14ac:dyDescent="0.2">
      <c r="A2621" s="17" t="s">
        <v>10337</v>
      </c>
      <c r="B2621" s="18" t="s">
        <v>10338</v>
      </c>
      <c r="C2621" s="17" t="s">
        <v>26</v>
      </c>
      <c r="D2621" s="19">
        <v>9.2100000000000009</v>
      </c>
      <c r="F2621" s="3" t="str">
        <f t="shared" si="40"/>
        <v>C1760</v>
      </c>
    </row>
    <row r="2622" spans="1:6" x14ac:dyDescent="0.2">
      <c r="A2622" s="17" t="s">
        <v>10339</v>
      </c>
      <c r="B2622" s="18" t="s">
        <v>10340</v>
      </c>
      <c r="C2622" s="17" t="s">
        <v>26</v>
      </c>
      <c r="D2622" s="19">
        <v>11.76</v>
      </c>
      <c r="F2622" s="3" t="str">
        <f t="shared" si="40"/>
        <v>C1761</v>
      </c>
    </row>
    <row r="2623" spans="1:6" x14ac:dyDescent="0.2">
      <c r="A2623" s="17" t="s">
        <v>10341</v>
      </c>
      <c r="B2623" s="18" t="s">
        <v>10342</v>
      </c>
      <c r="C2623" s="17" t="s">
        <v>26</v>
      </c>
      <c r="D2623" s="19">
        <v>20.11</v>
      </c>
      <c r="F2623" s="3" t="str">
        <f t="shared" si="40"/>
        <v>C1762</v>
      </c>
    </row>
    <row r="2624" spans="1:6" x14ac:dyDescent="0.2">
      <c r="A2624" s="17" t="s">
        <v>10343</v>
      </c>
      <c r="B2624" s="18" t="s">
        <v>10344</v>
      </c>
      <c r="C2624" s="17" t="s">
        <v>26</v>
      </c>
      <c r="D2624" s="19">
        <v>24.8</v>
      </c>
      <c r="F2624" s="3" t="str">
        <f t="shared" si="40"/>
        <v>C1758</v>
      </c>
    </row>
    <row r="2625" spans="1:6" x14ac:dyDescent="0.2">
      <c r="A2625" s="17" t="s">
        <v>10345</v>
      </c>
      <c r="B2625" s="18" t="s">
        <v>10346</v>
      </c>
      <c r="C2625" s="17" t="s">
        <v>26</v>
      </c>
      <c r="D2625" s="19">
        <v>62.23</v>
      </c>
      <c r="F2625" s="3" t="str">
        <f t="shared" si="40"/>
        <v>C1759</v>
      </c>
    </row>
    <row r="2626" spans="1:6" x14ac:dyDescent="0.2">
      <c r="A2626" s="17" t="s">
        <v>10347</v>
      </c>
      <c r="B2626" s="18" t="s">
        <v>10348</v>
      </c>
      <c r="C2626" s="17" t="s">
        <v>26</v>
      </c>
      <c r="D2626" s="19">
        <v>14.01</v>
      </c>
      <c r="F2626" s="3" t="str">
        <f t="shared" ref="F2626:F2689" si="41">A2626</f>
        <v>C1756</v>
      </c>
    </row>
    <row r="2627" spans="1:6" x14ac:dyDescent="0.2">
      <c r="A2627" s="17" t="s">
        <v>10349</v>
      </c>
      <c r="B2627" s="18" t="s">
        <v>10350</v>
      </c>
      <c r="C2627" s="17" t="s">
        <v>26</v>
      </c>
      <c r="D2627" s="19">
        <v>20.75</v>
      </c>
      <c r="F2627" s="3" t="str">
        <f t="shared" si="41"/>
        <v>C1757</v>
      </c>
    </row>
    <row r="2628" spans="1:6" x14ac:dyDescent="0.2">
      <c r="A2628" s="17" t="s">
        <v>10351</v>
      </c>
      <c r="B2628" s="18" t="s">
        <v>10352</v>
      </c>
      <c r="C2628" s="17" t="s">
        <v>26</v>
      </c>
      <c r="D2628" s="19">
        <v>24.71</v>
      </c>
      <c r="F2628" s="3" t="str">
        <f t="shared" si="41"/>
        <v>C1754</v>
      </c>
    </row>
    <row r="2629" spans="1:6" x14ac:dyDescent="0.2">
      <c r="A2629" s="17" t="s">
        <v>10353</v>
      </c>
      <c r="B2629" s="18" t="s">
        <v>10354</v>
      </c>
      <c r="C2629" s="17" t="s">
        <v>26</v>
      </c>
      <c r="D2629" s="19">
        <v>70.84</v>
      </c>
      <c r="F2629" s="3" t="str">
        <f t="shared" si="41"/>
        <v>C1755</v>
      </c>
    </row>
    <row r="2630" spans="1:6" x14ac:dyDescent="0.2">
      <c r="A2630" s="17" t="s">
        <v>10355</v>
      </c>
      <c r="B2630" s="18" t="s">
        <v>10356</v>
      </c>
      <c r="C2630" s="17" t="s">
        <v>26</v>
      </c>
      <c r="D2630" s="19">
        <v>9.2100000000000009</v>
      </c>
      <c r="F2630" s="3" t="str">
        <f t="shared" si="41"/>
        <v>C1697</v>
      </c>
    </row>
    <row r="2631" spans="1:6" x14ac:dyDescent="0.2">
      <c r="A2631" s="17" t="s">
        <v>10357</v>
      </c>
      <c r="B2631" s="18" t="s">
        <v>10358</v>
      </c>
      <c r="C2631" s="17" t="s">
        <v>26</v>
      </c>
      <c r="D2631" s="19">
        <v>22.44</v>
      </c>
      <c r="F2631" s="3" t="str">
        <f t="shared" si="41"/>
        <v>C1699</v>
      </c>
    </row>
    <row r="2632" spans="1:6" x14ac:dyDescent="0.2">
      <c r="A2632" s="17" t="s">
        <v>10359</v>
      </c>
      <c r="B2632" s="18" t="s">
        <v>10360</v>
      </c>
      <c r="C2632" s="17" t="s">
        <v>26</v>
      </c>
      <c r="D2632" s="19">
        <v>26.89</v>
      </c>
      <c r="F2632" s="3" t="str">
        <f t="shared" si="41"/>
        <v>C1700</v>
      </c>
    </row>
    <row r="2633" spans="1:6" x14ac:dyDescent="0.2">
      <c r="A2633" s="17" t="s">
        <v>10361</v>
      </c>
      <c r="B2633" s="18" t="s">
        <v>10362</v>
      </c>
      <c r="C2633" s="17" t="s">
        <v>26</v>
      </c>
      <c r="D2633" s="19">
        <v>37.33</v>
      </c>
      <c r="F2633" s="3" t="str">
        <f t="shared" si="41"/>
        <v>C1698</v>
      </c>
    </row>
    <row r="2634" spans="1:6" x14ac:dyDescent="0.2">
      <c r="A2634" s="17" t="s">
        <v>10363</v>
      </c>
      <c r="B2634" s="18" t="s">
        <v>10364</v>
      </c>
      <c r="C2634" s="17" t="s">
        <v>26</v>
      </c>
      <c r="D2634" s="19">
        <v>20.190000000000001</v>
      </c>
      <c r="F2634" s="3" t="str">
        <f t="shared" si="41"/>
        <v>C1702</v>
      </c>
    </row>
    <row r="2635" spans="1:6" x14ac:dyDescent="0.2">
      <c r="A2635" s="17" t="s">
        <v>10365</v>
      </c>
      <c r="B2635" s="18" t="s">
        <v>10366</v>
      </c>
      <c r="C2635" s="17" t="s">
        <v>26</v>
      </c>
      <c r="D2635" s="19">
        <v>26.25</v>
      </c>
      <c r="F2635" s="3" t="str">
        <f t="shared" si="41"/>
        <v>C1703</v>
      </c>
    </row>
    <row r="2636" spans="1:6" x14ac:dyDescent="0.2">
      <c r="A2636" s="17" t="s">
        <v>10367</v>
      </c>
      <c r="B2636" s="18" t="s">
        <v>10368</v>
      </c>
      <c r="C2636" s="17" t="s">
        <v>26</v>
      </c>
      <c r="D2636" s="19">
        <v>37.42</v>
      </c>
      <c r="F2636" s="3" t="str">
        <f t="shared" si="41"/>
        <v>C1701</v>
      </c>
    </row>
    <row r="2637" spans="1:6" x14ac:dyDescent="0.2">
      <c r="A2637" s="17" t="s">
        <v>10369</v>
      </c>
      <c r="B2637" s="18" t="s">
        <v>10370</v>
      </c>
      <c r="C2637" s="17" t="s">
        <v>26</v>
      </c>
      <c r="D2637" s="19">
        <v>7.03</v>
      </c>
      <c r="F2637" s="3" t="str">
        <f t="shared" si="41"/>
        <v>C3582</v>
      </c>
    </row>
    <row r="2638" spans="1:6" x14ac:dyDescent="0.2">
      <c r="A2638" s="17">
        <v>0</v>
      </c>
      <c r="B2638" s="18"/>
      <c r="C2638" s="17">
        <v>0</v>
      </c>
      <c r="D2638" s="19">
        <v>0</v>
      </c>
      <c r="F2638" s="3">
        <f t="shared" si="41"/>
        <v>0</v>
      </c>
    </row>
    <row r="2639" spans="1:6" x14ac:dyDescent="0.2">
      <c r="A2639" s="17" t="s">
        <v>10371</v>
      </c>
      <c r="B2639" s="18" t="s">
        <v>10372</v>
      </c>
      <c r="C2639" s="17" t="s">
        <v>26</v>
      </c>
      <c r="D2639" s="19">
        <v>18.989999999999998</v>
      </c>
      <c r="F2639" s="3" t="str">
        <f t="shared" si="41"/>
        <v>C3556</v>
      </c>
    </row>
    <row r="2640" spans="1:6" x14ac:dyDescent="0.2">
      <c r="A2640" s="17">
        <v>0</v>
      </c>
      <c r="B2640" s="18"/>
      <c r="C2640" s="17">
        <v>0</v>
      </c>
      <c r="D2640" s="19">
        <v>0</v>
      </c>
      <c r="F2640" s="3">
        <f t="shared" si="41"/>
        <v>0</v>
      </c>
    </row>
    <row r="2641" spans="1:6" x14ac:dyDescent="0.2">
      <c r="A2641" s="17" t="s">
        <v>10373</v>
      </c>
      <c r="B2641" s="18" t="s">
        <v>10374</v>
      </c>
      <c r="C2641" s="17" t="s">
        <v>26</v>
      </c>
      <c r="D2641" s="19">
        <v>50.01</v>
      </c>
      <c r="F2641" s="3" t="str">
        <f t="shared" si="41"/>
        <v>C3585</v>
      </c>
    </row>
    <row r="2642" spans="1:6" x14ac:dyDescent="0.2">
      <c r="A2642" s="17" t="s">
        <v>10375</v>
      </c>
      <c r="B2642" s="18" t="s">
        <v>10376</v>
      </c>
      <c r="C2642" s="17" t="s">
        <v>26</v>
      </c>
      <c r="D2642" s="19">
        <v>10.48</v>
      </c>
      <c r="F2642" s="3" t="str">
        <f t="shared" si="41"/>
        <v>C3588</v>
      </c>
    </row>
    <row r="2643" spans="1:6" x14ac:dyDescent="0.2">
      <c r="A2643" s="17" t="s">
        <v>10377</v>
      </c>
      <c r="B2643" s="18" t="s">
        <v>10378</v>
      </c>
      <c r="C2643" s="17" t="s">
        <v>26</v>
      </c>
      <c r="D2643" s="19">
        <v>12.12</v>
      </c>
      <c r="F2643" s="3" t="str">
        <f t="shared" si="41"/>
        <v>C3589</v>
      </c>
    </row>
    <row r="2644" spans="1:6" x14ac:dyDescent="0.2">
      <c r="A2644" s="17" t="s">
        <v>10379</v>
      </c>
      <c r="B2644" s="18" t="s">
        <v>10380</v>
      </c>
      <c r="C2644" s="17" t="s">
        <v>26</v>
      </c>
      <c r="D2644" s="19">
        <v>27.44</v>
      </c>
      <c r="F2644" s="3" t="str">
        <f t="shared" si="41"/>
        <v>C3587</v>
      </c>
    </row>
    <row r="2645" spans="1:6" x14ac:dyDescent="0.2">
      <c r="A2645" s="17" t="s">
        <v>10381</v>
      </c>
      <c r="B2645" s="18" t="s">
        <v>10382</v>
      </c>
      <c r="C2645" s="17" t="s">
        <v>26</v>
      </c>
      <c r="D2645" s="19">
        <v>13.58</v>
      </c>
      <c r="F2645" s="3" t="str">
        <f t="shared" si="41"/>
        <v>C3559</v>
      </c>
    </row>
    <row r="2646" spans="1:6" x14ac:dyDescent="0.2">
      <c r="A2646" s="17" t="s">
        <v>10383</v>
      </c>
      <c r="B2646" s="18" t="s">
        <v>10384</v>
      </c>
      <c r="C2646" s="17" t="s">
        <v>26</v>
      </c>
      <c r="D2646" s="19">
        <v>9.33</v>
      </c>
      <c r="F2646" s="3" t="str">
        <f t="shared" si="41"/>
        <v>C3557</v>
      </c>
    </row>
    <row r="2647" spans="1:6" x14ac:dyDescent="0.2">
      <c r="A2647" s="17" t="s">
        <v>10385</v>
      </c>
      <c r="B2647" s="18" t="s">
        <v>10386</v>
      </c>
      <c r="C2647" s="17" t="s">
        <v>26</v>
      </c>
      <c r="D2647" s="19">
        <v>10.59</v>
      </c>
      <c r="F2647" s="3" t="str">
        <f t="shared" si="41"/>
        <v>C3558</v>
      </c>
    </row>
    <row r="2648" spans="1:6" x14ac:dyDescent="0.2">
      <c r="A2648" s="17" t="s">
        <v>10387</v>
      </c>
      <c r="B2648" s="18" t="s">
        <v>10388</v>
      </c>
      <c r="C2648" s="17" t="s">
        <v>26</v>
      </c>
      <c r="D2648" s="19">
        <v>9.84</v>
      </c>
      <c r="F2648" s="3" t="str">
        <f t="shared" si="41"/>
        <v>C3560</v>
      </c>
    </row>
    <row r="2649" spans="1:6" x14ac:dyDescent="0.2">
      <c r="A2649" s="17" t="s">
        <v>10389</v>
      </c>
      <c r="B2649" s="18" t="s">
        <v>10390</v>
      </c>
      <c r="C2649" s="17" t="s">
        <v>26</v>
      </c>
      <c r="D2649" s="19">
        <v>6.56</v>
      </c>
      <c r="F2649" s="3" t="str">
        <f t="shared" si="41"/>
        <v>C3561</v>
      </c>
    </row>
    <row r="2650" spans="1:6" x14ac:dyDescent="0.2">
      <c r="A2650" s="17" t="s">
        <v>10391</v>
      </c>
      <c r="B2650" s="18" t="s">
        <v>10392</v>
      </c>
      <c r="C2650" s="17" t="s">
        <v>0</v>
      </c>
      <c r="D2650" s="19">
        <v>7.23</v>
      </c>
      <c r="F2650" s="3" t="str">
        <f t="shared" si="41"/>
        <v>C3562</v>
      </c>
    </row>
    <row r="2651" spans="1:6" x14ac:dyDescent="0.2">
      <c r="A2651" s="17" t="s">
        <v>10393</v>
      </c>
      <c r="B2651" s="18" t="s">
        <v>10394</v>
      </c>
      <c r="C2651" s="17" t="s">
        <v>0</v>
      </c>
      <c r="D2651" s="19">
        <v>13.39</v>
      </c>
      <c r="F2651" s="3" t="str">
        <f t="shared" si="41"/>
        <v>C3591</v>
      </c>
    </row>
    <row r="2652" spans="1:6" x14ac:dyDescent="0.2">
      <c r="A2652" s="17" t="s">
        <v>10395</v>
      </c>
      <c r="B2652" s="18" t="s">
        <v>10396</v>
      </c>
      <c r="C2652" s="17" t="s">
        <v>0</v>
      </c>
      <c r="D2652" s="19">
        <v>19.05</v>
      </c>
      <c r="F2652" s="3" t="str">
        <f t="shared" si="41"/>
        <v>C3592</v>
      </c>
    </row>
    <row r="2653" spans="1:6" x14ac:dyDescent="0.2">
      <c r="A2653" s="17" t="s">
        <v>10397</v>
      </c>
      <c r="B2653" s="18" t="s">
        <v>10398</v>
      </c>
      <c r="C2653" s="17" t="s">
        <v>0</v>
      </c>
      <c r="D2653" s="19">
        <v>32.21</v>
      </c>
      <c r="F2653" s="3" t="str">
        <f t="shared" si="41"/>
        <v>C3590</v>
      </c>
    </row>
    <row r="2654" spans="1:6" x14ac:dyDescent="0.2">
      <c r="A2654" s="17" t="s">
        <v>10399</v>
      </c>
      <c r="B2654" s="18" t="s">
        <v>10400</v>
      </c>
      <c r="C2654" s="17" t="s">
        <v>26</v>
      </c>
      <c r="D2654" s="19">
        <v>16.850000000000001</v>
      </c>
      <c r="F2654" s="3" t="str">
        <f t="shared" si="41"/>
        <v>C1827</v>
      </c>
    </row>
    <row r="2655" spans="1:6" x14ac:dyDescent="0.2">
      <c r="A2655" s="17" t="s">
        <v>10401</v>
      </c>
      <c r="B2655" s="18" t="s">
        <v>10402</v>
      </c>
      <c r="C2655" s="17" t="s">
        <v>26</v>
      </c>
      <c r="D2655" s="19">
        <v>28.68</v>
      </c>
      <c r="F2655" s="3" t="str">
        <f t="shared" si="41"/>
        <v>C1828</v>
      </c>
    </row>
    <row r="2656" spans="1:6" x14ac:dyDescent="0.2">
      <c r="A2656" s="17" t="s">
        <v>10403</v>
      </c>
      <c r="B2656" s="18" t="s">
        <v>10404</v>
      </c>
      <c r="C2656" s="17" t="s">
        <v>26</v>
      </c>
      <c r="D2656" s="19">
        <v>56</v>
      </c>
      <c r="F2656" s="3" t="str">
        <f t="shared" si="41"/>
        <v>C2093</v>
      </c>
    </row>
    <row r="2657" spans="1:6" x14ac:dyDescent="0.2">
      <c r="A2657" s="17" t="s">
        <v>10405</v>
      </c>
      <c r="B2657" s="18" t="s">
        <v>10406</v>
      </c>
      <c r="C2657" s="17" t="s">
        <v>26</v>
      </c>
      <c r="D2657" s="19">
        <v>17.07</v>
      </c>
      <c r="F2657" s="3" t="str">
        <f t="shared" si="41"/>
        <v>C2145</v>
      </c>
    </row>
    <row r="2658" spans="1:6" x14ac:dyDescent="0.2">
      <c r="A2658" s="17" t="s">
        <v>10407</v>
      </c>
      <c r="B2658" s="18" t="s">
        <v>10408</v>
      </c>
      <c r="C2658" s="17" t="s">
        <v>26</v>
      </c>
      <c r="D2658" s="19">
        <v>24.86</v>
      </c>
      <c r="F2658" s="3" t="str">
        <f t="shared" si="41"/>
        <v>C2143</v>
      </c>
    </row>
    <row r="2659" spans="1:6" x14ac:dyDescent="0.2">
      <c r="A2659" s="17" t="s">
        <v>10409</v>
      </c>
      <c r="B2659" s="18" t="s">
        <v>10410</v>
      </c>
      <c r="C2659" s="17" t="s">
        <v>26</v>
      </c>
      <c r="D2659" s="19">
        <v>78.319999999999993</v>
      </c>
      <c r="F2659" s="3" t="str">
        <f t="shared" si="41"/>
        <v>C2144</v>
      </c>
    </row>
    <row r="2660" spans="1:6" x14ac:dyDescent="0.2">
      <c r="A2660" s="17">
        <v>0</v>
      </c>
      <c r="B2660" s="18"/>
      <c r="C2660" s="17">
        <v>0</v>
      </c>
      <c r="D2660" s="19">
        <v>0</v>
      </c>
      <c r="F2660" s="3">
        <f t="shared" si="41"/>
        <v>0</v>
      </c>
    </row>
    <row r="2661" spans="1:6" x14ac:dyDescent="0.2">
      <c r="A2661" s="17" t="s">
        <v>10411</v>
      </c>
      <c r="B2661" s="18" t="s">
        <v>10412</v>
      </c>
      <c r="C2661" s="17" t="s">
        <v>26</v>
      </c>
      <c r="D2661" s="19">
        <v>36.89</v>
      </c>
      <c r="F2661" s="3" t="str">
        <f t="shared" si="41"/>
        <v>C2153</v>
      </c>
    </row>
    <row r="2662" spans="1:6" x14ac:dyDescent="0.2">
      <c r="A2662" s="17" t="s">
        <v>10413</v>
      </c>
      <c r="B2662" s="18" t="s">
        <v>10414</v>
      </c>
      <c r="C2662" s="17" t="s">
        <v>26</v>
      </c>
      <c r="D2662" s="19">
        <v>27.4</v>
      </c>
      <c r="F2662" s="3" t="str">
        <f t="shared" si="41"/>
        <v>C2151</v>
      </c>
    </row>
    <row r="2663" spans="1:6" x14ac:dyDescent="0.2">
      <c r="A2663" s="17" t="s">
        <v>10415</v>
      </c>
      <c r="B2663" s="18" t="s">
        <v>10416</v>
      </c>
      <c r="C2663" s="17" t="s">
        <v>26</v>
      </c>
      <c r="D2663" s="19">
        <v>24.06</v>
      </c>
      <c r="F2663" s="3" t="str">
        <f t="shared" si="41"/>
        <v>C2146</v>
      </c>
    </row>
    <row r="2664" spans="1:6" x14ac:dyDescent="0.2">
      <c r="A2664" s="17" t="s">
        <v>10417</v>
      </c>
      <c r="B2664" s="18" t="s">
        <v>10418</v>
      </c>
      <c r="C2664" s="17" t="s">
        <v>26</v>
      </c>
      <c r="D2664" s="19">
        <v>76.75</v>
      </c>
      <c r="F2664" s="3" t="str">
        <f t="shared" si="41"/>
        <v>C2149</v>
      </c>
    </row>
    <row r="2665" spans="1:6" x14ac:dyDescent="0.2">
      <c r="A2665" s="17" t="s">
        <v>10419</v>
      </c>
      <c r="B2665" s="18" t="s">
        <v>10420</v>
      </c>
      <c r="C2665" s="17" t="s">
        <v>26</v>
      </c>
      <c r="D2665" s="19">
        <v>36.299999999999997</v>
      </c>
      <c r="F2665" s="3" t="str">
        <f t="shared" si="41"/>
        <v>C2152</v>
      </c>
    </row>
    <row r="2666" spans="1:6" x14ac:dyDescent="0.2">
      <c r="A2666" s="17" t="s">
        <v>10421</v>
      </c>
      <c r="B2666" s="18" t="s">
        <v>10422</v>
      </c>
      <c r="C2666" s="17" t="s">
        <v>26</v>
      </c>
      <c r="D2666" s="19">
        <v>39.700000000000003</v>
      </c>
      <c r="F2666" s="3" t="str">
        <f t="shared" si="41"/>
        <v>C2147</v>
      </c>
    </row>
    <row r="2667" spans="1:6" x14ac:dyDescent="0.2">
      <c r="A2667" s="17" t="s">
        <v>10423</v>
      </c>
      <c r="B2667" s="18" t="s">
        <v>10424</v>
      </c>
      <c r="C2667" s="17" t="s">
        <v>26</v>
      </c>
      <c r="D2667" s="19">
        <v>53.82</v>
      </c>
      <c r="F2667" s="3" t="str">
        <f t="shared" si="41"/>
        <v>C2148</v>
      </c>
    </row>
    <row r="2668" spans="1:6" x14ac:dyDescent="0.2">
      <c r="A2668" s="17" t="s">
        <v>10425</v>
      </c>
      <c r="B2668" s="18" t="s">
        <v>10426</v>
      </c>
      <c r="C2668" s="17" t="s">
        <v>26</v>
      </c>
      <c r="D2668" s="19">
        <v>82.7</v>
      </c>
      <c r="F2668" s="3" t="str">
        <f t="shared" si="41"/>
        <v>C2150</v>
      </c>
    </row>
    <row r="2669" spans="1:6" x14ac:dyDescent="0.2">
      <c r="A2669" s="17" t="s">
        <v>10427</v>
      </c>
      <c r="B2669" s="18" t="s">
        <v>10428</v>
      </c>
      <c r="C2669" s="17" t="s">
        <v>26</v>
      </c>
      <c r="D2669" s="19">
        <v>235.7</v>
      </c>
      <c r="F2669" s="3" t="str">
        <f t="shared" si="41"/>
        <v>C2320</v>
      </c>
    </row>
    <row r="2670" spans="1:6" x14ac:dyDescent="0.2">
      <c r="A2670" s="17" t="s">
        <v>10429</v>
      </c>
      <c r="B2670" s="18" t="s">
        <v>10430</v>
      </c>
      <c r="C2670" s="17" t="s">
        <v>26</v>
      </c>
      <c r="D2670" s="19">
        <v>53.52</v>
      </c>
      <c r="F2670" s="3" t="str">
        <f t="shared" si="41"/>
        <v>C2345</v>
      </c>
    </row>
    <row r="2671" spans="1:6" x14ac:dyDescent="0.2">
      <c r="A2671" s="17" t="s">
        <v>10431</v>
      </c>
      <c r="B2671" s="18" t="s">
        <v>10432</v>
      </c>
      <c r="C2671" s="17" t="s">
        <v>26</v>
      </c>
      <c r="D2671" s="19">
        <v>63.13</v>
      </c>
      <c r="F2671" s="3" t="str">
        <f t="shared" si="41"/>
        <v>C2343</v>
      </c>
    </row>
    <row r="2672" spans="1:6" x14ac:dyDescent="0.2">
      <c r="A2672" s="17" t="s">
        <v>10433</v>
      </c>
      <c r="B2672" s="18" t="s">
        <v>10434</v>
      </c>
      <c r="C2672" s="17" t="s">
        <v>26</v>
      </c>
      <c r="D2672" s="19">
        <v>54.16</v>
      </c>
      <c r="F2672" s="3" t="str">
        <f t="shared" si="41"/>
        <v>C2346</v>
      </c>
    </row>
    <row r="2673" spans="1:6" x14ac:dyDescent="0.2">
      <c r="A2673" s="17" t="s">
        <v>10435</v>
      </c>
      <c r="B2673" s="18" t="s">
        <v>10436</v>
      </c>
      <c r="C2673" s="17" t="s">
        <v>26</v>
      </c>
      <c r="D2673" s="19">
        <v>63.04</v>
      </c>
      <c r="F2673" s="3" t="str">
        <f t="shared" si="41"/>
        <v>C2344</v>
      </c>
    </row>
    <row r="2674" spans="1:6" x14ac:dyDescent="0.2">
      <c r="A2674" s="17" t="s">
        <v>10437</v>
      </c>
      <c r="B2674" s="18" t="s">
        <v>10438</v>
      </c>
      <c r="C2674" s="17" t="s">
        <v>26</v>
      </c>
      <c r="D2674" s="19">
        <v>35.380000000000003</v>
      </c>
      <c r="F2674" s="3" t="str">
        <f t="shared" si="41"/>
        <v>C2350</v>
      </c>
    </row>
    <row r="2675" spans="1:6" x14ac:dyDescent="0.2">
      <c r="A2675" s="17" t="s">
        <v>10439</v>
      </c>
      <c r="B2675" s="18" t="s">
        <v>10440</v>
      </c>
      <c r="C2675" s="17" t="s">
        <v>26</v>
      </c>
      <c r="D2675" s="19">
        <v>46.83</v>
      </c>
      <c r="F2675" s="3" t="str">
        <f t="shared" si="41"/>
        <v>C2347</v>
      </c>
    </row>
    <row r="2676" spans="1:6" x14ac:dyDescent="0.2">
      <c r="A2676" s="17" t="s">
        <v>10441</v>
      </c>
      <c r="B2676" s="18" t="s">
        <v>10442</v>
      </c>
      <c r="C2676" s="17" t="s">
        <v>26</v>
      </c>
      <c r="D2676" s="19">
        <v>51.03</v>
      </c>
      <c r="F2676" s="3" t="str">
        <f t="shared" si="41"/>
        <v>C2348</v>
      </c>
    </row>
    <row r="2677" spans="1:6" x14ac:dyDescent="0.2">
      <c r="A2677" s="17" t="s">
        <v>10443</v>
      </c>
      <c r="B2677" s="18" t="s">
        <v>10444</v>
      </c>
      <c r="C2677" s="17" t="s">
        <v>26</v>
      </c>
      <c r="D2677" s="19">
        <v>135.69</v>
      </c>
      <c r="F2677" s="3" t="str">
        <f t="shared" si="41"/>
        <v>C2349</v>
      </c>
    </row>
    <row r="2678" spans="1:6" x14ac:dyDescent="0.2">
      <c r="A2678" s="17" t="s">
        <v>10445</v>
      </c>
      <c r="B2678" s="18" t="s">
        <v>10446</v>
      </c>
      <c r="C2678" s="17" t="s">
        <v>26</v>
      </c>
      <c r="D2678" s="19">
        <v>27.88</v>
      </c>
      <c r="F2678" s="3" t="str">
        <f t="shared" si="41"/>
        <v>C2360</v>
      </c>
    </row>
    <row r="2679" spans="1:6" x14ac:dyDescent="0.2">
      <c r="A2679" s="17" t="s">
        <v>10447</v>
      </c>
      <c r="B2679" s="18" t="s">
        <v>10448</v>
      </c>
      <c r="C2679" s="17" t="s">
        <v>26</v>
      </c>
      <c r="D2679" s="19">
        <v>43.12</v>
      </c>
      <c r="F2679" s="3" t="str">
        <f t="shared" si="41"/>
        <v>C2362</v>
      </c>
    </row>
    <row r="2680" spans="1:6" x14ac:dyDescent="0.2">
      <c r="A2680" s="17" t="s">
        <v>10449</v>
      </c>
      <c r="B2680" s="18" t="s">
        <v>10450</v>
      </c>
      <c r="C2680" s="17" t="s">
        <v>26</v>
      </c>
      <c r="D2680" s="19">
        <v>49.7</v>
      </c>
      <c r="F2680" s="3" t="str">
        <f t="shared" si="41"/>
        <v>C2355</v>
      </c>
    </row>
    <row r="2681" spans="1:6" x14ac:dyDescent="0.2">
      <c r="A2681" s="17" t="s">
        <v>10451</v>
      </c>
      <c r="B2681" s="18" t="s">
        <v>10452</v>
      </c>
      <c r="C2681" s="17" t="s">
        <v>26</v>
      </c>
      <c r="D2681" s="19">
        <v>89.26</v>
      </c>
      <c r="F2681" s="3" t="str">
        <f t="shared" si="41"/>
        <v>C2351</v>
      </c>
    </row>
    <row r="2682" spans="1:6" x14ac:dyDescent="0.2">
      <c r="A2682" s="17" t="s">
        <v>10453</v>
      </c>
      <c r="B2682" s="18" t="s">
        <v>10454</v>
      </c>
      <c r="C2682" s="17" t="s">
        <v>26</v>
      </c>
      <c r="D2682" s="19">
        <v>18.600000000000001</v>
      </c>
      <c r="F2682" s="3" t="str">
        <f t="shared" si="41"/>
        <v>C2358</v>
      </c>
    </row>
    <row r="2683" spans="1:6" x14ac:dyDescent="0.2">
      <c r="A2683" s="17" t="s">
        <v>10455</v>
      </c>
      <c r="B2683" s="18" t="s">
        <v>10456</v>
      </c>
      <c r="C2683" s="17" t="s">
        <v>26</v>
      </c>
      <c r="D2683" s="19">
        <v>23.76</v>
      </c>
      <c r="F2683" s="3" t="str">
        <f t="shared" si="41"/>
        <v>C2359</v>
      </c>
    </row>
    <row r="2684" spans="1:6" x14ac:dyDescent="0.2">
      <c r="A2684" s="17" t="s">
        <v>10457</v>
      </c>
      <c r="B2684" s="18" t="s">
        <v>10458</v>
      </c>
      <c r="C2684" s="17" t="s">
        <v>26</v>
      </c>
      <c r="D2684" s="19">
        <v>41.38</v>
      </c>
      <c r="F2684" s="3" t="str">
        <f t="shared" si="41"/>
        <v>C2363</v>
      </c>
    </row>
    <row r="2685" spans="1:6" x14ac:dyDescent="0.2">
      <c r="A2685" s="17" t="s">
        <v>10459</v>
      </c>
      <c r="B2685" s="18" t="s">
        <v>10460</v>
      </c>
      <c r="C2685" s="17" t="s">
        <v>26</v>
      </c>
      <c r="D2685" s="19">
        <v>48.64</v>
      </c>
      <c r="F2685" s="3" t="str">
        <f t="shared" si="41"/>
        <v>C2356</v>
      </c>
    </row>
    <row r="2686" spans="1:6" x14ac:dyDescent="0.2">
      <c r="A2686" s="17" t="s">
        <v>10461</v>
      </c>
      <c r="B2686" s="18" t="s">
        <v>10462</v>
      </c>
      <c r="C2686" s="17" t="s">
        <v>26</v>
      </c>
      <c r="D2686" s="19">
        <v>76.34</v>
      </c>
      <c r="F2686" s="3" t="str">
        <f t="shared" si="41"/>
        <v>C2352</v>
      </c>
    </row>
    <row r="2687" spans="1:6" x14ac:dyDescent="0.2">
      <c r="A2687" s="17" t="s">
        <v>10463</v>
      </c>
      <c r="B2687" s="18" t="s">
        <v>10464</v>
      </c>
      <c r="C2687" s="17" t="s">
        <v>26</v>
      </c>
      <c r="D2687" s="19">
        <v>37.15</v>
      </c>
      <c r="F2687" s="3" t="str">
        <f t="shared" si="41"/>
        <v>C2361</v>
      </c>
    </row>
    <row r="2688" spans="1:6" x14ac:dyDescent="0.2">
      <c r="A2688" s="17" t="s">
        <v>10465</v>
      </c>
      <c r="B2688" s="18" t="s">
        <v>10466</v>
      </c>
      <c r="C2688" s="17" t="s">
        <v>26</v>
      </c>
      <c r="D2688" s="19">
        <v>47.87</v>
      </c>
      <c r="F2688" s="3" t="str">
        <f t="shared" si="41"/>
        <v>C2353</v>
      </c>
    </row>
    <row r="2689" spans="1:6" x14ac:dyDescent="0.2">
      <c r="A2689" s="17" t="s">
        <v>10467</v>
      </c>
      <c r="B2689" s="18" t="s">
        <v>10468</v>
      </c>
      <c r="C2689" s="17" t="s">
        <v>26</v>
      </c>
      <c r="D2689" s="19">
        <v>74.87</v>
      </c>
      <c r="F2689" s="3" t="str">
        <f t="shared" si="41"/>
        <v>C2354</v>
      </c>
    </row>
    <row r="2690" spans="1:6" x14ac:dyDescent="0.2">
      <c r="A2690" s="17" t="s">
        <v>10469</v>
      </c>
      <c r="B2690" s="18" t="s">
        <v>10470</v>
      </c>
      <c r="C2690" s="17" t="s">
        <v>26</v>
      </c>
      <c r="D2690" s="19">
        <v>144.26</v>
      </c>
      <c r="F2690" s="3" t="str">
        <f t="shared" ref="F2690:F2753" si="42">A2690</f>
        <v>C2357</v>
      </c>
    </row>
    <row r="2691" spans="1:6" x14ac:dyDescent="0.2">
      <c r="A2691" s="17" t="s">
        <v>10471</v>
      </c>
      <c r="B2691" s="18" t="s">
        <v>10472</v>
      </c>
      <c r="C2691" s="17" t="s">
        <v>26</v>
      </c>
      <c r="D2691" s="19">
        <v>14.32</v>
      </c>
      <c r="F2691" s="3" t="str">
        <f t="shared" si="42"/>
        <v>C2364</v>
      </c>
    </row>
    <row r="2692" spans="1:6" x14ac:dyDescent="0.2">
      <c r="A2692" s="17" t="s">
        <v>10473</v>
      </c>
      <c r="B2692" s="18" t="s">
        <v>10474</v>
      </c>
      <c r="C2692" s="17" t="s">
        <v>26</v>
      </c>
      <c r="D2692" s="19">
        <v>15.27</v>
      </c>
      <c r="F2692" s="3" t="str">
        <f t="shared" si="42"/>
        <v>C2371</v>
      </c>
    </row>
    <row r="2693" spans="1:6" x14ac:dyDescent="0.2">
      <c r="A2693" s="17" t="s">
        <v>10475</v>
      </c>
      <c r="B2693" s="18" t="s">
        <v>10476</v>
      </c>
      <c r="C2693" s="17" t="s">
        <v>26</v>
      </c>
      <c r="D2693" s="19">
        <v>24.03</v>
      </c>
      <c r="F2693" s="3" t="str">
        <f t="shared" si="42"/>
        <v>C2366</v>
      </c>
    </row>
    <row r="2694" spans="1:6" x14ac:dyDescent="0.2">
      <c r="A2694" s="17" t="s">
        <v>10477</v>
      </c>
      <c r="B2694" s="18" t="s">
        <v>10478</v>
      </c>
      <c r="C2694" s="17" t="s">
        <v>26</v>
      </c>
      <c r="D2694" s="19">
        <v>44.35</v>
      </c>
      <c r="F2694" s="3" t="str">
        <f t="shared" si="42"/>
        <v>C2365</v>
      </c>
    </row>
    <row r="2695" spans="1:6" x14ac:dyDescent="0.2">
      <c r="A2695" s="17" t="s">
        <v>10479</v>
      </c>
      <c r="B2695" s="18" t="s">
        <v>10480</v>
      </c>
      <c r="C2695" s="17" t="s">
        <v>26</v>
      </c>
      <c r="D2695" s="19">
        <v>38.72</v>
      </c>
      <c r="F2695" s="3" t="str">
        <f t="shared" si="42"/>
        <v>C2368</v>
      </c>
    </row>
    <row r="2696" spans="1:6" x14ac:dyDescent="0.2">
      <c r="A2696" s="17" t="s">
        <v>10481</v>
      </c>
      <c r="B2696" s="18" t="s">
        <v>10482</v>
      </c>
      <c r="C2696" s="17" t="s">
        <v>26</v>
      </c>
      <c r="D2696" s="19">
        <v>69.89</v>
      </c>
      <c r="F2696" s="3" t="str">
        <f t="shared" si="42"/>
        <v>C2367</v>
      </c>
    </row>
    <row r="2697" spans="1:6" x14ac:dyDescent="0.2">
      <c r="A2697" s="17" t="s">
        <v>10483</v>
      </c>
      <c r="B2697" s="18" t="s">
        <v>10484</v>
      </c>
      <c r="C2697" s="17" t="s">
        <v>26</v>
      </c>
      <c r="D2697" s="19">
        <v>87.42</v>
      </c>
      <c r="F2697" s="3" t="str">
        <f t="shared" si="42"/>
        <v>C2369</v>
      </c>
    </row>
    <row r="2698" spans="1:6" x14ac:dyDescent="0.2">
      <c r="A2698" s="17" t="s">
        <v>10485</v>
      </c>
      <c r="B2698" s="18" t="s">
        <v>10486</v>
      </c>
      <c r="C2698" s="17" t="s">
        <v>26</v>
      </c>
      <c r="D2698" s="19">
        <v>107.15</v>
      </c>
      <c r="F2698" s="3" t="str">
        <f t="shared" si="42"/>
        <v>C2370</v>
      </c>
    </row>
    <row r="2699" spans="1:6" x14ac:dyDescent="0.2">
      <c r="A2699" s="17" t="s">
        <v>10487</v>
      </c>
      <c r="B2699" s="18" t="s">
        <v>10488</v>
      </c>
      <c r="C2699" s="17" t="s">
        <v>26</v>
      </c>
      <c r="D2699" s="19">
        <v>208.29</v>
      </c>
      <c r="F2699" s="3" t="str">
        <f t="shared" si="42"/>
        <v>C2372</v>
      </c>
    </row>
    <row r="2700" spans="1:6" x14ac:dyDescent="0.2">
      <c r="A2700" s="17" t="s">
        <v>10489</v>
      </c>
      <c r="B2700" s="18" t="s">
        <v>10490</v>
      </c>
      <c r="C2700" s="17" t="s">
        <v>26</v>
      </c>
      <c r="D2700" s="19">
        <v>331.78</v>
      </c>
      <c r="F2700" s="3" t="str">
        <f t="shared" si="42"/>
        <v>C2373</v>
      </c>
    </row>
    <row r="2701" spans="1:6" x14ac:dyDescent="0.2">
      <c r="A2701" s="17" t="s">
        <v>10491</v>
      </c>
      <c r="B2701" s="18" t="s">
        <v>10492</v>
      </c>
      <c r="C2701" s="17" t="s">
        <v>26</v>
      </c>
      <c r="D2701" s="19">
        <v>323.17</v>
      </c>
      <c r="F2701" s="3" t="str">
        <f t="shared" si="42"/>
        <v>C2375</v>
      </c>
    </row>
    <row r="2702" spans="1:6" x14ac:dyDescent="0.2">
      <c r="A2702" s="17" t="s">
        <v>10493</v>
      </c>
      <c r="B2702" s="18" t="s">
        <v>10494</v>
      </c>
      <c r="C2702" s="17" t="s">
        <v>26</v>
      </c>
      <c r="D2702" s="19">
        <v>198.77</v>
      </c>
      <c r="F2702" s="3" t="str">
        <f t="shared" si="42"/>
        <v>C2376</v>
      </c>
    </row>
    <row r="2703" spans="1:6" x14ac:dyDescent="0.2">
      <c r="A2703" s="17" t="s">
        <v>10495</v>
      </c>
      <c r="B2703" s="18" t="s">
        <v>10496</v>
      </c>
      <c r="C2703" s="17" t="s">
        <v>26</v>
      </c>
      <c r="D2703" s="19">
        <v>185.85</v>
      </c>
      <c r="F2703" s="3" t="str">
        <f t="shared" si="42"/>
        <v>C2377</v>
      </c>
    </row>
    <row r="2704" spans="1:6" x14ac:dyDescent="0.2">
      <c r="A2704" s="17" t="s">
        <v>10497</v>
      </c>
      <c r="B2704" s="18" t="s">
        <v>10498</v>
      </c>
      <c r="C2704" s="17" t="s">
        <v>26</v>
      </c>
      <c r="D2704" s="19">
        <v>18.77</v>
      </c>
      <c r="F2704" s="3" t="str">
        <f t="shared" si="42"/>
        <v>C2378</v>
      </c>
    </row>
    <row r="2705" spans="1:6" x14ac:dyDescent="0.2">
      <c r="A2705" s="17" t="s">
        <v>10499</v>
      </c>
      <c r="B2705" s="18" t="s">
        <v>10500</v>
      </c>
      <c r="C2705" s="17" t="s">
        <v>26</v>
      </c>
      <c r="D2705" s="19">
        <v>21.08</v>
      </c>
      <c r="F2705" s="3" t="str">
        <f t="shared" si="42"/>
        <v>C2379</v>
      </c>
    </row>
    <row r="2706" spans="1:6" x14ac:dyDescent="0.2">
      <c r="A2706" s="17" t="s">
        <v>10501</v>
      </c>
      <c r="B2706" s="18" t="s">
        <v>10502</v>
      </c>
      <c r="C2706" s="17" t="s">
        <v>26</v>
      </c>
      <c r="D2706" s="19">
        <v>9.91</v>
      </c>
      <c r="F2706" s="3" t="str">
        <f t="shared" si="42"/>
        <v>C2380</v>
      </c>
    </row>
    <row r="2707" spans="1:6" x14ac:dyDescent="0.2">
      <c r="A2707" s="17" t="s">
        <v>10503</v>
      </c>
      <c r="B2707" s="18" t="s">
        <v>10504</v>
      </c>
      <c r="C2707" s="17" t="s">
        <v>26</v>
      </c>
      <c r="D2707" s="19">
        <v>10.19</v>
      </c>
      <c r="F2707" s="3" t="str">
        <f t="shared" si="42"/>
        <v>C2381</v>
      </c>
    </row>
    <row r="2708" spans="1:6" x14ac:dyDescent="0.2">
      <c r="A2708" s="17" t="s">
        <v>10505</v>
      </c>
      <c r="B2708" s="18" t="s">
        <v>10506</v>
      </c>
      <c r="C2708" s="17" t="s">
        <v>26</v>
      </c>
      <c r="D2708" s="19">
        <v>13.25</v>
      </c>
      <c r="F2708" s="3" t="str">
        <f t="shared" si="42"/>
        <v>C2382</v>
      </c>
    </row>
    <row r="2709" spans="1:6" x14ac:dyDescent="0.2">
      <c r="A2709" s="17" t="s">
        <v>10507</v>
      </c>
      <c r="B2709" s="18" t="s">
        <v>10508</v>
      </c>
      <c r="C2709" s="17" t="s">
        <v>26</v>
      </c>
      <c r="D2709" s="19">
        <v>24.17</v>
      </c>
      <c r="F2709" s="3" t="str">
        <f t="shared" si="42"/>
        <v>C2383</v>
      </c>
    </row>
    <row r="2710" spans="1:6" x14ac:dyDescent="0.2">
      <c r="A2710" s="17" t="s">
        <v>10509</v>
      </c>
      <c r="B2710" s="18" t="s">
        <v>10510</v>
      </c>
      <c r="C2710" s="17" t="s">
        <v>26</v>
      </c>
      <c r="D2710" s="19">
        <v>25.19</v>
      </c>
      <c r="F2710" s="3" t="str">
        <f t="shared" si="42"/>
        <v>C2384</v>
      </c>
    </row>
    <row r="2711" spans="1:6" x14ac:dyDescent="0.2">
      <c r="A2711" s="17" t="s">
        <v>10511</v>
      </c>
      <c r="B2711" s="18" t="s">
        <v>10512</v>
      </c>
      <c r="C2711" s="17" t="s">
        <v>26</v>
      </c>
      <c r="D2711" s="19">
        <v>49.06</v>
      </c>
      <c r="F2711" s="3" t="str">
        <f t="shared" si="42"/>
        <v>C2385</v>
      </c>
    </row>
    <row r="2712" spans="1:6" x14ac:dyDescent="0.2">
      <c r="A2712" s="17" t="s">
        <v>10513</v>
      </c>
      <c r="B2712" s="18" t="s">
        <v>10514</v>
      </c>
      <c r="C2712" s="17" t="s">
        <v>26</v>
      </c>
      <c r="D2712" s="19">
        <v>85.33</v>
      </c>
      <c r="F2712" s="3" t="str">
        <f t="shared" si="42"/>
        <v>C2386</v>
      </c>
    </row>
    <row r="2713" spans="1:6" x14ac:dyDescent="0.2">
      <c r="A2713" s="17" t="s">
        <v>10515</v>
      </c>
      <c r="B2713" s="18" t="s">
        <v>10516</v>
      </c>
      <c r="C2713" s="17" t="s">
        <v>26</v>
      </c>
      <c r="D2713" s="19">
        <v>108.66</v>
      </c>
      <c r="F2713" s="3" t="str">
        <f t="shared" si="42"/>
        <v>C2387</v>
      </c>
    </row>
    <row r="2714" spans="1:6" x14ac:dyDescent="0.2">
      <c r="A2714" s="17" t="s">
        <v>10517</v>
      </c>
      <c r="B2714" s="18" t="s">
        <v>10518</v>
      </c>
      <c r="C2714" s="17" t="s">
        <v>26</v>
      </c>
      <c r="D2714" s="19">
        <v>213.47</v>
      </c>
      <c r="F2714" s="3" t="str">
        <f t="shared" si="42"/>
        <v>C2388</v>
      </c>
    </row>
    <row r="2715" spans="1:6" x14ac:dyDescent="0.2">
      <c r="A2715" s="17" t="s">
        <v>10519</v>
      </c>
      <c r="B2715" s="18" t="s">
        <v>10520</v>
      </c>
      <c r="C2715" s="17" t="s">
        <v>26</v>
      </c>
      <c r="D2715" s="19">
        <v>11.95</v>
      </c>
      <c r="F2715" s="3" t="str">
        <f t="shared" si="42"/>
        <v>C2389</v>
      </c>
    </row>
    <row r="2716" spans="1:6" x14ac:dyDescent="0.2">
      <c r="A2716" s="17" t="s">
        <v>10521</v>
      </c>
      <c r="B2716" s="18" t="s">
        <v>10522</v>
      </c>
      <c r="C2716" s="17" t="s">
        <v>26</v>
      </c>
      <c r="D2716" s="19">
        <v>14.08</v>
      </c>
      <c r="F2716" s="3" t="str">
        <f t="shared" si="42"/>
        <v>C2390</v>
      </c>
    </row>
    <row r="2717" spans="1:6" x14ac:dyDescent="0.2">
      <c r="A2717" s="17" t="s">
        <v>10523</v>
      </c>
      <c r="B2717" s="18" t="s">
        <v>10524</v>
      </c>
      <c r="C2717" s="17" t="s">
        <v>26</v>
      </c>
      <c r="D2717" s="19">
        <v>24.87</v>
      </c>
      <c r="F2717" s="3" t="str">
        <f t="shared" si="42"/>
        <v>C2391</v>
      </c>
    </row>
    <row r="2718" spans="1:6" ht="22.5" x14ac:dyDescent="0.2">
      <c r="A2718" s="17" t="s">
        <v>10525</v>
      </c>
      <c r="B2718" s="18" t="s">
        <v>10526</v>
      </c>
      <c r="C2718" s="17" t="s">
        <v>26</v>
      </c>
      <c r="D2718" s="19">
        <v>19.649999999999999</v>
      </c>
      <c r="F2718" s="3" t="str">
        <f t="shared" si="42"/>
        <v>C2400</v>
      </c>
    </row>
    <row r="2719" spans="1:6" x14ac:dyDescent="0.2">
      <c r="A2719" s="17">
        <v>0</v>
      </c>
      <c r="B2719" s="18"/>
      <c r="C2719" s="17">
        <v>0</v>
      </c>
      <c r="D2719" s="19">
        <v>0</v>
      </c>
      <c r="F2719" s="3">
        <f t="shared" si="42"/>
        <v>0</v>
      </c>
    </row>
    <row r="2720" spans="1:6" ht="22.5" x14ac:dyDescent="0.2">
      <c r="A2720" s="17" t="s">
        <v>10527</v>
      </c>
      <c r="B2720" s="18" t="s">
        <v>10528</v>
      </c>
      <c r="C2720" s="17" t="s">
        <v>26</v>
      </c>
      <c r="D2720" s="19">
        <v>22.62</v>
      </c>
      <c r="F2720" s="3" t="str">
        <f t="shared" si="42"/>
        <v>C2399</v>
      </c>
    </row>
    <row r="2721" spans="1:6" x14ac:dyDescent="0.2">
      <c r="A2721" s="17">
        <v>0</v>
      </c>
      <c r="B2721" s="18"/>
      <c r="C2721" s="17">
        <v>0</v>
      </c>
      <c r="D2721" s="19">
        <v>0</v>
      </c>
      <c r="F2721" s="3">
        <f t="shared" si="42"/>
        <v>0</v>
      </c>
    </row>
    <row r="2722" spans="1:6" ht="22.5" x14ac:dyDescent="0.2">
      <c r="A2722" s="17" t="s">
        <v>10529</v>
      </c>
      <c r="B2722" s="18" t="s">
        <v>10530</v>
      </c>
      <c r="C2722" s="17" t="s">
        <v>26</v>
      </c>
      <c r="D2722" s="19">
        <v>41.2</v>
      </c>
      <c r="F2722" s="3" t="str">
        <f t="shared" si="42"/>
        <v>C2398</v>
      </c>
    </row>
    <row r="2723" spans="1:6" x14ac:dyDescent="0.2">
      <c r="A2723" s="17">
        <v>0</v>
      </c>
      <c r="B2723" s="18"/>
      <c r="C2723" s="17">
        <v>0</v>
      </c>
      <c r="D2723" s="19">
        <v>0</v>
      </c>
      <c r="F2723" s="3">
        <f t="shared" si="42"/>
        <v>0</v>
      </c>
    </row>
    <row r="2724" spans="1:6" ht="22.5" x14ac:dyDescent="0.2">
      <c r="A2724" s="17" t="s">
        <v>10531</v>
      </c>
      <c r="B2724" s="18" t="s">
        <v>10532</v>
      </c>
      <c r="C2724" s="17" t="s">
        <v>26</v>
      </c>
      <c r="D2724" s="19">
        <v>38.840000000000003</v>
      </c>
      <c r="F2724" s="3" t="str">
        <f t="shared" si="42"/>
        <v>C5126</v>
      </c>
    </row>
    <row r="2725" spans="1:6" x14ac:dyDescent="0.2">
      <c r="A2725" s="17">
        <v>0</v>
      </c>
      <c r="B2725" s="18"/>
      <c r="C2725" s="17">
        <v>0</v>
      </c>
      <c r="D2725" s="19">
        <v>0</v>
      </c>
      <c r="F2725" s="3">
        <f t="shared" si="42"/>
        <v>0</v>
      </c>
    </row>
    <row r="2726" spans="1:6" x14ac:dyDescent="0.2">
      <c r="A2726" s="17" t="s">
        <v>10533</v>
      </c>
      <c r="B2726" s="18" t="s">
        <v>10534</v>
      </c>
      <c r="C2726" s="17" t="s">
        <v>26</v>
      </c>
      <c r="D2726" s="19">
        <v>39.409999999999997</v>
      </c>
      <c r="F2726" s="3" t="str">
        <f t="shared" si="42"/>
        <v>C5127</v>
      </c>
    </row>
    <row r="2727" spans="1:6" x14ac:dyDescent="0.2">
      <c r="A2727" s="17" t="s">
        <v>10535</v>
      </c>
      <c r="B2727" s="18" t="s">
        <v>10536</v>
      </c>
      <c r="C2727" s="17" t="s">
        <v>26</v>
      </c>
      <c r="D2727" s="19">
        <v>23.35</v>
      </c>
      <c r="F2727" s="3" t="str">
        <f t="shared" si="42"/>
        <v>C2393</v>
      </c>
    </row>
    <row r="2728" spans="1:6" x14ac:dyDescent="0.2">
      <c r="A2728" s="17" t="s">
        <v>10537</v>
      </c>
      <c r="B2728" s="18" t="s">
        <v>10538</v>
      </c>
      <c r="C2728" s="17" t="s">
        <v>26</v>
      </c>
      <c r="D2728" s="19">
        <v>19.95</v>
      </c>
      <c r="F2728" s="3" t="str">
        <f t="shared" si="42"/>
        <v>C2392</v>
      </c>
    </row>
    <row r="2729" spans="1:6" ht="22.5" x14ac:dyDescent="0.2">
      <c r="A2729" s="17" t="s">
        <v>10539</v>
      </c>
      <c r="B2729" s="18" t="s">
        <v>10540</v>
      </c>
      <c r="C2729" s="17" t="s">
        <v>26</v>
      </c>
      <c r="D2729" s="19">
        <v>13.36</v>
      </c>
      <c r="F2729" s="3" t="str">
        <f t="shared" si="42"/>
        <v>C2404</v>
      </c>
    </row>
    <row r="2730" spans="1:6" x14ac:dyDescent="0.2">
      <c r="A2730" s="17">
        <v>0</v>
      </c>
      <c r="B2730" s="18"/>
      <c r="C2730" s="17">
        <v>0</v>
      </c>
      <c r="D2730" s="19">
        <v>0</v>
      </c>
      <c r="F2730" s="3">
        <f t="shared" si="42"/>
        <v>0</v>
      </c>
    </row>
    <row r="2731" spans="1:6" ht="22.5" x14ac:dyDescent="0.2">
      <c r="A2731" s="17" t="s">
        <v>10541</v>
      </c>
      <c r="B2731" s="18" t="s">
        <v>10542</v>
      </c>
      <c r="C2731" s="17" t="s">
        <v>26</v>
      </c>
      <c r="D2731" s="19">
        <v>16.920000000000002</v>
      </c>
      <c r="F2731" s="3" t="str">
        <f t="shared" si="42"/>
        <v>C2405</v>
      </c>
    </row>
    <row r="2732" spans="1:6" x14ac:dyDescent="0.2">
      <c r="A2732" s="17">
        <v>0</v>
      </c>
      <c r="B2732" s="18"/>
      <c r="C2732" s="17">
        <v>0</v>
      </c>
      <c r="D2732" s="19">
        <v>0</v>
      </c>
      <c r="F2732" s="3">
        <f t="shared" si="42"/>
        <v>0</v>
      </c>
    </row>
    <row r="2733" spans="1:6" ht="22.5" x14ac:dyDescent="0.2">
      <c r="A2733" s="17" t="s">
        <v>10543</v>
      </c>
      <c r="B2733" s="18" t="s">
        <v>10544</v>
      </c>
      <c r="C2733" s="17" t="s">
        <v>26</v>
      </c>
      <c r="D2733" s="19">
        <v>24.3</v>
      </c>
      <c r="F2733" s="3" t="str">
        <f t="shared" si="42"/>
        <v>C2406</v>
      </c>
    </row>
    <row r="2734" spans="1:6" x14ac:dyDescent="0.2">
      <c r="A2734" s="17">
        <v>0</v>
      </c>
      <c r="B2734" s="18"/>
      <c r="C2734" s="17">
        <v>0</v>
      </c>
      <c r="D2734" s="19">
        <v>0</v>
      </c>
      <c r="F2734" s="3">
        <f t="shared" si="42"/>
        <v>0</v>
      </c>
    </row>
    <row r="2735" spans="1:6" x14ac:dyDescent="0.2">
      <c r="A2735" s="17" t="s">
        <v>10545</v>
      </c>
      <c r="B2735" s="18" t="s">
        <v>10546</v>
      </c>
      <c r="C2735" s="17" t="s">
        <v>26</v>
      </c>
      <c r="D2735" s="19">
        <v>24.8</v>
      </c>
      <c r="F2735" s="3" t="str">
        <f t="shared" si="42"/>
        <v>C2407</v>
      </c>
    </row>
    <row r="2736" spans="1:6" x14ac:dyDescent="0.2">
      <c r="A2736" s="17" t="s">
        <v>10547</v>
      </c>
      <c r="B2736" s="18" t="s">
        <v>10548</v>
      </c>
      <c r="C2736" s="17" t="s">
        <v>26</v>
      </c>
      <c r="D2736" s="19">
        <v>26.6</v>
      </c>
      <c r="F2736" s="3" t="str">
        <f t="shared" si="42"/>
        <v>C2408</v>
      </c>
    </row>
    <row r="2737" spans="1:6" x14ac:dyDescent="0.2">
      <c r="A2737" s="17" t="s">
        <v>10549</v>
      </c>
      <c r="B2737" s="18" t="s">
        <v>10550</v>
      </c>
      <c r="C2737" s="17" t="s">
        <v>26</v>
      </c>
      <c r="D2737" s="19">
        <v>31.79</v>
      </c>
      <c r="F2737" s="3" t="str">
        <f t="shared" si="42"/>
        <v>C2409</v>
      </c>
    </row>
    <row r="2738" spans="1:6" ht="22.5" x14ac:dyDescent="0.2">
      <c r="A2738" s="17" t="s">
        <v>10551</v>
      </c>
      <c r="B2738" s="18" t="s">
        <v>10552</v>
      </c>
      <c r="C2738" s="17" t="s">
        <v>26</v>
      </c>
      <c r="D2738" s="19">
        <v>35.58</v>
      </c>
      <c r="F2738" s="3" t="str">
        <f t="shared" si="42"/>
        <v>C2410</v>
      </c>
    </row>
    <row r="2739" spans="1:6" x14ac:dyDescent="0.2">
      <c r="A2739" s="17">
        <v>0</v>
      </c>
      <c r="B2739" s="18"/>
      <c r="C2739" s="17">
        <v>0</v>
      </c>
      <c r="D2739" s="19">
        <v>0</v>
      </c>
      <c r="F2739" s="3">
        <f t="shared" si="42"/>
        <v>0</v>
      </c>
    </row>
    <row r="2740" spans="1:6" x14ac:dyDescent="0.2">
      <c r="A2740" s="17" t="s">
        <v>10553</v>
      </c>
      <c r="B2740" s="18" t="s">
        <v>10554</v>
      </c>
      <c r="C2740" s="17" t="s">
        <v>26</v>
      </c>
      <c r="D2740" s="19">
        <v>72.19</v>
      </c>
      <c r="F2740" s="3" t="str">
        <f t="shared" si="42"/>
        <v>C2411</v>
      </c>
    </row>
    <row r="2741" spans="1:6" ht="22.5" x14ac:dyDescent="0.2">
      <c r="A2741" s="17" t="s">
        <v>10555</v>
      </c>
      <c r="B2741" s="18" t="s">
        <v>10556</v>
      </c>
      <c r="C2741" s="17" t="s">
        <v>26</v>
      </c>
      <c r="D2741" s="19">
        <v>89.03</v>
      </c>
      <c r="F2741" s="3" t="str">
        <f t="shared" si="42"/>
        <v>C2412</v>
      </c>
    </row>
    <row r="2742" spans="1:6" x14ac:dyDescent="0.2">
      <c r="A2742" s="17">
        <v>0</v>
      </c>
      <c r="B2742" s="18"/>
      <c r="C2742" s="17">
        <v>0</v>
      </c>
      <c r="D2742" s="19">
        <v>0</v>
      </c>
      <c r="F2742" s="3">
        <f t="shared" si="42"/>
        <v>0</v>
      </c>
    </row>
    <row r="2743" spans="1:6" x14ac:dyDescent="0.2">
      <c r="A2743" s="17" t="s">
        <v>10557</v>
      </c>
      <c r="B2743" s="18" t="s">
        <v>10558</v>
      </c>
      <c r="C2743" s="17" t="s">
        <v>26</v>
      </c>
      <c r="D2743" s="19">
        <v>134.5</v>
      </c>
      <c r="F2743" s="3" t="str">
        <f t="shared" si="42"/>
        <v>C2413</v>
      </c>
    </row>
    <row r="2744" spans="1:6" ht="22.5" x14ac:dyDescent="0.2">
      <c r="A2744" s="17" t="s">
        <v>10559</v>
      </c>
      <c r="B2744" s="18" t="s">
        <v>10560</v>
      </c>
      <c r="C2744" s="17" t="s">
        <v>26</v>
      </c>
      <c r="D2744" s="19">
        <v>91.55</v>
      </c>
      <c r="F2744" s="3" t="str">
        <f t="shared" si="42"/>
        <v>C2414</v>
      </c>
    </row>
    <row r="2745" spans="1:6" x14ac:dyDescent="0.2">
      <c r="A2745" s="17">
        <v>0</v>
      </c>
      <c r="B2745" s="18"/>
      <c r="C2745" s="17">
        <v>0</v>
      </c>
      <c r="D2745" s="19">
        <v>0</v>
      </c>
      <c r="F2745" s="3">
        <f t="shared" si="42"/>
        <v>0</v>
      </c>
    </row>
    <row r="2746" spans="1:6" x14ac:dyDescent="0.2">
      <c r="A2746" s="17" t="s">
        <v>10561</v>
      </c>
      <c r="B2746" s="18" t="s">
        <v>10562</v>
      </c>
      <c r="C2746" s="17" t="s">
        <v>26</v>
      </c>
      <c r="D2746" s="19">
        <v>184.16</v>
      </c>
      <c r="F2746" s="3" t="str">
        <f t="shared" si="42"/>
        <v>C2401</v>
      </c>
    </row>
    <row r="2747" spans="1:6" x14ac:dyDescent="0.2">
      <c r="A2747" s="17" t="s">
        <v>10563</v>
      </c>
      <c r="B2747" s="18" t="s">
        <v>10564</v>
      </c>
      <c r="C2747" s="17" t="s">
        <v>26</v>
      </c>
      <c r="D2747" s="19">
        <v>195.92</v>
      </c>
      <c r="F2747" s="3" t="str">
        <f t="shared" si="42"/>
        <v>C2402</v>
      </c>
    </row>
    <row r="2748" spans="1:6" x14ac:dyDescent="0.2">
      <c r="A2748" s="17" t="s">
        <v>10565</v>
      </c>
      <c r="B2748" s="18" t="s">
        <v>10566</v>
      </c>
      <c r="C2748" s="17" t="s">
        <v>26</v>
      </c>
      <c r="D2748" s="19">
        <v>219.05</v>
      </c>
      <c r="F2748" s="3" t="str">
        <f t="shared" si="42"/>
        <v>C2403</v>
      </c>
    </row>
    <row r="2749" spans="1:6" x14ac:dyDescent="0.2">
      <c r="A2749" s="17" t="s">
        <v>10567</v>
      </c>
      <c r="B2749" s="18" t="s">
        <v>10568</v>
      </c>
      <c r="C2749" s="17" t="s">
        <v>26</v>
      </c>
      <c r="D2749" s="19">
        <v>15.11</v>
      </c>
      <c r="F2749" s="3" t="str">
        <f t="shared" si="42"/>
        <v>C2341</v>
      </c>
    </row>
    <row r="2750" spans="1:6" x14ac:dyDescent="0.2">
      <c r="A2750" s="17" t="s">
        <v>10569</v>
      </c>
      <c r="B2750" s="18" t="s">
        <v>10570</v>
      </c>
      <c r="C2750" s="17" t="s">
        <v>26</v>
      </c>
      <c r="D2750" s="19">
        <v>24.83</v>
      </c>
      <c r="F2750" s="3" t="str">
        <f t="shared" si="42"/>
        <v>C2342</v>
      </c>
    </row>
    <row r="2751" spans="1:6" x14ac:dyDescent="0.2">
      <c r="A2751" s="17" t="s">
        <v>10571</v>
      </c>
      <c r="B2751" s="18" t="s">
        <v>10572</v>
      </c>
      <c r="C2751" s="17" t="s">
        <v>26</v>
      </c>
      <c r="D2751" s="19">
        <v>18.420000000000002</v>
      </c>
      <c r="F2751" s="3" t="str">
        <f t="shared" si="42"/>
        <v>C4822</v>
      </c>
    </row>
    <row r="2752" spans="1:6" x14ac:dyDescent="0.2">
      <c r="A2752" s="17" t="s">
        <v>10573</v>
      </c>
      <c r="B2752" s="18" t="s">
        <v>10574</v>
      </c>
      <c r="C2752" s="17" t="s">
        <v>26</v>
      </c>
      <c r="D2752" s="19">
        <v>27.78</v>
      </c>
      <c r="F2752" s="3" t="str">
        <f t="shared" si="42"/>
        <v>C4823</v>
      </c>
    </row>
    <row r="2753" spans="1:6" ht="22.5" x14ac:dyDescent="0.2">
      <c r="A2753" s="17" t="s">
        <v>10575</v>
      </c>
      <c r="B2753" s="18" t="s">
        <v>10576</v>
      </c>
      <c r="C2753" s="17" t="s">
        <v>26</v>
      </c>
      <c r="D2753" s="19">
        <v>32.44</v>
      </c>
      <c r="F2753" s="3" t="str">
        <f t="shared" si="42"/>
        <v>C4824</v>
      </c>
    </row>
    <row r="2754" spans="1:6" x14ac:dyDescent="0.2">
      <c r="A2754" s="17">
        <v>0</v>
      </c>
      <c r="B2754" s="18"/>
      <c r="C2754" s="17">
        <v>0</v>
      </c>
      <c r="D2754" s="19">
        <v>0</v>
      </c>
      <c r="F2754" s="3">
        <f t="shared" ref="F2754:F2817" si="43">A2754</f>
        <v>0</v>
      </c>
    </row>
    <row r="2755" spans="1:6" x14ac:dyDescent="0.2">
      <c r="A2755" s="17" t="s">
        <v>10577</v>
      </c>
      <c r="B2755" s="18" t="s">
        <v>10578</v>
      </c>
      <c r="C2755" s="17" t="s">
        <v>0</v>
      </c>
      <c r="D2755" s="19">
        <v>17.97</v>
      </c>
      <c r="F2755" s="3" t="str">
        <f t="shared" si="43"/>
        <v>C2595</v>
      </c>
    </row>
    <row r="2756" spans="1:6" x14ac:dyDescent="0.2">
      <c r="A2756" s="17" t="s">
        <v>10579</v>
      </c>
      <c r="B2756" s="18" t="s">
        <v>10580</v>
      </c>
      <c r="C2756" s="17" t="s">
        <v>0</v>
      </c>
      <c r="D2756" s="19">
        <v>24.78</v>
      </c>
      <c r="F2756" s="3" t="str">
        <f t="shared" si="43"/>
        <v>C2596</v>
      </c>
    </row>
    <row r="2757" spans="1:6" x14ac:dyDescent="0.2">
      <c r="A2757" s="17" t="s">
        <v>10581</v>
      </c>
      <c r="B2757" s="18" t="s">
        <v>10582</v>
      </c>
      <c r="C2757" s="17" t="s">
        <v>0</v>
      </c>
      <c r="D2757" s="19">
        <v>38.229999999999997</v>
      </c>
      <c r="F2757" s="3" t="str">
        <f t="shared" si="43"/>
        <v>C2598</v>
      </c>
    </row>
    <row r="2758" spans="1:6" x14ac:dyDescent="0.2">
      <c r="A2758" s="17" t="s">
        <v>10583</v>
      </c>
      <c r="B2758" s="18" t="s">
        <v>10584</v>
      </c>
      <c r="C2758" s="17" t="s">
        <v>0</v>
      </c>
      <c r="D2758" s="19">
        <v>42.14</v>
      </c>
      <c r="F2758" s="3" t="str">
        <f t="shared" si="43"/>
        <v>C2593</v>
      </c>
    </row>
    <row r="2759" spans="1:6" x14ac:dyDescent="0.2">
      <c r="A2759" s="17" t="s">
        <v>10585</v>
      </c>
      <c r="B2759" s="18" t="s">
        <v>10586</v>
      </c>
      <c r="C2759" s="17" t="s">
        <v>0</v>
      </c>
      <c r="D2759" s="19">
        <v>24.75</v>
      </c>
      <c r="F2759" s="3" t="str">
        <f t="shared" si="43"/>
        <v>C2597</v>
      </c>
    </row>
    <row r="2760" spans="1:6" x14ac:dyDescent="0.2">
      <c r="A2760" s="17" t="s">
        <v>10587</v>
      </c>
      <c r="B2760" s="18" t="s">
        <v>10588</v>
      </c>
      <c r="C2760" s="17" t="s">
        <v>0</v>
      </c>
      <c r="D2760" s="19">
        <v>37.07</v>
      </c>
      <c r="F2760" s="3" t="str">
        <f t="shared" si="43"/>
        <v>C2599</v>
      </c>
    </row>
    <row r="2761" spans="1:6" x14ac:dyDescent="0.2">
      <c r="A2761" s="17" t="s">
        <v>10589</v>
      </c>
      <c r="B2761" s="18" t="s">
        <v>10590</v>
      </c>
      <c r="C2761" s="17" t="s">
        <v>0</v>
      </c>
      <c r="D2761" s="19">
        <v>40.229999999999997</v>
      </c>
      <c r="F2761" s="3" t="str">
        <f t="shared" si="43"/>
        <v>C2594</v>
      </c>
    </row>
    <row r="2762" spans="1:6" x14ac:dyDescent="0.2">
      <c r="A2762" s="17" t="s">
        <v>10591</v>
      </c>
      <c r="B2762" s="18" t="s">
        <v>10592</v>
      </c>
      <c r="C2762" s="17" t="s">
        <v>0</v>
      </c>
      <c r="D2762" s="19">
        <v>67.31</v>
      </c>
      <c r="F2762" s="3" t="str">
        <f t="shared" si="43"/>
        <v>C2600</v>
      </c>
    </row>
    <row r="2763" spans="1:6" x14ac:dyDescent="0.2">
      <c r="A2763" s="17" t="s">
        <v>10593</v>
      </c>
      <c r="B2763" s="18" t="s">
        <v>10594</v>
      </c>
      <c r="C2763" s="17" t="s">
        <v>0</v>
      </c>
      <c r="D2763" s="19">
        <v>126.1</v>
      </c>
      <c r="F2763" s="3" t="str">
        <f t="shared" si="43"/>
        <v>C2601</v>
      </c>
    </row>
    <row r="2764" spans="1:6" x14ac:dyDescent="0.2">
      <c r="A2764" s="17" t="s">
        <v>10595</v>
      </c>
      <c r="B2764" s="18" t="s">
        <v>10596</v>
      </c>
      <c r="C2764" s="17" t="s">
        <v>0</v>
      </c>
      <c r="D2764" s="19">
        <v>142.63999999999999</v>
      </c>
      <c r="F2764" s="3" t="str">
        <f t="shared" si="43"/>
        <v>C2602</v>
      </c>
    </row>
    <row r="2765" spans="1:6" x14ac:dyDescent="0.2">
      <c r="A2765" s="17" t="s">
        <v>10597</v>
      </c>
      <c r="B2765" s="18" t="s">
        <v>10598</v>
      </c>
      <c r="C2765" s="17" t="s">
        <v>0</v>
      </c>
      <c r="D2765" s="19">
        <v>199.97</v>
      </c>
      <c r="F2765" s="3" t="str">
        <f t="shared" si="43"/>
        <v>C2603</v>
      </c>
    </row>
    <row r="2766" spans="1:6" x14ac:dyDescent="0.2">
      <c r="A2766" s="17" t="s">
        <v>10599</v>
      </c>
      <c r="B2766" s="18" t="s">
        <v>10600</v>
      </c>
      <c r="C2766" s="17" t="s">
        <v>0</v>
      </c>
      <c r="D2766" s="19">
        <v>122.12</v>
      </c>
      <c r="F2766" s="3" t="str">
        <f t="shared" si="43"/>
        <v>C2613</v>
      </c>
    </row>
    <row r="2767" spans="1:6" x14ac:dyDescent="0.2">
      <c r="A2767" s="17" t="s">
        <v>10601</v>
      </c>
      <c r="B2767" s="18" t="s">
        <v>10602</v>
      </c>
      <c r="C2767" s="17" t="s">
        <v>0</v>
      </c>
      <c r="D2767" s="19">
        <v>124.93</v>
      </c>
      <c r="F2767" s="3" t="str">
        <f t="shared" si="43"/>
        <v>C2614</v>
      </c>
    </row>
    <row r="2768" spans="1:6" x14ac:dyDescent="0.2">
      <c r="A2768" s="17" t="s">
        <v>10603</v>
      </c>
      <c r="B2768" s="18" t="s">
        <v>10604</v>
      </c>
      <c r="C2768" s="17" t="s">
        <v>0</v>
      </c>
      <c r="D2768" s="19">
        <v>12.14</v>
      </c>
      <c r="F2768" s="3" t="str">
        <f t="shared" si="43"/>
        <v>C2607</v>
      </c>
    </row>
    <row r="2769" spans="1:6" x14ac:dyDescent="0.2">
      <c r="A2769" s="17" t="s">
        <v>10605</v>
      </c>
      <c r="B2769" s="18" t="s">
        <v>10606</v>
      </c>
      <c r="C2769" s="17" t="s">
        <v>0</v>
      </c>
      <c r="D2769" s="19">
        <v>17.75</v>
      </c>
      <c r="F2769" s="3" t="str">
        <f t="shared" si="43"/>
        <v>C2611</v>
      </c>
    </row>
    <row r="2770" spans="1:6" x14ac:dyDescent="0.2">
      <c r="A2770" s="17" t="s">
        <v>10607</v>
      </c>
      <c r="B2770" s="18" t="s">
        <v>10608</v>
      </c>
      <c r="C2770" s="17" t="s">
        <v>0</v>
      </c>
      <c r="D2770" s="19">
        <v>27.14</v>
      </c>
      <c r="F2770" s="3" t="str">
        <f t="shared" si="43"/>
        <v>C2606</v>
      </c>
    </row>
    <row r="2771" spans="1:6" x14ac:dyDescent="0.2">
      <c r="A2771" s="17" t="s">
        <v>10609</v>
      </c>
      <c r="B2771" s="18" t="s">
        <v>10610</v>
      </c>
      <c r="C2771" s="17" t="s">
        <v>0</v>
      </c>
      <c r="D2771" s="19">
        <v>37.619999999999997</v>
      </c>
      <c r="F2771" s="3" t="str">
        <f t="shared" si="43"/>
        <v>C2605</v>
      </c>
    </row>
    <row r="2772" spans="1:6" x14ac:dyDescent="0.2">
      <c r="A2772" s="17" t="s">
        <v>10611</v>
      </c>
      <c r="B2772" s="18" t="s">
        <v>10612</v>
      </c>
      <c r="C2772" s="17" t="s">
        <v>0</v>
      </c>
      <c r="D2772" s="19">
        <v>47.23</v>
      </c>
      <c r="F2772" s="3" t="str">
        <f t="shared" si="43"/>
        <v>C2604</v>
      </c>
    </row>
    <row r="2773" spans="1:6" x14ac:dyDescent="0.2">
      <c r="A2773" s="17" t="s">
        <v>10613</v>
      </c>
      <c r="B2773" s="18" t="s">
        <v>10614</v>
      </c>
      <c r="C2773" s="17" t="s">
        <v>0</v>
      </c>
      <c r="D2773" s="19">
        <v>65.180000000000007</v>
      </c>
      <c r="F2773" s="3" t="str">
        <f t="shared" si="43"/>
        <v>C2609</v>
      </c>
    </row>
    <row r="2774" spans="1:6" x14ac:dyDescent="0.2">
      <c r="A2774" s="17" t="s">
        <v>10615</v>
      </c>
      <c r="B2774" s="18" t="s">
        <v>10616</v>
      </c>
      <c r="C2774" s="17" t="s">
        <v>0</v>
      </c>
      <c r="D2774" s="19">
        <v>89.13</v>
      </c>
      <c r="F2774" s="3" t="str">
        <f t="shared" si="43"/>
        <v>C2608</v>
      </c>
    </row>
    <row r="2775" spans="1:6" x14ac:dyDescent="0.2">
      <c r="A2775" s="17" t="s">
        <v>10617</v>
      </c>
      <c r="B2775" s="18" t="s">
        <v>10618</v>
      </c>
      <c r="C2775" s="17" t="s">
        <v>0</v>
      </c>
      <c r="D2775" s="19">
        <v>122.12</v>
      </c>
      <c r="F2775" s="3" t="str">
        <f t="shared" si="43"/>
        <v>C2610</v>
      </c>
    </row>
    <row r="2776" spans="1:6" x14ac:dyDescent="0.2">
      <c r="A2776" s="17" t="s">
        <v>10619</v>
      </c>
      <c r="B2776" s="18" t="s">
        <v>10620</v>
      </c>
      <c r="C2776" s="17" t="s">
        <v>0</v>
      </c>
      <c r="D2776" s="19">
        <v>144.72999999999999</v>
      </c>
      <c r="F2776" s="3" t="str">
        <f t="shared" si="43"/>
        <v>C2612</v>
      </c>
    </row>
    <row r="2777" spans="1:6" ht="22.5" x14ac:dyDescent="0.2">
      <c r="A2777" s="17" t="s">
        <v>10621</v>
      </c>
      <c r="B2777" s="18" t="s">
        <v>10622</v>
      </c>
      <c r="C2777" s="17" t="s">
        <v>0</v>
      </c>
      <c r="D2777" s="19">
        <v>80.540000000000006</v>
      </c>
      <c r="F2777" s="3" t="str">
        <f t="shared" si="43"/>
        <v>C4760</v>
      </c>
    </row>
    <row r="2778" spans="1:6" x14ac:dyDescent="0.2">
      <c r="A2778" s="17">
        <v>0</v>
      </c>
      <c r="B2778" s="18"/>
      <c r="C2778" s="17">
        <v>0</v>
      </c>
      <c r="D2778" s="19">
        <v>0</v>
      </c>
      <c r="F2778" s="3">
        <f t="shared" si="43"/>
        <v>0</v>
      </c>
    </row>
    <row r="2779" spans="1:6" ht="22.5" x14ac:dyDescent="0.2">
      <c r="A2779" s="17" t="s">
        <v>10623</v>
      </c>
      <c r="B2779" s="18" t="s">
        <v>10624</v>
      </c>
      <c r="C2779" s="17" t="s">
        <v>0</v>
      </c>
      <c r="D2779" s="19">
        <v>119.79</v>
      </c>
      <c r="F2779" s="3" t="str">
        <f t="shared" si="43"/>
        <v>C4763</v>
      </c>
    </row>
    <row r="2780" spans="1:6" x14ac:dyDescent="0.2">
      <c r="A2780" s="17">
        <v>0</v>
      </c>
      <c r="B2780" s="18"/>
      <c r="C2780" s="17">
        <v>0</v>
      </c>
      <c r="D2780" s="19">
        <v>0</v>
      </c>
      <c r="F2780" s="3">
        <f t="shared" si="43"/>
        <v>0</v>
      </c>
    </row>
    <row r="2781" spans="1:6" x14ac:dyDescent="0.2">
      <c r="A2781" s="17" t="s">
        <v>10625</v>
      </c>
      <c r="B2781" s="18" t="s">
        <v>10626</v>
      </c>
      <c r="C2781" s="17" t="s">
        <v>0</v>
      </c>
      <c r="D2781" s="19">
        <v>7</v>
      </c>
      <c r="F2781" s="3" t="str">
        <f t="shared" si="43"/>
        <v>C2615</v>
      </c>
    </row>
    <row r="2782" spans="1:6" x14ac:dyDescent="0.2">
      <c r="A2782" s="17" t="s">
        <v>10627</v>
      </c>
      <c r="B2782" s="18" t="s">
        <v>10628</v>
      </c>
      <c r="C2782" s="17" t="s">
        <v>0</v>
      </c>
      <c r="D2782" s="19">
        <v>9.5299999999999994</v>
      </c>
      <c r="F2782" s="3" t="str">
        <f t="shared" si="43"/>
        <v>C2616</v>
      </c>
    </row>
    <row r="2783" spans="1:6" x14ac:dyDescent="0.2">
      <c r="A2783" s="17" t="s">
        <v>10629</v>
      </c>
      <c r="B2783" s="18" t="s">
        <v>10630</v>
      </c>
      <c r="C2783" s="17" t="s">
        <v>0</v>
      </c>
      <c r="D2783" s="19">
        <v>14.24</v>
      </c>
      <c r="F2783" s="3" t="str">
        <f t="shared" si="43"/>
        <v>C2617</v>
      </c>
    </row>
    <row r="2784" spans="1:6" x14ac:dyDescent="0.2">
      <c r="A2784" s="17" t="s">
        <v>10631</v>
      </c>
      <c r="B2784" s="18" t="s">
        <v>10632</v>
      </c>
      <c r="C2784" s="17" t="s">
        <v>0</v>
      </c>
      <c r="D2784" s="19">
        <v>21.17</v>
      </c>
      <c r="F2784" s="3" t="str">
        <f t="shared" si="43"/>
        <v>C2618</v>
      </c>
    </row>
    <row r="2785" spans="1:6" x14ac:dyDescent="0.2">
      <c r="A2785" s="17" t="s">
        <v>10633</v>
      </c>
      <c r="B2785" s="18" t="s">
        <v>10634</v>
      </c>
      <c r="C2785" s="17" t="s">
        <v>0</v>
      </c>
      <c r="D2785" s="19">
        <v>24.75</v>
      </c>
      <c r="F2785" s="3" t="str">
        <f t="shared" si="43"/>
        <v>C2619</v>
      </c>
    </row>
    <row r="2786" spans="1:6" x14ac:dyDescent="0.2">
      <c r="A2786" s="17" t="s">
        <v>10635</v>
      </c>
      <c r="B2786" s="18" t="s">
        <v>10636</v>
      </c>
      <c r="C2786" s="17" t="s">
        <v>0</v>
      </c>
      <c r="D2786" s="19">
        <v>37.25</v>
      </c>
      <c r="F2786" s="3" t="str">
        <f t="shared" si="43"/>
        <v>C2620</v>
      </c>
    </row>
    <row r="2787" spans="1:6" x14ac:dyDescent="0.2">
      <c r="A2787" s="17" t="s">
        <v>10637</v>
      </c>
      <c r="B2787" s="18" t="s">
        <v>10638</v>
      </c>
      <c r="C2787" s="17" t="s">
        <v>0</v>
      </c>
      <c r="D2787" s="19">
        <v>58.42</v>
      </c>
      <c r="F2787" s="3" t="str">
        <f t="shared" si="43"/>
        <v>C2621</v>
      </c>
    </row>
    <row r="2788" spans="1:6" x14ac:dyDescent="0.2">
      <c r="A2788" s="17" t="s">
        <v>10639</v>
      </c>
      <c r="B2788" s="18" t="s">
        <v>10640</v>
      </c>
      <c r="C2788" s="17" t="s">
        <v>0</v>
      </c>
      <c r="D2788" s="19">
        <v>71.63</v>
      </c>
      <c r="F2788" s="3" t="str">
        <f t="shared" si="43"/>
        <v>C2622</v>
      </c>
    </row>
    <row r="2789" spans="1:6" x14ac:dyDescent="0.2">
      <c r="A2789" s="17" t="s">
        <v>10641</v>
      </c>
      <c r="B2789" s="18" t="s">
        <v>10642</v>
      </c>
      <c r="C2789" s="17" t="s">
        <v>0</v>
      </c>
      <c r="D2789" s="19">
        <v>104.25</v>
      </c>
      <c r="F2789" s="3" t="str">
        <f t="shared" si="43"/>
        <v>C2623</v>
      </c>
    </row>
    <row r="2790" spans="1:6" x14ac:dyDescent="0.2">
      <c r="A2790" s="17" t="s">
        <v>10643</v>
      </c>
      <c r="B2790" s="18" t="s">
        <v>10644</v>
      </c>
      <c r="C2790" s="17" t="s">
        <v>0</v>
      </c>
      <c r="D2790" s="19">
        <v>19.920000000000002</v>
      </c>
      <c r="F2790" s="3" t="str">
        <f t="shared" si="43"/>
        <v>C2624</v>
      </c>
    </row>
    <row r="2791" spans="1:6" x14ac:dyDescent="0.2">
      <c r="A2791" s="17" t="s">
        <v>10645</v>
      </c>
      <c r="B2791" s="18" t="s">
        <v>10646</v>
      </c>
      <c r="C2791" s="17" t="s">
        <v>0</v>
      </c>
      <c r="D2791" s="19">
        <v>24.03</v>
      </c>
      <c r="F2791" s="3" t="str">
        <f t="shared" si="43"/>
        <v>C2625</v>
      </c>
    </row>
    <row r="2792" spans="1:6" x14ac:dyDescent="0.2">
      <c r="A2792" s="17" t="s">
        <v>10647</v>
      </c>
      <c r="B2792" s="18" t="s">
        <v>10648</v>
      </c>
      <c r="C2792" s="17" t="s">
        <v>0</v>
      </c>
      <c r="D2792" s="19">
        <v>32.1</v>
      </c>
      <c r="F2792" s="3" t="str">
        <f t="shared" si="43"/>
        <v>C2626</v>
      </c>
    </row>
    <row r="2793" spans="1:6" x14ac:dyDescent="0.2">
      <c r="A2793" s="17" t="s">
        <v>10649</v>
      </c>
      <c r="B2793" s="18" t="s">
        <v>10650</v>
      </c>
      <c r="C2793" s="17" t="s">
        <v>0</v>
      </c>
      <c r="D2793" s="19">
        <v>40.090000000000003</v>
      </c>
      <c r="F2793" s="3" t="str">
        <f t="shared" si="43"/>
        <v>C2627</v>
      </c>
    </row>
    <row r="2794" spans="1:6" x14ac:dyDescent="0.2">
      <c r="A2794" s="17" t="s">
        <v>10651</v>
      </c>
      <c r="B2794" s="18" t="s">
        <v>10652</v>
      </c>
      <c r="C2794" s="17" t="s">
        <v>0</v>
      </c>
      <c r="D2794" s="19">
        <v>45.69</v>
      </c>
      <c r="F2794" s="3" t="str">
        <f t="shared" si="43"/>
        <v>C2628</v>
      </c>
    </row>
    <row r="2795" spans="1:6" x14ac:dyDescent="0.2">
      <c r="A2795" s="17" t="s">
        <v>10653</v>
      </c>
      <c r="B2795" s="18" t="s">
        <v>10654</v>
      </c>
      <c r="C2795" s="17" t="s">
        <v>0</v>
      </c>
      <c r="D2795" s="19">
        <v>63.73</v>
      </c>
      <c r="F2795" s="3" t="str">
        <f t="shared" si="43"/>
        <v>C2629</v>
      </c>
    </row>
    <row r="2796" spans="1:6" x14ac:dyDescent="0.2">
      <c r="A2796" s="17" t="s">
        <v>10655</v>
      </c>
      <c r="B2796" s="18" t="s">
        <v>10656</v>
      </c>
      <c r="C2796" s="17" t="s">
        <v>0</v>
      </c>
      <c r="D2796" s="19">
        <v>95.1</v>
      </c>
      <c r="F2796" s="3" t="str">
        <f t="shared" si="43"/>
        <v>C2631</v>
      </c>
    </row>
    <row r="2797" spans="1:6" x14ac:dyDescent="0.2">
      <c r="A2797" s="17" t="s">
        <v>10657</v>
      </c>
      <c r="B2797" s="18" t="s">
        <v>10658</v>
      </c>
      <c r="C2797" s="17" t="s">
        <v>0</v>
      </c>
      <c r="D2797" s="19">
        <v>108.47</v>
      </c>
      <c r="F2797" s="3" t="str">
        <f t="shared" si="43"/>
        <v>C2632</v>
      </c>
    </row>
    <row r="2798" spans="1:6" x14ac:dyDescent="0.2">
      <c r="A2798" s="17" t="s">
        <v>10659</v>
      </c>
      <c r="B2798" s="18" t="s">
        <v>10660</v>
      </c>
      <c r="C2798" s="17" t="s">
        <v>0</v>
      </c>
      <c r="D2798" s="19">
        <v>152.52000000000001</v>
      </c>
      <c r="F2798" s="3" t="str">
        <f t="shared" si="43"/>
        <v>C2630</v>
      </c>
    </row>
    <row r="2799" spans="1:6" x14ac:dyDescent="0.2">
      <c r="A2799" s="17" t="s">
        <v>10661</v>
      </c>
      <c r="B2799" s="18" t="s">
        <v>10662</v>
      </c>
      <c r="C2799" s="17" t="s">
        <v>26</v>
      </c>
      <c r="D2799" s="19">
        <v>12.5</v>
      </c>
      <c r="F2799" s="3" t="str">
        <f t="shared" si="43"/>
        <v>C2648</v>
      </c>
    </row>
    <row r="2800" spans="1:6" x14ac:dyDescent="0.2">
      <c r="A2800" s="17" t="s">
        <v>10663</v>
      </c>
      <c r="B2800" s="18" t="s">
        <v>10664</v>
      </c>
      <c r="C2800" s="17" t="s">
        <v>26</v>
      </c>
      <c r="D2800" s="19">
        <v>14.51</v>
      </c>
      <c r="F2800" s="3" t="str">
        <f t="shared" si="43"/>
        <v>C2652</v>
      </c>
    </row>
    <row r="2801" spans="1:6" x14ac:dyDescent="0.2">
      <c r="A2801" s="17" t="s">
        <v>10665</v>
      </c>
      <c r="B2801" s="18" t="s">
        <v>10666</v>
      </c>
      <c r="C2801" s="17" t="s">
        <v>26</v>
      </c>
      <c r="D2801" s="19">
        <v>26.03</v>
      </c>
      <c r="F2801" s="3" t="str">
        <f t="shared" si="43"/>
        <v>C2647</v>
      </c>
    </row>
    <row r="2802" spans="1:6" x14ac:dyDescent="0.2">
      <c r="A2802" s="17" t="s">
        <v>10667</v>
      </c>
      <c r="B2802" s="18" t="s">
        <v>10668</v>
      </c>
      <c r="C2802" s="17" t="s">
        <v>26</v>
      </c>
      <c r="D2802" s="19">
        <v>43.32</v>
      </c>
      <c r="F2802" s="3" t="str">
        <f t="shared" si="43"/>
        <v>C2646</v>
      </c>
    </row>
    <row r="2803" spans="1:6" x14ac:dyDescent="0.2">
      <c r="A2803" s="17" t="s">
        <v>10669</v>
      </c>
      <c r="B2803" s="18" t="s">
        <v>10670</v>
      </c>
      <c r="C2803" s="17" t="s">
        <v>26</v>
      </c>
      <c r="D2803" s="19">
        <v>43.94</v>
      </c>
      <c r="F2803" s="3" t="str">
        <f t="shared" si="43"/>
        <v>C2645</v>
      </c>
    </row>
    <row r="2804" spans="1:6" x14ac:dyDescent="0.2">
      <c r="A2804" s="17" t="s">
        <v>10671</v>
      </c>
      <c r="B2804" s="18" t="s">
        <v>10672</v>
      </c>
      <c r="C2804" s="17" t="s">
        <v>26</v>
      </c>
      <c r="D2804" s="19">
        <v>96.5</v>
      </c>
      <c r="F2804" s="3" t="str">
        <f t="shared" si="43"/>
        <v>C2650</v>
      </c>
    </row>
    <row r="2805" spans="1:6" x14ac:dyDescent="0.2">
      <c r="A2805" s="17" t="s">
        <v>10673</v>
      </c>
      <c r="B2805" s="18" t="s">
        <v>10674</v>
      </c>
      <c r="C2805" s="17" t="s">
        <v>26</v>
      </c>
      <c r="D2805" s="19">
        <v>240.35</v>
      </c>
      <c r="F2805" s="3" t="str">
        <f t="shared" si="43"/>
        <v>C2651</v>
      </c>
    </row>
    <row r="2806" spans="1:6" x14ac:dyDescent="0.2">
      <c r="A2806" s="17" t="s">
        <v>10675</v>
      </c>
      <c r="B2806" s="18" t="s">
        <v>10676</v>
      </c>
      <c r="C2806" s="17" t="s">
        <v>26</v>
      </c>
      <c r="D2806" s="19">
        <v>191.91</v>
      </c>
      <c r="F2806" s="3" t="str">
        <f t="shared" si="43"/>
        <v>C2649</v>
      </c>
    </row>
    <row r="2807" spans="1:6" x14ac:dyDescent="0.2">
      <c r="A2807" s="17" t="s">
        <v>10677</v>
      </c>
      <c r="B2807" s="18" t="s">
        <v>10678</v>
      </c>
      <c r="C2807" s="17" t="s">
        <v>26</v>
      </c>
      <c r="D2807" s="19">
        <v>365.54</v>
      </c>
      <c r="F2807" s="3" t="str">
        <f t="shared" si="43"/>
        <v>C2653</v>
      </c>
    </row>
    <row r="2808" spans="1:6" x14ac:dyDescent="0.2">
      <c r="A2808" s="17" t="s">
        <v>10679</v>
      </c>
      <c r="B2808" s="18" t="s">
        <v>10680</v>
      </c>
      <c r="C2808" s="17" t="s">
        <v>26</v>
      </c>
      <c r="D2808" s="19">
        <v>11.75</v>
      </c>
      <c r="F2808" s="3" t="str">
        <f t="shared" si="43"/>
        <v>C2654</v>
      </c>
    </row>
    <row r="2809" spans="1:6" x14ac:dyDescent="0.2">
      <c r="A2809" s="17" t="s">
        <v>10681</v>
      </c>
      <c r="B2809" s="18" t="s">
        <v>10682</v>
      </c>
      <c r="C2809" s="17" t="s">
        <v>26</v>
      </c>
      <c r="D2809" s="19">
        <v>13.53</v>
      </c>
      <c r="F2809" s="3" t="str">
        <f t="shared" si="43"/>
        <v>C2655</v>
      </c>
    </row>
    <row r="2810" spans="1:6" x14ac:dyDescent="0.2">
      <c r="A2810" s="17" t="s">
        <v>10683</v>
      </c>
      <c r="B2810" s="18" t="s">
        <v>10684</v>
      </c>
      <c r="C2810" s="17" t="s">
        <v>26</v>
      </c>
      <c r="D2810" s="19">
        <v>19.850000000000001</v>
      </c>
      <c r="F2810" s="3" t="str">
        <f t="shared" si="43"/>
        <v>C2656</v>
      </c>
    </row>
    <row r="2811" spans="1:6" x14ac:dyDescent="0.2">
      <c r="A2811" s="17" t="s">
        <v>10685</v>
      </c>
      <c r="B2811" s="18" t="s">
        <v>10686</v>
      </c>
      <c r="C2811" s="17" t="s">
        <v>26</v>
      </c>
      <c r="D2811" s="19">
        <v>35.97</v>
      </c>
      <c r="F2811" s="3" t="str">
        <f t="shared" si="43"/>
        <v>C2657</v>
      </c>
    </row>
    <row r="2812" spans="1:6" x14ac:dyDescent="0.2">
      <c r="A2812" s="17" t="s">
        <v>10687</v>
      </c>
      <c r="B2812" s="18" t="s">
        <v>10688</v>
      </c>
      <c r="C2812" s="17" t="s">
        <v>26</v>
      </c>
      <c r="D2812" s="19">
        <v>38.76</v>
      </c>
      <c r="F2812" s="3" t="str">
        <f t="shared" si="43"/>
        <v>C2658</v>
      </c>
    </row>
    <row r="2813" spans="1:6" x14ac:dyDescent="0.2">
      <c r="A2813" s="17" t="s">
        <v>10689</v>
      </c>
      <c r="B2813" s="18" t="s">
        <v>10690</v>
      </c>
      <c r="C2813" s="17" t="s">
        <v>26</v>
      </c>
      <c r="D2813" s="19">
        <v>88.01</v>
      </c>
      <c r="F2813" s="3" t="str">
        <f t="shared" si="43"/>
        <v>C2659</v>
      </c>
    </row>
    <row r="2814" spans="1:6" x14ac:dyDescent="0.2">
      <c r="A2814" s="17" t="s">
        <v>10691</v>
      </c>
      <c r="B2814" s="18" t="s">
        <v>10692</v>
      </c>
      <c r="C2814" s="17" t="s">
        <v>26</v>
      </c>
      <c r="D2814" s="19">
        <v>173.93</v>
      </c>
      <c r="F2814" s="3" t="str">
        <f t="shared" si="43"/>
        <v>C2660</v>
      </c>
    </row>
    <row r="2815" spans="1:6" x14ac:dyDescent="0.2">
      <c r="A2815" s="17" t="s">
        <v>10693</v>
      </c>
      <c r="B2815" s="18" t="s">
        <v>10694</v>
      </c>
      <c r="C2815" s="17" t="s">
        <v>26</v>
      </c>
      <c r="D2815" s="19">
        <v>203.56</v>
      </c>
      <c r="F2815" s="3" t="str">
        <f t="shared" si="43"/>
        <v>C2661</v>
      </c>
    </row>
    <row r="2816" spans="1:6" x14ac:dyDescent="0.2">
      <c r="A2816" s="17" t="s">
        <v>10695</v>
      </c>
      <c r="B2816" s="18" t="s">
        <v>10696</v>
      </c>
      <c r="C2816" s="17" t="s">
        <v>26</v>
      </c>
      <c r="D2816" s="19">
        <v>433.01</v>
      </c>
      <c r="F2816" s="3" t="str">
        <f t="shared" si="43"/>
        <v>C2662</v>
      </c>
    </row>
    <row r="2817" spans="1:6" x14ac:dyDescent="0.2">
      <c r="A2817" s="14" t="s">
        <v>10697</v>
      </c>
      <c r="B2817" s="15"/>
      <c r="C2817" s="14">
        <v>0</v>
      </c>
      <c r="D2817" s="16">
        <v>307.70999999999998</v>
      </c>
      <c r="F2817" s="3" t="str">
        <f t="shared" si="43"/>
        <v>TUBOS E CONEXÕES DE PRFV</v>
      </c>
    </row>
    <row r="2818" spans="1:6" x14ac:dyDescent="0.2">
      <c r="A2818" s="17" t="s">
        <v>10698</v>
      </c>
      <c r="B2818" s="18" t="s">
        <v>10699</v>
      </c>
      <c r="C2818" s="17" t="s">
        <v>0</v>
      </c>
      <c r="D2818" s="19">
        <v>16.239999999999998</v>
      </c>
      <c r="F2818" s="3" t="str">
        <f t="shared" ref="F2818:F2881" si="44">A2818</f>
        <v>C4188</v>
      </c>
    </row>
    <row r="2819" spans="1:6" x14ac:dyDescent="0.2">
      <c r="A2819" s="17" t="s">
        <v>10700</v>
      </c>
      <c r="B2819" s="18" t="s">
        <v>10701</v>
      </c>
      <c r="C2819" s="17" t="s">
        <v>0</v>
      </c>
      <c r="D2819" s="19">
        <v>17.04</v>
      </c>
      <c r="F2819" s="3" t="str">
        <f t="shared" si="44"/>
        <v>C4189</v>
      </c>
    </row>
    <row r="2820" spans="1:6" x14ac:dyDescent="0.2">
      <c r="A2820" s="17" t="s">
        <v>10702</v>
      </c>
      <c r="B2820" s="18" t="s">
        <v>10703</v>
      </c>
      <c r="C2820" s="17" t="s">
        <v>0</v>
      </c>
      <c r="D2820" s="19">
        <v>19.559999999999999</v>
      </c>
      <c r="F2820" s="3" t="str">
        <f t="shared" si="44"/>
        <v>C4190</v>
      </c>
    </row>
    <row r="2821" spans="1:6" x14ac:dyDescent="0.2">
      <c r="A2821" s="17" t="s">
        <v>10704</v>
      </c>
      <c r="B2821" s="18" t="s">
        <v>10705</v>
      </c>
      <c r="C2821" s="17" t="s">
        <v>0</v>
      </c>
      <c r="D2821" s="19">
        <v>20.63</v>
      </c>
      <c r="F2821" s="3" t="str">
        <f t="shared" si="44"/>
        <v>C4191</v>
      </c>
    </row>
    <row r="2822" spans="1:6" x14ac:dyDescent="0.2">
      <c r="A2822" s="17" t="s">
        <v>10706</v>
      </c>
      <c r="B2822" s="18" t="s">
        <v>10707</v>
      </c>
      <c r="C2822" s="17" t="s">
        <v>0</v>
      </c>
      <c r="D2822" s="19">
        <v>21.73</v>
      </c>
      <c r="F2822" s="3" t="str">
        <f t="shared" si="44"/>
        <v>C4192</v>
      </c>
    </row>
    <row r="2823" spans="1:6" x14ac:dyDescent="0.2">
      <c r="A2823" s="17" t="s">
        <v>10708</v>
      </c>
      <c r="B2823" s="18" t="s">
        <v>10709</v>
      </c>
      <c r="C2823" s="17" t="s">
        <v>0</v>
      </c>
      <c r="D2823" s="19">
        <v>24.05</v>
      </c>
      <c r="F2823" s="3" t="str">
        <f t="shared" si="44"/>
        <v>C4193</v>
      </c>
    </row>
    <row r="2824" spans="1:6" x14ac:dyDescent="0.2">
      <c r="A2824" s="17" t="s">
        <v>10710</v>
      </c>
      <c r="B2824" s="18" t="s">
        <v>10711</v>
      </c>
      <c r="C2824" s="17" t="s">
        <v>0</v>
      </c>
      <c r="D2824" s="19">
        <v>27.18</v>
      </c>
      <c r="F2824" s="3" t="str">
        <f t="shared" si="44"/>
        <v>C4194</v>
      </c>
    </row>
    <row r="2825" spans="1:6" x14ac:dyDescent="0.2">
      <c r="A2825" s="17" t="s">
        <v>10712</v>
      </c>
      <c r="B2825" s="18" t="s">
        <v>10713</v>
      </c>
      <c r="C2825" s="17" t="s">
        <v>0</v>
      </c>
      <c r="D2825" s="19">
        <v>32.85</v>
      </c>
      <c r="F2825" s="3" t="str">
        <f t="shared" si="44"/>
        <v>C4195</v>
      </c>
    </row>
    <row r="2826" spans="1:6" x14ac:dyDescent="0.2">
      <c r="A2826" s="17" t="s">
        <v>10714</v>
      </c>
      <c r="B2826" s="18" t="s">
        <v>10715</v>
      </c>
      <c r="C2826" s="17" t="s">
        <v>0</v>
      </c>
      <c r="D2826" s="19">
        <v>36.979999999999997</v>
      </c>
      <c r="F2826" s="3" t="str">
        <f t="shared" si="44"/>
        <v>C4196</v>
      </c>
    </row>
    <row r="2827" spans="1:6" x14ac:dyDescent="0.2">
      <c r="A2827" s="17" t="s">
        <v>10716</v>
      </c>
      <c r="B2827" s="18" t="s">
        <v>10717</v>
      </c>
      <c r="C2827" s="17" t="s">
        <v>0</v>
      </c>
      <c r="D2827" s="19">
        <v>41.82</v>
      </c>
      <c r="F2827" s="3" t="str">
        <f t="shared" si="44"/>
        <v>C4197</v>
      </c>
    </row>
    <row r="2828" spans="1:6" x14ac:dyDescent="0.2">
      <c r="A2828" s="17" t="s">
        <v>10718</v>
      </c>
      <c r="B2828" s="18" t="s">
        <v>10719</v>
      </c>
      <c r="C2828" s="17" t="s">
        <v>0</v>
      </c>
      <c r="D2828" s="19">
        <v>49.63</v>
      </c>
      <c r="F2828" s="3" t="str">
        <f t="shared" si="44"/>
        <v>C4198</v>
      </c>
    </row>
    <row r="2829" spans="1:6" x14ac:dyDescent="0.2">
      <c r="A2829" s="14" t="s">
        <v>10720</v>
      </c>
      <c r="B2829" s="15"/>
      <c r="C2829" s="14">
        <v>0</v>
      </c>
      <c r="D2829" s="16">
        <v>384.37</v>
      </c>
      <c r="F2829" s="3" t="str">
        <f t="shared" si="44"/>
        <v>TUBOS E CONEXÕES DE CERÂMICA</v>
      </c>
    </row>
    <row r="2830" spans="1:6" x14ac:dyDescent="0.2">
      <c r="A2830" s="17" t="s">
        <v>10721</v>
      </c>
      <c r="B2830" s="18" t="s">
        <v>10722</v>
      </c>
      <c r="C2830" s="17" t="s">
        <v>0</v>
      </c>
      <c r="D2830" s="19">
        <v>6.9</v>
      </c>
      <c r="F2830" s="3" t="str">
        <f t="shared" si="44"/>
        <v>C0235</v>
      </c>
    </row>
    <row r="2831" spans="1:6" x14ac:dyDescent="0.2">
      <c r="A2831" s="17" t="s">
        <v>10723</v>
      </c>
      <c r="B2831" s="18" t="s">
        <v>10724</v>
      </c>
      <c r="C2831" s="17" t="s">
        <v>0</v>
      </c>
      <c r="D2831" s="19">
        <v>8.92</v>
      </c>
      <c r="F2831" s="3" t="str">
        <f t="shared" si="44"/>
        <v>C0239</v>
      </c>
    </row>
    <row r="2832" spans="1:6" x14ac:dyDescent="0.2">
      <c r="A2832" s="17" t="s">
        <v>10725</v>
      </c>
      <c r="B2832" s="18" t="s">
        <v>10726</v>
      </c>
      <c r="C2832" s="17" t="s">
        <v>0</v>
      </c>
      <c r="D2832" s="19">
        <v>10.88</v>
      </c>
      <c r="F2832" s="3" t="str">
        <f t="shared" si="44"/>
        <v>C0236</v>
      </c>
    </row>
    <row r="2833" spans="1:6" x14ac:dyDescent="0.2">
      <c r="A2833" s="17" t="s">
        <v>10727</v>
      </c>
      <c r="B2833" s="18" t="s">
        <v>10728</v>
      </c>
      <c r="C2833" s="17" t="s">
        <v>0</v>
      </c>
      <c r="D2833" s="19">
        <v>14.8</v>
      </c>
      <c r="F2833" s="3" t="str">
        <f t="shared" si="44"/>
        <v>C0237</v>
      </c>
    </row>
    <row r="2834" spans="1:6" x14ac:dyDescent="0.2">
      <c r="A2834" s="17" t="s">
        <v>10729</v>
      </c>
      <c r="B2834" s="18" t="s">
        <v>10730</v>
      </c>
      <c r="C2834" s="17" t="s">
        <v>0</v>
      </c>
      <c r="D2834" s="19">
        <v>18.309999999999999</v>
      </c>
      <c r="F2834" s="3" t="str">
        <f t="shared" si="44"/>
        <v>C0238</v>
      </c>
    </row>
    <row r="2835" spans="1:6" x14ac:dyDescent="0.2">
      <c r="A2835" s="17" t="s">
        <v>10731</v>
      </c>
      <c r="B2835" s="18" t="s">
        <v>10732</v>
      </c>
      <c r="C2835" s="17" t="s">
        <v>0</v>
      </c>
      <c r="D2835" s="19">
        <v>22.94</v>
      </c>
      <c r="F2835" s="3" t="str">
        <f t="shared" si="44"/>
        <v>C0240</v>
      </c>
    </row>
    <row r="2836" spans="1:6" x14ac:dyDescent="0.2">
      <c r="A2836" s="17" t="s">
        <v>10733</v>
      </c>
      <c r="B2836" s="18" t="s">
        <v>10734</v>
      </c>
      <c r="C2836" s="17" t="s">
        <v>0</v>
      </c>
      <c r="D2836" s="19">
        <v>26.07</v>
      </c>
      <c r="F2836" s="3" t="str">
        <f t="shared" si="44"/>
        <v>C0241</v>
      </c>
    </row>
    <row r="2837" spans="1:6" x14ac:dyDescent="0.2">
      <c r="A2837" s="17" t="s">
        <v>10735</v>
      </c>
      <c r="B2837" s="18" t="s">
        <v>10736</v>
      </c>
      <c r="C2837" s="17" t="s">
        <v>0</v>
      </c>
      <c r="D2837" s="19">
        <v>30.91</v>
      </c>
      <c r="F2837" s="3" t="str">
        <f t="shared" si="44"/>
        <v>C0242</v>
      </c>
    </row>
    <row r="2838" spans="1:6" x14ac:dyDescent="0.2">
      <c r="A2838" s="17" t="s">
        <v>10737</v>
      </c>
      <c r="B2838" s="18" t="s">
        <v>10738</v>
      </c>
      <c r="C2838" s="17" t="s">
        <v>0</v>
      </c>
      <c r="D2838" s="19">
        <v>41.92</v>
      </c>
      <c r="F2838" s="3" t="str">
        <f t="shared" si="44"/>
        <v>C0243</v>
      </c>
    </row>
    <row r="2839" spans="1:6" x14ac:dyDescent="0.2">
      <c r="A2839" s="17" t="s">
        <v>10739</v>
      </c>
      <c r="B2839" s="18" t="s">
        <v>10740</v>
      </c>
      <c r="C2839" s="17" t="s">
        <v>0</v>
      </c>
      <c r="D2839" s="19">
        <v>52.98</v>
      </c>
      <c r="F2839" s="3" t="str">
        <f t="shared" si="44"/>
        <v>C0244</v>
      </c>
    </row>
    <row r="2840" spans="1:6" x14ac:dyDescent="0.2">
      <c r="A2840" s="17" t="s">
        <v>10741</v>
      </c>
      <c r="B2840" s="18" t="s">
        <v>10742</v>
      </c>
      <c r="C2840" s="17" t="s">
        <v>0</v>
      </c>
      <c r="D2840" s="19">
        <v>67.290000000000006</v>
      </c>
      <c r="F2840" s="3" t="str">
        <f t="shared" si="44"/>
        <v>C0245</v>
      </c>
    </row>
    <row r="2841" spans="1:6" x14ac:dyDescent="0.2">
      <c r="A2841" s="17" t="s">
        <v>10743</v>
      </c>
      <c r="B2841" s="18" t="s">
        <v>10744</v>
      </c>
      <c r="C2841" s="17" t="s">
        <v>0</v>
      </c>
      <c r="D2841" s="19">
        <v>82.45</v>
      </c>
      <c r="F2841" s="3" t="str">
        <f t="shared" si="44"/>
        <v>C0246</v>
      </c>
    </row>
    <row r="2842" spans="1:6" x14ac:dyDescent="0.2">
      <c r="A2842" s="14" t="s">
        <v>10745</v>
      </c>
      <c r="B2842" s="15"/>
      <c r="C2842" s="14">
        <v>0</v>
      </c>
      <c r="D2842" s="16">
        <v>3159.44</v>
      </c>
      <c r="F2842" s="3" t="str">
        <f t="shared" si="44"/>
        <v>TUBOS E CONEXÕES DE CONCRETO</v>
      </c>
    </row>
    <row r="2843" spans="1:6" x14ac:dyDescent="0.2">
      <c r="A2843" s="17" t="s">
        <v>10746</v>
      </c>
      <c r="B2843" s="18" t="s">
        <v>10747</v>
      </c>
      <c r="C2843" s="17" t="s">
        <v>0</v>
      </c>
      <c r="D2843" s="19">
        <v>23.14</v>
      </c>
      <c r="F2843" s="3" t="str">
        <f t="shared" si="44"/>
        <v>C0305</v>
      </c>
    </row>
    <row r="2844" spans="1:6" x14ac:dyDescent="0.2">
      <c r="A2844" s="17" t="s">
        <v>10748</v>
      </c>
      <c r="B2844" s="18" t="s">
        <v>10749</v>
      </c>
      <c r="C2844" s="17" t="s">
        <v>0</v>
      </c>
      <c r="D2844" s="19">
        <v>30.78</v>
      </c>
      <c r="F2844" s="3" t="str">
        <f t="shared" si="44"/>
        <v>C0306</v>
      </c>
    </row>
    <row r="2845" spans="1:6" x14ac:dyDescent="0.2">
      <c r="A2845" s="17" t="s">
        <v>10750</v>
      </c>
      <c r="B2845" s="18" t="s">
        <v>10751</v>
      </c>
      <c r="C2845" s="17" t="s">
        <v>0</v>
      </c>
      <c r="D2845" s="19">
        <v>40.4</v>
      </c>
      <c r="F2845" s="3" t="str">
        <f t="shared" si="44"/>
        <v>C0298</v>
      </c>
    </row>
    <row r="2846" spans="1:6" x14ac:dyDescent="0.2">
      <c r="A2846" s="17" t="s">
        <v>10752</v>
      </c>
      <c r="B2846" s="18" t="s">
        <v>10753</v>
      </c>
      <c r="C2846" s="17" t="s">
        <v>0</v>
      </c>
      <c r="D2846" s="19">
        <v>62.86</v>
      </c>
      <c r="F2846" s="3" t="str">
        <f t="shared" si="44"/>
        <v>C0299</v>
      </c>
    </row>
    <row r="2847" spans="1:6" x14ac:dyDescent="0.2">
      <c r="A2847" s="17" t="s">
        <v>10754</v>
      </c>
      <c r="B2847" s="18" t="s">
        <v>10755</v>
      </c>
      <c r="C2847" s="17" t="s">
        <v>0</v>
      </c>
      <c r="D2847" s="19">
        <v>86.86</v>
      </c>
      <c r="F2847" s="3" t="str">
        <f t="shared" si="44"/>
        <v>C0300</v>
      </c>
    </row>
    <row r="2848" spans="1:6" x14ac:dyDescent="0.2">
      <c r="A2848" s="17" t="s">
        <v>10756</v>
      </c>
      <c r="B2848" s="18" t="s">
        <v>10757</v>
      </c>
      <c r="C2848" s="17" t="s">
        <v>0</v>
      </c>
      <c r="D2848" s="19">
        <v>109.38</v>
      </c>
      <c r="F2848" s="3" t="str">
        <f t="shared" si="44"/>
        <v>C0301</v>
      </c>
    </row>
    <row r="2849" spans="1:6" x14ac:dyDescent="0.2">
      <c r="A2849" s="17" t="s">
        <v>10758</v>
      </c>
      <c r="B2849" s="18" t="s">
        <v>10759</v>
      </c>
      <c r="C2849" s="17" t="s">
        <v>0</v>
      </c>
      <c r="D2849" s="19">
        <v>137.16999999999999</v>
      </c>
      <c r="F2849" s="3" t="str">
        <f t="shared" si="44"/>
        <v>C0302</v>
      </c>
    </row>
    <row r="2850" spans="1:6" x14ac:dyDescent="0.2">
      <c r="A2850" s="17" t="s">
        <v>10760</v>
      </c>
      <c r="B2850" s="18" t="s">
        <v>10761</v>
      </c>
      <c r="C2850" s="17" t="s">
        <v>0</v>
      </c>
      <c r="D2850" s="19">
        <v>161.9</v>
      </c>
      <c r="F2850" s="3" t="str">
        <f t="shared" si="44"/>
        <v>C0303</v>
      </c>
    </row>
    <row r="2851" spans="1:6" x14ac:dyDescent="0.2">
      <c r="A2851" s="17" t="s">
        <v>10762</v>
      </c>
      <c r="B2851" s="18" t="s">
        <v>10763</v>
      </c>
      <c r="C2851" s="17" t="s">
        <v>0</v>
      </c>
      <c r="D2851" s="19">
        <v>200.6</v>
      </c>
      <c r="F2851" s="3" t="str">
        <f t="shared" si="44"/>
        <v>C0304</v>
      </c>
    </row>
    <row r="2852" spans="1:6" x14ac:dyDescent="0.2">
      <c r="A2852" s="17" t="s">
        <v>10764</v>
      </c>
      <c r="B2852" s="18" t="s">
        <v>10765</v>
      </c>
      <c r="C2852" s="17" t="s">
        <v>0</v>
      </c>
      <c r="D2852" s="19">
        <v>258.37</v>
      </c>
      <c r="F2852" s="3" t="str">
        <f t="shared" si="44"/>
        <v>C0293</v>
      </c>
    </row>
    <row r="2853" spans="1:6" x14ac:dyDescent="0.2">
      <c r="A2853" s="17" t="s">
        <v>10766</v>
      </c>
      <c r="B2853" s="18" t="s">
        <v>10767</v>
      </c>
      <c r="C2853" s="17" t="s">
        <v>0</v>
      </c>
      <c r="D2853" s="19">
        <v>345.2</v>
      </c>
      <c r="F2853" s="3" t="str">
        <f t="shared" si="44"/>
        <v>C0294</v>
      </c>
    </row>
    <row r="2854" spans="1:6" x14ac:dyDescent="0.2">
      <c r="A2854" s="17" t="s">
        <v>10768</v>
      </c>
      <c r="B2854" s="18" t="s">
        <v>10769</v>
      </c>
      <c r="C2854" s="17" t="s">
        <v>0</v>
      </c>
      <c r="D2854" s="19">
        <v>436.69</v>
      </c>
      <c r="F2854" s="3" t="str">
        <f t="shared" si="44"/>
        <v>C0295</v>
      </c>
    </row>
    <row r="2855" spans="1:6" x14ac:dyDescent="0.2">
      <c r="A2855" s="17" t="s">
        <v>10770</v>
      </c>
      <c r="B2855" s="18" t="s">
        <v>10771</v>
      </c>
      <c r="C2855" s="17" t="s">
        <v>0</v>
      </c>
      <c r="D2855" s="19">
        <v>556.77</v>
      </c>
      <c r="F2855" s="3" t="str">
        <f t="shared" si="44"/>
        <v>C0296</v>
      </c>
    </row>
    <row r="2856" spans="1:6" x14ac:dyDescent="0.2">
      <c r="A2856" s="17" t="s">
        <v>10772</v>
      </c>
      <c r="B2856" s="18" t="s">
        <v>10773</v>
      </c>
      <c r="C2856" s="17" t="s">
        <v>0</v>
      </c>
      <c r="D2856" s="19">
        <v>709.32</v>
      </c>
      <c r="F2856" s="3" t="str">
        <f t="shared" si="44"/>
        <v>C0297</v>
      </c>
    </row>
    <row r="2857" spans="1:6" x14ac:dyDescent="0.2">
      <c r="A2857" s="14" t="s">
        <v>10774</v>
      </c>
      <c r="B2857" s="15"/>
      <c r="C2857" s="14">
        <v>0</v>
      </c>
      <c r="D2857" s="16">
        <v>8305.27</v>
      </c>
      <c r="F2857" s="3" t="str">
        <f t="shared" si="44"/>
        <v>TUBOS E CONEXÕES DE COBRE</v>
      </c>
    </row>
    <row r="2858" spans="1:6" x14ac:dyDescent="0.2">
      <c r="A2858" s="17" t="s">
        <v>10775</v>
      </c>
      <c r="B2858" s="18" t="s">
        <v>10776</v>
      </c>
      <c r="C2858" s="17" t="s">
        <v>26</v>
      </c>
      <c r="D2858" s="19">
        <v>12.63</v>
      </c>
      <c r="F2858" s="3" t="str">
        <f t="shared" si="44"/>
        <v>C1007</v>
      </c>
    </row>
    <row r="2859" spans="1:6" x14ac:dyDescent="0.2">
      <c r="A2859" s="17" t="s">
        <v>10777</v>
      </c>
      <c r="B2859" s="18" t="s">
        <v>10778</v>
      </c>
      <c r="C2859" s="17" t="s">
        <v>26</v>
      </c>
      <c r="D2859" s="19">
        <v>18.760000000000002</v>
      </c>
      <c r="F2859" s="3" t="str">
        <f t="shared" si="44"/>
        <v>C1008</v>
      </c>
    </row>
    <row r="2860" spans="1:6" x14ac:dyDescent="0.2">
      <c r="A2860" s="17" t="s">
        <v>10779</v>
      </c>
      <c r="B2860" s="18" t="s">
        <v>10780</v>
      </c>
      <c r="C2860" s="17" t="s">
        <v>26</v>
      </c>
      <c r="D2860" s="19">
        <v>26.59</v>
      </c>
      <c r="F2860" s="3" t="str">
        <f t="shared" si="44"/>
        <v>C1009</v>
      </c>
    </row>
    <row r="2861" spans="1:6" x14ac:dyDescent="0.2">
      <c r="A2861" s="17" t="s">
        <v>10781</v>
      </c>
      <c r="B2861" s="18" t="s">
        <v>10782</v>
      </c>
      <c r="C2861" s="17" t="s">
        <v>26</v>
      </c>
      <c r="D2861" s="19">
        <v>49.22</v>
      </c>
      <c r="F2861" s="3" t="str">
        <f t="shared" si="44"/>
        <v>C1010</v>
      </c>
    </row>
    <row r="2862" spans="1:6" x14ac:dyDescent="0.2">
      <c r="A2862" s="17" t="s">
        <v>10783</v>
      </c>
      <c r="B2862" s="18" t="s">
        <v>10784</v>
      </c>
      <c r="C2862" s="17" t="s">
        <v>26</v>
      </c>
      <c r="D2862" s="19">
        <v>69.31</v>
      </c>
      <c r="F2862" s="3" t="str">
        <f t="shared" si="44"/>
        <v>C1011</v>
      </c>
    </row>
    <row r="2863" spans="1:6" x14ac:dyDescent="0.2">
      <c r="A2863" s="17" t="s">
        <v>10785</v>
      </c>
      <c r="B2863" s="18" t="s">
        <v>10786</v>
      </c>
      <c r="C2863" s="17" t="s">
        <v>26</v>
      </c>
      <c r="D2863" s="19">
        <v>102.47</v>
      </c>
      <c r="F2863" s="3" t="str">
        <f t="shared" si="44"/>
        <v>C1012</v>
      </c>
    </row>
    <row r="2864" spans="1:6" x14ac:dyDescent="0.2">
      <c r="A2864" s="17" t="s">
        <v>10787</v>
      </c>
      <c r="B2864" s="18" t="s">
        <v>10788</v>
      </c>
      <c r="C2864" s="17" t="s">
        <v>26</v>
      </c>
      <c r="D2864" s="19">
        <v>324.16000000000003</v>
      </c>
      <c r="F2864" s="3" t="str">
        <f t="shared" si="44"/>
        <v>C1013</v>
      </c>
    </row>
    <row r="2865" spans="1:6" x14ac:dyDescent="0.2">
      <c r="A2865" s="17" t="s">
        <v>10789</v>
      </c>
      <c r="B2865" s="18" t="s">
        <v>10790</v>
      </c>
      <c r="C2865" s="17" t="s">
        <v>26</v>
      </c>
      <c r="D2865" s="19">
        <v>309.61</v>
      </c>
      <c r="F2865" s="3" t="str">
        <f t="shared" si="44"/>
        <v>C1014</v>
      </c>
    </row>
    <row r="2866" spans="1:6" x14ac:dyDescent="0.2">
      <c r="A2866" s="17" t="s">
        <v>10791</v>
      </c>
      <c r="B2866" s="18" t="s">
        <v>10792</v>
      </c>
      <c r="C2866" s="17" t="s">
        <v>26</v>
      </c>
      <c r="D2866" s="19">
        <v>749.68</v>
      </c>
      <c r="F2866" s="3" t="str">
        <f t="shared" si="44"/>
        <v>C1015</v>
      </c>
    </row>
    <row r="2867" spans="1:6" x14ac:dyDescent="0.2">
      <c r="A2867" s="17" t="s">
        <v>10793</v>
      </c>
      <c r="B2867" s="18" t="s">
        <v>10794</v>
      </c>
      <c r="C2867" s="17" t="s">
        <v>26</v>
      </c>
      <c r="D2867" s="19">
        <v>15.3</v>
      </c>
      <c r="F2867" s="3" t="str">
        <f t="shared" si="44"/>
        <v>C2332</v>
      </c>
    </row>
    <row r="2868" spans="1:6" x14ac:dyDescent="0.2">
      <c r="A2868" s="17" t="s">
        <v>10795</v>
      </c>
      <c r="B2868" s="18" t="s">
        <v>10796</v>
      </c>
      <c r="C2868" s="17" t="s">
        <v>26</v>
      </c>
      <c r="D2868" s="19">
        <v>22.91</v>
      </c>
      <c r="F2868" s="3" t="str">
        <f t="shared" si="44"/>
        <v>C2333</v>
      </c>
    </row>
    <row r="2869" spans="1:6" x14ac:dyDescent="0.2">
      <c r="A2869" s="17" t="s">
        <v>10797</v>
      </c>
      <c r="B2869" s="18" t="s">
        <v>10798</v>
      </c>
      <c r="C2869" s="17" t="s">
        <v>26</v>
      </c>
      <c r="D2869" s="19">
        <v>31.95</v>
      </c>
      <c r="F2869" s="3" t="str">
        <f t="shared" si="44"/>
        <v>C2334</v>
      </c>
    </row>
    <row r="2870" spans="1:6" x14ac:dyDescent="0.2">
      <c r="A2870" s="17" t="s">
        <v>10799</v>
      </c>
      <c r="B2870" s="18" t="s">
        <v>10800</v>
      </c>
      <c r="C2870" s="17" t="s">
        <v>26</v>
      </c>
      <c r="D2870" s="19">
        <v>67.23</v>
      </c>
      <c r="F2870" s="3" t="str">
        <f t="shared" si="44"/>
        <v>C2335</v>
      </c>
    </row>
    <row r="2871" spans="1:6" x14ac:dyDescent="0.2">
      <c r="A2871" s="17" t="s">
        <v>10801</v>
      </c>
      <c r="B2871" s="18" t="s">
        <v>10802</v>
      </c>
      <c r="C2871" s="17" t="s">
        <v>26</v>
      </c>
      <c r="D2871" s="19">
        <v>83.25</v>
      </c>
      <c r="F2871" s="3" t="str">
        <f t="shared" si="44"/>
        <v>C2336</v>
      </c>
    </row>
    <row r="2872" spans="1:6" x14ac:dyDescent="0.2">
      <c r="A2872" s="17" t="s">
        <v>10803</v>
      </c>
      <c r="B2872" s="18" t="s">
        <v>10804</v>
      </c>
      <c r="C2872" s="17" t="s">
        <v>26</v>
      </c>
      <c r="D2872" s="19">
        <v>149.22</v>
      </c>
      <c r="F2872" s="3" t="str">
        <f t="shared" si="44"/>
        <v>C2337</v>
      </c>
    </row>
    <row r="2873" spans="1:6" x14ac:dyDescent="0.2">
      <c r="A2873" s="17" t="s">
        <v>10805</v>
      </c>
      <c r="B2873" s="18" t="s">
        <v>10806</v>
      </c>
      <c r="C2873" s="17" t="s">
        <v>26</v>
      </c>
      <c r="D2873" s="19">
        <v>386.69</v>
      </c>
      <c r="F2873" s="3" t="str">
        <f t="shared" si="44"/>
        <v>C2338</v>
      </c>
    </row>
    <row r="2874" spans="1:6" x14ac:dyDescent="0.2">
      <c r="A2874" s="17" t="s">
        <v>10807</v>
      </c>
      <c r="B2874" s="18" t="s">
        <v>10808</v>
      </c>
      <c r="C2874" s="17" t="s">
        <v>26</v>
      </c>
      <c r="D2874" s="19">
        <v>462.38</v>
      </c>
      <c r="F2874" s="3" t="str">
        <f t="shared" si="44"/>
        <v>C2339</v>
      </c>
    </row>
    <row r="2875" spans="1:6" x14ac:dyDescent="0.2">
      <c r="A2875" s="17" t="s">
        <v>10809</v>
      </c>
      <c r="B2875" s="18" t="s">
        <v>10810</v>
      </c>
      <c r="C2875" s="17" t="s">
        <v>26</v>
      </c>
      <c r="D2875" s="19">
        <v>932.73</v>
      </c>
      <c r="F2875" s="3" t="str">
        <f t="shared" si="44"/>
        <v>C2340</v>
      </c>
    </row>
    <row r="2876" spans="1:6" x14ac:dyDescent="0.2">
      <c r="A2876" s="17" t="s">
        <v>10811</v>
      </c>
      <c r="B2876" s="18" t="s">
        <v>10812</v>
      </c>
      <c r="C2876" s="17" t="s">
        <v>0</v>
      </c>
      <c r="D2876" s="19">
        <v>32.869999999999997</v>
      </c>
      <c r="F2876" s="3" t="str">
        <f t="shared" si="44"/>
        <v>C2565</v>
      </c>
    </row>
    <row r="2877" spans="1:6" x14ac:dyDescent="0.2">
      <c r="A2877" s="17" t="s">
        <v>10813</v>
      </c>
      <c r="B2877" s="18" t="s">
        <v>10814</v>
      </c>
      <c r="C2877" s="17" t="s">
        <v>0</v>
      </c>
      <c r="D2877" s="19">
        <v>55.18</v>
      </c>
      <c r="F2877" s="3" t="str">
        <f t="shared" si="44"/>
        <v>C2566</v>
      </c>
    </row>
    <row r="2878" spans="1:6" x14ac:dyDescent="0.2">
      <c r="A2878" s="17" t="s">
        <v>10815</v>
      </c>
      <c r="B2878" s="18" t="s">
        <v>10816</v>
      </c>
      <c r="C2878" s="17" t="s">
        <v>0</v>
      </c>
      <c r="D2878" s="19">
        <v>68.430000000000007</v>
      </c>
      <c r="F2878" s="3" t="str">
        <f t="shared" si="44"/>
        <v>C2567</v>
      </c>
    </row>
    <row r="2879" spans="1:6" x14ac:dyDescent="0.2">
      <c r="A2879" s="17" t="s">
        <v>10817</v>
      </c>
      <c r="B2879" s="18" t="s">
        <v>10818</v>
      </c>
      <c r="C2879" s="17" t="s">
        <v>0</v>
      </c>
      <c r="D2879" s="19">
        <v>99.65</v>
      </c>
      <c r="F2879" s="3" t="str">
        <f t="shared" si="44"/>
        <v>C2568</v>
      </c>
    </row>
    <row r="2880" spans="1:6" x14ac:dyDescent="0.2">
      <c r="A2880" s="17" t="s">
        <v>10819</v>
      </c>
      <c r="B2880" s="18" t="s">
        <v>10820</v>
      </c>
      <c r="C2880" s="17" t="s">
        <v>0</v>
      </c>
      <c r="D2880" s="19">
        <v>131.49</v>
      </c>
      <c r="F2880" s="3" t="str">
        <f t="shared" si="44"/>
        <v>C2569</v>
      </c>
    </row>
    <row r="2881" spans="1:6" x14ac:dyDescent="0.2">
      <c r="A2881" s="17" t="s">
        <v>10821</v>
      </c>
      <c r="B2881" s="18" t="s">
        <v>10822</v>
      </c>
      <c r="C2881" s="17" t="s">
        <v>0</v>
      </c>
      <c r="D2881" s="19">
        <v>190.91</v>
      </c>
      <c r="F2881" s="3" t="str">
        <f t="shared" si="44"/>
        <v>C2570</v>
      </c>
    </row>
    <row r="2882" spans="1:6" x14ac:dyDescent="0.2">
      <c r="A2882" s="17" t="s">
        <v>10823</v>
      </c>
      <c r="B2882" s="18" t="s">
        <v>10824</v>
      </c>
      <c r="C2882" s="17" t="s">
        <v>0</v>
      </c>
      <c r="D2882" s="19">
        <v>266.08999999999997</v>
      </c>
      <c r="F2882" s="3" t="str">
        <f t="shared" ref="F2882:F2945" si="45">A2882</f>
        <v>C2571</v>
      </c>
    </row>
    <row r="2883" spans="1:6" x14ac:dyDescent="0.2">
      <c r="A2883" s="17" t="s">
        <v>10825</v>
      </c>
      <c r="B2883" s="18" t="s">
        <v>10826</v>
      </c>
      <c r="C2883" s="17" t="s">
        <v>0</v>
      </c>
      <c r="D2883" s="19">
        <v>383.78</v>
      </c>
      <c r="F2883" s="3" t="str">
        <f t="shared" si="45"/>
        <v>C2572</v>
      </c>
    </row>
    <row r="2884" spans="1:6" x14ac:dyDescent="0.2">
      <c r="A2884" s="17" t="s">
        <v>10827</v>
      </c>
      <c r="B2884" s="18" t="s">
        <v>10828</v>
      </c>
      <c r="C2884" s="17" t="s">
        <v>0</v>
      </c>
      <c r="D2884" s="19">
        <v>560.35</v>
      </c>
      <c r="F2884" s="3" t="str">
        <f t="shared" si="45"/>
        <v>C2573</v>
      </c>
    </row>
    <row r="2885" spans="1:6" x14ac:dyDescent="0.2">
      <c r="A2885" s="17" t="s">
        <v>10829</v>
      </c>
      <c r="B2885" s="18" t="s">
        <v>10830</v>
      </c>
      <c r="C2885" s="17" t="s">
        <v>0</v>
      </c>
      <c r="D2885" s="19">
        <v>65.33</v>
      </c>
      <c r="F2885" s="3" t="str">
        <f t="shared" si="45"/>
        <v>C2574</v>
      </c>
    </row>
    <row r="2886" spans="1:6" x14ac:dyDescent="0.2">
      <c r="A2886" s="17" t="s">
        <v>10831</v>
      </c>
      <c r="B2886" s="18" t="s">
        <v>10832</v>
      </c>
      <c r="C2886" s="17" t="s">
        <v>0</v>
      </c>
      <c r="D2886" s="19">
        <v>98.73</v>
      </c>
      <c r="F2886" s="3" t="str">
        <f t="shared" si="45"/>
        <v>C2575</v>
      </c>
    </row>
    <row r="2887" spans="1:6" x14ac:dyDescent="0.2">
      <c r="A2887" s="17" t="s">
        <v>10833</v>
      </c>
      <c r="B2887" s="18" t="s">
        <v>10834</v>
      </c>
      <c r="C2887" s="17" t="s">
        <v>0</v>
      </c>
      <c r="D2887" s="19">
        <v>118.81</v>
      </c>
      <c r="F2887" s="3" t="str">
        <f t="shared" si="45"/>
        <v>C2576</v>
      </c>
    </row>
    <row r="2888" spans="1:6" x14ac:dyDescent="0.2">
      <c r="A2888" s="17" t="s">
        <v>10835</v>
      </c>
      <c r="B2888" s="18" t="s">
        <v>10836</v>
      </c>
      <c r="C2888" s="17" t="s">
        <v>0</v>
      </c>
      <c r="D2888" s="19">
        <v>166.24</v>
      </c>
      <c r="F2888" s="3" t="str">
        <f t="shared" si="45"/>
        <v>C2577</v>
      </c>
    </row>
    <row r="2889" spans="1:6" x14ac:dyDescent="0.2">
      <c r="A2889" s="17" t="s">
        <v>10837</v>
      </c>
      <c r="B2889" s="18" t="s">
        <v>10838</v>
      </c>
      <c r="C2889" s="17" t="s">
        <v>0</v>
      </c>
      <c r="D2889" s="19">
        <v>205.51</v>
      </c>
      <c r="F2889" s="3" t="str">
        <f t="shared" si="45"/>
        <v>C2578</v>
      </c>
    </row>
    <row r="2890" spans="1:6" x14ac:dyDescent="0.2">
      <c r="A2890" s="17" t="s">
        <v>10839</v>
      </c>
      <c r="B2890" s="18" t="s">
        <v>10840</v>
      </c>
      <c r="C2890" s="17" t="s">
        <v>0</v>
      </c>
      <c r="D2890" s="19">
        <v>295.8</v>
      </c>
      <c r="F2890" s="3" t="str">
        <f t="shared" si="45"/>
        <v>C2579</v>
      </c>
    </row>
    <row r="2891" spans="1:6" x14ac:dyDescent="0.2">
      <c r="A2891" s="17" t="s">
        <v>10841</v>
      </c>
      <c r="B2891" s="18" t="s">
        <v>10842</v>
      </c>
      <c r="C2891" s="17" t="s">
        <v>0</v>
      </c>
      <c r="D2891" s="19">
        <v>409.45</v>
      </c>
      <c r="F2891" s="3" t="str">
        <f t="shared" si="45"/>
        <v>C2580</v>
      </c>
    </row>
    <row r="2892" spans="1:6" x14ac:dyDescent="0.2">
      <c r="A2892" s="17" t="s">
        <v>10843</v>
      </c>
      <c r="B2892" s="18" t="s">
        <v>10844</v>
      </c>
      <c r="C2892" s="17" t="s">
        <v>0</v>
      </c>
      <c r="D2892" s="19">
        <v>547.96</v>
      </c>
      <c r="F2892" s="3" t="str">
        <f t="shared" si="45"/>
        <v>C2581</v>
      </c>
    </row>
    <row r="2893" spans="1:6" x14ac:dyDescent="0.2">
      <c r="A2893" s="17" t="s">
        <v>10845</v>
      </c>
      <c r="B2893" s="18" t="s">
        <v>10846</v>
      </c>
      <c r="C2893" s="17" t="s">
        <v>0</v>
      </c>
      <c r="D2893" s="19">
        <v>794.6</v>
      </c>
      <c r="F2893" s="3" t="str">
        <f t="shared" si="45"/>
        <v>C2582</v>
      </c>
    </row>
    <row r="2894" spans="1:6" x14ac:dyDescent="0.2">
      <c r="A2894" s="14" t="s">
        <v>10847</v>
      </c>
      <c r="B2894" s="15"/>
      <c r="C2894" s="14">
        <v>0</v>
      </c>
      <c r="D2894" s="16">
        <v>15740.36</v>
      </c>
      <c r="F2894" s="3" t="str">
        <f t="shared" si="45"/>
        <v>REGISTROS E VÁLVULAS</v>
      </c>
    </row>
    <row r="2895" spans="1:6" x14ac:dyDescent="0.2">
      <c r="A2895" s="17" t="s">
        <v>10848</v>
      </c>
      <c r="B2895" s="18" t="s">
        <v>10849</v>
      </c>
      <c r="C2895" s="17" t="s">
        <v>26</v>
      </c>
      <c r="D2895" s="19">
        <v>47.45</v>
      </c>
      <c r="F2895" s="3" t="str">
        <f t="shared" si="45"/>
        <v>C3599</v>
      </c>
    </row>
    <row r="2896" spans="1:6" x14ac:dyDescent="0.2">
      <c r="A2896" s="17" t="s">
        <v>10850</v>
      </c>
      <c r="B2896" s="18" t="s">
        <v>10851</v>
      </c>
      <c r="C2896" s="17" t="s">
        <v>26</v>
      </c>
      <c r="D2896" s="19">
        <v>34.520000000000003</v>
      </c>
      <c r="F2896" s="3" t="str">
        <f t="shared" si="45"/>
        <v>C3600</v>
      </c>
    </row>
    <row r="2897" spans="1:6" x14ac:dyDescent="0.2">
      <c r="A2897" s="17" t="s">
        <v>10852</v>
      </c>
      <c r="B2897" s="18" t="s">
        <v>10853</v>
      </c>
      <c r="C2897" s="17" t="s">
        <v>26</v>
      </c>
      <c r="D2897" s="19">
        <v>55.83</v>
      </c>
      <c r="F2897" s="3" t="str">
        <f t="shared" si="45"/>
        <v>C2156</v>
      </c>
    </row>
    <row r="2898" spans="1:6" x14ac:dyDescent="0.2">
      <c r="A2898" s="17" t="s">
        <v>10854</v>
      </c>
      <c r="B2898" s="18" t="s">
        <v>10855</v>
      </c>
      <c r="C2898" s="17" t="s">
        <v>26</v>
      </c>
      <c r="D2898" s="19">
        <v>57.76</v>
      </c>
      <c r="F2898" s="3" t="str">
        <f t="shared" si="45"/>
        <v>C2157</v>
      </c>
    </row>
    <row r="2899" spans="1:6" x14ac:dyDescent="0.2">
      <c r="A2899" s="17" t="s">
        <v>10856</v>
      </c>
      <c r="B2899" s="18" t="s">
        <v>10857</v>
      </c>
      <c r="C2899" s="17" t="s">
        <v>26</v>
      </c>
      <c r="D2899" s="19">
        <v>77.78</v>
      </c>
      <c r="F2899" s="3" t="str">
        <f t="shared" si="45"/>
        <v>C2158</v>
      </c>
    </row>
    <row r="2900" spans="1:6" x14ac:dyDescent="0.2">
      <c r="A2900" s="17" t="s">
        <v>10858</v>
      </c>
      <c r="B2900" s="18" t="s">
        <v>10859</v>
      </c>
      <c r="C2900" s="17" t="s">
        <v>26</v>
      </c>
      <c r="D2900" s="19">
        <v>110.8</v>
      </c>
      <c r="F2900" s="3" t="str">
        <f t="shared" si="45"/>
        <v>C2159</v>
      </c>
    </row>
    <row r="2901" spans="1:6" x14ac:dyDescent="0.2">
      <c r="A2901" s="17" t="s">
        <v>10860</v>
      </c>
      <c r="B2901" s="18" t="s">
        <v>10861</v>
      </c>
      <c r="C2901" s="17" t="s">
        <v>26</v>
      </c>
      <c r="D2901" s="19">
        <v>130.38</v>
      </c>
      <c r="F2901" s="3" t="str">
        <f t="shared" si="45"/>
        <v>C2160</v>
      </c>
    </row>
    <row r="2902" spans="1:6" x14ac:dyDescent="0.2">
      <c r="A2902" s="17" t="s">
        <v>10862</v>
      </c>
      <c r="B2902" s="18" t="s">
        <v>10863</v>
      </c>
      <c r="C2902" s="17" t="s">
        <v>26</v>
      </c>
      <c r="D2902" s="19">
        <v>167.26</v>
      </c>
      <c r="F2902" s="3" t="str">
        <f t="shared" si="45"/>
        <v>C2161</v>
      </c>
    </row>
    <row r="2903" spans="1:6" x14ac:dyDescent="0.2">
      <c r="A2903" s="17" t="s">
        <v>10864</v>
      </c>
      <c r="B2903" s="18" t="s">
        <v>10865</v>
      </c>
      <c r="C2903" s="17" t="s">
        <v>26</v>
      </c>
      <c r="D2903" s="19">
        <v>320.11</v>
      </c>
      <c r="F2903" s="3" t="str">
        <f t="shared" si="45"/>
        <v>C2162</v>
      </c>
    </row>
    <row r="2904" spans="1:6" x14ac:dyDescent="0.2">
      <c r="A2904" s="17" t="s">
        <v>10866</v>
      </c>
      <c r="B2904" s="18" t="s">
        <v>10867</v>
      </c>
      <c r="C2904" s="17" t="s">
        <v>26</v>
      </c>
      <c r="D2904" s="19">
        <v>377.16</v>
      </c>
      <c r="F2904" s="3" t="str">
        <f t="shared" si="45"/>
        <v>C2163</v>
      </c>
    </row>
    <row r="2905" spans="1:6" x14ac:dyDescent="0.2">
      <c r="A2905" s="17" t="s">
        <v>10868</v>
      </c>
      <c r="B2905" s="18" t="s">
        <v>10869</v>
      </c>
      <c r="C2905" s="17" t="s">
        <v>26</v>
      </c>
      <c r="D2905" s="19">
        <v>745.95</v>
      </c>
      <c r="F2905" s="3" t="str">
        <f t="shared" si="45"/>
        <v>C2164</v>
      </c>
    </row>
    <row r="2906" spans="1:6" x14ac:dyDescent="0.2">
      <c r="A2906" s="17" t="s">
        <v>10870</v>
      </c>
      <c r="B2906" s="18" t="s">
        <v>10871</v>
      </c>
      <c r="C2906" s="17" t="s">
        <v>26</v>
      </c>
      <c r="D2906" s="19">
        <v>100.64</v>
      </c>
      <c r="F2906" s="3" t="str">
        <f t="shared" si="45"/>
        <v>C2165</v>
      </c>
    </row>
    <row r="2907" spans="1:6" x14ac:dyDescent="0.2">
      <c r="A2907" s="17" t="s">
        <v>10872</v>
      </c>
      <c r="B2907" s="18" t="s">
        <v>10873</v>
      </c>
      <c r="C2907" s="17" t="s">
        <v>26</v>
      </c>
      <c r="D2907" s="19">
        <v>110.31</v>
      </c>
      <c r="F2907" s="3" t="str">
        <f t="shared" si="45"/>
        <v>C2166</v>
      </c>
    </row>
    <row r="2908" spans="1:6" x14ac:dyDescent="0.2">
      <c r="A2908" s="17" t="s">
        <v>10874</v>
      </c>
      <c r="B2908" s="18" t="s">
        <v>10875</v>
      </c>
      <c r="C2908" s="17" t="s">
        <v>26</v>
      </c>
      <c r="D2908" s="19">
        <v>129.24</v>
      </c>
      <c r="F2908" s="3" t="str">
        <f t="shared" si="45"/>
        <v>C2167</v>
      </c>
    </row>
    <row r="2909" spans="1:6" x14ac:dyDescent="0.2">
      <c r="A2909" s="17" t="s">
        <v>10876</v>
      </c>
      <c r="B2909" s="18" t="s">
        <v>10877</v>
      </c>
      <c r="C2909" s="17" t="s">
        <v>26</v>
      </c>
      <c r="D2909" s="19">
        <v>183.95</v>
      </c>
      <c r="F2909" s="3" t="str">
        <f t="shared" si="45"/>
        <v>C2168</v>
      </c>
    </row>
    <row r="2910" spans="1:6" x14ac:dyDescent="0.2">
      <c r="A2910" s="17" t="s">
        <v>10878</v>
      </c>
      <c r="B2910" s="18" t="s">
        <v>10879</v>
      </c>
      <c r="C2910" s="17" t="s">
        <v>26</v>
      </c>
      <c r="D2910" s="19">
        <v>190.66</v>
      </c>
      <c r="F2910" s="3" t="str">
        <f t="shared" si="45"/>
        <v>C2169</v>
      </c>
    </row>
    <row r="2911" spans="1:6" x14ac:dyDescent="0.2">
      <c r="A2911" s="17" t="s">
        <v>10880</v>
      </c>
      <c r="B2911" s="18" t="s">
        <v>10881</v>
      </c>
      <c r="C2911" s="17" t="s">
        <v>26</v>
      </c>
      <c r="D2911" s="19">
        <v>102.82</v>
      </c>
      <c r="F2911" s="3" t="str">
        <f t="shared" si="45"/>
        <v>C2171</v>
      </c>
    </row>
    <row r="2912" spans="1:6" x14ac:dyDescent="0.2">
      <c r="A2912" s="17" t="s">
        <v>10882</v>
      </c>
      <c r="B2912" s="18" t="s">
        <v>10883</v>
      </c>
      <c r="C2912" s="17" t="s">
        <v>26</v>
      </c>
      <c r="D2912" s="19">
        <v>105.53</v>
      </c>
      <c r="F2912" s="3" t="str">
        <f t="shared" si="45"/>
        <v>C2172</v>
      </c>
    </row>
    <row r="2913" spans="1:6" x14ac:dyDescent="0.2">
      <c r="A2913" s="17" t="s">
        <v>10884</v>
      </c>
      <c r="B2913" s="18" t="s">
        <v>10885</v>
      </c>
      <c r="C2913" s="17" t="s">
        <v>26</v>
      </c>
      <c r="D2913" s="19">
        <v>108.51</v>
      </c>
      <c r="F2913" s="3" t="str">
        <f t="shared" si="45"/>
        <v>C2170</v>
      </c>
    </row>
    <row r="2914" spans="1:6" x14ac:dyDescent="0.2">
      <c r="A2914" s="17" t="s">
        <v>10886</v>
      </c>
      <c r="B2914" s="18" t="s">
        <v>10887</v>
      </c>
      <c r="C2914" s="17" t="s">
        <v>26</v>
      </c>
      <c r="D2914" s="19">
        <v>46.17</v>
      </c>
      <c r="F2914" s="3" t="str">
        <f t="shared" si="45"/>
        <v>C3601</v>
      </c>
    </row>
    <row r="2915" spans="1:6" x14ac:dyDescent="0.2">
      <c r="A2915" s="17" t="s">
        <v>10888</v>
      </c>
      <c r="B2915" s="18" t="s">
        <v>10889</v>
      </c>
      <c r="C2915" s="17" t="s">
        <v>26</v>
      </c>
      <c r="D2915" s="19">
        <v>773.97</v>
      </c>
      <c r="F2915" s="3" t="str">
        <f t="shared" si="45"/>
        <v>C2173</v>
      </c>
    </row>
    <row r="2916" spans="1:6" x14ac:dyDescent="0.2">
      <c r="A2916" s="17" t="s">
        <v>10890</v>
      </c>
      <c r="B2916" s="18" t="s">
        <v>10891</v>
      </c>
      <c r="C2916" s="17" t="s">
        <v>26</v>
      </c>
      <c r="D2916" s="19">
        <v>69.55</v>
      </c>
      <c r="F2916" s="3" t="str">
        <f t="shared" si="45"/>
        <v>C2177</v>
      </c>
    </row>
    <row r="2917" spans="1:6" x14ac:dyDescent="0.2">
      <c r="A2917" s="17" t="s">
        <v>10892</v>
      </c>
      <c r="B2917" s="18" t="s">
        <v>10893</v>
      </c>
      <c r="C2917" s="17" t="s">
        <v>26</v>
      </c>
      <c r="D2917" s="19">
        <v>89.32</v>
      </c>
      <c r="F2917" s="3" t="str">
        <f t="shared" si="45"/>
        <v>C2176</v>
      </c>
    </row>
    <row r="2918" spans="1:6" x14ac:dyDescent="0.2">
      <c r="A2918" s="17" t="s">
        <v>10894</v>
      </c>
      <c r="B2918" s="18" t="s">
        <v>10895</v>
      </c>
      <c r="C2918" s="17" t="s">
        <v>26</v>
      </c>
      <c r="D2918" s="19">
        <v>126.72</v>
      </c>
      <c r="F2918" s="3" t="str">
        <f t="shared" si="45"/>
        <v>C2175</v>
      </c>
    </row>
    <row r="2919" spans="1:6" x14ac:dyDescent="0.2">
      <c r="A2919" s="17" t="s">
        <v>10896</v>
      </c>
      <c r="B2919" s="18" t="s">
        <v>10897</v>
      </c>
      <c r="C2919" s="17" t="s">
        <v>26</v>
      </c>
      <c r="D2919" s="19">
        <v>150.02000000000001</v>
      </c>
      <c r="F2919" s="3" t="str">
        <f t="shared" si="45"/>
        <v>C2178</v>
      </c>
    </row>
    <row r="2920" spans="1:6" x14ac:dyDescent="0.2">
      <c r="A2920" s="17" t="s">
        <v>10898</v>
      </c>
      <c r="B2920" s="18" t="s">
        <v>10899</v>
      </c>
      <c r="C2920" s="17" t="s">
        <v>26</v>
      </c>
      <c r="D2920" s="19">
        <v>224.25</v>
      </c>
      <c r="F2920" s="3" t="str">
        <f t="shared" si="45"/>
        <v>C2174</v>
      </c>
    </row>
    <row r="2921" spans="1:6" x14ac:dyDescent="0.2">
      <c r="A2921" s="17" t="s">
        <v>10900</v>
      </c>
      <c r="B2921" s="18" t="s">
        <v>10901</v>
      </c>
      <c r="C2921" s="17" t="s">
        <v>26</v>
      </c>
      <c r="D2921" s="19">
        <v>238.54</v>
      </c>
      <c r="F2921" s="3" t="str">
        <f t="shared" si="45"/>
        <v>C4403</v>
      </c>
    </row>
    <row r="2922" spans="1:6" x14ac:dyDescent="0.2">
      <c r="A2922" s="17" t="s">
        <v>10902</v>
      </c>
      <c r="B2922" s="18" t="s">
        <v>10903</v>
      </c>
      <c r="C2922" s="17" t="s">
        <v>26</v>
      </c>
      <c r="D2922" s="19">
        <v>79.81</v>
      </c>
      <c r="F2922" s="3" t="str">
        <f t="shared" si="45"/>
        <v>C3695</v>
      </c>
    </row>
    <row r="2923" spans="1:6" x14ac:dyDescent="0.2">
      <c r="A2923" s="17" t="s">
        <v>10904</v>
      </c>
      <c r="B2923" s="18" t="s">
        <v>10905</v>
      </c>
      <c r="C2923" s="17" t="s">
        <v>26</v>
      </c>
      <c r="D2923" s="19">
        <v>99.68</v>
      </c>
      <c r="F2923" s="3" t="str">
        <f t="shared" si="45"/>
        <v>C3714</v>
      </c>
    </row>
    <row r="2924" spans="1:6" x14ac:dyDescent="0.2">
      <c r="A2924" s="17" t="s">
        <v>10906</v>
      </c>
      <c r="B2924" s="18" t="s">
        <v>10907</v>
      </c>
      <c r="C2924" s="17" t="s">
        <v>26</v>
      </c>
      <c r="D2924" s="19">
        <v>264.58999999999997</v>
      </c>
      <c r="F2924" s="3" t="str">
        <f t="shared" si="45"/>
        <v>C2684</v>
      </c>
    </row>
    <row r="2925" spans="1:6" x14ac:dyDescent="0.2">
      <c r="A2925" s="17" t="s">
        <v>10908</v>
      </c>
      <c r="B2925" s="18" t="s">
        <v>10909</v>
      </c>
      <c r="C2925" s="17" t="s">
        <v>26</v>
      </c>
      <c r="D2925" s="19">
        <v>392.93</v>
      </c>
      <c r="F2925" s="3" t="str">
        <f t="shared" si="45"/>
        <v>C2685</v>
      </c>
    </row>
    <row r="2926" spans="1:6" x14ac:dyDescent="0.2">
      <c r="A2926" s="17" t="s">
        <v>10910</v>
      </c>
      <c r="B2926" s="18" t="s">
        <v>10911</v>
      </c>
      <c r="C2926" s="17" t="s">
        <v>26</v>
      </c>
      <c r="D2926" s="19">
        <v>188.6</v>
      </c>
      <c r="F2926" s="3" t="str">
        <f t="shared" si="45"/>
        <v>C2686</v>
      </c>
    </row>
    <row r="2927" spans="1:6" x14ac:dyDescent="0.2">
      <c r="A2927" s="17" t="s">
        <v>10912</v>
      </c>
      <c r="B2927" s="18" t="s">
        <v>10913</v>
      </c>
      <c r="C2927" s="17" t="s">
        <v>26</v>
      </c>
      <c r="D2927" s="19">
        <v>453.12</v>
      </c>
      <c r="F2927" s="3" t="str">
        <f t="shared" si="45"/>
        <v>C2687</v>
      </c>
    </row>
    <row r="2928" spans="1:6" x14ac:dyDescent="0.2">
      <c r="A2928" s="17" t="s">
        <v>10914</v>
      </c>
      <c r="B2928" s="18" t="s">
        <v>10915</v>
      </c>
      <c r="C2928" s="17" t="s">
        <v>26</v>
      </c>
      <c r="D2928" s="19">
        <v>75.44</v>
      </c>
      <c r="F2928" s="3" t="str">
        <f t="shared" si="45"/>
        <v>C2688</v>
      </c>
    </row>
    <row r="2929" spans="1:6" x14ac:dyDescent="0.2">
      <c r="A2929" s="17" t="s">
        <v>10916</v>
      </c>
      <c r="B2929" s="18" t="s">
        <v>10917</v>
      </c>
      <c r="C2929" s="17" t="s">
        <v>26</v>
      </c>
      <c r="D2929" s="19">
        <v>82.87</v>
      </c>
      <c r="F2929" s="3" t="str">
        <f t="shared" si="45"/>
        <v>C2689</v>
      </c>
    </row>
    <row r="2930" spans="1:6" x14ac:dyDescent="0.2">
      <c r="A2930" s="17" t="s">
        <v>10918</v>
      </c>
      <c r="B2930" s="18" t="s">
        <v>10919</v>
      </c>
      <c r="C2930" s="17" t="s">
        <v>26</v>
      </c>
      <c r="D2930" s="19">
        <v>89.26</v>
      </c>
      <c r="F2930" s="3" t="str">
        <f t="shared" si="45"/>
        <v>C2690</v>
      </c>
    </row>
    <row r="2931" spans="1:6" x14ac:dyDescent="0.2">
      <c r="A2931" s="17" t="s">
        <v>10920</v>
      </c>
      <c r="B2931" s="18" t="s">
        <v>10921</v>
      </c>
      <c r="C2931" s="17" t="s">
        <v>26</v>
      </c>
      <c r="D2931" s="19">
        <v>141.25</v>
      </c>
      <c r="F2931" s="3" t="str">
        <f t="shared" si="45"/>
        <v>C2691</v>
      </c>
    </row>
    <row r="2932" spans="1:6" x14ac:dyDescent="0.2">
      <c r="A2932" s="17" t="s">
        <v>10922</v>
      </c>
      <c r="B2932" s="18" t="s">
        <v>10923</v>
      </c>
      <c r="C2932" s="17" t="s">
        <v>26</v>
      </c>
      <c r="D2932" s="19">
        <v>148.41</v>
      </c>
      <c r="F2932" s="3" t="str">
        <f t="shared" si="45"/>
        <v>C2692</v>
      </c>
    </row>
    <row r="2933" spans="1:6" x14ac:dyDescent="0.2">
      <c r="A2933" s="17" t="s">
        <v>10924</v>
      </c>
      <c r="B2933" s="18" t="s">
        <v>10925</v>
      </c>
      <c r="C2933" s="17" t="s">
        <v>26</v>
      </c>
      <c r="D2933" s="19">
        <v>205.95</v>
      </c>
      <c r="F2933" s="3" t="str">
        <f t="shared" si="45"/>
        <v>C2693</v>
      </c>
    </row>
    <row r="2934" spans="1:6" x14ac:dyDescent="0.2">
      <c r="A2934" s="17" t="s">
        <v>10926</v>
      </c>
      <c r="B2934" s="18" t="s">
        <v>10927</v>
      </c>
      <c r="C2934" s="17" t="s">
        <v>26</v>
      </c>
      <c r="D2934" s="19">
        <v>351.9</v>
      </c>
      <c r="F2934" s="3" t="str">
        <f t="shared" si="45"/>
        <v>C2694</v>
      </c>
    </row>
    <row r="2935" spans="1:6" x14ac:dyDescent="0.2">
      <c r="A2935" s="17" t="s">
        <v>10928</v>
      </c>
      <c r="B2935" s="18" t="s">
        <v>10929</v>
      </c>
      <c r="C2935" s="17" t="s">
        <v>26</v>
      </c>
      <c r="D2935" s="19">
        <v>464.02</v>
      </c>
      <c r="F2935" s="3" t="str">
        <f t="shared" si="45"/>
        <v>C2695</v>
      </c>
    </row>
    <row r="2936" spans="1:6" x14ac:dyDescent="0.2">
      <c r="A2936" s="17" t="s">
        <v>10930</v>
      </c>
      <c r="B2936" s="18" t="s">
        <v>10931</v>
      </c>
      <c r="C2936" s="17" t="s">
        <v>26</v>
      </c>
      <c r="D2936" s="19">
        <v>792.95</v>
      </c>
      <c r="F2936" s="3" t="str">
        <f t="shared" si="45"/>
        <v>C2696</v>
      </c>
    </row>
    <row r="2937" spans="1:6" x14ac:dyDescent="0.2">
      <c r="A2937" s="17" t="s">
        <v>10932</v>
      </c>
      <c r="B2937" s="18" t="s">
        <v>10933</v>
      </c>
      <c r="C2937" s="17" t="s">
        <v>26</v>
      </c>
      <c r="D2937" s="19">
        <v>329.39</v>
      </c>
      <c r="F2937" s="3" t="str">
        <f t="shared" si="45"/>
        <v>C4775</v>
      </c>
    </row>
    <row r="2938" spans="1:6" x14ac:dyDescent="0.2">
      <c r="A2938" s="17" t="s">
        <v>10934</v>
      </c>
      <c r="B2938" s="18" t="s">
        <v>10935</v>
      </c>
      <c r="C2938" s="17" t="s">
        <v>26</v>
      </c>
      <c r="D2938" s="19">
        <v>69.709999999999994</v>
      </c>
      <c r="F2938" s="3" t="str">
        <f t="shared" si="45"/>
        <v>C2707</v>
      </c>
    </row>
    <row r="2939" spans="1:6" x14ac:dyDescent="0.2">
      <c r="A2939" s="17" t="s">
        <v>10936</v>
      </c>
      <c r="B2939" s="18" t="s">
        <v>10937</v>
      </c>
      <c r="C2939" s="17" t="s">
        <v>26</v>
      </c>
      <c r="D2939" s="19">
        <v>85.2</v>
      </c>
      <c r="F2939" s="3" t="str">
        <f t="shared" si="45"/>
        <v>C2708</v>
      </c>
    </row>
    <row r="2940" spans="1:6" x14ac:dyDescent="0.2">
      <c r="A2940" s="17" t="s">
        <v>10938</v>
      </c>
      <c r="B2940" s="18" t="s">
        <v>10939</v>
      </c>
      <c r="C2940" s="17" t="s">
        <v>26</v>
      </c>
      <c r="D2940" s="19">
        <v>108.23</v>
      </c>
      <c r="F2940" s="3" t="str">
        <f t="shared" si="45"/>
        <v>C2709</v>
      </c>
    </row>
    <row r="2941" spans="1:6" x14ac:dyDescent="0.2">
      <c r="A2941" s="17" t="s">
        <v>10940</v>
      </c>
      <c r="B2941" s="18" t="s">
        <v>10941</v>
      </c>
      <c r="C2941" s="17" t="s">
        <v>26</v>
      </c>
      <c r="D2941" s="19">
        <v>168.63</v>
      </c>
      <c r="F2941" s="3" t="str">
        <f t="shared" si="45"/>
        <v>C2710</v>
      </c>
    </row>
    <row r="2942" spans="1:6" x14ac:dyDescent="0.2">
      <c r="A2942" s="17" t="s">
        <v>10942</v>
      </c>
      <c r="B2942" s="18" t="s">
        <v>10943</v>
      </c>
      <c r="C2942" s="17" t="s">
        <v>26</v>
      </c>
      <c r="D2942" s="19">
        <v>215.93</v>
      </c>
      <c r="F2942" s="3" t="str">
        <f t="shared" si="45"/>
        <v>C2711</v>
      </c>
    </row>
    <row r="2943" spans="1:6" x14ac:dyDescent="0.2">
      <c r="A2943" s="17" t="s">
        <v>10944</v>
      </c>
      <c r="B2943" s="18" t="s">
        <v>10945</v>
      </c>
      <c r="C2943" s="17" t="s">
        <v>26</v>
      </c>
      <c r="D2943" s="19">
        <v>277.55</v>
      </c>
      <c r="F2943" s="3" t="str">
        <f t="shared" si="45"/>
        <v>C2712</v>
      </c>
    </row>
    <row r="2944" spans="1:6" x14ac:dyDescent="0.2">
      <c r="A2944" s="17" t="s">
        <v>10946</v>
      </c>
      <c r="B2944" s="18" t="s">
        <v>10947</v>
      </c>
      <c r="C2944" s="17" t="s">
        <v>26</v>
      </c>
      <c r="D2944" s="19">
        <v>438.93</v>
      </c>
      <c r="F2944" s="3" t="str">
        <f t="shared" si="45"/>
        <v>C2713</v>
      </c>
    </row>
    <row r="2945" spans="1:6" x14ac:dyDescent="0.2">
      <c r="A2945" s="17" t="s">
        <v>10948</v>
      </c>
      <c r="B2945" s="18" t="s">
        <v>10949</v>
      </c>
      <c r="C2945" s="17" t="s">
        <v>26</v>
      </c>
      <c r="D2945" s="19">
        <v>597.79</v>
      </c>
      <c r="F2945" s="3" t="str">
        <f t="shared" si="45"/>
        <v>C2714</v>
      </c>
    </row>
    <row r="2946" spans="1:6" x14ac:dyDescent="0.2">
      <c r="A2946" s="17" t="s">
        <v>10950</v>
      </c>
      <c r="B2946" s="18" t="s">
        <v>10951</v>
      </c>
      <c r="C2946" s="17" t="s">
        <v>26</v>
      </c>
      <c r="D2946" s="19">
        <v>897.78</v>
      </c>
      <c r="F2946" s="3" t="str">
        <f t="shared" ref="F2946:F3009" si="46">A2946</f>
        <v>C2706</v>
      </c>
    </row>
    <row r="2947" spans="1:6" x14ac:dyDescent="0.2">
      <c r="A2947" s="17" t="s">
        <v>10952</v>
      </c>
      <c r="B2947" s="18" t="s">
        <v>10953</v>
      </c>
      <c r="C2947" s="17" t="s">
        <v>26</v>
      </c>
      <c r="D2947" s="19">
        <v>69.709999999999994</v>
      </c>
      <c r="F2947" s="3" t="str">
        <f t="shared" si="46"/>
        <v>C2697</v>
      </c>
    </row>
    <row r="2948" spans="1:6" x14ac:dyDescent="0.2">
      <c r="A2948" s="17" t="s">
        <v>10954</v>
      </c>
      <c r="B2948" s="18" t="s">
        <v>10955</v>
      </c>
      <c r="C2948" s="17" t="s">
        <v>26</v>
      </c>
      <c r="D2948" s="19">
        <v>85.2</v>
      </c>
      <c r="F2948" s="3" t="str">
        <f t="shared" si="46"/>
        <v>C2698</v>
      </c>
    </row>
    <row r="2949" spans="1:6" x14ac:dyDescent="0.2">
      <c r="A2949" s="17" t="s">
        <v>10956</v>
      </c>
      <c r="B2949" s="18" t="s">
        <v>10957</v>
      </c>
      <c r="C2949" s="17" t="s">
        <v>26</v>
      </c>
      <c r="D2949" s="19">
        <v>108.23</v>
      </c>
      <c r="F2949" s="3" t="str">
        <f t="shared" si="46"/>
        <v>C2699</v>
      </c>
    </row>
    <row r="2950" spans="1:6" x14ac:dyDescent="0.2">
      <c r="A2950" s="17" t="s">
        <v>10958</v>
      </c>
      <c r="B2950" s="18" t="s">
        <v>10959</v>
      </c>
      <c r="C2950" s="17" t="s">
        <v>26</v>
      </c>
      <c r="D2950" s="19">
        <v>168.63</v>
      </c>
      <c r="F2950" s="3" t="str">
        <f t="shared" si="46"/>
        <v>C2700</v>
      </c>
    </row>
    <row r="2951" spans="1:6" x14ac:dyDescent="0.2">
      <c r="A2951" s="17" t="s">
        <v>10960</v>
      </c>
      <c r="B2951" s="18" t="s">
        <v>10961</v>
      </c>
      <c r="C2951" s="17" t="s">
        <v>26</v>
      </c>
      <c r="D2951" s="19">
        <v>215.93</v>
      </c>
      <c r="F2951" s="3" t="str">
        <f t="shared" si="46"/>
        <v>C2701</v>
      </c>
    </row>
    <row r="2952" spans="1:6" x14ac:dyDescent="0.2">
      <c r="A2952" s="17" t="s">
        <v>10962</v>
      </c>
      <c r="B2952" s="18" t="s">
        <v>10963</v>
      </c>
      <c r="C2952" s="17" t="s">
        <v>26</v>
      </c>
      <c r="D2952" s="19">
        <v>277.55</v>
      </c>
      <c r="F2952" s="3" t="str">
        <f t="shared" si="46"/>
        <v>C2702</v>
      </c>
    </row>
    <row r="2953" spans="1:6" x14ac:dyDescent="0.2">
      <c r="A2953" s="17" t="s">
        <v>10964</v>
      </c>
      <c r="B2953" s="18" t="s">
        <v>10965</v>
      </c>
      <c r="C2953" s="17" t="s">
        <v>26</v>
      </c>
      <c r="D2953" s="19">
        <v>438.93</v>
      </c>
      <c r="F2953" s="3" t="str">
        <f t="shared" si="46"/>
        <v>C2703</v>
      </c>
    </row>
    <row r="2954" spans="1:6" x14ac:dyDescent="0.2">
      <c r="A2954" s="17" t="s">
        <v>10966</v>
      </c>
      <c r="B2954" s="18" t="s">
        <v>10967</v>
      </c>
      <c r="C2954" s="17" t="s">
        <v>26</v>
      </c>
      <c r="D2954" s="19">
        <v>597.79</v>
      </c>
      <c r="F2954" s="3" t="str">
        <f t="shared" si="46"/>
        <v>C2704</v>
      </c>
    </row>
    <row r="2955" spans="1:6" x14ac:dyDescent="0.2">
      <c r="A2955" s="17" t="s">
        <v>10968</v>
      </c>
      <c r="B2955" s="18" t="s">
        <v>10969</v>
      </c>
      <c r="C2955" s="17" t="s">
        <v>26</v>
      </c>
      <c r="D2955" s="19">
        <v>897.78</v>
      </c>
      <c r="F2955" s="3" t="str">
        <f t="shared" si="46"/>
        <v>C2705</v>
      </c>
    </row>
    <row r="2956" spans="1:6" x14ac:dyDescent="0.2">
      <c r="A2956" s="17" t="s">
        <v>10970</v>
      </c>
      <c r="B2956" s="18" t="s">
        <v>10971</v>
      </c>
      <c r="C2956" s="17" t="s">
        <v>26</v>
      </c>
      <c r="D2956" s="19">
        <v>320.67</v>
      </c>
      <c r="F2956" s="3" t="str">
        <f t="shared" si="46"/>
        <v>C4005</v>
      </c>
    </row>
    <row r="2957" spans="1:6" x14ac:dyDescent="0.2">
      <c r="A2957" s="17" t="s">
        <v>10972</v>
      </c>
      <c r="B2957" s="18" t="s">
        <v>10973</v>
      </c>
      <c r="C2957" s="17" t="s">
        <v>26</v>
      </c>
      <c r="D2957" s="19">
        <v>323.43</v>
      </c>
      <c r="F2957" s="3" t="str">
        <f t="shared" si="46"/>
        <v>C3715</v>
      </c>
    </row>
    <row r="2958" spans="1:6" x14ac:dyDescent="0.2">
      <c r="A2958" s="17" t="s">
        <v>10974</v>
      </c>
      <c r="B2958" s="18" t="s">
        <v>10975</v>
      </c>
      <c r="C2958" s="17" t="s">
        <v>26</v>
      </c>
      <c r="D2958" s="19">
        <v>341.39</v>
      </c>
      <c r="F2958" s="3" t="str">
        <f t="shared" si="46"/>
        <v>C3716</v>
      </c>
    </row>
    <row r="2959" spans="1:6" x14ac:dyDescent="0.2">
      <c r="A2959" s="14" t="s">
        <v>10976</v>
      </c>
      <c r="B2959" s="15"/>
      <c r="C2959" s="14">
        <v>0</v>
      </c>
      <c r="D2959" s="16">
        <v>41934.75</v>
      </c>
      <c r="F2959" s="3" t="str">
        <f t="shared" si="46"/>
        <v>LOUÇAS, METAIS E ACESSÓRIOS</v>
      </c>
    </row>
    <row r="2960" spans="1:6" x14ac:dyDescent="0.2">
      <c r="A2960" s="17" t="s">
        <v>10977</v>
      </c>
      <c r="B2960" s="18" t="s">
        <v>10978</v>
      </c>
      <c r="C2960" s="17" t="s">
        <v>26</v>
      </c>
      <c r="D2960" s="19">
        <v>285.43</v>
      </c>
      <c r="F2960" s="3" t="str">
        <f t="shared" si="46"/>
        <v>C0091</v>
      </c>
    </row>
    <row r="2961" spans="1:6" x14ac:dyDescent="0.2">
      <c r="A2961" s="17" t="s">
        <v>10979</v>
      </c>
      <c r="B2961" s="18" t="s">
        <v>10980</v>
      </c>
      <c r="C2961" s="17" t="s">
        <v>26</v>
      </c>
      <c r="D2961" s="19">
        <v>322.10000000000002</v>
      </c>
      <c r="F2961" s="3" t="str">
        <f t="shared" si="46"/>
        <v>C0092</v>
      </c>
    </row>
    <row r="2962" spans="1:6" x14ac:dyDescent="0.2">
      <c r="A2962" s="17" t="s">
        <v>10981</v>
      </c>
      <c r="B2962" s="18" t="s">
        <v>10982</v>
      </c>
      <c r="C2962" s="17" t="s">
        <v>26</v>
      </c>
      <c r="D2962" s="19">
        <v>164.99</v>
      </c>
      <c r="F2962" s="3" t="str">
        <f t="shared" si="46"/>
        <v>C0225</v>
      </c>
    </row>
    <row r="2963" spans="1:6" x14ac:dyDescent="0.2">
      <c r="A2963" s="17" t="s">
        <v>10983</v>
      </c>
      <c r="B2963" s="18" t="s">
        <v>10984</v>
      </c>
      <c r="C2963" s="17" t="s">
        <v>26</v>
      </c>
      <c r="D2963" s="19">
        <v>661.55</v>
      </c>
      <c r="F2963" s="3" t="str">
        <f t="shared" si="46"/>
        <v>C0348</v>
      </c>
    </row>
    <row r="2964" spans="1:6" x14ac:dyDescent="0.2">
      <c r="A2964" s="17" t="s">
        <v>10985</v>
      </c>
      <c r="B2964" s="18" t="s">
        <v>10986</v>
      </c>
      <c r="C2964" s="17" t="s">
        <v>26</v>
      </c>
      <c r="D2964" s="19">
        <v>687.29</v>
      </c>
      <c r="F2964" s="3" t="str">
        <f t="shared" si="46"/>
        <v>C0349</v>
      </c>
    </row>
    <row r="2965" spans="1:6" x14ac:dyDescent="0.2">
      <c r="A2965" s="17" t="s">
        <v>10987</v>
      </c>
      <c r="B2965" s="18" t="s">
        <v>10988</v>
      </c>
      <c r="C2965" s="17" t="s">
        <v>26</v>
      </c>
      <c r="D2965" s="19">
        <v>634.54</v>
      </c>
      <c r="F2965" s="3" t="str">
        <f t="shared" si="46"/>
        <v>C3247</v>
      </c>
    </row>
    <row r="2966" spans="1:6" x14ac:dyDescent="0.2">
      <c r="A2966" s="17" t="s">
        <v>10989</v>
      </c>
      <c r="B2966" s="18" t="s">
        <v>10990</v>
      </c>
      <c r="C2966" s="17" t="s">
        <v>26</v>
      </c>
      <c r="D2966" s="19">
        <v>411.42</v>
      </c>
      <c r="F2966" s="3" t="str">
        <f t="shared" si="46"/>
        <v>C0350</v>
      </c>
    </row>
    <row r="2967" spans="1:6" x14ac:dyDescent="0.2">
      <c r="A2967" s="17" t="s">
        <v>10991</v>
      </c>
      <c r="B2967" s="18" t="s">
        <v>10992</v>
      </c>
      <c r="C2967" s="17" t="s">
        <v>26</v>
      </c>
      <c r="D2967" s="19">
        <v>864.43</v>
      </c>
      <c r="F2967" s="3" t="str">
        <f t="shared" si="46"/>
        <v>C0351</v>
      </c>
    </row>
    <row r="2968" spans="1:6" x14ac:dyDescent="0.2">
      <c r="A2968" s="17" t="s">
        <v>10993</v>
      </c>
      <c r="B2968" s="18" t="s">
        <v>10994</v>
      </c>
      <c r="C2968" s="17" t="s">
        <v>26</v>
      </c>
      <c r="D2968" s="19">
        <v>746.88</v>
      </c>
      <c r="F2968" s="3" t="str">
        <f t="shared" si="46"/>
        <v>C0355</v>
      </c>
    </row>
    <row r="2969" spans="1:6" x14ac:dyDescent="0.2">
      <c r="A2969" s="17" t="s">
        <v>10995</v>
      </c>
      <c r="B2969" s="18" t="s">
        <v>10996</v>
      </c>
      <c r="C2969" s="17" t="s">
        <v>26</v>
      </c>
      <c r="D2969" s="19">
        <v>981.48</v>
      </c>
      <c r="F2969" s="3" t="str">
        <f t="shared" si="46"/>
        <v>C0356</v>
      </c>
    </row>
    <row r="2970" spans="1:6" x14ac:dyDescent="0.2">
      <c r="A2970" s="17" t="s">
        <v>10997</v>
      </c>
      <c r="B2970" s="18" t="s">
        <v>10998</v>
      </c>
      <c r="C2970" s="17" t="s">
        <v>255</v>
      </c>
      <c r="D2970" s="19">
        <v>608.34</v>
      </c>
      <c r="F2970" s="3" t="str">
        <f t="shared" si="46"/>
        <v>C0357</v>
      </c>
    </row>
    <row r="2971" spans="1:6" x14ac:dyDescent="0.2">
      <c r="A2971" s="17" t="s">
        <v>10999</v>
      </c>
      <c r="B2971" s="18" t="s">
        <v>11000</v>
      </c>
      <c r="C2971" s="17" t="s">
        <v>255</v>
      </c>
      <c r="D2971" s="19">
        <v>411.72</v>
      </c>
      <c r="F2971" s="3" t="str">
        <f t="shared" si="46"/>
        <v>C4068</v>
      </c>
    </row>
    <row r="2972" spans="1:6" x14ac:dyDescent="0.2">
      <c r="A2972" s="17" t="s">
        <v>11001</v>
      </c>
      <c r="B2972" s="18" t="s">
        <v>11002</v>
      </c>
      <c r="C2972" s="17" t="s">
        <v>255</v>
      </c>
      <c r="D2972" s="19">
        <v>498.84</v>
      </c>
      <c r="F2972" s="3" t="str">
        <f t="shared" si="46"/>
        <v>C4069</v>
      </c>
    </row>
    <row r="2973" spans="1:6" x14ac:dyDescent="0.2">
      <c r="A2973" s="17" t="s">
        <v>11003</v>
      </c>
      <c r="B2973" s="18" t="s">
        <v>11004</v>
      </c>
      <c r="C2973" s="17" t="s">
        <v>255</v>
      </c>
      <c r="D2973" s="19">
        <v>921.96</v>
      </c>
      <c r="F2973" s="3" t="str">
        <f t="shared" si="46"/>
        <v>C0358</v>
      </c>
    </row>
    <row r="2974" spans="1:6" x14ac:dyDescent="0.2">
      <c r="A2974" s="17" t="s">
        <v>11005</v>
      </c>
      <c r="B2974" s="18" t="s">
        <v>11006</v>
      </c>
      <c r="C2974" s="17" t="s">
        <v>0</v>
      </c>
      <c r="D2974" s="19">
        <v>332.66</v>
      </c>
      <c r="F2974" s="3" t="str">
        <f t="shared" si="46"/>
        <v>C0359</v>
      </c>
    </row>
    <row r="2975" spans="1:6" x14ac:dyDescent="0.2">
      <c r="A2975" s="17" t="s">
        <v>11007</v>
      </c>
      <c r="B2975" s="18" t="s">
        <v>11008</v>
      </c>
      <c r="C2975" s="17" t="s">
        <v>8321</v>
      </c>
      <c r="D2975" s="19">
        <v>914.53</v>
      </c>
      <c r="F2975" s="3" t="str">
        <f t="shared" si="46"/>
        <v>C3996</v>
      </c>
    </row>
    <row r="2976" spans="1:6" x14ac:dyDescent="0.2">
      <c r="A2976" s="17" t="s">
        <v>11009</v>
      </c>
      <c r="B2976" s="18" t="s">
        <v>11010</v>
      </c>
      <c r="C2976" s="17" t="s">
        <v>8321</v>
      </c>
      <c r="D2976" s="19">
        <v>995.88</v>
      </c>
      <c r="F2976" s="3" t="str">
        <f t="shared" si="46"/>
        <v>C3997</v>
      </c>
    </row>
    <row r="2977" spans="1:6" x14ac:dyDescent="0.2">
      <c r="A2977" s="17" t="s">
        <v>11011</v>
      </c>
      <c r="B2977" s="18" t="s">
        <v>11012</v>
      </c>
      <c r="C2977" s="17" t="s">
        <v>26</v>
      </c>
      <c r="D2977" s="19">
        <v>1949.2</v>
      </c>
      <c r="F2977" s="3" t="str">
        <f t="shared" si="46"/>
        <v>C3670</v>
      </c>
    </row>
    <row r="2978" spans="1:6" x14ac:dyDescent="0.2">
      <c r="A2978" s="20" t="s">
        <v>11013</v>
      </c>
      <c r="B2978" s="21" t="s">
        <v>11014</v>
      </c>
      <c r="C2978" s="20" t="s">
        <v>26</v>
      </c>
      <c r="D2978" s="22">
        <v>2427.13</v>
      </c>
      <c r="F2978" s="3" t="str">
        <f t="shared" si="46"/>
        <v>C0386</v>
      </c>
    </row>
    <row r="2979" spans="1:6" x14ac:dyDescent="0.2">
      <c r="A2979" s="17" t="s">
        <v>11015</v>
      </c>
      <c r="B2979" s="18" t="s">
        <v>11016</v>
      </c>
      <c r="C2979" s="17" t="s">
        <v>26</v>
      </c>
      <c r="D2979" s="19">
        <v>57.53</v>
      </c>
      <c r="F2979" s="3" t="str">
        <f t="shared" si="46"/>
        <v>C0515</v>
      </c>
    </row>
    <row r="2980" spans="1:6" x14ac:dyDescent="0.2">
      <c r="A2980" s="17" t="s">
        <v>11017</v>
      </c>
      <c r="B2980" s="18" t="s">
        <v>11018</v>
      </c>
      <c r="C2980" s="17" t="s">
        <v>26</v>
      </c>
      <c r="D2980" s="19">
        <v>61.66</v>
      </c>
      <c r="F2980" s="3" t="str">
        <f t="shared" si="46"/>
        <v>C0516</v>
      </c>
    </row>
    <row r="2981" spans="1:6" x14ac:dyDescent="0.2">
      <c r="A2981" s="17" t="s">
        <v>11019</v>
      </c>
      <c r="B2981" s="18" t="s">
        <v>11020</v>
      </c>
      <c r="C2981" s="17" t="s">
        <v>26</v>
      </c>
      <c r="D2981" s="19">
        <v>179.76</v>
      </c>
      <c r="F2981" s="3" t="str">
        <f t="shared" si="46"/>
        <v>C0600</v>
      </c>
    </row>
    <row r="2982" spans="1:6" x14ac:dyDescent="0.2">
      <c r="A2982" s="17" t="s">
        <v>11021</v>
      </c>
      <c r="B2982" s="18" t="s">
        <v>11022</v>
      </c>
      <c r="C2982" s="17" t="s">
        <v>26</v>
      </c>
      <c r="D2982" s="19">
        <v>105.49</v>
      </c>
      <c r="F2982" s="3" t="str">
        <f t="shared" si="46"/>
        <v>C3513</v>
      </c>
    </row>
    <row r="2983" spans="1:6" x14ac:dyDescent="0.2">
      <c r="A2983" s="17" t="s">
        <v>11023</v>
      </c>
      <c r="B2983" s="18" t="s">
        <v>11024</v>
      </c>
      <c r="C2983" s="17" t="s">
        <v>26</v>
      </c>
      <c r="D2983" s="19">
        <v>13.22</v>
      </c>
      <c r="F2983" s="3" t="str">
        <f t="shared" si="46"/>
        <v>C0797</v>
      </c>
    </row>
    <row r="2984" spans="1:6" ht="22.5" x14ac:dyDescent="0.2">
      <c r="A2984" s="17" t="s">
        <v>11025</v>
      </c>
      <c r="B2984" s="18" t="s">
        <v>11026</v>
      </c>
      <c r="C2984" s="17" t="s">
        <v>26</v>
      </c>
      <c r="D2984" s="19">
        <v>1145.72</v>
      </c>
      <c r="F2984" s="3" t="str">
        <f t="shared" si="46"/>
        <v>C3671</v>
      </c>
    </row>
    <row r="2985" spans="1:6" x14ac:dyDescent="0.2">
      <c r="A2985" s="17">
        <v>0</v>
      </c>
      <c r="B2985" s="18"/>
      <c r="C2985" s="17">
        <v>0</v>
      </c>
      <c r="D2985" s="19">
        <v>0</v>
      </c>
      <c r="F2985" s="3">
        <f t="shared" si="46"/>
        <v>0</v>
      </c>
    </row>
    <row r="2986" spans="1:6" x14ac:dyDescent="0.2">
      <c r="A2986" s="17" t="s">
        <v>11027</v>
      </c>
      <c r="B2986" s="18" t="s">
        <v>11028</v>
      </c>
      <c r="C2986" s="17" t="s">
        <v>26</v>
      </c>
      <c r="D2986" s="19">
        <v>416.82</v>
      </c>
      <c r="F2986" s="3" t="str">
        <f t="shared" si="46"/>
        <v>C0985</v>
      </c>
    </row>
    <row r="2987" spans="1:6" x14ac:dyDescent="0.2">
      <c r="A2987" s="17" t="s">
        <v>11029</v>
      </c>
      <c r="B2987" s="18" t="s">
        <v>11030</v>
      </c>
      <c r="C2987" s="17" t="s">
        <v>26</v>
      </c>
      <c r="D2987" s="19">
        <v>480.34</v>
      </c>
      <c r="F2987" s="3" t="str">
        <f t="shared" si="46"/>
        <v>C4770</v>
      </c>
    </row>
    <row r="2988" spans="1:6" x14ac:dyDescent="0.2">
      <c r="A2988" s="17" t="s">
        <v>11031</v>
      </c>
      <c r="B2988" s="18" t="s">
        <v>11032</v>
      </c>
      <c r="C2988" s="17" t="s">
        <v>26</v>
      </c>
      <c r="D2988" s="19">
        <v>463.18</v>
      </c>
      <c r="F2988" s="3" t="str">
        <f t="shared" si="46"/>
        <v>C0986</v>
      </c>
    </row>
    <row r="2989" spans="1:6" x14ac:dyDescent="0.2">
      <c r="A2989" s="17" t="s">
        <v>11033</v>
      </c>
      <c r="B2989" s="18" t="s">
        <v>11034</v>
      </c>
      <c r="C2989" s="17" t="s">
        <v>26</v>
      </c>
      <c r="D2989" s="19">
        <v>364.52</v>
      </c>
      <c r="F2989" s="3" t="str">
        <f t="shared" si="46"/>
        <v>C4821</v>
      </c>
    </row>
    <row r="2990" spans="1:6" x14ac:dyDescent="0.2">
      <c r="A2990" s="17" t="s">
        <v>11035</v>
      </c>
      <c r="B2990" s="18" t="s">
        <v>11036</v>
      </c>
      <c r="C2990" s="17" t="s">
        <v>26</v>
      </c>
      <c r="D2990" s="19">
        <v>72.8</v>
      </c>
      <c r="F2990" s="3" t="str">
        <f t="shared" si="46"/>
        <v>C1151</v>
      </c>
    </row>
    <row r="2991" spans="1:6" x14ac:dyDescent="0.2">
      <c r="A2991" s="17" t="s">
        <v>11037</v>
      </c>
      <c r="B2991" s="18" t="s">
        <v>11038</v>
      </c>
      <c r="C2991" s="17" t="s">
        <v>26</v>
      </c>
      <c r="D2991" s="19">
        <v>26.47</v>
      </c>
      <c r="F2991" s="3" t="str">
        <f t="shared" si="46"/>
        <v>C1241</v>
      </c>
    </row>
    <row r="2992" spans="1:6" x14ac:dyDescent="0.2">
      <c r="A2992" s="17" t="s">
        <v>11039</v>
      </c>
      <c r="B2992" s="18" t="s">
        <v>11040</v>
      </c>
      <c r="C2992" s="17" t="s">
        <v>26</v>
      </c>
      <c r="D2992" s="19">
        <v>12.03</v>
      </c>
      <c r="F2992" s="3" t="str">
        <f t="shared" si="46"/>
        <v>C1242</v>
      </c>
    </row>
    <row r="2993" spans="1:6" x14ac:dyDescent="0.2">
      <c r="A2993" s="476" t="s">
        <v>11041</v>
      </c>
      <c r="B2993" s="475" t="s">
        <v>11042</v>
      </c>
      <c r="C2993" s="476" t="s">
        <v>255</v>
      </c>
      <c r="D2993" s="477">
        <v>524.98</v>
      </c>
      <c r="F2993" s="3" t="str">
        <f t="shared" si="46"/>
        <v>C4835</v>
      </c>
    </row>
    <row r="2994" spans="1:6" x14ac:dyDescent="0.2">
      <c r="A2994" s="17" t="s">
        <v>11043</v>
      </c>
      <c r="B2994" s="18" t="s">
        <v>11044</v>
      </c>
      <c r="C2994" s="17" t="s">
        <v>26</v>
      </c>
      <c r="D2994" s="19">
        <v>774.09</v>
      </c>
      <c r="F2994" s="3" t="str">
        <f t="shared" si="46"/>
        <v>C3669</v>
      </c>
    </row>
    <row r="2995" spans="1:6" x14ac:dyDescent="0.2">
      <c r="A2995" s="17" t="s">
        <v>11045</v>
      </c>
      <c r="B2995" s="18" t="s">
        <v>11046</v>
      </c>
      <c r="C2995" s="17" t="s">
        <v>26</v>
      </c>
      <c r="D2995" s="19">
        <v>376.37</v>
      </c>
      <c r="F2995" s="3" t="str">
        <f t="shared" si="46"/>
        <v>C3003</v>
      </c>
    </row>
    <row r="2996" spans="1:6" x14ac:dyDescent="0.2">
      <c r="A2996" s="17" t="s">
        <v>11047</v>
      </c>
      <c r="B2996" s="18" t="s">
        <v>11048</v>
      </c>
      <c r="C2996" s="17" t="s">
        <v>26</v>
      </c>
      <c r="D2996" s="19">
        <v>667.15</v>
      </c>
      <c r="F2996" s="3" t="str">
        <f t="shared" si="46"/>
        <v>C1618</v>
      </c>
    </row>
    <row r="2997" spans="1:6" x14ac:dyDescent="0.2">
      <c r="A2997" s="17" t="s">
        <v>11049</v>
      </c>
      <c r="B2997" s="18" t="s">
        <v>11050</v>
      </c>
      <c r="C2997" s="17" t="s">
        <v>26</v>
      </c>
      <c r="D2997" s="19">
        <v>542.11</v>
      </c>
      <c r="F2997" s="3" t="str">
        <f t="shared" si="46"/>
        <v>C1619</v>
      </c>
    </row>
    <row r="2998" spans="1:6" ht="22.5" x14ac:dyDescent="0.2">
      <c r="A2998" s="17" t="s">
        <v>11051</v>
      </c>
      <c r="B2998" s="18" t="s">
        <v>11052</v>
      </c>
      <c r="C2998" s="17" t="s">
        <v>26</v>
      </c>
      <c r="D2998" s="19">
        <v>301.33999999999997</v>
      </c>
      <c r="F2998" s="3" t="str">
        <f t="shared" si="46"/>
        <v>C3004</v>
      </c>
    </row>
    <row r="2999" spans="1:6" x14ac:dyDescent="0.2">
      <c r="A2999" s="17">
        <v>0</v>
      </c>
      <c r="B2999" s="18"/>
      <c r="C2999" s="17">
        <v>0</v>
      </c>
      <c r="D2999" s="19">
        <v>0</v>
      </c>
      <c r="F2999" s="3">
        <f t="shared" si="46"/>
        <v>0</v>
      </c>
    </row>
    <row r="3000" spans="1:6" ht="22.5" x14ac:dyDescent="0.2">
      <c r="A3000" s="17" t="s">
        <v>11053</v>
      </c>
      <c r="B3000" s="18" t="s">
        <v>11054</v>
      </c>
      <c r="C3000" s="17" t="s">
        <v>26</v>
      </c>
      <c r="D3000" s="19">
        <v>257.12</v>
      </c>
      <c r="F3000" s="3" t="str">
        <f t="shared" si="46"/>
        <v>C3598</v>
      </c>
    </row>
    <row r="3001" spans="1:6" x14ac:dyDescent="0.2">
      <c r="A3001" s="17">
        <v>0</v>
      </c>
      <c r="B3001" s="18"/>
      <c r="C3001" s="17">
        <v>0</v>
      </c>
      <c r="D3001" s="19">
        <v>0</v>
      </c>
      <c r="F3001" s="3">
        <f t="shared" si="46"/>
        <v>0</v>
      </c>
    </row>
    <row r="3002" spans="1:6" x14ac:dyDescent="0.2">
      <c r="A3002" s="17" t="s">
        <v>11055</v>
      </c>
      <c r="B3002" s="18" t="s">
        <v>11056</v>
      </c>
      <c r="C3002" s="17" t="s">
        <v>0</v>
      </c>
      <c r="D3002" s="19">
        <v>1012.8</v>
      </c>
      <c r="F3002" s="3" t="str">
        <f t="shared" si="46"/>
        <v>C1793</v>
      </c>
    </row>
    <row r="3003" spans="1:6" x14ac:dyDescent="0.2">
      <c r="A3003" s="17" t="s">
        <v>11057</v>
      </c>
      <c r="B3003" s="18" t="s">
        <v>11058</v>
      </c>
      <c r="C3003" s="17" t="s">
        <v>26</v>
      </c>
      <c r="D3003" s="19">
        <v>636.24</v>
      </c>
      <c r="F3003" s="3" t="str">
        <f t="shared" si="46"/>
        <v>C1792</v>
      </c>
    </row>
    <row r="3004" spans="1:6" x14ac:dyDescent="0.2">
      <c r="A3004" s="17" t="s">
        <v>11059</v>
      </c>
      <c r="B3004" s="18" t="s">
        <v>11060</v>
      </c>
      <c r="C3004" s="17" t="s">
        <v>26</v>
      </c>
      <c r="D3004" s="19">
        <v>331.07</v>
      </c>
      <c r="F3004" s="3" t="str">
        <f t="shared" si="46"/>
        <v>C3593</v>
      </c>
    </row>
    <row r="3005" spans="1:6" x14ac:dyDescent="0.2">
      <c r="A3005" s="17" t="s">
        <v>11061</v>
      </c>
      <c r="B3005" s="18" t="s">
        <v>11062</v>
      </c>
      <c r="C3005" s="17" t="s">
        <v>26</v>
      </c>
      <c r="D3005" s="19">
        <v>130.1</v>
      </c>
      <c r="F3005" s="3" t="str">
        <f t="shared" si="46"/>
        <v>C3596</v>
      </c>
    </row>
    <row r="3006" spans="1:6" x14ac:dyDescent="0.2">
      <c r="A3006" s="17" t="s">
        <v>11063</v>
      </c>
      <c r="B3006" s="18" t="s">
        <v>11064</v>
      </c>
      <c r="C3006" s="17" t="s">
        <v>26</v>
      </c>
      <c r="D3006" s="19">
        <v>204.59</v>
      </c>
      <c r="F3006" s="3" t="str">
        <f t="shared" si="46"/>
        <v>C3597</v>
      </c>
    </row>
    <row r="3007" spans="1:6" x14ac:dyDescent="0.2">
      <c r="A3007" s="17">
        <v>0</v>
      </c>
      <c r="B3007" s="18"/>
      <c r="C3007" s="17">
        <v>0</v>
      </c>
      <c r="D3007" s="19">
        <v>0</v>
      </c>
      <c r="F3007" s="3">
        <f t="shared" si="46"/>
        <v>0</v>
      </c>
    </row>
    <row r="3008" spans="1:6" x14ac:dyDescent="0.2">
      <c r="A3008" s="17" t="s">
        <v>11065</v>
      </c>
      <c r="B3008" s="18" t="s">
        <v>11066</v>
      </c>
      <c r="C3008" s="17" t="s">
        <v>26</v>
      </c>
      <c r="D3008" s="19">
        <v>131.27000000000001</v>
      </c>
      <c r="F3008" s="3" t="str">
        <f t="shared" si="46"/>
        <v>C3602</v>
      </c>
    </row>
    <row r="3009" spans="1:6" x14ac:dyDescent="0.2">
      <c r="A3009" s="17" t="s">
        <v>11067</v>
      </c>
      <c r="B3009" s="18" t="s">
        <v>11068</v>
      </c>
      <c r="C3009" s="17" t="s">
        <v>26</v>
      </c>
      <c r="D3009" s="19">
        <v>177.45</v>
      </c>
      <c r="F3009" s="3" t="str">
        <f t="shared" si="46"/>
        <v>C3594</v>
      </c>
    </row>
    <row r="3010" spans="1:6" x14ac:dyDescent="0.2">
      <c r="A3010" s="17" t="s">
        <v>11069</v>
      </c>
      <c r="B3010" s="18" t="s">
        <v>11070</v>
      </c>
      <c r="C3010" s="17" t="s">
        <v>0</v>
      </c>
      <c r="D3010" s="19">
        <v>195.9</v>
      </c>
      <c r="F3010" s="3" t="str">
        <f t="shared" ref="F3010:F3073" si="47">A3010</f>
        <v>C1898</v>
      </c>
    </row>
    <row r="3011" spans="1:6" x14ac:dyDescent="0.2">
      <c r="A3011" s="17" t="s">
        <v>11071</v>
      </c>
      <c r="B3011" s="18" t="s">
        <v>11072</v>
      </c>
      <c r="C3011" s="17" t="s">
        <v>26</v>
      </c>
      <c r="D3011" s="19">
        <v>729.79</v>
      </c>
      <c r="F3011" s="3" t="str">
        <f t="shared" si="47"/>
        <v>C3017</v>
      </c>
    </row>
    <row r="3012" spans="1:6" x14ac:dyDescent="0.2">
      <c r="A3012" s="17" t="s">
        <v>11073</v>
      </c>
      <c r="B3012" s="18" t="s">
        <v>11074</v>
      </c>
      <c r="C3012" s="17" t="s">
        <v>26</v>
      </c>
      <c r="D3012" s="19">
        <v>904.66</v>
      </c>
      <c r="F3012" s="3" t="str">
        <f t="shared" si="47"/>
        <v>C1903</v>
      </c>
    </row>
    <row r="3013" spans="1:6" x14ac:dyDescent="0.2">
      <c r="A3013" s="17" t="s">
        <v>11075</v>
      </c>
      <c r="B3013" s="18" t="s">
        <v>11076</v>
      </c>
      <c r="C3013" s="17" t="s">
        <v>26</v>
      </c>
      <c r="D3013" s="19">
        <v>1157.26</v>
      </c>
      <c r="F3013" s="3" t="str">
        <f t="shared" si="47"/>
        <v>C3018</v>
      </c>
    </row>
    <row r="3014" spans="1:6" x14ac:dyDescent="0.2">
      <c r="A3014" s="17" t="s">
        <v>11077</v>
      </c>
      <c r="B3014" s="18" t="s">
        <v>11078</v>
      </c>
      <c r="C3014" s="17" t="s">
        <v>26</v>
      </c>
      <c r="D3014" s="19">
        <v>1927.79</v>
      </c>
      <c r="F3014" s="3" t="str">
        <f t="shared" si="47"/>
        <v>C3019</v>
      </c>
    </row>
    <row r="3015" spans="1:6" x14ac:dyDescent="0.2">
      <c r="A3015" s="17" t="s">
        <v>11079</v>
      </c>
      <c r="B3015" s="18" t="s">
        <v>11080</v>
      </c>
      <c r="C3015" s="17" t="s">
        <v>26</v>
      </c>
      <c r="D3015" s="19">
        <v>1618.38</v>
      </c>
      <c r="F3015" s="3" t="str">
        <f t="shared" si="47"/>
        <v>C1902</v>
      </c>
    </row>
    <row r="3016" spans="1:6" x14ac:dyDescent="0.2">
      <c r="A3016" s="17" t="s">
        <v>11081</v>
      </c>
      <c r="B3016" s="18" t="s">
        <v>11082</v>
      </c>
      <c r="C3016" s="17" t="s">
        <v>26</v>
      </c>
      <c r="D3016" s="19">
        <v>2722.97</v>
      </c>
      <c r="F3016" s="3" t="str">
        <f t="shared" si="47"/>
        <v>C3020</v>
      </c>
    </row>
    <row r="3017" spans="1:6" x14ac:dyDescent="0.2">
      <c r="A3017" s="17" t="s">
        <v>11083</v>
      </c>
      <c r="B3017" s="18" t="s">
        <v>11084</v>
      </c>
      <c r="C3017" s="17" t="s">
        <v>26</v>
      </c>
      <c r="D3017" s="19">
        <v>151.46</v>
      </c>
      <c r="F3017" s="3" t="str">
        <f t="shared" si="47"/>
        <v>C3603</v>
      </c>
    </row>
    <row r="3018" spans="1:6" x14ac:dyDescent="0.2">
      <c r="A3018" s="17" t="s">
        <v>11085</v>
      </c>
      <c r="B3018" s="18" t="s">
        <v>11086</v>
      </c>
      <c r="C3018" s="17" t="s">
        <v>26</v>
      </c>
      <c r="D3018" s="19">
        <v>242.64</v>
      </c>
      <c r="F3018" s="3" t="str">
        <f t="shared" si="47"/>
        <v>C3021</v>
      </c>
    </row>
    <row r="3019" spans="1:6" x14ac:dyDescent="0.2">
      <c r="A3019" s="17" t="s">
        <v>11087</v>
      </c>
      <c r="B3019" s="18" t="s">
        <v>11088</v>
      </c>
      <c r="C3019" s="17" t="s">
        <v>26</v>
      </c>
      <c r="D3019" s="19">
        <v>77.260000000000005</v>
      </c>
      <c r="F3019" s="3" t="str">
        <f t="shared" si="47"/>
        <v>C1997</v>
      </c>
    </row>
    <row r="3020" spans="1:6" x14ac:dyDescent="0.2">
      <c r="A3020" s="17" t="s">
        <v>11089</v>
      </c>
      <c r="B3020" s="18" t="s">
        <v>11090</v>
      </c>
      <c r="C3020" s="17" t="s">
        <v>26</v>
      </c>
      <c r="D3020" s="19">
        <v>34.26</v>
      </c>
      <c r="F3020" s="3" t="str">
        <f t="shared" si="47"/>
        <v>C4670</v>
      </c>
    </row>
    <row r="3021" spans="1:6" x14ac:dyDescent="0.2">
      <c r="A3021" s="17" t="s">
        <v>11091</v>
      </c>
      <c r="B3021" s="18" t="s">
        <v>11092</v>
      </c>
      <c r="C3021" s="17" t="s">
        <v>26</v>
      </c>
      <c r="D3021" s="19">
        <v>66.33</v>
      </c>
      <c r="F3021" s="3" t="str">
        <f t="shared" si="47"/>
        <v>C4825</v>
      </c>
    </row>
    <row r="3022" spans="1:6" x14ac:dyDescent="0.2">
      <c r="A3022" s="17" t="s">
        <v>11093</v>
      </c>
      <c r="B3022" s="18" t="s">
        <v>11094</v>
      </c>
      <c r="C3022" s="17" t="s">
        <v>26</v>
      </c>
      <c r="D3022" s="19">
        <v>53.36</v>
      </c>
      <c r="F3022" s="3" t="str">
        <f t="shared" si="47"/>
        <v>C1990</v>
      </c>
    </row>
    <row r="3023" spans="1:6" x14ac:dyDescent="0.2">
      <c r="A3023" s="17" t="s">
        <v>11095</v>
      </c>
      <c r="B3023" s="18" t="s">
        <v>11096</v>
      </c>
      <c r="C3023" s="17" t="s">
        <v>26</v>
      </c>
      <c r="D3023" s="19">
        <v>94.34</v>
      </c>
      <c r="F3023" s="3" t="str">
        <f t="shared" si="47"/>
        <v>C1995</v>
      </c>
    </row>
    <row r="3024" spans="1:6" x14ac:dyDescent="0.2">
      <c r="A3024" s="17" t="s">
        <v>11097</v>
      </c>
      <c r="B3024" s="18" t="s">
        <v>11098</v>
      </c>
      <c r="C3024" s="17" t="s">
        <v>26</v>
      </c>
      <c r="D3024" s="19">
        <v>55.97</v>
      </c>
      <c r="F3024" s="3" t="str">
        <f t="shared" si="47"/>
        <v>C1996</v>
      </c>
    </row>
    <row r="3025" spans="1:6" x14ac:dyDescent="0.2">
      <c r="A3025" s="17" t="s">
        <v>11099</v>
      </c>
      <c r="B3025" s="18" t="s">
        <v>11100</v>
      </c>
      <c r="C3025" s="17" t="s">
        <v>26</v>
      </c>
      <c r="D3025" s="19">
        <v>72.41</v>
      </c>
      <c r="F3025" s="3" t="str">
        <f t="shared" si="47"/>
        <v>C2255</v>
      </c>
    </row>
    <row r="3026" spans="1:6" x14ac:dyDescent="0.2">
      <c r="A3026" s="17" t="s">
        <v>11101</v>
      </c>
      <c r="B3026" s="18" t="s">
        <v>11102</v>
      </c>
      <c r="C3026" s="17" t="s">
        <v>26</v>
      </c>
      <c r="D3026" s="19">
        <v>76.78</v>
      </c>
      <c r="F3026" s="3" t="str">
        <f t="shared" si="47"/>
        <v>C2254</v>
      </c>
    </row>
    <row r="3027" spans="1:6" x14ac:dyDescent="0.2">
      <c r="A3027" s="17" t="s">
        <v>11103</v>
      </c>
      <c r="B3027" s="18" t="s">
        <v>11104</v>
      </c>
      <c r="C3027" s="17" t="s">
        <v>26</v>
      </c>
      <c r="D3027" s="19">
        <v>44.52</v>
      </c>
      <c r="F3027" s="3" t="str">
        <f t="shared" si="47"/>
        <v>C4671</v>
      </c>
    </row>
    <row r="3028" spans="1:6" x14ac:dyDescent="0.2">
      <c r="A3028" s="17" t="s">
        <v>11105</v>
      </c>
      <c r="B3028" s="18" t="s">
        <v>11106</v>
      </c>
      <c r="C3028" s="17" t="s">
        <v>26</v>
      </c>
      <c r="D3028" s="19">
        <v>199.04</v>
      </c>
      <c r="F3028" s="3" t="str">
        <f t="shared" si="47"/>
        <v>C2271</v>
      </c>
    </row>
    <row r="3029" spans="1:6" x14ac:dyDescent="0.2">
      <c r="A3029" s="17" t="s">
        <v>11107</v>
      </c>
      <c r="B3029" s="18" t="s">
        <v>11108</v>
      </c>
      <c r="C3029" s="17" t="s">
        <v>26</v>
      </c>
      <c r="D3029" s="19">
        <v>208.76</v>
      </c>
      <c r="F3029" s="3" t="str">
        <f t="shared" si="47"/>
        <v>C2270</v>
      </c>
    </row>
    <row r="3030" spans="1:6" x14ac:dyDescent="0.2">
      <c r="A3030" s="17" t="s">
        <v>11109</v>
      </c>
      <c r="B3030" s="18" t="s">
        <v>11110</v>
      </c>
      <c r="C3030" s="17" t="s">
        <v>26</v>
      </c>
      <c r="D3030" s="19">
        <v>29.3</v>
      </c>
      <c r="F3030" s="3" t="str">
        <f t="shared" si="47"/>
        <v>C2272</v>
      </c>
    </row>
    <row r="3031" spans="1:6" x14ac:dyDescent="0.2">
      <c r="A3031" s="17" t="s">
        <v>11111</v>
      </c>
      <c r="B3031" s="18" t="s">
        <v>11112</v>
      </c>
      <c r="C3031" s="17" t="s">
        <v>26</v>
      </c>
      <c r="D3031" s="19">
        <v>90.24</v>
      </c>
      <c r="F3031" s="3" t="str">
        <f t="shared" si="47"/>
        <v>C2294</v>
      </c>
    </row>
    <row r="3032" spans="1:6" x14ac:dyDescent="0.2">
      <c r="A3032" s="17" t="s">
        <v>11113</v>
      </c>
      <c r="B3032" s="18" t="s">
        <v>11114</v>
      </c>
      <c r="C3032" s="17" t="s">
        <v>255</v>
      </c>
      <c r="D3032" s="19">
        <v>1087.01</v>
      </c>
      <c r="F3032" s="3" t="str">
        <f t="shared" si="47"/>
        <v>C2302</v>
      </c>
    </row>
    <row r="3033" spans="1:6" x14ac:dyDescent="0.2">
      <c r="A3033" s="17" t="s">
        <v>11115</v>
      </c>
      <c r="B3033" s="18" t="s">
        <v>11116</v>
      </c>
      <c r="C3033" s="17" t="s">
        <v>26</v>
      </c>
      <c r="D3033" s="19">
        <v>744.44</v>
      </c>
      <c r="F3033" s="3" t="str">
        <f t="shared" si="47"/>
        <v>C2311</v>
      </c>
    </row>
    <row r="3034" spans="1:6" ht="22.5" x14ac:dyDescent="0.2">
      <c r="A3034" s="17" t="s">
        <v>11117</v>
      </c>
      <c r="B3034" s="18" t="s">
        <v>11118</v>
      </c>
      <c r="C3034" s="17" t="s">
        <v>26</v>
      </c>
      <c r="D3034" s="19">
        <v>218.23</v>
      </c>
      <c r="F3034" s="3" t="str">
        <f t="shared" si="47"/>
        <v>C3059</v>
      </c>
    </row>
    <row r="3035" spans="1:6" x14ac:dyDescent="0.2">
      <c r="A3035" s="17">
        <v>0</v>
      </c>
      <c r="B3035" s="18"/>
      <c r="C3035" s="17">
        <v>0</v>
      </c>
      <c r="D3035" s="19">
        <v>0</v>
      </c>
      <c r="F3035" s="3">
        <f t="shared" si="47"/>
        <v>0</v>
      </c>
    </row>
    <row r="3036" spans="1:6" ht="22.5" x14ac:dyDescent="0.2">
      <c r="A3036" s="17" t="s">
        <v>11119</v>
      </c>
      <c r="B3036" s="18" t="s">
        <v>11120</v>
      </c>
      <c r="C3036" s="17" t="s">
        <v>26</v>
      </c>
      <c r="D3036" s="19">
        <v>195.87</v>
      </c>
      <c r="F3036" s="3" t="str">
        <f t="shared" si="47"/>
        <v>C3595</v>
      </c>
    </row>
    <row r="3037" spans="1:6" x14ac:dyDescent="0.2">
      <c r="A3037" s="17">
        <v>0</v>
      </c>
      <c r="B3037" s="18"/>
      <c r="C3037" s="17">
        <v>0</v>
      </c>
      <c r="D3037" s="19">
        <v>0</v>
      </c>
      <c r="F3037" s="3">
        <f t="shared" si="47"/>
        <v>0</v>
      </c>
    </row>
    <row r="3038" spans="1:6" x14ac:dyDescent="0.2">
      <c r="A3038" s="17" t="s">
        <v>11121</v>
      </c>
      <c r="B3038" s="18" t="s">
        <v>11122</v>
      </c>
      <c r="C3038" s="17" t="s">
        <v>26</v>
      </c>
      <c r="D3038" s="19">
        <v>779.57</v>
      </c>
      <c r="F3038" s="3" t="str">
        <f t="shared" si="47"/>
        <v>C2312</v>
      </c>
    </row>
    <row r="3039" spans="1:6" x14ac:dyDescent="0.2">
      <c r="A3039" s="17" t="s">
        <v>11123</v>
      </c>
      <c r="B3039" s="18" t="s">
        <v>11124</v>
      </c>
      <c r="C3039" s="17" t="s">
        <v>26</v>
      </c>
      <c r="D3039" s="19">
        <v>1592.48</v>
      </c>
      <c r="F3039" s="3" t="str">
        <f t="shared" si="47"/>
        <v>C3682</v>
      </c>
    </row>
    <row r="3040" spans="1:6" x14ac:dyDescent="0.2">
      <c r="A3040" s="17">
        <v>0</v>
      </c>
      <c r="B3040" s="18"/>
      <c r="C3040" s="17">
        <v>0</v>
      </c>
      <c r="D3040" s="19">
        <v>0</v>
      </c>
      <c r="F3040" s="3">
        <f t="shared" si="47"/>
        <v>0</v>
      </c>
    </row>
    <row r="3041" spans="1:6" x14ac:dyDescent="0.2">
      <c r="A3041" s="17" t="s">
        <v>11125</v>
      </c>
      <c r="B3041" s="18" t="s">
        <v>11126</v>
      </c>
      <c r="C3041" s="17" t="s">
        <v>26</v>
      </c>
      <c r="D3041" s="19">
        <v>260.73</v>
      </c>
      <c r="F3041" s="3" t="str">
        <f t="shared" si="47"/>
        <v>C2313</v>
      </c>
    </row>
    <row r="3042" spans="1:6" x14ac:dyDescent="0.2">
      <c r="A3042" s="17" t="s">
        <v>11127</v>
      </c>
      <c r="B3042" s="18" t="s">
        <v>11128</v>
      </c>
      <c r="C3042" s="17" t="s">
        <v>26</v>
      </c>
      <c r="D3042" s="19">
        <v>164.52</v>
      </c>
      <c r="F3042" s="3" t="str">
        <f t="shared" si="47"/>
        <v>C2496</v>
      </c>
    </row>
    <row r="3043" spans="1:6" x14ac:dyDescent="0.2">
      <c r="A3043" s="17" t="s">
        <v>11129</v>
      </c>
      <c r="B3043" s="18" t="s">
        <v>11130</v>
      </c>
      <c r="C3043" s="17" t="s">
        <v>26</v>
      </c>
      <c r="D3043" s="19">
        <v>208.36</v>
      </c>
      <c r="F3043" s="3" t="str">
        <f t="shared" si="47"/>
        <v>C2502</v>
      </c>
    </row>
    <row r="3044" spans="1:6" x14ac:dyDescent="0.2">
      <c r="A3044" s="17" t="s">
        <v>11131</v>
      </c>
      <c r="B3044" s="18" t="s">
        <v>11132</v>
      </c>
      <c r="C3044" s="17" t="s">
        <v>26</v>
      </c>
      <c r="D3044" s="19">
        <v>771.48</v>
      </c>
      <c r="F3044" s="3" t="str">
        <f t="shared" si="47"/>
        <v>C2503</v>
      </c>
    </row>
    <row r="3045" spans="1:6" x14ac:dyDescent="0.2">
      <c r="A3045" s="17" t="s">
        <v>11133</v>
      </c>
      <c r="B3045" s="18" t="s">
        <v>11134</v>
      </c>
      <c r="C3045" s="17" t="s">
        <v>26</v>
      </c>
      <c r="D3045" s="19">
        <v>125.25</v>
      </c>
      <c r="F3045" s="3" t="str">
        <f t="shared" si="47"/>
        <v>C4820</v>
      </c>
    </row>
    <row r="3046" spans="1:6" x14ac:dyDescent="0.2">
      <c r="A3046" s="17">
        <v>0</v>
      </c>
      <c r="B3046" s="18"/>
      <c r="C3046" s="17">
        <v>0</v>
      </c>
      <c r="D3046" s="19">
        <v>0</v>
      </c>
      <c r="F3046" s="3">
        <f t="shared" si="47"/>
        <v>0</v>
      </c>
    </row>
    <row r="3047" spans="1:6" x14ac:dyDescent="0.2">
      <c r="A3047" s="17" t="s">
        <v>11135</v>
      </c>
      <c r="B3047" s="18" t="s">
        <v>11136</v>
      </c>
      <c r="C3047" s="17" t="s">
        <v>26</v>
      </c>
      <c r="D3047" s="19">
        <v>138.16</v>
      </c>
      <c r="F3047" s="3" t="str">
        <f t="shared" si="47"/>
        <v>C2504</v>
      </c>
    </row>
    <row r="3048" spans="1:6" x14ac:dyDescent="0.2">
      <c r="A3048" s="17" t="s">
        <v>11137</v>
      </c>
      <c r="B3048" s="18" t="s">
        <v>11138</v>
      </c>
      <c r="C3048" s="17" t="s">
        <v>26</v>
      </c>
      <c r="D3048" s="19">
        <v>69.680000000000007</v>
      </c>
      <c r="F3048" s="3" t="str">
        <f t="shared" si="47"/>
        <v>C2505</v>
      </c>
    </row>
    <row r="3049" spans="1:6" x14ac:dyDescent="0.2">
      <c r="A3049" s="17" t="s">
        <v>11139</v>
      </c>
      <c r="B3049" s="18" t="s">
        <v>11140</v>
      </c>
      <c r="C3049" s="17" t="s">
        <v>26</v>
      </c>
      <c r="D3049" s="19">
        <v>33.770000000000003</v>
      </c>
      <c r="F3049" s="3" t="str">
        <f t="shared" si="47"/>
        <v>C2506</v>
      </c>
    </row>
    <row r="3050" spans="1:6" x14ac:dyDescent="0.2">
      <c r="A3050" s="17" t="s">
        <v>11141</v>
      </c>
      <c r="B3050" s="18" t="s">
        <v>11142</v>
      </c>
      <c r="C3050" s="17" t="s">
        <v>26</v>
      </c>
      <c r="D3050" s="19">
        <v>197.99</v>
      </c>
      <c r="F3050" s="3" t="str">
        <f t="shared" si="47"/>
        <v>C3998</v>
      </c>
    </row>
    <row r="3051" spans="1:6" x14ac:dyDescent="0.2">
      <c r="A3051" s="17" t="s">
        <v>11143</v>
      </c>
      <c r="B3051" s="18" t="s">
        <v>11144</v>
      </c>
      <c r="C3051" s="17" t="s">
        <v>26</v>
      </c>
      <c r="D3051" s="19">
        <v>237.29</v>
      </c>
      <c r="F3051" s="3" t="str">
        <f t="shared" si="47"/>
        <v>C3999</v>
      </c>
    </row>
    <row r="3052" spans="1:6" x14ac:dyDescent="0.2">
      <c r="A3052" s="17" t="s">
        <v>11145</v>
      </c>
      <c r="B3052" s="18" t="s">
        <v>11146</v>
      </c>
      <c r="C3052" s="17" t="s">
        <v>26</v>
      </c>
      <c r="D3052" s="19">
        <v>69.91</v>
      </c>
      <c r="F3052" s="3" t="str">
        <f t="shared" si="47"/>
        <v>C4000</v>
      </c>
    </row>
    <row r="3053" spans="1:6" x14ac:dyDescent="0.2">
      <c r="A3053" s="14" t="s">
        <v>11147</v>
      </c>
      <c r="B3053" s="15"/>
      <c r="C3053" s="14">
        <v>0</v>
      </c>
      <c r="D3053" s="16">
        <v>116373.02</v>
      </c>
      <c r="F3053" s="3" t="str">
        <f t="shared" si="47"/>
        <v>EQUIPAMENTOS</v>
      </c>
    </row>
    <row r="3054" spans="1:6" x14ac:dyDescent="0.2">
      <c r="A3054" s="17" t="s">
        <v>11148</v>
      </c>
      <c r="B3054" s="18" t="s">
        <v>11149</v>
      </c>
      <c r="C3054" s="17" t="s">
        <v>26</v>
      </c>
      <c r="D3054" s="19">
        <v>2529.3200000000002</v>
      </c>
      <c r="F3054" s="3" t="str">
        <f t="shared" si="47"/>
        <v>C0001</v>
      </c>
    </row>
    <row r="3055" spans="1:6" x14ac:dyDescent="0.2">
      <c r="A3055" s="17" t="s">
        <v>11150</v>
      </c>
      <c r="B3055" s="18" t="s">
        <v>11151</v>
      </c>
      <c r="C3055" s="17" t="s">
        <v>26</v>
      </c>
      <c r="D3055" s="19">
        <v>79.14</v>
      </c>
      <c r="F3055" s="3" t="str">
        <f t="shared" si="47"/>
        <v>C0010</v>
      </c>
    </row>
    <row r="3056" spans="1:6" x14ac:dyDescent="0.2">
      <c r="A3056" s="17" t="s">
        <v>11152</v>
      </c>
      <c r="B3056" s="18" t="s">
        <v>11153</v>
      </c>
      <c r="C3056" s="17" t="s">
        <v>26</v>
      </c>
      <c r="D3056" s="19">
        <v>3803.8</v>
      </c>
      <c r="F3056" s="3" t="str">
        <f t="shared" si="47"/>
        <v>C0100</v>
      </c>
    </row>
    <row r="3057" spans="1:6" x14ac:dyDescent="0.2">
      <c r="A3057" s="17" t="s">
        <v>11154</v>
      </c>
      <c r="B3057" s="18" t="s">
        <v>11155</v>
      </c>
      <c r="C3057" s="17" t="s">
        <v>26</v>
      </c>
      <c r="D3057" s="19">
        <v>84.13</v>
      </c>
      <c r="F3057" s="3" t="str">
        <f t="shared" si="47"/>
        <v>C0332</v>
      </c>
    </row>
    <row r="3058" spans="1:6" x14ac:dyDescent="0.2">
      <c r="A3058" s="17" t="s">
        <v>11156</v>
      </c>
      <c r="B3058" s="18" t="s">
        <v>11157</v>
      </c>
      <c r="C3058" s="17" t="s">
        <v>26</v>
      </c>
      <c r="D3058" s="19">
        <v>169.5</v>
      </c>
      <c r="F3058" s="3" t="str">
        <f t="shared" si="47"/>
        <v>C0385</v>
      </c>
    </row>
    <row r="3059" spans="1:6" x14ac:dyDescent="0.2">
      <c r="A3059" s="17" t="s">
        <v>11158</v>
      </c>
      <c r="B3059" s="18" t="s">
        <v>11159</v>
      </c>
      <c r="C3059" s="17" t="s">
        <v>26</v>
      </c>
      <c r="D3059" s="19">
        <v>331.37</v>
      </c>
      <c r="F3059" s="3" t="str">
        <f t="shared" si="47"/>
        <v>C0389</v>
      </c>
    </row>
    <row r="3060" spans="1:6" x14ac:dyDescent="0.2">
      <c r="A3060" s="17" t="s">
        <v>11160</v>
      </c>
      <c r="B3060" s="18" t="s">
        <v>11161</v>
      </c>
      <c r="C3060" s="17" t="s">
        <v>26</v>
      </c>
      <c r="D3060" s="19">
        <v>798.45</v>
      </c>
      <c r="F3060" s="3" t="str">
        <f t="shared" si="47"/>
        <v>C1802</v>
      </c>
    </row>
    <row r="3061" spans="1:6" x14ac:dyDescent="0.2">
      <c r="A3061" s="17" t="s">
        <v>11162</v>
      </c>
      <c r="B3061" s="18" t="s">
        <v>11163</v>
      </c>
      <c r="C3061" s="17" t="s">
        <v>26</v>
      </c>
      <c r="D3061" s="19">
        <v>769.48</v>
      </c>
      <c r="F3061" s="3" t="str">
        <f t="shared" si="47"/>
        <v>C0442</v>
      </c>
    </row>
    <row r="3062" spans="1:6" x14ac:dyDescent="0.2">
      <c r="A3062" s="17" t="s">
        <v>11164</v>
      </c>
      <c r="B3062" s="18" t="s">
        <v>11165</v>
      </c>
      <c r="C3062" s="17" t="s">
        <v>26</v>
      </c>
      <c r="D3062" s="19">
        <v>785.94</v>
      </c>
      <c r="F3062" s="3" t="str">
        <f t="shared" si="47"/>
        <v>C0441</v>
      </c>
    </row>
    <row r="3063" spans="1:6" x14ac:dyDescent="0.2">
      <c r="A3063" s="17" t="s">
        <v>11166</v>
      </c>
      <c r="B3063" s="18" t="s">
        <v>11167</v>
      </c>
      <c r="C3063" s="17" t="s">
        <v>26</v>
      </c>
      <c r="D3063" s="19">
        <v>1204.07</v>
      </c>
      <c r="F3063" s="3" t="str">
        <f t="shared" si="47"/>
        <v>C0443</v>
      </c>
    </row>
    <row r="3064" spans="1:6" x14ac:dyDescent="0.2">
      <c r="A3064" s="17" t="s">
        <v>11168</v>
      </c>
      <c r="B3064" s="18" t="s">
        <v>11169</v>
      </c>
      <c r="C3064" s="17" t="s">
        <v>26</v>
      </c>
      <c r="D3064" s="19">
        <v>1483.79</v>
      </c>
      <c r="F3064" s="3" t="str">
        <f t="shared" si="47"/>
        <v>C0444</v>
      </c>
    </row>
    <row r="3065" spans="1:6" x14ac:dyDescent="0.2">
      <c r="A3065" s="17" t="s">
        <v>11170</v>
      </c>
      <c r="B3065" s="18" t="s">
        <v>11171</v>
      </c>
      <c r="C3065" s="17" t="s">
        <v>26</v>
      </c>
      <c r="D3065" s="19">
        <v>1851.75</v>
      </c>
      <c r="F3065" s="3" t="str">
        <f t="shared" si="47"/>
        <v>C0445</v>
      </c>
    </row>
    <row r="3066" spans="1:6" x14ac:dyDescent="0.2">
      <c r="A3066" s="17" t="s">
        <v>11172</v>
      </c>
      <c r="B3066" s="18" t="s">
        <v>11173</v>
      </c>
      <c r="C3066" s="17" t="s">
        <v>26</v>
      </c>
      <c r="D3066" s="19">
        <v>2015.3</v>
      </c>
      <c r="F3066" s="3" t="str">
        <f t="shared" si="47"/>
        <v>C0446</v>
      </c>
    </row>
    <row r="3067" spans="1:6" x14ac:dyDescent="0.2">
      <c r="A3067" s="17" t="s">
        <v>11174</v>
      </c>
      <c r="B3067" s="18" t="s">
        <v>11175</v>
      </c>
      <c r="C3067" s="17" t="s">
        <v>26</v>
      </c>
      <c r="D3067" s="19">
        <v>2695.97</v>
      </c>
      <c r="F3067" s="3" t="str">
        <f t="shared" si="47"/>
        <v>C0447</v>
      </c>
    </row>
    <row r="3068" spans="1:6" x14ac:dyDescent="0.2">
      <c r="A3068" s="17" t="s">
        <v>11176</v>
      </c>
      <c r="B3068" s="18" t="s">
        <v>11177</v>
      </c>
      <c r="C3068" s="17" t="s">
        <v>26</v>
      </c>
      <c r="D3068" s="19">
        <v>3524.16</v>
      </c>
      <c r="F3068" s="3" t="str">
        <f t="shared" si="47"/>
        <v>C0448</v>
      </c>
    </row>
    <row r="3069" spans="1:6" x14ac:dyDescent="0.2">
      <c r="A3069" s="17" t="s">
        <v>11178</v>
      </c>
      <c r="B3069" s="18" t="s">
        <v>11179</v>
      </c>
      <c r="C3069" s="17" t="s">
        <v>26</v>
      </c>
      <c r="D3069" s="19">
        <v>3915.18</v>
      </c>
      <c r="F3069" s="3" t="str">
        <f t="shared" si="47"/>
        <v>C0449</v>
      </c>
    </row>
    <row r="3070" spans="1:6" x14ac:dyDescent="0.2">
      <c r="A3070" s="17" t="s">
        <v>11180</v>
      </c>
      <c r="B3070" s="18" t="s">
        <v>11181</v>
      </c>
      <c r="C3070" s="17" t="s">
        <v>26</v>
      </c>
      <c r="D3070" s="19">
        <v>5979.11</v>
      </c>
      <c r="F3070" s="3" t="str">
        <f t="shared" si="47"/>
        <v>C0451</v>
      </c>
    </row>
    <row r="3071" spans="1:6" x14ac:dyDescent="0.2">
      <c r="A3071" s="17" t="s">
        <v>11182</v>
      </c>
      <c r="B3071" s="18" t="s">
        <v>11183</v>
      </c>
      <c r="C3071" s="17" t="s">
        <v>26</v>
      </c>
      <c r="D3071" s="19">
        <v>7175.72</v>
      </c>
      <c r="F3071" s="3" t="str">
        <f t="shared" si="47"/>
        <v>C0450</v>
      </c>
    </row>
    <row r="3072" spans="1:6" x14ac:dyDescent="0.2">
      <c r="A3072" s="17" t="s">
        <v>11184</v>
      </c>
      <c r="B3072" s="18" t="s">
        <v>11185</v>
      </c>
      <c r="C3072" s="17" t="s">
        <v>26</v>
      </c>
      <c r="D3072" s="19">
        <v>1639.41</v>
      </c>
      <c r="F3072" s="3" t="str">
        <f t="shared" si="47"/>
        <v>C0455</v>
      </c>
    </row>
    <row r="3073" spans="1:6" x14ac:dyDescent="0.2">
      <c r="A3073" s="17" t="s">
        <v>11186</v>
      </c>
      <c r="B3073" s="18" t="s">
        <v>11187</v>
      </c>
      <c r="C3073" s="17" t="s">
        <v>26</v>
      </c>
      <c r="D3073" s="19">
        <v>1598.66</v>
      </c>
      <c r="F3073" s="3" t="str">
        <f t="shared" si="47"/>
        <v>C0454</v>
      </c>
    </row>
    <row r="3074" spans="1:6" x14ac:dyDescent="0.2">
      <c r="A3074" s="17" t="s">
        <v>11188</v>
      </c>
      <c r="B3074" s="18" t="s">
        <v>11189</v>
      </c>
      <c r="C3074" s="17" t="s">
        <v>26</v>
      </c>
      <c r="D3074" s="19">
        <v>1861.22</v>
      </c>
      <c r="F3074" s="3" t="str">
        <f t="shared" ref="F3074:F3137" si="48">A3074</f>
        <v>C0459</v>
      </c>
    </row>
    <row r="3075" spans="1:6" x14ac:dyDescent="0.2">
      <c r="A3075" s="17" t="s">
        <v>11190</v>
      </c>
      <c r="B3075" s="18" t="s">
        <v>11191</v>
      </c>
      <c r="C3075" s="17" t="s">
        <v>26</v>
      </c>
      <c r="D3075" s="19">
        <v>2105.33</v>
      </c>
      <c r="F3075" s="3" t="str">
        <f t="shared" si="48"/>
        <v>C0453</v>
      </c>
    </row>
    <row r="3076" spans="1:6" x14ac:dyDescent="0.2">
      <c r="A3076" s="17" t="s">
        <v>11192</v>
      </c>
      <c r="B3076" s="18" t="s">
        <v>11193</v>
      </c>
      <c r="C3076" s="17" t="s">
        <v>26</v>
      </c>
      <c r="D3076" s="19">
        <v>2484.54</v>
      </c>
      <c r="F3076" s="3" t="str">
        <f t="shared" si="48"/>
        <v>C0452</v>
      </c>
    </row>
    <row r="3077" spans="1:6" x14ac:dyDescent="0.2">
      <c r="A3077" s="17" t="s">
        <v>11194</v>
      </c>
      <c r="B3077" s="18" t="s">
        <v>11195</v>
      </c>
      <c r="C3077" s="17" t="s">
        <v>26</v>
      </c>
      <c r="D3077" s="19">
        <v>2652</v>
      </c>
      <c r="F3077" s="3" t="str">
        <f t="shared" si="48"/>
        <v>C0457</v>
      </c>
    </row>
    <row r="3078" spans="1:6" x14ac:dyDescent="0.2">
      <c r="A3078" s="17" t="s">
        <v>11196</v>
      </c>
      <c r="B3078" s="18" t="s">
        <v>11197</v>
      </c>
      <c r="C3078" s="17" t="s">
        <v>26</v>
      </c>
      <c r="D3078" s="19">
        <v>2723.34</v>
      </c>
      <c r="F3078" s="3" t="str">
        <f t="shared" si="48"/>
        <v>C0456</v>
      </c>
    </row>
    <row r="3079" spans="1:6" x14ac:dyDescent="0.2">
      <c r="A3079" s="17" t="s">
        <v>11198</v>
      </c>
      <c r="B3079" s="18" t="s">
        <v>11199</v>
      </c>
      <c r="C3079" s="17" t="s">
        <v>26</v>
      </c>
      <c r="D3079" s="19">
        <v>2841.63</v>
      </c>
      <c r="F3079" s="3" t="str">
        <f t="shared" si="48"/>
        <v>C0458</v>
      </c>
    </row>
    <row r="3080" spans="1:6" x14ac:dyDescent="0.2">
      <c r="A3080" s="17" t="s">
        <v>11200</v>
      </c>
      <c r="B3080" s="18" t="s">
        <v>11201</v>
      </c>
      <c r="C3080" s="17" t="s">
        <v>26</v>
      </c>
      <c r="D3080" s="19">
        <v>4213.92</v>
      </c>
      <c r="F3080" s="3" t="str">
        <f t="shared" si="48"/>
        <v>C0460</v>
      </c>
    </row>
    <row r="3081" spans="1:6" x14ac:dyDescent="0.2">
      <c r="A3081" s="17" t="s">
        <v>11202</v>
      </c>
      <c r="B3081" s="18" t="s">
        <v>11203</v>
      </c>
      <c r="C3081" s="17" t="s">
        <v>26</v>
      </c>
      <c r="D3081" s="19">
        <v>1062.4100000000001</v>
      </c>
      <c r="F3081" s="3" t="str">
        <f t="shared" si="48"/>
        <v>C0729</v>
      </c>
    </row>
    <row r="3082" spans="1:6" x14ac:dyDescent="0.2">
      <c r="A3082" s="17" t="s">
        <v>11204</v>
      </c>
      <c r="B3082" s="18" t="s">
        <v>11205</v>
      </c>
      <c r="C3082" s="17" t="s">
        <v>26</v>
      </c>
      <c r="D3082" s="19">
        <v>7715.34</v>
      </c>
      <c r="F3082" s="3" t="str">
        <f t="shared" si="48"/>
        <v>C0732</v>
      </c>
    </row>
    <row r="3083" spans="1:6" x14ac:dyDescent="0.2">
      <c r="A3083" s="17" t="s">
        <v>11206</v>
      </c>
      <c r="B3083" s="18" t="s">
        <v>11207</v>
      </c>
      <c r="C3083" s="17" t="s">
        <v>26</v>
      </c>
      <c r="D3083" s="19">
        <v>15378.05</v>
      </c>
      <c r="F3083" s="3" t="str">
        <f t="shared" si="48"/>
        <v>C0730</v>
      </c>
    </row>
    <row r="3084" spans="1:6" x14ac:dyDescent="0.2">
      <c r="A3084" s="17" t="s">
        <v>11208</v>
      </c>
      <c r="B3084" s="18" t="s">
        <v>11209</v>
      </c>
      <c r="C3084" s="17" t="s">
        <v>26</v>
      </c>
      <c r="D3084" s="19">
        <v>23070.71</v>
      </c>
      <c r="F3084" s="3" t="str">
        <f t="shared" si="48"/>
        <v>C0731</v>
      </c>
    </row>
    <row r="3085" spans="1:6" x14ac:dyDescent="0.2">
      <c r="A3085" s="17" t="s">
        <v>11210</v>
      </c>
      <c r="B3085" s="18" t="s">
        <v>11211</v>
      </c>
      <c r="C3085" s="17" t="s">
        <v>26</v>
      </c>
      <c r="D3085" s="19">
        <v>380.62</v>
      </c>
      <c r="F3085" s="3" t="str">
        <f t="shared" si="48"/>
        <v>C0796</v>
      </c>
    </row>
    <row r="3086" spans="1:6" x14ac:dyDescent="0.2">
      <c r="A3086" s="17" t="s">
        <v>11212</v>
      </c>
      <c r="B3086" s="18" t="s">
        <v>11213</v>
      </c>
      <c r="C3086" s="17" t="s">
        <v>26</v>
      </c>
      <c r="D3086" s="19">
        <v>116.4</v>
      </c>
      <c r="F3086" s="3" t="str">
        <f t="shared" si="48"/>
        <v>C4385</v>
      </c>
    </row>
    <row r="3087" spans="1:6" x14ac:dyDescent="0.2">
      <c r="A3087" s="17" t="s">
        <v>11214</v>
      </c>
      <c r="B3087" s="18" t="s">
        <v>11215</v>
      </c>
      <c r="C3087" s="17" t="s">
        <v>26</v>
      </c>
      <c r="D3087" s="19">
        <v>3079.08</v>
      </c>
      <c r="F3087" s="3" t="str">
        <f t="shared" si="48"/>
        <v>C4589</v>
      </c>
    </row>
    <row r="3088" spans="1:6" x14ac:dyDescent="0.2">
      <c r="A3088" s="17" t="s">
        <v>11216</v>
      </c>
      <c r="B3088" s="18" t="s">
        <v>11217</v>
      </c>
      <c r="C3088" s="17" t="s">
        <v>26</v>
      </c>
      <c r="D3088" s="19">
        <v>258.54000000000002</v>
      </c>
      <c r="F3088" s="3" t="str">
        <f t="shared" si="48"/>
        <v>C1357</v>
      </c>
    </row>
    <row r="3089" spans="1:6" x14ac:dyDescent="0.2">
      <c r="A3089" s="17" t="s">
        <v>11218</v>
      </c>
      <c r="B3089" s="18" t="s">
        <v>11219</v>
      </c>
      <c r="C3089" s="17" t="s">
        <v>26</v>
      </c>
      <c r="D3089" s="19">
        <v>858.83</v>
      </c>
      <c r="F3089" s="3" t="str">
        <f t="shared" si="48"/>
        <v>C1359</v>
      </c>
    </row>
    <row r="3090" spans="1:6" x14ac:dyDescent="0.2">
      <c r="A3090" s="17" t="s">
        <v>11220</v>
      </c>
      <c r="B3090" s="18" t="s">
        <v>11221</v>
      </c>
      <c r="C3090" s="17" t="s">
        <v>26</v>
      </c>
      <c r="D3090" s="19">
        <v>905.09</v>
      </c>
      <c r="F3090" s="3" t="str">
        <f t="shared" si="48"/>
        <v>C1456</v>
      </c>
    </row>
    <row r="3091" spans="1:6" x14ac:dyDescent="0.2">
      <c r="A3091" s="17" t="s">
        <v>11222</v>
      </c>
      <c r="B3091" s="18" t="s">
        <v>11223</v>
      </c>
      <c r="C3091" s="17" t="s">
        <v>26</v>
      </c>
      <c r="D3091" s="19">
        <v>1212.1500000000001</v>
      </c>
      <c r="F3091" s="3" t="str">
        <f t="shared" si="48"/>
        <v>C4304</v>
      </c>
    </row>
    <row r="3092" spans="1:6" x14ac:dyDescent="0.2">
      <c r="A3092" s="17" t="s">
        <v>11224</v>
      </c>
      <c r="B3092" s="18" t="s">
        <v>11225</v>
      </c>
      <c r="C3092" s="17" t="s">
        <v>26</v>
      </c>
      <c r="D3092" s="19">
        <v>258.95</v>
      </c>
      <c r="F3092" s="3" t="str">
        <f t="shared" si="48"/>
        <v>C2275</v>
      </c>
    </row>
    <row r="3093" spans="1:6" x14ac:dyDescent="0.2">
      <c r="A3093" s="17" t="s">
        <v>11226</v>
      </c>
      <c r="B3093" s="18" t="s">
        <v>11227</v>
      </c>
      <c r="C3093" s="17" t="s">
        <v>26</v>
      </c>
      <c r="D3093" s="19">
        <v>70.89</v>
      </c>
      <c r="F3093" s="3" t="str">
        <f t="shared" si="48"/>
        <v>C2291</v>
      </c>
    </row>
    <row r="3094" spans="1:6" x14ac:dyDescent="0.2">
      <c r="A3094" s="17" t="s">
        <v>11228</v>
      </c>
      <c r="B3094" s="18" t="s">
        <v>11229</v>
      </c>
      <c r="C3094" s="17" t="s">
        <v>26</v>
      </c>
      <c r="D3094" s="19">
        <v>73.569999999999993</v>
      </c>
      <c r="F3094" s="3" t="str">
        <f t="shared" si="48"/>
        <v>C2292</v>
      </c>
    </row>
    <row r="3095" spans="1:6" x14ac:dyDescent="0.2">
      <c r="A3095" s="17" t="s">
        <v>11230</v>
      </c>
      <c r="B3095" s="18" t="s">
        <v>11231</v>
      </c>
      <c r="C3095" s="17" t="s">
        <v>26</v>
      </c>
      <c r="D3095" s="19">
        <v>45.25</v>
      </c>
      <c r="F3095" s="3" t="str">
        <f t="shared" si="48"/>
        <v>C2497</v>
      </c>
    </row>
    <row r="3096" spans="1:6" x14ac:dyDescent="0.2">
      <c r="A3096" s="17" t="s">
        <v>11232</v>
      </c>
      <c r="B3096" s="18" t="s">
        <v>11233</v>
      </c>
      <c r="C3096" s="17" t="s">
        <v>26</v>
      </c>
      <c r="D3096" s="19">
        <v>58.46</v>
      </c>
      <c r="F3096" s="3" t="str">
        <f t="shared" si="48"/>
        <v>C2498</v>
      </c>
    </row>
    <row r="3097" spans="1:6" x14ac:dyDescent="0.2">
      <c r="A3097" s="17" t="s">
        <v>11234</v>
      </c>
      <c r="B3097" s="18" t="s">
        <v>11235</v>
      </c>
      <c r="C3097" s="17" t="s">
        <v>26</v>
      </c>
      <c r="D3097" s="19">
        <v>87.12</v>
      </c>
      <c r="F3097" s="3" t="str">
        <f t="shared" si="48"/>
        <v>C2499</v>
      </c>
    </row>
    <row r="3098" spans="1:6" x14ac:dyDescent="0.2">
      <c r="A3098" s="17" t="s">
        <v>11236</v>
      </c>
      <c r="B3098" s="18" t="s">
        <v>11237</v>
      </c>
      <c r="C3098" s="17" t="s">
        <v>26</v>
      </c>
      <c r="D3098" s="19">
        <v>84.87</v>
      </c>
      <c r="F3098" s="3" t="str">
        <f t="shared" si="48"/>
        <v>C2500</v>
      </c>
    </row>
    <row r="3099" spans="1:6" x14ac:dyDescent="0.2">
      <c r="A3099" s="17" t="s">
        <v>11238</v>
      </c>
      <c r="B3099" s="18" t="s">
        <v>11239</v>
      </c>
      <c r="C3099" s="17" t="s">
        <v>26</v>
      </c>
      <c r="D3099" s="19">
        <v>139.29</v>
      </c>
      <c r="F3099" s="3" t="str">
        <f t="shared" si="48"/>
        <v>C2501</v>
      </c>
    </row>
    <row r="3100" spans="1:6" x14ac:dyDescent="0.2">
      <c r="A3100" s="17" t="s">
        <v>11240</v>
      </c>
      <c r="B3100" s="18" t="s">
        <v>11241</v>
      </c>
      <c r="C3100" s="17" t="s">
        <v>26</v>
      </c>
      <c r="D3100" s="19">
        <v>201.17</v>
      </c>
      <c r="F3100" s="3" t="str">
        <f t="shared" si="48"/>
        <v>C2507</v>
      </c>
    </row>
    <row r="3101" spans="1:6" x14ac:dyDescent="0.2">
      <c r="A3101" s="14" t="s">
        <v>11242</v>
      </c>
      <c r="B3101" s="15"/>
      <c r="C3101" s="14">
        <v>0</v>
      </c>
      <c r="D3101" s="16">
        <v>145988.17000000001</v>
      </c>
      <c r="F3101" s="3" t="str">
        <f t="shared" si="48"/>
        <v>POÇOS E CAIXAS</v>
      </c>
    </row>
    <row r="3102" spans="1:6" x14ac:dyDescent="0.2">
      <c r="A3102" s="17" t="s">
        <v>11243</v>
      </c>
      <c r="B3102" s="18" t="s">
        <v>11244</v>
      </c>
      <c r="C3102" s="17" t="s">
        <v>0</v>
      </c>
      <c r="D3102" s="19">
        <v>310.02999999999997</v>
      </c>
      <c r="F3102" s="3" t="str">
        <f t="shared" si="48"/>
        <v>C0011</v>
      </c>
    </row>
    <row r="3103" spans="1:6" x14ac:dyDescent="0.2">
      <c r="A3103" s="17" t="s">
        <v>11245</v>
      </c>
      <c r="B3103" s="18" t="s">
        <v>11246</v>
      </c>
      <c r="C3103" s="17" t="s">
        <v>0</v>
      </c>
      <c r="D3103" s="19">
        <v>508.07</v>
      </c>
      <c r="F3103" s="3" t="str">
        <f t="shared" si="48"/>
        <v>C0012</v>
      </c>
    </row>
    <row r="3104" spans="1:6" x14ac:dyDescent="0.2">
      <c r="A3104" s="17" t="s">
        <v>11247</v>
      </c>
      <c r="B3104" s="18" t="s">
        <v>11248</v>
      </c>
      <c r="C3104" s="17" t="s">
        <v>0</v>
      </c>
      <c r="D3104" s="19">
        <v>730.21</v>
      </c>
      <c r="F3104" s="3" t="str">
        <f t="shared" si="48"/>
        <v>C0013</v>
      </c>
    </row>
    <row r="3105" spans="1:6" x14ac:dyDescent="0.2">
      <c r="A3105" s="17" t="s">
        <v>11249</v>
      </c>
      <c r="B3105" s="18" t="s">
        <v>11250</v>
      </c>
      <c r="C3105" s="17" t="s">
        <v>0</v>
      </c>
      <c r="D3105" s="19">
        <v>261.37</v>
      </c>
      <c r="F3105" s="3" t="str">
        <f t="shared" si="48"/>
        <v>C0232</v>
      </c>
    </row>
    <row r="3106" spans="1:6" x14ac:dyDescent="0.2">
      <c r="A3106" s="17" t="s">
        <v>11251</v>
      </c>
      <c r="B3106" s="18" t="s">
        <v>11252</v>
      </c>
      <c r="C3106" s="17" t="s">
        <v>26</v>
      </c>
      <c r="D3106" s="19">
        <v>374.61</v>
      </c>
      <c r="F3106" s="3" t="str">
        <f t="shared" si="48"/>
        <v>C3441</v>
      </c>
    </row>
    <row r="3107" spans="1:6" x14ac:dyDescent="0.2">
      <c r="A3107" s="17" t="s">
        <v>11253</v>
      </c>
      <c r="B3107" s="18" t="s">
        <v>11254</v>
      </c>
      <c r="C3107" s="17" t="s">
        <v>26</v>
      </c>
      <c r="D3107" s="19">
        <v>545.73</v>
      </c>
      <c r="F3107" s="3" t="str">
        <f t="shared" si="48"/>
        <v>C3442</v>
      </c>
    </row>
    <row r="3108" spans="1:6" x14ac:dyDescent="0.2">
      <c r="A3108" s="17" t="s">
        <v>11255</v>
      </c>
      <c r="B3108" s="18" t="s">
        <v>11256</v>
      </c>
      <c r="C3108" s="17" t="s">
        <v>26</v>
      </c>
      <c r="D3108" s="19">
        <v>287.2</v>
      </c>
      <c r="F3108" s="3" t="str">
        <f t="shared" si="48"/>
        <v>C4595</v>
      </c>
    </row>
    <row r="3109" spans="1:6" x14ac:dyDescent="0.2">
      <c r="A3109" s="17" t="s">
        <v>11257</v>
      </c>
      <c r="B3109" s="18" t="s">
        <v>11258</v>
      </c>
      <c r="C3109" s="17" t="s">
        <v>26</v>
      </c>
      <c r="D3109" s="19">
        <v>334.51</v>
      </c>
      <c r="F3109" s="3" t="str">
        <f t="shared" si="48"/>
        <v>C0601</v>
      </c>
    </row>
    <row r="3110" spans="1:6" x14ac:dyDescent="0.2">
      <c r="A3110" s="17" t="s">
        <v>11259</v>
      </c>
      <c r="B3110" s="21" t="s">
        <v>11260</v>
      </c>
      <c r="C3110" s="17" t="s">
        <v>26</v>
      </c>
      <c r="D3110" s="19">
        <v>95.68</v>
      </c>
      <c r="F3110" s="3" t="str">
        <f t="shared" si="48"/>
        <v>C3584</v>
      </c>
    </row>
    <row r="3111" spans="1:6" x14ac:dyDescent="0.2">
      <c r="A3111" s="17" t="s">
        <v>11261</v>
      </c>
      <c r="B3111" s="18" t="s">
        <v>11262</v>
      </c>
      <c r="C3111" s="17" t="s">
        <v>255</v>
      </c>
      <c r="D3111" s="19">
        <v>164.61</v>
      </c>
      <c r="F3111" s="3" t="str">
        <f t="shared" si="48"/>
        <v>C0605</v>
      </c>
    </row>
    <row r="3112" spans="1:6" ht="22.5" x14ac:dyDescent="0.2">
      <c r="A3112" s="20" t="s">
        <v>11263</v>
      </c>
      <c r="B3112" s="21" t="s">
        <v>11264</v>
      </c>
      <c r="C3112" s="20" t="s">
        <v>26</v>
      </c>
      <c r="D3112" s="22">
        <v>297.89999999999998</v>
      </c>
      <c r="F3112" s="3" t="str">
        <f t="shared" si="48"/>
        <v>C0603</v>
      </c>
    </row>
    <row r="3113" spans="1:6" x14ac:dyDescent="0.2">
      <c r="A3113" s="17">
        <v>0</v>
      </c>
      <c r="B3113" s="18"/>
      <c r="C3113" s="17">
        <v>0</v>
      </c>
      <c r="D3113" s="19">
        <v>0</v>
      </c>
      <c r="F3113" s="3">
        <f t="shared" si="48"/>
        <v>0</v>
      </c>
    </row>
    <row r="3114" spans="1:6" ht="22.5" x14ac:dyDescent="0.2">
      <c r="A3114" s="17" t="s">
        <v>11265</v>
      </c>
      <c r="B3114" s="18" t="s">
        <v>11266</v>
      </c>
      <c r="C3114" s="17" t="s">
        <v>26</v>
      </c>
      <c r="D3114" s="19">
        <v>465.14</v>
      </c>
      <c r="F3114" s="3" t="str">
        <f t="shared" si="48"/>
        <v>C0609</v>
      </c>
    </row>
    <row r="3115" spans="1:6" x14ac:dyDescent="0.2">
      <c r="A3115" s="17">
        <v>0</v>
      </c>
      <c r="B3115" s="18"/>
      <c r="C3115" s="17">
        <v>0</v>
      </c>
      <c r="D3115" s="19">
        <v>0</v>
      </c>
      <c r="F3115" s="3">
        <f t="shared" si="48"/>
        <v>0</v>
      </c>
    </row>
    <row r="3116" spans="1:6" ht="22.5" x14ac:dyDescent="0.2">
      <c r="A3116" s="17" t="s">
        <v>11267</v>
      </c>
      <c r="B3116" s="18" t="s">
        <v>11268</v>
      </c>
      <c r="C3116" s="17" t="s">
        <v>26</v>
      </c>
      <c r="D3116" s="19">
        <v>650.63</v>
      </c>
      <c r="F3116" s="3" t="str">
        <f t="shared" si="48"/>
        <v>C0602</v>
      </c>
    </row>
    <row r="3117" spans="1:6" x14ac:dyDescent="0.2">
      <c r="A3117" s="17">
        <v>0</v>
      </c>
      <c r="B3117" s="18"/>
      <c r="C3117" s="17">
        <v>0</v>
      </c>
      <c r="D3117" s="19">
        <v>0</v>
      </c>
      <c r="F3117" s="3">
        <f t="shared" si="48"/>
        <v>0</v>
      </c>
    </row>
    <row r="3118" spans="1:6" x14ac:dyDescent="0.2">
      <c r="A3118" s="17" t="s">
        <v>11269</v>
      </c>
      <c r="B3118" s="18" t="s">
        <v>11270</v>
      </c>
      <c r="C3118" s="17" t="s">
        <v>255</v>
      </c>
      <c r="D3118" s="19">
        <v>257.02</v>
      </c>
      <c r="F3118" s="3" t="str">
        <f t="shared" si="48"/>
        <v>C0604</v>
      </c>
    </row>
    <row r="3119" spans="1:6" ht="22.5" x14ac:dyDescent="0.2">
      <c r="A3119" s="17" t="s">
        <v>11271</v>
      </c>
      <c r="B3119" s="18" t="s">
        <v>11272</v>
      </c>
      <c r="C3119" s="17" t="s">
        <v>26</v>
      </c>
      <c r="D3119" s="19">
        <v>505.37</v>
      </c>
      <c r="F3119" s="3" t="str">
        <f t="shared" si="48"/>
        <v>C0610</v>
      </c>
    </row>
    <row r="3120" spans="1:6" x14ac:dyDescent="0.2">
      <c r="A3120" s="17">
        <v>0</v>
      </c>
      <c r="B3120" s="18"/>
      <c r="C3120" s="17">
        <v>0</v>
      </c>
      <c r="D3120" s="19">
        <v>0</v>
      </c>
      <c r="F3120" s="3">
        <f t="shared" si="48"/>
        <v>0</v>
      </c>
    </row>
    <row r="3121" spans="1:6" ht="22.5" x14ac:dyDescent="0.2">
      <c r="A3121" s="17" t="s">
        <v>11273</v>
      </c>
      <c r="B3121" s="18" t="s">
        <v>11274</v>
      </c>
      <c r="C3121" s="17" t="s">
        <v>26</v>
      </c>
      <c r="D3121" s="19">
        <v>726.93</v>
      </c>
      <c r="F3121" s="3" t="str">
        <f t="shared" si="48"/>
        <v>C0607</v>
      </c>
    </row>
    <row r="3122" spans="1:6" x14ac:dyDescent="0.2">
      <c r="A3122" s="17">
        <v>0</v>
      </c>
      <c r="B3122" s="18"/>
      <c r="C3122" s="17">
        <v>0</v>
      </c>
      <c r="D3122" s="19">
        <v>0</v>
      </c>
      <c r="F3122" s="3">
        <f t="shared" si="48"/>
        <v>0</v>
      </c>
    </row>
    <row r="3123" spans="1:6" ht="22.5" x14ac:dyDescent="0.2">
      <c r="A3123" s="17" t="s">
        <v>11275</v>
      </c>
      <c r="B3123" s="18" t="s">
        <v>11276</v>
      </c>
      <c r="C3123" s="17" t="s">
        <v>26</v>
      </c>
      <c r="D3123" s="19">
        <v>951.8</v>
      </c>
      <c r="F3123" s="3" t="str">
        <f t="shared" si="48"/>
        <v>C0608</v>
      </c>
    </row>
    <row r="3124" spans="1:6" x14ac:dyDescent="0.2">
      <c r="A3124" s="17">
        <v>0</v>
      </c>
      <c r="B3124" s="18"/>
      <c r="C3124" s="17">
        <v>0</v>
      </c>
      <c r="D3124" s="19">
        <v>0</v>
      </c>
      <c r="F3124" s="3">
        <f t="shared" si="48"/>
        <v>0</v>
      </c>
    </row>
    <row r="3125" spans="1:6" x14ac:dyDescent="0.2">
      <c r="A3125" s="17" t="s">
        <v>11277</v>
      </c>
      <c r="B3125" s="18" t="s">
        <v>11278</v>
      </c>
      <c r="C3125" s="17" t="s">
        <v>255</v>
      </c>
      <c r="D3125" s="19">
        <v>222.28</v>
      </c>
      <c r="F3125" s="3" t="str">
        <f t="shared" si="48"/>
        <v>C0606</v>
      </c>
    </row>
    <row r="3126" spans="1:6" x14ac:dyDescent="0.2">
      <c r="A3126" s="17" t="s">
        <v>11279</v>
      </c>
      <c r="B3126" s="18" t="s">
        <v>11280</v>
      </c>
      <c r="C3126" s="17" t="s">
        <v>271</v>
      </c>
      <c r="D3126" s="19">
        <v>644.62</v>
      </c>
      <c r="F3126" s="3" t="str">
        <f t="shared" si="48"/>
        <v>C0613</v>
      </c>
    </row>
    <row r="3127" spans="1:6" x14ac:dyDescent="0.2">
      <c r="A3127" s="17" t="s">
        <v>11281</v>
      </c>
      <c r="B3127" s="18" t="s">
        <v>11282</v>
      </c>
      <c r="C3127" s="17" t="s">
        <v>26</v>
      </c>
      <c r="D3127" s="19">
        <v>184.52</v>
      </c>
      <c r="F3127" s="3" t="str">
        <f t="shared" si="48"/>
        <v>C0611</v>
      </c>
    </row>
    <row r="3128" spans="1:6" x14ac:dyDescent="0.2">
      <c r="A3128" s="17" t="s">
        <v>11283</v>
      </c>
      <c r="B3128" s="18" t="s">
        <v>11284</v>
      </c>
      <c r="C3128" s="17" t="s">
        <v>26</v>
      </c>
      <c r="D3128" s="19">
        <v>773.07</v>
      </c>
      <c r="F3128" s="3" t="str">
        <f t="shared" si="48"/>
        <v>C0614</v>
      </c>
    </row>
    <row r="3129" spans="1:6" x14ac:dyDescent="0.2">
      <c r="A3129" s="17" t="s">
        <v>11285</v>
      </c>
      <c r="B3129" s="18" t="s">
        <v>11286</v>
      </c>
      <c r="C3129" s="17" t="s">
        <v>26</v>
      </c>
      <c r="D3129" s="19">
        <v>244.86</v>
      </c>
      <c r="F3129" s="3" t="str">
        <f t="shared" si="48"/>
        <v>C0615</v>
      </c>
    </row>
    <row r="3130" spans="1:6" x14ac:dyDescent="0.2">
      <c r="A3130" s="17" t="s">
        <v>11287</v>
      </c>
      <c r="B3130" s="18" t="s">
        <v>11288</v>
      </c>
      <c r="C3130" s="17" t="s">
        <v>26</v>
      </c>
      <c r="D3130" s="19">
        <v>5713.66</v>
      </c>
      <c r="F3130" s="3" t="str">
        <f t="shared" si="48"/>
        <v>C0623</v>
      </c>
    </row>
    <row r="3131" spans="1:6" x14ac:dyDescent="0.2">
      <c r="A3131" s="17" t="s">
        <v>11289</v>
      </c>
      <c r="B3131" s="18" t="s">
        <v>11290</v>
      </c>
      <c r="C3131" s="17" t="s">
        <v>26</v>
      </c>
      <c r="D3131" s="19">
        <v>1870.74</v>
      </c>
      <c r="F3131" s="3" t="str">
        <f t="shared" si="48"/>
        <v>C0637</v>
      </c>
    </row>
    <row r="3132" spans="1:6" x14ac:dyDescent="0.2">
      <c r="A3132" s="17" t="s">
        <v>11291</v>
      </c>
      <c r="B3132" s="18" t="s">
        <v>11292</v>
      </c>
      <c r="C3132" s="17" t="s">
        <v>26</v>
      </c>
      <c r="D3132" s="19">
        <v>2530.5500000000002</v>
      </c>
      <c r="F3132" s="3" t="str">
        <f t="shared" si="48"/>
        <v>C0638</v>
      </c>
    </row>
    <row r="3133" spans="1:6" x14ac:dyDescent="0.2">
      <c r="A3133" s="17" t="s">
        <v>11293</v>
      </c>
      <c r="B3133" s="18" t="s">
        <v>11294</v>
      </c>
      <c r="C3133" s="17" t="s">
        <v>26</v>
      </c>
      <c r="D3133" s="19">
        <v>6086.87</v>
      </c>
      <c r="F3133" s="3" t="str">
        <f t="shared" si="48"/>
        <v>C0639</v>
      </c>
    </row>
    <row r="3134" spans="1:6" x14ac:dyDescent="0.2">
      <c r="A3134" s="17" t="s">
        <v>11295</v>
      </c>
      <c r="B3134" s="18" t="s">
        <v>11296</v>
      </c>
      <c r="C3134" s="17" t="s">
        <v>26</v>
      </c>
      <c r="D3134" s="19">
        <v>1714.87</v>
      </c>
      <c r="F3134" s="3" t="str">
        <f t="shared" si="48"/>
        <v>C0640</v>
      </c>
    </row>
    <row r="3135" spans="1:6" x14ac:dyDescent="0.2">
      <c r="A3135" s="17" t="s">
        <v>11297</v>
      </c>
      <c r="B3135" s="18" t="s">
        <v>11298</v>
      </c>
      <c r="C3135" s="17" t="s">
        <v>26</v>
      </c>
      <c r="D3135" s="19">
        <v>1043.78</v>
      </c>
      <c r="F3135" s="3" t="str">
        <f t="shared" si="48"/>
        <v>C0641</v>
      </c>
    </row>
    <row r="3136" spans="1:6" x14ac:dyDescent="0.2">
      <c r="A3136" s="17" t="s">
        <v>11299</v>
      </c>
      <c r="B3136" s="18" t="s">
        <v>11300</v>
      </c>
      <c r="C3136" s="17" t="s">
        <v>26</v>
      </c>
      <c r="D3136" s="19">
        <v>861.88</v>
      </c>
      <c r="F3136" s="3" t="str">
        <f t="shared" si="48"/>
        <v>C0642</v>
      </c>
    </row>
    <row r="3137" spans="1:6" x14ac:dyDescent="0.2">
      <c r="A3137" s="17" t="s">
        <v>11301</v>
      </c>
      <c r="B3137" s="18" t="s">
        <v>11302</v>
      </c>
      <c r="C3137" s="17" t="s">
        <v>26</v>
      </c>
      <c r="D3137" s="19">
        <v>1277.68</v>
      </c>
      <c r="F3137" s="3" t="str">
        <f t="shared" si="48"/>
        <v>C0643</v>
      </c>
    </row>
    <row r="3138" spans="1:6" x14ac:dyDescent="0.2">
      <c r="A3138" s="17" t="s">
        <v>11303</v>
      </c>
      <c r="B3138" s="18" t="s">
        <v>11304</v>
      </c>
      <c r="C3138" s="17" t="s">
        <v>26</v>
      </c>
      <c r="D3138" s="19">
        <v>1349.23</v>
      </c>
      <c r="F3138" s="3" t="str">
        <f t="shared" ref="F3138:F3201" si="49">A3138</f>
        <v>C0644</v>
      </c>
    </row>
    <row r="3139" spans="1:6" x14ac:dyDescent="0.2">
      <c r="A3139" s="17" t="s">
        <v>11305</v>
      </c>
      <c r="B3139" s="18" t="s">
        <v>11306</v>
      </c>
      <c r="C3139" s="17" t="s">
        <v>26</v>
      </c>
      <c r="D3139" s="19">
        <v>228.36</v>
      </c>
      <c r="F3139" s="3" t="str">
        <f t="shared" si="49"/>
        <v>C0645</v>
      </c>
    </row>
    <row r="3140" spans="1:6" x14ac:dyDescent="0.2">
      <c r="A3140" s="17" t="s">
        <v>11307</v>
      </c>
      <c r="B3140" s="18" t="s">
        <v>11308</v>
      </c>
      <c r="C3140" s="17" t="s">
        <v>26</v>
      </c>
      <c r="D3140" s="19">
        <v>499.92</v>
      </c>
      <c r="F3140" s="3" t="str">
        <f t="shared" si="49"/>
        <v>C0646</v>
      </c>
    </row>
    <row r="3141" spans="1:6" x14ac:dyDescent="0.2">
      <c r="A3141" s="17" t="s">
        <v>11309</v>
      </c>
      <c r="B3141" s="18" t="s">
        <v>11310</v>
      </c>
      <c r="C3141" s="17" t="s">
        <v>26</v>
      </c>
      <c r="D3141" s="19">
        <v>342.1</v>
      </c>
      <c r="F3141" s="3" t="str">
        <f t="shared" si="49"/>
        <v>C0647</v>
      </c>
    </row>
    <row r="3142" spans="1:6" x14ac:dyDescent="0.2">
      <c r="A3142" s="17" t="s">
        <v>11311</v>
      </c>
      <c r="B3142" s="18" t="s">
        <v>11312</v>
      </c>
      <c r="C3142" s="17" t="s">
        <v>26</v>
      </c>
      <c r="D3142" s="19">
        <v>847.53</v>
      </c>
      <c r="F3142" s="3" t="str">
        <f t="shared" si="49"/>
        <v>C0648</v>
      </c>
    </row>
    <row r="3143" spans="1:6" x14ac:dyDescent="0.2">
      <c r="A3143" s="17" t="s">
        <v>11313</v>
      </c>
      <c r="B3143" s="18" t="s">
        <v>11314</v>
      </c>
      <c r="C3143" s="17" t="s">
        <v>26</v>
      </c>
      <c r="D3143" s="19">
        <v>364.06</v>
      </c>
      <c r="F3143" s="3" t="str">
        <f t="shared" si="49"/>
        <v>C0649</v>
      </c>
    </row>
    <row r="3144" spans="1:6" x14ac:dyDescent="0.2">
      <c r="A3144" s="17" t="s">
        <v>11315</v>
      </c>
      <c r="B3144" s="18" t="s">
        <v>11316</v>
      </c>
      <c r="C3144" s="17" t="s">
        <v>26</v>
      </c>
      <c r="D3144" s="19">
        <v>1030.51</v>
      </c>
      <c r="F3144" s="3" t="str">
        <f t="shared" si="49"/>
        <v>C3411</v>
      </c>
    </row>
    <row r="3145" spans="1:6" x14ac:dyDescent="0.2">
      <c r="A3145" s="17" t="s">
        <v>11317</v>
      </c>
      <c r="B3145" s="18" t="s">
        <v>11318</v>
      </c>
      <c r="C3145" s="17" t="s">
        <v>26</v>
      </c>
      <c r="D3145" s="19">
        <v>3255.53</v>
      </c>
      <c r="F3145" s="3" t="str">
        <f t="shared" si="49"/>
        <v>C3412</v>
      </c>
    </row>
    <row r="3146" spans="1:6" x14ac:dyDescent="0.2">
      <c r="A3146" s="17">
        <v>0</v>
      </c>
      <c r="B3146" s="18"/>
      <c r="C3146" s="17">
        <v>0</v>
      </c>
      <c r="D3146" s="19">
        <v>0</v>
      </c>
      <c r="F3146" s="3">
        <f t="shared" si="49"/>
        <v>0</v>
      </c>
    </row>
    <row r="3147" spans="1:6" x14ac:dyDescent="0.2">
      <c r="A3147" s="17" t="s">
        <v>11319</v>
      </c>
      <c r="B3147" s="18" t="s">
        <v>11320</v>
      </c>
      <c r="C3147" s="17" t="s">
        <v>26</v>
      </c>
      <c r="D3147" s="19">
        <v>4964.55</v>
      </c>
      <c r="F3147" s="3" t="str">
        <f t="shared" si="49"/>
        <v>C3413</v>
      </c>
    </row>
    <row r="3148" spans="1:6" x14ac:dyDescent="0.2">
      <c r="A3148" s="17">
        <v>0</v>
      </c>
      <c r="B3148" s="18"/>
      <c r="C3148" s="17">
        <v>0</v>
      </c>
      <c r="D3148" s="19">
        <v>0</v>
      </c>
      <c r="F3148" s="3">
        <f t="shared" si="49"/>
        <v>0</v>
      </c>
    </row>
    <row r="3149" spans="1:6" x14ac:dyDescent="0.2">
      <c r="A3149" s="17" t="s">
        <v>11321</v>
      </c>
      <c r="B3149" s="18" t="s">
        <v>11322</v>
      </c>
      <c r="C3149" s="17" t="s">
        <v>26</v>
      </c>
      <c r="D3149" s="19">
        <v>6194.02</v>
      </c>
      <c r="F3149" s="3" t="str">
        <f t="shared" si="49"/>
        <v>C3414</v>
      </c>
    </row>
    <row r="3150" spans="1:6" x14ac:dyDescent="0.2">
      <c r="A3150" s="17">
        <v>0</v>
      </c>
      <c r="B3150" s="18"/>
      <c r="C3150" s="17">
        <v>0</v>
      </c>
      <c r="D3150" s="19">
        <v>0</v>
      </c>
      <c r="F3150" s="3">
        <f t="shared" si="49"/>
        <v>0</v>
      </c>
    </row>
    <row r="3151" spans="1:6" x14ac:dyDescent="0.2">
      <c r="A3151" s="17" t="s">
        <v>11323</v>
      </c>
      <c r="B3151" s="18" t="s">
        <v>11324</v>
      </c>
      <c r="C3151" s="17" t="s">
        <v>26</v>
      </c>
      <c r="D3151" s="19">
        <v>682.92</v>
      </c>
      <c r="F3151" s="3" t="str">
        <f t="shared" si="49"/>
        <v>C0653</v>
      </c>
    </row>
    <row r="3152" spans="1:6" x14ac:dyDescent="0.2">
      <c r="A3152" s="17" t="s">
        <v>11325</v>
      </c>
      <c r="B3152" s="18" t="s">
        <v>11326</v>
      </c>
      <c r="C3152" s="17" t="s">
        <v>26</v>
      </c>
      <c r="D3152" s="19">
        <v>2907.94</v>
      </c>
      <c r="F3152" s="3" t="str">
        <f t="shared" si="49"/>
        <v>C0650</v>
      </c>
    </row>
    <row r="3153" spans="1:6" x14ac:dyDescent="0.2">
      <c r="A3153" s="17" t="s">
        <v>11327</v>
      </c>
      <c r="B3153" s="18" t="s">
        <v>11328</v>
      </c>
      <c r="C3153" s="17" t="s">
        <v>26</v>
      </c>
      <c r="D3153" s="19">
        <v>4391.22</v>
      </c>
      <c r="F3153" s="3" t="str">
        <f t="shared" si="49"/>
        <v>C0651</v>
      </c>
    </row>
    <row r="3154" spans="1:6" x14ac:dyDescent="0.2">
      <c r="A3154" s="17" t="s">
        <v>11329</v>
      </c>
      <c r="B3154" s="18" t="s">
        <v>11330</v>
      </c>
      <c r="C3154" s="17" t="s">
        <v>26</v>
      </c>
      <c r="D3154" s="19">
        <v>5602.05</v>
      </c>
      <c r="F3154" s="3" t="str">
        <f t="shared" si="49"/>
        <v>C0652</v>
      </c>
    </row>
    <row r="3155" spans="1:6" x14ac:dyDescent="0.2">
      <c r="A3155" s="17" t="s">
        <v>11331</v>
      </c>
      <c r="B3155" s="18" t="s">
        <v>11332</v>
      </c>
      <c r="C3155" s="17" t="s">
        <v>26</v>
      </c>
      <c r="D3155" s="19">
        <v>38.74</v>
      </c>
      <c r="F3155" s="3" t="str">
        <f t="shared" si="49"/>
        <v>C4923</v>
      </c>
    </row>
    <row r="3156" spans="1:6" x14ac:dyDescent="0.2">
      <c r="A3156" s="17">
        <v>0</v>
      </c>
      <c r="B3156" s="18"/>
      <c r="C3156" s="17">
        <v>0</v>
      </c>
      <c r="D3156" s="19">
        <v>0</v>
      </c>
      <c r="F3156" s="3">
        <f t="shared" si="49"/>
        <v>0</v>
      </c>
    </row>
    <row r="3157" spans="1:6" x14ac:dyDescent="0.2">
      <c r="A3157" s="17" t="s">
        <v>11333</v>
      </c>
      <c r="B3157" s="18" t="s">
        <v>11334</v>
      </c>
      <c r="C3157" s="17" t="s">
        <v>26</v>
      </c>
      <c r="D3157" s="19">
        <v>55.68</v>
      </c>
      <c r="F3157" s="3" t="str">
        <f t="shared" si="49"/>
        <v>C4924</v>
      </c>
    </row>
    <row r="3158" spans="1:6" x14ac:dyDescent="0.2">
      <c r="A3158" s="17">
        <v>0</v>
      </c>
      <c r="B3158" s="18"/>
      <c r="C3158" s="17">
        <v>0</v>
      </c>
      <c r="D3158" s="19">
        <v>0</v>
      </c>
      <c r="F3158" s="3">
        <f t="shared" si="49"/>
        <v>0</v>
      </c>
    </row>
    <row r="3159" spans="1:6" x14ac:dyDescent="0.2">
      <c r="A3159" s="17" t="s">
        <v>11335</v>
      </c>
      <c r="B3159" s="18" t="s">
        <v>11336</v>
      </c>
      <c r="C3159" s="17" t="s">
        <v>26</v>
      </c>
      <c r="D3159" s="19">
        <v>56.45</v>
      </c>
      <c r="F3159" s="3" t="str">
        <f t="shared" si="49"/>
        <v>C4925</v>
      </c>
    </row>
    <row r="3160" spans="1:6" x14ac:dyDescent="0.2">
      <c r="A3160" s="17">
        <v>0</v>
      </c>
      <c r="B3160" s="18"/>
      <c r="C3160" s="17">
        <v>0</v>
      </c>
      <c r="D3160" s="19">
        <v>0</v>
      </c>
      <c r="F3160" s="3">
        <f t="shared" si="49"/>
        <v>0</v>
      </c>
    </row>
    <row r="3161" spans="1:6" x14ac:dyDescent="0.2">
      <c r="A3161" s="17" t="s">
        <v>11337</v>
      </c>
      <c r="B3161" s="18" t="s">
        <v>11338</v>
      </c>
      <c r="C3161" s="17" t="s">
        <v>26</v>
      </c>
      <c r="D3161" s="19">
        <v>59.56</v>
      </c>
      <c r="F3161" s="3" t="str">
        <f t="shared" si="49"/>
        <v>C4926</v>
      </c>
    </row>
    <row r="3162" spans="1:6" x14ac:dyDescent="0.2">
      <c r="A3162" s="17">
        <v>0</v>
      </c>
      <c r="B3162" s="18"/>
      <c r="C3162" s="17">
        <v>0</v>
      </c>
      <c r="D3162" s="19">
        <v>0</v>
      </c>
      <c r="F3162" s="3">
        <f t="shared" si="49"/>
        <v>0</v>
      </c>
    </row>
    <row r="3163" spans="1:6" x14ac:dyDescent="0.2">
      <c r="A3163" s="17" t="s">
        <v>11339</v>
      </c>
      <c r="B3163" s="18" t="s">
        <v>11340</v>
      </c>
      <c r="C3163" s="17" t="s">
        <v>26</v>
      </c>
      <c r="D3163" s="19">
        <v>63</v>
      </c>
      <c r="F3163" s="3" t="str">
        <f t="shared" si="49"/>
        <v>C4927</v>
      </c>
    </row>
    <row r="3164" spans="1:6" x14ac:dyDescent="0.2">
      <c r="A3164" s="17">
        <v>0</v>
      </c>
      <c r="B3164" s="18"/>
      <c r="C3164" s="17">
        <v>0</v>
      </c>
      <c r="D3164" s="19">
        <v>0</v>
      </c>
      <c r="F3164" s="3">
        <f t="shared" si="49"/>
        <v>0</v>
      </c>
    </row>
    <row r="3165" spans="1:6" x14ac:dyDescent="0.2">
      <c r="A3165" s="17" t="s">
        <v>11341</v>
      </c>
      <c r="B3165" s="18" t="s">
        <v>11342</v>
      </c>
      <c r="C3165" s="17" t="s">
        <v>26</v>
      </c>
      <c r="D3165" s="19">
        <v>74.67</v>
      </c>
      <c r="F3165" s="3" t="str">
        <f t="shared" si="49"/>
        <v>C4928</v>
      </c>
    </row>
    <row r="3166" spans="1:6" x14ac:dyDescent="0.2">
      <c r="A3166" s="17">
        <v>0</v>
      </c>
      <c r="B3166" s="18"/>
      <c r="C3166" s="17">
        <v>0</v>
      </c>
      <c r="D3166" s="19">
        <v>0</v>
      </c>
      <c r="F3166" s="3">
        <f t="shared" si="49"/>
        <v>0</v>
      </c>
    </row>
    <row r="3167" spans="1:6" x14ac:dyDescent="0.2">
      <c r="A3167" s="17" t="s">
        <v>11343</v>
      </c>
      <c r="B3167" s="18" t="s">
        <v>11344</v>
      </c>
      <c r="C3167" s="17" t="s">
        <v>26</v>
      </c>
      <c r="D3167" s="19">
        <v>73.040000000000006</v>
      </c>
      <c r="F3167" s="3" t="str">
        <f t="shared" si="49"/>
        <v>C4929</v>
      </c>
    </row>
    <row r="3168" spans="1:6" x14ac:dyDescent="0.2">
      <c r="A3168" s="17">
        <v>0</v>
      </c>
      <c r="B3168" s="18"/>
      <c r="C3168" s="17">
        <v>0</v>
      </c>
      <c r="D3168" s="19">
        <v>0</v>
      </c>
      <c r="F3168" s="3">
        <f t="shared" si="49"/>
        <v>0</v>
      </c>
    </row>
    <row r="3169" spans="1:6" x14ac:dyDescent="0.2">
      <c r="A3169" s="17" t="s">
        <v>11345</v>
      </c>
      <c r="B3169" s="18" t="s">
        <v>11346</v>
      </c>
      <c r="C3169" s="17" t="s">
        <v>26</v>
      </c>
      <c r="D3169" s="19">
        <v>90.78</v>
      </c>
      <c r="F3169" s="3" t="str">
        <f t="shared" si="49"/>
        <v>C4378</v>
      </c>
    </row>
    <row r="3170" spans="1:6" x14ac:dyDescent="0.2">
      <c r="A3170" s="17">
        <v>0</v>
      </c>
      <c r="B3170" s="18"/>
      <c r="C3170" s="17">
        <v>0</v>
      </c>
      <c r="D3170" s="19">
        <v>0</v>
      </c>
      <c r="F3170" s="3">
        <f t="shared" si="49"/>
        <v>0</v>
      </c>
    </row>
    <row r="3171" spans="1:6" x14ac:dyDescent="0.2">
      <c r="A3171" s="17" t="s">
        <v>11347</v>
      </c>
      <c r="B3171" s="18" t="s">
        <v>11348</v>
      </c>
      <c r="C3171" s="17" t="s">
        <v>26</v>
      </c>
      <c r="D3171" s="19">
        <v>128.66999999999999</v>
      </c>
      <c r="F3171" s="3" t="str">
        <f t="shared" si="49"/>
        <v>C4930</v>
      </c>
    </row>
    <row r="3172" spans="1:6" x14ac:dyDescent="0.2">
      <c r="A3172" s="17">
        <v>0</v>
      </c>
      <c r="B3172" s="18"/>
      <c r="C3172" s="17">
        <v>0</v>
      </c>
      <c r="D3172" s="19">
        <v>0</v>
      </c>
      <c r="F3172" s="3">
        <f t="shared" si="49"/>
        <v>0</v>
      </c>
    </row>
    <row r="3173" spans="1:6" x14ac:dyDescent="0.2">
      <c r="A3173" s="17" t="s">
        <v>11349</v>
      </c>
      <c r="B3173" s="18" t="s">
        <v>11350</v>
      </c>
      <c r="C3173" s="17" t="s">
        <v>26</v>
      </c>
      <c r="D3173" s="19">
        <v>341.22</v>
      </c>
      <c r="F3173" s="3" t="str">
        <f t="shared" si="49"/>
        <v>C2816</v>
      </c>
    </row>
    <row r="3174" spans="1:6" x14ac:dyDescent="0.2">
      <c r="A3174" s="17" t="s">
        <v>11351</v>
      </c>
      <c r="B3174" s="18" t="s">
        <v>11352</v>
      </c>
      <c r="C3174" s="17" t="s">
        <v>26</v>
      </c>
      <c r="D3174" s="19">
        <v>507.69</v>
      </c>
      <c r="F3174" s="3" t="str">
        <f t="shared" si="49"/>
        <v>C4327</v>
      </c>
    </row>
    <row r="3175" spans="1:6" x14ac:dyDescent="0.2">
      <c r="A3175" s="17" t="s">
        <v>11353</v>
      </c>
      <c r="B3175" s="18" t="s">
        <v>11354</v>
      </c>
      <c r="C3175" s="17" t="s">
        <v>26</v>
      </c>
      <c r="D3175" s="19">
        <v>86.13</v>
      </c>
      <c r="F3175" s="3" t="str">
        <f t="shared" si="49"/>
        <v>C3583</v>
      </c>
    </row>
    <row r="3176" spans="1:6" x14ac:dyDescent="0.2">
      <c r="A3176" s="17" t="s">
        <v>11355</v>
      </c>
      <c r="B3176" s="18" t="s">
        <v>11356</v>
      </c>
      <c r="C3176" s="17" t="s">
        <v>26</v>
      </c>
      <c r="D3176" s="19">
        <v>862.33</v>
      </c>
      <c r="F3176" s="3" t="str">
        <f t="shared" si="49"/>
        <v>C2907</v>
      </c>
    </row>
    <row r="3177" spans="1:6" x14ac:dyDescent="0.2">
      <c r="A3177" s="17" t="s">
        <v>11357</v>
      </c>
      <c r="B3177" s="18" t="s">
        <v>11358</v>
      </c>
      <c r="C3177" s="17" t="s">
        <v>26</v>
      </c>
      <c r="D3177" s="19">
        <v>2364.04</v>
      </c>
      <c r="F3177" s="3" t="str">
        <f t="shared" si="49"/>
        <v>C2908</v>
      </c>
    </row>
    <row r="3178" spans="1:6" x14ac:dyDescent="0.2">
      <c r="A3178" s="17" t="s">
        <v>11359</v>
      </c>
      <c r="B3178" s="18" t="s">
        <v>11360</v>
      </c>
      <c r="C3178" s="17" t="s">
        <v>26</v>
      </c>
      <c r="D3178" s="19">
        <v>4183.83</v>
      </c>
      <c r="F3178" s="3" t="str">
        <f t="shared" si="49"/>
        <v>C2909</v>
      </c>
    </row>
    <row r="3179" spans="1:6" x14ac:dyDescent="0.2">
      <c r="A3179" s="17" t="s">
        <v>11361</v>
      </c>
      <c r="B3179" s="18" t="s">
        <v>11362</v>
      </c>
      <c r="C3179" s="17" t="s">
        <v>26</v>
      </c>
      <c r="D3179" s="19">
        <v>2482.59</v>
      </c>
      <c r="F3179" s="3" t="str">
        <f t="shared" si="49"/>
        <v>C4572</v>
      </c>
    </row>
    <row r="3180" spans="1:6" x14ac:dyDescent="0.2">
      <c r="A3180" s="17">
        <v>0</v>
      </c>
      <c r="B3180" s="18"/>
      <c r="C3180" s="17">
        <v>0</v>
      </c>
      <c r="D3180" s="19">
        <v>0</v>
      </c>
      <c r="F3180" s="3">
        <f t="shared" si="49"/>
        <v>0</v>
      </c>
    </row>
    <row r="3181" spans="1:6" x14ac:dyDescent="0.2">
      <c r="A3181" s="17" t="s">
        <v>11363</v>
      </c>
      <c r="B3181" s="18" t="s">
        <v>11364</v>
      </c>
      <c r="C3181" s="17" t="s">
        <v>26</v>
      </c>
      <c r="D3181" s="19">
        <v>3132.29</v>
      </c>
      <c r="F3181" s="3" t="str">
        <f t="shared" si="49"/>
        <v>C4573</v>
      </c>
    </row>
    <row r="3182" spans="1:6" x14ac:dyDescent="0.2">
      <c r="A3182" s="17">
        <v>0</v>
      </c>
      <c r="B3182" s="18"/>
      <c r="C3182" s="17">
        <v>0</v>
      </c>
      <c r="D3182" s="19">
        <v>0</v>
      </c>
      <c r="F3182" s="3">
        <f t="shared" si="49"/>
        <v>0</v>
      </c>
    </row>
    <row r="3183" spans="1:6" x14ac:dyDescent="0.2">
      <c r="A3183" s="17" t="s">
        <v>11365</v>
      </c>
      <c r="B3183" s="18" t="s">
        <v>11366</v>
      </c>
      <c r="C3183" s="17" t="s">
        <v>26</v>
      </c>
      <c r="D3183" s="19">
        <v>3789.49</v>
      </c>
      <c r="F3183" s="3" t="str">
        <f t="shared" si="49"/>
        <v>C4574</v>
      </c>
    </row>
    <row r="3184" spans="1:6" x14ac:dyDescent="0.2">
      <c r="A3184" s="17">
        <v>0</v>
      </c>
      <c r="B3184" s="18"/>
      <c r="C3184" s="17">
        <v>0</v>
      </c>
      <c r="D3184" s="19">
        <v>0</v>
      </c>
      <c r="F3184" s="3">
        <f t="shared" si="49"/>
        <v>0</v>
      </c>
    </row>
    <row r="3185" spans="1:6" ht="22.5" x14ac:dyDescent="0.2">
      <c r="A3185" s="17" t="s">
        <v>11367</v>
      </c>
      <c r="B3185" s="18" t="s">
        <v>11368</v>
      </c>
      <c r="C3185" s="17" t="s">
        <v>26</v>
      </c>
      <c r="D3185" s="19">
        <v>37274.089999999997</v>
      </c>
      <c r="F3185" s="3" t="str">
        <f t="shared" si="49"/>
        <v>C4764</v>
      </c>
    </row>
    <row r="3186" spans="1:6" x14ac:dyDescent="0.2">
      <c r="A3186" s="17">
        <v>0</v>
      </c>
      <c r="B3186" s="18"/>
      <c r="C3186" s="17">
        <v>0</v>
      </c>
      <c r="D3186" s="19">
        <v>0</v>
      </c>
      <c r="F3186" s="3">
        <f t="shared" si="49"/>
        <v>0</v>
      </c>
    </row>
    <row r="3187" spans="1:6" ht="22.5" x14ac:dyDescent="0.2">
      <c r="A3187" s="17" t="s">
        <v>11369</v>
      </c>
      <c r="B3187" s="18" t="s">
        <v>11370</v>
      </c>
      <c r="C3187" s="17" t="s">
        <v>26</v>
      </c>
      <c r="D3187" s="19">
        <v>23860.15</v>
      </c>
      <c r="F3187" s="3" t="str">
        <f t="shared" si="49"/>
        <v>C3648</v>
      </c>
    </row>
    <row r="3188" spans="1:6" x14ac:dyDescent="0.2">
      <c r="A3188" s="17">
        <v>0</v>
      </c>
      <c r="B3188" s="18"/>
      <c r="C3188" s="17">
        <v>0</v>
      </c>
      <c r="D3188" s="19">
        <v>0</v>
      </c>
      <c r="F3188" s="3">
        <f t="shared" si="49"/>
        <v>0</v>
      </c>
    </row>
    <row r="3189" spans="1:6" x14ac:dyDescent="0.2">
      <c r="A3189" s="17" t="s">
        <v>11371</v>
      </c>
      <c r="B3189" s="18" t="s">
        <v>11372</v>
      </c>
      <c r="C3189" s="17" t="s">
        <v>26</v>
      </c>
      <c r="D3189" s="19">
        <v>760.37</v>
      </c>
      <c r="F3189" s="3" t="str">
        <f t="shared" si="49"/>
        <v>C4312</v>
      </c>
    </row>
    <row r="3190" spans="1:6" x14ac:dyDescent="0.2">
      <c r="A3190" s="17" t="s">
        <v>11373</v>
      </c>
      <c r="B3190" s="18" t="s">
        <v>11374</v>
      </c>
      <c r="C3190" s="17" t="s">
        <v>26</v>
      </c>
      <c r="D3190" s="19">
        <v>1156.3499999999999</v>
      </c>
      <c r="F3190" s="3" t="str">
        <f t="shared" si="49"/>
        <v>C4328</v>
      </c>
    </row>
    <row r="3191" spans="1:6" x14ac:dyDescent="0.2">
      <c r="A3191" s="17" t="s">
        <v>11375</v>
      </c>
      <c r="B3191" s="18" t="s">
        <v>11376</v>
      </c>
      <c r="C3191" s="17" t="s">
        <v>255</v>
      </c>
      <c r="D3191" s="19">
        <v>80.09</v>
      </c>
      <c r="F3191" s="3" t="str">
        <f t="shared" si="49"/>
        <v>C4772</v>
      </c>
    </row>
    <row r="3192" spans="1:6" x14ac:dyDescent="0.2">
      <c r="A3192" s="17" t="s">
        <v>11377</v>
      </c>
      <c r="B3192" s="18" t="s">
        <v>11378</v>
      </c>
      <c r="C3192" s="17" t="s">
        <v>255</v>
      </c>
      <c r="D3192" s="19">
        <v>128.15</v>
      </c>
      <c r="F3192" s="3" t="str">
        <f t="shared" si="49"/>
        <v>C4773</v>
      </c>
    </row>
    <row r="3193" spans="1:6" x14ac:dyDescent="0.2">
      <c r="A3193" s="17" t="s">
        <v>11379</v>
      </c>
      <c r="B3193" s="18" t="s">
        <v>11380</v>
      </c>
      <c r="C3193" s="17" t="s">
        <v>255</v>
      </c>
      <c r="D3193" s="19">
        <v>240.27</v>
      </c>
      <c r="F3193" s="3" t="str">
        <f t="shared" si="49"/>
        <v>C4783</v>
      </c>
    </row>
    <row r="3194" spans="1:6" x14ac:dyDescent="0.2">
      <c r="A3194" s="17" t="s">
        <v>11381</v>
      </c>
      <c r="B3194" s="18" t="s">
        <v>11382</v>
      </c>
      <c r="C3194" s="17" t="s">
        <v>26</v>
      </c>
      <c r="D3194" s="19">
        <v>117.73</v>
      </c>
      <c r="F3194" s="3" t="str">
        <f t="shared" si="49"/>
        <v>C4610</v>
      </c>
    </row>
    <row r="3195" spans="1:6" x14ac:dyDescent="0.2">
      <c r="A3195" s="17" t="s">
        <v>11383</v>
      </c>
      <c r="B3195" s="18" t="s">
        <v>11384</v>
      </c>
      <c r="C3195" s="17" t="s">
        <v>26</v>
      </c>
      <c r="D3195" s="19">
        <v>153.77000000000001</v>
      </c>
      <c r="F3195" s="3" t="str">
        <f t="shared" si="49"/>
        <v>C4609</v>
      </c>
    </row>
    <row r="3196" spans="1:6" x14ac:dyDescent="0.2">
      <c r="A3196" s="17" t="s">
        <v>11385</v>
      </c>
      <c r="B3196" s="18" t="s">
        <v>11386</v>
      </c>
      <c r="C3196" s="17" t="s">
        <v>26</v>
      </c>
      <c r="D3196" s="19">
        <v>194.62</v>
      </c>
      <c r="F3196" s="3" t="str">
        <f t="shared" si="49"/>
        <v>C4611</v>
      </c>
    </row>
    <row r="3197" spans="1:6" x14ac:dyDescent="0.2">
      <c r="A3197" s="17" t="s">
        <v>11387</v>
      </c>
      <c r="B3197" s="18" t="s">
        <v>11388</v>
      </c>
      <c r="C3197" s="17" t="s">
        <v>26</v>
      </c>
      <c r="D3197" s="19">
        <v>240.27</v>
      </c>
      <c r="F3197" s="3" t="str">
        <f t="shared" si="49"/>
        <v>C4612</v>
      </c>
    </row>
    <row r="3198" spans="1:6" x14ac:dyDescent="0.2">
      <c r="A3198" s="17" t="s">
        <v>11389</v>
      </c>
      <c r="B3198" s="18" t="s">
        <v>11390</v>
      </c>
      <c r="C3198" s="17" t="s">
        <v>26</v>
      </c>
      <c r="D3198" s="19">
        <v>95.99</v>
      </c>
      <c r="F3198" s="3" t="str">
        <f t="shared" si="49"/>
        <v>C4216</v>
      </c>
    </row>
    <row r="3199" spans="1:6" x14ac:dyDescent="0.2">
      <c r="A3199" s="14" t="s">
        <v>11391</v>
      </c>
      <c r="B3199" s="15"/>
      <c r="C3199" s="14">
        <v>0</v>
      </c>
      <c r="D3199" s="16">
        <v>27464.99</v>
      </c>
      <c r="F3199" s="3" t="str">
        <f t="shared" si="49"/>
        <v>GRADEAMENTO, COMPORTA, VERTEDOURO E CALHAS</v>
      </c>
    </row>
    <row r="3200" spans="1:6" x14ac:dyDescent="0.2">
      <c r="A3200" s="17" t="s">
        <v>11392</v>
      </c>
      <c r="B3200" s="18" t="s">
        <v>11393</v>
      </c>
      <c r="C3200" s="17" t="s">
        <v>26</v>
      </c>
      <c r="D3200" s="19">
        <v>1446.21</v>
      </c>
      <c r="F3200" s="3" t="str">
        <f t="shared" si="49"/>
        <v>C0663</v>
      </c>
    </row>
    <row r="3201" spans="1:6" x14ac:dyDescent="0.2">
      <c r="A3201" s="17">
        <v>0</v>
      </c>
      <c r="B3201" s="18"/>
      <c r="C3201" s="17">
        <v>0</v>
      </c>
      <c r="D3201" s="19">
        <v>0</v>
      </c>
      <c r="F3201" s="3">
        <f t="shared" si="49"/>
        <v>0</v>
      </c>
    </row>
    <row r="3202" spans="1:6" x14ac:dyDescent="0.2">
      <c r="A3202" s="17" t="s">
        <v>11394</v>
      </c>
      <c r="B3202" s="18" t="s">
        <v>11395</v>
      </c>
      <c r="C3202" s="17" t="s">
        <v>26</v>
      </c>
      <c r="D3202" s="19">
        <v>2006.12</v>
      </c>
      <c r="F3202" s="3" t="str">
        <f t="shared" ref="F3202:F3265" si="50">A3202</f>
        <v>C0664</v>
      </c>
    </row>
    <row r="3203" spans="1:6" x14ac:dyDescent="0.2">
      <c r="A3203" s="17">
        <v>0</v>
      </c>
      <c r="B3203" s="18"/>
      <c r="C3203" s="17">
        <v>0</v>
      </c>
      <c r="D3203" s="19">
        <v>0</v>
      </c>
      <c r="F3203" s="3">
        <f t="shared" si="50"/>
        <v>0</v>
      </c>
    </row>
    <row r="3204" spans="1:6" x14ac:dyDescent="0.2">
      <c r="A3204" s="17" t="s">
        <v>11396</v>
      </c>
      <c r="B3204" s="18" t="s">
        <v>11397</v>
      </c>
      <c r="C3204" s="17" t="s">
        <v>26</v>
      </c>
      <c r="D3204" s="19">
        <v>2309.52</v>
      </c>
      <c r="F3204" s="3" t="str">
        <f t="shared" si="50"/>
        <v>C0665</v>
      </c>
    </row>
    <row r="3205" spans="1:6" x14ac:dyDescent="0.2">
      <c r="A3205" s="17">
        <v>0</v>
      </c>
      <c r="B3205" s="18"/>
      <c r="C3205" s="17">
        <v>0</v>
      </c>
      <c r="D3205" s="19">
        <v>0</v>
      </c>
      <c r="F3205" s="3">
        <f t="shared" si="50"/>
        <v>0</v>
      </c>
    </row>
    <row r="3206" spans="1:6" ht="22.5" x14ac:dyDescent="0.2">
      <c r="A3206" s="17" t="s">
        <v>11398</v>
      </c>
      <c r="B3206" s="18" t="s">
        <v>11399</v>
      </c>
      <c r="C3206" s="17" t="s">
        <v>26</v>
      </c>
      <c r="D3206" s="19">
        <v>12470.49</v>
      </c>
      <c r="F3206" s="3" t="str">
        <f t="shared" si="50"/>
        <v>C4742</v>
      </c>
    </row>
    <row r="3207" spans="1:6" x14ac:dyDescent="0.2">
      <c r="A3207" s="17">
        <v>0</v>
      </c>
      <c r="B3207" s="18"/>
      <c r="C3207" s="17">
        <v>0</v>
      </c>
      <c r="D3207" s="19">
        <v>0</v>
      </c>
      <c r="F3207" s="3">
        <f t="shared" si="50"/>
        <v>0</v>
      </c>
    </row>
    <row r="3208" spans="1:6" x14ac:dyDescent="0.2">
      <c r="A3208" s="17" t="s">
        <v>11400</v>
      </c>
      <c r="B3208" s="18" t="s">
        <v>11401</v>
      </c>
      <c r="C3208" s="17" t="s">
        <v>255</v>
      </c>
      <c r="D3208" s="19">
        <v>429.82</v>
      </c>
      <c r="F3208" s="3" t="str">
        <f t="shared" si="50"/>
        <v>C0823</v>
      </c>
    </row>
    <row r="3209" spans="1:6" x14ac:dyDescent="0.2">
      <c r="A3209" s="17" t="s">
        <v>11402</v>
      </c>
      <c r="B3209" s="18" t="s">
        <v>11403</v>
      </c>
      <c r="C3209" s="17" t="s">
        <v>255</v>
      </c>
      <c r="D3209" s="19">
        <v>205.74</v>
      </c>
      <c r="F3209" s="3" t="str">
        <f t="shared" si="50"/>
        <v>C0824</v>
      </c>
    </row>
    <row r="3210" spans="1:6" x14ac:dyDescent="0.2">
      <c r="A3210" s="17" t="s">
        <v>11404</v>
      </c>
      <c r="B3210" s="18" t="s">
        <v>11405</v>
      </c>
      <c r="C3210" s="17" t="s">
        <v>26</v>
      </c>
      <c r="D3210" s="19">
        <v>478.7</v>
      </c>
      <c r="F3210" s="3" t="str">
        <f t="shared" si="50"/>
        <v>C2734</v>
      </c>
    </row>
    <row r="3211" spans="1:6" x14ac:dyDescent="0.2">
      <c r="A3211" s="17" t="s">
        <v>11406</v>
      </c>
      <c r="B3211" s="18" t="s">
        <v>11407</v>
      </c>
      <c r="C3211" s="17" t="s">
        <v>26</v>
      </c>
      <c r="D3211" s="19">
        <v>707.46</v>
      </c>
      <c r="F3211" s="3" t="str">
        <f t="shared" si="50"/>
        <v>C2735</v>
      </c>
    </row>
    <row r="3212" spans="1:6" x14ac:dyDescent="0.2">
      <c r="A3212" s="17" t="s">
        <v>11408</v>
      </c>
      <c r="B3212" s="18" t="s">
        <v>11409</v>
      </c>
      <c r="C3212" s="17" t="s">
        <v>26</v>
      </c>
      <c r="D3212" s="19">
        <v>1549.94</v>
      </c>
      <c r="F3212" s="3" t="str">
        <f t="shared" si="50"/>
        <v>C2736</v>
      </c>
    </row>
    <row r="3213" spans="1:6" x14ac:dyDescent="0.2">
      <c r="A3213" s="17" t="s">
        <v>11410</v>
      </c>
      <c r="B3213" s="18" t="s">
        <v>11411</v>
      </c>
      <c r="C3213" s="17" t="s">
        <v>26</v>
      </c>
      <c r="D3213" s="19">
        <v>1805.14</v>
      </c>
      <c r="F3213" s="3" t="str">
        <f t="shared" si="50"/>
        <v>C2737</v>
      </c>
    </row>
    <row r="3214" spans="1:6" x14ac:dyDescent="0.2">
      <c r="A3214" s="17" t="s">
        <v>11412</v>
      </c>
      <c r="B3214" s="18" t="s">
        <v>11413</v>
      </c>
      <c r="C3214" s="17" t="s">
        <v>26</v>
      </c>
      <c r="D3214" s="19">
        <v>348.74</v>
      </c>
      <c r="F3214" s="3" t="str">
        <f t="shared" si="50"/>
        <v>C2815</v>
      </c>
    </row>
    <row r="3215" spans="1:6" ht="22.5" x14ac:dyDescent="0.2">
      <c r="A3215" s="17" t="s">
        <v>11414</v>
      </c>
      <c r="B3215" s="18" t="s">
        <v>11415</v>
      </c>
      <c r="C3215" s="17" t="s">
        <v>255</v>
      </c>
      <c r="D3215" s="19">
        <v>1487.73</v>
      </c>
      <c r="F3215" s="3" t="str">
        <f t="shared" si="50"/>
        <v>C4898</v>
      </c>
    </row>
    <row r="3216" spans="1:6" x14ac:dyDescent="0.2">
      <c r="A3216" s="17">
        <v>0</v>
      </c>
      <c r="B3216" s="18"/>
      <c r="C3216" s="17">
        <v>0</v>
      </c>
      <c r="D3216" s="19">
        <v>0</v>
      </c>
      <c r="F3216" s="3">
        <f t="shared" si="50"/>
        <v>0</v>
      </c>
    </row>
    <row r="3217" spans="1:6" x14ac:dyDescent="0.2">
      <c r="A3217" s="17" t="s">
        <v>11416</v>
      </c>
      <c r="B3217" s="18" t="s">
        <v>11417</v>
      </c>
      <c r="C3217" s="17" t="s">
        <v>255</v>
      </c>
      <c r="D3217" s="19">
        <v>1603.2</v>
      </c>
      <c r="F3217" s="3" t="str">
        <f t="shared" si="50"/>
        <v>C2839</v>
      </c>
    </row>
    <row r="3218" spans="1:6" x14ac:dyDescent="0.2">
      <c r="A3218" s="17" t="s">
        <v>11418</v>
      </c>
      <c r="B3218" s="18" t="s">
        <v>11419</v>
      </c>
      <c r="C3218" s="17" t="s">
        <v>255</v>
      </c>
      <c r="D3218" s="19">
        <v>126.32</v>
      </c>
      <c r="F3218" s="3" t="str">
        <f t="shared" si="50"/>
        <v>C2981</v>
      </c>
    </row>
    <row r="3219" spans="1:6" x14ac:dyDescent="0.2">
      <c r="A3219" s="17" t="s">
        <v>11420</v>
      </c>
      <c r="B3219" s="18" t="s">
        <v>11421</v>
      </c>
      <c r="C3219" s="17" t="s">
        <v>26</v>
      </c>
      <c r="D3219" s="19">
        <v>161.63999999999999</v>
      </c>
      <c r="F3219" s="3" t="str">
        <f t="shared" si="50"/>
        <v>C2982</v>
      </c>
    </row>
    <row r="3220" spans="1:6" x14ac:dyDescent="0.2">
      <c r="A3220" s="17" t="s">
        <v>11422</v>
      </c>
      <c r="B3220" s="18" t="s">
        <v>11423</v>
      </c>
      <c r="C3220" s="17" t="s">
        <v>255</v>
      </c>
      <c r="D3220" s="19">
        <v>328.22</v>
      </c>
      <c r="F3220" s="3" t="str">
        <f t="shared" si="50"/>
        <v>C2983</v>
      </c>
    </row>
    <row r="3221" spans="1:6" x14ac:dyDescent="0.2">
      <c r="A3221" s="14" t="s">
        <v>11424</v>
      </c>
      <c r="B3221" s="15"/>
      <c r="C3221" s="14">
        <v>0</v>
      </c>
      <c r="D3221" s="16">
        <v>2510.21</v>
      </c>
      <c r="F3221" s="3" t="str">
        <f t="shared" si="50"/>
        <v>LIGAÇÕES PREDIAIS</v>
      </c>
    </row>
    <row r="3222" spans="1:6" x14ac:dyDescent="0.2">
      <c r="A3222" s="17" t="s">
        <v>11425</v>
      </c>
      <c r="B3222" s="18" t="s">
        <v>11426</v>
      </c>
      <c r="C3222" s="17" t="s">
        <v>26</v>
      </c>
      <c r="D3222" s="19">
        <v>326.38</v>
      </c>
      <c r="F3222" s="3" t="str">
        <f t="shared" si="50"/>
        <v>C5050</v>
      </c>
    </row>
    <row r="3223" spans="1:6" x14ac:dyDescent="0.2">
      <c r="A3223" s="17" t="s">
        <v>11427</v>
      </c>
      <c r="B3223" s="18" t="s">
        <v>11428</v>
      </c>
      <c r="C3223" s="17" t="s">
        <v>26</v>
      </c>
      <c r="D3223" s="19">
        <v>176.23</v>
      </c>
      <c r="F3223" s="3" t="str">
        <f t="shared" si="50"/>
        <v>C3489</v>
      </c>
    </row>
    <row r="3224" spans="1:6" x14ac:dyDescent="0.2">
      <c r="A3224" s="17" t="s">
        <v>11429</v>
      </c>
      <c r="B3224" s="18" t="s">
        <v>11430</v>
      </c>
      <c r="C3224" s="17" t="s">
        <v>26</v>
      </c>
      <c r="D3224" s="19">
        <v>569.91999999999996</v>
      </c>
      <c r="F3224" s="3" t="str">
        <f t="shared" si="50"/>
        <v>C3415</v>
      </c>
    </row>
    <row r="3225" spans="1:6" x14ac:dyDescent="0.2">
      <c r="A3225" s="17" t="s">
        <v>11431</v>
      </c>
      <c r="B3225" s="18" t="s">
        <v>11432</v>
      </c>
      <c r="C3225" s="17" t="s">
        <v>26</v>
      </c>
      <c r="D3225" s="19">
        <v>74.19</v>
      </c>
      <c r="F3225" s="3" t="str">
        <f t="shared" si="50"/>
        <v>C3738</v>
      </c>
    </row>
    <row r="3226" spans="1:6" x14ac:dyDescent="0.2">
      <c r="A3226" s="17">
        <v>0</v>
      </c>
      <c r="B3226" s="18"/>
      <c r="C3226" s="17">
        <v>0</v>
      </c>
      <c r="D3226" s="19">
        <v>0</v>
      </c>
      <c r="F3226" s="3">
        <f t="shared" si="50"/>
        <v>0</v>
      </c>
    </row>
    <row r="3227" spans="1:6" ht="22.5" x14ac:dyDescent="0.2">
      <c r="A3227" s="17" t="s">
        <v>11433</v>
      </c>
      <c r="B3227" s="18" t="s">
        <v>11434</v>
      </c>
      <c r="C3227" s="17" t="s">
        <v>26</v>
      </c>
      <c r="D3227" s="19">
        <v>20.27</v>
      </c>
      <c r="F3227" s="3" t="str">
        <f t="shared" si="50"/>
        <v>C3739</v>
      </c>
    </row>
    <row r="3228" spans="1:6" x14ac:dyDescent="0.2">
      <c r="A3228" s="17">
        <v>0</v>
      </c>
      <c r="B3228" s="18"/>
      <c r="C3228" s="17">
        <v>0</v>
      </c>
      <c r="D3228" s="19">
        <v>0</v>
      </c>
      <c r="F3228" s="3">
        <f t="shared" si="50"/>
        <v>0</v>
      </c>
    </row>
    <row r="3229" spans="1:6" x14ac:dyDescent="0.2">
      <c r="A3229" s="17" t="s">
        <v>11435</v>
      </c>
      <c r="B3229" s="18" t="s">
        <v>11436</v>
      </c>
      <c r="C3229" s="17" t="s">
        <v>26</v>
      </c>
      <c r="D3229" s="19">
        <v>52.81</v>
      </c>
      <c r="F3229" s="3" t="str">
        <f t="shared" si="50"/>
        <v>C2865</v>
      </c>
    </row>
    <row r="3230" spans="1:6" x14ac:dyDescent="0.2">
      <c r="A3230" s="17" t="s">
        <v>11437</v>
      </c>
      <c r="B3230" s="18" t="s">
        <v>11438</v>
      </c>
      <c r="C3230" s="17" t="s">
        <v>26</v>
      </c>
      <c r="D3230" s="19">
        <v>520.47</v>
      </c>
      <c r="F3230" s="3" t="str">
        <f t="shared" si="50"/>
        <v>C4813</v>
      </c>
    </row>
    <row r="3231" spans="1:6" x14ac:dyDescent="0.2">
      <c r="A3231" s="17">
        <v>0</v>
      </c>
      <c r="B3231" s="18"/>
      <c r="C3231" s="17">
        <v>0</v>
      </c>
      <c r="D3231" s="19">
        <v>0</v>
      </c>
      <c r="F3231" s="3">
        <f t="shared" si="50"/>
        <v>0</v>
      </c>
    </row>
    <row r="3232" spans="1:6" x14ac:dyDescent="0.2">
      <c r="A3232" s="17" t="s">
        <v>11439</v>
      </c>
      <c r="B3232" s="18" t="s">
        <v>11440</v>
      </c>
      <c r="C3232" s="17" t="s">
        <v>0</v>
      </c>
      <c r="D3232" s="19">
        <v>43.85</v>
      </c>
      <c r="F3232" s="3" t="str">
        <f t="shared" si="50"/>
        <v>C5041</v>
      </c>
    </row>
    <row r="3233" spans="1:6" x14ac:dyDescent="0.2">
      <c r="A3233" s="17" t="s">
        <v>11441</v>
      </c>
      <c r="B3233" s="18" t="s">
        <v>11442</v>
      </c>
      <c r="C3233" s="17" t="s">
        <v>0</v>
      </c>
      <c r="D3233" s="19">
        <v>48.63</v>
      </c>
      <c r="F3233" s="3" t="str">
        <f t="shared" si="50"/>
        <v>C5124</v>
      </c>
    </row>
    <row r="3234" spans="1:6" x14ac:dyDescent="0.2">
      <c r="A3234" s="17" t="s">
        <v>11443</v>
      </c>
      <c r="B3234" s="18" t="s">
        <v>11444</v>
      </c>
      <c r="C3234" s="17" t="s">
        <v>0</v>
      </c>
      <c r="D3234" s="19">
        <v>62.58</v>
      </c>
      <c r="F3234" s="3" t="str">
        <f t="shared" si="50"/>
        <v>C5125</v>
      </c>
    </row>
    <row r="3235" spans="1:6" x14ac:dyDescent="0.2">
      <c r="A3235" s="17" t="s">
        <v>11445</v>
      </c>
      <c r="B3235" s="18" t="s">
        <v>11446</v>
      </c>
      <c r="C3235" s="17" t="s">
        <v>0</v>
      </c>
      <c r="D3235" s="19">
        <v>31.21</v>
      </c>
      <c r="F3235" s="3" t="str">
        <f t="shared" si="50"/>
        <v>C2911</v>
      </c>
    </row>
    <row r="3236" spans="1:6" x14ac:dyDescent="0.2">
      <c r="A3236" s="17" t="s">
        <v>11447</v>
      </c>
      <c r="B3236" s="18" t="s">
        <v>11448</v>
      </c>
      <c r="C3236" s="17" t="s">
        <v>0</v>
      </c>
      <c r="D3236" s="19">
        <v>25.7</v>
      </c>
      <c r="F3236" s="3" t="str">
        <f t="shared" si="50"/>
        <v>C2912</v>
      </c>
    </row>
    <row r="3237" spans="1:6" x14ac:dyDescent="0.2">
      <c r="A3237" s="17" t="s">
        <v>11449</v>
      </c>
      <c r="B3237" s="18" t="s">
        <v>11450</v>
      </c>
      <c r="C3237" s="17" t="s">
        <v>0</v>
      </c>
      <c r="D3237" s="19">
        <v>15.43</v>
      </c>
      <c r="F3237" s="3" t="str">
        <f t="shared" si="50"/>
        <v>C2919</v>
      </c>
    </row>
    <row r="3238" spans="1:6" x14ac:dyDescent="0.2">
      <c r="A3238" s="17" t="s">
        <v>11451</v>
      </c>
      <c r="B3238" s="18" t="s">
        <v>11452</v>
      </c>
      <c r="C3238" s="17" t="s">
        <v>0</v>
      </c>
      <c r="D3238" s="19">
        <v>100.89</v>
      </c>
      <c r="F3238" s="3" t="str">
        <f t="shared" si="50"/>
        <v>C2913</v>
      </c>
    </row>
    <row r="3239" spans="1:6" x14ac:dyDescent="0.2">
      <c r="A3239" s="17" t="s">
        <v>11453</v>
      </c>
      <c r="B3239" s="18" t="s">
        <v>11454</v>
      </c>
      <c r="C3239" s="17" t="s">
        <v>0</v>
      </c>
      <c r="D3239" s="19">
        <v>100.92</v>
      </c>
      <c r="F3239" s="3" t="str">
        <f t="shared" si="50"/>
        <v>C2914</v>
      </c>
    </row>
    <row r="3240" spans="1:6" x14ac:dyDescent="0.2">
      <c r="A3240" s="17" t="s">
        <v>11455</v>
      </c>
      <c r="B3240" s="18" t="s">
        <v>11456</v>
      </c>
      <c r="C3240" s="17" t="s">
        <v>0</v>
      </c>
      <c r="D3240" s="19">
        <v>81.8</v>
      </c>
      <c r="F3240" s="3" t="str">
        <f t="shared" si="50"/>
        <v>C2915</v>
      </c>
    </row>
    <row r="3241" spans="1:6" x14ac:dyDescent="0.2">
      <c r="A3241" s="17" t="s">
        <v>11457</v>
      </c>
      <c r="B3241" s="18" t="s">
        <v>11458</v>
      </c>
      <c r="C3241" s="17" t="s">
        <v>0</v>
      </c>
      <c r="D3241" s="19">
        <v>106.33</v>
      </c>
      <c r="F3241" s="3" t="str">
        <f t="shared" si="50"/>
        <v>C2916</v>
      </c>
    </row>
    <row r="3242" spans="1:6" x14ac:dyDescent="0.2">
      <c r="A3242" s="17" t="s">
        <v>11459</v>
      </c>
      <c r="B3242" s="18" t="s">
        <v>11460</v>
      </c>
      <c r="C3242" s="17" t="s">
        <v>0</v>
      </c>
      <c r="D3242" s="19">
        <v>77.84</v>
      </c>
      <c r="F3242" s="3" t="str">
        <f t="shared" si="50"/>
        <v>C2917</v>
      </c>
    </row>
    <row r="3243" spans="1:6" x14ac:dyDescent="0.2">
      <c r="A3243" s="17" t="s">
        <v>11461</v>
      </c>
      <c r="B3243" s="18" t="s">
        <v>11462</v>
      </c>
      <c r="C3243" s="17" t="s">
        <v>0</v>
      </c>
      <c r="D3243" s="19">
        <v>74.760000000000005</v>
      </c>
      <c r="F3243" s="3" t="str">
        <f t="shared" si="50"/>
        <v>C2918</v>
      </c>
    </row>
    <row r="3244" spans="1:6" x14ac:dyDescent="0.2">
      <c r="A3244" s="14" t="s">
        <v>7834</v>
      </c>
      <c r="B3244" s="15"/>
      <c r="C3244" s="14">
        <v>0</v>
      </c>
      <c r="D3244" s="16">
        <v>942922.86</v>
      </c>
      <c r="F3244" s="3" t="str">
        <f t="shared" si="50"/>
        <v>OUTROS ELEMENTOS</v>
      </c>
    </row>
    <row r="3245" spans="1:6" x14ac:dyDescent="0.2">
      <c r="A3245" s="17" t="s">
        <v>11463</v>
      </c>
      <c r="B3245" s="18" t="s">
        <v>11464</v>
      </c>
      <c r="C3245" s="17" t="s">
        <v>26</v>
      </c>
      <c r="D3245" s="19">
        <v>779.84</v>
      </c>
      <c r="F3245" s="3" t="str">
        <f t="shared" si="50"/>
        <v>C3435</v>
      </c>
    </row>
    <row r="3246" spans="1:6" x14ac:dyDescent="0.2">
      <c r="A3246" s="17" t="s">
        <v>11465</v>
      </c>
      <c r="B3246" s="18" t="s">
        <v>11466</v>
      </c>
      <c r="C3246" s="17" t="s">
        <v>26</v>
      </c>
      <c r="D3246" s="19">
        <v>1264.5899999999999</v>
      </c>
      <c r="F3246" s="3" t="str">
        <f t="shared" si="50"/>
        <v>C3433</v>
      </c>
    </row>
    <row r="3247" spans="1:6" x14ac:dyDescent="0.2">
      <c r="A3247" s="17" t="s">
        <v>11467</v>
      </c>
      <c r="B3247" s="18" t="s">
        <v>11468</v>
      </c>
      <c r="C3247" s="17" t="s">
        <v>26</v>
      </c>
      <c r="D3247" s="19">
        <v>3039.01</v>
      </c>
      <c r="F3247" s="3" t="str">
        <f t="shared" si="50"/>
        <v>C3434</v>
      </c>
    </row>
    <row r="3248" spans="1:6" x14ac:dyDescent="0.2">
      <c r="A3248" s="17" t="s">
        <v>11469</v>
      </c>
      <c r="B3248" s="18" t="s">
        <v>11470</v>
      </c>
      <c r="C3248" s="17" t="s">
        <v>0</v>
      </c>
      <c r="D3248" s="19">
        <v>28.93</v>
      </c>
      <c r="F3248" s="3" t="str">
        <f t="shared" si="50"/>
        <v>C1079</v>
      </c>
    </row>
    <row r="3249" spans="1:6" x14ac:dyDescent="0.2">
      <c r="A3249" s="17" t="s">
        <v>11471</v>
      </c>
      <c r="B3249" s="18" t="s">
        <v>11472</v>
      </c>
      <c r="C3249" s="17" t="s">
        <v>0</v>
      </c>
      <c r="D3249" s="19">
        <v>19.45</v>
      </c>
      <c r="F3249" s="3" t="str">
        <f t="shared" si="50"/>
        <v>C1250</v>
      </c>
    </row>
    <row r="3250" spans="1:6" x14ac:dyDescent="0.2">
      <c r="A3250" s="17" t="s">
        <v>11473</v>
      </c>
      <c r="B3250" s="18" t="s">
        <v>11474</v>
      </c>
      <c r="C3250" s="17" t="s">
        <v>271</v>
      </c>
      <c r="D3250" s="19">
        <v>830.37</v>
      </c>
      <c r="F3250" s="3" t="str">
        <f t="shared" si="50"/>
        <v>C1248</v>
      </c>
    </row>
    <row r="3251" spans="1:6" ht="33.75" x14ac:dyDescent="0.2">
      <c r="A3251" s="17" t="s">
        <v>11475</v>
      </c>
      <c r="B3251" s="18" t="s">
        <v>11476</v>
      </c>
      <c r="C3251" s="17" t="s">
        <v>26</v>
      </c>
      <c r="D3251" s="19">
        <v>206055.74</v>
      </c>
      <c r="F3251" s="3" t="str">
        <f t="shared" si="50"/>
        <v>C5209</v>
      </c>
    </row>
    <row r="3252" spans="1:6" x14ac:dyDescent="0.2">
      <c r="A3252" s="17">
        <v>0</v>
      </c>
      <c r="B3252" s="18"/>
      <c r="C3252" s="17">
        <v>0</v>
      </c>
      <c r="D3252" s="19">
        <v>0</v>
      </c>
      <c r="F3252" s="3">
        <f t="shared" si="50"/>
        <v>0</v>
      </c>
    </row>
    <row r="3253" spans="1:6" ht="33.75" x14ac:dyDescent="0.2">
      <c r="A3253" s="17" t="s">
        <v>11477</v>
      </c>
      <c r="B3253" s="18" t="s">
        <v>11478</v>
      </c>
      <c r="C3253" s="17" t="s">
        <v>26</v>
      </c>
      <c r="D3253" s="19">
        <v>206055.74</v>
      </c>
      <c r="F3253" s="3" t="str">
        <f t="shared" si="50"/>
        <v>C4846</v>
      </c>
    </row>
    <row r="3254" spans="1:6" x14ac:dyDescent="0.2">
      <c r="A3254" s="17">
        <v>0</v>
      </c>
      <c r="B3254" s="18"/>
      <c r="C3254" s="17">
        <v>0</v>
      </c>
      <c r="D3254" s="19">
        <v>0</v>
      </c>
      <c r="F3254" s="3">
        <f t="shared" si="50"/>
        <v>0</v>
      </c>
    </row>
    <row r="3255" spans="1:6" ht="33.75" x14ac:dyDescent="0.2">
      <c r="A3255" s="17" t="s">
        <v>11479</v>
      </c>
      <c r="B3255" s="18" t="s">
        <v>11480</v>
      </c>
      <c r="C3255" s="17" t="s">
        <v>26</v>
      </c>
      <c r="D3255" s="19">
        <v>246694.77</v>
      </c>
      <c r="F3255" s="3" t="str">
        <f t="shared" si="50"/>
        <v>C4847</v>
      </c>
    </row>
    <row r="3256" spans="1:6" x14ac:dyDescent="0.2">
      <c r="A3256" s="17">
        <v>0</v>
      </c>
      <c r="B3256" s="18"/>
      <c r="C3256" s="17">
        <v>0</v>
      </c>
      <c r="D3256" s="19">
        <v>0</v>
      </c>
      <c r="F3256" s="3">
        <f t="shared" si="50"/>
        <v>0</v>
      </c>
    </row>
    <row r="3257" spans="1:6" ht="33.75" x14ac:dyDescent="0.2">
      <c r="A3257" s="17" t="s">
        <v>11481</v>
      </c>
      <c r="B3257" s="18" t="s">
        <v>11482</v>
      </c>
      <c r="C3257" s="17" t="s">
        <v>26</v>
      </c>
      <c r="D3257" s="19">
        <v>264223.02</v>
      </c>
      <c r="F3257" s="3" t="str">
        <f t="shared" si="50"/>
        <v>C4848</v>
      </c>
    </row>
    <row r="3258" spans="1:6" x14ac:dyDescent="0.2">
      <c r="A3258" s="17">
        <v>0</v>
      </c>
      <c r="B3258" s="18"/>
      <c r="C3258" s="17">
        <v>0</v>
      </c>
      <c r="D3258" s="19">
        <v>0</v>
      </c>
      <c r="F3258" s="3">
        <f t="shared" si="50"/>
        <v>0</v>
      </c>
    </row>
    <row r="3259" spans="1:6" x14ac:dyDescent="0.2">
      <c r="A3259" s="17" t="s">
        <v>11483</v>
      </c>
      <c r="B3259" s="18" t="s">
        <v>11484</v>
      </c>
      <c r="C3259" s="17" t="s">
        <v>26</v>
      </c>
      <c r="D3259" s="19">
        <v>4497.57</v>
      </c>
      <c r="F3259" s="3" t="str">
        <f t="shared" si="50"/>
        <v>C2832</v>
      </c>
    </row>
    <row r="3260" spans="1:6" x14ac:dyDescent="0.2">
      <c r="A3260" s="17" t="s">
        <v>11485</v>
      </c>
      <c r="B3260" s="18" t="s">
        <v>11486</v>
      </c>
      <c r="C3260" s="17" t="s">
        <v>26</v>
      </c>
      <c r="D3260" s="19">
        <v>3230.9</v>
      </c>
      <c r="F3260" s="3" t="str">
        <f t="shared" si="50"/>
        <v>C4162</v>
      </c>
    </row>
    <row r="3261" spans="1:6" x14ac:dyDescent="0.2">
      <c r="A3261" s="17" t="s">
        <v>11487</v>
      </c>
      <c r="B3261" s="18" t="s">
        <v>11488</v>
      </c>
      <c r="C3261" s="17" t="s">
        <v>255</v>
      </c>
      <c r="D3261" s="19">
        <v>182.9</v>
      </c>
      <c r="F3261" s="3" t="str">
        <f t="shared" si="50"/>
        <v>C1436</v>
      </c>
    </row>
    <row r="3262" spans="1:6" x14ac:dyDescent="0.2">
      <c r="A3262" s="17" t="s">
        <v>11489</v>
      </c>
      <c r="B3262" s="18" t="s">
        <v>11490</v>
      </c>
      <c r="C3262" s="17" t="s">
        <v>26</v>
      </c>
      <c r="D3262" s="19">
        <v>157.99</v>
      </c>
      <c r="F3262" s="3" t="str">
        <f t="shared" si="50"/>
        <v>C3995</v>
      </c>
    </row>
    <row r="3263" spans="1:6" x14ac:dyDescent="0.2">
      <c r="A3263" s="17" t="s">
        <v>11491</v>
      </c>
      <c r="B3263" s="18" t="s">
        <v>11492</v>
      </c>
      <c r="C3263" s="17" t="s">
        <v>26</v>
      </c>
      <c r="D3263" s="19">
        <v>205.94</v>
      </c>
      <c r="F3263" s="3" t="str">
        <f t="shared" si="50"/>
        <v>C2852</v>
      </c>
    </row>
    <row r="3264" spans="1:6" x14ac:dyDescent="0.2">
      <c r="A3264" s="17" t="s">
        <v>11493</v>
      </c>
      <c r="B3264" s="18" t="s">
        <v>11494</v>
      </c>
      <c r="C3264" s="17" t="s">
        <v>26</v>
      </c>
      <c r="D3264" s="19">
        <v>252.34</v>
      </c>
      <c r="F3264" s="3" t="str">
        <f t="shared" si="50"/>
        <v>C2853</v>
      </c>
    </row>
    <row r="3265" spans="1:6" x14ac:dyDescent="0.2">
      <c r="A3265" s="17" t="s">
        <v>11495</v>
      </c>
      <c r="B3265" s="18" t="s">
        <v>11496</v>
      </c>
      <c r="C3265" s="17" t="s">
        <v>26</v>
      </c>
      <c r="D3265" s="19">
        <v>298.7</v>
      </c>
      <c r="F3265" s="3" t="str">
        <f t="shared" si="50"/>
        <v>C2854</v>
      </c>
    </row>
    <row r="3266" spans="1:6" x14ac:dyDescent="0.2">
      <c r="A3266" s="17" t="s">
        <v>11497</v>
      </c>
      <c r="B3266" s="18" t="s">
        <v>11498</v>
      </c>
      <c r="C3266" s="17" t="s">
        <v>26</v>
      </c>
      <c r="D3266" s="19">
        <v>520.20000000000005</v>
      </c>
      <c r="F3266" s="3" t="str">
        <f t="shared" ref="F3266:F3329" si="51">A3266</f>
        <v>C2856</v>
      </c>
    </row>
    <row r="3267" spans="1:6" x14ac:dyDescent="0.2">
      <c r="A3267" s="17" t="s">
        <v>11499</v>
      </c>
      <c r="B3267" s="18" t="s">
        <v>11500</v>
      </c>
      <c r="C3267" s="17" t="s">
        <v>26</v>
      </c>
      <c r="D3267" s="19">
        <v>620.12</v>
      </c>
      <c r="F3267" s="3" t="str">
        <f t="shared" si="51"/>
        <v>C2855</v>
      </c>
    </row>
    <row r="3268" spans="1:6" x14ac:dyDescent="0.2">
      <c r="A3268" s="17" t="s">
        <v>11501</v>
      </c>
      <c r="B3268" s="18" t="s">
        <v>11502</v>
      </c>
      <c r="C3268" s="17" t="s">
        <v>11503</v>
      </c>
      <c r="D3268" s="19">
        <v>256.47000000000003</v>
      </c>
      <c r="F3268" s="3" t="str">
        <f t="shared" si="51"/>
        <v>C1948</v>
      </c>
    </row>
    <row r="3269" spans="1:6" x14ac:dyDescent="0.2">
      <c r="A3269" s="17" t="s">
        <v>11504</v>
      </c>
      <c r="B3269" s="18" t="s">
        <v>11505</v>
      </c>
      <c r="C3269" s="17" t="s">
        <v>11503</v>
      </c>
      <c r="D3269" s="19">
        <v>238.04</v>
      </c>
      <c r="F3269" s="3" t="str">
        <f t="shared" si="51"/>
        <v>C1950</v>
      </c>
    </row>
    <row r="3270" spans="1:6" ht="22.5" x14ac:dyDescent="0.2">
      <c r="A3270" s="17" t="s">
        <v>11506</v>
      </c>
      <c r="B3270" s="18" t="s">
        <v>11507</v>
      </c>
      <c r="C3270" s="17" t="s">
        <v>11503</v>
      </c>
      <c r="D3270" s="19">
        <v>254.23</v>
      </c>
      <c r="F3270" s="3" t="str">
        <f t="shared" si="51"/>
        <v>C4602</v>
      </c>
    </row>
    <row r="3271" spans="1:6" x14ac:dyDescent="0.2">
      <c r="A3271" s="17">
        <v>0</v>
      </c>
      <c r="B3271" s="18"/>
      <c r="C3271" s="17">
        <v>0</v>
      </c>
      <c r="D3271" s="19">
        <v>0</v>
      </c>
      <c r="F3271" s="3">
        <f t="shared" si="51"/>
        <v>0</v>
      </c>
    </row>
    <row r="3272" spans="1:6" ht="22.5" x14ac:dyDescent="0.2">
      <c r="A3272" s="17" t="s">
        <v>11508</v>
      </c>
      <c r="B3272" s="18" t="s">
        <v>11509</v>
      </c>
      <c r="C3272" s="17" t="s">
        <v>11503</v>
      </c>
      <c r="D3272" s="19">
        <v>266.08999999999997</v>
      </c>
      <c r="F3272" s="3" t="str">
        <f t="shared" si="51"/>
        <v>C4603</v>
      </c>
    </row>
    <row r="3273" spans="1:6" x14ac:dyDescent="0.2">
      <c r="A3273" s="17">
        <v>0</v>
      </c>
      <c r="B3273" s="18"/>
      <c r="C3273" s="17">
        <v>0</v>
      </c>
      <c r="D3273" s="19">
        <v>0</v>
      </c>
      <c r="F3273" s="3">
        <f t="shared" si="51"/>
        <v>0</v>
      </c>
    </row>
    <row r="3274" spans="1:6" x14ac:dyDescent="0.2">
      <c r="A3274" s="17" t="s">
        <v>11510</v>
      </c>
      <c r="B3274" s="18" t="s">
        <v>11511</v>
      </c>
      <c r="C3274" s="17" t="s">
        <v>0</v>
      </c>
      <c r="D3274" s="19">
        <v>8.9</v>
      </c>
      <c r="F3274" s="3" t="str">
        <f t="shared" si="51"/>
        <v>C5201</v>
      </c>
    </row>
    <row r="3275" spans="1:6" x14ac:dyDescent="0.2">
      <c r="A3275" s="17">
        <v>0</v>
      </c>
      <c r="B3275" s="18"/>
      <c r="C3275" s="17">
        <v>0</v>
      </c>
      <c r="D3275" s="19">
        <v>0</v>
      </c>
      <c r="F3275" s="3">
        <f t="shared" si="51"/>
        <v>0</v>
      </c>
    </row>
    <row r="3276" spans="1:6" x14ac:dyDescent="0.2">
      <c r="A3276" s="17" t="s">
        <v>11512</v>
      </c>
      <c r="B3276" s="18" t="s">
        <v>11513</v>
      </c>
      <c r="C3276" s="17" t="s">
        <v>26</v>
      </c>
      <c r="D3276" s="19">
        <v>2941.01</v>
      </c>
      <c r="F3276" s="3" t="str">
        <f t="shared" si="51"/>
        <v>C4020</v>
      </c>
    </row>
    <row r="3277" spans="1:6" x14ac:dyDescent="0.2">
      <c r="A3277" s="14" t="s">
        <v>11514</v>
      </c>
      <c r="B3277" s="15"/>
      <c r="C3277" s="14">
        <v>0</v>
      </c>
      <c r="D3277" s="16">
        <v>69383.88</v>
      </c>
      <c r="F3277" s="3" t="str">
        <f t="shared" si="51"/>
        <v>INSTALAÇÕES DE PRODUÇÃO</v>
      </c>
    </row>
    <row r="3278" spans="1:6" x14ac:dyDescent="0.2">
      <c r="A3278" s="17" t="s">
        <v>11515</v>
      </c>
      <c r="B3278" s="18" t="s">
        <v>11516</v>
      </c>
      <c r="C3278" s="17" t="s">
        <v>26</v>
      </c>
      <c r="D3278" s="19">
        <v>9553.42</v>
      </c>
      <c r="F3278" s="3" t="str">
        <f t="shared" si="51"/>
        <v>C3465</v>
      </c>
    </row>
    <row r="3279" spans="1:6" x14ac:dyDescent="0.2">
      <c r="A3279" s="17">
        <v>0</v>
      </c>
      <c r="B3279" s="18"/>
      <c r="C3279" s="17">
        <v>0</v>
      </c>
      <c r="D3279" s="19">
        <v>0</v>
      </c>
      <c r="F3279" s="3">
        <f t="shared" si="51"/>
        <v>0</v>
      </c>
    </row>
    <row r="3280" spans="1:6" x14ac:dyDescent="0.2">
      <c r="A3280" s="17" t="s">
        <v>11517</v>
      </c>
      <c r="B3280" s="18" t="s">
        <v>11518</v>
      </c>
      <c r="C3280" s="17" t="s">
        <v>26</v>
      </c>
      <c r="D3280" s="19">
        <v>10237.959999999999</v>
      </c>
      <c r="F3280" s="3" t="str">
        <f t="shared" si="51"/>
        <v>C3463</v>
      </c>
    </row>
    <row r="3281" spans="1:6" x14ac:dyDescent="0.2">
      <c r="A3281" s="17" t="s">
        <v>11519</v>
      </c>
      <c r="B3281" s="18" t="s">
        <v>11520</v>
      </c>
      <c r="C3281" s="17" t="s">
        <v>26</v>
      </c>
      <c r="D3281" s="19">
        <v>10802.13</v>
      </c>
      <c r="F3281" s="3" t="str">
        <f t="shared" si="51"/>
        <v>C3464</v>
      </c>
    </row>
    <row r="3282" spans="1:6" x14ac:dyDescent="0.2">
      <c r="A3282" s="17" t="s">
        <v>11521</v>
      </c>
      <c r="B3282" s="18" t="s">
        <v>11522</v>
      </c>
      <c r="C3282" s="17" t="s">
        <v>26</v>
      </c>
      <c r="D3282" s="19">
        <v>661</v>
      </c>
      <c r="F3282" s="3" t="str">
        <f t="shared" si="51"/>
        <v>C3417</v>
      </c>
    </row>
    <row r="3283" spans="1:6" x14ac:dyDescent="0.2">
      <c r="A3283" s="17" t="s">
        <v>11523</v>
      </c>
      <c r="B3283" s="18" t="s">
        <v>11524</v>
      </c>
      <c r="C3283" s="17" t="s">
        <v>26</v>
      </c>
      <c r="D3283" s="19">
        <v>1984.33</v>
      </c>
      <c r="F3283" s="3" t="str">
        <f t="shared" si="51"/>
        <v>C3416</v>
      </c>
    </row>
    <row r="3284" spans="1:6" x14ac:dyDescent="0.2">
      <c r="A3284" s="17" t="s">
        <v>11525</v>
      </c>
      <c r="B3284" s="18" t="s">
        <v>11526</v>
      </c>
      <c r="C3284" s="17" t="s">
        <v>26</v>
      </c>
      <c r="D3284" s="19">
        <v>4120.8</v>
      </c>
      <c r="F3284" s="3" t="str">
        <f t="shared" si="51"/>
        <v>C3418</v>
      </c>
    </row>
    <row r="3285" spans="1:6" x14ac:dyDescent="0.2">
      <c r="A3285" s="17" t="s">
        <v>11527</v>
      </c>
      <c r="B3285" s="18" t="s">
        <v>11528</v>
      </c>
      <c r="C3285" s="17" t="s">
        <v>26</v>
      </c>
      <c r="D3285" s="19">
        <v>4592.53</v>
      </c>
      <c r="F3285" s="3" t="str">
        <f t="shared" si="51"/>
        <v>C3419</v>
      </c>
    </row>
    <row r="3286" spans="1:6" x14ac:dyDescent="0.2">
      <c r="A3286" s="17" t="s">
        <v>11529</v>
      </c>
      <c r="B3286" s="18" t="s">
        <v>11530</v>
      </c>
      <c r="C3286" s="17" t="s">
        <v>26</v>
      </c>
      <c r="D3286" s="19">
        <v>7482.56</v>
      </c>
      <c r="F3286" s="3" t="str">
        <f t="shared" si="51"/>
        <v>C3420</v>
      </c>
    </row>
    <row r="3287" spans="1:6" x14ac:dyDescent="0.2">
      <c r="A3287" s="17" t="s">
        <v>11531</v>
      </c>
      <c r="B3287" s="18" t="s">
        <v>11532</v>
      </c>
      <c r="C3287" s="17" t="s">
        <v>26</v>
      </c>
      <c r="D3287" s="19">
        <v>8824.66</v>
      </c>
      <c r="F3287" s="3" t="str">
        <f t="shared" si="51"/>
        <v>C3421</v>
      </c>
    </row>
    <row r="3288" spans="1:6" x14ac:dyDescent="0.2">
      <c r="A3288" s="17" t="s">
        <v>11533</v>
      </c>
      <c r="B3288" s="18" t="s">
        <v>11534</v>
      </c>
      <c r="C3288" s="17" t="s">
        <v>26</v>
      </c>
      <c r="D3288" s="19">
        <v>11124.49</v>
      </c>
      <c r="F3288" s="3" t="str">
        <f t="shared" si="51"/>
        <v>C3422</v>
      </c>
    </row>
    <row r="3289" spans="1:6" x14ac:dyDescent="0.2">
      <c r="A3289" s="14" t="s">
        <v>11535</v>
      </c>
      <c r="B3289" s="15"/>
      <c r="C3289" s="14">
        <v>0</v>
      </c>
      <c r="D3289" s="16">
        <v>287451.99</v>
      </c>
      <c r="F3289" s="3" t="str">
        <f t="shared" si="51"/>
        <v>SERVIÇOS ESPECIAIS</v>
      </c>
    </row>
    <row r="3290" spans="1:6" x14ac:dyDescent="0.2">
      <c r="A3290" s="17" t="s">
        <v>11536</v>
      </c>
      <c r="B3290" s="18" t="s">
        <v>11537</v>
      </c>
      <c r="C3290" s="17" t="s">
        <v>26</v>
      </c>
      <c r="D3290" s="19">
        <v>19.899999999999999</v>
      </c>
      <c r="F3290" s="3" t="str">
        <f t="shared" si="51"/>
        <v>C4907</v>
      </c>
    </row>
    <row r="3291" spans="1:6" x14ac:dyDescent="0.2">
      <c r="A3291" s="17" t="s">
        <v>11538</v>
      </c>
      <c r="B3291" s="18" t="s">
        <v>11539</v>
      </c>
      <c r="C3291" s="17" t="s">
        <v>9</v>
      </c>
      <c r="D3291" s="19">
        <v>55.13</v>
      </c>
      <c r="F3291" s="3" t="str">
        <f t="shared" si="51"/>
        <v>C4867</v>
      </c>
    </row>
    <row r="3292" spans="1:6" x14ac:dyDescent="0.2">
      <c r="A3292" s="17" t="s">
        <v>11540</v>
      </c>
      <c r="B3292" s="18" t="s">
        <v>11541</v>
      </c>
      <c r="C3292" s="17" t="s">
        <v>26</v>
      </c>
      <c r="D3292" s="19">
        <v>1296.9000000000001</v>
      </c>
      <c r="F3292" s="3" t="str">
        <f t="shared" si="51"/>
        <v>C4855</v>
      </c>
    </row>
    <row r="3293" spans="1:6" x14ac:dyDescent="0.2">
      <c r="A3293" s="17">
        <v>0</v>
      </c>
      <c r="B3293" s="18"/>
      <c r="C3293" s="17">
        <v>0</v>
      </c>
      <c r="D3293" s="19">
        <v>0</v>
      </c>
      <c r="F3293" s="3">
        <f t="shared" si="51"/>
        <v>0</v>
      </c>
    </row>
    <row r="3294" spans="1:6" x14ac:dyDescent="0.2">
      <c r="A3294" s="17" t="s">
        <v>11542</v>
      </c>
      <c r="B3294" s="18" t="s">
        <v>11543</v>
      </c>
      <c r="C3294" s="17" t="s">
        <v>26</v>
      </c>
      <c r="D3294" s="19">
        <v>1328.11</v>
      </c>
      <c r="F3294" s="3" t="str">
        <f t="shared" si="51"/>
        <v>C4856</v>
      </c>
    </row>
    <row r="3295" spans="1:6" ht="22.5" x14ac:dyDescent="0.2">
      <c r="A3295" s="17" t="s">
        <v>11544</v>
      </c>
      <c r="B3295" s="18" t="s">
        <v>11545</v>
      </c>
      <c r="C3295" s="17" t="s">
        <v>271</v>
      </c>
      <c r="D3295" s="19">
        <v>106.55</v>
      </c>
      <c r="F3295" s="3" t="str">
        <f t="shared" si="51"/>
        <v>C4854</v>
      </c>
    </row>
    <row r="3296" spans="1:6" x14ac:dyDescent="0.2">
      <c r="A3296" s="17">
        <v>0</v>
      </c>
      <c r="B3296" s="18"/>
      <c r="C3296" s="17">
        <v>0</v>
      </c>
      <c r="D3296" s="19">
        <v>0</v>
      </c>
      <c r="F3296" s="3">
        <f t="shared" si="51"/>
        <v>0</v>
      </c>
    </row>
    <row r="3297" spans="1:6" x14ac:dyDescent="0.2">
      <c r="A3297" s="17" t="s">
        <v>11546</v>
      </c>
      <c r="B3297" s="18" t="s">
        <v>11547</v>
      </c>
      <c r="C3297" s="17" t="s">
        <v>26</v>
      </c>
      <c r="D3297" s="19">
        <v>11.85</v>
      </c>
      <c r="F3297" s="3" t="str">
        <f t="shared" si="51"/>
        <v>C4909</v>
      </c>
    </row>
    <row r="3298" spans="1:6" x14ac:dyDescent="0.2">
      <c r="A3298" s="17" t="s">
        <v>11548</v>
      </c>
      <c r="B3298" s="18" t="s">
        <v>11549</v>
      </c>
      <c r="C3298" s="17" t="s">
        <v>26</v>
      </c>
      <c r="D3298" s="19">
        <v>16.27</v>
      </c>
      <c r="F3298" s="3" t="str">
        <f t="shared" si="51"/>
        <v>C4908</v>
      </c>
    </row>
    <row r="3299" spans="1:6" x14ac:dyDescent="0.2">
      <c r="A3299" s="17" t="s">
        <v>11550</v>
      </c>
      <c r="B3299" s="18" t="s">
        <v>11551</v>
      </c>
      <c r="C3299" s="17" t="s">
        <v>26</v>
      </c>
      <c r="D3299" s="19">
        <v>2725.12</v>
      </c>
      <c r="F3299" s="3" t="str">
        <f t="shared" si="51"/>
        <v>C3462</v>
      </c>
    </row>
    <row r="3300" spans="1:6" ht="22.5" x14ac:dyDescent="0.2">
      <c r="A3300" s="17" t="s">
        <v>11552</v>
      </c>
      <c r="B3300" s="18" t="s">
        <v>11553</v>
      </c>
      <c r="C3300" s="17" t="s">
        <v>271</v>
      </c>
      <c r="D3300" s="19">
        <v>11.2</v>
      </c>
      <c r="F3300" s="3" t="str">
        <f t="shared" si="51"/>
        <v>C5185</v>
      </c>
    </row>
    <row r="3301" spans="1:6" x14ac:dyDescent="0.2">
      <c r="A3301" s="17">
        <v>0</v>
      </c>
      <c r="B3301" s="18"/>
      <c r="C3301" s="17">
        <v>0</v>
      </c>
      <c r="D3301" s="19">
        <v>0</v>
      </c>
      <c r="F3301" s="3">
        <f t="shared" si="51"/>
        <v>0</v>
      </c>
    </row>
    <row r="3302" spans="1:6" ht="22.5" x14ac:dyDescent="0.2">
      <c r="A3302" s="17" t="s">
        <v>11554</v>
      </c>
      <c r="B3302" s="18" t="s">
        <v>11555</v>
      </c>
      <c r="C3302" s="17" t="s">
        <v>271</v>
      </c>
      <c r="D3302" s="19">
        <v>18.579999999999998</v>
      </c>
      <c r="F3302" s="3" t="str">
        <f t="shared" si="51"/>
        <v>C5186</v>
      </c>
    </row>
    <row r="3303" spans="1:6" x14ac:dyDescent="0.2">
      <c r="A3303" s="17">
        <v>0</v>
      </c>
      <c r="B3303" s="18"/>
      <c r="C3303" s="17">
        <v>0</v>
      </c>
      <c r="D3303" s="19">
        <v>0</v>
      </c>
      <c r="F3303" s="3">
        <f t="shared" si="51"/>
        <v>0</v>
      </c>
    </row>
    <row r="3304" spans="1:6" ht="22.5" x14ac:dyDescent="0.2">
      <c r="A3304" s="17" t="s">
        <v>11556</v>
      </c>
      <c r="B3304" s="18" t="s">
        <v>11557</v>
      </c>
      <c r="C3304" s="17" t="s">
        <v>255</v>
      </c>
      <c r="D3304" s="19">
        <v>51.35</v>
      </c>
      <c r="F3304" s="3" t="str">
        <f t="shared" si="51"/>
        <v>C4865</v>
      </c>
    </row>
    <row r="3305" spans="1:6" x14ac:dyDescent="0.2">
      <c r="A3305" s="17">
        <v>0</v>
      </c>
      <c r="B3305" s="18"/>
      <c r="C3305" s="17">
        <v>0</v>
      </c>
      <c r="D3305" s="19">
        <v>0</v>
      </c>
      <c r="F3305" s="3">
        <f t="shared" si="51"/>
        <v>0</v>
      </c>
    </row>
    <row r="3306" spans="1:6" x14ac:dyDescent="0.2">
      <c r="A3306" s="17" t="s">
        <v>11558</v>
      </c>
      <c r="B3306" s="18" t="s">
        <v>11559</v>
      </c>
      <c r="C3306" s="17" t="s">
        <v>255</v>
      </c>
      <c r="D3306" s="19">
        <v>172.66</v>
      </c>
      <c r="F3306" s="3" t="str">
        <f t="shared" si="51"/>
        <v>C3523</v>
      </c>
    </row>
    <row r="3307" spans="1:6" x14ac:dyDescent="0.2">
      <c r="A3307" s="17">
        <v>0</v>
      </c>
      <c r="B3307" s="18"/>
      <c r="C3307" s="17">
        <v>0</v>
      </c>
      <c r="D3307" s="19">
        <v>0</v>
      </c>
      <c r="F3307" s="3">
        <f t="shared" si="51"/>
        <v>0</v>
      </c>
    </row>
    <row r="3308" spans="1:6" x14ac:dyDescent="0.2">
      <c r="A3308" s="17" t="s">
        <v>11560</v>
      </c>
      <c r="B3308" s="18" t="s">
        <v>11561</v>
      </c>
      <c r="C3308" s="17" t="s">
        <v>255</v>
      </c>
      <c r="D3308" s="19">
        <v>183.39</v>
      </c>
      <c r="F3308" s="3" t="str">
        <f t="shared" si="51"/>
        <v>C4862</v>
      </c>
    </row>
    <row r="3309" spans="1:6" x14ac:dyDescent="0.2">
      <c r="A3309" s="17" t="s">
        <v>11562</v>
      </c>
      <c r="B3309" s="18" t="s">
        <v>11563</v>
      </c>
      <c r="C3309" s="17" t="s">
        <v>255</v>
      </c>
      <c r="D3309" s="19">
        <v>635.5</v>
      </c>
      <c r="F3309" s="3" t="str">
        <f t="shared" si="51"/>
        <v>C4863</v>
      </c>
    </row>
    <row r="3310" spans="1:6" ht="22.5" x14ac:dyDescent="0.2">
      <c r="A3310" s="17" t="s">
        <v>11564</v>
      </c>
      <c r="B3310" s="18" t="s">
        <v>11565</v>
      </c>
      <c r="C3310" s="17" t="s">
        <v>255</v>
      </c>
      <c r="D3310" s="19">
        <v>951.29</v>
      </c>
      <c r="F3310" s="3" t="str">
        <f t="shared" si="51"/>
        <v>C4864</v>
      </c>
    </row>
    <row r="3311" spans="1:6" x14ac:dyDescent="0.2">
      <c r="A3311" s="17">
        <v>0</v>
      </c>
      <c r="B3311" s="18"/>
      <c r="C3311" s="17">
        <v>0</v>
      </c>
      <c r="D3311" s="19">
        <v>0</v>
      </c>
      <c r="F3311" s="3">
        <f t="shared" si="51"/>
        <v>0</v>
      </c>
    </row>
    <row r="3312" spans="1:6" x14ac:dyDescent="0.2">
      <c r="A3312" s="17" t="s">
        <v>11566</v>
      </c>
      <c r="B3312" s="18" t="s">
        <v>11567</v>
      </c>
      <c r="C3312" s="17" t="s">
        <v>255</v>
      </c>
      <c r="D3312" s="19">
        <v>290.36</v>
      </c>
      <c r="F3312" s="3" t="str">
        <f t="shared" si="51"/>
        <v>C4577</v>
      </c>
    </row>
    <row r="3313" spans="1:6" x14ac:dyDescent="0.2">
      <c r="A3313" s="17" t="s">
        <v>11568</v>
      </c>
      <c r="B3313" s="18" t="s">
        <v>11569</v>
      </c>
      <c r="C3313" s="17" t="s">
        <v>255</v>
      </c>
      <c r="D3313" s="19">
        <v>376.98</v>
      </c>
      <c r="F3313" s="3" t="str">
        <f t="shared" si="51"/>
        <v>C4578</v>
      </c>
    </row>
    <row r="3314" spans="1:6" x14ac:dyDescent="0.2">
      <c r="A3314" s="17">
        <v>0</v>
      </c>
      <c r="B3314" s="18"/>
      <c r="C3314" s="17">
        <v>0</v>
      </c>
      <c r="D3314" s="19">
        <v>0</v>
      </c>
      <c r="F3314" s="3">
        <f t="shared" si="51"/>
        <v>0</v>
      </c>
    </row>
    <row r="3315" spans="1:6" ht="22.5" x14ac:dyDescent="0.2">
      <c r="A3315" s="17" t="s">
        <v>11570</v>
      </c>
      <c r="B3315" s="18" t="s">
        <v>11571</v>
      </c>
      <c r="C3315" s="17" t="s">
        <v>26</v>
      </c>
      <c r="D3315" s="19">
        <v>21.38</v>
      </c>
      <c r="F3315" s="3" t="str">
        <f t="shared" si="51"/>
        <v>C4905</v>
      </c>
    </row>
    <row r="3316" spans="1:6" x14ac:dyDescent="0.2">
      <c r="A3316" s="17">
        <v>0</v>
      </c>
      <c r="B3316" s="18"/>
      <c r="C3316" s="17">
        <v>0</v>
      </c>
      <c r="D3316" s="19">
        <v>0</v>
      </c>
      <c r="F3316" s="3">
        <f t="shared" si="51"/>
        <v>0</v>
      </c>
    </row>
    <row r="3317" spans="1:6" ht="22.5" x14ac:dyDescent="0.2">
      <c r="A3317" s="17" t="s">
        <v>11572</v>
      </c>
      <c r="B3317" s="18" t="s">
        <v>11573</v>
      </c>
      <c r="C3317" s="17" t="s">
        <v>26</v>
      </c>
      <c r="D3317" s="19">
        <v>15.34</v>
      </c>
      <c r="F3317" s="3" t="str">
        <f t="shared" si="51"/>
        <v>C4904</v>
      </c>
    </row>
    <row r="3318" spans="1:6" x14ac:dyDescent="0.2">
      <c r="A3318" s="17">
        <v>0</v>
      </c>
      <c r="B3318" s="18"/>
      <c r="C3318" s="17">
        <v>0</v>
      </c>
      <c r="D3318" s="19">
        <v>0</v>
      </c>
      <c r="F3318" s="3">
        <f t="shared" si="51"/>
        <v>0</v>
      </c>
    </row>
    <row r="3319" spans="1:6" ht="22.5" x14ac:dyDescent="0.2">
      <c r="A3319" s="17" t="s">
        <v>11574</v>
      </c>
      <c r="B3319" s="18" t="s">
        <v>11575</v>
      </c>
      <c r="C3319" s="17" t="s">
        <v>26</v>
      </c>
      <c r="D3319" s="19">
        <v>21.38</v>
      </c>
      <c r="F3319" s="3" t="str">
        <f t="shared" si="51"/>
        <v>C4906</v>
      </c>
    </row>
    <row r="3320" spans="1:6" x14ac:dyDescent="0.2">
      <c r="A3320" s="17">
        <v>0</v>
      </c>
      <c r="B3320" s="18"/>
      <c r="C3320" s="17">
        <v>0</v>
      </c>
      <c r="D3320" s="19">
        <v>0</v>
      </c>
      <c r="F3320" s="3">
        <f t="shared" si="51"/>
        <v>0</v>
      </c>
    </row>
    <row r="3321" spans="1:6" ht="22.5" x14ac:dyDescent="0.2">
      <c r="A3321" s="17" t="s">
        <v>11576</v>
      </c>
      <c r="B3321" s="18" t="s">
        <v>11577</v>
      </c>
      <c r="C3321" s="17" t="s">
        <v>26</v>
      </c>
      <c r="D3321" s="19">
        <v>12.28</v>
      </c>
      <c r="F3321" s="3" t="str">
        <f t="shared" si="51"/>
        <v>C4903</v>
      </c>
    </row>
    <row r="3322" spans="1:6" x14ac:dyDescent="0.2">
      <c r="A3322" s="17">
        <v>0</v>
      </c>
      <c r="B3322" s="18"/>
      <c r="C3322" s="17">
        <v>0</v>
      </c>
      <c r="D3322" s="19">
        <v>0</v>
      </c>
      <c r="F3322" s="3">
        <f t="shared" si="51"/>
        <v>0</v>
      </c>
    </row>
    <row r="3323" spans="1:6" ht="22.5" x14ac:dyDescent="0.2">
      <c r="A3323" s="17" t="s">
        <v>11578</v>
      </c>
      <c r="B3323" s="18" t="s">
        <v>11579</v>
      </c>
      <c r="C3323" s="17" t="s">
        <v>26</v>
      </c>
      <c r="D3323" s="19">
        <v>15.34</v>
      </c>
      <c r="F3323" s="3" t="str">
        <f t="shared" si="51"/>
        <v>C4902</v>
      </c>
    </row>
    <row r="3324" spans="1:6" x14ac:dyDescent="0.2">
      <c r="A3324" s="17">
        <v>0</v>
      </c>
      <c r="B3324" s="18"/>
      <c r="C3324" s="17">
        <v>0</v>
      </c>
      <c r="D3324" s="19">
        <v>0</v>
      </c>
      <c r="F3324" s="3">
        <f t="shared" si="51"/>
        <v>0</v>
      </c>
    </row>
    <row r="3325" spans="1:6" x14ac:dyDescent="0.2">
      <c r="A3325" s="17" t="s">
        <v>11580</v>
      </c>
      <c r="B3325" s="18" t="s">
        <v>11581</v>
      </c>
      <c r="C3325" s="17" t="s">
        <v>26</v>
      </c>
      <c r="D3325" s="19">
        <v>134.88999999999999</v>
      </c>
      <c r="F3325" s="3" t="str">
        <f t="shared" si="51"/>
        <v>C4900</v>
      </c>
    </row>
    <row r="3326" spans="1:6" x14ac:dyDescent="0.2">
      <c r="A3326" s="17">
        <v>0</v>
      </c>
      <c r="B3326" s="18"/>
      <c r="C3326" s="17">
        <v>0</v>
      </c>
      <c r="D3326" s="19">
        <v>0</v>
      </c>
      <c r="F3326" s="3">
        <f t="shared" si="51"/>
        <v>0</v>
      </c>
    </row>
    <row r="3327" spans="1:6" ht="22.5" x14ac:dyDescent="0.2">
      <c r="A3327" s="17" t="s">
        <v>11582</v>
      </c>
      <c r="B3327" s="18" t="s">
        <v>11583</v>
      </c>
      <c r="C3327" s="17" t="s">
        <v>26</v>
      </c>
      <c r="D3327" s="19">
        <v>122.17</v>
      </c>
      <c r="F3327" s="3" t="str">
        <f t="shared" si="51"/>
        <v>C4901</v>
      </c>
    </row>
    <row r="3328" spans="1:6" x14ac:dyDescent="0.2">
      <c r="A3328" s="17">
        <v>0</v>
      </c>
      <c r="B3328" s="18"/>
      <c r="C3328" s="17">
        <v>0</v>
      </c>
      <c r="D3328" s="19">
        <v>0</v>
      </c>
      <c r="F3328" s="3">
        <f t="shared" si="51"/>
        <v>0</v>
      </c>
    </row>
    <row r="3329" spans="1:6" x14ac:dyDescent="0.2">
      <c r="A3329" s="17" t="s">
        <v>11584</v>
      </c>
      <c r="B3329" s="18" t="s">
        <v>11585</v>
      </c>
      <c r="C3329" s="17" t="s">
        <v>26</v>
      </c>
      <c r="D3329" s="19">
        <v>8035.6</v>
      </c>
      <c r="F3329" s="3" t="str">
        <f t="shared" si="51"/>
        <v>C3471</v>
      </c>
    </row>
    <row r="3330" spans="1:6" x14ac:dyDescent="0.2">
      <c r="A3330" s="17" t="s">
        <v>11586</v>
      </c>
      <c r="B3330" s="18" t="s">
        <v>11587</v>
      </c>
      <c r="C3330" s="17" t="s">
        <v>26</v>
      </c>
      <c r="D3330" s="19">
        <v>20224.16</v>
      </c>
      <c r="F3330" s="3" t="str">
        <f t="shared" ref="F3330:F3393" si="52">A3330</f>
        <v>C3473</v>
      </c>
    </row>
    <row r="3331" spans="1:6" x14ac:dyDescent="0.2">
      <c r="A3331" s="17" t="s">
        <v>11588</v>
      </c>
      <c r="B3331" s="18" t="s">
        <v>11589</v>
      </c>
      <c r="C3331" s="17" t="s">
        <v>26</v>
      </c>
      <c r="D3331" s="19">
        <v>842.31</v>
      </c>
      <c r="F3331" s="3" t="str">
        <f t="shared" si="52"/>
        <v>C5181</v>
      </c>
    </row>
    <row r="3332" spans="1:6" x14ac:dyDescent="0.2">
      <c r="A3332" s="17" t="s">
        <v>11590</v>
      </c>
      <c r="B3332" s="18" t="s">
        <v>11591</v>
      </c>
      <c r="C3332" s="17" t="s">
        <v>26</v>
      </c>
      <c r="D3332" s="19">
        <v>1263.46</v>
      </c>
      <c r="F3332" s="3" t="str">
        <f t="shared" si="52"/>
        <v>C5182</v>
      </c>
    </row>
    <row r="3333" spans="1:6" ht="22.5" x14ac:dyDescent="0.2">
      <c r="A3333" s="17" t="s">
        <v>11592</v>
      </c>
      <c r="B3333" s="18" t="s">
        <v>11593</v>
      </c>
      <c r="C3333" s="17" t="s">
        <v>26</v>
      </c>
      <c r="D3333" s="19">
        <v>1684.62</v>
      </c>
      <c r="F3333" s="3" t="str">
        <f t="shared" si="52"/>
        <v>C5183</v>
      </c>
    </row>
    <row r="3334" spans="1:6" x14ac:dyDescent="0.2">
      <c r="A3334" s="17">
        <v>0</v>
      </c>
      <c r="B3334" s="18"/>
      <c r="C3334" s="17">
        <v>0</v>
      </c>
      <c r="D3334" s="19">
        <v>0</v>
      </c>
      <c r="F3334" s="3">
        <f t="shared" si="52"/>
        <v>0</v>
      </c>
    </row>
    <row r="3335" spans="1:6" x14ac:dyDescent="0.2">
      <c r="A3335" s="17" t="s">
        <v>11594</v>
      </c>
      <c r="B3335" s="18" t="s">
        <v>11595</v>
      </c>
      <c r="C3335" s="17" t="s">
        <v>26</v>
      </c>
      <c r="D3335" s="19">
        <v>1684.62</v>
      </c>
      <c r="F3335" s="3" t="str">
        <f t="shared" si="52"/>
        <v>C5184</v>
      </c>
    </row>
    <row r="3336" spans="1:6" x14ac:dyDescent="0.2">
      <c r="A3336" s="17" t="s">
        <v>11596</v>
      </c>
      <c r="B3336" s="18" t="s">
        <v>11597</v>
      </c>
      <c r="C3336" s="17" t="s">
        <v>26</v>
      </c>
      <c r="D3336" s="19">
        <v>2962.56</v>
      </c>
      <c r="F3336" s="3" t="str">
        <f t="shared" si="52"/>
        <v>C3502</v>
      </c>
    </row>
    <row r="3337" spans="1:6" x14ac:dyDescent="0.2">
      <c r="A3337" s="17">
        <v>0</v>
      </c>
      <c r="B3337" s="18"/>
      <c r="C3337" s="17">
        <v>0</v>
      </c>
      <c r="D3337" s="19">
        <v>0</v>
      </c>
      <c r="F3337" s="3">
        <f t="shared" si="52"/>
        <v>0</v>
      </c>
    </row>
    <row r="3338" spans="1:6" x14ac:dyDescent="0.2">
      <c r="A3338" s="17" t="s">
        <v>11598</v>
      </c>
      <c r="B3338" s="18" t="s">
        <v>11599</v>
      </c>
      <c r="C3338" s="17" t="s">
        <v>26</v>
      </c>
      <c r="D3338" s="19">
        <v>1928.69</v>
      </c>
      <c r="F3338" s="3" t="str">
        <f t="shared" si="52"/>
        <v>C3496</v>
      </c>
    </row>
    <row r="3339" spans="1:6" x14ac:dyDescent="0.2">
      <c r="A3339" s="17" t="s">
        <v>11600</v>
      </c>
      <c r="B3339" s="18" t="s">
        <v>11601</v>
      </c>
      <c r="C3339" s="17" t="s">
        <v>26</v>
      </c>
      <c r="D3339" s="19">
        <v>3216.55</v>
      </c>
      <c r="F3339" s="3" t="str">
        <f t="shared" si="52"/>
        <v>C3497</v>
      </c>
    </row>
    <row r="3340" spans="1:6" x14ac:dyDescent="0.2">
      <c r="A3340" s="17" t="s">
        <v>11602</v>
      </c>
      <c r="B3340" s="18" t="s">
        <v>11603</v>
      </c>
      <c r="C3340" s="17" t="s">
        <v>26</v>
      </c>
      <c r="D3340" s="19">
        <v>8266.48</v>
      </c>
      <c r="F3340" s="3" t="str">
        <f t="shared" si="52"/>
        <v>C3498</v>
      </c>
    </row>
    <row r="3341" spans="1:6" x14ac:dyDescent="0.2">
      <c r="A3341" s="17" t="s">
        <v>11604</v>
      </c>
      <c r="B3341" s="18" t="s">
        <v>11605</v>
      </c>
      <c r="C3341" s="17" t="s">
        <v>26</v>
      </c>
      <c r="D3341" s="19">
        <v>17230.810000000001</v>
      </c>
      <c r="F3341" s="3" t="str">
        <f t="shared" si="52"/>
        <v>C3499</v>
      </c>
    </row>
    <row r="3342" spans="1:6" x14ac:dyDescent="0.2">
      <c r="A3342" s="17" t="s">
        <v>11606</v>
      </c>
      <c r="B3342" s="18" t="s">
        <v>11607</v>
      </c>
      <c r="C3342" s="17" t="s">
        <v>26</v>
      </c>
      <c r="D3342" s="19">
        <v>30867.94</v>
      </c>
      <c r="F3342" s="3" t="str">
        <f t="shared" si="52"/>
        <v>C3500</v>
      </c>
    </row>
    <row r="3343" spans="1:6" x14ac:dyDescent="0.2">
      <c r="A3343" s="17" t="s">
        <v>11608</v>
      </c>
      <c r="B3343" s="18" t="s">
        <v>11609</v>
      </c>
      <c r="C3343" s="17" t="s">
        <v>26</v>
      </c>
      <c r="D3343" s="19">
        <v>40073.06</v>
      </c>
      <c r="F3343" s="3" t="str">
        <f t="shared" si="52"/>
        <v>C3501</v>
      </c>
    </row>
    <row r="3344" spans="1:6" x14ac:dyDescent="0.2">
      <c r="A3344" s="17" t="s">
        <v>11610</v>
      </c>
      <c r="B3344" s="18" t="s">
        <v>11611</v>
      </c>
      <c r="C3344" s="17" t="s">
        <v>26</v>
      </c>
      <c r="D3344" s="19">
        <v>1358.51</v>
      </c>
      <c r="F3344" s="3" t="str">
        <f t="shared" si="52"/>
        <v>C3490</v>
      </c>
    </row>
    <row r="3345" spans="1:6" x14ac:dyDescent="0.2">
      <c r="A3345" s="17" t="s">
        <v>11612</v>
      </c>
      <c r="B3345" s="18" t="s">
        <v>11613</v>
      </c>
      <c r="C3345" s="17" t="s">
        <v>26</v>
      </c>
      <c r="D3345" s="19">
        <v>2039.01</v>
      </c>
      <c r="F3345" s="3" t="str">
        <f t="shared" si="52"/>
        <v>C3491</v>
      </c>
    </row>
    <row r="3346" spans="1:6" x14ac:dyDescent="0.2">
      <c r="A3346" s="17">
        <v>0</v>
      </c>
      <c r="B3346" s="18"/>
      <c r="C3346" s="17">
        <v>0</v>
      </c>
      <c r="D3346" s="19">
        <v>0</v>
      </c>
      <c r="F3346" s="3">
        <f t="shared" si="52"/>
        <v>0</v>
      </c>
    </row>
    <row r="3347" spans="1:6" x14ac:dyDescent="0.2">
      <c r="A3347" s="17" t="s">
        <v>11614</v>
      </c>
      <c r="B3347" s="18" t="s">
        <v>11615</v>
      </c>
      <c r="C3347" s="17" t="s">
        <v>26</v>
      </c>
      <c r="D3347" s="19">
        <v>2722</v>
      </c>
      <c r="F3347" s="3" t="str">
        <f t="shared" si="52"/>
        <v>C3492</v>
      </c>
    </row>
    <row r="3348" spans="1:6" x14ac:dyDescent="0.2">
      <c r="A3348" s="17">
        <v>0</v>
      </c>
      <c r="B3348" s="18"/>
      <c r="C3348" s="17">
        <v>0</v>
      </c>
      <c r="D3348" s="19">
        <v>0</v>
      </c>
      <c r="F3348" s="3">
        <f t="shared" si="52"/>
        <v>0</v>
      </c>
    </row>
    <row r="3349" spans="1:6" x14ac:dyDescent="0.2">
      <c r="A3349" s="17" t="s">
        <v>11616</v>
      </c>
      <c r="B3349" s="18" t="s">
        <v>11617</v>
      </c>
      <c r="C3349" s="17" t="s">
        <v>26</v>
      </c>
      <c r="D3349" s="19">
        <v>2445.48</v>
      </c>
      <c r="F3349" s="3" t="str">
        <f t="shared" si="52"/>
        <v>C3512</v>
      </c>
    </row>
    <row r="3350" spans="1:6" x14ac:dyDescent="0.2">
      <c r="A3350" s="17" t="s">
        <v>11618</v>
      </c>
      <c r="B3350" s="18" t="s">
        <v>11619</v>
      </c>
      <c r="C3350" s="17" t="s">
        <v>26</v>
      </c>
      <c r="D3350" s="19">
        <v>4101.84</v>
      </c>
      <c r="F3350" s="3" t="str">
        <f t="shared" si="52"/>
        <v>C3493</v>
      </c>
    </row>
    <row r="3351" spans="1:6" x14ac:dyDescent="0.2">
      <c r="A3351" s="17">
        <v>0</v>
      </c>
      <c r="B3351" s="18"/>
      <c r="C3351" s="17">
        <v>0</v>
      </c>
      <c r="D3351" s="19">
        <v>0</v>
      </c>
      <c r="F3351" s="3">
        <f t="shared" si="52"/>
        <v>0</v>
      </c>
    </row>
    <row r="3352" spans="1:6" x14ac:dyDescent="0.2">
      <c r="A3352" s="17" t="s">
        <v>11620</v>
      </c>
      <c r="B3352" s="18" t="s">
        <v>11621</v>
      </c>
      <c r="C3352" s="17" t="s">
        <v>26</v>
      </c>
      <c r="D3352" s="19">
        <v>5726.6</v>
      </c>
      <c r="F3352" s="3" t="str">
        <f t="shared" si="52"/>
        <v>C3494</v>
      </c>
    </row>
    <row r="3353" spans="1:6" x14ac:dyDescent="0.2">
      <c r="A3353" s="17">
        <v>0</v>
      </c>
      <c r="B3353" s="18"/>
      <c r="C3353" s="17">
        <v>0</v>
      </c>
      <c r="D3353" s="19">
        <v>0</v>
      </c>
      <c r="F3353" s="3">
        <f t="shared" si="52"/>
        <v>0</v>
      </c>
    </row>
    <row r="3354" spans="1:6" x14ac:dyDescent="0.2">
      <c r="A3354" s="17" t="s">
        <v>11622</v>
      </c>
      <c r="B3354" s="18" t="s">
        <v>11623</v>
      </c>
      <c r="C3354" s="17" t="s">
        <v>26</v>
      </c>
      <c r="D3354" s="19">
        <v>3991.04</v>
      </c>
      <c r="F3354" s="3" t="str">
        <f t="shared" si="52"/>
        <v>C3525</v>
      </c>
    </row>
    <row r="3355" spans="1:6" x14ac:dyDescent="0.2">
      <c r="A3355" s="17" t="s">
        <v>11624</v>
      </c>
      <c r="B3355" s="18" t="s">
        <v>11625</v>
      </c>
      <c r="C3355" s="17" t="s">
        <v>26</v>
      </c>
      <c r="D3355" s="19">
        <v>8108.89</v>
      </c>
      <c r="F3355" s="3" t="str">
        <f t="shared" si="52"/>
        <v>C3495</v>
      </c>
    </row>
    <row r="3356" spans="1:6" x14ac:dyDescent="0.2">
      <c r="A3356" s="17">
        <v>0</v>
      </c>
      <c r="B3356" s="18"/>
      <c r="C3356" s="17">
        <v>0</v>
      </c>
      <c r="D3356" s="19">
        <v>0</v>
      </c>
      <c r="F3356" s="3">
        <f t="shared" si="52"/>
        <v>0</v>
      </c>
    </row>
    <row r="3357" spans="1:6" x14ac:dyDescent="0.2">
      <c r="A3357" s="17" t="s">
        <v>11626</v>
      </c>
      <c r="B3357" s="18" t="s">
        <v>11627</v>
      </c>
      <c r="C3357" s="17" t="s">
        <v>26</v>
      </c>
      <c r="D3357" s="19">
        <v>3947.52</v>
      </c>
      <c r="F3357" s="3" t="str">
        <f t="shared" si="52"/>
        <v>C3461</v>
      </c>
    </row>
    <row r="3358" spans="1:6" x14ac:dyDescent="0.2">
      <c r="A3358" s="17" t="s">
        <v>11628</v>
      </c>
      <c r="B3358" s="18" t="s">
        <v>11629</v>
      </c>
      <c r="C3358" s="17" t="s">
        <v>26</v>
      </c>
      <c r="D3358" s="19">
        <v>16071.2</v>
      </c>
      <c r="F3358" s="3" t="str">
        <f t="shared" si="52"/>
        <v>C3472</v>
      </c>
    </row>
    <row r="3359" spans="1:6" x14ac:dyDescent="0.2">
      <c r="A3359" s="17" t="s">
        <v>11630</v>
      </c>
      <c r="B3359" s="18" t="s">
        <v>11631</v>
      </c>
      <c r="C3359" s="17" t="s">
        <v>8321</v>
      </c>
      <c r="D3359" s="19">
        <v>49849.68</v>
      </c>
      <c r="F3359" s="3" t="str">
        <f t="shared" si="52"/>
        <v>C3503</v>
      </c>
    </row>
    <row r="3360" spans="1:6" x14ac:dyDescent="0.2">
      <c r="A3360" s="17" t="s">
        <v>11632</v>
      </c>
      <c r="B3360" s="18" t="s">
        <v>11633</v>
      </c>
      <c r="C3360" s="17" t="s">
        <v>255</v>
      </c>
      <c r="D3360" s="19">
        <v>283.81</v>
      </c>
      <c r="F3360" s="3" t="str">
        <f t="shared" si="52"/>
        <v>C3524</v>
      </c>
    </row>
    <row r="3361" spans="1:6" x14ac:dyDescent="0.2">
      <c r="A3361" s="17" t="s">
        <v>11634</v>
      </c>
      <c r="B3361" s="18" t="s">
        <v>11635</v>
      </c>
      <c r="C3361" s="17" t="s">
        <v>26</v>
      </c>
      <c r="D3361" s="19">
        <v>56.79</v>
      </c>
      <c r="F3361" s="3" t="str">
        <f t="shared" si="52"/>
        <v>C5187</v>
      </c>
    </row>
    <row r="3362" spans="1:6" x14ac:dyDescent="0.2">
      <c r="A3362" s="17" t="s">
        <v>11636</v>
      </c>
      <c r="B3362" s="18" t="s">
        <v>11637</v>
      </c>
      <c r="C3362" s="17" t="s">
        <v>26</v>
      </c>
      <c r="D3362" s="19">
        <v>771.94</v>
      </c>
      <c r="F3362" s="3" t="str">
        <f t="shared" si="52"/>
        <v>C5207</v>
      </c>
    </row>
    <row r="3363" spans="1:6" x14ac:dyDescent="0.2">
      <c r="A3363" s="17" t="s">
        <v>11638</v>
      </c>
      <c r="B3363" s="18" t="s">
        <v>11639</v>
      </c>
      <c r="C3363" s="17" t="s">
        <v>26</v>
      </c>
      <c r="D3363" s="19">
        <v>6291.13</v>
      </c>
      <c r="F3363" s="3" t="str">
        <f t="shared" si="52"/>
        <v>C4866</v>
      </c>
    </row>
    <row r="3364" spans="1:6" x14ac:dyDescent="0.2">
      <c r="A3364" s="17" t="s">
        <v>11640</v>
      </c>
      <c r="B3364" s="18" t="s">
        <v>11641</v>
      </c>
      <c r="C3364" s="17" t="s">
        <v>0</v>
      </c>
      <c r="D3364" s="19">
        <v>6802.19</v>
      </c>
      <c r="F3364" s="3" t="str">
        <f t="shared" si="52"/>
        <v>C4613</v>
      </c>
    </row>
    <row r="3365" spans="1:6" x14ac:dyDescent="0.2">
      <c r="A3365" s="17" t="s">
        <v>11642</v>
      </c>
      <c r="B3365" s="18" t="s">
        <v>11643</v>
      </c>
      <c r="C3365" s="17" t="s">
        <v>0</v>
      </c>
      <c r="D3365" s="19">
        <v>10762.71</v>
      </c>
      <c r="F3365" s="3" t="str">
        <f t="shared" si="52"/>
        <v>C4614</v>
      </c>
    </row>
    <row r="3366" spans="1:6" x14ac:dyDescent="0.2">
      <c r="A3366" s="17" t="s">
        <v>11644</v>
      </c>
      <c r="B3366" s="18" t="s">
        <v>11645</v>
      </c>
      <c r="C3366" s="17" t="s">
        <v>0</v>
      </c>
      <c r="D3366" s="19">
        <v>15098.1</v>
      </c>
      <c r="F3366" s="3" t="str">
        <f t="shared" si="52"/>
        <v>C4615</v>
      </c>
    </row>
    <row r="3367" spans="1:6" x14ac:dyDescent="0.2">
      <c r="A3367" s="17" t="s">
        <v>11646</v>
      </c>
      <c r="B3367" s="18" t="s">
        <v>11647</v>
      </c>
      <c r="C3367" s="17" t="s">
        <v>26</v>
      </c>
      <c r="D3367" s="19">
        <v>148.77000000000001</v>
      </c>
      <c r="F3367" s="3" t="str">
        <f t="shared" si="52"/>
        <v>C4812</v>
      </c>
    </row>
    <row r="3368" spans="1:6" x14ac:dyDescent="0.2">
      <c r="A3368" s="14" t="s">
        <v>11648</v>
      </c>
      <c r="B3368" s="15"/>
      <c r="C3368" s="14">
        <v>0</v>
      </c>
      <c r="D3368" s="16">
        <v>140848.88</v>
      </c>
      <c r="F3368" s="3" t="str">
        <f t="shared" si="52"/>
        <v>INSTALAÇÕES DIVERSAS</v>
      </c>
    </row>
    <row r="3369" spans="1:6" x14ac:dyDescent="0.2">
      <c r="A3369" s="17" t="s">
        <v>11649</v>
      </c>
      <c r="B3369" s="18" t="s">
        <v>11650</v>
      </c>
      <c r="C3369" s="17" t="s">
        <v>26</v>
      </c>
      <c r="D3369" s="19">
        <v>919.7</v>
      </c>
      <c r="F3369" s="3" t="str">
        <f t="shared" si="52"/>
        <v>C3509</v>
      </c>
    </row>
    <row r="3370" spans="1:6" x14ac:dyDescent="0.2">
      <c r="A3370" s="17" t="s">
        <v>11651</v>
      </c>
      <c r="B3370" s="18" t="s">
        <v>11652</v>
      </c>
      <c r="C3370" s="17" t="s">
        <v>26</v>
      </c>
      <c r="D3370" s="19">
        <v>1357.58</v>
      </c>
      <c r="F3370" s="3" t="str">
        <f t="shared" si="52"/>
        <v>C3510</v>
      </c>
    </row>
    <row r="3371" spans="1:6" x14ac:dyDescent="0.2">
      <c r="A3371" s="17" t="s">
        <v>11653</v>
      </c>
      <c r="B3371" s="18" t="s">
        <v>11654</v>
      </c>
      <c r="C3371" s="17" t="s">
        <v>26</v>
      </c>
      <c r="D3371" s="19">
        <v>1268.1400000000001</v>
      </c>
      <c r="F3371" s="3" t="str">
        <f t="shared" si="52"/>
        <v>C3511</v>
      </c>
    </row>
    <row r="3372" spans="1:6" x14ac:dyDescent="0.2">
      <c r="A3372" s="17" t="s">
        <v>11655</v>
      </c>
      <c r="B3372" s="18" t="s">
        <v>11656</v>
      </c>
      <c r="C3372" s="17" t="s">
        <v>26</v>
      </c>
      <c r="D3372" s="19">
        <v>3170.88</v>
      </c>
      <c r="F3372" s="3" t="str">
        <f t="shared" si="52"/>
        <v>C3457</v>
      </c>
    </row>
    <row r="3373" spans="1:6" x14ac:dyDescent="0.2">
      <c r="A3373" s="17" t="s">
        <v>11657</v>
      </c>
      <c r="B3373" s="18" t="s">
        <v>11658</v>
      </c>
      <c r="C3373" s="17" t="s">
        <v>26</v>
      </c>
      <c r="D3373" s="19">
        <v>340.96</v>
      </c>
      <c r="F3373" s="3" t="str">
        <f t="shared" si="52"/>
        <v>C4857</v>
      </c>
    </row>
    <row r="3374" spans="1:6" x14ac:dyDescent="0.2">
      <c r="A3374" s="17" t="s">
        <v>11659</v>
      </c>
      <c r="B3374" s="18" t="s">
        <v>11660</v>
      </c>
      <c r="C3374" s="17" t="s">
        <v>26</v>
      </c>
      <c r="D3374" s="19">
        <v>59630.58</v>
      </c>
      <c r="F3374" s="3" t="str">
        <f t="shared" si="52"/>
        <v>C4868</v>
      </c>
    </row>
    <row r="3375" spans="1:6" x14ac:dyDescent="0.2">
      <c r="A3375" s="17" t="s">
        <v>11661</v>
      </c>
      <c r="B3375" s="18" t="s">
        <v>11662</v>
      </c>
      <c r="C3375" s="17" t="s">
        <v>26</v>
      </c>
      <c r="D3375" s="19">
        <v>74135.839999999997</v>
      </c>
      <c r="F3375" s="3" t="str">
        <f t="shared" si="52"/>
        <v>C4869</v>
      </c>
    </row>
    <row r="3376" spans="1:6" x14ac:dyDescent="0.2">
      <c r="A3376" s="17" t="s">
        <v>11663</v>
      </c>
      <c r="B3376" s="18" t="s">
        <v>11664</v>
      </c>
      <c r="C3376" s="17" t="s">
        <v>0</v>
      </c>
      <c r="D3376" s="19">
        <v>25.2</v>
      </c>
      <c r="F3376" s="3" t="str">
        <f t="shared" si="52"/>
        <v>C4006</v>
      </c>
    </row>
    <row r="3377" spans="1:6" x14ac:dyDescent="0.2">
      <c r="A3377" s="14" t="s">
        <v>11665</v>
      </c>
      <c r="B3377" s="15"/>
      <c r="C3377" s="14">
        <v>0</v>
      </c>
      <c r="D3377" s="16">
        <v>26534.75</v>
      </c>
      <c r="F3377" s="3" t="str">
        <f t="shared" si="52"/>
        <v>SERVIÇOS OPERACIONAIS</v>
      </c>
    </row>
    <row r="3378" spans="1:6" x14ac:dyDescent="0.2">
      <c r="A3378" s="14" t="s">
        <v>11666</v>
      </c>
      <c r="B3378" s="15"/>
      <c r="C3378" s="14">
        <v>0</v>
      </c>
      <c r="D3378" s="16">
        <v>757.8</v>
      </c>
      <c r="F3378" s="3" t="str">
        <f t="shared" si="52"/>
        <v>INSTALAÇÃO E SUBSTITUIÇÃO DE HIDRÔMETRO</v>
      </c>
    </row>
    <row r="3379" spans="1:6" x14ac:dyDescent="0.2">
      <c r="A3379" s="17" t="s">
        <v>11667</v>
      </c>
      <c r="B3379" s="18" t="s">
        <v>11668</v>
      </c>
      <c r="C3379" s="17" t="s">
        <v>26</v>
      </c>
      <c r="D3379" s="19">
        <v>66.260000000000005</v>
      </c>
      <c r="F3379" s="3" t="str">
        <f t="shared" si="52"/>
        <v>C2718</v>
      </c>
    </row>
    <row r="3380" spans="1:6" x14ac:dyDescent="0.2">
      <c r="A3380" s="17" t="s">
        <v>11669</v>
      </c>
      <c r="B3380" s="18" t="s">
        <v>11670</v>
      </c>
      <c r="C3380" s="17" t="s">
        <v>26</v>
      </c>
      <c r="D3380" s="19">
        <v>51.36</v>
      </c>
      <c r="F3380" s="3" t="str">
        <f t="shared" si="52"/>
        <v>C2844</v>
      </c>
    </row>
    <row r="3381" spans="1:6" x14ac:dyDescent="0.2">
      <c r="A3381" s="17" t="s">
        <v>11671</v>
      </c>
      <c r="B3381" s="18" t="s">
        <v>11672</v>
      </c>
      <c r="C3381" s="17" t="s">
        <v>26</v>
      </c>
      <c r="D3381" s="19">
        <v>69.89</v>
      </c>
      <c r="F3381" s="3" t="str">
        <f t="shared" si="52"/>
        <v>C2845</v>
      </c>
    </row>
    <row r="3382" spans="1:6" x14ac:dyDescent="0.2">
      <c r="A3382" s="17" t="s">
        <v>11673</v>
      </c>
      <c r="B3382" s="18" t="s">
        <v>11674</v>
      </c>
      <c r="C3382" s="17" t="s">
        <v>26</v>
      </c>
      <c r="D3382" s="19">
        <v>149.82</v>
      </c>
      <c r="F3382" s="3" t="str">
        <f t="shared" si="52"/>
        <v>C2846</v>
      </c>
    </row>
    <row r="3383" spans="1:6" x14ac:dyDescent="0.2">
      <c r="A3383" s="17" t="s">
        <v>11675</v>
      </c>
      <c r="B3383" s="18" t="s">
        <v>11676</v>
      </c>
      <c r="C3383" s="17" t="s">
        <v>26</v>
      </c>
      <c r="D3383" s="19">
        <v>208.52</v>
      </c>
      <c r="F3383" s="3" t="str">
        <f t="shared" si="52"/>
        <v>C2847</v>
      </c>
    </row>
    <row r="3384" spans="1:6" x14ac:dyDescent="0.2">
      <c r="A3384" s="17" t="s">
        <v>11677</v>
      </c>
      <c r="B3384" s="18" t="s">
        <v>11678</v>
      </c>
      <c r="C3384" s="17" t="s">
        <v>26</v>
      </c>
      <c r="D3384" s="19">
        <v>34.409999999999997</v>
      </c>
      <c r="F3384" s="3" t="str">
        <f t="shared" si="52"/>
        <v>C2848</v>
      </c>
    </row>
    <row r="3385" spans="1:6" x14ac:dyDescent="0.2">
      <c r="A3385" s="17" t="s">
        <v>11679</v>
      </c>
      <c r="B3385" s="18" t="s">
        <v>11680</v>
      </c>
      <c r="C3385" s="17" t="s">
        <v>26</v>
      </c>
      <c r="D3385" s="19">
        <v>71.150000000000006</v>
      </c>
      <c r="F3385" s="3" t="str">
        <f t="shared" si="52"/>
        <v>C2956</v>
      </c>
    </row>
    <row r="3386" spans="1:6" x14ac:dyDescent="0.2">
      <c r="A3386" s="17" t="s">
        <v>11681</v>
      </c>
      <c r="B3386" s="18" t="s">
        <v>11682</v>
      </c>
      <c r="C3386" s="17" t="s">
        <v>26</v>
      </c>
      <c r="D3386" s="19">
        <v>34.07</v>
      </c>
      <c r="F3386" s="3" t="str">
        <f t="shared" si="52"/>
        <v>C2957</v>
      </c>
    </row>
    <row r="3387" spans="1:6" x14ac:dyDescent="0.2">
      <c r="A3387" s="17" t="s">
        <v>11683</v>
      </c>
      <c r="B3387" s="18" t="s">
        <v>11684</v>
      </c>
      <c r="C3387" s="17" t="s">
        <v>26</v>
      </c>
      <c r="D3387" s="19">
        <v>16.13</v>
      </c>
      <c r="F3387" s="3" t="str">
        <f t="shared" si="52"/>
        <v>C2958</v>
      </c>
    </row>
    <row r="3388" spans="1:6" x14ac:dyDescent="0.2">
      <c r="A3388" s="17">
        <v>0</v>
      </c>
      <c r="B3388" s="18"/>
      <c r="C3388" s="17">
        <v>0</v>
      </c>
      <c r="D3388" s="19">
        <v>0</v>
      </c>
      <c r="F3388" s="3">
        <f t="shared" si="52"/>
        <v>0</v>
      </c>
    </row>
    <row r="3389" spans="1:6" x14ac:dyDescent="0.2">
      <c r="A3389" s="17" t="s">
        <v>11685</v>
      </c>
      <c r="B3389" s="18" t="s">
        <v>11686</v>
      </c>
      <c r="C3389" s="17" t="s">
        <v>26</v>
      </c>
      <c r="D3389" s="19">
        <v>11.93</v>
      </c>
      <c r="F3389" s="3" t="str">
        <f t="shared" si="52"/>
        <v>C2963</v>
      </c>
    </row>
    <row r="3390" spans="1:6" x14ac:dyDescent="0.2">
      <c r="A3390" s="17" t="s">
        <v>11687</v>
      </c>
      <c r="B3390" s="18" t="s">
        <v>11688</v>
      </c>
      <c r="C3390" s="17" t="s">
        <v>26</v>
      </c>
      <c r="D3390" s="19">
        <v>16.09</v>
      </c>
      <c r="F3390" s="3" t="str">
        <f t="shared" si="52"/>
        <v>C4201</v>
      </c>
    </row>
    <row r="3391" spans="1:6" x14ac:dyDescent="0.2">
      <c r="A3391" s="17" t="s">
        <v>11689</v>
      </c>
      <c r="B3391" s="18" t="s">
        <v>11690</v>
      </c>
      <c r="C3391" s="17" t="s">
        <v>26</v>
      </c>
      <c r="D3391" s="19">
        <v>28.18</v>
      </c>
      <c r="F3391" s="3" t="str">
        <f t="shared" si="52"/>
        <v>C4202</v>
      </c>
    </row>
    <row r="3392" spans="1:6" x14ac:dyDescent="0.2">
      <c r="A3392" s="14" t="s">
        <v>11691</v>
      </c>
      <c r="B3392" s="15"/>
      <c r="C3392" s="14">
        <v>0</v>
      </c>
      <c r="D3392" s="16">
        <v>1547.11</v>
      </c>
      <c r="F3392" s="3" t="str">
        <f t="shared" si="52"/>
        <v>CORTE E SUPRESSÃO DE LIGAÇÃO</v>
      </c>
    </row>
    <row r="3393" spans="1:6" x14ac:dyDescent="0.2">
      <c r="A3393" s="17" t="s">
        <v>11692</v>
      </c>
      <c r="B3393" s="18" t="s">
        <v>11693</v>
      </c>
      <c r="C3393" s="17" t="s">
        <v>26</v>
      </c>
      <c r="D3393" s="19">
        <v>40.340000000000003</v>
      </c>
      <c r="F3393" s="3" t="str">
        <f t="shared" si="52"/>
        <v>C0029</v>
      </c>
    </row>
    <row r="3394" spans="1:6" x14ac:dyDescent="0.2">
      <c r="A3394" s="17" t="s">
        <v>11694</v>
      </c>
      <c r="B3394" s="18" t="s">
        <v>11695</v>
      </c>
      <c r="C3394" s="17" t="s">
        <v>26</v>
      </c>
      <c r="D3394" s="19">
        <v>52.67</v>
      </c>
      <c r="F3394" s="3" t="str">
        <f t="shared" ref="F3394:F3457" si="53">A3394</f>
        <v>C0030</v>
      </c>
    </row>
    <row r="3395" spans="1:6" x14ac:dyDescent="0.2">
      <c r="A3395" s="17" t="s">
        <v>11696</v>
      </c>
      <c r="B3395" s="18" t="s">
        <v>11697</v>
      </c>
      <c r="C3395" s="17" t="s">
        <v>26</v>
      </c>
      <c r="D3395" s="19">
        <v>30.94</v>
      </c>
      <c r="F3395" s="3" t="str">
        <f t="shared" si="53"/>
        <v>C0031</v>
      </c>
    </row>
    <row r="3396" spans="1:6" x14ac:dyDescent="0.2">
      <c r="A3396" s="17" t="s">
        <v>11698</v>
      </c>
      <c r="B3396" s="18" t="s">
        <v>11699</v>
      </c>
      <c r="C3396" s="17" t="s">
        <v>26</v>
      </c>
      <c r="D3396" s="19">
        <v>57.08</v>
      </c>
      <c r="F3396" s="3" t="str">
        <f t="shared" si="53"/>
        <v>C3430</v>
      </c>
    </row>
    <row r="3397" spans="1:6" ht="22.5" x14ac:dyDescent="0.2">
      <c r="A3397" s="17" t="s">
        <v>11700</v>
      </c>
      <c r="B3397" s="18" t="s">
        <v>11701</v>
      </c>
      <c r="C3397" s="17" t="s">
        <v>26</v>
      </c>
      <c r="D3397" s="19">
        <v>45.67</v>
      </c>
      <c r="F3397" s="3" t="str">
        <f t="shared" si="53"/>
        <v>C4593</v>
      </c>
    </row>
    <row r="3398" spans="1:6" x14ac:dyDescent="0.2">
      <c r="A3398" s="17">
        <v>0</v>
      </c>
      <c r="B3398" s="18"/>
      <c r="C3398" s="17">
        <v>0</v>
      </c>
      <c r="D3398" s="19">
        <v>0</v>
      </c>
      <c r="F3398" s="3">
        <f t="shared" si="53"/>
        <v>0</v>
      </c>
    </row>
    <row r="3399" spans="1:6" x14ac:dyDescent="0.2">
      <c r="A3399" s="17" t="s">
        <v>11702</v>
      </c>
      <c r="B3399" s="18" t="s">
        <v>11703</v>
      </c>
      <c r="C3399" s="17" t="s">
        <v>26</v>
      </c>
      <c r="D3399" s="19">
        <v>153.43</v>
      </c>
      <c r="F3399" s="3" t="str">
        <f t="shared" si="53"/>
        <v>C4897</v>
      </c>
    </row>
    <row r="3400" spans="1:6" x14ac:dyDescent="0.2">
      <c r="A3400" s="17" t="s">
        <v>11704</v>
      </c>
      <c r="B3400" s="18" t="s">
        <v>11705</v>
      </c>
      <c r="C3400" s="17" t="s">
        <v>26</v>
      </c>
      <c r="D3400" s="19">
        <v>84.63</v>
      </c>
      <c r="F3400" s="3" t="str">
        <f t="shared" si="53"/>
        <v>C4594</v>
      </c>
    </row>
    <row r="3401" spans="1:6" x14ac:dyDescent="0.2">
      <c r="A3401" s="17" t="s">
        <v>11706</v>
      </c>
      <c r="B3401" s="18" t="s">
        <v>11707</v>
      </c>
      <c r="C3401" s="17" t="s">
        <v>26</v>
      </c>
      <c r="D3401" s="19">
        <v>176.88</v>
      </c>
      <c r="F3401" s="3" t="str">
        <f t="shared" si="53"/>
        <v>C4204</v>
      </c>
    </row>
    <row r="3402" spans="1:6" x14ac:dyDescent="0.2">
      <c r="A3402" s="17" t="s">
        <v>11708</v>
      </c>
      <c r="B3402" s="18" t="s">
        <v>11709</v>
      </c>
      <c r="C3402" s="17" t="s">
        <v>26</v>
      </c>
      <c r="D3402" s="19">
        <v>57.18</v>
      </c>
      <c r="F3402" s="3" t="str">
        <f t="shared" si="53"/>
        <v>C0931</v>
      </c>
    </row>
    <row r="3403" spans="1:6" x14ac:dyDescent="0.2">
      <c r="A3403" s="17" t="s">
        <v>11710</v>
      </c>
      <c r="B3403" s="18" t="s">
        <v>11711</v>
      </c>
      <c r="C3403" s="17" t="s">
        <v>26</v>
      </c>
      <c r="D3403" s="19">
        <v>40.840000000000003</v>
      </c>
      <c r="F3403" s="3" t="str">
        <f t="shared" si="53"/>
        <v>C0932</v>
      </c>
    </row>
    <row r="3404" spans="1:6" x14ac:dyDescent="0.2">
      <c r="A3404" s="17" t="s">
        <v>11712</v>
      </c>
      <c r="B3404" s="18" t="s">
        <v>11713</v>
      </c>
      <c r="C3404" s="17" t="s">
        <v>26</v>
      </c>
      <c r="D3404" s="19">
        <v>30.48</v>
      </c>
      <c r="F3404" s="3" t="str">
        <f t="shared" si="53"/>
        <v>C0933</v>
      </c>
    </row>
    <row r="3405" spans="1:6" x14ac:dyDescent="0.2">
      <c r="A3405" s="17" t="s">
        <v>11714</v>
      </c>
      <c r="B3405" s="18" t="s">
        <v>11715</v>
      </c>
      <c r="C3405" s="17" t="s">
        <v>26</v>
      </c>
      <c r="D3405" s="19">
        <v>25.71</v>
      </c>
      <c r="F3405" s="3" t="str">
        <f t="shared" si="53"/>
        <v>C0934</v>
      </c>
    </row>
    <row r="3406" spans="1:6" ht="22.5" x14ac:dyDescent="0.2">
      <c r="A3406" s="17" t="s">
        <v>11716</v>
      </c>
      <c r="B3406" s="18" t="s">
        <v>11717</v>
      </c>
      <c r="C3406" s="17" t="s">
        <v>26</v>
      </c>
      <c r="D3406" s="19">
        <v>37.950000000000003</v>
      </c>
      <c r="F3406" s="3" t="str">
        <f t="shared" si="53"/>
        <v>C4719</v>
      </c>
    </row>
    <row r="3407" spans="1:6" x14ac:dyDescent="0.2">
      <c r="A3407" s="17">
        <v>0</v>
      </c>
      <c r="B3407" s="18"/>
      <c r="C3407" s="17">
        <v>0</v>
      </c>
      <c r="D3407" s="19">
        <v>0</v>
      </c>
      <c r="F3407" s="3">
        <f t="shared" si="53"/>
        <v>0</v>
      </c>
    </row>
    <row r="3408" spans="1:6" x14ac:dyDescent="0.2">
      <c r="A3408" s="17" t="s">
        <v>11718</v>
      </c>
      <c r="B3408" s="18" t="s">
        <v>11719</v>
      </c>
      <c r="C3408" s="17" t="s">
        <v>26</v>
      </c>
      <c r="D3408" s="19">
        <v>7.57</v>
      </c>
      <c r="F3408" s="3" t="str">
        <f t="shared" si="53"/>
        <v>C4718</v>
      </c>
    </row>
    <row r="3409" spans="1:6" x14ac:dyDescent="0.2">
      <c r="A3409" s="17">
        <v>0</v>
      </c>
      <c r="B3409" s="18"/>
      <c r="C3409" s="17">
        <v>0</v>
      </c>
      <c r="D3409" s="19">
        <v>0</v>
      </c>
      <c r="F3409" s="3">
        <f t="shared" si="53"/>
        <v>0</v>
      </c>
    </row>
    <row r="3410" spans="1:6" x14ac:dyDescent="0.2">
      <c r="A3410" s="17" t="s">
        <v>11720</v>
      </c>
      <c r="B3410" s="18" t="s">
        <v>11721</v>
      </c>
      <c r="C3410" s="17" t="s">
        <v>26</v>
      </c>
      <c r="D3410" s="19">
        <v>10.64</v>
      </c>
      <c r="F3410" s="3" t="str">
        <f t="shared" si="53"/>
        <v>C4716</v>
      </c>
    </row>
    <row r="3411" spans="1:6" x14ac:dyDescent="0.2">
      <c r="A3411" s="17" t="s">
        <v>11722</v>
      </c>
      <c r="B3411" s="18" t="s">
        <v>11723</v>
      </c>
      <c r="C3411" s="17" t="s">
        <v>26</v>
      </c>
      <c r="D3411" s="19">
        <v>96.68</v>
      </c>
      <c r="F3411" s="3" t="str">
        <f t="shared" si="53"/>
        <v>C3432</v>
      </c>
    </row>
    <row r="3412" spans="1:6" x14ac:dyDescent="0.2">
      <c r="A3412" s="17">
        <v>0</v>
      </c>
      <c r="B3412" s="18"/>
      <c r="C3412" s="17">
        <v>0</v>
      </c>
      <c r="D3412" s="19">
        <v>0</v>
      </c>
      <c r="F3412" s="3">
        <f t="shared" si="53"/>
        <v>0</v>
      </c>
    </row>
    <row r="3413" spans="1:6" x14ac:dyDescent="0.2">
      <c r="A3413" s="17" t="s">
        <v>11724</v>
      </c>
      <c r="B3413" s="18" t="s">
        <v>11725</v>
      </c>
      <c r="C3413" s="17" t="s">
        <v>26</v>
      </c>
      <c r="D3413" s="19">
        <v>45.4</v>
      </c>
      <c r="F3413" s="3" t="str">
        <f t="shared" si="53"/>
        <v>C3780</v>
      </c>
    </row>
    <row r="3414" spans="1:6" x14ac:dyDescent="0.2">
      <c r="A3414" s="17">
        <v>0</v>
      </c>
      <c r="B3414" s="18"/>
      <c r="C3414" s="17">
        <v>0</v>
      </c>
      <c r="D3414" s="19">
        <v>0</v>
      </c>
      <c r="F3414" s="3">
        <f t="shared" si="53"/>
        <v>0</v>
      </c>
    </row>
    <row r="3415" spans="1:6" x14ac:dyDescent="0.2">
      <c r="A3415" s="17" t="s">
        <v>11726</v>
      </c>
      <c r="B3415" s="18" t="s">
        <v>11727</v>
      </c>
      <c r="C3415" s="17" t="s">
        <v>26</v>
      </c>
      <c r="D3415" s="19">
        <v>5.01</v>
      </c>
      <c r="F3415" s="3" t="str">
        <f t="shared" si="53"/>
        <v>C4721</v>
      </c>
    </row>
    <row r="3416" spans="1:6" x14ac:dyDescent="0.2">
      <c r="A3416" s="17" t="s">
        <v>11728</v>
      </c>
      <c r="B3416" s="18" t="s">
        <v>11729</v>
      </c>
      <c r="C3416" s="17" t="s">
        <v>26</v>
      </c>
      <c r="D3416" s="19">
        <v>44.08</v>
      </c>
      <c r="F3416" s="3" t="str">
        <f t="shared" si="53"/>
        <v>C3431</v>
      </c>
    </row>
    <row r="3417" spans="1:6" x14ac:dyDescent="0.2">
      <c r="A3417" s="17" t="s">
        <v>11730</v>
      </c>
      <c r="B3417" s="18" t="s">
        <v>11731</v>
      </c>
      <c r="C3417" s="17" t="s">
        <v>26</v>
      </c>
      <c r="D3417" s="19">
        <v>80.819999999999993</v>
      </c>
      <c r="F3417" s="3" t="str">
        <f t="shared" si="53"/>
        <v>C2721</v>
      </c>
    </row>
    <row r="3418" spans="1:6" x14ac:dyDescent="0.2">
      <c r="A3418" s="17" t="s">
        <v>11732</v>
      </c>
      <c r="B3418" s="18" t="s">
        <v>11733</v>
      </c>
      <c r="C3418" s="17" t="s">
        <v>26</v>
      </c>
      <c r="D3418" s="19">
        <v>7.76</v>
      </c>
      <c r="F3418" s="3" t="str">
        <f t="shared" si="53"/>
        <v>C4717</v>
      </c>
    </row>
    <row r="3419" spans="1:6" x14ac:dyDescent="0.2">
      <c r="A3419" s="17">
        <v>0</v>
      </c>
      <c r="B3419" s="18"/>
      <c r="C3419" s="17">
        <v>0</v>
      </c>
      <c r="D3419" s="19">
        <v>0</v>
      </c>
      <c r="F3419" s="3">
        <f t="shared" si="53"/>
        <v>0</v>
      </c>
    </row>
    <row r="3420" spans="1:6" ht="22.5" x14ac:dyDescent="0.2">
      <c r="A3420" s="17" t="s">
        <v>11734</v>
      </c>
      <c r="B3420" s="18" t="s">
        <v>11735</v>
      </c>
      <c r="C3420" s="17" t="s">
        <v>26</v>
      </c>
      <c r="D3420" s="19">
        <v>23.67</v>
      </c>
      <c r="F3420" s="3" t="str">
        <f t="shared" si="53"/>
        <v>C4605</v>
      </c>
    </row>
    <row r="3421" spans="1:6" x14ac:dyDescent="0.2">
      <c r="A3421" s="17">
        <v>0</v>
      </c>
      <c r="B3421" s="18"/>
      <c r="C3421" s="17">
        <v>0</v>
      </c>
      <c r="D3421" s="19">
        <v>0</v>
      </c>
      <c r="F3421" s="3">
        <f t="shared" si="53"/>
        <v>0</v>
      </c>
    </row>
    <row r="3422" spans="1:6" ht="22.5" x14ac:dyDescent="0.2">
      <c r="A3422" s="17" t="s">
        <v>11736</v>
      </c>
      <c r="B3422" s="18" t="s">
        <v>11737</v>
      </c>
      <c r="C3422" s="17" t="s">
        <v>26</v>
      </c>
      <c r="D3422" s="19">
        <v>66.099999999999994</v>
      </c>
      <c r="F3422" s="3" t="str">
        <f t="shared" si="53"/>
        <v>C4606</v>
      </c>
    </row>
    <row r="3423" spans="1:6" x14ac:dyDescent="0.2">
      <c r="A3423" s="17">
        <v>0</v>
      </c>
      <c r="B3423" s="18"/>
      <c r="C3423" s="17">
        <v>0</v>
      </c>
      <c r="D3423" s="19">
        <v>0</v>
      </c>
      <c r="F3423" s="3">
        <f t="shared" si="53"/>
        <v>0</v>
      </c>
    </row>
    <row r="3424" spans="1:6" ht="22.5" x14ac:dyDescent="0.2">
      <c r="A3424" s="17" t="s">
        <v>11738</v>
      </c>
      <c r="B3424" s="18" t="s">
        <v>11739</v>
      </c>
      <c r="C3424" s="17" t="s">
        <v>26</v>
      </c>
      <c r="D3424" s="19">
        <v>74.150000000000006</v>
      </c>
      <c r="F3424" s="3" t="str">
        <f t="shared" si="53"/>
        <v>C4607</v>
      </c>
    </row>
    <row r="3425" spans="1:6" x14ac:dyDescent="0.2">
      <c r="A3425" s="17">
        <v>0</v>
      </c>
      <c r="B3425" s="18"/>
      <c r="C3425" s="17">
        <v>0</v>
      </c>
      <c r="D3425" s="19">
        <v>0</v>
      </c>
      <c r="F3425" s="3">
        <f t="shared" si="53"/>
        <v>0</v>
      </c>
    </row>
    <row r="3426" spans="1:6" ht="22.5" x14ac:dyDescent="0.2">
      <c r="A3426" s="17" t="s">
        <v>11740</v>
      </c>
      <c r="B3426" s="18" t="s">
        <v>11741</v>
      </c>
      <c r="C3426" s="17" t="s">
        <v>26</v>
      </c>
      <c r="D3426" s="19">
        <v>146.55000000000001</v>
      </c>
      <c r="F3426" s="3" t="str">
        <f t="shared" si="53"/>
        <v>C4608</v>
      </c>
    </row>
    <row r="3427" spans="1:6" x14ac:dyDescent="0.2">
      <c r="A3427" s="17">
        <v>0</v>
      </c>
      <c r="B3427" s="18"/>
      <c r="C3427" s="17">
        <v>0</v>
      </c>
      <c r="D3427" s="19">
        <v>0</v>
      </c>
      <c r="F3427" s="3">
        <f t="shared" si="53"/>
        <v>0</v>
      </c>
    </row>
    <row r="3428" spans="1:6" x14ac:dyDescent="0.2">
      <c r="A3428" s="17" t="s">
        <v>11742</v>
      </c>
      <c r="B3428" s="18" t="s">
        <v>11743</v>
      </c>
      <c r="C3428" s="17" t="s">
        <v>26</v>
      </c>
      <c r="D3428" s="19">
        <v>51.83</v>
      </c>
      <c r="F3428" s="3" t="str">
        <f t="shared" si="53"/>
        <v>C4720</v>
      </c>
    </row>
    <row r="3429" spans="1:6" x14ac:dyDescent="0.2">
      <c r="A3429" s="17">
        <v>0</v>
      </c>
      <c r="B3429" s="18"/>
      <c r="C3429" s="17">
        <v>0</v>
      </c>
      <c r="D3429" s="19">
        <v>0</v>
      </c>
      <c r="F3429" s="3">
        <f t="shared" si="53"/>
        <v>0</v>
      </c>
    </row>
    <row r="3430" spans="1:6" x14ac:dyDescent="0.2">
      <c r="A3430" s="17" t="s">
        <v>11744</v>
      </c>
      <c r="B3430" s="18" t="s">
        <v>11745</v>
      </c>
      <c r="C3430" s="17" t="s">
        <v>26</v>
      </c>
      <c r="D3430" s="19">
        <v>16.34</v>
      </c>
      <c r="F3430" s="3" t="str">
        <f t="shared" si="53"/>
        <v>C2979</v>
      </c>
    </row>
    <row r="3431" spans="1:6" x14ac:dyDescent="0.2">
      <c r="A3431" s="17" t="s">
        <v>11746</v>
      </c>
      <c r="B3431" s="18" t="s">
        <v>11747</v>
      </c>
      <c r="C3431" s="17" t="s">
        <v>26</v>
      </c>
      <c r="D3431" s="19">
        <v>10.93</v>
      </c>
      <c r="F3431" s="3" t="str">
        <f t="shared" si="53"/>
        <v>C2986</v>
      </c>
    </row>
    <row r="3432" spans="1:6" x14ac:dyDescent="0.2">
      <c r="A3432" s="17" t="s">
        <v>11748</v>
      </c>
      <c r="B3432" s="18" t="s">
        <v>11749</v>
      </c>
      <c r="C3432" s="17" t="s">
        <v>26</v>
      </c>
      <c r="D3432" s="19">
        <v>25.78</v>
      </c>
      <c r="F3432" s="3" t="str">
        <f t="shared" si="53"/>
        <v>C4616</v>
      </c>
    </row>
    <row r="3433" spans="1:6" x14ac:dyDescent="0.2">
      <c r="A3433" s="14" t="s">
        <v>11750</v>
      </c>
      <c r="B3433" s="15"/>
      <c r="C3433" s="14">
        <v>0</v>
      </c>
      <c r="D3433" s="16">
        <v>3303.41</v>
      </c>
      <c r="F3433" s="3" t="str">
        <f t="shared" si="53"/>
        <v>RETIRADA DE VAZAMENTO EM REDE E LIGAÇÃO D'ÁGUA/OUTROS</v>
      </c>
    </row>
    <row r="3434" spans="1:6" x14ac:dyDescent="0.2">
      <c r="A3434" s="17" t="s">
        <v>11751</v>
      </c>
      <c r="B3434" s="18" t="s">
        <v>11752</v>
      </c>
      <c r="C3434" s="17" t="s">
        <v>26</v>
      </c>
      <c r="D3434" s="19">
        <v>72.099999999999994</v>
      </c>
      <c r="F3434" s="3" t="str">
        <f t="shared" si="53"/>
        <v>C0810</v>
      </c>
    </row>
    <row r="3435" spans="1:6" x14ac:dyDescent="0.2">
      <c r="A3435" s="17" t="s">
        <v>11753</v>
      </c>
      <c r="B3435" s="18" t="s">
        <v>11754</v>
      </c>
      <c r="C3435" s="17" t="s">
        <v>26</v>
      </c>
      <c r="D3435" s="19">
        <v>100.94</v>
      </c>
      <c r="F3435" s="3" t="str">
        <f t="shared" si="53"/>
        <v>C0811</v>
      </c>
    </row>
    <row r="3436" spans="1:6" x14ac:dyDescent="0.2">
      <c r="A3436" s="17" t="s">
        <v>11755</v>
      </c>
      <c r="B3436" s="18" t="s">
        <v>11756</v>
      </c>
      <c r="C3436" s="17" t="s">
        <v>26</v>
      </c>
      <c r="D3436" s="19">
        <v>129.78</v>
      </c>
      <c r="F3436" s="3" t="str">
        <f t="shared" si="53"/>
        <v>C0812</v>
      </c>
    </row>
    <row r="3437" spans="1:6" x14ac:dyDescent="0.2">
      <c r="A3437" s="17" t="s">
        <v>11757</v>
      </c>
      <c r="B3437" s="18" t="s">
        <v>11758</v>
      </c>
      <c r="C3437" s="17" t="s">
        <v>0</v>
      </c>
      <c r="D3437" s="19">
        <v>7.15</v>
      </c>
      <c r="F3437" s="3" t="str">
        <f t="shared" si="53"/>
        <v>C2719</v>
      </c>
    </row>
    <row r="3438" spans="1:6" x14ac:dyDescent="0.2">
      <c r="A3438" s="17" t="s">
        <v>11759</v>
      </c>
      <c r="B3438" s="18" t="s">
        <v>11760</v>
      </c>
      <c r="C3438" s="17" t="s">
        <v>26</v>
      </c>
      <c r="D3438" s="19">
        <v>50.42</v>
      </c>
      <c r="F3438" s="3" t="str">
        <f t="shared" si="53"/>
        <v>C2715</v>
      </c>
    </row>
    <row r="3439" spans="1:6" x14ac:dyDescent="0.2">
      <c r="A3439" s="17" t="s">
        <v>11761</v>
      </c>
      <c r="B3439" s="18" t="s">
        <v>11762</v>
      </c>
      <c r="C3439" s="17" t="s">
        <v>26</v>
      </c>
      <c r="D3439" s="19">
        <v>24.5</v>
      </c>
      <c r="F3439" s="3" t="str">
        <f t="shared" si="53"/>
        <v>C2738</v>
      </c>
    </row>
    <row r="3440" spans="1:6" x14ac:dyDescent="0.2">
      <c r="A3440" s="17" t="s">
        <v>11763</v>
      </c>
      <c r="B3440" s="18" t="s">
        <v>11764</v>
      </c>
      <c r="C3440" s="17" t="s">
        <v>26</v>
      </c>
      <c r="D3440" s="19">
        <v>27.45</v>
      </c>
      <c r="F3440" s="3" t="str">
        <f t="shared" si="53"/>
        <v>C2739</v>
      </c>
    </row>
    <row r="3441" spans="1:6" x14ac:dyDescent="0.2">
      <c r="A3441" s="17">
        <v>0</v>
      </c>
      <c r="B3441" s="18"/>
      <c r="C3441" s="17">
        <v>0</v>
      </c>
      <c r="D3441" s="19">
        <v>0</v>
      </c>
      <c r="F3441" s="3">
        <f t="shared" si="53"/>
        <v>0</v>
      </c>
    </row>
    <row r="3442" spans="1:6" ht="22.5" x14ac:dyDescent="0.2">
      <c r="A3442" s="17" t="s">
        <v>11765</v>
      </c>
      <c r="B3442" s="18" t="s">
        <v>11766</v>
      </c>
      <c r="C3442" s="17" t="s">
        <v>26</v>
      </c>
      <c r="D3442" s="19">
        <v>40.840000000000003</v>
      </c>
      <c r="F3442" s="3" t="str">
        <f t="shared" si="53"/>
        <v>C2740</v>
      </c>
    </row>
    <row r="3443" spans="1:6" x14ac:dyDescent="0.2">
      <c r="A3443" s="17">
        <v>0</v>
      </c>
      <c r="B3443" s="18"/>
      <c r="C3443" s="17">
        <v>0</v>
      </c>
      <c r="D3443" s="19">
        <v>0</v>
      </c>
      <c r="F3443" s="3">
        <f t="shared" si="53"/>
        <v>0</v>
      </c>
    </row>
    <row r="3444" spans="1:6" x14ac:dyDescent="0.2">
      <c r="A3444" s="17" t="s">
        <v>11767</v>
      </c>
      <c r="B3444" s="18" t="s">
        <v>11768</v>
      </c>
      <c r="C3444" s="17" t="s">
        <v>26</v>
      </c>
      <c r="D3444" s="19">
        <v>24.5</v>
      </c>
      <c r="F3444" s="3" t="str">
        <f t="shared" si="53"/>
        <v>C2741</v>
      </c>
    </row>
    <row r="3445" spans="1:6" x14ac:dyDescent="0.2">
      <c r="A3445" s="17" t="s">
        <v>11769</v>
      </c>
      <c r="B3445" s="18" t="s">
        <v>11770</v>
      </c>
      <c r="C3445" s="17" t="s">
        <v>26</v>
      </c>
      <c r="D3445" s="19">
        <v>143.01</v>
      </c>
      <c r="F3445" s="3" t="str">
        <f t="shared" si="53"/>
        <v>C2742</v>
      </c>
    </row>
    <row r="3446" spans="1:6" x14ac:dyDescent="0.2">
      <c r="A3446" s="17">
        <v>0</v>
      </c>
      <c r="B3446" s="18"/>
      <c r="C3446" s="17">
        <v>0</v>
      </c>
      <c r="D3446" s="19">
        <v>0</v>
      </c>
      <c r="F3446" s="3">
        <f t="shared" si="53"/>
        <v>0</v>
      </c>
    </row>
    <row r="3447" spans="1:6" x14ac:dyDescent="0.2">
      <c r="A3447" s="17" t="s">
        <v>11771</v>
      </c>
      <c r="B3447" s="18" t="s">
        <v>11772</v>
      </c>
      <c r="C3447" s="17" t="s">
        <v>26</v>
      </c>
      <c r="D3447" s="19">
        <v>121.72</v>
      </c>
      <c r="F3447" s="3" t="str">
        <f t="shared" si="53"/>
        <v>C2743</v>
      </c>
    </row>
    <row r="3448" spans="1:6" x14ac:dyDescent="0.2">
      <c r="A3448" s="17">
        <v>0</v>
      </c>
      <c r="B3448" s="18"/>
      <c r="C3448" s="17">
        <v>0</v>
      </c>
      <c r="D3448" s="19">
        <v>0</v>
      </c>
      <c r="F3448" s="3">
        <f t="shared" si="53"/>
        <v>0</v>
      </c>
    </row>
    <row r="3449" spans="1:6" x14ac:dyDescent="0.2">
      <c r="A3449" s="17" t="s">
        <v>11773</v>
      </c>
      <c r="B3449" s="18" t="s">
        <v>11774</v>
      </c>
      <c r="C3449" s="17" t="s">
        <v>26</v>
      </c>
      <c r="D3449" s="19">
        <v>100.43</v>
      </c>
      <c r="F3449" s="3" t="str">
        <f t="shared" si="53"/>
        <v>C2744</v>
      </c>
    </row>
    <row r="3450" spans="1:6" x14ac:dyDescent="0.2">
      <c r="A3450" s="17" t="s">
        <v>11775</v>
      </c>
      <c r="B3450" s="18" t="s">
        <v>11776</v>
      </c>
      <c r="C3450" s="17" t="s">
        <v>26</v>
      </c>
      <c r="D3450" s="19">
        <v>262.20999999999998</v>
      </c>
      <c r="F3450" s="3" t="str">
        <f t="shared" si="53"/>
        <v>C2745</v>
      </c>
    </row>
    <row r="3451" spans="1:6" x14ac:dyDescent="0.2">
      <c r="A3451" s="17">
        <v>0</v>
      </c>
      <c r="B3451" s="18"/>
      <c r="C3451" s="17">
        <v>0</v>
      </c>
      <c r="D3451" s="19">
        <v>0</v>
      </c>
      <c r="F3451" s="3">
        <f t="shared" si="53"/>
        <v>0</v>
      </c>
    </row>
    <row r="3452" spans="1:6" ht="22.5" x14ac:dyDescent="0.2">
      <c r="A3452" s="17" t="s">
        <v>11777</v>
      </c>
      <c r="B3452" s="18" t="s">
        <v>11778</v>
      </c>
      <c r="C3452" s="17" t="s">
        <v>26</v>
      </c>
      <c r="D3452" s="19">
        <v>240.92</v>
      </c>
      <c r="F3452" s="3" t="str">
        <f t="shared" si="53"/>
        <v>C2746</v>
      </c>
    </row>
    <row r="3453" spans="1:6" x14ac:dyDescent="0.2">
      <c r="A3453" s="17">
        <v>0</v>
      </c>
      <c r="B3453" s="18"/>
      <c r="C3453" s="17">
        <v>0</v>
      </c>
      <c r="D3453" s="19">
        <v>0</v>
      </c>
      <c r="F3453" s="3">
        <f t="shared" si="53"/>
        <v>0</v>
      </c>
    </row>
    <row r="3454" spans="1:6" x14ac:dyDescent="0.2">
      <c r="A3454" s="17" t="s">
        <v>11779</v>
      </c>
      <c r="B3454" s="18" t="s">
        <v>11780</v>
      </c>
      <c r="C3454" s="17" t="s">
        <v>26</v>
      </c>
      <c r="D3454" s="19">
        <v>219.63</v>
      </c>
      <c r="F3454" s="3" t="str">
        <f t="shared" si="53"/>
        <v>C2747</v>
      </c>
    </row>
    <row r="3455" spans="1:6" x14ac:dyDescent="0.2">
      <c r="A3455" s="17" t="s">
        <v>11781</v>
      </c>
      <c r="B3455" s="18" t="s">
        <v>11782</v>
      </c>
      <c r="C3455" s="17" t="s">
        <v>26</v>
      </c>
      <c r="D3455" s="19">
        <v>334.07</v>
      </c>
      <c r="F3455" s="3" t="str">
        <f t="shared" si="53"/>
        <v>C2748</v>
      </c>
    </row>
    <row r="3456" spans="1:6" x14ac:dyDescent="0.2">
      <c r="A3456" s="17">
        <v>0</v>
      </c>
      <c r="B3456" s="18"/>
      <c r="C3456" s="17">
        <v>0</v>
      </c>
      <c r="D3456" s="19">
        <v>0</v>
      </c>
      <c r="F3456" s="3">
        <f t="shared" si="53"/>
        <v>0</v>
      </c>
    </row>
    <row r="3457" spans="1:6" x14ac:dyDescent="0.2">
      <c r="A3457" s="17" t="s">
        <v>11783</v>
      </c>
      <c r="B3457" s="18" t="s">
        <v>11784</v>
      </c>
      <c r="C3457" s="17" t="s">
        <v>26</v>
      </c>
      <c r="D3457" s="19">
        <v>322.33</v>
      </c>
      <c r="F3457" s="3" t="str">
        <f t="shared" si="53"/>
        <v>C2749</v>
      </c>
    </row>
    <row r="3458" spans="1:6" x14ac:dyDescent="0.2">
      <c r="A3458" s="17">
        <v>0</v>
      </c>
      <c r="B3458" s="18"/>
      <c r="C3458" s="17">
        <v>0</v>
      </c>
      <c r="D3458" s="19">
        <v>0</v>
      </c>
      <c r="F3458" s="3">
        <f t="shared" ref="F3458:F3521" si="54">A3458</f>
        <v>0</v>
      </c>
    </row>
    <row r="3459" spans="1:6" x14ac:dyDescent="0.2">
      <c r="A3459" s="17" t="s">
        <v>11785</v>
      </c>
      <c r="B3459" s="18" t="s">
        <v>11786</v>
      </c>
      <c r="C3459" s="17" t="s">
        <v>26</v>
      </c>
      <c r="D3459" s="19">
        <v>301.04000000000002</v>
      </c>
      <c r="F3459" s="3" t="str">
        <f t="shared" si="54"/>
        <v>C2750</v>
      </c>
    </row>
    <row r="3460" spans="1:6" x14ac:dyDescent="0.2">
      <c r="A3460" s="17" t="s">
        <v>11787</v>
      </c>
      <c r="B3460" s="18" t="s">
        <v>11788</v>
      </c>
      <c r="C3460" s="17" t="s">
        <v>26</v>
      </c>
      <c r="D3460" s="19">
        <v>118.69</v>
      </c>
      <c r="F3460" s="3" t="str">
        <f t="shared" si="54"/>
        <v>C2751</v>
      </c>
    </row>
    <row r="3461" spans="1:6" x14ac:dyDescent="0.2">
      <c r="A3461" s="17">
        <v>0</v>
      </c>
      <c r="B3461" s="18"/>
      <c r="C3461" s="17">
        <v>0</v>
      </c>
      <c r="D3461" s="19">
        <v>0</v>
      </c>
      <c r="F3461" s="3">
        <f t="shared" si="54"/>
        <v>0</v>
      </c>
    </row>
    <row r="3462" spans="1:6" x14ac:dyDescent="0.2">
      <c r="A3462" s="17" t="s">
        <v>11789</v>
      </c>
      <c r="B3462" s="18" t="s">
        <v>11790</v>
      </c>
      <c r="C3462" s="17" t="s">
        <v>26</v>
      </c>
      <c r="D3462" s="19">
        <v>97.4</v>
      </c>
      <c r="F3462" s="3" t="str">
        <f t="shared" si="54"/>
        <v>C2752</v>
      </c>
    </row>
    <row r="3463" spans="1:6" x14ac:dyDescent="0.2">
      <c r="A3463" s="17">
        <v>0</v>
      </c>
      <c r="B3463" s="18"/>
      <c r="C3463" s="17">
        <v>0</v>
      </c>
      <c r="D3463" s="19">
        <v>0</v>
      </c>
      <c r="F3463" s="3">
        <f t="shared" si="54"/>
        <v>0</v>
      </c>
    </row>
    <row r="3464" spans="1:6" x14ac:dyDescent="0.2">
      <c r="A3464" s="17" t="s">
        <v>11791</v>
      </c>
      <c r="B3464" s="18" t="s">
        <v>11792</v>
      </c>
      <c r="C3464" s="17" t="s">
        <v>26</v>
      </c>
      <c r="D3464" s="19">
        <v>75.47</v>
      </c>
      <c r="F3464" s="3" t="str">
        <f t="shared" si="54"/>
        <v>C2753</v>
      </c>
    </row>
    <row r="3465" spans="1:6" x14ac:dyDescent="0.2">
      <c r="A3465" s="17" t="s">
        <v>11793</v>
      </c>
      <c r="B3465" s="18" t="s">
        <v>11794</v>
      </c>
      <c r="C3465" s="17" t="s">
        <v>26</v>
      </c>
      <c r="D3465" s="19">
        <v>179.37</v>
      </c>
      <c r="F3465" s="3" t="str">
        <f t="shared" si="54"/>
        <v>C2754</v>
      </c>
    </row>
    <row r="3466" spans="1:6" ht="22.5" x14ac:dyDescent="0.2">
      <c r="A3466" s="17" t="s">
        <v>11795</v>
      </c>
      <c r="B3466" s="18" t="s">
        <v>11796</v>
      </c>
      <c r="C3466" s="17" t="s">
        <v>26</v>
      </c>
      <c r="D3466" s="19">
        <v>157.47</v>
      </c>
      <c r="F3466" s="3" t="str">
        <f t="shared" si="54"/>
        <v>C2755</v>
      </c>
    </row>
    <row r="3467" spans="1:6" x14ac:dyDescent="0.2">
      <c r="A3467" s="17">
        <v>0</v>
      </c>
      <c r="B3467" s="18"/>
      <c r="C3467" s="17">
        <v>0</v>
      </c>
      <c r="D3467" s="19">
        <v>0</v>
      </c>
      <c r="F3467" s="3">
        <f t="shared" si="54"/>
        <v>0</v>
      </c>
    </row>
    <row r="3468" spans="1:6" x14ac:dyDescent="0.2">
      <c r="A3468" s="17" t="s">
        <v>11797</v>
      </c>
      <c r="B3468" s="18" t="s">
        <v>11798</v>
      </c>
      <c r="C3468" s="17" t="s">
        <v>26</v>
      </c>
      <c r="D3468" s="19">
        <v>136.79</v>
      </c>
      <c r="F3468" s="3" t="str">
        <f t="shared" si="54"/>
        <v>C2756</v>
      </c>
    </row>
    <row r="3469" spans="1:6" x14ac:dyDescent="0.2">
      <c r="A3469" s="17">
        <v>0</v>
      </c>
      <c r="B3469" s="18"/>
      <c r="C3469" s="17">
        <v>0</v>
      </c>
      <c r="D3469" s="19">
        <v>0</v>
      </c>
      <c r="F3469" s="3">
        <f t="shared" si="54"/>
        <v>0</v>
      </c>
    </row>
    <row r="3470" spans="1:6" x14ac:dyDescent="0.2">
      <c r="A3470" s="17" t="s">
        <v>11799</v>
      </c>
      <c r="B3470" s="18" t="s">
        <v>11800</v>
      </c>
      <c r="C3470" s="17" t="s">
        <v>26</v>
      </c>
      <c r="D3470" s="19">
        <v>15.18</v>
      </c>
      <c r="F3470" s="3" t="str">
        <f t="shared" si="54"/>
        <v>C2890</v>
      </c>
    </row>
    <row r="3471" spans="1:6" x14ac:dyDescent="0.2">
      <c r="A3471" s="14" t="s">
        <v>11801</v>
      </c>
      <c r="B3471" s="15"/>
      <c r="C3471" s="14">
        <v>0</v>
      </c>
      <c r="D3471" s="16">
        <v>12986.59</v>
      </c>
      <c r="F3471" s="3" t="str">
        <f t="shared" si="54"/>
        <v>INJETAMENTO EM TUBULAÇÃO</v>
      </c>
    </row>
    <row r="3472" spans="1:6" x14ac:dyDescent="0.2">
      <c r="A3472" s="17" t="s">
        <v>11802</v>
      </c>
      <c r="B3472" s="18" t="s">
        <v>11803</v>
      </c>
      <c r="C3472" s="17" t="s">
        <v>26</v>
      </c>
      <c r="D3472" s="19">
        <v>241.51</v>
      </c>
      <c r="F3472" s="3" t="str">
        <f t="shared" si="54"/>
        <v>C2762</v>
      </c>
    </row>
    <row r="3473" spans="1:6" x14ac:dyDescent="0.2">
      <c r="A3473" s="17" t="s">
        <v>11804</v>
      </c>
      <c r="B3473" s="18" t="s">
        <v>11805</v>
      </c>
      <c r="C3473" s="17" t="s">
        <v>26</v>
      </c>
      <c r="D3473" s="19">
        <v>351.51</v>
      </c>
      <c r="F3473" s="3" t="str">
        <f t="shared" si="54"/>
        <v>C2761</v>
      </c>
    </row>
    <row r="3474" spans="1:6" x14ac:dyDescent="0.2">
      <c r="A3474" s="17" t="s">
        <v>11806</v>
      </c>
      <c r="B3474" s="18" t="s">
        <v>11807</v>
      </c>
      <c r="C3474" s="17" t="s">
        <v>26</v>
      </c>
      <c r="D3474" s="19">
        <v>784.63</v>
      </c>
      <c r="F3474" s="3" t="str">
        <f t="shared" si="54"/>
        <v>C2760</v>
      </c>
    </row>
    <row r="3475" spans="1:6" x14ac:dyDescent="0.2">
      <c r="A3475" s="17" t="s">
        <v>11808</v>
      </c>
      <c r="B3475" s="18" t="s">
        <v>11809</v>
      </c>
      <c r="C3475" s="17" t="s">
        <v>26</v>
      </c>
      <c r="D3475" s="19">
        <v>429.86</v>
      </c>
      <c r="F3475" s="3" t="str">
        <f t="shared" si="54"/>
        <v>C2757</v>
      </c>
    </row>
    <row r="3476" spans="1:6" x14ac:dyDescent="0.2">
      <c r="A3476" s="17" t="s">
        <v>11810</v>
      </c>
      <c r="B3476" s="18" t="s">
        <v>11811</v>
      </c>
      <c r="C3476" s="17" t="s">
        <v>26</v>
      </c>
      <c r="D3476" s="19">
        <v>1217.92</v>
      </c>
      <c r="F3476" s="3" t="str">
        <f t="shared" si="54"/>
        <v>C2758</v>
      </c>
    </row>
    <row r="3477" spans="1:6" x14ac:dyDescent="0.2">
      <c r="A3477" s="17" t="s">
        <v>11812</v>
      </c>
      <c r="B3477" s="18" t="s">
        <v>11813</v>
      </c>
      <c r="C3477" s="17" t="s">
        <v>26</v>
      </c>
      <c r="D3477" s="19">
        <v>2165.4699999999998</v>
      </c>
      <c r="F3477" s="3" t="str">
        <f t="shared" si="54"/>
        <v>C2759</v>
      </c>
    </row>
    <row r="3478" spans="1:6" x14ac:dyDescent="0.2">
      <c r="A3478" s="17" t="s">
        <v>11814</v>
      </c>
      <c r="B3478" s="18" t="s">
        <v>11815</v>
      </c>
      <c r="C3478" s="17" t="s">
        <v>26</v>
      </c>
      <c r="D3478" s="19">
        <v>3464.75</v>
      </c>
      <c r="F3478" s="3" t="str">
        <f t="shared" si="54"/>
        <v>C4596</v>
      </c>
    </row>
    <row r="3479" spans="1:6" x14ac:dyDescent="0.2">
      <c r="A3479" s="17" t="s">
        <v>11816</v>
      </c>
      <c r="B3479" s="18" t="s">
        <v>11817</v>
      </c>
      <c r="C3479" s="17" t="s">
        <v>26</v>
      </c>
      <c r="D3479" s="19">
        <v>4330.9399999999996</v>
      </c>
      <c r="F3479" s="3" t="str">
        <f t="shared" si="54"/>
        <v>C4597</v>
      </c>
    </row>
    <row r="3480" spans="1:6" x14ac:dyDescent="0.2">
      <c r="A3480" s="14" t="s">
        <v>11818</v>
      </c>
      <c r="B3480" s="15"/>
      <c r="C3480" s="14">
        <v>0</v>
      </c>
      <c r="D3480" s="16">
        <v>2901.78</v>
      </c>
      <c r="F3480" s="3" t="str">
        <f t="shared" si="54"/>
        <v>MANUTENÇÃO EM REDE DE ESGOTO</v>
      </c>
    </row>
    <row r="3481" spans="1:6" x14ac:dyDescent="0.2">
      <c r="A3481" s="17" t="s">
        <v>11819</v>
      </c>
      <c r="B3481" s="18" t="s">
        <v>11820</v>
      </c>
      <c r="C3481" s="17" t="s">
        <v>26</v>
      </c>
      <c r="D3481" s="19">
        <v>55.25</v>
      </c>
      <c r="F3481" s="3" t="str">
        <f t="shared" si="54"/>
        <v>C0231</v>
      </c>
    </row>
    <row r="3482" spans="1:6" x14ac:dyDescent="0.2">
      <c r="A3482" s="17" t="s">
        <v>11821</v>
      </c>
      <c r="B3482" s="18" t="s">
        <v>11822</v>
      </c>
      <c r="C3482" s="17" t="s">
        <v>26</v>
      </c>
      <c r="D3482" s="19">
        <v>40.61</v>
      </c>
      <c r="F3482" s="3" t="str">
        <f t="shared" si="54"/>
        <v>C0514</v>
      </c>
    </row>
    <row r="3483" spans="1:6" x14ac:dyDescent="0.2">
      <c r="A3483" s="17" t="s">
        <v>11823</v>
      </c>
      <c r="B3483" s="18" t="s">
        <v>11824</v>
      </c>
      <c r="C3483" s="17" t="s">
        <v>26</v>
      </c>
      <c r="D3483" s="19">
        <v>27.05</v>
      </c>
      <c r="F3483" s="3" t="str">
        <f t="shared" si="54"/>
        <v>C4074</v>
      </c>
    </row>
    <row r="3484" spans="1:6" x14ac:dyDescent="0.2">
      <c r="A3484" s="17" t="s">
        <v>11825</v>
      </c>
      <c r="B3484" s="18" t="s">
        <v>11826</v>
      </c>
      <c r="C3484" s="17" t="s">
        <v>26</v>
      </c>
      <c r="D3484" s="19">
        <v>77.08</v>
      </c>
      <c r="F3484" s="3" t="str">
        <f t="shared" si="54"/>
        <v>C0795</v>
      </c>
    </row>
    <row r="3485" spans="1:6" x14ac:dyDescent="0.2">
      <c r="A3485" s="17" t="s">
        <v>11827</v>
      </c>
      <c r="B3485" s="18" t="s">
        <v>11828</v>
      </c>
      <c r="C3485" s="17" t="s">
        <v>26</v>
      </c>
      <c r="D3485" s="19">
        <v>12.44</v>
      </c>
      <c r="F3485" s="3" t="str">
        <f t="shared" si="54"/>
        <v>C0813</v>
      </c>
    </row>
    <row r="3486" spans="1:6" x14ac:dyDescent="0.2">
      <c r="A3486" s="17" t="s">
        <v>11829</v>
      </c>
      <c r="B3486" s="18" t="s">
        <v>11830</v>
      </c>
      <c r="C3486" s="17" t="s">
        <v>26</v>
      </c>
      <c r="D3486" s="19">
        <v>174.06</v>
      </c>
      <c r="F3486" s="3" t="str">
        <f t="shared" si="54"/>
        <v>C0814</v>
      </c>
    </row>
    <row r="3487" spans="1:6" x14ac:dyDescent="0.2">
      <c r="A3487" s="17" t="s">
        <v>11831</v>
      </c>
      <c r="B3487" s="18" t="s">
        <v>11832</v>
      </c>
      <c r="C3487" s="17" t="s">
        <v>26</v>
      </c>
      <c r="D3487" s="19">
        <v>148.65</v>
      </c>
      <c r="F3487" s="3" t="str">
        <f t="shared" si="54"/>
        <v>C0815</v>
      </c>
    </row>
    <row r="3488" spans="1:6" x14ac:dyDescent="0.2">
      <c r="A3488" s="17" t="s">
        <v>11833</v>
      </c>
      <c r="B3488" s="18" t="s">
        <v>11834</v>
      </c>
      <c r="C3488" s="17" t="s">
        <v>26</v>
      </c>
      <c r="D3488" s="19">
        <v>184.22</v>
      </c>
      <c r="F3488" s="3" t="str">
        <f t="shared" si="54"/>
        <v>C0816</v>
      </c>
    </row>
    <row r="3489" spans="1:6" x14ac:dyDescent="0.2">
      <c r="A3489" s="17" t="s">
        <v>11835</v>
      </c>
      <c r="B3489" s="18" t="s">
        <v>11836</v>
      </c>
      <c r="C3489" s="17" t="s">
        <v>26</v>
      </c>
      <c r="D3489" s="19">
        <v>362.22</v>
      </c>
      <c r="F3489" s="3" t="str">
        <f t="shared" si="54"/>
        <v>C0817</v>
      </c>
    </row>
    <row r="3490" spans="1:6" x14ac:dyDescent="0.2">
      <c r="A3490" s="17" t="s">
        <v>11730</v>
      </c>
      <c r="B3490" s="18" t="s">
        <v>11731</v>
      </c>
      <c r="C3490" s="17" t="s">
        <v>26</v>
      </c>
      <c r="D3490" s="19">
        <v>80.819999999999993</v>
      </c>
      <c r="F3490" s="3" t="str">
        <f t="shared" si="54"/>
        <v>C2721</v>
      </c>
    </row>
    <row r="3491" spans="1:6" x14ac:dyDescent="0.2">
      <c r="A3491" s="17" t="s">
        <v>11837</v>
      </c>
      <c r="B3491" s="18" t="s">
        <v>11838</v>
      </c>
      <c r="C3491" s="17" t="s">
        <v>26</v>
      </c>
      <c r="D3491" s="19">
        <v>162.26</v>
      </c>
      <c r="F3491" s="3" t="str">
        <f t="shared" si="54"/>
        <v>C2720</v>
      </c>
    </row>
    <row r="3492" spans="1:6" x14ac:dyDescent="0.2">
      <c r="A3492" s="17" t="s">
        <v>11839</v>
      </c>
      <c r="B3492" s="18" t="s">
        <v>11840</v>
      </c>
      <c r="C3492" s="17" t="s">
        <v>0</v>
      </c>
      <c r="D3492" s="19">
        <v>2.2999999999999998</v>
      </c>
      <c r="F3492" s="3" t="str">
        <f t="shared" si="54"/>
        <v>C2988</v>
      </c>
    </row>
    <row r="3493" spans="1:6" x14ac:dyDescent="0.2">
      <c r="A3493" s="17" t="s">
        <v>11841</v>
      </c>
      <c r="B3493" s="18" t="s">
        <v>11842</v>
      </c>
      <c r="C3493" s="17" t="s">
        <v>26</v>
      </c>
      <c r="D3493" s="19">
        <v>40.72</v>
      </c>
      <c r="F3493" s="3" t="str">
        <f t="shared" si="54"/>
        <v>C2722</v>
      </c>
    </row>
    <row r="3494" spans="1:6" x14ac:dyDescent="0.2">
      <c r="A3494" s="17" t="s">
        <v>11843</v>
      </c>
      <c r="B3494" s="18" t="s">
        <v>11844</v>
      </c>
      <c r="C3494" s="17" t="s">
        <v>26</v>
      </c>
      <c r="D3494" s="19">
        <v>40.72</v>
      </c>
      <c r="F3494" s="3" t="str">
        <f t="shared" si="54"/>
        <v>C2723</v>
      </c>
    </row>
    <row r="3495" spans="1:6" x14ac:dyDescent="0.2">
      <c r="A3495" s="17" t="s">
        <v>11845</v>
      </c>
      <c r="B3495" s="18" t="s">
        <v>11846</v>
      </c>
      <c r="C3495" s="17" t="s">
        <v>26</v>
      </c>
      <c r="D3495" s="19">
        <v>23.12</v>
      </c>
      <c r="F3495" s="3" t="str">
        <f t="shared" si="54"/>
        <v>C2725</v>
      </c>
    </row>
    <row r="3496" spans="1:6" x14ac:dyDescent="0.2">
      <c r="A3496" s="17" t="s">
        <v>11847</v>
      </c>
      <c r="B3496" s="18" t="s">
        <v>11848</v>
      </c>
      <c r="C3496" s="17" t="s">
        <v>26</v>
      </c>
      <c r="D3496" s="19">
        <v>23.12</v>
      </c>
      <c r="F3496" s="3" t="str">
        <f t="shared" si="54"/>
        <v>C2724</v>
      </c>
    </row>
    <row r="3497" spans="1:6" x14ac:dyDescent="0.2">
      <c r="A3497" s="17" t="s">
        <v>11849</v>
      </c>
      <c r="B3497" s="18" t="s">
        <v>11850</v>
      </c>
      <c r="C3497" s="17" t="s">
        <v>26</v>
      </c>
      <c r="D3497" s="19">
        <v>103.66</v>
      </c>
      <c r="F3497" s="3" t="str">
        <f t="shared" si="54"/>
        <v>C2817</v>
      </c>
    </row>
    <row r="3498" spans="1:6" x14ac:dyDescent="0.2">
      <c r="A3498" s="17" t="s">
        <v>11851</v>
      </c>
      <c r="B3498" s="18" t="s">
        <v>11852</v>
      </c>
      <c r="C3498" s="17" t="s">
        <v>26</v>
      </c>
      <c r="D3498" s="19">
        <v>38.36</v>
      </c>
      <c r="F3498" s="3" t="str">
        <f t="shared" si="54"/>
        <v>C4212</v>
      </c>
    </row>
    <row r="3499" spans="1:6" x14ac:dyDescent="0.2">
      <c r="A3499" s="17" t="s">
        <v>11853</v>
      </c>
      <c r="B3499" s="18" t="s">
        <v>11854</v>
      </c>
      <c r="C3499" s="17" t="s">
        <v>26</v>
      </c>
      <c r="D3499" s="19">
        <v>34.380000000000003</v>
      </c>
      <c r="F3499" s="3" t="str">
        <f t="shared" si="54"/>
        <v>C2866</v>
      </c>
    </row>
    <row r="3500" spans="1:6" x14ac:dyDescent="0.2">
      <c r="A3500" s="17" t="s">
        <v>11855</v>
      </c>
      <c r="B3500" s="18" t="s">
        <v>11856</v>
      </c>
      <c r="C3500" s="17" t="s">
        <v>26</v>
      </c>
      <c r="D3500" s="19">
        <v>44.6</v>
      </c>
      <c r="F3500" s="3" t="str">
        <f t="shared" si="54"/>
        <v>C2871</v>
      </c>
    </row>
    <row r="3501" spans="1:6" x14ac:dyDescent="0.2">
      <c r="A3501" s="17" t="s">
        <v>11857</v>
      </c>
      <c r="B3501" s="18" t="s">
        <v>11858</v>
      </c>
      <c r="C3501" s="17" t="s">
        <v>26</v>
      </c>
      <c r="D3501" s="19">
        <v>74.33</v>
      </c>
      <c r="F3501" s="3" t="str">
        <f t="shared" si="54"/>
        <v>C2867</v>
      </c>
    </row>
    <row r="3502" spans="1:6" x14ac:dyDescent="0.2">
      <c r="A3502" s="17" t="s">
        <v>11859</v>
      </c>
      <c r="B3502" s="18" t="s">
        <v>11860</v>
      </c>
      <c r="C3502" s="17" t="s">
        <v>26</v>
      </c>
      <c r="D3502" s="19">
        <v>105.56</v>
      </c>
      <c r="F3502" s="3" t="str">
        <f t="shared" si="54"/>
        <v>C2868</v>
      </c>
    </row>
    <row r="3503" spans="1:6" x14ac:dyDescent="0.2">
      <c r="A3503" s="17" t="s">
        <v>11861</v>
      </c>
      <c r="B3503" s="18" t="s">
        <v>11862</v>
      </c>
      <c r="C3503" s="17" t="s">
        <v>26</v>
      </c>
      <c r="D3503" s="19">
        <v>158.46</v>
      </c>
      <c r="F3503" s="3" t="str">
        <f t="shared" si="54"/>
        <v>C2869</v>
      </c>
    </row>
    <row r="3504" spans="1:6" x14ac:dyDescent="0.2">
      <c r="A3504" s="17" t="s">
        <v>11863</v>
      </c>
      <c r="B3504" s="18" t="s">
        <v>11864</v>
      </c>
      <c r="C3504" s="17" t="s">
        <v>26</v>
      </c>
      <c r="D3504" s="19">
        <v>211.36</v>
      </c>
      <c r="F3504" s="3" t="str">
        <f t="shared" si="54"/>
        <v>C2870</v>
      </c>
    </row>
    <row r="3505" spans="1:6" x14ac:dyDescent="0.2">
      <c r="A3505" s="17" t="s">
        <v>11865</v>
      </c>
      <c r="B3505" s="18" t="s">
        <v>11866</v>
      </c>
      <c r="C3505" s="17" t="s">
        <v>26</v>
      </c>
      <c r="D3505" s="19">
        <v>114.34</v>
      </c>
      <c r="F3505" s="3" t="str">
        <f t="shared" si="54"/>
        <v>C2888</v>
      </c>
    </row>
    <row r="3506" spans="1:6" x14ac:dyDescent="0.2">
      <c r="A3506" s="17" t="s">
        <v>11867</v>
      </c>
      <c r="B3506" s="18" t="s">
        <v>11868</v>
      </c>
      <c r="C3506" s="17" t="s">
        <v>26</v>
      </c>
      <c r="D3506" s="19">
        <v>224.99</v>
      </c>
      <c r="F3506" s="3" t="str">
        <f t="shared" si="54"/>
        <v>C2889</v>
      </c>
    </row>
    <row r="3507" spans="1:6" x14ac:dyDescent="0.2">
      <c r="A3507" s="17" t="s">
        <v>11869</v>
      </c>
      <c r="B3507" s="18" t="s">
        <v>11870</v>
      </c>
      <c r="C3507" s="17" t="s">
        <v>26</v>
      </c>
      <c r="D3507" s="19">
        <v>102.81</v>
      </c>
      <c r="F3507" s="3" t="str">
        <f t="shared" si="54"/>
        <v>C2934</v>
      </c>
    </row>
    <row r="3508" spans="1:6" x14ac:dyDescent="0.2">
      <c r="A3508" s="17" t="s">
        <v>11871</v>
      </c>
      <c r="B3508" s="18" t="s">
        <v>11872</v>
      </c>
      <c r="C3508" s="17" t="s">
        <v>26</v>
      </c>
      <c r="D3508" s="19">
        <v>129.55000000000001</v>
      </c>
      <c r="F3508" s="3" t="str">
        <f t="shared" si="54"/>
        <v>C2943</v>
      </c>
    </row>
    <row r="3509" spans="1:6" x14ac:dyDescent="0.2">
      <c r="A3509" s="17" t="s">
        <v>11873</v>
      </c>
      <c r="B3509" s="18" t="s">
        <v>11874</v>
      </c>
      <c r="C3509" s="17" t="s">
        <v>26</v>
      </c>
      <c r="D3509" s="19">
        <v>17.46</v>
      </c>
      <c r="F3509" s="3" t="str">
        <f t="shared" si="54"/>
        <v>C2951</v>
      </c>
    </row>
    <row r="3510" spans="1:6" x14ac:dyDescent="0.2">
      <c r="A3510" s="17" t="s">
        <v>11875</v>
      </c>
      <c r="B3510" s="18" t="s">
        <v>11876</v>
      </c>
      <c r="C3510" s="17" t="s">
        <v>26</v>
      </c>
      <c r="D3510" s="19">
        <v>87.28</v>
      </c>
      <c r="F3510" s="3" t="str">
        <f t="shared" si="54"/>
        <v>C2977</v>
      </c>
    </row>
    <row r="3511" spans="1:6" x14ac:dyDescent="0.2">
      <c r="A3511" s="14" t="s">
        <v>11877</v>
      </c>
      <c r="B3511" s="15"/>
      <c r="C3511" s="14">
        <v>0</v>
      </c>
      <c r="D3511" s="16">
        <v>95.05</v>
      </c>
      <c r="F3511" s="3" t="str">
        <f t="shared" si="54"/>
        <v>RECUPERAÇÃO DE TUBULAÇÃO</v>
      </c>
    </row>
    <row r="3512" spans="1:6" x14ac:dyDescent="0.2">
      <c r="A3512" s="17" t="s">
        <v>11878</v>
      </c>
      <c r="B3512" s="18" t="s">
        <v>11879</v>
      </c>
      <c r="C3512" s="17" t="s">
        <v>26</v>
      </c>
      <c r="D3512" s="19">
        <v>95.05</v>
      </c>
      <c r="F3512" s="3" t="str">
        <f t="shared" si="54"/>
        <v>C2935</v>
      </c>
    </row>
    <row r="3513" spans="1:6" x14ac:dyDescent="0.2">
      <c r="A3513" s="14" t="s">
        <v>11880</v>
      </c>
      <c r="B3513" s="15"/>
      <c r="C3513" s="14">
        <v>0</v>
      </c>
      <c r="D3513" s="16">
        <v>4943.01</v>
      </c>
      <c r="F3513" s="3" t="str">
        <f t="shared" si="54"/>
        <v>SERVIÇO COMERCIAL</v>
      </c>
    </row>
    <row r="3514" spans="1:6" x14ac:dyDescent="0.2">
      <c r="A3514" s="17" t="s">
        <v>11881</v>
      </c>
      <c r="B3514" s="18" t="s">
        <v>11882</v>
      </c>
      <c r="C3514" s="17" t="s">
        <v>26</v>
      </c>
      <c r="D3514" s="19">
        <v>192.09</v>
      </c>
      <c r="F3514" s="3" t="str">
        <f t="shared" si="54"/>
        <v>C4199</v>
      </c>
    </row>
    <row r="3515" spans="1:6" x14ac:dyDescent="0.2">
      <c r="A3515" s="17" t="s">
        <v>11883</v>
      </c>
      <c r="B3515" s="18" t="s">
        <v>11884</v>
      </c>
      <c r="C3515" s="17" t="s">
        <v>26</v>
      </c>
      <c r="D3515" s="19">
        <v>331.23</v>
      </c>
      <c r="F3515" s="3" t="str">
        <f t="shared" si="54"/>
        <v>C4200</v>
      </c>
    </row>
    <row r="3516" spans="1:6" x14ac:dyDescent="0.2">
      <c r="A3516" s="17" t="s">
        <v>11885</v>
      </c>
      <c r="B3516" s="18" t="s">
        <v>11886</v>
      </c>
      <c r="C3516" s="17" t="s">
        <v>11887</v>
      </c>
      <c r="D3516" s="19">
        <v>67.14</v>
      </c>
      <c r="F3516" s="3" t="str">
        <f t="shared" si="54"/>
        <v>C2766</v>
      </c>
    </row>
    <row r="3517" spans="1:6" x14ac:dyDescent="0.2">
      <c r="A3517" s="17" t="s">
        <v>11888</v>
      </c>
      <c r="B3517" s="18" t="s">
        <v>11889</v>
      </c>
      <c r="C3517" s="17" t="s">
        <v>26</v>
      </c>
      <c r="D3517" s="19">
        <v>1077.24</v>
      </c>
      <c r="F3517" s="3" t="str">
        <f t="shared" si="54"/>
        <v>C4207</v>
      </c>
    </row>
    <row r="3518" spans="1:6" x14ac:dyDescent="0.2">
      <c r="A3518" s="17" t="s">
        <v>11890</v>
      </c>
      <c r="B3518" s="18" t="s">
        <v>11891</v>
      </c>
      <c r="C3518" s="17" t="s">
        <v>26</v>
      </c>
      <c r="D3518" s="19">
        <v>1509.84</v>
      </c>
      <c r="F3518" s="3" t="str">
        <f t="shared" si="54"/>
        <v>C4206</v>
      </c>
    </row>
    <row r="3519" spans="1:6" x14ac:dyDescent="0.2">
      <c r="A3519" s="17">
        <v>0</v>
      </c>
      <c r="B3519" s="18"/>
      <c r="C3519" s="17">
        <v>0</v>
      </c>
      <c r="D3519" s="19">
        <v>0</v>
      </c>
      <c r="F3519" s="3">
        <f t="shared" si="54"/>
        <v>0</v>
      </c>
    </row>
    <row r="3520" spans="1:6" x14ac:dyDescent="0.2">
      <c r="A3520" s="17" t="s">
        <v>11892</v>
      </c>
      <c r="B3520" s="18" t="s">
        <v>11893</v>
      </c>
      <c r="C3520" s="17" t="s">
        <v>26</v>
      </c>
      <c r="D3520" s="19">
        <v>26.67</v>
      </c>
      <c r="F3520" s="3" t="str">
        <f t="shared" si="54"/>
        <v>C2859</v>
      </c>
    </row>
    <row r="3521" spans="1:6" x14ac:dyDescent="0.2">
      <c r="A3521" s="17" t="s">
        <v>11894</v>
      </c>
      <c r="B3521" s="18" t="s">
        <v>11895</v>
      </c>
      <c r="C3521" s="17" t="s">
        <v>26</v>
      </c>
      <c r="D3521" s="19">
        <v>1000.73</v>
      </c>
      <c r="F3521" s="3" t="str">
        <f t="shared" si="54"/>
        <v>C2880</v>
      </c>
    </row>
    <row r="3522" spans="1:6" x14ac:dyDescent="0.2">
      <c r="A3522" s="17" t="s">
        <v>11896</v>
      </c>
      <c r="B3522" s="18" t="s">
        <v>11897</v>
      </c>
      <c r="C3522" s="17" t="s">
        <v>26</v>
      </c>
      <c r="D3522" s="19">
        <v>420.12</v>
      </c>
      <c r="F3522" s="3" t="str">
        <f t="shared" ref="F3522:F3585" si="55">A3522</f>
        <v>C4213</v>
      </c>
    </row>
    <row r="3523" spans="1:6" x14ac:dyDescent="0.2">
      <c r="A3523" s="17">
        <v>0</v>
      </c>
      <c r="B3523" s="18"/>
      <c r="C3523" s="17">
        <v>0</v>
      </c>
      <c r="D3523" s="19">
        <v>0</v>
      </c>
      <c r="F3523" s="3">
        <f t="shared" si="55"/>
        <v>0</v>
      </c>
    </row>
    <row r="3524" spans="1:6" x14ac:dyDescent="0.2">
      <c r="A3524" s="17" t="s">
        <v>11898</v>
      </c>
      <c r="B3524" s="18" t="s">
        <v>11899</v>
      </c>
      <c r="C3524" s="17" t="s">
        <v>26</v>
      </c>
      <c r="D3524" s="19">
        <v>58.28</v>
      </c>
      <c r="F3524" s="3" t="str">
        <f t="shared" si="55"/>
        <v>C2961</v>
      </c>
    </row>
    <row r="3525" spans="1:6" x14ac:dyDescent="0.2">
      <c r="A3525" s="17" t="s">
        <v>11900</v>
      </c>
      <c r="B3525" s="18" t="s">
        <v>11901</v>
      </c>
      <c r="C3525" s="17" t="s">
        <v>26</v>
      </c>
      <c r="D3525" s="19">
        <v>78.2</v>
      </c>
      <c r="F3525" s="3" t="str">
        <f t="shared" si="55"/>
        <v>C2959</v>
      </c>
    </row>
    <row r="3526" spans="1:6" x14ac:dyDescent="0.2">
      <c r="A3526" s="17" t="s">
        <v>11902</v>
      </c>
      <c r="B3526" s="18" t="s">
        <v>11903</v>
      </c>
      <c r="C3526" s="17" t="s">
        <v>26</v>
      </c>
      <c r="D3526" s="19">
        <v>154.1</v>
      </c>
      <c r="F3526" s="3" t="str">
        <f t="shared" si="55"/>
        <v>C2960</v>
      </c>
    </row>
    <row r="3527" spans="1:6" x14ac:dyDescent="0.2">
      <c r="A3527" s="17" t="s">
        <v>11904</v>
      </c>
      <c r="B3527" s="18" t="s">
        <v>11905</v>
      </c>
      <c r="C3527" s="17" t="s">
        <v>26</v>
      </c>
      <c r="D3527" s="19">
        <v>27.38</v>
      </c>
      <c r="F3527" s="3" t="str">
        <f t="shared" si="55"/>
        <v>C2962</v>
      </c>
    </row>
    <row r="3528" spans="1:6" x14ac:dyDescent="0.2">
      <c r="A3528" s="14" t="s">
        <v>11906</v>
      </c>
      <c r="B3528" s="15"/>
      <c r="C3528" s="14">
        <v>0</v>
      </c>
      <c r="D3528" s="16">
        <v>7051079.0999999996</v>
      </c>
      <c r="F3528" s="3" t="str">
        <f t="shared" si="55"/>
        <v>INST. ELÉTRICAS, TELEFONIA, LÓGICA, SOM E SISTEMAS DE CONTROLE</v>
      </c>
    </row>
    <row r="3529" spans="1:6" x14ac:dyDescent="0.2">
      <c r="A3529" s="14" t="s">
        <v>11907</v>
      </c>
      <c r="B3529" s="15"/>
      <c r="C3529" s="14">
        <v>0</v>
      </c>
      <c r="D3529" s="16">
        <v>1332.16</v>
      </c>
      <c r="F3529" s="3" t="str">
        <f t="shared" si="55"/>
        <v>ELETRODUTOS DE PVC E CONEXÕES</v>
      </c>
    </row>
    <row r="3530" spans="1:6" x14ac:dyDescent="0.2">
      <c r="A3530" s="17" t="s">
        <v>11908</v>
      </c>
      <c r="B3530" s="18" t="s">
        <v>11909</v>
      </c>
      <c r="C3530" s="17" t="s">
        <v>26</v>
      </c>
      <c r="D3530" s="19">
        <v>5.73</v>
      </c>
      <c r="F3530" s="3" t="str">
        <f t="shared" si="55"/>
        <v>C1019</v>
      </c>
    </row>
    <row r="3531" spans="1:6" x14ac:dyDescent="0.2">
      <c r="A3531" s="17" t="s">
        <v>11910</v>
      </c>
      <c r="B3531" s="18" t="s">
        <v>11911</v>
      </c>
      <c r="C3531" s="17" t="s">
        <v>26</v>
      </c>
      <c r="D3531" s="19">
        <v>7.06</v>
      </c>
      <c r="F3531" s="3" t="str">
        <f t="shared" si="55"/>
        <v>C1020</v>
      </c>
    </row>
    <row r="3532" spans="1:6" x14ac:dyDescent="0.2">
      <c r="A3532" s="17" t="s">
        <v>11912</v>
      </c>
      <c r="B3532" s="18" t="s">
        <v>11913</v>
      </c>
      <c r="C3532" s="17" t="s">
        <v>26</v>
      </c>
      <c r="D3532" s="19">
        <v>9.76</v>
      </c>
      <c r="F3532" s="3" t="str">
        <f t="shared" si="55"/>
        <v>C1021</v>
      </c>
    </row>
    <row r="3533" spans="1:6" x14ac:dyDescent="0.2">
      <c r="A3533" s="17" t="s">
        <v>11914</v>
      </c>
      <c r="B3533" s="18" t="s">
        <v>11915</v>
      </c>
      <c r="C3533" s="17" t="s">
        <v>26</v>
      </c>
      <c r="D3533" s="19">
        <v>13.32</v>
      </c>
      <c r="F3533" s="3" t="str">
        <f t="shared" si="55"/>
        <v>C1022</v>
      </c>
    </row>
    <row r="3534" spans="1:6" x14ac:dyDescent="0.2">
      <c r="A3534" s="17" t="s">
        <v>11916</v>
      </c>
      <c r="B3534" s="18" t="s">
        <v>11917</v>
      </c>
      <c r="C3534" s="17" t="s">
        <v>26</v>
      </c>
      <c r="D3534" s="19">
        <v>16.47</v>
      </c>
      <c r="F3534" s="3" t="str">
        <f t="shared" si="55"/>
        <v>C1023</v>
      </c>
    </row>
    <row r="3535" spans="1:6" x14ac:dyDescent="0.2">
      <c r="A3535" s="17" t="s">
        <v>11918</v>
      </c>
      <c r="B3535" s="18" t="s">
        <v>11919</v>
      </c>
      <c r="C3535" s="17" t="s">
        <v>26</v>
      </c>
      <c r="D3535" s="19">
        <v>25.64</v>
      </c>
      <c r="F3535" s="3" t="str">
        <f t="shared" si="55"/>
        <v>C1024</v>
      </c>
    </row>
    <row r="3536" spans="1:6" x14ac:dyDescent="0.2">
      <c r="A3536" s="17" t="s">
        <v>11920</v>
      </c>
      <c r="B3536" s="18" t="s">
        <v>11921</v>
      </c>
      <c r="C3536" s="17" t="s">
        <v>26</v>
      </c>
      <c r="D3536" s="19">
        <v>58.07</v>
      </c>
      <c r="F3536" s="3" t="str">
        <f t="shared" si="55"/>
        <v>C1025</v>
      </c>
    </row>
    <row r="3537" spans="1:6" x14ac:dyDescent="0.2">
      <c r="A3537" s="17" t="s">
        <v>11922</v>
      </c>
      <c r="B3537" s="18" t="s">
        <v>11923</v>
      </c>
      <c r="C3537" s="17" t="s">
        <v>26</v>
      </c>
      <c r="D3537" s="19">
        <v>66.75</v>
      </c>
      <c r="F3537" s="3" t="str">
        <f t="shared" si="55"/>
        <v>C1026</v>
      </c>
    </row>
    <row r="3538" spans="1:6" x14ac:dyDescent="0.2">
      <c r="A3538" s="17" t="s">
        <v>11924</v>
      </c>
      <c r="B3538" s="18" t="s">
        <v>11925</v>
      </c>
      <c r="C3538" s="17" t="s">
        <v>26</v>
      </c>
      <c r="D3538" s="19">
        <v>99.13</v>
      </c>
      <c r="F3538" s="3" t="str">
        <f t="shared" si="55"/>
        <v>C1027</v>
      </c>
    </row>
    <row r="3539" spans="1:6" x14ac:dyDescent="0.2">
      <c r="A3539" s="17" t="s">
        <v>11926</v>
      </c>
      <c r="B3539" s="18" t="s">
        <v>11927</v>
      </c>
      <c r="C3539" s="17" t="s">
        <v>0</v>
      </c>
      <c r="D3539" s="19">
        <v>19.190000000000001</v>
      </c>
      <c r="F3539" s="3" t="str">
        <f t="shared" si="55"/>
        <v>C1204</v>
      </c>
    </row>
    <row r="3540" spans="1:6" x14ac:dyDescent="0.2">
      <c r="A3540" s="17" t="s">
        <v>11928</v>
      </c>
      <c r="B3540" s="18" t="s">
        <v>11929</v>
      </c>
      <c r="C3540" s="17" t="s">
        <v>0</v>
      </c>
      <c r="D3540" s="19">
        <v>26.41</v>
      </c>
      <c r="F3540" s="3" t="str">
        <f t="shared" si="55"/>
        <v>C1205</v>
      </c>
    </row>
    <row r="3541" spans="1:6" x14ac:dyDescent="0.2">
      <c r="A3541" s="17" t="s">
        <v>11930</v>
      </c>
      <c r="B3541" s="18" t="s">
        <v>11931</v>
      </c>
      <c r="C3541" s="17" t="s">
        <v>0</v>
      </c>
      <c r="D3541" s="19">
        <v>36.799999999999997</v>
      </c>
      <c r="F3541" s="3" t="str">
        <f t="shared" si="55"/>
        <v>C1203</v>
      </c>
    </row>
    <row r="3542" spans="1:6" x14ac:dyDescent="0.2">
      <c r="A3542" s="17" t="s">
        <v>11932</v>
      </c>
      <c r="B3542" s="18" t="s">
        <v>11933</v>
      </c>
      <c r="C3542" s="17" t="s">
        <v>0</v>
      </c>
      <c r="D3542" s="19">
        <v>11.02</v>
      </c>
      <c r="F3542" s="3" t="str">
        <f t="shared" si="55"/>
        <v>C1185</v>
      </c>
    </row>
    <row r="3543" spans="1:6" x14ac:dyDescent="0.2">
      <c r="A3543" s="17" t="s">
        <v>11934</v>
      </c>
      <c r="B3543" s="18" t="s">
        <v>11935</v>
      </c>
      <c r="C3543" s="17" t="s">
        <v>0</v>
      </c>
      <c r="D3543" s="19">
        <v>11.92</v>
      </c>
      <c r="F3543" s="3" t="str">
        <f t="shared" si="55"/>
        <v>C1186</v>
      </c>
    </row>
    <row r="3544" spans="1:6" x14ac:dyDescent="0.2">
      <c r="A3544" s="17" t="s">
        <v>11936</v>
      </c>
      <c r="B3544" s="18" t="s">
        <v>11937</v>
      </c>
      <c r="C3544" s="17" t="s">
        <v>0</v>
      </c>
      <c r="D3544" s="19">
        <v>15.79</v>
      </c>
      <c r="F3544" s="3" t="str">
        <f t="shared" si="55"/>
        <v>C1187</v>
      </c>
    </row>
    <row r="3545" spans="1:6" x14ac:dyDescent="0.2">
      <c r="A3545" s="17" t="s">
        <v>11938</v>
      </c>
      <c r="B3545" s="18" t="s">
        <v>11939</v>
      </c>
      <c r="C3545" s="17" t="s">
        <v>0</v>
      </c>
      <c r="D3545" s="19">
        <v>22.49</v>
      </c>
      <c r="F3545" s="3" t="str">
        <f t="shared" si="55"/>
        <v>C1188</v>
      </c>
    </row>
    <row r="3546" spans="1:6" x14ac:dyDescent="0.2">
      <c r="A3546" s="17" t="s">
        <v>11940</v>
      </c>
      <c r="B3546" s="18" t="s">
        <v>11941</v>
      </c>
      <c r="C3546" s="17" t="s">
        <v>0</v>
      </c>
      <c r="D3546" s="19">
        <v>26.45</v>
      </c>
      <c r="F3546" s="3" t="str">
        <f t="shared" si="55"/>
        <v>C1189</v>
      </c>
    </row>
    <row r="3547" spans="1:6" x14ac:dyDescent="0.2">
      <c r="A3547" s="17" t="s">
        <v>11942</v>
      </c>
      <c r="B3547" s="18" t="s">
        <v>11943</v>
      </c>
      <c r="C3547" s="17" t="s">
        <v>0</v>
      </c>
      <c r="D3547" s="19">
        <v>38.71</v>
      </c>
      <c r="F3547" s="3" t="str">
        <f t="shared" si="55"/>
        <v>C1190</v>
      </c>
    </row>
    <row r="3548" spans="1:6" x14ac:dyDescent="0.2">
      <c r="A3548" s="17" t="s">
        <v>11944</v>
      </c>
      <c r="B3548" s="18" t="s">
        <v>11945</v>
      </c>
      <c r="C3548" s="17" t="s">
        <v>0</v>
      </c>
      <c r="D3548" s="19">
        <v>53.89</v>
      </c>
      <c r="F3548" s="3" t="str">
        <f t="shared" si="55"/>
        <v>C1191</v>
      </c>
    </row>
    <row r="3549" spans="1:6" x14ac:dyDescent="0.2">
      <c r="A3549" s="17" t="s">
        <v>11946</v>
      </c>
      <c r="B3549" s="18" t="s">
        <v>11947</v>
      </c>
      <c r="C3549" s="17" t="s">
        <v>0</v>
      </c>
      <c r="D3549" s="19">
        <v>65.84</v>
      </c>
      <c r="F3549" s="3" t="str">
        <f t="shared" si="55"/>
        <v>C1192</v>
      </c>
    </row>
    <row r="3550" spans="1:6" x14ac:dyDescent="0.2">
      <c r="A3550" s="17" t="s">
        <v>11948</v>
      </c>
      <c r="B3550" s="18" t="s">
        <v>11949</v>
      </c>
      <c r="C3550" s="17" t="s">
        <v>0</v>
      </c>
      <c r="D3550" s="19">
        <v>92.48</v>
      </c>
      <c r="F3550" s="3" t="str">
        <f t="shared" si="55"/>
        <v>C1193</v>
      </c>
    </row>
    <row r="3551" spans="1:6" x14ac:dyDescent="0.2">
      <c r="A3551" s="17" t="s">
        <v>11950</v>
      </c>
      <c r="B3551" s="18" t="s">
        <v>11951</v>
      </c>
      <c r="C3551" s="17" t="s">
        <v>0</v>
      </c>
      <c r="D3551" s="19">
        <v>17.010000000000002</v>
      </c>
      <c r="F3551" s="3" t="str">
        <f t="shared" si="55"/>
        <v>C1195</v>
      </c>
    </row>
    <row r="3552" spans="1:6" x14ac:dyDescent="0.2">
      <c r="A3552" s="17" t="s">
        <v>11952</v>
      </c>
      <c r="B3552" s="18" t="s">
        <v>11953</v>
      </c>
      <c r="C3552" s="17" t="s">
        <v>0</v>
      </c>
      <c r="D3552" s="19">
        <v>18</v>
      </c>
      <c r="F3552" s="3" t="str">
        <f t="shared" si="55"/>
        <v>C1196</v>
      </c>
    </row>
    <row r="3553" spans="1:6" x14ac:dyDescent="0.2">
      <c r="A3553" s="17" t="s">
        <v>11954</v>
      </c>
      <c r="B3553" s="18" t="s">
        <v>11955</v>
      </c>
      <c r="C3553" s="17" t="s">
        <v>0</v>
      </c>
      <c r="D3553" s="19">
        <v>27.32</v>
      </c>
      <c r="F3553" s="3" t="str">
        <f t="shared" si="55"/>
        <v>C1197</v>
      </c>
    </row>
    <row r="3554" spans="1:6" x14ac:dyDescent="0.2">
      <c r="A3554" s="17" t="s">
        <v>11956</v>
      </c>
      <c r="B3554" s="18" t="s">
        <v>11957</v>
      </c>
      <c r="C3554" s="17" t="s">
        <v>0</v>
      </c>
      <c r="D3554" s="19">
        <v>32.090000000000003</v>
      </c>
      <c r="F3554" s="3" t="str">
        <f t="shared" si="55"/>
        <v>C1198</v>
      </c>
    </row>
    <row r="3555" spans="1:6" x14ac:dyDescent="0.2">
      <c r="A3555" s="17" t="s">
        <v>11958</v>
      </c>
      <c r="B3555" s="18" t="s">
        <v>11959</v>
      </c>
      <c r="C3555" s="17" t="s">
        <v>0</v>
      </c>
      <c r="D3555" s="19">
        <v>37.450000000000003</v>
      </c>
      <c r="F3555" s="3" t="str">
        <f t="shared" si="55"/>
        <v>C1199</v>
      </c>
    </row>
    <row r="3556" spans="1:6" x14ac:dyDescent="0.2">
      <c r="A3556" s="17" t="s">
        <v>11960</v>
      </c>
      <c r="B3556" s="18" t="s">
        <v>11961</v>
      </c>
      <c r="C3556" s="17" t="s">
        <v>0</v>
      </c>
      <c r="D3556" s="19">
        <v>49.06</v>
      </c>
      <c r="F3556" s="3" t="str">
        <f t="shared" si="55"/>
        <v>C1194</v>
      </c>
    </row>
    <row r="3557" spans="1:6" x14ac:dyDescent="0.2">
      <c r="A3557" s="17" t="s">
        <v>11962</v>
      </c>
      <c r="B3557" s="18" t="s">
        <v>11963</v>
      </c>
      <c r="C3557" s="17" t="s">
        <v>0</v>
      </c>
      <c r="D3557" s="19">
        <v>66.33</v>
      </c>
      <c r="F3557" s="3" t="str">
        <f t="shared" si="55"/>
        <v>C1200</v>
      </c>
    </row>
    <row r="3558" spans="1:6" x14ac:dyDescent="0.2">
      <c r="A3558" s="17" t="s">
        <v>11964</v>
      </c>
      <c r="B3558" s="18" t="s">
        <v>11965</v>
      </c>
      <c r="C3558" s="17" t="s">
        <v>0</v>
      </c>
      <c r="D3558" s="19">
        <v>77.61</v>
      </c>
      <c r="F3558" s="3" t="str">
        <f t="shared" si="55"/>
        <v>C1202</v>
      </c>
    </row>
    <row r="3559" spans="1:6" x14ac:dyDescent="0.2">
      <c r="A3559" s="17" t="s">
        <v>11966</v>
      </c>
      <c r="B3559" s="18" t="s">
        <v>11967</v>
      </c>
      <c r="C3559" s="17" t="s">
        <v>0</v>
      </c>
      <c r="D3559" s="19">
        <v>106.05</v>
      </c>
      <c r="F3559" s="3" t="str">
        <f t="shared" si="55"/>
        <v>C1201</v>
      </c>
    </row>
    <row r="3560" spans="1:6" x14ac:dyDescent="0.2">
      <c r="A3560" s="17" t="s">
        <v>11968</v>
      </c>
      <c r="B3560" s="18" t="s">
        <v>11969</v>
      </c>
      <c r="C3560" s="17" t="s">
        <v>0</v>
      </c>
      <c r="D3560" s="19">
        <v>17.5</v>
      </c>
      <c r="F3560" s="3" t="str">
        <f t="shared" si="55"/>
        <v>C1184</v>
      </c>
    </row>
    <row r="3561" spans="1:6" x14ac:dyDescent="0.2">
      <c r="A3561" s="17" t="s">
        <v>11970</v>
      </c>
      <c r="B3561" s="18" t="s">
        <v>11971</v>
      </c>
      <c r="C3561" s="17" t="s">
        <v>26</v>
      </c>
      <c r="D3561" s="19">
        <v>1.67</v>
      </c>
      <c r="F3561" s="3" t="str">
        <f t="shared" si="55"/>
        <v>C1708</v>
      </c>
    </row>
    <row r="3562" spans="1:6" x14ac:dyDescent="0.2">
      <c r="A3562" s="17" t="s">
        <v>11972</v>
      </c>
      <c r="B3562" s="18" t="s">
        <v>11973</v>
      </c>
      <c r="C3562" s="17" t="s">
        <v>26</v>
      </c>
      <c r="D3562" s="19">
        <v>2.48</v>
      </c>
      <c r="F3562" s="3" t="str">
        <f t="shared" si="55"/>
        <v>C1709</v>
      </c>
    </row>
    <row r="3563" spans="1:6" x14ac:dyDescent="0.2">
      <c r="A3563" s="17" t="s">
        <v>11974</v>
      </c>
      <c r="B3563" s="18" t="s">
        <v>11975</v>
      </c>
      <c r="C3563" s="17" t="s">
        <v>26</v>
      </c>
      <c r="D3563" s="19">
        <v>3.81</v>
      </c>
      <c r="F3563" s="3" t="str">
        <f t="shared" si="55"/>
        <v>C1710</v>
      </c>
    </row>
    <row r="3564" spans="1:6" x14ac:dyDescent="0.2">
      <c r="A3564" s="17" t="s">
        <v>11976</v>
      </c>
      <c r="B3564" s="18" t="s">
        <v>11977</v>
      </c>
      <c r="C3564" s="17" t="s">
        <v>26</v>
      </c>
      <c r="D3564" s="19">
        <v>5.6</v>
      </c>
      <c r="F3564" s="3" t="str">
        <f t="shared" si="55"/>
        <v>C1711</v>
      </c>
    </row>
    <row r="3565" spans="1:6" x14ac:dyDescent="0.2">
      <c r="A3565" s="17" t="s">
        <v>11978</v>
      </c>
      <c r="B3565" s="18" t="s">
        <v>11979</v>
      </c>
      <c r="C3565" s="17" t="s">
        <v>26</v>
      </c>
      <c r="D3565" s="19">
        <v>7.42</v>
      </c>
      <c r="F3565" s="3" t="str">
        <f t="shared" si="55"/>
        <v>C1712</v>
      </c>
    </row>
    <row r="3566" spans="1:6" x14ac:dyDescent="0.2">
      <c r="A3566" s="17" t="s">
        <v>11980</v>
      </c>
      <c r="B3566" s="18" t="s">
        <v>11981</v>
      </c>
      <c r="C3566" s="17" t="s">
        <v>26</v>
      </c>
      <c r="D3566" s="19">
        <v>9.44</v>
      </c>
      <c r="F3566" s="3" t="str">
        <f t="shared" si="55"/>
        <v>C1713</v>
      </c>
    </row>
    <row r="3567" spans="1:6" x14ac:dyDescent="0.2">
      <c r="A3567" s="17" t="s">
        <v>11982</v>
      </c>
      <c r="B3567" s="18" t="s">
        <v>11983</v>
      </c>
      <c r="C3567" s="17" t="s">
        <v>26</v>
      </c>
      <c r="D3567" s="19">
        <v>20.02</v>
      </c>
      <c r="F3567" s="3" t="str">
        <f t="shared" si="55"/>
        <v>C1714</v>
      </c>
    </row>
    <row r="3568" spans="1:6" x14ac:dyDescent="0.2">
      <c r="A3568" s="17" t="s">
        <v>11984</v>
      </c>
      <c r="B3568" s="18" t="s">
        <v>11985</v>
      </c>
      <c r="C3568" s="17" t="s">
        <v>26</v>
      </c>
      <c r="D3568" s="19">
        <v>31.71</v>
      </c>
      <c r="F3568" s="3" t="str">
        <f t="shared" si="55"/>
        <v>C1715</v>
      </c>
    </row>
    <row r="3569" spans="1:6" x14ac:dyDescent="0.2">
      <c r="A3569" s="17" t="s">
        <v>11986</v>
      </c>
      <c r="B3569" s="18" t="s">
        <v>11987</v>
      </c>
      <c r="C3569" s="17" t="s">
        <v>26</v>
      </c>
      <c r="D3569" s="19">
        <v>47.6</v>
      </c>
      <c r="F3569" s="3" t="str">
        <f t="shared" si="55"/>
        <v>C1716</v>
      </c>
    </row>
    <row r="3570" spans="1:6" x14ac:dyDescent="0.2">
      <c r="A3570" s="17" t="s">
        <v>11988</v>
      </c>
      <c r="B3570" s="18" t="s">
        <v>11989</v>
      </c>
      <c r="C3570" s="17" t="s">
        <v>26</v>
      </c>
      <c r="D3570" s="19">
        <v>5.15</v>
      </c>
      <c r="F3570" s="3" t="str">
        <f t="shared" si="55"/>
        <v>C3566</v>
      </c>
    </row>
    <row r="3571" spans="1:6" x14ac:dyDescent="0.2">
      <c r="A3571" s="17" t="s">
        <v>11990</v>
      </c>
      <c r="B3571" s="18" t="s">
        <v>11991</v>
      </c>
      <c r="C3571" s="17" t="s">
        <v>0</v>
      </c>
      <c r="D3571" s="19">
        <v>15.37</v>
      </c>
      <c r="F3571" s="3" t="str">
        <f t="shared" si="55"/>
        <v>C3568</v>
      </c>
    </row>
    <row r="3572" spans="1:6" x14ac:dyDescent="0.2">
      <c r="A3572" s="17" t="s">
        <v>11992</v>
      </c>
      <c r="B3572" s="18" t="s">
        <v>11993</v>
      </c>
      <c r="C3572" s="17" t="s">
        <v>0</v>
      </c>
      <c r="D3572" s="19">
        <v>8.68</v>
      </c>
      <c r="F3572" s="3" t="str">
        <f t="shared" si="55"/>
        <v>C3569</v>
      </c>
    </row>
    <row r="3573" spans="1:6" x14ac:dyDescent="0.2">
      <c r="A3573" s="17" t="s">
        <v>11994</v>
      </c>
      <c r="B3573" s="18" t="s">
        <v>11995</v>
      </c>
      <c r="C3573" s="17" t="s">
        <v>26</v>
      </c>
      <c r="D3573" s="19">
        <v>1.9</v>
      </c>
      <c r="F3573" s="3" t="str">
        <f t="shared" si="55"/>
        <v>C3574</v>
      </c>
    </row>
    <row r="3574" spans="1:6" x14ac:dyDescent="0.2">
      <c r="A3574" s="14" t="s">
        <v>11996</v>
      </c>
      <c r="B3574" s="15"/>
      <c r="C3574" s="14">
        <v>0</v>
      </c>
      <c r="D3574" s="16">
        <v>421.7</v>
      </c>
      <c r="F3574" s="3" t="str">
        <f t="shared" si="55"/>
        <v>ELETRODUTOS DE ALUMÍNIO</v>
      </c>
    </row>
    <row r="3575" spans="1:6" x14ac:dyDescent="0.2">
      <c r="A3575" s="17" t="s">
        <v>11997</v>
      </c>
      <c r="B3575" s="18" t="s">
        <v>11998</v>
      </c>
      <c r="C3575" s="17" t="s">
        <v>0</v>
      </c>
      <c r="D3575" s="19">
        <v>26.91</v>
      </c>
      <c r="F3575" s="3" t="str">
        <f t="shared" si="55"/>
        <v>C1179</v>
      </c>
    </row>
    <row r="3576" spans="1:6" x14ac:dyDescent="0.2">
      <c r="A3576" s="17" t="s">
        <v>11999</v>
      </c>
      <c r="B3576" s="18" t="s">
        <v>12000</v>
      </c>
      <c r="C3576" s="17" t="s">
        <v>0</v>
      </c>
      <c r="D3576" s="19">
        <v>34.11</v>
      </c>
      <c r="F3576" s="3" t="str">
        <f t="shared" si="55"/>
        <v>C1181</v>
      </c>
    </row>
    <row r="3577" spans="1:6" x14ac:dyDescent="0.2">
      <c r="A3577" s="17" t="s">
        <v>12001</v>
      </c>
      <c r="B3577" s="18" t="s">
        <v>12002</v>
      </c>
      <c r="C3577" s="17" t="s">
        <v>0</v>
      </c>
      <c r="D3577" s="19">
        <v>42.93</v>
      </c>
      <c r="F3577" s="3" t="str">
        <f t="shared" si="55"/>
        <v>C1178</v>
      </c>
    </row>
    <row r="3578" spans="1:6" x14ac:dyDescent="0.2">
      <c r="A3578" s="17" t="s">
        <v>12003</v>
      </c>
      <c r="B3578" s="18" t="s">
        <v>12004</v>
      </c>
      <c r="C3578" s="17" t="s">
        <v>0</v>
      </c>
      <c r="D3578" s="19">
        <v>51.27</v>
      </c>
      <c r="F3578" s="3" t="str">
        <f t="shared" si="55"/>
        <v>C1180</v>
      </c>
    </row>
    <row r="3579" spans="1:6" x14ac:dyDescent="0.2">
      <c r="A3579" s="17" t="s">
        <v>12005</v>
      </c>
      <c r="B3579" s="18" t="s">
        <v>12006</v>
      </c>
      <c r="C3579" s="17" t="s">
        <v>0</v>
      </c>
      <c r="D3579" s="19">
        <v>71.58</v>
      </c>
      <c r="F3579" s="3" t="str">
        <f t="shared" si="55"/>
        <v>C1183</v>
      </c>
    </row>
    <row r="3580" spans="1:6" x14ac:dyDescent="0.2">
      <c r="A3580" s="17" t="s">
        <v>12007</v>
      </c>
      <c r="B3580" s="18" t="s">
        <v>12008</v>
      </c>
      <c r="C3580" s="17" t="s">
        <v>0</v>
      </c>
      <c r="D3580" s="19">
        <v>85.71</v>
      </c>
      <c r="F3580" s="3" t="str">
        <f t="shared" si="55"/>
        <v>C1182</v>
      </c>
    </row>
    <row r="3581" spans="1:6" x14ac:dyDescent="0.2">
      <c r="A3581" s="17" t="s">
        <v>12009</v>
      </c>
      <c r="B3581" s="18" t="s">
        <v>12010</v>
      </c>
      <c r="C3581" s="17" t="s">
        <v>0</v>
      </c>
      <c r="D3581" s="19">
        <v>109.19</v>
      </c>
      <c r="F3581" s="3" t="str">
        <f t="shared" si="55"/>
        <v>C4536</v>
      </c>
    </row>
    <row r="3582" spans="1:6" x14ac:dyDescent="0.2">
      <c r="A3582" s="14" t="s">
        <v>12011</v>
      </c>
      <c r="B3582" s="15"/>
      <c r="C3582" s="14">
        <v>0</v>
      </c>
      <c r="D3582" s="16">
        <v>1619.35</v>
      </c>
      <c r="F3582" s="3" t="str">
        <f t="shared" si="55"/>
        <v>DUTOS E ACESSÓRIOS</v>
      </c>
    </row>
    <row r="3583" spans="1:6" x14ac:dyDescent="0.2">
      <c r="A3583" s="17" t="s">
        <v>12012</v>
      </c>
      <c r="B3583" s="18" t="s">
        <v>12013</v>
      </c>
      <c r="C3583" s="17" t="s">
        <v>0</v>
      </c>
      <c r="D3583" s="19">
        <v>40.770000000000003</v>
      </c>
      <c r="F3583" s="3" t="str">
        <f t="shared" si="55"/>
        <v>C1162</v>
      </c>
    </row>
    <row r="3584" spans="1:6" x14ac:dyDescent="0.2">
      <c r="A3584" s="17" t="s">
        <v>12014</v>
      </c>
      <c r="B3584" s="18" t="s">
        <v>12015</v>
      </c>
      <c r="C3584" s="17" t="s">
        <v>0</v>
      </c>
      <c r="D3584" s="19">
        <v>41.05</v>
      </c>
      <c r="F3584" s="3" t="str">
        <f t="shared" si="55"/>
        <v>C1153</v>
      </c>
    </row>
    <row r="3585" spans="1:6" x14ac:dyDescent="0.2">
      <c r="A3585" s="17" t="s">
        <v>12016</v>
      </c>
      <c r="B3585" s="18" t="s">
        <v>12017</v>
      </c>
      <c r="C3585" s="17" t="s">
        <v>0</v>
      </c>
      <c r="D3585" s="19">
        <v>44.64</v>
      </c>
      <c r="F3585" s="3" t="str">
        <f t="shared" si="55"/>
        <v>C1163</v>
      </c>
    </row>
    <row r="3586" spans="1:6" x14ac:dyDescent="0.2">
      <c r="A3586" s="17" t="s">
        <v>12018</v>
      </c>
      <c r="B3586" s="18" t="s">
        <v>12019</v>
      </c>
      <c r="C3586" s="17" t="s">
        <v>0</v>
      </c>
      <c r="D3586" s="19">
        <v>45.07</v>
      </c>
      <c r="F3586" s="3" t="str">
        <f t="shared" ref="F3586:F3649" si="56">A3586</f>
        <v>C1164</v>
      </c>
    </row>
    <row r="3587" spans="1:6" x14ac:dyDescent="0.2">
      <c r="A3587" s="433" t="s">
        <v>12020</v>
      </c>
      <c r="B3587" s="432" t="s">
        <v>12021</v>
      </c>
      <c r="C3587" s="433" t="s">
        <v>0</v>
      </c>
      <c r="D3587" s="434">
        <v>50.67</v>
      </c>
      <c r="F3587" s="3" t="str">
        <f t="shared" si="56"/>
        <v>C1165</v>
      </c>
    </row>
    <row r="3588" spans="1:6" x14ac:dyDescent="0.2">
      <c r="A3588" s="17" t="s">
        <v>12022</v>
      </c>
      <c r="B3588" s="18" t="s">
        <v>12023</v>
      </c>
      <c r="C3588" s="17" t="s">
        <v>0</v>
      </c>
      <c r="D3588" s="19">
        <v>47.99</v>
      </c>
      <c r="F3588" s="3" t="str">
        <f t="shared" si="56"/>
        <v>C1156</v>
      </c>
    </row>
    <row r="3589" spans="1:6" x14ac:dyDescent="0.2">
      <c r="A3589" s="17" t="s">
        <v>12024</v>
      </c>
      <c r="B3589" s="18" t="s">
        <v>12025</v>
      </c>
      <c r="C3589" s="17" t="s">
        <v>0</v>
      </c>
      <c r="D3589" s="19">
        <v>52.44</v>
      </c>
      <c r="F3589" s="3" t="str">
        <f t="shared" si="56"/>
        <v>C1157</v>
      </c>
    </row>
    <row r="3590" spans="1:6" x14ac:dyDescent="0.2">
      <c r="A3590" s="17" t="s">
        <v>12026</v>
      </c>
      <c r="B3590" s="18" t="s">
        <v>12027</v>
      </c>
      <c r="C3590" s="17" t="s">
        <v>0</v>
      </c>
      <c r="D3590" s="19">
        <v>53.98</v>
      </c>
      <c r="F3590" s="3" t="str">
        <f t="shared" si="56"/>
        <v>C1158</v>
      </c>
    </row>
    <row r="3591" spans="1:6" x14ac:dyDescent="0.2">
      <c r="A3591" s="17" t="s">
        <v>12028</v>
      </c>
      <c r="B3591" s="18" t="s">
        <v>12029</v>
      </c>
      <c r="C3591" s="17" t="s">
        <v>0</v>
      </c>
      <c r="D3591" s="19">
        <v>59.2</v>
      </c>
      <c r="F3591" s="3" t="str">
        <f t="shared" si="56"/>
        <v>C1161</v>
      </c>
    </row>
    <row r="3592" spans="1:6" x14ac:dyDescent="0.2">
      <c r="A3592" s="17" t="s">
        <v>12030</v>
      </c>
      <c r="B3592" s="18" t="s">
        <v>12031</v>
      </c>
      <c r="C3592" s="17" t="s">
        <v>0</v>
      </c>
      <c r="D3592" s="19">
        <v>70.72</v>
      </c>
      <c r="F3592" s="3" t="str">
        <f t="shared" si="56"/>
        <v>C1160</v>
      </c>
    </row>
    <row r="3593" spans="1:6" x14ac:dyDescent="0.2">
      <c r="A3593" s="17" t="s">
        <v>12032</v>
      </c>
      <c r="B3593" s="18" t="s">
        <v>12033</v>
      </c>
      <c r="C3593" s="17" t="s">
        <v>0</v>
      </c>
      <c r="D3593" s="19">
        <v>59.15</v>
      </c>
      <c r="F3593" s="3" t="str">
        <f t="shared" si="56"/>
        <v>C1159</v>
      </c>
    </row>
    <row r="3594" spans="1:6" x14ac:dyDescent="0.2">
      <c r="A3594" s="17" t="s">
        <v>12034</v>
      </c>
      <c r="B3594" s="18" t="s">
        <v>12035</v>
      </c>
      <c r="C3594" s="17" t="s">
        <v>0</v>
      </c>
      <c r="D3594" s="19">
        <v>80.28</v>
      </c>
      <c r="F3594" s="3" t="str">
        <f t="shared" si="56"/>
        <v>C1155</v>
      </c>
    </row>
    <row r="3595" spans="1:6" x14ac:dyDescent="0.2">
      <c r="A3595" s="17" t="s">
        <v>12036</v>
      </c>
      <c r="B3595" s="18" t="s">
        <v>12037</v>
      </c>
      <c r="C3595" s="17" t="s">
        <v>0</v>
      </c>
      <c r="D3595" s="19">
        <v>94.13</v>
      </c>
      <c r="F3595" s="3" t="str">
        <f t="shared" si="56"/>
        <v>C1154</v>
      </c>
    </row>
    <row r="3596" spans="1:6" x14ac:dyDescent="0.2">
      <c r="A3596" s="17" t="s">
        <v>12038</v>
      </c>
      <c r="B3596" s="18" t="s">
        <v>12039</v>
      </c>
      <c r="C3596" s="17" t="s">
        <v>0</v>
      </c>
      <c r="D3596" s="19">
        <v>148.22</v>
      </c>
      <c r="F3596" s="3" t="str">
        <f t="shared" si="56"/>
        <v>C4535</v>
      </c>
    </row>
    <row r="3597" spans="1:6" x14ac:dyDescent="0.2">
      <c r="A3597" s="20" t="s">
        <v>12040</v>
      </c>
      <c r="B3597" s="21" t="s">
        <v>12041</v>
      </c>
      <c r="C3597" s="20" t="s">
        <v>0</v>
      </c>
      <c r="D3597" s="22">
        <v>26.14</v>
      </c>
      <c r="F3597" s="3" t="str">
        <f t="shared" si="56"/>
        <v>C3617</v>
      </c>
    </row>
    <row r="3598" spans="1:6" x14ac:dyDescent="0.2">
      <c r="A3598" s="17">
        <v>0</v>
      </c>
      <c r="B3598" s="18"/>
      <c r="C3598" s="17">
        <v>0</v>
      </c>
      <c r="D3598" s="19">
        <v>0</v>
      </c>
      <c r="F3598" s="3">
        <f t="shared" si="56"/>
        <v>0</v>
      </c>
    </row>
    <row r="3599" spans="1:6" x14ac:dyDescent="0.2">
      <c r="A3599" s="20" t="s">
        <v>12042</v>
      </c>
      <c r="B3599" s="21" t="s">
        <v>12043</v>
      </c>
      <c r="C3599" s="20" t="s">
        <v>0</v>
      </c>
      <c r="D3599" s="22">
        <v>31.12</v>
      </c>
      <c r="F3599" s="3" t="str">
        <f t="shared" si="56"/>
        <v>C3618</v>
      </c>
    </row>
    <row r="3600" spans="1:6" x14ac:dyDescent="0.2">
      <c r="A3600" s="17">
        <v>0</v>
      </c>
      <c r="B3600" s="18"/>
      <c r="C3600" s="17">
        <v>0</v>
      </c>
      <c r="D3600" s="19">
        <v>0</v>
      </c>
      <c r="F3600" s="3">
        <f t="shared" si="56"/>
        <v>0</v>
      </c>
    </row>
    <row r="3601" spans="1:6" x14ac:dyDescent="0.2">
      <c r="A3601" s="17" t="s">
        <v>12044</v>
      </c>
      <c r="B3601" s="18" t="s">
        <v>12045</v>
      </c>
      <c r="C3601" s="17" t="s">
        <v>0</v>
      </c>
      <c r="D3601" s="19">
        <v>37.700000000000003</v>
      </c>
      <c r="F3601" s="3" t="str">
        <f t="shared" si="56"/>
        <v>C3619</v>
      </c>
    </row>
    <row r="3602" spans="1:6" x14ac:dyDescent="0.2">
      <c r="A3602" s="17">
        <v>0</v>
      </c>
      <c r="B3602" s="18"/>
      <c r="C3602" s="17">
        <v>0</v>
      </c>
      <c r="D3602" s="19">
        <v>0</v>
      </c>
      <c r="F3602" s="3">
        <f t="shared" si="56"/>
        <v>0</v>
      </c>
    </row>
    <row r="3603" spans="1:6" x14ac:dyDescent="0.2">
      <c r="A3603" s="17" t="s">
        <v>12046</v>
      </c>
      <c r="B3603" s="18" t="s">
        <v>12047</v>
      </c>
      <c r="C3603" s="17" t="s">
        <v>0</v>
      </c>
      <c r="D3603" s="19">
        <v>53.65</v>
      </c>
      <c r="F3603" s="3" t="str">
        <f t="shared" si="56"/>
        <v>C3620</v>
      </c>
    </row>
    <row r="3604" spans="1:6" x14ac:dyDescent="0.2">
      <c r="A3604" s="17">
        <v>0</v>
      </c>
      <c r="B3604" s="18"/>
      <c r="C3604" s="17">
        <v>0</v>
      </c>
      <c r="D3604" s="19">
        <v>0</v>
      </c>
      <c r="F3604" s="3">
        <f t="shared" si="56"/>
        <v>0</v>
      </c>
    </row>
    <row r="3605" spans="1:6" x14ac:dyDescent="0.2">
      <c r="A3605" s="17" t="s">
        <v>12048</v>
      </c>
      <c r="B3605" s="18" t="s">
        <v>12049</v>
      </c>
      <c r="C3605" s="17" t="s">
        <v>0</v>
      </c>
      <c r="D3605" s="19">
        <v>66.400000000000006</v>
      </c>
      <c r="F3605" s="3" t="str">
        <f t="shared" si="56"/>
        <v>C3621</v>
      </c>
    </row>
    <row r="3606" spans="1:6" x14ac:dyDescent="0.2">
      <c r="A3606" s="17">
        <v>0</v>
      </c>
      <c r="B3606" s="18"/>
      <c r="C3606" s="17">
        <v>0</v>
      </c>
      <c r="D3606" s="19">
        <v>0</v>
      </c>
      <c r="F3606" s="3">
        <f t="shared" si="56"/>
        <v>0</v>
      </c>
    </row>
    <row r="3607" spans="1:6" x14ac:dyDescent="0.2">
      <c r="A3607" s="17" t="s">
        <v>12050</v>
      </c>
      <c r="B3607" s="18" t="s">
        <v>12051</v>
      </c>
      <c r="C3607" s="17" t="s">
        <v>0</v>
      </c>
      <c r="D3607" s="19">
        <v>96.38</v>
      </c>
      <c r="F3607" s="3" t="str">
        <f t="shared" si="56"/>
        <v>C3623</v>
      </c>
    </row>
    <row r="3608" spans="1:6" x14ac:dyDescent="0.2">
      <c r="A3608" s="17">
        <v>0</v>
      </c>
      <c r="B3608" s="18"/>
      <c r="C3608" s="17">
        <v>0</v>
      </c>
      <c r="D3608" s="19">
        <v>0</v>
      </c>
      <c r="F3608" s="3">
        <f t="shared" si="56"/>
        <v>0</v>
      </c>
    </row>
    <row r="3609" spans="1:6" x14ac:dyDescent="0.2">
      <c r="A3609" s="17" t="s">
        <v>12052</v>
      </c>
      <c r="B3609" s="18" t="s">
        <v>12053</v>
      </c>
      <c r="C3609" s="17" t="s">
        <v>0</v>
      </c>
      <c r="D3609" s="19">
        <v>101.18</v>
      </c>
      <c r="F3609" s="3" t="str">
        <f t="shared" si="56"/>
        <v>C3624</v>
      </c>
    </row>
    <row r="3610" spans="1:6" x14ac:dyDescent="0.2">
      <c r="A3610" s="17">
        <v>0</v>
      </c>
      <c r="B3610" s="18"/>
      <c r="C3610" s="17">
        <v>0</v>
      </c>
      <c r="D3610" s="19">
        <v>0</v>
      </c>
      <c r="F3610" s="3">
        <f t="shared" si="56"/>
        <v>0</v>
      </c>
    </row>
    <row r="3611" spans="1:6" x14ac:dyDescent="0.2">
      <c r="A3611" s="17" t="s">
        <v>12054</v>
      </c>
      <c r="B3611" s="18" t="s">
        <v>12055</v>
      </c>
      <c r="C3611" s="17" t="s">
        <v>0</v>
      </c>
      <c r="D3611" s="19">
        <v>78.790000000000006</v>
      </c>
      <c r="F3611" s="3" t="str">
        <f t="shared" si="56"/>
        <v>C2301</v>
      </c>
    </row>
    <row r="3612" spans="1:6" x14ac:dyDescent="0.2">
      <c r="A3612" s="17" t="s">
        <v>12056</v>
      </c>
      <c r="B3612" s="18" t="s">
        <v>12057</v>
      </c>
      <c r="C3612" s="17" t="s">
        <v>0</v>
      </c>
      <c r="D3612" s="19">
        <v>105.37</v>
      </c>
      <c r="F3612" s="3" t="str">
        <f t="shared" si="56"/>
        <v>C2300</v>
      </c>
    </row>
    <row r="3613" spans="1:6" x14ac:dyDescent="0.2">
      <c r="A3613" s="17" t="s">
        <v>12058</v>
      </c>
      <c r="B3613" s="18" t="s">
        <v>12059</v>
      </c>
      <c r="C3613" s="17" t="s">
        <v>0</v>
      </c>
      <c r="D3613" s="19">
        <v>134.31</v>
      </c>
      <c r="F3613" s="3" t="str">
        <f t="shared" si="56"/>
        <v>C4537</v>
      </c>
    </row>
    <row r="3614" spans="1:6" x14ac:dyDescent="0.2">
      <c r="A3614" s="14" t="s">
        <v>12060</v>
      </c>
      <c r="B3614" s="15"/>
      <c r="C3614" s="14">
        <v>0</v>
      </c>
      <c r="D3614" s="16">
        <v>665.65</v>
      </c>
      <c r="F3614" s="3" t="str">
        <f t="shared" si="56"/>
        <v>CANALETAS</v>
      </c>
    </row>
    <row r="3615" spans="1:6" x14ac:dyDescent="0.2">
      <c r="A3615" s="17" t="s">
        <v>12061</v>
      </c>
      <c r="B3615" s="18" t="s">
        <v>12062</v>
      </c>
      <c r="C3615" s="17" t="s">
        <v>0</v>
      </c>
      <c r="D3615" s="19">
        <v>10.82</v>
      </c>
      <c r="F3615" s="3" t="str">
        <f t="shared" si="56"/>
        <v>C0672</v>
      </c>
    </row>
    <row r="3616" spans="1:6" x14ac:dyDescent="0.2">
      <c r="A3616" s="17" t="s">
        <v>12063</v>
      </c>
      <c r="B3616" s="18" t="s">
        <v>12064</v>
      </c>
      <c r="C3616" s="17" t="s">
        <v>0</v>
      </c>
      <c r="D3616" s="19">
        <v>30.35</v>
      </c>
      <c r="F3616" s="3" t="str">
        <f t="shared" si="56"/>
        <v>C0673</v>
      </c>
    </row>
    <row r="3617" spans="1:6" x14ac:dyDescent="0.2">
      <c r="A3617" s="17" t="s">
        <v>12065</v>
      </c>
      <c r="B3617" s="18" t="s">
        <v>12066</v>
      </c>
      <c r="C3617" s="17" t="s">
        <v>0</v>
      </c>
      <c r="D3617" s="19">
        <v>81.73</v>
      </c>
      <c r="F3617" s="3" t="str">
        <f t="shared" si="56"/>
        <v>C0671</v>
      </c>
    </row>
    <row r="3618" spans="1:6" x14ac:dyDescent="0.2">
      <c r="A3618" s="17" t="s">
        <v>12067</v>
      </c>
      <c r="B3618" s="18" t="s">
        <v>12068</v>
      </c>
      <c r="C3618" s="17" t="s">
        <v>0</v>
      </c>
      <c r="D3618" s="19">
        <v>84.92</v>
      </c>
      <c r="F3618" s="3" t="str">
        <f t="shared" si="56"/>
        <v>C3515</v>
      </c>
    </row>
    <row r="3619" spans="1:6" x14ac:dyDescent="0.2">
      <c r="A3619" s="17" t="s">
        <v>12069</v>
      </c>
      <c r="B3619" s="18" t="s">
        <v>12070</v>
      </c>
      <c r="C3619" s="17" t="s">
        <v>0</v>
      </c>
      <c r="D3619" s="19">
        <v>233.84</v>
      </c>
      <c r="F3619" s="3" t="str">
        <f t="shared" si="56"/>
        <v>C4026</v>
      </c>
    </row>
    <row r="3620" spans="1:6" x14ac:dyDescent="0.2">
      <c r="A3620" s="17">
        <v>0</v>
      </c>
      <c r="B3620" s="18"/>
      <c r="C3620" s="17">
        <v>0</v>
      </c>
      <c r="D3620" s="19">
        <v>0</v>
      </c>
      <c r="F3620" s="3">
        <f t="shared" si="56"/>
        <v>0</v>
      </c>
    </row>
    <row r="3621" spans="1:6" x14ac:dyDescent="0.2">
      <c r="A3621" s="17" t="s">
        <v>12071</v>
      </c>
      <c r="B3621" s="18" t="s">
        <v>12072</v>
      </c>
      <c r="C3621" s="17" t="s">
        <v>26</v>
      </c>
      <c r="D3621" s="19">
        <v>51.49</v>
      </c>
      <c r="F3621" s="3" t="str">
        <f t="shared" si="56"/>
        <v>C3516</v>
      </c>
    </row>
    <row r="3622" spans="1:6" x14ac:dyDescent="0.2">
      <c r="A3622" s="17">
        <v>0</v>
      </c>
      <c r="B3622" s="18"/>
      <c r="C3622" s="17">
        <v>0</v>
      </c>
      <c r="D3622" s="19">
        <v>0</v>
      </c>
      <c r="F3622" s="3">
        <f t="shared" si="56"/>
        <v>0</v>
      </c>
    </row>
    <row r="3623" spans="1:6" x14ac:dyDescent="0.2">
      <c r="A3623" s="17" t="s">
        <v>12073</v>
      </c>
      <c r="B3623" s="18" t="s">
        <v>12074</v>
      </c>
      <c r="C3623" s="17" t="s">
        <v>26</v>
      </c>
      <c r="D3623" s="19">
        <v>53.92</v>
      </c>
      <c r="F3623" s="3" t="str">
        <f t="shared" si="56"/>
        <v>C3517</v>
      </c>
    </row>
    <row r="3624" spans="1:6" x14ac:dyDescent="0.2">
      <c r="A3624" s="17">
        <v>0</v>
      </c>
      <c r="B3624" s="18"/>
      <c r="C3624" s="17">
        <v>0</v>
      </c>
      <c r="D3624" s="19">
        <v>0</v>
      </c>
      <c r="F3624" s="3">
        <f t="shared" si="56"/>
        <v>0</v>
      </c>
    </row>
    <row r="3625" spans="1:6" x14ac:dyDescent="0.2">
      <c r="A3625" s="17" t="s">
        <v>12075</v>
      </c>
      <c r="B3625" s="18" t="s">
        <v>12076</v>
      </c>
      <c r="C3625" s="17" t="s">
        <v>26</v>
      </c>
      <c r="D3625" s="19">
        <v>57.11</v>
      </c>
      <c r="F3625" s="3" t="str">
        <f t="shared" si="56"/>
        <v>C3518</v>
      </c>
    </row>
    <row r="3626" spans="1:6" x14ac:dyDescent="0.2">
      <c r="A3626" s="17" t="s">
        <v>12077</v>
      </c>
      <c r="B3626" s="18" t="s">
        <v>12078</v>
      </c>
      <c r="C3626" s="17" t="s">
        <v>26</v>
      </c>
      <c r="D3626" s="19">
        <v>9.75</v>
      </c>
      <c r="F3626" s="3" t="str">
        <f t="shared" si="56"/>
        <v>C3520</v>
      </c>
    </row>
    <row r="3627" spans="1:6" x14ac:dyDescent="0.2">
      <c r="A3627" s="17">
        <v>0</v>
      </c>
      <c r="B3627" s="18"/>
      <c r="C3627" s="17">
        <v>0</v>
      </c>
      <c r="D3627" s="19">
        <v>0</v>
      </c>
      <c r="F3627" s="3">
        <f t="shared" si="56"/>
        <v>0</v>
      </c>
    </row>
    <row r="3628" spans="1:6" x14ac:dyDescent="0.2">
      <c r="A3628" s="17" t="s">
        <v>12079</v>
      </c>
      <c r="B3628" s="18" t="s">
        <v>12080</v>
      </c>
      <c r="C3628" s="17" t="s">
        <v>0</v>
      </c>
      <c r="D3628" s="19">
        <v>32.5</v>
      </c>
      <c r="F3628" s="3" t="str">
        <f t="shared" si="56"/>
        <v>C1478</v>
      </c>
    </row>
    <row r="3629" spans="1:6" x14ac:dyDescent="0.2">
      <c r="A3629" s="17" t="s">
        <v>12081</v>
      </c>
      <c r="B3629" s="18" t="s">
        <v>12082</v>
      </c>
      <c r="C3629" s="17" t="s">
        <v>26</v>
      </c>
      <c r="D3629" s="19">
        <v>19.22</v>
      </c>
      <c r="F3629" s="3" t="str">
        <f t="shared" si="56"/>
        <v>C3519</v>
      </c>
    </row>
    <row r="3630" spans="1:6" x14ac:dyDescent="0.2">
      <c r="A3630" s="14" t="s">
        <v>12083</v>
      </c>
      <c r="B3630" s="15"/>
      <c r="C3630" s="14">
        <v>0</v>
      </c>
      <c r="D3630" s="16">
        <v>191.62</v>
      </c>
      <c r="F3630" s="3" t="str">
        <f t="shared" si="56"/>
        <v>CONEXÕES METÁLICAS</v>
      </c>
    </row>
    <row r="3631" spans="1:6" x14ac:dyDescent="0.2">
      <c r="A3631" s="17" t="s">
        <v>12084</v>
      </c>
      <c r="B3631" s="18" t="s">
        <v>12085</v>
      </c>
      <c r="C3631" s="17" t="s">
        <v>12086</v>
      </c>
      <c r="D3631" s="19">
        <v>1.57</v>
      </c>
      <c r="F3631" s="3" t="str">
        <f t="shared" si="56"/>
        <v>C0478</v>
      </c>
    </row>
    <row r="3632" spans="1:6" x14ac:dyDescent="0.2">
      <c r="A3632" s="17" t="s">
        <v>12087</v>
      </c>
      <c r="B3632" s="18" t="s">
        <v>12088</v>
      </c>
      <c r="C3632" s="17" t="s">
        <v>12086</v>
      </c>
      <c r="D3632" s="19">
        <v>1.72</v>
      </c>
      <c r="F3632" s="3" t="str">
        <f t="shared" si="56"/>
        <v>C0479</v>
      </c>
    </row>
    <row r="3633" spans="1:6" x14ac:dyDescent="0.2">
      <c r="A3633" s="17" t="s">
        <v>12089</v>
      </c>
      <c r="B3633" s="18" t="s">
        <v>12090</v>
      </c>
      <c r="C3633" s="17" t="s">
        <v>12086</v>
      </c>
      <c r="D3633" s="19">
        <v>2</v>
      </c>
      <c r="F3633" s="3" t="str">
        <f t="shared" si="56"/>
        <v>C0480</v>
      </c>
    </row>
    <row r="3634" spans="1:6" x14ac:dyDescent="0.2">
      <c r="A3634" s="17" t="s">
        <v>12091</v>
      </c>
      <c r="B3634" s="18" t="s">
        <v>12092</v>
      </c>
      <c r="C3634" s="17" t="s">
        <v>12086</v>
      </c>
      <c r="D3634" s="19">
        <v>3.38</v>
      </c>
      <c r="F3634" s="3" t="str">
        <f t="shared" si="56"/>
        <v>C0481</v>
      </c>
    </row>
    <row r="3635" spans="1:6" x14ac:dyDescent="0.2">
      <c r="A3635" s="17" t="s">
        <v>12093</v>
      </c>
      <c r="B3635" s="18" t="s">
        <v>12094</v>
      </c>
      <c r="C3635" s="17" t="s">
        <v>12086</v>
      </c>
      <c r="D3635" s="19">
        <v>4.2300000000000004</v>
      </c>
      <c r="F3635" s="3" t="str">
        <f t="shared" si="56"/>
        <v>C0482</v>
      </c>
    </row>
    <row r="3636" spans="1:6" x14ac:dyDescent="0.2">
      <c r="A3636" s="17" t="s">
        <v>12095</v>
      </c>
      <c r="B3636" s="18" t="s">
        <v>12096</v>
      </c>
      <c r="C3636" s="17" t="s">
        <v>12086</v>
      </c>
      <c r="D3636" s="19">
        <v>6.68</v>
      </c>
      <c r="F3636" s="3" t="str">
        <f t="shared" si="56"/>
        <v>C0483</v>
      </c>
    </row>
    <row r="3637" spans="1:6" x14ac:dyDescent="0.2">
      <c r="A3637" s="17" t="s">
        <v>12097</v>
      </c>
      <c r="B3637" s="18" t="s">
        <v>12098</v>
      </c>
      <c r="C3637" s="17" t="s">
        <v>12086</v>
      </c>
      <c r="D3637" s="19">
        <v>11.12</v>
      </c>
      <c r="F3637" s="3" t="str">
        <f t="shared" si="56"/>
        <v>C0484</v>
      </c>
    </row>
    <row r="3638" spans="1:6" x14ac:dyDescent="0.2">
      <c r="A3638" s="17" t="s">
        <v>12099</v>
      </c>
      <c r="B3638" s="18" t="s">
        <v>12100</v>
      </c>
      <c r="C3638" s="17" t="s">
        <v>12086</v>
      </c>
      <c r="D3638" s="19">
        <v>18.04</v>
      </c>
      <c r="F3638" s="3" t="str">
        <f t="shared" si="56"/>
        <v>C0485</v>
      </c>
    </row>
    <row r="3639" spans="1:6" x14ac:dyDescent="0.2">
      <c r="A3639" s="17" t="s">
        <v>12101</v>
      </c>
      <c r="B3639" s="18" t="s">
        <v>12102</v>
      </c>
      <c r="C3639" s="17" t="s">
        <v>12086</v>
      </c>
      <c r="D3639" s="19">
        <v>24.29</v>
      </c>
      <c r="F3639" s="3" t="str">
        <f t="shared" si="56"/>
        <v>C0486</v>
      </c>
    </row>
    <row r="3640" spans="1:6" x14ac:dyDescent="0.2">
      <c r="A3640" s="17" t="s">
        <v>12103</v>
      </c>
      <c r="B3640" s="18" t="s">
        <v>12104</v>
      </c>
      <c r="C3640" s="17" t="s">
        <v>12086</v>
      </c>
      <c r="D3640" s="19">
        <v>22</v>
      </c>
      <c r="F3640" s="3" t="str">
        <f t="shared" si="56"/>
        <v>C0487</v>
      </c>
    </row>
    <row r="3641" spans="1:6" x14ac:dyDescent="0.2">
      <c r="A3641" s="17" t="s">
        <v>12105</v>
      </c>
      <c r="B3641" s="18" t="s">
        <v>12106</v>
      </c>
      <c r="C3641" s="17" t="s">
        <v>26</v>
      </c>
      <c r="D3641" s="19">
        <v>7.17</v>
      </c>
      <c r="F3641" s="3" t="str">
        <f t="shared" si="56"/>
        <v>C0466</v>
      </c>
    </row>
    <row r="3642" spans="1:6" x14ac:dyDescent="0.2">
      <c r="A3642" s="17" t="s">
        <v>12107</v>
      </c>
      <c r="B3642" s="18" t="s">
        <v>12108</v>
      </c>
      <c r="C3642" s="17" t="s">
        <v>26</v>
      </c>
      <c r="D3642" s="19">
        <v>8.32</v>
      </c>
      <c r="F3642" s="3" t="str">
        <f t="shared" si="56"/>
        <v>C0467</v>
      </c>
    </row>
    <row r="3643" spans="1:6" x14ac:dyDescent="0.2">
      <c r="A3643" s="17" t="s">
        <v>12109</v>
      </c>
      <c r="B3643" s="18" t="s">
        <v>12110</v>
      </c>
      <c r="C3643" s="17" t="s">
        <v>26</v>
      </c>
      <c r="D3643" s="19">
        <v>9.82</v>
      </c>
      <c r="F3643" s="3" t="str">
        <f t="shared" si="56"/>
        <v>C0468</v>
      </c>
    </row>
    <row r="3644" spans="1:6" x14ac:dyDescent="0.2">
      <c r="A3644" s="17" t="s">
        <v>12111</v>
      </c>
      <c r="B3644" s="18" t="s">
        <v>12112</v>
      </c>
      <c r="C3644" s="17" t="s">
        <v>26</v>
      </c>
      <c r="D3644" s="19">
        <v>10.98</v>
      </c>
      <c r="F3644" s="3" t="str">
        <f t="shared" si="56"/>
        <v>C0469</v>
      </c>
    </row>
    <row r="3645" spans="1:6" x14ac:dyDescent="0.2">
      <c r="A3645" s="17" t="s">
        <v>12113</v>
      </c>
      <c r="B3645" s="18" t="s">
        <v>12114</v>
      </c>
      <c r="C3645" s="17" t="s">
        <v>26</v>
      </c>
      <c r="D3645" s="19">
        <v>7.54</v>
      </c>
      <c r="F3645" s="3" t="str">
        <f t="shared" si="56"/>
        <v>C3481</v>
      </c>
    </row>
    <row r="3646" spans="1:6" x14ac:dyDescent="0.2">
      <c r="A3646" s="17" t="s">
        <v>12115</v>
      </c>
      <c r="B3646" s="18" t="s">
        <v>12116</v>
      </c>
      <c r="C3646" s="17" t="s">
        <v>26</v>
      </c>
      <c r="D3646" s="19">
        <v>11.61</v>
      </c>
      <c r="F3646" s="3" t="str">
        <f t="shared" si="56"/>
        <v>C3480</v>
      </c>
    </row>
    <row r="3647" spans="1:6" x14ac:dyDescent="0.2">
      <c r="A3647" s="17" t="s">
        <v>12117</v>
      </c>
      <c r="B3647" s="18" t="s">
        <v>12118</v>
      </c>
      <c r="C3647" s="17" t="s">
        <v>26</v>
      </c>
      <c r="D3647" s="19">
        <v>18.75</v>
      </c>
      <c r="F3647" s="3" t="str">
        <f t="shared" si="56"/>
        <v>C3479</v>
      </c>
    </row>
    <row r="3648" spans="1:6" ht="22.5" x14ac:dyDescent="0.2">
      <c r="A3648" s="17" t="s">
        <v>12119</v>
      </c>
      <c r="B3648" s="18" t="s">
        <v>12120</v>
      </c>
      <c r="C3648" s="17" t="s">
        <v>26</v>
      </c>
      <c r="D3648" s="19">
        <v>22.42</v>
      </c>
      <c r="F3648" s="3" t="str">
        <f t="shared" si="56"/>
        <v>C3484</v>
      </c>
    </row>
    <row r="3649" spans="1:6" x14ac:dyDescent="0.2">
      <c r="A3649" s="17">
        <v>0</v>
      </c>
      <c r="B3649" s="18"/>
      <c r="C3649" s="17">
        <v>0</v>
      </c>
      <c r="D3649" s="19">
        <v>0</v>
      </c>
      <c r="F3649" s="3">
        <f t="shared" si="56"/>
        <v>0</v>
      </c>
    </row>
    <row r="3650" spans="1:6" x14ac:dyDescent="0.2">
      <c r="A3650" s="14" t="s">
        <v>12121</v>
      </c>
      <c r="B3650" s="15"/>
      <c r="C3650" s="14">
        <v>0</v>
      </c>
      <c r="D3650" s="16">
        <v>61474.35</v>
      </c>
      <c r="F3650" s="3" t="str">
        <f t="shared" ref="F3650:F3713" si="57">A3650</f>
        <v>QUADROS / CAIXAS</v>
      </c>
    </row>
    <row r="3651" spans="1:6" x14ac:dyDescent="0.2">
      <c r="A3651" s="17" t="s">
        <v>12122</v>
      </c>
      <c r="B3651" s="18" t="s">
        <v>12123</v>
      </c>
      <c r="C3651" s="17" t="s">
        <v>26</v>
      </c>
      <c r="D3651" s="19">
        <v>102.54</v>
      </c>
      <c r="F3651" s="3" t="str">
        <f t="shared" si="57"/>
        <v>C0593</v>
      </c>
    </row>
    <row r="3652" spans="1:6" x14ac:dyDescent="0.2">
      <c r="A3652" s="17" t="s">
        <v>12124</v>
      </c>
      <c r="B3652" s="18" t="s">
        <v>12125</v>
      </c>
      <c r="C3652" s="17" t="s">
        <v>26</v>
      </c>
      <c r="D3652" s="19">
        <v>92.13</v>
      </c>
      <c r="F3652" s="3" t="str">
        <f t="shared" si="57"/>
        <v>C0594</v>
      </c>
    </row>
    <row r="3653" spans="1:6" x14ac:dyDescent="0.2">
      <c r="A3653" s="17" t="s">
        <v>12126</v>
      </c>
      <c r="B3653" s="18" t="s">
        <v>12127</v>
      </c>
      <c r="C3653" s="17" t="s">
        <v>26</v>
      </c>
      <c r="D3653" s="19">
        <v>169.79</v>
      </c>
      <c r="F3653" s="3" t="str">
        <f t="shared" si="57"/>
        <v>C3504</v>
      </c>
    </row>
    <row r="3654" spans="1:6" x14ac:dyDescent="0.2">
      <c r="A3654" s="17" t="s">
        <v>12128</v>
      </c>
      <c r="B3654" s="18" t="s">
        <v>12129</v>
      </c>
      <c r="C3654" s="17" t="s">
        <v>26</v>
      </c>
      <c r="D3654" s="19">
        <v>311.14</v>
      </c>
      <c r="F3654" s="3" t="str">
        <f t="shared" si="57"/>
        <v>C0591</v>
      </c>
    </row>
    <row r="3655" spans="1:6" x14ac:dyDescent="0.2">
      <c r="A3655" s="17" t="s">
        <v>12130</v>
      </c>
      <c r="B3655" s="18" t="s">
        <v>12131</v>
      </c>
      <c r="C3655" s="17" t="s">
        <v>26</v>
      </c>
      <c r="D3655" s="19">
        <v>473.85</v>
      </c>
      <c r="F3655" s="3" t="str">
        <f t="shared" si="57"/>
        <v>C0592</v>
      </c>
    </row>
    <row r="3656" spans="1:6" x14ac:dyDescent="0.2">
      <c r="A3656" s="17" t="s">
        <v>12132</v>
      </c>
      <c r="B3656" s="18" t="s">
        <v>12133</v>
      </c>
      <c r="C3656" s="17" t="s">
        <v>26</v>
      </c>
      <c r="D3656" s="19">
        <v>666.52</v>
      </c>
      <c r="F3656" s="3" t="str">
        <f t="shared" si="57"/>
        <v>C0596</v>
      </c>
    </row>
    <row r="3657" spans="1:6" x14ac:dyDescent="0.2">
      <c r="A3657" s="17" t="s">
        <v>12134</v>
      </c>
      <c r="B3657" s="18" t="s">
        <v>12135</v>
      </c>
      <c r="C3657" s="17" t="s">
        <v>26</v>
      </c>
      <c r="D3657" s="19">
        <v>336.68</v>
      </c>
      <c r="F3657" s="3" t="str">
        <f t="shared" si="57"/>
        <v>C0595</v>
      </c>
    </row>
    <row r="3658" spans="1:6" x14ac:dyDescent="0.2">
      <c r="A3658" s="17" t="s">
        <v>12136</v>
      </c>
      <c r="B3658" s="18" t="s">
        <v>12137</v>
      </c>
      <c r="C3658" s="17" t="s">
        <v>26</v>
      </c>
      <c r="D3658" s="19">
        <v>697.33</v>
      </c>
      <c r="F3658" s="3" t="str">
        <f t="shared" si="57"/>
        <v>C3926</v>
      </c>
    </row>
    <row r="3659" spans="1:6" x14ac:dyDescent="0.2">
      <c r="A3659" s="17" t="s">
        <v>12138</v>
      </c>
      <c r="B3659" s="18" t="s">
        <v>12139</v>
      </c>
      <c r="C3659" s="17" t="s">
        <v>26</v>
      </c>
      <c r="D3659" s="19">
        <v>90.95</v>
      </c>
      <c r="F3659" s="3" t="str">
        <f t="shared" si="57"/>
        <v>C0598</v>
      </c>
    </row>
    <row r="3660" spans="1:6" x14ac:dyDescent="0.2">
      <c r="A3660" s="17" t="s">
        <v>12140</v>
      </c>
      <c r="B3660" s="18" t="s">
        <v>12141</v>
      </c>
      <c r="C3660" s="17" t="s">
        <v>26</v>
      </c>
      <c r="D3660" s="19">
        <v>500.63</v>
      </c>
      <c r="F3660" s="3" t="str">
        <f t="shared" si="57"/>
        <v>C4853</v>
      </c>
    </row>
    <row r="3661" spans="1:6" x14ac:dyDescent="0.2">
      <c r="A3661" s="17" t="s">
        <v>12142</v>
      </c>
      <c r="B3661" s="18" t="s">
        <v>12143</v>
      </c>
      <c r="C3661" s="17" t="s">
        <v>26</v>
      </c>
      <c r="D3661" s="19">
        <v>119.12</v>
      </c>
      <c r="F3661" s="3" t="str">
        <f t="shared" si="57"/>
        <v>C4861</v>
      </c>
    </row>
    <row r="3662" spans="1:6" x14ac:dyDescent="0.2">
      <c r="A3662" s="17" t="s">
        <v>12144</v>
      </c>
      <c r="B3662" s="18" t="s">
        <v>12145</v>
      </c>
      <c r="C3662" s="17" t="s">
        <v>26</v>
      </c>
      <c r="D3662" s="19">
        <v>163.79</v>
      </c>
      <c r="F3662" s="3" t="str">
        <f t="shared" si="57"/>
        <v>C0620</v>
      </c>
    </row>
    <row r="3663" spans="1:6" x14ac:dyDescent="0.2">
      <c r="A3663" s="17" t="s">
        <v>12146</v>
      </c>
      <c r="B3663" s="18" t="s">
        <v>12147</v>
      </c>
      <c r="C3663" s="17" t="s">
        <v>26</v>
      </c>
      <c r="D3663" s="19">
        <v>168.01</v>
      </c>
      <c r="F3663" s="3" t="str">
        <f t="shared" si="57"/>
        <v>C0617</v>
      </c>
    </row>
    <row r="3664" spans="1:6" x14ac:dyDescent="0.2">
      <c r="A3664" s="17" t="s">
        <v>12148</v>
      </c>
      <c r="B3664" s="18" t="s">
        <v>12149</v>
      </c>
      <c r="C3664" s="17" t="s">
        <v>26</v>
      </c>
      <c r="D3664" s="19">
        <v>154.4</v>
      </c>
      <c r="F3664" s="3" t="str">
        <f t="shared" si="57"/>
        <v>C0619</v>
      </c>
    </row>
    <row r="3665" spans="1:6" x14ac:dyDescent="0.2">
      <c r="A3665" s="17" t="s">
        <v>12150</v>
      </c>
      <c r="B3665" s="18" t="s">
        <v>12151</v>
      </c>
      <c r="C3665" s="17" t="s">
        <v>26</v>
      </c>
      <c r="D3665" s="19">
        <v>156.69999999999999</v>
      </c>
      <c r="F3665" s="3" t="str">
        <f t="shared" si="57"/>
        <v>C0618</v>
      </c>
    </row>
    <row r="3666" spans="1:6" x14ac:dyDescent="0.2">
      <c r="A3666" s="17" t="s">
        <v>12152</v>
      </c>
      <c r="B3666" s="18" t="s">
        <v>12153</v>
      </c>
      <c r="C3666" s="17" t="s">
        <v>26</v>
      </c>
      <c r="D3666" s="19">
        <v>8.42</v>
      </c>
      <c r="F3666" s="3" t="str">
        <f t="shared" si="57"/>
        <v>C0621</v>
      </c>
    </row>
    <row r="3667" spans="1:6" x14ac:dyDescent="0.2">
      <c r="A3667" s="17" t="s">
        <v>12154</v>
      </c>
      <c r="B3667" s="18" t="s">
        <v>12155</v>
      </c>
      <c r="C3667" s="17" t="s">
        <v>26</v>
      </c>
      <c r="D3667" s="19">
        <v>16.23</v>
      </c>
      <c r="F3667" s="3" t="str">
        <f t="shared" si="57"/>
        <v>C0616</v>
      </c>
    </row>
    <row r="3668" spans="1:6" x14ac:dyDescent="0.2">
      <c r="A3668" s="17" t="s">
        <v>12156</v>
      </c>
      <c r="B3668" s="18" t="s">
        <v>12157</v>
      </c>
      <c r="C3668" s="17" t="s">
        <v>26</v>
      </c>
      <c r="D3668" s="19">
        <v>17.420000000000002</v>
      </c>
      <c r="F3668" s="3" t="str">
        <f t="shared" si="57"/>
        <v>C0622</v>
      </c>
    </row>
    <row r="3669" spans="1:6" x14ac:dyDescent="0.2">
      <c r="A3669" s="17" t="s">
        <v>12158</v>
      </c>
      <c r="B3669" s="18" t="s">
        <v>12159</v>
      </c>
      <c r="C3669" s="17" t="s">
        <v>26</v>
      </c>
      <c r="D3669" s="19">
        <v>8.85</v>
      </c>
      <c r="F3669" s="3" t="str">
        <f t="shared" si="57"/>
        <v>C4762</v>
      </c>
    </row>
    <row r="3670" spans="1:6" x14ac:dyDescent="0.2">
      <c r="A3670" s="17" t="s">
        <v>12160</v>
      </c>
      <c r="B3670" s="18" t="s">
        <v>12161</v>
      </c>
      <c r="C3670" s="17" t="s">
        <v>26</v>
      </c>
      <c r="D3670" s="19">
        <v>11.18</v>
      </c>
      <c r="F3670" s="3" t="str">
        <f t="shared" si="57"/>
        <v>C4761</v>
      </c>
    </row>
    <row r="3671" spans="1:6" x14ac:dyDescent="0.2">
      <c r="A3671" s="17" t="s">
        <v>12162</v>
      </c>
      <c r="B3671" s="18" t="s">
        <v>12163</v>
      </c>
      <c r="C3671" s="17" t="s">
        <v>26</v>
      </c>
      <c r="D3671" s="19">
        <v>28.5</v>
      </c>
      <c r="F3671" s="3" t="str">
        <f t="shared" si="57"/>
        <v>C0626</v>
      </c>
    </row>
    <row r="3672" spans="1:6" x14ac:dyDescent="0.2">
      <c r="A3672" s="17" t="s">
        <v>49</v>
      </c>
      <c r="B3672" s="18" t="s">
        <v>50</v>
      </c>
      <c r="C3672" s="17" t="s">
        <v>26</v>
      </c>
      <c r="D3672" s="19">
        <v>50.5</v>
      </c>
      <c r="F3672" s="3" t="str">
        <f t="shared" si="57"/>
        <v>C0627</v>
      </c>
    </row>
    <row r="3673" spans="1:6" x14ac:dyDescent="0.2">
      <c r="A3673" s="17" t="s">
        <v>35</v>
      </c>
      <c r="B3673" s="18" t="s">
        <v>36</v>
      </c>
      <c r="C3673" s="17" t="s">
        <v>26</v>
      </c>
      <c r="D3673" s="19">
        <v>82.9</v>
      </c>
      <c r="F3673" s="3" t="str">
        <f t="shared" si="57"/>
        <v>C0628</v>
      </c>
    </row>
    <row r="3674" spans="1:6" x14ac:dyDescent="0.2">
      <c r="A3674" s="17" t="s">
        <v>12164</v>
      </c>
      <c r="B3674" s="18" t="s">
        <v>12165</v>
      </c>
      <c r="C3674" s="17" t="s">
        <v>26</v>
      </c>
      <c r="D3674" s="19">
        <v>177.62</v>
      </c>
      <c r="F3674" s="3" t="str">
        <f t="shared" si="57"/>
        <v>C0629</v>
      </c>
    </row>
    <row r="3675" spans="1:6" x14ac:dyDescent="0.2">
      <c r="A3675" s="17" t="s">
        <v>12166</v>
      </c>
      <c r="B3675" s="18" t="s">
        <v>12167</v>
      </c>
      <c r="C3675" s="17" t="s">
        <v>26</v>
      </c>
      <c r="D3675" s="19">
        <v>222.79</v>
      </c>
      <c r="F3675" s="3" t="str">
        <f t="shared" si="57"/>
        <v>C0630</v>
      </c>
    </row>
    <row r="3676" spans="1:6" x14ac:dyDescent="0.2">
      <c r="A3676" s="17" t="s">
        <v>12168</v>
      </c>
      <c r="B3676" s="18" t="s">
        <v>12169</v>
      </c>
      <c r="C3676" s="17" t="s">
        <v>255</v>
      </c>
      <c r="D3676" s="19">
        <v>165.04</v>
      </c>
      <c r="F3676" s="3" t="str">
        <f t="shared" si="57"/>
        <v>C0636</v>
      </c>
    </row>
    <row r="3677" spans="1:6" x14ac:dyDescent="0.2">
      <c r="A3677" s="17" t="s">
        <v>12170</v>
      </c>
      <c r="B3677" s="18" t="s">
        <v>12171</v>
      </c>
      <c r="C3677" s="17" t="s">
        <v>26</v>
      </c>
      <c r="D3677" s="19">
        <v>38.46</v>
      </c>
      <c r="F3677" s="3" t="str">
        <f t="shared" si="57"/>
        <v>C5175</v>
      </c>
    </row>
    <row r="3678" spans="1:6" x14ac:dyDescent="0.2">
      <c r="A3678" s="17" t="s">
        <v>12172</v>
      </c>
      <c r="B3678" s="18" t="s">
        <v>12173</v>
      </c>
      <c r="C3678" s="17" t="s">
        <v>26</v>
      </c>
      <c r="D3678" s="19">
        <v>43.42</v>
      </c>
      <c r="F3678" s="3" t="str">
        <f t="shared" si="57"/>
        <v>C5176</v>
      </c>
    </row>
    <row r="3679" spans="1:6" ht="22.5" x14ac:dyDescent="0.2">
      <c r="A3679" s="20" t="s">
        <v>12174</v>
      </c>
      <c r="B3679" s="21" t="s">
        <v>12175</v>
      </c>
      <c r="C3679" s="20" t="s">
        <v>26</v>
      </c>
      <c r="D3679" s="22">
        <v>280.08</v>
      </c>
      <c r="F3679" s="3" t="str">
        <f t="shared" si="57"/>
        <v>C0631</v>
      </c>
    </row>
    <row r="3680" spans="1:6" x14ac:dyDescent="0.2">
      <c r="A3680" s="17">
        <v>0</v>
      </c>
      <c r="B3680" s="18"/>
      <c r="C3680" s="17">
        <v>0</v>
      </c>
      <c r="D3680" s="19">
        <v>0</v>
      </c>
      <c r="F3680" s="3">
        <f t="shared" si="57"/>
        <v>0</v>
      </c>
    </row>
    <row r="3681" spans="1:6" ht="22.5" x14ac:dyDescent="0.2">
      <c r="A3681" s="17" t="s">
        <v>12176</v>
      </c>
      <c r="B3681" s="18" t="s">
        <v>12177</v>
      </c>
      <c r="C3681" s="17" t="s">
        <v>26</v>
      </c>
      <c r="D3681" s="19">
        <v>435.28</v>
      </c>
      <c r="F3681" s="3" t="str">
        <f t="shared" si="57"/>
        <v>C0632</v>
      </c>
    </row>
    <row r="3682" spans="1:6" x14ac:dyDescent="0.2">
      <c r="A3682" s="17">
        <v>0</v>
      </c>
      <c r="B3682" s="18"/>
      <c r="C3682" s="17">
        <v>0</v>
      </c>
      <c r="D3682" s="19">
        <v>0</v>
      </c>
      <c r="F3682" s="3">
        <f t="shared" si="57"/>
        <v>0</v>
      </c>
    </row>
    <row r="3683" spans="1:6" ht="22.5" x14ac:dyDescent="0.2">
      <c r="A3683" s="17" t="s">
        <v>12178</v>
      </c>
      <c r="B3683" s="18" t="s">
        <v>12179</v>
      </c>
      <c r="C3683" s="17" t="s">
        <v>26</v>
      </c>
      <c r="D3683" s="19">
        <v>600.25</v>
      </c>
      <c r="F3683" s="3" t="str">
        <f t="shared" si="57"/>
        <v>C0634</v>
      </c>
    </row>
    <row r="3684" spans="1:6" x14ac:dyDescent="0.2">
      <c r="A3684" s="17">
        <v>0</v>
      </c>
      <c r="B3684" s="18"/>
      <c r="C3684" s="17">
        <v>0</v>
      </c>
      <c r="D3684" s="19">
        <v>0</v>
      </c>
      <c r="F3684" s="3">
        <f t="shared" si="57"/>
        <v>0</v>
      </c>
    </row>
    <row r="3685" spans="1:6" x14ac:dyDescent="0.2">
      <c r="A3685" s="17" t="s">
        <v>12180</v>
      </c>
      <c r="B3685" s="18" t="s">
        <v>12181</v>
      </c>
      <c r="C3685" s="17" t="s">
        <v>255</v>
      </c>
      <c r="D3685" s="19">
        <v>256.91000000000003</v>
      </c>
      <c r="F3685" s="3" t="str">
        <f t="shared" si="57"/>
        <v>C0635</v>
      </c>
    </row>
    <row r="3686" spans="1:6" ht="22.5" x14ac:dyDescent="0.2">
      <c r="A3686" s="17" t="s">
        <v>12182</v>
      </c>
      <c r="B3686" s="18" t="s">
        <v>12183</v>
      </c>
      <c r="C3686" s="17" t="s">
        <v>26</v>
      </c>
      <c r="D3686" s="19">
        <v>473.51</v>
      </c>
      <c r="F3686" s="3" t="str">
        <f t="shared" si="57"/>
        <v>C0624</v>
      </c>
    </row>
    <row r="3687" spans="1:6" x14ac:dyDescent="0.2">
      <c r="A3687" s="17">
        <v>0</v>
      </c>
      <c r="B3687" s="18"/>
      <c r="C3687" s="17">
        <v>0</v>
      </c>
      <c r="D3687" s="19">
        <v>0</v>
      </c>
      <c r="F3687" s="3">
        <f t="shared" si="57"/>
        <v>0</v>
      </c>
    </row>
    <row r="3688" spans="1:6" ht="22.5" x14ac:dyDescent="0.2">
      <c r="A3688" s="17" t="s">
        <v>12184</v>
      </c>
      <c r="B3688" s="18" t="s">
        <v>12185</v>
      </c>
      <c r="C3688" s="17" t="s">
        <v>26</v>
      </c>
      <c r="D3688" s="19">
        <v>676.44</v>
      </c>
      <c r="F3688" s="3" t="str">
        <f t="shared" si="57"/>
        <v>C0625</v>
      </c>
    </row>
    <row r="3689" spans="1:6" x14ac:dyDescent="0.2">
      <c r="A3689" s="17">
        <v>0</v>
      </c>
      <c r="B3689" s="18"/>
      <c r="C3689" s="17">
        <v>0</v>
      </c>
      <c r="D3689" s="19">
        <v>0</v>
      </c>
      <c r="F3689" s="3">
        <f t="shared" si="57"/>
        <v>0</v>
      </c>
    </row>
    <row r="3690" spans="1:6" ht="22.5" x14ac:dyDescent="0.2">
      <c r="A3690" s="17" t="s">
        <v>12186</v>
      </c>
      <c r="B3690" s="18" t="s">
        <v>12187</v>
      </c>
      <c r="C3690" s="17" t="s">
        <v>26</v>
      </c>
      <c r="D3690" s="19">
        <v>881.67</v>
      </c>
      <c r="F3690" s="3" t="str">
        <f t="shared" si="57"/>
        <v>C0633</v>
      </c>
    </row>
    <row r="3691" spans="1:6" x14ac:dyDescent="0.2">
      <c r="A3691" s="17">
        <v>0</v>
      </c>
      <c r="B3691" s="18"/>
      <c r="C3691" s="17">
        <v>0</v>
      </c>
      <c r="D3691" s="19">
        <v>0</v>
      </c>
      <c r="F3691" s="3">
        <f t="shared" si="57"/>
        <v>0</v>
      </c>
    </row>
    <row r="3692" spans="1:6" ht="22.5" x14ac:dyDescent="0.2">
      <c r="A3692" s="17" t="s">
        <v>12188</v>
      </c>
      <c r="B3692" s="18" t="s">
        <v>12189</v>
      </c>
      <c r="C3692" s="17" t="s">
        <v>26</v>
      </c>
      <c r="D3692" s="19">
        <v>91.01</v>
      </c>
      <c r="F3692" s="3" t="str">
        <f t="shared" si="57"/>
        <v>C4836</v>
      </c>
    </row>
    <row r="3693" spans="1:6" x14ac:dyDescent="0.2">
      <c r="A3693" s="17">
        <v>0</v>
      </c>
      <c r="B3693" s="18"/>
      <c r="C3693" s="17">
        <v>0</v>
      </c>
      <c r="D3693" s="19">
        <v>0</v>
      </c>
      <c r="F3693" s="3">
        <f t="shared" si="57"/>
        <v>0</v>
      </c>
    </row>
    <row r="3694" spans="1:6" ht="33.75" x14ac:dyDescent="0.2">
      <c r="A3694" s="17" t="s">
        <v>12190</v>
      </c>
      <c r="B3694" s="18" t="s">
        <v>12191</v>
      </c>
      <c r="C3694" s="17" t="s">
        <v>26</v>
      </c>
      <c r="D3694" s="19">
        <v>166.61</v>
      </c>
      <c r="F3694" s="3" t="str">
        <f t="shared" si="57"/>
        <v>C4837</v>
      </c>
    </row>
    <row r="3695" spans="1:6" x14ac:dyDescent="0.2">
      <c r="A3695" s="17">
        <v>0</v>
      </c>
      <c r="B3695" s="18"/>
      <c r="C3695" s="17">
        <v>0</v>
      </c>
      <c r="D3695" s="19">
        <v>0</v>
      </c>
      <c r="F3695" s="3">
        <f t="shared" si="57"/>
        <v>0</v>
      </c>
    </row>
    <row r="3696" spans="1:6" ht="33.75" x14ac:dyDescent="0.2">
      <c r="A3696" s="17" t="s">
        <v>12192</v>
      </c>
      <c r="B3696" s="18" t="s">
        <v>12193</v>
      </c>
      <c r="C3696" s="17" t="s">
        <v>26</v>
      </c>
      <c r="D3696" s="19">
        <v>242.25</v>
      </c>
      <c r="F3696" s="3" t="str">
        <f t="shared" si="57"/>
        <v>C4838</v>
      </c>
    </row>
    <row r="3697" spans="1:6" x14ac:dyDescent="0.2">
      <c r="A3697" s="17">
        <v>0</v>
      </c>
      <c r="B3697" s="18"/>
      <c r="C3697" s="17">
        <v>0</v>
      </c>
      <c r="D3697" s="19">
        <v>0</v>
      </c>
      <c r="F3697" s="3">
        <f t="shared" si="57"/>
        <v>0</v>
      </c>
    </row>
    <row r="3698" spans="1:6" ht="22.5" x14ac:dyDescent="0.2">
      <c r="A3698" s="17" t="s">
        <v>12194</v>
      </c>
      <c r="B3698" s="18" t="s">
        <v>12195</v>
      </c>
      <c r="C3698" s="17" t="s">
        <v>26</v>
      </c>
      <c r="D3698" s="19">
        <v>312</v>
      </c>
      <c r="F3698" s="3" t="str">
        <f t="shared" si="57"/>
        <v>C4839</v>
      </c>
    </row>
    <row r="3699" spans="1:6" x14ac:dyDescent="0.2">
      <c r="A3699" s="17">
        <v>0</v>
      </c>
      <c r="B3699" s="18"/>
      <c r="C3699" s="17">
        <v>0</v>
      </c>
      <c r="D3699" s="19">
        <v>0</v>
      </c>
      <c r="F3699" s="3">
        <f t="shared" si="57"/>
        <v>0</v>
      </c>
    </row>
    <row r="3700" spans="1:6" ht="33.75" x14ac:dyDescent="0.2">
      <c r="A3700" s="17" t="s">
        <v>12196</v>
      </c>
      <c r="B3700" s="18" t="s">
        <v>12197</v>
      </c>
      <c r="C3700" s="17" t="s">
        <v>26</v>
      </c>
      <c r="D3700" s="19">
        <v>498.14</v>
      </c>
      <c r="F3700" s="3" t="str">
        <f t="shared" si="57"/>
        <v>C4840</v>
      </c>
    </row>
    <row r="3701" spans="1:6" x14ac:dyDescent="0.2">
      <c r="A3701" s="17">
        <v>0</v>
      </c>
      <c r="B3701" s="18"/>
      <c r="C3701" s="17">
        <v>0</v>
      </c>
      <c r="D3701" s="19">
        <v>0</v>
      </c>
      <c r="F3701" s="3">
        <f t="shared" si="57"/>
        <v>0</v>
      </c>
    </row>
    <row r="3702" spans="1:6" ht="22.5" x14ac:dyDescent="0.2">
      <c r="A3702" s="17" t="s">
        <v>12198</v>
      </c>
      <c r="B3702" s="18" t="s">
        <v>12199</v>
      </c>
      <c r="C3702" s="17" t="s">
        <v>26</v>
      </c>
      <c r="D3702" s="19">
        <v>86.21</v>
      </c>
      <c r="F3702" s="3" t="str">
        <f t="shared" si="57"/>
        <v>C4841</v>
      </c>
    </row>
    <row r="3703" spans="1:6" x14ac:dyDescent="0.2">
      <c r="A3703" s="17">
        <v>0</v>
      </c>
      <c r="B3703" s="18"/>
      <c r="C3703" s="17">
        <v>0</v>
      </c>
      <c r="D3703" s="19">
        <v>0</v>
      </c>
      <c r="F3703" s="3">
        <f t="shared" si="57"/>
        <v>0</v>
      </c>
    </row>
    <row r="3704" spans="1:6" ht="33.75" x14ac:dyDescent="0.2">
      <c r="A3704" s="17" t="s">
        <v>12200</v>
      </c>
      <c r="B3704" s="18" t="s">
        <v>12201</v>
      </c>
      <c r="C3704" s="17" t="s">
        <v>26</v>
      </c>
      <c r="D3704" s="19">
        <v>157.01</v>
      </c>
      <c r="F3704" s="3" t="str">
        <f t="shared" si="57"/>
        <v>C4842</v>
      </c>
    </row>
    <row r="3705" spans="1:6" x14ac:dyDescent="0.2">
      <c r="A3705" s="17">
        <v>0</v>
      </c>
      <c r="B3705" s="18"/>
      <c r="C3705" s="17">
        <v>0</v>
      </c>
      <c r="D3705" s="19">
        <v>0</v>
      </c>
      <c r="F3705" s="3">
        <f t="shared" si="57"/>
        <v>0</v>
      </c>
    </row>
    <row r="3706" spans="1:6" ht="22.5" x14ac:dyDescent="0.2">
      <c r="A3706" s="17" t="s">
        <v>12202</v>
      </c>
      <c r="B3706" s="18" t="s">
        <v>12203</v>
      </c>
      <c r="C3706" s="17" t="s">
        <v>26</v>
      </c>
      <c r="D3706" s="19">
        <v>223.06</v>
      </c>
      <c r="F3706" s="3" t="str">
        <f t="shared" si="57"/>
        <v>C4843</v>
      </c>
    </row>
    <row r="3707" spans="1:6" x14ac:dyDescent="0.2">
      <c r="A3707" s="17">
        <v>0</v>
      </c>
      <c r="B3707" s="18"/>
      <c r="C3707" s="17">
        <v>0</v>
      </c>
      <c r="D3707" s="19">
        <v>0</v>
      </c>
      <c r="F3707" s="3">
        <f t="shared" si="57"/>
        <v>0</v>
      </c>
    </row>
    <row r="3708" spans="1:6" ht="22.5" x14ac:dyDescent="0.2">
      <c r="A3708" s="17" t="s">
        <v>12204</v>
      </c>
      <c r="B3708" s="18" t="s">
        <v>12205</v>
      </c>
      <c r="C3708" s="17" t="s">
        <v>26</v>
      </c>
      <c r="D3708" s="19">
        <v>288.01</v>
      </c>
      <c r="F3708" s="3" t="str">
        <f t="shared" si="57"/>
        <v>C4844</v>
      </c>
    </row>
    <row r="3709" spans="1:6" x14ac:dyDescent="0.2">
      <c r="A3709" s="17">
        <v>0</v>
      </c>
      <c r="B3709" s="18"/>
      <c r="C3709" s="17">
        <v>0</v>
      </c>
      <c r="D3709" s="19">
        <v>0</v>
      </c>
      <c r="F3709" s="3">
        <f t="shared" si="57"/>
        <v>0</v>
      </c>
    </row>
    <row r="3710" spans="1:6" ht="22.5" x14ac:dyDescent="0.2">
      <c r="A3710" s="17" t="s">
        <v>12206</v>
      </c>
      <c r="B3710" s="18" t="s">
        <v>12207</v>
      </c>
      <c r="C3710" s="17" t="s">
        <v>26</v>
      </c>
      <c r="D3710" s="19">
        <v>459.77</v>
      </c>
      <c r="F3710" s="3" t="str">
        <f t="shared" si="57"/>
        <v>C4845</v>
      </c>
    </row>
    <row r="3711" spans="1:6" x14ac:dyDescent="0.2">
      <c r="A3711" s="17">
        <v>0</v>
      </c>
      <c r="B3711" s="18"/>
      <c r="C3711" s="17">
        <v>0</v>
      </c>
      <c r="D3711" s="19">
        <v>0</v>
      </c>
      <c r="F3711" s="3">
        <f t="shared" si="57"/>
        <v>0</v>
      </c>
    </row>
    <row r="3712" spans="1:6" x14ac:dyDescent="0.2">
      <c r="A3712" s="17" t="s">
        <v>12208</v>
      </c>
      <c r="B3712" s="18" t="s">
        <v>12209</v>
      </c>
      <c r="C3712" s="17" t="s">
        <v>26</v>
      </c>
      <c r="D3712" s="19">
        <v>996.06</v>
      </c>
      <c r="F3712" s="3" t="str">
        <f t="shared" si="57"/>
        <v>C3927</v>
      </c>
    </row>
    <row r="3713" spans="1:6" x14ac:dyDescent="0.2">
      <c r="A3713" s="17" t="s">
        <v>12210</v>
      </c>
      <c r="B3713" s="18" t="s">
        <v>12211</v>
      </c>
      <c r="C3713" s="17" t="s">
        <v>26</v>
      </c>
      <c r="D3713" s="19">
        <v>1692.99</v>
      </c>
      <c r="F3713" s="3" t="str">
        <f t="shared" si="57"/>
        <v>C3928</v>
      </c>
    </row>
    <row r="3714" spans="1:6" x14ac:dyDescent="0.2">
      <c r="A3714" s="17" t="s">
        <v>12212</v>
      </c>
      <c r="B3714" s="18" t="s">
        <v>12213</v>
      </c>
      <c r="C3714" s="17" t="s">
        <v>26</v>
      </c>
      <c r="D3714" s="19">
        <v>217.89</v>
      </c>
      <c r="F3714" s="3" t="str">
        <f t="shared" ref="F3714:F3777" si="58">A3714</f>
        <v>C0654</v>
      </c>
    </row>
    <row r="3715" spans="1:6" x14ac:dyDescent="0.2">
      <c r="A3715" s="17" t="s">
        <v>12214</v>
      </c>
      <c r="B3715" s="18" t="s">
        <v>12215</v>
      </c>
      <c r="C3715" s="17" t="s">
        <v>26</v>
      </c>
      <c r="D3715" s="19">
        <v>19.559999999999999</v>
      </c>
      <c r="F3715" s="3" t="str">
        <f t="shared" si="58"/>
        <v>C0856</v>
      </c>
    </row>
    <row r="3716" spans="1:6" x14ac:dyDescent="0.2">
      <c r="A3716" s="20" t="s">
        <v>12216</v>
      </c>
      <c r="B3716" s="21" t="s">
        <v>12217</v>
      </c>
      <c r="C3716" s="20" t="s">
        <v>26</v>
      </c>
      <c r="D3716" s="22">
        <v>23.9</v>
      </c>
      <c r="F3716" s="3" t="str">
        <f t="shared" si="58"/>
        <v>C0857</v>
      </c>
    </row>
    <row r="3717" spans="1:6" x14ac:dyDescent="0.2">
      <c r="A3717" s="17" t="s">
        <v>12218</v>
      </c>
      <c r="B3717" s="18" t="s">
        <v>12219</v>
      </c>
      <c r="C3717" s="17" t="s">
        <v>26</v>
      </c>
      <c r="D3717" s="19">
        <v>30.02</v>
      </c>
      <c r="F3717" s="3" t="str">
        <f t="shared" si="58"/>
        <v>C0855</v>
      </c>
    </row>
    <row r="3718" spans="1:6" x14ac:dyDescent="0.2">
      <c r="A3718" s="17" t="s">
        <v>12220</v>
      </c>
      <c r="B3718" s="18" t="s">
        <v>12221</v>
      </c>
      <c r="C3718" s="17" t="s">
        <v>1284</v>
      </c>
      <c r="D3718" s="19">
        <v>143.08000000000001</v>
      </c>
      <c r="F3718" s="3" t="str">
        <f t="shared" si="58"/>
        <v>C1406</v>
      </c>
    </row>
    <row r="3719" spans="1:6" x14ac:dyDescent="0.2">
      <c r="A3719" s="17" t="s">
        <v>12222</v>
      </c>
      <c r="B3719" s="18" t="s">
        <v>12223</v>
      </c>
      <c r="C3719" s="17" t="s">
        <v>26</v>
      </c>
      <c r="D3719" s="19">
        <v>2950.72</v>
      </c>
      <c r="F3719" s="3" t="str">
        <f t="shared" si="58"/>
        <v>C3781</v>
      </c>
    </row>
    <row r="3720" spans="1:6" x14ac:dyDescent="0.2">
      <c r="A3720" s="17" t="s">
        <v>12224</v>
      </c>
      <c r="B3720" s="18" t="s">
        <v>12225</v>
      </c>
      <c r="C3720" s="17" t="s">
        <v>26</v>
      </c>
      <c r="D3720" s="19">
        <v>5.55</v>
      </c>
      <c r="F3720" s="3" t="str">
        <f t="shared" si="58"/>
        <v>C3564</v>
      </c>
    </row>
    <row r="3721" spans="1:6" x14ac:dyDescent="0.2">
      <c r="A3721" s="17" t="s">
        <v>12226</v>
      </c>
      <c r="B3721" s="18" t="s">
        <v>12227</v>
      </c>
      <c r="C3721" s="17" t="s">
        <v>26</v>
      </c>
      <c r="D3721" s="19">
        <v>87.16</v>
      </c>
      <c r="F3721" s="3" t="str">
        <f t="shared" si="58"/>
        <v>C3578</v>
      </c>
    </row>
    <row r="3722" spans="1:6" x14ac:dyDescent="0.2">
      <c r="A3722" s="17" t="s">
        <v>12228</v>
      </c>
      <c r="B3722" s="18" t="s">
        <v>12229</v>
      </c>
      <c r="C3722" s="17" t="s">
        <v>26</v>
      </c>
      <c r="D3722" s="19">
        <v>18.86</v>
      </c>
      <c r="F3722" s="3" t="str">
        <f t="shared" si="58"/>
        <v>C1895</v>
      </c>
    </row>
    <row r="3723" spans="1:6" x14ac:dyDescent="0.2">
      <c r="A3723" s="17" t="s">
        <v>12230</v>
      </c>
      <c r="B3723" s="18" t="s">
        <v>12231</v>
      </c>
      <c r="C3723" s="17" t="s">
        <v>26</v>
      </c>
      <c r="D3723" s="19">
        <v>25.52</v>
      </c>
      <c r="F3723" s="3" t="str">
        <f t="shared" si="58"/>
        <v>C1890</v>
      </c>
    </row>
    <row r="3724" spans="1:6" x14ac:dyDescent="0.2">
      <c r="A3724" s="17" t="s">
        <v>12232</v>
      </c>
      <c r="B3724" s="18" t="s">
        <v>12233</v>
      </c>
      <c r="C3724" s="17" t="s">
        <v>26</v>
      </c>
      <c r="D3724" s="19">
        <v>34.65</v>
      </c>
      <c r="F3724" s="3" t="str">
        <f t="shared" si="58"/>
        <v>C1894</v>
      </c>
    </row>
    <row r="3725" spans="1:6" x14ac:dyDescent="0.2">
      <c r="A3725" s="17" t="s">
        <v>12234</v>
      </c>
      <c r="B3725" s="18" t="s">
        <v>12235</v>
      </c>
      <c r="C3725" s="17" t="s">
        <v>26</v>
      </c>
      <c r="D3725" s="19">
        <v>50.63</v>
      </c>
      <c r="F3725" s="3" t="str">
        <f t="shared" si="58"/>
        <v>C1893</v>
      </c>
    </row>
    <row r="3726" spans="1:6" x14ac:dyDescent="0.2">
      <c r="A3726" s="17" t="s">
        <v>12236</v>
      </c>
      <c r="B3726" s="18" t="s">
        <v>12237</v>
      </c>
      <c r="C3726" s="17" t="s">
        <v>26</v>
      </c>
      <c r="D3726" s="19">
        <v>57.01</v>
      </c>
      <c r="F3726" s="3" t="str">
        <f t="shared" si="58"/>
        <v>C1892</v>
      </c>
    </row>
    <row r="3727" spans="1:6" x14ac:dyDescent="0.2">
      <c r="A3727" s="17" t="s">
        <v>12238</v>
      </c>
      <c r="B3727" s="18" t="s">
        <v>12239</v>
      </c>
      <c r="C3727" s="17" t="s">
        <v>26</v>
      </c>
      <c r="D3727" s="19">
        <v>77.64</v>
      </c>
      <c r="F3727" s="3" t="str">
        <f t="shared" si="58"/>
        <v>C1896</v>
      </c>
    </row>
    <row r="3728" spans="1:6" x14ac:dyDescent="0.2">
      <c r="A3728" s="17" t="s">
        <v>12240</v>
      </c>
      <c r="B3728" s="18" t="s">
        <v>12241</v>
      </c>
      <c r="C3728" s="17" t="s">
        <v>26</v>
      </c>
      <c r="D3728" s="19">
        <v>132.87</v>
      </c>
      <c r="F3728" s="3" t="str">
        <f t="shared" si="58"/>
        <v>C1887</v>
      </c>
    </row>
    <row r="3729" spans="1:6" x14ac:dyDescent="0.2">
      <c r="A3729" s="17" t="s">
        <v>12242</v>
      </c>
      <c r="B3729" s="18" t="s">
        <v>12243</v>
      </c>
      <c r="C3729" s="17" t="s">
        <v>26</v>
      </c>
      <c r="D3729" s="19">
        <v>180.26</v>
      </c>
      <c r="F3729" s="3" t="str">
        <f t="shared" si="58"/>
        <v>C1889</v>
      </c>
    </row>
    <row r="3730" spans="1:6" x14ac:dyDescent="0.2">
      <c r="A3730" s="17" t="s">
        <v>12244</v>
      </c>
      <c r="B3730" s="18" t="s">
        <v>12245</v>
      </c>
      <c r="C3730" s="17" t="s">
        <v>26</v>
      </c>
      <c r="D3730" s="19">
        <v>196.39</v>
      </c>
      <c r="F3730" s="3" t="str">
        <f t="shared" si="58"/>
        <v>C1888</v>
      </c>
    </row>
    <row r="3731" spans="1:6" x14ac:dyDescent="0.2">
      <c r="A3731" s="17" t="s">
        <v>12246</v>
      </c>
      <c r="B3731" s="18" t="s">
        <v>12247</v>
      </c>
      <c r="C3731" s="17" t="s">
        <v>26</v>
      </c>
      <c r="D3731" s="19">
        <v>310.20999999999998</v>
      </c>
      <c r="F3731" s="3" t="str">
        <f t="shared" si="58"/>
        <v>C1891</v>
      </c>
    </row>
    <row r="3732" spans="1:6" x14ac:dyDescent="0.2">
      <c r="A3732" s="17" t="s">
        <v>12248</v>
      </c>
      <c r="B3732" s="18" t="s">
        <v>12249</v>
      </c>
      <c r="C3732" s="17" t="s">
        <v>26</v>
      </c>
      <c r="D3732" s="19">
        <v>21.77</v>
      </c>
      <c r="F3732" s="3" t="str">
        <f t="shared" si="58"/>
        <v>C1946</v>
      </c>
    </row>
    <row r="3733" spans="1:6" x14ac:dyDescent="0.2">
      <c r="A3733" s="17" t="s">
        <v>12250</v>
      </c>
      <c r="B3733" s="18" t="s">
        <v>12251</v>
      </c>
      <c r="C3733" s="17" t="s">
        <v>26</v>
      </c>
      <c r="D3733" s="19">
        <v>170.32</v>
      </c>
      <c r="F3733" s="3" t="str">
        <f t="shared" si="58"/>
        <v>C2064</v>
      </c>
    </row>
    <row r="3734" spans="1:6" x14ac:dyDescent="0.2">
      <c r="A3734" s="17" t="s">
        <v>12252</v>
      </c>
      <c r="B3734" s="18" t="s">
        <v>12253</v>
      </c>
      <c r="C3734" s="17" t="s">
        <v>26</v>
      </c>
      <c r="D3734" s="19">
        <v>1736.01</v>
      </c>
      <c r="F3734" s="3" t="str">
        <f t="shared" si="58"/>
        <v>C2090</v>
      </c>
    </row>
    <row r="3735" spans="1:6" x14ac:dyDescent="0.2">
      <c r="A3735" s="17" t="s">
        <v>12254</v>
      </c>
      <c r="B3735" s="18" t="s">
        <v>12255</v>
      </c>
      <c r="C3735" s="17" t="s">
        <v>26</v>
      </c>
      <c r="D3735" s="19">
        <v>1577.77</v>
      </c>
      <c r="F3735" s="3" t="str">
        <f t="shared" si="58"/>
        <v>C2092</v>
      </c>
    </row>
    <row r="3736" spans="1:6" x14ac:dyDescent="0.2">
      <c r="A3736" s="17" t="s">
        <v>12256</v>
      </c>
      <c r="B3736" s="18" t="s">
        <v>12257</v>
      </c>
      <c r="C3736" s="17" t="s">
        <v>26</v>
      </c>
      <c r="D3736" s="19">
        <v>1601.48</v>
      </c>
      <c r="F3736" s="3" t="str">
        <f t="shared" si="58"/>
        <v>C2091</v>
      </c>
    </row>
    <row r="3737" spans="1:6" x14ac:dyDescent="0.2">
      <c r="A3737" s="17" t="s">
        <v>12258</v>
      </c>
      <c r="B3737" s="18" t="s">
        <v>12259</v>
      </c>
      <c r="C3737" s="17" t="s">
        <v>26</v>
      </c>
      <c r="D3737" s="19">
        <v>405.43</v>
      </c>
      <c r="F3737" s="3" t="str">
        <f t="shared" si="58"/>
        <v>C2065</v>
      </c>
    </row>
    <row r="3738" spans="1:6" x14ac:dyDescent="0.2">
      <c r="A3738" s="17" t="s">
        <v>12260</v>
      </c>
      <c r="B3738" s="18" t="s">
        <v>12261</v>
      </c>
      <c r="C3738" s="17" t="s">
        <v>26</v>
      </c>
      <c r="D3738" s="19">
        <v>82.93</v>
      </c>
      <c r="F3738" s="3" t="str">
        <f t="shared" si="58"/>
        <v>C2076</v>
      </c>
    </row>
    <row r="3739" spans="1:6" x14ac:dyDescent="0.2">
      <c r="A3739" s="17" t="s">
        <v>12262</v>
      </c>
      <c r="B3739" s="18" t="s">
        <v>12263</v>
      </c>
      <c r="C3739" s="17" t="s">
        <v>26</v>
      </c>
      <c r="D3739" s="19">
        <v>98.94</v>
      </c>
      <c r="F3739" s="3" t="str">
        <f t="shared" si="58"/>
        <v>C2078</v>
      </c>
    </row>
    <row r="3740" spans="1:6" x14ac:dyDescent="0.2">
      <c r="A3740" s="17" t="s">
        <v>12264</v>
      </c>
      <c r="B3740" s="18" t="s">
        <v>12265</v>
      </c>
      <c r="C3740" s="17" t="s">
        <v>26</v>
      </c>
      <c r="D3740" s="19">
        <v>214.51</v>
      </c>
      <c r="F3740" s="3" t="str">
        <f t="shared" si="58"/>
        <v>C2066</v>
      </c>
    </row>
    <row r="3741" spans="1:6" x14ac:dyDescent="0.2">
      <c r="A3741" s="17" t="s">
        <v>12266</v>
      </c>
      <c r="B3741" s="18" t="s">
        <v>12267</v>
      </c>
      <c r="C3741" s="17" t="s">
        <v>26</v>
      </c>
      <c r="D3741" s="19">
        <v>214.51</v>
      </c>
      <c r="F3741" s="3" t="str">
        <f t="shared" si="58"/>
        <v>C2077</v>
      </c>
    </row>
    <row r="3742" spans="1:6" x14ac:dyDescent="0.2">
      <c r="A3742" s="17" t="s">
        <v>12268</v>
      </c>
      <c r="B3742" s="18" t="s">
        <v>12269</v>
      </c>
      <c r="C3742" s="17" t="s">
        <v>26</v>
      </c>
      <c r="D3742" s="19">
        <v>314.31</v>
      </c>
      <c r="F3742" s="3" t="str">
        <f t="shared" si="58"/>
        <v>C2067</v>
      </c>
    </row>
    <row r="3743" spans="1:6" x14ac:dyDescent="0.2">
      <c r="A3743" s="17">
        <v>0</v>
      </c>
      <c r="B3743" s="18"/>
      <c r="C3743" s="17">
        <v>0</v>
      </c>
      <c r="D3743" s="19">
        <v>0</v>
      </c>
      <c r="F3743" s="3">
        <f t="shared" si="58"/>
        <v>0</v>
      </c>
    </row>
    <row r="3744" spans="1:6" x14ac:dyDescent="0.2">
      <c r="A3744" s="17" t="s">
        <v>12270</v>
      </c>
      <c r="B3744" s="18" t="s">
        <v>12271</v>
      </c>
      <c r="C3744" s="17" t="s">
        <v>26</v>
      </c>
      <c r="D3744" s="19">
        <v>382.16</v>
      </c>
      <c r="F3744" s="3" t="str">
        <f t="shared" si="58"/>
        <v>C2068</v>
      </c>
    </row>
    <row r="3745" spans="1:6" x14ac:dyDescent="0.2">
      <c r="A3745" s="17">
        <v>0</v>
      </c>
      <c r="B3745" s="18"/>
      <c r="C3745" s="17">
        <v>0</v>
      </c>
      <c r="D3745" s="19">
        <v>0</v>
      </c>
      <c r="F3745" s="3">
        <f t="shared" si="58"/>
        <v>0</v>
      </c>
    </row>
    <row r="3746" spans="1:6" x14ac:dyDescent="0.2">
      <c r="A3746" s="17" t="s">
        <v>12272</v>
      </c>
      <c r="B3746" s="18" t="s">
        <v>12273</v>
      </c>
      <c r="C3746" s="17" t="s">
        <v>26</v>
      </c>
      <c r="D3746" s="19">
        <v>464.68</v>
      </c>
      <c r="F3746" s="3" t="str">
        <f t="shared" si="58"/>
        <v>C2069</v>
      </c>
    </row>
    <row r="3747" spans="1:6" x14ac:dyDescent="0.2">
      <c r="A3747" s="17">
        <v>0</v>
      </c>
      <c r="B3747" s="18"/>
      <c r="C3747" s="17">
        <v>0</v>
      </c>
      <c r="D3747" s="19">
        <v>0</v>
      </c>
      <c r="F3747" s="3">
        <f t="shared" si="58"/>
        <v>0</v>
      </c>
    </row>
    <row r="3748" spans="1:6" x14ac:dyDescent="0.2">
      <c r="A3748" s="17" t="s">
        <v>12274</v>
      </c>
      <c r="B3748" s="18" t="s">
        <v>12275</v>
      </c>
      <c r="C3748" s="17" t="s">
        <v>26</v>
      </c>
      <c r="D3748" s="19">
        <v>774.14</v>
      </c>
      <c r="F3748" s="3" t="str">
        <f t="shared" si="58"/>
        <v>C2071</v>
      </c>
    </row>
    <row r="3749" spans="1:6" x14ac:dyDescent="0.2">
      <c r="A3749" s="17">
        <v>0</v>
      </c>
      <c r="B3749" s="18"/>
      <c r="C3749" s="17">
        <v>0</v>
      </c>
      <c r="D3749" s="19">
        <v>0</v>
      </c>
      <c r="F3749" s="3">
        <f t="shared" si="58"/>
        <v>0</v>
      </c>
    </row>
    <row r="3750" spans="1:6" x14ac:dyDescent="0.2">
      <c r="A3750" s="17" t="s">
        <v>12276</v>
      </c>
      <c r="B3750" s="18" t="s">
        <v>12277</v>
      </c>
      <c r="C3750" s="17" t="s">
        <v>26</v>
      </c>
      <c r="D3750" s="19">
        <v>810.74</v>
      </c>
      <c r="F3750" s="3" t="str">
        <f t="shared" si="58"/>
        <v>C2070</v>
      </c>
    </row>
    <row r="3751" spans="1:6" x14ac:dyDescent="0.2">
      <c r="A3751" s="17">
        <v>0</v>
      </c>
      <c r="B3751" s="18"/>
      <c r="C3751" s="17">
        <v>0</v>
      </c>
      <c r="D3751" s="19">
        <v>0</v>
      </c>
      <c r="F3751" s="3">
        <f t="shared" si="58"/>
        <v>0</v>
      </c>
    </row>
    <row r="3752" spans="1:6" x14ac:dyDescent="0.2">
      <c r="A3752" s="17" t="s">
        <v>12278</v>
      </c>
      <c r="B3752" s="18" t="s">
        <v>12279</v>
      </c>
      <c r="C3752" s="17" t="s">
        <v>26</v>
      </c>
      <c r="D3752" s="19">
        <v>335.25</v>
      </c>
      <c r="F3752" s="3" t="str">
        <f t="shared" si="58"/>
        <v>C2072</v>
      </c>
    </row>
    <row r="3753" spans="1:6" x14ac:dyDescent="0.2">
      <c r="A3753" s="17">
        <v>0</v>
      </c>
      <c r="B3753" s="18"/>
      <c r="C3753" s="17">
        <v>0</v>
      </c>
      <c r="D3753" s="19">
        <v>0</v>
      </c>
      <c r="F3753" s="3">
        <f t="shared" si="58"/>
        <v>0</v>
      </c>
    </row>
    <row r="3754" spans="1:6" x14ac:dyDescent="0.2">
      <c r="A3754" s="17" t="s">
        <v>12280</v>
      </c>
      <c r="B3754" s="18" t="s">
        <v>12281</v>
      </c>
      <c r="C3754" s="17" t="s">
        <v>26</v>
      </c>
      <c r="D3754" s="19">
        <v>446.73</v>
      </c>
      <c r="F3754" s="3" t="str">
        <f t="shared" si="58"/>
        <v>C2075</v>
      </c>
    </row>
    <row r="3755" spans="1:6" x14ac:dyDescent="0.2">
      <c r="A3755" s="17">
        <v>0</v>
      </c>
      <c r="B3755" s="18"/>
      <c r="C3755" s="17">
        <v>0</v>
      </c>
      <c r="D3755" s="19">
        <v>0</v>
      </c>
      <c r="F3755" s="3">
        <f t="shared" si="58"/>
        <v>0</v>
      </c>
    </row>
    <row r="3756" spans="1:6" x14ac:dyDescent="0.2">
      <c r="A3756" s="17" t="s">
        <v>12282</v>
      </c>
      <c r="B3756" s="18" t="s">
        <v>12283</v>
      </c>
      <c r="C3756" s="17" t="s">
        <v>26</v>
      </c>
      <c r="D3756" s="19">
        <v>767.49</v>
      </c>
      <c r="F3756" s="3" t="str">
        <f t="shared" si="58"/>
        <v>C2074</v>
      </c>
    </row>
    <row r="3757" spans="1:6" x14ac:dyDescent="0.2">
      <c r="A3757" s="17">
        <v>0</v>
      </c>
      <c r="B3757" s="18"/>
      <c r="C3757" s="17">
        <v>0</v>
      </c>
      <c r="D3757" s="19">
        <v>0</v>
      </c>
      <c r="F3757" s="3">
        <f t="shared" si="58"/>
        <v>0</v>
      </c>
    </row>
    <row r="3758" spans="1:6" x14ac:dyDescent="0.2">
      <c r="A3758" s="17" t="s">
        <v>12284</v>
      </c>
      <c r="B3758" s="18" t="s">
        <v>12285</v>
      </c>
      <c r="C3758" s="17" t="s">
        <v>26</v>
      </c>
      <c r="D3758" s="19">
        <v>1130.6500000000001</v>
      </c>
      <c r="F3758" s="3" t="str">
        <f t="shared" si="58"/>
        <v>C2073</v>
      </c>
    </row>
    <row r="3759" spans="1:6" x14ac:dyDescent="0.2">
      <c r="A3759" s="17">
        <v>0</v>
      </c>
      <c r="B3759" s="18"/>
      <c r="C3759" s="17">
        <v>0</v>
      </c>
      <c r="D3759" s="19">
        <v>0</v>
      </c>
      <c r="F3759" s="3">
        <f t="shared" si="58"/>
        <v>0</v>
      </c>
    </row>
    <row r="3760" spans="1:6" x14ac:dyDescent="0.2">
      <c r="A3760" s="17" t="s">
        <v>12286</v>
      </c>
      <c r="B3760" s="18" t="s">
        <v>12287</v>
      </c>
      <c r="C3760" s="17" t="s">
        <v>26</v>
      </c>
      <c r="D3760" s="19">
        <v>2420.79</v>
      </c>
      <c r="F3760" s="3" t="str">
        <f t="shared" si="58"/>
        <v>C2062</v>
      </c>
    </row>
    <row r="3761" spans="1:6" x14ac:dyDescent="0.2">
      <c r="A3761" s="17" t="s">
        <v>12288</v>
      </c>
      <c r="B3761" s="18" t="s">
        <v>12289</v>
      </c>
      <c r="C3761" s="17" t="s">
        <v>26</v>
      </c>
      <c r="D3761" s="19">
        <v>3150.66</v>
      </c>
      <c r="F3761" s="3" t="str">
        <f t="shared" si="58"/>
        <v>C2061</v>
      </c>
    </row>
    <row r="3762" spans="1:6" x14ac:dyDescent="0.2">
      <c r="A3762" s="17" t="s">
        <v>12290</v>
      </c>
      <c r="B3762" s="18" t="s">
        <v>12291</v>
      </c>
      <c r="C3762" s="17" t="s">
        <v>26</v>
      </c>
      <c r="D3762" s="19">
        <v>87.76</v>
      </c>
      <c r="F3762" s="3" t="str">
        <f t="shared" si="58"/>
        <v>C2084</v>
      </c>
    </row>
    <row r="3763" spans="1:6" x14ac:dyDescent="0.2">
      <c r="A3763" s="17" t="s">
        <v>12292</v>
      </c>
      <c r="B3763" s="18" t="s">
        <v>12293</v>
      </c>
      <c r="C3763" s="17" t="s">
        <v>26</v>
      </c>
      <c r="D3763" s="19">
        <v>147.18</v>
      </c>
      <c r="F3763" s="3" t="str">
        <f t="shared" si="58"/>
        <v>C2085</v>
      </c>
    </row>
    <row r="3764" spans="1:6" x14ac:dyDescent="0.2">
      <c r="A3764" s="17" t="s">
        <v>12294</v>
      </c>
      <c r="B3764" s="18" t="s">
        <v>12295</v>
      </c>
      <c r="C3764" s="17" t="s">
        <v>26</v>
      </c>
      <c r="D3764" s="19">
        <v>226.82</v>
      </c>
      <c r="F3764" s="3" t="str">
        <f t="shared" si="58"/>
        <v>C2086</v>
      </c>
    </row>
    <row r="3765" spans="1:6" x14ac:dyDescent="0.2">
      <c r="A3765" s="17" t="s">
        <v>12296</v>
      </c>
      <c r="B3765" s="18" t="s">
        <v>12297</v>
      </c>
      <c r="C3765" s="17" t="s">
        <v>26</v>
      </c>
      <c r="D3765" s="19">
        <v>383.52</v>
      </c>
      <c r="F3765" s="3" t="str">
        <f t="shared" si="58"/>
        <v>C2087</v>
      </c>
    </row>
    <row r="3766" spans="1:6" x14ac:dyDescent="0.2">
      <c r="A3766" s="17" t="s">
        <v>12298</v>
      </c>
      <c r="B3766" s="18" t="s">
        <v>12299</v>
      </c>
      <c r="C3766" s="17" t="s">
        <v>26</v>
      </c>
      <c r="D3766" s="19">
        <v>573.91999999999996</v>
      </c>
      <c r="F3766" s="3" t="str">
        <f t="shared" si="58"/>
        <v>C2080</v>
      </c>
    </row>
    <row r="3767" spans="1:6" x14ac:dyDescent="0.2">
      <c r="A3767" s="17" t="s">
        <v>12300</v>
      </c>
      <c r="B3767" s="18" t="s">
        <v>12301</v>
      </c>
      <c r="C3767" s="17" t="s">
        <v>26</v>
      </c>
      <c r="D3767" s="19">
        <v>632.61</v>
      </c>
      <c r="F3767" s="3" t="str">
        <f t="shared" si="58"/>
        <v>C2081</v>
      </c>
    </row>
    <row r="3768" spans="1:6" x14ac:dyDescent="0.2">
      <c r="A3768" s="17" t="s">
        <v>12302</v>
      </c>
      <c r="B3768" s="18" t="s">
        <v>12303</v>
      </c>
      <c r="C3768" s="17" t="s">
        <v>26</v>
      </c>
      <c r="D3768" s="19">
        <v>684.09</v>
      </c>
      <c r="F3768" s="3" t="str">
        <f t="shared" si="58"/>
        <v>C2079</v>
      </c>
    </row>
    <row r="3769" spans="1:6" x14ac:dyDescent="0.2">
      <c r="A3769" s="17" t="s">
        <v>12304</v>
      </c>
      <c r="B3769" s="18" t="s">
        <v>12305</v>
      </c>
      <c r="C3769" s="17" t="s">
        <v>26</v>
      </c>
      <c r="D3769" s="19">
        <v>1045.6600000000001</v>
      </c>
      <c r="F3769" s="3" t="str">
        <f t="shared" si="58"/>
        <v>C2082</v>
      </c>
    </row>
    <row r="3770" spans="1:6" x14ac:dyDescent="0.2">
      <c r="A3770" s="17" t="s">
        <v>12306</v>
      </c>
      <c r="B3770" s="18" t="s">
        <v>12307</v>
      </c>
      <c r="C3770" s="17" t="s">
        <v>26</v>
      </c>
      <c r="D3770" s="19">
        <v>2934.49</v>
      </c>
      <c r="F3770" s="3" t="str">
        <f t="shared" si="58"/>
        <v>C2088</v>
      </c>
    </row>
    <row r="3771" spans="1:6" x14ac:dyDescent="0.2">
      <c r="A3771" s="17" t="s">
        <v>12308</v>
      </c>
      <c r="B3771" s="18" t="s">
        <v>12309</v>
      </c>
      <c r="C3771" s="17" t="s">
        <v>26</v>
      </c>
      <c r="D3771" s="19">
        <v>5572.59</v>
      </c>
      <c r="F3771" s="3" t="str">
        <f t="shared" si="58"/>
        <v>C2089</v>
      </c>
    </row>
    <row r="3772" spans="1:6" x14ac:dyDescent="0.2">
      <c r="A3772" s="17" t="s">
        <v>12310</v>
      </c>
      <c r="B3772" s="18" t="s">
        <v>12311</v>
      </c>
      <c r="C3772" s="17" t="s">
        <v>26</v>
      </c>
      <c r="D3772" s="19">
        <v>11957.85</v>
      </c>
      <c r="F3772" s="3" t="str">
        <f t="shared" si="58"/>
        <v>C3925</v>
      </c>
    </row>
    <row r="3773" spans="1:6" x14ac:dyDescent="0.2">
      <c r="A3773" s="17" t="s">
        <v>12312</v>
      </c>
      <c r="B3773" s="18" t="s">
        <v>12313</v>
      </c>
      <c r="C3773" s="17" t="s">
        <v>26</v>
      </c>
      <c r="D3773" s="19">
        <v>106.26</v>
      </c>
      <c r="F3773" s="3" t="str">
        <f t="shared" si="58"/>
        <v>C3579</v>
      </c>
    </row>
    <row r="3774" spans="1:6" x14ac:dyDescent="0.2">
      <c r="A3774" s="17" t="s">
        <v>12314</v>
      </c>
      <c r="B3774" s="18" t="s">
        <v>12315</v>
      </c>
      <c r="C3774" s="17" t="s">
        <v>26</v>
      </c>
      <c r="D3774" s="19">
        <v>1324.15</v>
      </c>
      <c r="F3774" s="3" t="str">
        <f t="shared" si="58"/>
        <v>C4052</v>
      </c>
    </row>
    <row r="3775" spans="1:6" x14ac:dyDescent="0.2">
      <c r="A3775" s="17" t="s">
        <v>12316</v>
      </c>
      <c r="B3775" s="18" t="s">
        <v>12317</v>
      </c>
      <c r="C3775" s="17" t="s">
        <v>255</v>
      </c>
      <c r="D3775" s="19">
        <v>222.14</v>
      </c>
      <c r="F3775" s="3" t="str">
        <f t="shared" si="58"/>
        <v>C2299</v>
      </c>
    </row>
    <row r="3776" spans="1:6" x14ac:dyDescent="0.2">
      <c r="A3776" s="14" t="s">
        <v>21</v>
      </c>
      <c r="B3776" s="15"/>
      <c r="C3776" s="14">
        <v>0</v>
      </c>
      <c r="D3776" s="16">
        <v>5615.57</v>
      </c>
      <c r="F3776" s="3" t="str">
        <f t="shared" si="58"/>
        <v>FIOS, CABOS E ACESSÓRIOS</v>
      </c>
    </row>
    <row r="3777" spans="1:6" x14ac:dyDescent="0.2">
      <c r="A3777" s="17" t="s">
        <v>12318</v>
      </c>
      <c r="B3777" s="18" t="s">
        <v>12319</v>
      </c>
      <c r="C3777" s="17" t="s">
        <v>0</v>
      </c>
      <c r="D3777" s="19">
        <v>2.89</v>
      </c>
      <c r="F3777" s="3" t="str">
        <f t="shared" si="58"/>
        <v>C0111</v>
      </c>
    </row>
    <row r="3778" spans="1:6" x14ac:dyDescent="0.2">
      <c r="A3778" s="17" t="s">
        <v>12320</v>
      </c>
      <c r="B3778" s="18" t="s">
        <v>12321</v>
      </c>
      <c r="C3778" s="17" t="s">
        <v>0</v>
      </c>
      <c r="D3778" s="19">
        <v>6.94</v>
      </c>
      <c r="F3778" s="3" t="str">
        <f t="shared" ref="F3778:F3841" si="59">A3778</f>
        <v>C3750</v>
      </c>
    </row>
    <row r="3779" spans="1:6" x14ac:dyDescent="0.2">
      <c r="A3779" s="17" t="s">
        <v>12322</v>
      </c>
      <c r="B3779" s="18" t="s">
        <v>12323</v>
      </c>
      <c r="C3779" s="17" t="s">
        <v>0</v>
      </c>
      <c r="D3779" s="19">
        <v>8.17</v>
      </c>
      <c r="F3779" s="3" t="str">
        <f t="shared" si="59"/>
        <v>C3751</v>
      </c>
    </row>
    <row r="3780" spans="1:6" x14ac:dyDescent="0.2">
      <c r="A3780" s="17" t="s">
        <v>12324</v>
      </c>
      <c r="B3780" s="18" t="s">
        <v>12325</v>
      </c>
      <c r="C3780" s="17" t="s">
        <v>0</v>
      </c>
      <c r="D3780" s="19">
        <v>8.8699999999999992</v>
      </c>
      <c r="F3780" s="3" t="str">
        <f t="shared" si="59"/>
        <v>C3752</v>
      </c>
    </row>
    <row r="3781" spans="1:6" x14ac:dyDescent="0.2">
      <c r="A3781" s="17" t="s">
        <v>12326</v>
      </c>
      <c r="B3781" s="18" t="s">
        <v>12327</v>
      </c>
      <c r="C3781" s="17" t="s">
        <v>0</v>
      </c>
      <c r="D3781" s="19">
        <v>9.2799999999999994</v>
      </c>
      <c r="F3781" s="3" t="str">
        <f t="shared" si="59"/>
        <v>C3753</v>
      </c>
    </row>
    <row r="3782" spans="1:6" x14ac:dyDescent="0.2">
      <c r="A3782" s="17" t="s">
        <v>12328</v>
      </c>
      <c r="B3782" s="18" t="s">
        <v>12329</v>
      </c>
      <c r="C3782" s="17" t="s">
        <v>0</v>
      </c>
      <c r="D3782" s="19">
        <v>13.27</v>
      </c>
      <c r="F3782" s="3" t="str">
        <f t="shared" si="59"/>
        <v>C0522</v>
      </c>
    </row>
    <row r="3783" spans="1:6" x14ac:dyDescent="0.2">
      <c r="A3783" s="17" t="s">
        <v>12330</v>
      </c>
      <c r="B3783" s="18" t="s">
        <v>12331</v>
      </c>
      <c r="C3783" s="17" t="s">
        <v>0</v>
      </c>
      <c r="D3783" s="19">
        <v>16.190000000000001</v>
      </c>
      <c r="F3783" s="3" t="str">
        <f t="shared" si="59"/>
        <v>C0517</v>
      </c>
    </row>
    <row r="3784" spans="1:6" x14ac:dyDescent="0.2">
      <c r="A3784" s="17" t="s">
        <v>12332</v>
      </c>
      <c r="B3784" s="18" t="s">
        <v>12333</v>
      </c>
      <c r="C3784" s="17" t="s">
        <v>0</v>
      </c>
      <c r="D3784" s="19">
        <v>23.88</v>
      </c>
      <c r="F3784" s="3" t="str">
        <f t="shared" si="59"/>
        <v>C0518</v>
      </c>
    </row>
    <row r="3785" spans="1:6" x14ac:dyDescent="0.2">
      <c r="A3785" s="17" t="s">
        <v>12334</v>
      </c>
      <c r="B3785" s="18" t="s">
        <v>12335</v>
      </c>
      <c r="C3785" s="17" t="s">
        <v>0</v>
      </c>
      <c r="D3785" s="19">
        <v>31.54</v>
      </c>
      <c r="F3785" s="3" t="str">
        <f t="shared" si="59"/>
        <v>C0519</v>
      </c>
    </row>
    <row r="3786" spans="1:6" x14ac:dyDescent="0.2">
      <c r="A3786" s="17" t="s">
        <v>12336</v>
      </c>
      <c r="B3786" s="18" t="s">
        <v>12337</v>
      </c>
      <c r="C3786" s="17" t="s">
        <v>0</v>
      </c>
      <c r="D3786" s="19">
        <v>44.69</v>
      </c>
      <c r="F3786" s="3" t="str">
        <f t="shared" si="59"/>
        <v>C0520</v>
      </c>
    </row>
    <row r="3787" spans="1:6" x14ac:dyDescent="0.2">
      <c r="A3787" s="17" t="s">
        <v>12338</v>
      </c>
      <c r="B3787" s="18" t="s">
        <v>12339</v>
      </c>
      <c r="C3787" s="17" t="s">
        <v>0</v>
      </c>
      <c r="D3787" s="19">
        <v>64.14</v>
      </c>
      <c r="F3787" s="3" t="str">
        <f t="shared" si="59"/>
        <v>C0521</v>
      </c>
    </row>
    <row r="3788" spans="1:6" x14ac:dyDescent="0.2">
      <c r="A3788" s="17" t="s">
        <v>12340</v>
      </c>
      <c r="B3788" s="18" t="s">
        <v>12341</v>
      </c>
      <c r="C3788" s="17" t="s">
        <v>0</v>
      </c>
      <c r="D3788" s="19">
        <v>82.15</v>
      </c>
      <c r="F3788" s="3" t="str">
        <f t="shared" si="59"/>
        <v>C0523</v>
      </c>
    </row>
    <row r="3789" spans="1:6" x14ac:dyDescent="0.2">
      <c r="A3789" s="17" t="s">
        <v>12342</v>
      </c>
      <c r="B3789" s="18" t="s">
        <v>12343</v>
      </c>
      <c r="C3789" s="17" t="s">
        <v>0</v>
      </c>
      <c r="D3789" s="19">
        <v>13.8</v>
      </c>
      <c r="F3789" s="3" t="str">
        <f t="shared" si="59"/>
        <v>C3907</v>
      </c>
    </row>
    <row r="3790" spans="1:6" x14ac:dyDescent="0.2">
      <c r="A3790" s="17" t="s">
        <v>12344</v>
      </c>
      <c r="B3790" s="18" t="s">
        <v>12345</v>
      </c>
      <c r="C3790" s="17" t="s">
        <v>0</v>
      </c>
      <c r="D3790" s="19">
        <v>9.8000000000000007</v>
      </c>
      <c r="F3790" s="3" t="str">
        <f t="shared" si="59"/>
        <v>C4558</v>
      </c>
    </row>
    <row r="3791" spans="1:6" x14ac:dyDescent="0.2">
      <c r="A3791" s="17" t="s">
        <v>12346</v>
      </c>
      <c r="B3791" s="18" t="s">
        <v>12347</v>
      </c>
      <c r="C3791" s="17" t="s">
        <v>0</v>
      </c>
      <c r="D3791" s="19">
        <v>7.17</v>
      </c>
      <c r="F3791" s="3" t="str">
        <f t="shared" si="59"/>
        <v>C4377</v>
      </c>
    </row>
    <row r="3792" spans="1:6" x14ac:dyDescent="0.2">
      <c r="A3792" s="17" t="s">
        <v>12348</v>
      </c>
      <c r="B3792" s="18" t="s">
        <v>12349</v>
      </c>
      <c r="C3792" s="17" t="s">
        <v>0</v>
      </c>
      <c r="D3792" s="19">
        <v>8.67</v>
      </c>
      <c r="F3792" s="3" t="str">
        <f t="shared" si="59"/>
        <v>C0554</v>
      </c>
    </row>
    <row r="3793" spans="1:6" x14ac:dyDescent="0.2">
      <c r="A3793" s="17" t="s">
        <v>12350</v>
      </c>
      <c r="B3793" s="18" t="s">
        <v>12351</v>
      </c>
      <c r="C3793" s="17" t="s">
        <v>0</v>
      </c>
      <c r="D3793" s="19">
        <v>10.38</v>
      </c>
      <c r="F3793" s="3" t="str">
        <f t="shared" si="59"/>
        <v>C0556</v>
      </c>
    </row>
    <row r="3794" spans="1:6" x14ac:dyDescent="0.2">
      <c r="A3794" s="17" t="s">
        <v>12352</v>
      </c>
      <c r="B3794" s="18" t="s">
        <v>12353</v>
      </c>
      <c r="C3794" s="17" t="s">
        <v>0</v>
      </c>
      <c r="D3794" s="19">
        <v>13.66</v>
      </c>
      <c r="F3794" s="3" t="str">
        <f t="shared" si="59"/>
        <v>C0547</v>
      </c>
    </row>
    <row r="3795" spans="1:6" x14ac:dyDescent="0.2">
      <c r="A3795" s="17" t="s">
        <v>12354</v>
      </c>
      <c r="B3795" s="18" t="s">
        <v>12355</v>
      </c>
      <c r="C3795" s="17" t="s">
        <v>0</v>
      </c>
      <c r="D3795" s="19">
        <v>18.62</v>
      </c>
      <c r="F3795" s="3" t="str">
        <f t="shared" si="59"/>
        <v>C0550</v>
      </c>
    </row>
    <row r="3796" spans="1:6" x14ac:dyDescent="0.2">
      <c r="A3796" s="17" t="s">
        <v>12356</v>
      </c>
      <c r="B3796" s="18" t="s">
        <v>12357</v>
      </c>
      <c r="C3796" s="17" t="s">
        <v>0</v>
      </c>
      <c r="D3796" s="19">
        <v>25.14</v>
      </c>
      <c r="F3796" s="3" t="str">
        <f t="shared" si="59"/>
        <v>C0553</v>
      </c>
    </row>
    <row r="3797" spans="1:6" x14ac:dyDescent="0.2">
      <c r="A3797" s="17" t="s">
        <v>12358</v>
      </c>
      <c r="B3797" s="18" t="s">
        <v>12359</v>
      </c>
      <c r="C3797" s="17" t="s">
        <v>0</v>
      </c>
      <c r="D3797" s="19">
        <v>33.61</v>
      </c>
      <c r="F3797" s="3" t="str">
        <f t="shared" si="59"/>
        <v>C0558</v>
      </c>
    </row>
    <row r="3798" spans="1:6" x14ac:dyDescent="0.2">
      <c r="A3798" s="17" t="s">
        <v>12360</v>
      </c>
      <c r="B3798" s="18" t="s">
        <v>12361</v>
      </c>
      <c r="C3798" s="17" t="s">
        <v>0</v>
      </c>
      <c r="D3798" s="19">
        <v>48.37</v>
      </c>
      <c r="F3798" s="3" t="str">
        <f t="shared" si="59"/>
        <v>C0555</v>
      </c>
    </row>
    <row r="3799" spans="1:6" x14ac:dyDescent="0.2">
      <c r="A3799" s="17" t="s">
        <v>12362</v>
      </c>
      <c r="B3799" s="18" t="s">
        <v>12363</v>
      </c>
      <c r="C3799" s="17" t="s">
        <v>0</v>
      </c>
      <c r="D3799" s="19">
        <v>63.14</v>
      </c>
      <c r="F3799" s="3" t="str">
        <f t="shared" si="59"/>
        <v>C0559</v>
      </c>
    </row>
    <row r="3800" spans="1:6" x14ac:dyDescent="0.2">
      <c r="A3800" s="17" t="s">
        <v>12364</v>
      </c>
      <c r="B3800" s="18" t="s">
        <v>12365</v>
      </c>
      <c r="C3800" s="17" t="s">
        <v>0</v>
      </c>
      <c r="D3800" s="19">
        <v>79.92</v>
      </c>
      <c r="F3800" s="3" t="str">
        <f t="shared" si="59"/>
        <v>C0557</v>
      </c>
    </row>
    <row r="3801" spans="1:6" x14ac:dyDescent="0.2">
      <c r="A3801" s="17" t="s">
        <v>12366</v>
      </c>
      <c r="B3801" s="18" t="s">
        <v>12367</v>
      </c>
      <c r="C3801" s="17" t="s">
        <v>0</v>
      </c>
      <c r="D3801" s="19">
        <v>103.66</v>
      </c>
      <c r="F3801" s="3" t="str">
        <f t="shared" si="59"/>
        <v>C0548</v>
      </c>
    </row>
    <row r="3802" spans="1:6" x14ac:dyDescent="0.2">
      <c r="A3802" s="17" t="s">
        <v>12368</v>
      </c>
      <c r="B3802" s="18" t="s">
        <v>12369</v>
      </c>
      <c r="C3802" s="17" t="s">
        <v>0</v>
      </c>
      <c r="D3802" s="19">
        <v>128.44</v>
      </c>
      <c r="F3802" s="3" t="str">
        <f t="shared" si="59"/>
        <v>C0549</v>
      </c>
    </row>
    <row r="3803" spans="1:6" x14ac:dyDescent="0.2">
      <c r="A3803" s="17" t="s">
        <v>12370</v>
      </c>
      <c r="B3803" s="18" t="s">
        <v>12371</v>
      </c>
      <c r="C3803" s="17" t="s">
        <v>0</v>
      </c>
      <c r="D3803" s="19">
        <v>159.22999999999999</v>
      </c>
      <c r="F3803" s="3" t="str">
        <f t="shared" si="59"/>
        <v>C0551</v>
      </c>
    </row>
    <row r="3804" spans="1:6" x14ac:dyDescent="0.2">
      <c r="A3804" s="17" t="s">
        <v>12372</v>
      </c>
      <c r="B3804" s="18" t="s">
        <v>12373</v>
      </c>
      <c r="C3804" s="17" t="s">
        <v>0</v>
      </c>
      <c r="D3804" s="19">
        <v>207.34</v>
      </c>
      <c r="F3804" s="3" t="str">
        <f t="shared" si="59"/>
        <v>C0552</v>
      </c>
    </row>
    <row r="3805" spans="1:6" x14ac:dyDescent="0.2">
      <c r="A3805" s="17" t="s">
        <v>12374</v>
      </c>
      <c r="B3805" s="18" t="s">
        <v>12375</v>
      </c>
      <c r="C3805" s="17" t="s">
        <v>0</v>
      </c>
      <c r="D3805" s="19">
        <v>259.41000000000003</v>
      </c>
      <c r="F3805" s="3" t="str">
        <f t="shared" si="59"/>
        <v>C4771</v>
      </c>
    </row>
    <row r="3806" spans="1:6" x14ac:dyDescent="0.2">
      <c r="A3806" s="17" t="s">
        <v>12376</v>
      </c>
      <c r="B3806" s="18" t="s">
        <v>12377</v>
      </c>
      <c r="C3806" s="17" t="s">
        <v>0</v>
      </c>
      <c r="D3806" s="19">
        <v>340.13</v>
      </c>
      <c r="F3806" s="3" t="str">
        <f t="shared" si="59"/>
        <v>C4818</v>
      </c>
    </row>
    <row r="3807" spans="1:6" x14ac:dyDescent="0.2">
      <c r="A3807" s="17" t="s">
        <v>12378</v>
      </c>
      <c r="B3807" s="18" t="s">
        <v>12379</v>
      </c>
      <c r="C3807" s="17" t="s">
        <v>0</v>
      </c>
      <c r="D3807" s="19">
        <v>62.73</v>
      </c>
      <c r="F3807" s="3" t="str">
        <f t="shared" si="59"/>
        <v>C4538</v>
      </c>
    </row>
    <row r="3808" spans="1:6" x14ac:dyDescent="0.2">
      <c r="A3808" s="17" t="s">
        <v>12380</v>
      </c>
      <c r="B3808" s="18" t="s">
        <v>12381</v>
      </c>
      <c r="C3808" s="17" t="s">
        <v>0</v>
      </c>
      <c r="D3808" s="19">
        <v>143.91</v>
      </c>
      <c r="F3808" s="3" t="str">
        <f t="shared" si="59"/>
        <v>C4539</v>
      </c>
    </row>
    <row r="3809" spans="1:6" x14ac:dyDescent="0.2">
      <c r="A3809" s="17" t="s">
        <v>12382</v>
      </c>
      <c r="B3809" s="18" t="s">
        <v>12383</v>
      </c>
      <c r="C3809" s="17" t="s">
        <v>0</v>
      </c>
      <c r="D3809" s="19">
        <v>6.91</v>
      </c>
      <c r="F3809" s="3" t="str">
        <f t="shared" si="59"/>
        <v>C0540</v>
      </c>
    </row>
    <row r="3810" spans="1:6" x14ac:dyDescent="0.2">
      <c r="A3810" s="17" t="s">
        <v>12384</v>
      </c>
      <c r="B3810" s="18" t="s">
        <v>12385</v>
      </c>
      <c r="C3810" s="17" t="s">
        <v>0</v>
      </c>
      <c r="D3810" s="19">
        <v>8.76</v>
      </c>
      <c r="F3810" s="3" t="str">
        <f t="shared" si="59"/>
        <v>C0534</v>
      </c>
    </row>
    <row r="3811" spans="1:6" x14ac:dyDescent="0.2">
      <c r="A3811" s="17" t="s">
        <v>12386</v>
      </c>
      <c r="B3811" s="18" t="s">
        <v>12387</v>
      </c>
      <c r="C3811" s="17" t="s">
        <v>0</v>
      </c>
      <c r="D3811" s="19">
        <v>9.8699999999999992</v>
      </c>
      <c r="F3811" s="3" t="str">
        <f t="shared" si="59"/>
        <v>C0537</v>
      </c>
    </row>
    <row r="3812" spans="1:6" x14ac:dyDescent="0.2">
      <c r="A3812" s="17" t="s">
        <v>12388</v>
      </c>
      <c r="B3812" s="18" t="s">
        <v>12389</v>
      </c>
      <c r="C3812" s="17" t="s">
        <v>0</v>
      </c>
      <c r="D3812" s="19">
        <v>15.57</v>
      </c>
      <c r="F3812" s="3" t="str">
        <f t="shared" si="59"/>
        <v>C0524</v>
      </c>
    </row>
    <row r="3813" spans="1:6" x14ac:dyDescent="0.2">
      <c r="A3813" s="17" t="s">
        <v>12390</v>
      </c>
      <c r="B3813" s="18" t="s">
        <v>12391</v>
      </c>
      <c r="C3813" s="17" t="s">
        <v>0</v>
      </c>
      <c r="D3813" s="19">
        <v>18.52</v>
      </c>
      <c r="F3813" s="3" t="str">
        <f t="shared" si="59"/>
        <v>C0527</v>
      </c>
    </row>
    <row r="3814" spans="1:6" x14ac:dyDescent="0.2">
      <c r="A3814" s="17" t="s">
        <v>12392</v>
      </c>
      <c r="B3814" s="18" t="s">
        <v>12393</v>
      </c>
      <c r="C3814" s="17" t="s">
        <v>0</v>
      </c>
      <c r="D3814" s="19">
        <v>25.08</v>
      </c>
      <c r="F3814" s="3" t="str">
        <f t="shared" si="59"/>
        <v>C0530</v>
      </c>
    </row>
    <row r="3815" spans="1:6" x14ac:dyDescent="0.2">
      <c r="A3815" s="17" t="s">
        <v>12394</v>
      </c>
      <c r="B3815" s="18" t="s">
        <v>12395</v>
      </c>
      <c r="C3815" s="17" t="s">
        <v>0</v>
      </c>
      <c r="D3815" s="19">
        <v>33.17</v>
      </c>
      <c r="F3815" s="3" t="str">
        <f t="shared" si="59"/>
        <v>C0532</v>
      </c>
    </row>
    <row r="3816" spans="1:6" x14ac:dyDescent="0.2">
      <c r="A3816" s="17" t="s">
        <v>12396</v>
      </c>
      <c r="B3816" s="18" t="s">
        <v>12397</v>
      </c>
      <c r="C3816" s="17" t="s">
        <v>0</v>
      </c>
      <c r="D3816" s="19">
        <v>47.58</v>
      </c>
      <c r="F3816" s="3" t="str">
        <f t="shared" si="59"/>
        <v>C0536</v>
      </c>
    </row>
    <row r="3817" spans="1:6" x14ac:dyDescent="0.2">
      <c r="A3817" s="17" t="s">
        <v>12398</v>
      </c>
      <c r="B3817" s="18" t="s">
        <v>12399</v>
      </c>
      <c r="C3817" s="17" t="s">
        <v>0</v>
      </c>
      <c r="D3817" s="19">
        <v>61.9</v>
      </c>
      <c r="F3817" s="3" t="str">
        <f t="shared" si="59"/>
        <v>C0538</v>
      </c>
    </row>
    <row r="3818" spans="1:6" x14ac:dyDescent="0.2">
      <c r="A3818" s="17" t="s">
        <v>12400</v>
      </c>
      <c r="B3818" s="18" t="s">
        <v>12401</v>
      </c>
      <c r="C3818" s="17" t="s">
        <v>0</v>
      </c>
      <c r="D3818" s="19">
        <v>79.510000000000005</v>
      </c>
      <c r="F3818" s="3" t="str">
        <f t="shared" si="59"/>
        <v>C0539</v>
      </c>
    </row>
    <row r="3819" spans="1:6" x14ac:dyDescent="0.2">
      <c r="A3819" s="17" t="s">
        <v>12402</v>
      </c>
      <c r="B3819" s="18" t="s">
        <v>12403</v>
      </c>
      <c r="C3819" s="17" t="s">
        <v>0</v>
      </c>
      <c r="D3819" s="19">
        <v>101.21</v>
      </c>
      <c r="F3819" s="3" t="str">
        <f t="shared" si="59"/>
        <v>C0525</v>
      </c>
    </row>
    <row r="3820" spans="1:6" x14ac:dyDescent="0.2">
      <c r="A3820" s="17" t="s">
        <v>12404</v>
      </c>
      <c r="B3820" s="18" t="s">
        <v>12405</v>
      </c>
      <c r="C3820" s="17" t="s">
        <v>0</v>
      </c>
      <c r="D3820" s="19">
        <v>126.13</v>
      </c>
      <c r="F3820" s="3" t="str">
        <f t="shared" si="59"/>
        <v>C0526</v>
      </c>
    </row>
    <row r="3821" spans="1:6" x14ac:dyDescent="0.2">
      <c r="A3821" s="17" t="s">
        <v>12406</v>
      </c>
      <c r="B3821" s="18" t="s">
        <v>12407</v>
      </c>
      <c r="C3821" s="17" t="s">
        <v>0</v>
      </c>
      <c r="D3821" s="19">
        <v>156.56</v>
      </c>
      <c r="F3821" s="3" t="str">
        <f t="shared" si="59"/>
        <v>C0528</v>
      </c>
    </row>
    <row r="3822" spans="1:6" x14ac:dyDescent="0.2">
      <c r="A3822" s="17" t="s">
        <v>12408</v>
      </c>
      <c r="B3822" s="18" t="s">
        <v>12409</v>
      </c>
      <c r="C3822" s="17" t="s">
        <v>0</v>
      </c>
      <c r="D3822" s="19">
        <v>204.37</v>
      </c>
      <c r="F3822" s="3" t="str">
        <f t="shared" si="59"/>
        <v>C0529</v>
      </c>
    </row>
    <row r="3823" spans="1:6" x14ac:dyDescent="0.2">
      <c r="A3823" s="17" t="s">
        <v>12410</v>
      </c>
      <c r="B3823" s="18" t="s">
        <v>12411</v>
      </c>
      <c r="C3823" s="17" t="s">
        <v>0</v>
      </c>
      <c r="D3823" s="19">
        <v>253.42</v>
      </c>
      <c r="F3823" s="3" t="str">
        <f t="shared" si="59"/>
        <v>C0531</v>
      </c>
    </row>
    <row r="3824" spans="1:6" x14ac:dyDescent="0.2">
      <c r="A3824" s="17" t="s">
        <v>12412</v>
      </c>
      <c r="B3824" s="18" t="s">
        <v>12413</v>
      </c>
      <c r="C3824" s="17" t="s">
        <v>0</v>
      </c>
      <c r="D3824" s="19">
        <v>330.13</v>
      </c>
      <c r="F3824" s="3" t="str">
        <f t="shared" si="59"/>
        <v>C0533</v>
      </c>
    </row>
    <row r="3825" spans="1:6" x14ac:dyDescent="0.2">
      <c r="A3825" s="17" t="s">
        <v>12414</v>
      </c>
      <c r="B3825" s="18" t="s">
        <v>12415</v>
      </c>
      <c r="C3825" s="17" t="s">
        <v>0</v>
      </c>
      <c r="D3825" s="19">
        <v>409.56</v>
      </c>
      <c r="F3825" s="3" t="str">
        <f t="shared" si="59"/>
        <v>C0535</v>
      </c>
    </row>
    <row r="3826" spans="1:6" x14ac:dyDescent="0.2">
      <c r="A3826" s="17" t="s">
        <v>12416</v>
      </c>
      <c r="B3826" s="18" t="s">
        <v>12417</v>
      </c>
      <c r="C3826" s="17" t="s">
        <v>0</v>
      </c>
      <c r="D3826" s="19">
        <v>12.37</v>
      </c>
      <c r="F3826" s="3" t="str">
        <f t="shared" si="59"/>
        <v>C0541</v>
      </c>
    </row>
    <row r="3827" spans="1:6" x14ac:dyDescent="0.2">
      <c r="A3827" s="17" t="s">
        <v>12418</v>
      </c>
      <c r="B3827" s="18" t="s">
        <v>12419</v>
      </c>
      <c r="C3827" s="17" t="s">
        <v>0</v>
      </c>
      <c r="D3827" s="19">
        <v>12.76</v>
      </c>
      <c r="F3827" s="3" t="str">
        <f t="shared" si="59"/>
        <v>C0542</v>
      </c>
    </row>
    <row r="3828" spans="1:6" x14ac:dyDescent="0.2">
      <c r="A3828" s="17" t="s">
        <v>12420</v>
      </c>
      <c r="B3828" s="18" t="s">
        <v>12421</v>
      </c>
      <c r="C3828" s="17" t="s">
        <v>0</v>
      </c>
      <c r="D3828" s="19">
        <v>13.23</v>
      </c>
      <c r="F3828" s="3" t="str">
        <f t="shared" si="59"/>
        <v>C0543</v>
      </c>
    </row>
    <row r="3829" spans="1:6" x14ac:dyDescent="0.2">
      <c r="A3829" s="17" t="s">
        <v>12422</v>
      </c>
      <c r="B3829" s="18" t="s">
        <v>12423</v>
      </c>
      <c r="C3829" s="17" t="s">
        <v>0</v>
      </c>
      <c r="D3829" s="19">
        <v>13.86</v>
      </c>
      <c r="F3829" s="3" t="str">
        <f t="shared" si="59"/>
        <v>C4533</v>
      </c>
    </row>
    <row r="3830" spans="1:6" x14ac:dyDescent="0.2">
      <c r="A3830" s="17" t="s">
        <v>12424</v>
      </c>
      <c r="B3830" s="18" t="s">
        <v>12425</v>
      </c>
      <c r="C3830" s="17" t="s">
        <v>0</v>
      </c>
      <c r="D3830" s="19">
        <v>82.36</v>
      </c>
      <c r="F3830" s="3" t="str">
        <f t="shared" si="59"/>
        <v>C4534</v>
      </c>
    </row>
    <row r="3831" spans="1:6" x14ac:dyDescent="0.2">
      <c r="A3831" s="17" t="s">
        <v>12426</v>
      </c>
      <c r="B3831" s="18" t="s">
        <v>12427</v>
      </c>
      <c r="C3831" s="17" t="s">
        <v>0</v>
      </c>
      <c r="D3831" s="19">
        <v>12.64</v>
      </c>
      <c r="F3831" s="3" t="str">
        <f t="shared" si="59"/>
        <v>C0544</v>
      </c>
    </row>
    <row r="3832" spans="1:6" x14ac:dyDescent="0.2">
      <c r="A3832" s="17" t="s">
        <v>12428</v>
      </c>
      <c r="B3832" s="18" t="s">
        <v>12429</v>
      </c>
      <c r="C3832" s="17" t="s">
        <v>0</v>
      </c>
      <c r="D3832" s="19">
        <v>12.98</v>
      </c>
      <c r="F3832" s="3" t="str">
        <f t="shared" si="59"/>
        <v>C0545</v>
      </c>
    </row>
    <row r="3833" spans="1:6" x14ac:dyDescent="0.2">
      <c r="A3833" s="17" t="s">
        <v>12430</v>
      </c>
      <c r="B3833" s="18" t="s">
        <v>12431</v>
      </c>
      <c r="C3833" s="17" t="s">
        <v>0</v>
      </c>
      <c r="D3833" s="19">
        <v>13.36</v>
      </c>
      <c r="F3833" s="3" t="str">
        <f t="shared" si="59"/>
        <v>C0546</v>
      </c>
    </row>
    <row r="3834" spans="1:6" x14ac:dyDescent="0.2">
      <c r="A3834" s="17" t="s">
        <v>12432</v>
      </c>
      <c r="B3834" s="18" t="s">
        <v>12433</v>
      </c>
      <c r="C3834" s="17" t="s">
        <v>0</v>
      </c>
      <c r="D3834" s="19">
        <v>50.83</v>
      </c>
      <c r="F3834" s="3" t="str">
        <f t="shared" si="59"/>
        <v>C4031</v>
      </c>
    </row>
    <row r="3835" spans="1:6" x14ac:dyDescent="0.2">
      <c r="A3835" s="17" t="s">
        <v>12434</v>
      </c>
      <c r="B3835" s="18" t="s">
        <v>12435</v>
      </c>
      <c r="C3835" s="17" t="s">
        <v>0</v>
      </c>
      <c r="D3835" s="19">
        <v>7.23</v>
      </c>
      <c r="F3835" s="3" t="str">
        <f t="shared" si="59"/>
        <v>C0562</v>
      </c>
    </row>
    <row r="3836" spans="1:6" x14ac:dyDescent="0.2">
      <c r="A3836" s="17" t="s">
        <v>12436</v>
      </c>
      <c r="B3836" s="18" t="s">
        <v>12437</v>
      </c>
      <c r="C3836" s="17" t="s">
        <v>0</v>
      </c>
      <c r="D3836" s="19">
        <v>7.92</v>
      </c>
      <c r="F3836" s="3" t="str">
        <f t="shared" si="59"/>
        <v>C0563</v>
      </c>
    </row>
    <row r="3837" spans="1:6" x14ac:dyDescent="0.2">
      <c r="A3837" s="17" t="s">
        <v>12438</v>
      </c>
      <c r="B3837" s="18" t="s">
        <v>12439</v>
      </c>
      <c r="C3837" s="17" t="s">
        <v>0</v>
      </c>
      <c r="D3837" s="19">
        <v>8</v>
      </c>
      <c r="F3837" s="3" t="str">
        <f t="shared" si="59"/>
        <v>C0564</v>
      </c>
    </row>
    <row r="3838" spans="1:6" x14ac:dyDescent="0.2">
      <c r="A3838" s="17" t="s">
        <v>12440</v>
      </c>
      <c r="B3838" s="18" t="s">
        <v>12441</v>
      </c>
      <c r="C3838" s="17" t="s">
        <v>0</v>
      </c>
      <c r="D3838" s="19">
        <v>8.7799999999999994</v>
      </c>
      <c r="F3838" s="3" t="str">
        <f t="shared" si="59"/>
        <v>C0565</v>
      </c>
    </row>
    <row r="3839" spans="1:6" x14ac:dyDescent="0.2">
      <c r="A3839" s="17" t="s">
        <v>12442</v>
      </c>
      <c r="B3839" s="18" t="s">
        <v>12443</v>
      </c>
      <c r="C3839" s="17" t="s">
        <v>0</v>
      </c>
      <c r="D3839" s="19">
        <v>9.2799999999999994</v>
      </c>
      <c r="F3839" s="3" t="str">
        <f t="shared" si="59"/>
        <v>C0566</v>
      </c>
    </row>
    <row r="3840" spans="1:6" x14ac:dyDescent="0.2">
      <c r="A3840" s="17" t="s">
        <v>12444</v>
      </c>
      <c r="B3840" s="18" t="s">
        <v>12445</v>
      </c>
      <c r="C3840" s="17" t="s">
        <v>0</v>
      </c>
      <c r="D3840" s="19">
        <v>10.050000000000001</v>
      </c>
      <c r="F3840" s="3" t="str">
        <f t="shared" si="59"/>
        <v>C0567</v>
      </c>
    </row>
    <row r="3841" spans="1:6" x14ac:dyDescent="0.2">
      <c r="A3841" s="17" t="s">
        <v>12446</v>
      </c>
      <c r="B3841" s="18" t="s">
        <v>12447</v>
      </c>
      <c r="C3841" s="17" t="s">
        <v>0</v>
      </c>
      <c r="D3841" s="19">
        <v>17.34</v>
      </c>
      <c r="F3841" s="3" t="str">
        <f t="shared" si="59"/>
        <v>C0568</v>
      </c>
    </row>
    <row r="3842" spans="1:6" x14ac:dyDescent="0.2">
      <c r="A3842" s="17" t="s">
        <v>12448</v>
      </c>
      <c r="B3842" s="18" t="s">
        <v>12449</v>
      </c>
      <c r="C3842" s="17" t="s">
        <v>0</v>
      </c>
      <c r="D3842" s="19">
        <v>23.21</v>
      </c>
      <c r="F3842" s="3" t="str">
        <f t="shared" ref="F3842:F3905" si="60">A3842</f>
        <v>C0570</v>
      </c>
    </row>
    <row r="3843" spans="1:6" x14ac:dyDescent="0.2">
      <c r="A3843" s="17" t="s">
        <v>12450</v>
      </c>
      <c r="B3843" s="18" t="s">
        <v>12451</v>
      </c>
      <c r="C3843" s="17" t="s">
        <v>0</v>
      </c>
      <c r="D3843" s="19">
        <v>28.95</v>
      </c>
      <c r="F3843" s="3" t="str">
        <f t="shared" si="60"/>
        <v>C0572</v>
      </c>
    </row>
    <row r="3844" spans="1:6" x14ac:dyDescent="0.2">
      <c r="A3844" s="17" t="s">
        <v>12452</v>
      </c>
      <c r="B3844" s="18" t="s">
        <v>12453</v>
      </c>
      <c r="C3844" s="17" t="s">
        <v>0</v>
      </c>
      <c r="D3844" s="19">
        <v>40.15</v>
      </c>
      <c r="F3844" s="3" t="str">
        <f t="shared" si="60"/>
        <v>C0573</v>
      </c>
    </row>
    <row r="3845" spans="1:6" x14ac:dyDescent="0.2">
      <c r="A3845" s="17" t="s">
        <v>12454</v>
      </c>
      <c r="B3845" s="18" t="s">
        <v>12455</v>
      </c>
      <c r="C3845" s="17" t="s">
        <v>0</v>
      </c>
      <c r="D3845" s="19">
        <v>53.75</v>
      </c>
      <c r="F3845" s="3" t="str">
        <f t="shared" si="60"/>
        <v>C0569</v>
      </c>
    </row>
    <row r="3846" spans="1:6" x14ac:dyDescent="0.2">
      <c r="A3846" s="17" t="s">
        <v>12456</v>
      </c>
      <c r="B3846" s="18" t="s">
        <v>12457</v>
      </c>
      <c r="C3846" s="17" t="s">
        <v>0</v>
      </c>
      <c r="D3846" s="19">
        <v>114.89</v>
      </c>
      <c r="F3846" s="3" t="str">
        <f t="shared" si="60"/>
        <v>C0571</v>
      </c>
    </row>
    <row r="3847" spans="1:6" x14ac:dyDescent="0.2">
      <c r="A3847" s="17" t="s">
        <v>12458</v>
      </c>
      <c r="B3847" s="18" t="s">
        <v>12459</v>
      </c>
      <c r="C3847" s="17" t="s">
        <v>0</v>
      </c>
      <c r="D3847" s="19">
        <v>19.739999999999998</v>
      </c>
      <c r="F3847" s="3" t="str">
        <f t="shared" si="60"/>
        <v>C0574</v>
      </c>
    </row>
    <row r="3848" spans="1:6" x14ac:dyDescent="0.2">
      <c r="A3848" s="17" t="s">
        <v>12460</v>
      </c>
      <c r="B3848" s="18" t="s">
        <v>12461</v>
      </c>
      <c r="C3848" s="17" t="s">
        <v>0</v>
      </c>
      <c r="D3848" s="19">
        <v>26.54</v>
      </c>
      <c r="F3848" s="3" t="str">
        <f t="shared" si="60"/>
        <v>C0575</v>
      </c>
    </row>
    <row r="3849" spans="1:6" x14ac:dyDescent="0.2">
      <c r="A3849" s="17" t="s">
        <v>12462</v>
      </c>
      <c r="B3849" s="18" t="s">
        <v>12463</v>
      </c>
      <c r="C3849" s="17" t="s">
        <v>0</v>
      </c>
      <c r="D3849" s="19">
        <v>29.47</v>
      </c>
      <c r="F3849" s="3" t="str">
        <f t="shared" si="60"/>
        <v>C0578</v>
      </c>
    </row>
    <row r="3850" spans="1:6" x14ac:dyDescent="0.2">
      <c r="A3850" s="17" t="s">
        <v>12464</v>
      </c>
      <c r="B3850" s="18" t="s">
        <v>12465</v>
      </c>
      <c r="C3850" s="17" t="s">
        <v>0</v>
      </c>
      <c r="D3850" s="19">
        <v>40.15</v>
      </c>
      <c r="F3850" s="3" t="str">
        <f t="shared" si="60"/>
        <v>C0579</v>
      </c>
    </row>
    <row r="3851" spans="1:6" x14ac:dyDescent="0.2">
      <c r="A3851" s="17" t="s">
        <v>12466</v>
      </c>
      <c r="B3851" s="18" t="s">
        <v>12467</v>
      </c>
      <c r="C3851" s="17" t="s">
        <v>0</v>
      </c>
      <c r="D3851" s="19">
        <v>75.14</v>
      </c>
      <c r="F3851" s="3" t="str">
        <f t="shared" si="60"/>
        <v>C0576</v>
      </c>
    </row>
    <row r="3852" spans="1:6" x14ac:dyDescent="0.2">
      <c r="A3852" s="17" t="s">
        <v>12468</v>
      </c>
      <c r="B3852" s="18" t="s">
        <v>12469</v>
      </c>
      <c r="C3852" s="17" t="s">
        <v>0</v>
      </c>
      <c r="D3852" s="19">
        <v>85.25</v>
      </c>
      <c r="F3852" s="3" t="str">
        <f t="shared" si="60"/>
        <v>C0577</v>
      </c>
    </row>
    <row r="3853" spans="1:6" x14ac:dyDescent="0.2">
      <c r="A3853" s="17" t="s">
        <v>12470</v>
      </c>
      <c r="B3853" s="18" t="s">
        <v>12471</v>
      </c>
      <c r="C3853" s="17" t="s">
        <v>0</v>
      </c>
      <c r="D3853" s="19">
        <v>10.78</v>
      </c>
      <c r="F3853" s="3" t="str">
        <f t="shared" si="60"/>
        <v>C0560</v>
      </c>
    </row>
    <row r="3854" spans="1:6" x14ac:dyDescent="0.2">
      <c r="A3854" s="17" t="s">
        <v>12472</v>
      </c>
      <c r="B3854" s="18" t="s">
        <v>12473</v>
      </c>
      <c r="C3854" s="17" t="s">
        <v>0</v>
      </c>
      <c r="D3854" s="19">
        <v>11.43</v>
      </c>
      <c r="F3854" s="3" t="str">
        <f t="shared" si="60"/>
        <v>C0561</v>
      </c>
    </row>
    <row r="3855" spans="1:6" x14ac:dyDescent="0.2">
      <c r="A3855" s="17" t="s">
        <v>12474</v>
      </c>
      <c r="B3855" s="18" t="s">
        <v>12475</v>
      </c>
      <c r="C3855" s="17" t="s">
        <v>0</v>
      </c>
      <c r="D3855" s="19">
        <v>43.81</v>
      </c>
      <c r="F3855" s="3" t="str">
        <f t="shared" si="60"/>
        <v>C3908</v>
      </c>
    </row>
    <row r="3856" spans="1:6" x14ac:dyDescent="0.2">
      <c r="A3856" s="17" t="s">
        <v>12476</v>
      </c>
      <c r="B3856" s="18" t="s">
        <v>12477</v>
      </c>
      <c r="C3856" s="17" t="s">
        <v>26</v>
      </c>
      <c r="D3856" s="19">
        <v>5.63</v>
      </c>
      <c r="F3856" s="3" t="str">
        <f t="shared" si="60"/>
        <v>C0798</v>
      </c>
    </row>
    <row r="3857" spans="1:6" x14ac:dyDescent="0.2">
      <c r="A3857" s="17" t="s">
        <v>12478</v>
      </c>
      <c r="B3857" s="18" t="s">
        <v>12479</v>
      </c>
      <c r="C3857" s="17" t="s">
        <v>26</v>
      </c>
      <c r="D3857" s="19">
        <v>3.72</v>
      </c>
      <c r="F3857" s="3" t="str">
        <f t="shared" si="60"/>
        <v>C3565</v>
      </c>
    </row>
    <row r="3858" spans="1:6" x14ac:dyDescent="0.2">
      <c r="A3858" s="17" t="s">
        <v>12480</v>
      </c>
      <c r="B3858" s="18" t="s">
        <v>12481</v>
      </c>
      <c r="C3858" s="17" t="s">
        <v>26</v>
      </c>
      <c r="D3858" s="19">
        <v>13.17</v>
      </c>
      <c r="F3858" s="3" t="str">
        <f t="shared" si="60"/>
        <v>C3911</v>
      </c>
    </row>
    <row r="3859" spans="1:6" x14ac:dyDescent="0.2">
      <c r="A3859" s="17" t="s">
        <v>12482</v>
      </c>
      <c r="B3859" s="18" t="s">
        <v>12483</v>
      </c>
      <c r="C3859" s="17" t="s">
        <v>26</v>
      </c>
      <c r="D3859" s="19">
        <v>9.94</v>
      </c>
      <c r="F3859" s="3" t="str">
        <f t="shared" si="60"/>
        <v>C0859</v>
      </c>
    </row>
    <row r="3860" spans="1:6" x14ac:dyDescent="0.2">
      <c r="A3860" s="17" t="s">
        <v>12484</v>
      </c>
      <c r="B3860" s="18" t="s">
        <v>12485</v>
      </c>
      <c r="C3860" s="17" t="s">
        <v>26</v>
      </c>
      <c r="D3860" s="19">
        <v>12.19</v>
      </c>
      <c r="F3860" s="3" t="str">
        <f t="shared" si="60"/>
        <v>C0860</v>
      </c>
    </row>
    <row r="3861" spans="1:6" x14ac:dyDescent="0.2">
      <c r="A3861" s="17" t="s">
        <v>12486</v>
      </c>
      <c r="B3861" s="18" t="s">
        <v>12487</v>
      </c>
      <c r="C3861" s="17" t="s">
        <v>26</v>
      </c>
      <c r="D3861" s="19">
        <v>34.549999999999997</v>
      </c>
      <c r="F3861" s="3" t="str">
        <f t="shared" si="60"/>
        <v>C0858</v>
      </c>
    </row>
    <row r="3862" spans="1:6" x14ac:dyDescent="0.2">
      <c r="A3862" s="17" t="s">
        <v>12488</v>
      </c>
      <c r="B3862" s="18" t="s">
        <v>12489</v>
      </c>
      <c r="C3862" s="17" t="s">
        <v>26</v>
      </c>
      <c r="D3862" s="19">
        <v>85.32</v>
      </c>
      <c r="F3862" s="3" t="str">
        <f t="shared" si="60"/>
        <v>C0861</v>
      </c>
    </row>
    <row r="3863" spans="1:6" x14ac:dyDescent="0.2">
      <c r="A3863" s="17" t="s">
        <v>12490</v>
      </c>
      <c r="B3863" s="18" t="s">
        <v>12491</v>
      </c>
      <c r="C3863" s="17" t="s">
        <v>0</v>
      </c>
      <c r="D3863" s="19">
        <v>60.94</v>
      </c>
      <c r="F3863" s="3" t="str">
        <f t="shared" si="60"/>
        <v>C0869</v>
      </c>
    </row>
    <row r="3864" spans="1:6" x14ac:dyDescent="0.2">
      <c r="A3864" s="17" t="s">
        <v>12492</v>
      </c>
      <c r="B3864" s="18" t="s">
        <v>12493</v>
      </c>
      <c r="C3864" s="17" t="s">
        <v>0</v>
      </c>
      <c r="D3864" s="19">
        <v>100.38</v>
      </c>
      <c r="F3864" s="3" t="str">
        <f t="shared" si="60"/>
        <v>C0870</v>
      </c>
    </row>
    <row r="3865" spans="1:6" x14ac:dyDescent="0.2">
      <c r="A3865" s="17" t="s">
        <v>12494</v>
      </c>
      <c r="B3865" s="18" t="s">
        <v>12495</v>
      </c>
      <c r="C3865" s="17" t="s">
        <v>0</v>
      </c>
      <c r="D3865" s="19">
        <v>3.68</v>
      </c>
      <c r="F3865" s="3" t="str">
        <f t="shared" si="60"/>
        <v>C1369</v>
      </c>
    </row>
    <row r="3866" spans="1:6" x14ac:dyDescent="0.2">
      <c r="A3866" s="17" t="s">
        <v>12496</v>
      </c>
      <c r="B3866" s="18" t="s">
        <v>12497</v>
      </c>
      <c r="C3866" s="17" t="s">
        <v>0</v>
      </c>
      <c r="D3866" s="19">
        <v>4.33</v>
      </c>
      <c r="F3866" s="3" t="str">
        <f t="shared" si="60"/>
        <v>C1370</v>
      </c>
    </row>
    <row r="3867" spans="1:6" x14ac:dyDescent="0.2">
      <c r="A3867" s="17" t="s">
        <v>12498</v>
      </c>
      <c r="B3867" s="18" t="s">
        <v>12499</v>
      </c>
      <c r="C3867" s="17" t="s">
        <v>0</v>
      </c>
      <c r="D3867" s="19">
        <v>4.8</v>
      </c>
      <c r="F3867" s="3" t="str">
        <f t="shared" si="60"/>
        <v>C1373</v>
      </c>
    </row>
    <row r="3868" spans="1:6" x14ac:dyDescent="0.2">
      <c r="A3868" s="17" t="s">
        <v>12500</v>
      </c>
      <c r="B3868" s="18" t="s">
        <v>12501</v>
      </c>
      <c r="C3868" s="17" t="s">
        <v>0</v>
      </c>
      <c r="D3868" s="19">
        <v>5.43</v>
      </c>
      <c r="F3868" s="3" t="str">
        <f t="shared" si="60"/>
        <v>C1371</v>
      </c>
    </row>
    <row r="3869" spans="1:6" x14ac:dyDescent="0.2">
      <c r="A3869" s="17" t="s">
        <v>12502</v>
      </c>
      <c r="B3869" s="18" t="s">
        <v>12503</v>
      </c>
      <c r="C3869" s="17" t="s">
        <v>0</v>
      </c>
      <c r="D3869" s="19">
        <v>6.53</v>
      </c>
      <c r="F3869" s="3" t="str">
        <f t="shared" si="60"/>
        <v>C1374</v>
      </c>
    </row>
    <row r="3870" spans="1:6" x14ac:dyDescent="0.2">
      <c r="A3870" s="17" t="s">
        <v>12504</v>
      </c>
      <c r="B3870" s="18" t="s">
        <v>12505</v>
      </c>
      <c r="C3870" s="17" t="s">
        <v>0</v>
      </c>
      <c r="D3870" s="19">
        <v>8.2100000000000009</v>
      </c>
      <c r="F3870" s="3" t="str">
        <f t="shared" si="60"/>
        <v>C1375</v>
      </c>
    </row>
    <row r="3871" spans="1:6" x14ac:dyDescent="0.2">
      <c r="A3871" s="17" t="s">
        <v>12506</v>
      </c>
      <c r="B3871" s="18" t="s">
        <v>12507</v>
      </c>
      <c r="C3871" s="17" t="s">
        <v>0</v>
      </c>
      <c r="D3871" s="19">
        <v>9.8000000000000007</v>
      </c>
      <c r="F3871" s="3" t="str">
        <f t="shared" si="60"/>
        <v>C1376</v>
      </c>
    </row>
    <row r="3872" spans="1:6" x14ac:dyDescent="0.2">
      <c r="A3872" s="17" t="s">
        <v>12508</v>
      </c>
      <c r="B3872" s="18" t="s">
        <v>12509</v>
      </c>
      <c r="C3872" s="17" t="s">
        <v>0</v>
      </c>
      <c r="D3872" s="19">
        <v>12.89</v>
      </c>
      <c r="F3872" s="3" t="str">
        <f t="shared" si="60"/>
        <v>C1372</v>
      </c>
    </row>
    <row r="3873" spans="1:6" x14ac:dyDescent="0.2">
      <c r="A3873" s="17" t="s">
        <v>12510</v>
      </c>
      <c r="B3873" s="18" t="s">
        <v>12511</v>
      </c>
      <c r="C3873" s="17" t="s">
        <v>0</v>
      </c>
      <c r="D3873" s="19">
        <v>4.55</v>
      </c>
      <c r="F3873" s="3" t="str">
        <f t="shared" si="60"/>
        <v>C1377</v>
      </c>
    </row>
    <row r="3874" spans="1:6" x14ac:dyDescent="0.2">
      <c r="A3874" s="17" t="s">
        <v>12512</v>
      </c>
      <c r="B3874" s="18" t="s">
        <v>12513</v>
      </c>
      <c r="C3874" s="17" t="s">
        <v>0</v>
      </c>
      <c r="D3874" s="19">
        <v>6.09</v>
      </c>
      <c r="F3874" s="3" t="str">
        <f t="shared" si="60"/>
        <v>C1378</v>
      </c>
    </row>
    <row r="3875" spans="1:6" x14ac:dyDescent="0.2">
      <c r="A3875" s="17" t="s">
        <v>12514</v>
      </c>
      <c r="B3875" s="18" t="s">
        <v>12515</v>
      </c>
      <c r="C3875" s="17" t="s">
        <v>0</v>
      </c>
      <c r="D3875" s="19">
        <v>8.82</v>
      </c>
      <c r="F3875" s="3" t="str">
        <f t="shared" si="60"/>
        <v>C1379</v>
      </c>
    </row>
    <row r="3876" spans="1:6" x14ac:dyDescent="0.2">
      <c r="A3876" s="17" t="s">
        <v>12516</v>
      </c>
      <c r="B3876" s="18" t="s">
        <v>12517</v>
      </c>
      <c r="C3876" s="17" t="s">
        <v>26</v>
      </c>
      <c r="D3876" s="19">
        <v>28.82</v>
      </c>
      <c r="F3876" s="3" t="str">
        <f t="shared" si="60"/>
        <v>C3572</v>
      </c>
    </row>
    <row r="3877" spans="1:6" x14ac:dyDescent="0.2">
      <c r="A3877" s="17" t="s">
        <v>12518</v>
      </c>
      <c r="B3877" s="18" t="s">
        <v>12519</v>
      </c>
      <c r="C3877" s="17" t="s">
        <v>26</v>
      </c>
      <c r="D3877" s="19">
        <v>104.21</v>
      </c>
      <c r="F3877" s="3" t="str">
        <f t="shared" si="60"/>
        <v>C3922</v>
      </c>
    </row>
    <row r="3878" spans="1:6" x14ac:dyDescent="0.2">
      <c r="A3878" s="17" t="s">
        <v>12520</v>
      </c>
      <c r="B3878" s="18" t="s">
        <v>12521</v>
      </c>
      <c r="C3878" s="17" t="s">
        <v>0</v>
      </c>
      <c r="D3878" s="19">
        <v>3.52</v>
      </c>
      <c r="F3878" s="3" t="str">
        <f t="shared" si="60"/>
        <v>C3570</v>
      </c>
    </row>
    <row r="3879" spans="1:6" x14ac:dyDescent="0.2">
      <c r="A3879" s="17" t="s">
        <v>12522</v>
      </c>
      <c r="B3879" s="18" t="s">
        <v>12523</v>
      </c>
      <c r="C3879" s="17" t="s">
        <v>0</v>
      </c>
      <c r="D3879" s="19">
        <v>7.38</v>
      </c>
      <c r="F3879" s="3" t="str">
        <f t="shared" si="60"/>
        <v>C3563</v>
      </c>
    </row>
    <row r="3880" spans="1:6" x14ac:dyDescent="0.2">
      <c r="A3880" s="17" t="s">
        <v>12524</v>
      </c>
      <c r="B3880" s="18" t="s">
        <v>12525</v>
      </c>
      <c r="C3880" s="17" t="s">
        <v>0</v>
      </c>
      <c r="D3880" s="19">
        <v>3.21</v>
      </c>
      <c r="F3880" s="3" t="str">
        <f t="shared" si="60"/>
        <v>C3571</v>
      </c>
    </row>
    <row r="3881" spans="1:6" x14ac:dyDescent="0.2">
      <c r="A3881" s="17" t="s">
        <v>12526</v>
      </c>
      <c r="B3881" s="18" t="s">
        <v>12527</v>
      </c>
      <c r="C3881" s="17" t="s">
        <v>26</v>
      </c>
      <c r="D3881" s="19">
        <v>12.89</v>
      </c>
      <c r="F3881" s="3" t="str">
        <f t="shared" si="60"/>
        <v>C2455</v>
      </c>
    </row>
    <row r="3882" spans="1:6" x14ac:dyDescent="0.2">
      <c r="A3882" s="17" t="s">
        <v>12528</v>
      </c>
      <c r="B3882" s="18" t="s">
        <v>12529</v>
      </c>
      <c r="C3882" s="17" t="s">
        <v>26</v>
      </c>
      <c r="D3882" s="19">
        <v>14.12</v>
      </c>
      <c r="F3882" s="3" t="str">
        <f t="shared" si="60"/>
        <v>C2457</v>
      </c>
    </row>
    <row r="3883" spans="1:6" x14ac:dyDescent="0.2">
      <c r="A3883" s="17" t="s">
        <v>12530</v>
      </c>
      <c r="B3883" s="18" t="s">
        <v>12531</v>
      </c>
      <c r="C3883" s="17" t="s">
        <v>26</v>
      </c>
      <c r="D3883" s="19">
        <v>28.85</v>
      </c>
      <c r="F3883" s="3" t="str">
        <f t="shared" si="60"/>
        <v>C2454</v>
      </c>
    </row>
    <row r="3884" spans="1:6" x14ac:dyDescent="0.2">
      <c r="A3884" s="17" t="s">
        <v>12532</v>
      </c>
      <c r="B3884" s="18" t="s">
        <v>12533</v>
      </c>
      <c r="C3884" s="17" t="s">
        <v>26</v>
      </c>
      <c r="D3884" s="19">
        <v>38.39</v>
      </c>
      <c r="F3884" s="3" t="str">
        <f t="shared" si="60"/>
        <v>C2456</v>
      </c>
    </row>
    <row r="3885" spans="1:6" x14ac:dyDescent="0.2">
      <c r="A3885" s="17" t="s">
        <v>12534</v>
      </c>
      <c r="B3885" s="18" t="s">
        <v>12535</v>
      </c>
      <c r="C3885" s="17" t="s">
        <v>26</v>
      </c>
      <c r="D3885" s="19">
        <v>79.78</v>
      </c>
      <c r="F3885" s="3" t="str">
        <f t="shared" si="60"/>
        <v>C2458</v>
      </c>
    </row>
    <row r="3886" spans="1:6" x14ac:dyDescent="0.2">
      <c r="A3886" s="17" t="s">
        <v>12536</v>
      </c>
      <c r="B3886" s="18" t="s">
        <v>12537</v>
      </c>
      <c r="C3886" s="17" t="s">
        <v>26</v>
      </c>
      <c r="D3886" s="19">
        <v>30.7</v>
      </c>
      <c r="F3886" s="3" t="str">
        <f t="shared" si="60"/>
        <v>C2459</v>
      </c>
    </row>
    <row r="3887" spans="1:6" x14ac:dyDescent="0.2">
      <c r="A3887" s="17" t="s">
        <v>41</v>
      </c>
      <c r="B3887" s="18" t="s">
        <v>42</v>
      </c>
      <c r="C3887" s="17" t="s">
        <v>26</v>
      </c>
      <c r="D3887" s="19">
        <v>8.64</v>
      </c>
      <c r="F3887" s="3" t="str">
        <f t="shared" si="60"/>
        <v>C3482</v>
      </c>
    </row>
    <row r="3888" spans="1:6" x14ac:dyDescent="0.2">
      <c r="A3888" s="17" t="s">
        <v>44</v>
      </c>
      <c r="B3888" s="18" t="s">
        <v>45</v>
      </c>
      <c r="C3888" s="17" t="s">
        <v>26</v>
      </c>
      <c r="D3888" s="19">
        <v>8.64</v>
      </c>
      <c r="F3888" s="3" t="str">
        <f t="shared" si="60"/>
        <v>C3483</v>
      </c>
    </row>
    <row r="3889" spans="1:6" x14ac:dyDescent="0.2">
      <c r="A3889" s="17" t="s">
        <v>12538</v>
      </c>
      <c r="B3889" s="18" t="s">
        <v>12539</v>
      </c>
      <c r="C3889" s="17" t="s">
        <v>0</v>
      </c>
      <c r="D3889" s="19">
        <v>11.86</v>
      </c>
      <c r="F3889" s="3" t="str">
        <f t="shared" si="60"/>
        <v>C3478</v>
      </c>
    </row>
    <row r="3890" spans="1:6" x14ac:dyDescent="0.2">
      <c r="A3890" s="14" t="s">
        <v>12540</v>
      </c>
      <c r="B3890" s="15"/>
      <c r="C3890" s="14">
        <v>0</v>
      </c>
      <c r="D3890" s="16">
        <v>164443.81</v>
      </c>
      <c r="F3890" s="3" t="str">
        <f t="shared" si="60"/>
        <v>BASES, CHAVES E DISJUNTORES</v>
      </c>
    </row>
    <row r="3891" spans="1:6" x14ac:dyDescent="0.2">
      <c r="A3891" s="17" t="s">
        <v>12541</v>
      </c>
      <c r="B3891" s="18" t="s">
        <v>12542</v>
      </c>
      <c r="C3891" s="17" t="s">
        <v>26</v>
      </c>
      <c r="D3891" s="19">
        <v>59.63</v>
      </c>
      <c r="F3891" s="3" t="str">
        <f t="shared" si="60"/>
        <v>C0380</v>
      </c>
    </row>
    <row r="3892" spans="1:6" x14ac:dyDescent="0.2">
      <c r="A3892" s="17" t="s">
        <v>12543</v>
      </c>
      <c r="B3892" s="18" t="s">
        <v>12544</v>
      </c>
      <c r="C3892" s="17" t="s">
        <v>26</v>
      </c>
      <c r="D3892" s="19">
        <v>73.62</v>
      </c>
      <c r="F3892" s="3" t="str">
        <f t="shared" si="60"/>
        <v>C0381</v>
      </c>
    </row>
    <row r="3893" spans="1:6" x14ac:dyDescent="0.2">
      <c r="A3893" s="17" t="s">
        <v>12545</v>
      </c>
      <c r="B3893" s="18" t="s">
        <v>12546</v>
      </c>
      <c r="C3893" s="17" t="s">
        <v>26</v>
      </c>
      <c r="D3893" s="19">
        <v>70.27</v>
      </c>
      <c r="F3893" s="3" t="str">
        <f t="shared" si="60"/>
        <v>C0382</v>
      </c>
    </row>
    <row r="3894" spans="1:6" x14ac:dyDescent="0.2">
      <c r="A3894" s="17" t="s">
        <v>12547</v>
      </c>
      <c r="B3894" s="18" t="s">
        <v>12548</v>
      </c>
      <c r="C3894" s="17" t="s">
        <v>26</v>
      </c>
      <c r="D3894" s="19">
        <v>205.55</v>
      </c>
      <c r="F3894" s="3" t="str">
        <f t="shared" si="60"/>
        <v>C0376</v>
      </c>
    </row>
    <row r="3895" spans="1:6" x14ac:dyDescent="0.2">
      <c r="A3895" s="17" t="s">
        <v>12549</v>
      </c>
      <c r="B3895" s="18" t="s">
        <v>12550</v>
      </c>
      <c r="C3895" s="17" t="s">
        <v>26</v>
      </c>
      <c r="D3895" s="19">
        <v>213.44</v>
      </c>
      <c r="F3895" s="3" t="str">
        <f t="shared" si="60"/>
        <v>C0377</v>
      </c>
    </row>
    <row r="3896" spans="1:6" x14ac:dyDescent="0.2">
      <c r="A3896" s="17" t="s">
        <v>12551</v>
      </c>
      <c r="B3896" s="18" t="s">
        <v>12552</v>
      </c>
      <c r="C3896" s="17" t="s">
        <v>26</v>
      </c>
      <c r="D3896" s="19">
        <v>281.07</v>
      </c>
      <c r="F3896" s="3" t="str">
        <f t="shared" si="60"/>
        <v>C0378</v>
      </c>
    </row>
    <row r="3897" spans="1:6" x14ac:dyDescent="0.2">
      <c r="A3897" s="17" t="s">
        <v>12553</v>
      </c>
      <c r="B3897" s="18" t="s">
        <v>12554</v>
      </c>
      <c r="C3897" s="17" t="s">
        <v>26</v>
      </c>
      <c r="D3897" s="19">
        <v>1189.03</v>
      </c>
      <c r="F3897" s="3" t="str">
        <f t="shared" si="60"/>
        <v>C0379</v>
      </c>
    </row>
    <row r="3898" spans="1:6" x14ac:dyDescent="0.2">
      <c r="A3898" s="17" t="s">
        <v>12555</v>
      </c>
      <c r="B3898" s="18" t="s">
        <v>12556</v>
      </c>
      <c r="C3898" s="17" t="s">
        <v>26</v>
      </c>
      <c r="D3898" s="19">
        <v>549.97</v>
      </c>
      <c r="F3898" s="3" t="str">
        <f t="shared" si="60"/>
        <v>C4057</v>
      </c>
    </row>
    <row r="3899" spans="1:6" x14ac:dyDescent="0.2">
      <c r="A3899" s="17" t="s">
        <v>12557</v>
      </c>
      <c r="B3899" s="18" t="s">
        <v>12558</v>
      </c>
      <c r="C3899" s="17" t="s">
        <v>26</v>
      </c>
      <c r="D3899" s="19">
        <v>5720.03</v>
      </c>
      <c r="F3899" s="3" t="str">
        <f t="shared" si="60"/>
        <v>C4769</v>
      </c>
    </row>
    <row r="3900" spans="1:6" x14ac:dyDescent="0.2">
      <c r="A3900" s="17" t="s">
        <v>12559</v>
      </c>
      <c r="B3900" s="18" t="s">
        <v>12560</v>
      </c>
      <c r="C3900" s="17" t="s">
        <v>26</v>
      </c>
      <c r="D3900" s="19">
        <v>223.26</v>
      </c>
      <c r="F3900" s="3" t="str">
        <f t="shared" si="60"/>
        <v>C0789</v>
      </c>
    </row>
    <row r="3901" spans="1:6" x14ac:dyDescent="0.2">
      <c r="A3901" s="17" t="s">
        <v>12561</v>
      </c>
      <c r="B3901" s="18" t="s">
        <v>12562</v>
      </c>
      <c r="C3901" s="17" t="s">
        <v>26</v>
      </c>
      <c r="D3901" s="19">
        <v>283.33999999999997</v>
      </c>
      <c r="F3901" s="3" t="str">
        <f t="shared" si="60"/>
        <v>C0792</v>
      </c>
    </row>
    <row r="3902" spans="1:6" x14ac:dyDescent="0.2">
      <c r="A3902" s="17" t="s">
        <v>12563</v>
      </c>
      <c r="B3902" s="18" t="s">
        <v>12564</v>
      </c>
      <c r="C3902" s="17" t="s">
        <v>26</v>
      </c>
      <c r="D3902" s="19">
        <v>334.3</v>
      </c>
      <c r="F3902" s="3" t="str">
        <f t="shared" si="60"/>
        <v>C0793</v>
      </c>
    </row>
    <row r="3903" spans="1:6" x14ac:dyDescent="0.2">
      <c r="A3903" s="17" t="s">
        <v>12565</v>
      </c>
      <c r="B3903" s="18" t="s">
        <v>12566</v>
      </c>
      <c r="C3903" s="17" t="s">
        <v>26</v>
      </c>
      <c r="D3903" s="19">
        <v>490.08</v>
      </c>
      <c r="F3903" s="3" t="str">
        <f t="shared" si="60"/>
        <v>C0794</v>
      </c>
    </row>
    <row r="3904" spans="1:6" x14ac:dyDescent="0.2">
      <c r="A3904" s="17" t="s">
        <v>12567</v>
      </c>
      <c r="B3904" s="18" t="s">
        <v>12568</v>
      </c>
      <c r="C3904" s="17" t="s">
        <v>26</v>
      </c>
      <c r="D3904" s="19">
        <v>601.54</v>
      </c>
      <c r="F3904" s="3" t="str">
        <f t="shared" si="60"/>
        <v>C0787</v>
      </c>
    </row>
    <row r="3905" spans="1:6" x14ac:dyDescent="0.2">
      <c r="A3905" s="17" t="s">
        <v>12569</v>
      </c>
      <c r="B3905" s="18" t="s">
        <v>12570</v>
      </c>
      <c r="C3905" s="17" t="s">
        <v>26</v>
      </c>
      <c r="D3905" s="19">
        <v>618.52</v>
      </c>
      <c r="F3905" s="3" t="str">
        <f t="shared" si="60"/>
        <v>C0788</v>
      </c>
    </row>
    <row r="3906" spans="1:6" x14ac:dyDescent="0.2">
      <c r="A3906" s="17" t="s">
        <v>12571</v>
      </c>
      <c r="B3906" s="18" t="s">
        <v>12572</v>
      </c>
      <c r="C3906" s="17" t="s">
        <v>26</v>
      </c>
      <c r="D3906" s="19">
        <v>620.70000000000005</v>
      </c>
      <c r="F3906" s="3" t="str">
        <f t="shared" ref="F3906:F3969" si="61">A3906</f>
        <v>C0790</v>
      </c>
    </row>
    <row r="3907" spans="1:6" x14ac:dyDescent="0.2">
      <c r="A3907" s="17" t="s">
        <v>12573</v>
      </c>
      <c r="B3907" s="18" t="s">
        <v>12574</v>
      </c>
      <c r="C3907" s="17" t="s">
        <v>26</v>
      </c>
      <c r="D3907" s="19">
        <v>773.43</v>
      </c>
      <c r="F3907" s="3" t="str">
        <f t="shared" si="61"/>
        <v>C0791</v>
      </c>
    </row>
    <row r="3908" spans="1:6" x14ac:dyDescent="0.2">
      <c r="A3908" s="17" t="s">
        <v>12575</v>
      </c>
      <c r="B3908" s="18" t="s">
        <v>12576</v>
      </c>
      <c r="C3908" s="17" t="s">
        <v>26</v>
      </c>
      <c r="D3908" s="19">
        <v>198.09</v>
      </c>
      <c r="F3908" s="3" t="str">
        <f t="shared" si="61"/>
        <v>C0783</v>
      </c>
    </row>
    <row r="3909" spans="1:6" x14ac:dyDescent="0.2">
      <c r="A3909" s="17" t="s">
        <v>12577</v>
      </c>
      <c r="B3909" s="18" t="s">
        <v>12578</v>
      </c>
      <c r="C3909" s="17" t="s">
        <v>26</v>
      </c>
      <c r="D3909" s="19">
        <v>237.43</v>
      </c>
      <c r="F3909" s="3" t="str">
        <f t="shared" si="61"/>
        <v>C0785</v>
      </c>
    </row>
    <row r="3910" spans="1:6" x14ac:dyDescent="0.2">
      <c r="A3910" s="17" t="s">
        <v>12579</v>
      </c>
      <c r="B3910" s="18" t="s">
        <v>12580</v>
      </c>
      <c r="C3910" s="17" t="s">
        <v>26</v>
      </c>
      <c r="D3910" s="19">
        <v>386.28</v>
      </c>
      <c r="F3910" s="3" t="str">
        <f t="shared" si="61"/>
        <v>C0786</v>
      </c>
    </row>
    <row r="3911" spans="1:6" x14ac:dyDescent="0.2">
      <c r="A3911" s="17" t="s">
        <v>12581</v>
      </c>
      <c r="B3911" s="18" t="s">
        <v>12582</v>
      </c>
      <c r="C3911" s="17" t="s">
        <v>26</v>
      </c>
      <c r="D3911" s="19">
        <v>484.61</v>
      </c>
      <c r="F3911" s="3" t="str">
        <f t="shared" si="61"/>
        <v>C0784</v>
      </c>
    </row>
    <row r="3912" spans="1:6" x14ac:dyDescent="0.2">
      <c r="A3912" s="17" t="s">
        <v>12583</v>
      </c>
      <c r="B3912" s="18" t="s">
        <v>12584</v>
      </c>
      <c r="C3912" s="17" t="s">
        <v>26</v>
      </c>
      <c r="D3912" s="19">
        <v>944.16</v>
      </c>
      <c r="F3912" s="3" t="str">
        <f t="shared" si="61"/>
        <v>C4032</v>
      </c>
    </row>
    <row r="3913" spans="1:6" x14ac:dyDescent="0.2">
      <c r="A3913" s="17" t="s">
        <v>12585</v>
      </c>
      <c r="B3913" s="18" t="s">
        <v>12586</v>
      </c>
      <c r="C3913" s="17" t="s">
        <v>26</v>
      </c>
      <c r="D3913" s="19">
        <v>727.6</v>
      </c>
      <c r="F3913" s="3" t="str">
        <f t="shared" si="61"/>
        <v>C4036</v>
      </c>
    </row>
    <row r="3914" spans="1:6" x14ac:dyDescent="0.2">
      <c r="A3914" s="17" t="s">
        <v>12587</v>
      </c>
      <c r="B3914" s="18" t="s">
        <v>12588</v>
      </c>
      <c r="C3914" s="17" t="s">
        <v>26</v>
      </c>
      <c r="D3914" s="19">
        <v>144.41</v>
      </c>
      <c r="F3914" s="3" t="str">
        <f t="shared" si="61"/>
        <v>C0780</v>
      </c>
    </row>
    <row r="3915" spans="1:6" x14ac:dyDescent="0.2">
      <c r="A3915" s="17" t="s">
        <v>12589</v>
      </c>
      <c r="B3915" s="18" t="s">
        <v>12590</v>
      </c>
      <c r="C3915" s="17" t="s">
        <v>26</v>
      </c>
      <c r="D3915" s="19">
        <v>24.07</v>
      </c>
      <c r="F3915" s="3" t="str">
        <f t="shared" si="61"/>
        <v>C1092</v>
      </c>
    </row>
    <row r="3916" spans="1:6" x14ac:dyDescent="0.2">
      <c r="A3916" s="17" t="s">
        <v>12591</v>
      </c>
      <c r="B3916" s="18" t="s">
        <v>12592</v>
      </c>
      <c r="C3916" s="17" t="s">
        <v>26</v>
      </c>
      <c r="D3916" s="19">
        <v>24.07</v>
      </c>
      <c r="F3916" s="3" t="str">
        <f t="shared" si="61"/>
        <v>C1093</v>
      </c>
    </row>
    <row r="3917" spans="1:6" x14ac:dyDescent="0.2">
      <c r="A3917" s="17" t="s">
        <v>12593</v>
      </c>
      <c r="B3917" s="18" t="s">
        <v>12594</v>
      </c>
      <c r="C3917" s="17" t="s">
        <v>26</v>
      </c>
      <c r="D3917" s="19">
        <v>24.07</v>
      </c>
      <c r="F3917" s="3" t="str">
        <f t="shared" si="61"/>
        <v>C1095</v>
      </c>
    </row>
    <row r="3918" spans="1:6" x14ac:dyDescent="0.2">
      <c r="A3918" s="17" t="s">
        <v>12595</v>
      </c>
      <c r="B3918" s="18" t="s">
        <v>12596</v>
      </c>
      <c r="C3918" s="17" t="s">
        <v>26</v>
      </c>
      <c r="D3918" s="19">
        <v>24.07</v>
      </c>
      <c r="F3918" s="3" t="str">
        <f t="shared" si="61"/>
        <v>C1096</v>
      </c>
    </row>
    <row r="3919" spans="1:6" x14ac:dyDescent="0.2">
      <c r="A3919" s="17" t="s">
        <v>12597</v>
      </c>
      <c r="B3919" s="18" t="s">
        <v>12598</v>
      </c>
      <c r="C3919" s="17" t="s">
        <v>26</v>
      </c>
      <c r="D3919" s="19">
        <v>31.58</v>
      </c>
      <c r="F3919" s="3" t="str">
        <f t="shared" si="61"/>
        <v>C1098</v>
      </c>
    </row>
    <row r="3920" spans="1:6" x14ac:dyDescent="0.2">
      <c r="A3920" s="17" t="s">
        <v>12599</v>
      </c>
      <c r="B3920" s="18" t="s">
        <v>12600</v>
      </c>
      <c r="C3920" s="17" t="s">
        <v>26</v>
      </c>
      <c r="D3920" s="19">
        <v>31.58</v>
      </c>
      <c r="F3920" s="3" t="str">
        <f t="shared" si="61"/>
        <v>C1099</v>
      </c>
    </row>
    <row r="3921" spans="1:6" x14ac:dyDescent="0.2">
      <c r="A3921" s="17" t="s">
        <v>12601</v>
      </c>
      <c r="B3921" s="18" t="s">
        <v>12602</v>
      </c>
      <c r="C3921" s="17" t="s">
        <v>26</v>
      </c>
      <c r="D3921" s="19">
        <v>31.58</v>
      </c>
      <c r="F3921" s="3" t="str">
        <f t="shared" si="61"/>
        <v>C1101</v>
      </c>
    </row>
    <row r="3922" spans="1:6" x14ac:dyDescent="0.2">
      <c r="A3922" s="17" t="s">
        <v>12603</v>
      </c>
      <c r="B3922" s="18" t="s">
        <v>12604</v>
      </c>
      <c r="C3922" s="17" t="s">
        <v>26</v>
      </c>
      <c r="D3922" s="19">
        <v>77.08</v>
      </c>
      <c r="F3922" s="3" t="str">
        <f t="shared" si="61"/>
        <v>C1081</v>
      </c>
    </row>
    <row r="3923" spans="1:6" x14ac:dyDescent="0.2">
      <c r="A3923" s="17" t="s">
        <v>12605</v>
      </c>
      <c r="B3923" s="18" t="s">
        <v>12606</v>
      </c>
      <c r="C3923" s="17" t="s">
        <v>26</v>
      </c>
      <c r="D3923" s="19">
        <v>77.08</v>
      </c>
      <c r="F3923" s="3" t="str">
        <f t="shared" si="61"/>
        <v>C1082</v>
      </c>
    </row>
    <row r="3924" spans="1:6" x14ac:dyDescent="0.2">
      <c r="A3924" s="17" t="s">
        <v>12607</v>
      </c>
      <c r="B3924" s="18" t="s">
        <v>12608</v>
      </c>
      <c r="C3924" s="17" t="s">
        <v>26</v>
      </c>
      <c r="D3924" s="19">
        <v>77.08</v>
      </c>
      <c r="F3924" s="3" t="str">
        <f t="shared" si="61"/>
        <v>C1084</v>
      </c>
    </row>
    <row r="3925" spans="1:6" x14ac:dyDescent="0.2">
      <c r="A3925" s="17" t="s">
        <v>12609</v>
      </c>
      <c r="B3925" s="18" t="s">
        <v>12610</v>
      </c>
      <c r="C3925" s="17" t="s">
        <v>26</v>
      </c>
      <c r="D3925" s="19">
        <v>77.08</v>
      </c>
      <c r="F3925" s="3" t="str">
        <f t="shared" si="61"/>
        <v>C1085</v>
      </c>
    </row>
    <row r="3926" spans="1:6" x14ac:dyDescent="0.2">
      <c r="A3926" s="17" t="s">
        <v>12611</v>
      </c>
      <c r="B3926" s="18" t="s">
        <v>12612</v>
      </c>
      <c r="C3926" s="17" t="s">
        <v>26</v>
      </c>
      <c r="D3926" s="19">
        <v>77.91</v>
      </c>
      <c r="F3926" s="3" t="str">
        <f t="shared" si="61"/>
        <v>C1087</v>
      </c>
    </row>
    <row r="3927" spans="1:6" x14ac:dyDescent="0.2">
      <c r="A3927" s="17" t="s">
        <v>12613</v>
      </c>
      <c r="B3927" s="18" t="s">
        <v>12614</v>
      </c>
      <c r="C3927" s="17" t="s">
        <v>26</v>
      </c>
      <c r="D3927" s="19">
        <v>78.150000000000006</v>
      </c>
      <c r="F3927" s="3" t="str">
        <f t="shared" si="61"/>
        <v>C1088</v>
      </c>
    </row>
    <row r="3928" spans="1:6" x14ac:dyDescent="0.2">
      <c r="A3928" s="17" t="s">
        <v>12615</v>
      </c>
      <c r="B3928" s="18" t="s">
        <v>12616</v>
      </c>
      <c r="C3928" s="17" t="s">
        <v>26</v>
      </c>
      <c r="D3928" s="19">
        <v>81.2</v>
      </c>
      <c r="F3928" s="3" t="str">
        <f t="shared" si="61"/>
        <v>C1090</v>
      </c>
    </row>
    <row r="3929" spans="1:6" x14ac:dyDescent="0.2">
      <c r="A3929" s="17" t="s">
        <v>39</v>
      </c>
      <c r="B3929" s="18" t="s">
        <v>40</v>
      </c>
      <c r="C3929" s="17" t="s">
        <v>26</v>
      </c>
      <c r="D3929" s="19">
        <v>160.13999999999999</v>
      </c>
      <c r="F3929" s="3" t="str">
        <f t="shared" si="61"/>
        <v>C4530</v>
      </c>
    </row>
    <row r="3930" spans="1:6" x14ac:dyDescent="0.2">
      <c r="A3930" s="17" t="s">
        <v>12617</v>
      </c>
      <c r="B3930" s="18" t="s">
        <v>12618</v>
      </c>
      <c r="C3930" s="17" t="s">
        <v>26</v>
      </c>
      <c r="D3930" s="19">
        <v>270.64999999999998</v>
      </c>
      <c r="F3930" s="3" t="str">
        <f t="shared" si="61"/>
        <v>C4531</v>
      </c>
    </row>
    <row r="3931" spans="1:6" ht="22.5" x14ac:dyDescent="0.2">
      <c r="A3931" s="17" t="s">
        <v>12619</v>
      </c>
      <c r="B3931" s="18" t="s">
        <v>12620</v>
      </c>
      <c r="C3931" s="17" t="s">
        <v>26</v>
      </c>
      <c r="D3931" s="19">
        <v>414.51</v>
      </c>
      <c r="F3931" s="3" t="str">
        <f t="shared" si="61"/>
        <v>C4815</v>
      </c>
    </row>
    <row r="3932" spans="1:6" x14ac:dyDescent="0.2">
      <c r="A3932" s="17">
        <v>0</v>
      </c>
      <c r="B3932" s="18"/>
      <c r="C3932" s="17">
        <v>0</v>
      </c>
      <c r="D3932" s="19">
        <v>0</v>
      </c>
      <c r="F3932" s="3">
        <f t="shared" si="61"/>
        <v>0</v>
      </c>
    </row>
    <row r="3933" spans="1:6" ht="22.5" x14ac:dyDescent="0.2">
      <c r="A3933" s="17" t="s">
        <v>12621</v>
      </c>
      <c r="B3933" s="18" t="s">
        <v>12622</v>
      </c>
      <c r="C3933" s="17" t="s">
        <v>26</v>
      </c>
      <c r="D3933" s="19">
        <v>608.74</v>
      </c>
      <c r="F3933" s="3" t="str">
        <f t="shared" si="61"/>
        <v>C4816</v>
      </c>
    </row>
    <row r="3934" spans="1:6" x14ac:dyDescent="0.2">
      <c r="A3934" s="17">
        <v>0</v>
      </c>
      <c r="B3934" s="18"/>
      <c r="C3934" s="17">
        <v>0</v>
      </c>
      <c r="D3934" s="19">
        <v>0</v>
      </c>
      <c r="F3934" s="3">
        <f t="shared" si="61"/>
        <v>0</v>
      </c>
    </row>
    <row r="3935" spans="1:6" ht="22.5" x14ac:dyDescent="0.2">
      <c r="A3935" s="17" t="s">
        <v>12623</v>
      </c>
      <c r="B3935" s="18" t="s">
        <v>12624</v>
      </c>
      <c r="C3935" s="17" t="s">
        <v>26</v>
      </c>
      <c r="D3935" s="19">
        <v>961.05</v>
      </c>
      <c r="F3935" s="3" t="str">
        <f t="shared" si="61"/>
        <v>C4817</v>
      </c>
    </row>
    <row r="3936" spans="1:6" x14ac:dyDescent="0.2">
      <c r="A3936" s="17">
        <v>0</v>
      </c>
      <c r="B3936" s="18"/>
      <c r="C3936" s="17">
        <v>0</v>
      </c>
      <c r="D3936" s="19">
        <v>0</v>
      </c>
      <c r="F3936" s="3">
        <f t="shared" si="61"/>
        <v>0</v>
      </c>
    </row>
    <row r="3937" spans="1:6" x14ac:dyDescent="0.2">
      <c r="A3937" s="17" t="s">
        <v>12625</v>
      </c>
      <c r="B3937" s="18" t="s">
        <v>12626</v>
      </c>
      <c r="C3937" s="17" t="s">
        <v>26</v>
      </c>
      <c r="D3937" s="19">
        <v>4268.74</v>
      </c>
      <c r="F3937" s="3" t="str">
        <f t="shared" si="61"/>
        <v>C4774</v>
      </c>
    </row>
    <row r="3938" spans="1:6" ht="33.75" x14ac:dyDescent="0.2">
      <c r="A3938" s="17" t="s">
        <v>12627</v>
      </c>
      <c r="B3938" s="18" t="s">
        <v>12628</v>
      </c>
      <c r="C3938" s="17" t="s">
        <v>26</v>
      </c>
      <c r="D3938" s="19">
        <v>1812.73</v>
      </c>
      <c r="F3938" s="3" t="str">
        <f t="shared" si="61"/>
        <v>C4934</v>
      </c>
    </row>
    <row r="3939" spans="1:6" x14ac:dyDescent="0.2">
      <c r="A3939" s="17">
        <v>0</v>
      </c>
      <c r="B3939" s="18"/>
      <c r="C3939" s="17">
        <v>0</v>
      </c>
      <c r="D3939" s="19">
        <v>0</v>
      </c>
      <c r="F3939" s="3">
        <f t="shared" si="61"/>
        <v>0</v>
      </c>
    </row>
    <row r="3940" spans="1:6" ht="22.5" x14ac:dyDescent="0.2">
      <c r="A3940" s="17" t="s">
        <v>12629</v>
      </c>
      <c r="B3940" s="18" t="s">
        <v>12630</v>
      </c>
      <c r="C3940" s="17" t="s">
        <v>26</v>
      </c>
      <c r="D3940" s="19">
        <v>4282.3999999999996</v>
      </c>
      <c r="F3940" s="3" t="str">
        <f t="shared" si="61"/>
        <v>C4935</v>
      </c>
    </row>
    <row r="3941" spans="1:6" x14ac:dyDescent="0.2">
      <c r="A3941" s="17">
        <v>0</v>
      </c>
      <c r="B3941" s="18"/>
      <c r="C3941" s="17">
        <v>0</v>
      </c>
      <c r="D3941" s="19">
        <v>0</v>
      </c>
      <c r="F3941" s="3">
        <f t="shared" si="61"/>
        <v>0</v>
      </c>
    </row>
    <row r="3942" spans="1:6" x14ac:dyDescent="0.2">
      <c r="A3942" s="17" t="s">
        <v>12631</v>
      </c>
      <c r="B3942" s="18" t="s">
        <v>12632</v>
      </c>
      <c r="C3942" s="17" t="s">
        <v>26</v>
      </c>
      <c r="D3942" s="19">
        <v>103.67</v>
      </c>
      <c r="F3942" s="3" t="str">
        <f t="shared" si="61"/>
        <v>C1106</v>
      </c>
    </row>
    <row r="3943" spans="1:6" x14ac:dyDescent="0.2">
      <c r="A3943" s="17" t="s">
        <v>12633</v>
      </c>
      <c r="B3943" s="18" t="s">
        <v>12634</v>
      </c>
      <c r="C3943" s="17" t="s">
        <v>26</v>
      </c>
      <c r="D3943" s="19">
        <v>103.67</v>
      </c>
      <c r="F3943" s="3" t="str">
        <f t="shared" si="61"/>
        <v>C1111</v>
      </c>
    </row>
    <row r="3944" spans="1:6" x14ac:dyDescent="0.2">
      <c r="A3944" s="17" t="s">
        <v>12635</v>
      </c>
      <c r="B3944" s="18" t="s">
        <v>12636</v>
      </c>
      <c r="C3944" s="17" t="s">
        <v>26</v>
      </c>
      <c r="D3944" s="19">
        <v>115.07</v>
      </c>
      <c r="F3944" s="3" t="str">
        <f t="shared" si="61"/>
        <v>C1114</v>
      </c>
    </row>
    <row r="3945" spans="1:6" x14ac:dyDescent="0.2">
      <c r="A3945" s="17" t="s">
        <v>12637</v>
      </c>
      <c r="B3945" s="18" t="s">
        <v>12638</v>
      </c>
      <c r="C3945" s="17" t="s">
        <v>26</v>
      </c>
      <c r="D3945" s="19">
        <v>248.43</v>
      </c>
      <c r="F3945" s="3" t="str">
        <f t="shared" si="61"/>
        <v>C1104</v>
      </c>
    </row>
    <row r="3946" spans="1:6" x14ac:dyDescent="0.2">
      <c r="A3946" s="17" t="s">
        <v>12639</v>
      </c>
      <c r="B3946" s="18" t="s">
        <v>12640</v>
      </c>
      <c r="C3946" s="17" t="s">
        <v>26</v>
      </c>
      <c r="D3946" s="19">
        <v>308.60000000000002</v>
      </c>
      <c r="F3946" s="3" t="str">
        <f t="shared" si="61"/>
        <v>C1108</v>
      </c>
    </row>
    <row r="3947" spans="1:6" x14ac:dyDescent="0.2">
      <c r="A3947" s="17" t="s">
        <v>12641</v>
      </c>
      <c r="B3947" s="18" t="s">
        <v>12642</v>
      </c>
      <c r="C3947" s="17" t="s">
        <v>26</v>
      </c>
      <c r="D3947" s="19">
        <v>2365.6799999999998</v>
      </c>
      <c r="F3947" s="3" t="str">
        <f t="shared" si="61"/>
        <v>C1109</v>
      </c>
    </row>
    <row r="3948" spans="1:6" x14ac:dyDescent="0.2">
      <c r="A3948" s="17" t="s">
        <v>12643</v>
      </c>
      <c r="B3948" s="18" t="s">
        <v>12644</v>
      </c>
      <c r="C3948" s="17" t="s">
        <v>26</v>
      </c>
      <c r="D3948" s="19">
        <v>2621.3200000000002</v>
      </c>
      <c r="F3948" s="3" t="str">
        <f t="shared" si="61"/>
        <v>C1112</v>
      </c>
    </row>
    <row r="3949" spans="1:6" x14ac:dyDescent="0.2">
      <c r="A3949" s="17" t="s">
        <v>12645</v>
      </c>
      <c r="B3949" s="18" t="s">
        <v>12646</v>
      </c>
      <c r="C3949" s="17" t="s">
        <v>26</v>
      </c>
      <c r="D3949" s="19">
        <v>3620.25</v>
      </c>
      <c r="F3949" s="3" t="str">
        <f t="shared" si="61"/>
        <v>C1113</v>
      </c>
    </row>
    <row r="3950" spans="1:6" x14ac:dyDescent="0.2">
      <c r="A3950" s="17" t="s">
        <v>12647</v>
      </c>
      <c r="B3950" s="18" t="s">
        <v>12648</v>
      </c>
      <c r="C3950" s="17" t="s">
        <v>26</v>
      </c>
      <c r="D3950" s="19">
        <v>15450.89</v>
      </c>
      <c r="F3950" s="3" t="str">
        <f t="shared" si="61"/>
        <v>C1103</v>
      </c>
    </row>
    <row r="3951" spans="1:6" x14ac:dyDescent="0.2">
      <c r="A3951" s="17" t="s">
        <v>12649</v>
      </c>
      <c r="B3951" s="18" t="s">
        <v>12650</v>
      </c>
      <c r="C3951" s="17" t="s">
        <v>26</v>
      </c>
      <c r="D3951" s="19">
        <v>15513.24</v>
      </c>
      <c r="F3951" s="3" t="str">
        <f t="shared" si="61"/>
        <v>C1105</v>
      </c>
    </row>
    <row r="3952" spans="1:6" x14ac:dyDescent="0.2">
      <c r="A3952" s="17" t="s">
        <v>12651</v>
      </c>
      <c r="B3952" s="18" t="s">
        <v>12652</v>
      </c>
      <c r="C3952" s="17" t="s">
        <v>26</v>
      </c>
      <c r="D3952" s="19">
        <v>18823.8</v>
      </c>
      <c r="F3952" s="3" t="str">
        <f t="shared" si="61"/>
        <v>C1107</v>
      </c>
    </row>
    <row r="3953" spans="1:6" x14ac:dyDescent="0.2">
      <c r="A3953" s="17" t="s">
        <v>12653</v>
      </c>
      <c r="B3953" s="18" t="s">
        <v>12654</v>
      </c>
      <c r="C3953" s="17" t="s">
        <v>26</v>
      </c>
      <c r="D3953" s="19">
        <v>34614.36</v>
      </c>
      <c r="F3953" s="3" t="str">
        <f t="shared" si="61"/>
        <v>C1115</v>
      </c>
    </row>
    <row r="3954" spans="1:6" x14ac:dyDescent="0.2">
      <c r="A3954" s="17" t="s">
        <v>12655</v>
      </c>
      <c r="B3954" s="18" t="s">
        <v>12656</v>
      </c>
      <c r="C3954" s="17" t="s">
        <v>26</v>
      </c>
      <c r="D3954" s="19">
        <v>34944.53</v>
      </c>
      <c r="F3954" s="3" t="str">
        <f t="shared" si="61"/>
        <v>C1110</v>
      </c>
    </row>
    <row r="3955" spans="1:6" x14ac:dyDescent="0.2">
      <c r="A3955" s="17" t="s">
        <v>12657</v>
      </c>
      <c r="B3955" s="18" t="s">
        <v>12658</v>
      </c>
      <c r="C3955" s="17" t="s">
        <v>26</v>
      </c>
      <c r="D3955" s="19">
        <v>308.60000000000002</v>
      </c>
      <c r="F3955" s="3" t="str">
        <f t="shared" si="61"/>
        <v>C1116</v>
      </c>
    </row>
    <row r="3956" spans="1:6" x14ac:dyDescent="0.2">
      <c r="A3956" s="17" t="s">
        <v>12659</v>
      </c>
      <c r="B3956" s="18" t="s">
        <v>12660</v>
      </c>
      <c r="C3956" s="17" t="s">
        <v>26</v>
      </c>
      <c r="D3956" s="19">
        <v>99.06</v>
      </c>
      <c r="F3956" s="3" t="str">
        <f t="shared" si="61"/>
        <v>C1118</v>
      </c>
    </row>
    <row r="3957" spans="1:6" x14ac:dyDescent="0.2">
      <c r="A3957" s="17" t="s">
        <v>12661</v>
      </c>
      <c r="B3957" s="18" t="s">
        <v>12662</v>
      </c>
      <c r="C3957" s="17" t="s">
        <v>26</v>
      </c>
      <c r="D3957" s="19">
        <v>99.06</v>
      </c>
      <c r="F3957" s="3" t="str">
        <f t="shared" si="61"/>
        <v>C1119</v>
      </c>
    </row>
    <row r="3958" spans="1:6" x14ac:dyDescent="0.2">
      <c r="A3958" s="17" t="s">
        <v>12663</v>
      </c>
      <c r="B3958" s="18" t="s">
        <v>12664</v>
      </c>
      <c r="C3958" s="17" t="s">
        <v>26</v>
      </c>
      <c r="D3958" s="19">
        <v>99.06</v>
      </c>
      <c r="F3958" s="3" t="str">
        <f t="shared" si="61"/>
        <v>C1121</v>
      </c>
    </row>
    <row r="3959" spans="1:6" x14ac:dyDescent="0.2">
      <c r="A3959" s="17" t="s">
        <v>12665</v>
      </c>
      <c r="B3959" s="18" t="s">
        <v>12666</v>
      </c>
      <c r="C3959" s="17" t="s">
        <v>26</v>
      </c>
      <c r="D3959" s="19">
        <v>99.06</v>
      </c>
      <c r="F3959" s="3" t="str">
        <f t="shared" si="61"/>
        <v>C1122</v>
      </c>
    </row>
    <row r="3960" spans="1:6" x14ac:dyDescent="0.2">
      <c r="A3960" s="17" t="s">
        <v>12667</v>
      </c>
      <c r="B3960" s="18" t="s">
        <v>12668</v>
      </c>
      <c r="C3960" s="17" t="s">
        <v>26</v>
      </c>
      <c r="D3960" s="19">
        <v>99.06</v>
      </c>
      <c r="F3960" s="3" t="str">
        <f t="shared" si="61"/>
        <v>C1124</v>
      </c>
    </row>
    <row r="3961" spans="1:6" x14ac:dyDescent="0.2">
      <c r="A3961" s="17" t="s">
        <v>12669</v>
      </c>
      <c r="B3961" s="18" t="s">
        <v>12670</v>
      </c>
      <c r="C3961" s="17" t="s">
        <v>26</v>
      </c>
      <c r="D3961" s="19">
        <v>99.06</v>
      </c>
      <c r="F3961" s="3" t="str">
        <f t="shared" si="61"/>
        <v>C1125</v>
      </c>
    </row>
    <row r="3962" spans="1:6" x14ac:dyDescent="0.2">
      <c r="A3962" s="17" t="s">
        <v>12671</v>
      </c>
      <c r="B3962" s="18" t="s">
        <v>12672</v>
      </c>
      <c r="C3962" s="17" t="s">
        <v>26</v>
      </c>
      <c r="D3962" s="19">
        <v>99.06</v>
      </c>
      <c r="F3962" s="3" t="str">
        <f t="shared" si="61"/>
        <v>C1127</v>
      </c>
    </row>
    <row r="3963" spans="1:6" x14ac:dyDescent="0.2">
      <c r="A3963" s="17" t="s">
        <v>12673</v>
      </c>
      <c r="B3963" s="18" t="s">
        <v>12674</v>
      </c>
      <c r="C3963" s="17" t="s">
        <v>26</v>
      </c>
      <c r="D3963" s="19">
        <v>110.75</v>
      </c>
      <c r="F3963" s="3" t="str">
        <f t="shared" si="61"/>
        <v>C1128</v>
      </c>
    </row>
    <row r="3964" spans="1:6" x14ac:dyDescent="0.2">
      <c r="A3964" s="433" t="s">
        <v>12675</v>
      </c>
      <c r="B3964" s="432" t="s">
        <v>12676</v>
      </c>
      <c r="C3964" s="433" t="s">
        <v>26</v>
      </c>
      <c r="D3964" s="434">
        <v>143.81</v>
      </c>
      <c r="F3964" s="3" t="str">
        <f t="shared" si="61"/>
        <v>C1130</v>
      </c>
    </row>
    <row r="3965" spans="1:6" x14ac:dyDescent="0.2">
      <c r="A3965" s="17" t="s">
        <v>12677</v>
      </c>
      <c r="B3965" s="18" t="s">
        <v>12678</v>
      </c>
      <c r="C3965" s="17" t="s">
        <v>26</v>
      </c>
      <c r="D3965" s="19">
        <v>143.81</v>
      </c>
      <c r="F3965" s="3" t="str">
        <f t="shared" si="61"/>
        <v>C1131</v>
      </c>
    </row>
    <row r="3966" spans="1:6" x14ac:dyDescent="0.2">
      <c r="A3966" s="17" t="s">
        <v>12679</v>
      </c>
      <c r="B3966" s="18" t="s">
        <v>12680</v>
      </c>
      <c r="C3966" s="17" t="s">
        <v>26</v>
      </c>
      <c r="D3966" s="19">
        <v>143.81</v>
      </c>
      <c r="F3966" s="3" t="str">
        <f t="shared" si="61"/>
        <v>C1117</v>
      </c>
    </row>
    <row r="3967" spans="1:6" x14ac:dyDescent="0.2">
      <c r="A3967" s="17" t="s">
        <v>12681</v>
      </c>
      <c r="B3967" s="18" t="s">
        <v>12682</v>
      </c>
      <c r="C3967" s="17" t="s">
        <v>26</v>
      </c>
      <c r="D3967" s="19">
        <v>18.34</v>
      </c>
      <c r="F3967" s="3" t="str">
        <f t="shared" si="61"/>
        <v>C3567</v>
      </c>
    </row>
    <row r="3968" spans="1:6" x14ac:dyDescent="0.2">
      <c r="A3968" s="17" t="s">
        <v>12683</v>
      </c>
      <c r="B3968" s="18" t="s">
        <v>12684</v>
      </c>
      <c r="C3968" s="17" t="s">
        <v>26</v>
      </c>
      <c r="D3968" s="19">
        <v>113.83</v>
      </c>
      <c r="F3968" s="3" t="str">
        <f t="shared" si="61"/>
        <v>C2260</v>
      </c>
    </row>
    <row r="3969" spans="1:6" x14ac:dyDescent="0.2">
      <c r="A3969" s="17" t="s">
        <v>12685</v>
      </c>
      <c r="B3969" s="18" t="s">
        <v>12686</v>
      </c>
      <c r="C3969" s="17" t="s">
        <v>26</v>
      </c>
      <c r="D3969" s="19">
        <v>168.46</v>
      </c>
      <c r="F3969" s="3" t="str">
        <f t="shared" si="61"/>
        <v>C2261</v>
      </c>
    </row>
    <row r="3970" spans="1:6" x14ac:dyDescent="0.2">
      <c r="A3970" s="17" t="s">
        <v>12687</v>
      </c>
      <c r="B3970" s="18" t="s">
        <v>12688</v>
      </c>
      <c r="C3970" s="17" t="s">
        <v>26</v>
      </c>
      <c r="D3970" s="19">
        <v>310.16000000000003</v>
      </c>
      <c r="F3970" s="3" t="str">
        <f t="shared" ref="F3970:F4033" si="62">A3970</f>
        <v>C2259</v>
      </c>
    </row>
    <row r="3971" spans="1:6" x14ac:dyDescent="0.2">
      <c r="A3971" s="17" t="s">
        <v>12689</v>
      </c>
      <c r="B3971" s="18" t="s">
        <v>12690</v>
      </c>
      <c r="C3971" s="17" t="s">
        <v>26</v>
      </c>
      <c r="D3971" s="19">
        <v>315.3</v>
      </c>
      <c r="F3971" s="3" t="str">
        <f t="shared" si="62"/>
        <v>C2258</v>
      </c>
    </row>
    <row r="3972" spans="1:6" x14ac:dyDescent="0.2">
      <c r="A3972" s="17" t="s">
        <v>12691</v>
      </c>
      <c r="B3972" s="18" t="s">
        <v>12692</v>
      </c>
      <c r="C3972" s="17" t="s">
        <v>26</v>
      </c>
      <c r="D3972" s="19">
        <v>298.24</v>
      </c>
      <c r="F3972" s="3" t="str">
        <f t="shared" si="62"/>
        <v>C2262</v>
      </c>
    </row>
    <row r="3973" spans="1:6" x14ac:dyDescent="0.2">
      <c r="A3973" s="17" t="s">
        <v>12693</v>
      </c>
      <c r="B3973" s="18" t="s">
        <v>12694</v>
      </c>
      <c r="C3973" s="17" t="s">
        <v>26</v>
      </c>
      <c r="D3973" s="19">
        <v>365.77</v>
      </c>
      <c r="F3973" s="3" t="str">
        <f t="shared" si="62"/>
        <v>C2263</v>
      </c>
    </row>
    <row r="3974" spans="1:6" x14ac:dyDescent="0.2">
      <c r="A3974" s="17" t="s">
        <v>12695</v>
      </c>
      <c r="B3974" s="18" t="s">
        <v>12696</v>
      </c>
      <c r="C3974" s="17" t="s">
        <v>26</v>
      </c>
      <c r="D3974" s="19">
        <v>684.94</v>
      </c>
      <c r="F3974" s="3" t="str">
        <f t="shared" si="62"/>
        <v>C2264</v>
      </c>
    </row>
    <row r="3975" spans="1:6" x14ac:dyDescent="0.2">
      <c r="A3975" s="17" t="s">
        <v>12697</v>
      </c>
      <c r="B3975" s="18" t="s">
        <v>12698</v>
      </c>
      <c r="C3975" s="17" t="s">
        <v>26</v>
      </c>
      <c r="D3975" s="19">
        <v>684.94</v>
      </c>
      <c r="F3975" s="3" t="str">
        <f t="shared" si="62"/>
        <v>C2265</v>
      </c>
    </row>
    <row r="3976" spans="1:6" x14ac:dyDescent="0.2">
      <c r="A3976" s="17" t="s">
        <v>12699</v>
      </c>
      <c r="B3976" s="18" t="s">
        <v>12700</v>
      </c>
      <c r="C3976" s="17" t="s">
        <v>26</v>
      </c>
      <c r="D3976" s="19">
        <v>961.68</v>
      </c>
      <c r="F3976" s="3" t="str">
        <f t="shared" si="62"/>
        <v>C2266</v>
      </c>
    </row>
    <row r="3977" spans="1:6" x14ac:dyDescent="0.2">
      <c r="A3977" s="17" t="s">
        <v>12701</v>
      </c>
      <c r="B3977" s="18" t="s">
        <v>12702</v>
      </c>
      <c r="C3977" s="17" t="s">
        <v>26</v>
      </c>
      <c r="D3977" s="19">
        <v>1198.6600000000001</v>
      </c>
      <c r="F3977" s="3" t="str">
        <f t="shared" si="62"/>
        <v>C2267</v>
      </c>
    </row>
    <row r="3978" spans="1:6" x14ac:dyDescent="0.2">
      <c r="A3978" s="14" t="s">
        <v>12703</v>
      </c>
      <c r="B3978" s="15"/>
      <c r="C3978" s="14">
        <v>0</v>
      </c>
      <c r="D3978" s="16">
        <v>2877.13</v>
      </c>
      <c r="F3978" s="3" t="str">
        <f t="shared" si="62"/>
        <v>TOMADAS / INTERRUPTORES / ESPELHOS</v>
      </c>
    </row>
    <row r="3979" spans="1:6" x14ac:dyDescent="0.2">
      <c r="A3979" s="17" t="s">
        <v>12704</v>
      </c>
      <c r="B3979" s="18" t="s">
        <v>12705</v>
      </c>
      <c r="C3979" s="17" t="s">
        <v>26</v>
      </c>
      <c r="D3979" s="19">
        <v>154.21</v>
      </c>
      <c r="F3979" s="3" t="str">
        <f t="shared" si="62"/>
        <v>C0597</v>
      </c>
    </row>
    <row r="3980" spans="1:6" x14ac:dyDescent="0.2">
      <c r="A3980" s="17" t="s">
        <v>12706</v>
      </c>
      <c r="B3980" s="18" t="s">
        <v>12707</v>
      </c>
      <c r="C3980" s="17" t="s">
        <v>26</v>
      </c>
      <c r="D3980" s="19">
        <v>183.27</v>
      </c>
      <c r="F3980" s="3" t="str">
        <f t="shared" si="62"/>
        <v>C0670</v>
      </c>
    </row>
    <row r="3981" spans="1:6" x14ac:dyDescent="0.2">
      <c r="A3981" s="17" t="s">
        <v>12708</v>
      </c>
      <c r="B3981" s="18" t="s">
        <v>12709</v>
      </c>
      <c r="C3981" s="17" t="s">
        <v>26</v>
      </c>
      <c r="D3981" s="19">
        <v>49.03</v>
      </c>
      <c r="F3981" s="3" t="str">
        <f t="shared" si="62"/>
        <v>C0863</v>
      </c>
    </row>
    <row r="3982" spans="1:6" x14ac:dyDescent="0.2">
      <c r="A3982" s="17" t="s">
        <v>12710</v>
      </c>
      <c r="B3982" s="18" t="s">
        <v>12711</v>
      </c>
      <c r="C3982" s="17" t="s">
        <v>26</v>
      </c>
      <c r="D3982" s="19">
        <v>34.4</v>
      </c>
      <c r="F3982" s="3" t="str">
        <f t="shared" si="62"/>
        <v>C1491</v>
      </c>
    </row>
    <row r="3983" spans="1:6" x14ac:dyDescent="0.2">
      <c r="A3983" s="17" t="s">
        <v>12712</v>
      </c>
      <c r="B3983" s="18" t="s">
        <v>12713</v>
      </c>
      <c r="C3983" s="17" t="s">
        <v>26</v>
      </c>
      <c r="D3983" s="19">
        <v>24.02</v>
      </c>
      <c r="F3983" s="3" t="str">
        <f t="shared" si="62"/>
        <v>C1492</v>
      </c>
    </row>
    <row r="3984" spans="1:6" x14ac:dyDescent="0.2">
      <c r="A3984" s="17" t="s">
        <v>12714</v>
      </c>
      <c r="B3984" s="18" t="s">
        <v>12715</v>
      </c>
      <c r="C3984" s="17" t="s">
        <v>26</v>
      </c>
      <c r="D3984" s="19">
        <v>39.17</v>
      </c>
      <c r="F3984" s="3" t="str">
        <f t="shared" si="62"/>
        <v>C1493</v>
      </c>
    </row>
    <row r="3985" spans="1:6" x14ac:dyDescent="0.2">
      <c r="A3985" s="17" t="s">
        <v>12716</v>
      </c>
      <c r="B3985" s="18" t="s">
        <v>12717</v>
      </c>
      <c r="C3985" s="17" t="s">
        <v>26</v>
      </c>
      <c r="D3985" s="19">
        <v>17.52</v>
      </c>
      <c r="F3985" s="3" t="str">
        <f t="shared" si="62"/>
        <v>C1494</v>
      </c>
    </row>
    <row r="3986" spans="1:6" x14ac:dyDescent="0.2">
      <c r="A3986" s="17" t="s">
        <v>12718</v>
      </c>
      <c r="B3986" s="18" t="s">
        <v>12719</v>
      </c>
      <c r="C3986" s="17" t="s">
        <v>26</v>
      </c>
      <c r="D3986" s="19">
        <v>38.18</v>
      </c>
      <c r="F3986" s="3" t="str">
        <f t="shared" si="62"/>
        <v>C1498</v>
      </c>
    </row>
    <row r="3987" spans="1:6" x14ac:dyDescent="0.2">
      <c r="A3987" s="17" t="s">
        <v>12720</v>
      </c>
      <c r="B3987" s="18" t="s">
        <v>12721</v>
      </c>
      <c r="C3987" s="17" t="s">
        <v>26</v>
      </c>
      <c r="D3987" s="19">
        <v>27.36</v>
      </c>
      <c r="F3987" s="3" t="str">
        <f t="shared" si="62"/>
        <v>C1497</v>
      </c>
    </row>
    <row r="3988" spans="1:6" x14ac:dyDescent="0.2">
      <c r="A3988" s="17" t="s">
        <v>12722</v>
      </c>
      <c r="B3988" s="18" t="s">
        <v>12723</v>
      </c>
      <c r="C3988" s="17" t="s">
        <v>26</v>
      </c>
      <c r="D3988" s="19">
        <v>34.29</v>
      </c>
      <c r="F3988" s="3" t="str">
        <f t="shared" si="62"/>
        <v>C1496</v>
      </c>
    </row>
    <row r="3989" spans="1:6" x14ac:dyDescent="0.2">
      <c r="A3989" s="17" t="s">
        <v>12724</v>
      </c>
      <c r="B3989" s="18" t="s">
        <v>12725</v>
      </c>
      <c r="C3989" s="17" t="s">
        <v>26</v>
      </c>
      <c r="D3989" s="19">
        <v>57.71</v>
      </c>
      <c r="F3989" s="3" t="str">
        <f t="shared" si="62"/>
        <v>C1495</v>
      </c>
    </row>
    <row r="3990" spans="1:6" x14ac:dyDescent="0.2">
      <c r="A3990" s="17" t="s">
        <v>12726</v>
      </c>
      <c r="B3990" s="18" t="s">
        <v>12727</v>
      </c>
      <c r="C3990" s="17" t="s">
        <v>26</v>
      </c>
      <c r="D3990" s="19">
        <v>23.65</v>
      </c>
      <c r="F3990" s="3" t="str">
        <f t="shared" si="62"/>
        <v>C1490</v>
      </c>
    </row>
    <row r="3991" spans="1:6" x14ac:dyDescent="0.2">
      <c r="A3991" s="17" t="s">
        <v>12728</v>
      </c>
      <c r="B3991" s="18" t="s">
        <v>12729</v>
      </c>
      <c r="C3991" s="17" t="s">
        <v>26</v>
      </c>
      <c r="D3991" s="19">
        <v>44.11</v>
      </c>
      <c r="F3991" s="3" t="str">
        <f t="shared" si="62"/>
        <v>C1481</v>
      </c>
    </row>
    <row r="3992" spans="1:6" x14ac:dyDescent="0.2">
      <c r="A3992" s="17" t="s">
        <v>12730</v>
      </c>
      <c r="B3992" s="18" t="s">
        <v>12731</v>
      </c>
      <c r="C3992" s="17" t="s">
        <v>26</v>
      </c>
      <c r="D3992" s="19">
        <v>54.58</v>
      </c>
      <c r="F3992" s="3" t="str">
        <f t="shared" si="62"/>
        <v>C1482</v>
      </c>
    </row>
    <row r="3993" spans="1:6" x14ac:dyDescent="0.2">
      <c r="A3993" s="17" t="s">
        <v>12732</v>
      </c>
      <c r="B3993" s="18" t="s">
        <v>12733</v>
      </c>
      <c r="C3993" s="17" t="s">
        <v>26</v>
      </c>
      <c r="D3993" s="19">
        <v>30.9</v>
      </c>
      <c r="F3993" s="3" t="str">
        <f t="shared" si="62"/>
        <v>C1479</v>
      </c>
    </row>
    <row r="3994" spans="1:6" x14ac:dyDescent="0.2">
      <c r="A3994" s="17" t="s">
        <v>12734</v>
      </c>
      <c r="B3994" s="18" t="s">
        <v>12735</v>
      </c>
      <c r="C3994" s="17" t="s">
        <v>26</v>
      </c>
      <c r="D3994" s="19">
        <v>51.47</v>
      </c>
      <c r="F3994" s="3" t="str">
        <f t="shared" si="62"/>
        <v>C1484</v>
      </c>
    </row>
    <row r="3995" spans="1:6" x14ac:dyDescent="0.2">
      <c r="A3995" s="17" t="s">
        <v>12736</v>
      </c>
      <c r="B3995" s="18" t="s">
        <v>12737</v>
      </c>
      <c r="C3995" s="17" t="s">
        <v>26</v>
      </c>
      <c r="D3995" s="19">
        <v>49.03</v>
      </c>
      <c r="F3995" s="3" t="str">
        <f t="shared" si="62"/>
        <v>C1483</v>
      </c>
    </row>
    <row r="3996" spans="1:6" x14ac:dyDescent="0.2">
      <c r="A3996" s="17" t="s">
        <v>12738</v>
      </c>
      <c r="B3996" s="18" t="s">
        <v>12739</v>
      </c>
      <c r="C3996" s="17" t="s">
        <v>26</v>
      </c>
      <c r="D3996" s="19">
        <v>31.66</v>
      </c>
      <c r="F3996" s="3" t="str">
        <f t="shared" si="62"/>
        <v>C1480</v>
      </c>
    </row>
    <row r="3997" spans="1:6" x14ac:dyDescent="0.2">
      <c r="A3997" s="17" t="s">
        <v>12740</v>
      </c>
      <c r="B3997" s="18" t="s">
        <v>12741</v>
      </c>
      <c r="C3997" s="17" t="s">
        <v>26</v>
      </c>
      <c r="D3997" s="19">
        <v>21.21</v>
      </c>
      <c r="F3997" s="3" t="str">
        <f t="shared" si="62"/>
        <v>C1485</v>
      </c>
    </row>
    <row r="3998" spans="1:6" x14ac:dyDescent="0.2">
      <c r="A3998" s="17" t="s">
        <v>12742</v>
      </c>
      <c r="B3998" s="18" t="s">
        <v>12743</v>
      </c>
      <c r="C3998" s="17" t="s">
        <v>26</v>
      </c>
      <c r="D3998" s="19">
        <v>63.72</v>
      </c>
      <c r="F3998" s="3" t="str">
        <f t="shared" si="62"/>
        <v>C1488</v>
      </c>
    </row>
    <row r="3999" spans="1:6" x14ac:dyDescent="0.2">
      <c r="A3999" s="17" t="s">
        <v>12744</v>
      </c>
      <c r="B3999" s="18" t="s">
        <v>12745</v>
      </c>
      <c r="C3999" s="17" t="s">
        <v>26</v>
      </c>
      <c r="D3999" s="19">
        <v>43.63</v>
      </c>
      <c r="F3999" s="3" t="str">
        <f t="shared" si="62"/>
        <v>C1489</v>
      </c>
    </row>
    <row r="4000" spans="1:6" x14ac:dyDescent="0.2">
      <c r="A4000" s="17" t="s">
        <v>12746</v>
      </c>
      <c r="B4000" s="18" t="s">
        <v>12747</v>
      </c>
      <c r="C4000" s="17" t="s">
        <v>26</v>
      </c>
      <c r="D4000" s="19">
        <v>60.6</v>
      </c>
      <c r="F4000" s="3" t="str">
        <f t="shared" si="62"/>
        <v>C1486</v>
      </c>
    </row>
    <row r="4001" spans="1:6" x14ac:dyDescent="0.2">
      <c r="A4001" s="17" t="s">
        <v>12748</v>
      </c>
      <c r="B4001" s="18" t="s">
        <v>12749</v>
      </c>
      <c r="C4001" s="17" t="s">
        <v>26</v>
      </c>
      <c r="D4001" s="19">
        <v>28.13</v>
      </c>
      <c r="F4001" s="3" t="str">
        <f t="shared" si="62"/>
        <v>C1487</v>
      </c>
    </row>
    <row r="4002" spans="1:6" x14ac:dyDescent="0.2">
      <c r="A4002" s="17" t="s">
        <v>12750</v>
      </c>
      <c r="B4002" s="18" t="s">
        <v>12751</v>
      </c>
      <c r="C4002" s="17" t="s">
        <v>26</v>
      </c>
      <c r="D4002" s="19">
        <v>27.23</v>
      </c>
      <c r="F4002" s="3" t="str">
        <f t="shared" si="62"/>
        <v>C3573</v>
      </c>
    </row>
    <row r="4003" spans="1:6" x14ac:dyDescent="0.2">
      <c r="A4003" s="17">
        <v>0</v>
      </c>
      <c r="B4003" s="18"/>
      <c r="C4003" s="17">
        <v>0</v>
      </c>
      <c r="D4003" s="19">
        <v>0</v>
      </c>
      <c r="F4003" s="3">
        <f t="shared" si="62"/>
        <v>0</v>
      </c>
    </row>
    <row r="4004" spans="1:6" x14ac:dyDescent="0.2">
      <c r="A4004" s="17" t="s">
        <v>12752</v>
      </c>
      <c r="B4004" s="18" t="s">
        <v>12753</v>
      </c>
      <c r="C4004" s="17" t="s">
        <v>26</v>
      </c>
      <c r="D4004" s="19">
        <v>6.62</v>
      </c>
      <c r="F4004" s="3" t="str">
        <f t="shared" si="62"/>
        <v>C3581</v>
      </c>
    </row>
    <row r="4005" spans="1:6" x14ac:dyDescent="0.2">
      <c r="A4005" s="17" t="s">
        <v>12754</v>
      </c>
      <c r="B4005" s="18" t="s">
        <v>12755</v>
      </c>
      <c r="C4005" s="17" t="s">
        <v>26</v>
      </c>
      <c r="D4005" s="19">
        <v>5.0599999999999996</v>
      </c>
      <c r="F4005" s="3" t="str">
        <f t="shared" si="62"/>
        <v>C1928</v>
      </c>
    </row>
    <row r="4006" spans="1:6" x14ac:dyDescent="0.2">
      <c r="A4006" s="17" t="s">
        <v>12756</v>
      </c>
      <c r="B4006" s="18" t="s">
        <v>12757</v>
      </c>
      <c r="C4006" s="17" t="s">
        <v>26</v>
      </c>
      <c r="D4006" s="19">
        <v>8.74</v>
      </c>
      <c r="F4006" s="3" t="str">
        <f t="shared" si="62"/>
        <v>C1929</v>
      </c>
    </row>
    <row r="4007" spans="1:6" x14ac:dyDescent="0.2">
      <c r="A4007" s="17" t="s">
        <v>12758</v>
      </c>
      <c r="B4007" s="18" t="s">
        <v>12759</v>
      </c>
      <c r="C4007" s="17" t="s">
        <v>26</v>
      </c>
      <c r="D4007" s="19">
        <v>60.57</v>
      </c>
      <c r="F4007" s="3" t="str">
        <f t="shared" si="62"/>
        <v>C1942</v>
      </c>
    </row>
    <row r="4008" spans="1:6" x14ac:dyDescent="0.2">
      <c r="A4008" s="17" t="s">
        <v>12760</v>
      </c>
      <c r="B4008" s="18" t="s">
        <v>12761</v>
      </c>
      <c r="C4008" s="17" t="s">
        <v>26</v>
      </c>
      <c r="D4008" s="19">
        <v>9.49</v>
      </c>
      <c r="F4008" s="3" t="str">
        <f t="shared" si="62"/>
        <v>C3580</v>
      </c>
    </row>
    <row r="4009" spans="1:6" x14ac:dyDescent="0.2">
      <c r="A4009" s="17" t="s">
        <v>12762</v>
      </c>
      <c r="B4009" s="18" t="s">
        <v>12763</v>
      </c>
      <c r="C4009" s="17" t="s">
        <v>26</v>
      </c>
      <c r="D4009" s="19">
        <v>14.14</v>
      </c>
      <c r="F4009" s="3" t="str">
        <f t="shared" si="62"/>
        <v>C2298</v>
      </c>
    </row>
    <row r="4010" spans="1:6" x14ac:dyDescent="0.2">
      <c r="A4010" s="17" t="s">
        <v>12764</v>
      </c>
      <c r="B4010" s="18" t="s">
        <v>12765</v>
      </c>
      <c r="C4010" s="17" t="s">
        <v>26</v>
      </c>
      <c r="D4010" s="19">
        <v>23.28</v>
      </c>
      <c r="F4010" s="3" t="str">
        <f t="shared" si="62"/>
        <v>C2484</v>
      </c>
    </row>
    <row r="4011" spans="1:6" x14ac:dyDescent="0.2">
      <c r="A4011" s="17" t="s">
        <v>12766</v>
      </c>
      <c r="B4011" s="18" t="s">
        <v>12767</v>
      </c>
      <c r="C4011" s="17" t="s">
        <v>26</v>
      </c>
      <c r="D4011" s="19">
        <v>29.86</v>
      </c>
      <c r="F4011" s="3" t="str">
        <f t="shared" si="62"/>
        <v>C2480</v>
      </c>
    </row>
    <row r="4012" spans="1:6" x14ac:dyDescent="0.2">
      <c r="A4012" s="17" t="s">
        <v>12768</v>
      </c>
      <c r="B4012" s="18" t="s">
        <v>12769</v>
      </c>
      <c r="C4012" s="17" t="s">
        <v>26</v>
      </c>
      <c r="D4012" s="19">
        <v>70.489999999999995</v>
      </c>
      <c r="F4012" s="3" t="str">
        <f t="shared" si="62"/>
        <v>C2481</v>
      </c>
    </row>
    <row r="4013" spans="1:6" x14ac:dyDescent="0.2">
      <c r="A4013" s="17" t="s">
        <v>12770</v>
      </c>
      <c r="B4013" s="18" t="s">
        <v>12771</v>
      </c>
      <c r="C4013" s="17" t="s">
        <v>26</v>
      </c>
      <c r="D4013" s="19">
        <v>70.489999999999995</v>
      </c>
      <c r="F4013" s="3" t="str">
        <f t="shared" si="62"/>
        <v>C2482</v>
      </c>
    </row>
    <row r="4014" spans="1:6" x14ac:dyDescent="0.2">
      <c r="A4014" s="17" t="s">
        <v>12772</v>
      </c>
      <c r="B4014" s="18" t="s">
        <v>12773</v>
      </c>
      <c r="C4014" s="17" t="s">
        <v>26</v>
      </c>
      <c r="D4014" s="19">
        <v>28.5</v>
      </c>
      <c r="F4014" s="3" t="str">
        <f t="shared" si="62"/>
        <v>C4792</v>
      </c>
    </row>
    <row r="4015" spans="1:6" ht="22.5" x14ac:dyDescent="0.2">
      <c r="A4015" s="17" t="s">
        <v>12774</v>
      </c>
      <c r="B4015" s="18" t="s">
        <v>12775</v>
      </c>
      <c r="C4015" s="17" t="s">
        <v>12776</v>
      </c>
      <c r="D4015" s="19">
        <v>110.81</v>
      </c>
      <c r="F4015" s="3" t="str">
        <f t="shared" si="62"/>
        <v>C4931</v>
      </c>
    </row>
    <row r="4016" spans="1:6" x14ac:dyDescent="0.2">
      <c r="A4016" s="17">
        <v>0</v>
      </c>
      <c r="B4016" s="18"/>
      <c r="C4016" s="17">
        <v>0</v>
      </c>
      <c r="D4016" s="19">
        <v>0</v>
      </c>
      <c r="F4016" s="3">
        <f t="shared" si="62"/>
        <v>0</v>
      </c>
    </row>
    <row r="4017" spans="1:6" ht="22.5" x14ac:dyDescent="0.2">
      <c r="A4017" s="17" t="s">
        <v>12777</v>
      </c>
      <c r="B4017" s="18" t="s">
        <v>12778</v>
      </c>
      <c r="C4017" s="17" t="s">
        <v>26</v>
      </c>
      <c r="D4017" s="19">
        <v>27.42</v>
      </c>
      <c r="F4017" s="3" t="str">
        <f t="shared" si="62"/>
        <v>C4117</v>
      </c>
    </row>
    <row r="4018" spans="1:6" x14ac:dyDescent="0.2">
      <c r="A4018" s="17">
        <v>0</v>
      </c>
      <c r="B4018" s="18"/>
      <c r="C4018" s="17">
        <v>0</v>
      </c>
      <c r="D4018" s="19">
        <v>0</v>
      </c>
      <c r="F4018" s="3">
        <f t="shared" si="62"/>
        <v>0</v>
      </c>
    </row>
    <row r="4019" spans="1:6" x14ac:dyDescent="0.2">
      <c r="A4019" s="17" t="s">
        <v>12779</v>
      </c>
      <c r="B4019" s="18" t="s">
        <v>12780</v>
      </c>
      <c r="C4019" s="17" t="s">
        <v>26</v>
      </c>
      <c r="D4019" s="19">
        <v>33.01</v>
      </c>
      <c r="F4019" s="3" t="str">
        <f t="shared" si="62"/>
        <v>C2486</v>
      </c>
    </row>
    <row r="4020" spans="1:6" x14ac:dyDescent="0.2">
      <c r="A4020" s="17" t="s">
        <v>12781</v>
      </c>
      <c r="B4020" s="18" t="s">
        <v>12782</v>
      </c>
      <c r="C4020" s="17" t="s">
        <v>26</v>
      </c>
      <c r="D4020" s="19">
        <v>35.72</v>
      </c>
      <c r="F4020" s="3" t="str">
        <f t="shared" si="62"/>
        <v>C2487</v>
      </c>
    </row>
    <row r="4021" spans="1:6" x14ac:dyDescent="0.2">
      <c r="A4021" s="17" t="s">
        <v>12783</v>
      </c>
      <c r="B4021" s="18" t="s">
        <v>12784</v>
      </c>
      <c r="C4021" s="17" t="s">
        <v>26</v>
      </c>
      <c r="D4021" s="19">
        <v>27.48</v>
      </c>
      <c r="F4021" s="3" t="str">
        <f t="shared" si="62"/>
        <v>C2488</v>
      </c>
    </row>
    <row r="4022" spans="1:6" x14ac:dyDescent="0.2">
      <c r="A4022" s="17" t="s">
        <v>12785</v>
      </c>
      <c r="B4022" s="18" t="s">
        <v>12786</v>
      </c>
      <c r="C4022" s="17" t="s">
        <v>26</v>
      </c>
      <c r="D4022" s="19">
        <v>33.56</v>
      </c>
      <c r="F4022" s="3" t="str">
        <f t="shared" si="62"/>
        <v>C2485</v>
      </c>
    </row>
    <row r="4023" spans="1:6" ht="22.5" x14ac:dyDescent="0.2">
      <c r="A4023" s="17" t="s">
        <v>12787</v>
      </c>
      <c r="B4023" s="18" t="s">
        <v>12788</v>
      </c>
      <c r="C4023" s="17" t="s">
        <v>26</v>
      </c>
      <c r="D4023" s="19">
        <v>51.67</v>
      </c>
      <c r="F4023" s="3" t="str">
        <f t="shared" si="62"/>
        <v>C4174</v>
      </c>
    </row>
    <row r="4024" spans="1:6" x14ac:dyDescent="0.2">
      <c r="A4024" s="17">
        <v>0</v>
      </c>
      <c r="B4024" s="18"/>
      <c r="C4024" s="17">
        <v>0</v>
      </c>
      <c r="D4024" s="19">
        <v>0</v>
      </c>
      <c r="F4024" s="3">
        <f t="shared" si="62"/>
        <v>0</v>
      </c>
    </row>
    <row r="4025" spans="1:6" ht="22.5" x14ac:dyDescent="0.2">
      <c r="A4025" s="17" t="s">
        <v>12789</v>
      </c>
      <c r="B4025" s="18" t="s">
        <v>12790</v>
      </c>
      <c r="C4025" s="17" t="s">
        <v>26</v>
      </c>
      <c r="D4025" s="19">
        <v>75.040000000000006</v>
      </c>
      <c r="F4025" s="3" t="str">
        <f t="shared" si="62"/>
        <v>C4920</v>
      </c>
    </row>
    <row r="4026" spans="1:6" x14ac:dyDescent="0.2">
      <c r="A4026" s="17">
        <v>0</v>
      </c>
      <c r="B4026" s="18"/>
      <c r="C4026" s="17">
        <v>0</v>
      </c>
      <c r="D4026" s="19">
        <v>0</v>
      </c>
      <c r="F4026" s="3">
        <f t="shared" si="62"/>
        <v>0</v>
      </c>
    </row>
    <row r="4027" spans="1:6" ht="22.5" x14ac:dyDescent="0.2">
      <c r="A4027" s="17" t="s">
        <v>12791</v>
      </c>
      <c r="B4027" s="18" t="s">
        <v>12792</v>
      </c>
      <c r="C4027" s="17" t="s">
        <v>26</v>
      </c>
      <c r="D4027" s="19">
        <v>45.66</v>
      </c>
      <c r="F4027" s="3" t="str">
        <f t="shared" si="62"/>
        <v>C4921</v>
      </c>
    </row>
    <row r="4028" spans="1:6" x14ac:dyDescent="0.2">
      <c r="A4028" s="17">
        <v>0</v>
      </c>
      <c r="B4028" s="18"/>
      <c r="C4028" s="17">
        <v>0</v>
      </c>
      <c r="D4028" s="19">
        <v>0</v>
      </c>
      <c r="F4028" s="3">
        <f t="shared" si="62"/>
        <v>0</v>
      </c>
    </row>
    <row r="4029" spans="1:6" ht="22.5" x14ac:dyDescent="0.2">
      <c r="A4029" s="17" t="s">
        <v>12793</v>
      </c>
      <c r="B4029" s="18" t="s">
        <v>12794</v>
      </c>
      <c r="C4029" s="17" t="s">
        <v>26</v>
      </c>
      <c r="D4029" s="19">
        <v>39.31</v>
      </c>
      <c r="F4029" s="3" t="str">
        <f t="shared" si="62"/>
        <v>C5190</v>
      </c>
    </row>
    <row r="4030" spans="1:6" x14ac:dyDescent="0.2">
      <c r="A4030" s="17">
        <v>0</v>
      </c>
      <c r="B4030" s="18"/>
      <c r="C4030" s="17">
        <v>0</v>
      </c>
      <c r="D4030" s="19">
        <v>0</v>
      </c>
      <c r="F4030" s="3">
        <f t="shared" si="62"/>
        <v>0</v>
      </c>
    </row>
    <row r="4031" spans="1:6" ht="22.5" x14ac:dyDescent="0.2">
      <c r="A4031" s="17" t="s">
        <v>12795</v>
      </c>
      <c r="B4031" s="18" t="s">
        <v>12796</v>
      </c>
      <c r="C4031" s="17" t="s">
        <v>26</v>
      </c>
      <c r="D4031" s="19">
        <v>57.74</v>
      </c>
      <c r="F4031" s="3" t="str">
        <f t="shared" si="62"/>
        <v>C4794</v>
      </c>
    </row>
    <row r="4032" spans="1:6" x14ac:dyDescent="0.2">
      <c r="A4032" s="17">
        <v>0</v>
      </c>
      <c r="B4032" s="18"/>
      <c r="C4032" s="17">
        <v>0</v>
      </c>
      <c r="D4032" s="19">
        <v>0</v>
      </c>
      <c r="F4032" s="3">
        <f t="shared" si="62"/>
        <v>0</v>
      </c>
    </row>
    <row r="4033" spans="1:6" ht="33.75" x14ac:dyDescent="0.2">
      <c r="A4033" s="17" t="s">
        <v>12797</v>
      </c>
      <c r="B4033" s="18" t="s">
        <v>12798</v>
      </c>
      <c r="C4033" s="17" t="s">
        <v>26</v>
      </c>
      <c r="D4033" s="19">
        <v>89.27</v>
      </c>
      <c r="F4033" s="3" t="str">
        <f t="shared" si="62"/>
        <v>C5191</v>
      </c>
    </row>
    <row r="4034" spans="1:6" x14ac:dyDescent="0.2">
      <c r="A4034" s="17">
        <v>0</v>
      </c>
      <c r="B4034" s="18"/>
      <c r="C4034" s="17">
        <v>0</v>
      </c>
      <c r="D4034" s="19">
        <v>0</v>
      </c>
      <c r="F4034" s="3">
        <f t="shared" ref="F4034:F4097" si="63">A4034</f>
        <v>0</v>
      </c>
    </row>
    <row r="4035" spans="1:6" x14ac:dyDescent="0.2">
      <c r="A4035" s="17" t="s">
        <v>12799</v>
      </c>
      <c r="B4035" s="18" t="s">
        <v>12800</v>
      </c>
      <c r="C4035" s="17" t="s">
        <v>26</v>
      </c>
      <c r="D4035" s="19">
        <v>83.88</v>
      </c>
      <c r="F4035" s="3" t="str">
        <f t="shared" si="63"/>
        <v>C3486</v>
      </c>
    </row>
    <row r="4036" spans="1:6" x14ac:dyDescent="0.2">
      <c r="A4036" s="17" t="s">
        <v>12801</v>
      </c>
      <c r="B4036" s="18" t="s">
        <v>12802</v>
      </c>
      <c r="C4036" s="17" t="s">
        <v>26</v>
      </c>
      <c r="D4036" s="19">
        <v>60.01</v>
      </c>
      <c r="F4036" s="3" t="str">
        <f t="shared" si="63"/>
        <v>C4793</v>
      </c>
    </row>
    <row r="4037" spans="1:6" x14ac:dyDescent="0.2">
      <c r="A4037" s="17">
        <v>0</v>
      </c>
      <c r="B4037" s="18"/>
      <c r="C4037" s="17">
        <v>0</v>
      </c>
      <c r="D4037" s="19">
        <v>0</v>
      </c>
      <c r="F4037" s="3">
        <f t="shared" si="63"/>
        <v>0</v>
      </c>
    </row>
    <row r="4038" spans="1:6" ht="22.5" x14ac:dyDescent="0.2">
      <c r="A4038" s="17" t="s">
        <v>12803</v>
      </c>
      <c r="B4038" s="18" t="s">
        <v>12804</v>
      </c>
      <c r="C4038" s="17" t="s">
        <v>26</v>
      </c>
      <c r="D4038" s="19">
        <v>65.03</v>
      </c>
      <c r="F4038" s="3" t="str">
        <f t="shared" si="63"/>
        <v>C4932</v>
      </c>
    </row>
    <row r="4039" spans="1:6" x14ac:dyDescent="0.2">
      <c r="A4039" s="17">
        <v>0</v>
      </c>
      <c r="B4039" s="18"/>
      <c r="C4039" s="17">
        <v>0</v>
      </c>
      <c r="D4039" s="19">
        <v>0</v>
      </c>
      <c r="F4039" s="3">
        <f t="shared" si="63"/>
        <v>0</v>
      </c>
    </row>
    <row r="4040" spans="1:6" x14ac:dyDescent="0.2">
      <c r="A4040" s="17" t="s">
        <v>12805</v>
      </c>
      <c r="B4040" s="18" t="s">
        <v>12806</v>
      </c>
      <c r="C4040" s="17" t="s">
        <v>26</v>
      </c>
      <c r="D4040" s="19">
        <v>74.61</v>
      </c>
      <c r="F4040" s="3" t="str">
        <f t="shared" si="63"/>
        <v>C2490</v>
      </c>
    </row>
    <row r="4041" spans="1:6" x14ac:dyDescent="0.2">
      <c r="A4041" s="17" t="s">
        <v>12807</v>
      </c>
      <c r="B4041" s="18" t="s">
        <v>12808</v>
      </c>
      <c r="C4041" s="17" t="s">
        <v>26</v>
      </c>
      <c r="D4041" s="19">
        <v>88.71</v>
      </c>
      <c r="F4041" s="3" t="str">
        <f t="shared" si="63"/>
        <v>C2491</v>
      </c>
    </row>
    <row r="4042" spans="1:6" x14ac:dyDescent="0.2">
      <c r="A4042" s="17" t="s">
        <v>12809</v>
      </c>
      <c r="B4042" s="18" t="s">
        <v>12810</v>
      </c>
      <c r="C4042" s="17" t="s">
        <v>26</v>
      </c>
      <c r="D4042" s="19">
        <v>79.75</v>
      </c>
      <c r="F4042" s="3" t="str">
        <f t="shared" si="63"/>
        <v>C2489</v>
      </c>
    </row>
    <row r="4043" spans="1:6" x14ac:dyDescent="0.2">
      <c r="A4043" s="17" t="s">
        <v>12811</v>
      </c>
      <c r="B4043" s="18" t="s">
        <v>12812</v>
      </c>
      <c r="C4043" s="17" t="s">
        <v>26</v>
      </c>
      <c r="D4043" s="19">
        <v>18.43</v>
      </c>
      <c r="F4043" s="3" t="str">
        <f t="shared" si="63"/>
        <v>C2493</v>
      </c>
    </row>
    <row r="4044" spans="1:6" x14ac:dyDescent="0.2">
      <c r="A4044" s="17" t="s">
        <v>12813</v>
      </c>
      <c r="B4044" s="18" t="s">
        <v>12814</v>
      </c>
      <c r="C4044" s="17" t="s">
        <v>26</v>
      </c>
      <c r="D4044" s="19">
        <v>29.74</v>
      </c>
      <c r="F4044" s="3" t="str">
        <f t="shared" si="63"/>
        <v>C2492</v>
      </c>
    </row>
    <row r="4045" spans="1:6" x14ac:dyDescent="0.2">
      <c r="A4045" s="17" t="s">
        <v>12815</v>
      </c>
      <c r="B4045" s="18" t="s">
        <v>12816</v>
      </c>
      <c r="C4045" s="17" t="s">
        <v>26</v>
      </c>
      <c r="D4045" s="19">
        <v>85.8</v>
      </c>
      <c r="F4045" s="3" t="str">
        <f t="shared" si="63"/>
        <v>C2494</v>
      </c>
    </row>
    <row r="4046" spans="1:6" x14ac:dyDescent="0.2">
      <c r="A4046" s="17" t="s">
        <v>12817</v>
      </c>
      <c r="B4046" s="18" t="s">
        <v>12818</v>
      </c>
      <c r="C4046" s="17" t="s">
        <v>26</v>
      </c>
      <c r="D4046" s="19">
        <v>148.22999999999999</v>
      </c>
      <c r="F4046" s="3" t="str">
        <f t="shared" si="63"/>
        <v>C2495</v>
      </c>
    </row>
    <row r="4047" spans="1:6" x14ac:dyDescent="0.2">
      <c r="A4047" s="14" t="s">
        <v>12819</v>
      </c>
      <c r="B4047" s="15"/>
      <c r="C4047" s="14">
        <v>0</v>
      </c>
      <c r="D4047" s="16">
        <v>32669.919999999998</v>
      </c>
      <c r="F4047" s="3" t="str">
        <f t="shared" si="63"/>
        <v>LUMINÁRIAS INTERNAS / EXTERNAS / ACESSÓRIOS</v>
      </c>
    </row>
    <row r="4048" spans="1:6" ht="22.5" x14ac:dyDescent="0.2">
      <c r="A4048" s="17" t="s">
        <v>12820</v>
      </c>
      <c r="B4048" s="18" t="s">
        <v>12821</v>
      </c>
      <c r="C4048" s="17" t="s">
        <v>26</v>
      </c>
      <c r="D4048" s="19">
        <v>367.53</v>
      </c>
      <c r="F4048" s="3" t="str">
        <f t="shared" si="63"/>
        <v>C4371</v>
      </c>
    </row>
    <row r="4049" spans="1:6" x14ac:dyDescent="0.2">
      <c r="A4049" s="17">
        <v>0</v>
      </c>
      <c r="B4049" s="18"/>
      <c r="C4049" s="17">
        <v>0</v>
      </c>
      <c r="D4049" s="19">
        <v>0</v>
      </c>
      <c r="F4049" s="3">
        <f t="shared" si="63"/>
        <v>0</v>
      </c>
    </row>
    <row r="4050" spans="1:6" ht="45" x14ac:dyDescent="0.2">
      <c r="A4050" s="17" t="s">
        <v>12822</v>
      </c>
      <c r="B4050" s="18" t="s">
        <v>12823</v>
      </c>
      <c r="C4050" s="17" t="s">
        <v>26</v>
      </c>
      <c r="D4050" s="19">
        <v>109.21</v>
      </c>
      <c r="F4050" s="3" t="str">
        <f t="shared" si="63"/>
        <v>C4834</v>
      </c>
    </row>
    <row r="4051" spans="1:6" x14ac:dyDescent="0.2">
      <c r="A4051" s="17">
        <v>0</v>
      </c>
      <c r="B4051" s="18"/>
      <c r="C4051" s="17">
        <v>0</v>
      </c>
      <c r="D4051" s="19">
        <v>0</v>
      </c>
      <c r="F4051" s="3">
        <f t="shared" si="63"/>
        <v>0</v>
      </c>
    </row>
    <row r="4052" spans="1:6" ht="22.5" x14ac:dyDescent="0.2">
      <c r="A4052" s="17" t="s">
        <v>12824</v>
      </c>
      <c r="B4052" s="18" t="s">
        <v>12825</v>
      </c>
      <c r="C4052" s="17" t="s">
        <v>255</v>
      </c>
      <c r="D4052" s="19">
        <v>97.7</v>
      </c>
      <c r="F4052" s="3" t="str">
        <f t="shared" si="63"/>
        <v>C4828</v>
      </c>
    </row>
    <row r="4053" spans="1:6" x14ac:dyDescent="0.2">
      <c r="A4053" s="17">
        <v>0</v>
      </c>
      <c r="B4053" s="18"/>
      <c r="C4053" s="17">
        <v>0</v>
      </c>
      <c r="D4053" s="19">
        <v>0</v>
      </c>
      <c r="F4053" s="3">
        <f t="shared" si="63"/>
        <v>0</v>
      </c>
    </row>
    <row r="4054" spans="1:6" ht="22.5" x14ac:dyDescent="0.2">
      <c r="A4054" s="17" t="s">
        <v>12826</v>
      </c>
      <c r="B4054" s="18" t="s">
        <v>12827</v>
      </c>
      <c r="C4054" s="17" t="s">
        <v>26</v>
      </c>
      <c r="D4054" s="19">
        <v>89.54</v>
      </c>
      <c r="F4054" s="3" t="str">
        <f t="shared" si="63"/>
        <v>C4948</v>
      </c>
    </row>
    <row r="4055" spans="1:6" x14ac:dyDescent="0.2">
      <c r="A4055" s="17">
        <v>0</v>
      </c>
      <c r="B4055" s="18"/>
      <c r="C4055" s="17">
        <v>0</v>
      </c>
      <c r="D4055" s="19">
        <v>0</v>
      </c>
      <c r="F4055" s="3">
        <f t="shared" si="63"/>
        <v>0</v>
      </c>
    </row>
    <row r="4056" spans="1:6" ht="22.5" x14ac:dyDescent="0.2">
      <c r="A4056" s="17" t="s">
        <v>12828</v>
      </c>
      <c r="B4056" s="18" t="s">
        <v>12829</v>
      </c>
      <c r="C4056" s="17" t="s">
        <v>26</v>
      </c>
      <c r="D4056" s="19">
        <v>227.55</v>
      </c>
      <c r="F4056" s="3" t="str">
        <f t="shared" si="63"/>
        <v>C4105</v>
      </c>
    </row>
    <row r="4057" spans="1:6" x14ac:dyDescent="0.2">
      <c r="A4057" s="17">
        <v>0</v>
      </c>
      <c r="B4057" s="18"/>
      <c r="C4057" s="17">
        <v>0</v>
      </c>
      <c r="D4057" s="19">
        <v>0</v>
      </c>
      <c r="F4057" s="3">
        <f t="shared" si="63"/>
        <v>0</v>
      </c>
    </row>
    <row r="4058" spans="1:6" ht="22.5" x14ac:dyDescent="0.2">
      <c r="A4058" s="17" t="s">
        <v>12830</v>
      </c>
      <c r="B4058" s="18" t="s">
        <v>12831</v>
      </c>
      <c r="C4058" s="17" t="s">
        <v>26</v>
      </c>
      <c r="D4058" s="19">
        <v>260.58</v>
      </c>
      <c r="F4058" s="3" t="str">
        <f t="shared" si="63"/>
        <v>C4106</v>
      </c>
    </row>
    <row r="4059" spans="1:6" x14ac:dyDescent="0.2">
      <c r="A4059" s="17">
        <v>0</v>
      </c>
      <c r="B4059" s="18"/>
      <c r="C4059" s="17">
        <v>0</v>
      </c>
      <c r="D4059" s="19">
        <v>0</v>
      </c>
      <c r="F4059" s="3">
        <f t="shared" si="63"/>
        <v>0</v>
      </c>
    </row>
    <row r="4060" spans="1:6" ht="22.5" x14ac:dyDescent="0.2">
      <c r="A4060" s="17" t="s">
        <v>12832</v>
      </c>
      <c r="B4060" s="18" t="s">
        <v>12833</v>
      </c>
      <c r="C4060" s="17" t="s">
        <v>26</v>
      </c>
      <c r="D4060" s="19">
        <v>165.41</v>
      </c>
      <c r="F4060" s="3" t="str">
        <f t="shared" si="63"/>
        <v>C4107</v>
      </c>
    </row>
    <row r="4061" spans="1:6" x14ac:dyDescent="0.2">
      <c r="A4061" s="17">
        <v>0</v>
      </c>
      <c r="B4061" s="18"/>
      <c r="C4061" s="17">
        <v>0</v>
      </c>
      <c r="D4061" s="19">
        <v>0</v>
      </c>
      <c r="F4061" s="3">
        <f t="shared" si="63"/>
        <v>0</v>
      </c>
    </row>
    <row r="4062" spans="1:6" ht="22.5" x14ac:dyDescent="0.2">
      <c r="A4062" s="17" t="s">
        <v>12834</v>
      </c>
      <c r="B4062" s="18" t="s">
        <v>12835</v>
      </c>
      <c r="C4062" s="17" t="s">
        <v>26</v>
      </c>
      <c r="D4062" s="19">
        <v>110.78</v>
      </c>
      <c r="F4062" s="3" t="str">
        <f t="shared" si="63"/>
        <v>C4801</v>
      </c>
    </row>
    <row r="4063" spans="1:6" x14ac:dyDescent="0.2">
      <c r="A4063" s="17">
        <v>0</v>
      </c>
      <c r="B4063" s="18"/>
      <c r="C4063" s="17">
        <v>0</v>
      </c>
      <c r="D4063" s="19">
        <v>0</v>
      </c>
      <c r="F4063" s="3">
        <f t="shared" si="63"/>
        <v>0</v>
      </c>
    </row>
    <row r="4064" spans="1:6" ht="22.5" x14ac:dyDescent="0.2">
      <c r="A4064" s="17" t="s">
        <v>12836</v>
      </c>
      <c r="B4064" s="18" t="s">
        <v>12837</v>
      </c>
      <c r="C4064" s="17" t="s">
        <v>26</v>
      </c>
      <c r="D4064" s="19">
        <v>224.13</v>
      </c>
      <c r="F4064" s="3" t="str">
        <f t="shared" si="63"/>
        <v>C4807</v>
      </c>
    </row>
    <row r="4065" spans="1:6" x14ac:dyDescent="0.2">
      <c r="A4065" s="17">
        <v>0</v>
      </c>
      <c r="B4065" s="18"/>
      <c r="C4065" s="17">
        <v>0</v>
      </c>
      <c r="D4065" s="19">
        <v>0</v>
      </c>
      <c r="F4065" s="3">
        <f t="shared" si="63"/>
        <v>0</v>
      </c>
    </row>
    <row r="4066" spans="1:6" ht="22.5" x14ac:dyDescent="0.2">
      <c r="A4066" s="17" t="s">
        <v>12838</v>
      </c>
      <c r="B4066" s="18" t="s">
        <v>12839</v>
      </c>
      <c r="C4066" s="17" t="s">
        <v>26</v>
      </c>
      <c r="D4066" s="19">
        <v>370.85</v>
      </c>
      <c r="F4066" s="3" t="str">
        <f t="shared" si="63"/>
        <v>C4808</v>
      </c>
    </row>
    <row r="4067" spans="1:6" x14ac:dyDescent="0.2">
      <c r="A4067" s="17">
        <v>0</v>
      </c>
      <c r="B4067" s="18"/>
      <c r="C4067" s="17">
        <v>0</v>
      </c>
      <c r="D4067" s="19">
        <v>0</v>
      </c>
      <c r="F4067" s="3">
        <f t="shared" si="63"/>
        <v>0</v>
      </c>
    </row>
    <row r="4068" spans="1:6" x14ac:dyDescent="0.2">
      <c r="A4068" s="17" t="s">
        <v>12840</v>
      </c>
      <c r="B4068" s="18" t="s">
        <v>12841</v>
      </c>
      <c r="C4068" s="17" t="s">
        <v>26</v>
      </c>
      <c r="D4068" s="19">
        <v>409.69</v>
      </c>
      <c r="F4068" s="3" t="str">
        <f t="shared" si="63"/>
        <v>C3906</v>
      </c>
    </row>
    <row r="4069" spans="1:6" x14ac:dyDescent="0.2">
      <c r="A4069" s="17" t="s">
        <v>12842</v>
      </c>
      <c r="B4069" s="18" t="s">
        <v>12843</v>
      </c>
      <c r="C4069" s="17" t="s">
        <v>26</v>
      </c>
      <c r="D4069" s="19">
        <v>79.13</v>
      </c>
      <c r="F4069" s="3" t="str">
        <f t="shared" si="63"/>
        <v>C1029</v>
      </c>
    </row>
    <row r="4070" spans="1:6" x14ac:dyDescent="0.2">
      <c r="A4070" s="17" t="s">
        <v>12844</v>
      </c>
      <c r="B4070" s="18" t="s">
        <v>12845</v>
      </c>
      <c r="C4070" s="17" t="s">
        <v>26</v>
      </c>
      <c r="D4070" s="19">
        <v>79.13</v>
      </c>
      <c r="F4070" s="3" t="str">
        <f t="shared" si="63"/>
        <v>C1030</v>
      </c>
    </row>
    <row r="4071" spans="1:6" ht="22.5" x14ac:dyDescent="0.2">
      <c r="A4071" s="17" t="s">
        <v>12846</v>
      </c>
      <c r="B4071" s="18" t="s">
        <v>12847</v>
      </c>
      <c r="C4071" s="17" t="s">
        <v>26</v>
      </c>
      <c r="D4071" s="19">
        <v>164.11</v>
      </c>
      <c r="F4071" s="3" t="str">
        <f t="shared" si="63"/>
        <v>C4104</v>
      </c>
    </row>
    <row r="4072" spans="1:6" x14ac:dyDescent="0.2">
      <c r="A4072" s="17">
        <v>0</v>
      </c>
      <c r="B4072" s="18"/>
      <c r="C4072" s="17">
        <v>0</v>
      </c>
      <c r="D4072" s="19">
        <v>0</v>
      </c>
      <c r="F4072" s="3">
        <f t="shared" si="63"/>
        <v>0</v>
      </c>
    </row>
    <row r="4073" spans="1:6" x14ac:dyDescent="0.2">
      <c r="A4073" s="17" t="s">
        <v>12848</v>
      </c>
      <c r="B4073" s="18" t="s">
        <v>12849</v>
      </c>
      <c r="C4073" s="17" t="s">
        <v>26</v>
      </c>
      <c r="D4073" s="19">
        <v>323.8</v>
      </c>
      <c r="F4073" s="3" t="str">
        <f t="shared" si="63"/>
        <v>C3915</v>
      </c>
    </row>
    <row r="4074" spans="1:6" x14ac:dyDescent="0.2">
      <c r="A4074" s="17" t="s">
        <v>12850</v>
      </c>
      <c r="B4074" s="18" t="s">
        <v>12851</v>
      </c>
      <c r="C4074" s="17" t="s">
        <v>26</v>
      </c>
      <c r="D4074" s="19">
        <v>417.5</v>
      </c>
      <c r="F4074" s="3" t="str">
        <f t="shared" si="63"/>
        <v>C3917</v>
      </c>
    </row>
    <row r="4075" spans="1:6" x14ac:dyDescent="0.2">
      <c r="A4075" s="17" t="s">
        <v>12852</v>
      </c>
      <c r="B4075" s="18" t="s">
        <v>12853</v>
      </c>
      <c r="C4075" s="17" t="s">
        <v>26</v>
      </c>
      <c r="D4075" s="19">
        <v>264.5</v>
      </c>
      <c r="F4075" s="3" t="str">
        <f t="shared" si="63"/>
        <v>C3916</v>
      </c>
    </row>
    <row r="4076" spans="1:6" x14ac:dyDescent="0.2">
      <c r="A4076" s="17" t="s">
        <v>12854</v>
      </c>
      <c r="B4076" s="18" t="s">
        <v>12855</v>
      </c>
      <c r="C4076" s="17" t="s">
        <v>26</v>
      </c>
      <c r="D4076" s="19">
        <v>137.76</v>
      </c>
      <c r="F4076" s="3" t="str">
        <f t="shared" si="63"/>
        <v>C3918</v>
      </c>
    </row>
    <row r="4077" spans="1:6" x14ac:dyDescent="0.2">
      <c r="A4077" s="17" t="s">
        <v>12856</v>
      </c>
      <c r="B4077" s="18" t="s">
        <v>12857</v>
      </c>
      <c r="C4077" s="17" t="s">
        <v>26</v>
      </c>
      <c r="D4077" s="19">
        <v>137.76</v>
      </c>
      <c r="F4077" s="3" t="str">
        <f t="shared" si="63"/>
        <v>C3919</v>
      </c>
    </row>
    <row r="4078" spans="1:6" x14ac:dyDescent="0.2">
      <c r="A4078" s="17" t="s">
        <v>12858</v>
      </c>
      <c r="B4078" s="18" t="s">
        <v>12859</v>
      </c>
      <c r="C4078" s="17" t="s">
        <v>26</v>
      </c>
      <c r="D4078" s="19">
        <v>51.88</v>
      </c>
      <c r="F4078" s="3" t="str">
        <f t="shared" si="63"/>
        <v>C4103</v>
      </c>
    </row>
    <row r="4079" spans="1:6" x14ac:dyDescent="0.2">
      <c r="A4079" s="17">
        <v>0</v>
      </c>
      <c r="B4079" s="18"/>
      <c r="C4079" s="17">
        <v>0</v>
      </c>
      <c r="D4079" s="19">
        <v>0</v>
      </c>
      <c r="F4079" s="3">
        <f t="shared" si="63"/>
        <v>0</v>
      </c>
    </row>
    <row r="4080" spans="1:6" x14ac:dyDescent="0.2">
      <c r="A4080" s="17" t="s">
        <v>12860</v>
      </c>
      <c r="B4080" s="18" t="s">
        <v>12861</v>
      </c>
      <c r="C4080" s="17" t="s">
        <v>26</v>
      </c>
      <c r="D4080" s="19">
        <v>16.13</v>
      </c>
      <c r="F4080" s="3" t="str">
        <f t="shared" si="63"/>
        <v>C1765</v>
      </c>
    </row>
    <row r="4081" spans="1:6" x14ac:dyDescent="0.2">
      <c r="A4081" s="17" t="s">
        <v>12862</v>
      </c>
      <c r="B4081" s="18" t="s">
        <v>12863</v>
      </c>
      <c r="C4081" s="17" t="s">
        <v>26</v>
      </c>
      <c r="D4081" s="19">
        <v>16.66</v>
      </c>
      <c r="F4081" s="3" t="str">
        <f t="shared" si="63"/>
        <v>C1766</v>
      </c>
    </row>
    <row r="4082" spans="1:6" x14ac:dyDescent="0.2">
      <c r="A4082" s="17" t="s">
        <v>12864</v>
      </c>
      <c r="B4082" s="18" t="s">
        <v>12865</v>
      </c>
      <c r="C4082" s="17" t="s">
        <v>26</v>
      </c>
      <c r="D4082" s="19">
        <v>21.77</v>
      </c>
      <c r="F4082" s="3" t="str">
        <f t="shared" si="63"/>
        <v>C1767</v>
      </c>
    </row>
    <row r="4083" spans="1:6" x14ac:dyDescent="0.2">
      <c r="A4083" s="17" t="s">
        <v>12866</v>
      </c>
      <c r="B4083" s="18" t="s">
        <v>12867</v>
      </c>
      <c r="C4083" s="17" t="s">
        <v>26</v>
      </c>
      <c r="D4083" s="19">
        <v>11.14</v>
      </c>
      <c r="F4083" s="3" t="str">
        <f t="shared" si="63"/>
        <v>C1769</v>
      </c>
    </row>
    <row r="4084" spans="1:6" x14ac:dyDescent="0.2">
      <c r="A4084" s="17" t="s">
        <v>12868</v>
      </c>
      <c r="B4084" s="18" t="s">
        <v>12869</v>
      </c>
      <c r="C4084" s="17" t="s">
        <v>26</v>
      </c>
      <c r="D4084" s="19">
        <v>74.75</v>
      </c>
      <c r="F4084" s="3" t="str">
        <f t="shared" si="63"/>
        <v>C1763</v>
      </c>
    </row>
    <row r="4085" spans="1:6" x14ac:dyDescent="0.2">
      <c r="A4085" s="17" t="s">
        <v>12870</v>
      </c>
      <c r="B4085" s="18" t="s">
        <v>12871</v>
      </c>
      <c r="C4085" s="17" t="s">
        <v>26</v>
      </c>
      <c r="D4085" s="19">
        <v>49.95</v>
      </c>
      <c r="F4085" s="3" t="str">
        <f t="shared" si="63"/>
        <v>C1771</v>
      </c>
    </row>
    <row r="4086" spans="1:6" x14ac:dyDescent="0.2">
      <c r="A4086" s="17" t="s">
        <v>12872</v>
      </c>
      <c r="B4086" s="18" t="s">
        <v>12873</v>
      </c>
      <c r="C4086" s="17" t="s">
        <v>26</v>
      </c>
      <c r="D4086" s="19">
        <v>65.52</v>
      </c>
      <c r="F4086" s="3" t="str">
        <f t="shared" si="63"/>
        <v>C1773</v>
      </c>
    </row>
    <row r="4087" spans="1:6" x14ac:dyDescent="0.2">
      <c r="A4087" s="17" t="s">
        <v>12874</v>
      </c>
      <c r="B4087" s="18" t="s">
        <v>12875</v>
      </c>
      <c r="C4087" s="17" t="s">
        <v>26</v>
      </c>
      <c r="D4087" s="19">
        <v>65.52</v>
      </c>
      <c r="F4087" s="3" t="str">
        <f t="shared" si="63"/>
        <v>C1772</v>
      </c>
    </row>
    <row r="4088" spans="1:6" x14ac:dyDescent="0.2">
      <c r="A4088" s="17" t="s">
        <v>12876</v>
      </c>
      <c r="B4088" s="18" t="s">
        <v>12877</v>
      </c>
      <c r="C4088" s="17" t="s">
        <v>26</v>
      </c>
      <c r="D4088" s="19">
        <v>46.67</v>
      </c>
      <c r="F4088" s="3" t="str">
        <f t="shared" si="63"/>
        <v>C1776</v>
      </c>
    </row>
    <row r="4089" spans="1:6" x14ac:dyDescent="0.2">
      <c r="A4089" s="17" t="s">
        <v>12878</v>
      </c>
      <c r="B4089" s="18" t="s">
        <v>12879</v>
      </c>
      <c r="C4089" s="17" t="s">
        <v>26</v>
      </c>
      <c r="D4089" s="19">
        <v>67.25</v>
      </c>
      <c r="F4089" s="3" t="str">
        <f t="shared" si="63"/>
        <v>C1774</v>
      </c>
    </row>
    <row r="4090" spans="1:6" x14ac:dyDescent="0.2">
      <c r="A4090" s="17" t="s">
        <v>12880</v>
      </c>
      <c r="B4090" s="18" t="s">
        <v>12881</v>
      </c>
      <c r="C4090" s="17" t="s">
        <v>26</v>
      </c>
      <c r="D4090" s="19">
        <v>77.209999999999994</v>
      </c>
      <c r="F4090" s="3" t="str">
        <f t="shared" si="63"/>
        <v>C1775</v>
      </c>
    </row>
    <row r="4091" spans="1:6" x14ac:dyDescent="0.2">
      <c r="A4091" s="17" t="s">
        <v>12882</v>
      </c>
      <c r="B4091" s="18" t="s">
        <v>12883</v>
      </c>
      <c r="C4091" s="17" t="s">
        <v>26</v>
      </c>
      <c r="D4091" s="19">
        <v>281.55</v>
      </c>
      <c r="F4091" s="3" t="str">
        <f t="shared" si="63"/>
        <v>C1777</v>
      </c>
    </row>
    <row r="4092" spans="1:6" x14ac:dyDescent="0.2">
      <c r="A4092" s="17" t="s">
        <v>12884</v>
      </c>
      <c r="B4092" s="18" t="s">
        <v>12885</v>
      </c>
      <c r="C4092" s="17" t="s">
        <v>26</v>
      </c>
      <c r="D4092" s="19">
        <v>479.3</v>
      </c>
      <c r="F4092" s="3" t="str">
        <f t="shared" si="63"/>
        <v>C1778</v>
      </c>
    </row>
    <row r="4093" spans="1:6" ht="33.75" x14ac:dyDescent="0.2">
      <c r="A4093" s="17" t="s">
        <v>12886</v>
      </c>
      <c r="B4093" s="18" t="s">
        <v>12887</v>
      </c>
      <c r="C4093" s="17" t="s">
        <v>26</v>
      </c>
      <c r="D4093" s="19">
        <v>336.81</v>
      </c>
      <c r="F4093" s="3" t="str">
        <f t="shared" si="63"/>
        <v>C4111</v>
      </c>
    </row>
    <row r="4094" spans="1:6" x14ac:dyDescent="0.2">
      <c r="A4094" s="17">
        <v>0</v>
      </c>
      <c r="B4094" s="18"/>
      <c r="C4094" s="17">
        <v>0</v>
      </c>
      <c r="D4094" s="19">
        <v>0</v>
      </c>
      <c r="F4094" s="3">
        <f t="shared" si="63"/>
        <v>0</v>
      </c>
    </row>
    <row r="4095" spans="1:6" ht="56.25" x14ac:dyDescent="0.2">
      <c r="A4095" s="17" t="s">
        <v>12888</v>
      </c>
      <c r="B4095" s="18" t="s">
        <v>12889</v>
      </c>
      <c r="C4095" s="17" t="s">
        <v>26</v>
      </c>
      <c r="D4095" s="19">
        <v>93.43</v>
      </c>
      <c r="F4095" s="3" t="str">
        <f t="shared" si="63"/>
        <v>C4945</v>
      </c>
    </row>
    <row r="4096" spans="1:6" x14ac:dyDescent="0.2">
      <c r="A4096" s="17">
        <v>0</v>
      </c>
      <c r="B4096" s="18"/>
      <c r="C4096" s="17">
        <v>0</v>
      </c>
      <c r="D4096" s="19">
        <v>0</v>
      </c>
      <c r="F4096" s="3">
        <f t="shared" si="63"/>
        <v>0</v>
      </c>
    </row>
    <row r="4097" spans="1:6" ht="56.25" x14ac:dyDescent="0.2">
      <c r="A4097" s="17" t="s">
        <v>12890</v>
      </c>
      <c r="B4097" s="18" t="s">
        <v>12891</v>
      </c>
      <c r="C4097" s="17" t="s">
        <v>26</v>
      </c>
      <c r="D4097" s="19">
        <v>105.56</v>
      </c>
      <c r="F4097" s="3" t="str">
        <f t="shared" si="63"/>
        <v>C4944</v>
      </c>
    </row>
    <row r="4098" spans="1:6" x14ac:dyDescent="0.2">
      <c r="A4098" s="17">
        <v>0</v>
      </c>
      <c r="B4098" s="18"/>
      <c r="C4098" s="17">
        <v>0</v>
      </c>
      <c r="D4098" s="19">
        <v>0</v>
      </c>
      <c r="F4098" s="3">
        <f t="shared" ref="F4098:F4161" si="64">A4098</f>
        <v>0</v>
      </c>
    </row>
    <row r="4099" spans="1:6" x14ac:dyDescent="0.2">
      <c r="A4099" s="17" t="s">
        <v>12892</v>
      </c>
      <c r="B4099" s="18" t="s">
        <v>12893</v>
      </c>
      <c r="C4099" s="17" t="s">
        <v>26</v>
      </c>
      <c r="D4099" s="19">
        <v>190.31</v>
      </c>
      <c r="F4099" s="3" t="str">
        <f t="shared" si="64"/>
        <v>C1650</v>
      </c>
    </row>
    <row r="4100" spans="1:6" x14ac:dyDescent="0.2">
      <c r="A4100" s="17" t="s">
        <v>12894</v>
      </c>
      <c r="B4100" s="18" t="s">
        <v>12895</v>
      </c>
      <c r="C4100" s="17" t="s">
        <v>26</v>
      </c>
      <c r="D4100" s="19">
        <v>210.41</v>
      </c>
      <c r="F4100" s="3" t="str">
        <f t="shared" si="64"/>
        <v>C1652</v>
      </c>
    </row>
    <row r="4101" spans="1:6" x14ac:dyDescent="0.2">
      <c r="A4101" s="17" t="s">
        <v>12896</v>
      </c>
      <c r="B4101" s="18" t="s">
        <v>12897</v>
      </c>
      <c r="C4101" s="17" t="s">
        <v>26</v>
      </c>
      <c r="D4101" s="19">
        <v>117.18</v>
      </c>
      <c r="F4101" s="3" t="str">
        <f t="shared" si="64"/>
        <v>C1653</v>
      </c>
    </row>
    <row r="4102" spans="1:6" ht="22.5" x14ac:dyDescent="0.2">
      <c r="A4102" s="17" t="s">
        <v>12898</v>
      </c>
      <c r="B4102" s="18" t="s">
        <v>12899</v>
      </c>
      <c r="C4102" s="17" t="s">
        <v>26</v>
      </c>
      <c r="D4102" s="19">
        <v>699.12</v>
      </c>
      <c r="F4102" s="3" t="str">
        <f t="shared" si="64"/>
        <v>C3627</v>
      </c>
    </row>
    <row r="4103" spans="1:6" x14ac:dyDescent="0.2">
      <c r="A4103" s="17">
        <v>0</v>
      </c>
      <c r="B4103" s="18"/>
      <c r="C4103" s="17">
        <v>0</v>
      </c>
      <c r="D4103" s="19">
        <v>0</v>
      </c>
      <c r="F4103" s="3">
        <f t="shared" si="64"/>
        <v>0</v>
      </c>
    </row>
    <row r="4104" spans="1:6" ht="33.75" x14ac:dyDescent="0.2">
      <c r="A4104" s="17" t="s">
        <v>12900</v>
      </c>
      <c r="B4104" s="18" t="s">
        <v>12901</v>
      </c>
      <c r="C4104" s="17" t="s">
        <v>26</v>
      </c>
      <c r="D4104" s="19">
        <v>185.74</v>
      </c>
      <c r="F4104" s="3" t="str">
        <f t="shared" si="64"/>
        <v>C4109</v>
      </c>
    </row>
    <row r="4105" spans="1:6" x14ac:dyDescent="0.2">
      <c r="A4105" s="17">
        <v>0</v>
      </c>
      <c r="B4105" s="18"/>
      <c r="C4105" s="17">
        <v>0</v>
      </c>
      <c r="D4105" s="19">
        <v>0</v>
      </c>
      <c r="F4105" s="3">
        <f t="shared" si="64"/>
        <v>0</v>
      </c>
    </row>
    <row r="4106" spans="1:6" ht="33.75" x14ac:dyDescent="0.2">
      <c r="A4106" s="17" t="s">
        <v>12902</v>
      </c>
      <c r="B4106" s="18" t="s">
        <v>12903</v>
      </c>
      <c r="C4106" s="17" t="s">
        <v>26</v>
      </c>
      <c r="D4106" s="19">
        <v>209.44</v>
      </c>
      <c r="F4106" s="3" t="str">
        <f t="shared" si="64"/>
        <v>C4100</v>
      </c>
    </row>
    <row r="4107" spans="1:6" x14ac:dyDescent="0.2">
      <c r="A4107" s="17">
        <v>0</v>
      </c>
      <c r="B4107" s="18"/>
      <c r="C4107" s="17">
        <v>0</v>
      </c>
      <c r="D4107" s="19">
        <v>0</v>
      </c>
      <c r="F4107" s="3">
        <f t="shared" si="64"/>
        <v>0</v>
      </c>
    </row>
    <row r="4108" spans="1:6" ht="33.75" x14ac:dyDescent="0.2">
      <c r="A4108" s="17" t="s">
        <v>12904</v>
      </c>
      <c r="B4108" s="18" t="s">
        <v>12905</v>
      </c>
      <c r="C4108" s="17" t="s">
        <v>26</v>
      </c>
      <c r="D4108" s="19">
        <v>137.47999999999999</v>
      </c>
      <c r="F4108" s="3" t="str">
        <f t="shared" si="64"/>
        <v>C4811</v>
      </c>
    </row>
    <row r="4109" spans="1:6" x14ac:dyDescent="0.2">
      <c r="A4109" s="17">
        <v>0</v>
      </c>
      <c r="B4109" s="18"/>
      <c r="C4109" s="17">
        <v>0</v>
      </c>
      <c r="D4109" s="19">
        <v>0</v>
      </c>
      <c r="F4109" s="3">
        <f t="shared" si="64"/>
        <v>0</v>
      </c>
    </row>
    <row r="4110" spans="1:6" ht="33.75" x14ac:dyDescent="0.2">
      <c r="A4110" s="20" t="s">
        <v>12906</v>
      </c>
      <c r="B4110" s="21" t="s">
        <v>12907</v>
      </c>
      <c r="C4110" s="20" t="s">
        <v>26</v>
      </c>
      <c r="D4110" s="22">
        <v>168.36</v>
      </c>
      <c r="F4110" s="3" t="str">
        <f t="shared" si="64"/>
        <v>C4799</v>
      </c>
    </row>
    <row r="4111" spans="1:6" x14ac:dyDescent="0.2">
      <c r="A4111" s="17">
        <v>0</v>
      </c>
      <c r="B4111" s="18"/>
      <c r="C4111" s="17">
        <v>0</v>
      </c>
      <c r="D4111" s="19">
        <v>0</v>
      </c>
      <c r="F4111" s="3">
        <f t="shared" si="64"/>
        <v>0</v>
      </c>
    </row>
    <row r="4112" spans="1:6" ht="33.75" x14ac:dyDescent="0.2">
      <c r="A4112" s="17" t="s">
        <v>12908</v>
      </c>
      <c r="B4112" s="18" t="s">
        <v>12909</v>
      </c>
      <c r="C4112" s="17" t="s">
        <v>26</v>
      </c>
      <c r="D4112" s="19">
        <v>178.19</v>
      </c>
      <c r="F4112" s="3" t="str">
        <f t="shared" si="64"/>
        <v>C4101</v>
      </c>
    </row>
    <row r="4113" spans="1:6" x14ac:dyDescent="0.2">
      <c r="A4113" s="17">
        <v>0</v>
      </c>
      <c r="B4113" s="18"/>
      <c r="C4113" s="17">
        <v>0</v>
      </c>
      <c r="D4113" s="19">
        <v>0</v>
      </c>
      <c r="F4113" s="3">
        <f t="shared" si="64"/>
        <v>0</v>
      </c>
    </row>
    <row r="4114" spans="1:6" ht="22.5" x14ac:dyDescent="0.2">
      <c r="A4114" s="17" t="s">
        <v>12910</v>
      </c>
      <c r="B4114" s="18" t="s">
        <v>12911</v>
      </c>
      <c r="C4114" s="17" t="s">
        <v>26</v>
      </c>
      <c r="D4114" s="19">
        <v>159.4</v>
      </c>
      <c r="F4114" s="3" t="str">
        <f t="shared" si="64"/>
        <v>C4102</v>
      </c>
    </row>
    <row r="4115" spans="1:6" x14ac:dyDescent="0.2">
      <c r="A4115" s="17">
        <v>0</v>
      </c>
      <c r="B4115" s="18"/>
      <c r="C4115" s="17">
        <v>0</v>
      </c>
      <c r="D4115" s="19">
        <v>0</v>
      </c>
      <c r="F4115" s="3">
        <f t="shared" si="64"/>
        <v>0</v>
      </c>
    </row>
    <row r="4116" spans="1:6" ht="45" x14ac:dyDescent="0.2">
      <c r="A4116" s="17" t="s">
        <v>12912</v>
      </c>
      <c r="B4116" s="18" t="s">
        <v>12913</v>
      </c>
      <c r="C4116" s="17" t="s">
        <v>26</v>
      </c>
      <c r="D4116" s="19">
        <v>278.26</v>
      </c>
      <c r="F4116" s="3" t="str">
        <f t="shared" si="64"/>
        <v>C4943</v>
      </c>
    </row>
    <row r="4117" spans="1:6" x14ac:dyDescent="0.2">
      <c r="A4117" s="17">
        <v>0</v>
      </c>
      <c r="B4117" s="18"/>
      <c r="C4117" s="17">
        <v>0</v>
      </c>
      <c r="D4117" s="19">
        <v>0</v>
      </c>
      <c r="F4117" s="3">
        <f t="shared" si="64"/>
        <v>0</v>
      </c>
    </row>
    <row r="4118" spans="1:6" ht="22.5" x14ac:dyDescent="0.2">
      <c r="A4118" s="17" t="s">
        <v>12914</v>
      </c>
      <c r="B4118" s="18" t="s">
        <v>12915</v>
      </c>
      <c r="C4118" s="17" t="s">
        <v>26</v>
      </c>
      <c r="D4118" s="19">
        <v>166.63</v>
      </c>
      <c r="F4118" s="3" t="str">
        <f t="shared" si="64"/>
        <v>C4797</v>
      </c>
    </row>
    <row r="4119" spans="1:6" x14ac:dyDescent="0.2">
      <c r="A4119" s="17">
        <v>0</v>
      </c>
      <c r="B4119" s="18"/>
      <c r="C4119" s="17">
        <v>0</v>
      </c>
      <c r="D4119" s="19">
        <v>0</v>
      </c>
      <c r="F4119" s="3">
        <f t="shared" si="64"/>
        <v>0</v>
      </c>
    </row>
    <row r="4120" spans="1:6" ht="22.5" x14ac:dyDescent="0.2">
      <c r="A4120" s="17" t="s">
        <v>12916</v>
      </c>
      <c r="B4120" s="18" t="s">
        <v>12917</v>
      </c>
      <c r="C4120" s="17" t="s">
        <v>26</v>
      </c>
      <c r="D4120" s="19">
        <v>184.15</v>
      </c>
      <c r="F4120" s="3" t="str">
        <f t="shared" si="64"/>
        <v>C4540</v>
      </c>
    </row>
    <row r="4121" spans="1:6" x14ac:dyDescent="0.2">
      <c r="A4121" s="17">
        <v>0</v>
      </c>
      <c r="B4121" s="18"/>
      <c r="C4121" s="17">
        <v>0</v>
      </c>
      <c r="D4121" s="19">
        <v>0</v>
      </c>
      <c r="F4121" s="3">
        <f t="shared" si="64"/>
        <v>0</v>
      </c>
    </row>
    <row r="4122" spans="1:6" ht="22.5" x14ac:dyDescent="0.2">
      <c r="A4122" s="17" t="s">
        <v>27</v>
      </c>
      <c r="B4122" s="18" t="s">
        <v>28</v>
      </c>
      <c r="C4122" s="17" t="s">
        <v>26</v>
      </c>
      <c r="D4122" s="19">
        <v>432.88</v>
      </c>
      <c r="F4122" s="3" t="str">
        <f t="shared" si="64"/>
        <v>C4809</v>
      </c>
    </row>
    <row r="4123" spans="1:6" x14ac:dyDescent="0.2">
      <c r="A4123" s="17">
        <v>0</v>
      </c>
      <c r="B4123" s="18"/>
      <c r="C4123" s="17">
        <v>0</v>
      </c>
      <c r="D4123" s="19">
        <v>0</v>
      </c>
      <c r="F4123" s="3">
        <f t="shared" si="64"/>
        <v>0</v>
      </c>
    </row>
    <row r="4124" spans="1:6" ht="22.5" x14ac:dyDescent="0.2">
      <c r="A4124" s="17" t="s">
        <v>12918</v>
      </c>
      <c r="B4124" s="18" t="s">
        <v>12919</v>
      </c>
      <c r="C4124" s="17" t="s">
        <v>26</v>
      </c>
      <c r="D4124" s="19">
        <v>193.05</v>
      </c>
      <c r="F4124" s="3" t="str">
        <f t="shared" si="64"/>
        <v>C4433</v>
      </c>
    </row>
    <row r="4125" spans="1:6" x14ac:dyDescent="0.2">
      <c r="A4125" s="17">
        <v>0</v>
      </c>
      <c r="B4125" s="18"/>
      <c r="C4125" s="17">
        <v>0</v>
      </c>
      <c r="D4125" s="19">
        <v>0</v>
      </c>
      <c r="F4125" s="3">
        <f t="shared" si="64"/>
        <v>0</v>
      </c>
    </row>
    <row r="4126" spans="1:6" ht="45" x14ac:dyDescent="0.2">
      <c r="A4126" s="17" t="s">
        <v>12920</v>
      </c>
      <c r="B4126" s="18" t="s">
        <v>12921</v>
      </c>
      <c r="C4126" s="17" t="s">
        <v>26</v>
      </c>
      <c r="D4126" s="19">
        <v>286.20999999999998</v>
      </c>
      <c r="F4126" s="3" t="str">
        <f t="shared" si="64"/>
        <v>C4795</v>
      </c>
    </row>
    <row r="4127" spans="1:6" x14ac:dyDescent="0.2">
      <c r="A4127" s="17">
        <v>0</v>
      </c>
      <c r="B4127" s="18"/>
      <c r="C4127" s="17">
        <v>0</v>
      </c>
      <c r="D4127" s="19">
        <v>0</v>
      </c>
      <c r="F4127" s="3">
        <f t="shared" si="64"/>
        <v>0</v>
      </c>
    </row>
    <row r="4128" spans="1:6" ht="45" x14ac:dyDescent="0.2">
      <c r="A4128" s="17" t="s">
        <v>12922</v>
      </c>
      <c r="B4128" s="18" t="s">
        <v>12923</v>
      </c>
      <c r="C4128" s="17" t="s">
        <v>26</v>
      </c>
      <c r="D4128" s="19">
        <v>278.77</v>
      </c>
      <c r="F4128" s="3" t="str">
        <f t="shared" si="64"/>
        <v>C4796</v>
      </c>
    </row>
    <row r="4129" spans="1:6" x14ac:dyDescent="0.2">
      <c r="A4129" s="17">
        <v>0</v>
      </c>
      <c r="B4129" s="18"/>
      <c r="C4129" s="17">
        <v>0</v>
      </c>
      <c r="D4129" s="19">
        <v>0</v>
      </c>
      <c r="F4129" s="3">
        <f t="shared" si="64"/>
        <v>0</v>
      </c>
    </row>
    <row r="4130" spans="1:6" x14ac:dyDescent="0.2">
      <c r="A4130" s="17" t="s">
        <v>12924</v>
      </c>
      <c r="B4130" s="18" t="s">
        <v>12925</v>
      </c>
      <c r="C4130" s="17" t="s">
        <v>26</v>
      </c>
      <c r="D4130" s="19">
        <v>261.01</v>
      </c>
      <c r="F4130" s="3" t="str">
        <f t="shared" si="64"/>
        <v>C4394</v>
      </c>
    </row>
    <row r="4131" spans="1:6" ht="22.5" x14ac:dyDescent="0.2">
      <c r="A4131" s="17" t="s">
        <v>12926</v>
      </c>
      <c r="B4131" s="18" t="s">
        <v>12927</v>
      </c>
      <c r="C4131" s="17" t="s">
        <v>26</v>
      </c>
      <c r="D4131" s="19">
        <v>217.23</v>
      </c>
      <c r="F4131" s="3" t="str">
        <f t="shared" si="64"/>
        <v>C4412</v>
      </c>
    </row>
    <row r="4132" spans="1:6" x14ac:dyDescent="0.2">
      <c r="A4132" s="17">
        <v>0</v>
      </c>
      <c r="B4132" s="18"/>
      <c r="C4132" s="17">
        <v>0</v>
      </c>
      <c r="D4132" s="19">
        <v>0</v>
      </c>
      <c r="F4132" s="3">
        <f t="shared" si="64"/>
        <v>0</v>
      </c>
    </row>
    <row r="4133" spans="1:6" ht="45" x14ac:dyDescent="0.2">
      <c r="A4133" s="17" t="s">
        <v>12928</v>
      </c>
      <c r="B4133" s="18" t="s">
        <v>12929</v>
      </c>
      <c r="C4133" s="17" t="s">
        <v>26</v>
      </c>
      <c r="D4133" s="19">
        <v>143.16</v>
      </c>
      <c r="F4133" s="3" t="str">
        <f t="shared" si="64"/>
        <v>C4798</v>
      </c>
    </row>
    <row r="4134" spans="1:6" x14ac:dyDescent="0.2">
      <c r="A4134" s="17">
        <v>0</v>
      </c>
      <c r="B4134" s="18"/>
      <c r="C4134" s="17">
        <v>0</v>
      </c>
      <c r="D4134" s="19">
        <v>0</v>
      </c>
      <c r="F4134" s="3">
        <f t="shared" si="64"/>
        <v>0</v>
      </c>
    </row>
    <row r="4135" spans="1:6" ht="33.75" x14ac:dyDescent="0.2">
      <c r="A4135" s="433" t="s">
        <v>23</v>
      </c>
      <c r="B4135" s="432" t="s">
        <v>24</v>
      </c>
      <c r="C4135" s="433" t="s">
        <v>26</v>
      </c>
      <c r="D4135" s="434">
        <v>499.88</v>
      </c>
      <c r="F4135" s="3" t="str">
        <f t="shared" si="64"/>
        <v>C4802</v>
      </c>
    </row>
    <row r="4136" spans="1:6" x14ac:dyDescent="0.2">
      <c r="A4136" s="17">
        <v>0</v>
      </c>
      <c r="B4136" s="18"/>
      <c r="C4136" s="17">
        <v>0</v>
      </c>
      <c r="D4136" s="19">
        <v>0</v>
      </c>
      <c r="F4136" s="3">
        <f t="shared" si="64"/>
        <v>0</v>
      </c>
    </row>
    <row r="4137" spans="1:6" ht="33.75" x14ac:dyDescent="0.2">
      <c r="A4137" s="17" t="s">
        <v>12930</v>
      </c>
      <c r="B4137" s="18" t="s">
        <v>12931</v>
      </c>
      <c r="C4137" s="17" t="s">
        <v>26</v>
      </c>
      <c r="D4137" s="19">
        <v>132.94</v>
      </c>
      <c r="F4137" s="3" t="str">
        <f t="shared" si="64"/>
        <v>C4800</v>
      </c>
    </row>
    <row r="4138" spans="1:6" x14ac:dyDescent="0.2">
      <c r="A4138" s="17">
        <v>0</v>
      </c>
      <c r="B4138" s="18"/>
      <c r="C4138" s="17">
        <v>0</v>
      </c>
      <c r="D4138" s="19">
        <v>0</v>
      </c>
      <c r="F4138" s="3">
        <f t="shared" si="64"/>
        <v>0</v>
      </c>
    </row>
    <row r="4139" spans="1:6" ht="45" x14ac:dyDescent="0.2">
      <c r="A4139" s="17" t="s">
        <v>12932</v>
      </c>
      <c r="B4139" s="18" t="s">
        <v>12933</v>
      </c>
      <c r="C4139" s="17" t="s">
        <v>26</v>
      </c>
      <c r="D4139" s="19">
        <v>165</v>
      </c>
      <c r="F4139" s="3" t="str">
        <f t="shared" si="64"/>
        <v>C5192</v>
      </c>
    </row>
    <row r="4140" spans="1:6" x14ac:dyDescent="0.2">
      <c r="A4140" s="17">
        <v>0</v>
      </c>
      <c r="B4140" s="18"/>
      <c r="C4140" s="17">
        <v>0</v>
      </c>
      <c r="D4140" s="19">
        <v>0</v>
      </c>
      <c r="F4140" s="3">
        <f t="shared" si="64"/>
        <v>0</v>
      </c>
    </row>
    <row r="4141" spans="1:6" ht="67.5" x14ac:dyDescent="0.2">
      <c r="A4141" s="17" t="s">
        <v>12934</v>
      </c>
      <c r="B4141" s="18" t="s">
        <v>12935</v>
      </c>
      <c r="C4141" s="17" t="s">
        <v>26</v>
      </c>
      <c r="D4141" s="19">
        <v>189.79</v>
      </c>
      <c r="F4141" s="3" t="str">
        <f t="shared" si="64"/>
        <v>C4946</v>
      </c>
    </row>
    <row r="4142" spans="1:6" x14ac:dyDescent="0.2">
      <c r="A4142" s="17">
        <v>0</v>
      </c>
      <c r="B4142" s="18"/>
      <c r="C4142" s="17">
        <v>0</v>
      </c>
      <c r="D4142" s="19">
        <v>0</v>
      </c>
      <c r="F4142" s="3">
        <f t="shared" si="64"/>
        <v>0</v>
      </c>
    </row>
    <row r="4143" spans="1:6" ht="33.75" x14ac:dyDescent="0.2">
      <c r="A4143" s="17" t="s">
        <v>12936</v>
      </c>
      <c r="B4143" s="18" t="s">
        <v>12937</v>
      </c>
      <c r="C4143" s="17" t="s">
        <v>26</v>
      </c>
      <c r="D4143" s="19">
        <v>499.88</v>
      </c>
      <c r="F4143" s="3" t="str">
        <f t="shared" si="64"/>
        <v>C4803</v>
      </c>
    </row>
    <row r="4144" spans="1:6" x14ac:dyDescent="0.2">
      <c r="A4144" s="17">
        <v>0</v>
      </c>
      <c r="B4144" s="18"/>
      <c r="C4144" s="17">
        <v>0</v>
      </c>
      <c r="D4144" s="19">
        <v>0</v>
      </c>
      <c r="F4144" s="3">
        <f t="shared" si="64"/>
        <v>0</v>
      </c>
    </row>
    <row r="4145" spans="1:6" ht="33.75" x14ac:dyDescent="0.2">
      <c r="A4145" s="17" t="s">
        <v>12938</v>
      </c>
      <c r="B4145" s="18" t="s">
        <v>12939</v>
      </c>
      <c r="C4145" s="17" t="s">
        <v>26</v>
      </c>
      <c r="D4145" s="19">
        <v>499.88</v>
      </c>
      <c r="F4145" s="3" t="str">
        <f t="shared" si="64"/>
        <v>C4804</v>
      </c>
    </row>
    <row r="4146" spans="1:6" x14ac:dyDescent="0.2">
      <c r="A4146" s="17">
        <v>0</v>
      </c>
      <c r="B4146" s="18"/>
      <c r="C4146" s="17">
        <v>0</v>
      </c>
      <c r="D4146" s="19">
        <v>0</v>
      </c>
      <c r="F4146" s="3">
        <f t="shared" si="64"/>
        <v>0</v>
      </c>
    </row>
    <row r="4147" spans="1:6" x14ac:dyDescent="0.2">
      <c r="A4147" s="17" t="s">
        <v>12940</v>
      </c>
      <c r="B4147" s="18" t="s">
        <v>12941</v>
      </c>
      <c r="C4147" s="17" t="s">
        <v>26</v>
      </c>
      <c r="D4147" s="19">
        <v>540.65</v>
      </c>
      <c r="F4147" s="3" t="str">
        <f t="shared" si="64"/>
        <v>C3628</v>
      </c>
    </row>
    <row r="4148" spans="1:6" x14ac:dyDescent="0.2">
      <c r="A4148" s="17">
        <v>0</v>
      </c>
      <c r="B4148" s="18"/>
      <c r="C4148" s="17">
        <v>0</v>
      </c>
      <c r="D4148" s="19">
        <v>0</v>
      </c>
      <c r="F4148" s="3">
        <f t="shared" si="64"/>
        <v>0</v>
      </c>
    </row>
    <row r="4149" spans="1:6" x14ac:dyDescent="0.2">
      <c r="A4149" s="17" t="s">
        <v>12942</v>
      </c>
      <c r="B4149" s="18" t="s">
        <v>12943</v>
      </c>
      <c r="C4149" s="17" t="s">
        <v>26</v>
      </c>
      <c r="D4149" s="19">
        <v>424.02</v>
      </c>
      <c r="F4149" s="3" t="str">
        <f t="shared" si="64"/>
        <v>C3924</v>
      </c>
    </row>
    <row r="4150" spans="1:6" x14ac:dyDescent="0.2">
      <c r="A4150" s="17" t="s">
        <v>12944</v>
      </c>
      <c r="B4150" s="18" t="s">
        <v>12945</v>
      </c>
      <c r="C4150" s="17" t="s">
        <v>26</v>
      </c>
      <c r="D4150" s="19">
        <v>450.54</v>
      </c>
      <c r="F4150" s="3" t="str">
        <f t="shared" si="64"/>
        <v>C1659</v>
      </c>
    </row>
    <row r="4151" spans="1:6" x14ac:dyDescent="0.2">
      <c r="A4151" s="17">
        <v>0</v>
      </c>
      <c r="B4151" s="18"/>
      <c r="C4151" s="17">
        <v>0</v>
      </c>
      <c r="D4151" s="19">
        <v>0</v>
      </c>
      <c r="F4151" s="3">
        <f t="shared" si="64"/>
        <v>0</v>
      </c>
    </row>
    <row r="4152" spans="1:6" x14ac:dyDescent="0.2">
      <c r="A4152" s="17" t="s">
        <v>12946</v>
      </c>
      <c r="B4152" s="18" t="s">
        <v>12947</v>
      </c>
      <c r="C4152" s="17" t="s">
        <v>26</v>
      </c>
      <c r="D4152" s="19">
        <v>482.5</v>
      </c>
      <c r="F4152" s="3" t="str">
        <f t="shared" si="64"/>
        <v>C1658</v>
      </c>
    </row>
    <row r="4153" spans="1:6" x14ac:dyDescent="0.2">
      <c r="A4153" s="17">
        <v>0</v>
      </c>
      <c r="B4153" s="18"/>
      <c r="C4153" s="17">
        <v>0</v>
      </c>
      <c r="D4153" s="19">
        <v>0</v>
      </c>
      <c r="F4153" s="3">
        <f t="shared" si="64"/>
        <v>0</v>
      </c>
    </row>
    <row r="4154" spans="1:6" x14ac:dyDescent="0.2">
      <c r="A4154" s="17" t="s">
        <v>12948</v>
      </c>
      <c r="B4154" s="18" t="s">
        <v>12949</v>
      </c>
      <c r="C4154" s="17" t="s">
        <v>26</v>
      </c>
      <c r="D4154" s="19">
        <v>569.41999999999996</v>
      </c>
      <c r="F4154" s="3" t="str">
        <f t="shared" si="64"/>
        <v>C1660</v>
      </c>
    </row>
    <row r="4155" spans="1:6" x14ac:dyDescent="0.2">
      <c r="A4155" s="17" t="s">
        <v>12950</v>
      </c>
      <c r="B4155" s="18" t="s">
        <v>12951</v>
      </c>
      <c r="C4155" s="17" t="s">
        <v>26</v>
      </c>
      <c r="D4155" s="19">
        <v>98.92</v>
      </c>
      <c r="F4155" s="3" t="str">
        <f t="shared" si="64"/>
        <v>C1662</v>
      </c>
    </row>
    <row r="4156" spans="1:6" x14ac:dyDescent="0.2">
      <c r="A4156" s="17" t="s">
        <v>12952</v>
      </c>
      <c r="B4156" s="18" t="s">
        <v>12953</v>
      </c>
      <c r="C4156" s="17" t="s">
        <v>26</v>
      </c>
      <c r="D4156" s="19">
        <v>100.16</v>
      </c>
      <c r="F4156" s="3" t="str">
        <f t="shared" si="64"/>
        <v>C1637</v>
      </c>
    </row>
    <row r="4157" spans="1:6" x14ac:dyDescent="0.2">
      <c r="A4157" s="17" t="s">
        <v>12954</v>
      </c>
      <c r="B4157" s="18" t="s">
        <v>12955</v>
      </c>
      <c r="C4157" s="17" t="s">
        <v>26</v>
      </c>
      <c r="D4157" s="19">
        <v>112.29</v>
      </c>
      <c r="F4157" s="3" t="str">
        <f t="shared" si="64"/>
        <v>C1661</v>
      </c>
    </row>
    <row r="4158" spans="1:6" x14ac:dyDescent="0.2">
      <c r="A4158" s="17" t="s">
        <v>12956</v>
      </c>
      <c r="B4158" s="18" t="s">
        <v>12957</v>
      </c>
      <c r="C4158" s="17" t="s">
        <v>26</v>
      </c>
      <c r="D4158" s="19">
        <v>128.84</v>
      </c>
      <c r="F4158" s="3" t="str">
        <f t="shared" si="64"/>
        <v>C1638</v>
      </c>
    </row>
    <row r="4159" spans="1:6" x14ac:dyDescent="0.2">
      <c r="A4159" s="17" t="s">
        <v>12958</v>
      </c>
      <c r="B4159" s="18" t="s">
        <v>12959</v>
      </c>
      <c r="C4159" s="17" t="s">
        <v>26</v>
      </c>
      <c r="D4159" s="19">
        <v>187.71</v>
      </c>
      <c r="F4159" s="3" t="str">
        <f t="shared" si="64"/>
        <v>C1639</v>
      </c>
    </row>
    <row r="4160" spans="1:6" x14ac:dyDescent="0.2">
      <c r="A4160" s="17" t="s">
        <v>12960</v>
      </c>
      <c r="B4160" s="18" t="s">
        <v>12961</v>
      </c>
      <c r="C4160" s="17" t="s">
        <v>26</v>
      </c>
      <c r="D4160" s="19">
        <v>233.77</v>
      </c>
      <c r="F4160" s="3" t="str">
        <f t="shared" si="64"/>
        <v>C1636</v>
      </c>
    </row>
    <row r="4161" spans="1:6" x14ac:dyDescent="0.2">
      <c r="A4161" s="17" t="s">
        <v>12962</v>
      </c>
      <c r="B4161" s="18" t="s">
        <v>12963</v>
      </c>
      <c r="C4161" s="17" t="s">
        <v>26</v>
      </c>
      <c r="D4161" s="19">
        <v>85.04</v>
      </c>
      <c r="F4161" s="3" t="str">
        <f t="shared" si="64"/>
        <v>C1640</v>
      </c>
    </row>
    <row r="4162" spans="1:6" x14ac:dyDescent="0.2">
      <c r="A4162" s="17" t="s">
        <v>12964</v>
      </c>
      <c r="B4162" s="18" t="s">
        <v>12965</v>
      </c>
      <c r="C4162" s="17" t="s">
        <v>26</v>
      </c>
      <c r="D4162" s="19">
        <v>86.28</v>
      </c>
      <c r="F4162" s="3" t="str">
        <f t="shared" ref="F4162:F4225" si="65">A4162</f>
        <v>C1663</v>
      </c>
    </row>
    <row r="4163" spans="1:6" x14ac:dyDescent="0.2">
      <c r="A4163" s="17" t="s">
        <v>12966</v>
      </c>
      <c r="B4163" s="18" t="s">
        <v>12967</v>
      </c>
      <c r="C4163" s="17" t="s">
        <v>26</v>
      </c>
      <c r="D4163" s="19">
        <v>112.29</v>
      </c>
      <c r="F4163" s="3" t="str">
        <f t="shared" si="65"/>
        <v>C1665</v>
      </c>
    </row>
    <row r="4164" spans="1:6" x14ac:dyDescent="0.2">
      <c r="A4164" s="17" t="s">
        <v>12968</v>
      </c>
      <c r="B4164" s="18" t="s">
        <v>12969</v>
      </c>
      <c r="C4164" s="17" t="s">
        <v>26</v>
      </c>
      <c r="D4164" s="19">
        <v>128.84</v>
      </c>
      <c r="F4164" s="3" t="str">
        <f t="shared" si="65"/>
        <v>C1666</v>
      </c>
    </row>
    <row r="4165" spans="1:6" x14ac:dyDescent="0.2">
      <c r="A4165" s="17" t="s">
        <v>12970</v>
      </c>
      <c r="B4165" s="18" t="s">
        <v>12971</v>
      </c>
      <c r="C4165" s="17" t="s">
        <v>26</v>
      </c>
      <c r="D4165" s="19">
        <v>147.83000000000001</v>
      </c>
      <c r="F4165" s="3" t="str">
        <f t="shared" si="65"/>
        <v>C1667</v>
      </c>
    </row>
    <row r="4166" spans="1:6" x14ac:dyDescent="0.2">
      <c r="A4166" s="17" t="s">
        <v>12972</v>
      </c>
      <c r="B4166" s="18" t="s">
        <v>12973</v>
      </c>
      <c r="C4166" s="17" t="s">
        <v>26</v>
      </c>
      <c r="D4166" s="19">
        <v>156.47999999999999</v>
      </c>
      <c r="F4166" s="3" t="str">
        <f t="shared" si="65"/>
        <v>C1664</v>
      </c>
    </row>
    <row r="4167" spans="1:6" x14ac:dyDescent="0.2">
      <c r="A4167" s="17" t="s">
        <v>12974</v>
      </c>
      <c r="B4167" s="18" t="s">
        <v>12975</v>
      </c>
      <c r="C4167" s="17" t="s">
        <v>26</v>
      </c>
      <c r="D4167" s="19">
        <v>187.71</v>
      </c>
      <c r="F4167" s="3" t="str">
        <f t="shared" si="65"/>
        <v>C1641</v>
      </c>
    </row>
    <row r="4168" spans="1:6" x14ac:dyDescent="0.2">
      <c r="A4168" s="17" t="s">
        <v>12976</v>
      </c>
      <c r="B4168" s="18" t="s">
        <v>12977</v>
      </c>
      <c r="C4168" s="17" t="s">
        <v>26</v>
      </c>
      <c r="D4168" s="19">
        <v>233.77</v>
      </c>
      <c r="F4168" s="3" t="str">
        <f t="shared" si="65"/>
        <v>C1642</v>
      </c>
    </row>
    <row r="4169" spans="1:6" ht="56.25" x14ac:dyDescent="0.2">
      <c r="A4169" s="17" t="s">
        <v>12978</v>
      </c>
      <c r="B4169" s="18" t="s">
        <v>12979</v>
      </c>
      <c r="C4169" s="17" t="s">
        <v>26</v>
      </c>
      <c r="D4169" s="19">
        <v>257.77999999999997</v>
      </c>
      <c r="F4169" s="3" t="str">
        <f t="shared" si="65"/>
        <v>C4947</v>
      </c>
    </row>
    <row r="4170" spans="1:6" x14ac:dyDescent="0.2">
      <c r="A4170" s="17">
        <v>0</v>
      </c>
      <c r="B4170" s="18"/>
      <c r="C4170" s="17">
        <v>0</v>
      </c>
      <c r="D4170" s="19">
        <v>0</v>
      </c>
      <c r="F4170" s="3">
        <f t="shared" si="65"/>
        <v>0</v>
      </c>
    </row>
    <row r="4171" spans="1:6" x14ac:dyDescent="0.2">
      <c r="A4171" s="17" t="s">
        <v>12980</v>
      </c>
      <c r="B4171" s="18" t="s">
        <v>12981</v>
      </c>
      <c r="C4171" s="17" t="s">
        <v>26</v>
      </c>
      <c r="D4171" s="19">
        <v>108.07</v>
      </c>
      <c r="F4171" s="3" t="str">
        <f t="shared" si="65"/>
        <v>C1668</v>
      </c>
    </row>
    <row r="4172" spans="1:6" x14ac:dyDescent="0.2">
      <c r="A4172" s="17" t="s">
        <v>12982</v>
      </c>
      <c r="B4172" s="18" t="s">
        <v>12983</v>
      </c>
      <c r="C4172" s="17" t="s">
        <v>26</v>
      </c>
      <c r="D4172" s="19">
        <v>76.05</v>
      </c>
      <c r="F4172" s="3" t="str">
        <f t="shared" si="65"/>
        <v>C1669</v>
      </c>
    </row>
    <row r="4173" spans="1:6" x14ac:dyDescent="0.2">
      <c r="A4173" s="17" t="s">
        <v>12984</v>
      </c>
      <c r="B4173" s="18" t="s">
        <v>12985</v>
      </c>
      <c r="C4173" s="17" t="s">
        <v>26</v>
      </c>
      <c r="D4173" s="19">
        <v>776.5</v>
      </c>
      <c r="F4173" s="3" t="str">
        <f t="shared" si="65"/>
        <v>C4806</v>
      </c>
    </row>
    <row r="4174" spans="1:6" x14ac:dyDescent="0.2">
      <c r="A4174" s="17">
        <v>0</v>
      </c>
      <c r="B4174" s="18"/>
      <c r="C4174" s="17">
        <v>0</v>
      </c>
      <c r="D4174" s="19">
        <v>0</v>
      </c>
      <c r="F4174" s="3">
        <f t="shared" si="65"/>
        <v>0</v>
      </c>
    </row>
    <row r="4175" spans="1:6" ht="22.5" x14ac:dyDescent="0.2">
      <c r="A4175" s="17" t="s">
        <v>12986</v>
      </c>
      <c r="B4175" s="18" t="s">
        <v>12987</v>
      </c>
      <c r="C4175" s="17" t="s">
        <v>26</v>
      </c>
      <c r="D4175" s="19">
        <v>516.5</v>
      </c>
      <c r="F4175" s="3" t="str">
        <f t="shared" si="65"/>
        <v>C4805</v>
      </c>
    </row>
    <row r="4176" spans="1:6" x14ac:dyDescent="0.2">
      <c r="A4176" s="17">
        <v>0</v>
      </c>
      <c r="B4176" s="18"/>
      <c r="C4176" s="17">
        <v>0</v>
      </c>
      <c r="D4176" s="19">
        <v>0</v>
      </c>
      <c r="F4176" s="3">
        <f t="shared" si="65"/>
        <v>0</v>
      </c>
    </row>
    <row r="4177" spans="1:6" ht="33.75" x14ac:dyDescent="0.2">
      <c r="A4177" s="17" t="s">
        <v>12988</v>
      </c>
      <c r="B4177" s="18" t="s">
        <v>12989</v>
      </c>
      <c r="C4177" s="17" t="s">
        <v>26</v>
      </c>
      <c r="D4177" s="19">
        <v>214.71</v>
      </c>
      <c r="F4177" s="3" t="str">
        <f t="shared" si="65"/>
        <v>C4956</v>
      </c>
    </row>
    <row r="4178" spans="1:6" x14ac:dyDescent="0.2">
      <c r="A4178" s="17">
        <v>0</v>
      </c>
      <c r="B4178" s="18"/>
      <c r="C4178" s="17">
        <v>0</v>
      </c>
      <c r="D4178" s="19">
        <v>0</v>
      </c>
      <c r="F4178" s="3">
        <f t="shared" si="65"/>
        <v>0</v>
      </c>
    </row>
    <row r="4179" spans="1:6" ht="33.75" x14ac:dyDescent="0.2">
      <c r="A4179" s="17" t="s">
        <v>12990</v>
      </c>
      <c r="B4179" s="18" t="s">
        <v>12991</v>
      </c>
      <c r="C4179" s="17" t="s">
        <v>26</v>
      </c>
      <c r="D4179" s="19">
        <v>455.39</v>
      </c>
      <c r="F4179" s="3" t="str">
        <f t="shared" si="65"/>
        <v>C4108</v>
      </c>
    </row>
    <row r="4180" spans="1:6" x14ac:dyDescent="0.2">
      <c r="A4180" s="17">
        <v>0</v>
      </c>
      <c r="B4180" s="18"/>
      <c r="C4180" s="17">
        <v>0</v>
      </c>
      <c r="D4180" s="19">
        <v>0</v>
      </c>
      <c r="F4180" s="3">
        <f t="shared" si="65"/>
        <v>0</v>
      </c>
    </row>
    <row r="4181" spans="1:6" x14ac:dyDescent="0.2">
      <c r="A4181" s="17" t="s">
        <v>12992</v>
      </c>
      <c r="B4181" s="18" t="s">
        <v>12993</v>
      </c>
      <c r="C4181" s="17" t="s">
        <v>26</v>
      </c>
      <c r="D4181" s="19">
        <v>60.84</v>
      </c>
      <c r="F4181" s="3" t="str">
        <f t="shared" si="65"/>
        <v>C1671</v>
      </c>
    </row>
    <row r="4182" spans="1:6" x14ac:dyDescent="0.2">
      <c r="A4182" s="17" t="s">
        <v>12994</v>
      </c>
      <c r="B4182" s="18" t="s">
        <v>12995</v>
      </c>
      <c r="C4182" s="17" t="s">
        <v>26</v>
      </c>
      <c r="D4182" s="19">
        <v>87.52</v>
      </c>
      <c r="F4182" s="3" t="str">
        <f t="shared" si="65"/>
        <v>C1670</v>
      </c>
    </row>
    <row r="4183" spans="1:6" x14ac:dyDescent="0.2">
      <c r="A4183" s="17" t="s">
        <v>12996</v>
      </c>
      <c r="B4183" s="18" t="s">
        <v>12997</v>
      </c>
      <c r="C4183" s="17" t="s">
        <v>26</v>
      </c>
      <c r="D4183" s="19">
        <v>155.18</v>
      </c>
      <c r="F4183" s="3" t="str">
        <f t="shared" si="65"/>
        <v>C1672</v>
      </c>
    </row>
    <row r="4184" spans="1:6" x14ac:dyDescent="0.2">
      <c r="A4184" s="17" t="s">
        <v>12998</v>
      </c>
      <c r="B4184" s="18" t="s">
        <v>12999</v>
      </c>
      <c r="C4184" s="17" t="s">
        <v>26</v>
      </c>
      <c r="D4184" s="19">
        <v>163.83000000000001</v>
      </c>
      <c r="F4184" s="3" t="str">
        <f t="shared" si="65"/>
        <v>C1643</v>
      </c>
    </row>
    <row r="4185" spans="1:6" ht="33.75" x14ac:dyDescent="0.2">
      <c r="A4185" s="17" t="s">
        <v>13000</v>
      </c>
      <c r="B4185" s="18" t="s">
        <v>13001</v>
      </c>
      <c r="C4185" s="17" t="s">
        <v>26</v>
      </c>
      <c r="D4185" s="19">
        <v>70.5</v>
      </c>
      <c r="F4185" s="3" t="str">
        <f t="shared" si="65"/>
        <v>C4957</v>
      </c>
    </row>
    <row r="4186" spans="1:6" x14ac:dyDescent="0.2">
      <c r="A4186" s="17">
        <v>0</v>
      </c>
      <c r="B4186" s="18"/>
      <c r="C4186" s="17">
        <v>0</v>
      </c>
      <c r="D4186" s="19">
        <v>0</v>
      </c>
      <c r="F4186" s="3">
        <f t="shared" si="65"/>
        <v>0</v>
      </c>
    </row>
    <row r="4187" spans="1:6" x14ac:dyDescent="0.2">
      <c r="A4187" s="17" t="s">
        <v>13002</v>
      </c>
      <c r="B4187" s="18" t="s">
        <v>13003</v>
      </c>
      <c r="C4187" s="17" t="s">
        <v>26</v>
      </c>
      <c r="D4187" s="19">
        <v>73.510000000000005</v>
      </c>
      <c r="F4187" s="3" t="str">
        <f t="shared" si="65"/>
        <v>C1673</v>
      </c>
    </row>
    <row r="4188" spans="1:6" x14ac:dyDescent="0.2">
      <c r="A4188" s="17" t="s">
        <v>13004</v>
      </c>
      <c r="B4188" s="18" t="s">
        <v>13005</v>
      </c>
      <c r="C4188" s="17" t="s">
        <v>26</v>
      </c>
      <c r="D4188" s="19">
        <v>107.94</v>
      </c>
      <c r="F4188" s="3" t="str">
        <f t="shared" si="65"/>
        <v>C1674</v>
      </c>
    </row>
    <row r="4189" spans="1:6" x14ac:dyDescent="0.2">
      <c r="A4189" s="17" t="s">
        <v>13006</v>
      </c>
      <c r="B4189" s="18" t="s">
        <v>13007</v>
      </c>
      <c r="C4189" s="17" t="s">
        <v>26</v>
      </c>
      <c r="D4189" s="19">
        <v>130.91</v>
      </c>
      <c r="F4189" s="3" t="str">
        <f t="shared" si="65"/>
        <v>C1675</v>
      </c>
    </row>
    <row r="4190" spans="1:6" x14ac:dyDescent="0.2">
      <c r="A4190" s="17" t="s">
        <v>13008</v>
      </c>
      <c r="B4190" s="18" t="s">
        <v>13009</v>
      </c>
      <c r="C4190" s="17" t="s">
        <v>26</v>
      </c>
      <c r="D4190" s="19">
        <v>171.55</v>
      </c>
      <c r="F4190" s="3" t="str">
        <f t="shared" si="65"/>
        <v>C1676</v>
      </c>
    </row>
    <row r="4191" spans="1:6" x14ac:dyDescent="0.2">
      <c r="A4191" s="17" t="s">
        <v>13010</v>
      </c>
      <c r="B4191" s="18" t="s">
        <v>13011</v>
      </c>
      <c r="C4191" s="17" t="s">
        <v>26</v>
      </c>
      <c r="D4191" s="19">
        <v>90.81</v>
      </c>
      <c r="F4191" s="3" t="str">
        <f t="shared" si="65"/>
        <v>C1677</v>
      </c>
    </row>
    <row r="4192" spans="1:6" x14ac:dyDescent="0.2">
      <c r="A4192" s="17" t="s">
        <v>13012</v>
      </c>
      <c r="B4192" s="18" t="s">
        <v>13013</v>
      </c>
      <c r="C4192" s="17" t="s">
        <v>26</v>
      </c>
      <c r="D4192" s="19">
        <v>54.11</v>
      </c>
      <c r="F4192" s="3" t="str">
        <f t="shared" si="65"/>
        <v>C1678</v>
      </c>
    </row>
    <row r="4193" spans="1:6" x14ac:dyDescent="0.2">
      <c r="A4193" s="17" t="s">
        <v>13014</v>
      </c>
      <c r="B4193" s="18" t="s">
        <v>13015</v>
      </c>
      <c r="C4193" s="17" t="s">
        <v>26</v>
      </c>
      <c r="D4193" s="19">
        <v>53.97</v>
      </c>
      <c r="F4193" s="3" t="str">
        <f t="shared" si="65"/>
        <v>C1875</v>
      </c>
    </row>
    <row r="4194" spans="1:6" x14ac:dyDescent="0.2">
      <c r="A4194" s="17" t="s">
        <v>13016</v>
      </c>
      <c r="B4194" s="18" t="s">
        <v>13017</v>
      </c>
      <c r="C4194" s="17" t="s">
        <v>26</v>
      </c>
      <c r="D4194" s="19">
        <v>345.51</v>
      </c>
      <c r="F4194" s="3" t="str">
        <f t="shared" si="65"/>
        <v>C3921</v>
      </c>
    </row>
    <row r="4195" spans="1:6" x14ac:dyDescent="0.2">
      <c r="A4195" s="17" t="s">
        <v>13018</v>
      </c>
      <c r="B4195" s="18" t="s">
        <v>13019</v>
      </c>
      <c r="C4195" s="17" t="s">
        <v>26</v>
      </c>
      <c r="D4195" s="19">
        <v>474.05</v>
      </c>
      <c r="F4195" s="3" t="str">
        <f t="shared" si="65"/>
        <v>C2009</v>
      </c>
    </row>
    <row r="4196" spans="1:6" x14ac:dyDescent="0.2">
      <c r="A4196" s="17" t="s">
        <v>13020</v>
      </c>
      <c r="B4196" s="18" t="s">
        <v>13021</v>
      </c>
      <c r="C4196" s="17" t="s">
        <v>26</v>
      </c>
      <c r="D4196" s="19">
        <v>355.36</v>
      </c>
      <c r="F4196" s="3" t="str">
        <f t="shared" si="65"/>
        <v>C2010</v>
      </c>
    </row>
    <row r="4197" spans="1:6" x14ac:dyDescent="0.2">
      <c r="A4197" s="17" t="s">
        <v>13022</v>
      </c>
      <c r="B4197" s="18" t="s">
        <v>13023</v>
      </c>
      <c r="C4197" s="17" t="s">
        <v>26</v>
      </c>
      <c r="D4197" s="19">
        <v>1537.15</v>
      </c>
      <c r="F4197" s="3" t="str">
        <f t="shared" si="65"/>
        <v>C3625</v>
      </c>
    </row>
    <row r="4198" spans="1:6" x14ac:dyDescent="0.2">
      <c r="A4198" s="17">
        <v>0</v>
      </c>
      <c r="B4198" s="18"/>
      <c r="C4198" s="17">
        <v>0</v>
      </c>
      <c r="D4198" s="19">
        <v>0</v>
      </c>
      <c r="F4198" s="3">
        <f t="shared" si="65"/>
        <v>0</v>
      </c>
    </row>
    <row r="4199" spans="1:6" ht="22.5" x14ac:dyDescent="0.2">
      <c r="A4199" s="17" t="s">
        <v>13024</v>
      </c>
      <c r="B4199" s="18" t="s">
        <v>13025</v>
      </c>
      <c r="C4199" s="17" t="s">
        <v>26</v>
      </c>
      <c r="D4199" s="19">
        <v>1310.8</v>
      </c>
      <c r="F4199" s="3" t="str">
        <f t="shared" si="65"/>
        <v>C3626</v>
      </c>
    </row>
    <row r="4200" spans="1:6" x14ac:dyDescent="0.2">
      <c r="A4200" s="17">
        <v>0</v>
      </c>
      <c r="B4200" s="18"/>
      <c r="C4200" s="17">
        <v>0</v>
      </c>
      <c r="D4200" s="19">
        <v>0</v>
      </c>
      <c r="F4200" s="3">
        <f t="shared" si="65"/>
        <v>0</v>
      </c>
    </row>
    <row r="4201" spans="1:6" ht="22.5" x14ac:dyDescent="0.2">
      <c r="A4201" s="17" t="s">
        <v>13026</v>
      </c>
      <c r="B4201" s="18" t="s">
        <v>13027</v>
      </c>
      <c r="C4201" s="17" t="s">
        <v>26</v>
      </c>
      <c r="D4201" s="19">
        <v>331.62</v>
      </c>
      <c r="F4201" s="3" t="str">
        <f t="shared" si="65"/>
        <v>C2050</v>
      </c>
    </row>
    <row r="4202" spans="1:6" x14ac:dyDescent="0.2">
      <c r="A4202" s="17">
        <v>0</v>
      </c>
      <c r="B4202" s="18"/>
      <c r="C4202" s="17">
        <v>0</v>
      </c>
      <c r="D4202" s="19">
        <v>0</v>
      </c>
      <c r="F4202" s="3">
        <f t="shared" si="65"/>
        <v>0</v>
      </c>
    </row>
    <row r="4203" spans="1:6" x14ac:dyDescent="0.2">
      <c r="A4203" s="17" t="s">
        <v>13028</v>
      </c>
      <c r="B4203" s="18" t="s">
        <v>13029</v>
      </c>
      <c r="C4203" s="17" t="s">
        <v>26</v>
      </c>
      <c r="D4203" s="19">
        <v>244.04</v>
      </c>
      <c r="F4203" s="3" t="str">
        <f t="shared" si="65"/>
        <v>C2049</v>
      </c>
    </row>
    <row r="4204" spans="1:6" x14ac:dyDescent="0.2">
      <c r="A4204" s="17" t="s">
        <v>13030</v>
      </c>
      <c r="B4204" s="18" t="s">
        <v>13031</v>
      </c>
      <c r="C4204" s="17" t="s">
        <v>26</v>
      </c>
      <c r="D4204" s="19">
        <v>376.15</v>
      </c>
      <c r="F4204" s="3" t="str">
        <f t="shared" si="65"/>
        <v>C2048</v>
      </c>
    </row>
    <row r="4205" spans="1:6" x14ac:dyDescent="0.2">
      <c r="A4205" s="17" t="s">
        <v>13032</v>
      </c>
      <c r="B4205" s="18" t="s">
        <v>13033</v>
      </c>
      <c r="C4205" s="17" t="s">
        <v>26</v>
      </c>
      <c r="D4205" s="19">
        <v>905.23</v>
      </c>
      <c r="F4205" s="3" t="str">
        <f t="shared" si="65"/>
        <v>C2051</v>
      </c>
    </row>
    <row r="4206" spans="1:6" x14ac:dyDescent="0.2">
      <c r="A4206" s="17" t="s">
        <v>13034</v>
      </c>
      <c r="B4206" s="18" t="s">
        <v>13035</v>
      </c>
      <c r="C4206" s="17" t="s">
        <v>26</v>
      </c>
      <c r="D4206" s="19">
        <v>376.15</v>
      </c>
      <c r="F4206" s="3" t="str">
        <f t="shared" si="65"/>
        <v>C2054</v>
      </c>
    </row>
    <row r="4207" spans="1:6" x14ac:dyDescent="0.2">
      <c r="A4207" s="17" t="s">
        <v>13036</v>
      </c>
      <c r="B4207" s="18" t="s">
        <v>13037</v>
      </c>
      <c r="C4207" s="17" t="s">
        <v>26</v>
      </c>
      <c r="D4207" s="19">
        <v>150.57</v>
      </c>
      <c r="F4207" s="3" t="str">
        <f t="shared" si="65"/>
        <v>C2047</v>
      </c>
    </row>
    <row r="4208" spans="1:6" x14ac:dyDescent="0.2">
      <c r="A4208" s="17" t="s">
        <v>13038</v>
      </c>
      <c r="B4208" s="18" t="s">
        <v>13039</v>
      </c>
      <c r="C4208" s="17" t="s">
        <v>26</v>
      </c>
      <c r="D4208" s="19">
        <v>150.94</v>
      </c>
      <c r="F4208" s="3" t="str">
        <f t="shared" si="65"/>
        <v>C2044</v>
      </c>
    </row>
    <row r="4209" spans="1:6" x14ac:dyDescent="0.2">
      <c r="A4209" s="17" t="s">
        <v>13040</v>
      </c>
      <c r="B4209" s="18" t="s">
        <v>13041</v>
      </c>
      <c r="C4209" s="17" t="s">
        <v>26</v>
      </c>
      <c r="D4209" s="19">
        <v>358.77</v>
      </c>
      <c r="F4209" s="3" t="str">
        <f t="shared" si="65"/>
        <v>C4915</v>
      </c>
    </row>
    <row r="4210" spans="1:6" x14ac:dyDescent="0.2">
      <c r="A4210" s="17" t="s">
        <v>13042</v>
      </c>
      <c r="B4210" s="18" t="s">
        <v>13043</v>
      </c>
      <c r="C4210" s="17" t="s">
        <v>26</v>
      </c>
      <c r="D4210" s="19">
        <v>436.64</v>
      </c>
      <c r="F4210" s="3" t="str">
        <f t="shared" si="65"/>
        <v>C2045</v>
      </c>
    </row>
    <row r="4211" spans="1:6" x14ac:dyDescent="0.2">
      <c r="A4211" s="17">
        <v>0</v>
      </c>
      <c r="B4211" s="18"/>
      <c r="C4211" s="17">
        <v>0</v>
      </c>
      <c r="D4211" s="19">
        <v>0</v>
      </c>
      <c r="F4211" s="3">
        <f t="shared" si="65"/>
        <v>0</v>
      </c>
    </row>
    <row r="4212" spans="1:6" x14ac:dyDescent="0.2">
      <c r="A4212" s="17" t="s">
        <v>13044</v>
      </c>
      <c r="B4212" s="18" t="s">
        <v>13045</v>
      </c>
      <c r="C4212" s="17" t="s">
        <v>26</v>
      </c>
      <c r="D4212" s="19">
        <v>972.16</v>
      </c>
      <c r="F4212" s="3" t="str">
        <f t="shared" si="65"/>
        <v>C2046</v>
      </c>
    </row>
    <row r="4213" spans="1:6" x14ac:dyDescent="0.2">
      <c r="A4213" s="17">
        <v>0</v>
      </c>
      <c r="B4213" s="18"/>
      <c r="C4213" s="17">
        <v>0</v>
      </c>
      <c r="D4213" s="19">
        <v>0</v>
      </c>
      <c r="F4213" s="3">
        <f t="shared" si="65"/>
        <v>0</v>
      </c>
    </row>
    <row r="4214" spans="1:6" ht="33.75" x14ac:dyDescent="0.2">
      <c r="A4214" s="17" t="s">
        <v>13046</v>
      </c>
      <c r="B4214" s="18" t="s">
        <v>13047</v>
      </c>
      <c r="C4214" s="17" t="s">
        <v>26</v>
      </c>
      <c r="D4214" s="19">
        <v>718</v>
      </c>
      <c r="F4214" s="3" t="str">
        <f t="shared" si="65"/>
        <v>C4115</v>
      </c>
    </row>
    <row r="4215" spans="1:6" x14ac:dyDescent="0.2">
      <c r="A4215" s="17">
        <v>0</v>
      </c>
      <c r="B4215" s="18"/>
      <c r="C4215" s="17">
        <v>0</v>
      </c>
      <c r="D4215" s="19">
        <v>0</v>
      </c>
      <c r="F4215" s="3">
        <f t="shared" si="65"/>
        <v>0</v>
      </c>
    </row>
    <row r="4216" spans="1:6" ht="33.75" x14ac:dyDescent="0.2">
      <c r="A4216" s="17" t="s">
        <v>13048</v>
      </c>
      <c r="B4216" s="18" t="s">
        <v>13049</v>
      </c>
      <c r="C4216" s="17" t="s">
        <v>26</v>
      </c>
      <c r="D4216" s="19">
        <v>542.53</v>
      </c>
      <c r="F4216" s="3" t="str">
        <f t="shared" si="65"/>
        <v>C4112</v>
      </c>
    </row>
    <row r="4217" spans="1:6" x14ac:dyDescent="0.2">
      <c r="A4217" s="17">
        <v>0</v>
      </c>
      <c r="B4217" s="18"/>
      <c r="C4217" s="17">
        <v>0</v>
      </c>
      <c r="D4217" s="19">
        <v>0</v>
      </c>
      <c r="F4217" s="3">
        <f t="shared" si="65"/>
        <v>0</v>
      </c>
    </row>
    <row r="4218" spans="1:6" ht="33.75" x14ac:dyDescent="0.2">
      <c r="A4218" s="17" t="s">
        <v>13050</v>
      </c>
      <c r="B4218" s="18" t="s">
        <v>13051</v>
      </c>
      <c r="C4218" s="17" t="s">
        <v>26</v>
      </c>
      <c r="D4218" s="19">
        <v>577.79</v>
      </c>
      <c r="F4218" s="3" t="str">
        <f t="shared" si="65"/>
        <v>C4810</v>
      </c>
    </row>
    <row r="4219" spans="1:6" x14ac:dyDescent="0.2">
      <c r="A4219" s="17">
        <v>0</v>
      </c>
      <c r="B4219" s="18"/>
      <c r="C4219" s="17">
        <v>0</v>
      </c>
      <c r="D4219" s="19">
        <v>0</v>
      </c>
      <c r="F4219" s="3">
        <f t="shared" si="65"/>
        <v>0</v>
      </c>
    </row>
    <row r="4220" spans="1:6" x14ac:dyDescent="0.2">
      <c r="A4220" s="17" t="s">
        <v>13052</v>
      </c>
      <c r="B4220" s="18" t="s">
        <v>13053</v>
      </c>
      <c r="C4220" s="17" t="s">
        <v>26</v>
      </c>
      <c r="D4220" s="19">
        <v>363.58</v>
      </c>
      <c r="F4220" s="3" t="str">
        <f t="shared" si="65"/>
        <v>C2053</v>
      </c>
    </row>
    <row r="4221" spans="1:6" x14ac:dyDescent="0.2">
      <c r="A4221" s="17">
        <v>0</v>
      </c>
      <c r="B4221" s="18"/>
      <c r="C4221" s="17">
        <v>0</v>
      </c>
      <c r="D4221" s="19">
        <v>0</v>
      </c>
      <c r="F4221" s="3">
        <f t="shared" si="65"/>
        <v>0</v>
      </c>
    </row>
    <row r="4222" spans="1:6" x14ac:dyDescent="0.2">
      <c r="A4222" s="17" t="s">
        <v>13054</v>
      </c>
      <c r="B4222" s="18" t="s">
        <v>13055</v>
      </c>
      <c r="C4222" s="17" t="s">
        <v>26</v>
      </c>
      <c r="D4222" s="19">
        <v>39.700000000000003</v>
      </c>
      <c r="F4222" s="3" t="str">
        <f t="shared" si="65"/>
        <v>C2105</v>
      </c>
    </row>
    <row r="4223" spans="1:6" x14ac:dyDescent="0.2">
      <c r="A4223" s="17" t="s">
        <v>13056</v>
      </c>
      <c r="B4223" s="18" t="s">
        <v>13057</v>
      </c>
      <c r="C4223" s="17" t="s">
        <v>26</v>
      </c>
      <c r="D4223" s="19">
        <v>50.3</v>
      </c>
      <c r="F4223" s="3" t="str">
        <f t="shared" si="65"/>
        <v>C2104</v>
      </c>
    </row>
    <row r="4224" spans="1:6" x14ac:dyDescent="0.2">
      <c r="A4224" s="17" t="s">
        <v>13058</v>
      </c>
      <c r="B4224" s="18" t="s">
        <v>13059</v>
      </c>
      <c r="C4224" s="17" t="s">
        <v>26</v>
      </c>
      <c r="D4224" s="19">
        <v>272.89</v>
      </c>
      <c r="F4224" s="3" t="str">
        <f t="shared" si="65"/>
        <v>C2106</v>
      </c>
    </row>
    <row r="4225" spans="1:6" ht="22.5" x14ac:dyDescent="0.2">
      <c r="A4225" s="17" t="s">
        <v>13060</v>
      </c>
      <c r="B4225" s="18" t="s">
        <v>13061</v>
      </c>
      <c r="C4225" s="17" t="s">
        <v>0</v>
      </c>
      <c r="D4225" s="19">
        <v>829.02</v>
      </c>
      <c r="F4225" s="3" t="str">
        <f t="shared" si="65"/>
        <v>C4110</v>
      </c>
    </row>
    <row r="4226" spans="1:6" x14ac:dyDescent="0.2">
      <c r="A4226" s="17">
        <v>0</v>
      </c>
      <c r="B4226" s="18"/>
      <c r="C4226" s="17">
        <v>0</v>
      </c>
      <c r="D4226" s="19">
        <v>0</v>
      </c>
      <c r="F4226" s="3">
        <f t="shared" ref="F4226:F4289" si="66">A4226</f>
        <v>0</v>
      </c>
    </row>
    <row r="4227" spans="1:6" x14ac:dyDescent="0.2">
      <c r="A4227" s="17" t="s">
        <v>13062</v>
      </c>
      <c r="B4227" s="18" t="s">
        <v>13063</v>
      </c>
      <c r="C4227" s="17" t="s">
        <v>26</v>
      </c>
      <c r="D4227" s="19">
        <v>194.4</v>
      </c>
      <c r="F4227" s="3" t="str">
        <f t="shared" si="66"/>
        <v>C4113</v>
      </c>
    </row>
    <row r="4228" spans="1:6" x14ac:dyDescent="0.2">
      <c r="A4228" s="17" t="s">
        <v>13064</v>
      </c>
      <c r="B4228" s="18" t="s">
        <v>13065</v>
      </c>
      <c r="C4228" s="17" t="s">
        <v>26</v>
      </c>
      <c r="D4228" s="19">
        <v>81.87</v>
      </c>
      <c r="F4228" s="3" t="str">
        <f t="shared" si="66"/>
        <v>C4116</v>
      </c>
    </row>
    <row r="4229" spans="1:6" x14ac:dyDescent="0.2">
      <c r="A4229" s="14" t="s">
        <v>13066</v>
      </c>
      <c r="B4229" s="15"/>
      <c r="C4229" s="14">
        <v>0</v>
      </c>
      <c r="D4229" s="16">
        <v>57305.440000000002</v>
      </c>
      <c r="F4229" s="3" t="str">
        <f t="shared" si="66"/>
        <v>LUMINÁRIAS EXTERNAS EM POSTES DE CONCRETO</v>
      </c>
    </row>
    <row r="4230" spans="1:6" ht="22.5" x14ac:dyDescent="0.2">
      <c r="A4230" s="17" t="s">
        <v>13067</v>
      </c>
      <c r="B4230" s="18" t="s">
        <v>13068</v>
      </c>
      <c r="C4230" s="17" t="s">
        <v>26</v>
      </c>
      <c r="D4230" s="19">
        <v>3256.34</v>
      </c>
      <c r="F4230" s="3" t="str">
        <f t="shared" si="66"/>
        <v>C4791</v>
      </c>
    </row>
    <row r="4231" spans="1:6" x14ac:dyDescent="0.2">
      <c r="A4231" s="17">
        <v>0</v>
      </c>
      <c r="B4231" s="18"/>
      <c r="C4231" s="17">
        <v>0</v>
      </c>
      <c r="D4231" s="19">
        <v>0</v>
      </c>
      <c r="F4231" s="3">
        <f t="shared" si="66"/>
        <v>0</v>
      </c>
    </row>
    <row r="4232" spans="1:6" ht="22.5" x14ac:dyDescent="0.2">
      <c r="A4232" s="17" t="s">
        <v>13069</v>
      </c>
      <c r="B4232" s="18" t="s">
        <v>13070</v>
      </c>
      <c r="C4232" s="17" t="s">
        <v>26</v>
      </c>
      <c r="D4232" s="19">
        <v>3349.54</v>
      </c>
      <c r="F4232" s="3" t="str">
        <f t="shared" si="66"/>
        <v>C4980</v>
      </c>
    </row>
    <row r="4233" spans="1:6" x14ac:dyDescent="0.2">
      <c r="A4233" s="17">
        <v>0</v>
      </c>
      <c r="B4233" s="18"/>
      <c r="C4233" s="17">
        <v>0</v>
      </c>
      <c r="D4233" s="19">
        <v>0</v>
      </c>
      <c r="F4233" s="3">
        <f t="shared" si="66"/>
        <v>0</v>
      </c>
    </row>
    <row r="4234" spans="1:6" ht="22.5" x14ac:dyDescent="0.2">
      <c r="A4234" s="17" t="s">
        <v>13071</v>
      </c>
      <c r="B4234" s="18" t="s">
        <v>13072</v>
      </c>
      <c r="C4234" s="17" t="s">
        <v>26</v>
      </c>
      <c r="D4234" s="19">
        <v>3889.58</v>
      </c>
      <c r="F4234" s="3" t="str">
        <f t="shared" si="66"/>
        <v>C4981</v>
      </c>
    </row>
    <row r="4235" spans="1:6" x14ac:dyDescent="0.2">
      <c r="A4235" s="17">
        <v>0</v>
      </c>
      <c r="B4235" s="18"/>
      <c r="C4235" s="17">
        <v>0</v>
      </c>
      <c r="D4235" s="19">
        <v>0</v>
      </c>
      <c r="F4235" s="3">
        <f t="shared" si="66"/>
        <v>0</v>
      </c>
    </row>
    <row r="4236" spans="1:6" ht="22.5" x14ac:dyDescent="0.2">
      <c r="A4236" s="17" t="s">
        <v>13073</v>
      </c>
      <c r="B4236" s="18" t="s">
        <v>13074</v>
      </c>
      <c r="C4236" s="17" t="s">
        <v>26</v>
      </c>
      <c r="D4236" s="19">
        <v>4522.3999999999996</v>
      </c>
      <c r="F4236" s="3" t="str">
        <f t="shared" si="66"/>
        <v>C4982</v>
      </c>
    </row>
    <row r="4237" spans="1:6" x14ac:dyDescent="0.2">
      <c r="A4237" s="17">
        <v>0</v>
      </c>
      <c r="B4237" s="18"/>
      <c r="C4237" s="17">
        <v>0</v>
      </c>
      <c r="D4237" s="19">
        <v>0</v>
      </c>
      <c r="F4237" s="3">
        <f t="shared" si="66"/>
        <v>0</v>
      </c>
    </row>
    <row r="4238" spans="1:6" ht="22.5" x14ac:dyDescent="0.2">
      <c r="A4238" s="17" t="s">
        <v>13075</v>
      </c>
      <c r="B4238" s="18" t="s">
        <v>13076</v>
      </c>
      <c r="C4238" s="17" t="s">
        <v>26</v>
      </c>
      <c r="D4238" s="19">
        <v>5170.51</v>
      </c>
      <c r="F4238" s="3" t="str">
        <f t="shared" si="66"/>
        <v>C4983</v>
      </c>
    </row>
    <row r="4239" spans="1:6" x14ac:dyDescent="0.2">
      <c r="A4239" s="17">
        <v>0</v>
      </c>
      <c r="B4239" s="18"/>
      <c r="C4239" s="17">
        <v>0</v>
      </c>
      <c r="D4239" s="19">
        <v>0</v>
      </c>
      <c r="F4239" s="3">
        <f t="shared" si="66"/>
        <v>0</v>
      </c>
    </row>
    <row r="4240" spans="1:6" ht="22.5" x14ac:dyDescent="0.2">
      <c r="A4240" s="17" t="s">
        <v>13077</v>
      </c>
      <c r="B4240" s="18" t="s">
        <v>13078</v>
      </c>
      <c r="C4240" s="17" t="s">
        <v>26</v>
      </c>
      <c r="D4240" s="19">
        <v>5758.41</v>
      </c>
      <c r="F4240" s="3" t="str">
        <f t="shared" si="66"/>
        <v>C5035</v>
      </c>
    </row>
    <row r="4241" spans="1:6" x14ac:dyDescent="0.2">
      <c r="A4241" s="17">
        <v>0</v>
      </c>
      <c r="B4241" s="18"/>
      <c r="C4241" s="17">
        <v>0</v>
      </c>
      <c r="D4241" s="19">
        <v>0</v>
      </c>
      <c r="F4241" s="3">
        <f t="shared" si="66"/>
        <v>0</v>
      </c>
    </row>
    <row r="4242" spans="1:6" ht="22.5" x14ac:dyDescent="0.2">
      <c r="A4242" s="17" t="s">
        <v>13079</v>
      </c>
      <c r="B4242" s="18" t="s">
        <v>13080</v>
      </c>
      <c r="C4242" s="17" t="s">
        <v>26</v>
      </c>
      <c r="D4242" s="19">
        <v>2078.96</v>
      </c>
      <c r="F4242" s="3" t="str">
        <f t="shared" si="66"/>
        <v>C4870</v>
      </c>
    </row>
    <row r="4243" spans="1:6" x14ac:dyDescent="0.2">
      <c r="A4243" s="17">
        <v>0</v>
      </c>
      <c r="B4243" s="18"/>
      <c r="C4243" s="17">
        <v>0</v>
      </c>
      <c r="D4243" s="19">
        <v>0</v>
      </c>
      <c r="F4243" s="3">
        <f t="shared" si="66"/>
        <v>0</v>
      </c>
    </row>
    <row r="4244" spans="1:6" ht="22.5" x14ac:dyDescent="0.2">
      <c r="A4244" s="17" t="s">
        <v>13081</v>
      </c>
      <c r="B4244" s="18" t="s">
        <v>13082</v>
      </c>
      <c r="C4244" s="17" t="s">
        <v>26</v>
      </c>
      <c r="D4244" s="19">
        <v>2725.84</v>
      </c>
      <c r="F4244" s="3" t="str">
        <f t="shared" si="66"/>
        <v>C4977</v>
      </c>
    </row>
    <row r="4245" spans="1:6" x14ac:dyDescent="0.2">
      <c r="A4245" s="17">
        <v>0</v>
      </c>
      <c r="B4245" s="18"/>
      <c r="C4245" s="17">
        <v>0</v>
      </c>
      <c r="D4245" s="19">
        <v>0</v>
      </c>
      <c r="F4245" s="3">
        <f t="shared" si="66"/>
        <v>0</v>
      </c>
    </row>
    <row r="4246" spans="1:6" ht="22.5" x14ac:dyDescent="0.2">
      <c r="A4246" s="17" t="s">
        <v>13083</v>
      </c>
      <c r="B4246" s="18" t="s">
        <v>13084</v>
      </c>
      <c r="C4246" s="17" t="s">
        <v>26</v>
      </c>
      <c r="D4246" s="19">
        <v>2207.5100000000002</v>
      </c>
      <c r="F4246" s="3" t="str">
        <f t="shared" si="66"/>
        <v>C4978</v>
      </c>
    </row>
    <row r="4247" spans="1:6" x14ac:dyDescent="0.2">
      <c r="A4247" s="17">
        <v>0</v>
      </c>
      <c r="B4247" s="18"/>
      <c r="C4247" s="17">
        <v>0</v>
      </c>
      <c r="D4247" s="19">
        <v>0</v>
      </c>
      <c r="F4247" s="3">
        <f t="shared" si="66"/>
        <v>0</v>
      </c>
    </row>
    <row r="4248" spans="1:6" ht="33.75" x14ac:dyDescent="0.2">
      <c r="A4248" s="17" t="s">
        <v>13085</v>
      </c>
      <c r="B4248" s="18" t="s">
        <v>13086</v>
      </c>
      <c r="C4248" s="17" t="s">
        <v>26</v>
      </c>
      <c r="D4248" s="19">
        <v>2561.59</v>
      </c>
      <c r="F4248" s="3" t="str">
        <f t="shared" si="66"/>
        <v>C4871</v>
      </c>
    </row>
    <row r="4249" spans="1:6" x14ac:dyDescent="0.2">
      <c r="A4249" s="17">
        <v>0</v>
      </c>
      <c r="B4249" s="18"/>
      <c r="C4249" s="17">
        <v>0</v>
      </c>
      <c r="D4249" s="19">
        <v>0</v>
      </c>
      <c r="F4249" s="3">
        <f t="shared" si="66"/>
        <v>0</v>
      </c>
    </row>
    <row r="4250" spans="1:6" ht="22.5" x14ac:dyDescent="0.2">
      <c r="A4250" s="17" t="s">
        <v>13087</v>
      </c>
      <c r="B4250" s="18" t="s">
        <v>13088</v>
      </c>
      <c r="C4250" s="17" t="s">
        <v>26</v>
      </c>
      <c r="D4250" s="19">
        <v>1603.16</v>
      </c>
      <c r="F4250" s="3" t="str">
        <f t="shared" si="66"/>
        <v>C5032</v>
      </c>
    </row>
    <row r="4251" spans="1:6" x14ac:dyDescent="0.2">
      <c r="A4251" s="17">
        <v>0</v>
      </c>
      <c r="B4251" s="18"/>
      <c r="C4251" s="17">
        <v>0</v>
      </c>
      <c r="D4251" s="19">
        <v>0</v>
      </c>
      <c r="F4251" s="3">
        <f t="shared" si="66"/>
        <v>0</v>
      </c>
    </row>
    <row r="4252" spans="1:6" ht="22.5" x14ac:dyDescent="0.2">
      <c r="A4252" s="17" t="s">
        <v>13089</v>
      </c>
      <c r="B4252" s="18" t="s">
        <v>13090</v>
      </c>
      <c r="C4252" s="17" t="s">
        <v>26</v>
      </c>
      <c r="D4252" s="19">
        <v>1909.33</v>
      </c>
      <c r="F4252" s="3" t="str">
        <f t="shared" si="66"/>
        <v>C5031</v>
      </c>
    </row>
    <row r="4253" spans="1:6" x14ac:dyDescent="0.2">
      <c r="A4253" s="17">
        <v>0</v>
      </c>
      <c r="B4253" s="18"/>
      <c r="C4253" s="17">
        <v>0</v>
      </c>
      <c r="D4253" s="19">
        <v>0</v>
      </c>
      <c r="F4253" s="3">
        <f t="shared" si="66"/>
        <v>0</v>
      </c>
    </row>
    <row r="4254" spans="1:6" ht="22.5" x14ac:dyDescent="0.2">
      <c r="A4254" s="17" t="s">
        <v>13091</v>
      </c>
      <c r="B4254" s="18" t="s">
        <v>13092</v>
      </c>
      <c r="C4254" s="17" t="s">
        <v>26</v>
      </c>
      <c r="D4254" s="19">
        <v>2092.5300000000002</v>
      </c>
      <c r="F4254" s="3" t="str">
        <f t="shared" si="66"/>
        <v>C4984</v>
      </c>
    </row>
    <row r="4255" spans="1:6" x14ac:dyDescent="0.2">
      <c r="A4255" s="17">
        <v>0</v>
      </c>
      <c r="B4255" s="18"/>
      <c r="C4255" s="17">
        <v>0</v>
      </c>
      <c r="D4255" s="19">
        <v>0</v>
      </c>
      <c r="F4255" s="3">
        <f t="shared" si="66"/>
        <v>0</v>
      </c>
    </row>
    <row r="4256" spans="1:6" ht="22.5" x14ac:dyDescent="0.2">
      <c r="A4256" s="17" t="s">
        <v>13093</v>
      </c>
      <c r="B4256" s="18" t="s">
        <v>13094</v>
      </c>
      <c r="C4256" s="17" t="s">
        <v>26</v>
      </c>
      <c r="D4256" s="19">
        <v>2115.16</v>
      </c>
      <c r="F4256" s="3" t="str">
        <f t="shared" si="66"/>
        <v>C4985</v>
      </c>
    </row>
    <row r="4257" spans="1:6" x14ac:dyDescent="0.2">
      <c r="A4257" s="17">
        <v>0</v>
      </c>
      <c r="B4257" s="18"/>
      <c r="C4257" s="17">
        <v>0</v>
      </c>
      <c r="D4257" s="19">
        <v>0</v>
      </c>
      <c r="F4257" s="3">
        <f t="shared" si="66"/>
        <v>0</v>
      </c>
    </row>
    <row r="4258" spans="1:6" ht="22.5" x14ac:dyDescent="0.2">
      <c r="A4258" s="17" t="s">
        <v>13095</v>
      </c>
      <c r="B4258" s="18" t="s">
        <v>13096</v>
      </c>
      <c r="C4258" s="17" t="s">
        <v>26</v>
      </c>
      <c r="D4258" s="19">
        <v>2441</v>
      </c>
      <c r="F4258" s="3" t="str">
        <f t="shared" si="66"/>
        <v>C4986</v>
      </c>
    </row>
    <row r="4259" spans="1:6" x14ac:dyDescent="0.2">
      <c r="A4259" s="17">
        <v>0</v>
      </c>
      <c r="B4259" s="18"/>
      <c r="C4259" s="17">
        <v>0</v>
      </c>
      <c r="D4259" s="19">
        <v>0</v>
      </c>
      <c r="F4259" s="3">
        <f t="shared" si="66"/>
        <v>0</v>
      </c>
    </row>
    <row r="4260" spans="1:6" ht="22.5" x14ac:dyDescent="0.2">
      <c r="A4260" s="17" t="s">
        <v>13097</v>
      </c>
      <c r="B4260" s="18" t="s">
        <v>13098</v>
      </c>
      <c r="C4260" s="17" t="s">
        <v>26</v>
      </c>
      <c r="D4260" s="19">
        <v>2486.2600000000002</v>
      </c>
      <c r="F4260" s="3" t="str">
        <f t="shared" si="66"/>
        <v>C4987</v>
      </c>
    </row>
    <row r="4261" spans="1:6" x14ac:dyDescent="0.2">
      <c r="A4261" s="17">
        <v>0</v>
      </c>
      <c r="B4261" s="18"/>
      <c r="C4261" s="17">
        <v>0</v>
      </c>
      <c r="D4261" s="19">
        <v>0</v>
      </c>
      <c r="F4261" s="3">
        <f t="shared" si="66"/>
        <v>0</v>
      </c>
    </row>
    <row r="4262" spans="1:6" ht="22.5" x14ac:dyDescent="0.2">
      <c r="A4262" s="17" t="s">
        <v>13099</v>
      </c>
      <c r="B4262" s="18" t="s">
        <v>13100</v>
      </c>
      <c r="C4262" s="17" t="s">
        <v>26</v>
      </c>
      <c r="D4262" s="19">
        <v>2889.95</v>
      </c>
      <c r="F4262" s="3" t="str">
        <f t="shared" si="66"/>
        <v>C4988</v>
      </c>
    </row>
    <row r="4263" spans="1:6" x14ac:dyDescent="0.2">
      <c r="A4263" s="17">
        <v>0</v>
      </c>
      <c r="B4263" s="18"/>
      <c r="C4263" s="17">
        <v>0</v>
      </c>
      <c r="D4263" s="19">
        <v>0</v>
      </c>
      <c r="F4263" s="3">
        <f t="shared" si="66"/>
        <v>0</v>
      </c>
    </row>
    <row r="4264" spans="1:6" ht="22.5" x14ac:dyDescent="0.2">
      <c r="A4264" s="17" t="s">
        <v>13101</v>
      </c>
      <c r="B4264" s="18" t="s">
        <v>13102</v>
      </c>
      <c r="C4264" s="17" t="s">
        <v>26</v>
      </c>
      <c r="D4264" s="19">
        <v>2967.13</v>
      </c>
      <c r="F4264" s="3" t="str">
        <f t="shared" si="66"/>
        <v>C5034</v>
      </c>
    </row>
    <row r="4265" spans="1:6" x14ac:dyDescent="0.2">
      <c r="A4265" s="17">
        <v>0</v>
      </c>
      <c r="B4265" s="18"/>
      <c r="C4265" s="17">
        <v>0</v>
      </c>
      <c r="D4265" s="19">
        <v>0</v>
      </c>
      <c r="F4265" s="3">
        <f t="shared" si="66"/>
        <v>0</v>
      </c>
    </row>
    <row r="4266" spans="1:6" ht="22.5" x14ac:dyDescent="0.2">
      <c r="A4266" s="17" t="s">
        <v>13103</v>
      </c>
      <c r="B4266" s="18" t="s">
        <v>13104</v>
      </c>
      <c r="C4266" s="17" t="s">
        <v>26</v>
      </c>
      <c r="D4266" s="19">
        <v>3280.24</v>
      </c>
      <c r="F4266" s="3" t="str">
        <f t="shared" si="66"/>
        <v>C4989</v>
      </c>
    </row>
    <row r="4267" spans="1:6" x14ac:dyDescent="0.2">
      <c r="A4267" s="17">
        <v>0</v>
      </c>
      <c r="B4267" s="18"/>
      <c r="C4267" s="17">
        <v>0</v>
      </c>
      <c r="D4267" s="19">
        <v>0</v>
      </c>
      <c r="F4267" s="3">
        <f t="shared" si="66"/>
        <v>0</v>
      </c>
    </row>
    <row r="4268" spans="1:6" x14ac:dyDescent="0.2">
      <c r="A4268" s="14" t="s">
        <v>13105</v>
      </c>
      <c r="B4268" s="15"/>
      <c r="C4268" s="14">
        <v>0</v>
      </c>
      <c r="D4268" s="16">
        <v>323350.78999999998</v>
      </c>
      <c r="F4268" s="3" t="str">
        <f t="shared" si="66"/>
        <v>APARELHOS ELÉTRICOS</v>
      </c>
    </row>
    <row r="4269" spans="1:6" x14ac:dyDescent="0.2">
      <c r="A4269" s="17" t="s">
        <v>13106</v>
      </c>
      <c r="B4269" s="18" t="s">
        <v>13107</v>
      </c>
      <c r="C4269" s="17" t="s">
        <v>26</v>
      </c>
      <c r="D4269" s="19">
        <v>165.27</v>
      </c>
      <c r="F4269" s="3" t="str">
        <f t="shared" si="66"/>
        <v>C0081</v>
      </c>
    </row>
    <row r="4270" spans="1:6" x14ac:dyDescent="0.2">
      <c r="A4270" s="17" t="s">
        <v>13108</v>
      </c>
      <c r="B4270" s="18" t="s">
        <v>13109</v>
      </c>
      <c r="C4270" s="17" t="s">
        <v>26</v>
      </c>
      <c r="D4270" s="19">
        <v>177.71</v>
      </c>
      <c r="F4270" s="3" t="str">
        <f t="shared" si="66"/>
        <v>C0082</v>
      </c>
    </row>
    <row r="4271" spans="1:6" x14ac:dyDescent="0.2">
      <c r="A4271" s="17" t="s">
        <v>13110</v>
      </c>
      <c r="B4271" s="18" t="s">
        <v>13111</v>
      </c>
      <c r="C4271" s="17" t="s">
        <v>26</v>
      </c>
      <c r="D4271" s="19">
        <v>291</v>
      </c>
      <c r="F4271" s="3" t="str">
        <f t="shared" si="66"/>
        <v>C0080</v>
      </c>
    </row>
    <row r="4272" spans="1:6" x14ac:dyDescent="0.2">
      <c r="A4272" s="17" t="s">
        <v>13112</v>
      </c>
      <c r="B4272" s="18" t="s">
        <v>13113</v>
      </c>
      <c r="C4272" s="17" t="s">
        <v>26</v>
      </c>
      <c r="D4272" s="19">
        <v>1178.21</v>
      </c>
      <c r="F4272" s="3" t="str">
        <f t="shared" si="66"/>
        <v>C0101</v>
      </c>
    </row>
    <row r="4273" spans="1:6" x14ac:dyDescent="0.2">
      <c r="A4273" s="17" t="s">
        <v>13114</v>
      </c>
      <c r="B4273" s="18" t="s">
        <v>13115</v>
      </c>
      <c r="C4273" s="17" t="s">
        <v>26</v>
      </c>
      <c r="D4273" s="19">
        <v>4746.43</v>
      </c>
      <c r="F4273" s="3" t="str">
        <f t="shared" si="66"/>
        <v>C0102</v>
      </c>
    </row>
    <row r="4274" spans="1:6" x14ac:dyDescent="0.2">
      <c r="A4274" s="17" t="s">
        <v>13116</v>
      </c>
      <c r="B4274" s="18" t="s">
        <v>13117</v>
      </c>
      <c r="C4274" s="17" t="s">
        <v>26</v>
      </c>
      <c r="D4274" s="19">
        <v>26.02</v>
      </c>
      <c r="F4274" s="3" t="str">
        <f t="shared" si="66"/>
        <v>C0103</v>
      </c>
    </row>
    <row r="4275" spans="1:6" x14ac:dyDescent="0.2">
      <c r="A4275" s="17" t="s">
        <v>13118</v>
      </c>
      <c r="B4275" s="18" t="s">
        <v>13119</v>
      </c>
      <c r="C4275" s="17" t="s">
        <v>26</v>
      </c>
      <c r="D4275" s="19">
        <v>179.46</v>
      </c>
      <c r="F4275" s="3" t="str">
        <f t="shared" si="66"/>
        <v>C0465</v>
      </c>
    </row>
    <row r="4276" spans="1:6" x14ac:dyDescent="0.2">
      <c r="A4276" s="17" t="s">
        <v>13120</v>
      </c>
      <c r="B4276" s="18" t="s">
        <v>13121</v>
      </c>
      <c r="C4276" s="17" t="s">
        <v>26</v>
      </c>
      <c r="D4276" s="19">
        <v>288.63</v>
      </c>
      <c r="F4276" s="3" t="str">
        <f t="shared" si="66"/>
        <v>C1286</v>
      </c>
    </row>
    <row r="4277" spans="1:6" x14ac:dyDescent="0.2">
      <c r="A4277" s="17" t="s">
        <v>13122</v>
      </c>
      <c r="B4277" s="18" t="s">
        <v>13123</v>
      </c>
      <c r="C4277" s="17" t="s">
        <v>26</v>
      </c>
      <c r="D4277" s="19">
        <v>680.43</v>
      </c>
      <c r="F4277" s="3" t="str">
        <f t="shared" si="66"/>
        <v>C1287</v>
      </c>
    </row>
    <row r="4278" spans="1:6" x14ac:dyDescent="0.2">
      <c r="A4278" s="17" t="s">
        <v>13124</v>
      </c>
      <c r="B4278" s="18" t="s">
        <v>13125</v>
      </c>
      <c r="C4278" s="17" t="s">
        <v>26</v>
      </c>
      <c r="D4278" s="19">
        <v>1006.27</v>
      </c>
      <c r="F4278" s="3" t="str">
        <f t="shared" si="66"/>
        <v>C1288</v>
      </c>
    </row>
    <row r="4279" spans="1:6" x14ac:dyDescent="0.2">
      <c r="A4279" s="17" t="s">
        <v>13126</v>
      </c>
      <c r="B4279" s="18" t="s">
        <v>13127</v>
      </c>
      <c r="C4279" s="17" t="s">
        <v>26</v>
      </c>
      <c r="D4279" s="19">
        <v>1194.24</v>
      </c>
      <c r="F4279" s="3" t="str">
        <f t="shared" si="66"/>
        <v>C1289</v>
      </c>
    </row>
    <row r="4280" spans="1:6" x14ac:dyDescent="0.2">
      <c r="A4280" s="17" t="s">
        <v>13128</v>
      </c>
      <c r="B4280" s="18" t="s">
        <v>13129</v>
      </c>
      <c r="C4280" s="17" t="s">
        <v>26</v>
      </c>
      <c r="D4280" s="19">
        <v>2713.88</v>
      </c>
      <c r="F4280" s="3" t="str">
        <f t="shared" si="66"/>
        <v>C1285</v>
      </c>
    </row>
    <row r="4281" spans="1:6" x14ac:dyDescent="0.2">
      <c r="A4281" s="17" t="s">
        <v>13130</v>
      </c>
      <c r="B4281" s="18" t="s">
        <v>13131</v>
      </c>
      <c r="C4281" s="17" t="s">
        <v>26</v>
      </c>
      <c r="D4281" s="19">
        <v>1238.5</v>
      </c>
      <c r="F4281" s="3" t="str">
        <f t="shared" si="66"/>
        <v>C1354</v>
      </c>
    </row>
    <row r="4282" spans="1:6" x14ac:dyDescent="0.2">
      <c r="A4282" s="17" t="s">
        <v>13132</v>
      </c>
      <c r="B4282" s="18" t="s">
        <v>13133</v>
      </c>
      <c r="C4282" s="17" t="s">
        <v>26</v>
      </c>
      <c r="D4282" s="19">
        <v>257.06</v>
      </c>
      <c r="F4282" s="3" t="str">
        <f t="shared" si="66"/>
        <v>C1477</v>
      </c>
    </row>
    <row r="4283" spans="1:6" x14ac:dyDescent="0.2">
      <c r="A4283" s="17" t="s">
        <v>13134</v>
      </c>
      <c r="B4283" s="18" t="s">
        <v>13135</v>
      </c>
      <c r="C4283" s="17" t="s">
        <v>26</v>
      </c>
      <c r="D4283" s="19">
        <v>301</v>
      </c>
      <c r="F4283" s="3" t="str">
        <f t="shared" si="66"/>
        <v>C2276</v>
      </c>
    </row>
    <row r="4284" spans="1:6" x14ac:dyDescent="0.2">
      <c r="A4284" s="17" t="s">
        <v>13136</v>
      </c>
      <c r="B4284" s="18" t="s">
        <v>13137</v>
      </c>
      <c r="C4284" s="17" t="s">
        <v>26</v>
      </c>
      <c r="D4284" s="19">
        <v>317.36</v>
      </c>
      <c r="F4284" s="3" t="str">
        <f t="shared" si="66"/>
        <v>C2512</v>
      </c>
    </row>
    <row r="4285" spans="1:6" x14ac:dyDescent="0.2">
      <c r="A4285" s="17" t="s">
        <v>13138</v>
      </c>
      <c r="B4285" s="18" t="s">
        <v>13139</v>
      </c>
      <c r="C4285" s="17" t="s">
        <v>26</v>
      </c>
      <c r="D4285" s="19">
        <v>170.77</v>
      </c>
      <c r="F4285" s="3" t="str">
        <f t="shared" si="66"/>
        <v>C2517</v>
      </c>
    </row>
    <row r="4286" spans="1:6" x14ac:dyDescent="0.2">
      <c r="A4286" s="17" t="s">
        <v>13140</v>
      </c>
      <c r="B4286" s="18" t="s">
        <v>13141</v>
      </c>
      <c r="C4286" s="17" t="s">
        <v>26</v>
      </c>
      <c r="D4286" s="19">
        <v>173.64</v>
      </c>
      <c r="F4286" s="3" t="str">
        <f t="shared" si="66"/>
        <v>C2518</v>
      </c>
    </row>
    <row r="4287" spans="1:6" x14ac:dyDescent="0.2">
      <c r="A4287" s="17" t="s">
        <v>13142</v>
      </c>
      <c r="B4287" s="18" t="s">
        <v>13143</v>
      </c>
      <c r="C4287" s="17" t="s">
        <v>26</v>
      </c>
      <c r="D4287" s="19">
        <v>183.2</v>
      </c>
      <c r="F4287" s="3" t="str">
        <f t="shared" si="66"/>
        <v>C2519</v>
      </c>
    </row>
    <row r="4288" spans="1:6" x14ac:dyDescent="0.2">
      <c r="A4288" s="17" t="s">
        <v>13144</v>
      </c>
      <c r="B4288" s="18" t="s">
        <v>13145</v>
      </c>
      <c r="C4288" s="17" t="s">
        <v>26</v>
      </c>
      <c r="D4288" s="19">
        <v>207.99</v>
      </c>
      <c r="F4288" s="3" t="str">
        <f t="shared" si="66"/>
        <v>C2520</v>
      </c>
    </row>
    <row r="4289" spans="1:6" x14ac:dyDescent="0.2">
      <c r="A4289" s="17" t="s">
        <v>13146</v>
      </c>
      <c r="B4289" s="18" t="s">
        <v>13147</v>
      </c>
      <c r="C4289" s="17" t="s">
        <v>26</v>
      </c>
      <c r="D4289" s="19">
        <v>1175.25</v>
      </c>
      <c r="F4289" s="3" t="str">
        <f t="shared" si="66"/>
        <v>C4059</v>
      </c>
    </row>
    <row r="4290" spans="1:6" x14ac:dyDescent="0.2">
      <c r="A4290" s="17" t="s">
        <v>13148</v>
      </c>
      <c r="B4290" s="18" t="s">
        <v>13149</v>
      </c>
      <c r="C4290" s="17" t="s">
        <v>26</v>
      </c>
      <c r="D4290" s="19">
        <v>67649.59</v>
      </c>
      <c r="F4290" s="3" t="str">
        <f t="shared" ref="F4290:F4353" si="67">A4290</f>
        <v>C4404</v>
      </c>
    </row>
    <row r="4291" spans="1:6" x14ac:dyDescent="0.2">
      <c r="A4291" s="17">
        <v>0</v>
      </c>
      <c r="B4291" s="18"/>
      <c r="C4291" s="17">
        <v>0</v>
      </c>
      <c r="D4291" s="19">
        <v>0</v>
      </c>
      <c r="F4291" s="3">
        <f t="shared" si="67"/>
        <v>0</v>
      </c>
    </row>
    <row r="4292" spans="1:6" x14ac:dyDescent="0.2">
      <c r="A4292" s="17" t="s">
        <v>13150</v>
      </c>
      <c r="B4292" s="18" t="s">
        <v>13151</v>
      </c>
      <c r="C4292" s="17" t="s">
        <v>26</v>
      </c>
      <c r="D4292" s="19">
        <v>168214.97</v>
      </c>
      <c r="F4292" s="3" t="str">
        <f t="shared" si="67"/>
        <v>C4405</v>
      </c>
    </row>
    <row r="4293" spans="1:6" x14ac:dyDescent="0.2">
      <c r="A4293" s="17">
        <v>0</v>
      </c>
      <c r="B4293" s="18"/>
      <c r="C4293" s="17">
        <v>0</v>
      </c>
      <c r="D4293" s="19">
        <v>0</v>
      </c>
      <c r="F4293" s="3">
        <f t="shared" si="67"/>
        <v>0</v>
      </c>
    </row>
    <row r="4294" spans="1:6" x14ac:dyDescent="0.2">
      <c r="A4294" s="17" t="s">
        <v>13152</v>
      </c>
      <c r="B4294" s="18" t="s">
        <v>13153</v>
      </c>
      <c r="C4294" s="17" t="s">
        <v>26</v>
      </c>
      <c r="D4294" s="19">
        <v>1091.32</v>
      </c>
      <c r="F4294" s="3" t="str">
        <f t="shared" si="67"/>
        <v>C0832</v>
      </c>
    </row>
    <row r="4295" spans="1:6" x14ac:dyDescent="0.2">
      <c r="A4295" s="17" t="s">
        <v>13154</v>
      </c>
      <c r="B4295" s="18" t="s">
        <v>13155</v>
      </c>
      <c r="C4295" s="17" t="s">
        <v>26</v>
      </c>
      <c r="D4295" s="19">
        <v>1633.6</v>
      </c>
      <c r="F4295" s="3" t="str">
        <f t="shared" si="67"/>
        <v>C4060</v>
      </c>
    </row>
    <row r="4296" spans="1:6" x14ac:dyDescent="0.2">
      <c r="A4296" s="17" t="s">
        <v>13156</v>
      </c>
      <c r="B4296" s="18" t="s">
        <v>13157</v>
      </c>
      <c r="C4296" s="17" t="s">
        <v>26</v>
      </c>
      <c r="D4296" s="19">
        <v>66929.100000000006</v>
      </c>
      <c r="F4296" s="3" t="str">
        <f t="shared" si="67"/>
        <v>C2524</v>
      </c>
    </row>
    <row r="4297" spans="1:6" x14ac:dyDescent="0.2">
      <c r="A4297" s="17" t="s">
        <v>13158</v>
      </c>
      <c r="B4297" s="18" t="s">
        <v>13159</v>
      </c>
      <c r="C4297" s="17" t="s">
        <v>26</v>
      </c>
      <c r="D4297" s="19">
        <v>293.05</v>
      </c>
      <c r="F4297" s="3" t="str">
        <f t="shared" si="67"/>
        <v>C2663</v>
      </c>
    </row>
    <row r="4298" spans="1:6" x14ac:dyDescent="0.2">
      <c r="A4298" s="17" t="s">
        <v>13160</v>
      </c>
      <c r="B4298" s="18" t="s">
        <v>13161</v>
      </c>
      <c r="C4298" s="17" t="s">
        <v>26</v>
      </c>
      <c r="D4298" s="19">
        <v>280.75</v>
      </c>
      <c r="F4298" s="3" t="str">
        <f t="shared" si="67"/>
        <v>C2664</v>
      </c>
    </row>
    <row r="4299" spans="1:6" x14ac:dyDescent="0.2">
      <c r="A4299" s="17" t="s">
        <v>13162</v>
      </c>
      <c r="B4299" s="18" t="s">
        <v>13163</v>
      </c>
      <c r="C4299" s="17" t="s">
        <v>26</v>
      </c>
      <c r="D4299" s="19">
        <v>165.03</v>
      </c>
      <c r="F4299" s="3" t="str">
        <f t="shared" si="67"/>
        <v>C2682</v>
      </c>
    </row>
    <row r="4300" spans="1:6" x14ac:dyDescent="0.2">
      <c r="A4300" s="17" t="s">
        <v>13164</v>
      </c>
      <c r="B4300" s="18" t="s">
        <v>13165</v>
      </c>
      <c r="C4300" s="17" t="s">
        <v>26</v>
      </c>
      <c r="D4300" s="19">
        <v>191.83</v>
      </c>
      <c r="F4300" s="3" t="str">
        <f t="shared" si="67"/>
        <v>C2683</v>
      </c>
    </row>
    <row r="4301" spans="1:6" x14ac:dyDescent="0.2">
      <c r="A4301" s="17" t="s">
        <v>13166</v>
      </c>
      <c r="B4301" s="18" t="s">
        <v>13167</v>
      </c>
      <c r="C4301" s="17" t="s">
        <v>26</v>
      </c>
      <c r="D4301" s="19">
        <v>229.24</v>
      </c>
      <c r="F4301" s="3" t="str">
        <f t="shared" si="67"/>
        <v>C2681</v>
      </c>
    </row>
    <row r="4302" spans="1:6" x14ac:dyDescent="0.2">
      <c r="A4302" s="14" t="s">
        <v>11147</v>
      </c>
      <c r="B4302" s="15"/>
      <c r="C4302" s="14">
        <v>0</v>
      </c>
      <c r="D4302" s="16">
        <v>5389926.1399999997</v>
      </c>
      <c r="F4302" s="3" t="str">
        <f t="shared" si="67"/>
        <v>EQUIPAMENTOS</v>
      </c>
    </row>
    <row r="4303" spans="1:6" x14ac:dyDescent="0.2">
      <c r="A4303" s="17" t="s">
        <v>13168</v>
      </c>
      <c r="B4303" s="18" t="s">
        <v>13169</v>
      </c>
      <c r="C4303" s="17" t="s">
        <v>26</v>
      </c>
      <c r="D4303" s="19">
        <v>186588</v>
      </c>
      <c r="F4303" s="3" t="str">
        <f t="shared" si="67"/>
        <v>C4372</v>
      </c>
    </row>
    <row r="4304" spans="1:6" x14ac:dyDescent="0.2">
      <c r="A4304" s="17" t="s">
        <v>13170</v>
      </c>
      <c r="B4304" s="18" t="s">
        <v>13171</v>
      </c>
      <c r="C4304" s="17" t="s">
        <v>26</v>
      </c>
      <c r="D4304" s="19">
        <v>838467.89</v>
      </c>
      <c r="F4304" s="3" t="str">
        <f t="shared" si="67"/>
        <v>C4184</v>
      </c>
    </row>
    <row r="4305" spans="1:6" x14ac:dyDescent="0.2">
      <c r="A4305" s="17" t="s">
        <v>13172</v>
      </c>
      <c r="B4305" s="18" t="s">
        <v>13173</v>
      </c>
      <c r="C4305" s="17" t="s">
        <v>26</v>
      </c>
      <c r="D4305" s="19">
        <v>800244.21</v>
      </c>
      <c r="F4305" s="3" t="str">
        <f t="shared" si="67"/>
        <v>C4063</v>
      </c>
    </row>
    <row r="4306" spans="1:6" x14ac:dyDescent="0.2">
      <c r="A4306" s="17" t="s">
        <v>13174</v>
      </c>
      <c r="B4306" s="18" t="s">
        <v>13175</v>
      </c>
      <c r="C4306" s="17" t="s">
        <v>26</v>
      </c>
      <c r="D4306" s="19">
        <v>660261.69999999995</v>
      </c>
      <c r="F4306" s="3" t="str">
        <f t="shared" si="67"/>
        <v>C4062</v>
      </c>
    </row>
    <row r="4307" spans="1:6" x14ac:dyDescent="0.2">
      <c r="A4307" s="17" t="s">
        <v>13176</v>
      </c>
      <c r="B4307" s="18" t="s">
        <v>13177</v>
      </c>
      <c r="C4307" s="17" t="s">
        <v>26</v>
      </c>
      <c r="D4307" s="19">
        <v>421835.02</v>
      </c>
      <c r="F4307" s="3" t="str">
        <f t="shared" si="67"/>
        <v>C3668</v>
      </c>
    </row>
    <row r="4308" spans="1:6" x14ac:dyDescent="0.2">
      <c r="A4308" s="17" t="s">
        <v>13178</v>
      </c>
      <c r="B4308" s="18" t="s">
        <v>13179</v>
      </c>
      <c r="C4308" s="17" t="s">
        <v>26</v>
      </c>
      <c r="D4308" s="19">
        <v>316926.67</v>
      </c>
      <c r="F4308" s="3" t="str">
        <f t="shared" si="67"/>
        <v>C4061</v>
      </c>
    </row>
    <row r="4309" spans="1:6" x14ac:dyDescent="0.2">
      <c r="A4309" s="17" t="s">
        <v>13180</v>
      </c>
      <c r="B4309" s="18" t="s">
        <v>13181</v>
      </c>
      <c r="C4309" s="17" t="s">
        <v>26</v>
      </c>
      <c r="D4309" s="19">
        <v>302439.55</v>
      </c>
      <c r="F4309" s="3" t="str">
        <f t="shared" si="67"/>
        <v>C4183</v>
      </c>
    </row>
    <row r="4310" spans="1:6" x14ac:dyDescent="0.2">
      <c r="A4310" s="17" t="s">
        <v>13182</v>
      </c>
      <c r="B4310" s="18" t="s">
        <v>13183</v>
      </c>
      <c r="C4310" s="17" t="s">
        <v>26</v>
      </c>
      <c r="D4310" s="19">
        <v>266982.49</v>
      </c>
      <c r="F4310" s="3" t="str">
        <f t="shared" si="67"/>
        <v>C3667</v>
      </c>
    </row>
    <row r="4311" spans="1:6" x14ac:dyDescent="0.2">
      <c r="A4311" s="17" t="s">
        <v>13184</v>
      </c>
      <c r="B4311" s="18" t="s">
        <v>13185</v>
      </c>
      <c r="C4311" s="17" t="s">
        <v>26</v>
      </c>
      <c r="D4311" s="19">
        <v>241250.87</v>
      </c>
      <c r="F4311" s="3" t="str">
        <f t="shared" si="67"/>
        <v>C3666</v>
      </c>
    </row>
    <row r="4312" spans="1:6" x14ac:dyDescent="0.2">
      <c r="A4312" s="17" t="s">
        <v>13186</v>
      </c>
      <c r="B4312" s="18" t="s">
        <v>13187</v>
      </c>
      <c r="C4312" s="17" t="s">
        <v>26</v>
      </c>
      <c r="D4312" s="19">
        <v>217172.85</v>
      </c>
      <c r="F4312" s="3" t="str">
        <f t="shared" si="67"/>
        <v>C1443</v>
      </c>
    </row>
    <row r="4313" spans="1:6" x14ac:dyDescent="0.2">
      <c r="A4313" s="17" t="s">
        <v>13188</v>
      </c>
      <c r="B4313" s="18" t="s">
        <v>13189</v>
      </c>
      <c r="C4313" s="17" t="s">
        <v>26</v>
      </c>
      <c r="D4313" s="19">
        <v>213063.66</v>
      </c>
      <c r="F4313" s="3" t="str">
        <f t="shared" si="67"/>
        <v>C3664</v>
      </c>
    </row>
    <row r="4314" spans="1:6" x14ac:dyDescent="0.2">
      <c r="A4314" s="17" t="s">
        <v>13190</v>
      </c>
      <c r="B4314" s="18" t="s">
        <v>13191</v>
      </c>
      <c r="C4314" s="17" t="s">
        <v>26</v>
      </c>
      <c r="D4314" s="19">
        <v>185940.38</v>
      </c>
      <c r="F4314" s="3" t="str">
        <f t="shared" si="67"/>
        <v>C4182</v>
      </c>
    </row>
    <row r="4315" spans="1:6" x14ac:dyDescent="0.2">
      <c r="A4315" s="17" t="s">
        <v>13192</v>
      </c>
      <c r="B4315" s="18" t="s">
        <v>13193</v>
      </c>
      <c r="C4315" s="17" t="s">
        <v>26</v>
      </c>
      <c r="D4315" s="19">
        <v>167573.95000000001</v>
      </c>
      <c r="F4315" s="3" t="str">
        <f t="shared" si="67"/>
        <v>C3663</v>
      </c>
    </row>
    <row r="4316" spans="1:6" x14ac:dyDescent="0.2">
      <c r="A4316" s="17" t="s">
        <v>13194</v>
      </c>
      <c r="B4316" s="18" t="s">
        <v>13195</v>
      </c>
      <c r="C4316" s="17" t="s">
        <v>26</v>
      </c>
      <c r="D4316" s="19">
        <v>144332.4</v>
      </c>
      <c r="F4316" s="3" t="str">
        <f t="shared" si="67"/>
        <v>C1441</v>
      </c>
    </row>
    <row r="4317" spans="1:6" x14ac:dyDescent="0.2">
      <c r="A4317" s="17" t="s">
        <v>13196</v>
      </c>
      <c r="B4317" s="18" t="s">
        <v>13197</v>
      </c>
      <c r="C4317" s="17" t="s">
        <v>26</v>
      </c>
      <c r="D4317" s="19">
        <v>127692.4</v>
      </c>
      <c r="F4317" s="3" t="str">
        <f t="shared" si="67"/>
        <v>C3661</v>
      </c>
    </row>
    <row r="4318" spans="1:6" x14ac:dyDescent="0.2">
      <c r="A4318" s="17" t="s">
        <v>13198</v>
      </c>
      <c r="B4318" s="18" t="s">
        <v>13199</v>
      </c>
      <c r="C4318" s="17" t="s">
        <v>26</v>
      </c>
      <c r="D4318" s="19">
        <v>114172.4</v>
      </c>
      <c r="F4318" s="3" t="str">
        <f t="shared" si="67"/>
        <v>C1440</v>
      </c>
    </row>
    <row r="4319" spans="1:6" x14ac:dyDescent="0.2">
      <c r="A4319" s="17" t="s">
        <v>13200</v>
      </c>
      <c r="B4319" s="18" t="s">
        <v>13201</v>
      </c>
      <c r="C4319" s="17" t="s">
        <v>26</v>
      </c>
      <c r="D4319" s="19">
        <v>99250.85</v>
      </c>
      <c r="F4319" s="3" t="str">
        <f t="shared" si="67"/>
        <v>C1444</v>
      </c>
    </row>
    <row r="4320" spans="1:6" x14ac:dyDescent="0.2">
      <c r="A4320" s="17" t="s">
        <v>13202</v>
      </c>
      <c r="B4320" s="18" t="s">
        <v>13203</v>
      </c>
      <c r="C4320" s="17" t="s">
        <v>26</v>
      </c>
      <c r="D4320" s="19">
        <v>85730.85</v>
      </c>
      <c r="F4320" s="3" t="str">
        <f t="shared" si="67"/>
        <v>C3660</v>
      </c>
    </row>
    <row r="4321" spans="1:6" x14ac:dyDescent="0.2">
      <c r="A4321" s="14" t="s">
        <v>13204</v>
      </c>
      <c r="B4321" s="15"/>
      <c r="C4321" s="14">
        <v>0</v>
      </c>
      <c r="D4321" s="16">
        <v>20947.439999999999</v>
      </c>
      <c r="F4321" s="3" t="str">
        <f t="shared" si="67"/>
        <v>POSTES P/ ENERGIA E COMUNICAÇÃO</v>
      </c>
    </row>
    <row r="4322" spans="1:6" x14ac:dyDescent="0.2">
      <c r="A4322" s="17" t="s">
        <v>13205</v>
      </c>
      <c r="B4322" s="18" t="s">
        <v>13206</v>
      </c>
      <c r="C4322" s="17" t="s">
        <v>26</v>
      </c>
      <c r="D4322" s="19">
        <v>39.68</v>
      </c>
      <c r="F4322" s="3" t="str">
        <f t="shared" si="67"/>
        <v>C3576</v>
      </c>
    </row>
    <row r="4323" spans="1:6" x14ac:dyDescent="0.2">
      <c r="A4323" s="17" t="s">
        <v>13207</v>
      </c>
      <c r="B4323" s="18" t="s">
        <v>13208</v>
      </c>
      <c r="C4323" s="17" t="s">
        <v>26</v>
      </c>
      <c r="D4323" s="19">
        <v>11706.13</v>
      </c>
      <c r="F4323" s="3" t="str">
        <f t="shared" si="67"/>
        <v>C2000</v>
      </c>
    </row>
    <row r="4324" spans="1:6" x14ac:dyDescent="0.2">
      <c r="A4324" s="17" t="s">
        <v>13209</v>
      </c>
      <c r="B4324" s="18" t="s">
        <v>13210</v>
      </c>
      <c r="C4324" s="17" t="s">
        <v>26</v>
      </c>
      <c r="D4324" s="19">
        <v>715.78</v>
      </c>
      <c r="F4324" s="3" t="str">
        <f t="shared" si="67"/>
        <v>C2012</v>
      </c>
    </row>
    <row r="4325" spans="1:6" x14ac:dyDescent="0.2">
      <c r="A4325" s="17" t="s">
        <v>13211</v>
      </c>
      <c r="B4325" s="18" t="s">
        <v>13212</v>
      </c>
      <c r="C4325" s="17" t="s">
        <v>26</v>
      </c>
      <c r="D4325" s="19">
        <v>830.99</v>
      </c>
      <c r="F4325" s="3" t="str">
        <f t="shared" si="67"/>
        <v>C2017</v>
      </c>
    </row>
    <row r="4326" spans="1:6" x14ac:dyDescent="0.2">
      <c r="A4326" s="17" t="s">
        <v>13213</v>
      </c>
      <c r="B4326" s="18" t="s">
        <v>13214</v>
      </c>
      <c r="C4326" s="17" t="s">
        <v>26</v>
      </c>
      <c r="D4326" s="19">
        <v>1143.1300000000001</v>
      </c>
      <c r="F4326" s="3" t="str">
        <f t="shared" si="67"/>
        <v>C2013</v>
      </c>
    </row>
    <row r="4327" spans="1:6" x14ac:dyDescent="0.2">
      <c r="A4327" s="17" t="s">
        <v>13215</v>
      </c>
      <c r="B4327" s="18" t="s">
        <v>13216</v>
      </c>
      <c r="C4327" s="17" t="s">
        <v>26</v>
      </c>
      <c r="D4327" s="19">
        <v>1305.0899999999999</v>
      </c>
      <c r="F4327" s="3" t="str">
        <f t="shared" si="67"/>
        <v>C2014</v>
      </c>
    </row>
    <row r="4328" spans="1:6" x14ac:dyDescent="0.2">
      <c r="A4328" s="17" t="s">
        <v>13217</v>
      </c>
      <c r="B4328" s="18" t="s">
        <v>13218</v>
      </c>
      <c r="C4328" s="17" t="s">
        <v>26</v>
      </c>
      <c r="D4328" s="19">
        <v>2306.9299999999998</v>
      </c>
      <c r="F4328" s="3" t="str">
        <f t="shared" si="67"/>
        <v>C2015</v>
      </c>
    </row>
    <row r="4329" spans="1:6" x14ac:dyDescent="0.2">
      <c r="A4329" s="17" t="s">
        <v>13219</v>
      </c>
      <c r="B4329" s="18" t="s">
        <v>13220</v>
      </c>
      <c r="C4329" s="17" t="s">
        <v>26</v>
      </c>
      <c r="D4329" s="19">
        <v>2899.71</v>
      </c>
      <c r="F4329" s="3" t="str">
        <f t="shared" si="67"/>
        <v>C2016</v>
      </c>
    </row>
    <row r="4330" spans="1:6" x14ac:dyDescent="0.2">
      <c r="A4330" s="14" t="s">
        <v>13221</v>
      </c>
      <c r="B4330" s="15"/>
      <c r="C4330" s="14">
        <v>0</v>
      </c>
      <c r="D4330" s="16">
        <v>36973.199999999997</v>
      </c>
      <c r="F4330" s="3" t="str">
        <f t="shared" si="67"/>
        <v>POSTES EM CONCRETO</v>
      </c>
    </row>
    <row r="4331" spans="1:6" ht="22.5" x14ac:dyDescent="0.2">
      <c r="A4331" s="17" t="s">
        <v>13222</v>
      </c>
      <c r="B4331" s="18" t="s">
        <v>13223</v>
      </c>
      <c r="C4331" s="17" t="s">
        <v>26</v>
      </c>
      <c r="D4331" s="19">
        <v>979.89</v>
      </c>
      <c r="F4331" s="3" t="str">
        <f t="shared" si="67"/>
        <v>C4958</v>
      </c>
    </row>
    <row r="4332" spans="1:6" x14ac:dyDescent="0.2">
      <c r="A4332" s="17">
        <v>0</v>
      </c>
      <c r="B4332" s="18"/>
      <c r="C4332" s="17">
        <v>0</v>
      </c>
      <c r="D4332" s="19">
        <v>0</v>
      </c>
      <c r="F4332" s="3">
        <f t="shared" si="67"/>
        <v>0</v>
      </c>
    </row>
    <row r="4333" spans="1:6" ht="22.5" x14ac:dyDescent="0.2">
      <c r="A4333" s="17" t="s">
        <v>13224</v>
      </c>
      <c r="B4333" s="18" t="s">
        <v>13225</v>
      </c>
      <c r="C4333" s="17" t="s">
        <v>26</v>
      </c>
      <c r="D4333" s="19">
        <v>1129.69</v>
      </c>
      <c r="F4333" s="3" t="str">
        <f t="shared" si="67"/>
        <v>C5030</v>
      </c>
    </row>
    <row r="4334" spans="1:6" x14ac:dyDescent="0.2">
      <c r="A4334" s="17">
        <v>0</v>
      </c>
      <c r="B4334" s="18"/>
      <c r="C4334" s="17">
        <v>0</v>
      </c>
      <c r="D4334" s="19">
        <v>0</v>
      </c>
      <c r="F4334" s="3">
        <f t="shared" si="67"/>
        <v>0</v>
      </c>
    </row>
    <row r="4335" spans="1:6" ht="22.5" x14ac:dyDescent="0.2">
      <c r="A4335" s="17" t="s">
        <v>13226</v>
      </c>
      <c r="B4335" s="18" t="s">
        <v>13227</v>
      </c>
      <c r="C4335" s="17" t="s">
        <v>26</v>
      </c>
      <c r="D4335" s="19">
        <v>1286.6400000000001</v>
      </c>
      <c r="F4335" s="3" t="str">
        <f t="shared" si="67"/>
        <v>C4959</v>
      </c>
    </row>
    <row r="4336" spans="1:6" x14ac:dyDescent="0.2">
      <c r="A4336" s="17">
        <v>0</v>
      </c>
      <c r="B4336" s="18"/>
      <c r="C4336" s="17">
        <v>0</v>
      </c>
      <c r="D4336" s="19">
        <v>0</v>
      </c>
      <c r="F4336" s="3">
        <f t="shared" si="67"/>
        <v>0</v>
      </c>
    </row>
    <row r="4337" spans="1:6" ht="22.5" x14ac:dyDescent="0.2">
      <c r="A4337" s="17" t="s">
        <v>13228</v>
      </c>
      <c r="B4337" s="18" t="s">
        <v>13229</v>
      </c>
      <c r="C4337" s="17" t="s">
        <v>26</v>
      </c>
      <c r="D4337" s="19">
        <v>1567.13</v>
      </c>
      <c r="F4337" s="3" t="str">
        <f t="shared" si="67"/>
        <v>C5033</v>
      </c>
    </row>
    <row r="4338" spans="1:6" x14ac:dyDescent="0.2">
      <c r="A4338" s="17">
        <v>0</v>
      </c>
      <c r="B4338" s="18"/>
      <c r="C4338" s="17">
        <v>0</v>
      </c>
      <c r="D4338" s="19">
        <v>0</v>
      </c>
      <c r="F4338" s="3">
        <f t="shared" si="67"/>
        <v>0</v>
      </c>
    </row>
    <row r="4339" spans="1:6" ht="22.5" x14ac:dyDescent="0.2">
      <c r="A4339" s="17" t="s">
        <v>13230</v>
      </c>
      <c r="B4339" s="18" t="s">
        <v>13231</v>
      </c>
      <c r="C4339" s="17" t="s">
        <v>26</v>
      </c>
      <c r="D4339" s="19">
        <v>1698.5</v>
      </c>
      <c r="F4339" s="3" t="str">
        <f t="shared" si="67"/>
        <v>C4960</v>
      </c>
    </row>
    <row r="4340" spans="1:6" x14ac:dyDescent="0.2">
      <c r="A4340" s="17">
        <v>0</v>
      </c>
      <c r="B4340" s="18"/>
      <c r="C4340" s="17">
        <v>0</v>
      </c>
      <c r="D4340" s="19">
        <v>0</v>
      </c>
      <c r="F4340" s="3">
        <f t="shared" si="67"/>
        <v>0</v>
      </c>
    </row>
    <row r="4341" spans="1:6" ht="22.5" x14ac:dyDescent="0.2">
      <c r="A4341" s="17" t="s">
        <v>13232</v>
      </c>
      <c r="B4341" s="18" t="s">
        <v>13233</v>
      </c>
      <c r="C4341" s="17" t="s">
        <v>26</v>
      </c>
      <c r="D4341" s="19">
        <v>1117.8</v>
      </c>
      <c r="F4341" s="3" t="str">
        <f t="shared" si="67"/>
        <v>C4961</v>
      </c>
    </row>
    <row r="4342" spans="1:6" x14ac:dyDescent="0.2">
      <c r="A4342" s="17">
        <v>0</v>
      </c>
      <c r="B4342" s="18"/>
      <c r="C4342" s="17">
        <v>0</v>
      </c>
      <c r="D4342" s="19">
        <v>0</v>
      </c>
      <c r="F4342" s="3">
        <f t="shared" si="67"/>
        <v>0</v>
      </c>
    </row>
    <row r="4343" spans="1:6" ht="22.5" x14ac:dyDescent="0.2">
      <c r="A4343" s="17" t="s">
        <v>13234</v>
      </c>
      <c r="B4343" s="18" t="s">
        <v>13235</v>
      </c>
      <c r="C4343" s="17" t="s">
        <v>26</v>
      </c>
      <c r="D4343" s="19">
        <v>1393.13</v>
      </c>
      <c r="F4343" s="3" t="str">
        <f t="shared" si="67"/>
        <v>C4962</v>
      </c>
    </row>
    <row r="4344" spans="1:6" x14ac:dyDescent="0.2">
      <c r="A4344" s="17">
        <v>0</v>
      </c>
      <c r="B4344" s="18"/>
      <c r="C4344" s="17">
        <v>0</v>
      </c>
      <c r="D4344" s="19">
        <v>0</v>
      </c>
      <c r="F4344" s="3">
        <f t="shared" si="67"/>
        <v>0</v>
      </c>
    </row>
    <row r="4345" spans="1:6" ht="22.5" x14ac:dyDescent="0.2">
      <c r="A4345" s="17" t="s">
        <v>13236</v>
      </c>
      <c r="B4345" s="18" t="s">
        <v>13237</v>
      </c>
      <c r="C4345" s="17" t="s">
        <v>26</v>
      </c>
      <c r="D4345" s="19">
        <v>1702.86</v>
      </c>
      <c r="F4345" s="3" t="str">
        <f t="shared" si="67"/>
        <v>C4963</v>
      </c>
    </row>
    <row r="4346" spans="1:6" x14ac:dyDescent="0.2">
      <c r="A4346" s="17">
        <v>0</v>
      </c>
      <c r="B4346" s="18"/>
      <c r="C4346" s="17">
        <v>0</v>
      </c>
      <c r="D4346" s="19">
        <v>0</v>
      </c>
      <c r="F4346" s="3">
        <f t="shared" si="67"/>
        <v>0</v>
      </c>
    </row>
    <row r="4347" spans="1:6" ht="22.5" x14ac:dyDescent="0.2">
      <c r="A4347" s="17" t="s">
        <v>13238</v>
      </c>
      <c r="B4347" s="18" t="s">
        <v>13239</v>
      </c>
      <c r="C4347" s="17" t="s">
        <v>26</v>
      </c>
      <c r="D4347" s="19">
        <v>1566.41</v>
      </c>
      <c r="F4347" s="3" t="str">
        <f t="shared" si="67"/>
        <v>C4964</v>
      </c>
    </row>
    <row r="4348" spans="1:6" x14ac:dyDescent="0.2">
      <c r="A4348" s="17">
        <v>0</v>
      </c>
      <c r="B4348" s="18"/>
      <c r="C4348" s="17">
        <v>0</v>
      </c>
      <c r="D4348" s="19">
        <v>0</v>
      </c>
      <c r="F4348" s="3">
        <f t="shared" si="67"/>
        <v>0</v>
      </c>
    </row>
    <row r="4349" spans="1:6" ht="22.5" x14ac:dyDescent="0.2">
      <c r="A4349" s="17" t="s">
        <v>13240</v>
      </c>
      <c r="B4349" s="18" t="s">
        <v>13241</v>
      </c>
      <c r="C4349" s="17" t="s">
        <v>26</v>
      </c>
      <c r="D4349" s="19">
        <v>2012.79</v>
      </c>
      <c r="F4349" s="3" t="str">
        <f t="shared" si="67"/>
        <v>C4965</v>
      </c>
    </row>
    <row r="4350" spans="1:6" x14ac:dyDescent="0.2">
      <c r="A4350" s="17">
        <v>0</v>
      </c>
      <c r="B4350" s="18"/>
      <c r="C4350" s="17">
        <v>0</v>
      </c>
      <c r="D4350" s="19">
        <v>0</v>
      </c>
      <c r="F4350" s="3">
        <f t="shared" si="67"/>
        <v>0</v>
      </c>
    </row>
    <row r="4351" spans="1:6" ht="22.5" x14ac:dyDescent="0.2">
      <c r="A4351" s="17" t="s">
        <v>13242</v>
      </c>
      <c r="B4351" s="18" t="s">
        <v>13243</v>
      </c>
      <c r="C4351" s="17" t="s">
        <v>26</v>
      </c>
      <c r="D4351" s="19">
        <v>2525.44</v>
      </c>
      <c r="F4351" s="3" t="str">
        <f t="shared" si="67"/>
        <v>C4979</v>
      </c>
    </row>
    <row r="4352" spans="1:6" x14ac:dyDescent="0.2">
      <c r="A4352" s="17">
        <v>0</v>
      </c>
      <c r="B4352" s="18"/>
      <c r="C4352" s="17">
        <v>0</v>
      </c>
      <c r="D4352" s="19">
        <v>0</v>
      </c>
      <c r="F4352" s="3">
        <f t="shared" si="67"/>
        <v>0</v>
      </c>
    </row>
    <row r="4353" spans="1:6" ht="22.5" x14ac:dyDescent="0.2">
      <c r="A4353" s="17" t="s">
        <v>13244</v>
      </c>
      <c r="B4353" s="18" t="s">
        <v>13245</v>
      </c>
      <c r="C4353" s="17" t="s">
        <v>26</v>
      </c>
      <c r="D4353" s="19">
        <v>3086.84</v>
      </c>
      <c r="F4353" s="3" t="str">
        <f t="shared" si="67"/>
        <v>C4966</v>
      </c>
    </row>
    <row r="4354" spans="1:6" x14ac:dyDescent="0.2">
      <c r="A4354" s="17">
        <v>0</v>
      </c>
      <c r="B4354" s="18"/>
      <c r="C4354" s="17">
        <v>0</v>
      </c>
      <c r="D4354" s="19">
        <v>0</v>
      </c>
      <c r="F4354" s="3">
        <f t="shared" ref="F4354:F4417" si="68">A4354</f>
        <v>0</v>
      </c>
    </row>
    <row r="4355" spans="1:6" x14ac:dyDescent="0.2">
      <c r="A4355" s="17" t="s">
        <v>13246</v>
      </c>
      <c r="B4355" s="18" t="s">
        <v>13247</v>
      </c>
      <c r="C4355" s="17" t="s">
        <v>26</v>
      </c>
      <c r="D4355" s="19">
        <v>1076.74</v>
      </c>
      <c r="F4355" s="3" t="str">
        <f t="shared" si="68"/>
        <v>C4976</v>
      </c>
    </row>
    <row r="4356" spans="1:6" x14ac:dyDescent="0.2">
      <c r="A4356" s="17">
        <v>0</v>
      </c>
      <c r="B4356" s="18"/>
      <c r="C4356" s="17">
        <v>0</v>
      </c>
      <c r="D4356" s="19">
        <v>0</v>
      </c>
      <c r="F4356" s="3">
        <f t="shared" si="68"/>
        <v>0</v>
      </c>
    </row>
    <row r="4357" spans="1:6" x14ac:dyDescent="0.2">
      <c r="A4357" s="17" t="s">
        <v>13248</v>
      </c>
      <c r="B4357" s="18" t="s">
        <v>13249</v>
      </c>
      <c r="C4357" s="17" t="s">
        <v>26</v>
      </c>
      <c r="D4357" s="19">
        <v>912.8</v>
      </c>
      <c r="F4357" s="3" t="str">
        <f t="shared" si="68"/>
        <v>C4967</v>
      </c>
    </row>
    <row r="4358" spans="1:6" x14ac:dyDescent="0.2">
      <c r="A4358" s="17">
        <v>0</v>
      </c>
      <c r="B4358" s="18"/>
      <c r="C4358" s="17">
        <v>0</v>
      </c>
      <c r="D4358" s="19">
        <v>0</v>
      </c>
      <c r="F4358" s="3">
        <f t="shared" si="68"/>
        <v>0</v>
      </c>
    </row>
    <row r="4359" spans="1:6" x14ac:dyDescent="0.2">
      <c r="A4359" s="17" t="s">
        <v>13250</v>
      </c>
      <c r="B4359" s="18" t="s">
        <v>13251</v>
      </c>
      <c r="C4359" s="17" t="s">
        <v>26</v>
      </c>
      <c r="D4359" s="19">
        <v>1076.74</v>
      </c>
      <c r="F4359" s="3" t="str">
        <f t="shared" si="68"/>
        <v>C4968</v>
      </c>
    </row>
    <row r="4360" spans="1:6" x14ac:dyDescent="0.2">
      <c r="A4360" s="17">
        <v>0</v>
      </c>
      <c r="B4360" s="18"/>
      <c r="C4360" s="17">
        <v>0</v>
      </c>
      <c r="D4360" s="19">
        <v>0</v>
      </c>
      <c r="F4360" s="3">
        <f t="shared" si="68"/>
        <v>0</v>
      </c>
    </row>
    <row r="4361" spans="1:6" ht="22.5" x14ac:dyDescent="0.2">
      <c r="A4361" s="17" t="s">
        <v>13252</v>
      </c>
      <c r="B4361" s="18" t="s">
        <v>13253</v>
      </c>
      <c r="C4361" s="17" t="s">
        <v>26</v>
      </c>
      <c r="D4361" s="19">
        <v>1311.17</v>
      </c>
      <c r="F4361" s="3" t="str">
        <f t="shared" si="68"/>
        <v>C4969</v>
      </c>
    </row>
    <row r="4362" spans="1:6" x14ac:dyDescent="0.2">
      <c r="A4362" s="17">
        <v>0</v>
      </c>
      <c r="B4362" s="18"/>
      <c r="C4362" s="17">
        <v>0</v>
      </c>
      <c r="D4362" s="19">
        <v>0</v>
      </c>
      <c r="F4362" s="3">
        <f t="shared" si="68"/>
        <v>0</v>
      </c>
    </row>
    <row r="4363" spans="1:6" x14ac:dyDescent="0.2">
      <c r="A4363" s="17" t="s">
        <v>13254</v>
      </c>
      <c r="B4363" s="18" t="s">
        <v>13255</v>
      </c>
      <c r="C4363" s="17" t="s">
        <v>26</v>
      </c>
      <c r="D4363" s="19">
        <v>1333.91</v>
      </c>
      <c r="F4363" s="3" t="str">
        <f t="shared" si="68"/>
        <v>C4970</v>
      </c>
    </row>
    <row r="4364" spans="1:6" x14ac:dyDescent="0.2">
      <c r="A4364" s="17">
        <v>0</v>
      </c>
      <c r="B4364" s="18"/>
      <c r="C4364" s="17">
        <v>0</v>
      </c>
      <c r="D4364" s="19">
        <v>0</v>
      </c>
      <c r="F4364" s="3">
        <f t="shared" si="68"/>
        <v>0</v>
      </c>
    </row>
    <row r="4365" spans="1:6" x14ac:dyDescent="0.2">
      <c r="A4365" s="17" t="s">
        <v>13256</v>
      </c>
      <c r="B4365" s="18" t="s">
        <v>13257</v>
      </c>
      <c r="C4365" s="17" t="s">
        <v>26</v>
      </c>
      <c r="D4365" s="19">
        <v>1524.13</v>
      </c>
      <c r="F4365" s="3" t="str">
        <f t="shared" si="68"/>
        <v>C4971</v>
      </c>
    </row>
    <row r="4366" spans="1:6" x14ac:dyDescent="0.2">
      <c r="A4366" s="17">
        <v>0</v>
      </c>
      <c r="B4366" s="18"/>
      <c r="C4366" s="17">
        <v>0</v>
      </c>
      <c r="D4366" s="19">
        <v>0</v>
      </c>
      <c r="F4366" s="3">
        <f t="shared" si="68"/>
        <v>0</v>
      </c>
    </row>
    <row r="4367" spans="1:6" ht="22.5" x14ac:dyDescent="0.2">
      <c r="A4367" s="17" t="s">
        <v>13258</v>
      </c>
      <c r="B4367" s="18" t="s">
        <v>13259</v>
      </c>
      <c r="C4367" s="17" t="s">
        <v>26</v>
      </c>
      <c r="D4367" s="19">
        <v>1998.96</v>
      </c>
      <c r="F4367" s="3" t="str">
        <f t="shared" si="68"/>
        <v>C4972</v>
      </c>
    </row>
    <row r="4368" spans="1:6" x14ac:dyDescent="0.2">
      <c r="A4368" s="17">
        <v>0</v>
      </c>
      <c r="B4368" s="18"/>
      <c r="C4368" s="17">
        <v>0</v>
      </c>
      <c r="D4368" s="19">
        <v>0</v>
      </c>
      <c r="F4368" s="3">
        <f t="shared" si="68"/>
        <v>0</v>
      </c>
    </row>
    <row r="4369" spans="1:6" ht="22.5" x14ac:dyDescent="0.2">
      <c r="A4369" s="17" t="s">
        <v>13260</v>
      </c>
      <c r="B4369" s="18" t="s">
        <v>13261</v>
      </c>
      <c r="C4369" s="17" t="s">
        <v>26</v>
      </c>
      <c r="D4369" s="19">
        <v>1998.96</v>
      </c>
      <c r="F4369" s="3" t="str">
        <f t="shared" si="68"/>
        <v>C4973</v>
      </c>
    </row>
    <row r="4370" spans="1:6" x14ac:dyDescent="0.2">
      <c r="A4370" s="17">
        <v>0</v>
      </c>
      <c r="B4370" s="18"/>
      <c r="C4370" s="17">
        <v>0</v>
      </c>
      <c r="D4370" s="19">
        <v>0</v>
      </c>
      <c r="F4370" s="3">
        <f t="shared" si="68"/>
        <v>0</v>
      </c>
    </row>
    <row r="4371" spans="1:6" ht="22.5" x14ac:dyDescent="0.2">
      <c r="A4371" s="17" t="s">
        <v>13262</v>
      </c>
      <c r="B4371" s="18" t="s">
        <v>13263</v>
      </c>
      <c r="C4371" s="17" t="s">
        <v>26</v>
      </c>
      <c r="D4371" s="19">
        <v>2070.94</v>
      </c>
      <c r="F4371" s="3" t="str">
        <f t="shared" si="68"/>
        <v>C4974</v>
      </c>
    </row>
    <row r="4372" spans="1:6" x14ac:dyDescent="0.2">
      <c r="A4372" s="17">
        <v>0</v>
      </c>
      <c r="B4372" s="18"/>
      <c r="C4372" s="17">
        <v>0</v>
      </c>
      <c r="D4372" s="19">
        <v>0</v>
      </c>
      <c r="F4372" s="3">
        <f t="shared" si="68"/>
        <v>0</v>
      </c>
    </row>
    <row r="4373" spans="1:6" ht="22.5" x14ac:dyDescent="0.2">
      <c r="A4373" s="17" t="s">
        <v>13264</v>
      </c>
      <c r="B4373" s="18" t="s">
        <v>13265</v>
      </c>
      <c r="C4373" s="17" t="s">
        <v>26</v>
      </c>
      <c r="D4373" s="19">
        <v>3601.73</v>
      </c>
      <c r="F4373" s="3" t="str">
        <f t="shared" si="68"/>
        <v>C4975</v>
      </c>
    </row>
    <row r="4374" spans="1:6" x14ac:dyDescent="0.2">
      <c r="A4374" s="17">
        <v>0</v>
      </c>
      <c r="B4374" s="18"/>
      <c r="C4374" s="17">
        <v>0</v>
      </c>
      <c r="D4374" s="19">
        <v>0</v>
      </c>
      <c r="F4374" s="3">
        <f t="shared" si="68"/>
        <v>0</v>
      </c>
    </row>
    <row r="4375" spans="1:6" x14ac:dyDescent="0.2">
      <c r="A4375" s="14" t="s">
        <v>13266</v>
      </c>
      <c r="B4375" s="15"/>
      <c r="C4375" s="14">
        <v>0</v>
      </c>
      <c r="D4375" s="16">
        <v>335818.05</v>
      </c>
      <c r="F4375" s="3" t="str">
        <f t="shared" si="68"/>
        <v>SUBESTAÇÃO DE DISTRIBUIÇÃO  AÉREA - CLASSE 15 kV</v>
      </c>
    </row>
    <row r="4376" spans="1:6" ht="33.75" x14ac:dyDescent="0.2">
      <c r="A4376" s="17" t="s">
        <v>13267</v>
      </c>
      <c r="B4376" s="18" t="s">
        <v>13268</v>
      </c>
      <c r="C4376" s="17" t="s">
        <v>26</v>
      </c>
      <c r="D4376" s="19">
        <v>25141.39</v>
      </c>
      <c r="F4376" s="3" t="str">
        <f t="shared" si="68"/>
        <v>C4936</v>
      </c>
    </row>
    <row r="4377" spans="1:6" x14ac:dyDescent="0.2">
      <c r="A4377" s="17">
        <v>0</v>
      </c>
      <c r="B4377" s="18"/>
      <c r="C4377" s="17">
        <v>0</v>
      </c>
      <c r="D4377" s="19">
        <v>0</v>
      </c>
      <c r="F4377" s="3">
        <f t="shared" si="68"/>
        <v>0</v>
      </c>
    </row>
    <row r="4378" spans="1:6" ht="22.5" x14ac:dyDescent="0.2">
      <c r="A4378" s="17" t="s">
        <v>13269</v>
      </c>
      <c r="B4378" s="18" t="s">
        <v>13270</v>
      </c>
      <c r="C4378" s="17" t="s">
        <v>26</v>
      </c>
      <c r="D4378" s="19">
        <v>27204.63</v>
      </c>
      <c r="F4378" s="3" t="str">
        <f t="shared" si="68"/>
        <v>C4937</v>
      </c>
    </row>
    <row r="4379" spans="1:6" x14ac:dyDescent="0.2">
      <c r="A4379" s="17">
        <v>0</v>
      </c>
      <c r="B4379" s="18"/>
      <c r="C4379" s="17">
        <v>0</v>
      </c>
      <c r="D4379" s="19">
        <v>0</v>
      </c>
      <c r="F4379" s="3">
        <f t="shared" si="68"/>
        <v>0</v>
      </c>
    </row>
    <row r="4380" spans="1:6" ht="22.5" x14ac:dyDescent="0.2">
      <c r="A4380" s="17" t="s">
        <v>13271</v>
      </c>
      <c r="B4380" s="18" t="s">
        <v>13272</v>
      </c>
      <c r="C4380" s="17" t="s">
        <v>26</v>
      </c>
      <c r="D4380" s="19">
        <v>29094.55</v>
      </c>
      <c r="F4380" s="3" t="str">
        <f t="shared" si="68"/>
        <v>C4938</v>
      </c>
    </row>
    <row r="4381" spans="1:6" x14ac:dyDescent="0.2">
      <c r="A4381" s="17">
        <v>0</v>
      </c>
      <c r="B4381" s="18"/>
      <c r="C4381" s="17">
        <v>0</v>
      </c>
      <c r="D4381" s="19">
        <v>0</v>
      </c>
      <c r="F4381" s="3">
        <f t="shared" si="68"/>
        <v>0</v>
      </c>
    </row>
    <row r="4382" spans="1:6" ht="22.5" x14ac:dyDescent="0.2">
      <c r="A4382" s="17" t="s">
        <v>13273</v>
      </c>
      <c r="B4382" s="18" t="s">
        <v>13274</v>
      </c>
      <c r="C4382" s="17" t="s">
        <v>26</v>
      </c>
      <c r="D4382" s="19">
        <v>34515.699999999997</v>
      </c>
      <c r="F4382" s="3" t="str">
        <f t="shared" si="68"/>
        <v>C4939</v>
      </c>
    </row>
    <row r="4383" spans="1:6" x14ac:dyDescent="0.2">
      <c r="A4383" s="17">
        <v>0</v>
      </c>
      <c r="B4383" s="18"/>
      <c r="C4383" s="17">
        <v>0</v>
      </c>
      <c r="D4383" s="19">
        <v>0</v>
      </c>
      <c r="F4383" s="3">
        <f t="shared" si="68"/>
        <v>0</v>
      </c>
    </row>
    <row r="4384" spans="1:6" ht="22.5" x14ac:dyDescent="0.2">
      <c r="A4384" s="17" t="s">
        <v>13275</v>
      </c>
      <c r="B4384" s="18" t="s">
        <v>13276</v>
      </c>
      <c r="C4384" s="17" t="s">
        <v>26</v>
      </c>
      <c r="D4384" s="19">
        <v>38926.01</v>
      </c>
      <c r="F4384" s="3" t="str">
        <f t="shared" si="68"/>
        <v>C4940</v>
      </c>
    </row>
    <row r="4385" spans="1:6" x14ac:dyDescent="0.2">
      <c r="A4385" s="17">
        <v>0</v>
      </c>
      <c r="B4385" s="18"/>
      <c r="C4385" s="17">
        <v>0</v>
      </c>
      <c r="D4385" s="19">
        <v>0</v>
      </c>
      <c r="F4385" s="3">
        <f t="shared" si="68"/>
        <v>0</v>
      </c>
    </row>
    <row r="4386" spans="1:6" ht="22.5" x14ac:dyDescent="0.2">
      <c r="A4386" s="17" t="s">
        <v>13277</v>
      </c>
      <c r="B4386" s="18" t="s">
        <v>13278</v>
      </c>
      <c r="C4386" s="17" t="s">
        <v>26</v>
      </c>
      <c r="D4386" s="19">
        <v>47662.25</v>
      </c>
      <c r="F4386" s="3" t="str">
        <f t="shared" si="68"/>
        <v>C4941</v>
      </c>
    </row>
    <row r="4387" spans="1:6" x14ac:dyDescent="0.2">
      <c r="A4387" s="17">
        <v>0</v>
      </c>
      <c r="B4387" s="18"/>
      <c r="C4387" s="17">
        <v>0</v>
      </c>
      <c r="D4387" s="19">
        <v>0</v>
      </c>
      <c r="F4387" s="3">
        <f t="shared" si="68"/>
        <v>0</v>
      </c>
    </row>
    <row r="4388" spans="1:6" ht="22.5" x14ac:dyDescent="0.2">
      <c r="A4388" s="17" t="s">
        <v>13279</v>
      </c>
      <c r="B4388" s="18" t="s">
        <v>13280</v>
      </c>
      <c r="C4388" s="17" t="s">
        <v>26</v>
      </c>
      <c r="D4388" s="19">
        <v>59268.35</v>
      </c>
      <c r="F4388" s="3" t="str">
        <f t="shared" si="68"/>
        <v>C4942</v>
      </c>
    </row>
    <row r="4389" spans="1:6" x14ac:dyDescent="0.2">
      <c r="A4389" s="17">
        <v>0</v>
      </c>
      <c r="B4389" s="18"/>
      <c r="C4389" s="17">
        <v>0</v>
      </c>
      <c r="D4389" s="19">
        <v>0</v>
      </c>
      <c r="F4389" s="3">
        <f t="shared" si="68"/>
        <v>0</v>
      </c>
    </row>
    <row r="4390" spans="1:6" ht="22.5" x14ac:dyDescent="0.2">
      <c r="A4390" s="17" t="s">
        <v>13281</v>
      </c>
      <c r="B4390" s="18" t="s">
        <v>13282</v>
      </c>
      <c r="C4390" s="17" t="s">
        <v>26</v>
      </c>
      <c r="D4390" s="19">
        <v>74005.17</v>
      </c>
      <c r="F4390" s="3" t="str">
        <f t="shared" si="68"/>
        <v>C4758</v>
      </c>
    </row>
    <row r="4391" spans="1:6" x14ac:dyDescent="0.2">
      <c r="A4391" s="17">
        <v>0</v>
      </c>
      <c r="B4391" s="18"/>
      <c r="C4391" s="17">
        <v>0</v>
      </c>
      <c r="D4391" s="19">
        <v>0</v>
      </c>
      <c r="F4391" s="3">
        <f t="shared" si="68"/>
        <v>0</v>
      </c>
    </row>
    <row r="4392" spans="1:6" x14ac:dyDescent="0.2">
      <c r="A4392" s="14" t="s">
        <v>13283</v>
      </c>
      <c r="B4392" s="15"/>
      <c r="C4392" s="14">
        <v>0</v>
      </c>
      <c r="D4392" s="16">
        <v>526858.72</v>
      </c>
      <c r="F4392" s="3" t="str">
        <f t="shared" si="68"/>
        <v>SERVIÇOS AUXILIARES DE TELEFONIA, SOM, LÓGICA E SISTEMAS DE CONTROLE</v>
      </c>
    </row>
    <row r="4393" spans="1:6" x14ac:dyDescent="0.2">
      <c r="A4393" s="17" t="s">
        <v>13284</v>
      </c>
      <c r="B4393" s="18" t="s">
        <v>13285</v>
      </c>
      <c r="C4393" s="17" t="s">
        <v>26</v>
      </c>
      <c r="D4393" s="19">
        <v>40.82</v>
      </c>
      <c r="F4393" s="3" t="str">
        <f t="shared" si="68"/>
        <v>C4532</v>
      </c>
    </row>
    <row r="4394" spans="1:6" ht="22.5" x14ac:dyDescent="0.2">
      <c r="A4394" s="17" t="s">
        <v>13286</v>
      </c>
      <c r="B4394" s="18" t="s">
        <v>13287</v>
      </c>
      <c r="C4394" s="17" t="s">
        <v>26</v>
      </c>
      <c r="D4394" s="19">
        <v>224.4</v>
      </c>
      <c r="F4394" s="3" t="str">
        <f t="shared" si="68"/>
        <v>C4042</v>
      </c>
    </row>
    <row r="4395" spans="1:6" x14ac:dyDescent="0.2">
      <c r="A4395" s="17">
        <v>0</v>
      </c>
      <c r="B4395" s="18"/>
      <c r="C4395" s="17">
        <v>0</v>
      </c>
      <c r="D4395" s="19">
        <v>0</v>
      </c>
      <c r="F4395" s="3">
        <f t="shared" si="68"/>
        <v>0</v>
      </c>
    </row>
    <row r="4396" spans="1:6" x14ac:dyDescent="0.2">
      <c r="A4396" s="17" t="s">
        <v>13288</v>
      </c>
      <c r="B4396" s="18" t="s">
        <v>13289</v>
      </c>
      <c r="C4396" s="17" t="s">
        <v>26</v>
      </c>
      <c r="D4396" s="19">
        <v>154.44999999999999</v>
      </c>
      <c r="F4396" s="3" t="str">
        <f t="shared" si="68"/>
        <v>C0093</v>
      </c>
    </row>
    <row r="4397" spans="1:6" x14ac:dyDescent="0.2">
      <c r="A4397" s="17" t="s">
        <v>13290</v>
      </c>
      <c r="B4397" s="18" t="s">
        <v>13291</v>
      </c>
      <c r="C4397" s="17" t="s">
        <v>26</v>
      </c>
      <c r="D4397" s="19">
        <v>68.81</v>
      </c>
      <c r="F4397" s="3" t="str">
        <f t="shared" si="68"/>
        <v>C4567</v>
      </c>
    </row>
    <row r="4398" spans="1:6" x14ac:dyDescent="0.2">
      <c r="A4398" s="17" t="s">
        <v>13292</v>
      </c>
      <c r="B4398" s="18" t="s">
        <v>13293</v>
      </c>
      <c r="C4398" s="17" t="s">
        <v>26</v>
      </c>
      <c r="D4398" s="19">
        <v>17.79</v>
      </c>
      <c r="F4398" s="3" t="str">
        <f t="shared" si="68"/>
        <v>C0390</v>
      </c>
    </row>
    <row r="4399" spans="1:6" x14ac:dyDescent="0.2">
      <c r="A4399" s="17" t="s">
        <v>13294</v>
      </c>
      <c r="B4399" s="18" t="s">
        <v>13295</v>
      </c>
      <c r="C4399" s="17" t="s">
        <v>26</v>
      </c>
      <c r="D4399" s="19">
        <v>323.51</v>
      </c>
      <c r="F4399" s="3" t="str">
        <f t="shared" si="68"/>
        <v>C4566</v>
      </c>
    </row>
    <row r="4400" spans="1:6" ht="22.5" x14ac:dyDescent="0.2">
      <c r="A4400" s="17" t="s">
        <v>13296</v>
      </c>
      <c r="B4400" s="18" t="s">
        <v>13297</v>
      </c>
      <c r="C4400" s="17" t="s">
        <v>26</v>
      </c>
      <c r="D4400" s="19">
        <v>2771.72</v>
      </c>
      <c r="F4400" s="3" t="str">
        <f t="shared" si="68"/>
        <v>C4043</v>
      </c>
    </row>
    <row r="4401" spans="1:6" x14ac:dyDescent="0.2">
      <c r="A4401" s="17">
        <v>0</v>
      </c>
      <c r="B4401" s="18"/>
      <c r="C4401" s="17">
        <v>0</v>
      </c>
      <c r="D4401" s="19">
        <v>0</v>
      </c>
      <c r="F4401" s="3">
        <f t="shared" si="68"/>
        <v>0</v>
      </c>
    </row>
    <row r="4402" spans="1:6" x14ac:dyDescent="0.2">
      <c r="A4402" s="17" t="s">
        <v>13298</v>
      </c>
      <c r="B4402" s="18" t="s">
        <v>13299</v>
      </c>
      <c r="C4402" s="17" t="s">
        <v>26</v>
      </c>
      <c r="D4402" s="19">
        <v>3843.53</v>
      </c>
      <c r="F4402" s="3" t="str">
        <f t="shared" si="68"/>
        <v>C4058</v>
      </c>
    </row>
    <row r="4403" spans="1:6" x14ac:dyDescent="0.2">
      <c r="A4403" s="17" t="s">
        <v>13300</v>
      </c>
      <c r="B4403" s="18" t="s">
        <v>13301</v>
      </c>
      <c r="C4403" s="17" t="s">
        <v>26</v>
      </c>
      <c r="D4403" s="19">
        <v>6690</v>
      </c>
      <c r="F4403" s="3" t="str">
        <f t="shared" si="68"/>
        <v>C4024</v>
      </c>
    </row>
    <row r="4404" spans="1:6" x14ac:dyDescent="0.2">
      <c r="A4404" s="17" t="s">
        <v>13302</v>
      </c>
      <c r="B4404" s="18" t="s">
        <v>13303</v>
      </c>
      <c r="C4404" s="17" t="s">
        <v>26</v>
      </c>
      <c r="D4404" s="19">
        <v>23510</v>
      </c>
      <c r="F4404" s="3" t="str">
        <f t="shared" si="68"/>
        <v>C4004</v>
      </c>
    </row>
    <row r="4405" spans="1:6" ht="22.5" x14ac:dyDescent="0.2">
      <c r="A4405" s="17" t="s">
        <v>13304</v>
      </c>
      <c r="B4405" s="18" t="s">
        <v>13305</v>
      </c>
      <c r="C4405" s="17" t="s">
        <v>26</v>
      </c>
      <c r="D4405" s="19">
        <v>985.19</v>
      </c>
      <c r="F4405" s="3" t="str">
        <f t="shared" si="68"/>
        <v>C4176</v>
      </c>
    </row>
    <row r="4406" spans="1:6" x14ac:dyDescent="0.2">
      <c r="A4406" s="17">
        <v>0</v>
      </c>
      <c r="B4406" s="18"/>
      <c r="C4406" s="17">
        <v>0</v>
      </c>
      <c r="D4406" s="19">
        <v>0</v>
      </c>
      <c r="F4406" s="3">
        <f t="shared" si="68"/>
        <v>0</v>
      </c>
    </row>
    <row r="4407" spans="1:6" ht="22.5" x14ac:dyDescent="0.2">
      <c r="A4407" s="17" t="s">
        <v>13306</v>
      </c>
      <c r="B4407" s="18" t="s">
        <v>13307</v>
      </c>
      <c r="C4407" s="17" t="s">
        <v>26</v>
      </c>
      <c r="D4407" s="19">
        <v>357.06</v>
      </c>
      <c r="F4407" s="3" t="str">
        <f t="shared" si="68"/>
        <v>C4177</v>
      </c>
    </row>
    <row r="4408" spans="1:6" x14ac:dyDescent="0.2">
      <c r="A4408" s="17">
        <v>0</v>
      </c>
      <c r="B4408" s="18"/>
      <c r="C4408" s="17">
        <v>0</v>
      </c>
      <c r="D4408" s="19">
        <v>0</v>
      </c>
      <c r="F4408" s="3">
        <f t="shared" si="68"/>
        <v>0</v>
      </c>
    </row>
    <row r="4409" spans="1:6" ht="22.5" x14ac:dyDescent="0.2">
      <c r="A4409" s="17" t="s">
        <v>13308</v>
      </c>
      <c r="B4409" s="18" t="s">
        <v>13309</v>
      </c>
      <c r="C4409" s="17" t="s">
        <v>26</v>
      </c>
      <c r="D4409" s="19">
        <v>230.9</v>
      </c>
      <c r="F4409" s="3" t="str">
        <f t="shared" si="68"/>
        <v>C4041</v>
      </c>
    </row>
    <row r="4410" spans="1:6" x14ac:dyDescent="0.2">
      <c r="A4410" s="17">
        <v>0</v>
      </c>
      <c r="B4410" s="18"/>
      <c r="C4410" s="17">
        <v>0</v>
      </c>
      <c r="D4410" s="19">
        <v>0</v>
      </c>
      <c r="F4410" s="3">
        <f t="shared" si="68"/>
        <v>0</v>
      </c>
    </row>
    <row r="4411" spans="1:6" x14ac:dyDescent="0.2">
      <c r="A4411" s="17" t="s">
        <v>13310</v>
      </c>
      <c r="B4411" s="18" t="s">
        <v>13311</v>
      </c>
      <c r="C4411" s="17" t="s">
        <v>26</v>
      </c>
      <c r="D4411" s="19">
        <v>807.13</v>
      </c>
      <c r="F4411" s="3" t="str">
        <f t="shared" si="68"/>
        <v>C3765</v>
      </c>
    </row>
    <row r="4412" spans="1:6" ht="22.5" x14ac:dyDescent="0.2">
      <c r="A4412" s="17" t="s">
        <v>13312</v>
      </c>
      <c r="B4412" s="18" t="s">
        <v>13313</v>
      </c>
      <c r="C4412" s="17" t="s">
        <v>26</v>
      </c>
      <c r="D4412" s="19">
        <v>520.57000000000005</v>
      </c>
      <c r="F4412" s="3" t="str">
        <f t="shared" si="68"/>
        <v>C4564</v>
      </c>
    </row>
    <row r="4413" spans="1:6" x14ac:dyDescent="0.2">
      <c r="A4413" s="17">
        <v>0</v>
      </c>
      <c r="B4413" s="18"/>
      <c r="C4413" s="17">
        <v>0</v>
      </c>
      <c r="D4413" s="19">
        <v>0</v>
      </c>
      <c r="F4413" s="3">
        <f t="shared" si="68"/>
        <v>0</v>
      </c>
    </row>
    <row r="4414" spans="1:6" ht="22.5" x14ac:dyDescent="0.2">
      <c r="A4414" s="17" t="s">
        <v>13314</v>
      </c>
      <c r="B4414" s="18" t="s">
        <v>13315</v>
      </c>
      <c r="C4414" s="17" t="s">
        <v>26</v>
      </c>
      <c r="D4414" s="19">
        <v>807.13</v>
      </c>
      <c r="F4414" s="3" t="str">
        <f t="shared" si="68"/>
        <v>C4565</v>
      </c>
    </row>
    <row r="4415" spans="1:6" x14ac:dyDescent="0.2">
      <c r="A4415" s="17">
        <v>0</v>
      </c>
      <c r="B4415" s="18"/>
      <c r="C4415" s="17">
        <v>0</v>
      </c>
      <c r="D4415" s="19">
        <v>0</v>
      </c>
      <c r="F4415" s="3">
        <f t="shared" si="68"/>
        <v>0</v>
      </c>
    </row>
    <row r="4416" spans="1:6" x14ac:dyDescent="0.2">
      <c r="A4416" s="17" t="s">
        <v>13316</v>
      </c>
      <c r="B4416" s="18" t="s">
        <v>13317</v>
      </c>
      <c r="C4416" s="17" t="s">
        <v>26</v>
      </c>
      <c r="D4416" s="19">
        <v>1628.3</v>
      </c>
      <c r="F4416" s="3" t="str">
        <f t="shared" si="68"/>
        <v>C4050</v>
      </c>
    </row>
    <row r="4417" spans="1:6" x14ac:dyDescent="0.2">
      <c r="A4417" s="17" t="s">
        <v>13318</v>
      </c>
      <c r="B4417" s="18" t="s">
        <v>13319</v>
      </c>
      <c r="C4417" s="17" t="s">
        <v>26</v>
      </c>
      <c r="D4417" s="19">
        <v>2089.0300000000002</v>
      </c>
      <c r="F4417" s="3" t="str">
        <f t="shared" si="68"/>
        <v>C3760</v>
      </c>
    </row>
    <row r="4418" spans="1:6" x14ac:dyDescent="0.2">
      <c r="A4418" s="17" t="s">
        <v>13320</v>
      </c>
      <c r="B4418" s="18" t="s">
        <v>13321</v>
      </c>
      <c r="C4418" s="17" t="s">
        <v>26</v>
      </c>
      <c r="D4418" s="19">
        <v>2293.86</v>
      </c>
      <c r="F4418" s="3" t="str">
        <f t="shared" ref="F4418:F4481" si="69">A4418</f>
        <v>C4181</v>
      </c>
    </row>
    <row r="4419" spans="1:6" x14ac:dyDescent="0.2">
      <c r="A4419" s="17" t="s">
        <v>13322</v>
      </c>
      <c r="B4419" s="18" t="s">
        <v>13323</v>
      </c>
      <c r="C4419" s="17" t="s">
        <v>26</v>
      </c>
      <c r="D4419" s="19">
        <v>1430.46</v>
      </c>
      <c r="F4419" s="3" t="str">
        <f t="shared" si="69"/>
        <v>C4048</v>
      </c>
    </row>
    <row r="4420" spans="1:6" x14ac:dyDescent="0.2">
      <c r="A4420" s="17">
        <v>0</v>
      </c>
      <c r="B4420" s="18"/>
      <c r="C4420" s="17">
        <v>0</v>
      </c>
      <c r="D4420" s="19">
        <v>0</v>
      </c>
      <c r="F4420" s="3">
        <f t="shared" si="69"/>
        <v>0</v>
      </c>
    </row>
    <row r="4421" spans="1:6" ht="22.5" x14ac:dyDescent="0.2">
      <c r="A4421" s="17" t="s">
        <v>13324</v>
      </c>
      <c r="B4421" s="18" t="s">
        <v>13325</v>
      </c>
      <c r="C4421" s="17" t="s">
        <v>26</v>
      </c>
      <c r="D4421" s="19">
        <v>816.76</v>
      </c>
      <c r="F4421" s="3" t="str">
        <f t="shared" si="69"/>
        <v>C4049</v>
      </c>
    </row>
    <row r="4422" spans="1:6" x14ac:dyDescent="0.2">
      <c r="A4422" s="17">
        <v>0</v>
      </c>
      <c r="B4422" s="18"/>
      <c r="C4422" s="17">
        <v>0</v>
      </c>
      <c r="D4422" s="19">
        <v>0</v>
      </c>
      <c r="F4422" s="3">
        <f t="shared" si="69"/>
        <v>0</v>
      </c>
    </row>
    <row r="4423" spans="1:6" ht="22.5" x14ac:dyDescent="0.2">
      <c r="A4423" s="17" t="s">
        <v>13326</v>
      </c>
      <c r="B4423" s="18" t="s">
        <v>13327</v>
      </c>
      <c r="C4423" s="17" t="s">
        <v>8321</v>
      </c>
      <c r="D4423" s="19">
        <v>2887.62</v>
      </c>
      <c r="F4423" s="3" t="str">
        <f t="shared" si="69"/>
        <v>C4033</v>
      </c>
    </row>
    <row r="4424" spans="1:6" x14ac:dyDescent="0.2">
      <c r="A4424" s="17">
        <v>0</v>
      </c>
      <c r="B4424" s="18"/>
      <c r="C4424" s="17">
        <v>0</v>
      </c>
      <c r="D4424" s="19">
        <v>0</v>
      </c>
      <c r="F4424" s="3">
        <f t="shared" si="69"/>
        <v>0</v>
      </c>
    </row>
    <row r="4425" spans="1:6" x14ac:dyDescent="0.2">
      <c r="A4425" s="17" t="s">
        <v>13328</v>
      </c>
      <c r="B4425" s="18" t="s">
        <v>13329</v>
      </c>
      <c r="C4425" s="17" t="s">
        <v>26</v>
      </c>
      <c r="D4425" s="19">
        <v>39.68</v>
      </c>
      <c r="F4425" s="3" t="str">
        <f t="shared" si="69"/>
        <v>C4568</v>
      </c>
    </row>
    <row r="4426" spans="1:6" ht="22.5" x14ac:dyDescent="0.2">
      <c r="A4426" s="17" t="s">
        <v>13330</v>
      </c>
      <c r="B4426" s="18" t="s">
        <v>13331</v>
      </c>
      <c r="C4426" s="17" t="s">
        <v>26</v>
      </c>
      <c r="D4426" s="19">
        <v>18921.21</v>
      </c>
      <c r="F4426" s="3" t="str">
        <f t="shared" si="69"/>
        <v>C4876</v>
      </c>
    </row>
    <row r="4427" spans="1:6" x14ac:dyDescent="0.2">
      <c r="A4427" s="17">
        <v>0</v>
      </c>
      <c r="B4427" s="18"/>
      <c r="C4427" s="17">
        <v>0</v>
      </c>
      <c r="D4427" s="19">
        <v>0</v>
      </c>
      <c r="F4427" s="3">
        <f t="shared" si="69"/>
        <v>0</v>
      </c>
    </row>
    <row r="4428" spans="1:6" ht="22.5" x14ac:dyDescent="0.2">
      <c r="A4428" s="17" t="s">
        <v>13332</v>
      </c>
      <c r="B4428" s="18" t="s">
        <v>13333</v>
      </c>
      <c r="C4428" s="17" t="s">
        <v>26</v>
      </c>
      <c r="D4428" s="19">
        <v>19219.25</v>
      </c>
      <c r="F4428" s="3" t="str">
        <f t="shared" si="69"/>
        <v>C4877</v>
      </c>
    </row>
    <row r="4429" spans="1:6" x14ac:dyDescent="0.2">
      <c r="A4429" s="17">
        <v>0</v>
      </c>
      <c r="B4429" s="18"/>
      <c r="C4429" s="17">
        <v>0</v>
      </c>
      <c r="D4429" s="19">
        <v>0</v>
      </c>
      <c r="F4429" s="3">
        <f t="shared" si="69"/>
        <v>0</v>
      </c>
    </row>
    <row r="4430" spans="1:6" ht="22.5" x14ac:dyDescent="0.2">
      <c r="A4430" s="17" t="s">
        <v>13334</v>
      </c>
      <c r="B4430" s="18" t="s">
        <v>13335</v>
      </c>
      <c r="C4430" s="17" t="s">
        <v>26</v>
      </c>
      <c r="D4430" s="19">
        <v>20203.060000000001</v>
      </c>
      <c r="F4430" s="3" t="str">
        <f t="shared" si="69"/>
        <v>C4878</v>
      </c>
    </row>
    <row r="4431" spans="1:6" x14ac:dyDescent="0.2">
      <c r="A4431" s="17">
        <v>0</v>
      </c>
      <c r="B4431" s="18"/>
      <c r="C4431" s="17">
        <v>0</v>
      </c>
      <c r="D4431" s="19">
        <v>0</v>
      </c>
      <c r="F4431" s="3">
        <f t="shared" si="69"/>
        <v>0</v>
      </c>
    </row>
    <row r="4432" spans="1:6" x14ac:dyDescent="0.2">
      <c r="A4432" s="17" t="s">
        <v>13336</v>
      </c>
      <c r="B4432" s="18" t="s">
        <v>13337</v>
      </c>
      <c r="C4432" s="17" t="s">
        <v>26</v>
      </c>
      <c r="D4432" s="19">
        <v>19459.28</v>
      </c>
      <c r="F4432" s="3" t="str">
        <f t="shared" si="69"/>
        <v>C4879</v>
      </c>
    </row>
    <row r="4433" spans="1:6" x14ac:dyDescent="0.2">
      <c r="A4433" s="17">
        <v>0</v>
      </c>
      <c r="B4433" s="18"/>
      <c r="C4433" s="17">
        <v>0</v>
      </c>
      <c r="D4433" s="19">
        <v>0</v>
      </c>
      <c r="F4433" s="3">
        <f t="shared" si="69"/>
        <v>0</v>
      </c>
    </row>
    <row r="4434" spans="1:6" x14ac:dyDescent="0.2">
      <c r="A4434" s="17" t="s">
        <v>13338</v>
      </c>
      <c r="B4434" s="18" t="s">
        <v>13339</v>
      </c>
      <c r="C4434" s="17" t="s">
        <v>26</v>
      </c>
      <c r="D4434" s="19">
        <v>20092.29</v>
      </c>
      <c r="F4434" s="3" t="str">
        <f t="shared" si="69"/>
        <v>C4880</v>
      </c>
    </row>
    <row r="4435" spans="1:6" x14ac:dyDescent="0.2">
      <c r="A4435" s="17">
        <v>0</v>
      </c>
      <c r="B4435" s="18"/>
      <c r="C4435" s="17">
        <v>0</v>
      </c>
      <c r="D4435" s="19">
        <v>0</v>
      </c>
      <c r="F4435" s="3">
        <f t="shared" si="69"/>
        <v>0</v>
      </c>
    </row>
    <row r="4436" spans="1:6" ht="22.5" x14ac:dyDescent="0.2">
      <c r="A4436" s="17" t="s">
        <v>13340</v>
      </c>
      <c r="B4436" s="18" t="s">
        <v>13341</v>
      </c>
      <c r="C4436" s="17" t="s">
        <v>26</v>
      </c>
      <c r="D4436" s="19">
        <v>21105.119999999999</v>
      </c>
      <c r="F4436" s="3" t="str">
        <f t="shared" si="69"/>
        <v>C4881</v>
      </c>
    </row>
    <row r="4437" spans="1:6" x14ac:dyDescent="0.2">
      <c r="A4437" s="17">
        <v>0</v>
      </c>
      <c r="B4437" s="18"/>
      <c r="C4437" s="17">
        <v>0</v>
      </c>
      <c r="D4437" s="19">
        <v>0</v>
      </c>
      <c r="F4437" s="3">
        <f t="shared" si="69"/>
        <v>0</v>
      </c>
    </row>
    <row r="4438" spans="1:6" ht="22.5" x14ac:dyDescent="0.2">
      <c r="A4438" s="17" t="s">
        <v>13342</v>
      </c>
      <c r="B4438" s="18" t="s">
        <v>13343</v>
      </c>
      <c r="C4438" s="17" t="s">
        <v>26</v>
      </c>
      <c r="D4438" s="19">
        <v>21817.26</v>
      </c>
      <c r="F4438" s="3" t="str">
        <f t="shared" si="69"/>
        <v>C4882</v>
      </c>
    </row>
    <row r="4439" spans="1:6" x14ac:dyDescent="0.2">
      <c r="A4439" s="17">
        <v>0</v>
      </c>
      <c r="B4439" s="18"/>
      <c r="C4439" s="17">
        <v>0</v>
      </c>
      <c r="D4439" s="19">
        <v>0</v>
      </c>
      <c r="F4439" s="3">
        <f t="shared" si="69"/>
        <v>0</v>
      </c>
    </row>
    <row r="4440" spans="1:6" ht="22.5" x14ac:dyDescent="0.2">
      <c r="A4440" s="17" t="s">
        <v>13344</v>
      </c>
      <c r="B4440" s="18" t="s">
        <v>13345</v>
      </c>
      <c r="C4440" s="17" t="s">
        <v>26</v>
      </c>
      <c r="D4440" s="19">
        <v>22086.3</v>
      </c>
      <c r="F4440" s="3" t="str">
        <f t="shared" si="69"/>
        <v>C4883</v>
      </c>
    </row>
    <row r="4441" spans="1:6" x14ac:dyDescent="0.2">
      <c r="A4441" s="17">
        <v>0</v>
      </c>
      <c r="B4441" s="18"/>
      <c r="C4441" s="17">
        <v>0</v>
      </c>
      <c r="D4441" s="19">
        <v>0</v>
      </c>
      <c r="F4441" s="3">
        <f t="shared" si="69"/>
        <v>0</v>
      </c>
    </row>
    <row r="4442" spans="1:6" ht="22.5" x14ac:dyDescent="0.2">
      <c r="A4442" s="17" t="s">
        <v>13346</v>
      </c>
      <c r="B4442" s="18" t="s">
        <v>13347</v>
      </c>
      <c r="C4442" s="17" t="s">
        <v>26</v>
      </c>
      <c r="D4442" s="19">
        <v>22003</v>
      </c>
      <c r="F4442" s="3" t="str">
        <f t="shared" si="69"/>
        <v>C4884</v>
      </c>
    </row>
    <row r="4443" spans="1:6" x14ac:dyDescent="0.2">
      <c r="A4443" s="17">
        <v>0</v>
      </c>
      <c r="B4443" s="18"/>
      <c r="C4443" s="17">
        <v>0</v>
      </c>
      <c r="D4443" s="19">
        <v>0</v>
      </c>
      <c r="F4443" s="3">
        <f t="shared" si="69"/>
        <v>0</v>
      </c>
    </row>
    <row r="4444" spans="1:6" ht="22.5" x14ac:dyDescent="0.2">
      <c r="A4444" s="17" t="s">
        <v>13348</v>
      </c>
      <c r="B4444" s="18" t="s">
        <v>13349</v>
      </c>
      <c r="C4444" s="17" t="s">
        <v>26</v>
      </c>
      <c r="D4444" s="19">
        <v>22244.55</v>
      </c>
      <c r="F4444" s="3" t="str">
        <f t="shared" si="69"/>
        <v>C4885</v>
      </c>
    </row>
    <row r="4445" spans="1:6" x14ac:dyDescent="0.2">
      <c r="A4445" s="17">
        <v>0</v>
      </c>
      <c r="B4445" s="18"/>
      <c r="C4445" s="17">
        <v>0</v>
      </c>
      <c r="D4445" s="19">
        <v>0</v>
      </c>
      <c r="F4445" s="3">
        <f t="shared" si="69"/>
        <v>0</v>
      </c>
    </row>
    <row r="4446" spans="1:6" ht="22.5" x14ac:dyDescent="0.2">
      <c r="A4446" s="17" t="s">
        <v>13350</v>
      </c>
      <c r="B4446" s="18" t="s">
        <v>13351</v>
      </c>
      <c r="C4446" s="17" t="s">
        <v>26</v>
      </c>
      <c r="D4446" s="19">
        <v>22703.49</v>
      </c>
      <c r="F4446" s="3" t="str">
        <f t="shared" si="69"/>
        <v>C4886</v>
      </c>
    </row>
    <row r="4447" spans="1:6" x14ac:dyDescent="0.2">
      <c r="A4447" s="17">
        <v>0</v>
      </c>
      <c r="B4447" s="18"/>
      <c r="C4447" s="17">
        <v>0</v>
      </c>
      <c r="D4447" s="19">
        <v>0</v>
      </c>
      <c r="F4447" s="3">
        <f t="shared" si="69"/>
        <v>0</v>
      </c>
    </row>
    <row r="4448" spans="1:6" ht="22.5" x14ac:dyDescent="0.2">
      <c r="A4448" s="17" t="s">
        <v>13352</v>
      </c>
      <c r="B4448" s="18" t="s">
        <v>13353</v>
      </c>
      <c r="C4448" s="17" t="s">
        <v>26</v>
      </c>
      <c r="D4448" s="19">
        <v>23320.68</v>
      </c>
      <c r="F4448" s="3" t="str">
        <f t="shared" si="69"/>
        <v>C4887</v>
      </c>
    </row>
    <row r="4449" spans="1:6" x14ac:dyDescent="0.2">
      <c r="A4449" s="17">
        <v>0</v>
      </c>
      <c r="B4449" s="18"/>
      <c r="C4449" s="17">
        <v>0</v>
      </c>
      <c r="D4449" s="19">
        <v>0</v>
      </c>
      <c r="F4449" s="3">
        <f t="shared" si="69"/>
        <v>0</v>
      </c>
    </row>
    <row r="4450" spans="1:6" ht="22.5" x14ac:dyDescent="0.2">
      <c r="A4450" s="17" t="s">
        <v>13354</v>
      </c>
      <c r="B4450" s="18" t="s">
        <v>13355</v>
      </c>
      <c r="C4450" s="17" t="s">
        <v>26</v>
      </c>
      <c r="D4450" s="19">
        <v>23842.93</v>
      </c>
      <c r="F4450" s="3" t="str">
        <f t="shared" si="69"/>
        <v>C4888</v>
      </c>
    </row>
    <row r="4451" spans="1:6" x14ac:dyDescent="0.2">
      <c r="A4451" s="17">
        <v>0</v>
      </c>
      <c r="B4451" s="18"/>
      <c r="C4451" s="17">
        <v>0</v>
      </c>
      <c r="D4451" s="19">
        <v>0</v>
      </c>
      <c r="F4451" s="3">
        <f t="shared" si="69"/>
        <v>0</v>
      </c>
    </row>
    <row r="4452" spans="1:6" ht="22.5" x14ac:dyDescent="0.2">
      <c r="A4452" s="17" t="s">
        <v>13356</v>
      </c>
      <c r="B4452" s="18" t="s">
        <v>13357</v>
      </c>
      <c r="C4452" s="17" t="s">
        <v>26</v>
      </c>
      <c r="D4452" s="19">
        <v>24096.14</v>
      </c>
      <c r="F4452" s="3" t="str">
        <f t="shared" si="69"/>
        <v>C4889</v>
      </c>
    </row>
    <row r="4453" spans="1:6" x14ac:dyDescent="0.2">
      <c r="A4453" s="17">
        <v>0</v>
      </c>
      <c r="B4453" s="18"/>
      <c r="C4453" s="17">
        <v>0</v>
      </c>
      <c r="D4453" s="19">
        <v>0</v>
      </c>
      <c r="F4453" s="3">
        <f t="shared" si="69"/>
        <v>0</v>
      </c>
    </row>
    <row r="4454" spans="1:6" ht="22.5" x14ac:dyDescent="0.2">
      <c r="A4454" s="17" t="s">
        <v>13358</v>
      </c>
      <c r="B4454" s="18" t="s">
        <v>13359</v>
      </c>
      <c r="C4454" s="17" t="s">
        <v>26</v>
      </c>
      <c r="D4454" s="19">
        <v>24238.560000000001</v>
      </c>
      <c r="F4454" s="3" t="str">
        <f t="shared" si="69"/>
        <v>C4890</v>
      </c>
    </row>
    <row r="4455" spans="1:6" x14ac:dyDescent="0.2">
      <c r="A4455" s="17">
        <v>0</v>
      </c>
      <c r="B4455" s="18"/>
      <c r="C4455" s="17">
        <v>0</v>
      </c>
      <c r="D4455" s="19">
        <v>0</v>
      </c>
      <c r="F4455" s="3">
        <f t="shared" si="69"/>
        <v>0</v>
      </c>
    </row>
    <row r="4456" spans="1:6" ht="22.5" x14ac:dyDescent="0.2">
      <c r="A4456" s="17" t="s">
        <v>13360</v>
      </c>
      <c r="B4456" s="18" t="s">
        <v>13361</v>
      </c>
      <c r="C4456" s="17" t="s">
        <v>26</v>
      </c>
      <c r="D4456" s="19">
        <v>24951.67</v>
      </c>
      <c r="F4456" s="3" t="str">
        <f t="shared" si="69"/>
        <v>C4891</v>
      </c>
    </row>
    <row r="4457" spans="1:6" x14ac:dyDescent="0.2">
      <c r="A4457" s="17">
        <v>0</v>
      </c>
      <c r="B4457" s="18"/>
      <c r="C4457" s="17">
        <v>0</v>
      </c>
      <c r="D4457" s="19">
        <v>0</v>
      </c>
      <c r="F4457" s="3">
        <f t="shared" si="69"/>
        <v>0</v>
      </c>
    </row>
    <row r="4458" spans="1:6" ht="22.5" x14ac:dyDescent="0.2">
      <c r="A4458" s="17" t="s">
        <v>13362</v>
      </c>
      <c r="B4458" s="18" t="s">
        <v>13363</v>
      </c>
      <c r="C4458" s="17" t="s">
        <v>26</v>
      </c>
      <c r="D4458" s="19">
        <v>25362.17</v>
      </c>
      <c r="F4458" s="3" t="str">
        <f t="shared" si="69"/>
        <v>C4892</v>
      </c>
    </row>
    <row r="4459" spans="1:6" x14ac:dyDescent="0.2">
      <c r="A4459" s="17">
        <v>0</v>
      </c>
      <c r="B4459" s="18"/>
      <c r="C4459" s="17">
        <v>0</v>
      </c>
      <c r="D4459" s="19">
        <v>0</v>
      </c>
      <c r="F4459" s="3">
        <f t="shared" si="69"/>
        <v>0</v>
      </c>
    </row>
    <row r="4460" spans="1:6" ht="22.5" x14ac:dyDescent="0.2">
      <c r="A4460" s="17" t="s">
        <v>13364</v>
      </c>
      <c r="B4460" s="18" t="s">
        <v>13365</v>
      </c>
      <c r="C4460" s="17" t="s">
        <v>26</v>
      </c>
      <c r="D4460" s="19">
        <v>28163.279999999999</v>
      </c>
      <c r="F4460" s="3" t="str">
        <f t="shared" si="69"/>
        <v>C4893</v>
      </c>
    </row>
    <row r="4461" spans="1:6" x14ac:dyDescent="0.2">
      <c r="A4461" s="17">
        <v>0</v>
      </c>
      <c r="B4461" s="18"/>
      <c r="C4461" s="17">
        <v>0</v>
      </c>
      <c r="D4461" s="19">
        <v>0</v>
      </c>
      <c r="F4461" s="3">
        <f t="shared" si="69"/>
        <v>0</v>
      </c>
    </row>
    <row r="4462" spans="1:6" ht="22.5" x14ac:dyDescent="0.2">
      <c r="A4462" s="17" t="s">
        <v>13366</v>
      </c>
      <c r="B4462" s="18" t="s">
        <v>13367</v>
      </c>
      <c r="C4462" s="17" t="s">
        <v>26</v>
      </c>
      <c r="D4462" s="19">
        <v>30093.99</v>
      </c>
      <c r="F4462" s="3" t="str">
        <f t="shared" si="69"/>
        <v>C4894</v>
      </c>
    </row>
    <row r="4463" spans="1:6" x14ac:dyDescent="0.2">
      <c r="A4463" s="17">
        <v>0</v>
      </c>
      <c r="B4463" s="18"/>
      <c r="C4463" s="17">
        <v>0</v>
      </c>
      <c r="D4463" s="19">
        <v>0</v>
      </c>
      <c r="F4463" s="3">
        <f t="shared" si="69"/>
        <v>0</v>
      </c>
    </row>
    <row r="4464" spans="1:6" x14ac:dyDescent="0.2">
      <c r="A4464" s="17" t="s">
        <v>13368</v>
      </c>
      <c r="B4464" s="18" t="s">
        <v>13369</v>
      </c>
      <c r="C4464" s="17" t="s">
        <v>26</v>
      </c>
      <c r="D4464" s="19">
        <v>18.79</v>
      </c>
      <c r="F4464" s="3" t="str">
        <f t="shared" si="69"/>
        <v>C3770</v>
      </c>
    </row>
    <row r="4465" spans="1:6" x14ac:dyDescent="0.2">
      <c r="A4465" s="17" t="s">
        <v>13370</v>
      </c>
      <c r="B4465" s="18" t="s">
        <v>13371</v>
      </c>
      <c r="C4465" s="17" t="s">
        <v>26</v>
      </c>
      <c r="D4465" s="19">
        <v>19.96</v>
      </c>
      <c r="F4465" s="3" t="str">
        <f t="shared" si="69"/>
        <v>C4526</v>
      </c>
    </row>
    <row r="4466" spans="1:6" x14ac:dyDescent="0.2">
      <c r="A4466" s="17" t="s">
        <v>13372</v>
      </c>
      <c r="B4466" s="18" t="s">
        <v>13373</v>
      </c>
      <c r="C4466" s="17" t="s">
        <v>26</v>
      </c>
      <c r="D4466" s="19">
        <v>1056.8699999999999</v>
      </c>
      <c r="F4466" s="3" t="str">
        <f t="shared" si="69"/>
        <v>C5188</v>
      </c>
    </row>
    <row r="4467" spans="1:6" x14ac:dyDescent="0.2">
      <c r="A4467" s="17" t="s">
        <v>13374</v>
      </c>
      <c r="B4467" s="18" t="s">
        <v>13375</v>
      </c>
      <c r="C4467" s="17" t="s">
        <v>26</v>
      </c>
      <c r="D4467" s="19">
        <v>3312.76</v>
      </c>
      <c r="F4467" s="3" t="str">
        <f t="shared" si="69"/>
        <v>C5189</v>
      </c>
    </row>
    <row r="4468" spans="1:6" x14ac:dyDescent="0.2">
      <c r="A4468" s="17" t="s">
        <v>13376</v>
      </c>
      <c r="B4468" s="18" t="s">
        <v>13377</v>
      </c>
      <c r="C4468" s="17" t="s">
        <v>26</v>
      </c>
      <c r="D4468" s="19">
        <v>2366</v>
      </c>
      <c r="F4468" s="3" t="str">
        <f t="shared" si="69"/>
        <v>C3764</v>
      </c>
    </row>
    <row r="4469" spans="1:6" x14ac:dyDescent="0.2">
      <c r="A4469" s="17" t="s">
        <v>13378</v>
      </c>
      <c r="B4469" s="18" t="s">
        <v>13379</v>
      </c>
      <c r="C4469" s="17" t="s">
        <v>26</v>
      </c>
      <c r="D4469" s="19">
        <v>2493.84</v>
      </c>
      <c r="F4469" s="3" t="str">
        <f t="shared" si="69"/>
        <v>C3763</v>
      </c>
    </row>
    <row r="4470" spans="1:6" x14ac:dyDescent="0.2">
      <c r="A4470" s="17" t="s">
        <v>13380</v>
      </c>
      <c r="B4470" s="18" t="s">
        <v>13381</v>
      </c>
      <c r="C4470" s="17" t="s">
        <v>26</v>
      </c>
      <c r="D4470" s="19">
        <v>2864.11</v>
      </c>
      <c r="F4470" s="3" t="str">
        <f t="shared" si="69"/>
        <v>C3762</v>
      </c>
    </row>
    <row r="4471" spans="1:6" x14ac:dyDescent="0.2">
      <c r="A4471" s="17" t="s">
        <v>13382</v>
      </c>
      <c r="B4471" s="18" t="s">
        <v>13383</v>
      </c>
      <c r="C4471" s="17" t="s">
        <v>26</v>
      </c>
      <c r="D4471" s="19">
        <v>123.75</v>
      </c>
      <c r="F4471" s="3" t="str">
        <f t="shared" si="69"/>
        <v>C4569</v>
      </c>
    </row>
    <row r="4472" spans="1:6" x14ac:dyDescent="0.2">
      <c r="A4472" s="17" t="s">
        <v>13384</v>
      </c>
      <c r="B4472" s="18" t="s">
        <v>13385</v>
      </c>
      <c r="C4472" s="17" t="s">
        <v>26</v>
      </c>
      <c r="D4472" s="19">
        <v>170.02</v>
      </c>
      <c r="F4472" s="3" t="str">
        <f t="shared" si="69"/>
        <v>C4895</v>
      </c>
    </row>
    <row r="4473" spans="1:6" x14ac:dyDescent="0.2">
      <c r="A4473" s="17" t="s">
        <v>13386</v>
      </c>
      <c r="B4473" s="18" t="s">
        <v>13387</v>
      </c>
      <c r="C4473" s="17" t="s">
        <v>26</v>
      </c>
      <c r="D4473" s="19">
        <v>187.24</v>
      </c>
      <c r="F4473" s="3" t="str">
        <f t="shared" si="69"/>
        <v>C4896</v>
      </c>
    </row>
    <row r="4474" spans="1:6" ht="22.5" x14ac:dyDescent="0.2">
      <c r="A4474" s="17" t="s">
        <v>13388</v>
      </c>
      <c r="B4474" s="18" t="s">
        <v>13389</v>
      </c>
      <c r="C4474" s="17" t="s">
        <v>26</v>
      </c>
      <c r="D4474" s="19">
        <v>5451.74</v>
      </c>
      <c r="F4474" s="3" t="str">
        <f t="shared" si="69"/>
        <v>C4563</v>
      </c>
    </row>
    <row r="4475" spans="1:6" x14ac:dyDescent="0.2">
      <c r="A4475" s="17">
        <v>0</v>
      </c>
      <c r="B4475" s="18"/>
      <c r="C4475" s="17">
        <v>0</v>
      </c>
      <c r="D4475" s="19">
        <v>0</v>
      </c>
      <c r="F4475" s="3">
        <f t="shared" si="69"/>
        <v>0</v>
      </c>
    </row>
    <row r="4476" spans="1:6" ht="22.5" x14ac:dyDescent="0.2">
      <c r="A4476" s="17" t="s">
        <v>13390</v>
      </c>
      <c r="B4476" s="18" t="s">
        <v>13391</v>
      </c>
      <c r="C4476" s="17" t="s">
        <v>26</v>
      </c>
      <c r="D4476" s="19">
        <v>145.38</v>
      </c>
      <c r="F4476" s="3" t="str">
        <f t="shared" si="69"/>
        <v>C4044</v>
      </c>
    </row>
    <row r="4477" spans="1:6" x14ac:dyDescent="0.2">
      <c r="A4477" s="17">
        <v>0</v>
      </c>
      <c r="B4477" s="18"/>
      <c r="C4477" s="17">
        <v>0</v>
      </c>
      <c r="D4477" s="19">
        <v>0</v>
      </c>
      <c r="F4477" s="3">
        <f t="shared" si="69"/>
        <v>0</v>
      </c>
    </row>
    <row r="4478" spans="1:6" x14ac:dyDescent="0.2">
      <c r="A4478" s="17" t="s">
        <v>13392</v>
      </c>
      <c r="B4478" s="18" t="s">
        <v>13393</v>
      </c>
      <c r="C4478" s="17" t="s">
        <v>26</v>
      </c>
      <c r="D4478" s="19">
        <v>787.99</v>
      </c>
      <c r="F4478" s="3" t="str">
        <f t="shared" si="69"/>
        <v>C4055</v>
      </c>
    </row>
    <row r="4479" spans="1:6" x14ac:dyDescent="0.2">
      <c r="A4479" s="17">
        <v>0</v>
      </c>
      <c r="B4479" s="18"/>
      <c r="C4479" s="17">
        <v>0</v>
      </c>
      <c r="D4479" s="19">
        <v>0</v>
      </c>
      <c r="F4479" s="3">
        <f t="shared" si="69"/>
        <v>0</v>
      </c>
    </row>
    <row r="4480" spans="1:6" x14ac:dyDescent="0.2">
      <c r="A4480" s="17" t="s">
        <v>13394</v>
      </c>
      <c r="B4480" s="18" t="s">
        <v>13395</v>
      </c>
      <c r="C4480" s="17" t="s">
        <v>26</v>
      </c>
      <c r="D4480" s="19">
        <v>2740.48</v>
      </c>
      <c r="F4480" s="3" t="str">
        <f t="shared" si="69"/>
        <v>C4398</v>
      </c>
    </row>
    <row r="4481" spans="1:6" ht="22.5" x14ac:dyDescent="0.2">
      <c r="A4481" s="17" t="s">
        <v>13396</v>
      </c>
      <c r="B4481" s="18" t="s">
        <v>13397</v>
      </c>
      <c r="C4481" s="17" t="s">
        <v>26</v>
      </c>
      <c r="D4481" s="19">
        <v>6912.16</v>
      </c>
      <c r="F4481" s="3" t="str">
        <f t="shared" si="69"/>
        <v>C4180</v>
      </c>
    </row>
    <row r="4482" spans="1:6" x14ac:dyDescent="0.2">
      <c r="A4482" s="17">
        <v>0</v>
      </c>
      <c r="B4482" s="18"/>
      <c r="C4482" s="17">
        <v>0</v>
      </c>
      <c r="D4482" s="19">
        <v>0</v>
      </c>
      <c r="F4482" s="3">
        <f t="shared" ref="F4482:F4545" si="70">A4482</f>
        <v>0</v>
      </c>
    </row>
    <row r="4483" spans="1:6" x14ac:dyDescent="0.2">
      <c r="A4483" s="17" t="s">
        <v>13398</v>
      </c>
      <c r="B4483" s="18" t="s">
        <v>13399</v>
      </c>
      <c r="C4483" s="17" t="s">
        <v>26</v>
      </c>
      <c r="D4483" s="19">
        <v>4795.8599999999997</v>
      </c>
      <c r="F4483" s="3" t="str">
        <f t="shared" si="70"/>
        <v>C4054</v>
      </c>
    </row>
    <row r="4484" spans="1:6" ht="22.5" x14ac:dyDescent="0.2">
      <c r="A4484" s="17" t="s">
        <v>13400</v>
      </c>
      <c r="B4484" s="18" t="s">
        <v>13401</v>
      </c>
      <c r="C4484" s="17" t="s">
        <v>26</v>
      </c>
      <c r="D4484" s="19">
        <v>4316.2700000000004</v>
      </c>
      <c r="F4484" s="3" t="str">
        <f t="shared" si="70"/>
        <v>C4040</v>
      </c>
    </row>
    <row r="4485" spans="1:6" x14ac:dyDescent="0.2">
      <c r="A4485" s="17">
        <v>0</v>
      </c>
      <c r="B4485" s="18"/>
      <c r="C4485" s="17">
        <v>0</v>
      </c>
      <c r="D4485" s="19">
        <v>0</v>
      </c>
      <c r="F4485" s="3">
        <f t="shared" si="70"/>
        <v>0</v>
      </c>
    </row>
    <row r="4486" spans="1:6" ht="22.5" x14ac:dyDescent="0.2">
      <c r="A4486" s="17" t="s">
        <v>13402</v>
      </c>
      <c r="B4486" s="18" t="s">
        <v>13403</v>
      </c>
      <c r="C4486" s="17" t="s">
        <v>26</v>
      </c>
      <c r="D4486" s="19">
        <v>2632.56</v>
      </c>
      <c r="F4486" s="3" t="str">
        <f t="shared" si="70"/>
        <v>C4056</v>
      </c>
    </row>
    <row r="4487" spans="1:6" x14ac:dyDescent="0.2">
      <c r="A4487" s="17">
        <v>0</v>
      </c>
      <c r="B4487" s="18"/>
      <c r="C4487" s="17">
        <v>0</v>
      </c>
      <c r="D4487" s="19">
        <v>0</v>
      </c>
      <c r="F4487" s="3">
        <f t="shared" si="70"/>
        <v>0</v>
      </c>
    </row>
    <row r="4488" spans="1:6" x14ac:dyDescent="0.2">
      <c r="A4488" s="14" t="s">
        <v>7834</v>
      </c>
      <c r="B4488" s="15"/>
      <c r="C4488" s="14">
        <v>0</v>
      </c>
      <c r="D4488" s="16">
        <v>88588.06</v>
      </c>
      <c r="F4488" s="3" t="str">
        <f t="shared" si="70"/>
        <v>OUTROS ELEMENTOS</v>
      </c>
    </row>
    <row r="4489" spans="1:6" x14ac:dyDescent="0.2">
      <c r="A4489" s="17" t="s">
        <v>13404</v>
      </c>
      <c r="B4489" s="18" t="s">
        <v>13405</v>
      </c>
      <c r="C4489" s="17" t="s">
        <v>8321</v>
      </c>
      <c r="D4489" s="19">
        <v>950.52</v>
      </c>
      <c r="F4489" s="3" t="str">
        <f t="shared" si="70"/>
        <v>C0327</v>
      </c>
    </row>
    <row r="4490" spans="1:6" x14ac:dyDescent="0.2">
      <c r="A4490" s="17" t="s">
        <v>13406</v>
      </c>
      <c r="B4490" s="18" t="s">
        <v>13407</v>
      </c>
      <c r="C4490" s="17" t="s">
        <v>26</v>
      </c>
      <c r="D4490" s="19">
        <v>324.91000000000003</v>
      </c>
      <c r="F4490" s="3" t="str">
        <f t="shared" si="70"/>
        <v>C0326</v>
      </c>
    </row>
    <row r="4491" spans="1:6" x14ac:dyDescent="0.2">
      <c r="A4491" s="17" t="s">
        <v>13408</v>
      </c>
      <c r="B4491" s="18" t="s">
        <v>13409</v>
      </c>
      <c r="C4491" s="17" t="s">
        <v>26</v>
      </c>
      <c r="D4491" s="19">
        <v>374.78</v>
      </c>
      <c r="F4491" s="3" t="str">
        <f t="shared" si="70"/>
        <v>C0325</v>
      </c>
    </row>
    <row r="4492" spans="1:6" x14ac:dyDescent="0.2">
      <c r="A4492" s="17" t="s">
        <v>13410</v>
      </c>
      <c r="B4492" s="18" t="s">
        <v>13411</v>
      </c>
      <c r="C4492" s="17" t="s">
        <v>26</v>
      </c>
      <c r="D4492" s="19">
        <v>329.79</v>
      </c>
      <c r="F4492" s="3" t="str">
        <f t="shared" si="70"/>
        <v>C4765</v>
      </c>
    </row>
    <row r="4493" spans="1:6" x14ac:dyDescent="0.2">
      <c r="A4493" s="17" t="s">
        <v>13412</v>
      </c>
      <c r="B4493" s="18" t="s">
        <v>13413</v>
      </c>
      <c r="C4493" s="17" t="s">
        <v>26</v>
      </c>
      <c r="D4493" s="19">
        <v>133.83000000000001</v>
      </c>
      <c r="F4493" s="3" t="str">
        <f t="shared" si="70"/>
        <v>C4562</v>
      </c>
    </row>
    <row r="4494" spans="1:6" x14ac:dyDescent="0.2">
      <c r="A4494" s="17" t="s">
        <v>13414</v>
      </c>
      <c r="B4494" s="18" t="s">
        <v>13415</v>
      </c>
      <c r="C4494" s="17" t="s">
        <v>0</v>
      </c>
      <c r="D4494" s="19">
        <v>142.41999999999999</v>
      </c>
      <c r="F4494" s="3" t="str">
        <f t="shared" si="70"/>
        <v>C1152</v>
      </c>
    </row>
    <row r="4495" spans="1:6" x14ac:dyDescent="0.2">
      <c r="A4495" s="20" t="s">
        <v>13416</v>
      </c>
      <c r="B4495" s="18" t="s">
        <v>39800</v>
      </c>
      <c r="C4495" s="17" t="s">
        <v>26</v>
      </c>
      <c r="D4495" s="19">
        <v>128.1</v>
      </c>
      <c r="F4495" s="3" t="str">
        <f t="shared" si="70"/>
        <v>C4933</v>
      </c>
    </row>
    <row r="4496" spans="1:6" x14ac:dyDescent="0.2">
      <c r="A4496" s="17">
        <v>0</v>
      </c>
      <c r="B4496" s="18"/>
      <c r="C4496" s="17">
        <v>0</v>
      </c>
      <c r="D4496" s="19">
        <v>0</v>
      </c>
      <c r="F4496" s="3">
        <f t="shared" si="70"/>
        <v>0</v>
      </c>
    </row>
    <row r="4497" spans="1:6" x14ac:dyDescent="0.2">
      <c r="A4497" s="17" t="s">
        <v>13417</v>
      </c>
      <c r="B4497" s="18" t="s">
        <v>13418</v>
      </c>
      <c r="C4497" s="17" t="s">
        <v>26</v>
      </c>
      <c r="D4497" s="19">
        <v>103.26</v>
      </c>
      <c r="F4497" s="3" t="str">
        <f t="shared" si="70"/>
        <v>C4767</v>
      </c>
    </row>
    <row r="4498" spans="1:6" x14ac:dyDescent="0.2">
      <c r="A4498" s="17" t="s">
        <v>13419</v>
      </c>
      <c r="B4498" s="18" t="s">
        <v>13420</v>
      </c>
      <c r="C4498" s="17" t="s">
        <v>26</v>
      </c>
      <c r="D4498" s="19">
        <v>38.369999999999997</v>
      </c>
      <c r="F4498" s="3" t="str">
        <f t="shared" si="70"/>
        <v>C3575</v>
      </c>
    </row>
    <row r="4499" spans="1:6" x14ac:dyDescent="0.2">
      <c r="A4499" s="17" t="s">
        <v>13421</v>
      </c>
      <c r="B4499" s="18" t="s">
        <v>13422</v>
      </c>
      <c r="C4499" s="17" t="s">
        <v>26</v>
      </c>
      <c r="D4499" s="19">
        <v>155.15</v>
      </c>
      <c r="F4499" s="3" t="str">
        <f t="shared" si="70"/>
        <v>C3910</v>
      </c>
    </row>
    <row r="4500" spans="1:6" x14ac:dyDescent="0.2">
      <c r="A4500" s="17" t="s">
        <v>13423</v>
      </c>
      <c r="B4500" s="18" t="s">
        <v>13424</v>
      </c>
      <c r="C4500" s="17" t="s">
        <v>26</v>
      </c>
      <c r="D4500" s="19">
        <v>3281.64</v>
      </c>
      <c r="F4500" s="3" t="str">
        <f t="shared" si="70"/>
        <v>C4208</v>
      </c>
    </row>
    <row r="4501" spans="1:6" x14ac:dyDescent="0.2">
      <c r="A4501" s="17" t="s">
        <v>13425</v>
      </c>
      <c r="B4501" s="18" t="s">
        <v>13426</v>
      </c>
      <c r="C4501" s="17" t="s">
        <v>26</v>
      </c>
      <c r="D4501" s="19">
        <v>916.4</v>
      </c>
      <c r="F4501" s="3" t="str">
        <f t="shared" si="70"/>
        <v>C1790</v>
      </c>
    </row>
    <row r="4502" spans="1:6" x14ac:dyDescent="0.2">
      <c r="A4502" s="17" t="s">
        <v>13427</v>
      </c>
      <c r="B4502" s="18" t="s">
        <v>13428</v>
      </c>
      <c r="C4502" s="17" t="s">
        <v>26</v>
      </c>
      <c r="D4502" s="19">
        <v>2828.32</v>
      </c>
      <c r="F4502" s="3" t="str">
        <f t="shared" si="70"/>
        <v>C4203</v>
      </c>
    </row>
    <row r="4503" spans="1:6" x14ac:dyDescent="0.2">
      <c r="A4503" s="17" t="s">
        <v>13429</v>
      </c>
      <c r="B4503" s="18" t="s">
        <v>13430</v>
      </c>
      <c r="C4503" s="17" t="s">
        <v>26</v>
      </c>
      <c r="D4503" s="19">
        <v>112.39</v>
      </c>
      <c r="F4503" s="3" t="str">
        <f t="shared" si="70"/>
        <v>C4561</v>
      </c>
    </row>
    <row r="4504" spans="1:6" x14ac:dyDescent="0.2">
      <c r="A4504" s="17" t="s">
        <v>13431</v>
      </c>
      <c r="B4504" s="18" t="s">
        <v>13432</v>
      </c>
      <c r="C4504" s="17" t="s">
        <v>26</v>
      </c>
      <c r="D4504" s="19">
        <v>49.23</v>
      </c>
      <c r="F4504" s="3" t="str">
        <f t="shared" si="70"/>
        <v>C3577</v>
      </c>
    </row>
    <row r="4505" spans="1:6" x14ac:dyDescent="0.2">
      <c r="A4505" s="17" t="s">
        <v>13433</v>
      </c>
      <c r="B4505" s="18" t="s">
        <v>13434</v>
      </c>
      <c r="C4505" s="17" t="s">
        <v>26</v>
      </c>
      <c r="D4505" s="19">
        <v>2677.12</v>
      </c>
      <c r="F4505" s="3" t="str">
        <f t="shared" si="70"/>
        <v>C3453</v>
      </c>
    </row>
    <row r="4506" spans="1:6" x14ac:dyDescent="0.2">
      <c r="A4506" s="17" t="s">
        <v>13435</v>
      </c>
      <c r="B4506" s="18" t="s">
        <v>13436</v>
      </c>
      <c r="C4506" s="17" t="s">
        <v>26</v>
      </c>
      <c r="D4506" s="19">
        <v>4015.68</v>
      </c>
      <c r="F4506" s="3" t="str">
        <f t="shared" si="70"/>
        <v>C3452</v>
      </c>
    </row>
    <row r="4507" spans="1:6" x14ac:dyDescent="0.2">
      <c r="A4507" s="17" t="s">
        <v>13437</v>
      </c>
      <c r="B4507" s="18" t="s">
        <v>13438</v>
      </c>
      <c r="C4507" s="17" t="s">
        <v>26</v>
      </c>
      <c r="D4507" s="19">
        <v>7008.48</v>
      </c>
      <c r="F4507" s="3" t="str">
        <f t="shared" si="70"/>
        <v>C3454</v>
      </c>
    </row>
    <row r="4508" spans="1:6" x14ac:dyDescent="0.2">
      <c r="A4508" s="17" t="s">
        <v>13439</v>
      </c>
      <c r="B4508" s="18" t="s">
        <v>13440</v>
      </c>
      <c r="C4508" s="17" t="s">
        <v>26</v>
      </c>
      <c r="D4508" s="19">
        <v>13676</v>
      </c>
      <c r="F4508" s="3" t="str">
        <f t="shared" si="70"/>
        <v>C3455</v>
      </c>
    </row>
    <row r="4509" spans="1:6" x14ac:dyDescent="0.2">
      <c r="A4509" s="17" t="s">
        <v>13441</v>
      </c>
      <c r="B4509" s="18" t="s">
        <v>13442</v>
      </c>
      <c r="C4509" s="17" t="s">
        <v>26</v>
      </c>
      <c r="D4509" s="19">
        <v>19661.599999999999</v>
      </c>
      <c r="F4509" s="3" t="str">
        <f t="shared" si="70"/>
        <v>C3456</v>
      </c>
    </row>
    <row r="4510" spans="1:6" x14ac:dyDescent="0.2">
      <c r="A4510" s="17" t="s">
        <v>13443</v>
      </c>
      <c r="B4510" s="18" t="s">
        <v>13444</v>
      </c>
      <c r="C4510" s="17" t="s">
        <v>26</v>
      </c>
      <c r="D4510" s="19">
        <v>3977.05</v>
      </c>
      <c r="F4510" s="3" t="str">
        <f t="shared" si="70"/>
        <v>C4599</v>
      </c>
    </row>
    <row r="4511" spans="1:6" x14ac:dyDescent="0.2">
      <c r="A4511" s="17" t="s">
        <v>13445</v>
      </c>
      <c r="B4511" s="18" t="s">
        <v>13446</v>
      </c>
      <c r="C4511" s="17" t="s">
        <v>26</v>
      </c>
      <c r="D4511" s="19">
        <v>257.39</v>
      </c>
      <c r="F4511" s="3" t="str">
        <f t="shared" si="70"/>
        <v>C2059</v>
      </c>
    </row>
    <row r="4512" spans="1:6" x14ac:dyDescent="0.2">
      <c r="A4512" s="17" t="s">
        <v>13447</v>
      </c>
      <c r="B4512" s="18" t="s">
        <v>13448</v>
      </c>
      <c r="C4512" s="17" t="s">
        <v>26</v>
      </c>
      <c r="D4512" s="19">
        <v>157.31</v>
      </c>
      <c r="F4512" s="3" t="str">
        <f t="shared" si="70"/>
        <v>C2060</v>
      </c>
    </row>
    <row r="4513" spans="1:6" x14ac:dyDescent="0.2">
      <c r="A4513" s="17" t="s">
        <v>13449</v>
      </c>
      <c r="B4513" s="18" t="s">
        <v>13450</v>
      </c>
      <c r="C4513" s="17" t="s">
        <v>26</v>
      </c>
      <c r="D4513" s="19">
        <v>882.53</v>
      </c>
      <c r="F4513" s="3" t="str">
        <f t="shared" si="70"/>
        <v>C3929</v>
      </c>
    </row>
    <row r="4514" spans="1:6" x14ac:dyDescent="0.2">
      <c r="A4514" s="17" t="s">
        <v>13451</v>
      </c>
      <c r="B4514" s="18" t="s">
        <v>13452</v>
      </c>
      <c r="C4514" s="17" t="s">
        <v>11503</v>
      </c>
      <c r="D4514" s="19">
        <v>264.14999999999998</v>
      </c>
      <c r="F4514" s="3" t="str">
        <f t="shared" si="70"/>
        <v>C1947</v>
      </c>
    </row>
    <row r="4515" spans="1:6" x14ac:dyDescent="0.2">
      <c r="A4515" s="17" t="s">
        <v>13453</v>
      </c>
      <c r="B4515" s="18" t="s">
        <v>13454</v>
      </c>
      <c r="C4515" s="17" t="s">
        <v>11503</v>
      </c>
      <c r="D4515" s="19">
        <v>207.57</v>
      </c>
      <c r="F4515" s="3" t="str">
        <f t="shared" si="70"/>
        <v>C1949</v>
      </c>
    </row>
    <row r="4516" spans="1:6" x14ac:dyDescent="0.2">
      <c r="A4516" s="17" t="s">
        <v>13455</v>
      </c>
      <c r="B4516" s="18" t="s">
        <v>13456</v>
      </c>
      <c r="C4516" s="17" t="s">
        <v>11503</v>
      </c>
      <c r="D4516" s="19">
        <v>414.65</v>
      </c>
      <c r="F4516" s="3" t="str">
        <f t="shared" si="70"/>
        <v>C3679</v>
      </c>
    </row>
    <row r="4517" spans="1:6" x14ac:dyDescent="0.2">
      <c r="A4517" s="17" t="s">
        <v>13457</v>
      </c>
      <c r="B4517" s="18" t="s">
        <v>13458</v>
      </c>
      <c r="C4517" s="17" t="s">
        <v>11503</v>
      </c>
      <c r="D4517" s="19">
        <v>233.34</v>
      </c>
      <c r="F4517" s="3" t="str">
        <f t="shared" si="70"/>
        <v>C1951</v>
      </c>
    </row>
    <row r="4518" spans="1:6" x14ac:dyDescent="0.2">
      <c r="A4518" s="17" t="s">
        <v>13459</v>
      </c>
      <c r="B4518" s="18" t="s">
        <v>13460</v>
      </c>
      <c r="C4518" s="17" t="s">
        <v>26</v>
      </c>
      <c r="D4518" s="19">
        <v>209.17</v>
      </c>
      <c r="F4518" s="3" t="str">
        <f t="shared" si="70"/>
        <v>C2056</v>
      </c>
    </row>
    <row r="4519" spans="1:6" x14ac:dyDescent="0.2">
      <c r="A4519" s="17" t="s">
        <v>13461</v>
      </c>
      <c r="B4519" s="18" t="s">
        <v>13462</v>
      </c>
      <c r="C4519" s="17" t="s">
        <v>26</v>
      </c>
      <c r="D4519" s="19">
        <v>11704.18</v>
      </c>
      <c r="F4519" s="3" t="str">
        <f t="shared" si="70"/>
        <v>C4214</v>
      </c>
    </row>
    <row r="4520" spans="1:6" x14ac:dyDescent="0.2">
      <c r="A4520" s="17" t="s">
        <v>13463</v>
      </c>
      <c r="B4520" s="18" t="s">
        <v>13464</v>
      </c>
      <c r="C4520" s="17" t="s">
        <v>26</v>
      </c>
      <c r="D4520" s="19">
        <v>39.74</v>
      </c>
      <c r="F4520" s="3" t="str">
        <f t="shared" si="70"/>
        <v>C3909</v>
      </c>
    </row>
    <row r="4521" spans="1:6" x14ac:dyDescent="0.2">
      <c r="A4521" s="17" t="s">
        <v>13465</v>
      </c>
      <c r="B4521" s="18" t="s">
        <v>13466</v>
      </c>
      <c r="C4521" s="17" t="s">
        <v>26</v>
      </c>
      <c r="D4521" s="19">
        <v>13240.91</v>
      </c>
      <c r="F4521" s="3" t="str">
        <f t="shared" si="70"/>
        <v>C4215</v>
      </c>
    </row>
    <row r="4522" spans="1:6" x14ac:dyDescent="0.2">
      <c r="A4522" s="17" t="s">
        <v>13467</v>
      </c>
      <c r="B4522" s="18" t="s">
        <v>13468</v>
      </c>
      <c r="C4522" s="17" t="s">
        <v>26</v>
      </c>
      <c r="D4522" s="19">
        <v>92.08</v>
      </c>
      <c r="F4522" s="3" t="str">
        <f t="shared" si="70"/>
        <v>C2424</v>
      </c>
    </row>
    <row r="4523" spans="1:6" x14ac:dyDescent="0.2">
      <c r="A4523" s="14" t="s">
        <v>13469</v>
      </c>
      <c r="B4523" s="15"/>
      <c r="C4523" s="14">
        <v>0</v>
      </c>
      <c r="D4523" s="16">
        <v>2862.57</v>
      </c>
      <c r="F4523" s="3" t="str">
        <f t="shared" si="70"/>
        <v>PINTURA</v>
      </c>
    </row>
    <row r="4524" spans="1:6" x14ac:dyDescent="0.2">
      <c r="A4524" s="14" t="s">
        <v>13470</v>
      </c>
      <c r="B4524" s="15"/>
      <c r="C4524" s="14">
        <v>0</v>
      </c>
      <c r="D4524" s="16">
        <v>847.38</v>
      </c>
      <c r="F4524" s="3" t="str">
        <f t="shared" si="70"/>
        <v>PAREDES E FORROS</v>
      </c>
    </row>
    <row r="4525" spans="1:6" x14ac:dyDescent="0.2">
      <c r="A4525" s="17" t="s">
        <v>13471</v>
      </c>
      <c r="B4525" s="18" t="s">
        <v>13472</v>
      </c>
      <c r="C4525" s="17" t="s">
        <v>255</v>
      </c>
      <c r="D4525" s="19">
        <v>19.47</v>
      </c>
      <c r="F4525" s="3" t="str">
        <f t="shared" si="70"/>
        <v>C3487</v>
      </c>
    </row>
    <row r="4526" spans="1:6" x14ac:dyDescent="0.2">
      <c r="A4526" s="17" t="s">
        <v>13473</v>
      </c>
      <c r="B4526" s="18" t="s">
        <v>13474</v>
      </c>
      <c r="C4526" s="17" t="s">
        <v>255</v>
      </c>
      <c r="D4526" s="19">
        <v>5.27</v>
      </c>
      <c r="F4526" s="3" t="str">
        <f t="shared" si="70"/>
        <v>C0588</v>
      </c>
    </row>
    <row r="4527" spans="1:6" x14ac:dyDescent="0.2">
      <c r="A4527" s="17" t="s">
        <v>13475</v>
      </c>
      <c r="B4527" s="18" t="s">
        <v>13476</v>
      </c>
      <c r="C4527" s="17" t="s">
        <v>255</v>
      </c>
      <c r="D4527" s="19">
        <v>7.91</v>
      </c>
      <c r="F4527" s="3" t="str">
        <f t="shared" si="70"/>
        <v>C0589</v>
      </c>
    </row>
    <row r="4528" spans="1:6" x14ac:dyDescent="0.2">
      <c r="A4528" s="17" t="s">
        <v>13477</v>
      </c>
      <c r="B4528" s="18" t="s">
        <v>13478</v>
      </c>
      <c r="C4528" s="17" t="s">
        <v>255</v>
      </c>
      <c r="D4528" s="19">
        <v>14.56</v>
      </c>
      <c r="F4528" s="3" t="str">
        <f t="shared" si="70"/>
        <v>C0866</v>
      </c>
    </row>
    <row r="4529" spans="1:6" x14ac:dyDescent="0.2">
      <c r="A4529" s="17" t="s">
        <v>13479</v>
      </c>
      <c r="B4529" s="18" t="s">
        <v>13480</v>
      </c>
      <c r="C4529" s="17" t="s">
        <v>255</v>
      </c>
      <c r="D4529" s="19">
        <v>23.48</v>
      </c>
      <c r="F4529" s="3" t="str">
        <f t="shared" si="70"/>
        <v>C0867</v>
      </c>
    </row>
    <row r="4530" spans="1:6" x14ac:dyDescent="0.2">
      <c r="A4530" s="17" t="s">
        <v>13481</v>
      </c>
      <c r="B4530" s="18" t="s">
        <v>13482</v>
      </c>
      <c r="C4530" s="17" t="s">
        <v>255</v>
      </c>
      <c r="D4530" s="19">
        <v>16.25</v>
      </c>
      <c r="F4530" s="3" t="str">
        <f t="shared" si="70"/>
        <v>C1207</v>
      </c>
    </row>
    <row r="4531" spans="1:6" x14ac:dyDescent="0.2">
      <c r="A4531" s="17" t="s">
        <v>13483</v>
      </c>
      <c r="B4531" s="18" t="s">
        <v>13484</v>
      </c>
      <c r="C4531" s="17" t="s">
        <v>255</v>
      </c>
      <c r="D4531" s="19">
        <v>12.83</v>
      </c>
      <c r="F4531" s="3" t="str">
        <f t="shared" si="70"/>
        <v>C1208</v>
      </c>
    </row>
    <row r="4532" spans="1:6" x14ac:dyDescent="0.2">
      <c r="A4532" s="17" t="s">
        <v>13485</v>
      </c>
      <c r="B4532" s="18" t="s">
        <v>13486</v>
      </c>
      <c r="C4532" s="17" t="s">
        <v>255</v>
      </c>
      <c r="D4532" s="19">
        <v>17.79</v>
      </c>
      <c r="F4532" s="3" t="str">
        <f t="shared" si="70"/>
        <v>C1209</v>
      </c>
    </row>
    <row r="4533" spans="1:6" x14ac:dyDescent="0.2">
      <c r="A4533" s="17" t="s">
        <v>13487</v>
      </c>
      <c r="B4533" s="18" t="s">
        <v>13488</v>
      </c>
      <c r="C4533" s="17" t="s">
        <v>255</v>
      </c>
      <c r="D4533" s="19">
        <v>13.18</v>
      </c>
      <c r="F4533" s="3" t="str">
        <f t="shared" si="70"/>
        <v>C1233</v>
      </c>
    </row>
    <row r="4534" spans="1:6" x14ac:dyDescent="0.2">
      <c r="A4534" s="17" t="s">
        <v>13489</v>
      </c>
      <c r="B4534" s="18" t="s">
        <v>13490</v>
      </c>
      <c r="C4534" s="17" t="s">
        <v>255</v>
      </c>
      <c r="D4534" s="19">
        <v>32.44</v>
      </c>
      <c r="F4534" s="3" t="str">
        <f t="shared" si="70"/>
        <v>C1234</v>
      </c>
    </row>
    <row r="4535" spans="1:6" x14ac:dyDescent="0.2">
      <c r="A4535" s="17" t="s">
        <v>13491</v>
      </c>
      <c r="B4535" s="18" t="s">
        <v>13492</v>
      </c>
      <c r="C4535" s="17" t="s">
        <v>255</v>
      </c>
      <c r="D4535" s="19">
        <v>26.67</v>
      </c>
      <c r="F4535" s="3" t="str">
        <f t="shared" si="70"/>
        <v>C4167</v>
      </c>
    </row>
    <row r="4536" spans="1:6" x14ac:dyDescent="0.2">
      <c r="A4536" s="17" t="s">
        <v>13493</v>
      </c>
      <c r="B4536" s="18" t="s">
        <v>13494</v>
      </c>
      <c r="C4536" s="17" t="s">
        <v>255</v>
      </c>
      <c r="D4536" s="19">
        <v>22.85</v>
      </c>
      <c r="F4536" s="3" t="str">
        <f t="shared" si="70"/>
        <v>C1614</v>
      </c>
    </row>
    <row r="4537" spans="1:6" x14ac:dyDescent="0.2">
      <c r="A4537" s="17" t="s">
        <v>13495</v>
      </c>
      <c r="B4537" s="18" t="s">
        <v>13496</v>
      </c>
      <c r="C4537" s="17" t="s">
        <v>255</v>
      </c>
      <c r="D4537" s="19">
        <v>21.07</v>
      </c>
      <c r="F4537" s="3" t="str">
        <f t="shared" si="70"/>
        <v>C1615</v>
      </c>
    </row>
    <row r="4538" spans="1:6" x14ac:dyDescent="0.2">
      <c r="A4538" s="17" t="s">
        <v>13497</v>
      </c>
      <c r="B4538" s="18" t="s">
        <v>13498</v>
      </c>
      <c r="C4538" s="17" t="s">
        <v>255</v>
      </c>
      <c r="D4538" s="19">
        <v>27.77</v>
      </c>
      <c r="F4538" s="3" t="str">
        <f t="shared" si="70"/>
        <v>C1616</v>
      </c>
    </row>
    <row r="4539" spans="1:6" x14ac:dyDescent="0.2">
      <c r="A4539" s="17" t="s">
        <v>13499</v>
      </c>
      <c r="B4539" s="18" t="s">
        <v>13500</v>
      </c>
      <c r="C4539" s="17" t="s">
        <v>255</v>
      </c>
      <c r="D4539" s="19">
        <v>25.72</v>
      </c>
      <c r="F4539" s="3" t="str">
        <f t="shared" si="70"/>
        <v>C1617</v>
      </c>
    </row>
    <row r="4540" spans="1:6" x14ac:dyDescent="0.2">
      <c r="A4540" s="17" t="s">
        <v>13501</v>
      </c>
      <c r="B4540" s="18" t="s">
        <v>13502</v>
      </c>
      <c r="C4540" s="17" t="s">
        <v>255</v>
      </c>
      <c r="D4540" s="19">
        <v>8.6300000000000008</v>
      </c>
      <c r="F4540" s="3" t="str">
        <f t="shared" si="70"/>
        <v>C3550</v>
      </c>
    </row>
    <row r="4541" spans="1:6" x14ac:dyDescent="0.2">
      <c r="A4541" s="17" t="s">
        <v>13503</v>
      </c>
      <c r="B4541" s="18" t="s">
        <v>13504</v>
      </c>
      <c r="C4541" s="17" t="s">
        <v>255</v>
      </c>
      <c r="D4541" s="19">
        <v>133.38</v>
      </c>
      <c r="F4541" s="3" t="str">
        <f t="shared" si="70"/>
        <v>C1905</v>
      </c>
    </row>
    <row r="4542" spans="1:6" x14ac:dyDescent="0.2">
      <c r="A4542" s="17" t="s">
        <v>13505</v>
      </c>
      <c r="B4542" s="18" t="s">
        <v>13506</v>
      </c>
      <c r="C4542" s="17" t="s">
        <v>255</v>
      </c>
      <c r="D4542" s="19">
        <v>8.24</v>
      </c>
      <c r="F4542" s="3" t="str">
        <f t="shared" si="70"/>
        <v>C3098</v>
      </c>
    </row>
    <row r="4543" spans="1:6" x14ac:dyDescent="0.2">
      <c r="A4543" s="17" t="s">
        <v>13507</v>
      </c>
      <c r="B4543" s="18" t="s">
        <v>13508</v>
      </c>
      <c r="C4543" s="17" t="s">
        <v>255</v>
      </c>
      <c r="D4543" s="19">
        <v>24.38</v>
      </c>
      <c r="F4543" s="3" t="str">
        <f t="shared" si="70"/>
        <v>C3022</v>
      </c>
    </row>
    <row r="4544" spans="1:6" x14ac:dyDescent="0.2">
      <c r="A4544" s="17" t="s">
        <v>13509</v>
      </c>
      <c r="B4544" s="18" t="s">
        <v>13510</v>
      </c>
      <c r="C4544" s="17" t="s">
        <v>255</v>
      </c>
      <c r="D4544" s="19">
        <v>11.4</v>
      </c>
      <c r="F4544" s="3" t="str">
        <f t="shared" si="70"/>
        <v>C2898</v>
      </c>
    </row>
    <row r="4545" spans="1:6" x14ac:dyDescent="0.2">
      <c r="A4545" s="17" t="s">
        <v>13511</v>
      </c>
      <c r="B4545" s="18" t="s">
        <v>13512</v>
      </c>
      <c r="C4545" s="17" t="s">
        <v>255</v>
      </c>
      <c r="D4545" s="19">
        <v>13.7</v>
      </c>
      <c r="F4545" s="3" t="str">
        <f t="shared" si="70"/>
        <v>C4072</v>
      </c>
    </row>
    <row r="4546" spans="1:6" x14ac:dyDescent="0.2">
      <c r="A4546" s="17" t="s">
        <v>13513</v>
      </c>
      <c r="B4546" s="18" t="s">
        <v>13514</v>
      </c>
      <c r="C4546" s="17" t="s">
        <v>255</v>
      </c>
      <c r="D4546" s="19">
        <v>51.39</v>
      </c>
      <c r="F4546" s="3" t="str">
        <f t="shared" ref="F4546:F4609" si="71">A4546</f>
        <v>C2232</v>
      </c>
    </row>
    <row r="4547" spans="1:6" x14ac:dyDescent="0.2">
      <c r="A4547" s="17" t="s">
        <v>13515</v>
      </c>
      <c r="B4547" s="18" t="s">
        <v>13516</v>
      </c>
      <c r="C4547" s="17" t="s">
        <v>255</v>
      </c>
      <c r="D4547" s="19">
        <v>30.64</v>
      </c>
      <c r="F4547" s="3" t="str">
        <f t="shared" si="71"/>
        <v>C2233</v>
      </c>
    </row>
    <row r="4548" spans="1:6" x14ac:dyDescent="0.2">
      <c r="A4548" s="17" t="s">
        <v>13517</v>
      </c>
      <c r="B4548" s="18" t="s">
        <v>13518</v>
      </c>
      <c r="C4548" s="17" t="s">
        <v>255</v>
      </c>
      <c r="D4548" s="19">
        <v>28.35</v>
      </c>
      <c r="F4548" s="3" t="str">
        <f t="shared" si="71"/>
        <v>C2274</v>
      </c>
    </row>
    <row r="4549" spans="1:6" x14ac:dyDescent="0.2">
      <c r="A4549" s="17" t="s">
        <v>13519</v>
      </c>
      <c r="B4549" s="18" t="s">
        <v>13520</v>
      </c>
      <c r="C4549" s="17" t="s">
        <v>255</v>
      </c>
      <c r="D4549" s="19">
        <v>21.93</v>
      </c>
      <c r="F4549" s="3" t="str">
        <f t="shared" si="71"/>
        <v>C2644</v>
      </c>
    </row>
    <row r="4550" spans="1:6" x14ac:dyDescent="0.2">
      <c r="A4550" s="17" t="s">
        <v>13521</v>
      </c>
      <c r="B4550" s="18" t="s">
        <v>13522</v>
      </c>
      <c r="C4550" s="17" t="s">
        <v>255</v>
      </c>
      <c r="D4550" s="19">
        <v>13.81</v>
      </c>
      <c r="F4550" s="3" t="str">
        <f t="shared" si="71"/>
        <v>C2461</v>
      </c>
    </row>
    <row r="4551" spans="1:6" x14ac:dyDescent="0.2">
      <c r="A4551" s="17" t="s">
        <v>13523</v>
      </c>
      <c r="B4551" s="18" t="s">
        <v>13524</v>
      </c>
      <c r="C4551" s="17" t="s">
        <v>255</v>
      </c>
      <c r="D4551" s="19">
        <v>14.7</v>
      </c>
      <c r="F4551" s="3" t="str">
        <f t="shared" si="71"/>
        <v>C2462</v>
      </c>
    </row>
    <row r="4552" spans="1:6" x14ac:dyDescent="0.2">
      <c r="A4552" s="17" t="s">
        <v>13525</v>
      </c>
      <c r="B4552" s="18" t="s">
        <v>13526</v>
      </c>
      <c r="C4552" s="17" t="s">
        <v>255</v>
      </c>
      <c r="D4552" s="19">
        <v>22.54</v>
      </c>
      <c r="F4552" s="3" t="str">
        <f t="shared" si="71"/>
        <v>C2464</v>
      </c>
    </row>
    <row r="4553" spans="1:6" x14ac:dyDescent="0.2">
      <c r="A4553" s="17" t="s">
        <v>13527</v>
      </c>
      <c r="B4553" s="18" t="s">
        <v>13528</v>
      </c>
      <c r="C4553" s="17" t="s">
        <v>255</v>
      </c>
      <c r="D4553" s="19">
        <v>27.29</v>
      </c>
      <c r="F4553" s="3" t="str">
        <f t="shared" si="71"/>
        <v>C2465</v>
      </c>
    </row>
    <row r="4554" spans="1:6" x14ac:dyDescent="0.2">
      <c r="A4554" s="17" t="s">
        <v>13529</v>
      </c>
      <c r="B4554" s="18" t="s">
        <v>13530</v>
      </c>
      <c r="C4554" s="17" t="s">
        <v>255</v>
      </c>
      <c r="D4554" s="19">
        <v>21.77</v>
      </c>
      <c r="F4554" s="3" t="str">
        <f t="shared" si="71"/>
        <v>C2471</v>
      </c>
    </row>
    <row r="4555" spans="1:6" x14ac:dyDescent="0.2">
      <c r="A4555" s="17" t="s">
        <v>13531</v>
      </c>
      <c r="B4555" s="18" t="s">
        <v>13532</v>
      </c>
      <c r="C4555" s="17" t="s">
        <v>255</v>
      </c>
      <c r="D4555" s="19">
        <v>116.53</v>
      </c>
      <c r="F4555" s="3" t="str">
        <f t="shared" si="71"/>
        <v>C2476</v>
      </c>
    </row>
    <row r="4556" spans="1:6" x14ac:dyDescent="0.2">
      <c r="A4556" s="17" t="s">
        <v>13533</v>
      </c>
      <c r="B4556" s="18" t="s">
        <v>13534</v>
      </c>
      <c r="C4556" s="17" t="s">
        <v>255</v>
      </c>
      <c r="D4556" s="19">
        <v>11.44</v>
      </c>
      <c r="F4556" s="3" t="str">
        <f t="shared" si="71"/>
        <v>C2477</v>
      </c>
    </row>
    <row r="4557" spans="1:6" x14ac:dyDescent="0.2">
      <c r="A4557" s="14" t="s">
        <v>13535</v>
      </c>
      <c r="B4557" s="15"/>
      <c r="C4557" s="14">
        <v>0</v>
      </c>
      <c r="D4557" s="16">
        <v>339.37</v>
      </c>
      <c r="F4557" s="3" t="str">
        <f t="shared" si="71"/>
        <v>PISO</v>
      </c>
    </row>
    <row r="4558" spans="1:6" x14ac:dyDescent="0.2">
      <c r="A4558" s="17" t="s">
        <v>13536</v>
      </c>
      <c r="B4558" s="18" t="s">
        <v>13537</v>
      </c>
      <c r="C4558" s="17" t="s">
        <v>0</v>
      </c>
      <c r="D4558" s="19">
        <v>34.14</v>
      </c>
      <c r="F4558" s="3" t="str">
        <f t="shared" si="71"/>
        <v>C1039</v>
      </c>
    </row>
    <row r="4559" spans="1:6" x14ac:dyDescent="0.2">
      <c r="A4559" s="17" t="s">
        <v>13538</v>
      </c>
      <c r="B4559" s="18" t="s">
        <v>13539</v>
      </c>
      <c r="C4559" s="17" t="s">
        <v>0</v>
      </c>
      <c r="D4559" s="19">
        <v>34.08</v>
      </c>
      <c r="F4559" s="3" t="str">
        <f t="shared" si="71"/>
        <v>C1040</v>
      </c>
    </row>
    <row r="4560" spans="1:6" x14ac:dyDescent="0.2">
      <c r="A4560" s="17" t="s">
        <v>13540</v>
      </c>
      <c r="B4560" s="18" t="s">
        <v>13541</v>
      </c>
      <c r="C4560" s="17" t="s">
        <v>0</v>
      </c>
      <c r="D4560" s="19">
        <v>14.87</v>
      </c>
      <c r="F4560" s="3" t="str">
        <f t="shared" si="71"/>
        <v>C1041</v>
      </c>
    </row>
    <row r="4561" spans="1:6" x14ac:dyDescent="0.2">
      <c r="A4561" s="17" t="s">
        <v>13542</v>
      </c>
      <c r="B4561" s="18" t="s">
        <v>13543</v>
      </c>
      <c r="C4561" s="17" t="s">
        <v>255</v>
      </c>
      <c r="D4561" s="19">
        <v>22.26</v>
      </c>
      <c r="F4561" s="3" t="str">
        <f t="shared" si="71"/>
        <v>C1907</v>
      </c>
    </row>
    <row r="4562" spans="1:6" x14ac:dyDescent="0.2">
      <c r="A4562" s="17">
        <v>0</v>
      </c>
      <c r="B4562" s="18"/>
      <c r="C4562" s="17">
        <v>0</v>
      </c>
      <c r="D4562" s="19">
        <v>0</v>
      </c>
      <c r="F4562" s="3">
        <f t="shared" si="71"/>
        <v>0</v>
      </c>
    </row>
    <row r="4563" spans="1:6" x14ac:dyDescent="0.2">
      <c r="A4563" s="17" t="s">
        <v>13544</v>
      </c>
      <c r="B4563" s="18" t="s">
        <v>13545</v>
      </c>
      <c r="C4563" s="17" t="s">
        <v>255</v>
      </c>
      <c r="D4563" s="19">
        <v>25.57</v>
      </c>
      <c r="F4563" s="3" t="str">
        <f t="shared" si="71"/>
        <v>C1910</v>
      </c>
    </row>
    <row r="4564" spans="1:6" x14ac:dyDescent="0.2">
      <c r="A4564" s="17" t="s">
        <v>13546</v>
      </c>
      <c r="B4564" s="18" t="s">
        <v>13547</v>
      </c>
      <c r="C4564" s="17" t="s">
        <v>255</v>
      </c>
      <c r="D4564" s="19">
        <v>41.38</v>
      </c>
      <c r="F4564" s="3" t="str">
        <f t="shared" si="71"/>
        <v>C2466</v>
      </c>
    </row>
    <row r="4565" spans="1:6" x14ac:dyDescent="0.2">
      <c r="A4565" s="17" t="s">
        <v>13548</v>
      </c>
      <c r="B4565" s="18" t="s">
        <v>13549</v>
      </c>
      <c r="C4565" s="17" t="s">
        <v>255</v>
      </c>
      <c r="D4565" s="19">
        <v>22.05</v>
      </c>
      <c r="F4565" s="3" t="str">
        <f t="shared" si="71"/>
        <v>C2470</v>
      </c>
    </row>
    <row r="4566" spans="1:6" x14ac:dyDescent="0.2">
      <c r="A4566" s="17" t="s">
        <v>13550</v>
      </c>
      <c r="B4566" s="18" t="s">
        <v>13551</v>
      </c>
      <c r="C4566" s="17" t="s">
        <v>255</v>
      </c>
      <c r="D4566" s="19">
        <v>16.64</v>
      </c>
      <c r="F4566" s="3" t="str">
        <f t="shared" si="71"/>
        <v>C2472</v>
      </c>
    </row>
    <row r="4567" spans="1:6" x14ac:dyDescent="0.2">
      <c r="A4567" s="17" t="s">
        <v>13552</v>
      </c>
      <c r="B4567" s="18" t="s">
        <v>13553</v>
      </c>
      <c r="C4567" s="17" t="s">
        <v>255</v>
      </c>
      <c r="D4567" s="19">
        <v>128.38</v>
      </c>
      <c r="F4567" s="3" t="str">
        <f t="shared" si="71"/>
        <v>C2475</v>
      </c>
    </row>
    <row r="4568" spans="1:6" x14ac:dyDescent="0.2">
      <c r="A4568" s="14" t="s">
        <v>8112</v>
      </c>
      <c r="B4568" s="15"/>
      <c r="C4568" s="14">
        <v>0</v>
      </c>
      <c r="D4568" s="16">
        <v>172.93</v>
      </c>
      <c r="F4568" s="3" t="str">
        <f t="shared" si="71"/>
        <v>ESQUADRIAS DE MADEIRA</v>
      </c>
    </row>
    <row r="4569" spans="1:6" x14ac:dyDescent="0.2">
      <c r="A4569" s="17" t="s">
        <v>13554</v>
      </c>
      <c r="B4569" s="18" t="s">
        <v>13555</v>
      </c>
      <c r="C4569" s="17" t="s">
        <v>255</v>
      </c>
      <c r="D4569" s="19">
        <v>17.8</v>
      </c>
      <c r="F4569" s="3" t="str">
        <f t="shared" si="71"/>
        <v>C1206</v>
      </c>
    </row>
    <row r="4570" spans="1:6" x14ac:dyDescent="0.2">
      <c r="A4570" s="17" t="s">
        <v>13556</v>
      </c>
      <c r="B4570" s="18" t="s">
        <v>13557</v>
      </c>
      <c r="C4570" s="17" t="s">
        <v>255</v>
      </c>
      <c r="D4570" s="19">
        <v>24.64</v>
      </c>
      <c r="F4570" s="3" t="str">
        <f t="shared" si="71"/>
        <v>C1280</v>
      </c>
    </row>
    <row r="4571" spans="1:6" x14ac:dyDescent="0.2">
      <c r="A4571" s="17" t="s">
        <v>13558</v>
      </c>
      <c r="B4571" s="18" t="s">
        <v>13559</v>
      </c>
      <c r="C4571" s="17" t="s">
        <v>255</v>
      </c>
      <c r="D4571" s="19">
        <v>17.96</v>
      </c>
      <c r="F4571" s="3" t="str">
        <f t="shared" si="71"/>
        <v>C3551</v>
      </c>
    </row>
    <row r="4572" spans="1:6" x14ac:dyDescent="0.2">
      <c r="A4572" s="17" t="s">
        <v>13560</v>
      </c>
      <c r="B4572" s="18" t="s">
        <v>13561</v>
      </c>
      <c r="C4572" s="17" t="s">
        <v>255</v>
      </c>
      <c r="D4572" s="19">
        <v>21.69</v>
      </c>
      <c r="F4572" s="3" t="str">
        <f t="shared" si="71"/>
        <v>C1876</v>
      </c>
    </row>
    <row r="4573" spans="1:6" x14ac:dyDescent="0.2">
      <c r="A4573" s="17" t="s">
        <v>13562</v>
      </c>
      <c r="B4573" s="18" t="s">
        <v>13563</v>
      </c>
      <c r="C4573" s="17" t="s">
        <v>255</v>
      </c>
      <c r="D4573" s="19">
        <v>8.14</v>
      </c>
      <c r="F4573" s="3" t="str">
        <f t="shared" si="71"/>
        <v>C2897</v>
      </c>
    </row>
    <row r="4574" spans="1:6" x14ac:dyDescent="0.2">
      <c r="A4574" s="17" t="s">
        <v>13564</v>
      </c>
      <c r="B4574" s="18" t="s">
        <v>13565</v>
      </c>
      <c r="C4574" s="17" t="s">
        <v>255</v>
      </c>
      <c r="D4574" s="19">
        <v>56.66</v>
      </c>
      <c r="F4574" s="3" t="str">
        <f t="shared" si="71"/>
        <v>C2468</v>
      </c>
    </row>
    <row r="4575" spans="1:6" x14ac:dyDescent="0.2">
      <c r="A4575" s="20" t="s">
        <v>13566</v>
      </c>
      <c r="B4575" s="21" t="s">
        <v>13567</v>
      </c>
      <c r="C4575" s="20" t="s">
        <v>255</v>
      </c>
      <c r="D4575" s="22">
        <v>26.04</v>
      </c>
      <c r="F4575" s="3" t="str">
        <f t="shared" si="71"/>
        <v>C2667</v>
      </c>
    </row>
    <row r="4576" spans="1:6" x14ac:dyDescent="0.2">
      <c r="A4576" s="14" t="s">
        <v>13568</v>
      </c>
      <c r="B4576" s="15"/>
      <c r="C4576" s="14">
        <v>0</v>
      </c>
      <c r="D4576" s="16">
        <v>707.66</v>
      </c>
      <c r="F4576" s="3" t="str">
        <f t="shared" si="71"/>
        <v>SUPERFÍCIES METÁLICAS</v>
      </c>
    </row>
    <row r="4577" spans="1:6" x14ac:dyDescent="0.2">
      <c r="A4577" s="17" t="s">
        <v>13569</v>
      </c>
      <c r="B4577" s="18" t="s">
        <v>13570</v>
      </c>
      <c r="C4577" s="17" t="s">
        <v>255</v>
      </c>
      <c r="D4577" s="19">
        <v>13.01</v>
      </c>
      <c r="F4577" s="3" t="str">
        <f t="shared" si="71"/>
        <v>C0044</v>
      </c>
    </row>
    <row r="4578" spans="1:6" x14ac:dyDescent="0.2">
      <c r="A4578" s="17" t="s">
        <v>13571</v>
      </c>
      <c r="B4578" s="18" t="s">
        <v>13572</v>
      </c>
      <c r="C4578" s="17" t="s">
        <v>255</v>
      </c>
      <c r="D4578" s="19">
        <v>20.94</v>
      </c>
      <c r="F4578" s="3" t="str">
        <f t="shared" si="71"/>
        <v>C0045</v>
      </c>
    </row>
    <row r="4579" spans="1:6" x14ac:dyDescent="0.2">
      <c r="A4579" s="17" t="s">
        <v>13573</v>
      </c>
      <c r="B4579" s="18" t="s">
        <v>13574</v>
      </c>
      <c r="C4579" s="17" t="s">
        <v>255</v>
      </c>
      <c r="D4579" s="19">
        <v>18.010000000000002</v>
      </c>
      <c r="F4579" s="3" t="str">
        <f t="shared" si="71"/>
        <v>C0463</v>
      </c>
    </row>
    <row r="4580" spans="1:6" x14ac:dyDescent="0.2">
      <c r="A4580" s="17" t="s">
        <v>13575</v>
      </c>
      <c r="B4580" s="18" t="s">
        <v>13576</v>
      </c>
      <c r="C4580" s="17" t="s">
        <v>255</v>
      </c>
      <c r="D4580" s="19">
        <v>23.78</v>
      </c>
      <c r="F4580" s="3" t="str">
        <f t="shared" si="71"/>
        <v>C0464</v>
      </c>
    </row>
    <row r="4581" spans="1:6" x14ac:dyDescent="0.2">
      <c r="A4581" s="17" t="s">
        <v>13577</v>
      </c>
      <c r="B4581" s="18" t="s">
        <v>13578</v>
      </c>
      <c r="C4581" s="17" t="s">
        <v>255</v>
      </c>
      <c r="D4581" s="19">
        <v>44.42</v>
      </c>
      <c r="F4581" s="3" t="str">
        <f t="shared" si="71"/>
        <v>C1279</v>
      </c>
    </row>
    <row r="4582" spans="1:6" x14ac:dyDescent="0.2">
      <c r="A4582" s="17" t="s">
        <v>13579</v>
      </c>
      <c r="B4582" s="18" t="s">
        <v>13580</v>
      </c>
      <c r="C4582" s="17" t="s">
        <v>255</v>
      </c>
      <c r="D4582" s="19">
        <v>11.35</v>
      </c>
      <c r="F4582" s="3" t="str">
        <f t="shared" si="71"/>
        <v>C1281</v>
      </c>
    </row>
    <row r="4583" spans="1:6" x14ac:dyDescent="0.2">
      <c r="A4583" s="17" t="s">
        <v>13581</v>
      </c>
      <c r="B4583" s="18" t="s">
        <v>13582</v>
      </c>
      <c r="C4583" s="17" t="s">
        <v>255</v>
      </c>
      <c r="D4583" s="19">
        <v>19.53</v>
      </c>
      <c r="F4583" s="3" t="str">
        <f t="shared" si="71"/>
        <v>C1282</v>
      </c>
    </row>
    <row r="4584" spans="1:6" x14ac:dyDescent="0.2">
      <c r="A4584" s="17" t="s">
        <v>13583</v>
      </c>
      <c r="B4584" s="18" t="s">
        <v>13584</v>
      </c>
      <c r="C4584" s="17" t="s">
        <v>255</v>
      </c>
      <c r="D4584" s="19">
        <v>46.47</v>
      </c>
      <c r="F4584" s="3" t="str">
        <f t="shared" si="71"/>
        <v>C1428</v>
      </c>
    </row>
    <row r="4585" spans="1:6" x14ac:dyDescent="0.2">
      <c r="A4585" s="17" t="s">
        <v>13585</v>
      </c>
      <c r="B4585" s="18" t="s">
        <v>13586</v>
      </c>
      <c r="C4585" s="17" t="s">
        <v>255</v>
      </c>
      <c r="D4585" s="19">
        <v>89.31</v>
      </c>
      <c r="F4585" s="3" t="str">
        <f t="shared" si="71"/>
        <v>C1520</v>
      </c>
    </row>
    <row r="4586" spans="1:6" x14ac:dyDescent="0.2">
      <c r="A4586" s="17" t="s">
        <v>13587</v>
      </c>
      <c r="B4586" s="18" t="s">
        <v>13588</v>
      </c>
      <c r="C4586" s="17" t="s">
        <v>255</v>
      </c>
      <c r="D4586" s="19">
        <v>31.44</v>
      </c>
      <c r="F4586" s="3" t="str">
        <f t="shared" si="71"/>
        <v>C1521</v>
      </c>
    </row>
    <row r="4587" spans="1:6" x14ac:dyDescent="0.2">
      <c r="A4587" s="17" t="s">
        <v>13589</v>
      </c>
      <c r="B4587" s="18" t="s">
        <v>13590</v>
      </c>
      <c r="C4587" s="17" t="s">
        <v>255</v>
      </c>
      <c r="D4587" s="19">
        <v>37.869999999999997</v>
      </c>
      <c r="F4587" s="3" t="str">
        <f t="shared" si="71"/>
        <v>C1522</v>
      </c>
    </row>
    <row r="4588" spans="1:6" x14ac:dyDescent="0.2">
      <c r="A4588" s="17" t="s">
        <v>13591</v>
      </c>
      <c r="B4588" s="18" t="s">
        <v>13592</v>
      </c>
      <c r="C4588" s="17" t="s">
        <v>255</v>
      </c>
      <c r="D4588" s="19">
        <v>20.36</v>
      </c>
      <c r="F4588" s="3" t="str">
        <f t="shared" si="71"/>
        <v>C3425</v>
      </c>
    </row>
    <row r="4589" spans="1:6" x14ac:dyDescent="0.2">
      <c r="A4589" s="17" t="s">
        <v>13593</v>
      </c>
      <c r="B4589" s="18" t="s">
        <v>13594</v>
      </c>
      <c r="C4589" s="17" t="s">
        <v>255</v>
      </c>
      <c r="D4589" s="19">
        <v>20.54</v>
      </c>
      <c r="F4589" s="3" t="str">
        <f t="shared" si="71"/>
        <v>C1911</v>
      </c>
    </row>
    <row r="4590" spans="1:6" x14ac:dyDescent="0.2">
      <c r="A4590" s="17" t="s">
        <v>13595</v>
      </c>
      <c r="B4590" s="18" t="s">
        <v>13596</v>
      </c>
      <c r="C4590" s="17" t="s">
        <v>255</v>
      </c>
      <c r="D4590" s="19">
        <v>11.81</v>
      </c>
      <c r="F4590" s="3" t="str">
        <f t="shared" si="71"/>
        <v>C2040</v>
      </c>
    </row>
    <row r="4591" spans="1:6" x14ac:dyDescent="0.2">
      <c r="A4591" s="17" t="s">
        <v>13597</v>
      </c>
      <c r="B4591" s="18" t="s">
        <v>13598</v>
      </c>
      <c r="C4591" s="17" t="s">
        <v>255</v>
      </c>
      <c r="D4591" s="19">
        <v>20.38</v>
      </c>
      <c r="F4591" s="3" t="str">
        <f t="shared" si="71"/>
        <v>C2473</v>
      </c>
    </row>
    <row r="4592" spans="1:6" x14ac:dyDescent="0.2">
      <c r="A4592" s="17" t="s">
        <v>13599</v>
      </c>
      <c r="B4592" s="18" t="s">
        <v>13600</v>
      </c>
      <c r="C4592" s="17" t="s">
        <v>255</v>
      </c>
      <c r="D4592" s="19">
        <v>25.15</v>
      </c>
      <c r="F4592" s="3" t="str">
        <f t="shared" si="71"/>
        <v>C4309</v>
      </c>
    </row>
    <row r="4593" spans="1:6" x14ac:dyDescent="0.2">
      <c r="A4593" s="17" t="s">
        <v>13601</v>
      </c>
      <c r="B4593" s="18" t="s">
        <v>13602</v>
      </c>
      <c r="C4593" s="17" t="s">
        <v>255</v>
      </c>
      <c r="D4593" s="19">
        <v>13.71</v>
      </c>
      <c r="F4593" s="3" t="str">
        <f t="shared" si="71"/>
        <v>C4409</v>
      </c>
    </row>
    <row r="4594" spans="1:6" x14ac:dyDescent="0.2">
      <c r="A4594" s="17" t="s">
        <v>13603</v>
      </c>
      <c r="B4594" s="18" t="s">
        <v>13604</v>
      </c>
      <c r="C4594" s="17" t="s">
        <v>255</v>
      </c>
      <c r="D4594" s="19">
        <v>11.39</v>
      </c>
      <c r="F4594" s="3" t="str">
        <f t="shared" si="71"/>
        <v>C2036</v>
      </c>
    </row>
    <row r="4595" spans="1:6" x14ac:dyDescent="0.2">
      <c r="A4595" s="17">
        <v>0</v>
      </c>
      <c r="B4595" s="18"/>
      <c r="C4595" s="17">
        <v>0</v>
      </c>
      <c r="D4595" s="19">
        <v>0</v>
      </c>
      <c r="F4595" s="3">
        <f t="shared" si="71"/>
        <v>0</v>
      </c>
    </row>
    <row r="4596" spans="1:6" x14ac:dyDescent="0.2">
      <c r="A4596" s="17" t="s">
        <v>13605</v>
      </c>
      <c r="B4596" s="18" t="s">
        <v>13606</v>
      </c>
      <c r="C4596" s="17" t="s">
        <v>255</v>
      </c>
      <c r="D4596" s="19">
        <v>13.02</v>
      </c>
      <c r="F4596" s="3" t="str">
        <f t="shared" si="71"/>
        <v>C2037</v>
      </c>
    </row>
    <row r="4597" spans="1:6" x14ac:dyDescent="0.2">
      <c r="A4597" s="17">
        <v>0</v>
      </c>
      <c r="B4597" s="18"/>
      <c r="C4597" s="17">
        <v>0</v>
      </c>
      <c r="D4597" s="19">
        <v>0</v>
      </c>
      <c r="F4597" s="3">
        <f t="shared" si="71"/>
        <v>0</v>
      </c>
    </row>
    <row r="4598" spans="1:6" x14ac:dyDescent="0.2">
      <c r="A4598" s="17" t="s">
        <v>13607</v>
      </c>
      <c r="B4598" s="18" t="s">
        <v>13608</v>
      </c>
      <c r="C4598" s="17" t="s">
        <v>255</v>
      </c>
      <c r="D4598" s="19">
        <v>6.85</v>
      </c>
      <c r="F4598" s="3" t="str">
        <f t="shared" si="71"/>
        <v>C2038</v>
      </c>
    </row>
    <row r="4599" spans="1:6" x14ac:dyDescent="0.2">
      <c r="A4599" s="17" t="s">
        <v>13609</v>
      </c>
      <c r="B4599" s="18" t="s">
        <v>13610</v>
      </c>
      <c r="C4599" s="17" t="s">
        <v>255</v>
      </c>
      <c r="D4599" s="19">
        <v>10.34</v>
      </c>
      <c r="F4599" s="3" t="str">
        <f t="shared" si="71"/>
        <v>C2039</v>
      </c>
    </row>
    <row r="4600" spans="1:6" x14ac:dyDescent="0.2">
      <c r="A4600" s="17" t="s">
        <v>13611</v>
      </c>
      <c r="B4600" s="18" t="s">
        <v>13612</v>
      </c>
      <c r="C4600" s="17" t="s">
        <v>255</v>
      </c>
      <c r="D4600" s="19">
        <v>13.37</v>
      </c>
      <c r="F4600" s="3" t="str">
        <f t="shared" si="71"/>
        <v>C2041</v>
      </c>
    </row>
    <row r="4601" spans="1:6" x14ac:dyDescent="0.2">
      <c r="A4601" s="17" t="s">
        <v>13613</v>
      </c>
      <c r="B4601" s="18" t="s">
        <v>13614</v>
      </c>
      <c r="C4601" s="17" t="s">
        <v>255</v>
      </c>
      <c r="D4601" s="19">
        <v>9.31</v>
      </c>
      <c r="F4601" s="3" t="str">
        <f t="shared" si="71"/>
        <v>C2042</v>
      </c>
    </row>
    <row r="4602" spans="1:6" x14ac:dyDescent="0.2">
      <c r="A4602" s="17" t="s">
        <v>13615</v>
      </c>
      <c r="B4602" s="18" t="s">
        <v>13616</v>
      </c>
      <c r="C4602" s="17" t="s">
        <v>255</v>
      </c>
      <c r="D4602" s="19">
        <v>15.17</v>
      </c>
      <c r="F4602" s="3" t="str">
        <f t="shared" si="71"/>
        <v>C2043</v>
      </c>
    </row>
    <row r="4603" spans="1:6" x14ac:dyDescent="0.2">
      <c r="A4603" s="17" t="s">
        <v>13617</v>
      </c>
      <c r="B4603" s="18" t="s">
        <v>13618</v>
      </c>
      <c r="C4603" s="17" t="s">
        <v>255</v>
      </c>
      <c r="D4603" s="19">
        <v>81.8</v>
      </c>
      <c r="F4603" s="3" t="str">
        <f t="shared" si="71"/>
        <v>C2467</v>
      </c>
    </row>
    <row r="4604" spans="1:6" x14ac:dyDescent="0.2">
      <c r="A4604" s="17" t="s">
        <v>13619</v>
      </c>
      <c r="B4604" s="18" t="s">
        <v>13620</v>
      </c>
      <c r="C4604" s="17" t="s">
        <v>255</v>
      </c>
      <c r="D4604" s="19">
        <v>52.74</v>
      </c>
      <c r="F4604" s="3" t="str">
        <f t="shared" si="71"/>
        <v>C2469</v>
      </c>
    </row>
    <row r="4605" spans="1:6" x14ac:dyDescent="0.2">
      <c r="A4605" s="17" t="s">
        <v>13621</v>
      </c>
      <c r="B4605" s="18" t="s">
        <v>13622</v>
      </c>
      <c r="C4605" s="17" t="s">
        <v>255</v>
      </c>
      <c r="D4605" s="19">
        <v>25.59</v>
      </c>
      <c r="F4605" s="3" t="str">
        <f t="shared" si="71"/>
        <v>C2474</v>
      </c>
    </row>
    <row r="4606" spans="1:6" x14ac:dyDescent="0.2">
      <c r="A4606" s="14" t="s">
        <v>13623</v>
      </c>
      <c r="B4606" s="15"/>
      <c r="C4606" s="14">
        <v>0</v>
      </c>
      <c r="D4606" s="16">
        <v>216.34</v>
      </c>
      <c r="F4606" s="3" t="str">
        <f t="shared" si="71"/>
        <v>SUPERFÍCIES DE CONCRETO</v>
      </c>
    </row>
    <row r="4607" spans="1:6" x14ac:dyDescent="0.2">
      <c r="A4607" s="17" t="s">
        <v>13624</v>
      </c>
      <c r="B4607" s="18" t="s">
        <v>13625</v>
      </c>
      <c r="C4607" s="17" t="s">
        <v>255</v>
      </c>
      <c r="D4607" s="19">
        <v>37.840000000000003</v>
      </c>
      <c r="F4607" s="3" t="str">
        <f t="shared" si="71"/>
        <v>C1235</v>
      </c>
    </row>
    <row r="4608" spans="1:6" x14ac:dyDescent="0.2">
      <c r="A4608" s="17" t="s">
        <v>13626</v>
      </c>
      <c r="B4608" s="18" t="s">
        <v>13627</v>
      </c>
      <c r="C4608" s="17" t="s">
        <v>255</v>
      </c>
      <c r="D4608" s="19">
        <v>88.43</v>
      </c>
      <c r="F4608" s="3" t="str">
        <f t="shared" si="71"/>
        <v>C4714</v>
      </c>
    </row>
    <row r="4609" spans="1:6" x14ac:dyDescent="0.2">
      <c r="A4609" s="17" t="s">
        <v>13628</v>
      </c>
      <c r="B4609" s="18" t="s">
        <v>13629</v>
      </c>
      <c r="C4609" s="17" t="s">
        <v>255</v>
      </c>
      <c r="D4609" s="19">
        <v>12.37</v>
      </c>
      <c r="F4609" s="3" t="str">
        <f t="shared" si="71"/>
        <v>C2187</v>
      </c>
    </row>
    <row r="4610" spans="1:6" x14ac:dyDescent="0.2">
      <c r="A4610" s="17" t="s">
        <v>13630</v>
      </c>
      <c r="B4610" s="18" t="s">
        <v>13631</v>
      </c>
      <c r="C4610" s="17" t="s">
        <v>255</v>
      </c>
      <c r="D4610" s="19">
        <v>15.73</v>
      </c>
      <c r="F4610" s="3" t="str">
        <f t="shared" ref="F4610:F4673" si="72">A4610</f>
        <v>C2273</v>
      </c>
    </row>
    <row r="4611" spans="1:6" x14ac:dyDescent="0.2">
      <c r="A4611" s="17" t="s">
        <v>13632</v>
      </c>
      <c r="B4611" s="18" t="s">
        <v>13633</v>
      </c>
      <c r="C4611" s="17" t="s">
        <v>255</v>
      </c>
      <c r="D4611" s="19">
        <v>19</v>
      </c>
      <c r="F4611" s="3" t="str">
        <f t="shared" si="72"/>
        <v>C2542</v>
      </c>
    </row>
    <row r="4612" spans="1:6" x14ac:dyDescent="0.2">
      <c r="A4612" s="17" t="s">
        <v>13634</v>
      </c>
      <c r="B4612" s="18" t="s">
        <v>13635</v>
      </c>
      <c r="C4612" s="17" t="s">
        <v>255</v>
      </c>
      <c r="D4612" s="19">
        <v>11.64</v>
      </c>
      <c r="F4612" s="3" t="str">
        <f t="shared" si="72"/>
        <v>C2668</v>
      </c>
    </row>
    <row r="4613" spans="1:6" x14ac:dyDescent="0.2">
      <c r="A4613" s="17" t="s">
        <v>13636</v>
      </c>
      <c r="B4613" s="18" t="s">
        <v>13637</v>
      </c>
      <c r="C4613" s="17" t="s">
        <v>255</v>
      </c>
      <c r="D4613" s="19">
        <v>31.34</v>
      </c>
      <c r="F4613" s="3" t="str">
        <f t="shared" si="72"/>
        <v>C2669</v>
      </c>
    </row>
    <row r="4614" spans="1:6" x14ac:dyDescent="0.2">
      <c r="A4614" s="14" t="s">
        <v>7834</v>
      </c>
      <c r="B4614" s="15"/>
      <c r="C4614" s="14">
        <v>0</v>
      </c>
      <c r="D4614" s="16">
        <v>578.89</v>
      </c>
      <c r="F4614" s="3" t="str">
        <f t="shared" si="72"/>
        <v>OUTROS ELEMENTOS</v>
      </c>
    </row>
    <row r="4615" spans="1:6" x14ac:dyDescent="0.2">
      <c r="A4615" s="17" t="s">
        <v>13638</v>
      </c>
      <c r="B4615" s="18" t="s">
        <v>13639</v>
      </c>
      <c r="C4615" s="17" t="s">
        <v>255</v>
      </c>
      <c r="D4615" s="19">
        <v>69.7</v>
      </c>
      <c r="F4615" s="3" t="str">
        <f t="shared" si="72"/>
        <v>C4025</v>
      </c>
    </row>
    <row r="4616" spans="1:6" x14ac:dyDescent="0.2">
      <c r="A4616" s="17" t="s">
        <v>13640</v>
      </c>
      <c r="B4616" s="18" t="s">
        <v>13641</v>
      </c>
      <c r="C4616" s="17" t="s">
        <v>255</v>
      </c>
      <c r="D4616" s="19">
        <v>24.65</v>
      </c>
      <c r="F4616" s="3" t="str">
        <f t="shared" si="72"/>
        <v>C1613</v>
      </c>
    </row>
    <row r="4617" spans="1:6" x14ac:dyDescent="0.2">
      <c r="A4617" s="17" t="s">
        <v>13642</v>
      </c>
      <c r="B4617" s="21" t="s">
        <v>13643</v>
      </c>
      <c r="C4617" s="17" t="s">
        <v>26</v>
      </c>
      <c r="D4617" s="19">
        <v>96.39</v>
      </c>
      <c r="F4617" s="3" t="str">
        <f t="shared" si="72"/>
        <v>C1620</v>
      </c>
    </row>
    <row r="4618" spans="1:6" x14ac:dyDescent="0.2">
      <c r="A4618" s="17" t="s">
        <v>13644</v>
      </c>
      <c r="B4618" s="18" t="s">
        <v>13645</v>
      </c>
      <c r="C4618" s="17" t="s">
        <v>26</v>
      </c>
      <c r="D4618" s="19">
        <v>16.52</v>
      </c>
      <c r="F4618" s="3" t="str">
        <f t="shared" si="72"/>
        <v>C1621</v>
      </c>
    </row>
    <row r="4619" spans="1:6" x14ac:dyDescent="0.2">
      <c r="A4619" s="17" t="s">
        <v>13646</v>
      </c>
      <c r="B4619" s="18" t="s">
        <v>13647</v>
      </c>
      <c r="C4619" s="17" t="s">
        <v>255</v>
      </c>
      <c r="D4619" s="19">
        <v>45.29</v>
      </c>
      <c r="F4619" s="3" t="str">
        <f t="shared" si="72"/>
        <v>C1906</v>
      </c>
    </row>
    <row r="4620" spans="1:6" x14ac:dyDescent="0.2">
      <c r="A4620" s="17" t="s">
        <v>13648</v>
      </c>
      <c r="B4620" s="18" t="s">
        <v>13649</v>
      </c>
      <c r="C4620" s="17" t="s">
        <v>0</v>
      </c>
      <c r="D4620" s="19">
        <v>19.07</v>
      </c>
      <c r="F4620" s="3" t="str">
        <f t="shared" si="72"/>
        <v>C1908</v>
      </c>
    </row>
    <row r="4621" spans="1:6" x14ac:dyDescent="0.2">
      <c r="A4621" s="17" t="s">
        <v>13650</v>
      </c>
      <c r="B4621" s="18" t="s">
        <v>13651</v>
      </c>
      <c r="C4621" s="17" t="s">
        <v>255</v>
      </c>
      <c r="D4621" s="19">
        <v>14.1</v>
      </c>
      <c r="F4621" s="3" t="str">
        <f t="shared" si="72"/>
        <v>C1909</v>
      </c>
    </row>
    <row r="4622" spans="1:6" x14ac:dyDescent="0.2">
      <c r="A4622" s="17" t="s">
        <v>13652</v>
      </c>
      <c r="B4622" s="18" t="s">
        <v>13653</v>
      </c>
      <c r="C4622" s="17" t="s">
        <v>26</v>
      </c>
      <c r="D4622" s="19">
        <v>293.17</v>
      </c>
      <c r="F4622" s="3" t="str">
        <f t="shared" si="72"/>
        <v>C2899</v>
      </c>
    </row>
    <row r="4623" spans="1:6" x14ac:dyDescent="0.2">
      <c r="A4623" s="14" t="s">
        <v>13654</v>
      </c>
      <c r="B4623" s="15"/>
      <c r="C4623" s="14">
        <v>0</v>
      </c>
      <c r="D4623" s="16">
        <v>3654.1</v>
      </c>
      <c r="F4623" s="3" t="str">
        <f t="shared" si="72"/>
        <v>PAVIMENTAÇÃO DO SISTEMA VIÁRIO</v>
      </c>
    </row>
    <row r="4624" spans="1:6" x14ac:dyDescent="0.2">
      <c r="A4624" s="14" t="s">
        <v>13655</v>
      </c>
      <c r="B4624" s="15"/>
      <c r="C4624" s="14">
        <v>0</v>
      </c>
      <c r="D4624" s="16">
        <v>2.9</v>
      </c>
      <c r="F4624" s="3" t="str">
        <f t="shared" si="72"/>
        <v>REGULARIZAÇÃO DO SUB-LEITO</v>
      </c>
    </row>
    <row r="4625" spans="1:6" x14ac:dyDescent="0.2">
      <c r="A4625" s="17" t="s">
        <v>13656</v>
      </c>
      <c r="B4625" s="18" t="s">
        <v>13655</v>
      </c>
      <c r="C4625" s="17" t="s">
        <v>255</v>
      </c>
      <c r="D4625" s="19">
        <v>2.9</v>
      </c>
      <c r="F4625" s="3" t="str">
        <f t="shared" si="72"/>
        <v>C3233</v>
      </c>
    </row>
    <row r="4626" spans="1:6" x14ac:dyDescent="0.2">
      <c r="A4626" s="14" t="s">
        <v>13657</v>
      </c>
      <c r="B4626" s="15"/>
      <c r="C4626" s="14">
        <v>0</v>
      </c>
      <c r="D4626" s="16">
        <v>1161.27</v>
      </c>
      <c r="F4626" s="3" t="str">
        <f t="shared" si="72"/>
        <v>REFORÇO, SUB-BASE E BASE</v>
      </c>
    </row>
    <row r="4627" spans="1:6" x14ac:dyDescent="0.2">
      <c r="A4627" s="17" t="s">
        <v>13658</v>
      </c>
      <c r="B4627" s="18" t="s">
        <v>13659</v>
      </c>
      <c r="C4627" s="17" t="s">
        <v>271</v>
      </c>
      <c r="D4627" s="19">
        <v>152.02000000000001</v>
      </c>
      <c r="F4627" s="3" t="str">
        <f t="shared" si="72"/>
        <v>C3132</v>
      </c>
    </row>
    <row r="4628" spans="1:6" x14ac:dyDescent="0.2">
      <c r="A4628" s="17" t="s">
        <v>13660</v>
      </c>
      <c r="B4628" s="18" t="s">
        <v>13661</v>
      </c>
      <c r="C4628" s="17" t="s">
        <v>271</v>
      </c>
      <c r="D4628" s="19">
        <v>128.05000000000001</v>
      </c>
      <c r="F4628" s="3" t="str">
        <f t="shared" si="72"/>
        <v>C3133</v>
      </c>
    </row>
    <row r="4629" spans="1:6" x14ac:dyDescent="0.2">
      <c r="A4629" s="17" t="s">
        <v>13662</v>
      </c>
      <c r="B4629" s="18" t="s">
        <v>13663</v>
      </c>
      <c r="C4629" s="17" t="s">
        <v>271</v>
      </c>
      <c r="D4629" s="19">
        <v>65.03</v>
      </c>
      <c r="F4629" s="3" t="str">
        <f t="shared" si="72"/>
        <v>C3134</v>
      </c>
    </row>
    <row r="4630" spans="1:6" x14ac:dyDescent="0.2">
      <c r="A4630" s="17" t="s">
        <v>13664</v>
      </c>
      <c r="B4630" s="18" t="s">
        <v>13665</v>
      </c>
      <c r="C4630" s="17" t="s">
        <v>271</v>
      </c>
      <c r="D4630" s="19">
        <v>78.64</v>
      </c>
      <c r="F4630" s="3" t="str">
        <f t="shared" si="72"/>
        <v>C3135</v>
      </c>
    </row>
    <row r="4631" spans="1:6" x14ac:dyDescent="0.2">
      <c r="A4631" s="17" t="s">
        <v>13666</v>
      </c>
      <c r="B4631" s="18" t="s">
        <v>13667</v>
      </c>
      <c r="C4631" s="17" t="s">
        <v>271</v>
      </c>
      <c r="D4631" s="19">
        <v>92.17</v>
      </c>
      <c r="F4631" s="3" t="str">
        <f t="shared" si="72"/>
        <v>C3136</v>
      </c>
    </row>
    <row r="4632" spans="1:6" x14ac:dyDescent="0.2">
      <c r="A4632" s="17" t="s">
        <v>13668</v>
      </c>
      <c r="B4632" s="18" t="s">
        <v>13669</v>
      </c>
      <c r="C4632" s="17" t="s">
        <v>271</v>
      </c>
      <c r="D4632" s="19">
        <v>105.8</v>
      </c>
      <c r="F4632" s="3" t="str">
        <f t="shared" si="72"/>
        <v>C3137</v>
      </c>
    </row>
    <row r="4633" spans="1:6" x14ac:dyDescent="0.2">
      <c r="A4633" s="17" t="s">
        <v>13670</v>
      </c>
      <c r="B4633" s="18" t="s">
        <v>13671</v>
      </c>
      <c r="C4633" s="17" t="s">
        <v>271</v>
      </c>
      <c r="D4633" s="19">
        <v>119.32</v>
      </c>
      <c r="F4633" s="3" t="str">
        <f t="shared" si="72"/>
        <v>C3138</v>
      </c>
    </row>
    <row r="4634" spans="1:6" x14ac:dyDescent="0.2">
      <c r="A4634" s="17" t="s">
        <v>13672</v>
      </c>
      <c r="B4634" s="18" t="s">
        <v>13673</v>
      </c>
      <c r="C4634" s="17" t="s">
        <v>271</v>
      </c>
      <c r="D4634" s="19">
        <v>27.96</v>
      </c>
      <c r="F4634" s="3" t="str">
        <f t="shared" si="72"/>
        <v>C3217</v>
      </c>
    </row>
    <row r="4635" spans="1:6" x14ac:dyDescent="0.2">
      <c r="A4635" s="17" t="s">
        <v>13674</v>
      </c>
      <c r="B4635" s="18" t="s">
        <v>13675</v>
      </c>
      <c r="C4635" s="17" t="s">
        <v>271</v>
      </c>
      <c r="D4635" s="19">
        <v>33.840000000000003</v>
      </c>
      <c r="F4635" s="3" t="str">
        <f t="shared" si="72"/>
        <v>C3216</v>
      </c>
    </row>
    <row r="4636" spans="1:6" x14ac:dyDescent="0.2">
      <c r="A4636" s="17" t="s">
        <v>13676</v>
      </c>
      <c r="B4636" s="18" t="s">
        <v>13677</v>
      </c>
      <c r="C4636" s="17" t="s">
        <v>271</v>
      </c>
      <c r="D4636" s="19">
        <v>42.02</v>
      </c>
      <c r="F4636" s="3" t="str">
        <f t="shared" si="72"/>
        <v>C3215</v>
      </c>
    </row>
    <row r="4637" spans="1:6" x14ac:dyDescent="0.2">
      <c r="A4637" s="17" t="s">
        <v>13678</v>
      </c>
      <c r="B4637" s="18" t="s">
        <v>13679</v>
      </c>
      <c r="C4637" s="17" t="s">
        <v>271</v>
      </c>
      <c r="D4637" s="19">
        <v>87.06</v>
      </c>
      <c r="F4637" s="3" t="str">
        <f t="shared" si="72"/>
        <v>C3930</v>
      </c>
    </row>
    <row r="4638" spans="1:6" x14ac:dyDescent="0.2">
      <c r="A4638" s="17" t="s">
        <v>13680</v>
      </c>
      <c r="B4638" s="18" t="s">
        <v>13681</v>
      </c>
      <c r="C4638" s="17" t="s">
        <v>271</v>
      </c>
      <c r="D4638" s="19">
        <v>105.47</v>
      </c>
      <c r="F4638" s="3" t="str">
        <f t="shared" si="72"/>
        <v>C3931</v>
      </c>
    </row>
    <row r="4639" spans="1:6" x14ac:dyDescent="0.2">
      <c r="A4639" s="17" t="s">
        <v>13682</v>
      </c>
      <c r="B4639" s="18" t="s">
        <v>13683</v>
      </c>
      <c r="C4639" s="17" t="s">
        <v>271</v>
      </c>
      <c r="D4639" s="19">
        <v>123.89</v>
      </c>
      <c r="F4639" s="3" t="str">
        <f t="shared" si="72"/>
        <v>C3968</v>
      </c>
    </row>
    <row r="4640" spans="1:6" x14ac:dyDescent="0.2">
      <c r="A4640" s="14" t="s">
        <v>13684</v>
      </c>
      <c r="B4640" s="15"/>
      <c r="C4640" s="14">
        <v>0</v>
      </c>
      <c r="D4640" s="16">
        <v>726.45</v>
      </c>
      <c r="F4640" s="3" t="str">
        <f t="shared" si="72"/>
        <v>RECOMPOSIÇÃO DE SUB BASE E BASE</v>
      </c>
    </row>
    <row r="4641" spans="1:6" ht="22.5" x14ac:dyDescent="0.2">
      <c r="A4641" s="17" t="s">
        <v>13685</v>
      </c>
      <c r="B4641" s="18" t="s">
        <v>13686</v>
      </c>
      <c r="C4641" s="17" t="s">
        <v>271</v>
      </c>
      <c r="D4641" s="19">
        <v>4.8099999999999996</v>
      </c>
      <c r="F4641" s="3" t="str">
        <f t="shared" si="72"/>
        <v>C3163</v>
      </c>
    </row>
    <row r="4642" spans="1:6" x14ac:dyDescent="0.2">
      <c r="A4642" s="17">
        <v>0</v>
      </c>
      <c r="B4642" s="18"/>
      <c r="C4642" s="17">
        <v>0</v>
      </c>
      <c r="D4642" s="19">
        <v>0</v>
      </c>
      <c r="F4642" s="3">
        <f t="shared" si="72"/>
        <v>0</v>
      </c>
    </row>
    <row r="4643" spans="1:6" x14ac:dyDescent="0.2">
      <c r="A4643" s="17" t="s">
        <v>13687</v>
      </c>
      <c r="B4643" s="18" t="s">
        <v>13688</v>
      </c>
      <c r="C4643" s="17" t="s">
        <v>271</v>
      </c>
      <c r="D4643" s="19">
        <v>6.54</v>
      </c>
      <c r="F4643" s="3" t="str">
        <f t="shared" si="72"/>
        <v>C3164</v>
      </c>
    </row>
    <row r="4644" spans="1:6" x14ac:dyDescent="0.2">
      <c r="A4644" s="17" t="s">
        <v>13689</v>
      </c>
      <c r="B4644" s="18" t="s">
        <v>13690</v>
      </c>
      <c r="C4644" s="17" t="s">
        <v>271</v>
      </c>
      <c r="D4644" s="19">
        <v>66.69</v>
      </c>
      <c r="F4644" s="3" t="str">
        <f t="shared" si="72"/>
        <v>C4549</v>
      </c>
    </row>
    <row r="4645" spans="1:6" x14ac:dyDescent="0.2">
      <c r="A4645" s="17" t="s">
        <v>13691</v>
      </c>
      <c r="B4645" s="18" t="s">
        <v>13692</v>
      </c>
      <c r="C4645" s="17" t="s">
        <v>271</v>
      </c>
      <c r="D4645" s="19">
        <v>95.74</v>
      </c>
      <c r="F4645" s="3" t="str">
        <f t="shared" si="72"/>
        <v>C4235</v>
      </c>
    </row>
    <row r="4646" spans="1:6" x14ac:dyDescent="0.2">
      <c r="A4646" s="17">
        <v>0</v>
      </c>
      <c r="B4646" s="18"/>
      <c r="C4646" s="17">
        <v>0</v>
      </c>
      <c r="D4646" s="19">
        <v>0</v>
      </c>
      <c r="F4646" s="3">
        <f t="shared" si="72"/>
        <v>0</v>
      </c>
    </row>
    <row r="4647" spans="1:6" x14ac:dyDescent="0.2">
      <c r="A4647" s="17" t="s">
        <v>13693</v>
      </c>
      <c r="B4647" s="18" t="s">
        <v>13694</v>
      </c>
      <c r="C4647" s="17" t="s">
        <v>271</v>
      </c>
      <c r="D4647" s="19">
        <v>110.17</v>
      </c>
      <c r="F4647" s="3" t="str">
        <f t="shared" si="72"/>
        <v>C4236</v>
      </c>
    </row>
    <row r="4648" spans="1:6" x14ac:dyDescent="0.2">
      <c r="A4648" s="17">
        <v>0</v>
      </c>
      <c r="B4648" s="18"/>
      <c r="C4648" s="17">
        <v>0</v>
      </c>
      <c r="D4648" s="19">
        <v>0</v>
      </c>
      <c r="F4648" s="3">
        <f t="shared" si="72"/>
        <v>0</v>
      </c>
    </row>
    <row r="4649" spans="1:6" x14ac:dyDescent="0.2">
      <c r="A4649" s="17" t="s">
        <v>13695</v>
      </c>
      <c r="B4649" s="18" t="s">
        <v>13696</v>
      </c>
      <c r="C4649" s="17" t="s">
        <v>271</v>
      </c>
      <c r="D4649" s="19">
        <v>124.5</v>
      </c>
      <c r="F4649" s="3" t="str">
        <f t="shared" si="72"/>
        <v>C4237</v>
      </c>
    </row>
    <row r="4650" spans="1:6" x14ac:dyDescent="0.2">
      <c r="A4650" s="17">
        <v>0</v>
      </c>
      <c r="B4650" s="18"/>
      <c r="C4650" s="17">
        <v>0</v>
      </c>
      <c r="D4650" s="19">
        <v>0</v>
      </c>
      <c r="F4650" s="3">
        <f t="shared" si="72"/>
        <v>0</v>
      </c>
    </row>
    <row r="4651" spans="1:6" x14ac:dyDescent="0.2">
      <c r="A4651" s="17" t="s">
        <v>13697</v>
      </c>
      <c r="B4651" s="18" t="s">
        <v>13698</v>
      </c>
      <c r="C4651" s="17" t="s">
        <v>271</v>
      </c>
      <c r="D4651" s="19">
        <v>138.93</v>
      </c>
      <c r="F4651" s="3" t="str">
        <f t="shared" si="72"/>
        <v>C4238</v>
      </c>
    </row>
    <row r="4652" spans="1:6" x14ac:dyDescent="0.2">
      <c r="A4652" s="17">
        <v>0</v>
      </c>
      <c r="B4652" s="18"/>
      <c r="C4652" s="17">
        <v>0</v>
      </c>
      <c r="D4652" s="19">
        <v>0</v>
      </c>
      <c r="F4652" s="3">
        <f t="shared" si="72"/>
        <v>0</v>
      </c>
    </row>
    <row r="4653" spans="1:6" x14ac:dyDescent="0.2">
      <c r="A4653" s="17" t="s">
        <v>13699</v>
      </c>
      <c r="B4653" s="18" t="s">
        <v>13700</v>
      </c>
      <c r="C4653" s="17" t="s">
        <v>271</v>
      </c>
      <c r="D4653" s="19">
        <v>153.26</v>
      </c>
      <c r="F4653" s="3" t="str">
        <f t="shared" si="72"/>
        <v>C4239</v>
      </c>
    </row>
    <row r="4654" spans="1:6" x14ac:dyDescent="0.2">
      <c r="A4654" s="17">
        <v>0</v>
      </c>
      <c r="B4654" s="18"/>
      <c r="C4654" s="17">
        <v>0</v>
      </c>
      <c r="D4654" s="19">
        <v>0</v>
      </c>
      <c r="F4654" s="3">
        <f t="shared" si="72"/>
        <v>0</v>
      </c>
    </row>
    <row r="4655" spans="1:6" x14ac:dyDescent="0.2">
      <c r="A4655" s="17" t="s">
        <v>13701</v>
      </c>
      <c r="B4655" s="18" t="s">
        <v>13702</v>
      </c>
      <c r="C4655" s="17" t="s">
        <v>271</v>
      </c>
      <c r="D4655" s="19">
        <v>25.81</v>
      </c>
      <c r="F4655" s="3" t="str">
        <f t="shared" si="72"/>
        <v>C3231</v>
      </c>
    </row>
    <row r="4656" spans="1:6" x14ac:dyDescent="0.2">
      <c r="A4656" s="17">
        <v>0</v>
      </c>
      <c r="B4656" s="18"/>
      <c r="C4656" s="17">
        <v>0</v>
      </c>
      <c r="D4656" s="19">
        <v>0</v>
      </c>
      <c r="F4656" s="3">
        <f t="shared" si="72"/>
        <v>0</v>
      </c>
    </row>
    <row r="4657" spans="1:6" x14ac:dyDescent="0.2">
      <c r="A4657" s="14" t="s">
        <v>13703</v>
      </c>
      <c r="B4657" s="15"/>
      <c r="C4657" s="14">
        <v>0</v>
      </c>
      <c r="D4657" s="16">
        <v>0.49</v>
      </c>
      <c r="F4657" s="3" t="str">
        <f t="shared" si="72"/>
        <v>IMPRIMAÇÃO</v>
      </c>
    </row>
    <row r="4658" spans="1:6" x14ac:dyDescent="0.2">
      <c r="A4658" s="17" t="s">
        <v>13704</v>
      </c>
      <c r="B4658" s="18" t="s">
        <v>13705</v>
      </c>
      <c r="C4658" s="17" t="s">
        <v>255</v>
      </c>
      <c r="D4658" s="19">
        <v>0.49</v>
      </c>
      <c r="F4658" s="3" t="str">
        <f t="shared" si="72"/>
        <v>C3221</v>
      </c>
    </row>
    <row r="4659" spans="1:6" x14ac:dyDescent="0.2">
      <c r="A4659" s="14" t="s">
        <v>13706</v>
      </c>
      <c r="B4659" s="15"/>
      <c r="C4659" s="14">
        <v>0</v>
      </c>
      <c r="D4659" s="16">
        <v>0.28999999999999998</v>
      </c>
      <c r="F4659" s="3" t="str">
        <f t="shared" si="72"/>
        <v>PINTURA DE LIGAÇÃO</v>
      </c>
    </row>
    <row r="4660" spans="1:6" x14ac:dyDescent="0.2">
      <c r="A4660" s="17" t="s">
        <v>13707</v>
      </c>
      <c r="B4660" s="18" t="s">
        <v>13708</v>
      </c>
      <c r="C4660" s="17" t="s">
        <v>255</v>
      </c>
      <c r="D4660" s="19">
        <v>0.28999999999999998</v>
      </c>
      <c r="F4660" s="3" t="str">
        <f t="shared" si="72"/>
        <v>C3228</v>
      </c>
    </row>
    <row r="4661" spans="1:6" x14ac:dyDescent="0.2">
      <c r="A4661" s="14" t="s">
        <v>13709</v>
      </c>
      <c r="B4661" s="15"/>
      <c r="C4661" s="14">
        <v>0</v>
      </c>
      <c r="D4661" s="16">
        <v>779.36</v>
      </c>
      <c r="F4661" s="3" t="str">
        <f t="shared" si="72"/>
        <v>MISTURAS BETUMINOSAS À QUENTE</v>
      </c>
    </row>
    <row r="4662" spans="1:6" x14ac:dyDescent="0.2">
      <c r="A4662" s="17" t="s">
        <v>13710</v>
      </c>
      <c r="B4662" s="18" t="s">
        <v>13711</v>
      </c>
      <c r="C4662" s="17" t="s">
        <v>271</v>
      </c>
      <c r="D4662" s="19">
        <v>143.37</v>
      </c>
      <c r="F4662" s="3" t="str">
        <f t="shared" si="72"/>
        <v>C3126</v>
      </c>
    </row>
    <row r="4663" spans="1:6" x14ac:dyDescent="0.2">
      <c r="A4663" s="17">
        <v>0</v>
      </c>
      <c r="B4663" s="18"/>
      <c r="C4663" s="17">
        <v>0</v>
      </c>
      <c r="D4663" s="19">
        <v>0</v>
      </c>
      <c r="F4663" s="3">
        <f t="shared" si="72"/>
        <v>0</v>
      </c>
    </row>
    <row r="4664" spans="1:6" x14ac:dyDescent="0.2">
      <c r="A4664" s="17" t="s">
        <v>13712</v>
      </c>
      <c r="B4664" s="18" t="s">
        <v>13713</v>
      </c>
      <c r="C4664" s="17" t="s">
        <v>271</v>
      </c>
      <c r="D4664" s="19">
        <v>145.04</v>
      </c>
      <c r="F4664" s="3" t="str">
        <f t="shared" si="72"/>
        <v>C3128</v>
      </c>
    </row>
    <row r="4665" spans="1:6" x14ac:dyDescent="0.2">
      <c r="A4665" s="17" t="s">
        <v>13714</v>
      </c>
      <c r="B4665" s="18" t="s">
        <v>13715</v>
      </c>
      <c r="C4665" s="17" t="s">
        <v>271</v>
      </c>
      <c r="D4665" s="19">
        <v>225.12</v>
      </c>
      <c r="F4665" s="3" t="str">
        <f t="shared" si="72"/>
        <v>C3155</v>
      </c>
    </row>
    <row r="4666" spans="1:6" x14ac:dyDescent="0.2">
      <c r="A4666" s="17" t="s">
        <v>13716</v>
      </c>
      <c r="B4666" s="18" t="s">
        <v>13717</v>
      </c>
      <c r="C4666" s="17" t="s">
        <v>271</v>
      </c>
      <c r="D4666" s="19">
        <v>265.83</v>
      </c>
      <c r="F4666" s="3" t="str">
        <f t="shared" si="72"/>
        <v>C3230</v>
      </c>
    </row>
    <row r="4667" spans="1:6" x14ac:dyDescent="0.2">
      <c r="A4667" s="14" t="s">
        <v>13718</v>
      </c>
      <c r="B4667" s="15"/>
      <c r="C4667" s="14">
        <v>0</v>
      </c>
      <c r="D4667" s="16">
        <v>290.97000000000003</v>
      </c>
      <c r="F4667" s="3" t="str">
        <f t="shared" si="72"/>
        <v>MISTURAS BETUMINOSAS À FRIO</v>
      </c>
    </row>
    <row r="4668" spans="1:6" x14ac:dyDescent="0.2">
      <c r="A4668" s="17" t="s">
        <v>13719</v>
      </c>
      <c r="B4668" s="18" t="s">
        <v>13720</v>
      </c>
      <c r="C4668" s="17" t="s">
        <v>271</v>
      </c>
      <c r="D4668" s="19">
        <v>90.99</v>
      </c>
      <c r="F4668" s="3" t="str">
        <f t="shared" si="72"/>
        <v>C3127</v>
      </c>
    </row>
    <row r="4669" spans="1:6" x14ac:dyDescent="0.2">
      <c r="A4669" s="17" t="s">
        <v>13721</v>
      </c>
      <c r="B4669" s="18" t="s">
        <v>13722</v>
      </c>
      <c r="C4669" s="17" t="s">
        <v>271</v>
      </c>
      <c r="D4669" s="19">
        <v>199.98</v>
      </c>
      <c r="F4669" s="3" t="str">
        <f t="shared" si="72"/>
        <v>C3229</v>
      </c>
    </row>
    <row r="4670" spans="1:6" x14ac:dyDescent="0.2">
      <c r="A4670" s="14" t="s">
        <v>13723</v>
      </c>
      <c r="B4670" s="15"/>
      <c r="C4670" s="14">
        <v>0</v>
      </c>
      <c r="D4670" s="16">
        <v>415.89</v>
      </c>
      <c r="F4670" s="3" t="str">
        <f t="shared" si="72"/>
        <v>REVESTIMENTO EM PEDRA</v>
      </c>
    </row>
    <row r="4671" spans="1:6" x14ac:dyDescent="0.2">
      <c r="A4671" s="17" t="s">
        <v>13724</v>
      </c>
      <c r="B4671" s="18" t="s">
        <v>13725</v>
      </c>
      <c r="C4671" s="17" t="s">
        <v>255</v>
      </c>
      <c r="D4671" s="19">
        <v>86.96</v>
      </c>
      <c r="F4671" s="3" t="str">
        <f t="shared" si="72"/>
        <v>C3010</v>
      </c>
    </row>
    <row r="4672" spans="1:6" x14ac:dyDescent="0.2">
      <c r="A4672" s="17" t="s">
        <v>13726</v>
      </c>
      <c r="B4672" s="18" t="s">
        <v>13727</v>
      </c>
      <c r="C4672" s="17" t="s">
        <v>255</v>
      </c>
      <c r="D4672" s="19">
        <v>64.91</v>
      </c>
      <c r="F4672" s="3" t="str">
        <f t="shared" si="72"/>
        <v>C2893</v>
      </c>
    </row>
    <row r="4673" spans="1:6" x14ac:dyDescent="0.2">
      <c r="A4673" s="17" t="s">
        <v>13728</v>
      </c>
      <c r="B4673" s="18" t="s">
        <v>13729</v>
      </c>
      <c r="C4673" s="17" t="s">
        <v>255</v>
      </c>
      <c r="D4673" s="19">
        <v>53.91</v>
      </c>
      <c r="F4673" s="3" t="str">
        <f t="shared" si="72"/>
        <v>C3107</v>
      </c>
    </row>
    <row r="4674" spans="1:6" x14ac:dyDescent="0.2">
      <c r="A4674" s="17">
        <v>0</v>
      </c>
      <c r="B4674" s="18"/>
      <c r="C4674" s="17">
        <v>0</v>
      </c>
      <c r="D4674" s="19">
        <v>0</v>
      </c>
      <c r="F4674" s="3">
        <f t="shared" ref="F4674:F4737" si="73">A4674</f>
        <v>0</v>
      </c>
    </row>
    <row r="4675" spans="1:6" x14ac:dyDescent="0.2">
      <c r="A4675" s="17" t="s">
        <v>13730</v>
      </c>
      <c r="B4675" s="18" t="s">
        <v>13731</v>
      </c>
      <c r="C4675" s="17" t="s">
        <v>255</v>
      </c>
      <c r="D4675" s="19">
        <v>61.44</v>
      </c>
      <c r="F4675" s="3" t="str">
        <f t="shared" si="73"/>
        <v>C2894</v>
      </c>
    </row>
    <row r="4676" spans="1:6" x14ac:dyDescent="0.2">
      <c r="A4676" s="17" t="s">
        <v>13732</v>
      </c>
      <c r="B4676" s="18" t="s">
        <v>13733</v>
      </c>
      <c r="C4676" s="17" t="s">
        <v>255</v>
      </c>
      <c r="D4676" s="19">
        <v>71.78</v>
      </c>
      <c r="F4676" s="3" t="str">
        <f t="shared" si="73"/>
        <v>C2895</v>
      </c>
    </row>
    <row r="4677" spans="1:6" x14ac:dyDescent="0.2">
      <c r="A4677" s="17" t="s">
        <v>13734</v>
      </c>
      <c r="B4677" s="18" t="s">
        <v>13735</v>
      </c>
      <c r="C4677" s="17" t="s">
        <v>255</v>
      </c>
      <c r="D4677" s="19">
        <v>28.56</v>
      </c>
      <c r="F4677" s="3" t="str">
        <f t="shared" si="73"/>
        <v>C3348</v>
      </c>
    </row>
    <row r="4678" spans="1:6" x14ac:dyDescent="0.2">
      <c r="A4678" s="17" t="s">
        <v>13736</v>
      </c>
      <c r="B4678" s="18" t="s">
        <v>13737</v>
      </c>
      <c r="C4678" s="17" t="s">
        <v>255</v>
      </c>
      <c r="D4678" s="19">
        <v>48.33</v>
      </c>
      <c r="F4678" s="3" t="str">
        <f t="shared" si="73"/>
        <v>C2896</v>
      </c>
    </row>
    <row r="4679" spans="1:6" x14ac:dyDescent="0.2">
      <c r="A4679" s="14" t="s">
        <v>13738</v>
      </c>
      <c r="B4679" s="15"/>
      <c r="C4679" s="14">
        <v>0</v>
      </c>
      <c r="D4679" s="16">
        <v>244.36</v>
      </c>
      <c r="F4679" s="3" t="str">
        <f t="shared" si="73"/>
        <v>REVESTIMENTO PRIMÁRIO</v>
      </c>
    </row>
    <row r="4680" spans="1:6" x14ac:dyDescent="0.2">
      <c r="A4680" s="17" t="s">
        <v>13739</v>
      </c>
      <c r="B4680" s="18" t="s">
        <v>13740</v>
      </c>
      <c r="C4680" s="17" t="s">
        <v>271</v>
      </c>
      <c r="D4680" s="19">
        <v>120.71</v>
      </c>
      <c r="F4680" s="3" t="str">
        <f t="shared" si="73"/>
        <v>C2944</v>
      </c>
    </row>
    <row r="4681" spans="1:6" x14ac:dyDescent="0.2">
      <c r="A4681" s="17" t="s">
        <v>13741</v>
      </c>
      <c r="B4681" s="18" t="s">
        <v>13742</v>
      </c>
      <c r="C4681" s="17" t="s">
        <v>271</v>
      </c>
      <c r="D4681" s="19">
        <v>111.47</v>
      </c>
      <c r="F4681" s="3" t="str">
        <f t="shared" si="73"/>
        <v>C2945</v>
      </c>
    </row>
    <row r="4682" spans="1:6" x14ac:dyDescent="0.2">
      <c r="A4682" s="17" t="s">
        <v>13743</v>
      </c>
      <c r="B4682" s="18" t="s">
        <v>13744</v>
      </c>
      <c r="C4682" s="17" t="s">
        <v>271</v>
      </c>
      <c r="D4682" s="19">
        <v>12.18</v>
      </c>
      <c r="F4682" s="3" t="str">
        <f t="shared" si="73"/>
        <v>C3234</v>
      </c>
    </row>
    <row r="4683" spans="1:6" x14ac:dyDescent="0.2">
      <c r="A4683" s="14" t="s">
        <v>13745</v>
      </c>
      <c r="B4683" s="15"/>
      <c r="C4683" s="14">
        <v>0</v>
      </c>
      <c r="D4683" s="16">
        <v>32.119999999999997</v>
      </c>
      <c r="F4683" s="3" t="str">
        <f t="shared" si="73"/>
        <v>TRATAMENTOS SUPERFICIAIS</v>
      </c>
    </row>
    <row r="4684" spans="1:6" x14ac:dyDescent="0.2">
      <c r="A4684" s="17" t="s">
        <v>13746</v>
      </c>
      <c r="B4684" s="18" t="s">
        <v>13747</v>
      </c>
      <c r="C4684" s="17" t="s">
        <v>255</v>
      </c>
      <c r="D4684" s="19">
        <v>0.36</v>
      </c>
      <c r="F4684" s="3" t="str">
        <f t="shared" si="73"/>
        <v>C3125</v>
      </c>
    </row>
    <row r="4685" spans="1:6" x14ac:dyDescent="0.2">
      <c r="A4685" s="17">
        <v>0</v>
      </c>
      <c r="B4685" s="18"/>
      <c r="C4685" s="17">
        <v>0</v>
      </c>
      <c r="D4685" s="19">
        <v>0</v>
      </c>
      <c r="F4685" s="3">
        <f t="shared" si="73"/>
        <v>0</v>
      </c>
    </row>
    <row r="4686" spans="1:6" x14ac:dyDescent="0.2">
      <c r="A4686" s="17" t="s">
        <v>13748</v>
      </c>
      <c r="B4686" s="18" t="s">
        <v>13749</v>
      </c>
      <c r="C4686" s="17" t="s">
        <v>255</v>
      </c>
      <c r="D4686" s="19">
        <v>2.5299999999999998</v>
      </c>
      <c r="F4686" s="3" t="str">
        <f t="shared" si="73"/>
        <v>C3242</v>
      </c>
    </row>
    <row r="4687" spans="1:6" x14ac:dyDescent="0.2">
      <c r="A4687" s="17" t="s">
        <v>13750</v>
      </c>
      <c r="B4687" s="18" t="s">
        <v>13751</v>
      </c>
      <c r="C4687" s="17" t="s">
        <v>255</v>
      </c>
      <c r="D4687" s="19">
        <v>7.56</v>
      </c>
      <c r="F4687" s="3" t="str">
        <f t="shared" si="73"/>
        <v>C3240</v>
      </c>
    </row>
    <row r="4688" spans="1:6" x14ac:dyDescent="0.2">
      <c r="A4688" s="17" t="s">
        <v>13752</v>
      </c>
      <c r="B4688" s="18" t="s">
        <v>13753</v>
      </c>
      <c r="C4688" s="17" t="s">
        <v>255</v>
      </c>
      <c r="D4688" s="19">
        <v>9.4700000000000006</v>
      </c>
      <c r="F4688" s="3" t="str">
        <f t="shared" si="73"/>
        <v>C3241</v>
      </c>
    </row>
    <row r="4689" spans="1:6" x14ac:dyDescent="0.2">
      <c r="A4689" s="17" t="s">
        <v>13754</v>
      </c>
      <c r="B4689" s="18" t="s">
        <v>13755</v>
      </c>
      <c r="C4689" s="17" t="s">
        <v>255</v>
      </c>
      <c r="D4689" s="19">
        <v>12.2</v>
      </c>
      <c r="F4689" s="3" t="str">
        <f t="shared" si="73"/>
        <v>C3243</v>
      </c>
    </row>
    <row r="4690" spans="1:6" x14ac:dyDescent="0.2">
      <c r="A4690" s="14" t="s">
        <v>13756</v>
      </c>
      <c r="B4690" s="15"/>
      <c r="C4690" s="14">
        <v>0</v>
      </c>
      <c r="D4690" s="16">
        <v>110800.52</v>
      </c>
      <c r="F4690" s="3" t="str">
        <f t="shared" si="73"/>
        <v>CONSERVAÇÃO DO SISTEMA VIÁRIO</v>
      </c>
    </row>
    <row r="4691" spans="1:6" x14ac:dyDescent="0.2">
      <c r="A4691" s="14" t="s">
        <v>13757</v>
      </c>
      <c r="B4691" s="15"/>
      <c r="C4691" s="14">
        <v>0</v>
      </c>
      <c r="D4691" s="16">
        <v>104009.48</v>
      </c>
      <c r="F4691" s="3" t="str">
        <f t="shared" si="73"/>
        <v>FERROVIÁRIA</v>
      </c>
    </row>
    <row r="4692" spans="1:6" ht="22.5" x14ac:dyDescent="0.2">
      <c r="A4692" s="17" t="s">
        <v>13758</v>
      </c>
      <c r="B4692" s="18" t="s">
        <v>13759</v>
      </c>
      <c r="C4692" s="17" t="s">
        <v>0</v>
      </c>
      <c r="D4692" s="19">
        <v>6.06</v>
      </c>
      <c r="F4692" s="3" t="str">
        <f t="shared" si="73"/>
        <v>C4337</v>
      </c>
    </row>
    <row r="4693" spans="1:6" x14ac:dyDescent="0.2">
      <c r="A4693" s="17">
        <v>0</v>
      </c>
      <c r="B4693" s="18"/>
      <c r="C4693" s="17">
        <v>0</v>
      </c>
      <c r="D4693" s="19">
        <v>0</v>
      </c>
      <c r="F4693" s="3">
        <f t="shared" si="73"/>
        <v>0</v>
      </c>
    </row>
    <row r="4694" spans="1:6" x14ac:dyDescent="0.2">
      <c r="A4694" s="17" t="s">
        <v>13760</v>
      </c>
      <c r="B4694" s="18" t="s">
        <v>13761</v>
      </c>
      <c r="C4694" s="17" t="s">
        <v>271</v>
      </c>
      <c r="D4694" s="19">
        <v>56.58</v>
      </c>
      <c r="F4694" s="3" t="str">
        <f t="shared" si="73"/>
        <v>C4335</v>
      </c>
    </row>
    <row r="4695" spans="1:6" x14ac:dyDescent="0.2">
      <c r="A4695" s="17" t="s">
        <v>13762</v>
      </c>
      <c r="B4695" s="18" t="s">
        <v>13763</v>
      </c>
      <c r="C4695" s="17" t="s">
        <v>26</v>
      </c>
      <c r="D4695" s="19">
        <v>1.01</v>
      </c>
      <c r="F4695" s="3" t="str">
        <f t="shared" si="73"/>
        <v>C4357</v>
      </c>
    </row>
    <row r="4696" spans="1:6" x14ac:dyDescent="0.2">
      <c r="A4696" s="17" t="s">
        <v>13764</v>
      </c>
      <c r="B4696" s="18" t="s">
        <v>13765</v>
      </c>
      <c r="C4696" s="17" t="s">
        <v>26</v>
      </c>
      <c r="D4696" s="19">
        <v>30.31</v>
      </c>
      <c r="F4696" s="3" t="str">
        <f t="shared" si="73"/>
        <v>C4359</v>
      </c>
    </row>
    <row r="4697" spans="1:6" ht="22.5" x14ac:dyDescent="0.2">
      <c r="A4697" s="17" t="s">
        <v>13766</v>
      </c>
      <c r="B4697" s="18" t="s">
        <v>13767</v>
      </c>
      <c r="C4697" s="17" t="s">
        <v>5477</v>
      </c>
      <c r="D4697" s="19">
        <v>32.74</v>
      </c>
      <c r="F4697" s="3" t="str">
        <f t="shared" si="73"/>
        <v>C4227</v>
      </c>
    </row>
    <row r="4698" spans="1:6" x14ac:dyDescent="0.2">
      <c r="A4698" s="17">
        <v>0</v>
      </c>
      <c r="B4698" s="18"/>
      <c r="C4698" s="17">
        <v>0</v>
      </c>
      <c r="D4698" s="19">
        <v>0</v>
      </c>
      <c r="F4698" s="3">
        <f t="shared" si="73"/>
        <v>0</v>
      </c>
    </row>
    <row r="4699" spans="1:6" ht="22.5" x14ac:dyDescent="0.2">
      <c r="A4699" s="17" t="s">
        <v>13768</v>
      </c>
      <c r="B4699" s="18" t="s">
        <v>13769</v>
      </c>
      <c r="C4699" s="17" t="s">
        <v>26</v>
      </c>
      <c r="D4699" s="19">
        <v>6.87</v>
      </c>
      <c r="F4699" s="3" t="str">
        <f t="shared" si="73"/>
        <v>C4367</v>
      </c>
    </row>
    <row r="4700" spans="1:6" x14ac:dyDescent="0.2">
      <c r="A4700" s="17">
        <v>0</v>
      </c>
      <c r="B4700" s="18"/>
      <c r="C4700" s="17">
        <v>0</v>
      </c>
      <c r="D4700" s="19">
        <v>0</v>
      </c>
      <c r="F4700" s="3">
        <f t="shared" si="73"/>
        <v>0</v>
      </c>
    </row>
    <row r="4701" spans="1:6" ht="22.5" x14ac:dyDescent="0.2">
      <c r="A4701" s="17" t="s">
        <v>13770</v>
      </c>
      <c r="B4701" s="18" t="s">
        <v>13771</v>
      </c>
      <c r="C4701" s="17" t="s">
        <v>5477</v>
      </c>
      <c r="D4701" s="19">
        <v>34.35</v>
      </c>
      <c r="F4701" s="3" t="str">
        <f t="shared" si="73"/>
        <v>C4225</v>
      </c>
    </row>
    <row r="4702" spans="1:6" x14ac:dyDescent="0.2">
      <c r="A4702" s="17">
        <v>0</v>
      </c>
      <c r="B4702" s="18"/>
      <c r="C4702" s="17">
        <v>0</v>
      </c>
      <c r="D4702" s="19">
        <v>0</v>
      </c>
      <c r="F4702" s="3">
        <f t="shared" si="73"/>
        <v>0</v>
      </c>
    </row>
    <row r="4703" spans="1:6" ht="22.5" x14ac:dyDescent="0.2">
      <c r="A4703" s="17" t="s">
        <v>13772</v>
      </c>
      <c r="B4703" s="18" t="s">
        <v>13773</v>
      </c>
      <c r="C4703" s="17" t="s">
        <v>26</v>
      </c>
      <c r="D4703" s="19">
        <v>3.84</v>
      </c>
      <c r="F4703" s="3" t="str">
        <f t="shared" si="73"/>
        <v>C4224</v>
      </c>
    </row>
    <row r="4704" spans="1:6" x14ac:dyDescent="0.2">
      <c r="A4704" s="17">
        <v>0</v>
      </c>
      <c r="B4704" s="18"/>
      <c r="C4704" s="17">
        <v>0</v>
      </c>
      <c r="D4704" s="19">
        <v>0</v>
      </c>
      <c r="F4704" s="3">
        <f t="shared" si="73"/>
        <v>0</v>
      </c>
    </row>
    <row r="4705" spans="1:6" ht="22.5" x14ac:dyDescent="0.2">
      <c r="A4705" s="17" t="s">
        <v>13774</v>
      </c>
      <c r="B4705" s="18" t="s">
        <v>13775</v>
      </c>
      <c r="C4705" s="17" t="s">
        <v>26</v>
      </c>
      <c r="D4705" s="19">
        <v>4.45</v>
      </c>
      <c r="F4705" s="3" t="str">
        <f t="shared" si="73"/>
        <v>C4228</v>
      </c>
    </row>
    <row r="4706" spans="1:6" x14ac:dyDescent="0.2">
      <c r="A4706" s="17">
        <v>0</v>
      </c>
      <c r="B4706" s="18"/>
      <c r="C4706" s="17">
        <v>0</v>
      </c>
      <c r="D4706" s="19">
        <v>0</v>
      </c>
      <c r="F4706" s="3">
        <f t="shared" si="73"/>
        <v>0</v>
      </c>
    </row>
    <row r="4707" spans="1:6" x14ac:dyDescent="0.2">
      <c r="A4707" s="17" t="s">
        <v>13776</v>
      </c>
      <c r="B4707" s="18" t="s">
        <v>13777</v>
      </c>
      <c r="C4707" s="17" t="s">
        <v>5477</v>
      </c>
      <c r="D4707" s="19">
        <v>38.39</v>
      </c>
      <c r="F4707" s="3" t="str">
        <f t="shared" si="73"/>
        <v>C4226</v>
      </c>
    </row>
    <row r="4708" spans="1:6" x14ac:dyDescent="0.2">
      <c r="A4708" s="17">
        <v>0</v>
      </c>
      <c r="B4708" s="18"/>
      <c r="C4708" s="17">
        <v>0</v>
      </c>
      <c r="D4708" s="19">
        <v>0</v>
      </c>
      <c r="F4708" s="3">
        <f t="shared" si="73"/>
        <v>0</v>
      </c>
    </row>
    <row r="4709" spans="1:6" ht="33.75" x14ac:dyDescent="0.2">
      <c r="A4709" s="17" t="s">
        <v>13778</v>
      </c>
      <c r="B4709" s="18" t="s">
        <v>13779</v>
      </c>
      <c r="C4709" s="17" t="s">
        <v>26</v>
      </c>
      <c r="D4709" s="19">
        <v>17.78</v>
      </c>
      <c r="F4709" s="3" t="str">
        <f t="shared" si="73"/>
        <v>C4349</v>
      </c>
    </row>
    <row r="4710" spans="1:6" x14ac:dyDescent="0.2">
      <c r="A4710" s="17">
        <v>0</v>
      </c>
      <c r="B4710" s="18"/>
      <c r="C4710" s="17">
        <v>0</v>
      </c>
      <c r="D4710" s="19">
        <v>0</v>
      </c>
      <c r="F4710" s="3">
        <f t="shared" si="73"/>
        <v>0</v>
      </c>
    </row>
    <row r="4711" spans="1:6" x14ac:dyDescent="0.2">
      <c r="A4711" s="17" t="s">
        <v>13780</v>
      </c>
      <c r="B4711" s="18" t="s">
        <v>13781</v>
      </c>
      <c r="C4711" s="17" t="s">
        <v>26</v>
      </c>
      <c r="D4711" s="19">
        <v>0.81</v>
      </c>
      <c r="F4711" s="3" t="str">
        <f t="shared" si="73"/>
        <v>C4348</v>
      </c>
    </row>
    <row r="4712" spans="1:6" ht="22.5" x14ac:dyDescent="0.2">
      <c r="A4712" s="17" t="s">
        <v>13782</v>
      </c>
      <c r="B4712" s="18" t="s">
        <v>13783</v>
      </c>
      <c r="C4712" s="17" t="s">
        <v>26</v>
      </c>
      <c r="D4712" s="19">
        <v>1.82</v>
      </c>
      <c r="F4712" s="3" t="str">
        <f t="shared" si="73"/>
        <v>C4352</v>
      </c>
    </row>
    <row r="4713" spans="1:6" x14ac:dyDescent="0.2">
      <c r="A4713" s="17">
        <v>0</v>
      </c>
      <c r="B4713" s="18"/>
      <c r="C4713" s="17">
        <v>0</v>
      </c>
      <c r="D4713" s="19">
        <v>0</v>
      </c>
      <c r="F4713" s="3">
        <f t="shared" si="73"/>
        <v>0</v>
      </c>
    </row>
    <row r="4714" spans="1:6" x14ac:dyDescent="0.2">
      <c r="A4714" s="17" t="s">
        <v>13784</v>
      </c>
      <c r="B4714" s="18" t="s">
        <v>13785</v>
      </c>
      <c r="C4714" s="17" t="s">
        <v>26</v>
      </c>
      <c r="D4714" s="19">
        <v>1.82</v>
      </c>
      <c r="F4714" s="3" t="str">
        <f t="shared" si="73"/>
        <v>C4351</v>
      </c>
    </row>
    <row r="4715" spans="1:6" x14ac:dyDescent="0.2">
      <c r="A4715" s="17">
        <v>0</v>
      </c>
      <c r="B4715" s="18"/>
      <c r="C4715" s="17">
        <v>0</v>
      </c>
      <c r="D4715" s="19">
        <v>0</v>
      </c>
      <c r="F4715" s="3">
        <f t="shared" si="73"/>
        <v>0</v>
      </c>
    </row>
    <row r="4716" spans="1:6" ht="22.5" x14ac:dyDescent="0.2">
      <c r="A4716" s="17" t="s">
        <v>13786</v>
      </c>
      <c r="B4716" s="18" t="s">
        <v>13787</v>
      </c>
      <c r="C4716" s="17" t="s">
        <v>26</v>
      </c>
      <c r="D4716" s="19">
        <v>909.35</v>
      </c>
      <c r="F4716" s="3" t="str">
        <f t="shared" si="73"/>
        <v>C4341</v>
      </c>
    </row>
    <row r="4717" spans="1:6" x14ac:dyDescent="0.2">
      <c r="A4717" s="17">
        <v>0</v>
      </c>
      <c r="B4717" s="18"/>
      <c r="C4717" s="17">
        <v>0</v>
      </c>
      <c r="D4717" s="19">
        <v>0</v>
      </c>
      <c r="F4717" s="3">
        <f t="shared" si="73"/>
        <v>0</v>
      </c>
    </row>
    <row r="4718" spans="1:6" ht="22.5" x14ac:dyDescent="0.2">
      <c r="A4718" s="17" t="s">
        <v>13788</v>
      </c>
      <c r="B4718" s="18" t="s">
        <v>13789</v>
      </c>
      <c r="C4718" s="17" t="s">
        <v>26</v>
      </c>
      <c r="D4718" s="19">
        <v>707.27</v>
      </c>
      <c r="F4718" s="3" t="str">
        <f t="shared" si="73"/>
        <v>C4342</v>
      </c>
    </row>
    <row r="4719" spans="1:6" x14ac:dyDescent="0.2">
      <c r="A4719" s="17">
        <v>0</v>
      </c>
      <c r="B4719" s="18"/>
      <c r="C4719" s="17">
        <v>0</v>
      </c>
      <c r="D4719" s="19">
        <v>0</v>
      </c>
      <c r="F4719" s="3">
        <f t="shared" si="73"/>
        <v>0</v>
      </c>
    </row>
    <row r="4720" spans="1:6" x14ac:dyDescent="0.2">
      <c r="A4720" s="17" t="s">
        <v>13790</v>
      </c>
      <c r="B4720" s="18" t="s">
        <v>13791</v>
      </c>
      <c r="C4720" s="17" t="s">
        <v>0</v>
      </c>
      <c r="D4720" s="19">
        <v>8.08</v>
      </c>
      <c r="F4720" s="3" t="str">
        <f t="shared" si="73"/>
        <v>C4358</v>
      </c>
    </row>
    <row r="4721" spans="1:6" ht="22.5" x14ac:dyDescent="0.2">
      <c r="A4721" s="17" t="s">
        <v>13792</v>
      </c>
      <c r="B4721" s="18" t="s">
        <v>13793</v>
      </c>
      <c r="C4721" s="17" t="s">
        <v>26</v>
      </c>
      <c r="D4721" s="19">
        <v>2424.94</v>
      </c>
      <c r="F4721" s="3" t="str">
        <f t="shared" si="73"/>
        <v>C4220</v>
      </c>
    </row>
    <row r="4722" spans="1:6" x14ac:dyDescent="0.2">
      <c r="A4722" s="17">
        <v>0</v>
      </c>
      <c r="B4722" s="18"/>
      <c r="C4722" s="17">
        <v>0</v>
      </c>
      <c r="D4722" s="19">
        <v>0</v>
      </c>
      <c r="F4722" s="3">
        <f t="shared" si="73"/>
        <v>0</v>
      </c>
    </row>
    <row r="4723" spans="1:6" ht="22.5" x14ac:dyDescent="0.2">
      <c r="A4723" s="17" t="s">
        <v>13794</v>
      </c>
      <c r="B4723" s="18" t="s">
        <v>13795</v>
      </c>
      <c r="C4723" s="17" t="s">
        <v>26</v>
      </c>
      <c r="D4723" s="19">
        <v>2788.68</v>
      </c>
      <c r="F4723" s="3" t="str">
        <f t="shared" si="73"/>
        <v>C4221</v>
      </c>
    </row>
    <row r="4724" spans="1:6" x14ac:dyDescent="0.2">
      <c r="A4724" s="17">
        <v>0</v>
      </c>
      <c r="B4724" s="18"/>
      <c r="C4724" s="17">
        <v>0</v>
      </c>
      <c r="D4724" s="19">
        <v>0</v>
      </c>
      <c r="F4724" s="3">
        <f t="shared" si="73"/>
        <v>0</v>
      </c>
    </row>
    <row r="4725" spans="1:6" ht="22.5" x14ac:dyDescent="0.2">
      <c r="A4725" s="17" t="s">
        <v>13796</v>
      </c>
      <c r="B4725" s="18" t="s">
        <v>13797</v>
      </c>
      <c r="C4725" s="17" t="s">
        <v>26</v>
      </c>
      <c r="D4725" s="19">
        <v>3206.98</v>
      </c>
      <c r="F4725" s="3" t="str">
        <f t="shared" si="73"/>
        <v>C4222</v>
      </c>
    </row>
    <row r="4726" spans="1:6" x14ac:dyDescent="0.2">
      <c r="A4726" s="17">
        <v>0</v>
      </c>
      <c r="B4726" s="18"/>
      <c r="C4726" s="17">
        <v>0</v>
      </c>
      <c r="D4726" s="19">
        <v>0</v>
      </c>
      <c r="F4726" s="3">
        <f t="shared" si="73"/>
        <v>0</v>
      </c>
    </row>
    <row r="4727" spans="1:6" ht="22.5" x14ac:dyDescent="0.2">
      <c r="A4727" s="17" t="s">
        <v>13798</v>
      </c>
      <c r="B4727" s="18" t="s">
        <v>13799</v>
      </c>
      <c r="C4727" s="17" t="s">
        <v>6001</v>
      </c>
      <c r="D4727" s="19">
        <v>36374.04</v>
      </c>
      <c r="F4727" s="3" t="str">
        <f t="shared" si="73"/>
        <v>C4219</v>
      </c>
    </row>
    <row r="4728" spans="1:6" x14ac:dyDescent="0.2">
      <c r="A4728" s="17">
        <v>0</v>
      </c>
      <c r="B4728" s="18"/>
      <c r="C4728" s="17">
        <v>0</v>
      </c>
      <c r="D4728" s="19">
        <v>0</v>
      </c>
      <c r="F4728" s="3">
        <f t="shared" si="73"/>
        <v>0</v>
      </c>
    </row>
    <row r="4729" spans="1:6" ht="22.5" x14ac:dyDescent="0.2">
      <c r="A4729" s="17" t="s">
        <v>13800</v>
      </c>
      <c r="B4729" s="18" t="s">
        <v>13801</v>
      </c>
      <c r="C4729" s="17" t="s">
        <v>5477</v>
      </c>
      <c r="D4729" s="19">
        <v>27.89</v>
      </c>
      <c r="F4729" s="3" t="str">
        <f t="shared" si="73"/>
        <v>C4232</v>
      </c>
    </row>
    <row r="4730" spans="1:6" x14ac:dyDescent="0.2">
      <c r="A4730" s="17">
        <v>0</v>
      </c>
      <c r="B4730" s="18"/>
      <c r="C4730" s="17">
        <v>0</v>
      </c>
      <c r="D4730" s="19">
        <v>0</v>
      </c>
      <c r="F4730" s="3">
        <f t="shared" si="73"/>
        <v>0</v>
      </c>
    </row>
    <row r="4731" spans="1:6" ht="22.5" x14ac:dyDescent="0.2">
      <c r="A4731" s="17" t="s">
        <v>13802</v>
      </c>
      <c r="B4731" s="18" t="s">
        <v>13803</v>
      </c>
      <c r="C4731" s="17" t="s">
        <v>5477</v>
      </c>
      <c r="D4731" s="19">
        <v>30.31</v>
      </c>
      <c r="F4731" s="3" t="str">
        <f t="shared" si="73"/>
        <v>C4230</v>
      </c>
    </row>
    <row r="4732" spans="1:6" x14ac:dyDescent="0.2">
      <c r="A4732" s="17">
        <v>0</v>
      </c>
      <c r="B4732" s="18"/>
      <c r="C4732" s="17">
        <v>0</v>
      </c>
      <c r="D4732" s="19">
        <v>0</v>
      </c>
      <c r="F4732" s="3">
        <f t="shared" si="73"/>
        <v>0</v>
      </c>
    </row>
    <row r="4733" spans="1:6" ht="22.5" x14ac:dyDescent="0.2">
      <c r="A4733" s="17" t="s">
        <v>13804</v>
      </c>
      <c r="B4733" s="18" t="s">
        <v>13805</v>
      </c>
      <c r="C4733" s="17" t="s">
        <v>26</v>
      </c>
      <c r="D4733" s="19">
        <v>3.23</v>
      </c>
      <c r="F4733" s="3" t="str">
        <f t="shared" si="73"/>
        <v>C4229</v>
      </c>
    </row>
    <row r="4734" spans="1:6" x14ac:dyDescent="0.2">
      <c r="A4734" s="17">
        <v>0</v>
      </c>
      <c r="B4734" s="18"/>
      <c r="C4734" s="17">
        <v>0</v>
      </c>
      <c r="D4734" s="19">
        <v>0</v>
      </c>
      <c r="F4734" s="3">
        <f t="shared" si="73"/>
        <v>0</v>
      </c>
    </row>
    <row r="4735" spans="1:6" ht="22.5" x14ac:dyDescent="0.2">
      <c r="A4735" s="17" t="s">
        <v>13806</v>
      </c>
      <c r="B4735" s="18" t="s">
        <v>13807</v>
      </c>
      <c r="C4735" s="17" t="s">
        <v>5477</v>
      </c>
      <c r="D4735" s="19">
        <v>32.33</v>
      </c>
      <c r="F4735" s="3" t="str">
        <f t="shared" si="73"/>
        <v>C4231</v>
      </c>
    </row>
    <row r="4736" spans="1:6" x14ac:dyDescent="0.2">
      <c r="A4736" s="17">
        <v>0</v>
      </c>
      <c r="B4736" s="18"/>
      <c r="C4736" s="17">
        <v>0</v>
      </c>
      <c r="D4736" s="19">
        <v>0</v>
      </c>
      <c r="F4736" s="3">
        <f t="shared" si="73"/>
        <v>0</v>
      </c>
    </row>
    <row r="4737" spans="1:6" ht="22.5" x14ac:dyDescent="0.2">
      <c r="A4737" s="17" t="s">
        <v>13808</v>
      </c>
      <c r="B4737" s="18" t="s">
        <v>13809</v>
      </c>
      <c r="C4737" s="17" t="s">
        <v>0</v>
      </c>
      <c r="D4737" s="19">
        <v>26.27</v>
      </c>
      <c r="F4737" s="3" t="str">
        <f t="shared" si="73"/>
        <v>C4338</v>
      </c>
    </row>
    <row r="4738" spans="1:6" x14ac:dyDescent="0.2">
      <c r="A4738" s="17">
        <v>0</v>
      </c>
      <c r="B4738" s="18"/>
      <c r="C4738" s="17">
        <v>0</v>
      </c>
      <c r="D4738" s="19">
        <v>0</v>
      </c>
      <c r="F4738" s="3">
        <f t="shared" ref="F4738:F4801" si="74">A4738</f>
        <v>0</v>
      </c>
    </row>
    <row r="4739" spans="1:6" ht="22.5" x14ac:dyDescent="0.2">
      <c r="A4739" s="17" t="s">
        <v>13810</v>
      </c>
      <c r="B4739" s="18" t="s">
        <v>13811</v>
      </c>
      <c r="C4739" s="17" t="s">
        <v>0</v>
      </c>
      <c r="D4739" s="19">
        <v>10.51</v>
      </c>
      <c r="F4739" s="3" t="str">
        <f t="shared" si="74"/>
        <v>C4223</v>
      </c>
    </row>
    <row r="4740" spans="1:6" x14ac:dyDescent="0.2">
      <c r="A4740" s="17">
        <v>0</v>
      </c>
      <c r="B4740" s="18"/>
      <c r="C4740" s="17">
        <v>0</v>
      </c>
      <c r="D4740" s="19">
        <v>0</v>
      </c>
      <c r="F4740" s="3">
        <f t="shared" si="74"/>
        <v>0</v>
      </c>
    </row>
    <row r="4741" spans="1:6" x14ac:dyDescent="0.2">
      <c r="A4741" s="17" t="s">
        <v>13812</v>
      </c>
      <c r="B4741" s="18" t="s">
        <v>13813</v>
      </c>
      <c r="C4741" s="17" t="s">
        <v>26</v>
      </c>
      <c r="D4741" s="19">
        <v>1.01</v>
      </c>
      <c r="F4741" s="3" t="str">
        <f t="shared" si="74"/>
        <v>C4360</v>
      </c>
    </row>
    <row r="4742" spans="1:6" x14ac:dyDescent="0.2">
      <c r="A4742" s="17" t="s">
        <v>13814</v>
      </c>
      <c r="B4742" s="18" t="s">
        <v>13815</v>
      </c>
      <c r="C4742" s="17" t="s">
        <v>271</v>
      </c>
      <c r="D4742" s="19">
        <v>163</v>
      </c>
      <c r="F4742" s="3" t="str">
        <f t="shared" si="74"/>
        <v>C4369</v>
      </c>
    </row>
    <row r="4743" spans="1:6" x14ac:dyDescent="0.2">
      <c r="A4743" s="17" t="s">
        <v>13816</v>
      </c>
      <c r="B4743" s="18" t="s">
        <v>13817</v>
      </c>
      <c r="C4743" s="17" t="s">
        <v>271</v>
      </c>
      <c r="D4743" s="19">
        <v>10.51</v>
      </c>
      <c r="F4743" s="3" t="str">
        <f t="shared" si="74"/>
        <v>C4368</v>
      </c>
    </row>
    <row r="4744" spans="1:6" ht="33.75" x14ac:dyDescent="0.2">
      <c r="A4744" s="17" t="s">
        <v>13818</v>
      </c>
      <c r="B4744" s="18" t="s">
        <v>13819</v>
      </c>
      <c r="C4744" s="17" t="s">
        <v>6001</v>
      </c>
      <c r="D4744" s="19">
        <v>27280.53</v>
      </c>
      <c r="F4744" s="3" t="str">
        <f t="shared" si="74"/>
        <v>C4233</v>
      </c>
    </row>
    <row r="4745" spans="1:6" x14ac:dyDescent="0.2">
      <c r="A4745" s="17">
        <v>0</v>
      </c>
      <c r="B4745" s="18"/>
      <c r="C4745" s="17">
        <v>0</v>
      </c>
      <c r="D4745" s="19">
        <v>0</v>
      </c>
      <c r="F4745" s="3">
        <f t="shared" si="74"/>
        <v>0</v>
      </c>
    </row>
    <row r="4746" spans="1:6" ht="33.75" x14ac:dyDescent="0.2">
      <c r="A4746" s="17" t="s">
        <v>13820</v>
      </c>
      <c r="B4746" s="18" t="s">
        <v>13821</v>
      </c>
      <c r="C4746" s="17" t="s">
        <v>6001</v>
      </c>
      <c r="D4746" s="19">
        <v>21824.42</v>
      </c>
      <c r="F4746" s="3" t="str">
        <f t="shared" si="74"/>
        <v>C4234</v>
      </c>
    </row>
    <row r="4747" spans="1:6" x14ac:dyDescent="0.2">
      <c r="A4747" s="17">
        <v>0</v>
      </c>
      <c r="B4747" s="18"/>
      <c r="C4747" s="17">
        <v>0</v>
      </c>
      <c r="D4747" s="19">
        <v>0</v>
      </c>
      <c r="F4747" s="3">
        <f t="shared" si="74"/>
        <v>0</v>
      </c>
    </row>
    <row r="4748" spans="1:6" x14ac:dyDescent="0.2">
      <c r="A4748" s="17" t="s">
        <v>13822</v>
      </c>
      <c r="B4748" s="18" t="s">
        <v>13823</v>
      </c>
      <c r="C4748" s="17" t="s">
        <v>271</v>
      </c>
      <c r="D4748" s="19">
        <v>50.52</v>
      </c>
      <c r="F4748" s="3" t="str">
        <f t="shared" si="74"/>
        <v>C4334</v>
      </c>
    </row>
    <row r="4749" spans="1:6" x14ac:dyDescent="0.2">
      <c r="A4749" s="17" t="s">
        <v>13824</v>
      </c>
      <c r="B4749" s="18" t="s">
        <v>13825</v>
      </c>
      <c r="C4749" s="17" t="s">
        <v>0</v>
      </c>
      <c r="D4749" s="19">
        <v>5.05</v>
      </c>
      <c r="F4749" s="3" t="str">
        <f t="shared" si="74"/>
        <v>C4363</v>
      </c>
    </row>
    <row r="4750" spans="1:6" x14ac:dyDescent="0.2">
      <c r="A4750" s="17" t="s">
        <v>13826</v>
      </c>
      <c r="B4750" s="18" t="s">
        <v>13827</v>
      </c>
      <c r="C4750" s="17" t="s">
        <v>0</v>
      </c>
      <c r="D4750" s="19">
        <v>22.23</v>
      </c>
      <c r="F4750" s="3" t="str">
        <f t="shared" si="74"/>
        <v>C4365</v>
      </c>
    </row>
    <row r="4751" spans="1:6" ht="33.75" x14ac:dyDescent="0.2">
      <c r="A4751" s="17" t="s">
        <v>13828</v>
      </c>
      <c r="B4751" s="18" t="s">
        <v>13829</v>
      </c>
      <c r="C4751" s="17" t="s">
        <v>0</v>
      </c>
      <c r="D4751" s="19">
        <v>33.950000000000003</v>
      </c>
      <c r="F4751" s="3" t="str">
        <f t="shared" si="74"/>
        <v>C4339</v>
      </c>
    </row>
    <row r="4752" spans="1:6" x14ac:dyDescent="0.2">
      <c r="A4752" s="17">
        <v>0</v>
      </c>
      <c r="B4752" s="18"/>
      <c r="C4752" s="17">
        <v>0</v>
      </c>
      <c r="D4752" s="19">
        <v>0</v>
      </c>
      <c r="F4752" s="3">
        <f t="shared" si="74"/>
        <v>0</v>
      </c>
    </row>
    <row r="4753" spans="1:6" ht="22.5" x14ac:dyDescent="0.2">
      <c r="A4753" s="17" t="s">
        <v>13830</v>
      </c>
      <c r="B4753" s="18" t="s">
        <v>13831</v>
      </c>
      <c r="C4753" s="17" t="s">
        <v>0</v>
      </c>
      <c r="D4753" s="19">
        <v>20.21</v>
      </c>
      <c r="F4753" s="3" t="str">
        <f t="shared" si="74"/>
        <v>C4364</v>
      </c>
    </row>
    <row r="4754" spans="1:6" x14ac:dyDescent="0.2">
      <c r="A4754" s="17">
        <v>0</v>
      </c>
      <c r="B4754" s="18"/>
      <c r="C4754" s="17">
        <v>0</v>
      </c>
      <c r="D4754" s="19">
        <v>0</v>
      </c>
      <c r="F4754" s="3">
        <f t="shared" si="74"/>
        <v>0</v>
      </c>
    </row>
    <row r="4755" spans="1:6" ht="22.5" x14ac:dyDescent="0.2">
      <c r="A4755" s="17" t="s">
        <v>13832</v>
      </c>
      <c r="B4755" s="18" t="s">
        <v>13833</v>
      </c>
      <c r="C4755" s="17" t="s">
        <v>0</v>
      </c>
      <c r="D4755" s="19">
        <v>17.18</v>
      </c>
      <c r="F4755" s="3" t="str">
        <f t="shared" si="74"/>
        <v>C4344</v>
      </c>
    </row>
    <row r="4756" spans="1:6" x14ac:dyDescent="0.2">
      <c r="A4756" s="17">
        <v>0</v>
      </c>
      <c r="B4756" s="18"/>
      <c r="C4756" s="17">
        <v>0</v>
      </c>
      <c r="D4756" s="19">
        <v>0</v>
      </c>
      <c r="F4756" s="3">
        <f t="shared" si="74"/>
        <v>0</v>
      </c>
    </row>
    <row r="4757" spans="1:6" ht="22.5" x14ac:dyDescent="0.2">
      <c r="A4757" s="17" t="s">
        <v>13834</v>
      </c>
      <c r="B4757" s="18" t="s">
        <v>13835</v>
      </c>
      <c r="C4757" s="17" t="s">
        <v>0</v>
      </c>
      <c r="D4757" s="19">
        <v>20.21</v>
      </c>
      <c r="F4757" s="3" t="str">
        <f t="shared" si="74"/>
        <v>C4343</v>
      </c>
    </row>
    <row r="4758" spans="1:6" x14ac:dyDescent="0.2">
      <c r="A4758" s="17">
        <v>0</v>
      </c>
      <c r="B4758" s="18"/>
      <c r="C4758" s="17">
        <v>0</v>
      </c>
      <c r="D4758" s="19">
        <v>0</v>
      </c>
      <c r="F4758" s="3">
        <f t="shared" si="74"/>
        <v>0</v>
      </c>
    </row>
    <row r="4759" spans="1:6" ht="22.5" x14ac:dyDescent="0.2">
      <c r="A4759" s="17" t="s">
        <v>13836</v>
      </c>
      <c r="B4759" s="18" t="s">
        <v>13837</v>
      </c>
      <c r="C4759" s="17" t="s">
        <v>26</v>
      </c>
      <c r="D4759" s="19">
        <v>20.21</v>
      </c>
      <c r="F4759" s="3" t="str">
        <f t="shared" si="74"/>
        <v>C4347</v>
      </c>
    </row>
    <row r="4760" spans="1:6" x14ac:dyDescent="0.2">
      <c r="A4760" s="17">
        <v>0</v>
      </c>
      <c r="B4760" s="18"/>
      <c r="C4760" s="17">
        <v>0</v>
      </c>
      <c r="D4760" s="19">
        <v>0</v>
      </c>
      <c r="F4760" s="3">
        <f t="shared" si="74"/>
        <v>0</v>
      </c>
    </row>
    <row r="4761" spans="1:6" ht="33.75" x14ac:dyDescent="0.2">
      <c r="A4761" s="17" t="s">
        <v>13838</v>
      </c>
      <c r="B4761" s="18" t="s">
        <v>13839</v>
      </c>
      <c r="C4761" s="17" t="s">
        <v>0</v>
      </c>
      <c r="D4761" s="19">
        <v>18.190000000000001</v>
      </c>
      <c r="F4761" s="3" t="str">
        <f t="shared" si="74"/>
        <v>C4356</v>
      </c>
    </row>
    <row r="4762" spans="1:6" x14ac:dyDescent="0.2">
      <c r="A4762" s="17">
        <v>0</v>
      </c>
      <c r="B4762" s="18"/>
      <c r="C4762" s="17">
        <v>0</v>
      </c>
      <c r="D4762" s="19">
        <v>0</v>
      </c>
      <c r="F4762" s="3">
        <f t="shared" si="74"/>
        <v>0</v>
      </c>
    </row>
    <row r="4763" spans="1:6" x14ac:dyDescent="0.2">
      <c r="A4763" s="17" t="s">
        <v>13840</v>
      </c>
      <c r="B4763" s="18" t="s">
        <v>13841</v>
      </c>
      <c r="C4763" s="17" t="s">
        <v>271</v>
      </c>
      <c r="D4763" s="19">
        <v>40.42</v>
      </c>
      <c r="F4763" s="3" t="str">
        <f t="shared" si="74"/>
        <v>C4333</v>
      </c>
    </row>
    <row r="4764" spans="1:6" ht="22.5" x14ac:dyDescent="0.2">
      <c r="A4764" s="17" t="s">
        <v>13842</v>
      </c>
      <c r="B4764" s="18" t="s">
        <v>13843</v>
      </c>
      <c r="C4764" s="17" t="s">
        <v>271</v>
      </c>
      <c r="D4764" s="19">
        <v>20.21</v>
      </c>
      <c r="F4764" s="3" t="str">
        <f t="shared" si="74"/>
        <v>C4340</v>
      </c>
    </row>
    <row r="4765" spans="1:6" x14ac:dyDescent="0.2">
      <c r="A4765" s="17">
        <v>0</v>
      </c>
      <c r="B4765" s="18"/>
      <c r="C4765" s="17">
        <v>0</v>
      </c>
      <c r="D4765" s="19">
        <v>0</v>
      </c>
      <c r="F4765" s="3">
        <f t="shared" si="74"/>
        <v>0</v>
      </c>
    </row>
    <row r="4766" spans="1:6" ht="22.5" x14ac:dyDescent="0.2">
      <c r="A4766" s="17" t="s">
        <v>13844</v>
      </c>
      <c r="B4766" s="18" t="s">
        <v>13845</v>
      </c>
      <c r="C4766" s="17" t="s">
        <v>26</v>
      </c>
      <c r="D4766" s="19">
        <v>50.72</v>
      </c>
      <c r="F4766" s="3" t="str">
        <f t="shared" si="74"/>
        <v>C4350</v>
      </c>
    </row>
    <row r="4767" spans="1:6" x14ac:dyDescent="0.2">
      <c r="A4767" s="17">
        <v>0</v>
      </c>
      <c r="B4767" s="18"/>
      <c r="C4767" s="17">
        <v>0</v>
      </c>
      <c r="D4767" s="19">
        <v>0</v>
      </c>
      <c r="F4767" s="3">
        <f t="shared" si="74"/>
        <v>0</v>
      </c>
    </row>
    <row r="4768" spans="1:6" x14ac:dyDescent="0.2">
      <c r="A4768" s="17" t="s">
        <v>13846</v>
      </c>
      <c r="B4768" s="18" t="s">
        <v>13847</v>
      </c>
      <c r="C4768" s="17" t="s">
        <v>271</v>
      </c>
      <c r="D4768" s="19">
        <v>20.21</v>
      </c>
      <c r="F4768" s="3" t="str">
        <f t="shared" si="74"/>
        <v>C4336</v>
      </c>
    </row>
    <row r="4769" spans="1:6" ht="22.5" x14ac:dyDescent="0.2">
      <c r="A4769" s="17" t="s">
        <v>13848</v>
      </c>
      <c r="B4769" s="18" t="s">
        <v>13849</v>
      </c>
      <c r="C4769" s="17" t="s">
        <v>6001</v>
      </c>
      <c r="D4769" s="19">
        <v>6062.34</v>
      </c>
      <c r="F4769" s="3" t="str">
        <f t="shared" si="74"/>
        <v>C4366</v>
      </c>
    </row>
    <row r="4770" spans="1:6" x14ac:dyDescent="0.2">
      <c r="A4770" s="17">
        <v>0</v>
      </c>
      <c r="B4770" s="18"/>
      <c r="C4770" s="17">
        <v>0</v>
      </c>
      <c r="D4770" s="19">
        <v>0</v>
      </c>
      <c r="F4770" s="3">
        <f t="shared" si="74"/>
        <v>0</v>
      </c>
    </row>
    <row r="4771" spans="1:6" ht="22.5" x14ac:dyDescent="0.2">
      <c r="A4771" s="17" t="s">
        <v>13850</v>
      </c>
      <c r="B4771" s="18" t="s">
        <v>13851</v>
      </c>
      <c r="C4771" s="17" t="s">
        <v>0</v>
      </c>
      <c r="D4771" s="19">
        <v>1.01</v>
      </c>
      <c r="F4771" s="3" t="str">
        <f t="shared" si="74"/>
        <v>C4354</v>
      </c>
    </row>
    <row r="4772" spans="1:6" x14ac:dyDescent="0.2">
      <c r="A4772" s="17">
        <v>0</v>
      </c>
      <c r="B4772" s="18"/>
      <c r="C4772" s="17">
        <v>0</v>
      </c>
      <c r="D4772" s="19">
        <v>0</v>
      </c>
      <c r="F4772" s="3">
        <f t="shared" si="74"/>
        <v>0</v>
      </c>
    </row>
    <row r="4773" spans="1:6" x14ac:dyDescent="0.2">
      <c r="A4773" s="17" t="s">
        <v>13852</v>
      </c>
      <c r="B4773" s="18" t="s">
        <v>13853</v>
      </c>
      <c r="C4773" s="17" t="s">
        <v>255</v>
      </c>
      <c r="D4773" s="19">
        <v>0.4</v>
      </c>
      <c r="F4773" s="3" t="str">
        <f t="shared" si="74"/>
        <v>C4187</v>
      </c>
    </row>
    <row r="4774" spans="1:6" x14ac:dyDescent="0.2">
      <c r="A4774" s="17" t="s">
        <v>13854</v>
      </c>
      <c r="B4774" s="18" t="s">
        <v>13855</v>
      </c>
      <c r="C4774" s="17" t="s">
        <v>26</v>
      </c>
      <c r="D4774" s="19">
        <v>161.66</v>
      </c>
      <c r="F4774" s="3" t="str">
        <f t="shared" si="74"/>
        <v>C4345</v>
      </c>
    </row>
    <row r="4775" spans="1:6" x14ac:dyDescent="0.2">
      <c r="A4775" s="17" t="s">
        <v>13856</v>
      </c>
      <c r="B4775" s="18" t="s">
        <v>13857</v>
      </c>
      <c r="C4775" s="17" t="s">
        <v>26</v>
      </c>
      <c r="D4775" s="19">
        <v>161.66</v>
      </c>
      <c r="F4775" s="3" t="str">
        <f t="shared" si="74"/>
        <v>C4346</v>
      </c>
    </row>
    <row r="4776" spans="1:6" ht="22.5" x14ac:dyDescent="0.2">
      <c r="A4776" s="17" t="s">
        <v>13858</v>
      </c>
      <c r="B4776" s="18" t="s">
        <v>13859</v>
      </c>
      <c r="C4776" s="17" t="s">
        <v>13860</v>
      </c>
      <c r="D4776" s="19">
        <v>1212.47</v>
      </c>
      <c r="F4776" s="3" t="str">
        <f t="shared" si="74"/>
        <v>C4362</v>
      </c>
    </row>
    <row r="4777" spans="1:6" x14ac:dyDescent="0.2">
      <c r="A4777" s="17">
        <v>0</v>
      </c>
      <c r="B4777" s="18"/>
      <c r="C4777" s="17">
        <v>0</v>
      </c>
      <c r="D4777" s="19">
        <v>0</v>
      </c>
      <c r="F4777" s="3">
        <f t="shared" si="74"/>
        <v>0</v>
      </c>
    </row>
    <row r="4778" spans="1:6" ht="22.5" x14ac:dyDescent="0.2">
      <c r="A4778" s="17" t="s">
        <v>13861</v>
      </c>
      <c r="B4778" s="18" t="s">
        <v>13862</v>
      </c>
      <c r="C4778" s="17" t="s">
        <v>26</v>
      </c>
      <c r="D4778" s="19">
        <v>3.84</v>
      </c>
      <c r="F4778" s="3" t="str">
        <f t="shared" si="74"/>
        <v>C4353</v>
      </c>
    </row>
    <row r="4779" spans="1:6" x14ac:dyDescent="0.2">
      <c r="A4779" s="17">
        <v>0</v>
      </c>
      <c r="B4779" s="18"/>
      <c r="C4779" s="17">
        <v>0</v>
      </c>
      <c r="D4779" s="19">
        <v>0</v>
      </c>
      <c r="F4779" s="3">
        <f t="shared" si="74"/>
        <v>0</v>
      </c>
    </row>
    <row r="4780" spans="1:6" x14ac:dyDescent="0.2">
      <c r="A4780" s="17" t="s">
        <v>13863</v>
      </c>
      <c r="B4780" s="18" t="s">
        <v>13864</v>
      </c>
      <c r="C4780" s="17" t="s">
        <v>26</v>
      </c>
      <c r="D4780" s="19">
        <v>0.61</v>
      </c>
      <c r="F4780" s="3" t="str">
        <f t="shared" si="74"/>
        <v>C4361</v>
      </c>
    </row>
    <row r="4781" spans="1:6" x14ac:dyDescent="0.2">
      <c r="A4781" s="14" t="s">
        <v>13865</v>
      </c>
      <c r="B4781" s="15"/>
      <c r="C4781" s="14">
        <v>0</v>
      </c>
      <c r="D4781" s="16">
        <v>6345.1</v>
      </c>
      <c r="F4781" s="3" t="str">
        <f t="shared" si="74"/>
        <v>RODOVIÁRIA</v>
      </c>
    </row>
    <row r="4782" spans="1:6" x14ac:dyDescent="0.2">
      <c r="A4782" s="17" t="s">
        <v>13866</v>
      </c>
      <c r="B4782" s="18" t="s">
        <v>13867</v>
      </c>
      <c r="C4782" s="17" t="s">
        <v>255</v>
      </c>
      <c r="D4782" s="19">
        <v>16.329999999999998</v>
      </c>
      <c r="F4782" s="3" t="str">
        <f t="shared" si="74"/>
        <v>C4546</v>
      </c>
    </row>
    <row r="4783" spans="1:6" x14ac:dyDescent="0.2">
      <c r="A4783" s="17" t="s">
        <v>13868</v>
      </c>
      <c r="B4783" s="18" t="s">
        <v>13869</v>
      </c>
      <c r="C4783" s="17" t="s">
        <v>271</v>
      </c>
      <c r="D4783" s="19">
        <v>160.80000000000001</v>
      </c>
      <c r="F4783" s="3" t="str">
        <f t="shared" si="74"/>
        <v>C3905</v>
      </c>
    </row>
    <row r="4784" spans="1:6" x14ac:dyDescent="0.2">
      <c r="A4784" s="17" t="s">
        <v>13870</v>
      </c>
      <c r="B4784" s="18" t="s">
        <v>13871</v>
      </c>
      <c r="C4784" s="17" t="s">
        <v>255</v>
      </c>
      <c r="D4784" s="19">
        <v>0.71</v>
      </c>
      <c r="F4784" s="3" t="str">
        <f t="shared" si="74"/>
        <v>C3954</v>
      </c>
    </row>
    <row r="4785" spans="1:6" x14ac:dyDescent="0.2">
      <c r="A4785" s="17" t="s">
        <v>13872</v>
      </c>
      <c r="B4785" s="18" t="s">
        <v>13873</v>
      </c>
      <c r="C4785" s="17" t="s">
        <v>255</v>
      </c>
      <c r="D4785" s="19">
        <v>1.38</v>
      </c>
      <c r="F4785" s="3" t="str">
        <f t="shared" si="74"/>
        <v>C3884</v>
      </c>
    </row>
    <row r="4786" spans="1:6" x14ac:dyDescent="0.2">
      <c r="A4786" s="17" t="s">
        <v>13874</v>
      </c>
      <c r="B4786" s="18" t="s">
        <v>13875</v>
      </c>
      <c r="C4786" s="17" t="s">
        <v>255</v>
      </c>
      <c r="D4786" s="19">
        <v>1.06</v>
      </c>
      <c r="F4786" s="3" t="str">
        <f t="shared" si="74"/>
        <v>C3891</v>
      </c>
    </row>
    <row r="4787" spans="1:6" x14ac:dyDescent="0.2">
      <c r="A4787" s="17" t="s">
        <v>13876</v>
      </c>
      <c r="B4787" s="18" t="s">
        <v>13877</v>
      </c>
      <c r="C4787" s="17" t="s">
        <v>255</v>
      </c>
      <c r="D4787" s="19">
        <v>0.76</v>
      </c>
      <c r="F4787" s="3" t="str">
        <f t="shared" si="74"/>
        <v>C3140</v>
      </c>
    </row>
    <row r="4788" spans="1:6" x14ac:dyDescent="0.2">
      <c r="A4788" s="17" t="s">
        <v>13878</v>
      </c>
      <c r="B4788" s="18" t="s">
        <v>13879</v>
      </c>
      <c r="C4788" s="17" t="s">
        <v>255</v>
      </c>
      <c r="D4788" s="19">
        <v>1.36</v>
      </c>
      <c r="F4788" s="3" t="str">
        <f t="shared" si="74"/>
        <v>C3892</v>
      </c>
    </row>
    <row r="4789" spans="1:6" x14ac:dyDescent="0.2">
      <c r="A4789" s="17" t="s">
        <v>13880</v>
      </c>
      <c r="B4789" s="18" t="s">
        <v>13881</v>
      </c>
      <c r="C4789" s="17" t="s">
        <v>271</v>
      </c>
      <c r="D4789" s="19">
        <v>231.46</v>
      </c>
      <c r="F4789" s="3" t="str">
        <f t="shared" si="74"/>
        <v>C3945</v>
      </c>
    </row>
    <row r="4790" spans="1:6" x14ac:dyDescent="0.2">
      <c r="A4790" s="17">
        <v>0</v>
      </c>
      <c r="B4790" s="18"/>
      <c r="C4790" s="17">
        <v>0</v>
      </c>
      <c r="D4790" s="19">
        <v>0</v>
      </c>
      <c r="F4790" s="3">
        <f t="shared" si="74"/>
        <v>0</v>
      </c>
    </row>
    <row r="4791" spans="1:6" x14ac:dyDescent="0.2">
      <c r="A4791" s="17" t="s">
        <v>13882</v>
      </c>
      <c r="B4791" s="18" t="s">
        <v>13883</v>
      </c>
      <c r="C4791" s="17" t="s">
        <v>255</v>
      </c>
      <c r="D4791" s="19">
        <v>0.17</v>
      </c>
      <c r="F4791" s="3" t="str">
        <f t="shared" si="74"/>
        <v>C3904</v>
      </c>
    </row>
    <row r="4792" spans="1:6" x14ac:dyDescent="0.2">
      <c r="A4792" s="17" t="s">
        <v>13884</v>
      </c>
      <c r="B4792" s="18" t="s">
        <v>13885</v>
      </c>
      <c r="C4792" s="17" t="s">
        <v>271</v>
      </c>
      <c r="D4792" s="19">
        <v>475.47</v>
      </c>
      <c r="F4792" s="3" t="str">
        <f t="shared" si="74"/>
        <v>C3895</v>
      </c>
    </row>
    <row r="4793" spans="1:6" x14ac:dyDescent="0.2">
      <c r="A4793" s="17" t="s">
        <v>13886</v>
      </c>
      <c r="B4793" s="18" t="s">
        <v>13887</v>
      </c>
      <c r="C4793" s="17" t="s">
        <v>271</v>
      </c>
      <c r="D4793" s="19">
        <v>43.38</v>
      </c>
      <c r="F4793" s="3" t="str">
        <f t="shared" si="74"/>
        <v>C3940</v>
      </c>
    </row>
    <row r="4794" spans="1:6" x14ac:dyDescent="0.2">
      <c r="A4794" s="17">
        <v>0</v>
      </c>
      <c r="B4794" s="18"/>
      <c r="C4794" s="17">
        <v>0</v>
      </c>
      <c r="D4794" s="19">
        <v>0</v>
      </c>
      <c r="F4794" s="3">
        <f t="shared" si="74"/>
        <v>0</v>
      </c>
    </row>
    <row r="4795" spans="1:6" x14ac:dyDescent="0.2">
      <c r="A4795" s="17" t="s">
        <v>13888</v>
      </c>
      <c r="B4795" s="18" t="s">
        <v>13889</v>
      </c>
      <c r="C4795" s="17" t="s">
        <v>271</v>
      </c>
      <c r="D4795" s="19">
        <v>32.270000000000003</v>
      </c>
      <c r="F4795" s="3" t="str">
        <f t="shared" si="74"/>
        <v>C3942</v>
      </c>
    </row>
    <row r="4796" spans="1:6" x14ac:dyDescent="0.2">
      <c r="A4796" s="17">
        <v>0</v>
      </c>
      <c r="B4796" s="18"/>
      <c r="C4796" s="17">
        <v>0</v>
      </c>
      <c r="D4796" s="19">
        <v>0</v>
      </c>
      <c r="F4796" s="3">
        <f t="shared" si="74"/>
        <v>0</v>
      </c>
    </row>
    <row r="4797" spans="1:6" x14ac:dyDescent="0.2">
      <c r="A4797" s="17" t="s">
        <v>13890</v>
      </c>
      <c r="B4797" s="18" t="s">
        <v>13891</v>
      </c>
      <c r="C4797" s="17" t="s">
        <v>271</v>
      </c>
      <c r="D4797" s="19">
        <v>32.270000000000003</v>
      </c>
      <c r="F4797" s="3" t="str">
        <f t="shared" si="74"/>
        <v>C3937</v>
      </c>
    </row>
    <row r="4798" spans="1:6" x14ac:dyDescent="0.2">
      <c r="A4798" s="17">
        <v>0</v>
      </c>
      <c r="B4798" s="18"/>
      <c r="C4798" s="17">
        <v>0</v>
      </c>
      <c r="D4798" s="19">
        <v>0</v>
      </c>
      <c r="F4798" s="3">
        <f t="shared" si="74"/>
        <v>0</v>
      </c>
    </row>
    <row r="4799" spans="1:6" x14ac:dyDescent="0.2">
      <c r="A4799" s="17" t="s">
        <v>13892</v>
      </c>
      <c r="B4799" s="18" t="s">
        <v>13893</v>
      </c>
      <c r="C4799" s="17" t="s">
        <v>271</v>
      </c>
      <c r="D4799" s="19">
        <v>42.88</v>
      </c>
      <c r="F4799" s="3" t="str">
        <f t="shared" si="74"/>
        <v>C3935</v>
      </c>
    </row>
    <row r="4800" spans="1:6" x14ac:dyDescent="0.2">
      <c r="A4800" s="17" t="s">
        <v>13894</v>
      </c>
      <c r="B4800" s="18" t="s">
        <v>13895</v>
      </c>
      <c r="C4800" s="17" t="s">
        <v>271</v>
      </c>
      <c r="D4800" s="19">
        <v>52.65</v>
      </c>
      <c r="F4800" s="3" t="str">
        <f t="shared" si="74"/>
        <v>C5036</v>
      </c>
    </row>
    <row r="4801" spans="1:6" x14ac:dyDescent="0.2">
      <c r="A4801" s="17" t="s">
        <v>13896</v>
      </c>
      <c r="B4801" s="18" t="s">
        <v>13897</v>
      </c>
      <c r="C4801" s="17" t="s">
        <v>271</v>
      </c>
      <c r="D4801" s="19">
        <v>83.36</v>
      </c>
      <c r="F4801" s="3" t="str">
        <f t="shared" si="74"/>
        <v>C5037</v>
      </c>
    </row>
    <row r="4802" spans="1:6" x14ac:dyDescent="0.2">
      <c r="A4802" s="17" t="s">
        <v>13898</v>
      </c>
      <c r="B4802" s="18" t="s">
        <v>13899</v>
      </c>
      <c r="C4802" s="17" t="s">
        <v>255</v>
      </c>
      <c r="D4802" s="19">
        <v>1.38</v>
      </c>
      <c r="F4802" s="3" t="str">
        <f t="shared" ref="F4802:F4865" si="75">A4802</f>
        <v>C5039</v>
      </c>
    </row>
    <row r="4803" spans="1:6" x14ac:dyDescent="0.2">
      <c r="A4803" s="17" t="s">
        <v>13900</v>
      </c>
      <c r="B4803" s="18" t="s">
        <v>13901</v>
      </c>
      <c r="C4803" s="17" t="s">
        <v>255</v>
      </c>
      <c r="D4803" s="19">
        <v>15.17</v>
      </c>
      <c r="F4803" s="3" t="str">
        <f t="shared" si="75"/>
        <v>C5040</v>
      </c>
    </row>
    <row r="4804" spans="1:6" x14ac:dyDescent="0.2">
      <c r="A4804" s="17" t="s">
        <v>13902</v>
      </c>
      <c r="B4804" s="18" t="s">
        <v>13903</v>
      </c>
      <c r="C4804" s="17" t="s">
        <v>255</v>
      </c>
      <c r="D4804" s="19">
        <v>3.52</v>
      </c>
      <c r="F4804" s="3" t="str">
        <f t="shared" si="75"/>
        <v>C5038</v>
      </c>
    </row>
    <row r="4805" spans="1:6" x14ac:dyDescent="0.2">
      <c r="A4805" s="17" t="s">
        <v>13904</v>
      </c>
      <c r="B4805" s="18" t="s">
        <v>13905</v>
      </c>
      <c r="C4805" s="17" t="s">
        <v>255</v>
      </c>
      <c r="D4805" s="19">
        <v>2.98</v>
      </c>
      <c r="F4805" s="3" t="str">
        <f t="shared" si="75"/>
        <v>C4544</v>
      </c>
    </row>
    <row r="4806" spans="1:6" x14ac:dyDescent="0.2">
      <c r="A4806" s="17" t="s">
        <v>13906</v>
      </c>
      <c r="B4806" s="18" t="s">
        <v>13907</v>
      </c>
      <c r="C4806" s="17" t="s">
        <v>255</v>
      </c>
      <c r="D4806" s="19">
        <v>5.69</v>
      </c>
      <c r="F4806" s="3" t="str">
        <f t="shared" si="75"/>
        <v>C4545</v>
      </c>
    </row>
    <row r="4807" spans="1:6" x14ac:dyDescent="0.2">
      <c r="A4807" s="17" t="s">
        <v>13908</v>
      </c>
      <c r="B4807" s="18" t="s">
        <v>13909</v>
      </c>
      <c r="C4807" s="17" t="s">
        <v>271</v>
      </c>
      <c r="D4807" s="19">
        <v>21.37</v>
      </c>
      <c r="F4807" s="3" t="str">
        <f t="shared" si="75"/>
        <v>C3092</v>
      </c>
    </row>
    <row r="4808" spans="1:6" x14ac:dyDescent="0.2">
      <c r="A4808" s="17" t="s">
        <v>13910</v>
      </c>
      <c r="B4808" s="18" t="s">
        <v>13911</v>
      </c>
      <c r="C4808" s="17" t="s">
        <v>0</v>
      </c>
      <c r="D4808" s="19">
        <v>1.33</v>
      </c>
      <c r="F4808" s="3" t="str">
        <f t="shared" si="75"/>
        <v>C3894</v>
      </c>
    </row>
    <row r="4809" spans="1:6" x14ac:dyDescent="0.2">
      <c r="A4809" s="17" t="s">
        <v>13912</v>
      </c>
      <c r="B4809" s="18" t="s">
        <v>13913</v>
      </c>
      <c r="C4809" s="17" t="s">
        <v>255</v>
      </c>
      <c r="D4809" s="19">
        <v>9.0299999999999994</v>
      </c>
      <c r="F4809" s="3" t="str">
        <f t="shared" si="75"/>
        <v>C3896</v>
      </c>
    </row>
    <row r="4810" spans="1:6" x14ac:dyDescent="0.2">
      <c r="A4810" s="17" t="s">
        <v>13914</v>
      </c>
      <c r="B4810" s="18" t="s">
        <v>13915</v>
      </c>
      <c r="C4810" s="17" t="s">
        <v>0</v>
      </c>
      <c r="D4810" s="19">
        <v>8.01</v>
      </c>
      <c r="F4810" s="3" t="str">
        <f t="shared" si="75"/>
        <v>C3093</v>
      </c>
    </row>
    <row r="4811" spans="1:6" x14ac:dyDescent="0.2">
      <c r="A4811" s="17" t="s">
        <v>13916</v>
      </c>
      <c r="B4811" s="18" t="s">
        <v>13917</v>
      </c>
      <c r="C4811" s="17" t="s">
        <v>0</v>
      </c>
      <c r="D4811" s="19">
        <v>0.66</v>
      </c>
      <c r="F4811" s="3" t="str">
        <f t="shared" si="75"/>
        <v>C3094</v>
      </c>
    </row>
    <row r="4812" spans="1:6" x14ac:dyDescent="0.2">
      <c r="A4812" s="17" t="s">
        <v>13918</v>
      </c>
      <c r="B4812" s="18" t="s">
        <v>13919</v>
      </c>
      <c r="C4812" s="17" t="s">
        <v>0</v>
      </c>
      <c r="D4812" s="19">
        <v>3.98</v>
      </c>
      <c r="F4812" s="3" t="str">
        <f t="shared" si="75"/>
        <v>C3893</v>
      </c>
    </row>
    <row r="4813" spans="1:6" x14ac:dyDescent="0.2">
      <c r="A4813" s="17" t="s">
        <v>13920</v>
      </c>
      <c r="B4813" s="18" t="s">
        <v>13921</v>
      </c>
      <c r="C4813" s="17" t="s">
        <v>0</v>
      </c>
      <c r="D4813" s="19">
        <v>1</v>
      </c>
      <c r="F4813" s="3" t="str">
        <f t="shared" si="75"/>
        <v>C3096</v>
      </c>
    </row>
    <row r="4814" spans="1:6" x14ac:dyDescent="0.2">
      <c r="A4814" s="17" t="s">
        <v>13922</v>
      </c>
      <c r="B4814" s="18" t="s">
        <v>13923</v>
      </c>
      <c r="C4814" s="17" t="s">
        <v>271</v>
      </c>
      <c r="D4814" s="19">
        <v>191.37</v>
      </c>
      <c r="F4814" s="3" t="str">
        <f t="shared" si="75"/>
        <v>C3938</v>
      </c>
    </row>
    <row r="4815" spans="1:6" x14ac:dyDescent="0.2">
      <c r="A4815" s="17" t="s">
        <v>13924</v>
      </c>
      <c r="B4815" s="18" t="s">
        <v>13925</v>
      </c>
      <c r="C4815" s="17" t="s">
        <v>271</v>
      </c>
      <c r="D4815" s="19">
        <v>167.08</v>
      </c>
      <c r="F4815" s="3" t="str">
        <f t="shared" si="75"/>
        <v>C3939</v>
      </c>
    </row>
    <row r="4816" spans="1:6" x14ac:dyDescent="0.2">
      <c r="A4816" s="17" t="s">
        <v>13926</v>
      </c>
      <c r="B4816" s="18" t="s">
        <v>13927</v>
      </c>
      <c r="C4816" s="17" t="s">
        <v>271</v>
      </c>
      <c r="D4816" s="19">
        <v>223.85</v>
      </c>
      <c r="F4816" s="3" t="str">
        <f t="shared" si="75"/>
        <v>C3941</v>
      </c>
    </row>
    <row r="4817" spans="1:6" x14ac:dyDescent="0.2">
      <c r="A4817" s="17" t="s">
        <v>13928</v>
      </c>
      <c r="B4817" s="18" t="s">
        <v>13929</v>
      </c>
      <c r="C4817" s="17" t="s">
        <v>271</v>
      </c>
      <c r="D4817" s="19">
        <v>108.28</v>
      </c>
      <c r="F4817" s="3" t="str">
        <f t="shared" si="75"/>
        <v>C3936</v>
      </c>
    </row>
    <row r="4818" spans="1:6" x14ac:dyDescent="0.2">
      <c r="A4818" s="17" t="s">
        <v>13930</v>
      </c>
      <c r="B4818" s="18" t="s">
        <v>13931</v>
      </c>
      <c r="C4818" s="17" t="s">
        <v>271</v>
      </c>
      <c r="D4818" s="19">
        <v>71.52</v>
      </c>
      <c r="F4818" s="3" t="str">
        <f t="shared" si="75"/>
        <v>C3885</v>
      </c>
    </row>
    <row r="4819" spans="1:6" x14ac:dyDescent="0.2">
      <c r="A4819" s="17" t="s">
        <v>13932</v>
      </c>
      <c r="B4819" s="18" t="s">
        <v>13933</v>
      </c>
      <c r="C4819" s="17" t="s">
        <v>271</v>
      </c>
      <c r="D4819" s="19">
        <v>47.23</v>
      </c>
      <c r="F4819" s="3" t="str">
        <f t="shared" si="75"/>
        <v>C3934</v>
      </c>
    </row>
    <row r="4820" spans="1:6" x14ac:dyDescent="0.2">
      <c r="A4820" s="17" t="s">
        <v>13934</v>
      </c>
      <c r="B4820" s="18" t="s">
        <v>13935</v>
      </c>
      <c r="C4820" s="17" t="s">
        <v>271</v>
      </c>
      <c r="D4820" s="19">
        <v>33.03</v>
      </c>
      <c r="F4820" s="3" t="str">
        <f t="shared" si="75"/>
        <v>C3889</v>
      </c>
    </row>
    <row r="4821" spans="1:6" x14ac:dyDescent="0.2">
      <c r="A4821" s="17" t="s">
        <v>13936</v>
      </c>
      <c r="B4821" s="18" t="s">
        <v>13937</v>
      </c>
      <c r="C4821" s="17" t="s">
        <v>271</v>
      </c>
      <c r="D4821" s="19">
        <v>49.06</v>
      </c>
      <c r="F4821" s="3" t="str">
        <f t="shared" si="75"/>
        <v>C0096</v>
      </c>
    </row>
    <row r="4822" spans="1:6" x14ac:dyDescent="0.2">
      <c r="A4822" s="17" t="s">
        <v>13938</v>
      </c>
      <c r="B4822" s="18" t="s">
        <v>13939</v>
      </c>
      <c r="C4822" s="17" t="s">
        <v>271</v>
      </c>
      <c r="D4822" s="19">
        <v>38.86</v>
      </c>
      <c r="F4822" s="3" t="str">
        <f t="shared" si="75"/>
        <v>C3890</v>
      </c>
    </row>
    <row r="4823" spans="1:6" x14ac:dyDescent="0.2">
      <c r="A4823" s="17" t="s">
        <v>13940</v>
      </c>
      <c r="B4823" s="18" t="s">
        <v>13941</v>
      </c>
      <c r="C4823" s="17" t="s">
        <v>255</v>
      </c>
      <c r="D4823" s="19">
        <v>24.29</v>
      </c>
      <c r="F4823" s="3" t="str">
        <f t="shared" si="75"/>
        <v>C3101</v>
      </c>
    </row>
    <row r="4824" spans="1:6" x14ac:dyDescent="0.2">
      <c r="A4824" s="17" t="s">
        <v>13942</v>
      </c>
      <c r="B4824" s="18" t="s">
        <v>13943</v>
      </c>
      <c r="C4824" s="17" t="s">
        <v>255</v>
      </c>
      <c r="D4824" s="19">
        <v>17.649999999999999</v>
      </c>
      <c r="F4824" s="3" t="str">
        <f t="shared" si="75"/>
        <v>C3100</v>
      </c>
    </row>
    <row r="4825" spans="1:6" x14ac:dyDescent="0.2">
      <c r="A4825" s="17" t="s">
        <v>13944</v>
      </c>
      <c r="B4825" s="18" t="s">
        <v>13945</v>
      </c>
      <c r="C4825" s="17" t="s">
        <v>255</v>
      </c>
      <c r="D4825" s="19">
        <v>37.880000000000003</v>
      </c>
      <c r="F4825" s="3" t="str">
        <f t="shared" si="75"/>
        <v>C3897</v>
      </c>
    </row>
    <row r="4826" spans="1:6" x14ac:dyDescent="0.2">
      <c r="A4826" s="17" t="s">
        <v>13946</v>
      </c>
      <c r="B4826" s="18" t="s">
        <v>13947</v>
      </c>
      <c r="C4826" s="17" t="s">
        <v>271</v>
      </c>
      <c r="D4826" s="19">
        <v>11.27</v>
      </c>
      <c r="F4826" s="3" t="str">
        <f t="shared" si="75"/>
        <v>C3883</v>
      </c>
    </row>
    <row r="4827" spans="1:6" x14ac:dyDescent="0.2">
      <c r="A4827" s="17" t="s">
        <v>13948</v>
      </c>
      <c r="B4827" s="18" t="s">
        <v>13949</v>
      </c>
      <c r="C4827" s="17" t="s">
        <v>271</v>
      </c>
      <c r="D4827" s="19">
        <v>157.38</v>
      </c>
      <c r="F4827" s="3" t="str">
        <f t="shared" si="75"/>
        <v>C3952</v>
      </c>
    </row>
    <row r="4828" spans="1:6" x14ac:dyDescent="0.2">
      <c r="A4828" s="17" t="s">
        <v>13950</v>
      </c>
      <c r="B4828" s="18" t="s">
        <v>13951</v>
      </c>
      <c r="C4828" s="17" t="s">
        <v>271</v>
      </c>
      <c r="D4828" s="19">
        <v>22.29</v>
      </c>
      <c r="F4828" s="3" t="str">
        <f t="shared" si="75"/>
        <v>C3953</v>
      </c>
    </row>
    <row r="4829" spans="1:6" x14ac:dyDescent="0.2">
      <c r="A4829" s="17" t="s">
        <v>13952</v>
      </c>
      <c r="B4829" s="18" t="s">
        <v>13953</v>
      </c>
      <c r="C4829" s="17" t="s">
        <v>26</v>
      </c>
      <c r="D4829" s="19">
        <v>64.510000000000005</v>
      </c>
      <c r="F4829" s="3" t="str">
        <f t="shared" si="75"/>
        <v>C3947</v>
      </c>
    </row>
    <row r="4830" spans="1:6" ht="22.5" x14ac:dyDescent="0.2">
      <c r="A4830" s="17" t="s">
        <v>13954</v>
      </c>
      <c r="B4830" s="18" t="s">
        <v>13955</v>
      </c>
      <c r="C4830" s="17" t="s">
        <v>0</v>
      </c>
      <c r="D4830" s="19">
        <v>2.94</v>
      </c>
      <c r="F4830" s="3" t="str">
        <f t="shared" si="75"/>
        <v>C3948</v>
      </c>
    </row>
    <row r="4831" spans="1:6" x14ac:dyDescent="0.2">
      <c r="A4831" s="17">
        <v>0</v>
      </c>
      <c r="B4831" s="18"/>
      <c r="C4831" s="17">
        <v>0</v>
      </c>
      <c r="D4831" s="19">
        <v>0</v>
      </c>
      <c r="F4831" s="3">
        <f t="shared" si="75"/>
        <v>0</v>
      </c>
    </row>
    <row r="4832" spans="1:6" ht="22.5" x14ac:dyDescent="0.2">
      <c r="A4832" s="17" t="s">
        <v>13956</v>
      </c>
      <c r="B4832" s="18" t="s">
        <v>13957</v>
      </c>
      <c r="C4832" s="17" t="s">
        <v>0</v>
      </c>
      <c r="D4832" s="19">
        <v>2.27</v>
      </c>
      <c r="F4832" s="3" t="str">
        <f t="shared" si="75"/>
        <v>C3951</v>
      </c>
    </row>
    <row r="4833" spans="1:6" x14ac:dyDescent="0.2">
      <c r="A4833" s="17">
        <v>0</v>
      </c>
      <c r="B4833" s="18"/>
      <c r="C4833" s="17">
        <v>0</v>
      </c>
      <c r="D4833" s="19">
        <v>0</v>
      </c>
      <c r="F4833" s="3">
        <f t="shared" si="75"/>
        <v>0</v>
      </c>
    </row>
    <row r="4834" spans="1:6" x14ac:dyDescent="0.2">
      <c r="A4834" s="17" t="s">
        <v>13958</v>
      </c>
      <c r="B4834" s="18" t="s">
        <v>13959</v>
      </c>
      <c r="C4834" s="17" t="s">
        <v>26</v>
      </c>
      <c r="D4834" s="19">
        <v>144.84</v>
      </c>
      <c r="F4834" s="3" t="str">
        <f t="shared" si="75"/>
        <v>C3946</v>
      </c>
    </row>
    <row r="4835" spans="1:6" x14ac:dyDescent="0.2">
      <c r="A4835" s="17" t="s">
        <v>13960</v>
      </c>
      <c r="B4835" s="18" t="s">
        <v>13961</v>
      </c>
      <c r="C4835" s="17" t="s">
        <v>255</v>
      </c>
      <c r="D4835" s="19">
        <v>0.1</v>
      </c>
      <c r="F4835" s="3" t="str">
        <f t="shared" si="75"/>
        <v>C3232</v>
      </c>
    </row>
    <row r="4836" spans="1:6" ht="22.5" x14ac:dyDescent="0.2">
      <c r="A4836" s="17" t="s">
        <v>13962</v>
      </c>
      <c r="B4836" s="18" t="s">
        <v>13963</v>
      </c>
      <c r="C4836" s="17" t="s">
        <v>271</v>
      </c>
      <c r="D4836" s="19">
        <v>469.25</v>
      </c>
      <c r="F4836" s="3" t="str">
        <f t="shared" si="75"/>
        <v>C3943</v>
      </c>
    </row>
    <row r="4837" spans="1:6" x14ac:dyDescent="0.2">
      <c r="A4837" s="17">
        <v>0</v>
      </c>
      <c r="B4837" s="18"/>
      <c r="C4837" s="17">
        <v>0</v>
      </c>
      <c r="D4837" s="19">
        <v>0</v>
      </c>
      <c r="F4837" s="3">
        <f t="shared" si="75"/>
        <v>0</v>
      </c>
    </row>
    <row r="4838" spans="1:6" ht="22.5" x14ac:dyDescent="0.2">
      <c r="A4838" s="17" t="s">
        <v>13964</v>
      </c>
      <c r="B4838" s="18" t="s">
        <v>13965</v>
      </c>
      <c r="C4838" s="17" t="s">
        <v>271</v>
      </c>
      <c r="D4838" s="19">
        <v>334.45</v>
      </c>
      <c r="F4838" s="3" t="str">
        <f t="shared" si="75"/>
        <v>C3944</v>
      </c>
    </row>
    <row r="4839" spans="1:6" x14ac:dyDescent="0.2">
      <c r="A4839" s="17">
        <v>0</v>
      </c>
      <c r="B4839" s="18"/>
      <c r="C4839" s="17">
        <v>0</v>
      </c>
      <c r="D4839" s="19">
        <v>0</v>
      </c>
      <c r="F4839" s="3">
        <f t="shared" si="75"/>
        <v>0</v>
      </c>
    </row>
    <row r="4840" spans="1:6" x14ac:dyDescent="0.2">
      <c r="A4840" s="17" t="s">
        <v>13966</v>
      </c>
      <c r="B4840" s="18" t="s">
        <v>13967</v>
      </c>
      <c r="C4840" s="17" t="s">
        <v>271</v>
      </c>
      <c r="D4840" s="19">
        <v>139.68</v>
      </c>
      <c r="F4840" s="3" t="str">
        <f t="shared" si="75"/>
        <v>C3902</v>
      </c>
    </row>
    <row r="4841" spans="1:6" x14ac:dyDescent="0.2">
      <c r="A4841" s="17" t="s">
        <v>13968</v>
      </c>
      <c r="B4841" s="18" t="s">
        <v>13969</v>
      </c>
      <c r="C4841" s="17" t="s">
        <v>271</v>
      </c>
      <c r="D4841" s="19">
        <v>125.33</v>
      </c>
      <c r="F4841" s="3" t="str">
        <f t="shared" si="75"/>
        <v>C3888</v>
      </c>
    </row>
    <row r="4842" spans="1:6" x14ac:dyDescent="0.2">
      <c r="A4842" s="17" t="s">
        <v>13970</v>
      </c>
      <c r="B4842" s="18" t="s">
        <v>13971</v>
      </c>
      <c r="C4842" s="17" t="s">
        <v>271</v>
      </c>
      <c r="D4842" s="19">
        <v>47.06</v>
      </c>
      <c r="F4842" s="3" t="str">
        <f t="shared" si="75"/>
        <v>C3899</v>
      </c>
    </row>
    <row r="4843" spans="1:6" x14ac:dyDescent="0.2">
      <c r="A4843" s="17" t="s">
        <v>13972</v>
      </c>
      <c r="B4843" s="18" t="s">
        <v>13973</v>
      </c>
      <c r="C4843" s="17" t="s">
        <v>271</v>
      </c>
      <c r="D4843" s="19">
        <v>31.37</v>
      </c>
      <c r="F4843" s="3" t="str">
        <f t="shared" si="75"/>
        <v>C3898</v>
      </c>
    </row>
    <row r="4844" spans="1:6" x14ac:dyDescent="0.2">
      <c r="A4844" s="17" t="s">
        <v>13974</v>
      </c>
      <c r="B4844" s="18" t="s">
        <v>13975</v>
      </c>
      <c r="C4844" s="17" t="s">
        <v>271</v>
      </c>
      <c r="D4844" s="19">
        <v>199.17</v>
      </c>
      <c r="F4844" s="3" t="str">
        <f t="shared" si="75"/>
        <v>C3886</v>
      </c>
    </row>
    <row r="4845" spans="1:6" x14ac:dyDescent="0.2">
      <c r="A4845" s="17" t="s">
        <v>13976</v>
      </c>
      <c r="B4845" s="18" t="s">
        <v>13977</v>
      </c>
      <c r="C4845" s="17" t="s">
        <v>271</v>
      </c>
      <c r="D4845" s="19">
        <v>10.07</v>
      </c>
      <c r="F4845" s="3" t="str">
        <f t="shared" si="75"/>
        <v>C3887</v>
      </c>
    </row>
    <row r="4846" spans="1:6" x14ac:dyDescent="0.2">
      <c r="A4846" s="17" t="s">
        <v>13978</v>
      </c>
      <c r="B4846" s="18" t="s">
        <v>13979</v>
      </c>
      <c r="C4846" s="17" t="s">
        <v>271</v>
      </c>
      <c r="D4846" s="19">
        <v>12.05</v>
      </c>
      <c r="F4846" s="3" t="str">
        <f t="shared" si="75"/>
        <v>C3901</v>
      </c>
    </row>
    <row r="4847" spans="1:6" x14ac:dyDescent="0.2">
      <c r="A4847" s="17" t="s">
        <v>13980</v>
      </c>
      <c r="B4847" s="18" t="s">
        <v>13981</v>
      </c>
      <c r="C4847" s="17" t="s">
        <v>271</v>
      </c>
      <c r="D4847" s="19">
        <v>7.87</v>
      </c>
      <c r="F4847" s="3" t="str">
        <f t="shared" si="75"/>
        <v>C3900</v>
      </c>
    </row>
    <row r="4848" spans="1:6" x14ac:dyDescent="0.2">
      <c r="A4848" s="17" t="s">
        <v>13982</v>
      </c>
      <c r="B4848" s="18" t="s">
        <v>13983</v>
      </c>
      <c r="C4848" s="17" t="s">
        <v>271</v>
      </c>
      <c r="D4848" s="19">
        <v>20.149999999999999</v>
      </c>
      <c r="F4848" s="3" t="str">
        <f t="shared" si="75"/>
        <v>C3159</v>
      </c>
    </row>
    <row r="4849" spans="1:6" x14ac:dyDescent="0.2">
      <c r="A4849" s="17" t="s">
        <v>13984</v>
      </c>
      <c r="B4849" s="18" t="s">
        <v>13985</v>
      </c>
      <c r="C4849" s="17" t="s">
        <v>6052</v>
      </c>
      <c r="D4849" s="19">
        <v>1781.08</v>
      </c>
      <c r="F4849" s="3" t="str">
        <f t="shared" si="75"/>
        <v>C3109</v>
      </c>
    </row>
    <row r="4850" spans="1:6" x14ac:dyDescent="0.2">
      <c r="A4850" s="17" t="s">
        <v>13986</v>
      </c>
      <c r="B4850" s="18" t="s">
        <v>13987</v>
      </c>
      <c r="C4850" s="17" t="s">
        <v>6052</v>
      </c>
      <c r="D4850" s="19">
        <v>430.54</v>
      </c>
      <c r="F4850" s="3" t="str">
        <f t="shared" si="75"/>
        <v>C3903</v>
      </c>
    </row>
    <row r="4851" spans="1:6" x14ac:dyDescent="0.2">
      <c r="A4851" s="17" t="s">
        <v>13988</v>
      </c>
      <c r="B4851" s="18" t="s">
        <v>13989</v>
      </c>
      <c r="C4851" s="17" t="s">
        <v>9</v>
      </c>
      <c r="D4851" s="19">
        <v>3.78</v>
      </c>
      <c r="F4851" s="3" t="str">
        <f t="shared" si="75"/>
        <v>C3115</v>
      </c>
    </row>
    <row r="4852" spans="1:6" x14ac:dyDescent="0.2">
      <c r="A4852" s="17" t="s">
        <v>13990</v>
      </c>
      <c r="B4852" s="18" t="s">
        <v>13991</v>
      </c>
      <c r="C4852" s="17" t="s">
        <v>271</v>
      </c>
      <c r="D4852" s="19">
        <v>58.6</v>
      </c>
      <c r="F4852" s="3" t="str">
        <f t="shared" si="75"/>
        <v>C3932</v>
      </c>
    </row>
    <row r="4853" spans="1:6" x14ac:dyDescent="0.2">
      <c r="A4853" s="17" t="s">
        <v>13992</v>
      </c>
      <c r="B4853" s="18" t="s">
        <v>13993</v>
      </c>
      <c r="C4853" s="17" t="s">
        <v>271</v>
      </c>
      <c r="D4853" s="19">
        <v>8.52</v>
      </c>
      <c r="F4853" s="3" t="str">
        <f t="shared" si="75"/>
        <v>C3933</v>
      </c>
    </row>
    <row r="4854" spans="1:6" x14ac:dyDescent="0.2">
      <c r="A4854" s="14" t="s">
        <v>13994</v>
      </c>
      <c r="B4854" s="15"/>
      <c r="C4854" s="14">
        <v>0</v>
      </c>
      <c r="D4854" s="16">
        <v>445.94</v>
      </c>
      <c r="F4854" s="3" t="str">
        <f t="shared" si="75"/>
        <v>URBANA</v>
      </c>
    </row>
    <row r="4855" spans="1:6" x14ac:dyDescent="0.2">
      <c r="A4855" s="17" t="s">
        <v>13995</v>
      </c>
      <c r="B4855" s="18" t="s">
        <v>13996</v>
      </c>
      <c r="C4855" s="17" t="s">
        <v>255</v>
      </c>
      <c r="D4855" s="19">
        <v>62.84</v>
      </c>
      <c r="F4855" s="3" t="str">
        <f t="shared" si="75"/>
        <v>C2925</v>
      </c>
    </row>
    <row r="4856" spans="1:6" x14ac:dyDescent="0.2">
      <c r="A4856" s="17" t="s">
        <v>13997</v>
      </c>
      <c r="B4856" s="18" t="s">
        <v>13998</v>
      </c>
      <c r="C4856" s="17" t="s">
        <v>255</v>
      </c>
      <c r="D4856" s="19">
        <v>60.69</v>
      </c>
      <c r="F4856" s="3" t="str">
        <f t="shared" si="75"/>
        <v>C2926</v>
      </c>
    </row>
    <row r="4857" spans="1:6" x14ac:dyDescent="0.2">
      <c r="A4857" s="17" t="s">
        <v>13999</v>
      </c>
      <c r="B4857" s="18" t="s">
        <v>14000</v>
      </c>
      <c r="C4857" s="17" t="s">
        <v>0</v>
      </c>
      <c r="D4857" s="19">
        <v>39.15</v>
      </c>
      <c r="F4857" s="3" t="str">
        <f t="shared" si="75"/>
        <v>C2135</v>
      </c>
    </row>
    <row r="4858" spans="1:6" x14ac:dyDescent="0.2">
      <c r="A4858" s="17" t="s">
        <v>14001</v>
      </c>
      <c r="B4858" s="18" t="s">
        <v>14002</v>
      </c>
      <c r="C4858" s="17" t="s">
        <v>0</v>
      </c>
      <c r="D4858" s="19">
        <v>20.47</v>
      </c>
      <c r="F4858" s="3" t="str">
        <f t="shared" si="75"/>
        <v>C2927</v>
      </c>
    </row>
    <row r="4859" spans="1:6" x14ac:dyDescent="0.2">
      <c r="A4859" s="17" t="s">
        <v>14003</v>
      </c>
      <c r="B4859" s="18" t="s">
        <v>14004</v>
      </c>
      <c r="C4859" s="17" t="s">
        <v>0</v>
      </c>
      <c r="D4859" s="19">
        <v>20</v>
      </c>
      <c r="F4859" s="3" t="str">
        <f t="shared" si="75"/>
        <v>C2928</v>
      </c>
    </row>
    <row r="4860" spans="1:6" x14ac:dyDescent="0.2">
      <c r="A4860" s="17" t="s">
        <v>14005</v>
      </c>
      <c r="B4860" s="18" t="s">
        <v>14006</v>
      </c>
      <c r="C4860" s="17" t="s">
        <v>255</v>
      </c>
      <c r="D4860" s="19">
        <v>20.63</v>
      </c>
      <c r="F4860" s="3" t="str">
        <f t="shared" si="75"/>
        <v>C3036</v>
      </c>
    </row>
    <row r="4861" spans="1:6" x14ac:dyDescent="0.2">
      <c r="A4861" s="17" t="s">
        <v>14007</v>
      </c>
      <c r="B4861" s="18" t="s">
        <v>14008</v>
      </c>
      <c r="C4861" s="17" t="s">
        <v>255</v>
      </c>
      <c r="D4861" s="19">
        <v>40.08</v>
      </c>
      <c r="F4861" s="3" t="str">
        <f t="shared" si="75"/>
        <v>C2136</v>
      </c>
    </row>
    <row r="4862" spans="1:6" x14ac:dyDescent="0.2">
      <c r="A4862" s="17" t="s">
        <v>14009</v>
      </c>
      <c r="B4862" s="18" t="s">
        <v>14010</v>
      </c>
      <c r="C4862" s="17" t="s">
        <v>255</v>
      </c>
      <c r="D4862" s="19">
        <v>52.29</v>
      </c>
      <c r="F4862" s="3" t="str">
        <f t="shared" si="75"/>
        <v>C2929</v>
      </c>
    </row>
    <row r="4863" spans="1:6" x14ac:dyDescent="0.2">
      <c r="A4863" s="17" t="s">
        <v>14011</v>
      </c>
      <c r="B4863" s="18" t="s">
        <v>14012</v>
      </c>
      <c r="C4863" s="17" t="s">
        <v>255</v>
      </c>
      <c r="D4863" s="19">
        <v>35.25</v>
      </c>
      <c r="F4863" s="3" t="str">
        <f t="shared" si="75"/>
        <v>C2930</v>
      </c>
    </row>
    <row r="4864" spans="1:6" x14ac:dyDescent="0.2">
      <c r="A4864" s="17" t="s">
        <v>14013</v>
      </c>
      <c r="B4864" s="18" t="s">
        <v>14014</v>
      </c>
      <c r="C4864" s="17" t="s">
        <v>255</v>
      </c>
      <c r="D4864" s="19">
        <v>41.57</v>
      </c>
      <c r="F4864" s="3" t="str">
        <f t="shared" si="75"/>
        <v>C2931</v>
      </c>
    </row>
    <row r="4865" spans="1:6" x14ac:dyDescent="0.2">
      <c r="A4865" s="17" t="s">
        <v>14015</v>
      </c>
      <c r="B4865" s="18" t="s">
        <v>14016</v>
      </c>
      <c r="C4865" s="17" t="s">
        <v>255</v>
      </c>
      <c r="D4865" s="19">
        <v>32.17</v>
      </c>
      <c r="F4865" s="3" t="str">
        <f t="shared" si="75"/>
        <v>C2932</v>
      </c>
    </row>
    <row r="4866" spans="1:6" x14ac:dyDescent="0.2">
      <c r="A4866" s="17" t="s">
        <v>14017</v>
      </c>
      <c r="B4866" s="18" t="s">
        <v>14018</v>
      </c>
      <c r="C4866" s="17" t="s">
        <v>255</v>
      </c>
      <c r="D4866" s="19">
        <v>20.8</v>
      </c>
      <c r="F4866" s="3" t="str">
        <f t="shared" ref="F4866:F4929" si="76">A4866</f>
        <v>C2933</v>
      </c>
    </row>
    <row r="4867" spans="1:6" x14ac:dyDescent="0.2">
      <c r="A4867" s="14" t="s">
        <v>14019</v>
      </c>
      <c r="B4867" s="15"/>
      <c r="C4867" s="14">
        <v>0</v>
      </c>
      <c r="D4867" s="16">
        <v>127973.75999999999</v>
      </c>
      <c r="F4867" s="3" t="str">
        <f t="shared" si="76"/>
        <v>OBRAS PORTUÁRIAS</v>
      </c>
    </row>
    <row r="4868" spans="1:6" x14ac:dyDescent="0.2">
      <c r="A4868" s="14" t="s">
        <v>14020</v>
      </c>
      <c r="B4868" s="15"/>
      <c r="C4868" s="14">
        <v>0</v>
      </c>
      <c r="D4868" s="16">
        <v>125264.46</v>
      </c>
      <c r="F4868" s="3" t="str">
        <f t="shared" si="76"/>
        <v>FUNDAÇÕES</v>
      </c>
    </row>
    <row r="4869" spans="1:6" ht="22.5" x14ac:dyDescent="0.2">
      <c r="A4869" s="17" t="s">
        <v>14021</v>
      </c>
      <c r="B4869" s="18" t="s">
        <v>14022</v>
      </c>
      <c r="C4869" s="17" t="s">
        <v>0</v>
      </c>
      <c r="D4869" s="19">
        <v>993.93</v>
      </c>
      <c r="F4869" s="3" t="str">
        <f t="shared" si="76"/>
        <v>C5129</v>
      </c>
    </row>
    <row r="4870" spans="1:6" x14ac:dyDescent="0.2">
      <c r="A4870" s="17">
        <v>0</v>
      </c>
      <c r="B4870" s="18"/>
      <c r="C4870" s="17">
        <v>0</v>
      </c>
      <c r="D4870" s="19">
        <v>0</v>
      </c>
      <c r="F4870" s="3">
        <f t="shared" si="76"/>
        <v>0</v>
      </c>
    </row>
    <row r="4871" spans="1:6" x14ac:dyDescent="0.2">
      <c r="A4871" s="17" t="s">
        <v>14023</v>
      </c>
      <c r="B4871" s="18" t="s">
        <v>14024</v>
      </c>
      <c r="C4871" s="17" t="s">
        <v>0</v>
      </c>
      <c r="D4871" s="19">
        <v>1152.95</v>
      </c>
      <c r="F4871" s="3" t="str">
        <f t="shared" si="76"/>
        <v>C5130</v>
      </c>
    </row>
    <row r="4872" spans="1:6" x14ac:dyDescent="0.2">
      <c r="A4872" s="17" t="s">
        <v>14025</v>
      </c>
      <c r="B4872" s="18" t="s">
        <v>14026</v>
      </c>
      <c r="C4872" s="17" t="s">
        <v>0</v>
      </c>
      <c r="D4872" s="19">
        <v>1312.02</v>
      </c>
      <c r="F4872" s="3" t="str">
        <f t="shared" si="76"/>
        <v>C5131</v>
      </c>
    </row>
    <row r="4873" spans="1:6" x14ac:dyDescent="0.2">
      <c r="A4873" s="17" t="s">
        <v>14027</v>
      </c>
      <c r="B4873" s="18" t="s">
        <v>14028</v>
      </c>
      <c r="C4873" s="17" t="s">
        <v>0</v>
      </c>
      <c r="D4873" s="19">
        <v>1471.04</v>
      </c>
      <c r="F4873" s="3" t="str">
        <f t="shared" si="76"/>
        <v>C5132</v>
      </c>
    </row>
    <row r="4874" spans="1:6" x14ac:dyDescent="0.2">
      <c r="A4874" s="17" t="s">
        <v>14029</v>
      </c>
      <c r="B4874" s="18" t="s">
        <v>14030</v>
      </c>
      <c r="C4874" s="17" t="s">
        <v>0</v>
      </c>
      <c r="D4874" s="19">
        <v>1630.11</v>
      </c>
      <c r="F4874" s="3" t="str">
        <f t="shared" si="76"/>
        <v>C5133</v>
      </c>
    </row>
    <row r="4875" spans="1:6" x14ac:dyDescent="0.2">
      <c r="A4875" s="17" t="s">
        <v>14031</v>
      </c>
      <c r="B4875" s="18" t="s">
        <v>14032</v>
      </c>
      <c r="C4875" s="17" t="s">
        <v>0</v>
      </c>
      <c r="D4875" s="19">
        <v>1483.04</v>
      </c>
      <c r="F4875" s="3" t="str">
        <f t="shared" si="76"/>
        <v>C5134</v>
      </c>
    </row>
    <row r="4876" spans="1:6" x14ac:dyDescent="0.2">
      <c r="A4876" s="17" t="s">
        <v>14033</v>
      </c>
      <c r="B4876" s="18" t="s">
        <v>14034</v>
      </c>
      <c r="C4876" s="17" t="s">
        <v>0</v>
      </c>
      <c r="D4876" s="19">
        <v>1685.02</v>
      </c>
      <c r="F4876" s="3" t="str">
        <f t="shared" si="76"/>
        <v>C5135</v>
      </c>
    </row>
    <row r="4877" spans="1:6" x14ac:dyDescent="0.2">
      <c r="A4877" s="17" t="s">
        <v>14035</v>
      </c>
      <c r="B4877" s="18" t="s">
        <v>14036</v>
      </c>
      <c r="C4877" s="17" t="s">
        <v>0</v>
      </c>
      <c r="D4877" s="19">
        <v>1886.99</v>
      </c>
      <c r="F4877" s="3" t="str">
        <f t="shared" si="76"/>
        <v>C5136</v>
      </c>
    </row>
    <row r="4878" spans="1:6" x14ac:dyDescent="0.2">
      <c r="A4878" s="17" t="s">
        <v>14037</v>
      </c>
      <c r="B4878" s="18" t="s">
        <v>14038</v>
      </c>
      <c r="C4878" s="17" t="s">
        <v>0</v>
      </c>
      <c r="D4878" s="19">
        <v>2088.9699999999998</v>
      </c>
      <c r="F4878" s="3" t="str">
        <f t="shared" si="76"/>
        <v>C5137</v>
      </c>
    </row>
    <row r="4879" spans="1:6" x14ac:dyDescent="0.2">
      <c r="A4879" s="17" t="s">
        <v>14039</v>
      </c>
      <c r="B4879" s="18" t="s">
        <v>14040</v>
      </c>
      <c r="C4879" s="17" t="s">
        <v>0</v>
      </c>
      <c r="D4879" s="19">
        <v>2290.9899999999998</v>
      </c>
      <c r="F4879" s="3" t="str">
        <f t="shared" si="76"/>
        <v>C5138</v>
      </c>
    </row>
    <row r="4880" spans="1:6" x14ac:dyDescent="0.2">
      <c r="A4880" s="17" t="s">
        <v>14041</v>
      </c>
      <c r="B4880" s="18" t="s">
        <v>14042</v>
      </c>
      <c r="C4880" s="17" t="s">
        <v>0</v>
      </c>
      <c r="D4880" s="19">
        <v>2492.92</v>
      </c>
      <c r="F4880" s="3" t="str">
        <f t="shared" si="76"/>
        <v>C5139</v>
      </c>
    </row>
    <row r="4881" spans="1:6" x14ac:dyDescent="0.2">
      <c r="A4881" s="17" t="s">
        <v>14043</v>
      </c>
      <c r="B4881" s="18" t="s">
        <v>14044</v>
      </c>
      <c r="C4881" s="17" t="s">
        <v>0</v>
      </c>
      <c r="D4881" s="19">
        <v>2261.69</v>
      </c>
      <c r="F4881" s="3" t="str">
        <f t="shared" si="76"/>
        <v>C5140</v>
      </c>
    </row>
    <row r="4882" spans="1:6" x14ac:dyDescent="0.2">
      <c r="A4882" s="17" t="s">
        <v>14045</v>
      </c>
      <c r="B4882" s="18" t="s">
        <v>14046</v>
      </c>
      <c r="C4882" s="17" t="s">
        <v>0</v>
      </c>
      <c r="D4882" s="19">
        <v>2501.56</v>
      </c>
      <c r="F4882" s="3" t="str">
        <f t="shared" si="76"/>
        <v>C5141</v>
      </c>
    </row>
    <row r="4883" spans="1:6" x14ac:dyDescent="0.2">
      <c r="A4883" s="17" t="s">
        <v>14047</v>
      </c>
      <c r="B4883" s="18" t="s">
        <v>14048</v>
      </c>
      <c r="C4883" s="17" t="s">
        <v>0</v>
      </c>
      <c r="D4883" s="19">
        <v>2741.44</v>
      </c>
      <c r="F4883" s="3" t="str">
        <f t="shared" si="76"/>
        <v>C5142</v>
      </c>
    </row>
    <row r="4884" spans="1:6" x14ac:dyDescent="0.2">
      <c r="A4884" s="17" t="s">
        <v>14049</v>
      </c>
      <c r="B4884" s="18" t="s">
        <v>14050</v>
      </c>
      <c r="C4884" s="17" t="s">
        <v>0</v>
      </c>
      <c r="D4884" s="19">
        <v>2981.24</v>
      </c>
      <c r="F4884" s="3" t="str">
        <f t="shared" si="76"/>
        <v>C5143</v>
      </c>
    </row>
    <row r="4885" spans="1:6" x14ac:dyDescent="0.2">
      <c r="A4885" s="17" t="s">
        <v>14051</v>
      </c>
      <c r="B4885" s="18" t="s">
        <v>14052</v>
      </c>
      <c r="C4885" s="17" t="s">
        <v>0</v>
      </c>
      <c r="D4885" s="19">
        <v>3221.12</v>
      </c>
      <c r="F4885" s="3" t="str">
        <f t="shared" si="76"/>
        <v>C5144</v>
      </c>
    </row>
    <row r="4886" spans="1:6" x14ac:dyDescent="0.2">
      <c r="A4886" s="17" t="s">
        <v>14053</v>
      </c>
      <c r="B4886" s="18" t="s">
        <v>14054</v>
      </c>
      <c r="C4886" s="17" t="s">
        <v>0</v>
      </c>
      <c r="D4886" s="19">
        <v>3460.93</v>
      </c>
      <c r="F4886" s="3" t="str">
        <f t="shared" si="76"/>
        <v>C5145</v>
      </c>
    </row>
    <row r="4887" spans="1:6" x14ac:dyDescent="0.2">
      <c r="A4887" s="17" t="s">
        <v>14055</v>
      </c>
      <c r="B4887" s="18" t="s">
        <v>14056</v>
      </c>
      <c r="C4887" s="17" t="s">
        <v>0</v>
      </c>
      <c r="D4887" s="19">
        <v>3700.81</v>
      </c>
      <c r="F4887" s="3" t="str">
        <f t="shared" si="76"/>
        <v>C5146</v>
      </c>
    </row>
    <row r="4888" spans="1:6" x14ac:dyDescent="0.2">
      <c r="A4888" s="17" t="s">
        <v>14057</v>
      </c>
      <c r="B4888" s="18" t="s">
        <v>14058</v>
      </c>
      <c r="C4888" s="17" t="s">
        <v>0</v>
      </c>
      <c r="D4888" s="19">
        <v>4602.5600000000004</v>
      </c>
      <c r="F4888" s="3" t="str">
        <f t="shared" si="76"/>
        <v>C5147</v>
      </c>
    </row>
    <row r="4889" spans="1:6" x14ac:dyDescent="0.2">
      <c r="A4889" s="17" t="s">
        <v>14059</v>
      </c>
      <c r="B4889" s="18" t="s">
        <v>14060</v>
      </c>
      <c r="C4889" s="17" t="s">
        <v>0</v>
      </c>
      <c r="D4889" s="19">
        <v>4918.1899999999996</v>
      </c>
      <c r="F4889" s="3" t="str">
        <f t="shared" si="76"/>
        <v>C5148</v>
      </c>
    </row>
    <row r="4890" spans="1:6" x14ac:dyDescent="0.2">
      <c r="A4890" s="17" t="s">
        <v>14061</v>
      </c>
      <c r="B4890" s="18" t="s">
        <v>14062</v>
      </c>
      <c r="C4890" s="17" t="s">
        <v>0</v>
      </c>
      <c r="D4890" s="19">
        <v>5233.8500000000004</v>
      </c>
      <c r="F4890" s="3" t="str">
        <f t="shared" si="76"/>
        <v>C5149</v>
      </c>
    </row>
    <row r="4891" spans="1:6" x14ac:dyDescent="0.2">
      <c r="A4891" s="17" t="s">
        <v>14063</v>
      </c>
      <c r="B4891" s="18" t="s">
        <v>14064</v>
      </c>
      <c r="C4891" s="17" t="s">
        <v>0</v>
      </c>
      <c r="D4891" s="19">
        <v>5549.35</v>
      </c>
      <c r="F4891" s="3" t="str">
        <f t="shared" si="76"/>
        <v>C5150</v>
      </c>
    </row>
    <row r="4892" spans="1:6" x14ac:dyDescent="0.2">
      <c r="A4892" s="17" t="s">
        <v>14065</v>
      </c>
      <c r="B4892" s="18" t="s">
        <v>14066</v>
      </c>
      <c r="C4892" s="17" t="s">
        <v>0</v>
      </c>
      <c r="D4892" s="19">
        <v>5864.97</v>
      </c>
      <c r="F4892" s="3" t="str">
        <f t="shared" si="76"/>
        <v>C5151</v>
      </c>
    </row>
    <row r="4893" spans="1:6" ht="22.5" x14ac:dyDescent="0.2">
      <c r="A4893" s="17" t="s">
        <v>14067</v>
      </c>
      <c r="B4893" s="18" t="s">
        <v>14068</v>
      </c>
      <c r="C4893" s="17" t="s">
        <v>0</v>
      </c>
      <c r="D4893" s="19">
        <v>442.05</v>
      </c>
      <c r="F4893" s="3" t="str">
        <f t="shared" si="76"/>
        <v>C5152</v>
      </c>
    </row>
    <row r="4894" spans="1:6" x14ac:dyDescent="0.2">
      <c r="A4894" s="17">
        <v>0</v>
      </c>
      <c r="B4894" s="18"/>
      <c r="C4894" s="17">
        <v>0</v>
      </c>
      <c r="D4894" s="19">
        <v>0</v>
      </c>
      <c r="F4894" s="3">
        <f t="shared" si="76"/>
        <v>0</v>
      </c>
    </row>
    <row r="4895" spans="1:6" ht="22.5" x14ac:dyDescent="0.2">
      <c r="A4895" s="17" t="s">
        <v>14069</v>
      </c>
      <c r="B4895" s="18" t="s">
        <v>14070</v>
      </c>
      <c r="C4895" s="17" t="s">
        <v>0</v>
      </c>
      <c r="D4895" s="19">
        <v>442.76</v>
      </c>
      <c r="F4895" s="3" t="str">
        <f t="shared" si="76"/>
        <v>C5153</v>
      </c>
    </row>
    <row r="4896" spans="1:6" x14ac:dyDescent="0.2">
      <c r="A4896" s="17">
        <v>0</v>
      </c>
      <c r="B4896" s="18"/>
      <c r="C4896" s="17">
        <v>0</v>
      </c>
      <c r="D4896" s="19">
        <v>0</v>
      </c>
      <c r="F4896" s="3">
        <f t="shared" si="76"/>
        <v>0</v>
      </c>
    </row>
    <row r="4897" spans="1:6" ht="22.5" x14ac:dyDescent="0.2">
      <c r="A4897" s="17" t="s">
        <v>14071</v>
      </c>
      <c r="B4897" s="18" t="s">
        <v>14072</v>
      </c>
      <c r="C4897" s="17" t="s">
        <v>0</v>
      </c>
      <c r="D4897" s="19">
        <v>463.83</v>
      </c>
      <c r="F4897" s="3" t="str">
        <f t="shared" si="76"/>
        <v>C5154</v>
      </c>
    </row>
    <row r="4898" spans="1:6" x14ac:dyDescent="0.2">
      <c r="A4898" s="17">
        <v>0</v>
      </c>
      <c r="B4898" s="18"/>
      <c r="C4898" s="17">
        <v>0</v>
      </c>
      <c r="D4898" s="19">
        <v>0</v>
      </c>
      <c r="F4898" s="3">
        <f t="shared" si="76"/>
        <v>0</v>
      </c>
    </row>
    <row r="4899" spans="1:6" ht="22.5" x14ac:dyDescent="0.2">
      <c r="A4899" s="17" t="s">
        <v>14073</v>
      </c>
      <c r="B4899" s="18" t="s">
        <v>14074</v>
      </c>
      <c r="C4899" s="17" t="s">
        <v>0</v>
      </c>
      <c r="D4899" s="19">
        <v>464.55</v>
      </c>
      <c r="F4899" s="3" t="str">
        <f t="shared" si="76"/>
        <v>C5155</v>
      </c>
    </row>
    <row r="4900" spans="1:6" x14ac:dyDescent="0.2">
      <c r="A4900" s="17">
        <v>0</v>
      </c>
      <c r="B4900" s="18"/>
      <c r="C4900" s="17">
        <v>0</v>
      </c>
      <c r="D4900" s="19">
        <v>0</v>
      </c>
      <c r="F4900" s="3">
        <f t="shared" si="76"/>
        <v>0</v>
      </c>
    </row>
    <row r="4901" spans="1:6" ht="22.5" x14ac:dyDescent="0.2">
      <c r="A4901" s="17" t="s">
        <v>14075</v>
      </c>
      <c r="B4901" s="18" t="s">
        <v>14076</v>
      </c>
      <c r="C4901" s="17" t="s">
        <v>0</v>
      </c>
      <c r="D4901" s="19">
        <v>491.48</v>
      </c>
      <c r="F4901" s="3" t="str">
        <f t="shared" si="76"/>
        <v>C5156</v>
      </c>
    </row>
    <row r="4902" spans="1:6" x14ac:dyDescent="0.2">
      <c r="A4902" s="17">
        <v>0</v>
      </c>
      <c r="B4902" s="18"/>
      <c r="C4902" s="17">
        <v>0</v>
      </c>
      <c r="D4902" s="19">
        <v>0</v>
      </c>
      <c r="F4902" s="3">
        <f t="shared" si="76"/>
        <v>0</v>
      </c>
    </row>
    <row r="4903" spans="1:6" ht="22.5" x14ac:dyDescent="0.2">
      <c r="A4903" s="17" t="s">
        <v>14077</v>
      </c>
      <c r="B4903" s="18" t="s">
        <v>14078</v>
      </c>
      <c r="C4903" s="17" t="s">
        <v>0</v>
      </c>
      <c r="D4903" s="19">
        <v>443.12</v>
      </c>
      <c r="F4903" s="3" t="str">
        <f t="shared" si="76"/>
        <v>C5157</v>
      </c>
    </row>
    <row r="4904" spans="1:6" x14ac:dyDescent="0.2">
      <c r="A4904" s="17">
        <v>0</v>
      </c>
      <c r="B4904" s="18"/>
      <c r="C4904" s="17">
        <v>0</v>
      </c>
      <c r="D4904" s="19">
        <v>0</v>
      </c>
      <c r="F4904" s="3">
        <f t="shared" si="76"/>
        <v>0</v>
      </c>
    </row>
    <row r="4905" spans="1:6" ht="22.5" x14ac:dyDescent="0.2">
      <c r="A4905" s="17" t="s">
        <v>14079</v>
      </c>
      <c r="B4905" s="18" t="s">
        <v>14080</v>
      </c>
      <c r="C4905" s="17" t="s">
        <v>0</v>
      </c>
      <c r="D4905" s="19">
        <v>464.22</v>
      </c>
      <c r="F4905" s="3" t="str">
        <f t="shared" si="76"/>
        <v>C5158</v>
      </c>
    </row>
    <row r="4906" spans="1:6" x14ac:dyDescent="0.2">
      <c r="A4906" s="17">
        <v>0</v>
      </c>
      <c r="B4906" s="18"/>
      <c r="C4906" s="17">
        <v>0</v>
      </c>
      <c r="D4906" s="19">
        <v>0</v>
      </c>
      <c r="F4906" s="3">
        <f t="shared" si="76"/>
        <v>0</v>
      </c>
    </row>
    <row r="4907" spans="1:6" ht="22.5" x14ac:dyDescent="0.2">
      <c r="A4907" s="17" t="s">
        <v>14081</v>
      </c>
      <c r="B4907" s="18" t="s">
        <v>14082</v>
      </c>
      <c r="C4907" s="17" t="s">
        <v>0</v>
      </c>
      <c r="D4907" s="19">
        <v>465.02</v>
      </c>
      <c r="F4907" s="3" t="str">
        <f t="shared" si="76"/>
        <v>C5159</v>
      </c>
    </row>
    <row r="4908" spans="1:6" x14ac:dyDescent="0.2">
      <c r="A4908" s="17">
        <v>0</v>
      </c>
      <c r="B4908" s="18"/>
      <c r="C4908" s="17">
        <v>0</v>
      </c>
      <c r="D4908" s="19">
        <v>0</v>
      </c>
      <c r="F4908" s="3">
        <f t="shared" si="76"/>
        <v>0</v>
      </c>
    </row>
    <row r="4909" spans="1:6" ht="22.5" x14ac:dyDescent="0.2">
      <c r="A4909" s="17" t="s">
        <v>14083</v>
      </c>
      <c r="B4909" s="18" t="s">
        <v>14084</v>
      </c>
      <c r="C4909" s="17" t="s">
        <v>0</v>
      </c>
      <c r="D4909" s="19">
        <v>492</v>
      </c>
      <c r="F4909" s="3" t="str">
        <f t="shared" si="76"/>
        <v>C5160</v>
      </c>
    </row>
    <row r="4910" spans="1:6" x14ac:dyDescent="0.2">
      <c r="A4910" s="17">
        <v>0</v>
      </c>
      <c r="B4910" s="18"/>
      <c r="C4910" s="17">
        <v>0</v>
      </c>
      <c r="D4910" s="19">
        <v>0</v>
      </c>
      <c r="F4910" s="3">
        <f t="shared" si="76"/>
        <v>0</v>
      </c>
    </row>
    <row r="4911" spans="1:6" ht="22.5" x14ac:dyDescent="0.2">
      <c r="A4911" s="17" t="s">
        <v>14085</v>
      </c>
      <c r="B4911" s="18" t="s">
        <v>14086</v>
      </c>
      <c r="C4911" s="17" t="s">
        <v>0</v>
      </c>
      <c r="D4911" s="19">
        <v>492.86</v>
      </c>
      <c r="F4911" s="3" t="str">
        <f t="shared" si="76"/>
        <v>C5161</v>
      </c>
    </row>
    <row r="4912" spans="1:6" x14ac:dyDescent="0.2">
      <c r="A4912" s="17">
        <v>0</v>
      </c>
      <c r="B4912" s="18"/>
      <c r="C4912" s="17">
        <v>0</v>
      </c>
      <c r="D4912" s="19">
        <v>0</v>
      </c>
      <c r="F4912" s="3">
        <f t="shared" si="76"/>
        <v>0</v>
      </c>
    </row>
    <row r="4913" spans="1:6" ht="22.5" x14ac:dyDescent="0.2">
      <c r="A4913" s="17" t="s">
        <v>14087</v>
      </c>
      <c r="B4913" s="18" t="s">
        <v>14088</v>
      </c>
      <c r="C4913" s="17" t="s">
        <v>0</v>
      </c>
      <c r="D4913" s="19">
        <v>519.9</v>
      </c>
      <c r="F4913" s="3" t="str">
        <f t="shared" si="76"/>
        <v>C5162</v>
      </c>
    </row>
    <row r="4914" spans="1:6" x14ac:dyDescent="0.2">
      <c r="A4914" s="17">
        <v>0</v>
      </c>
      <c r="B4914" s="18"/>
      <c r="C4914" s="17">
        <v>0</v>
      </c>
      <c r="D4914" s="19">
        <v>0</v>
      </c>
      <c r="F4914" s="3">
        <f t="shared" si="76"/>
        <v>0</v>
      </c>
    </row>
    <row r="4915" spans="1:6" ht="22.5" x14ac:dyDescent="0.2">
      <c r="A4915" s="17" t="s">
        <v>14089</v>
      </c>
      <c r="B4915" s="18" t="s">
        <v>14090</v>
      </c>
      <c r="C4915" s="17" t="s">
        <v>0</v>
      </c>
      <c r="D4915" s="19">
        <v>465.88</v>
      </c>
      <c r="F4915" s="3" t="str">
        <f t="shared" si="76"/>
        <v>C5163</v>
      </c>
    </row>
    <row r="4916" spans="1:6" x14ac:dyDescent="0.2">
      <c r="A4916" s="17">
        <v>0</v>
      </c>
      <c r="B4916" s="18"/>
      <c r="C4916" s="17">
        <v>0</v>
      </c>
      <c r="D4916" s="19">
        <v>0</v>
      </c>
      <c r="F4916" s="3">
        <f t="shared" si="76"/>
        <v>0</v>
      </c>
    </row>
    <row r="4917" spans="1:6" ht="22.5" x14ac:dyDescent="0.2">
      <c r="A4917" s="17" t="s">
        <v>14091</v>
      </c>
      <c r="B4917" s="18" t="s">
        <v>14092</v>
      </c>
      <c r="C4917" s="17" t="s">
        <v>0</v>
      </c>
      <c r="D4917" s="19">
        <v>493</v>
      </c>
      <c r="F4917" s="3" t="str">
        <f t="shared" si="76"/>
        <v>C5164</v>
      </c>
    </row>
    <row r="4918" spans="1:6" x14ac:dyDescent="0.2">
      <c r="A4918" s="17">
        <v>0</v>
      </c>
      <c r="B4918" s="18"/>
      <c r="C4918" s="17">
        <v>0</v>
      </c>
      <c r="D4918" s="19">
        <v>0</v>
      </c>
      <c r="F4918" s="3">
        <f t="shared" si="76"/>
        <v>0</v>
      </c>
    </row>
    <row r="4919" spans="1:6" ht="22.5" x14ac:dyDescent="0.2">
      <c r="A4919" s="17" t="s">
        <v>14093</v>
      </c>
      <c r="B4919" s="18" t="s">
        <v>14094</v>
      </c>
      <c r="C4919" s="17" t="s">
        <v>0</v>
      </c>
      <c r="D4919" s="19">
        <v>493.89</v>
      </c>
      <c r="F4919" s="3" t="str">
        <f t="shared" si="76"/>
        <v>C5165</v>
      </c>
    </row>
    <row r="4920" spans="1:6" x14ac:dyDescent="0.2">
      <c r="A4920" s="17">
        <v>0</v>
      </c>
      <c r="B4920" s="18"/>
      <c r="C4920" s="17">
        <v>0</v>
      </c>
      <c r="D4920" s="19">
        <v>0</v>
      </c>
      <c r="F4920" s="3">
        <f t="shared" si="76"/>
        <v>0</v>
      </c>
    </row>
    <row r="4921" spans="1:6" ht="22.5" x14ac:dyDescent="0.2">
      <c r="A4921" s="17" t="s">
        <v>14095</v>
      </c>
      <c r="B4921" s="18" t="s">
        <v>14096</v>
      </c>
      <c r="C4921" s="17" t="s">
        <v>0</v>
      </c>
      <c r="D4921" s="19">
        <v>521.05999999999995</v>
      </c>
      <c r="F4921" s="3" t="str">
        <f t="shared" si="76"/>
        <v>C5166</v>
      </c>
    </row>
    <row r="4922" spans="1:6" x14ac:dyDescent="0.2">
      <c r="A4922" s="17">
        <v>0</v>
      </c>
      <c r="B4922" s="18"/>
      <c r="C4922" s="17">
        <v>0</v>
      </c>
      <c r="D4922" s="19">
        <v>0</v>
      </c>
      <c r="F4922" s="3">
        <f t="shared" si="76"/>
        <v>0</v>
      </c>
    </row>
    <row r="4923" spans="1:6" ht="22.5" x14ac:dyDescent="0.2">
      <c r="A4923" s="17" t="s">
        <v>14097</v>
      </c>
      <c r="B4923" s="18" t="s">
        <v>14098</v>
      </c>
      <c r="C4923" s="17" t="s">
        <v>0</v>
      </c>
      <c r="D4923" s="19">
        <v>522.1</v>
      </c>
      <c r="F4923" s="3" t="str">
        <f t="shared" si="76"/>
        <v>C5167</v>
      </c>
    </row>
    <row r="4924" spans="1:6" x14ac:dyDescent="0.2">
      <c r="A4924" s="17">
        <v>0</v>
      </c>
      <c r="B4924" s="18"/>
      <c r="C4924" s="17">
        <v>0</v>
      </c>
      <c r="D4924" s="19">
        <v>0</v>
      </c>
      <c r="F4924" s="3">
        <f t="shared" si="76"/>
        <v>0</v>
      </c>
    </row>
    <row r="4925" spans="1:6" ht="22.5" x14ac:dyDescent="0.2">
      <c r="A4925" s="17" t="s">
        <v>14099</v>
      </c>
      <c r="B4925" s="18" t="s">
        <v>14100</v>
      </c>
      <c r="C4925" s="17" t="s">
        <v>0</v>
      </c>
      <c r="D4925" s="19">
        <v>549.30999999999995</v>
      </c>
      <c r="F4925" s="3" t="str">
        <f t="shared" si="76"/>
        <v>C5168</v>
      </c>
    </row>
    <row r="4926" spans="1:6" x14ac:dyDescent="0.2">
      <c r="A4926" s="17">
        <v>0</v>
      </c>
      <c r="B4926" s="18"/>
      <c r="C4926" s="17">
        <v>0</v>
      </c>
      <c r="D4926" s="19">
        <v>0</v>
      </c>
      <c r="F4926" s="3">
        <f t="shared" si="76"/>
        <v>0</v>
      </c>
    </row>
    <row r="4927" spans="1:6" ht="22.5" x14ac:dyDescent="0.2">
      <c r="A4927" s="17" t="s">
        <v>14101</v>
      </c>
      <c r="B4927" s="18" t="s">
        <v>14102</v>
      </c>
      <c r="C4927" s="17" t="s">
        <v>0</v>
      </c>
      <c r="D4927" s="19">
        <v>576.55999999999995</v>
      </c>
      <c r="F4927" s="3" t="str">
        <f t="shared" si="76"/>
        <v>C5169</v>
      </c>
    </row>
    <row r="4928" spans="1:6" x14ac:dyDescent="0.2">
      <c r="A4928" s="17">
        <v>0</v>
      </c>
      <c r="B4928" s="18"/>
      <c r="C4928" s="17">
        <v>0</v>
      </c>
      <c r="D4928" s="19">
        <v>0</v>
      </c>
      <c r="F4928" s="3">
        <f t="shared" si="76"/>
        <v>0</v>
      </c>
    </row>
    <row r="4929" spans="1:6" ht="22.5" x14ac:dyDescent="0.2">
      <c r="A4929" s="17" t="s">
        <v>14103</v>
      </c>
      <c r="B4929" s="18" t="s">
        <v>14104</v>
      </c>
      <c r="C4929" s="17" t="s">
        <v>0</v>
      </c>
      <c r="D4929" s="19">
        <v>552.73</v>
      </c>
      <c r="F4929" s="3" t="str">
        <f t="shared" si="76"/>
        <v>C5170</v>
      </c>
    </row>
    <row r="4930" spans="1:6" x14ac:dyDescent="0.2">
      <c r="A4930" s="17">
        <v>0</v>
      </c>
      <c r="B4930" s="18"/>
      <c r="C4930" s="17">
        <v>0</v>
      </c>
      <c r="D4930" s="19">
        <v>0</v>
      </c>
      <c r="F4930" s="3">
        <f t="shared" ref="F4930:F4993" si="77">A4930</f>
        <v>0</v>
      </c>
    </row>
    <row r="4931" spans="1:6" ht="22.5" x14ac:dyDescent="0.2">
      <c r="A4931" s="17" t="s">
        <v>14105</v>
      </c>
      <c r="B4931" s="18" t="s">
        <v>14106</v>
      </c>
      <c r="C4931" s="17" t="s">
        <v>0</v>
      </c>
      <c r="D4931" s="19">
        <v>580.25</v>
      </c>
      <c r="F4931" s="3" t="str">
        <f t="shared" si="77"/>
        <v>C5171</v>
      </c>
    </row>
    <row r="4932" spans="1:6" x14ac:dyDescent="0.2">
      <c r="A4932" s="17">
        <v>0</v>
      </c>
      <c r="B4932" s="18"/>
      <c r="C4932" s="17">
        <v>0</v>
      </c>
      <c r="D4932" s="19">
        <v>0</v>
      </c>
      <c r="F4932" s="3">
        <f t="shared" si="77"/>
        <v>0</v>
      </c>
    </row>
    <row r="4933" spans="1:6" ht="22.5" x14ac:dyDescent="0.2">
      <c r="A4933" s="17" t="s">
        <v>14107</v>
      </c>
      <c r="B4933" s="18" t="s">
        <v>14108</v>
      </c>
      <c r="C4933" s="17" t="s">
        <v>0</v>
      </c>
      <c r="D4933" s="19">
        <v>601.92999999999995</v>
      </c>
      <c r="F4933" s="3" t="str">
        <f t="shared" si="77"/>
        <v>C5172</v>
      </c>
    </row>
    <row r="4934" spans="1:6" x14ac:dyDescent="0.2">
      <c r="A4934" s="17">
        <v>0</v>
      </c>
      <c r="B4934" s="18"/>
      <c r="C4934" s="17">
        <v>0</v>
      </c>
      <c r="D4934" s="19">
        <v>0</v>
      </c>
      <c r="F4934" s="3">
        <f t="shared" si="77"/>
        <v>0</v>
      </c>
    </row>
    <row r="4935" spans="1:6" ht="22.5" x14ac:dyDescent="0.2">
      <c r="A4935" s="17" t="s">
        <v>14109</v>
      </c>
      <c r="B4935" s="18" t="s">
        <v>14110</v>
      </c>
      <c r="C4935" s="17" t="s">
        <v>0</v>
      </c>
      <c r="D4935" s="19">
        <v>629.54</v>
      </c>
      <c r="F4935" s="3" t="str">
        <f t="shared" si="77"/>
        <v>C5173</v>
      </c>
    </row>
    <row r="4936" spans="1:6" x14ac:dyDescent="0.2">
      <c r="A4936" s="17">
        <v>0</v>
      </c>
      <c r="B4936" s="18"/>
      <c r="C4936" s="17">
        <v>0</v>
      </c>
      <c r="D4936" s="19">
        <v>0</v>
      </c>
      <c r="F4936" s="3">
        <f t="shared" si="77"/>
        <v>0</v>
      </c>
    </row>
    <row r="4937" spans="1:6" ht="22.5" x14ac:dyDescent="0.2">
      <c r="A4937" s="17" t="s">
        <v>14111</v>
      </c>
      <c r="B4937" s="18" t="s">
        <v>14112</v>
      </c>
      <c r="C4937" s="17" t="s">
        <v>0</v>
      </c>
      <c r="D4937" s="19">
        <v>657.25</v>
      </c>
      <c r="F4937" s="3" t="str">
        <f t="shared" si="77"/>
        <v>C5174</v>
      </c>
    </row>
    <row r="4938" spans="1:6" x14ac:dyDescent="0.2">
      <c r="A4938" s="17">
        <v>0</v>
      </c>
      <c r="B4938" s="18"/>
      <c r="C4938" s="17">
        <v>0</v>
      </c>
      <c r="D4938" s="19">
        <v>0</v>
      </c>
      <c r="F4938" s="3">
        <f t="shared" si="77"/>
        <v>0</v>
      </c>
    </row>
    <row r="4939" spans="1:6" x14ac:dyDescent="0.2">
      <c r="A4939" s="17" t="s">
        <v>14113</v>
      </c>
      <c r="B4939" s="18" t="s">
        <v>14114</v>
      </c>
      <c r="C4939" s="17" t="s">
        <v>0</v>
      </c>
      <c r="D4939" s="19">
        <v>1221.1199999999999</v>
      </c>
      <c r="F4939" s="3" t="str">
        <f t="shared" si="77"/>
        <v>C4319</v>
      </c>
    </row>
    <row r="4940" spans="1:6" x14ac:dyDescent="0.2">
      <c r="A4940" s="17" t="s">
        <v>14115</v>
      </c>
      <c r="B4940" s="18" t="s">
        <v>14116</v>
      </c>
      <c r="C4940" s="17" t="s">
        <v>271</v>
      </c>
      <c r="D4940" s="19">
        <v>1291.55</v>
      </c>
      <c r="F4940" s="3" t="str">
        <f t="shared" si="77"/>
        <v>C4144</v>
      </c>
    </row>
    <row r="4941" spans="1:6" x14ac:dyDescent="0.2">
      <c r="A4941" s="17" t="s">
        <v>14117</v>
      </c>
      <c r="B4941" s="18" t="s">
        <v>14118</v>
      </c>
      <c r="C4941" s="17" t="s">
        <v>271</v>
      </c>
      <c r="D4941" s="19">
        <v>5233.8599999999997</v>
      </c>
      <c r="F4941" s="3" t="str">
        <f t="shared" si="77"/>
        <v>C4145</v>
      </c>
    </row>
    <row r="4942" spans="1:6" x14ac:dyDescent="0.2">
      <c r="A4942" s="17" t="s">
        <v>14119</v>
      </c>
      <c r="B4942" s="18" t="s">
        <v>14120</v>
      </c>
      <c r="C4942" s="17" t="s">
        <v>271</v>
      </c>
      <c r="D4942" s="19">
        <v>807.34</v>
      </c>
      <c r="F4942" s="3" t="str">
        <f t="shared" si="77"/>
        <v>C4143</v>
      </c>
    </row>
    <row r="4943" spans="1:6" x14ac:dyDescent="0.2">
      <c r="A4943" s="17" t="s">
        <v>14121</v>
      </c>
      <c r="B4943" s="18" t="s">
        <v>14122</v>
      </c>
      <c r="C4943" s="17" t="s">
        <v>271</v>
      </c>
      <c r="D4943" s="19">
        <v>3612.34</v>
      </c>
      <c r="F4943" s="3" t="str">
        <f t="shared" si="77"/>
        <v>C4298</v>
      </c>
    </row>
    <row r="4944" spans="1:6" x14ac:dyDescent="0.2">
      <c r="A4944" s="17">
        <v>0</v>
      </c>
      <c r="B4944" s="18"/>
      <c r="C4944" s="17">
        <v>0</v>
      </c>
      <c r="D4944" s="19">
        <v>0</v>
      </c>
      <c r="F4944" s="3">
        <f t="shared" si="77"/>
        <v>0</v>
      </c>
    </row>
    <row r="4945" spans="1:6" x14ac:dyDescent="0.2">
      <c r="A4945" s="17" t="s">
        <v>14123</v>
      </c>
      <c r="B4945" s="18" t="s">
        <v>14124</v>
      </c>
      <c r="C4945" s="17" t="s">
        <v>271</v>
      </c>
      <c r="D4945" s="19">
        <v>10495.44</v>
      </c>
      <c r="F4945" s="3" t="str">
        <f t="shared" si="77"/>
        <v>C4299</v>
      </c>
    </row>
    <row r="4946" spans="1:6" x14ac:dyDescent="0.2">
      <c r="A4946" s="17">
        <v>0</v>
      </c>
      <c r="B4946" s="18"/>
      <c r="C4946" s="17">
        <v>0</v>
      </c>
      <c r="D4946" s="19">
        <v>0</v>
      </c>
      <c r="F4946" s="3">
        <f t="shared" si="77"/>
        <v>0</v>
      </c>
    </row>
    <row r="4947" spans="1:6" x14ac:dyDescent="0.2">
      <c r="A4947" s="17" t="s">
        <v>14125</v>
      </c>
      <c r="B4947" s="18" t="s">
        <v>14126</v>
      </c>
      <c r="C4947" s="17" t="s">
        <v>271</v>
      </c>
      <c r="D4947" s="19">
        <v>1806.03</v>
      </c>
      <c r="F4947" s="3" t="str">
        <f t="shared" si="77"/>
        <v>C4300</v>
      </c>
    </row>
    <row r="4948" spans="1:6" ht="22.5" x14ac:dyDescent="0.2">
      <c r="A4948" s="17" t="s">
        <v>14127</v>
      </c>
      <c r="B4948" s="18" t="s">
        <v>14128</v>
      </c>
      <c r="C4948" s="17" t="s">
        <v>5477</v>
      </c>
      <c r="D4948" s="19">
        <v>20959.21</v>
      </c>
      <c r="F4948" s="3" t="str">
        <f t="shared" si="77"/>
        <v>C3983</v>
      </c>
    </row>
    <row r="4949" spans="1:6" x14ac:dyDescent="0.2">
      <c r="A4949" s="17">
        <v>0</v>
      </c>
      <c r="B4949" s="18"/>
      <c r="C4949" s="17">
        <v>0</v>
      </c>
      <c r="D4949" s="19">
        <v>0</v>
      </c>
      <c r="F4949" s="3">
        <f t="shared" si="77"/>
        <v>0</v>
      </c>
    </row>
    <row r="4950" spans="1:6" ht="22.5" x14ac:dyDescent="0.2">
      <c r="A4950" s="17" t="s">
        <v>14129</v>
      </c>
      <c r="B4950" s="18" t="s">
        <v>14130</v>
      </c>
      <c r="C4950" s="17" t="s">
        <v>26</v>
      </c>
      <c r="D4950" s="19">
        <v>2486.6</v>
      </c>
      <c r="F4950" s="3" t="str">
        <f t="shared" si="77"/>
        <v>C4310</v>
      </c>
    </row>
    <row r="4951" spans="1:6" x14ac:dyDescent="0.2">
      <c r="A4951" s="17">
        <v>0</v>
      </c>
      <c r="B4951" s="18"/>
      <c r="C4951" s="17">
        <v>0</v>
      </c>
      <c r="D4951" s="19">
        <v>0</v>
      </c>
      <c r="F4951" s="3">
        <f t="shared" si="77"/>
        <v>0</v>
      </c>
    </row>
    <row r="4952" spans="1:6" x14ac:dyDescent="0.2">
      <c r="A4952" s="14" t="s">
        <v>14131</v>
      </c>
      <c r="B4952" s="15"/>
      <c r="C4952" s="14">
        <v>0</v>
      </c>
      <c r="D4952" s="16">
        <v>2461.3200000000002</v>
      </c>
      <c r="F4952" s="3" t="str">
        <f t="shared" si="77"/>
        <v>ESTRUTURAS</v>
      </c>
    </row>
    <row r="4953" spans="1:6" ht="22.5" x14ac:dyDescent="0.2">
      <c r="A4953" s="17" t="s">
        <v>14132</v>
      </c>
      <c r="B4953" s="18" t="s">
        <v>14133</v>
      </c>
      <c r="C4953" s="17" t="s">
        <v>0</v>
      </c>
      <c r="D4953" s="19">
        <v>204.88</v>
      </c>
      <c r="F4953" s="3" t="str">
        <f t="shared" si="77"/>
        <v>C4146</v>
      </c>
    </row>
    <row r="4954" spans="1:6" x14ac:dyDescent="0.2">
      <c r="A4954" s="17">
        <v>0</v>
      </c>
      <c r="B4954" s="18"/>
      <c r="C4954" s="17">
        <v>0</v>
      </c>
      <c r="D4954" s="19">
        <v>0</v>
      </c>
      <c r="F4954" s="3">
        <f t="shared" si="77"/>
        <v>0</v>
      </c>
    </row>
    <row r="4955" spans="1:6" ht="22.5" x14ac:dyDescent="0.2">
      <c r="A4955" s="17" t="s">
        <v>14134</v>
      </c>
      <c r="B4955" s="18" t="s">
        <v>14135</v>
      </c>
      <c r="C4955" s="17" t="s">
        <v>0</v>
      </c>
      <c r="D4955" s="19">
        <v>531.16999999999996</v>
      </c>
      <c r="F4955" s="3" t="str">
        <f t="shared" si="77"/>
        <v>C4318</v>
      </c>
    </row>
    <row r="4956" spans="1:6" x14ac:dyDescent="0.2">
      <c r="A4956" s="17">
        <v>0</v>
      </c>
      <c r="B4956" s="18"/>
      <c r="C4956" s="17">
        <v>0</v>
      </c>
      <c r="D4956" s="19">
        <v>0</v>
      </c>
      <c r="F4956" s="3">
        <f t="shared" si="77"/>
        <v>0</v>
      </c>
    </row>
    <row r="4957" spans="1:6" ht="22.5" x14ac:dyDescent="0.2">
      <c r="A4957" s="17" t="s">
        <v>14136</v>
      </c>
      <c r="B4957" s="18" t="s">
        <v>14137</v>
      </c>
      <c r="C4957" s="17" t="s">
        <v>271</v>
      </c>
      <c r="D4957" s="19">
        <v>135.51</v>
      </c>
      <c r="F4957" s="3" t="str">
        <f t="shared" si="77"/>
        <v>C4153</v>
      </c>
    </row>
    <row r="4958" spans="1:6" x14ac:dyDescent="0.2">
      <c r="A4958" s="17">
        <v>0</v>
      </c>
      <c r="B4958" s="18"/>
      <c r="C4958" s="17">
        <v>0</v>
      </c>
      <c r="D4958" s="19">
        <v>0</v>
      </c>
      <c r="F4958" s="3">
        <f t="shared" si="77"/>
        <v>0</v>
      </c>
    </row>
    <row r="4959" spans="1:6" ht="22.5" x14ac:dyDescent="0.2">
      <c r="A4959" s="17" t="s">
        <v>14138</v>
      </c>
      <c r="B4959" s="18" t="s">
        <v>14139</v>
      </c>
      <c r="C4959" s="17" t="s">
        <v>271</v>
      </c>
      <c r="D4959" s="19">
        <v>413.69</v>
      </c>
      <c r="F4959" s="3" t="str">
        <f t="shared" si="77"/>
        <v>C4290</v>
      </c>
    </row>
    <row r="4960" spans="1:6" x14ac:dyDescent="0.2">
      <c r="A4960" s="17">
        <v>0</v>
      </c>
      <c r="B4960" s="18"/>
      <c r="C4960" s="17">
        <v>0</v>
      </c>
      <c r="D4960" s="19">
        <v>0</v>
      </c>
      <c r="F4960" s="3">
        <f t="shared" si="77"/>
        <v>0</v>
      </c>
    </row>
    <row r="4961" spans="1:6" ht="22.5" x14ac:dyDescent="0.2">
      <c r="A4961" s="17" t="s">
        <v>14140</v>
      </c>
      <c r="B4961" s="18" t="s">
        <v>14141</v>
      </c>
      <c r="C4961" s="17" t="s">
        <v>5477</v>
      </c>
      <c r="D4961" s="19">
        <v>1176.07</v>
      </c>
      <c r="F4961" s="3" t="str">
        <f t="shared" si="77"/>
        <v>C4311</v>
      </c>
    </row>
    <row r="4962" spans="1:6" x14ac:dyDescent="0.2">
      <c r="A4962" s="17">
        <v>0</v>
      </c>
      <c r="B4962" s="18"/>
      <c r="C4962" s="17">
        <v>0</v>
      </c>
      <c r="D4962" s="19">
        <v>0</v>
      </c>
      <c r="F4962" s="3">
        <f t="shared" si="77"/>
        <v>0</v>
      </c>
    </row>
    <row r="4963" spans="1:6" x14ac:dyDescent="0.2">
      <c r="A4963" s="14" t="s">
        <v>14142</v>
      </c>
      <c r="B4963" s="15"/>
      <c r="C4963" s="14">
        <v>0</v>
      </c>
      <c r="D4963" s="16">
        <v>184.52</v>
      </c>
      <c r="F4963" s="3" t="str">
        <f t="shared" si="77"/>
        <v>QUEBRA-MAR / ENROCAMENTO</v>
      </c>
    </row>
    <row r="4964" spans="1:6" x14ac:dyDescent="0.2">
      <c r="A4964" s="17" t="s">
        <v>14143</v>
      </c>
      <c r="B4964" s="18" t="s">
        <v>14144</v>
      </c>
      <c r="C4964" s="17" t="s">
        <v>271</v>
      </c>
      <c r="D4964" s="19">
        <v>13.65</v>
      </c>
      <c r="F4964" s="3" t="str">
        <f t="shared" si="77"/>
        <v>C4288</v>
      </c>
    </row>
    <row r="4965" spans="1:6" x14ac:dyDescent="0.2">
      <c r="A4965" s="17" t="s">
        <v>14145</v>
      </c>
      <c r="B4965" s="18" t="s">
        <v>14146</v>
      </c>
      <c r="C4965" s="17" t="s">
        <v>271</v>
      </c>
      <c r="D4965" s="19">
        <v>17.260000000000002</v>
      </c>
      <c r="F4965" s="3" t="str">
        <f t="shared" si="77"/>
        <v>C4287</v>
      </c>
    </row>
    <row r="4966" spans="1:6" x14ac:dyDescent="0.2">
      <c r="A4966" s="17" t="s">
        <v>14147</v>
      </c>
      <c r="B4966" s="18" t="s">
        <v>14148</v>
      </c>
      <c r="C4966" s="17" t="s">
        <v>271</v>
      </c>
      <c r="D4966" s="19">
        <v>26.6</v>
      </c>
      <c r="F4966" s="3" t="str">
        <f t="shared" si="77"/>
        <v>C1097</v>
      </c>
    </row>
    <row r="4967" spans="1:6" x14ac:dyDescent="0.2">
      <c r="A4967" s="17" t="s">
        <v>14149</v>
      </c>
      <c r="B4967" s="18" t="s">
        <v>14150</v>
      </c>
      <c r="C4967" s="17" t="s">
        <v>271</v>
      </c>
      <c r="D4967" s="19">
        <v>24.76</v>
      </c>
      <c r="F4967" s="3" t="str">
        <f t="shared" si="77"/>
        <v>C4289</v>
      </c>
    </row>
    <row r="4968" spans="1:6" x14ac:dyDescent="0.2">
      <c r="A4968" s="17" t="s">
        <v>14151</v>
      </c>
      <c r="B4968" s="18" t="s">
        <v>14152</v>
      </c>
      <c r="C4968" s="17" t="s">
        <v>271</v>
      </c>
      <c r="D4968" s="19">
        <v>33.58</v>
      </c>
      <c r="F4968" s="3" t="str">
        <f t="shared" si="77"/>
        <v>C4306</v>
      </c>
    </row>
    <row r="4969" spans="1:6" x14ac:dyDescent="0.2">
      <c r="A4969" s="17" t="s">
        <v>14153</v>
      </c>
      <c r="B4969" s="18" t="s">
        <v>14154</v>
      </c>
      <c r="C4969" s="17" t="s">
        <v>271</v>
      </c>
      <c r="D4969" s="19">
        <v>35.83</v>
      </c>
      <c r="F4969" s="3" t="str">
        <f t="shared" si="77"/>
        <v>C4307</v>
      </c>
    </row>
    <row r="4970" spans="1:6" x14ac:dyDescent="0.2">
      <c r="A4970" s="17" t="s">
        <v>14155</v>
      </c>
      <c r="B4970" s="18" t="s">
        <v>14156</v>
      </c>
      <c r="C4970" s="17" t="s">
        <v>271</v>
      </c>
      <c r="D4970" s="19">
        <v>32.840000000000003</v>
      </c>
      <c r="F4970" s="3" t="str">
        <f t="shared" si="77"/>
        <v>C4308</v>
      </c>
    </row>
    <row r="4971" spans="1:6" x14ac:dyDescent="0.2">
      <c r="A4971" s="17" t="s">
        <v>14157</v>
      </c>
      <c r="B4971" s="18" t="s">
        <v>14158</v>
      </c>
      <c r="C4971" s="17" t="s">
        <v>271</v>
      </c>
      <c r="D4971" s="19">
        <v>0</v>
      </c>
      <c r="F4971" s="3" t="str">
        <f t="shared" si="77"/>
        <v>C4332</v>
      </c>
    </row>
    <row r="4972" spans="1:6" x14ac:dyDescent="0.2">
      <c r="A4972" s="17" t="s">
        <v>14159</v>
      </c>
      <c r="B4972" s="18" t="s">
        <v>14160</v>
      </c>
      <c r="C4972" s="17" t="s">
        <v>271</v>
      </c>
      <c r="D4972" s="19">
        <v>0</v>
      </c>
      <c r="F4972" s="3" t="str">
        <f t="shared" si="77"/>
        <v>C4413</v>
      </c>
    </row>
    <row r="4973" spans="1:6" x14ac:dyDescent="0.2">
      <c r="A4973" s="17" t="s">
        <v>14161</v>
      </c>
      <c r="B4973" s="18" t="s">
        <v>14162</v>
      </c>
      <c r="C4973" s="17" t="s">
        <v>271</v>
      </c>
      <c r="D4973" s="19">
        <v>0</v>
      </c>
      <c r="F4973" s="3" t="str">
        <f t="shared" si="77"/>
        <v>C4313</v>
      </c>
    </row>
    <row r="4974" spans="1:6" x14ac:dyDescent="0.2">
      <c r="A4974" s="17">
        <v>0</v>
      </c>
      <c r="B4974" s="18"/>
      <c r="C4974" s="17">
        <v>0</v>
      </c>
      <c r="D4974" s="19">
        <v>0</v>
      </c>
      <c r="F4974" s="3">
        <f t="shared" si="77"/>
        <v>0</v>
      </c>
    </row>
    <row r="4975" spans="1:6" x14ac:dyDescent="0.2">
      <c r="A4975" s="17" t="s">
        <v>14163</v>
      </c>
      <c r="B4975" s="18" t="s">
        <v>14164</v>
      </c>
      <c r="C4975" s="17" t="s">
        <v>271</v>
      </c>
      <c r="D4975" s="19">
        <v>0</v>
      </c>
      <c r="F4975" s="3" t="str">
        <f t="shared" si="77"/>
        <v>C4414</v>
      </c>
    </row>
    <row r="4976" spans="1:6" x14ac:dyDescent="0.2">
      <c r="A4976" s="17">
        <v>0</v>
      </c>
      <c r="B4976" s="18"/>
      <c r="C4976" s="17">
        <v>0</v>
      </c>
      <c r="D4976" s="19">
        <v>0</v>
      </c>
      <c r="F4976" s="3">
        <f t="shared" si="77"/>
        <v>0</v>
      </c>
    </row>
    <row r="4977" spans="1:6" x14ac:dyDescent="0.2">
      <c r="A4977" s="14" t="s">
        <v>14165</v>
      </c>
      <c r="B4977" s="15"/>
      <c r="C4977" s="14">
        <v>0</v>
      </c>
      <c r="D4977" s="16">
        <v>63.46</v>
      </c>
      <c r="F4977" s="3" t="str">
        <f t="shared" si="77"/>
        <v>DRAGAGEM</v>
      </c>
    </row>
    <row r="4978" spans="1:6" ht="22.5" x14ac:dyDescent="0.2">
      <c r="A4978" s="17" t="s">
        <v>14166</v>
      </c>
      <c r="B4978" s="18" t="s">
        <v>14167</v>
      </c>
      <c r="C4978" s="17" t="s">
        <v>271</v>
      </c>
      <c r="D4978" s="19">
        <v>33.58</v>
      </c>
      <c r="F4978" s="3" t="str">
        <f t="shared" si="77"/>
        <v>C4315</v>
      </c>
    </row>
    <row r="4979" spans="1:6" x14ac:dyDescent="0.2">
      <c r="A4979" s="17">
        <v>0</v>
      </c>
      <c r="B4979" s="18"/>
      <c r="C4979" s="17">
        <v>0</v>
      </c>
      <c r="D4979" s="19">
        <v>0</v>
      </c>
      <c r="F4979" s="3">
        <f t="shared" si="77"/>
        <v>0</v>
      </c>
    </row>
    <row r="4980" spans="1:6" x14ac:dyDescent="0.2">
      <c r="A4980" s="17" t="s">
        <v>14168</v>
      </c>
      <c r="B4980" s="18" t="s">
        <v>14169</v>
      </c>
      <c r="C4980" s="17" t="s">
        <v>271</v>
      </c>
      <c r="D4980" s="19">
        <v>29.88</v>
      </c>
      <c r="F4980" s="3" t="str">
        <f t="shared" si="77"/>
        <v>C4283</v>
      </c>
    </row>
    <row r="4981" spans="1:6" x14ac:dyDescent="0.2">
      <c r="A4981" s="14" t="s">
        <v>14170</v>
      </c>
      <c r="B4981" s="15"/>
      <c r="C4981" s="14">
        <v>0</v>
      </c>
      <c r="D4981" s="16">
        <v>0</v>
      </c>
      <c r="F4981" s="3" t="str">
        <f t="shared" si="77"/>
        <v>TRANSPORTES PARA OBRAS RODOVIÁRIAS</v>
      </c>
    </row>
    <row r="4982" spans="1:6" x14ac:dyDescent="0.2">
      <c r="A4982" s="14" t="s">
        <v>14171</v>
      </c>
      <c r="B4982" s="15"/>
      <c r="C4982" s="14">
        <v>0</v>
      </c>
      <c r="D4982" s="16">
        <v>0</v>
      </c>
      <c r="F4982" s="3" t="str">
        <f t="shared" si="77"/>
        <v>LOCAL</v>
      </c>
    </row>
    <row r="4983" spans="1:6" x14ac:dyDescent="0.2">
      <c r="A4983" s="17" t="s">
        <v>14172</v>
      </c>
      <c r="B4983" s="18" t="s">
        <v>14173</v>
      </c>
      <c r="C4983" s="17" t="s">
        <v>5477</v>
      </c>
      <c r="D4983" s="19">
        <v>0</v>
      </c>
      <c r="F4983" s="3" t="str">
        <f t="shared" si="77"/>
        <v>C3143</v>
      </c>
    </row>
    <row r="4984" spans="1:6" x14ac:dyDescent="0.2">
      <c r="A4984" s="17" t="s">
        <v>14174</v>
      </c>
      <c r="B4984" s="18" t="s">
        <v>14175</v>
      </c>
      <c r="C4984" s="17" t="s">
        <v>5477</v>
      </c>
      <c r="D4984" s="19">
        <v>0</v>
      </c>
      <c r="F4984" s="3" t="str">
        <f t="shared" si="77"/>
        <v>C3144</v>
      </c>
    </row>
    <row r="4985" spans="1:6" x14ac:dyDescent="0.2">
      <c r="A4985" s="17" t="s">
        <v>14176</v>
      </c>
      <c r="B4985" s="18" t="s">
        <v>14177</v>
      </c>
      <c r="C4985" s="17" t="s">
        <v>5477</v>
      </c>
      <c r="D4985" s="19">
        <v>0</v>
      </c>
      <c r="F4985" s="3" t="str">
        <f t="shared" si="77"/>
        <v>C4161</v>
      </c>
    </row>
    <row r="4986" spans="1:6" ht="22.5" x14ac:dyDescent="0.2">
      <c r="A4986" s="17" t="s">
        <v>14178</v>
      </c>
      <c r="B4986" s="18" t="s">
        <v>14179</v>
      </c>
      <c r="C4986" s="17" t="s">
        <v>5477</v>
      </c>
      <c r="D4986" s="19">
        <v>0</v>
      </c>
      <c r="F4986" s="3" t="str">
        <f t="shared" si="77"/>
        <v>C3157</v>
      </c>
    </row>
    <row r="4987" spans="1:6" x14ac:dyDescent="0.2">
      <c r="A4987" s="17">
        <v>0</v>
      </c>
      <c r="B4987" s="18"/>
      <c r="C4987" s="17">
        <v>0</v>
      </c>
      <c r="D4987" s="19">
        <v>0</v>
      </c>
      <c r="F4987" s="3">
        <f t="shared" si="77"/>
        <v>0</v>
      </c>
    </row>
    <row r="4988" spans="1:6" x14ac:dyDescent="0.2">
      <c r="A4988" s="17" t="s">
        <v>14180</v>
      </c>
      <c r="B4988" s="18" t="s">
        <v>14181</v>
      </c>
      <c r="C4988" s="17" t="s">
        <v>5477</v>
      </c>
      <c r="D4988" s="19">
        <v>0</v>
      </c>
      <c r="F4988" s="3" t="str">
        <f t="shared" si="77"/>
        <v>C3312</v>
      </c>
    </row>
    <row r="4989" spans="1:6" x14ac:dyDescent="0.2">
      <c r="A4989" s="17" t="s">
        <v>14182</v>
      </c>
      <c r="B4989" s="18" t="s">
        <v>14183</v>
      </c>
      <c r="C4989" s="17" t="s">
        <v>5477</v>
      </c>
      <c r="D4989" s="19">
        <v>0</v>
      </c>
      <c r="F4989" s="3" t="str">
        <f t="shared" si="77"/>
        <v>C3224</v>
      </c>
    </row>
    <row r="4990" spans="1:6" x14ac:dyDescent="0.2">
      <c r="A4990" s="17">
        <v>0</v>
      </c>
      <c r="B4990" s="18"/>
      <c r="C4990" s="17">
        <v>0</v>
      </c>
      <c r="D4990" s="19">
        <v>0</v>
      </c>
      <c r="F4990" s="3">
        <f t="shared" si="77"/>
        <v>0</v>
      </c>
    </row>
    <row r="4991" spans="1:6" x14ac:dyDescent="0.2">
      <c r="A4991" s="17" t="s">
        <v>14184</v>
      </c>
      <c r="B4991" s="18" t="s">
        <v>14185</v>
      </c>
      <c r="C4991" s="17" t="s">
        <v>5477</v>
      </c>
      <c r="D4991" s="19">
        <v>0</v>
      </c>
      <c r="F4991" s="3" t="str">
        <f t="shared" si="77"/>
        <v>C3225</v>
      </c>
    </row>
    <row r="4992" spans="1:6" x14ac:dyDescent="0.2">
      <c r="A4992" s="17" t="s">
        <v>14186</v>
      </c>
      <c r="B4992" s="18" t="s">
        <v>14187</v>
      </c>
      <c r="C4992" s="17" t="s">
        <v>5477</v>
      </c>
      <c r="D4992" s="19">
        <v>0</v>
      </c>
      <c r="F4992" s="3" t="str">
        <f t="shared" si="77"/>
        <v>C3226</v>
      </c>
    </row>
    <row r="4993" spans="1:6" x14ac:dyDescent="0.2">
      <c r="A4993" s="14" t="s">
        <v>14188</v>
      </c>
      <c r="B4993" s="15"/>
      <c r="C4993" s="14">
        <v>0</v>
      </c>
      <c r="D4993" s="16">
        <v>0</v>
      </c>
      <c r="F4993" s="3" t="str">
        <f t="shared" si="77"/>
        <v>COMERCIAL</v>
      </c>
    </row>
    <row r="4994" spans="1:6" x14ac:dyDescent="0.2">
      <c r="A4994" s="17" t="s">
        <v>14189</v>
      </c>
      <c r="B4994" s="18" t="s">
        <v>14190</v>
      </c>
      <c r="C4994" s="17" t="s">
        <v>5477</v>
      </c>
      <c r="D4994" s="19">
        <v>0</v>
      </c>
      <c r="F4994" s="3" t="str">
        <f t="shared" ref="F4994:F5057" si="78">A4994</f>
        <v>C3311</v>
      </c>
    </row>
    <row r="4995" spans="1:6" x14ac:dyDescent="0.2">
      <c r="A4995" s="17" t="s">
        <v>14191</v>
      </c>
      <c r="B4995" s="18" t="s">
        <v>14192</v>
      </c>
      <c r="C4995" s="17" t="s">
        <v>5477</v>
      </c>
      <c r="D4995" s="19">
        <v>0</v>
      </c>
      <c r="F4995" s="3" t="str">
        <f t="shared" si="78"/>
        <v>C3310</v>
      </c>
    </row>
    <row r="4996" spans="1:6" x14ac:dyDescent="0.2">
      <c r="A4996" s="14" t="s">
        <v>14193</v>
      </c>
      <c r="B4996" s="15"/>
      <c r="C4996" s="14">
        <v>0</v>
      </c>
      <c r="D4996" s="16">
        <v>0</v>
      </c>
      <c r="F4996" s="3" t="str">
        <f t="shared" si="78"/>
        <v>MATERIAL BETUMINOSO</v>
      </c>
    </row>
    <row r="4997" spans="1:6" x14ac:dyDescent="0.2">
      <c r="A4997" s="17" t="s">
        <v>14194</v>
      </c>
      <c r="B4997" s="18" t="s">
        <v>14195</v>
      </c>
      <c r="C4997" s="17" t="s">
        <v>5477</v>
      </c>
      <c r="D4997" s="19">
        <v>0</v>
      </c>
      <c r="F4997" s="3" t="str">
        <f t="shared" si="78"/>
        <v>I0001</v>
      </c>
    </row>
    <row r="4998" spans="1:6" x14ac:dyDescent="0.2">
      <c r="A4998" s="17" t="s">
        <v>14196</v>
      </c>
      <c r="B4998" s="18" t="s">
        <v>14197</v>
      </c>
      <c r="C4998" s="17" t="s">
        <v>5477</v>
      </c>
      <c r="D4998" s="19">
        <v>0</v>
      </c>
      <c r="F4998" s="3" t="str">
        <f t="shared" si="78"/>
        <v>I0002</v>
      </c>
    </row>
    <row r="4999" spans="1:6" x14ac:dyDescent="0.2">
      <c r="A4999" s="14" t="s">
        <v>14198</v>
      </c>
      <c r="B4999" s="15"/>
      <c r="C4999" s="14">
        <v>0</v>
      </c>
      <c r="D4999" s="16">
        <v>297114.19</v>
      </c>
      <c r="F4999" s="3" t="str">
        <f t="shared" si="78"/>
        <v>SINALIZAÇÃO DO SISTEMA VIÁRIO</v>
      </c>
    </row>
    <row r="5000" spans="1:6" x14ac:dyDescent="0.2">
      <c r="A5000" s="14" t="s">
        <v>14199</v>
      </c>
      <c r="B5000" s="15"/>
      <c r="C5000" s="14">
        <v>0</v>
      </c>
      <c r="D5000" s="16">
        <v>4700.1400000000003</v>
      </c>
      <c r="F5000" s="3" t="str">
        <f t="shared" si="78"/>
        <v>SINALIZAÇÃO HORIZONTAL</v>
      </c>
    </row>
    <row r="5001" spans="1:6" x14ac:dyDescent="0.2">
      <c r="A5001" s="17" t="s">
        <v>14200</v>
      </c>
      <c r="B5001" s="18" t="s">
        <v>14201</v>
      </c>
      <c r="C5001" s="17" t="s">
        <v>26</v>
      </c>
      <c r="D5001" s="19">
        <v>207.04</v>
      </c>
      <c r="F5001" s="3" t="str">
        <f t="shared" si="78"/>
        <v>C0354</v>
      </c>
    </row>
    <row r="5002" spans="1:6" x14ac:dyDescent="0.2">
      <c r="A5002" s="17" t="s">
        <v>14202</v>
      </c>
      <c r="B5002" s="18" t="s">
        <v>14203</v>
      </c>
      <c r="C5002" s="17" t="s">
        <v>255</v>
      </c>
      <c r="D5002" s="19">
        <v>16.04</v>
      </c>
      <c r="F5002" s="3" t="str">
        <f t="shared" si="78"/>
        <v>C3219</v>
      </c>
    </row>
    <row r="5003" spans="1:6" x14ac:dyDescent="0.2">
      <c r="A5003" s="17" t="s">
        <v>14204</v>
      </c>
      <c r="B5003" s="18" t="s">
        <v>14205</v>
      </c>
      <c r="C5003" s="17" t="s">
        <v>255</v>
      </c>
      <c r="D5003" s="19">
        <v>26.82</v>
      </c>
      <c r="F5003" s="3" t="str">
        <f t="shared" si="78"/>
        <v>C3220</v>
      </c>
    </row>
    <row r="5004" spans="1:6" x14ac:dyDescent="0.2">
      <c r="A5004" s="17" t="s">
        <v>14206</v>
      </c>
      <c r="B5004" s="18" t="s">
        <v>14207</v>
      </c>
      <c r="C5004" s="17" t="s">
        <v>26</v>
      </c>
      <c r="D5004" s="19">
        <v>141.18</v>
      </c>
      <c r="F5004" s="3" t="str">
        <f t="shared" si="78"/>
        <v>C3616</v>
      </c>
    </row>
    <row r="5005" spans="1:6" x14ac:dyDescent="0.2">
      <c r="A5005" s="17" t="s">
        <v>14208</v>
      </c>
      <c r="B5005" s="18" t="s">
        <v>14209</v>
      </c>
      <c r="C5005" s="17" t="s">
        <v>255</v>
      </c>
      <c r="D5005" s="19">
        <v>33.44</v>
      </c>
      <c r="F5005" s="3" t="str">
        <f t="shared" si="78"/>
        <v>C3236</v>
      </c>
    </row>
    <row r="5006" spans="1:6" x14ac:dyDescent="0.2">
      <c r="A5006" s="17" t="s">
        <v>14210</v>
      </c>
      <c r="B5006" s="18" t="s">
        <v>14211</v>
      </c>
      <c r="C5006" s="17" t="s">
        <v>255</v>
      </c>
      <c r="D5006" s="19">
        <v>21.51</v>
      </c>
      <c r="F5006" s="3" t="str">
        <f t="shared" si="78"/>
        <v>C3237</v>
      </c>
    </row>
    <row r="5007" spans="1:6" x14ac:dyDescent="0.2">
      <c r="A5007" s="17" t="s">
        <v>14212</v>
      </c>
      <c r="B5007" s="18" t="s">
        <v>14213</v>
      </c>
      <c r="C5007" s="17" t="s">
        <v>26</v>
      </c>
      <c r="D5007" s="19">
        <v>4033.95</v>
      </c>
      <c r="F5007" s="3" t="str">
        <f t="shared" si="78"/>
        <v>C3116</v>
      </c>
    </row>
    <row r="5008" spans="1:6" x14ac:dyDescent="0.2">
      <c r="A5008" s="17" t="s">
        <v>14214</v>
      </c>
      <c r="B5008" s="18" t="s">
        <v>14215</v>
      </c>
      <c r="C5008" s="17" t="s">
        <v>26</v>
      </c>
      <c r="D5008" s="19">
        <v>24.9</v>
      </c>
      <c r="F5008" s="3" t="str">
        <f t="shared" si="78"/>
        <v>C3117</v>
      </c>
    </row>
    <row r="5009" spans="1:6" x14ac:dyDescent="0.2">
      <c r="A5009" s="17" t="s">
        <v>14216</v>
      </c>
      <c r="B5009" s="18" t="s">
        <v>14217</v>
      </c>
      <c r="C5009" s="17" t="s">
        <v>26</v>
      </c>
      <c r="D5009" s="19">
        <v>26.7</v>
      </c>
      <c r="F5009" s="3" t="str">
        <f t="shared" si="78"/>
        <v>C4527</v>
      </c>
    </row>
    <row r="5010" spans="1:6" x14ac:dyDescent="0.2">
      <c r="A5010" s="17" t="s">
        <v>14218</v>
      </c>
      <c r="B5010" s="18" t="s">
        <v>14219</v>
      </c>
      <c r="C5010" s="17" t="s">
        <v>26</v>
      </c>
      <c r="D5010" s="19">
        <v>57.69</v>
      </c>
      <c r="F5010" s="3" t="str">
        <f t="shared" si="78"/>
        <v>C3118</v>
      </c>
    </row>
    <row r="5011" spans="1:6" x14ac:dyDescent="0.2">
      <c r="A5011" s="17" t="s">
        <v>14220</v>
      </c>
      <c r="B5011" s="18" t="s">
        <v>14221</v>
      </c>
      <c r="C5011" s="17" t="s">
        <v>26</v>
      </c>
      <c r="D5011" s="19">
        <v>61.46</v>
      </c>
      <c r="F5011" s="3" t="str">
        <f t="shared" si="78"/>
        <v>C4528</v>
      </c>
    </row>
    <row r="5012" spans="1:6" x14ac:dyDescent="0.2">
      <c r="A5012" s="17" t="s">
        <v>14222</v>
      </c>
      <c r="B5012" s="18" t="s">
        <v>14223</v>
      </c>
      <c r="C5012" s="17" t="s">
        <v>26</v>
      </c>
      <c r="D5012" s="19">
        <v>49.41</v>
      </c>
      <c r="F5012" s="3" t="str">
        <f t="shared" si="78"/>
        <v>C3119</v>
      </c>
    </row>
    <row r="5013" spans="1:6" x14ac:dyDescent="0.2">
      <c r="A5013" s="14" t="s">
        <v>14224</v>
      </c>
      <c r="B5013" s="15"/>
      <c r="C5013" s="14">
        <v>0</v>
      </c>
      <c r="D5013" s="16">
        <v>44652.43</v>
      </c>
      <c r="F5013" s="3" t="str">
        <f t="shared" si="78"/>
        <v>SINALIZAÇÃO VERTICAL</v>
      </c>
    </row>
    <row r="5014" spans="1:6" x14ac:dyDescent="0.2">
      <c r="A5014" s="17" t="s">
        <v>14225</v>
      </c>
      <c r="B5014" s="18" t="s">
        <v>14226</v>
      </c>
      <c r="C5014" s="17" t="s">
        <v>0</v>
      </c>
      <c r="D5014" s="19">
        <v>523.11</v>
      </c>
      <c r="F5014" s="3" t="str">
        <f t="shared" si="78"/>
        <v>C3158</v>
      </c>
    </row>
    <row r="5015" spans="1:6" x14ac:dyDescent="0.2">
      <c r="A5015" s="17" t="s">
        <v>14227</v>
      </c>
      <c r="B5015" s="18" t="s">
        <v>14228</v>
      </c>
      <c r="C5015" s="17" t="s">
        <v>26</v>
      </c>
      <c r="D5015" s="19">
        <v>97.55</v>
      </c>
      <c r="F5015" s="3" t="str">
        <f t="shared" si="78"/>
        <v>C3321</v>
      </c>
    </row>
    <row r="5016" spans="1:6" x14ac:dyDescent="0.2">
      <c r="A5016" s="17" t="s">
        <v>14229</v>
      </c>
      <c r="B5016" s="18" t="s">
        <v>14230</v>
      </c>
      <c r="C5016" s="17" t="s">
        <v>255</v>
      </c>
      <c r="D5016" s="19">
        <v>761.3</v>
      </c>
      <c r="F5016" s="3" t="str">
        <f t="shared" si="78"/>
        <v>C3370</v>
      </c>
    </row>
    <row r="5017" spans="1:6" x14ac:dyDescent="0.2">
      <c r="A5017" s="17" t="s">
        <v>14231</v>
      </c>
      <c r="B5017" s="18" t="s">
        <v>14232</v>
      </c>
      <c r="C5017" s="17" t="s">
        <v>255</v>
      </c>
      <c r="D5017" s="19">
        <v>855.01</v>
      </c>
      <c r="F5017" s="3" t="str">
        <f t="shared" si="78"/>
        <v>C3286</v>
      </c>
    </row>
    <row r="5018" spans="1:6" x14ac:dyDescent="0.2">
      <c r="A5018" s="17">
        <v>0</v>
      </c>
      <c r="B5018" s="18"/>
      <c r="C5018" s="17">
        <v>0</v>
      </c>
      <c r="D5018" s="19">
        <v>0</v>
      </c>
      <c r="F5018" s="3">
        <f t="shared" si="78"/>
        <v>0</v>
      </c>
    </row>
    <row r="5019" spans="1:6" x14ac:dyDescent="0.2">
      <c r="A5019" s="17" t="s">
        <v>14233</v>
      </c>
      <c r="B5019" s="18" t="s">
        <v>14234</v>
      </c>
      <c r="C5019" s="17" t="s">
        <v>255</v>
      </c>
      <c r="D5019" s="19">
        <v>903.8</v>
      </c>
      <c r="F5019" s="3" t="str">
        <f t="shared" si="78"/>
        <v>C3371</v>
      </c>
    </row>
    <row r="5020" spans="1:6" x14ac:dyDescent="0.2">
      <c r="A5020" s="17" t="s">
        <v>14235</v>
      </c>
      <c r="B5020" s="18" t="s">
        <v>14236</v>
      </c>
      <c r="C5020" s="17" t="s">
        <v>255</v>
      </c>
      <c r="D5020" s="19">
        <v>1020.63</v>
      </c>
      <c r="F5020" s="3" t="str">
        <f t="shared" si="78"/>
        <v>C3285</v>
      </c>
    </row>
    <row r="5021" spans="1:6" x14ac:dyDescent="0.2">
      <c r="A5021" s="17" t="s">
        <v>14237</v>
      </c>
      <c r="B5021" s="18" t="s">
        <v>14238</v>
      </c>
      <c r="C5021" s="17" t="s">
        <v>255</v>
      </c>
      <c r="D5021" s="19">
        <v>1330.8</v>
      </c>
      <c r="F5021" s="3" t="str">
        <f t="shared" si="78"/>
        <v>C3372</v>
      </c>
    </row>
    <row r="5022" spans="1:6" x14ac:dyDescent="0.2">
      <c r="A5022" s="17" t="s">
        <v>14239</v>
      </c>
      <c r="B5022" s="18" t="s">
        <v>14240</v>
      </c>
      <c r="C5022" s="17" t="s">
        <v>255</v>
      </c>
      <c r="D5022" s="19">
        <v>1377.76</v>
      </c>
      <c r="F5022" s="3" t="str">
        <f t="shared" si="78"/>
        <v>C3287</v>
      </c>
    </row>
    <row r="5023" spans="1:6" x14ac:dyDescent="0.2">
      <c r="A5023" s="17">
        <v>0</v>
      </c>
      <c r="B5023" s="18"/>
      <c r="C5023" s="17">
        <v>0</v>
      </c>
      <c r="D5023" s="19">
        <v>0</v>
      </c>
      <c r="F5023" s="3">
        <f t="shared" si="78"/>
        <v>0</v>
      </c>
    </row>
    <row r="5024" spans="1:6" x14ac:dyDescent="0.2">
      <c r="A5024" s="17" t="s">
        <v>14241</v>
      </c>
      <c r="B5024" s="18" t="s">
        <v>14242</v>
      </c>
      <c r="C5024" s="17" t="s">
        <v>255</v>
      </c>
      <c r="D5024" s="19">
        <v>682.98</v>
      </c>
      <c r="F5024" s="3" t="str">
        <f t="shared" si="78"/>
        <v>C3362</v>
      </c>
    </row>
    <row r="5025" spans="1:6" x14ac:dyDescent="0.2">
      <c r="A5025" s="17" t="s">
        <v>14243</v>
      </c>
      <c r="B5025" s="18" t="s">
        <v>14244</v>
      </c>
      <c r="C5025" s="17" t="s">
        <v>255</v>
      </c>
      <c r="D5025" s="19">
        <v>776.69</v>
      </c>
      <c r="F5025" s="3" t="str">
        <f t="shared" si="78"/>
        <v>C3291</v>
      </c>
    </row>
    <row r="5026" spans="1:6" x14ac:dyDescent="0.2">
      <c r="A5026" s="17" t="s">
        <v>14245</v>
      </c>
      <c r="B5026" s="18" t="s">
        <v>14246</v>
      </c>
      <c r="C5026" s="17" t="s">
        <v>255</v>
      </c>
      <c r="D5026" s="19">
        <v>825.48</v>
      </c>
      <c r="F5026" s="3" t="str">
        <f t="shared" si="78"/>
        <v>C3363</v>
      </c>
    </row>
    <row r="5027" spans="1:6" x14ac:dyDescent="0.2">
      <c r="A5027" s="17" t="s">
        <v>14247</v>
      </c>
      <c r="B5027" s="18" t="s">
        <v>14248</v>
      </c>
      <c r="C5027" s="17" t="s">
        <v>255</v>
      </c>
      <c r="D5027" s="19">
        <v>942.31</v>
      </c>
      <c r="F5027" s="3" t="str">
        <f t="shared" si="78"/>
        <v>C3290</v>
      </c>
    </row>
    <row r="5028" spans="1:6" x14ac:dyDescent="0.2">
      <c r="A5028" s="17" t="s">
        <v>14249</v>
      </c>
      <c r="B5028" s="18" t="s">
        <v>14250</v>
      </c>
      <c r="C5028" s="17" t="s">
        <v>255</v>
      </c>
      <c r="D5028" s="19">
        <v>1253.93</v>
      </c>
      <c r="F5028" s="3" t="str">
        <f t="shared" si="78"/>
        <v>C3374</v>
      </c>
    </row>
    <row r="5029" spans="1:6" x14ac:dyDescent="0.2">
      <c r="A5029" s="17" t="s">
        <v>14251</v>
      </c>
      <c r="B5029" s="18" t="s">
        <v>14252</v>
      </c>
      <c r="C5029" s="17" t="s">
        <v>255</v>
      </c>
      <c r="D5029" s="19">
        <v>1299.44</v>
      </c>
      <c r="F5029" s="3" t="str">
        <f t="shared" si="78"/>
        <v>C3292</v>
      </c>
    </row>
    <row r="5030" spans="1:6" x14ac:dyDescent="0.2">
      <c r="A5030" s="17" t="s">
        <v>14253</v>
      </c>
      <c r="B5030" s="18" t="s">
        <v>14254</v>
      </c>
      <c r="C5030" s="17" t="s">
        <v>255</v>
      </c>
      <c r="D5030" s="19">
        <v>529.16</v>
      </c>
      <c r="F5030" s="3" t="str">
        <f t="shared" si="78"/>
        <v>C3364</v>
      </c>
    </row>
    <row r="5031" spans="1:6" x14ac:dyDescent="0.2">
      <c r="A5031" s="17" t="s">
        <v>14255</v>
      </c>
      <c r="B5031" s="18" t="s">
        <v>14256</v>
      </c>
      <c r="C5031" s="17" t="s">
        <v>255</v>
      </c>
      <c r="D5031" s="19">
        <v>576.25</v>
      </c>
      <c r="F5031" s="3" t="str">
        <f t="shared" si="78"/>
        <v>C3294</v>
      </c>
    </row>
    <row r="5032" spans="1:6" x14ac:dyDescent="0.2">
      <c r="A5032" s="17" t="s">
        <v>14257</v>
      </c>
      <c r="B5032" s="18" t="s">
        <v>14258</v>
      </c>
      <c r="C5032" s="17" t="s">
        <v>255</v>
      </c>
      <c r="D5032" s="19">
        <v>777.41</v>
      </c>
      <c r="F5032" s="3" t="str">
        <f t="shared" si="78"/>
        <v>C3365</v>
      </c>
    </row>
    <row r="5033" spans="1:6" x14ac:dyDescent="0.2">
      <c r="A5033" s="17" t="s">
        <v>14259</v>
      </c>
      <c r="B5033" s="18" t="s">
        <v>14260</v>
      </c>
      <c r="C5033" s="17" t="s">
        <v>255</v>
      </c>
      <c r="D5033" s="19">
        <v>828.97</v>
      </c>
      <c r="F5033" s="3" t="str">
        <f t="shared" si="78"/>
        <v>C3293</v>
      </c>
    </row>
    <row r="5034" spans="1:6" x14ac:dyDescent="0.2">
      <c r="A5034" s="17" t="s">
        <v>14261</v>
      </c>
      <c r="B5034" s="18" t="s">
        <v>14262</v>
      </c>
      <c r="C5034" s="17" t="s">
        <v>255</v>
      </c>
      <c r="D5034" s="19">
        <v>1103.5899999999999</v>
      </c>
      <c r="F5034" s="3" t="str">
        <f t="shared" si="78"/>
        <v>C3366</v>
      </c>
    </row>
    <row r="5035" spans="1:6" x14ac:dyDescent="0.2">
      <c r="A5035" s="17" t="s">
        <v>14263</v>
      </c>
      <c r="B5035" s="18" t="s">
        <v>14264</v>
      </c>
      <c r="C5035" s="17" t="s">
        <v>255</v>
      </c>
      <c r="D5035" s="19">
        <v>1150.5999999999999</v>
      </c>
      <c r="F5035" s="3" t="str">
        <f t="shared" si="78"/>
        <v>C3295</v>
      </c>
    </row>
    <row r="5036" spans="1:6" x14ac:dyDescent="0.2">
      <c r="A5036" s="17">
        <v>0</v>
      </c>
      <c r="B5036" s="18"/>
      <c r="C5036" s="17">
        <v>0</v>
      </c>
      <c r="D5036" s="19">
        <v>0</v>
      </c>
      <c r="F5036" s="3">
        <f t="shared" si="78"/>
        <v>0</v>
      </c>
    </row>
    <row r="5037" spans="1:6" x14ac:dyDescent="0.2">
      <c r="A5037" s="17" t="s">
        <v>14265</v>
      </c>
      <c r="B5037" s="18" t="s">
        <v>14266</v>
      </c>
      <c r="C5037" s="17" t="s">
        <v>255</v>
      </c>
      <c r="D5037" s="19">
        <v>761.14</v>
      </c>
      <c r="F5037" s="3" t="str">
        <f t="shared" si="78"/>
        <v>C3353</v>
      </c>
    </row>
    <row r="5038" spans="1:6" ht="22.5" x14ac:dyDescent="0.2">
      <c r="A5038" s="17" t="s">
        <v>14267</v>
      </c>
      <c r="B5038" s="18" t="s">
        <v>14268</v>
      </c>
      <c r="C5038" s="17" t="s">
        <v>255</v>
      </c>
      <c r="D5038" s="19">
        <v>854.85</v>
      </c>
      <c r="F5038" s="3" t="str">
        <f t="shared" si="78"/>
        <v>C3297</v>
      </c>
    </row>
    <row r="5039" spans="1:6" x14ac:dyDescent="0.2">
      <c r="A5039" s="17">
        <v>0</v>
      </c>
      <c r="B5039" s="18"/>
      <c r="C5039" s="17">
        <v>0</v>
      </c>
      <c r="D5039" s="19">
        <v>0</v>
      </c>
      <c r="F5039" s="3">
        <f t="shared" si="78"/>
        <v>0</v>
      </c>
    </row>
    <row r="5040" spans="1:6" x14ac:dyDescent="0.2">
      <c r="A5040" s="17" t="s">
        <v>14269</v>
      </c>
      <c r="B5040" s="18" t="s">
        <v>14270</v>
      </c>
      <c r="C5040" s="17" t="s">
        <v>255</v>
      </c>
      <c r="D5040" s="19">
        <v>903.64</v>
      </c>
      <c r="F5040" s="3" t="str">
        <f t="shared" si="78"/>
        <v>C3354</v>
      </c>
    </row>
    <row r="5041" spans="1:6" x14ac:dyDescent="0.2">
      <c r="A5041" s="17" t="s">
        <v>14271</v>
      </c>
      <c r="B5041" s="18" t="s">
        <v>14272</v>
      </c>
      <c r="C5041" s="17" t="s">
        <v>255</v>
      </c>
      <c r="D5041" s="19">
        <v>1020.47</v>
      </c>
      <c r="F5041" s="3" t="str">
        <f t="shared" si="78"/>
        <v>C3296</v>
      </c>
    </row>
    <row r="5042" spans="1:6" x14ac:dyDescent="0.2">
      <c r="A5042" s="17">
        <v>0</v>
      </c>
      <c r="B5042" s="18"/>
      <c r="C5042" s="17">
        <v>0</v>
      </c>
      <c r="D5042" s="19">
        <v>0</v>
      </c>
      <c r="F5042" s="3">
        <f t="shared" si="78"/>
        <v>0</v>
      </c>
    </row>
    <row r="5043" spans="1:6" x14ac:dyDescent="0.2">
      <c r="A5043" s="17" t="s">
        <v>14273</v>
      </c>
      <c r="B5043" s="18" t="s">
        <v>14274</v>
      </c>
      <c r="C5043" s="17" t="s">
        <v>255</v>
      </c>
      <c r="D5043" s="19">
        <v>1330.64</v>
      </c>
      <c r="F5043" s="3" t="str">
        <f t="shared" si="78"/>
        <v>C3355</v>
      </c>
    </row>
    <row r="5044" spans="1:6" x14ac:dyDescent="0.2">
      <c r="A5044" s="17">
        <v>0</v>
      </c>
      <c r="B5044" s="18"/>
      <c r="C5044" s="17">
        <v>0</v>
      </c>
      <c r="D5044" s="19">
        <v>0</v>
      </c>
      <c r="F5044" s="3">
        <f t="shared" si="78"/>
        <v>0</v>
      </c>
    </row>
    <row r="5045" spans="1:6" ht="22.5" x14ac:dyDescent="0.2">
      <c r="A5045" s="17" t="s">
        <v>14275</v>
      </c>
      <c r="B5045" s="18" t="s">
        <v>14276</v>
      </c>
      <c r="C5045" s="17" t="s">
        <v>255</v>
      </c>
      <c r="D5045" s="19">
        <v>1377.6</v>
      </c>
      <c r="F5045" s="3" t="str">
        <f t="shared" si="78"/>
        <v>C3298</v>
      </c>
    </row>
    <row r="5046" spans="1:6" x14ac:dyDescent="0.2">
      <c r="A5046" s="17">
        <v>0</v>
      </c>
      <c r="B5046" s="18"/>
      <c r="C5046" s="17">
        <v>0</v>
      </c>
      <c r="D5046" s="19">
        <v>0</v>
      </c>
      <c r="F5046" s="3">
        <f t="shared" si="78"/>
        <v>0</v>
      </c>
    </row>
    <row r="5047" spans="1:6" x14ac:dyDescent="0.2">
      <c r="A5047" s="17" t="s">
        <v>14277</v>
      </c>
      <c r="B5047" s="18" t="s">
        <v>14278</v>
      </c>
      <c r="C5047" s="17" t="s">
        <v>255</v>
      </c>
      <c r="D5047" s="19">
        <v>760.15</v>
      </c>
      <c r="F5047" s="3" t="str">
        <f t="shared" si="78"/>
        <v>C3367</v>
      </c>
    </row>
    <row r="5048" spans="1:6" x14ac:dyDescent="0.2">
      <c r="A5048" s="17" t="s">
        <v>14279</v>
      </c>
      <c r="B5048" s="18" t="s">
        <v>14280</v>
      </c>
      <c r="C5048" s="17" t="s">
        <v>255</v>
      </c>
      <c r="D5048" s="19">
        <v>853.86</v>
      </c>
      <c r="F5048" s="3" t="str">
        <f t="shared" si="78"/>
        <v>C3299</v>
      </c>
    </row>
    <row r="5049" spans="1:6" x14ac:dyDescent="0.2">
      <c r="A5049" s="17" t="s">
        <v>14281</v>
      </c>
      <c r="B5049" s="18" t="s">
        <v>14282</v>
      </c>
      <c r="C5049" s="17" t="s">
        <v>255</v>
      </c>
      <c r="D5049" s="19">
        <v>902.65</v>
      </c>
      <c r="F5049" s="3" t="str">
        <f t="shared" si="78"/>
        <v>C3368</v>
      </c>
    </row>
    <row r="5050" spans="1:6" x14ac:dyDescent="0.2">
      <c r="A5050" s="17" t="s">
        <v>14283</v>
      </c>
      <c r="B5050" s="18" t="s">
        <v>14284</v>
      </c>
      <c r="C5050" s="17" t="s">
        <v>255</v>
      </c>
      <c r="D5050" s="19">
        <v>1019.48</v>
      </c>
      <c r="F5050" s="3" t="str">
        <f t="shared" si="78"/>
        <v>C3300</v>
      </c>
    </row>
    <row r="5051" spans="1:6" x14ac:dyDescent="0.2">
      <c r="A5051" s="17">
        <v>0</v>
      </c>
      <c r="B5051" s="18"/>
      <c r="C5051" s="17">
        <v>0</v>
      </c>
      <c r="D5051" s="19">
        <v>0</v>
      </c>
      <c r="F5051" s="3">
        <f t="shared" si="78"/>
        <v>0</v>
      </c>
    </row>
    <row r="5052" spans="1:6" x14ac:dyDescent="0.2">
      <c r="A5052" s="17" t="s">
        <v>14285</v>
      </c>
      <c r="B5052" s="18" t="s">
        <v>14286</v>
      </c>
      <c r="C5052" s="17" t="s">
        <v>255</v>
      </c>
      <c r="D5052" s="19">
        <v>1329.65</v>
      </c>
      <c r="F5052" s="3" t="str">
        <f t="shared" si="78"/>
        <v>C3369</v>
      </c>
    </row>
    <row r="5053" spans="1:6" ht="22.5" x14ac:dyDescent="0.2">
      <c r="A5053" s="17" t="s">
        <v>14287</v>
      </c>
      <c r="B5053" s="18" t="s">
        <v>14288</v>
      </c>
      <c r="C5053" s="17" t="s">
        <v>255</v>
      </c>
      <c r="D5053" s="19">
        <v>1376.61</v>
      </c>
      <c r="F5053" s="3" t="str">
        <f t="shared" si="78"/>
        <v>C3301</v>
      </c>
    </row>
    <row r="5054" spans="1:6" x14ac:dyDescent="0.2">
      <c r="A5054" s="17">
        <v>0</v>
      </c>
      <c r="B5054" s="18"/>
      <c r="C5054" s="17">
        <v>0</v>
      </c>
      <c r="D5054" s="19">
        <v>0</v>
      </c>
      <c r="F5054" s="3">
        <f t="shared" si="78"/>
        <v>0</v>
      </c>
    </row>
    <row r="5055" spans="1:6" x14ac:dyDescent="0.2">
      <c r="A5055" s="17" t="s">
        <v>14289</v>
      </c>
      <c r="B5055" s="18" t="s">
        <v>14290</v>
      </c>
      <c r="C5055" s="17" t="s">
        <v>255</v>
      </c>
      <c r="D5055" s="19">
        <v>388.27</v>
      </c>
      <c r="F5055" s="3" t="str">
        <f t="shared" si="78"/>
        <v>C4550</v>
      </c>
    </row>
    <row r="5056" spans="1:6" x14ac:dyDescent="0.2">
      <c r="A5056" s="17" t="s">
        <v>14291</v>
      </c>
      <c r="B5056" s="18" t="s">
        <v>14292</v>
      </c>
      <c r="C5056" s="17" t="s">
        <v>255</v>
      </c>
      <c r="D5056" s="19">
        <v>334.73</v>
      </c>
      <c r="F5056" s="3" t="str">
        <f t="shared" si="78"/>
        <v>C4551</v>
      </c>
    </row>
    <row r="5057" spans="1:6" x14ac:dyDescent="0.2">
      <c r="A5057" s="17">
        <v>0</v>
      </c>
      <c r="B5057" s="18"/>
      <c r="C5057" s="17">
        <v>0</v>
      </c>
      <c r="D5057" s="19">
        <v>0</v>
      </c>
      <c r="F5057" s="3">
        <f t="shared" si="78"/>
        <v>0</v>
      </c>
    </row>
    <row r="5058" spans="1:6" ht="22.5" x14ac:dyDescent="0.2">
      <c r="A5058" s="17" t="s">
        <v>14293</v>
      </c>
      <c r="B5058" s="18" t="s">
        <v>14294</v>
      </c>
      <c r="C5058" s="17" t="s">
        <v>255</v>
      </c>
      <c r="D5058" s="19">
        <v>849</v>
      </c>
      <c r="F5058" s="3" t="str">
        <f t="shared" ref="F5058:F5121" si="79">A5058</f>
        <v>C3629</v>
      </c>
    </row>
    <row r="5059" spans="1:6" x14ac:dyDescent="0.2">
      <c r="A5059" s="17">
        <v>0</v>
      </c>
      <c r="B5059" s="18"/>
      <c r="C5059" s="17">
        <v>0</v>
      </c>
      <c r="D5059" s="19">
        <v>0</v>
      </c>
      <c r="F5059" s="3">
        <f t="shared" si="79"/>
        <v>0</v>
      </c>
    </row>
    <row r="5060" spans="1:6" x14ac:dyDescent="0.2">
      <c r="A5060" s="17" t="s">
        <v>14295</v>
      </c>
      <c r="B5060" s="18" t="s">
        <v>14296</v>
      </c>
      <c r="C5060" s="17" t="s">
        <v>255</v>
      </c>
      <c r="D5060" s="19">
        <v>868.61</v>
      </c>
      <c r="F5060" s="3" t="str">
        <f t="shared" si="79"/>
        <v>C3356</v>
      </c>
    </row>
    <row r="5061" spans="1:6" ht="22.5" x14ac:dyDescent="0.2">
      <c r="A5061" s="17" t="s">
        <v>14297</v>
      </c>
      <c r="B5061" s="18" t="s">
        <v>14298</v>
      </c>
      <c r="C5061" s="17" t="s">
        <v>255</v>
      </c>
      <c r="D5061" s="19">
        <v>962.32</v>
      </c>
      <c r="F5061" s="3" t="str">
        <f t="shared" si="79"/>
        <v>C3303</v>
      </c>
    </row>
    <row r="5062" spans="1:6" x14ac:dyDescent="0.2">
      <c r="A5062" s="17">
        <v>0</v>
      </c>
      <c r="B5062" s="18"/>
      <c r="C5062" s="17">
        <v>0</v>
      </c>
      <c r="D5062" s="19">
        <v>0</v>
      </c>
      <c r="F5062" s="3">
        <f t="shared" si="79"/>
        <v>0</v>
      </c>
    </row>
    <row r="5063" spans="1:6" x14ac:dyDescent="0.2">
      <c r="A5063" s="17" t="s">
        <v>14299</v>
      </c>
      <c r="B5063" s="18" t="s">
        <v>14300</v>
      </c>
      <c r="C5063" s="17" t="s">
        <v>255</v>
      </c>
      <c r="D5063" s="19">
        <v>1011.11</v>
      </c>
      <c r="F5063" s="3" t="str">
        <f t="shared" si="79"/>
        <v>C3357</v>
      </c>
    </row>
    <row r="5064" spans="1:6" x14ac:dyDescent="0.2">
      <c r="A5064" s="17" t="s">
        <v>14301</v>
      </c>
      <c r="B5064" s="18" t="s">
        <v>14302</v>
      </c>
      <c r="C5064" s="17" t="s">
        <v>255</v>
      </c>
      <c r="D5064" s="19">
        <v>1127.94</v>
      </c>
      <c r="F5064" s="3" t="str">
        <f t="shared" si="79"/>
        <v>C3302</v>
      </c>
    </row>
    <row r="5065" spans="1:6" x14ac:dyDescent="0.2">
      <c r="A5065" s="17">
        <v>0</v>
      </c>
      <c r="B5065" s="18"/>
      <c r="C5065" s="17">
        <v>0</v>
      </c>
      <c r="D5065" s="19">
        <v>0</v>
      </c>
      <c r="F5065" s="3">
        <f t="shared" si="79"/>
        <v>0</v>
      </c>
    </row>
    <row r="5066" spans="1:6" x14ac:dyDescent="0.2">
      <c r="A5066" s="17" t="s">
        <v>14303</v>
      </c>
      <c r="B5066" s="18" t="s">
        <v>14304</v>
      </c>
      <c r="C5066" s="17" t="s">
        <v>255</v>
      </c>
      <c r="D5066" s="19">
        <v>1438.11</v>
      </c>
      <c r="F5066" s="3" t="str">
        <f t="shared" si="79"/>
        <v>C3358</v>
      </c>
    </row>
    <row r="5067" spans="1:6" x14ac:dyDescent="0.2">
      <c r="A5067" s="17">
        <v>0</v>
      </c>
      <c r="B5067" s="18"/>
      <c r="C5067" s="17">
        <v>0</v>
      </c>
      <c r="D5067" s="19">
        <v>0</v>
      </c>
      <c r="F5067" s="3">
        <f t="shared" si="79"/>
        <v>0</v>
      </c>
    </row>
    <row r="5068" spans="1:6" ht="22.5" x14ac:dyDescent="0.2">
      <c r="A5068" s="17" t="s">
        <v>14305</v>
      </c>
      <c r="B5068" s="18" t="s">
        <v>14306</v>
      </c>
      <c r="C5068" s="17" t="s">
        <v>255</v>
      </c>
      <c r="D5068" s="19">
        <v>1485.07</v>
      </c>
      <c r="F5068" s="3" t="str">
        <f t="shared" si="79"/>
        <v>C3304</v>
      </c>
    </row>
    <row r="5069" spans="1:6" x14ac:dyDescent="0.2">
      <c r="A5069" s="17">
        <v>0</v>
      </c>
      <c r="B5069" s="18"/>
      <c r="C5069" s="17">
        <v>0</v>
      </c>
      <c r="D5069" s="19">
        <v>0</v>
      </c>
      <c r="F5069" s="3">
        <f t="shared" si="79"/>
        <v>0</v>
      </c>
    </row>
    <row r="5070" spans="1:6" x14ac:dyDescent="0.2">
      <c r="A5070" s="17" t="s">
        <v>14307</v>
      </c>
      <c r="B5070" s="18" t="s">
        <v>14308</v>
      </c>
      <c r="C5070" s="17" t="s">
        <v>255</v>
      </c>
      <c r="D5070" s="19">
        <v>714.79</v>
      </c>
      <c r="F5070" s="3" t="str">
        <f t="shared" si="79"/>
        <v>C3359</v>
      </c>
    </row>
    <row r="5071" spans="1:6" ht="22.5" x14ac:dyDescent="0.2">
      <c r="A5071" s="17" t="s">
        <v>14309</v>
      </c>
      <c r="B5071" s="18" t="s">
        <v>14310</v>
      </c>
      <c r="C5071" s="17" t="s">
        <v>255</v>
      </c>
      <c r="D5071" s="19">
        <v>761.88</v>
      </c>
      <c r="F5071" s="3" t="str">
        <f t="shared" si="79"/>
        <v>C3307</v>
      </c>
    </row>
    <row r="5072" spans="1:6" x14ac:dyDescent="0.2">
      <c r="A5072" s="17">
        <v>0</v>
      </c>
      <c r="B5072" s="18"/>
      <c r="C5072" s="17">
        <v>0</v>
      </c>
      <c r="D5072" s="19">
        <v>0</v>
      </c>
      <c r="F5072" s="3">
        <f t="shared" si="79"/>
        <v>0</v>
      </c>
    </row>
    <row r="5073" spans="1:6" x14ac:dyDescent="0.2">
      <c r="A5073" s="17" t="s">
        <v>14311</v>
      </c>
      <c r="B5073" s="18" t="s">
        <v>14312</v>
      </c>
      <c r="C5073" s="17" t="s">
        <v>255</v>
      </c>
      <c r="D5073" s="19">
        <v>963.04</v>
      </c>
      <c r="F5073" s="3" t="str">
        <f t="shared" si="79"/>
        <v>C3360</v>
      </c>
    </row>
    <row r="5074" spans="1:6" x14ac:dyDescent="0.2">
      <c r="A5074" s="17" t="s">
        <v>14313</v>
      </c>
      <c r="B5074" s="18" t="s">
        <v>14314</v>
      </c>
      <c r="C5074" s="17" t="s">
        <v>255</v>
      </c>
      <c r="D5074" s="19">
        <v>1014.6</v>
      </c>
      <c r="F5074" s="3" t="str">
        <f t="shared" si="79"/>
        <v>C3306</v>
      </c>
    </row>
    <row r="5075" spans="1:6" x14ac:dyDescent="0.2">
      <c r="A5075" s="17">
        <v>0</v>
      </c>
      <c r="B5075" s="18"/>
      <c r="C5075" s="17">
        <v>0</v>
      </c>
      <c r="D5075" s="19">
        <v>0</v>
      </c>
      <c r="F5075" s="3">
        <f t="shared" si="79"/>
        <v>0</v>
      </c>
    </row>
    <row r="5076" spans="1:6" x14ac:dyDescent="0.2">
      <c r="A5076" s="17" t="s">
        <v>14315</v>
      </c>
      <c r="B5076" s="18" t="s">
        <v>14316</v>
      </c>
      <c r="C5076" s="17" t="s">
        <v>255</v>
      </c>
      <c r="D5076" s="19">
        <v>1289.22</v>
      </c>
      <c r="F5076" s="3" t="str">
        <f t="shared" si="79"/>
        <v>C3361</v>
      </c>
    </row>
    <row r="5077" spans="1:6" x14ac:dyDescent="0.2">
      <c r="A5077" s="17">
        <v>0</v>
      </c>
      <c r="B5077" s="18"/>
      <c r="C5077" s="17">
        <v>0</v>
      </c>
      <c r="D5077" s="19">
        <v>0</v>
      </c>
      <c r="F5077" s="3">
        <f t="shared" si="79"/>
        <v>0</v>
      </c>
    </row>
    <row r="5078" spans="1:6" ht="22.5" x14ac:dyDescent="0.2">
      <c r="A5078" s="17" t="s">
        <v>14317</v>
      </c>
      <c r="B5078" s="18" t="s">
        <v>14318</v>
      </c>
      <c r="C5078" s="17" t="s">
        <v>255</v>
      </c>
      <c r="D5078" s="19">
        <v>1336.23</v>
      </c>
      <c r="F5078" s="3" t="str">
        <f t="shared" si="79"/>
        <v>C3305</v>
      </c>
    </row>
    <row r="5079" spans="1:6" x14ac:dyDescent="0.2">
      <c r="A5079" s="17">
        <v>0</v>
      </c>
      <c r="B5079" s="18"/>
      <c r="C5079" s="17">
        <v>0</v>
      </c>
      <c r="D5079" s="19">
        <v>0</v>
      </c>
      <c r="F5079" s="3">
        <f t="shared" si="79"/>
        <v>0</v>
      </c>
    </row>
    <row r="5080" spans="1:6" x14ac:dyDescent="0.2">
      <c r="A5080" s="14" t="s">
        <v>14319</v>
      </c>
      <c r="B5080" s="15"/>
      <c r="C5080" s="14">
        <v>0</v>
      </c>
      <c r="D5080" s="16">
        <v>247761.62</v>
      </c>
      <c r="F5080" s="3" t="str">
        <f t="shared" si="79"/>
        <v>PÓRTICOS E SEMI-PÓRTICOS METÁLICOS</v>
      </c>
    </row>
    <row r="5081" spans="1:6" ht="22.5" x14ac:dyDescent="0.2">
      <c r="A5081" s="17" t="s">
        <v>14320</v>
      </c>
      <c r="B5081" s="18" t="s">
        <v>14321</v>
      </c>
      <c r="C5081" s="17" t="s">
        <v>26</v>
      </c>
      <c r="D5081" s="19">
        <v>56334.22</v>
      </c>
      <c r="F5081" s="3" t="str">
        <f t="shared" si="79"/>
        <v>C5002</v>
      </c>
    </row>
    <row r="5082" spans="1:6" x14ac:dyDescent="0.2">
      <c r="A5082" s="17">
        <v>0</v>
      </c>
      <c r="B5082" s="18"/>
      <c r="C5082" s="17">
        <v>0</v>
      </c>
      <c r="D5082" s="19">
        <v>0</v>
      </c>
      <c r="F5082" s="3">
        <f t="shared" si="79"/>
        <v>0</v>
      </c>
    </row>
    <row r="5083" spans="1:6" ht="22.5" x14ac:dyDescent="0.2">
      <c r="A5083" s="17" t="s">
        <v>14322</v>
      </c>
      <c r="B5083" s="18" t="s">
        <v>14323</v>
      </c>
      <c r="C5083" s="17" t="s">
        <v>26</v>
      </c>
      <c r="D5083" s="19">
        <v>79019.22</v>
      </c>
      <c r="F5083" s="3" t="str">
        <f t="shared" si="79"/>
        <v>C5003</v>
      </c>
    </row>
    <row r="5084" spans="1:6" x14ac:dyDescent="0.2">
      <c r="A5084" s="17">
        <v>0</v>
      </c>
      <c r="B5084" s="18"/>
      <c r="C5084" s="17">
        <v>0</v>
      </c>
      <c r="D5084" s="19">
        <v>0</v>
      </c>
      <c r="F5084" s="3">
        <f t="shared" si="79"/>
        <v>0</v>
      </c>
    </row>
    <row r="5085" spans="1:6" ht="22.5" x14ac:dyDescent="0.2">
      <c r="A5085" s="17" t="s">
        <v>14324</v>
      </c>
      <c r="B5085" s="18" t="s">
        <v>14325</v>
      </c>
      <c r="C5085" s="17" t="s">
        <v>26</v>
      </c>
      <c r="D5085" s="19">
        <v>24485.15</v>
      </c>
      <c r="F5085" s="3" t="str">
        <f t="shared" si="79"/>
        <v>C5004</v>
      </c>
    </row>
    <row r="5086" spans="1:6" x14ac:dyDescent="0.2">
      <c r="A5086" s="17">
        <v>0</v>
      </c>
      <c r="B5086" s="18"/>
      <c r="C5086" s="17">
        <v>0</v>
      </c>
      <c r="D5086" s="19">
        <v>0</v>
      </c>
      <c r="F5086" s="3">
        <f t="shared" si="79"/>
        <v>0</v>
      </c>
    </row>
    <row r="5087" spans="1:6" ht="22.5" x14ac:dyDescent="0.2">
      <c r="A5087" s="17" t="s">
        <v>14326</v>
      </c>
      <c r="B5087" s="18" t="s">
        <v>14327</v>
      </c>
      <c r="C5087" s="17" t="s">
        <v>26</v>
      </c>
      <c r="D5087" s="19">
        <v>32698.75</v>
      </c>
      <c r="F5087" s="3" t="str">
        <f t="shared" si="79"/>
        <v>C5005</v>
      </c>
    </row>
    <row r="5088" spans="1:6" x14ac:dyDescent="0.2">
      <c r="A5088" s="17">
        <v>0</v>
      </c>
      <c r="B5088" s="18"/>
      <c r="C5088" s="17">
        <v>0</v>
      </c>
      <c r="D5088" s="19">
        <v>0</v>
      </c>
      <c r="F5088" s="3">
        <f t="shared" si="79"/>
        <v>0</v>
      </c>
    </row>
    <row r="5089" spans="1:6" ht="22.5" x14ac:dyDescent="0.2">
      <c r="A5089" s="17" t="s">
        <v>14328</v>
      </c>
      <c r="B5089" s="18" t="s">
        <v>14329</v>
      </c>
      <c r="C5089" s="17" t="s">
        <v>26</v>
      </c>
      <c r="D5089" s="19">
        <v>55224.28</v>
      </c>
      <c r="F5089" s="3" t="str">
        <f t="shared" si="79"/>
        <v>C5006</v>
      </c>
    </row>
    <row r="5090" spans="1:6" x14ac:dyDescent="0.2">
      <c r="A5090" s="17">
        <v>0</v>
      </c>
      <c r="B5090" s="18"/>
      <c r="C5090" s="17">
        <v>0</v>
      </c>
      <c r="D5090" s="19">
        <v>0</v>
      </c>
      <c r="F5090" s="3">
        <f t="shared" si="79"/>
        <v>0</v>
      </c>
    </row>
    <row r="5091" spans="1:6" x14ac:dyDescent="0.2">
      <c r="A5091" s="14" t="s">
        <v>14330</v>
      </c>
      <c r="B5091" s="15"/>
      <c r="C5091" s="14">
        <v>0</v>
      </c>
      <c r="D5091" s="16">
        <v>207669.06</v>
      </c>
      <c r="F5091" s="3" t="str">
        <f t="shared" si="79"/>
        <v>URBANIZAÇÃO/PAISAGISMO</v>
      </c>
    </row>
    <row r="5092" spans="1:6" x14ac:dyDescent="0.2">
      <c r="A5092" s="14" t="s">
        <v>14331</v>
      </c>
      <c r="B5092" s="15"/>
      <c r="C5092" s="14">
        <v>0</v>
      </c>
      <c r="D5092" s="16">
        <v>131142.57999999999</v>
      </c>
      <c r="F5092" s="3" t="str">
        <f t="shared" si="79"/>
        <v>URBANIZAÇÃO</v>
      </c>
    </row>
    <row r="5093" spans="1:6" x14ac:dyDescent="0.2">
      <c r="A5093" s="17" t="s">
        <v>14332</v>
      </c>
      <c r="B5093" s="18" t="s">
        <v>14333</v>
      </c>
      <c r="C5093" s="17" t="s">
        <v>26</v>
      </c>
      <c r="D5093" s="19">
        <v>6589.77</v>
      </c>
      <c r="F5093" s="3" t="str">
        <f t="shared" si="79"/>
        <v>C0004</v>
      </c>
    </row>
    <row r="5094" spans="1:6" x14ac:dyDescent="0.2">
      <c r="A5094" s="17" t="s">
        <v>14334</v>
      </c>
      <c r="B5094" s="18" t="s">
        <v>14335</v>
      </c>
      <c r="C5094" s="17" t="s">
        <v>26</v>
      </c>
      <c r="D5094" s="19">
        <v>10636.16</v>
      </c>
      <c r="F5094" s="3" t="str">
        <f t="shared" si="79"/>
        <v>C4715</v>
      </c>
    </row>
    <row r="5095" spans="1:6" x14ac:dyDescent="0.2">
      <c r="A5095" s="17">
        <v>0</v>
      </c>
      <c r="B5095" s="18"/>
      <c r="C5095" s="17">
        <v>0</v>
      </c>
      <c r="D5095" s="19">
        <v>0</v>
      </c>
      <c r="F5095" s="3">
        <f t="shared" si="79"/>
        <v>0</v>
      </c>
    </row>
    <row r="5096" spans="1:6" ht="22.5" x14ac:dyDescent="0.2">
      <c r="A5096" s="17" t="s">
        <v>14336</v>
      </c>
      <c r="B5096" s="18" t="s">
        <v>14337</v>
      </c>
      <c r="C5096" s="17" t="s">
        <v>26</v>
      </c>
      <c r="D5096" s="19">
        <v>701.91</v>
      </c>
      <c r="F5096" s="3" t="str">
        <f t="shared" si="79"/>
        <v>C3641</v>
      </c>
    </row>
    <row r="5097" spans="1:6" x14ac:dyDescent="0.2">
      <c r="A5097" s="17">
        <v>0</v>
      </c>
      <c r="B5097" s="18"/>
      <c r="C5097" s="17">
        <v>0</v>
      </c>
      <c r="D5097" s="19">
        <v>0</v>
      </c>
      <c r="F5097" s="3">
        <f t="shared" si="79"/>
        <v>0</v>
      </c>
    </row>
    <row r="5098" spans="1:6" ht="22.5" x14ac:dyDescent="0.2">
      <c r="A5098" s="17" t="s">
        <v>14338</v>
      </c>
      <c r="B5098" s="18" t="s">
        <v>14339</v>
      </c>
      <c r="C5098" s="17" t="s">
        <v>26</v>
      </c>
      <c r="D5098" s="19">
        <v>909.48</v>
      </c>
      <c r="F5098" s="3" t="str">
        <f t="shared" si="79"/>
        <v>C0352</v>
      </c>
    </row>
    <row r="5099" spans="1:6" x14ac:dyDescent="0.2">
      <c r="A5099" s="17">
        <v>0</v>
      </c>
      <c r="B5099" s="18"/>
      <c r="C5099" s="17">
        <v>0</v>
      </c>
      <c r="D5099" s="19">
        <v>0</v>
      </c>
      <c r="F5099" s="3">
        <f t="shared" si="79"/>
        <v>0</v>
      </c>
    </row>
    <row r="5100" spans="1:6" ht="22.5" x14ac:dyDescent="0.2">
      <c r="A5100" s="17" t="s">
        <v>14340</v>
      </c>
      <c r="B5100" s="18" t="s">
        <v>14341</v>
      </c>
      <c r="C5100" s="17" t="s">
        <v>26</v>
      </c>
      <c r="D5100" s="19">
        <v>1223.26</v>
      </c>
      <c r="F5100" s="3" t="str">
        <f t="shared" si="79"/>
        <v>C3611</v>
      </c>
    </row>
    <row r="5101" spans="1:6" x14ac:dyDescent="0.2">
      <c r="A5101" s="17">
        <v>0</v>
      </c>
      <c r="B5101" s="18"/>
      <c r="C5101" s="17">
        <v>0</v>
      </c>
      <c r="D5101" s="19">
        <v>0</v>
      </c>
      <c r="F5101" s="3">
        <f t="shared" si="79"/>
        <v>0</v>
      </c>
    </row>
    <row r="5102" spans="1:6" x14ac:dyDescent="0.2">
      <c r="A5102" s="17" t="s">
        <v>14342</v>
      </c>
      <c r="B5102" s="18" t="s">
        <v>14343</v>
      </c>
      <c r="C5102" s="17" t="s">
        <v>26</v>
      </c>
      <c r="D5102" s="19">
        <v>1181.52</v>
      </c>
      <c r="F5102" s="3" t="str">
        <f t="shared" si="79"/>
        <v>C0360</v>
      </c>
    </row>
    <row r="5103" spans="1:6" x14ac:dyDescent="0.2">
      <c r="A5103" s="17" t="s">
        <v>14344</v>
      </c>
      <c r="B5103" s="18" t="s">
        <v>14345</v>
      </c>
      <c r="C5103" s="17" t="s">
        <v>0</v>
      </c>
      <c r="D5103" s="19">
        <v>188.82</v>
      </c>
      <c r="F5103" s="3" t="str">
        <f t="shared" si="79"/>
        <v>C0361</v>
      </c>
    </row>
    <row r="5104" spans="1:6" x14ac:dyDescent="0.2">
      <c r="A5104" s="17" t="s">
        <v>14346</v>
      </c>
      <c r="B5104" s="18" t="s">
        <v>14347</v>
      </c>
      <c r="C5104" s="17" t="s">
        <v>0</v>
      </c>
      <c r="D5104" s="19">
        <v>337.43</v>
      </c>
      <c r="F5104" s="3" t="str">
        <f t="shared" si="79"/>
        <v>C3439</v>
      </c>
    </row>
    <row r="5105" spans="1:6" x14ac:dyDescent="0.2">
      <c r="A5105" s="17" t="s">
        <v>14348</v>
      </c>
      <c r="B5105" s="18" t="s">
        <v>14349</v>
      </c>
      <c r="C5105" s="17" t="s">
        <v>0</v>
      </c>
      <c r="D5105" s="19">
        <v>338.73</v>
      </c>
      <c r="F5105" s="3" t="str">
        <f t="shared" si="79"/>
        <v>C3440</v>
      </c>
    </row>
    <row r="5106" spans="1:6" x14ac:dyDescent="0.2">
      <c r="A5106" s="17" t="s">
        <v>14350</v>
      </c>
      <c r="B5106" s="18" t="s">
        <v>14351</v>
      </c>
      <c r="C5106" s="17" t="s">
        <v>26</v>
      </c>
      <c r="D5106" s="19">
        <v>2304.37</v>
      </c>
      <c r="F5106" s="3" t="str">
        <f t="shared" si="79"/>
        <v>C0462</v>
      </c>
    </row>
    <row r="5107" spans="1:6" x14ac:dyDescent="0.2">
      <c r="A5107" s="17" t="s">
        <v>14352</v>
      </c>
      <c r="B5107" s="18" t="s">
        <v>14353</v>
      </c>
      <c r="C5107" s="17" t="s">
        <v>26</v>
      </c>
      <c r="D5107" s="19">
        <v>578.79</v>
      </c>
      <c r="F5107" s="3" t="str">
        <f t="shared" si="79"/>
        <v>C4712</v>
      </c>
    </row>
    <row r="5108" spans="1:6" x14ac:dyDescent="0.2">
      <c r="A5108" s="17">
        <v>0</v>
      </c>
      <c r="B5108" s="18"/>
      <c r="C5108" s="17">
        <v>0</v>
      </c>
      <c r="D5108" s="19">
        <v>0</v>
      </c>
      <c r="F5108" s="3">
        <f t="shared" si="79"/>
        <v>0</v>
      </c>
    </row>
    <row r="5109" spans="1:6" x14ac:dyDescent="0.2">
      <c r="A5109" s="17" t="s">
        <v>14354</v>
      </c>
      <c r="B5109" s="18" t="s">
        <v>14355</v>
      </c>
      <c r="C5109" s="17" t="s">
        <v>26</v>
      </c>
      <c r="D5109" s="19">
        <v>1154.79</v>
      </c>
      <c r="F5109" s="3" t="str">
        <f t="shared" si="79"/>
        <v>C0926</v>
      </c>
    </row>
    <row r="5110" spans="1:6" ht="22.5" x14ac:dyDescent="0.2">
      <c r="A5110" s="17" t="s">
        <v>14356</v>
      </c>
      <c r="B5110" s="18" t="s">
        <v>14357</v>
      </c>
      <c r="C5110" s="17" t="s">
        <v>26</v>
      </c>
      <c r="D5110" s="19">
        <v>977.71</v>
      </c>
      <c r="F5110" s="3" t="str">
        <f t="shared" si="79"/>
        <v>C3642</v>
      </c>
    </row>
    <row r="5111" spans="1:6" x14ac:dyDescent="0.2">
      <c r="A5111" s="17">
        <v>0</v>
      </c>
      <c r="B5111" s="18"/>
      <c r="C5111" s="17">
        <v>0</v>
      </c>
      <c r="D5111" s="19">
        <v>0</v>
      </c>
      <c r="F5111" s="3">
        <f t="shared" si="79"/>
        <v>0</v>
      </c>
    </row>
    <row r="5112" spans="1:6" x14ac:dyDescent="0.2">
      <c r="A5112" s="17" t="s">
        <v>14358</v>
      </c>
      <c r="B5112" s="18" t="s">
        <v>14359</v>
      </c>
      <c r="C5112" s="17" t="s">
        <v>26</v>
      </c>
      <c r="D5112" s="19">
        <v>1236.1500000000001</v>
      </c>
      <c r="F5112" s="3" t="str">
        <f t="shared" si="79"/>
        <v>C3643</v>
      </c>
    </row>
    <row r="5113" spans="1:6" x14ac:dyDescent="0.2">
      <c r="A5113" s="17">
        <v>0</v>
      </c>
      <c r="B5113" s="18"/>
      <c r="C5113" s="17">
        <v>0</v>
      </c>
      <c r="D5113" s="19">
        <v>0</v>
      </c>
      <c r="F5113" s="3">
        <f t="shared" si="79"/>
        <v>0</v>
      </c>
    </row>
    <row r="5114" spans="1:6" x14ac:dyDescent="0.2">
      <c r="A5114" s="17" t="s">
        <v>14360</v>
      </c>
      <c r="B5114" s="18" t="s">
        <v>14361</v>
      </c>
      <c r="C5114" s="17" t="s">
        <v>26</v>
      </c>
      <c r="D5114" s="19">
        <v>4123.54</v>
      </c>
      <c r="F5114" s="3" t="str">
        <f t="shared" si="79"/>
        <v>C0864</v>
      </c>
    </row>
    <row r="5115" spans="1:6" ht="22.5" x14ac:dyDescent="0.2">
      <c r="A5115" s="17" t="s">
        <v>14362</v>
      </c>
      <c r="B5115" s="18" t="s">
        <v>14363</v>
      </c>
      <c r="C5115" s="17" t="s">
        <v>8321</v>
      </c>
      <c r="D5115" s="19">
        <v>3514.08</v>
      </c>
      <c r="F5115" s="3" t="str">
        <f t="shared" si="79"/>
        <v>C0865</v>
      </c>
    </row>
    <row r="5116" spans="1:6" x14ac:dyDescent="0.2">
      <c r="A5116" s="17">
        <v>0</v>
      </c>
      <c r="B5116" s="18"/>
      <c r="C5116" s="17">
        <v>0</v>
      </c>
      <c r="D5116" s="19">
        <v>0</v>
      </c>
      <c r="F5116" s="3">
        <f t="shared" si="79"/>
        <v>0</v>
      </c>
    </row>
    <row r="5117" spans="1:6" ht="22.5" x14ac:dyDescent="0.2">
      <c r="A5117" s="17" t="s">
        <v>14364</v>
      </c>
      <c r="B5117" s="18" t="s">
        <v>14365</v>
      </c>
      <c r="C5117" s="17" t="s">
        <v>8321</v>
      </c>
      <c r="D5117" s="19">
        <v>4452.67</v>
      </c>
      <c r="F5117" s="3" t="str">
        <f t="shared" si="79"/>
        <v>C1349</v>
      </c>
    </row>
    <row r="5118" spans="1:6" x14ac:dyDescent="0.2">
      <c r="A5118" s="17">
        <v>0</v>
      </c>
      <c r="B5118" s="18"/>
      <c r="C5118" s="17">
        <v>0</v>
      </c>
      <c r="D5118" s="19">
        <v>0</v>
      </c>
      <c r="F5118" s="3">
        <f t="shared" si="79"/>
        <v>0</v>
      </c>
    </row>
    <row r="5119" spans="1:6" x14ac:dyDescent="0.2">
      <c r="A5119" s="17" t="s">
        <v>14366</v>
      </c>
      <c r="B5119" s="18" t="s">
        <v>14367</v>
      </c>
      <c r="C5119" s="17" t="s">
        <v>0</v>
      </c>
      <c r="D5119" s="19">
        <v>143.74</v>
      </c>
      <c r="F5119" s="3" t="str">
        <f t="shared" si="79"/>
        <v>C0925</v>
      </c>
    </row>
    <row r="5120" spans="1:6" x14ac:dyDescent="0.2">
      <c r="A5120" s="17" t="s">
        <v>14368</v>
      </c>
      <c r="B5120" s="18" t="s">
        <v>14369</v>
      </c>
      <c r="C5120" s="17" t="s">
        <v>26</v>
      </c>
      <c r="D5120" s="19">
        <v>701.91</v>
      </c>
      <c r="F5120" s="3" t="str">
        <f t="shared" si="79"/>
        <v>C2995</v>
      </c>
    </row>
    <row r="5121" spans="1:6" x14ac:dyDescent="0.2">
      <c r="A5121" s="17">
        <v>0</v>
      </c>
      <c r="B5121" s="18"/>
      <c r="C5121" s="17">
        <v>0</v>
      </c>
      <c r="D5121" s="19">
        <v>0</v>
      </c>
      <c r="F5121" s="3">
        <f t="shared" si="79"/>
        <v>0</v>
      </c>
    </row>
    <row r="5122" spans="1:6" x14ac:dyDescent="0.2">
      <c r="A5122" s="17" t="s">
        <v>14370</v>
      </c>
      <c r="B5122" s="18" t="s">
        <v>14371</v>
      </c>
      <c r="C5122" s="17" t="s">
        <v>26</v>
      </c>
      <c r="D5122" s="19">
        <v>974.88</v>
      </c>
      <c r="F5122" s="3" t="str">
        <f t="shared" ref="F5122:F5185" si="80">A5122</f>
        <v>C2997</v>
      </c>
    </row>
    <row r="5123" spans="1:6" x14ac:dyDescent="0.2">
      <c r="A5123" s="17">
        <v>0</v>
      </c>
      <c r="B5123" s="18"/>
      <c r="C5123" s="17">
        <v>0</v>
      </c>
      <c r="D5123" s="19">
        <v>0</v>
      </c>
      <c r="F5123" s="3">
        <f t="shared" si="80"/>
        <v>0</v>
      </c>
    </row>
    <row r="5124" spans="1:6" x14ac:dyDescent="0.2">
      <c r="A5124" s="17" t="s">
        <v>14372</v>
      </c>
      <c r="B5124" s="18" t="s">
        <v>14373</v>
      </c>
      <c r="C5124" s="17" t="s">
        <v>26</v>
      </c>
      <c r="D5124" s="19">
        <v>812.42</v>
      </c>
      <c r="F5124" s="3" t="str">
        <f t="shared" si="80"/>
        <v>C3645</v>
      </c>
    </row>
    <row r="5125" spans="1:6" x14ac:dyDescent="0.2">
      <c r="A5125" s="17">
        <v>0</v>
      </c>
      <c r="B5125" s="18"/>
      <c r="C5125" s="17">
        <v>0</v>
      </c>
      <c r="D5125" s="19">
        <v>0</v>
      </c>
      <c r="F5125" s="3">
        <f t="shared" si="80"/>
        <v>0</v>
      </c>
    </row>
    <row r="5126" spans="1:6" ht="56.25" x14ac:dyDescent="0.2">
      <c r="A5126" s="17" t="s">
        <v>14374</v>
      </c>
      <c r="B5126" s="18" t="s">
        <v>14375</v>
      </c>
      <c r="C5126" s="17" t="s">
        <v>8321</v>
      </c>
      <c r="D5126" s="19">
        <v>5136.12</v>
      </c>
      <c r="F5126" s="3" t="str">
        <f t="shared" si="80"/>
        <v>C1347</v>
      </c>
    </row>
    <row r="5127" spans="1:6" x14ac:dyDescent="0.2">
      <c r="A5127" s="17">
        <v>0</v>
      </c>
      <c r="B5127" s="18"/>
      <c r="C5127" s="17">
        <v>0</v>
      </c>
      <c r="D5127" s="19">
        <v>0</v>
      </c>
      <c r="F5127" s="3">
        <f t="shared" si="80"/>
        <v>0</v>
      </c>
    </row>
    <row r="5128" spans="1:6" ht="33.75" x14ac:dyDescent="0.2">
      <c r="A5128" s="17" t="s">
        <v>14376</v>
      </c>
      <c r="B5128" s="18" t="s">
        <v>14377</v>
      </c>
      <c r="C5128" s="17" t="s">
        <v>8321</v>
      </c>
      <c r="D5128" s="19">
        <v>4081.9</v>
      </c>
      <c r="F5128" s="3" t="str">
        <f t="shared" si="80"/>
        <v>C1348</v>
      </c>
    </row>
    <row r="5129" spans="1:6" x14ac:dyDescent="0.2">
      <c r="A5129" s="17">
        <v>0</v>
      </c>
      <c r="B5129" s="18"/>
      <c r="C5129" s="17">
        <v>0</v>
      </c>
      <c r="D5129" s="19">
        <v>0</v>
      </c>
      <c r="F5129" s="3">
        <f t="shared" si="80"/>
        <v>0</v>
      </c>
    </row>
    <row r="5130" spans="1:6" ht="22.5" x14ac:dyDescent="0.2">
      <c r="A5130" s="17" t="s">
        <v>14378</v>
      </c>
      <c r="B5130" s="18" t="s">
        <v>14379</v>
      </c>
      <c r="C5130" s="17" t="s">
        <v>8321</v>
      </c>
      <c r="D5130" s="19">
        <v>13493.52</v>
      </c>
      <c r="F5130" s="3" t="str">
        <f t="shared" si="80"/>
        <v>C1350</v>
      </c>
    </row>
    <row r="5131" spans="1:6" x14ac:dyDescent="0.2">
      <c r="A5131" s="17">
        <v>0</v>
      </c>
      <c r="B5131" s="18"/>
      <c r="C5131" s="17">
        <v>0</v>
      </c>
      <c r="D5131" s="19">
        <v>0</v>
      </c>
      <c r="F5131" s="3">
        <f t="shared" si="80"/>
        <v>0</v>
      </c>
    </row>
    <row r="5132" spans="1:6" ht="33.75" x14ac:dyDescent="0.2">
      <c r="A5132" s="17" t="s">
        <v>14380</v>
      </c>
      <c r="B5132" s="18" t="s">
        <v>14381</v>
      </c>
      <c r="C5132" s="17" t="s">
        <v>8321</v>
      </c>
      <c r="D5132" s="19">
        <v>2703.16</v>
      </c>
      <c r="F5132" s="3" t="str">
        <f t="shared" si="80"/>
        <v>C1351</v>
      </c>
    </row>
    <row r="5133" spans="1:6" x14ac:dyDescent="0.2">
      <c r="A5133" s="17">
        <v>0</v>
      </c>
      <c r="B5133" s="18"/>
      <c r="C5133" s="17">
        <v>0</v>
      </c>
      <c r="D5133" s="19">
        <v>0</v>
      </c>
      <c r="F5133" s="3">
        <f t="shared" si="80"/>
        <v>0</v>
      </c>
    </row>
    <row r="5134" spans="1:6" x14ac:dyDescent="0.2">
      <c r="A5134" s="17" t="s">
        <v>14382</v>
      </c>
      <c r="B5134" s="18" t="s">
        <v>14383</v>
      </c>
      <c r="C5134" s="17" t="s">
        <v>26</v>
      </c>
      <c r="D5134" s="19">
        <v>990.1</v>
      </c>
      <c r="F5134" s="3" t="str">
        <f t="shared" si="80"/>
        <v>C3646</v>
      </c>
    </row>
    <row r="5135" spans="1:6" x14ac:dyDescent="0.2">
      <c r="A5135" s="17" t="s">
        <v>14384</v>
      </c>
      <c r="B5135" s="18" t="s">
        <v>14385</v>
      </c>
      <c r="C5135" s="17" t="s">
        <v>26</v>
      </c>
      <c r="D5135" s="19">
        <v>1108.1600000000001</v>
      </c>
      <c r="F5135" s="3" t="str">
        <f t="shared" si="80"/>
        <v>C3647</v>
      </c>
    </row>
    <row r="5136" spans="1:6" x14ac:dyDescent="0.2">
      <c r="A5136" s="17">
        <v>0</v>
      </c>
      <c r="B5136" s="18"/>
      <c r="C5136" s="17">
        <v>0</v>
      </c>
      <c r="D5136" s="19">
        <v>0</v>
      </c>
      <c r="F5136" s="3">
        <f t="shared" si="80"/>
        <v>0</v>
      </c>
    </row>
    <row r="5137" spans="1:6" x14ac:dyDescent="0.2">
      <c r="A5137" s="17" t="s">
        <v>14386</v>
      </c>
      <c r="B5137" s="18" t="s">
        <v>14387</v>
      </c>
      <c r="C5137" s="17" t="s">
        <v>26</v>
      </c>
      <c r="D5137" s="19">
        <v>1218.57</v>
      </c>
      <c r="F5137" s="3" t="str">
        <f t="shared" si="80"/>
        <v>C3000</v>
      </c>
    </row>
    <row r="5138" spans="1:6" x14ac:dyDescent="0.2">
      <c r="A5138" s="17">
        <v>0</v>
      </c>
      <c r="B5138" s="18"/>
      <c r="C5138" s="17">
        <v>0</v>
      </c>
      <c r="D5138" s="19">
        <v>0</v>
      </c>
      <c r="F5138" s="3">
        <f t="shared" si="80"/>
        <v>0</v>
      </c>
    </row>
    <row r="5139" spans="1:6" x14ac:dyDescent="0.2">
      <c r="A5139" s="17" t="s">
        <v>14388</v>
      </c>
      <c r="B5139" s="18" t="s">
        <v>14389</v>
      </c>
      <c r="C5139" s="17" t="s">
        <v>255</v>
      </c>
      <c r="D5139" s="19">
        <v>3.69</v>
      </c>
      <c r="F5139" s="3" t="str">
        <f t="shared" si="80"/>
        <v>C3526</v>
      </c>
    </row>
    <row r="5140" spans="1:6" x14ac:dyDescent="0.2">
      <c r="A5140" s="17" t="s">
        <v>14390</v>
      </c>
      <c r="B5140" s="18" t="s">
        <v>14391</v>
      </c>
      <c r="C5140" s="17" t="s">
        <v>255</v>
      </c>
      <c r="D5140" s="19">
        <v>3.27</v>
      </c>
      <c r="F5140" s="3" t="str">
        <f t="shared" si="80"/>
        <v>C3527</v>
      </c>
    </row>
    <row r="5141" spans="1:6" x14ac:dyDescent="0.2">
      <c r="A5141" s="17" t="s">
        <v>14392</v>
      </c>
      <c r="B5141" s="18" t="s">
        <v>14393</v>
      </c>
      <c r="C5141" s="17" t="s">
        <v>26</v>
      </c>
      <c r="D5141" s="19">
        <v>365.29</v>
      </c>
      <c r="F5141" s="3" t="str">
        <f t="shared" si="80"/>
        <v>C3451</v>
      </c>
    </row>
    <row r="5142" spans="1:6" x14ac:dyDescent="0.2">
      <c r="A5142" s="17" t="s">
        <v>14394</v>
      </c>
      <c r="B5142" s="18" t="s">
        <v>14395</v>
      </c>
      <c r="C5142" s="17" t="s">
        <v>26</v>
      </c>
      <c r="D5142" s="19">
        <v>58740.04</v>
      </c>
      <c r="F5142" s="3" t="str">
        <f t="shared" si="80"/>
        <v>C4570</v>
      </c>
    </row>
    <row r="5143" spans="1:6" x14ac:dyDescent="0.2">
      <c r="A5143" s="17" t="s">
        <v>14396</v>
      </c>
      <c r="B5143" s="18" t="s">
        <v>14397</v>
      </c>
      <c r="C5143" s="17" t="s">
        <v>26</v>
      </c>
      <c r="D5143" s="19">
        <v>216.63</v>
      </c>
      <c r="F5143" s="3" t="str">
        <f t="shared" si="80"/>
        <v>C3060</v>
      </c>
    </row>
    <row r="5144" spans="1:6" x14ac:dyDescent="0.2">
      <c r="A5144" s="14" t="s">
        <v>14398</v>
      </c>
      <c r="B5144" s="15"/>
      <c r="C5144" s="14">
        <v>0</v>
      </c>
      <c r="D5144" s="16">
        <v>76472.77</v>
      </c>
      <c r="F5144" s="3" t="str">
        <f t="shared" si="80"/>
        <v>PAISAGISMO</v>
      </c>
    </row>
    <row r="5145" spans="1:6" x14ac:dyDescent="0.2">
      <c r="A5145" s="17" t="s">
        <v>14399</v>
      </c>
      <c r="B5145" s="18" t="s">
        <v>14400</v>
      </c>
      <c r="C5145" s="17" t="s">
        <v>26</v>
      </c>
      <c r="D5145" s="19">
        <v>48.1</v>
      </c>
      <c r="F5145" s="3" t="str">
        <f t="shared" si="80"/>
        <v>C0112</v>
      </c>
    </row>
    <row r="5146" spans="1:6" x14ac:dyDescent="0.2">
      <c r="A5146" s="17" t="s">
        <v>14401</v>
      </c>
      <c r="B5146" s="18" t="s">
        <v>14402</v>
      </c>
      <c r="C5146" s="17" t="s">
        <v>255</v>
      </c>
      <c r="D5146" s="19">
        <v>77.63</v>
      </c>
      <c r="F5146" s="3" t="str">
        <f t="shared" si="80"/>
        <v>C0113</v>
      </c>
    </row>
    <row r="5147" spans="1:6" x14ac:dyDescent="0.2">
      <c r="A5147" s="17" t="s">
        <v>14403</v>
      </c>
      <c r="B5147" s="18" t="s">
        <v>14404</v>
      </c>
      <c r="C5147" s="17" t="s">
        <v>26</v>
      </c>
      <c r="D5147" s="19">
        <v>103.57</v>
      </c>
      <c r="F5147" s="3" t="str">
        <f t="shared" si="80"/>
        <v>C3061</v>
      </c>
    </row>
    <row r="5148" spans="1:6" x14ac:dyDescent="0.2">
      <c r="A5148" s="17" t="s">
        <v>14405</v>
      </c>
      <c r="B5148" s="18" t="s">
        <v>14406</v>
      </c>
      <c r="C5148" s="17" t="s">
        <v>26</v>
      </c>
      <c r="D5148" s="19">
        <v>151.28</v>
      </c>
      <c r="F5148" s="3" t="str">
        <f t="shared" si="80"/>
        <v>C3062</v>
      </c>
    </row>
    <row r="5149" spans="1:6" x14ac:dyDescent="0.2">
      <c r="A5149" s="17" t="s">
        <v>14407</v>
      </c>
      <c r="B5149" s="18" t="s">
        <v>14408</v>
      </c>
      <c r="C5149" s="17" t="s">
        <v>26</v>
      </c>
      <c r="D5149" s="19">
        <v>60.22</v>
      </c>
      <c r="F5149" s="3" t="str">
        <f t="shared" si="80"/>
        <v>C0229</v>
      </c>
    </row>
    <row r="5150" spans="1:6" x14ac:dyDescent="0.2">
      <c r="A5150" s="17">
        <v>0</v>
      </c>
      <c r="B5150" s="18"/>
      <c r="C5150" s="17">
        <v>0</v>
      </c>
      <c r="D5150" s="19">
        <v>0</v>
      </c>
      <c r="F5150" s="3">
        <f t="shared" si="80"/>
        <v>0</v>
      </c>
    </row>
    <row r="5151" spans="1:6" x14ac:dyDescent="0.2">
      <c r="A5151" s="17" t="s">
        <v>14409</v>
      </c>
      <c r="B5151" s="18" t="s">
        <v>14410</v>
      </c>
      <c r="C5151" s="17" t="s">
        <v>255</v>
      </c>
      <c r="D5151" s="19">
        <v>180.83</v>
      </c>
      <c r="F5151" s="3" t="str">
        <f t="shared" si="80"/>
        <v>C0230</v>
      </c>
    </row>
    <row r="5152" spans="1:6" x14ac:dyDescent="0.2">
      <c r="A5152" s="17" t="s">
        <v>14411</v>
      </c>
      <c r="B5152" s="18" t="s">
        <v>14412</v>
      </c>
      <c r="C5152" s="17" t="s">
        <v>255</v>
      </c>
      <c r="D5152" s="19">
        <v>0.09</v>
      </c>
      <c r="F5152" s="3" t="str">
        <f t="shared" si="80"/>
        <v>C1080</v>
      </c>
    </row>
    <row r="5153" spans="1:6" x14ac:dyDescent="0.2">
      <c r="A5153" s="17" t="s">
        <v>14413</v>
      </c>
      <c r="B5153" s="18" t="s">
        <v>14414</v>
      </c>
      <c r="C5153" s="17" t="s">
        <v>271</v>
      </c>
      <c r="D5153" s="19">
        <v>142.25</v>
      </c>
      <c r="F5153" s="3" t="str">
        <f t="shared" si="80"/>
        <v>C1253</v>
      </c>
    </row>
    <row r="5154" spans="1:6" x14ac:dyDescent="0.2">
      <c r="A5154" s="17">
        <v>0</v>
      </c>
      <c r="B5154" s="18"/>
      <c r="C5154" s="17">
        <v>0</v>
      </c>
      <c r="D5154" s="19">
        <v>0</v>
      </c>
      <c r="F5154" s="3">
        <f t="shared" si="80"/>
        <v>0</v>
      </c>
    </row>
    <row r="5155" spans="1:6" x14ac:dyDescent="0.2">
      <c r="A5155" s="17" t="s">
        <v>14415</v>
      </c>
      <c r="B5155" s="18" t="s">
        <v>14416</v>
      </c>
      <c r="C5155" s="17" t="s">
        <v>255</v>
      </c>
      <c r="D5155" s="19">
        <v>13.39</v>
      </c>
      <c r="F5155" s="3" t="str">
        <f t="shared" si="80"/>
        <v>C3443</v>
      </c>
    </row>
    <row r="5156" spans="1:6" x14ac:dyDescent="0.2">
      <c r="A5156" s="17" t="s">
        <v>14417</v>
      </c>
      <c r="B5156" s="18" t="s">
        <v>14418</v>
      </c>
      <c r="C5156" s="17" t="s">
        <v>255</v>
      </c>
      <c r="D5156" s="19">
        <v>15.14</v>
      </c>
      <c r="F5156" s="3" t="str">
        <f t="shared" si="80"/>
        <v>C1429</v>
      </c>
    </row>
    <row r="5157" spans="1:6" x14ac:dyDescent="0.2">
      <c r="A5157" s="17" t="s">
        <v>14419</v>
      </c>
      <c r="B5157" s="18" t="s">
        <v>14420</v>
      </c>
      <c r="C5157" s="17" t="s">
        <v>255</v>
      </c>
      <c r="D5157" s="19">
        <v>21.59</v>
      </c>
      <c r="F5157" s="3" t="str">
        <f t="shared" si="80"/>
        <v>C1430</v>
      </c>
    </row>
    <row r="5158" spans="1:6" x14ac:dyDescent="0.2">
      <c r="A5158" s="17" t="s">
        <v>14421</v>
      </c>
      <c r="B5158" s="18" t="s">
        <v>14422</v>
      </c>
      <c r="C5158" s="17" t="s">
        <v>255</v>
      </c>
      <c r="D5158" s="19">
        <v>24.23</v>
      </c>
      <c r="F5158" s="3" t="str">
        <f t="shared" si="80"/>
        <v>C1431</v>
      </c>
    </row>
    <row r="5159" spans="1:6" x14ac:dyDescent="0.2">
      <c r="A5159" s="17" t="s">
        <v>14423</v>
      </c>
      <c r="B5159" s="18" t="s">
        <v>14424</v>
      </c>
      <c r="C5159" s="17" t="s">
        <v>255</v>
      </c>
      <c r="D5159" s="19">
        <v>6.77</v>
      </c>
      <c r="F5159" s="3" t="str">
        <f t="shared" si="80"/>
        <v>C3426</v>
      </c>
    </row>
    <row r="5160" spans="1:6" ht="22.5" x14ac:dyDescent="0.2">
      <c r="A5160" s="17" t="s">
        <v>14425</v>
      </c>
      <c r="B5160" s="18" t="s">
        <v>14426</v>
      </c>
      <c r="C5160" s="17" t="s">
        <v>255</v>
      </c>
      <c r="D5160" s="19">
        <v>169.73</v>
      </c>
      <c r="F5160" s="3" t="str">
        <f t="shared" si="80"/>
        <v>C4849</v>
      </c>
    </row>
    <row r="5161" spans="1:6" x14ac:dyDescent="0.2">
      <c r="A5161" s="17">
        <v>0</v>
      </c>
      <c r="B5161" s="18"/>
      <c r="C5161" s="17">
        <v>0</v>
      </c>
      <c r="D5161" s="19">
        <v>0</v>
      </c>
      <c r="F5161" s="3">
        <f t="shared" si="80"/>
        <v>0</v>
      </c>
    </row>
    <row r="5162" spans="1:6" x14ac:dyDescent="0.2">
      <c r="A5162" s="17" t="s">
        <v>14427</v>
      </c>
      <c r="B5162" s="18" t="s">
        <v>14428</v>
      </c>
      <c r="C5162" s="17" t="s">
        <v>255</v>
      </c>
      <c r="D5162" s="19">
        <v>238.53</v>
      </c>
      <c r="F5162" s="3" t="str">
        <f t="shared" si="80"/>
        <v>C1452</v>
      </c>
    </row>
    <row r="5163" spans="1:6" x14ac:dyDescent="0.2">
      <c r="A5163" s="17" t="s">
        <v>14429</v>
      </c>
      <c r="B5163" s="18" t="s">
        <v>14430</v>
      </c>
      <c r="C5163" s="17" t="s">
        <v>255</v>
      </c>
      <c r="D5163" s="19">
        <v>310.57</v>
      </c>
      <c r="F5163" s="3" t="str">
        <f t="shared" si="80"/>
        <v>C1453</v>
      </c>
    </row>
    <row r="5164" spans="1:6" x14ac:dyDescent="0.2">
      <c r="A5164" s="17" t="s">
        <v>14431</v>
      </c>
      <c r="B5164" s="18" t="s">
        <v>14432</v>
      </c>
      <c r="C5164" s="17" t="s">
        <v>255</v>
      </c>
      <c r="D5164" s="19">
        <v>3.22</v>
      </c>
      <c r="F5164" s="3" t="str">
        <f t="shared" si="80"/>
        <v>C1454</v>
      </c>
    </row>
    <row r="5165" spans="1:6" x14ac:dyDescent="0.2">
      <c r="A5165" s="17" t="s">
        <v>14433</v>
      </c>
      <c r="B5165" s="18" t="s">
        <v>14432</v>
      </c>
      <c r="C5165" s="17" t="s">
        <v>6052</v>
      </c>
      <c r="D5165" s="19">
        <v>1573.6</v>
      </c>
      <c r="F5165" s="3" t="str">
        <f t="shared" si="80"/>
        <v>C1455</v>
      </c>
    </row>
    <row r="5166" spans="1:6" x14ac:dyDescent="0.2">
      <c r="A5166" s="17" t="s">
        <v>14434</v>
      </c>
      <c r="B5166" s="18" t="s">
        <v>14435</v>
      </c>
      <c r="C5166" s="17" t="s">
        <v>6052</v>
      </c>
      <c r="D5166" s="19">
        <v>21405.91</v>
      </c>
      <c r="F5166" s="3" t="str">
        <f t="shared" si="80"/>
        <v>C1457</v>
      </c>
    </row>
    <row r="5167" spans="1:6" x14ac:dyDescent="0.2">
      <c r="A5167" s="17" t="s">
        <v>14436</v>
      </c>
      <c r="B5167" s="18" t="s">
        <v>14437</v>
      </c>
      <c r="C5167" s="17" t="s">
        <v>255</v>
      </c>
      <c r="D5167" s="19">
        <v>0.33</v>
      </c>
      <c r="F5167" s="3" t="str">
        <f t="shared" si="80"/>
        <v>C1499</v>
      </c>
    </row>
    <row r="5168" spans="1:6" x14ac:dyDescent="0.2">
      <c r="A5168" s="17" t="s">
        <v>14438</v>
      </c>
      <c r="B5168" s="18" t="s">
        <v>14439</v>
      </c>
      <c r="C5168" s="17" t="s">
        <v>255</v>
      </c>
      <c r="D5168" s="19">
        <v>76.930000000000007</v>
      </c>
      <c r="F5168" s="3" t="str">
        <f t="shared" si="80"/>
        <v>C1612</v>
      </c>
    </row>
    <row r="5169" spans="1:6" x14ac:dyDescent="0.2">
      <c r="A5169" s="17" t="s">
        <v>14440</v>
      </c>
      <c r="B5169" s="18" t="s">
        <v>14441</v>
      </c>
      <c r="C5169" s="17" t="s">
        <v>6052</v>
      </c>
      <c r="D5169" s="19">
        <v>30057.9</v>
      </c>
      <c r="F5169" s="3" t="str">
        <f t="shared" si="80"/>
        <v>C1788</v>
      </c>
    </row>
    <row r="5170" spans="1:6" x14ac:dyDescent="0.2">
      <c r="A5170" s="17" t="s">
        <v>14442</v>
      </c>
      <c r="B5170" s="18" t="s">
        <v>14443</v>
      </c>
      <c r="C5170" s="17" t="s">
        <v>6052</v>
      </c>
      <c r="D5170" s="19">
        <v>2643.64</v>
      </c>
      <c r="F5170" s="3" t="str">
        <f t="shared" si="80"/>
        <v>C1789</v>
      </c>
    </row>
    <row r="5171" spans="1:6" x14ac:dyDescent="0.2">
      <c r="A5171" s="17" t="s">
        <v>14444</v>
      </c>
      <c r="B5171" s="18" t="s">
        <v>14445</v>
      </c>
      <c r="C5171" s="17" t="s">
        <v>6052</v>
      </c>
      <c r="D5171" s="19">
        <v>2261.7800000000002</v>
      </c>
      <c r="F5171" s="3" t="str">
        <f t="shared" si="80"/>
        <v>C1781</v>
      </c>
    </row>
    <row r="5172" spans="1:6" x14ac:dyDescent="0.2">
      <c r="A5172" s="17">
        <v>0</v>
      </c>
      <c r="B5172" s="18"/>
      <c r="C5172" s="17">
        <v>0</v>
      </c>
      <c r="D5172" s="19">
        <v>0</v>
      </c>
      <c r="F5172" s="3">
        <f t="shared" si="80"/>
        <v>0</v>
      </c>
    </row>
    <row r="5173" spans="1:6" x14ac:dyDescent="0.2">
      <c r="A5173" s="17" t="s">
        <v>14446</v>
      </c>
      <c r="B5173" s="18" t="s">
        <v>14447</v>
      </c>
      <c r="C5173" s="17" t="s">
        <v>6052</v>
      </c>
      <c r="D5173" s="19">
        <v>2395.04</v>
      </c>
      <c r="F5173" s="3" t="str">
        <f t="shared" si="80"/>
        <v>C1782</v>
      </c>
    </row>
    <row r="5174" spans="1:6" x14ac:dyDescent="0.2">
      <c r="A5174" s="17">
        <v>0</v>
      </c>
      <c r="B5174" s="18"/>
      <c r="C5174" s="17">
        <v>0</v>
      </c>
      <c r="D5174" s="19">
        <v>0</v>
      </c>
      <c r="F5174" s="3">
        <f t="shared" si="80"/>
        <v>0</v>
      </c>
    </row>
    <row r="5175" spans="1:6" x14ac:dyDescent="0.2">
      <c r="A5175" s="17" t="s">
        <v>14448</v>
      </c>
      <c r="B5175" s="18" t="s">
        <v>14449</v>
      </c>
      <c r="C5175" s="17" t="s">
        <v>255</v>
      </c>
      <c r="D5175" s="19">
        <v>0.2</v>
      </c>
      <c r="F5175" s="3" t="str">
        <f t="shared" si="80"/>
        <v>C1783</v>
      </c>
    </row>
    <row r="5176" spans="1:6" x14ac:dyDescent="0.2">
      <c r="A5176" s="17" t="s">
        <v>14450</v>
      </c>
      <c r="B5176" s="18" t="s">
        <v>14451</v>
      </c>
      <c r="C5176" s="17" t="s">
        <v>6052</v>
      </c>
      <c r="D5176" s="19">
        <v>12254.42</v>
      </c>
      <c r="F5176" s="3" t="str">
        <f t="shared" si="80"/>
        <v>C1787</v>
      </c>
    </row>
    <row r="5177" spans="1:6" x14ac:dyDescent="0.2">
      <c r="A5177" s="17" t="s">
        <v>14452</v>
      </c>
      <c r="B5177" s="18" t="s">
        <v>14453</v>
      </c>
      <c r="C5177" s="17" t="s">
        <v>6052</v>
      </c>
      <c r="D5177" s="19">
        <v>2049.58</v>
      </c>
      <c r="F5177" s="3" t="str">
        <f t="shared" si="80"/>
        <v>C1786</v>
      </c>
    </row>
    <row r="5178" spans="1:6" x14ac:dyDescent="0.2">
      <c r="A5178" s="17" t="s">
        <v>14454</v>
      </c>
      <c r="B5178" s="18" t="s">
        <v>14455</v>
      </c>
      <c r="C5178" s="17" t="s">
        <v>255</v>
      </c>
      <c r="D5178" s="19">
        <v>1.79</v>
      </c>
      <c r="F5178" s="3" t="str">
        <f t="shared" si="80"/>
        <v>C1784</v>
      </c>
    </row>
    <row r="5179" spans="1:6" x14ac:dyDescent="0.2">
      <c r="A5179" s="17" t="s">
        <v>14456</v>
      </c>
      <c r="B5179" s="18" t="s">
        <v>14457</v>
      </c>
      <c r="C5179" s="17" t="s">
        <v>255</v>
      </c>
      <c r="D5179" s="19">
        <v>0.08</v>
      </c>
      <c r="F5179" s="3" t="str">
        <f t="shared" si="80"/>
        <v>C1785</v>
      </c>
    </row>
    <row r="5180" spans="1:6" x14ac:dyDescent="0.2">
      <c r="A5180" s="17" t="s">
        <v>14458</v>
      </c>
      <c r="B5180" s="18" t="s">
        <v>14459</v>
      </c>
      <c r="C5180" s="17" t="s">
        <v>271</v>
      </c>
      <c r="D5180" s="19">
        <v>175.97</v>
      </c>
      <c r="F5180" s="3" t="str">
        <f t="shared" si="80"/>
        <v>C2035</v>
      </c>
    </row>
    <row r="5181" spans="1:6" x14ac:dyDescent="0.2">
      <c r="A5181" s="17" t="s">
        <v>14460</v>
      </c>
      <c r="B5181" s="18" t="s">
        <v>14461</v>
      </c>
      <c r="C5181" s="17" t="s">
        <v>255</v>
      </c>
      <c r="D5181" s="19">
        <v>0.52</v>
      </c>
      <c r="F5181" s="3" t="str">
        <f t="shared" si="80"/>
        <v>C2235</v>
      </c>
    </row>
    <row r="5182" spans="1:6" x14ac:dyDescent="0.2">
      <c r="A5182" s="17" t="s">
        <v>14462</v>
      </c>
      <c r="B5182" s="18" t="s">
        <v>14463</v>
      </c>
      <c r="C5182" s="17" t="s">
        <v>255</v>
      </c>
      <c r="D5182" s="19">
        <v>1.51</v>
      </c>
      <c r="F5182" s="3" t="str">
        <f t="shared" si="80"/>
        <v>C2238</v>
      </c>
    </row>
    <row r="5183" spans="1:6" x14ac:dyDescent="0.2">
      <c r="A5183" s="17" t="s">
        <v>14464</v>
      </c>
      <c r="B5183" s="18" t="s">
        <v>14465</v>
      </c>
      <c r="C5183" s="17" t="s">
        <v>271</v>
      </c>
      <c r="D5183" s="19">
        <v>6.43</v>
      </c>
      <c r="F5183" s="3" t="str">
        <f t="shared" si="80"/>
        <v>C2534</v>
      </c>
    </row>
    <row r="5184" spans="1:6" x14ac:dyDescent="0.2">
      <c r="A5184" s="14" t="s">
        <v>14466</v>
      </c>
      <c r="B5184" s="15"/>
      <c r="C5184" s="14">
        <v>0</v>
      </c>
      <c r="D5184" s="16">
        <v>53.71</v>
      </c>
      <c r="F5184" s="3" t="str">
        <f t="shared" si="80"/>
        <v>PROTEÇÃO AMBIENTAL</v>
      </c>
    </row>
    <row r="5185" spans="1:6" x14ac:dyDescent="0.2">
      <c r="A5185" s="17" t="s">
        <v>14467</v>
      </c>
      <c r="B5185" s="18" t="s">
        <v>14468</v>
      </c>
      <c r="C5185" s="17" t="s">
        <v>271</v>
      </c>
      <c r="D5185" s="19">
        <v>38.29</v>
      </c>
      <c r="F5185" s="3" t="str">
        <f t="shared" si="80"/>
        <v>C3259</v>
      </c>
    </row>
    <row r="5186" spans="1:6" x14ac:dyDescent="0.2">
      <c r="A5186" s="17" t="s">
        <v>14469</v>
      </c>
      <c r="B5186" s="18" t="s">
        <v>14470</v>
      </c>
      <c r="C5186" s="17" t="s">
        <v>271</v>
      </c>
      <c r="D5186" s="19">
        <v>2.19</v>
      </c>
      <c r="F5186" s="3" t="str">
        <f t="shared" ref="F5186:F5249" si="81">A5186</f>
        <v>C3277</v>
      </c>
    </row>
    <row r="5187" spans="1:6" x14ac:dyDescent="0.2">
      <c r="A5187" s="17" t="s">
        <v>14471</v>
      </c>
      <c r="B5187" s="18" t="s">
        <v>14472</v>
      </c>
      <c r="C5187" s="17" t="s">
        <v>271</v>
      </c>
      <c r="D5187" s="19">
        <v>5.74</v>
      </c>
      <c r="F5187" s="3" t="str">
        <f t="shared" si="81"/>
        <v>C3279</v>
      </c>
    </row>
    <row r="5188" spans="1:6" x14ac:dyDescent="0.2">
      <c r="A5188" s="17" t="s">
        <v>14473</v>
      </c>
      <c r="B5188" s="18" t="s">
        <v>14474</v>
      </c>
      <c r="C5188" s="17" t="s">
        <v>271</v>
      </c>
      <c r="D5188" s="19">
        <v>4.32</v>
      </c>
      <c r="F5188" s="3" t="str">
        <f t="shared" si="81"/>
        <v>C3283</v>
      </c>
    </row>
    <row r="5189" spans="1:6" x14ac:dyDescent="0.2">
      <c r="A5189" s="17" t="s">
        <v>14475</v>
      </c>
      <c r="B5189" s="18" t="s">
        <v>14476</v>
      </c>
      <c r="C5189" s="17" t="s">
        <v>255</v>
      </c>
      <c r="D5189" s="19">
        <v>0.22</v>
      </c>
      <c r="F5189" s="3" t="str">
        <f t="shared" si="81"/>
        <v>C3308</v>
      </c>
    </row>
    <row r="5190" spans="1:6" x14ac:dyDescent="0.2">
      <c r="A5190" s="17" t="s">
        <v>14477</v>
      </c>
      <c r="B5190" s="18" t="s">
        <v>14478</v>
      </c>
      <c r="C5190" s="17" t="s">
        <v>255</v>
      </c>
      <c r="D5190" s="19">
        <v>2.95</v>
      </c>
      <c r="F5190" s="3" t="str">
        <f t="shared" si="81"/>
        <v>C3108</v>
      </c>
    </row>
    <row r="5191" spans="1:6" x14ac:dyDescent="0.2">
      <c r="A5191" s="14" t="s">
        <v>14479</v>
      </c>
      <c r="B5191" s="15"/>
      <c r="C5191" s="14">
        <v>0</v>
      </c>
      <c r="D5191" s="16">
        <v>44277.59</v>
      </c>
      <c r="F5191" s="3" t="str">
        <f t="shared" si="81"/>
        <v>MUROS E FECHAMENTOS</v>
      </c>
    </row>
    <row r="5192" spans="1:6" x14ac:dyDescent="0.2">
      <c r="A5192" s="14" t="s">
        <v>14480</v>
      </c>
      <c r="B5192" s="15"/>
      <c r="C5192" s="14">
        <v>0</v>
      </c>
      <c r="D5192" s="16">
        <v>3396.69</v>
      </c>
      <c r="F5192" s="3" t="str">
        <f t="shared" si="81"/>
        <v>MUROS</v>
      </c>
    </row>
    <row r="5193" spans="1:6" x14ac:dyDescent="0.2">
      <c r="A5193" s="17" t="s">
        <v>14481</v>
      </c>
      <c r="B5193" s="18" t="s">
        <v>14482</v>
      </c>
      <c r="C5193" s="17" t="s">
        <v>255</v>
      </c>
      <c r="D5193" s="19">
        <v>361.08</v>
      </c>
      <c r="F5193" s="3" t="str">
        <f t="shared" si="81"/>
        <v>C1803</v>
      </c>
    </row>
    <row r="5194" spans="1:6" ht="22.5" x14ac:dyDescent="0.2">
      <c r="A5194" s="17" t="s">
        <v>14483</v>
      </c>
      <c r="B5194" s="18" t="s">
        <v>14484</v>
      </c>
      <c r="C5194" s="17" t="s">
        <v>0</v>
      </c>
      <c r="D5194" s="19">
        <v>276.83</v>
      </c>
      <c r="F5194" s="3" t="str">
        <f t="shared" si="81"/>
        <v>C1804</v>
      </c>
    </row>
    <row r="5195" spans="1:6" x14ac:dyDescent="0.2">
      <c r="A5195" s="17">
        <v>0</v>
      </c>
      <c r="B5195" s="18"/>
      <c r="C5195" s="17">
        <v>0</v>
      </c>
      <c r="D5195" s="19">
        <v>0</v>
      </c>
      <c r="F5195" s="3">
        <f t="shared" si="81"/>
        <v>0</v>
      </c>
    </row>
    <row r="5196" spans="1:6" ht="22.5" x14ac:dyDescent="0.2">
      <c r="A5196" s="17" t="s">
        <v>14485</v>
      </c>
      <c r="B5196" s="18" t="s">
        <v>14486</v>
      </c>
      <c r="C5196" s="17" t="s">
        <v>0</v>
      </c>
      <c r="D5196" s="19">
        <v>385.56</v>
      </c>
      <c r="F5196" s="3" t="str">
        <f t="shared" si="81"/>
        <v>C1805</v>
      </c>
    </row>
    <row r="5197" spans="1:6" x14ac:dyDescent="0.2">
      <c r="A5197" s="17">
        <v>0</v>
      </c>
      <c r="B5197" s="18"/>
      <c r="C5197" s="17">
        <v>0</v>
      </c>
      <c r="D5197" s="19">
        <v>0</v>
      </c>
      <c r="F5197" s="3">
        <f t="shared" si="81"/>
        <v>0</v>
      </c>
    </row>
    <row r="5198" spans="1:6" x14ac:dyDescent="0.2">
      <c r="A5198" s="17" t="s">
        <v>14487</v>
      </c>
      <c r="B5198" s="18" t="s">
        <v>14488</v>
      </c>
      <c r="C5198" s="17" t="s">
        <v>0</v>
      </c>
      <c r="D5198" s="19">
        <v>429.75</v>
      </c>
      <c r="F5198" s="3" t="str">
        <f t="shared" si="81"/>
        <v>C2887</v>
      </c>
    </row>
    <row r="5199" spans="1:6" x14ac:dyDescent="0.2">
      <c r="A5199" s="17" t="s">
        <v>14489</v>
      </c>
      <c r="B5199" s="18" t="s">
        <v>14490</v>
      </c>
      <c r="C5199" s="17" t="s">
        <v>0</v>
      </c>
      <c r="D5199" s="19">
        <v>294.95999999999998</v>
      </c>
      <c r="F5199" s="3" t="str">
        <f t="shared" si="81"/>
        <v>C1806</v>
      </c>
    </row>
    <row r="5200" spans="1:6" x14ac:dyDescent="0.2">
      <c r="A5200" s="17" t="s">
        <v>14491</v>
      </c>
      <c r="B5200" s="18" t="s">
        <v>14492</v>
      </c>
      <c r="C5200" s="17" t="s">
        <v>255</v>
      </c>
      <c r="D5200" s="19">
        <v>315.99</v>
      </c>
      <c r="F5200" s="3" t="str">
        <f t="shared" si="81"/>
        <v>C1807</v>
      </c>
    </row>
    <row r="5201" spans="1:6" x14ac:dyDescent="0.2">
      <c r="A5201" s="17">
        <v>0</v>
      </c>
      <c r="B5201" s="18"/>
      <c r="C5201" s="17">
        <v>0</v>
      </c>
      <c r="D5201" s="19">
        <v>0</v>
      </c>
      <c r="F5201" s="3">
        <f t="shared" si="81"/>
        <v>0</v>
      </c>
    </row>
    <row r="5202" spans="1:6" x14ac:dyDescent="0.2">
      <c r="A5202" s="17" t="s">
        <v>14493</v>
      </c>
      <c r="B5202" s="18" t="s">
        <v>14494</v>
      </c>
      <c r="C5202" s="17" t="s">
        <v>255</v>
      </c>
      <c r="D5202" s="19">
        <v>291.33</v>
      </c>
      <c r="F5202" s="3" t="str">
        <f t="shared" si="81"/>
        <v>C4912</v>
      </c>
    </row>
    <row r="5203" spans="1:6" x14ac:dyDescent="0.2">
      <c r="A5203" s="17">
        <v>0</v>
      </c>
      <c r="B5203" s="18"/>
      <c r="C5203" s="17">
        <v>0</v>
      </c>
      <c r="D5203" s="19">
        <v>0</v>
      </c>
      <c r="F5203" s="3">
        <f t="shared" si="81"/>
        <v>0</v>
      </c>
    </row>
    <row r="5204" spans="1:6" ht="22.5" x14ac:dyDescent="0.2">
      <c r="A5204" s="17" t="s">
        <v>14495</v>
      </c>
      <c r="B5204" s="18" t="s">
        <v>14496</v>
      </c>
      <c r="C5204" s="17" t="s">
        <v>0</v>
      </c>
      <c r="D5204" s="19">
        <v>439.83</v>
      </c>
      <c r="F5204" s="3" t="str">
        <f t="shared" si="81"/>
        <v>C4600</v>
      </c>
    </row>
    <row r="5205" spans="1:6" x14ac:dyDescent="0.2">
      <c r="A5205" s="17">
        <v>0</v>
      </c>
      <c r="B5205" s="18"/>
      <c r="C5205" s="17">
        <v>0</v>
      </c>
      <c r="D5205" s="19">
        <v>0</v>
      </c>
      <c r="F5205" s="3">
        <f t="shared" si="81"/>
        <v>0</v>
      </c>
    </row>
    <row r="5206" spans="1:6" ht="22.5" x14ac:dyDescent="0.2">
      <c r="A5206" s="17" t="s">
        <v>14497</v>
      </c>
      <c r="B5206" s="18" t="s">
        <v>14498</v>
      </c>
      <c r="C5206" s="17" t="s">
        <v>0</v>
      </c>
      <c r="D5206" s="19">
        <v>601.36</v>
      </c>
      <c r="F5206" s="3" t="str">
        <f t="shared" si="81"/>
        <v>C4859</v>
      </c>
    </row>
    <row r="5207" spans="1:6" x14ac:dyDescent="0.2">
      <c r="A5207" s="17">
        <v>0</v>
      </c>
      <c r="B5207" s="18"/>
      <c r="C5207" s="17">
        <v>0</v>
      </c>
      <c r="D5207" s="19">
        <v>0</v>
      </c>
      <c r="F5207" s="3">
        <f t="shared" si="81"/>
        <v>0</v>
      </c>
    </row>
    <row r="5208" spans="1:6" x14ac:dyDescent="0.2">
      <c r="A5208" s="14" t="s">
        <v>14499</v>
      </c>
      <c r="B5208" s="15"/>
      <c r="C5208" s="14">
        <v>0</v>
      </c>
      <c r="D5208" s="16">
        <v>2680.65</v>
      </c>
      <c r="F5208" s="3" t="str">
        <f t="shared" si="81"/>
        <v>ALAMBRADOS</v>
      </c>
    </row>
    <row r="5209" spans="1:6" x14ac:dyDescent="0.2">
      <c r="A5209" s="17" t="s">
        <v>14500</v>
      </c>
      <c r="B5209" s="18" t="s">
        <v>14501</v>
      </c>
      <c r="C5209" s="17" t="s">
        <v>255</v>
      </c>
      <c r="D5209" s="19">
        <v>135.46</v>
      </c>
      <c r="F5209" s="3" t="str">
        <f t="shared" si="81"/>
        <v>C3736</v>
      </c>
    </row>
    <row r="5210" spans="1:6" x14ac:dyDescent="0.2">
      <c r="A5210" s="17" t="s">
        <v>14502</v>
      </c>
      <c r="B5210" s="18" t="s">
        <v>14503</v>
      </c>
      <c r="C5210" s="17" t="s">
        <v>0</v>
      </c>
      <c r="D5210" s="19">
        <v>173.45</v>
      </c>
      <c r="F5210" s="3" t="str">
        <f t="shared" si="81"/>
        <v>C0036</v>
      </c>
    </row>
    <row r="5211" spans="1:6" x14ac:dyDescent="0.2">
      <c r="A5211" s="17" t="s">
        <v>14504</v>
      </c>
      <c r="B5211" s="18" t="s">
        <v>14505</v>
      </c>
      <c r="C5211" s="17" t="s">
        <v>255</v>
      </c>
      <c r="D5211" s="19">
        <v>77.19</v>
      </c>
      <c r="F5211" s="3" t="str">
        <f t="shared" si="81"/>
        <v>C3436</v>
      </c>
    </row>
    <row r="5212" spans="1:6" x14ac:dyDescent="0.2">
      <c r="A5212" s="17" t="s">
        <v>14506</v>
      </c>
      <c r="B5212" s="18" t="s">
        <v>14507</v>
      </c>
      <c r="C5212" s="17" t="s">
        <v>255</v>
      </c>
      <c r="D5212" s="19">
        <v>108.3</v>
      </c>
      <c r="F5212" s="3" t="str">
        <f t="shared" si="81"/>
        <v>C3680</v>
      </c>
    </row>
    <row r="5213" spans="1:6" x14ac:dyDescent="0.2">
      <c r="A5213" s="17" t="s">
        <v>14508</v>
      </c>
      <c r="B5213" s="18" t="s">
        <v>14509</v>
      </c>
      <c r="C5213" s="17" t="s">
        <v>0</v>
      </c>
      <c r="D5213" s="19">
        <v>105.9</v>
      </c>
      <c r="F5213" s="3" t="str">
        <f t="shared" si="81"/>
        <v>C0037</v>
      </c>
    </row>
    <row r="5214" spans="1:6" x14ac:dyDescent="0.2">
      <c r="A5214" s="17" t="s">
        <v>14510</v>
      </c>
      <c r="B5214" s="18" t="s">
        <v>14511</v>
      </c>
      <c r="C5214" s="17" t="s">
        <v>255</v>
      </c>
      <c r="D5214" s="19">
        <v>322.91000000000003</v>
      </c>
      <c r="F5214" s="3" t="str">
        <f t="shared" si="81"/>
        <v>C0035</v>
      </c>
    </row>
    <row r="5215" spans="1:6" x14ac:dyDescent="0.2">
      <c r="A5215" s="17" t="s">
        <v>14512</v>
      </c>
      <c r="B5215" s="18" t="s">
        <v>14513</v>
      </c>
      <c r="C5215" s="17" t="s">
        <v>255</v>
      </c>
      <c r="D5215" s="19">
        <v>394.34</v>
      </c>
      <c r="F5215" s="3" t="str">
        <f t="shared" si="81"/>
        <v>C5193</v>
      </c>
    </row>
    <row r="5216" spans="1:6" x14ac:dyDescent="0.2">
      <c r="A5216" s="17" t="s">
        <v>14514</v>
      </c>
      <c r="B5216" s="18" t="s">
        <v>14515</v>
      </c>
      <c r="C5216" s="17" t="s">
        <v>255</v>
      </c>
      <c r="D5216" s="19">
        <v>596.16</v>
      </c>
      <c r="F5216" s="3" t="str">
        <f t="shared" si="81"/>
        <v>C0038</v>
      </c>
    </row>
    <row r="5217" spans="1:6" x14ac:dyDescent="0.2">
      <c r="A5217" s="17" t="s">
        <v>14516</v>
      </c>
      <c r="B5217" s="18" t="s">
        <v>14517</v>
      </c>
      <c r="C5217" s="17" t="s">
        <v>0</v>
      </c>
      <c r="D5217" s="19">
        <v>262.33</v>
      </c>
      <c r="F5217" s="3" t="str">
        <f t="shared" si="81"/>
        <v>C0039</v>
      </c>
    </row>
    <row r="5218" spans="1:6" x14ac:dyDescent="0.2">
      <c r="A5218" s="17" t="s">
        <v>14518</v>
      </c>
      <c r="B5218" s="18" t="s">
        <v>14519</v>
      </c>
      <c r="C5218" s="17" t="s">
        <v>0</v>
      </c>
      <c r="D5218" s="19">
        <v>504.61</v>
      </c>
      <c r="F5218" s="3" t="str">
        <f t="shared" si="81"/>
        <v>C0040</v>
      </c>
    </row>
    <row r="5219" spans="1:6" x14ac:dyDescent="0.2">
      <c r="A5219" s="14" t="s">
        <v>14520</v>
      </c>
      <c r="B5219" s="15"/>
      <c r="C5219" s="14">
        <v>0</v>
      </c>
      <c r="D5219" s="16">
        <v>3605.58</v>
      </c>
      <c r="F5219" s="3" t="str">
        <f t="shared" si="81"/>
        <v>CERCAS</v>
      </c>
    </row>
    <row r="5220" spans="1:6" ht="22.5" x14ac:dyDescent="0.2">
      <c r="A5220" s="17" t="s">
        <v>14521</v>
      </c>
      <c r="B5220" s="18" t="s">
        <v>14522</v>
      </c>
      <c r="C5220" s="17" t="s">
        <v>0</v>
      </c>
      <c r="D5220" s="19">
        <v>304.93</v>
      </c>
      <c r="F5220" s="3" t="str">
        <f t="shared" si="81"/>
        <v>C0733</v>
      </c>
    </row>
    <row r="5221" spans="1:6" x14ac:dyDescent="0.2">
      <c r="A5221" s="17">
        <v>0</v>
      </c>
      <c r="B5221" s="18"/>
      <c r="C5221" s="17">
        <v>0</v>
      </c>
      <c r="D5221" s="19">
        <v>0</v>
      </c>
      <c r="F5221" s="3">
        <f t="shared" si="81"/>
        <v>0</v>
      </c>
    </row>
    <row r="5222" spans="1:6" x14ac:dyDescent="0.2">
      <c r="A5222" s="17" t="s">
        <v>14523</v>
      </c>
      <c r="B5222" s="18" t="s">
        <v>14524</v>
      </c>
      <c r="C5222" s="17" t="s">
        <v>0</v>
      </c>
      <c r="D5222" s="19">
        <v>104.18</v>
      </c>
      <c r="F5222" s="3" t="str">
        <f t="shared" si="81"/>
        <v>C0742</v>
      </c>
    </row>
    <row r="5223" spans="1:6" ht="22.5" x14ac:dyDescent="0.2">
      <c r="A5223" s="17" t="s">
        <v>14525</v>
      </c>
      <c r="B5223" s="18" t="s">
        <v>14526</v>
      </c>
      <c r="C5223" s="17" t="s">
        <v>0</v>
      </c>
      <c r="D5223" s="19">
        <v>41.99</v>
      </c>
      <c r="F5223" s="3" t="str">
        <f t="shared" si="81"/>
        <v>C0735</v>
      </c>
    </row>
    <row r="5224" spans="1:6" x14ac:dyDescent="0.2">
      <c r="A5224" s="17">
        <v>0</v>
      </c>
      <c r="B5224" s="18"/>
      <c r="C5224" s="17">
        <v>0</v>
      </c>
      <c r="D5224" s="19">
        <v>0</v>
      </c>
      <c r="F5224" s="3">
        <f t="shared" si="81"/>
        <v>0</v>
      </c>
    </row>
    <row r="5225" spans="1:6" ht="22.5" x14ac:dyDescent="0.2">
      <c r="A5225" s="17" t="s">
        <v>14527</v>
      </c>
      <c r="B5225" s="18" t="s">
        <v>14528</v>
      </c>
      <c r="C5225" s="17" t="s">
        <v>0</v>
      </c>
      <c r="D5225" s="19">
        <v>53.27</v>
      </c>
      <c r="F5225" s="3" t="str">
        <f t="shared" si="81"/>
        <v>C0743</v>
      </c>
    </row>
    <row r="5226" spans="1:6" x14ac:dyDescent="0.2">
      <c r="A5226" s="17">
        <v>0</v>
      </c>
      <c r="B5226" s="18"/>
      <c r="C5226" s="17">
        <v>0</v>
      </c>
      <c r="D5226" s="19">
        <v>0</v>
      </c>
      <c r="F5226" s="3">
        <f t="shared" si="81"/>
        <v>0</v>
      </c>
    </row>
    <row r="5227" spans="1:6" ht="22.5" x14ac:dyDescent="0.2">
      <c r="A5227" s="17" t="s">
        <v>14529</v>
      </c>
      <c r="B5227" s="18" t="s">
        <v>14530</v>
      </c>
      <c r="C5227" s="17" t="s">
        <v>0</v>
      </c>
      <c r="D5227" s="19">
        <v>64.56</v>
      </c>
      <c r="F5227" s="3" t="str">
        <f t="shared" si="81"/>
        <v>C0736</v>
      </c>
    </row>
    <row r="5228" spans="1:6" x14ac:dyDescent="0.2">
      <c r="A5228" s="17">
        <v>0</v>
      </c>
      <c r="B5228" s="18"/>
      <c r="C5228" s="17">
        <v>0</v>
      </c>
      <c r="D5228" s="19">
        <v>0</v>
      </c>
      <c r="F5228" s="3">
        <f t="shared" si="81"/>
        <v>0</v>
      </c>
    </row>
    <row r="5229" spans="1:6" x14ac:dyDescent="0.2">
      <c r="A5229" s="17" t="s">
        <v>14531</v>
      </c>
      <c r="B5229" s="18" t="s">
        <v>14532</v>
      </c>
      <c r="C5229" s="17" t="s">
        <v>255</v>
      </c>
      <c r="D5229" s="19">
        <v>119.48</v>
      </c>
      <c r="F5229" s="3" t="str">
        <f t="shared" si="81"/>
        <v>C0740</v>
      </c>
    </row>
    <row r="5230" spans="1:6" x14ac:dyDescent="0.2">
      <c r="A5230" s="20" t="s">
        <v>14533</v>
      </c>
      <c r="B5230" s="21" t="s">
        <v>14534</v>
      </c>
      <c r="C5230" s="20" t="s">
        <v>255</v>
      </c>
      <c r="D5230" s="22">
        <v>212.11</v>
      </c>
      <c r="F5230" s="3" t="str">
        <f t="shared" si="81"/>
        <v>C0741</v>
      </c>
    </row>
    <row r="5231" spans="1:6" x14ac:dyDescent="0.2">
      <c r="A5231" s="17" t="s">
        <v>14535</v>
      </c>
      <c r="B5231" s="18" t="s">
        <v>14536</v>
      </c>
      <c r="C5231" s="17" t="s">
        <v>0</v>
      </c>
      <c r="D5231" s="19">
        <v>30.14</v>
      </c>
      <c r="F5231" s="3" t="str">
        <f t="shared" si="81"/>
        <v>C4858</v>
      </c>
    </row>
    <row r="5232" spans="1:6" ht="22.5" x14ac:dyDescent="0.2">
      <c r="A5232" s="17" t="s">
        <v>14537</v>
      </c>
      <c r="B5232" s="18" t="s">
        <v>14538</v>
      </c>
      <c r="C5232" s="17" t="s">
        <v>0</v>
      </c>
      <c r="D5232" s="19">
        <v>21.85</v>
      </c>
      <c r="F5232" s="3" t="str">
        <f t="shared" si="81"/>
        <v>C4731</v>
      </c>
    </row>
    <row r="5233" spans="1:6" x14ac:dyDescent="0.2">
      <c r="A5233" s="17">
        <v>0</v>
      </c>
      <c r="B5233" s="18"/>
      <c r="C5233" s="17">
        <v>0</v>
      </c>
      <c r="D5233" s="19">
        <v>0</v>
      </c>
      <c r="F5233" s="3">
        <f t="shared" si="81"/>
        <v>0</v>
      </c>
    </row>
    <row r="5234" spans="1:6" ht="22.5" x14ac:dyDescent="0.2">
      <c r="A5234" s="17" t="s">
        <v>14539</v>
      </c>
      <c r="B5234" s="18" t="s">
        <v>14540</v>
      </c>
      <c r="C5234" s="17" t="s">
        <v>0</v>
      </c>
      <c r="D5234" s="19">
        <v>25.66</v>
      </c>
      <c r="F5234" s="3" t="str">
        <f t="shared" si="81"/>
        <v>C4732</v>
      </c>
    </row>
    <row r="5235" spans="1:6" x14ac:dyDescent="0.2">
      <c r="A5235" s="17">
        <v>0</v>
      </c>
      <c r="B5235" s="18"/>
      <c r="C5235" s="17">
        <v>0</v>
      </c>
      <c r="D5235" s="19">
        <v>0</v>
      </c>
      <c r="F5235" s="3">
        <f t="shared" si="81"/>
        <v>0</v>
      </c>
    </row>
    <row r="5236" spans="1:6" ht="22.5" x14ac:dyDescent="0.2">
      <c r="A5236" s="17" t="s">
        <v>14541</v>
      </c>
      <c r="B5236" s="18" t="s">
        <v>14542</v>
      </c>
      <c r="C5236" s="17" t="s">
        <v>0</v>
      </c>
      <c r="D5236" s="19">
        <v>31.32</v>
      </c>
      <c r="F5236" s="3" t="str">
        <f t="shared" si="81"/>
        <v>C4733</v>
      </c>
    </row>
    <row r="5237" spans="1:6" x14ac:dyDescent="0.2">
      <c r="A5237" s="17">
        <v>0</v>
      </c>
      <c r="B5237" s="18"/>
      <c r="C5237" s="17">
        <v>0</v>
      </c>
      <c r="D5237" s="19">
        <v>0</v>
      </c>
      <c r="F5237" s="3">
        <f t="shared" si="81"/>
        <v>0</v>
      </c>
    </row>
    <row r="5238" spans="1:6" ht="45" x14ac:dyDescent="0.2">
      <c r="A5238" s="17" t="s">
        <v>14543</v>
      </c>
      <c r="B5238" s="18" t="s">
        <v>14544</v>
      </c>
      <c r="C5238" s="17" t="s">
        <v>0</v>
      </c>
      <c r="D5238" s="19">
        <v>455.23</v>
      </c>
      <c r="F5238" s="3" t="str">
        <f t="shared" si="81"/>
        <v>C4725</v>
      </c>
    </row>
    <row r="5239" spans="1:6" x14ac:dyDescent="0.2">
      <c r="A5239" s="17">
        <v>0</v>
      </c>
      <c r="B5239" s="18"/>
      <c r="C5239" s="17">
        <v>0</v>
      </c>
      <c r="D5239" s="19">
        <v>0</v>
      </c>
      <c r="F5239" s="3">
        <f t="shared" si="81"/>
        <v>0</v>
      </c>
    </row>
    <row r="5240" spans="1:6" ht="45" x14ac:dyDescent="0.2">
      <c r="A5240" s="17" t="s">
        <v>14545</v>
      </c>
      <c r="B5240" s="18" t="s">
        <v>14546</v>
      </c>
      <c r="C5240" s="17" t="s">
        <v>0</v>
      </c>
      <c r="D5240" s="19">
        <v>377.59</v>
      </c>
      <c r="F5240" s="3" t="str">
        <f t="shared" si="81"/>
        <v>C4726</v>
      </c>
    </row>
    <row r="5241" spans="1:6" x14ac:dyDescent="0.2">
      <c r="A5241" s="17">
        <v>0</v>
      </c>
      <c r="B5241" s="18"/>
      <c r="C5241" s="17">
        <v>0</v>
      </c>
      <c r="D5241" s="19">
        <v>0</v>
      </c>
      <c r="F5241" s="3">
        <f t="shared" si="81"/>
        <v>0</v>
      </c>
    </row>
    <row r="5242" spans="1:6" ht="45" x14ac:dyDescent="0.2">
      <c r="A5242" s="17" t="s">
        <v>14547</v>
      </c>
      <c r="B5242" s="18" t="s">
        <v>14548</v>
      </c>
      <c r="C5242" s="17" t="s">
        <v>0</v>
      </c>
      <c r="D5242" s="19">
        <v>301.77999999999997</v>
      </c>
      <c r="F5242" s="3" t="str">
        <f t="shared" si="81"/>
        <v>C4727</v>
      </c>
    </row>
    <row r="5243" spans="1:6" x14ac:dyDescent="0.2">
      <c r="A5243" s="17">
        <v>0</v>
      </c>
      <c r="B5243" s="18"/>
      <c r="C5243" s="17">
        <v>0</v>
      </c>
      <c r="D5243" s="19">
        <v>0</v>
      </c>
      <c r="F5243" s="3">
        <f t="shared" si="81"/>
        <v>0</v>
      </c>
    </row>
    <row r="5244" spans="1:6" ht="45" x14ac:dyDescent="0.2">
      <c r="A5244" s="17" t="s">
        <v>14549</v>
      </c>
      <c r="B5244" s="18" t="s">
        <v>14550</v>
      </c>
      <c r="C5244" s="17" t="s">
        <v>0</v>
      </c>
      <c r="D5244" s="19">
        <v>216.43</v>
      </c>
      <c r="F5244" s="3" t="str">
        <f t="shared" si="81"/>
        <v>C4852</v>
      </c>
    </row>
    <row r="5245" spans="1:6" x14ac:dyDescent="0.2">
      <c r="A5245" s="17">
        <v>0</v>
      </c>
      <c r="B5245" s="18"/>
      <c r="C5245" s="17">
        <v>0</v>
      </c>
      <c r="D5245" s="19">
        <v>0</v>
      </c>
      <c r="F5245" s="3">
        <f t="shared" si="81"/>
        <v>0</v>
      </c>
    </row>
    <row r="5246" spans="1:6" ht="45" x14ac:dyDescent="0.2">
      <c r="A5246" s="17" t="s">
        <v>14551</v>
      </c>
      <c r="B5246" s="18" t="s">
        <v>14552</v>
      </c>
      <c r="C5246" s="17" t="s">
        <v>0</v>
      </c>
      <c r="D5246" s="19">
        <v>402.91</v>
      </c>
      <c r="F5246" s="3" t="str">
        <f t="shared" si="81"/>
        <v>C4728</v>
      </c>
    </row>
    <row r="5247" spans="1:6" x14ac:dyDescent="0.2">
      <c r="A5247" s="17">
        <v>0</v>
      </c>
      <c r="B5247" s="18"/>
      <c r="C5247" s="17">
        <v>0</v>
      </c>
      <c r="D5247" s="19">
        <v>0</v>
      </c>
      <c r="F5247" s="3">
        <f t="shared" si="81"/>
        <v>0</v>
      </c>
    </row>
    <row r="5248" spans="1:6" ht="45" x14ac:dyDescent="0.2">
      <c r="A5248" s="17" t="s">
        <v>14553</v>
      </c>
      <c r="B5248" s="18" t="s">
        <v>14554</v>
      </c>
      <c r="C5248" s="17" t="s">
        <v>0</v>
      </c>
      <c r="D5248" s="19">
        <v>324.14</v>
      </c>
      <c r="F5248" s="3" t="str">
        <f t="shared" si="81"/>
        <v>C4729</v>
      </c>
    </row>
    <row r="5249" spans="1:6" x14ac:dyDescent="0.2">
      <c r="A5249" s="17">
        <v>0</v>
      </c>
      <c r="B5249" s="18"/>
      <c r="C5249" s="17">
        <v>0</v>
      </c>
      <c r="D5249" s="19">
        <v>0</v>
      </c>
      <c r="F5249" s="3">
        <f t="shared" si="81"/>
        <v>0</v>
      </c>
    </row>
    <row r="5250" spans="1:6" ht="45" x14ac:dyDescent="0.2">
      <c r="A5250" s="17" t="s">
        <v>14555</v>
      </c>
      <c r="B5250" s="18" t="s">
        <v>14556</v>
      </c>
      <c r="C5250" s="17" t="s">
        <v>0</v>
      </c>
      <c r="D5250" s="19">
        <v>267.45999999999998</v>
      </c>
      <c r="F5250" s="3" t="str">
        <f t="shared" ref="F5250:F5313" si="82">A5250</f>
        <v>C4730</v>
      </c>
    </row>
    <row r="5251" spans="1:6" x14ac:dyDescent="0.2">
      <c r="A5251" s="17">
        <v>0</v>
      </c>
      <c r="B5251" s="18"/>
      <c r="C5251" s="17">
        <v>0</v>
      </c>
      <c r="D5251" s="19">
        <v>0</v>
      </c>
      <c r="F5251" s="3">
        <f t="shared" si="82"/>
        <v>0</v>
      </c>
    </row>
    <row r="5252" spans="1:6" ht="45" x14ac:dyDescent="0.2">
      <c r="A5252" s="17" t="s">
        <v>14557</v>
      </c>
      <c r="B5252" s="18" t="s">
        <v>14558</v>
      </c>
      <c r="C5252" s="17" t="s">
        <v>0</v>
      </c>
      <c r="D5252" s="19">
        <v>192.3</v>
      </c>
      <c r="F5252" s="3" t="str">
        <f t="shared" si="82"/>
        <v>C4851</v>
      </c>
    </row>
    <row r="5253" spans="1:6" x14ac:dyDescent="0.2">
      <c r="A5253" s="17">
        <v>0</v>
      </c>
      <c r="B5253" s="18"/>
      <c r="C5253" s="17">
        <v>0</v>
      </c>
      <c r="D5253" s="19">
        <v>0</v>
      </c>
      <c r="F5253" s="3">
        <f t="shared" si="82"/>
        <v>0</v>
      </c>
    </row>
    <row r="5254" spans="1:6" ht="22.5" x14ac:dyDescent="0.2">
      <c r="A5254" s="17" t="s">
        <v>14559</v>
      </c>
      <c r="B5254" s="18" t="s">
        <v>14560</v>
      </c>
      <c r="C5254" s="17" t="s">
        <v>26</v>
      </c>
      <c r="D5254" s="19">
        <v>19.62</v>
      </c>
      <c r="F5254" s="3" t="str">
        <f t="shared" si="82"/>
        <v>C4734</v>
      </c>
    </row>
    <row r="5255" spans="1:6" x14ac:dyDescent="0.2">
      <c r="A5255" s="17">
        <v>0</v>
      </c>
      <c r="B5255" s="18"/>
      <c r="C5255" s="17">
        <v>0</v>
      </c>
      <c r="D5255" s="19">
        <v>0</v>
      </c>
      <c r="F5255" s="3">
        <f t="shared" si="82"/>
        <v>0</v>
      </c>
    </row>
    <row r="5256" spans="1:6" ht="22.5" x14ac:dyDescent="0.2">
      <c r="A5256" s="17" t="s">
        <v>14561</v>
      </c>
      <c r="B5256" s="18" t="s">
        <v>14562</v>
      </c>
      <c r="C5256" s="17" t="s">
        <v>26</v>
      </c>
      <c r="D5256" s="19">
        <v>20.260000000000002</v>
      </c>
      <c r="F5256" s="3" t="str">
        <f t="shared" si="82"/>
        <v>C4735</v>
      </c>
    </row>
    <row r="5257" spans="1:6" x14ac:dyDescent="0.2">
      <c r="A5257" s="17">
        <v>0</v>
      </c>
      <c r="B5257" s="18"/>
      <c r="C5257" s="17">
        <v>0</v>
      </c>
      <c r="D5257" s="19">
        <v>0</v>
      </c>
      <c r="F5257" s="3">
        <f t="shared" si="82"/>
        <v>0</v>
      </c>
    </row>
    <row r="5258" spans="1:6" ht="22.5" x14ac:dyDescent="0.2">
      <c r="A5258" s="17" t="s">
        <v>14563</v>
      </c>
      <c r="B5258" s="18" t="s">
        <v>14564</v>
      </c>
      <c r="C5258" s="17" t="s">
        <v>0</v>
      </c>
      <c r="D5258" s="19">
        <v>18.37</v>
      </c>
      <c r="F5258" s="3" t="str">
        <f t="shared" si="82"/>
        <v>C4736</v>
      </c>
    </row>
    <row r="5259" spans="1:6" x14ac:dyDescent="0.2">
      <c r="A5259" s="17">
        <v>0</v>
      </c>
      <c r="B5259" s="18"/>
      <c r="C5259" s="17">
        <v>0</v>
      </c>
      <c r="D5259" s="19">
        <v>0</v>
      </c>
      <c r="F5259" s="3">
        <f t="shared" si="82"/>
        <v>0</v>
      </c>
    </row>
    <row r="5260" spans="1:6" x14ac:dyDescent="0.2">
      <c r="A5260" s="14" t="s">
        <v>14565</v>
      </c>
      <c r="B5260" s="15"/>
      <c r="C5260" s="14">
        <v>0</v>
      </c>
      <c r="D5260" s="16">
        <v>34206.01</v>
      </c>
      <c r="F5260" s="3" t="str">
        <f t="shared" si="82"/>
        <v>DISPOSITIVOS DE PROTEÇÃO E ACESSO</v>
      </c>
    </row>
    <row r="5261" spans="1:6" x14ac:dyDescent="0.2">
      <c r="A5261" s="17" t="s">
        <v>14566</v>
      </c>
      <c r="B5261" s="18" t="s">
        <v>14567</v>
      </c>
      <c r="C5261" s="17" t="s">
        <v>0</v>
      </c>
      <c r="D5261" s="19">
        <v>358.36</v>
      </c>
      <c r="F5261" s="3" t="str">
        <f t="shared" si="82"/>
        <v>C1251</v>
      </c>
    </row>
    <row r="5262" spans="1:6" x14ac:dyDescent="0.2">
      <c r="A5262" s="17" t="s">
        <v>14568</v>
      </c>
      <c r="B5262" s="18" t="s">
        <v>14569</v>
      </c>
      <c r="C5262" s="17" t="s">
        <v>0</v>
      </c>
      <c r="D5262" s="19">
        <v>156.08000000000001</v>
      </c>
      <c r="F5262" s="3" t="str">
        <f t="shared" si="82"/>
        <v>C2775</v>
      </c>
    </row>
    <row r="5263" spans="1:6" x14ac:dyDescent="0.2">
      <c r="A5263" s="17" t="s">
        <v>14570</v>
      </c>
      <c r="B5263" s="18" t="s">
        <v>14571</v>
      </c>
      <c r="C5263" s="17" t="s">
        <v>0</v>
      </c>
      <c r="D5263" s="19">
        <v>88.42</v>
      </c>
      <c r="F5263" s="3" t="str">
        <f t="shared" si="82"/>
        <v>C2774</v>
      </c>
    </row>
    <row r="5264" spans="1:6" x14ac:dyDescent="0.2">
      <c r="A5264" s="17" t="s">
        <v>14572</v>
      </c>
      <c r="B5264" s="18" t="s">
        <v>14573</v>
      </c>
      <c r="C5264" s="17" t="s">
        <v>0</v>
      </c>
      <c r="D5264" s="19">
        <v>198.61</v>
      </c>
      <c r="F5264" s="3" t="str">
        <f t="shared" si="82"/>
        <v>C2773</v>
      </c>
    </row>
    <row r="5265" spans="1:6" x14ac:dyDescent="0.2">
      <c r="A5265" s="17" t="s">
        <v>14574</v>
      </c>
      <c r="B5265" s="18" t="s">
        <v>14575</v>
      </c>
      <c r="C5265" s="17" t="s">
        <v>0</v>
      </c>
      <c r="D5265" s="19">
        <v>2356.42</v>
      </c>
      <c r="F5265" s="3" t="str">
        <f t="shared" si="82"/>
        <v>C5206</v>
      </c>
    </row>
    <row r="5266" spans="1:6" x14ac:dyDescent="0.2">
      <c r="A5266" s="17" t="s">
        <v>14576</v>
      </c>
      <c r="B5266" s="18" t="s">
        <v>14577</v>
      </c>
      <c r="C5266" s="17" t="s">
        <v>0</v>
      </c>
      <c r="D5266" s="19">
        <v>1853.87</v>
      </c>
      <c r="F5266" s="3" t="str">
        <f t="shared" si="82"/>
        <v>C5205</v>
      </c>
    </row>
    <row r="5267" spans="1:6" x14ac:dyDescent="0.2">
      <c r="A5267" s="17" t="s">
        <v>14578</v>
      </c>
      <c r="B5267" s="18" t="s">
        <v>14579</v>
      </c>
      <c r="C5267" s="17" t="s">
        <v>0</v>
      </c>
      <c r="D5267" s="19">
        <v>2983.8</v>
      </c>
      <c r="F5267" s="3" t="str">
        <f t="shared" si="82"/>
        <v>C5204</v>
      </c>
    </row>
    <row r="5268" spans="1:6" x14ac:dyDescent="0.2">
      <c r="A5268" s="17" t="s">
        <v>14580</v>
      </c>
      <c r="B5268" s="18" t="s">
        <v>14581</v>
      </c>
      <c r="C5268" s="17" t="s">
        <v>0</v>
      </c>
      <c r="D5268" s="19">
        <v>5266.37</v>
      </c>
      <c r="F5268" s="3" t="str">
        <f t="shared" si="82"/>
        <v>C5203</v>
      </c>
    </row>
    <row r="5269" spans="1:6" x14ac:dyDescent="0.2">
      <c r="A5269" s="17" t="s">
        <v>14582</v>
      </c>
      <c r="B5269" s="18" t="s">
        <v>14583</v>
      </c>
      <c r="C5269" s="17" t="s">
        <v>0</v>
      </c>
      <c r="D5269" s="19">
        <v>816.84</v>
      </c>
      <c r="F5269" s="3" t="str">
        <f t="shared" si="82"/>
        <v>C2768</v>
      </c>
    </row>
    <row r="5270" spans="1:6" x14ac:dyDescent="0.2">
      <c r="A5270" s="17" t="s">
        <v>14584</v>
      </c>
      <c r="B5270" s="18" t="s">
        <v>14585</v>
      </c>
      <c r="C5270" s="17" t="s">
        <v>0</v>
      </c>
      <c r="D5270" s="19">
        <v>366.68</v>
      </c>
      <c r="F5270" s="3" t="str">
        <f t="shared" si="82"/>
        <v>C2769</v>
      </c>
    </row>
    <row r="5271" spans="1:6" x14ac:dyDescent="0.2">
      <c r="A5271" s="17" t="s">
        <v>14586</v>
      </c>
      <c r="B5271" s="18" t="s">
        <v>14587</v>
      </c>
      <c r="C5271" s="17" t="s">
        <v>0</v>
      </c>
      <c r="D5271" s="19">
        <v>203.58</v>
      </c>
      <c r="F5271" s="3" t="str">
        <f t="shared" si="82"/>
        <v>C2776</v>
      </c>
    </row>
    <row r="5272" spans="1:6" ht="22.5" x14ac:dyDescent="0.2">
      <c r="A5272" s="17" t="s">
        <v>14588</v>
      </c>
      <c r="B5272" s="18" t="s">
        <v>14589</v>
      </c>
      <c r="C5272" s="17" t="s">
        <v>0</v>
      </c>
      <c r="D5272" s="19">
        <v>2173.15</v>
      </c>
      <c r="F5272" s="3" t="str">
        <f t="shared" si="82"/>
        <v>C4748</v>
      </c>
    </row>
    <row r="5273" spans="1:6" x14ac:dyDescent="0.2">
      <c r="A5273" s="17">
        <v>0</v>
      </c>
      <c r="B5273" s="18"/>
      <c r="C5273" s="17">
        <v>0</v>
      </c>
      <c r="D5273" s="19">
        <v>0</v>
      </c>
      <c r="F5273" s="3">
        <f t="shared" si="82"/>
        <v>0</v>
      </c>
    </row>
    <row r="5274" spans="1:6" ht="22.5" x14ac:dyDescent="0.2">
      <c r="A5274" s="17" t="s">
        <v>14590</v>
      </c>
      <c r="B5274" s="18" t="s">
        <v>14591</v>
      </c>
      <c r="C5274" s="17" t="s">
        <v>0</v>
      </c>
      <c r="D5274" s="19">
        <v>1675.28</v>
      </c>
      <c r="F5274" s="3" t="str">
        <f t="shared" si="82"/>
        <v>C4749</v>
      </c>
    </row>
    <row r="5275" spans="1:6" x14ac:dyDescent="0.2">
      <c r="A5275" s="17">
        <v>0</v>
      </c>
      <c r="B5275" s="18"/>
      <c r="C5275" s="17">
        <v>0</v>
      </c>
      <c r="D5275" s="19">
        <v>0</v>
      </c>
      <c r="F5275" s="3">
        <f t="shared" si="82"/>
        <v>0</v>
      </c>
    </row>
    <row r="5276" spans="1:6" x14ac:dyDescent="0.2">
      <c r="A5276" s="17" t="s">
        <v>14592</v>
      </c>
      <c r="B5276" s="18" t="s">
        <v>14593</v>
      </c>
      <c r="C5276" s="17" t="s">
        <v>0</v>
      </c>
      <c r="D5276" s="19">
        <v>437.6</v>
      </c>
      <c r="F5276" s="3" t="str">
        <f t="shared" si="82"/>
        <v>C2770</v>
      </c>
    </row>
    <row r="5277" spans="1:6" x14ac:dyDescent="0.2">
      <c r="A5277" s="17" t="s">
        <v>14594</v>
      </c>
      <c r="B5277" s="18" t="s">
        <v>14595</v>
      </c>
      <c r="C5277" s="17" t="s">
        <v>0</v>
      </c>
      <c r="D5277" s="19">
        <v>207.5</v>
      </c>
      <c r="F5277" s="3" t="str">
        <f t="shared" si="82"/>
        <v>C2772</v>
      </c>
    </row>
    <row r="5278" spans="1:6" x14ac:dyDescent="0.2">
      <c r="A5278" s="17" t="s">
        <v>14596</v>
      </c>
      <c r="B5278" s="18" t="s">
        <v>14597</v>
      </c>
      <c r="C5278" s="17" t="s">
        <v>0</v>
      </c>
      <c r="D5278" s="19">
        <v>256.56</v>
      </c>
      <c r="F5278" s="3" t="str">
        <f t="shared" si="82"/>
        <v>C2771</v>
      </c>
    </row>
    <row r="5279" spans="1:6" x14ac:dyDescent="0.2">
      <c r="A5279" s="17" t="s">
        <v>14598</v>
      </c>
      <c r="B5279" s="18" t="s">
        <v>14599</v>
      </c>
      <c r="C5279" s="17" t="s">
        <v>0</v>
      </c>
      <c r="D5279" s="19">
        <v>765.72</v>
      </c>
      <c r="F5279" s="3" t="str">
        <f t="shared" si="82"/>
        <v>C1252</v>
      </c>
    </row>
    <row r="5280" spans="1:6" x14ac:dyDescent="0.2">
      <c r="A5280" s="17" t="s">
        <v>14600</v>
      </c>
      <c r="B5280" s="18" t="s">
        <v>14601</v>
      </c>
      <c r="C5280" s="17" t="s">
        <v>26</v>
      </c>
      <c r="D5280" s="19">
        <v>4027.6</v>
      </c>
      <c r="F5280" s="3" t="str">
        <f t="shared" si="82"/>
        <v>C4383</v>
      </c>
    </row>
    <row r="5281" spans="1:6" x14ac:dyDescent="0.2">
      <c r="A5281" s="17">
        <v>0</v>
      </c>
      <c r="B5281" s="18"/>
      <c r="C5281" s="17">
        <v>0</v>
      </c>
      <c r="D5281" s="19">
        <v>0</v>
      </c>
      <c r="F5281" s="3">
        <f t="shared" si="82"/>
        <v>0</v>
      </c>
    </row>
    <row r="5282" spans="1:6" x14ac:dyDescent="0.2">
      <c r="A5282" s="17" t="s">
        <v>14602</v>
      </c>
      <c r="B5282" s="18" t="s">
        <v>14603</v>
      </c>
      <c r="C5282" s="17" t="s">
        <v>255</v>
      </c>
      <c r="D5282" s="19">
        <v>101.42</v>
      </c>
      <c r="F5282" s="3" t="str">
        <f t="shared" si="82"/>
        <v>C2814</v>
      </c>
    </row>
    <row r="5283" spans="1:6" ht="22.5" x14ac:dyDescent="0.2">
      <c r="A5283" s="17" t="s">
        <v>14604</v>
      </c>
      <c r="B5283" s="18" t="s">
        <v>14605</v>
      </c>
      <c r="C5283" s="17" t="s">
        <v>1284</v>
      </c>
      <c r="D5283" s="19">
        <v>39.979999999999997</v>
      </c>
      <c r="F5283" s="3" t="str">
        <f t="shared" si="82"/>
        <v>C4386</v>
      </c>
    </row>
    <row r="5284" spans="1:6" x14ac:dyDescent="0.2">
      <c r="A5284" s="17">
        <v>0</v>
      </c>
      <c r="B5284" s="18"/>
      <c r="C5284" s="17">
        <v>0</v>
      </c>
      <c r="D5284" s="19">
        <v>0</v>
      </c>
      <c r="F5284" s="3">
        <f t="shared" si="82"/>
        <v>0</v>
      </c>
    </row>
    <row r="5285" spans="1:6" x14ac:dyDescent="0.2">
      <c r="A5285" s="17" t="s">
        <v>14606</v>
      </c>
      <c r="B5285" s="18" t="s">
        <v>14607</v>
      </c>
      <c r="C5285" s="17" t="s">
        <v>0</v>
      </c>
      <c r="D5285" s="19">
        <v>135.56</v>
      </c>
      <c r="F5285" s="3" t="str">
        <f t="shared" si="82"/>
        <v>C3505</v>
      </c>
    </row>
    <row r="5286" spans="1:6" x14ac:dyDescent="0.2">
      <c r="A5286" s="17" t="s">
        <v>14608</v>
      </c>
      <c r="B5286" s="18" t="s">
        <v>14609</v>
      </c>
      <c r="C5286" s="17" t="s">
        <v>0</v>
      </c>
      <c r="D5286" s="19">
        <v>362.41</v>
      </c>
      <c r="F5286" s="3" t="str">
        <f t="shared" si="82"/>
        <v>C3506</v>
      </c>
    </row>
    <row r="5287" spans="1:6" ht="22.5" x14ac:dyDescent="0.2">
      <c r="A5287" s="17" t="s">
        <v>14610</v>
      </c>
      <c r="B5287" s="18" t="s">
        <v>14611</v>
      </c>
      <c r="C5287" s="17" t="s">
        <v>0</v>
      </c>
      <c r="D5287" s="19">
        <v>618.51</v>
      </c>
      <c r="F5287" s="3" t="str">
        <f t="shared" si="82"/>
        <v>C4755</v>
      </c>
    </row>
    <row r="5288" spans="1:6" x14ac:dyDescent="0.2">
      <c r="A5288" s="17">
        <v>0</v>
      </c>
      <c r="B5288" s="18"/>
      <c r="C5288" s="17">
        <v>0</v>
      </c>
      <c r="D5288" s="19">
        <v>0</v>
      </c>
      <c r="F5288" s="3">
        <f t="shared" si="82"/>
        <v>0</v>
      </c>
    </row>
    <row r="5289" spans="1:6" ht="22.5" x14ac:dyDescent="0.2">
      <c r="A5289" s="17" t="s">
        <v>14612</v>
      </c>
      <c r="B5289" s="18" t="s">
        <v>14613</v>
      </c>
      <c r="C5289" s="17" t="s">
        <v>0</v>
      </c>
      <c r="D5289" s="19">
        <v>642.72</v>
      </c>
      <c r="F5289" s="3" t="str">
        <f t="shared" si="82"/>
        <v>C4747</v>
      </c>
    </row>
    <row r="5290" spans="1:6" x14ac:dyDescent="0.2">
      <c r="A5290" s="17">
        <v>0</v>
      </c>
      <c r="B5290" s="18"/>
      <c r="C5290" s="17">
        <v>0</v>
      </c>
      <c r="D5290" s="19">
        <v>0</v>
      </c>
      <c r="F5290" s="3">
        <f t="shared" si="82"/>
        <v>0</v>
      </c>
    </row>
    <row r="5291" spans="1:6" ht="33.75" x14ac:dyDescent="0.2">
      <c r="A5291" s="17" t="s">
        <v>14614</v>
      </c>
      <c r="B5291" s="18" t="s">
        <v>14615</v>
      </c>
      <c r="C5291" s="17" t="s">
        <v>0</v>
      </c>
      <c r="D5291" s="19">
        <v>719.32</v>
      </c>
      <c r="F5291" s="3" t="str">
        <f t="shared" si="82"/>
        <v>C4829</v>
      </c>
    </row>
    <row r="5292" spans="1:6" x14ac:dyDescent="0.2">
      <c r="A5292" s="17">
        <v>0</v>
      </c>
      <c r="B5292" s="18"/>
      <c r="C5292" s="17">
        <v>0</v>
      </c>
      <c r="D5292" s="19">
        <v>0</v>
      </c>
      <c r="F5292" s="3">
        <f t="shared" si="82"/>
        <v>0</v>
      </c>
    </row>
    <row r="5293" spans="1:6" x14ac:dyDescent="0.2">
      <c r="A5293" s="17" t="s">
        <v>14616</v>
      </c>
      <c r="B5293" s="18" t="s">
        <v>14617</v>
      </c>
      <c r="C5293" s="17" t="s">
        <v>26</v>
      </c>
      <c r="D5293" s="19">
        <v>426.79</v>
      </c>
      <c r="F5293" s="3" t="str">
        <f t="shared" si="82"/>
        <v>C2972</v>
      </c>
    </row>
    <row r="5294" spans="1:6" x14ac:dyDescent="0.2">
      <c r="A5294" s="17" t="s">
        <v>14618</v>
      </c>
      <c r="B5294" s="18" t="s">
        <v>14619</v>
      </c>
      <c r="C5294" s="17" t="s">
        <v>26</v>
      </c>
      <c r="D5294" s="19">
        <v>517.25</v>
      </c>
      <c r="F5294" s="3" t="str">
        <f t="shared" si="82"/>
        <v>C2970</v>
      </c>
    </row>
    <row r="5295" spans="1:6" x14ac:dyDescent="0.2">
      <c r="A5295" s="17" t="s">
        <v>14620</v>
      </c>
      <c r="B5295" s="18" t="s">
        <v>14621</v>
      </c>
      <c r="C5295" s="17" t="s">
        <v>26</v>
      </c>
      <c r="D5295" s="19">
        <v>816.47</v>
      </c>
      <c r="F5295" s="3" t="str">
        <f t="shared" si="82"/>
        <v>C2969</v>
      </c>
    </row>
    <row r="5296" spans="1:6" x14ac:dyDescent="0.2">
      <c r="A5296" s="17" t="s">
        <v>14622</v>
      </c>
      <c r="B5296" s="18" t="s">
        <v>14623</v>
      </c>
      <c r="C5296" s="17" t="s">
        <v>26</v>
      </c>
      <c r="D5296" s="19">
        <v>988.17</v>
      </c>
      <c r="F5296" s="3" t="str">
        <f t="shared" si="82"/>
        <v>C2971</v>
      </c>
    </row>
    <row r="5297" spans="1:6" ht="22.5" x14ac:dyDescent="0.2">
      <c r="A5297" s="17" t="s">
        <v>14624</v>
      </c>
      <c r="B5297" s="18" t="s">
        <v>14625</v>
      </c>
      <c r="C5297" s="17" t="s">
        <v>26</v>
      </c>
      <c r="D5297" s="19">
        <v>478.86</v>
      </c>
      <c r="F5297" s="3" t="str">
        <f t="shared" si="82"/>
        <v>C2974</v>
      </c>
    </row>
    <row r="5298" spans="1:6" x14ac:dyDescent="0.2">
      <c r="A5298" s="17">
        <v>0</v>
      </c>
      <c r="B5298" s="18"/>
      <c r="C5298" s="17">
        <v>0</v>
      </c>
      <c r="D5298" s="19">
        <v>0</v>
      </c>
      <c r="F5298" s="3">
        <f t="shared" si="82"/>
        <v>0</v>
      </c>
    </row>
    <row r="5299" spans="1:6" ht="22.5" x14ac:dyDescent="0.2">
      <c r="A5299" s="17" t="s">
        <v>14626</v>
      </c>
      <c r="B5299" s="18" t="s">
        <v>14627</v>
      </c>
      <c r="C5299" s="17" t="s">
        <v>26</v>
      </c>
      <c r="D5299" s="19">
        <v>699.19</v>
      </c>
      <c r="F5299" s="3" t="str">
        <f t="shared" si="82"/>
        <v>C2973</v>
      </c>
    </row>
    <row r="5300" spans="1:6" x14ac:dyDescent="0.2">
      <c r="A5300" s="17">
        <v>0</v>
      </c>
      <c r="B5300" s="18"/>
      <c r="C5300" s="17">
        <v>0</v>
      </c>
      <c r="D5300" s="19">
        <v>0</v>
      </c>
      <c r="F5300" s="3">
        <f t="shared" si="82"/>
        <v>0</v>
      </c>
    </row>
    <row r="5301" spans="1:6" ht="22.5" x14ac:dyDescent="0.2">
      <c r="A5301" s="17" t="s">
        <v>14628</v>
      </c>
      <c r="B5301" s="18" t="s">
        <v>14629</v>
      </c>
      <c r="C5301" s="17" t="s">
        <v>26</v>
      </c>
      <c r="D5301" s="19">
        <v>181.32</v>
      </c>
      <c r="F5301" s="3" t="str">
        <f t="shared" si="82"/>
        <v>C2975</v>
      </c>
    </row>
    <row r="5302" spans="1:6" x14ac:dyDescent="0.2">
      <c r="A5302" s="17">
        <v>0</v>
      </c>
      <c r="B5302" s="18"/>
      <c r="C5302" s="17">
        <v>0</v>
      </c>
      <c r="D5302" s="19">
        <v>0</v>
      </c>
      <c r="F5302" s="3">
        <f t="shared" si="82"/>
        <v>0</v>
      </c>
    </row>
    <row r="5303" spans="1:6" ht="22.5" x14ac:dyDescent="0.2">
      <c r="A5303" s="17" t="s">
        <v>14630</v>
      </c>
      <c r="B5303" s="18" t="s">
        <v>14631</v>
      </c>
      <c r="C5303" s="17" t="s">
        <v>26</v>
      </c>
      <c r="D5303" s="19">
        <v>242.98</v>
      </c>
      <c r="F5303" s="3" t="str">
        <f t="shared" si="82"/>
        <v>C2976</v>
      </c>
    </row>
    <row r="5304" spans="1:6" x14ac:dyDescent="0.2">
      <c r="A5304" s="17">
        <v>0</v>
      </c>
      <c r="B5304" s="18"/>
      <c r="C5304" s="17">
        <v>0</v>
      </c>
      <c r="D5304" s="19">
        <v>0</v>
      </c>
      <c r="F5304" s="3">
        <f t="shared" si="82"/>
        <v>0</v>
      </c>
    </row>
    <row r="5305" spans="1:6" ht="22.5" x14ac:dyDescent="0.2">
      <c r="A5305" s="17" t="s">
        <v>14632</v>
      </c>
      <c r="B5305" s="18" t="s">
        <v>14633</v>
      </c>
      <c r="C5305" s="17" t="s">
        <v>255</v>
      </c>
      <c r="D5305" s="19">
        <v>1821.31</v>
      </c>
      <c r="F5305" s="3" t="str">
        <f t="shared" si="82"/>
        <v>C4751</v>
      </c>
    </row>
    <row r="5306" spans="1:6" x14ac:dyDescent="0.2">
      <c r="A5306" s="17">
        <v>0</v>
      </c>
      <c r="B5306" s="18"/>
      <c r="C5306" s="17">
        <v>0</v>
      </c>
      <c r="D5306" s="19">
        <v>0</v>
      </c>
      <c r="F5306" s="3">
        <f t="shared" si="82"/>
        <v>0</v>
      </c>
    </row>
    <row r="5307" spans="1:6" ht="22.5" x14ac:dyDescent="0.2">
      <c r="A5307" s="17" t="s">
        <v>14634</v>
      </c>
      <c r="B5307" s="18" t="s">
        <v>14635</v>
      </c>
      <c r="C5307" s="17" t="s">
        <v>255</v>
      </c>
      <c r="D5307" s="19">
        <v>1221.31</v>
      </c>
      <c r="F5307" s="3" t="str">
        <f t="shared" si="82"/>
        <v>C4750</v>
      </c>
    </row>
    <row r="5308" spans="1:6" x14ac:dyDescent="0.2">
      <c r="A5308" s="17">
        <v>0</v>
      </c>
      <c r="B5308" s="18"/>
      <c r="C5308" s="17">
        <v>0</v>
      </c>
      <c r="D5308" s="19">
        <v>0</v>
      </c>
      <c r="F5308" s="3">
        <f t="shared" si="82"/>
        <v>0</v>
      </c>
    </row>
    <row r="5309" spans="1:6" x14ac:dyDescent="0.2">
      <c r="A5309" s="14" t="s">
        <v>7834</v>
      </c>
      <c r="B5309" s="15"/>
      <c r="C5309" s="14">
        <v>0</v>
      </c>
      <c r="D5309" s="16">
        <v>388.66</v>
      </c>
      <c r="F5309" s="3" t="str">
        <f t="shared" si="82"/>
        <v>OUTROS ELEMENTOS</v>
      </c>
    </row>
    <row r="5310" spans="1:6" x14ac:dyDescent="0.2">
      <c r="A5310" s="17" t="s">
        <v>14636</v>
      </c>
      <c r="B5310" s="18" t="s">
        <v>14637</v>
      </c>
      <c r="C5310" s="17" t="s">
        <v>26</v>
      </c>
      <c r="D5310" s="19">
        <v>44.17</v>
      </c>
      <c r="F5310" s="3" t="str">
        <f t="shared" si="82"/>
        <v>C1275</v>
      </c>
    </row>
    <row r="5311" spans="1:6" x14ac:dyDescent="0.2">
      <c r="A5311" s="17" t="s">
        <v>14638</v>
      </c>
      <c r="B5311" s="18" t="s">
        <v>14639</v>
      </c>
      <c r="C5311" s="17" t="s">
        <v>26</v>
      </c>
      <c r="D5311" s="19">
        <v>64.47</v>
      </c>
      <c r="F5311" s="3" t="str">
        <f t="shared" si="82"/>
        <v>C1276</v>
      </c>
    </row>
    <row r="5312" spans="1:6" x14ac:dyDescent="0.2">
      <c r="A5312" s="17" t="s">
        <v>14640</v>
      </c>
      <c r="B5312" s="18" t="s">
        <v>14641</v>
      </c>
      <c r="C5312" s="17" t="s">
        <v>0</v>
      </c>
      <c r="D5312" s="19">
        <v>29.36</v>
      </c>
      <c r="F5312" s="3" t="str">
        <f t="shared" si="82"/>
        <v>C4860</v>
      </c>
    </row>
    <row r="5313" spans="1:6" x14ac:dyDescent="0.2">
      <c r="A5313" s="17" t="s">
        <v>14642</v>
      </c>
      <c r="B5313" s="18" t="s">
        <v>14643</v>
      </c>
      <c r="C5313" s="17" t="s">
        <v>0</v>
      </c>
      <c r="D5313" s="19">
        <v>39.57</v>
      </c>
      <c r="F5313" s="3" t="str">
        <f t="shared" si="82"/>
        <v>C1423</v>
      </c>
    </row>
    <row r="5314" spans="1:6" x14ac:dyDescent="0.2">
      <c r="A5314" s="17" t="s">
        <v>14644</v>
      </c>
      <c r="B5314" s="18" t="s">
        <v>14645</v>
      </c>
      <c r="C5314" s="17" t="s">
        <v>0</v>
      </c>
      <c r="D5314" s="19">
        <v>115.8</v>
      </c>
      <c r="F5314" s="3" t="str">
        <f t="shared" ref="F5314:F5377" si="83">A5314</f>
        <v>C1830</v>
      </c>
    </row>
    <row r="5315" spans="1:6" x14ac:dyDescent="0.2">
      <c r="A5315" s="17" t="s">
        <v>14646</v>
      </c>
      <c r="B5315" s="18" t="s">
        <v>14647</v>
      </c>
      <c r="C5315" s="17" t="s">
        <v>0</v>
      </c>
      <c r="D5315" s="19">
        <v>95.29</v>
      </c>
      <c r="F5315" s="3" t="str">
        <f t="shared" si="83"/>
        <v>C1829</v>
      </c>
    </row>
    <row r="5316" spans="1:6" x14ac:dyDescent="0.2">
      <c r="A5316" s="14" t="s">
        <v>14648</v>
      </c>
      <c r="B5316" s="15"/>
      <c r="C5316" s="14">
        <v>0</v>
      </c>
      <c r="D5316" s="16">
        <v>58564.93</v>
      </c>
      <c r="F5316" s="3" t="str">
        <f t="shared" si="83"/>
        <v>SISTEMA DE AR CONDICIONADO</v>
      </c>
    </row>
    <row r="5317" spans="1:6" x14ac:dyDescent="0.2">
      <c r="A5317" s="14" t="s">
        <v>14649</v>
      </c>
      <c r="B5317" s="15"/>
      <c r="C5317" s="14">
        <v>0</v>
      </c>
      <c r="D5317" s="16">
        <v>57040.83</v>
      </c>
      <c r="F5317" s="3" t="str">
        <f t="shared" si="83"/>
        <v>EM EDIFICAÇÕES</v>
      </c>
    </row>
    <row r="5318" spans="1:6" x14ac:dyDescent="0.2">
      <c r="A5318" s="17" t="s">
        <v>14650</v>
      </c>
      <c r="B5318" s="18" t="s">
        <v>14651</v>
      </c>
      <c r="C5318" s="17" t="s">
        <v>26</v>
      </c>
      <c r="D5318" s="19">
        <v>1368.9</v>
      </c>
      <c r="F5318" s="3" t="str">
        <f t="shared" si="83"/>
        <v>C3866</v>
      </c>
    </row>
    <row r="5319" spans="1:6" x14ac:dyDescent="0.2">
      <c r="A5319" s="17" t="s">
        <v>14652</v>
      </c>
      <c r="B5319" s="18" t="s">
        <v>14653</v>
      </c>
      <c r="C5319" s="17" t="s">
        <v>26</v>
      </c>
      <c r="D5319" s="19">
        <v>1738.99</v>
      </c>
      <c r="F5319" s="3" t="str">
        <f t="shared" si="83"/>
        <v>C3867</v>
      </c>
    </row>
    <row r="5320" spans="1:6" x14ac:dyDescent="0.2">
      <c r="A5320" s="17" t="s">
        <v>14654</v>
      </c>
      <c r="B5320" s="18" t="s">
        <v>14655</v>
      </c>
      <c r="C5320" s="17" t="s">
        <v>26</v>
      </c>
      <c r="D5320" s="19">
        <v>2040</v>
      </c>
      <c r="F5320" s="3" t="str">
        <f t="shared" si="83"/>
        <v>C3868</v>
      </c>
    </row>
    <row r="5321" spans="1:6" x14ac:dyDescent="0.2">
      <c r="A5321" s="17" t="s">
        <v>14656</v>
      </c>
      <c r="B5321" s="18" t="s">
        <v>14657</v>
      </c>
      <c r="C5321" s="17" t="s">
        <v>26</v>
      </c>
      <c r="D5321" s="19">
        <v>3161.57</v>
      </c>
      <c r="F5321" s="3" t="str">
        <f t="shared" si="83"/>
        <v>C3870</v>
      </c>
    </row>
    <row r="5322" spans="1:6" x14ac:dyDescent="0.2">
      <c r="A5322" s="17" t="s">
        <v>14658</v>
      </c>
      <c r="B5322" s="18" t="s">
        <v>14659</v>
      </c>
      <c r="C5322" s="17" t="s">
        <v>26</v>
      </c>
      <c r="D5322" s="19">
        <v>3643.29</v>
      </c>
      <c r="F5322" s="3" t="str">
        <f t="shared" si="83"/>
        <v>C3871</v>
      </c>
    </row>
    <row r="5323" spans="1:6" x14ac:dyDescent="0.2">
      <c r="A5323" s="17" t="s">
        <v>14660</v>
      </c>
      <c r="B5323" s="18" t="s">
        <v>14661</v>
      </c>
      <c r="C5323" s="17" t="s">
        <v>26</v>
      </c>
      <c r="D5323" s="19">
        <v>4639.7700000000004</v>
      </c>
      <c r="F5323" s="3" t="str">
        <f t="shared" si="83"/>
        <v>C3872</v>
      </c>
    </row>
    <row r="5324" spans="1:6" x14ac:dyDescent="0.2">
      <c r="A5324" s="17" t="s">
        <v>14662</v>
      </c>
      <c r="B5324" s="18" t="s">
        <v>14663</v>
      </c>
      <c r="C5324" s="17" t="s">
        <v>0</v>
      </c>
      <c r="D5324" s="19">
        <v>281.61</v>
      </c>
      <c r="F5324" s="3" t="str">
        <f t="shared" si="83"/>
        <v>C4121</v>
      </c>
    </row>
    <row r="5325" spans="1:6" x14ac:dyDescent="0.2">
      <c r="A5325" s="17" t="s">
        <v>14664</v>
      </c>
      <c r="B5325" s="18" t="s">
        <v>14665</v>
      </c>
      <c r="C5325" s="17" t="s">
        <v>26</v>
      </c>
      <c r="D5325" s="19">
        <v>175.36</v>
      </c>
      <c r="F5325" s="3" t="str">
        <f t="shared" si="83"/>
        <v>C3873</v>
      </c>
    </row>
    <row r="5326" spans="1:6" x14ac:dyDescent="0.2">
      <c r="A5326" s="17">
        <v>0</v>
      </c>
      <c r="B5326" s="18"/>
      <c r="C5326" s="17">
        <v>0</v>
      </c>
      <c r="D5326" s="19">
        <v>0</v>
      </c>
      <c r="F5326" s="3">
        <f t="shared" si="83"/>
        <v>0</v>
      </c>
    </row>
    <row r="5327" spans="1:6" ht="22.5" x14ac:dyDescent="0.2">
      <c r="A5327" s="17" t="s">
        <v>14666</v>
      </c>
      <c r="B5327" s="18" t="s">
        <v>14667</v>
      </c>
      <c r="C5327" s="17" t="s">
        <v>26</v>
      </c>
      <c r="D5327" s="19">
        <v>260.45</v>
      </c>
      <c r="F5327" s="3" t="str">
        <f t="shared" si="83"/>
        <v>C3874</v>
      </c>
    </row>
    <row r="5328" spans="1:6" x14ac:dyDescent="0.2">
      <c r="A5328" s="17">
        <v>0</v>
      </c>
      <c r="B5328" s="18"/>
      <c r="C5328" s="17">
        <v>0</v>
      </c>
      <c r="D5328" s="19">
        <v>0</v>
      </c>
      <c r="F5328" s="3">
        <f t="shared" si="83"/>
        <v>0</v>
      </c>
    </row>
    <row r="5329" spans="1:6" ht="22.5" x14ac:dyDescent="0.2">
      <c r="A5329" s="17" t="s">
        <v>14668</v>
      </c>
      <c r="B5329" s="18" t="s">
        <v>14669</v>
      </c>
      <c r="C5329" s="17" t="s">
        <v>26</v>
      </c>
      <c r="D5329" s="19">
        <v>309.45</v>
      </c>
      <c r="F5329" s="3" t="str">
        <f t="shared" si="83"/>
        <v>C3875</v>
      </c>
    </row>
    <row r="5330" spans="1:6" x14ac:dyDescent="0.2">
      <c r="A5330" s="17">
        <v>0</v>
      </c>
      <c r="B5330" s="18"/>
      <c r="C5330" s="17">
        <v>0</v>
      </c>
      <c r="D5330" s="19">
        <v>0</v>
      </c>
      <c r="F5330" s="3">
        <f t="shared" si="83"/>
        <v>0</v>
      </c>
    </row>
    <row r="5331" spans="1:6" ht="22.5" x14ac:dyDescent="0.2">
      <c r="A5331" s="17" t="s">
        <v>14670</v>
      </c>
      <c r="B5331" s="18" t="s">
        <v>14671</v>
      </c>
      <c r="C5331" s="17" t="s">
        <v>26</v>
      </c>
      <c r="D5331" s="19">
        <v>386.01</v>
      </c>
      <c r="F5331" s="3" t="str">
        <f t="shared" si="83"/>
        <v>C3876</v>
      </c>
    </row>
    <row r="5332" spans="1:6" x14ac:dyDescent="0.2">
      <c r="A5332" s="17">
        <v>0</v>
      </c>
      <c r="B5332" s="18"/>
      <c r="C5332" s="17">
        <v>0</v>
      </c>
      <c r="D5332" s="19">
        <v>0</v>
      </c>
      <c r="F5332" s="3">
        <f t="shared" si="83"/>
        <v>0</v>
      </c>
    </row>
    <row r="5333" spans="1:6" ht="22.5" x14ac:dyDescent="0.2">
      <c r="A5333" s="17" t="s">
        <v>14672</v>
      </c>
      <c r="B5333" s="18" t="s">
        <v>14673</v>
      </c>
      <c r="C5333" s="17" t="s">
        <v>26</v>
      </c>
      <c r="D5333" s="19">
        <v>468.07</v>
      </c>
      <c r="F5333" s="3" t="str">
        <f t="shared" si="83"/>
        <v>C3877</v>
      </c>
    </row>
    <row r="5334" spans="1:6" x14ac:dyDescent="0.2">
      <c r="A5334" s="17">
        <v>0</v>
      </c>
      <c r="B5334" s="18"/>
      <c r="C5334" s="17">
        <v>0</v>
      </c>
      <c r="D5334" s="19">
        <v>0</v>
      </c>
      <c r="F5334" s="3">
        <f t="shared" si="83"/>
        <v>0</v>
      </c>
    </row>
    <row r="5335" spans="1:6" ht="33.75" x14ac:dyDescent="0.2">
      <c r="A5335" s="17" t="s">
        <v>14674</v>
      </c>
      <c r="B5335" s="18" t="s">
        <v>14675</v>
      </c>
      <c r="C5335" s="17" t="s">
        <v>1284</v>
      </c>
      <c r="D5335" s="19">
        <v>15.35</v>
      </c>
      <c r="F5335" s="3" t="str">
        <f t="shared" si="83"/>
        <v>C4123</v>
      </c>
    </row>
    <row r="5336" spans="1:6" x14ac:dyDescent="0.2">
      <c r="A5336" s="17">
        <v>0</v>
      </c>
      <c r="B5336" s="18"/>
      <c r="C5336" s="17">
        <v>0</v>
      </c>
      <c r="D5336" s="19">
        <v>0</v>
      </c>
      <c r="F5336" s="3">
        <f t="shared" si="83"/>
        <v>0</v>
      </c>
    </row>
    <row r="5337" spans="1:6" ht="33.75" x14ac:dyDescent="0.2">
      <c r="A5337" s="17" t="s">
        <v>14676</v>
      </c>
      <c r="B5337" s="18" t="s">
        <v>14677</v>
      </c>
      <c r="C5337" s="17" t="s">
        <v>1284</v>
      </c>
      <c r="D5337" s="19">
        <v>19.809999999999999</v>
      </c>
      <c r="F5337" s="3" t="str">
        <f t="shared" si="83"/>
        <v>C4119</v>
      </c>
    </row>
    <row r="5338" spans="1:6" x14ac:dyDescent="0.2">
      <c r="A5338" s="17">
        <v>0</v>
      </c>
      <c r="B5338" s="18"/>
      <c r="C5338" s="17">
        <v>0</v>
      </c>
      <c r="D5338" s="19">
        <v>0</v>
      </c>
      <c r="F5338" s="3">
        <f t="shared" si="83"/>
        <v>0</v>
      </c>
    </row>
    <row r="5339" spans="1:6" ht="22.5" x14ac:dyDescent="0.2">
      <c r="A5339" s="17" t="s">
        <v>14678</v>
      </c>
      <c r="B5339" s="18" t="s">
        <v>14679</v>
      </c>
      <c r="C5339" s="17" t="s">
        <v>26</v>
      </c>
      <c r="D5339" s="19">
        <v>1379.8</v>
      </c>
      <c r="F5339" s="3" t="str">
        <f t="shared" si="83"/>
        <v>C3734</v>
      </c>
    </row>
    <row r="5340" spans="1:6" x14ac:dyDescent="0.2">
      <c r="A5340" s="17">
        <v>0</v>
      </c>
      <c r="B5340" s="18"/>
      <c r="C5340" s="17">
        <v>0</v>
      </c>
      <c r="D5340" s="19">
        <v>0</v>
      </c>
      <c r="F5340" s="3">
        <f t="shared" si="83"/>
        <v>0</v>
      </c>
    </row>
    <row r="5341" spans="1:6" x14ac:dyDescent="0.2">
      <c r="A5341" s="17" t="s">
        <v>14680</v>
      </c>
      <c r="B5341" s="18" t="s">
        <v>14681</v>
      </c>
      <c r="C5341" s="17" t="s">
        <v>26</v>
      </c>
      <c r="D5341" s="19">
        <v>35.99</v>
      </c>
      <c r="F5341" s="3" t="str">
        <f t="shared" si="83"/>
        <v>C3878</v>
      </c>
    </row>
    <row r="5342" spans="1:6" x14ac:dyDescent="0.2">
      <c r="A5342" s="17" t="s">
        <v>14682</v>
      </c>
      <c r="B5342" s="18" t="s">
        <v>14683</v>
      </c>
      <c r="C5342" s="17" t="s">
        <v>26</v>
      </c>
      <c r="D5342" s="19">
        <v>73.03</v>
      </c>
      <c r="F5342" s="3" t="str">
        <f t="shared" si="83"/>
        <v>C3879</v>
      </c>
    </row>
    <row r="5343" spans="1:6" x14ac:dyDescent="0.2">
      <c r="A5343" s="17" t="s">
        <v>14684</v>
      </c>
      <c r="B5343" s="18" t="s">
        <v>14685</v>
      </c>
      <c r="C5343" s="17" t="s">
        <v>26</v>
      </c>
      <c r="D5343" s="19">
        <v>90.01</v>
      </c>
      <c r="F5343" s="3" t="str">
        <f t="shared" si="83"/>
        <v>C3880</v>
      </c>
    </row>
    <row r="5344" spans="1:6" x14ac:dyDescent="0.2">
      <c r="A5344" s="17" t="s">
        <v>14686</v>
      </c>
      <c r="B5344" s="18" t="s">
        <v>14687</v>
      </c>
      <c r="C5344" s="17" t="s">
        <v>26</v>
      </c>
      <c r="D5344" s="19">
        <v>113.97</v>
      </c>
      <c r="F5344" s="3" t="str">
        <f t="shared" si="83"/>
        <v>C3881</v>
      </c>
    </row>
    <row r="5345" spans="1:6" x14ac:dyDescent="0.2">
      <c r="A5345" s="17" t="s">
        <v>14688</v>
      </c>
      <c r="B5345" s="18" t="s">
        <v>14689</v>
      </c>
      <c r="C5345" s="17" t="s">
        <v>26</v>
      </c>
      <c r="D5345" s="19">
        <v>139.97999999999999</v>
      </c>
      <c r="F5345" s="3" t="str">
        <f t="shared" si="83"/>
        <v>C3882</v>
      </c>
    </row>
    <row r="5346" spans="1:6" x14ac:dyDescent="0.2">
      <c r="A5346" s="17" t="s">
        <v>14690</v>
      </c>
      <c r="B5346" s="18" t="s">
        <v>14691</v>
      </c>
      <c r="C5346" s="17" t="s">
        <v>0</v>
      </c>
      <c r="D5346" s="19">
        <v>69.56</v>
      </c>
      <c r="F5346" s="3" t="str">
        <f t="shared" si="83"/>
        <v>C2269</v>
      </c>
    </row>
    <row r="5347" spans="1:6" x14ac:dyDescent="0.2">
      <c r="A5347" s="17" t="s">
        <v>14692</v>
      </c>
      <c r="B5347" s="18" t="s">
        <v>14693</v>
      </c>
      <c r="C5347" s="17" t="s">
        <v>26</v>
      </c>
      <c r="D5347" s="19">
        <v>2735.44</v>
      </c>
      <c r="F5347" s="3" t="str">
        <f t="shared" si="83"/>
        <v>C3860</v>
      </c>
    </row>
    <row r="5348" spans="1:6" x14ac:dyDescent="0.2">
      <c r="A5348" s="17">
        <v>0</v>
      </c>
      <c r="B5348" s="18"/>
      <c r="C5348" s="17">
        <v>0</v>
      </c>
      <c r="D5348" s="19">
        <v>0</v>
      </c>
      <c r="F5348" s="3">
        <f t="shared" si="83"/>
        <v>0</v>
      </c>
    </row>
    <row r="5349" spans="1:6" x14ac:dyDescent="0.2">
      <c r="A5349" s="17" t="s">
        <v>14694</v>
      </c>
      <c r="B5349" s="18" t="s">
        <v>14695</v>
      </c>
      <c r="C5349" s="17" t="s">
        <v>26</v>
      </c>
      <c r="D5349" s="19">
        <v>4135.99</v>
      </c>
      <c r="F5349" s="3" t="str">
        <f t="shared" si="83"/>
        <v>C3861</v>
      </c>
    </row>
    <row r="5350" spans="1:6" x14ac:dyDescent="0.2">
      <c r="A5350" s="17">
        <v>0</v>
      </c>
      <c r="B5350" s="18"/>
      <c r="C5350" s="17">
        <v>0</v>
      </c>
      <c r="D5350" s="19">
        <v>0</v>
      </c>
      <c r="F5350" s="3">
        <f t="shared" si="83"/>
        <v>0</v>
      </c>
    </row>
    <row r="5351" spans="1:6" x14ac:dyDescent="0.2">
      <c r="A5351" s="17" t="s">
        <v>14696</v>
      </c>
      <c r="B5351" s="18" t="s">
        <v>14697</v>
      </c>
      <c r="C5351" s="17" t="s">
        <v>26</v>
      </c>
      <c r="D5351" s="19">
        <v>5116.67</v>
      </c>
      <c r="F5351" s="3" t="str">
        <f t="shared" si="83"/>
        <v>C3862</v>
      </c>
    </row>
    <row r="5352" spans="1:6" x14ac:dyDescent="0.2">
      <c r="A5352" s="17">
        <v>0</v>
      </c>
      <c r="B5352" s="18"/>
      <c r="C5352" s="17">
        <v>0</v>
      </c>
      <c r="D5352" s="19">
        <v>0</v>
      </c>
      <c r="F5352" s="3">
        <f t="shared" si="83"/>
        <v>0</v>
      </c>
    </row>
    <row r="5353" spans="1:6" x14ac:dyDescent="0.2">
      <c r="A5353" s="17" t="s">
        <v>14698</v>
      </c>
      <c r="B5353" s="18" t="s">
        <v>14699</v>
      </c>
      <c r="C5353" s="17" t="s">
        <v>26</v>
      </c>
      <c r="D5353" s="19">
        <v>7481.6</v>
      </c>
      <c r="F5353" s="3" t="str">
        <f t="shared" si="83"/>
        <v>C3863</v>
      </c>
    </row>
    <row r="5354" spans="1:6" x14ac:dyDescent="0.2">
      <c r="A5354" s="17">
        <v>0</v>
      </c>
      <c r="B5354" s="18"/>
      <c r="C5354" s="17">
        <v>0</v>
      </c>
      <c r="D5354" s="19">
        <v>0</v>
      </c>
      <c r="F5354" s="3">
        <f t="shared" si="83"/>
        <v>0</v>
      </c>
    </row>
    <row r="5355" spans="1:6" x14ac:dyDescent="0.2">
      <c r="A5355" s="17" t="s">
        <v>14700</v>
      </c>
      <c r="B5355" s="18" t="s">
        <v>14701</v>
      </c>
      <c r="C5355" s="17" t="s">
        <v>26</v>
      </c>
      <c r="D5355" s="19">
        <v>7806.47</v>
      </c>
      <c r="F5355" s="3" t="str">
        <f t="shared" si="83"/>
        <v>C3864</v>
      </c>
    </row>
    <row r="5356" spans="1:6" x14ac:dyDescent="0.2">
      <c r="A5356" s="17">
        <v>0</v>
      </c>
      <c r="B5356" s="18"/>
      <c r="C5356" s="17">
        <v>0</v>
      </c>
      <c r="D5356" s="19">
        <v>0</v>
      </c>
      <c r="F5356" s="3">
        <f t="shared" si="83"/>
        <v>0</v>
      </c>
    </row>
    <row r="5357" spans="1:6" x14ac:dyDescent="0.2">
      <c r="A5357" s="17" t="s">
        <v>14702</v>
      </c>
      <c r="B5357" s="18" t="s">
        <v>14703</v>
      </c>
      <c r="C5357" s="17" t="s">
        <v>26</v>
      </c>
      <c r="D5357" s="19">
        <v>9353.69</v>
      </c>
      <c r="F5357" s="3" t="str">
        <f t="shared" si="83"/>
        <v>C3865</v>
      </c>
    </row>
    <row r="5358" spans="1:6" x14ac:dyDescent="0.2">
      <c r="A5358" s="17">
        <v>0</v>
      </c>
      <c r="B5358" s="18"/>
      <c r="C5358" s="17">
        <v>0</v>
      </c>
      <c r="D5358" s="19">
        <v>0</v>
      </c>
      <c r="F5358" s="3">
        <f t="shared" si="83"/>
        <v>0</v>
      </c>
    </row>
    <row r="5359" spans="1:6" x14ac:dyDescent="0.2">
      <c r="A5359" s="14" t="s">
        <v>14704</v>
      </c>
      <c r="B5359" s="15"/>
      <c r="C5359" s="14">
        <v>0</v>
      </c>
      <c r="D5359" s="16">
        <v>1524.1</v>
      </c>
      <c r="F5359" s="3" t="str">
        <f t="shared" si="83"/>
        <v>REDE FRIGORÍGENA</v>
      </c>
    </row>
    <row r="5360" spans="1:6" ht="22.5" x14ac:dyDescent="0.2">
      <c r="A5360" s="17" t="s">
        <v>14705</v>
      </c>
      <c r="B5360" s="18" t="s">
        <v>14706</v>
      </c>
      <c r="C5360" s="17" t="s">
        <v>0</v>
      </c>
      <c r="D5360" s="19">
        <v>50.47</v>
      </c>
      <c r="F5360" s="3" t="str">
        <f t="shared" si="83"/>
        <v>C4776</v>
      </c>
    </row>
    <row r="5361" spans="1:6" x14ac:dyDescent="0.2">
      <c r="A5361" s="17">
        <v>0</v>
      </c>
      <c r="B5361" s="18"/>
      <c r="C5361" s="17">
        <v>0</v>
      </c>
      <c r="D5361" s="19">
        <v>0</v>
      </c>
      <c r="F5361" s="3">
        <f t="shared" si="83"/>
        <v>0</v>
      </c>
    </row>
    <row r="5362" spans="1:6" ht="22.5" x14ac:dyDescent="0.2">
      <c r="A5362" s="17" t="s">
        <v>14707</v>
      </c>
      <c r="B5362" s="18" t="s">
        <v>14708</v>
      </c>
      <c r="C5362" s="17" t="s">
        <v>0</v>
      </c>
      <c r="D5362" s="19">
        <v>51.18</v>
      </c>
      <c r="F5362" s="3" t="str">
        <f t="shared" si="83"/>
        <v>C4777</v>
      </c>
    </row>
    <row r="5363" spans="1:6" x14ac:dyDescent="0.2">
      <c r="A5363" s="17">
        <v>0</v>
      </c>
      <c r="B5363" s="18"/>
      <c r="C5363" s="17">
        <v>0</v>
      </c>
      <c r="D5363" s="19">
        <v>0</v>
      </c>
      <c r="F5363" s="3">
        <f t="shared" si="83"/>
        <v>0</v>
      </c>
    </row>
    <row r="5364" spans="1:6" ht="22.5" x14ac:dyDescent="0.2">
      <c r="A5364" s="17" t="s">
        <v>14709</v>
      </c>
      <c r="B5364" s="18" t="s">
        <v>14710</v>
      </c>
      <c r="C5364" s="17" t="s">
        <v>0</v>
      </c>
      <c r="D5364" s="19">
        <v>64.62</v>
      </c>
      <c r="F5364" s="3" t="str">
        <f t="shared" si="83"/>
        <v>C4778</v>
      </c>
    </row>
    <row r="5365" spans="1:6" x14ac:dyDescent="0.2">
      <c r="A5365" s="17">
        <v>0</v>
      </c>
      <c r="B5365" s="18"/>
      <c r="C5365" s="17">
        <v>0</v>
      </c>
      <c r="D5365" s="19">
        <v>0</v>
      </c>
      <c r="F5365" s="3">
        <f t="shared" si="83"/>
        <v>0</v>
      </c>
    </row>
    <row r="5366" spans="1:6" ht="22.5" x14ac:dyDescent="0.2">
      <c r="A5366" s="17" t="s">
        <v>14711</v>
      </c>
      <c r="B5366" s="18" t="s">
        <v>14712</v>
      </c>
      <c r="C5366" s="17" t="s">
        <v>0</v>
      </c>
      <c r="D5366" s="19">
        <v>75.98</v>
      </c>
      <c r="F5366" s="3" t="str">
        <f t="shared" si="83"/>
        <v>C4779</v>
      </c>
    </row>
    <row r="5367" spans="1:6" x14ac:dyDescent="0.2">
      <c r="A5367" s="17">
        <v>0</v>
      </c>
      <c r="B5367" s="18"/>
      <c r="C5367" s="17">
        <v>0</v>
      </c>
      <c r="D5367" s="19">
        <v>0</v>
      </c>
      <c r="F5367" s="3">
        <f t="shared" si="83"/>
        <v>0</v>
      </c>
    </row>
    <row r="5368" spans="1:6" ht="22.5" x14ac:dyDescent="0.2">
      <c r="A5368" s="17" t="s">
        <v>14713</v>
      </c>
      <c r="B5368" s="18" t="s">
        <v>14714</v>
      </c>
      <c r="C5368" s="17" t="s">
        <v>0</v>
      </c>
      <c r="D5368" s="19">
        <v>88.48</v>
      </c>
      <c r="F5368" s="3" t="str">
        <f t="shared" si="83"/>
        <v>C4780</v>
      </c>
    </row>
    <row r="5369" spans="1:6" x14ac:dyDescent="0.2">
      <c r="A5369" s="17">
        <v>0</v>
      </c>
      <c r="B5369" s="18"/>
      <c r="C5369" s="17">
        <v>0</v>
      </c>
      <c r="D5369" s="19">
        <v>0</v>
      </c>
      <c r="F5369" s="3">
        <f t="shared" si="83"/>
        <v>0</v>
      </c>
    </row>
    <row r="5370" spans="1:6" ht="22.5" x14ac:dyDescent="0.2">
      <c r="A5370" s="17" t="s">
        <v>14715</v>
      </c>
      <c r="B5370" s="18" t="s">
        <v>14716</v>
      </c>
      <c r="C5370" s="17" t="s">
        <v>0</v>
      </c>
      <c r="D5370" s="19">
        <v>107.42</v>
      </c>
      <c r="F5370" s="3" t="str">
        <f t="shared" si="83"/>
        <v>C4781</v>
      </c>
    </row>
    <row r="5371" spans="1:6" x14ac:dyDescent="0.2">
      <c r="A5371" s="17">
        <v>0</v>
      </c>
      <c r="B5371" s="18"/>
      <c r="C5371" s="17">
        <v>0</v>
      </c>
      <c r="D5371" s="19">
        <v>0</v>
      </c>
      <c r="F5371" s="3">
        <f t="shared" si="83"/>
        <v>0</v>
      </c>
    </row>
    <row r="5372" spans="1:6" ht="22.5" x14ac:dyDescent="0.2">
      <c r="A5372" s="17" t="s">
        <v>14717</v>
      </c>
      <c r="B5372" s="18" t="s">
        <v>14718</v>
      </c>
      <c r="C5372" s="17" t="s">
        <v>0</v>
      </c>
      <c r="D5372" s="19">
        <v>131.72999999999999</v>
      </c>
      <c r="F5372" s="3" t="str">
        <f t="shared" si="83"/>
        <v>C4784</v>
      </c>
    </row>
    <row r="5373" spans="1:6" x14ac:dyDescent="0.2">
      <c r="A5373" s="17">
        <v>0</v>
      </c>
      <c r="B5373" s="18"/>
      <c r="C5373" s="17">
        <v>0</v>
      </c>
      <c r="D5373" s="19">
        <v>0</v>
      </c>
      <c r="F5373" s="3">
        <f t="shared" si="83"/>
        <v>0</v>
      </c>
    </row>
    <row r="5374" spans="1:6" ht="22.5" x14ac:dyDescent="0.2">
      <c r="A5374" s="17" t="s">
        <v>14719</v>
      </c>
      <c r="B5374" s="18" t="s">
        <v>14720</v>
      </c>
      <c r="C5374" s="17" t="s">
        <v>0</v>
      </c>
      <c r="D5374" s="19">
        <v>133.94999999999999</v>
      </c>
      <c r="F5374" s="3" t="str">
        <f t="shared" si="83"/>
        <v>C4785</v>
      </c>
    </row>
    <row r="5375" spans="1:6" x14ac:dyDescent="0.2">
      <c r="A5375" s="17">
        <v>0</v>
      </c>
      <c r="B5375" s="18"/>
      <c r="C5375" s="17">
        <v>0</v>
      </c>
      <c r="D5375" s="19">
        <v>0</v>
      </c>
      <c r="F5375" s="3">
        <f t="shared" si="83"/>
        <v>0</v>
      </c>
    </row>
    <row r="5376" spans="1:6" ht="22.5" x14ac:dyDescent="0.2">
      <c r="A5376" s="17" t="s">
        <v>14721</v>
      </c>
      <c r="B5376" s="18" t="s">
        <v>14722</v>
      </c>
      <c r="C5376" s="17" t="s">
        <v>0</v>
      </c>
      <c r="D5376" s="19">
        <v>186.83</v>
      </c>
      <c r="F5376" s="3" t="str">
        <f t="shared" si="83"/>
        <v>C4786</v>
      </c>
    </row>
    <row r="5377" spans="1:6" x14ac:dyDescent="0.2">
      <c r="A5377" s="17">
        <v>0</v>
      </c>
      <c r="B5377" s="18"/>
      <c r="C5377" s="17">
        <v>0</v>
      </c>
      <c r="D5377" s="19">
        <v>0</v>
      </c>
      <c r="F5377" s="3">
        <f t="shared" si="83"/>
        <v>0</v>
      </c>
    </row>
    <row r="5378" spans="1:6" ht="22.5" x14ac:dyDescent="0.2">
      <c r="A5378" s="17" t="s">
        <v>14723</v>
      </c>
      <c r="B5378" s="18" t="s">
        <v>14724</v>
      </c>
      <c r="C5378" s="17" t="s">
        <v>0</v>
      </c>
      <c r="D5378" s="19">
        <v>188.62</v>
      </c>
      <c r="F5378" s="3" t="str">
        <f t="shared" ref="F5378:F5441" si="84">A5378</f>
        <v>C4787</v>
      </c>
    </row>
    <row r="5379" spans="1:6" x14ac:dyDescent="0.2">
      <c r="A5379" s="17">
        <v>0</v>
      </c>
      <c r="B5379" s="18"/>
      <c r="C5379" s="17">
        <v>0</v>
      </c>
      <c r="D5379" s="19">
        <v>0</v>
      </c>
      <c r="F5379" s="3">
        <f t="shared" si="84"/>
        <v>0</v>
      </c>
    </row>
    <row r="5380" spans="1:6" ht="22.5" x14ac:dyDescent="0.2">
      <c r="A5380" s="17" t="s">
        <v>14725</v>
      </c>
      <c r="B5380" s="18" t="s">
        <v>14726</v>
      </c>
      <c r="C5380" s="17" t="s">
        <v>0</v>
      </c>
      <c r="D5380" s="19">
        <v>220.88</v>
      </c>
      <c r="F5380" s="3" t="str">
        <f t="shared" si="84"/>
        <v>C4788</v>
      </c>
    </row>
    <row r="5381" spans="1:6" x14ac:dyDescent="0.2">
      <c r="A5381" s="17">
        <v>0</v>
      </c>
      <c r="B5381" s="18"/>
      <c r="C5381" s="17">
        <v>0</v>
      </c>
      <c r="D5381" s="19">
        <v>0</v>
      </c>
      <c r="F5381" s="3">
        <f t="shared" si="84"/>
        <v>0</v>
      </c>
    </row>
    <row r="5382" spans="1:6" ht="22.5" x14ac:dyDescent="0.2">
      <c r="A5382" s="17" t="s">
        <v>14727</v>
      </c>
      <c r="B5382" s="18" t="s">
        <v>14728</v>
      </c>
      <c r="C5382" s="17" t="s">
        <v>0</v>
      </c>
      <c r="D5382" s="19">
        <v>223.94</v>
      </c>
      <c r="F5382" s="3" t="str">
        <f t="shared" si="84"/>
        <v>C4789</v>
      </c>
    </row>
    <row r="5383" spans="1:6" x14ac:dyDescent="0.2">
      <c r="A5383" s="17">
        <v>0</v>
      </c>
      <c r="B5383" s="18"/>
      <c r="C5383" s="17">
        <v>0</v>
      </c>
      <c r="D5383" s="19">
        <v>0</v>
      </c>
      <c r="F5383" s="3">
        <f t="shared" si="84"/>
        <v>0</v>
      </c>
    </row>
    <row r="5384" spans="1:6" x14ac:dyDescent="0.2">
      <c r="A5384" s="14" t="s">
        <v>14729</v>
      </c>
      <c r="B5384" s="15"/>
      <c r="C5384" s="14">
        <v>0</v>
      </c>
      <c r="D5384" s="16">
        <v>32772.93</v>
      </c>
      <c r="F5384" s="3" t="str">
        <f t="shared" si="84"/>
        <v>REDE DE DISTRIBUIÇÃO DE GÁS NATURAL</v>
      </c>
    </row>
    <row r="5385" spans="1:6" x14ac:dyDescent="0.2">
      <c r="A5385" s="14" t="s">
        <v>14730</v>
      </c>
      <c r="B5385" s="15"/>
      <c r="C5385" s="14">
        <v>0</v>
      </c>
      <c r="D5385" s="16">
        <v>16543.22</v>
      </c>
      <c r="F5385" s="3" t="str">
        <f t="shared" si="84"/>
        <v>REDE DE GÁS NATURAL EM PEAD</v>
      </c>
    </row>
    <row r="5386" spans="1:6" ht="67.5" x14ac:dyDescent="0.2">
      <c r="A5386" s="17" t="s">
        <v>14731</v>
      </c>
      <c r="B5386" s="18" t="s">
        <v>14732</v>
      </c>
      <c r="C5386" s="17" t="s">
        <v>26</v>
      </c>
      <c r="D5386" s="19">
        <v>1844.97</v>
      </c>
      <c r="F5386" s="3" t="str">
        <f t="shared" si="84"/>
        <v>C5056</v>
      </c>
    </row>
    <row r="5387" spans="1:6" x14ac:dyDescent="0.2">
      <c r="A5387" s="17">
        <v>0</v>
      </c>
      <c r="B5387" s="18"/>
      <c r="C5387" s="17">
        <v>0</v>
      </c>
      <c r="D5387" s="19">
        <v>0</v>
      </c>
      <c r="F5387" s="3">
        <f t="shared" si="84"/>
        <v>0</v>
      </c>
    </row>
    <row r="5388" spans="1:6" ht="78.75" x14ac:dyDescent="0.2">
      <c r="A5388" s="17" t="s">
        <v>14733</v>
      </c>
      <c r="B5388" s="18" t="s">
        <v>14734</v>
      </c>
      <c r="C5388" s="17" t="s">
        <v>12776</v>
      </c>
      <c r="D5388" s="19">
        <v>2847.67</v>
      </c>
      <c r="F5388" s="3" t="str">
        <f t="shared" si="84"/>
        <v>C5055</v>
      </c>
    </row>
    <row r="5389" spans="1:6" x14ac:dyDescent="0.2">
      <c r="A5389" s="17">
        <v>0</v>
      </c>
      <c r="B5389" s="18"/>
      <c r="C5389" s="17">
        <v>0</v>
      </c>
      <c r="D5389" s="19">
        <v>0</v>
      </c>
      <c r="F5389" s="3">
        <f t="shared" si="84"/>
        <v>0</v>
      </c>
    </row>
    <row r="5390" spans="1:6" ht="67.5" x14ac:dyDescent="0.2">
      <c r="A5390" s="17" t="s">
        <v>14735</v>
      </c>
      <c r="B5390" s="18" t="s">
        <v>14736</v>
      </c>
      <c r="C5390" s="17" t="s">
        <v>26</v>
      </c>
      <c r="D5390" s="19">
        <v>1940.87</v>
      </c>
      <c r="F5390" s="3" t="str">
        <f t="shared" si="84"/>
        <v>C5054</v>
      </c>
    </row>
    <row r="5391" spans="1:6" x14ac:dyDescent="0.2">
      <c r="A5391" s="17">
        <v>0</v>
      </c>
      <c r="B5391" s="18"/>
      <c r="C5391" s="17">
        <v>0</v>
      </c>
      <c r="D5391" s="19">
        <v>0</v>
      </c>
      <c r="F5391" s="3">
        <f t="shared" si="84"/>
        <v>0</v>
      </c>
    </row>
    <row r="5392" spans="1:6" ht="78.75" x14ac:dyDescent="0.2">
      <c r="A5392" s="17" t="s">
        <v>14737</v>
      </c>
      <c r="B5392" s="18" t="s">
        <v>14738</v>
      </c>
      <c r="C5392" s="17" t="s">
        <v>26</v>
      </c>
      <c r="D5392" s="19">
        <v>3182.92</v>
      </c>
      <c r="F5392" s="3" t="str">
        <f t="shared" si="84"/>
        <v>C5053</v>
      </c>
    </row>
    <row r="5393" spans="1:6" x14ac:dyDescent="0.2">
      <c r="A5393" s="17">
        <v>0</v>
      </c>
      <c r="B5393" s="18"/>
      <c r="C5393" s="17">
        <v>0</v>
      </c>
      <c r="D5393" s="19">
        <v>0</v>
      </c>
      <c r="F5393" s="3">
        <f t="shared" si="84"/>
        <v>0</v>
      </c>
    </row>
    <row r="5394" spans="1:6" ht="78.75" x14ac:dyDescent="0.2">
      <c r="A5394" s="17" t="s">
        <v>14739</v>
      </c>
      <c r="B5394" s="18" t="s">
        <v>14740</v>
      </c>
      <c r="C5394" s="17" t="s">
        <v>0</v>
      </c>
      <c r="D5394" s="19">
        <v>165.23</v>
      </c>
      <c r="F5394" s="3" t="str">
        <f t="shared" si="84"/>
        <v>C5058</v>
      </c>
    </row>
    <row r="5395" spans="1:6" x14ac:dyDescent="0.2">
      <c r="A5395" s="17">
        <v>0</v>
      </c>
      <c r="B5395" s="18"/>
      <c r="C5395" s="17">
        <v>0</v>
      </c>
      <c r="D5395" s="19">
        <v>0</v>
      </c>
      <c r="F5395" s="3">
        <f t="shared" si="84"/>
        <v>0</v>
      </c>
    </row>
    <row r="5396" spans="1:6" ht="78.75" x14ac:dyDescent="0.2">
      <c r="A5396" s="17" t="s">
        <v>14741</v>
      </c>
      <c r="B5396" s="18" t="s">
        <v>14742</v>
      </c>
      <c r="C5396" s="17" t="s">
        <v>0</v>
      </c>
      <c r="D5396" s="19">
        <v>152.27000000000001</v>
      </c>
      <c r="F5396" s="3" t="str">
        <f t="shared" si="84"/>
        <v>C5057</v>
      </c>
    </row>
    <row r="5397" spans="1:6" x14ac:dyDescent="0.2">
      <c r="A5397" s="17">
        <v>0</v>
      </c>
      <c r="B5397" s="18"/>
      <c r="C5397" s="17">
        <v>0</v>
      </c>
      <c r="D5397" s="19">
        <v>0</v>
      </c>
      <c r="F5397" s="3">
        <f t="shared" si="84"/>
        <v>0</v>
      </c>
    </row>
    <row r="5398" spans="1:6" ht="56.25" x14ac:dyDescent="0.2">
      <c r="A5398" s="17" t="s">
        <v>14743</v>
      </c>
      <c r="B5398" s="18" t="s">
        <v>14744</v>
      </c>
      <c r="C5398" s="17" t="s">
        <v>0</v>
      </c>
      <c r="D5398" s="19">
        <v>107.42</v>
      </c>
      <c r="F5398" s="3" t="str">
        <f t="shared" si="84"/>
        <v>C5060</v>
      </c>
    </row>
    <row r="5399" spans="1:6" x14ac:dyDescent="0.2">
      <c r="A5399" s="17">
        <v>0</v>
      </c>
      <c r="B5399" s="18"/>
      <c r="C5399" s="17">
        <v>0</v>
      </c>
      <c r="D5399" s="19">
        <v>0</v>
      </c>
      <c r="F5399" s="3">
        <f t="shared" si="84"/>
        <v>0</v>
      </c>
    </row>
    <row r="5400" spans="1:6" ht="67.5" x14ac:dyDescent="0.2">
      <c r="A5400" s="17" t="s">
        <v>14745</v>
      </c>
      <c r="B5400" s="18" t="s">
        <v>14746</v>
      </c>
      <c r="C5400" s="17" t="s">
        <v>0</v>
      </c>
      <c r="D5400" s="19">
        <v>91.8</v>
      </c>
      <c r="F5400" s="3" t="str">
        <f t="shared" si="84"/>
        <v>C5059</v>
      </c>
    </row>
    <row r="5401" spans="1:6" x14ac:dyDescent="0.2">
      <c r="A5401" s="17">
        <v>0</v>
      </c>
      <c r="B5401" s="18"/>
      <c r="C5401" s="17">
        <v>0</v>
      </c>
      <c r="D5401" s="19">
        <v>0</v>
      </c>
      <c r="F5401" s="3">
        <f t="shared" si="84"/>
        <v>0</v>
      </c>
    </row>
    <row r="5402" spans="1:6" ht="33.75" x14ac:dyDescent="0.2">
      <c r="A5402" s="17" t="s">
        <v>14747</v>
      </c>
      <c r="B5402" s="18" t="s">
        <v>14748</v>
      </c>
      <c r="C5402" s="17" t="s">
        <v>0</v>
      </c>
      <c r="D5402" s="19">
        <v>14.55</v>
      </c>
      <c r="F5402" s="3" t="str">
        <f t="shared" si="84"/>
        <v>C5061</v>
      </c>
    </row>
    <row r="5403" spans="1:6" x14ac:dyDescent="0.2">
      <c r="A5403" s="17">
        <v>0</v>
      </c>
      <c r="B5403" s="18"/>
      <c r="C5403" s="17">
        <v>0</v>
      </c>
      <c r="D5403" s="19">
        <v>0</v>
      </c>
      <c r="F5403" s="3">
        <f t="shared" si="84"/>
        <v>0</v>
      </c>
    </row>
    <row r="5404" spans="1:6" ht="33.75" x14ac:dyDescent="0.2">
      <c r="A5404" s="17" t="s">
        <v>14749</v>
      </c>
      <c r="B5404" s="18" t="s">
        <v>14750</v>
      </c>
      <c r="C5404" s="17" t="s">
        <v>0</v>
      </c>
      <c r="D5404" s="19">
        <v>15.47</v>
      </c>
      <c r="F5404" s="3" t="str">
        <f t="shared" si="84"/>
        <v>C5062</v>
      </c>
    </row>
    <row r="5405" spans="1:6" x14ac:dyDescent="0.2">
      <c r="A5405" s="17">
        <v>0</v>
      </c>
      <c r="B5405" s="18"/>
      <c r="C5405" s="17">
        <v>0</v>
      </c>
      <c r="D5405" s="19">
        <v>0</v>
      </c>
      <c r="F5405" s="3">
        <f t="shared" si="84"/>
        <v>0</v>
      </c>
    </row>
    <row r="5406" spans="1:6" ht="45" x14ac:dyDescent="0.2">
      <c r="A5406" s="17" t="s">
        <v>14751</v>
      </c>
      <c r="B5406" s="18" t="s">
        <v>14752</v>
      </c>
      <c r="C5406" s="17" t="s">
        <v>0</v>
      </c>
      <c r="D5406" s="19">
        <v>16.440000000000001</v>
      </c>
      <c r="F5406" s="3" t="str">
        <f t="shared" si="84"/>
        <v>C5063</v>
      </c>
    </row>
    <row r="5407" spans="1:6" x14ac:dyDescent="0.2">
      <c r="A5407" s="17">
        <v>0</v>
      </c>
      <c r="B5407" s="18"/>
      <c r="C5407" s="17">
        <v>0</v>
      </c>
      <c r="D5407" s="19">
        <v>0</v>
      </c>
      <c r="F5407" s="3">
        <f t="shared" si="84"/>
        <v>0</v>
      </c>
    </row>
    <row r="5408" spans="1:6" ht="33.75" x14ac:dyDescent="0.2">
      <c r="A5408" s="17" t="s">
        <v>14753</v>
      </c>
      <c r="B5408" s="18" t="s">
        <v>14754</v>
      </c>
      <c r="C5408" s="17" t="s">
        <v>0</v>
      </c>
      <c r="D5408" s="19">
        <v>21.11</v>
      </c>
      <c r="F5408" s="3" t="str">
        <f t="shared" si="84"/>
        <v>C5064</v>
      </c>
    </row>
    <row r="5409" spans="1:6" x14ac:dyDescent="0.2">
      <c r="A5409" s="17">
        <v>0</v>
      </c>
      <c r="B5409" s="18"/>
      <c r="C5409" s="17">
        <v>0</v>
      </c>
      <c r="D5409" s="19">
        <v>0</v>
      </c>
      <c r="F5409" s="3">
        <f t="shared" si="84"/>
        <v>0</v>
      </c>
    </row>
    <row r="5410" spans="1:6" ht="22.5" x14ac:dyDescent="0.2">
      <c r="A5410" s="17" t="s">
        <v>14755</v>
      </c>
      <c r="B5410" s="18" t="s">
        <v>14756</v>
      </c>
      <c r="C5410" s="17" t="s">
        <v>0</v>
      </c>
      <c r="D5410" s="19">
        <v>89.54</v>
      </c>
      <c r="F5410" s="3" t="str">
        <f t="shared" si="84"/>
        <v>C5065</v>
      </c>
    </row>
    <row r="5411" spans="1:6" x14ac:dyDescent="0.2">
      <c r="A5411" s="17">
        <v>0</v>
      </c>
      <c r="B5411" s="18"/>
      <c r="C5411" s="17">
        <v>0</v>
      </c>
      <c r="D5411" s="19">
        <v>0</v>
      </c>
      <c r="F5411" s="3">
        <f t="shared" si="84"/>
        <v>0</v>
      </c>
    </row>
    <row r="5412" spans="1:6" x14ac:dyDescent="0.2">
      <c r="A5412" s="17" t="s">
        <v>14757</v>
      </c>
      <c r="B5412" s="18" t="s">
        <v>14758</v>
      </c>
      <c r="C5412" s="17" t="s">
        <v>0</v>
      </c>
      <c r="D5412" s="19">
        <v>127.81</v>
      </c>
      <c r="F5412" s="3" t="str">
        <f t="shared" si="84"/>
        <v>C5068</v>
      </c>
    </row>
    <row r="5413" spans="1:6" x14ac:dyDescent="0.2">
      <c r="A5413" s="17">
        <v>0</v>
      </c>
      <c r="B5413" s="18"/>
      <c r="C5413" s="17">
        <v>0</v>
      </c>
      <c r="D5413" s="19">
        <v>0</v>
      </c>
      <c r="F5413" s="3">
        <f t="shared" si="84"/>
        <v>0</v>
      </c>
    </row>
    <row r="5414" spans="1:6" x14ac:dyDescent="0.2">
      <c r="A5414" s="17" t="s">
        <v>14759</v>
      </c>
      <c r="B5414" s="18" t="s">
        <v>14760</v>
      </c>
      <c r="C5414" s="17" t="s">
        <v>0</v>
      </c>
      <c r="D5414" s="19">
        <v>144.25</v>
      </c>
      <c r="F5414" s="3" t="str">
        <f t="shared" si="84"/>
        <v>C5070</v>
      </c>
    </row>
    <row r="5415" spans="1:6" x14ac:dyDescent="0.2">
      <c r="A5415" s="17">
        <v>0</v>
      </c>
      <c r="B5415" s="18"/>
      <c r="C5415" s="17">
        <v>0</v>
      </c>
      <c r="D5415" s="19">
        <v>0</v>
      </c>
      <c r="F5415" s="3">
        <f t="shared" si="84"/>
        <v>0</v>
      </c>
    </row>
    <row r="5416" spans="1:6" ht="45" x14ac:dyDescent="0.2">
      <c r="A5416" s="17" t="s">
        <v>14761</v>
      </c>
      <c r="B5416" s="18" t="s">
        <v>14762</v>
      </c>
      <c r="C5416" s="17" t="s">
        <v>26</v>
      </c>
      <c r="D5416" s="19">
        <v>576.13</v>
      </c>
      <c r="F5416" s="3" t="str">
        <f t="shared" si="84"/>
        <v>C5066</v>
      </c>
    </row>
    <row r="5417" spans="1:6" x14ac:dyDescent="0.2">
      <c r="A5417" s="17">
        <v>0</v>
      </c>
      <c r="B5417" s="18"/>
      <c r="C5417" s="17">
        <v>0</v>
      </c>
      <c r="D5417" s="19">
        <v>0</v>
      </c>
      <c r="F5417" s="3">
        <f t="shared" si="84"/>
        <v>0</v>
      </c>
    </row>
    <row r="5418" spans="1:6" ht="45" x14ac:dyDescent="0.2">
      <c r="A5418" s="17" t="s">
        <v>14763</v>
      </c>
      <c r="B5418" s="18" t="s">
        <v>14764</v>
      </c>
      <c r="C5418" s="17" t="s">
        <v>26</v>
      </c>
      <c r="D5418" s="19">
        <v>771.39</v>
      </c>
      <c r="F5418" s="3" t="str">
        <f t="shared" si="84"/>
        <v>C5067</v>
      </c>
    </row>
    <row r="5419" spans="1:6" x14ac:dyDescent="0.2">
      <c r="A5419" s="17">
        <v>0</v>
      </c>
      <c r="B5419" s="18"/>
      <c r="C5419" s="17">
        <v>0</v>
      </c>
      <c r="D5419" s="19">
        <v>0</v>
      </c>
      <c r="F5419" s="3">
        <f t="shared" si="84"/>
        <v>0</v>
      </c>
    </row>
    <row r="5420" spans="1:6" ht="45" x14ac:dyDescent="0.2">
      <c r="A5420" s="17" t="s">
        <v>14765</v>
      </c>
      <c r="B5420" s="18" t="s">
        <v>14766</v>
      </c>
      <c r="C5420" s="17" t="s">
        <v>26</v>
      </c>
      <c r="D5420" s="19">
        <v>1018.79</v>
      </c>
      <c r="F5420" s="3" t="str">
        <f t="shared" si="84"/>
        <v>C5069</v>
      </c>
    </row>
    <row r="5421" spans="1:6" x14ac:dyDescent="0.2">
      <c r="A5421" s="17">
        <v>0</v>
      </c>
      <c r="B5421" s="18"/>
      <c r="C5421" s="17">
        <v>0</v>
      </c>
      <c r="D5421" s="19">
        <v>0</v>
      </c>
      <c r="F5421" s="3">
        <f t="shared" si="84"/>
        <v>0</v>
      </c>
    </row>
    <row r="5422" spans="1:6" ht="45" x14ac:dyDescent="0.2">
      <c r="A5422" s="17" t="s">
        <v>14767</v>
      </c>
      <c r="B5422" s="18" t="s">
        <v>14768</v>
      </c>
      <c r="C5422" s="17" t="s">
        <v>26</v>
      </c>
      <c r="D5422" s="19">
        <v>1446.27</v>
      </c>
      <c r="F5422" s="3" t="str">
        <f t="shared" si="84"/>
        <v>C5071</v>
      </c>
    </row>
    <row r="5423" spans="1:6" x14ac:dyDescent="0.2">
      <c r="A5423" s="17">
        <v>0</v>
      </c>
      <c r="B5423" s="18"/>
      <c r="C5423" s="17">
        <v>0</v>
      </c>
      <c r="D5423" s="19">
        <v>0</v>
      </c>
      <c r="F5423" s="3">
        <f t="shared" si="84"/>
        <v>0</v>
      </c>
    </row>
    <row r="5424" spans="1:6" ht="22.5" x14ac:dyDescent="0.2">
      <c r="A5424" s="17" t="s">
        <v>14769</v>
      </c>
      <c r="B5424" s="18" t="s">
        <v>14770</v>
      </c>
      <c r="C5424" s="17" t="s">
        <v>26</v>
      </c>
      <c r="D5424" s="19">
        <v>941.98</v>
      </c>
      <c r="F5424" s="3" t="str">
        <f t="shared" si="84"/>
        <v>C5072</v>
      </c>
    </row>
    <row r="5425" spans="1:6" x14ac:dyDescent="0.2">
      <c r="A5425" s="17">
        <v>0</v>
      </c>
      <c r="B5425" s="18"/>
      <c r="C5425" s="17">
        <v>0</v>
      </c>
      <c r="D5425" s="19">
        <v>0</v>
      </c>
      <c r="F5425" s="3">
        <f t="shared" si="84"/>
        <v>0</v>
      </c>
    </row>
    <row r="5426" spans="1:6" ht="22.5" x14ac:dyDescent="0.2">
      <c r="A5426" s="17" t="s">
        <v>14771</v>
      </c>
      <c r="B5426" s="18" t="s">
        <v>14772</v>
      </c>
      <c r="C5426" s="17" t="s">
        <v>26</v>
      </c>
      <c r="D5426" s="19">
        <v>1026.3499999999999</v>
      </c>
      <c r="F5426" s="3" t="str">
        <f t="shared" si="84"/>
        <v>C5128</v>
      </c>
    </row>
    <row r="5427" spans="1:6" x14ac:dyDescent="0.2">
      <c r="A5427" s="17">
        <v>0</v>
      </c>
      <c r="B5427" s="18"/>
      <c r="C5427" s="17">
        <v>0</v>
      </c>
      <c r="D5427" s="19">
        <v>0</v>
      </c>
      <c r="F5427" s="3">
        <f t="shared" si="84"/>
        <v>0</v>
      </c>
    </row>
    <row r="5428" spans="1:6" x14ac:dyDescent="0.2">
      <c r="A5428" s="14" t="s">
        <v>14773</v>
      </c>
      <c r="B5428" s="15"/>
      <c r="C5428" s="14">
        <v>0</v>
      </c>
      <c r="D5428" s="16">
        <v>11231.27</v>
      </c>
      <c r="F5428" s="3" t="str">
        <f t="shared" si="84"/>
        <v>REDE DE GÁS NATURAL EM AÇO CARBONO</v>
      </c>
    </row>
    <row r="5429" spans="1:6" ht="33.75" x14ac:dyDescent="0.2">
      <c r="A5429" s="17" t="s">
        <v>14774</v>
      </c>
      <c r="B5429" s="18" t="s">
        <v>14775</v>
      </c>
      <c r="C5429" s="17" t="s">
        <v>0</v>
      </c>
      <c r="D5429" s="19">
        <v>30.05</v>
      </c>
      <c r="F5429" s="3" t="str">
        <f t="shared" si="84"/>
        <v>C5073</v>
      </c>
    </row>
    <row r="5430" spans="1:6" x14ac:dyDescent="0.2">
      <c r="A5430" s="17">
        <v>0</v>
      </c>
      <c r="B5430" s="18"/>
      <c r="C5430" s="17">
        <v>0</v>
      </c>
      <c r="D5430" s="19">
        <v>0</v>
      </c>
      <c r="F5430" s="3">
        <f t="shared" si="84"/>
        <v>0</v>
      </c>
    </row>
    <row r="5431" spans="1:6" ht="45" x14ac:dyDescent="0.2">
      <c r="A5431" s="17" t="s">
        <v>14776</v>
      </c>
      <c r="B5431" s="18" t="s">
        <v>14777</v>
      </c>
      <c r="C5431" s="17" t="s">
        <v>0</v>
      </c>
      <c r="D5431" s="19">
        <v>44.07</v>
      </c>
      <c r="F5431" s="3" t="str">
        <f t="shared" si="84"/>
        <v>C5074</v>
      </c>
    </row>
    <row r="5432" spans="1:6" x14ac:dyDescent="0.2">
      <c r="A5432" s="17">
        <v>0</v>
      </c>
      <c r="B5432" s="18"/>
      <c r="C5432" s="17">
        <v>0</v>
      </c>
      <c r="D5432" s="19">
        <v>0</v>
      </c>
      <c r="F5432" s="3">
        <f t="shared" si="84"/>
        <v>0</v>
      </c>
    </row>
    <row r="5433" spans="1:6" ht="45" x14ac:dyDescent="0.2">
      <c r="A5433" s="17" t="s">
        <v>14778</v>
      </c>
      <c r="B5433" s="18" t="s">
        <v>14779</v>
      </c>
      <c r="C5433" s="17" t="s">
        <v>0</v>
      </c>
      <c r="D5433" s="19">
        <v>48.46</v>
      </c>
      <c r="F5433" s="3" t="str">
        <f t="shared" si="84"/>
        <v>C5077</v>
      </c>
    </row>
    <row r="5434" spans="1:6" x14ac:dyDescent="0.2">
      <c r="A5434" s="17">
        <v>0</v>
      </c>
      <c r="B5434" s="18"/>
      <c r="C5434" s="17">
        <v>0</v>
      </c>
      <c r="D5434" s="19">
        <v>0</v>
      </c>
      <c r="F5434" s="3">
        <f t="shared" si="84"/>
        <v>0</v>
      </c>
    </row>
    <row r="5435" spans="1:6" ht="45" x14ac:dyDescent="0.2">
      <c r="A5435" s="17" t="s">
        <v>14780</v>
      </c>
      <c r="B5435" s="18" t="s">
        <v>14781</v>
      </c>
      <c r="C5435" s="17" t="s">
        <v>0</v>
      </c>
      <c r="D5435" s="19">
        <v>52.13</v>
      </c>
      <c r="F5435" s="3" t="str">
        <f t="shared" si="84"/>
        <v>C5080</v>
      </c>
    </row>
    <row r="5436" spans="1:6" x14ac:dyDescent="0.2">
      <c r="A5436" s="17">
        <v>0</v>
      </c>
      <c r="B5436" s="18"/>
      <c r="C5436" s="17">
        <v>0</v>
      </c>
      <c r="D5436" s="19">
        <v>0</v>
      </c>
      <c r="F5436" s="3">
        <f t="shared" si="84"/>
        <v>0</v>
      </c>
    </row>
    <row r="5437" spans="1:6" ht="45" x14ac:dyDescent="0.2">
      <c r="A5437" s="17" t="s">
        <v>14782</v>
      </c>
      <c r="B5437" s="18" t="s">
        <v>14783</v>
      </c>
      <c r="C5437" s="17" t="s">
        <v>0</v>
      </c>
      <c r="D5437" s="19">
        <v>62.87</v>
      </c>
      <c r="F5437" s="3" t="str">
        <f t="shared" si="84"/>
        <v>C5083</v>
      </c>
    </row>
    <row r="5438" spans="1:6" x14ac:dyDescent="0.2">
      <c r="A5438" s="17">
        <v>0</v>
      </c>
      <c r="B5438" s="18"/>
      <c r="C5438" s="17">
        <v>0</v>
      </c>
      <c r="D5438" s="19">
        <v>0</v>
      </c>
      <c r="F5438" s="3">
        <f t="shared" si="84"/>
        <v>0</v>
      </c>
    </row>
    <row r="5439" spans="1:6" ht="45" x14ac:dyDescent="0.2">
      <c r="A5439" s="17" t="s">
        <v>14784</v>
      </c>
      <c r="B5439" s="18" t="s">
        <v>14785</v>
      </c>
      <c r="C5439" s="17" t="s">
        <v>0</v>
      </c>
      <c r="D5439" s="19">
        <v>66.98</v>
      </c>
      <c r="F5439" s="3" t="str">
        <f t="shared" si="84"/>
        <v>C5086</v>
      </c>
    </row>
    <row r="5440" spans="1:6" x14ac:dyDescent="0.2">
      <c r="A5440" s="17">
        <v>0</v>
      </c>
      <c r="B5440" s="18"/>
      <c r="C5440" s="17">
        <v>0</v>
      </c>
      <c r="D5440" s="19">
        <v>0</v>
      </c>
      <c r="F5440" s="3">
        <f t="shared" si="84"/>
        <v>0</v>
      </c>
    </row>
    <row r="5441" spans="1:6" ht="45" x14ac:dyDescent="0.2">
      <c r="A5441" s="17" t="s">
        <v>14786</v>
      </c>
      <c r="B5441" s="18" t="s">
        <v>14787</v>
      </c>
      <c r="C5441" s="17" t="s">
        <v>0</v>
      </c>
      <c r="D5441" s="19">
        <v>76.3</v>
      </c>
      <c r="F5441" s="3" t="str">
        <f t="shared" si="84"/>
        <v>C5089</v>
      </c>
    </row>
    <row r="5442" spans="1:6" x14ac:dyDescent="0.2">
      <c r="A5442" s="17">
        <v>0</v>
      </c>
      <c r="B5442" s="18"/>
      <c r="C5442" s="17">
        <v>0</v>
      </c>
      <c r="D5442" s="19">
        <v>0</v>
      </c>
      <c r="F5442" s="3">
        <f t="shared" ref="F5442:F5505" si="85">A5442</f>
        <v>0</v>
      </c>
    </row>
    <row r="5443" spans="1:6" ht="45" x14ac:dyDescent="0.2">
      <c r="A5443" s="17" t="s">
        <v>14788</v>
      </c>
      <c r="B5443" s="18" t="s">
        <v>14789</v>
      </c>
      <c r="C5443" s="17" t="s">
        <v>0</v>
      </c>
      <c r="D5443" s="19">
        <v>86.11</v>
      </c>
      <c r="F5443" s="3" t="str">
        <f t="shared" si="85"/>
        <v>C5092</v>
      </c>
    </row>
    <row r="5444" spans="1:6" x14ac:dyDescent="0.2">
      <c r="A5444" s="17">
        <v>0</v>
      </c>
      <c r="B5444" s="18"/>
      <c r="C5444" s="17">
        <v>0</v>
      </c>
      <c r="D5444" s="19">
        <v>0</v>
      </c>
      <c r="F5444" s="3">
        <f t="shared" si="85"/>
        <v>0</v>
      </c>
    </row>
    <row r="5445" spans="1:6" ht="22.5" x14ac:dyDescent="0.2">
      <c r="A5445" s="17" t="s">
        <v>14790</v>
      </c>
      <c r="B5445" s="18" t="s">
        <v>14791</v>
      </c>
      <c r="C5445" s="17" t="s">
        <v>0</v>
      </c>
      <c r="D5445" s="19">
        <v>198.18</v>
      </c>
      <c r="F5445" s="3" t="str">
        <f t="shared" si="85"/>
        <v>C5075</v>
      </c>
    </row>
    <row r="5446" spans="1:6" x14ac:dyDescent="0.2">
      <c r="A5446" s="17">
        <v>0</v>
      </c>
      <c r="B5446" s="18"/>
      <c r="C5446" s="17">
        <v>0</v>
      </c>
      <c r="D5446" s="19">
        <v>0</v>
      </c>
      <c r="F5446" s="3">
        <f t="shared" si="85"/>
        <v>0</v>
      </c>
    </row>
    <row r="5447" spans="1:6" ht="22.5" x14ac:dyDescent="0.2">
      <c r="A5447" s="17" t="s">
        <v>14792</v>
      </c>
      <c r="B5447" s="18" t="s">
        <v>14793</v>
      </c>
      <c r="C5447" s="17" t="s">
        <v>0</v>
      </c>
      <c r="D5447" s="19">
        <v>201.39</v>
      </c>
      <c r="F5447" s="3" t="str">
        <f t="shared" si="85"/>
        <v>C5078</v>
      </c>
    </row>
    <row r="5448" spans="1:6" x14ac:dyDescent="0.2">
      <c r="A5448" s="17">
        <v>0</v>
      </c>
      <c r="B5448" s="18"/>
      <c r="C5448" s="17">
        <v>0</v>
      </c>
      <c r="D5448" s="19">
        <v>0</v>
      </c>
      <c r="F5448" s="3">
        <f t="shared" si="85"/>
        <v>0</v>
      </c>
    </row>
    <row r="5449" spans="1:6" ht="22.5" x14ac:dyDescent="0.2">
      <c r="A5449" s="17" t="s">
        <v>14794</v>
      </c>
      <c r="B5449" s="18" t="s">
        <v>14795</v>
      </c>
      <c r="C5449" s="17" t="s">
        <v>0</v>
      </c>
      <c r="D5449" s="19">
        <v>210.98</v>
      </c>
      <c r="F5449" s="3" t="str">
        <f t="shared" si="85"/>
        <v>C5081</v>
      </c>
    </row>
    <row r="5450" spans="1:6" x14ac:dyDescent="0.2">
      <c r="A5450" s="17">
        <v>0</v>
      </c>
      <c r="B5450" s="18"/>
      <c r="C5450" s="17">
        <v>0</v>
      </c>
      <c r="D5450" s="19">
        <v>0</v>
      </c>
      <c r="F5450" s="3">
        <f t="shared" si="85"/>
        <v>0</v>
      </c>
    </row>
    <row r="5451" spans="1:6" ht="22.5" x14ac:dyDescent="0.2">
      <c r="A5451" s="17" t="s">
        <v>14796</v>
      </c>
      <c r="B5451" s="18" t="s">
        <v>14797</v>
      </c>
      <c r="C5451" s="17" t="s">
        <v>0</v>
      </c>
      <c r="D5451" s="19">
        <v>159.19999999999999</v>
      </c>
      <c r="F5451" s="3" t="str">
        <f t="shared" si="85"/>
        <v>C5084</v>
      </c>
    </row>
    <row r="5452" spans="1:6" x14ac:dyDescent="0.2">
      <c r="A5452" s="17">
        <v>0</v>
      </c>
      <c r="B5452" s="18"/>
      <c r="C5452" s="17">
        <v>0</v>
      </c>
      <c r="D5452" s="19">
        <v>0</v>
      </c>
      <c r="F5452" s="3">
        <f t="shared" si="85"/>
        <v>0</v>
      </c>
    </row>
    <row r="5453" spans="1:6" ht="22.5" x14ac:dyDescent="0.2">
      <c r="A5453" s="17" t="s">
        <v>14798</v>
      </c>
      <c r="B5453" s="18" t="s">
        <v>14799</v>
      </c>
      <c r="C5453" s="17" t="s">
        <v>0</v>
      </c>
      <c r="D5453" s="19">
        <v>176.88</v>
      </c>
      <c r="F5453" s="3" t="str">
        <f t="shared" si="85"/>
        <v>C5087</v>
      </c>
    </row>
    <row r="5454" spans="1:6" x14ac:dyDescent="0.2">
      <c r="A5454" s="17">
        <v>0</v>
      </c>
      <c r="B5454" s="18"/>
      <c r="C5454" s="17">
        <v>0</v>
      </c>
      <c r="D5454" s="19">
        <v>0</v>
      </c>
      <c r="F5454" s="3">
        <f t="shared" si="85"/>
        <v>0</v>
      </c>
    </row>
    <row r="5455" spans="1:6" ht="22.5" x14ac:dyDescent="0.2">
      <c r="A5455" s="17" t="s">
        <v>14800</v>
      </c>
      <c r="B5455" s="18" t="s">
        <v>14801</v>
      </c>
      <c r="C5455" s="17" t="s">
        <v>0</v>
      </c>
      <c r="D5455" s="19">
        <v>247.55</v>
      </c>
      <c r="F5455" s="3" t="str">
        <f t="shared" si="85"/>
        <v>C5090</v>
      </c>
    </row>
    <row r="5456" spans="1:6" x14ac:dyDescent="0.2">
      <c r="A5456" s="17">
        <v>0</v>
      </c>
      <c r="B5456" s="18"/>
      <c r="C5456" s="17">
        <v>0</v>
      </c>
      <c r="D5456" s="19">
        <v>0</v>
      </c>
      <c r="F5456" s="3">
        <f t="shared" si="85"/>
        <v>0</v>
      </c>
    </row>
    <row r="5457" spans="1:6" ht="22.5" x14ac:dyDescent="0.2">
      <c r="A5457" s="17" t="s">
        <v>14802</v>
      </c>
      <c r="B5457" s="18" t="s">
        <v>14803</v>
      </c>
      <c r="C5457" s="17" t="s">
        <v>0</v>
      </c>
      <c r="D5457" s="19">
        <v>283.61</v>
      </c>
      <c r="F5457" s="3" t="str">
        <f t="shared" si="85"/>
        <v>C5093</v>
      </c>
    </row>
    <row r="5458" spans="1:6" x14ac:dyDescent="0.2">
      <c r="A5458" s="17">
        <v>0</v>
      </c>
      <c r="B5458" s="18"/>
      <c r="C5458" s="17">
        <v>0</v>
      </c>
      <c r="D5458" s="19">
        <v>0</v>
      </c>
      <c r="F5458" s="3">
        <f t="shared" si="85"/>
        <v>0</v>
      </c>
    </row>
    <row r="5459" spans="1:6" ht="22.5" x14ac:dyDescent="0.2">
      <c r="A5459" s="17" t="s">
        <v>14804</v>
      </c>
      <c r="B5459" s="18" t="s">
        <v>14805</v>
      </c>
      <c r="C5459" s="17" t="s">
        <v>26</v>
      </c>
      <c r="D5459" s="19">
        <v>510.04</v>
      </c>
      <c r="F5459" s="3" t="str">
        <f t="shared" si="85"/>
        <v>C5099</v>
      </c>
    </row>
    <row r="5460" spans="1:6" x14ac:dyDescent="0.2">
      <c r="A5460" s="17">
        <v>0</v>
      </c>
      <c r="B5460" s="18"/>
      <c r="C5460" s="17">
        <v>0</v>
      </c>
      <c r="D5460" s="19">
        <v>0</v>
      </c>
      <c r="F5460" s="3">
        <f t="shared" si="85"/>
        <v>0</v>
      </c>
    </row>
    <row r="5461" spans="1:6" ht="22.5" x14ac:dyDescent="0.2">
      <c r="A5461" s="17" t="s">
        <v>14806</v>
      </c>
      <c r="B5461" s="18" t="s">
        <v>14807</v>
      </c>
      <c r="C5461" s="17" t="s">
        <v>26</v>
      </c>
      <c r="D5461" s="19">
        <v>572.53</v>
      </c>
      <c r="F5461" s="3" t="str">
        <f t="shared" si="85"/>
        <v>C5100</v>
      </c>
    </row>
    <row r="5462" spans="1:6" x14ac:dyDescent="0.2">
      <c r="A5462" s="17">
        <v>0</v>
      </c>
      <c r="B5462" s="18"/>
      <c r="C5462" s="17">
        <v>0</v>
      </c>
      <c r="D5462" s="19">
        <v>0</v>
      </c>
      <c r="F5462" s="3">
        <f t="shared" si="85"/>
        <v>0</v>
      </c>
    </row>
    <row r="5463" spans="1:6" ht="22.5" x14ac:dyDescent="0.2">
      <c r="A5463" s="17" t="s">
        <v>14808</v>
      </c>
      <c r="B5463" s="18" t="s">
        <v>14809</v>
      </c>
      <c r="C5463" s="17" t="s">
        <v>26</v>
      </c>
      <c r="D5463" s="19">
        <v>662.27</v>
      </c>
      <c r="F5463" s="3" t="str">
        <f t="shared" si="85"/>
        <v>C5101</v>
      </c>
    </row>
    <row r="5464" spans="1:6" x14ac:dyDescent="0.2">
      <c r="A5464" s="17">
        <v>0</v>
      </c>
      <c r="B5464" s="18"/>
      <c r="C5464" s="17">
        <v>0</v>
      </c>
      <c r="D5464" s="19">
        <v>0</v>
      </c>
      <c r="F5464" s="3">
        <f t="shared" si="85"/>
        <v>0</v>
      </c>
    </row>
    <row r="5465" spans="1:6" ht="22.5" x14ac:dyDescent="0.2">
      <c r="A5465" s="17" t="s">
        <v>14810</v>
      </c>
      <c r="B5465" s="18" t="s">
        <v>14811</v>
      </c>
      <c r="C5465" s="17" t="s">
        <v>26</v>
      </c>
      <c r="D5465" s="19">
        <v>1303.02</v>
      </c>
      <c r="F5465" s="3" t="str">
        <f t="shared" si="85"/>
        <v>C5102</v>
      </c>
    </row>
    <row r="5466" spans="1:6" x14ac:dyDescent="0.2">
      <c r="A5466" s="17">
        <v>0</v>
      </c>
      <c r="B5466" s="18"/>
      <c r="C5466" s="17">
        <v>0</v>
      </c>
      <c r="D5466" s="19">
        <v>0</v>
      </c>
      <c r="F5466" s="3">
        <f t="shared" si="85"/>
        <v>0</v>
      </c>
    </row>
    <row r="5467" spans="1:6" ht="22.5" x14ac:dyDescent="0.2">
      <c r="A5467" s="17" t="s">
        <v>14812</v>
      </c>
      <c r="B5467" s="18" t="s">
        <v>14813</v>
      </c>
      <c r="C5467" s="17" t="s">
        <v>26</v>
      </c>
      <c r="D5467" s="19">
        <v>1619.06</v>
      </c>
      <c r="F5467" s="3" t="str">
        <f t="shared" si="85"/>
        <v>C5103</v>
      </c>
    </row>
    <row r="5468" spans="1:6" x14ac:dyDescent="0.2">
      <c r="A5468" s="17">
        <v>0</v>
      </c>
      <c r="B5468" s="18"/>
      <c r="C5468" s="17">
        <v>0</v>
      </c>
      <c r="D5468" s="19">
        <v>0</v>
      </c>
      <c r="F5468" s="3">
        <f t="shared" si="85"/>
        <v>0</v>
      </c>
    </row>
    <row r="5469" spans="1:6" ht="22.5" x14ac:dyDescent="0.2">
      <c r="A5469" s="17" t="s">
        <v>14814</v>
      </c>
      <c r="B5469" s="18" t="s">
        <v>14815</v>
      </c>
      <c r="C5469" s="17" t="s">
        <v>26</v>
      </c>
      <c r="D5469" s="19">
        <v>2008.39</v>
      </c>
      <c r="F5469" s="3" t="str">
        <f t="shared" si="85"/>
        <v>C5104</v>
      </c>
    </row>
    <row r="5470" spans="1:6" x14ac:dyDescent="0.2">
      <c r="A5470" s="17">
        <v>0</v>
      </c>
      <c r="B5470" s="18"/>
      <c r="C5470" s="17">
        <v>0</v>
      </c>
      <c r="D5470" s="19">
        <v>0</v>
      </c>
      <c r="F5470" s="3">
        <f t="shared" si="85"/>
        <v>0</v>
      </c>
    </row>
    <row r="5471" spans="1:6" ht="22.5" x14ac:dyDescent="0.2">
      <c r="A5471" s="17" t="s">
        <v>14816</v>
      </c>
      <c r="B5471" s="18" t="s">
        <v>14817</v>
      </c>
      <c r="C5471" s="17" t="s">
        <v>26</v>
      </c>
      <c r="D5471" s="19">
        <v>2257.9899999999998</v>
      </c>
      <c r="F5471" s="3" t="str">
        <f t="shared" si="85"/>
        <v>C5105</v>
      </c>
    </row>
    <row r="5472" spans="1:6" x14ac:dyDescent="0.2">
      <c r="A5472" s="17">
        <v>0</v>
      </c>
      <c r="B5472" s="18"/>
      <c r="C5472" s="17">
        <v>0</v>
      </c>
      <c r="D5472" s="19">
        <v>0</v>
      </c>
      <c r="F5472" s="3">
        <f t="shared" si="85"/>
        <v>0</v>
      </c>
    </row>
    <row r="5473" spans="1:6" ht="33.75" x14ac:dyDescent="0.2">
      <c r="A5473" s="17" t="s">
        <v>14818</v>
      </c>
      <c r="B5473" s="18" t="s">
        <v>14819</v>
      </c>
      <c r="C5473" s="17" t="s">
        <v>1284</v>
      </c>
      <c r="D5473" s="19">
        <v>134.11000000000001</v>
      </c>
      <c r="F5473" s="3" t="str">
        <f t="shared" si="85"/>
        <v>C5106</v>
      </c>
    </row>
    <row r="5474" spans="1:6" x14ac:dyDescent="0.2">
      <c r="A5474" s="17">
        <v>0</v>
      </c>
      <c r="B5474" s="18"/>
      <c r="C5474" s="17">
        <v>0</v>
      </c>
      <c r="D5474" s="19">
        <v>0</v>
      </c>
      <c r="F5474" s="3">
        <f t="shared" si="85"/>
        <v>0</v>
      </c>
    </row>
    <row r="5475" spans="1:6" ht="33.75" x14ac:dyDescent="0.2">
      <c r="A5475" s="17" t="s">
        <v>14820</v>
      </c>
      <c r="B5475" s="18" t="s">
        <v>14821</v>
      </c>
      <c r="C5475" s="17" t="s">
        <v>1284</v>
      </c>
      <c r="D5475" s="19">
        <v>67.66</v>
      </c>
      <c r="F5475" s="3" t="str">
        <f t="shared" si="85"/>
        <v>C5107</v>
      </c>
    </row>
    <row r="5476" spans="1:6" x14ac:dyDescent="0.2">
      <c r="A5476" s="17">
        <v>0</v>
      </c>
      <c r="B5476" s="18"/>
      <c r="C5476" s="17">
        <v>0</v>
      </c>
      <c r="D5476" s="19">
        <v>0</v>
      </c>
      <c r="F5476" s="3">
        <f t="shared" si="85"/>
        <v>0</v>
      </c>
    </row>
    <row r="5477" spans="1:6" ht="33.75" x14ac:dyDescent="0.2">
      <c r="A5477" s="17" t="s">
        <v>14822</v>
      </c>
      <c r="B5477" s="18" t="s">
        <v>14823</v>
      </c>
      <c r="C5477" s="17" t="s">
        <v>1284</v>
      </c>
      <c r="D5477" s="19">
        <v>48.98</v>
      </c>
      <c r="F5477" s="3" t="str">
        <f t="shared" si="85"/>
        <v>C5108</v>
      </c>
    </row>
    <row r="5478" spans="1:6" x14ac:dyDescent="0.2">
      <c r="A5478" s="17">
        <v>0</v>
      </c>
      <c r="B5478" s="18"/>
      <c r="C5478" s="17">
        <v>0</v>
      </c>
      <c r="D5478" s="19">
        <v>0</v>
      </c>
      <c r="F5478" s="3">
        <f t="shared" si="85"/>
        <v>0</v>
      </c>
    </row>
    <row r="5479" spans="1:6" ht="33.75" x14ac:dyDescent="0.2">
      <c r="A5479" s="17" t="s">
        <v>14824</v>
      </c>
      <c r="B5479" s="18" t="s">
        <v>14825</v>
      </c>
      <c r="C5479" s="17" t="s">
        <v>1284</v>
      </c>
      <c r="D5479" s="19">
        <v>41.23</v>
      </c>
      <c r="F5479" s="3" t="str">
        <f t="shared" si="85"/>
        <v>C5109</v>
      </c>
    </row>
    <row r="5480" spans="1:6" x14ac:dyDescent="0.2">
      <c r="A5480" s="17">
        <v>0</v>
      </c>
      <c r="B5480" s="18"/>
      <c r="C5480" s="17">
        <v>0</v>
      </c>
      <c r="D5480" s="19">
        <v>0</v>
      </c>
      <c r="F5480" s="3">
        <f t="shared" si="85"/>
        <v>0</v>
      </c>
    </row>
    <row r="5481" spans="1:6" ht="33.75" x14ac:dyDescent="0.2">
      <c r="A5481" s="17" t="s">
        <v>14826</v>
      </c>
      <c r="B5481" s="18" t="s">
        <v>14827</v>
      </c>
      <c r="C5481" s="17" t="s">
        <v>1284</v>
      </c>
      <c r="D5481" s="19">
        <v>23.59</v>
      </c>
      <c r="F5481" s="3" t="str">
        <f t="shared" si="85"/>
        <v>C5110</v>
      </c>
    </row>
    <row r="5482" spans="1:6" x14ac:dyDescent="0.2">
      <c r="A5482" s="17">
        <v>0</v>
      </c>
      <c r="B5482" s="18"/>
      <c r="C5482" s="17">
        <v>0</v>
      </c>
      <c r="D5482" s="19">
        <v>0</v>
      </c>
      <c r="F5482" s="3">
        <f t="shared" si="85"/>
        <v>0</v>
      </c>
    </row>
    <row r="5483" spans="1:6" ht="33.75" x14ac:dyDescent="0.2">
      <c r="A5483" s="17" t="s">
        <v>14828</v>
      </c>
      <c r="B5483" s="18" t="s">
        <v>14829</v>
      </c>
      <c r="C5483" s="17" t="s">
        <v>1284</v>
      </c>
      <c r="D5483" s="19">
        <v>20.47</v>
      </c>
      <c r="F5483" s="3" t="str">
        <f t="shared" si="85"/>
        <v>C5111</v>
      </c>
    </row>
    <row r="5484" spans="1:6" x14ac:dyDescent="0.2">
      <c r="A5484" s="17">
        <v>0</v>
      </c>
      <c r="B5484" s="18"/>
      <c r="C5484" s="17">
        <v>0</v>
      </c>
      <c r="D5484" s="19">
        <v>0</v>
      </c>
      <c r="F5484" s="3">
        <f t="shared" si="85"/>
        <v>0</v>
      </c>
    </row>
    <row r="5485" spans="1:6" ht="33.75" x14ac:dyDescent="0.2">
      <c r="A5485" s="17" t="s">
        <v>14830</v>
      </c>
      <c r="B5485" s="18" t="s">
        <v>14831</v>
      </c>
      <c r="C5485" s="17" t="s">
        <v>1284</v>
      </c>
      <c r="D5485" s="19">
        <v>17.170000000000002</v>
      </c>
      <c r="F5485" s="3" t="str">
        <f t="shared" si="85"/>
        <v>C5112</v>
      </c>
    </row>
    <row r="5486" spans="1:6" x14ac:dyDescent="0.2">
      <c r="A5486" s="17">
        <v>0</v>
      </c>
      <c r="B5486" s="18"/>
      <c r="C5486" s="17">
        <v>0</v>
      </c>
      <c r="D5486" s="19">
        <v>0</v>
      </c>
      <c r="F5486" s="3">
        <f t="shared" si="85"/>
        <v>0</v>
      </c>
    </row>
    <row r="5487" spans="1:6" x14ac:dyDescent="0.2">
      <c r="A5487" s="14" t="s">
        <v>14832</v>
      </c>
      <c r="B5487" s="15"/>
      <c r="C5487" s="14">
        <v>0</v>
      </c>
      <c r="D5487" s="16">
        <v>1113.5</v>
      </c>
      <c r="F5487" s="3" t="str">
        <f t="shared" si="85"/>
        <v>PINTURAS</v>
      </c>
    </row>
    <row r="5488" spans="1:6" ht="22.5" x14ac:dyDescent="0.2">
      <c r="A5488" s="17" t="s">
        <v>14833</v>
      </c>
      <c r="B5488" s="18" t="s">
        <v>14834</v>
      </c>
      <c r="C5488" s="17" t="s">
        <v>255</v>
      </c>
      <c r="D5488" s="19">
        <v>74.959999999999994</v>
      </c>
      <c r="F5488" s="3" t="str">
        <f t="shared" si="85"/>
        <v>C5113</v>
      </c>
    </row>
    <row r="5489" spans="1:6" x14ac:dyDescent="0.2">
      <c r="A5489" s="17">
        <v>0</v>
      </c>
      <c r="B5489" s="18"/>
      <c r="C5489" s="17">
        <v>0</v>
      </c>
      <c r="D5489" s="19">
        <v>0</v>
      </c>
      <c r="F5489" s="3">
        <f t="shared" si="85"/>
        <v>0</v>
      </c>
    </row>
    <row r="5490" spans="1:6" ht="33.75" x14ac:dyDescent="0.2">
      <c r="A5490" s="17" t="s">
        <v>14835</v>
      </c>
      <c r="B5490" s="18" t="s">
        <v>14836</v>
      </c>
      <c r="C5490" s="17" t="s">
        <v>255</v>
      </c>
      <c r="D5490" s="19">
        <v>82.84</v>
      </c>
      <c r="F5490" s="3" t="str">
        <f t="shared" si="85"/>
        <v>C5194</v>
      </c>
    </row>
    <row r="5491" spans="1:6" x14ac:dyDescent="0.2">
      <c r="A5491" s="17">
        <v>0</v>
      </c>
      <c r="B5491" s="18"/>
      <c r="C5491" s="17">
        <v>0</v>
      </c>
      <c r="D5491" s="19">
        <v>0</v>
      </c>
      <c r="F5491" s="3">
        <f t="shared" si="85"/>
        <v>0</v>
      </c>
    </row>
    <row r="5492" spans="1:6" ht="22.5" x14ac:dyDescent="0.2">
      <c r="A5492" s="17" t="s">
        <v>14837</v>
      </c>
      <c r="B5492" s="18" t="s">
        <v>14838</v>
      </c>
      <c r="C5492" s="17" t="s">
        <v>255</v>
      </c>
      <c r="D5492" s="19">
        <v>30.05</v>
      </c>
      <c r="F5492" s="3" t="str">
        <f t="shared" si="85"/>
        <v>C5119</v>
      </c>
    </row>
    <row r="5493" spans="1:6" x14ac:dyDescent="0.2">
      <c r="A5493" s="17">
        <v>0</v>
      </c>
      <c r="B5493" s="18"/>
      <c r="C5493" s="17">
        <v>0</v>
      </c>
      <c r="D5493" s="19">
        <v>0</v>
      </c>
      <c r="F5493" s="3">
        <f t="shared" si="85"/>
        <v>0</v>
      </c>
    </row>
    <row r="5494" spans="1:6" ht="22.5" x14ac:dyDescent="0.2">
      <c r="A5494" s="17" t="s">
        <v>14839</v>
      </c>
      <c r="B5494" s="18" t="s">
        <v>14840</v>
      </c>
      <c r="C5494" s="17" t="s">
        <v>255</v>
      </c>
      <c r="D5494" s="19">
        <v>33.19</v>
      </c>
      <c r="F5494" s="3" t="str">
        <f t="shared" si="85"/>
        <v>C5200</v>
      </c>
    </row>
    <row r="5495" spans="1:6" x14ac:dyDescent="0.2">
      <c r="A5495" s="17">
        <v>0</v>
      </c>
      <c r="B5495" s="18"/>
      <c r="C5495" s="17">
        <v>0</v>
      </c>
      <c r="D5495" s="19">
        <v>0</v>
      </c>
      <c r="F5495" s="3">
        <f t="shared" si="85"/>
        <v>0</v>
      </c>
    </row>
    <row r="5496" spans="1:6" ht="22.5" x14ac:dyDescent="0.2">
      <c r="A5496" s="17" t="s">
        <v>14841</v>
      </c>
      <c r="B5496" s="18" t="s">
        <v>14842</v>
      </c>
      <c r="C5496" s="17" t="s">
        <v>255</v>
      </c>
      <c r="D5496" s="19">
        <v>116.91</v>
      </c>
      <c r="F5496" s="3" t="str">
        <f t="shared" si="85"/>
        <v>C5118</v>
      </c>
    </row>
    <row r="5497" spans="1:6" x14ac:dyDescent="0.2">
      <c r="A5497" s="17">
        <v>0</v>
      </c>
      <c r="B5497" s="18"/>
      <c r="C5497" s="17">
        <v>0</v>
      </c>
      <c r="D5497" s="19">
        <v>0</v>
      </c>
      <c r="F5497" s="3">
        <f t="shared" si="85"/>
        <v>0</v>
      </c>
    </row>
    <row r="5498" spans="1:6" ht="22.5" x14ac:dyDescent="0.2">
      <c r="A5498" s="17" t="s">
        <v>14843</v>
      </c>
      <c r="B5498" s="18" t="s">
        <v>14844</v>
      </c>
      <c r="C5498" s="17" t="s">
        <v>255</v>
      </c>
      <c r="D5498" s="19">
        <v>118.71</v>
      </c>
      <c r="F5498" s="3" t="str">
        <f t="shared" si="85"/>
        <v>C5199</v>
      </c>
    </row>
    <row r="5499" spans="1:6" x14ac:dyDescent="0.2">
      <c r="A5499" s="17">
        <v>0</v>
      </c>
      <c r="B5499" s="18"/>
      <c r="C5499" s="17">
        <v>0</v>
      </c>
      <c r="D5499" s="19">
        <v>0</v>
      </c>
      <c r="F5499" s="3">
        <f t="shared" si="85"/>
        <v>0</v>
      </c>
    </row>
    <row r="5500" spans="1:6" ht="22.5" x14ac:dyDescent="0.2">
      <c r="A5500" s="17" t="s">
        <v>14845</v>
      </c>
      <c r="B5500" s="18" t="s">
        <v>14846</v>
      </c>
      <c r="C5500" s="17" t="s">
        <v>255</v>
      </c>
      <c r="D5500" s="19">
        <v>135.87</v>
      </c>
      <c r="F5500" s="3" t="str">
        <f t="shared" si="85"/>
        <v>C5117</v>
      </c>
    </row>
    <row r="5501" spans="1:6" x14ac:dyDescent="0.2">
      <c r="A5501" s="17">
        <v>0</v>
      </c>
      <c r="B5501" s="18"/>
      <c r="C5501" s="17">
        <v>0</v>
      </c>
      <c r="D5501" s="19">
        <v>0</v>
      </c>
      <c r="F5501" s="3">
        <f t="shared" si="85"/>
        <v>0</v>
      </c>
    </row>
    <row r="5502" spans="1:6" ht="22.5" x14ac:dyDescent="0.2">
      <c r="A5502" s="17" t="s">
        <v>14847</v>
      </c>
      <c r="B5502" s="18" t="s">
        <v>14848</v>
      </c>
      <c r="C5502" s="17" t="s">
        <v>255</v>
      </c>
      <c r="D5502" s="19">
        <v>227.89</v>
      </c>
      <c r="F5502" s="3" t="str">
        <f t="shared" si="85"/>
        <v>C5198</v>
      </c>
    </row>
    <row r="5503" spans="1:6" x14ac:dyDescent="0.2">
      <c r="A5503" s="17">
        <v>0</v>
      </c>
      <c r="B5503" s="18"/>
      <c r="C5503" s="17">
        <v>0</v>
      </c>
      <c r="D5503" s="19">
        <v>0</v>
      </c>
      <c r="F5503" s="3">
        <f t="shared" si="85"/>
        <v>0</v>
      </c>
    </row>
    <row r="5504" spans="1:6" ht="33.75" x14ac:dyDescent="0.2">
      <c r="A5504" s="17" t="s">
        <v>14849</v>
      </c>
      <c r="B5504" s="18" t="s">
        <v>14850</v>
      </c>
      <c r="C5504" s="17" t="s">
        <v>255</v>
      </c>
      <c r="D5504" s="19">
        <v>40.67</v>
      </c>
      <c r="F5504" s="3" t="str">
        <f t="shared" si="85"/>
        <v>C5115</v>
      </c>
    </row>
    <row r="5505" spans="1:6" x14ac:dyDescent="0.2">
      <c r="A5505" s="17">
        <v>0</v>
      </c>
      <c r="B5505" s="18"/>
      <c r="C5505" s="17">
        <v>0</v>
      </c>
      <c r="D5505" s="19">
        <v>0</v>
      </c>
      <c r="F5505" s="3">
        <f t="shared" si="85"/>
        <v>0</v>
      </c>
    </row>
    <row r="5506" spans="1:6" ht="22.5" x14ac:dyDescent="0.2">
      <c r="A5506" s="17" t="s">
        <v>14851</v>
      </c>
      <c r="B5506" s="18" t="s">
        <v>14852</v>
      </c>
      <c r="C5506" s="17" t="s">
        <v>255</v>
      </c>
      <c r="D5506" s="19">
        <v>133.61000000000001</v>
      </c>
      <c r="F5506" s="3" t="str">
        <f t="shared" ref="F5506:F5569" si="86">A5506</f>
        <v>C5196</v>
      </c>
    </row>
    <row r="5507" spans="1:6" x14ac:dyDescent="0.2">
      <c r="A5507" s="17">
        <v>0</v>
      </c>
      <c r="B5507" s="18"/>
      <c r="C5507" s="17">
        <v>0</v>
      </c>
      <c r="D5507" s="19">
        <v>0</v>
      </c>
      <c r="F5507" s="3">
        <f t="shared" si="86"/>
        <v>0</v>
      </c>
    </row>
    <row r="5508" spans="1:6" ht="22.5" x14ac:dyDescent="0.2">
      <c r="A5508" s="17" t="s">
        <v>14853</v>
      </c>
      <c r="B5508" s="18" t="s">
        <v>14854</v>
      </c>
      <c r="C5508" s="17" t="s">
        <v>255</v>
      </c>
      <c r="D5508" s="19">
        <v>13.78</v>
      </c>
      <c r="F5508" s="3" t="str">
        <f t="shared" si="86"/>
        <v>C5116</v>
      </c>
    </row>
    <row r="5509" spans="1:6" x14ac:dyDescent="0.2">
      <c r="A5509" s="17">
        <v>0</v>
      </c>
      <c r="B5509" s="18"/>
      <c r="C5509" s="17">
        <v>0</v>
      </c>
      <c r="D5509" s="19">
        <v>0</v>
      </c>
      <c r="F5509" s="3">
        <f t="shared" si="86"/>
        <v>0</v>
      </c>
    </row>
    <row r="5510" spans="1:6" ht="22.5" x14ac:dyDescent="0.2">
      <c r="A5510" s="17" t="s">
        <v>14855</v>
      </c>
      <c r="B5510" s="18" t="s">
        <v>14856</v>
      </c>
      <c r="C5510" s="17" t="s">
        <v>255</v>
      </c>
      <c r="D5510" s="19">
        <v>24.84</v>
      </c>
      <c r="F5510" s="3" t="str">
        <f t="shared" si="86"/>
        <v>C5197</v>
      </c>
    </row>
    <row r="5511" spans="1:6" x14ac:dyDescent="0.2">
      <c r="A5511" s="17">
        <v>0</v>
      </c>
      <c r="B5511" s="18"/>
      <c r="C5511" s="17">
        <v>0</v>
      </c>
      <c r="D5511" s="19">
        <v>0</v>
      </c>
      <c r="F5511" s="3">
        <f t="shared" si="86"/>
        <v>0</v>
      </c>
    </row>
    <row r="5512" spans="1:6" ht="22.5" x14ac:dyDescent="0.2">
      <c r="A5512" s="17" t="s">
        <v>14857</v>
      </c>
      <c r="B5512" s="18" t="s">
        <v>14858</v>
      </c>
      <c r="C5512" s="17" t="s">
        <v>255</v>
      </c>
      <c r="D5512" s="19">
        <v>37.97</v>
      </c>
      <c r="F5512" s="3" t="str">
        <f t="shared" si="86"/>
        <v>C5114</v>
      </c>
    </row>
    <row r="5513" spans="1:6" x14ac:dyDescent="0.2">
      <c r="A5513" s="17">
        <v>0</v>
      </c>
      <c r="B5513" s="18"/>
      <c r="C5513" s="17">
        <v>0</v>
      </c>
      <c r="D5513" s="19">
        <v>0</v>
      </c>
      <c r="F5513" s="3">
        <f t="shared" si="86"/>
        <v>0</v>
      </c>
    </row>
    <row r="5514" spans="1:6" ht="22.5" x14ac:dyDescent="0.2">
      <c r="A5514" s="17" t="s">
        <v>14859</v>
      </c>
      <c r="B5514" s="18" t="s">
        <v>14860</v>
      </c>
      <c r="C5514" s="17" t="s">
        <v>255</v>
      </c>
      <c r="D5514" s="19">
        <v>42.21</v>
      </c>
      <c r="F5514" s="3" t="str">
        <f t="shared" si="86"/>
        <v>C5195</v>
      </c>
    </row>
    <row r="5515" spans="1:6" x14ac:dyDescent="0.2">
      <c r="A5515" s="17">
        <v>0</v>
      </c>
      <c r="B5515" s="18"/>
      <c r="C5515" s="17">
        <v>0</v>
      </c>
      <c r="D5515" s="19">
        <v>0</v>
      </c>
      <c r="F5515" s="3">
        <f t="shared" si="86"/>
        <v>0</v>
      </c>
    </row>
    <row r="5516" spans="1:6" x14ac:dyDescent="0.2">
      <c r="A5516" s="14" t="s">
        <v>14861</v>
      </c>
      <c r="B5516" s="15"/>
      <c r="C5516" s="14">
        <v>0</v>
      </c>
      <c r="D5516" s="16">
        <v>3884.94</v>
      </c>
      <c r="F5516" s="3" t="str">
        <f t="shared" si="86"/>
        <v>DIVERSOS</v>
      </c>
    </row>
    <row r="5517" spans="1:6" x14ac:dyDescent="0.2">
      <c r="A5517" s="17" t="s">
        <v>14862</v>
      </c>
      <c r="B5517" s="18" t="s">
        <v>14863</v>
      </c>
      <c r="C5517" s="17" t="s">
        <v>255</v>
      </c>
      <c r="D5517" s="19">
        <v>71.83</v>
      </c>
      <c r="F5517" s="3" t="str">
        <f t="shared" si="86"/>
        <v>C5123</v>
      </c>
    </row>
    <row r="5518" spans="1:6" x14ac:dyDescent="0.2">
      <c r="A5518" s="17" t="s">
        <v>14864</v>
      </c>
      <c r="B5518" s="18" t="s">
        <v>14865</v>
      </c>
      <c r="C5518" s="17" t="s">
        <v>0</v>
      </c>
      <c r="D5518" s="19">
        <v>36</v>
      </c>
      <c r="F5518" s="3" t="str">
        <f t="shared" si="86"/>
        <v>C5095</v>
      </c>
    </row>
    <row r="5519" spans="1:6" ht="22.5" x14ac:dyDescent="0.2">
      <c r="A5519" s="17" t="s">
        <v>14866</v>
      </c>
      <c r="B5519" s="18" t="s">
        <v>14867</v>
      </c>
      <c r="C5519" s="17" t="s">
        <v>26</v>
      </c>
      <c r="D5519" s="19">
        <v>928.49</v>
      </c>
      <c r="F5519" s="3" t="str">
        <f t="shared" si="86"/>
        <v>C5098</v>
      </c>
    </row>
    <row r="5520" spans="1:6" x14ac:dyDescent="0.2">
      <c r="A5520" s="17">
        <v>0</v>
      </c>
      <c r="B5520" s="18"/>
      <c r="C5520" s="17">
        <v>0</v>
      </c>
      <c r="D5520" s="19">
        <v>0</v>
      </c>
      <c r="F5520" s="3">
        <f t="shared" si="86"/>
        <v>0</v>
      </c>
    </row>
    <row r="5521" spans="1:6" ht="22.5" x14ac:dyDescent="0.2">
      <c r="A5521" s="17" t="s">
        <v>14868</v>
      </c>
      <c r="B5521" s="18" t="s">
        <v>14869</v>
      </c>
      <c r="C5521" s="17" t="s">
        <v>26</v>
      </c>
      <c r="D5521" s="19">
        <v>805.69</v>
      </c>
      <c r="F5521" s="3" t="str">
        <f t="shared" si="86"/>
        <v>C5051</v>
      </c>
    </row>
    <row r="5522" spans="1:6" x14ac:dyDescent="0.2">
      <c r="A5522" s="17">
        <v>0</v>
      </c>
      <c r="B5522" s="18"/>
      <c r="C5522" s="17">
        <v>0</v>
      </c>
      <c r="D5522" s="19">
        <v>0</v>
      </c>
      <c r="F5522" s="3">
        <f t="shared" si="86"/>
        <v>0</v>
      </c>
    </row>
    <row r="5523" spans="1:6" ht="22.5" x14ac:dyDescent="0.2">
      <c r="A5523" s="17" t="s">
        <v>14870</v>
      </c>
      <c r="B5523" s="18" t="s">
        <v>14871</v>
      </c>
      <c r="C5523" s="17" t="s">
        <v>26</v>
      </c>
      <c r="D5523" s="19">
        <v>972.2</v>
      </c>
      <c r="F5523" s="3" t="str">
        <f t="shared" si="86"/>
        <v>C5052</v>
      </c>
    </row>
    <row r="5524" spans="1:6" x14ac:dyDescent="0.2">
      <c r="A5524" s="17">
        <v>0</v>
      </c>
      <c r="B5524" s="18"/>
      <c r="C5524" s="17">
        <v>0</v>
      </c>
      <c r="D5524" s="19">
        <v>0</v>
      </c>
      <c r="F5524" s="3">
        <f t="shared" si="86"/>
        <v>0</v>
      </c>
    </row>
    <row r="5525" spans="1:6" ht="22.5" x14ac:dyDescent="0.2">
      <c r="A5525" s="17" t="s">
        <v>14872</v>
      </c>
      <c r="B5525" s="18" t="s">
        <v>14873</v>
      </c>
      <c r="C5525" s="17" t="s">
        <v>26</v>
      </c>
      <c r="D5525" s="19">
        <v>343.42</v>
      </c>
      <c r="F5525" s="3" t="str">
        <f t="shared" si="86"/>
        <v>C5121</v>
      </c>
    </row>
    <row r="5526" spans="1:6" x14ac:dyDescent="0.2">
      <c r="A5526" s="17">
        <v>0</v>
      </c>
      <c r="B5526" s="18"/>
      <c r="C5526" s="17">
        <v>0</v>
      </c>
      <c r="D5526" s="19">
        <v>0</v>
      </c>
      <c r="F5526" s="3">
        <f t="shared" si="86"/>
        <v>0</v>
      </c>
    </row>
    <row r="5527" spans="1:6" ht="22.5" x14ac:dyDescent="0.2">
      <c r="A5527" s="17" t="s">
        <v>14874</v>
      </c>
      <c r="B5527" s="18" t="s">
        <v>14875</v>
      </c>
      <c r="C5527" s="17" t="s">
        <v>255</v>
      </c>
      <c r="D5527" s="19">
        <v>105.65</v>
      </c>
      <c r="F5527" s="3" t="str">
        <f t="shared" si="86"/>
        <v>C5122</v>
      </c>
    </row>
    <row r="5528" spans="1:6" x14ac:dyDescent="0.2">
      <c r="A5528" s="17">
        <v>0</v>
      </c>
      <c r="B5528" s="18"/>
      <c r="C5528" s="17">
        <v>0</v>
      </c>
      <c r="D5528" s="19">
        <v>0</v>
      </c>
      <c r="F5528" s="3">
        <f t="shared" si="86"/>
        <v>0</v>
      </c>
    </row>
    <row r="5529" spans="1:6" ht="22.5" x14ac:dyDescent="0.2">
      <c r="A5529" s="17" t="s">
        <v>14876</v>
      </c>
      <c r="B5529" s="18" t="s">
        <v>14877</v>
      </c>
      <c r="C5529" s="17" t="s">
        <v>26</v>
      </c>
      <c r="D5529" s="19">
        <v>235.96</v>
      </c>
      <c r="F5529" s="3" t="str">
        <f t="shared" si="86"/>
        <v>C5096</v>
      </c>
    </row>
    <row r="5530" spans="1:6" x14ac:dyDescent="0.2">
      <c r="A5530" s="17">
        <v>0</v>
      </c>
      <c r="B5530" s="18"/>
      <c r="C5530" s="17">
        <v>0</v>
      </c>
      <c r="D5530" s="19">
        <v>0</v>
      </c>
      <c r="F5530" s="3">
        <f t="shared" si="86"/>
        <v>0</v>
      </c>
    </row>
    <row r="5531" spans="1:6" x14ac:dyDescent="0.2">
      <c r="A5531" s="17" t="s">
        <v>14878</v>
      </c>
      <c r="B5531" s="18" t="s">
        <v>14879</v>
      </c>
      <c r="C5531" s="17" t="s">
        <v>26</v>
      </c>
      <c r="D5531" s="19">
        <v>61.48</v>
      </c>
      <c r="F5531" s="3" t="str">
        <f t="shared" si="86"/>
        <v>C5097</v>
      </c>
    </row>
    <row r="5532" spans="1:6" ht="22.5" x14ac:dyDescent="0.2">
      <c r="A5532" s="17" t="s">
        <v>14880</v>
      </c>
      <c r="B5532" s="18" t="s">
        <v>14881</v>
      </c>
      <c r="C5532" s="17" t="s">
        <v>26</v>
      </c>
      <c r="D5532" s="19">
        <v>30.63</v>
      </c>
      <c r="F5532" s="3" t="str">
        <f t="shared" si="86"/>
        <v>C5076</v>
      </c>
    </row>
    <row r="5533" spans="1:6" x14ac:dyDescent="0.2">
      <c r="A5533" s="17">
        <v>0</v>
      </c>
      <c r="B5533" s="18"/>
      <c r="C5533" s="17">
        <v>0</v>
      </c>
      <c r="D5533" s="19">
        <v>0</v>
      </c>
      <c r="F5533" s="3">
        <f t="shared" si="86"/>
        <v>0</v>
      </c>
    </row>
    <row r="5534" spans="1:6" ht="22.5" x14ac:dyDescent="0.2">
      <c r="A5534" s="17" t="s">
        <v>14882</v>
      </c>
      <c r="B5534" s="18" t="s">
        <v>14883</v>
      </c>
      <c r="C5534" s="17" t="s">
        <v>26</v>
      </c>
      <c r="D5534" s="19">
        <v>32.72</v>
      </c>
      <c r="F5534" s="3" t="str">
        <f t="shared" si="86"/>
        <v>C5079</v>
      </c>
    </row>
    <row r="5535" spans="1:6" x14ac:dyDescent="0.2">
      <c r="A5535" s="17">
        <v>0</v>
      </c>
      <c r="B5535" s="18"/>
      <c r="C5535" s="17">
        <v>0</v>
      </c>
      <c r="D5535" s="19">
        <v>0</v>
      </c>
      <c r="F5535" s="3">
        <f t="shared" si="86"/>
        <v>0</v>
      </c>
    </row>
    <row r="5536" spans="1:6" ht="22.5" x14ac:dyDescent="0.2">
      <c r="A5536" s="17" t="s">
        <v>14884</v>
      </c>
      <c r="B5536" s="18" t="s">
        <v>14885</v>
      </c>
      <c r="C5536" s="17" t="s">
        <v>26</v>
      </c>
      <c r="D5536" s="19">
        <v>34.24</v>
      </c>
      <c r="F5536" s="3" t="str">
        <f t="shared" si="86"/>
        <v>C5082</v>
      </c>
    </row>
    <row r="5537" spans="1:6" x14ac:dyDescent="0.2">
      <c r="A5537" s="17">
        <v>0</v>
      </c>
      <c r="B5537" s="18"/>
      <c r="C5537" s="17">
        <v>0</v>
      </c>
      <c r="D5537" s="19">
        <v>0</v>
      </c>
      <c r="F5537" s="3">
        <f t="shared" si="86"/>
        <v>0</v>
      </c>
    </row>
    <row r="5538" spans="1:6" ht="22.5" x14ac:dyDescent="0.2">
      <c r="A5538" s="17" t="s">
        <v>14886</v>
      </c>
      <c r="B5538" s="18" t="s">
        <v>14887</v>
      </c>
      <c r="C5538" s="17" t="s">
        <v>26</v>
      </c>
      <c r="D5538" s="19">
        <v>40.21</v>
      </c>
      <c r="F5538" s="3" t="str">
        <f t="shared" si="86"/>
        <v>C5085</v>
      </c>
    </row>
    <row r="5539" spans="1:6" x14ac:dyDescent="0.2">
      <c r="A5539" s="17">
        <v>0</v>
      </c>
      <c r="B5539" s="18"/>
      <c r="C5539" s="17">
        <v>0</v>
      </c>
      <c r="D5539" s="19">
        <v>0</v>
      </c>
      <c r="F5539" s="3">
        <f t="shared" si="86"/>
        <v>0</v>
      </c>
    </row>
    <row r="5540" spans="1:6" ht="22.5" x14ac:dyDescent="0.2">
      <c r="A5540" s="17" t="s">
        <v>14888</v>
      </c>
      <c r="B5540" s="18" t="s">
        <v>14889</v>
      </c>
      <c r="C5540" s="17" t="s">
        <v>26</v>
      </c>
      <c r="D5540" s="19">
        <v>42.75</v>
      </c>
      <c r="F5540" s="3" t="str">
        <f t="shared" si="86"/>
        <v>C5088</v>
      </c>
    </row>
    <row r="5541" spans="1:6" x14ac:dyDescent="0.2">
      <c r="A5541" s="17">
        <v>0</v>
      </c>
      <c r="B5541" s="18"/>
      <c r="C5541" s="17">
        <v>0</v>
      </c>
      <c r="D5541" s="19">
        <v>0</v>
      </c>
      <c r="F5541" s="3">
        <f t="shared" si="86"/>
        <v>0</v>
      </c>
    </row>
    <row r="5542" spans="1:6" ht="22.5" x14ac:dyDescent="0.2">
      <c r="A5542" s="17" t="s">
        <v>14890</v>
      </c>
      <c r="B5542" s="18" t="s">
        <v>14891</v>
      </c>
      <c r="C5542" s="17" t="s">
        <v>26</v>
      </c>
      <c r="D5542" s="19">
        <v>45.46</v>
      </c>
      <c r="F5542" s="3" t="str">
        <f t="shared" si="86"/>
        <v>C5091</v>
      </c>
    </row>
    <row r="5543" spans="1:6" x14ac:dyDescent="0.2">
      <c r="A5543" s="17">
        <v>0</v>
      </c>
      <c r="B5543" s="18"/>
      <c r="C5543" s="17">
        <v>0</v>
      </c>
      <c r="D5543" s="19">
        <v>0</v>
      </c>
      <c r="F5543" s="3">
        <f t="shared" si="86"/>
        <v>0</v>
      </c>
    </row>
    <row r="5544" spans="1:6" ht="22.5" x14ac:dyDescent="0.2">
      <c r="A5544" s="17" t="s">
        <v>14892</v>
      </c>
      <c r="B5544" s="18" t="s">
        <v>14893</v>
      </c>
      <c r="C5544" s="17" t="s">
        <v>26</v>
      </c>
      <c r="D5544" s="19">
        <v>53.3</v>
      </c>
      <c r="F5544" s="3" t="str">
        <f t="shared" si="86"/>
        <v>C5094</v>
      </c>
    </row>
    <row r="5545" spans="1:6" x14ac:dyDescent="0.2">
      <c r="A5545" s="17">
        <v>0</v>
      </c>
      <c r="B5545" s="18"/>
      <c r="C5545" s="17">
        <v>0</v>
      </c>
      <c r="D5545" s="19">
        <v>0</v>
      </c>
      <c r="F5545" s="3">
        <f t="shared" si="86"/>
        <v>0</v>
      </c>
    </row>
    <row r="5546" spans="1:6" x14ac:dyDescent="0.2">
      <c r="A5546" s="17" t="s">
        <v>14894</v>
      </c>
      <c r="B5546" s="18" t="s">
        <v>14895</v>
      </c>
      <c r="C5546" s="17" t="s">
        <v>26</v>
      </c>
      <c r="D5546" s="19">
        <v>44.91</v>
      </c>
      <c r="F5546" s="3" t="str">
        <f t="shared" si="86"/>
        <v>C5120</v>
      </c>
    </row>
    <row r="5547" spans="1:6" x14ac:dyDescent="0.2">
      <c r="A5547" s="14" t="s">
        <v>14896</v>
      </c>
      <c r="B5547" s="15"/>
      <c r="C5547" s="14">
        <v>0</v>
      </c>
      <c r="D5547" s="16">
        <v>9550.25</v>
      </c>
      <c r="F5547" s="3" t="str">
        <f t="shared" si="86"/>
        <v>ACESSIBILIDADE À EDIFICAÇÕES E ESPAÇOS</v>
      </c>
    </row>
    <row r="5548" spans="1:6" x14ac:dyDescent="0.2">
      <c r="A5548" s="14" t="s">
        <v>14897</v>
      </c>
      <c r="B5548" s="15"/>
      <c r="C5548" s="14">
        <v>0</v>
      </c>
      <c r="D5548" s="16">
        <v>115.75</v>
      </c>
      <c r="F5548" s="3" t="str">
        <f t="shared" si="86"/>
        <v>SERVIÇOS PRELIMINARES</v>
      </c>
    </row>
    <row r="5549" spans="1:6" x14ac:dyDescent="0.2">
      <c r="A5549" s="17" t="s">
        <v>14898</v>
      </c>
      <c r="B5549" s="18" t="s">
        <v>14899</v>
      </c>
      <c r="C5549" s="17" t="s">
        <v>11503</v>
      </c>
      <c r="D5549" s="19">
        <v>37.64</v>
      </c>
      <c r="F5549" s="3" t="str">
        <f t="shared" si="86"/>
        <v>C4618</v>
      </c>
    </row>
    <row r="5550" spans="1:6" x14ac:dyDescent="0.2">
      <c r="A5550" s="17" t="s">
        <v>14900</v>
      </c>
      <c r="B5550" s="18" t="s">
        <v>14901</v>
      </c>
      <c r="C5550" s="17" t="s">
        <v>11503</v>
      </c>
      <c r="D5550" s="19">
        <v>36.369999999999997</v>
      </c>
      <c r="F5550" s="3" t="str">
        <f t="shared" si="86"/>
        <v>C4619</v>
      </c>
    </row>
    <row r="5551" spans="1:6" ht="22.5" x14ac:dyDescent="0.2">
      <c r="A5551" s="17" t="s">
        <v>14902</v>
      </c>
      <c r="B5551" s="18" t="s">
        <v>14903</v>
      </c>
      <c r="C5551" s="17" t="s">
        <v>0</v>
      </c>
      <c r="D5551" s="19">
        <v>31.3</v>
      </c>
      <c r="F5551" s="3" t="str">
        <f t="shared" si="86"/>
        <v>C4639</v>
      </c>
    </row>
    <row r="5552" spans="1:6" x14ac:dyDescent="0.2">
      <c r="A5552" s="17">
        <v>0</v>
      </c>
      <c r="B5552" s="18"/>
      <c r="C5552" s="17">
        <v>0</v>
      </c>
      <c r="D5552" s="19">
        <v>0</v>
      </c>
      <c r="F5552" s="3">
        <f t="shared" si="86"/>
        <v>0</v>
      </c>
    </row>
    <row r="5553" spans="1:6" x14ac:dyDescent="0.2">
      <c r="A5553" s="17" t="s">
        <v>14904</v>
      </c>
      <c r="B5553" s="18" t="s">
        <v>14905</v>
      </c>
      <c r="C5553" s="17" t="s">
        <v>0</v>
      </c>
      <c r="D5553" s="19">
        <v>10.44</v>
      </c>
      <c r="F5553" s="3" t="str">
        <f t="shared" si="86"/>
        <v>C4640</v>
      </c>
    </row>
    <row r="5554" spans="1:6" x14ac:dyDescent="0.2">
      <c r="A5554" s="14" t="s">
        <v>8111</v>
      </c>
      <c r="B5554" s="15"/>
      <c r="C5554" s="14">
        <v>0</v>
      </c>
      <c r="D5554" s="16">
        <v>1854.76</v>
      </c>
      <c r="F5554" s="3" t="str">
        <f t="shared" si="86"/>
        <v>ESQUADRIAS E FERRAGENS</v>
      </c>
    </row>
    <row r="5555" spans="1:6" ht="22.5" x14ac:dyDescent="0.2">
      <c r="A5555" s="17" t="s">
        <v>14906</v>
      </c>
      <c r="B5555" s="18" t="s">
        <v>14907</v>
      </c>
      <c r="C5555" s="17" t="s">
        <v>255</v>
      </c>
      <c r="D5555" s="19">
        <v>121.02</v>
      </c>
      <c r="F5555" s="3" t="str">
        <f t="shared" si="86"/>
        <v>C4621</v>
      </c>
    </row>
    <row r="5556" spans="1:6" x14ac:dyDescent="0.2">
      <c r="A5556" s="17">
        <v>0</v>
      </c>
      <c r="B5556" s="18"/>
      <c r="C5556" s="17">
        <v>0</v>
      </c>
      <c r="D5556" s="19">
        <v>0</v>
      </c>
      <c r="F5556" s="3">
        <f t="shared" si="86"/>
        <v>0</v>
      </c>
    </row>
    <row r="5557" spans="1:6" x14ac:dyDescent="0.2">
      <c r="A5557" s="17" t="s">
        <v>14908</v>
      </c>
      <c r="B5557" s="18" t="s">
        <v>14909</v>
      </c>
      <c r="C5557" s="17" t="s">
        <v>8321</v>
      </c>
      <c r="D5557" s="19">
        <v>1342.41</v>
      </c>
      <c r="F5557" s="3" t="str">
        <f t="shared" si="86"/>
        <v>C4643</v>
      </c>
    </row>
    <row r="5558" spans="1:6" x14ac:dyDescent="0.2">
      <c r="A5558" s="17" t="s">
        <v>14910</v>
      </c>
      <c r="B5558" s="18" t="s">
        <v>14911</v>
      </c>
      <c r="C5558" s="17" t="s">
        <v>0</v>
      </c>
      <c r="D5558" s="19">
        <v>226.55</v>
      </c>
      <c r="F5558" s="3" t="str">
        <f t="shared" si="86"/>
        <v>C4638</v>
      </c>
    </row>
    <row r="5559" spans="1:6" x14ac:dyDescent="0.2">
      <c r="A5559" s="17" t="s">
        <v>14912</v>
      </c>
      <c r="B5559" s="18" t="s">
        <v>14913</v>
      </c>
      <c r="C5559" s="17" t="s">
        <v>26</v>
      </c>
      <c r="D5559" s="19">
        <v>32.450000000000003</v>
      </c>
      <c r="F5559" s="3" t="str">
        <f t="shared" si="86"/>
        <v>C4647</v>
      </c>
    </row>
    <row r="5560" spans="1:6" x14ac:dyDescent="0.2">
      <c r="A5560" s="17" t="s">
        <v>14914</v>
      </c>
      <c r="B5560" s="18" t="s">
        <v>14915</v>
      </c>
      <c r="C5560" s="17" t="s">
        <v>26</v>
      </c>
      <c r="D5560" s="19">
        <v>132.33000000000001</v>
      </c>
      <c r="F5560" s="3" t="str">
        <f t="shared" si="86"/>
        <v>C4637</v>
      </c>
    </row>
    <row r="5561" spans="1:6" x14ac:dyDescent="0.2">
      <c r="A5561" s="14" t="s">
        <v>14916</v>
      </c>
      <c r="B5561" s="15"/>
      <c r="C5561" s="14">
        <v>0</v>
      </c>
      <c r="D5561" s="16">
        <v>4685.12</v>
      </c>
      <c r="F5561" s="3" t="str">
        <f t="shared" si="86"/>
        <v>INSTALAÇÕES, LOUÇAS E ACESSÓRIOS</v>
      </c>
    </row>
    <row r="5562" spans="1:6" x14ac:dyDescent="0.2">
      <c r="A5562" s="17" t="s">
        <v>14917</v>
      </c>
      <c r="B5562" s="18" t="s">
        <v>14918</v>
      </c>
      <c r="C5562" s="17" t="s">
        <v>26</v>
      </c>
      <c r="D5562" s="19">
        <v>694.47</v>
      </c>
      <c r="F5562" s="3" t="str">
        <f t="shared" si="86"/>
        <v>C4642</v>
      </c>
    </row>
    <row r="5563" spans="1:6" x14ac:dyDescent="0.2">
      <c r="A5563" s="17" t="s">
        <v>14919</v>
      </c>
      <c r="B5563" s="18" t="s">
        <v>14920</v>
      </c>
      <c r="C5563" s="17" t="s">
        <v>26</v>
      </c>
      <c r="D5563" s="19">
        <v>1208.3599999999999</v>
      </c>
      <c r="F5563" s="3" t="str">
        <f t="shared" si="86"/>
        <v>C4635</v>
      </c>
    </row>
    <row r="5564" spans="1:6" x14ac:dyDescent="0.2">
      <c r="A5564" s="17" t="s">
        <v>14921</v>
      </c>
      <c r="B5564" s="18" t="s">
        <v>14922</v>
      </c>
      <c r="C5564" s="17" t="s">
        <v>26</v>
      </c>
      <c r="D5564" s="19">
        <v>1596.82</v>
      </c>
      <c r="F5564" s="3" t="str">
        <f t="shared" si="86"/>
        <v>C4634</v>
      </c>
    </row>
    <row r="5565" spans="1:6" x14ac:dyDescent="0.2">
      <c r="A5565" s="17" t="s">
        <v>14923</v>
      </c>
      <c r="B5565" s="18" t="s">
        <v>14924</v>
      </c>
      <c r="C5565" s="17" t="s">
        <v>26</v>
      </c>
      <c r="D5565" s="19">
        <v>586.09</v>
      </c>
      <c r="F5565" s="3" t="str">
        <f t="shared" si="86"/>
        <v>C4636</v>
      </c>
    </row>
    <row r="5566" spans="1:6" x14ac:dyDescent="0.2">
      <c r="A5566" s="17" t="s">
        <v>14925</v>
      </c>
      <c r="B5566" s="18" t="s">
        <v>14926</v>
      </c>
      <c r="C5566" s="17" t="s">
        <v>11503</v>
      </c>
      <c r="D5566" s="19">
        <v>123.77</v>
      </c>
      <c r="F5566" s="3" t="str">
        <f t="shared" si="86"/>
        <v>C4630</v>
      </c>
    </row>
    <row r="5567" spans="1:6" x14ac:dyDescent="0.2">
      <c r="A5567" s="17" t="s">
        <v>14927</v>
      </c>
      <c r="B5567" s="18" t="s">
        <v>14928</v>
      </c>
      <c r="C5567" s="17" t="s">
        <v>11503</v>
      </c>
      <c r="D5567" s="19">
        <v>135.51</v>
      </c>
      <c r="F5567" s="3" t="str">
        <f t="shared" si="86"/>
        <v>C4631</v>
      </c>
    </row>
    <row r="5568" spans="1:6" x14ac:dyDescent="0.2">
      <c r="A5568" s="17" t="s">
        <v>14929</v>
      </c>
      <c r="B5568" s="18" t="s">
        <v>14930</v>
      </c>
      <c r="C5568" s="17" t="s">
        <v>26</v>
      </c>
      <c r="D5568" s="19">
        <v>189.33</v>
      </c>
      <c r="F5568" s="3" t="str">
        <f t="shared" si="86"/>
        <v>C4632</v>
      </c>
    </row>
    <row r="5569" spans="1:6" x14ac:dyDescent="0.2">
      <c r="A5569" s="17" t="s">
        <v>14931</v>
      </c>
      <c r="B5569" s="18" t="s">
        <v>14932</v>
      </c>
      <c r="C5569" s="17" t="s">
        <v>255</v>
      </c>
      <c r="D5569" s="19">
        <v>150.77000000000001</v>
      </c>
      <c r="F5569" s="3" t="str">
        <f t="shared" si="86"/>
        <v>C4633</v>
      </c>
    </row>
    <row r="5570" spans="1:6" x14ac:dyDescent="0.2">
      <c r="A5570" s="14" t="s">
        <v>8808</v>
      </c>
      <c r="B5570" s="15"/>
      <c r="C5570" s="14">
        <v>0</v>
      </c>
      <c r="D5570" s="16">
        <v>514.39</v>
      </c>
      <c r="F5570" s="3" t="str">
        <f t="shared" ref="F5570:F5633" si="87">A5570</f>
        <v>PISOS</v>
      </c>
    </row>
    <row r="5571" spans="1:6" ht="22.5" x14ac:dyDescent="0.2">
      <c r="A5571" s="17" t="s">
        <v>14933</v>
      </c>
      <c r="B5571" s="18" t="s">
        <v>14934</v>
      </c>
      <c r="C5571" s="17" t="s">
        <v>26</v>
      </c>
      <c r="D5571" s="19">
        <v>80.86</v>
      </c>
      <c r="F5571" s="3" t="str">
        <f t="shared" si="87"/>
        <v>C4625</v>
      </c>
    </row>
    <row r="5572" spans="1:6" x14ac:dyDescent="0.2">
      <c r="A5572" s="17">
        <v>0</v>
      </c>
      <c r="B5572" s="18"/>
      <c r="C5572" s="17">
        <v>0</v>
      </c>
      <c r="D5572" s="19">
        <v>0</v>
      </c>
      <c r="F5572" s="3">
        <f t="shared" si="87"/>
        <v>0</v>
      </c>
    </row>
    <row r="5573" spans="1:6" x14ac:dyDescent="0.2">
      <c r="A5573" s="17" t="s">
        <v>14935</v>
      </c>
      <c r="B5573" s="18" t="s">
        <v>14936</v>
      </c>
      <c r="C5573" s="17" t="s">
        <v>26</v>
      </c>
      <c r="D5573" s="19">
        <v>55.73</v>
      </c>
      <c r="F5573" s="3" t="str">
        <f t="shared" si="87"/>
        <v>C4622</v>
      </c>
    </row>
    <row r="5574" spans="1:6" ht="22.5" x14ac:dyDescent="0.2">
      <c r="A5574" s="17" t="s">
        <v>14937</v>
      </c>
      <c r="B5574" s="21" t="s">
        <v>14938</v>
      </c>
      <c r="C5574" s="17" t="s">
        <v>255</v>
      </c>
      <c r="D5574" s="19">
        <v>235.82</v>
      </c>
      <c r="F5574" s="3" t="str">
        <f t="shared" si="87"/>
        <v>C4623</v>
      </c>
    </row>
    <row r="5575" spans="1:6" x14ac:dyDescent="0.2">
      <c r="A5575" s="17">
        <v>0</v>
      </c>
      <c r="B5575" s="18"/>
      <c r="C5575" s="17">
        <v>0</v>
      </c>
      <c r="D5575" s="19">
        <v>0</v>
      </c>
      <c r="F5575" s="3">
        <f t="shared" si="87"/>
        <v>0</v>
      </c>
    </row>
    <row r="5576" spans="1:6" ht="22.5" x14ac:dyDescent="0.2">
      <c r="A5576" s="20" t="s">
        <v>14939</v>
      </c>
      <c r="B5576" s="21" t="s">
        <v>14940</v>
      </c>
      <c r="C5576" s="20" t="s">
        <v>255</v>
      </c>
      <c r="D5576" s="22">
        <v>141.97999999999999</v>
      </c>
      <c r="F5576" s="3" t="str">
        <f t="shared" si="87"/>
        <v>C4624</v>
      </c>
    </row>
    <row r="5577" spans="1:6" x14ac:dyDescent="0.2">
      <c r="A5577" s="17">
        <v>0</v>
      </c>
      <c r="B5577" s="18"/>
      <c r="C5577" s="17">
        <v>0</v>
      </c>
      <c r="D5577" s="19">
        <v>0</v>
      </c>
      <c r="F5577" s="3">
        <f t="shared" si="87"/>
        <v>0</v>
      </c>
    </row>
    <row r="5578" spans="1:6" x14ac:dyDescent="0.2">
      <c r="A5578" s="14" t="s">
        <v>14941</v>
      </c>
      <c r="B5578" s="15"/>
      <c r="C5578" s="14">
        <v>0</v>
      </c>
      <c r="D5578" s="16">
        <v>759.57</v>
      </c>
      <c r="F5578" s="3" t="str">
        <f t="shared" si="87"/>
        <v>SINALIZAÇÃO</v>
      </c>
    </row>
    <row r="5579" spans="1:6" x14ac:dyDescent="0.2">
      <c r="A5579" s="17" t="s">
        <v>14942</v>
      </c>
      <c r="B5579" s="18" t="s">
        <v>14943</v>
      </c>
      <c r="C5579" s="17" t="s">
        <v>0</v>
      </c>
      <c r="D5579" s="19">
        <v>12.94</v>
      </c>
      <c r="F5579" s="3" t="str">
        <f t="shared" si="87"/>
        <v>C4850</v>
      </c>
    </row>
    <row r="5580" spans="1:6" x14ac:dyDescent="0.2">
      <c r="A5580" s="17">
        <v>0</v>
      </c>
      <c r="B5580" s="18"/>
      <c r="C5580" s="17">
        <v>0</v>
      </c>
      <c r="D5580" s="19">
        <v>0</v>
      </c>
      <c r="F5580" s="3">
        <f t="shared" si="87"/>
        <v>0</v>
      </c>
    </row>
    <row r="5581" spans="1:6" ht="22.5" x14ac:dyDescent="0.2">
      <c r="A5581" s="17" t="s">
        <v>14944</v>
      </c>
      <c r="B5581" s="18" t="s">
        <v>14945</v>
      </c>
      <c r="C5581" s="17" t="s">
        <v>26</v>
      </c>
      <c r="D5581" s="19">
        <v>19.579999999999998</v>
      </c>
      <c r="F5581" s="3" t="str">
        <f t="shared" si="87"/>
        <v>C4626</v>
      </c>
    </row>
    <row r="5582" spans="1:6" x14ac:dyDescent="0.2">
      <c r="A5582" s="17">
        <v>0</v>
      </c>
      <c r="B5582" s="18"/>
      <c r="C5582" s="17">
        <v>0</v>
      </c>
      <c r="D5582" s="19">
        <v>0</v>
      </c>
      <c r="F5582" s="3">
        <f t="shared" si="87"/>
        <v>0</v>
      </c>
    </row>
    <row r="5583" spans="1:6" ht="22.5" x14ac:dyDescent="0.2">
      <c r="A5583" s="17" t="s">
        <v>14946</v>
      </c>
      <c r="B5583" s="18" t="s">
        <v>14947</v>
      </c>
      <c r="C5583" s="17" t="s">
        <v>26</v>
      </c>
      <c r="D5583" s="19">
        <v>17.170000000000002</v>
      </c>
      <c r="F5583" s="3" t="str">
        <f t="shared" si="87"/>
        <v>C4627</v>
      </c>
    </row>
    <row r="5584" spans="1:6" x14ac:dyDescent="0.2">
      <c r="A5584" s="17">
        <v>0</v>
      </c>
      <c r="B5584" s="18"/>
      <c r="C5584" s="17">
        <v>0</v>
      </c>
      <c r="D5584" s="19">
        <v>0</v>
      </c>
      <c r="F5584" s="3">
        <f t="shared" si="87"/>
        <v>0</v>
      </c>
    </row>
    <row r="5585" spans="1:6" ht="22.5" x14ac:dyDescent="0.2">
      <c r="A5585" s="17" t="s">
        <v>14948</v>
      </c>
      <c r="B5585" s="18" t="s">
        <v>14949</v>
      </c>
      <c r="C5585" s="17" t="s">
        <v>26</v>
      </c>
      <c r="D5585" s="19">
        <v>21.27</v>
      </c>
      <c r="F5585" s="3" t="str">
        <f t="shared" si="87"/>
        <v>C4628</v>
      </c>
    </row>
    <row r="5586" spans="1:6" x14ac:dyDescent="0.2">
      <c r="A5586" s="17">
        <v>0</v>
      </c>
      <c r="B5586" s="18"/>
      <c r="C5586" s="17">
        <v>0</v>
      </c>
      <c r="D5586" s="19">
        <v>0</v>
      </c>
      <c r="F5586" s="3">
        <f t="shared" si="87"/>
        <v>0</v>
      </c>
    </row>
    <row r="5587" spans="1:6" ht="22.5" x14ac:dyDescent="0.2">
      <c r="A5587" s="17" t="s">
        <v>14950</v>
      </c>
      <c r="B5587" s="18" t="s">
        <v>14951</v>
      </c>
      <c r="C5587" s="17" t="s">
        <v>255</v>
      </c>
      <c r="D5587" s="19">
        <v>531.16999999999996</v>
      </c>
      <c r="F5587" s="3" t="str">
        <f t="shared" si="87"/>
        <v>C4629</v>
      </c>
    </row>
    <row r="5588" spans="1:6" x14ac:dyDescent="0.2">
      <c r="A5588" s="17">
        <v>0</v>
      </c>
      <c r="B5588" s="18"/>
      <c r="C5588" s="17">
        <v>0</v>
      </c>
      <c r="D5588" s="19">
        <v>0</v>
      </c>
      <c r="F5588" s="3">
        <f t="shared" si="87"/>
        <v>0</v>
      </c>
    </row>
    <row r="5589" spans="1:6" x14ac:dyDescent="0.2">
      <c r="A5589" s="17" t="s">
        <v>14952</v>
      </c>
      <c r="B5589" s="18" t="s">
        <v>14953</v>
      </c>
      <c r="C5589" s="17" t="s">
        <v>26</v>
      </c>
      <c r="D5589" s="19">
        <v>86.22</v>
      </c>
      <c r="F5589" s="3" t="str">
        <f t="shared" si="87"/>
        <v>C4648</v>
      </c>
    </row>
    <row r="5590" spans="1:6" x14ac:dyDescent="0.2">
      <c r="A5590" s="17" t="s">
        <v>14954</v>
      </c>
      <c r="B5590" s="18" t="s">
        <v>14955</v>
      </c>
      <c r="C5590" s="17" t="s">
        <v>26</v>
      </c>
      <c r="D5590" s="19">
        <v>19.329999999999998</v>
      </c>
      <c r="F5590" s="3" t="str">
        <f t="shared" si="87"/>
        <v>C4641</v>
      </c>
    </row>
    <row r="5591" spans="1:6" x14ac:dyDescent="0.2">
      <c r="A5591" s="17" t="s">
        <v>14956</v>
      </c>
      <c r="B5591" s="18" t="s">
        <v>14957</v>
      </c>
      <c r="C5591" s="17" t="s">
        <v>26</v>
      </c>
      <c r="D5591" s="19">
        <v>51.89</v>
      </c>
      <c r="F5591" s="3" t="str">
        <f t="shared" si="87"/>
        <v>C4649</v>
      </c>
    </row>
    <row r="5592" spans="1:6" x14ac:dyDescent="0.2">
      <c r="A5592" s="14" t="s">
        <v>14861</v>
      </c>
      <c r="B5592" s="15"/>
      <c r="C5592" s="14">
        <v>0</v>
      </c>
      <c r="D5592" s="16">
        <v>1620.66</v>
      </c>
      <c r="F5592" s="3" t="str">
        <f t="shared" si="87"/>
        <v>DIVERSOS</v>
      </c>
    </row>
    <row r="5593" spans="1:6" x14ac:dyDescent="0.2">
      <c r="A5593" s="17" t="s">
        <v>14958</v>
      </c>
      <c r="B5593" s="18" t="s">
        <v>14959</v>
      </c>
      <c r="C5593" s="17" t="s">
        <v>0</v>
      </c>
      <c r="D5593" s="19">
        <v>385.14</v>
      </c>
      <c r="F5593" s="3" t="str">
        <f t="shared" si="87"/>
        <v>C4646</v>
      </c>
    </row>
    <row r="5594" spans="1:6" x14ac:dyDescent="0.2">
      <c r="A5594" s="17" t="s">
        <v>14960</v>
      </c>
      <c r="B5594" s="18" t="s">
        <v>14961</v>
      </c>
      <c r="C5594" s="17" t="s">
        <v>8321</v>
      </c>
      <c r="D5594" s="19">
        <v>1056.81</v>
      </c>
      <c r="F5594" s="3" t="str">
        <f t="shared" si="87"/>
        <v>C4644</v>
      </c>
    </row>
    <row r="5595" spans="1:6" ht="22.5" x14ac:dyDescent="0.2">
      <c r="A5595" s="17" t="s">
        <v>14962</v>
      </c>
      <c r="B5595" s="18" t="s">
        <v>14963</v>
      </c>
      <c r="C5595" s="17" t="s">
        <v>0</v>
      </c>
      <c r="D5595" s="19">
        <v>178.72</v>
      </c>
      <c r="F5595" s="3" t="str">
        <f t="shared" si="87"/>
        <v>C4620</v>
      </c>
    </row>
    <row r="5596" spans="1:6" x14ac:dyDescent="0.2">
      <c r="A5596" s="17">
        <v>0</v>
      </c>
      <c r="B5596" s="18"/>
      <c r="C5596" s="17">
        <v>0</v>
      </c>
      <c r="D5596" s="19">
        <v>0</v>
      </c>
      <c r="F5596" s="3">
        <f t="shared" si="87"/>
        <v>0</v>
      </c>
    </row>
    <row r="5597" spans="1:6" x14ac:dyDescent="0.2">
      <c r="A5597" s="14" t="s">
        <v>14964</v>
      </c>
      <c r="B5597" s="15"/>
      <c r="C5597" s="14">
        <v>0</v>
      </c>
      <c r="D5597" s="16">
        <v>217</v>
      </c>
      <c r="F5597" s="3" t="str">
        <f t="shared" si="87"/>
        <v>SERVIÇOS DIVERSOS</v>
      </c>
    </row>
    <row r="5598" spans="1:6" x14ac:dyDescent="0.2">
      <c r="A5598" s="14" t="s">
        <v>14965</v>
      </c>
      <c r="B5598" s="15"/>
      <c r="C5598" s="14">
        <v>0</v>
      </c>
      <c r="D5598" s="16">
        <v>1.57</v>
      </c>
      <c r="F5598" s="3" t="str">
        <f t="shared" si="87"/>
        <v>INDENIZAÇÕES</v>
      </c>
    </row>
    <row r="5599" spans="1:6" x14ac:dyDescent="0.2">
      <c r="A5599" s="17" t="s">
        <v>14966</v>
      </c>
      <c r="B5599" s="18" t="s">
        <v>14967</v>
      </c>
      <c r="C5599" s="17" t="s">
        <v>271</v>
      </c>
      <c r="D5599" s="19">
        <v>1.57</v>
      </c>
      <c r="F5599" s="3" t="str">
        <f t="shared" si="87"/>
        <v>C2840</v>
      </c>
    </row>
    <row r="5600" spans="1:6" x14ac:dyDescent="0.2">
      <c r="A5600" s="14" t="s">
        <v>14968</v>
      </c>
      <c r="B5600" s="15"/>
      <c r="C5600" s="14">
        <v>0</v>
      </c>
      <c r="D5600" s="16">
        <v>215.43</v>
      </c>
      <c r="F5600" s="3" t="str">
        <f t="shared" si="87"/>
        <v>LIMPEZA FINAL</v>
      </c>
    </row>
    <row r="5601" spans="1:6" x14ac:dyDescent="0.2">
      <c r="A5601" s="17" t="s">
        <v>14969</v>
      </c>
      <c r="B5601" s="18" t="s">
        <v>14970</v>
      </c>
      <c r="C5601" s="17" t="s">
        <v>255</v>
      </c>
      <c r="D5601" s="19">
        <v>13.05</v>
      </c>
      <c r="F5601" s="3" t="str">
        <f t="shared" si="87"/>
        <v>C1078</v>
      </c>
    </row>
    <row r="5602" spans="1:6" x14ac:dyDescent="0.2">
      <c r="A5602" s="17" t="s">
        <v>14971</v>
      </c>
      <c r="B5602" s="18" t="s">
        <v>14972</v>
      </c>
      <c r="C5602" s="17" t="s">
        <v>26</v>
      </c>
      <c r="D5602" s="19">
        <v>147.68</v>
      </c>
      <c r="F5602" s="3" t="str">
        <f t="shared" si="87"/>
        <v>C3605</v>
      </c>
    </row>
    <row r="5603" spans="1:6" x14ac:dyDescent="0.2">
      <c r="A5603" s="17" t="s">
        <v>14973</v>
      </c>
      <c r="B5603" s="18" t="s">
        <v>14974</v>
      </c>
      <c r="C5603" s="17" t="s">
        <v>255</v>
      </c>
      <c r="D5603" s="19">
        <v>1.38</v>
      </c>
      <c r="F5603" s="3" t="str">
        <f t="shared" si="87"/>
        <v>C3447</v>
      </c>
    </row>
    <row r="5604" spans="1:6" x14ac:dyDescent="0.2">
      <c r="A5604" s="17" t="s">
        <v>14975</v>
      </c>
      <c r="B5604" s="18" t="s">
        <v>14976</v>
      </c>
      <c r="C5604" s="17" t="s">
        <v>255</v>
      </c>
      <c r="D5604" s="19">
        <v>9.43</v>
      </c>
      <c r="F5604" s="3" t="str">
        <f t="shared" si="87"/>
        <v>C1625</v>
      </c>
    </row>
    <row r="5605" spans="1:6" x14ac:dyDescent="0.2">
      <c r="A5605" s="17" t="s">
        <v>14977</v>
      </c>
      <c r="B5605" s="18" t="s">
        <v>14978</v>
      </c>
      <c r="C5605" s="17" t="s">
        <v>255</v>
      </c>
      <c r="D5605" s="19">
        <v>8.36</v>
      </c>
      <c r="F5605" s="3" t="str">
        <f t="shared" si="87"/>
        <v>C1626</v>
      </c>
    </row>
    <row r="5606" spans="1:6" x14ac:dyDescent="0.2">
      <c r="A5606" s="17" t="s">
        <v>14979</v>
      </c>
      <c r="B5606" s="18" t="s">
        <v>14980</v>
      </c>
      <c r="C5606" s="17" t="s">
        <v>255</v>
      </c>
      <c r="D5606" s="19">
        <v>11.08</v>
      </c>
      <c r="F5606" s="3" t="str">
        <f t="shared" si="87"/>
        <v>C1627</v>
      </c>
    </row>
    <row r="5607" spans="1:6" x14ac:dyDescent="0.2">
      <c r="A5607" s="17" t="s">
        <v>14981</v>
      </c>
      <c r="B5607" s="18" t="s">
        <v>14982</v>
      </c>
      <c r="C5607" s="17" t="s">
        <v>255</v>
      </c>
      <c r="D5607" s="19">
        <v>12.92</v>
      </c>
      <c r="F5607" s="3" t="str">
        <f t="shared" si="87"/>
        <v>C1628</v>
      </c>
    </row>
    <row r="5608" spans="1:6" x14ac:dyDescent="0.2">
      <c r="A5608" s="17" t="s">
        <v>14983</v>
      </c>
      <c r="B5608" s="18" t="s">
        <v>14984</v>
      </c>
      <c r="C5608" s="17" t="s">
        <v>255</v>
      </c>
      <c r="D5608" s="19">
        <v>11.53</v>
      </c>
      <c r="F5608" s="3" t="str">
        <f t="shared" si="87"/>
        <v>C1629</v>
      </c>
    </row>
    <row r="5609" spans="1:6" x14ac:dyDescent="0.2">
      <c r="A5609" s="23">
        <v>0</v>
      </c>
      <c r="B5609" s="24"/>
      <c r="C5609" s="23">
        <v>0</v>
      </c>
      <c r="D5609" s="25">
        <v>0</v>
      </c>
      <c r="F5609" s="3">
        <f t="shared" si="87"/>
        <v>0</v>
      </c>
    </row>
    <row r="5610" spans="1:6" ht="25.5" x14ac:dyDescent="0.2">
      <c r="A5610" s="26" t="s">
        <v>14985</v>
      </c>
      <c r="B5610" s="27" t="s">
        <v>14986</v>
      </c>
      <c r="C5610" s="26" t="s">
        <v>14987</v>
      </c>
      <c r="D5610" s="28" t="e">
        <v>#VALUE!</v>
      </c>
      <c r="F5610" s="3" t="str">
        <f t="shared" si="87"/>
        <v>Insumo</v>
      </c>
    </row>
    <row r="5611" spans="1:6" x14ac:dyDescent="0.2">
      <c r="A5611" s="29" t="s">
        <v>14988</v>
      </c>
      <c r="B5611" s="30" t="s">
        <v>14989</v>
      </c>
      <c r="C5611" s="29" t="s">
        <v>14990</v>
      </c>
      <c r="D5611" s="31">
        <v>4436.58</v>
      </c>
      <c r="F5611" s="3" t="str">
        <f t="shared" si="87"/>
        <v>I8600</v>
      </c>
    </row>
    <row r="5612" spans="1:6" x14ac:dyDescent="0.2">
      <c r="A5612" s="29" t="s">
        <v>14991</v>
      </c>
      <c r="B5612" s="30" t="s">
        <v>14992</v>
      </c>
      <c r="C5612" s="29" t="s">
        <v>14990</v>
      </c>
      <c r="D5612" s="31">
        <v>4556.25</v>
      </c>
      <c r="F5612" s="3" t="str">
        <f t="shared" si="87"/>
        <v>I8599</v>
      </c>
    </row>
    <row r="5613" spans="1:6" x14ac:dyDescent="0.2">
      <c r="A5613" s="29" t="s">
        <v>14993</v>
      </c>
      <c r="B5613" s="30" t="s">
        <v>14994</v>
      </c>
      <c r="C5613" s="29" t="s">
        <v>14990</v>
      </c>
      <c r="D5613" s="31">
        <v>3349.49</v>
      </c>
      <c r="F5613" s="3" t="str">
        <f t="shared" si="87"/>
        <v>I8598</v>
      </c>
    </row>
    <row r="5614" spans="1:6" x14ac:dyDescent="0.2">
      <c r="A5614" s="29" t="s">
        <v>14995</v>
      </c>
      <c r="B5614" s="30" t="s">
        <v>14996</v>
      </c>
      <c r="C5614" s="29" t="s">
        <v>14990</v>
      </c>
      <c r="D5614" s="31">
        <v>3348.9</v>
      </c>
      <c r="F5614" s="3" t="str">
        <f t="shared" si="87"/>
        <v>I8596</v>
      </c>
    </row>
    <row r="5615" spans="1:6" x14ac:dyDescent="0.2">
      <c r="A5615" s="29" t="s">
        <v>14997</v>
      </c>
      <c r="B5615" s="30" t="s">
        <v>14998</v>
      </c>
      <c r="C5615" s="29" t="s">
        <v>14990</v>
      </c>
      <c r="D5615" s="31">
        <v>3349.49</v>
      </c>
      <c r="F5615" s="3" t="str">
        <f t="shared" si="87"/>
        <v>I8595</v>
      </c>
    </row>
    <row r="5616" spans="1:6" x14ac:dyDescent="0.2">
      <c r="A5616" s="29" t="s">
        <v>14999</v>
      </c>
      <c r="B5616" s="30" t="s">
        <v>15000</v>
      </c>
      <c r="C5616" s="29" t="s">
        <v>14990</v>
      </c>
      <c r="D5616" s="31">
        <v>5197.5</v>
      </c>
      <c r="F5616" s="3" t="str">
        <f t="shared" si="87"/>
        <v>I8601</v>
      </c>
    </row>
    <row r="5617" spans="1:6" ht="22.5" x14ac:dyDescent="0.2">
      <c r="A5617" s="29" t="s">
        <v>15001</v>
      </c>
      <c r="B5617" s="30" t="s">
        <v>15002</v>
      </c>
      <c r="C5617" s="29" t="s">
        <v>15003</v>
      </c>
      <c r="D5617" s="31">
        <v>11742.55</v>
      </c>
      <c r="F5617" s="3" t="str">
        <f t="shared" si="87"/>
        <v>I8650</v>
      </c>
    </row>
    <row r="5618" spans="1:6" x14ac:dyDescent="0.2">
      <c r="A5618" s="29" t="s">
        <v>15004</v>
      </c>
      <c r="B5618" s="30" t="s">
        <v>15005</v>
      </c>
      <c r="C5618" s="29" t="s">
        <v>15003</v>
      </c>
      <c r="D5618" s="31">
        <v>170</v>
      </c>
      <c r="F5618" s="3" t="str">
        <f t="shared" si="87"/>
        <v>I8610</v>
      </c>
    </row>
    <row r="5619" spans="1:6" x14ac:dyDescent="0.2">
      <c r="A5619" s="29" t="s">
        <v>15006</v>
      </c>
      <c r="B5619" s="30" t="s">
        <v>15007</v>
      </c>
      <c r="C5619" s="29" t="s">
        <v>14990</v>
      </c>
      <c r="D5619" s="31">
        <v>5210.6400000000003</v>
      </c>
      <c r="F5619" s="3" t="str">
        <f t="shared" si="87"/>
        <v>I8591</v>
      </c>
    </row>
    <row r="5620" spans="1:6" x14ac:dyDescent="0.2">
      <c r="A5620" s="29" t="s">
        <v>15008</v>
      </c>
      <c r="B5620" s="30" t="s">
        <v>15009</v>
      </c>
      <c r="C5620" s="29" t="s">
        <v>14990</v>
      </c>
      <c r="D5620" s="31">
        <v>6171.03</v>
      </c>
      <c r="F5620" s="3" t="str">
        <f t="shared" si="87"/>
        <v>I8590</v>
      </c>
    </row>
    <row r="5621" spans="1:6" x14ac:dyDescent="0.2">
      <c r="A5621" s="29" t="s">
        <v>15010</v>
      </c>
      <c r="B5621" s="30" t="s">
        <v>15011</v>
      </c>
      <c r="C5621" s="29" t="s">
        <v>14990</v>
      </c>
      <c r="D5621" s="31">
        <v>8170.62</v>
      </c>
      <c r="F5621" s="3" t="str">
        <f t="shared" si="87"/>
        <v>I8602</v>
      </c>
    </row>
    <row r="5622" spans="1:6" x14ac:dyDescent="0.2">
      <c r="A5622" s="29" t="s">
        <v>15012</v>
      </c>
      <c r="B5622" s="30" t="s">
        <v>15013</v>
      </c>
      <c r="C5622" s="29" t="s">
        <v>15014</v>
      </c>
      <c r="D5622" s="31">
        <v>31650.959999999999</v>
      </c>
      <c r="F5622" s="3" t="str">
        <f t="shared" si="87"/>
        <v>I8960</v>
      </c>
    </row>
    <row r="5623" spans="1:6" x14ac:dyDescent="0.2">
      <c r="A5623" s="29" t="s">
        <v>15015</v>
      </c>
      <c r="B5623" s="30" t="s">
        <v>15016</v>
      </c>
      <c r="C5623" s="29" t="s">
        <v>14990</v>
      </c>
      <c r="D5623" s="31">
        <v>21959.24</v>
      </c>
      <c r="F5623" s="3" t="str">
        <f t="shared" si="87"/>
        <v>I8585</v>
      </c>
    </row>
    <row r="5624" spans="1:6" x14ac:dyDescent="0.2">
      <c r="A5624" s="29" t="s">
        <v>15017</v>
      </c>
      <c r="B5624" s="30" t="s">
        <v>15018</v>
      </c>
      <c r="C5624" s="29" t="s">
        <v>14990</v>
      </c>
      <c r="D5624" s="31">
        <v>17326.009999999998</v>
      </c>
      <c r="F5624" s="3" t="str">
        <f t="shared" si="87"/>
        <v>I8584</v>
      </c>
    </row>
    <row r="5625" spans="1:6" x14ac:dyDescent="0.2">
      <c r="A5625" s="29" t="s">
        <v>15019</v>
      </c>
      <c r="B5625" s="30" t="s">
        <v>15020</v>
      </c>
      <c r="C5625" s="29" t="s">
        <v>14990</v>
      </c>
      <c r="D5625" s="31">
        <v>21959.24</v>
      </c>
      <c r="F5625" s="3" t="str">
        <f t="shared" si="87"/>
        <v>I8583</v>
      </c>
    </row>
    <row r="5626" spans="1:6" x14ac:dyDescent="0.2">
      <c r="A5626" s="29" t="s">
        <v>15021</v>
      </c>
      <c r="B5626" s="30" t="s">
        <v>15022</v>
      </c>
      <c r="C5626" s="29" t="s">
        <v>14990</v>
      </c>
      <c r="D5626" s="31">
        <v>27750.78</v>
      </c>
      <c r="F5626" s="3" t="str">
        <f t="shared" si="87"/>
        <v>I8582</v>
      </c>
    </row>
    <row r="5627" spans="1:6" x14ac:dyDescent="0.2">
      <c r="A5627" s="29" t="s">
        <v>15023</v>
      </c>
      <c r="B5627" s="30" t="s">
        <v>15024</v>
      </c>
      <c r="C5627" s="29" t="s">
        <v>15003</v>
      </c>
      <c r="D5627" s="31">
        <v>2850</v>
      </c>
      <c r="F5627" s="3" t="str">
        <f t="shared" si="87"/>
        <v>I8609</v>
      </c>
    </row>
    <row r="5628" spans="1:6" x14ac:dyDescent="0.2">
      <c r="A5628" s="29" t="s">
        <v>15025</v>
      </c>
      <c r="B5628" s="30" t="s">
        <v>15026</v>
      </c>
      <c r="C5628" s="29" t="s">
        <v>15003</v>
      </c>
      <c r="D5628" s="31">
        <v>2800</v>
      </c>
      <c r="F5628" s="3" t="str">
        <f t="shared" si="87"/>
        <v>I8608</v>
      </c>
    </row>
    <row r="5629" spans="1:6" x14ac:dyDescent="0.2">
      <c r="A5629" s="29" t="s">
        <v>15027</v>
      </c>
      <c r="B5629" s="30" t="s">
        <v>15028</v>
      </c>
      <c r="C5629" s="29" t="s">
        <v>14990</v>
      </c>
      <c r="D5629" s="31">
        <v>6790.81</v>
      </c>
      <c r="F5629" s="3" t="str">
        <f t="shared" si="87"/>
        <v>I8597</v>
      </c>
    </row>
    <row r="5630" spans="1:6" ht="33.75" x14ac:dyDescent="0.2">
      <c r="A5630" s="29" t="s">
        <v>15029</v>
      </c>
      <c r="B5630" s="30" t="s">
        <v>15030</v>
      </c>
      <c r="C5630" s="29" t="s">
        <v>6040</v>
      </c>
      <c r="D5630" s="31">
        <v>200</v>
      </c>
      <c r="F5630" s="3" t="str">
        <f t="shared" si="87"/>
        <v>I10257</v>
      </c>
    </row>
    <row r="5631" spans="1:6" x14ac:dyDescent="0.2">
      <c r="A5631" s="29" t="s">
        <v>15031</v>
      </c>
      <c r="B5631" s="30" t="s">
        <v>15032</v>
      </c>
      <c r="C5631" s="29" t="s">
        <v>6040</v>
      </c>
      <c r="D5631" s="31">
        <v>6207.8</v>
      </c>
      <c r="F5631" s="3" t="str">
        <f t="shared" si="87"/>
        <v>G0409</v>
      </c>
    </row>
    <row r="5632" spans="1:6" x14ac:dyDescent="0.2">
      <c r="A5632" s="29" t="s">
        <v>15033</v>
      </c>
      <c r="B5632" s="30" t="s">
        <v>15034</v>
      </c>
      <c r="C5632" s="29" t="s">
        <v>6040</v>
      </c>
      <c r="D5632" s="31">
        <v>6207.8</v>
      </c>
      <c r="F5632" s="3" t="str">
        <f t="shared" si="87"/>
        <v>G0406</v>
      </c>
    </row>
    <row r="5633" spans="1:6" x14ac:dyDescent="0.2">
      <c r="A5633" s="29" t="s">
        <v>15035</v>
      </c>
      <c r="B5633" s="30" t="s">
        <v>15036</v>
      </c>
      <c r="C5633" s="29" t="s">
        <v>14990</v>
      </c>
      <c r="D5633" s="31">
        <v>5528.07</v>
      </c>
      <c r="F5633" s="3" t="str">
        <f t="shared" si="87"/>
        <v>I8594</v>
      </c>
    </row>
    <row r="5634" spans="1:6" x14ac:dyDescent="0.2">
      <c r="A5634" s="29" t="s">
        <v>15037</v>
      </c>
      <c r="B5634" s="30" t="s">
        <v>15038</v>
      </c>
      <c r="C5634" s="29" t="s">
        <v>14990</v>
      </c>
      <c r="D5634" s="31">
        <v>3393.18</v>
      </c>
      <c r="F5634" s="3" t="str">
        <f t="shared" ref="F5634:F5697" si="88">A5634</f>
        <v>I8603</v>
      </c>
    </row>
    <row r="5635" spans="1:6" x14ac:dyDescent="0.2">
      <c r="A5635" s="29" t="s">
        <v>15039</v>
      </c>
      <c r="B5635" s="30" t="s">
        <v>15040</v>
      </c>
      <c r="C5635" s="29" t="s">
        <v>14990</v>
      </c>
      <c r="D5635" s="31">
        <v>11198.05</v>
      </c>
      <c r="F5635" s="3" t="str">
        <f t="shared" si="88"/>
        <v>I8589</v>
      </c>
    </row>
    <row r="5636" spans="1:6" x14ac:dyDescent="0.2">
      <c r="A5636" s="29" t="s">
        <v>15041</v>
      </c>
      <c r="B5636" s="30" t="s">
        <v>15042</v>
      </c>
      <c r="C5636" s="29" t="s">
        <v>14990</v>
      </c>
      <c r="D5636" s="31">
        <v>4735.66</v>
      </c>
      <c r="F5636" s="3" t="str">
        <f t="shared" si="88"/>
        <v>I8593</v>
      </c>
    </row>
    <row r="5637" spans="1:6" x14ac:dyDescent="0.2">
      <c r="A5637" s="29" t="s">
        <v>15043</v>
      </c>
      <c r="B5637" s="30" t="s">
        <v>15044</v>
      </c>
      <c r="C5637" s="29" t="s">
        <v>6040</v>
      </c>
      <c r="D5637" s="31">
        <v>100</v>
      </c>
      <c r="F5637" s="3" t="str">
        <f t="shared" si="88"/>
        <v>I10255</v>
      </c>
    </row>
    <row r="5638" spans="1:6" x14ac:dyDescent="0.2">
      <c r="A5638" s="29" t="s">
        <v>15045</v>
      </c>
      <c r="B5638" s="30" t="s">
        <v>15046</v>
      </c>
      <c r="C5638" s="29" t="s">
        <v>15003</v>
      </c>
      <c r="D5638" s="31">
        <v>320</v>
      </c>
      <c r="F5638" s="3" t="str">
        <f t="shared" si="88"/>
        <v>I8612</v>
      </c>
    </row>
    <row r="5639" spans="1:6" x14ac:dyDescent="0.2">
      <c r="A5639" s="29" t="s">
        <v>15047</v>
      </c>
      <c r="B5639" s="30" t="s">
        <v>15048</v>
      </c>
      <c r="C5639" s="29" t="s">
        <v>14990</v>
      </c>
      <c r="D5639" s="31">
        <v>3339.71</v>
      </c>
      <c r="F5639" s="3" t="str">
        <f t="shared" si="88"/>
        <v>I8604</v>
      </c>
    </row>
    <row r="5640" spans="1:6" x14ac:dyDescent="0.2">
      <c r="A5640" s="29" t="s">
        <v>15049</v>
      </c>
      <c r="B5640" s="30" t="s">
        <v>15050</v>
      </c>
      <c r="C5640" s="29" t="s">
        <v>15003</v>
      </c>
      <c r="D5640" s="31">
        <v>230</v>
      </c>
      <c r="F5640" s="3" t="str">
        <f t="shared" si="88"/>
        <v>I8614</v>
      </c>
    </row>
    <row r="5641" spans="1:6" x14ac:dyDescent="0.2">
      <c r="A5641" s="29" t="s">
        <v>15051</v>
      </c>
      <c r="B5641" s="30" t="s">
        <v>15052</v>
      </c>
      <c r="C5641" s="29" t="s">
        <v>14990</v>
      </c>
      <c r="D5641" s="31">
        <v>6696.79</v>
      </c>
      <c r="F5641" s="3" t="str">
        <f t="shared" si="88"/>
        <v>I8592</v>
      </c>
    </row>
    <row r="5642" spans="1:6" x14ac:dyDescent="0.2">
      <c r="A5642" s="29" t="s">
        <v>15053</v>
      </c>
      <c r="B5642" s="30" t="s">
        <v>15054</v>
      </c>
      <c r="C5642" s="29" t="s">
        <v>14990</v>
      </c>
      <c r="D5642" s="31">
        <v>5811.81</v>
      </c>
      <c r="F5642" s="3" t="str">
        <f t="shared" si="88"/>
        <v>I8587</v>
      </c>
    </row>
    <row r="5643" spans="1:6" x14ac:dyDescent="0.2">
      <c r="A5643" s="29" t="s">
        <v>15055</v>
      </c>
      <c r="B5643" s="30" t="s">
        <v>15056</v>
      </c>
      <c r="C5643" s="29" t="s">
        <v>14990</v>
      </c>
      <c r="D5643" s="31">
        <v>5386.94</v>
      </c>
      <c r="F5643" s="3" t="str">
        <f t="shared" si="88"/>
        <v>I8588</v>
      </c>
    </row>
    <row r="5644" spans="1:6" x14ac:dyDescent="0.2">
      <c r="A5644" s="29" t="s">
        <v>15057</v>
      </c>
      <c r="B5644" s="30" t="s">
        <v>15058</v>
      </c>
      <c r="C5644" s="29" t="s">
        <v>15003</v>
      </c>
      <c r="D5644" s="31">
        <v>6745.98</v>
      </c>
      <c r="F5644" s="3" t="str">
        <f t="shared" si="88"/>
        <v>I8606</v>
      </c>
    </row>
    <row r="5645" spans="1:6" x14ac:dyDescent="0.2">
      <c r="A5645" s="29" t="s">
        <v>15059</v>
      </c>
      <c r="B5645" s="30" t="s">
        <v>15060</v>
      </c>
      <c r="C5645" s="29" t="s">
        <v>14990</v>
      </c>
      <c r="D5645" s="31">
        <v>3334.41</v>
      </c>
      <c r="F5645" s="3" t="str">
        <f t="shared" si="88"/>
        <v>I8617</v>
      </c>
    </row>
    <row r="5646" spans="1:6" ht="15.75" customHeight="1" x14ac:dyDescent="0.2">
      <c r="A5646" s="32" t="s">
        <v>15061</v>
      </c>
      <c r="B5646" s="33"/>
      <c r="C5646" s="32">
        <v>0</v>
      </c>
      <c r="D5646" s="34">
        <v>0</v>
      </c>
      <c r="F5646" s="3" t="str">
        <f t="shared" si="88"/>
        <v>COTAÇÃO / AGREGADOS E AGLOMERANTES</v>
      </c>
    </row>
    <row r="5647" spans="1:6" ht="25.5" x14ac:dyDescent="0.2">
      <c r="A5647" s="26" t="s">
        <v>14985</v>
      </c>
      <c r="B5647" s="27" t="s">
        <v>14986</v>
      </c>
      <c r="C5647" s="26" t="s">
        <v>14987</v>
      </c>
      <c r="D5647" s="28" t="e">
        <v>#VALUE!</v>
      </c>
      <c r="F5647" s="3" t="str">
        <f t="shared" si="88"/>
        <v>Insumo</v>
      </c>
    </row>
    <row r="5648" spans="1:6" x14ac:dyDescent="0.2">
      <c r="A5648" s="29" t="s">
        <v>15062</v>
      </c>
      <c r="B5648" s="30" t="s">
        <v>15063</v>
      </c>
      <c r="C5648" s="29" t="s">
        <v>9</v>
      </c>
      <c r="D5648" s="31">
        <v>8.73</v>
      </c>
      <c r="F5648" s="3" t="str">
        <f t="shared" si="88"/>
        <v>I0029</v>
      </c>
    </row>
    <row r="5649" spans="1:6" x14ac:dyDescent="0.2">
      <c r="A5649" s="29" t="s">
        <v>15064</v>
      </c>
      <c r="B5649" s="30" t="s">
        <v>15065</v>
      </c>
      <c r="C5649" s="29" t="s">
        <v>1284</v>
      </c>
      <c r="D5649" s="31">
        <v>0.48</v>
      </c>
      <c r="F5649" s="3" t="str">
        <f t="shared" si="88"/>
        <v>I0034</v>
      </c>
    </row>
    <row r="5650" spans="1:6" x14ac:dyDescent="0.2">
      <c r="A5650" s="29" t="s">
        <v>15066</v>
      </c>
      <c r="B5650" s="30" t="s">
        <v>15067</v>
      </c>
      <c r="C5650" s="29" t="s">
        <v>271</v>
      </c>
      <c r="D5650" s="31">
        <v>83.58</v>
      </c>
      <c r="F5650" s="3" t="str">
        <f t="shared" si="88"/>
        <v>I0107</v>
      </c>
    </row>
    <row r="5651" spans="1:6" x14ac:dyDescent="0.2">
      <c r="A5651" s="29" t="s">
        <v>15068</v>
      </c>
      <c r="B5651" s="30" t="s">
        <v>15069</v>
      </c>
      <c r="C5651" s="29" t="s">
        <v>271</v>
      </c>
      <c r="D5651" s="31">
        <v>119.58</v>
      </c>
      <c r="F5651" s="3" t="str">
        <f t="shared" si="88"/>
        <v>I0108</v>
      </c>
    </row>
    <row r="5652" spans="1:6" x14ac:dyDescent="0.2">
      <c r="A5652" s="29" t="s">
        <v>15070</v>
      </c>
      <c r="B5652" s="30" t="s">
        <v>15071</v>
      </c>
      <c r="C5652" s="29" t="s">
        <v>271</v>
      </c>
      <c r="D5652" s="31">
        <v>83.58</v>
      </c>
      <c r="F5652" s="3" t="str">
        <f t="shared" si="88"/>
        <v>I0109</v>
      </c>
    </row>
    <row r="5653" spans="1:6" x14ac:dyDescent="0.2">
      <c r="A5653" s="29" t="s">
        <v>15072</v>
      </c>
      <c r="B5653" s="30" t="s">
        <v>15073</v>
      </c>
      <c r="C5653" s="29" t="s">
        <v>1284</v>
      </c>
      <c r="D5653" s="31">
        <v>4.67</v>
      </c>
      <c r="F5653" s="3" t="str">
        <f t="shared" si="88"/>
        <v>I0110</v>
      </c>
    </row>
    <row r="5654" spans="1:6" x14ac:dyDescent="0.2">
      <c r="A5654" s="29" t="s">
        <v>15074</v>
      </c>
      <c r="B5654" s="30" t="s">
        <v>15075</v>
      </c>
      <c r="C5654" s="29" t="s">
        <v>271</v>
      </c>
      <c r="D5654" s="31">
        <v>70</v>
      </c>
      <c r="F5654" s="3" t="str">
        <f t="shared" si="88"/>
        <v>I0111</v>
      </c>
    </row>
    <row r="5655" spans="1:6" x14ac:dyDescent="0.2">
      <c r="A5655" s="29" t="s">
        <v>15076</v>
      </c>
      <c r="B5655" s="30" t="s">
        <v>15077</v>
      </c>
      <c r="C5655" s="29" t="s">
        <v>271</v>
      </c>
      <c r="D5655" s="31">
        <v>68.819999999999993</v>
      </c>
      <c r="F5655" s="3" t="str">
        <f t="shared" si="88"/>
        <v>I0112</v>
      </c>
    </row>
    <row r="5656" spans="1:6" x14ac:dyDescent="0.2">
      <c r="A5656" s="29" t="s">
        <v>15078</v>
      </c>
      <c r="B5656" s="30" t="s">
        <v>15079</v>
      </c>
      <c r="C5656" s="29" t="s">
        <v>1284</v>
      </c>
      <c r="D5656" s="31">
        <v>2.25</v>
      </c>
      <c r="F5656" s="3" t="str">
        <f t="shared" si="88"/>
        <v>I0190</v>
      </c>
    </row>
    <row r="5657" spans="1:6" x14ac:dyDescent="0.2">
      <c r="A5657" s="29" t="s">
        <v>15080</v>
      </c>
      <c r="B5657" s="30" t="s">
        <v>15081</v>
      </c>
      <c r="C5657" s="29" t="s">
        <v>271</v>
      </c>
      <c r="D5657" s="31">
        <v>100.5</v>
      </c>
      <c r="F5657" s="3" t="str">
        <f t="shared" si="88"/>
        <v>I0280</v>
      </c>
    </row>
    <row r="5658" spans="1:6" x14ac:dyDescent="0.2">
      <c r="A5658" s="29" t="s">
        <v>15082</v>
      </c>
      <c r="B5658" s="30" t="s">
        <v>15083</v>
      </c>
      <c r="C5658" s="29" t="s">
        <v>1284</v>
      </c>
      <c r="D5658" s="31">
        <v>0.96</v>
      </c>
      <c r="F5658" s="3" t="str">
        <f t="shared" si="88"/>
        <v>I0441</v>
      </c>
    </row>
    <row r="5659" spans="1:6" x14ac:dyDescent="0.2">
      <c r="A5659" s="29" t="s">
        <v>15084</v>
      </c>
      <c r="B5659" s="30" t="s">
        <v>15085</v>
      </c>
      <c r="C5659" s="29" t="s">
        <v>1284</v>
      </c>
      <c r="D5659" s="31">
        <v>0.88</v>
      </c>
      <c r="F5659" s="3" t="str">
        <f t="shared" si="88"/>
        <v>I0442</v>
      </c>
    </row>
    <row r="5660" spans="1:6" x14ac:dyDescent="0.2">
      <c r="A5660" s="29" t="s">
        <v>15086</v>
      </c>
      <c r="B5660" s="30" t="s">
        <v>15087</v>
      </c>
      <c r="C5660" s="29" t="s">
        <v>1284</v>
      </c>
      <c r="D5660" s="31">
        <v>4.18</v>
      </c>
      <c r="F5660" s="3" t="str">
        <f t="shared" si="88"/>
        <v>I0799</v>
      </c>
    </row>
    <row r="5661" spans="1:6" x14ac:dyDescent="0.2">
      <c r="A5661" s="29" t="s">
        <v>15088</v>
      </c>
      <c r="B5661" s="30" t="s">
        <v>15089</v>
      </c>
      <c r="C5661" s="29" t="s">
        <v>1284</v>
      </c>
      <c r="D5661" s="31">
        <v>0.71</v>
      </c>
      <c r="F5661" s="3" t="str">
        <f t="shared" si="88"/>
        <v>I0805</v>
      </c>
    </row>
    <row r="5662" spans="1:6" x14ac:dyDescent="0.2">
      <c r="A5662" s="29" t="s">
        <v>15090</v>
      </c>
      <c r="B5662" s="30" t="s">
        <v>15091</v>
      </c>
      <c r="C5662" s="29" t="s">
        <v>1284</v>
      </c>
      <c r="D5662" s="31">
        <v>0.64</v>
      </c>
      <c r="F5662" s="3" t="str">
        <f t="shared" si="88"/>
        <v>I7954</v>
      </c>
    </row>
    <row r="5663" spans="1:6" x14ac:dyDescent="0.2">
      <c r="A5663" s="29" t="s">
        <v>15092</v>
      </c>
      <c r="B5663" s="30" t="s">
        <v>15093</v>
      </c>
      <c r="C5663" s="29" t="s">
        <v>1284</v>
      </c>
      <c r="D5663" s="31">
        <v>0.16</v>
      </c>
      <c r="F5663" s="3" t="str">
        <f t="shared" si="88"/>
        <v>I2570</v>
      </c>
    </row>
    <row r="5664" spans="1:6" x14ac:dyDescent="0.2">
      <c r="A5664" s="29" t="s">
        <v>15094</v>
      </c>
      <c r="B5664" s="30" t="s">
        <v>15095</v>
      </c>
      <c r="C5664" s="29" t="s">
        <v>1284</v>
      </c>
      <c r="D5664" s="31">
        <v>0.56000000000000005</v>
      </c>
      <c r="F5664" s="3" t="str">
        <f t="shared" si="88"/>
        <v>I1221</v>
      </c>
    </row>
    <row r="5665" spans="1:6" x14ac:dyDescent="0.2">
      <c r="A5665" s="29" t="s">
        <v>15096</v>
      </c>
      <c r="B5665" s="30" t="s">
        <v>15097</v>
      </c>
      <c r="C5665" s="29" t="s">
        <v>271</v>
      </c>
      <c r="D5665" s="31">
        <v>113.25</v>
      </c>
      <c r="F5665" s="3" t="str">
        <f t="shared" si="88"/>
        <v>I1600</v>
      </c>
    </row>
    <row r="5666" spans="1:6" x14ac:dyDescent="0.2">
      <c r="A5666" s="29" t="s">
        <v>15098</v>
      </c>
      <c r="B5666" s="30" t="s">
        <v>15099</v>
      </c>
      <c r="C5666" s="29" t="s">
        <v>271</v>
      </c>
      <c r="D5666" s="31">
        <v>100.5</v>
      </c>
      <c r="F5666" s="3" t="str">
        <f t="shared" si="88"/>
        <v>I1605</v>
      </c>
    </row>
    <row r="5667" spans="1:6" x14ac:dyDescent="0.2">
      <c r="A5667" s="29" t="s">
        <v>15100</v>
      </c>
      <c r="B5667" s="30" t="s">
        <v>15101</v>
      </c>
      <c r="C5667" s="29" t="s">
        <v>1284</v>
      </c>
      <c r="D5667" s="31">
        <v>0.42</v>
      </c>
      <c r="F5667" s="3" t="str">
        <f t="shared" si="88"/>
        <v>I1684</v>
      </c>
    </row>
    <row r="5668" spans="1:6" x14ac:dyDescent="0.2">
      <c r="A5668" s="29" t="s">
        <v>15102</v>
      </c>
      <c r="B5668" s="30" t="s">
        <v>15103</v>
      </c>
      <c r="C5668" s="29" t="s">
        <v>271</v>
      </c>
      <c r="D5668" s="31">
        <v>77.13</v>
      </c>
      <c r="F5668" s="3" t="str">
        <f t="shared" si="88"/>
        <v>I2403</v>
      </c>
    </row>
    <row r="5669" spans="1:6" x14ac:dyDescent="0.2">
      <c r="A5669" s="29" t="s">
        <v>15104</v>
      </c>
      <c r="B5669" s="30" t="s">
        <v>15105</v>
      </c>
      <c r="C5669" s="29" t="s">
        <v>271</v>
      </c>
      <c r="D5669" s="31">
        <v>105.04</v>
      </c>
      <c r="F5669" s="3" t="str">
        <f t="shared" si="88"/>
        <v>I1854</v>
      </c>
    </row>
    <row r="5670" spans="1:6" ht="15.75" customHeight="1" x14ac:dyDescent="0.2">
      <c r="A5670" s="32" t="s">
        <v>15106</v>
      </c>
      <c r="B5670" s="33"/>
      <c r="C5670" s="32">
        <v>0</v>
      </c>
      <c r="D5670" s="34">
        <v>0</v>
      </c>
      <c r="F5670" s="3" t="str">
        <f t="shared" si="88"/>
        <v>COTAÇÃO / ALUGUEL DIVERSOS</v>
      </c>
    </row>
    <row r="5671" spans="1:6" ht="25.5" x14ac:dyDescent="0.2">
      <c r="A5671" s="26" t="s">
        <v>14985</v>
      </c>
      <c r="B5671" s="27" t="s">
        <v>14986</v>
      </c>
      <c r="C5671" s="26" t="s">
        <v>14987</v>
      </c>
      <c r="D5671" s="28" t="e">
        <v>#VALUE!</v>
      </c>
      <c r="F5671" s="3" t="str">
        <f t="shared" si="88"/>
        <v>Insumo</v>
      </c>
    </row>
    <row r="5672" spans="1:6" ht="22.5" x14ac:dyDescent="0.2">
      <c r="A5672" s="29" t="s">
        <v>15107</v>
      </c>
      <c r="B5672" s="30" t="s">
        <v>15108</v>
      </c>
      <c r="C5672" s="29" t="s">
        <v>255</v>
      </c>
      <c r="D5672" s="31">
        <v>2.31</v>
      </c>
      <c r="F5672" s="3" t="str">
        <f t="shared" si="88"/>
        <v>I0068</v>
      </c>
    </row>
    <row r="5673" spans="1:6" ht="22.5" x14ac:dyDescent="0.2">
      <c r="A5673" s="29" t="s">
        <v>15109</v>
      </c>
      <c r="B5673" s="30" t="s">
        <v>15110</v>
      </c>
      <c r="C5673" s="29" t="s">
        <v>15111</v>
      </c>
      <c r="D5673" s="31">
        <v>2.92</v>
      </c>
      <c r="F5673" s="3" t="str">
        <f t="shared" si="88"/>
        <v>I7947</v>
      </c>
    </row>
    <row r="5674" spans="1:6" x14ac:dyDescent="0.2">
      <c r="A5674" s="29" t="s">
        <v>15112</v>
      </c>
      <c r="B5674" s="30" t="s">
        <v>15113</v>
      </c>
      <c r="C5674" s="29" t="s">
        <v>558</v>
      </c>
      <c r="D5674" s="31">
        <v>166.9</v>
      </c>
      <c r="F5674" s="3" t="str">
        <f t="shared" si="88"/>
        <v>I7488</v>
      </c>
    </row>
    <row r="5675" spans="1:6" x14ac:dyDescent="0.2">
      <c r="A5675" s="29" t="s">
        <v>15114</v>
      </c>
      <c r="B5675" s="30" t="s">
        <v>15115</v>
      </c>
      <c r="C5675" s="29" t="s">
        <v>558</v>
      </c>
      <c r="D5675" s="31">
        <v>134.69</v>
      </c>
      <c r="F5675" s="3" t="str">
        <f t="shared" si="88"/>
        <v>I7487</v>
      </c>
    </row>
    <row r="5676" spans="1:6" x14ac:dyDescent="0.2">
      <c r="A5676" s="29" t="s">
        <v>15116</v>
      </c>
      <c r="B5676" s="30" t="s">
        <v>15117</v>
      </c>
      <c r="C5676" s="29" t="s">
        <v>558</v>
      </c>
      <c r="D5676" s="31">
        <v>60.03</v>
      </c>
      <c r="F5676" s="3" t="str">
        <f t="shared" si="88"/>
        <v>I7485</v>
      </c>
    </row>
    <row r="5677" spans="1:6" x14ac:dyDescent="0.2">
      <c r="A5677" s="29" t="s">
        <v>15118</v>
      </c>
      <c r="B5677" s="30" t="s">
        <v>15119</v>
      </c>
      <c r="C5677" s="29" t="s">
        <v>558</v>
      </c>
      <c r="D5677" s="31">
        <v>32.21</v>
      </c>
      <c r="F5677" s="3" t="str">
        <f t="shared" si="88"/>
        <v>I6398</v>
      </c>
    </row>
    <row r="5678" spans="1:6" x14ac:dyDescent="0.2">
      <c r="A5678" s="29" t="s">
        <v>15120</v>
      </c>
      <c r="B5678" s="30" t="s">
        <v>15121</v>
      </c>
      <c r="C5678" s="29" t="s">
        <v>558</v>
      </c>
      <c r="D5678" s="31">
        <v>136.15</v>
      </c>
      <c r="F5678" s="3" t="str">
        <f t="shared" si="88"/>
        <v>I7955</v>
      </c>
    </row>
    <row r="5679" spans="1:6" x14ac:dyDescent="0.2">
      <c r="A5679" s="29" t="s">
        <v>15122</v>
      </c>
      <c r="B5679" s="30" t="s">
        <v>15123</v>
      </c>
      <c r="C5679" s="29" t="s">
        <v>558</v>
      </c>
      <c r="D5679" s="31">
        <v>1.47</v>
      </c>
      <c r="F5679" s="3" t="str">
        <f t="shared" si="88"/>
        <v>I8682</v>
      </c>
    </row>
    <row r="5680" spans="1:6" x14ac:dyDescent="0.2">
      <c r="A5680" s="29" t="s">
        <v>15124</v>
      </c>
      <c r="B5680" s="30" t="s">
        <v>15125</v>
      </c>
      <c r="C5680" s="29" t="s">
        <v>558</v>
      </c>
      <c r="D5680" s="31">
        <v>1.47</v>
      </c>
      <c r="F5680" s="3" t="str">
        <f t="shared" si="88"/>
        <v>I8427</v>
      </c>
    </row>
    <row r="5681" spans="1:6" x14ac:dyDescent="0.2">
      <c r="A5681" s="29" t="s">
        <v>15126</v>
      </c>
      <c r="B5681" s="30" t="s">
        <v>15127</v>
      </c>
      <c r="C5681" s="29" t="s">
        <v>15128</v>
      </c>
      <c r="D5681" s="31">
        <v>21.96</v>
      </c>
      <c r="F5681" s="3" t="str">
        <f t="shared" si="88"/>
        <v>I6040</v>
      </c>
    </row>
    <row r="5682" spans="1:6" x14ac:dyDescent="0.2">
      <c r="A5682" s="29" t="s">
        <v>15129</v>
      </c>
      <c r="B5682" s="30" t="s">
        <v>15130</v>
      </c>
      <c r="C5682" s="29" t="s">
        <v>15128</v>
      </c>
      <c r="D5682" s="31">
        <v>5.38</v>
      </c>
      <c r="F5682" s="3" t="str">
        <f t="shared" si="88"/>
        <v>I8562</v>
      </c>
    </row>
    <row r="5683" spans="1:6" x14ac:dyDescent="0.2">
      <c r="A5683" s="29" t="s">
        <v>15131</v>
      </c>
      <c r="B5683" s="30" t="s">
        <v>15132</v>
      </c>
      <c r="C5683" s="29" t="s">
        <v>558</v>
      </c>
      <c r="D5683" s="31">
        <v>49.78</v>
      </c>
      <c r="F5683" s="3" t="str">
        <f t="shared" si="88"/>
        <v>I8680</v>
      </c>
    </row>
    <row r="5684" spans="1:6" x14ac:dyDescent="0.2">
      <c r="A5684" s="29" t="s">
        <v>15133</v>
      </c>
      <c r="B5684" s="30" t="s">
        <v>15134</v>
      </c>
      <c r="C5684" s="29" t="s">
        <v>15128</v>
      </c>
      <c r="D5684" s="31">
        <v>292.8</v>
      </c>
      <c r="F5684" s="3" t="str">
        <f t="shared" si="88"/>
        <v>I2324</v>
      </c>
    </row>
    <row r="5685" spans="1:6" ht="22.5" x14ac:dyDescent="0.2">
      <c r="A5685" s="29" t="s">
        <v>15135</v>
      </c>
      <c r="B5685" s="30" t="s">
        <v>15136</v>
      </c>
      <c r="C5685" s="29" t="s">
        <v>26</v>
      </c>
      <c r="D5685" s="31">
        <v>3.18</v>
      </c>
      <c r="F5685" s="3" t="str">
        <f t="shared" si="88"/>
        <v>I1095</v>
      </c>
    </row>
    <row r="5686" spans="1:6" x14ac:dyDescent="0.2">
      <c r="A5686" s="29" t="s">
        <v>15137</v>
      </c>
      <c r="B5686" s="30" t="s">
        <v>15138</v>
      </c>
      <c r="C5686" s="29" t="s">
        <v>15111</v>
      </c>
      <c r="D5686" s="31">
        <v>10.24</v>
      </c>
      <c r="F5686" s="3" t="str">
        <f t="shared" si="88"/>
        <v>I1014</v>
      </c>
    </row>
    <row r="5687" spans="1:6" x14ac:dyDescent="0.2">
      <c r="A5687" s="29" t="s">
        <v>15139</v>
      </c>
      <c r="B5687" s="30" t="s">
        <v>15140</v>
      </c>
      <c r="C5687" s="29" t="s">
        <v>271</v>
      </c>
      <c r="D5687" s="31">
        <v>43.19</v>
      </c>
      <c r="F5687" s="3" t="str">
        <f t="shared" si="88"/>
        <v>I2513</v>
      </c>
    </row>
    <row r="5688" spans="1:6" x14ac:dyDescent="0.2">
      <c r="A5688" s="29" t="s">
        <v>15141</v>
      </c>
      <c r="B5688" s="30" t="s">
        <v>15142</v>
      </c>
      <c r="C5688" s="29" t="s">
        <v>558</v>
      </c>
      <c r="D5688" s="31">
        <v>60.03</v>
      </c>
      <c r="F5688" s="3" t="str">
        <f t="shared" si="88"/>
        <v>I8567</v>
      </c>
    </row>
    <row r="5689" spans="1:6" x14ac:dyDescent="0.2">
      <c r="A5689" s="29" t="s">
        <v>15143</v>
      </c>
      <c r="B5689" s="30" t="s">
        <v>15144</v>
      </c>
      <c r="C5689" s="29" t="s">
        <v>0</v>
      </c>
      <c r="D5689" s="31">
        <v>4.3899999999999997</v>
      </c>
      <c r="F5689" s="3" t="str">
        <f t="shared" si="88"/>
        <v>I2544</v>
      </c>
    </row>
    <row r="5690" spans="1:6" x14ac:dyDescent="0.2">
      <c r="A5690" s="29" t="s">
        <v>15145</v>
      </c>
      <c r="B5690" s="30" t="s">
        <v>15146</v>
      </c>
      <c r="C5690" s="29" t="s">
        <v>558</v>
      </c>
      <c r="D5690" s="31">
        <v>474.33</v>
      </c>
      <c r="F5690" s="3" t="str">
        <f t="shared" si="88"/>
        <v>I7960</v>
      </c>
    </row>
    <row r="5691" spans="1:6" x14ac:dyDescent="0.2">
      <c r="A5691" s="29" t="s">
        <v>15147</v>
      </c>
      <c r="B5691" s="30" t="s">
        <v>15148</v>
      </c>
      <c r="C5691" s="29" t="s">
        <v>558</v>
      </c>
      <c r="D5691" s="31">
        <v>778.84</v>
      </c>
      <c r="F5691" s="3" t="str">
        <f t="shared" si="88"/>
        <v>I7426</v>
      </c>
    </row>
    <row r="5692" spans="1:6" x14ac:dyDescent="0.2">
      <c r="A5692" s="29" t="s">
        <v>15149</v>
      </c>
      <c r="B5692" s="30" t="s">
        <v>15150</v>
      </c>
      <c r="C5692" s="29" t="s">
        <v>558</v>
      </c>
      <c r="D5692" s="31">
        <v>0.2</v>
      </c>
      <c r="F5692" s="3" t="str">
        <f t="shared" si="88"/>
        <v>I8426</v>
      </c>
    </row>
    <row r="5693" spans="1:6" x14ac:dyDescent="0.2">
      <c r="A5693" s="29" t="s">
        <v>15151</v>
      </c>
      <c r="B5693" s="30" t="s">
        <v>6039</v>
      </c>
      <c r="C5693" s="29" t="s">
        <v>6040</v>
      </c>
      <c r="D5693" s="31">
        <v>800.6</v>
      </c>
      <c r="F5693" s="3" t="str">
        <f t="shared" si="88"/>
        <v>I9469</v>
      </c>
    </row>
    <row r="5694" spans="1:6" ht="33.75" x14ac:dyDescent="0.2">
      <c r="A5694" s="29" t="s">
        <v>15152</v>
      </c>
      <c r="B5694" s="30" t="s">
        <v>15153</v>
      </c>
      <c r="C5694" s="29" t="s">
        <v>6040</v>
      </c>
      <c r="D5694" s="31">
        <v>1163.8599999999999</v>
      </c>
      <c r="F5694" s="3" t="str">
        <f t="shared" si="88"/>
        <v>I9476</v>
      </c>
    </row>
    <row r="5695" spans="1:6" ht="33.75" x14ac:dyDescent="0.2">
      <c r="A5695" s="29" t="s">
        <v>15154</v>
      </c>
      <c r="B5695" s="30" t="s">
        <v>15155</v>
      </c>
      <c r="C5695" s="29" t="s">
        <v>6040</v>
      </c>
      <c r="D5695" s="31">
        <v>1280.98</v>
      </c>
      <c r="F5695" s="3" t="str">
        <f t="shared" si="88"/>
        <v>I9477</v>
      </c>
    </row>
    <row r="5696" spans="1:6" ht="45" x14ac:dyDescent="0.2">
      <c r="A5696" s="29" t="s">
        <v>15156</v>
      </c>
      <c r="B5696" s="30" t="s">
        <v>15157</v>
      </c>
      <c r="C5696" s="29" t="s">
        <v>6040</v>
      </c>
      <c r="D5696" s="31">
        <v>1097.99</v>
      </c>
      <c r="F5696" s="3" t="str">
        <f t="shared" si="88"/>
        <v>I9478</v>
      </c>
    </row>
    <row r="5697" spans="1:6" x14ac:dyDescent="0.2">
      <c r="A5697" s="29" t="s">
        <v>15158</v>
      </c>
      <c r="B5697" s="30" t="s">
        <v>6662</v>
      </c>
      <c r="C5697" s="29" t="s">
        <v>6663</v>
      </c>
      <c r="D5697" s="31">
        <v>10.029999999999999</v>
      </c>
      <c r="F5697" s="3" t="str">
        <f t="shared" si="88"/>
        <v>I9070</v>
      </c>
    </row>
    <row r="5698" spans="1:6" x14ac:dyDescent="0.2">
      <c r="A5698" s="29" t="s">
        <v>15159</v>
      </c>
      <c r="B5698" s="30" t="s">
        <v>6665</v>
      </c>
      <c r="C5698" s="29" t="s">
        <v>6663</v>
      </c>
      <c r="D5698" s="31">
        <v>9.9</v>
      </c>
      <c r="F5698" s="3" t="str">
        <f t="shared" ref="F5698:F5761" si="89">A5698</f>
        <v>I13300</v>
      </c>
    </row>
    <row r="5699" spans="1:6" x14ac:dyDescent="0.2">
      <c r="A5699" s="29" t="s">
        <v>15160</v>
      </c>
      <c r="B5699" s="30" t="s">
        <v>6667</v>
      </c>
      <c r="C5699" s="29" t="s">
        <v>6663</v>
      </c>
      <c r="D5699" s="31">
        <v>10.8</v>
      </c>
      <c r="F5699" s="3" t="str">
        <f t="shared" si="89"/>
        <v>I13301</v>
      </c>
    </row>
    <row r="5700" spans="1:6" x14ac:dyDescent="0.2">
      <c r="A5700" s="29" t="s">
        <v>15161</v>
      </c>
      <c r="B5700" s="30" t="s">
        <v>6669</v>
      </c>
      <c r="C5700" s="29" t="s">
        <v>6663</v>
      </c>
      <c r="D5700" s="31">
        <v>11.7</v>
      </c>
      <c r="F5700" s="3" t="str">
        <f t="shared" si="89"/>
        <v>I13302</v>
      </c>
    </row>
    <row r="5701" spans="1:6" x14ac:dyDescent="0.2">
      <c r="A5701" s="29" t="s">
        <v>15162</v>
      </c>
      <c r="B5701" s="30" t="s">
        <v>15163</v>
      </c>
      <c r="C5701" s="29" t="s">
        <v>6663</v>
      </c>
      <c r="D5701" s="31">
        <v>11.71</v>
      </c>
      <c r="F5701" s="3" t="str">
        <f t="shared" si="89"/>
        <v>I9081</v>
      </c>
    </row>
    <row r="5702" spans="1:6" x14ac:dyDescent="0.2">
      <c r="A5702" s="29" t="s">
        <v>15164</v>
      </c>
      <c r="B5702" s="30" t="s">
        <v>15165</v>
      </c>
      <c r="C5702" s="29" t="s">
        <v>558</v>
      </c>
      <c r="D5702" s="31">
        <v>136.15</v>
      </c>
      <c r="F5702" s="3" t="str">
        <f t="shared" si="89"/>
        <v>I7956</v>
      </c>
    </row>
    <row r="5703" spans="1:6" x14ac:dyDescent="0.2">
      <c r="A5703" s="29" t="s">
        <v>15166</v>
      </c>
      <c r="B5703" s="30" t="s">
        <v>15167</v>
      </c>
      <c r="C5703" s="29" t="s">
        <v>558</v>
      </c>
      <c r="D5703" s="31">
        <v>267.91000000000003</v>
      </c>
      <c r="F5703" s="3" t="str">
        <f t="shared" si="89"/>
        <v>I7959</v>
      </c>
    </row>
    <row r="5704" spans="1:6" x14ac:dyDescent="0.2">
      <c r="A5704" s="29" t="s">
        <v>15168</v>
      </c>
      <c r="B5704" s="30" t="s">
        <v>15169</v>
      </c>
      <c r="C5704" s="29" t="s">
        <v>558</v>
      </c>
      <c r="D5704" s="31">
        <v>3.8</v>
      </c>
      <c r="F5704" s="3" t="str">
        <f t="shared" si="89"/>
        <v>I8683</v>
      </c>
    </row>
    <row r="5705" spans="1:6" x14ac:dyDescent="0.2">
      <c r="A5705" s="29" t="s">
        <v>15170</v>
      </c>
      <c r="B5705" s="30" t="s">
        <v>15171</v>
      </c>
      <c r="C5705" s="29" t="s">
        <v>558</v>
      </c>
      <c r="D5705" s="31">
        <v>469.94</v>
      </c>
      <c r="F5705" s="3" t="str">
        <f t="shared" si="89"/>
        <v>I8410</v>
      </c>
    </row>
    <row r="5706" spans="1:6" x14ac:dyDescent="0.2">
      <c r="A5706" s="29" t="s">
        <v>15172</v>
      </c>
      <c r="B5706" s="30" t="s">
        <v>15173</v>
      </c>
      <c r="C5706" s="29" t="s">
        <v>558</v>
      </c>
      <c r="D5706" s="31">
        <v>313.3</v>
      </c>
      <c r="F5706" s="3" t="str">
        <f t="shared" si="89"/>
        <v>I6169</v>
      </c>
    </row>
    <row r="5707" spans="1:6" x14ac:dyDescent="0.2">
      <c r="A5707" s="29" t="s">
        <v>15174</v>
      </c>
      <c r="B5707" s="30" t="s">
        <v>15175</v>
      </c>
      <c r="C5707" s="29" t="s">
        <v>558</v>
      </c>
      <c r="D5707" s="31">
        <v>234.24</v>
      </c>
      <c r="F5707" s="3" t="str">
        <f t="shared" si="89"/>
        <v>I8208</v>
      </c>
    </row>
    <row r="5708" spans="1:6" x14ac:dyDescent="0.2">
      <c r="A5708" s="29" t="s">
        <v>15176</v>
      </c>
      <c r="B5708" s="30" t="s">
        <v>15177</v>
      </c>
      <c r="C5708" s="29" t="s">
        <v>558</v>
      </c>
      <c r="D5708" s="31">
        <v>224.99</v>
      </c>
      <c r="F5708" s="3" t="str">
        <f t="shared" si="89"/>
        <v>I8681</v>
      </c>
    </row>
    <row r="5709" spans="1:6" x14ac:dyDescent="0.2">
      <c r="A5709" s="29" t="s">
        <v>15178</v>
      </c>
      <c r="B5709" s="30" t="s">
        <v>15179</v>
      </c>
      <c r="C5709" s="29" t="s">
        <v>558</v>
      </c>
      <c r="D5709" s="31">
        <v>1327.83</v>
      </c>
      <c r="F5709" s="3" t="str">
        <f t="shared" si="89"/>
        <v>I7439</v>
      </c>
    </row>
    <row r="5710" spans="1:6" x14ac:dyDescent="0.2">
      <c r="A5710" s="29" t="s">
        <v>15180</v>
      </c>
      <c r="B5710" s="30" t="s">
        <v>15181</v>
      </c>
      <c r="C5710" s="29" t="s">
        <v>558</v>
      </c>
      <c r="D5710" s="31">
        <v>925.24</v>
      </c>
      <c r="F5710" s="3" t="str">
        <f t="shared" si="89"/>
        <v>I8210</v>
      </c>
    </row>
    <row r="5711" spans="1:6" x14ac:dyDescent="0.2">
      <c r="A5711" s="29" t="s">
        <v>15182</v>
      </c>
      <c r="B5711" s="30" t="s">
        <v>15183</v>
      </c>
      <c r="C5711" s="29" t="s">
        <v>558</v>
      </c>
      <c r="D5711" s="31">
        <v>92.23</v>
      </c>
      <c r="F5711" s="3" t="str">
        <f t="shared" si="89"/>
        <v>I7486</v>
      </c>
    </row>
    <row r="5712" spans="1:6" x14ac:dyDescent="0.2">
      <c r="A5712" s="29" t="s">
        <v>15184</v>
      </c>
      <c r="B5712" s="30" t="s">
        <v>15185</v>
      </c>
      <c r="C5712" s="29" t="s">
        <v>558</v>
      </c>
      <c r="D5712" s="31">
        <v>500.69</v>
      </c>
      <c r="F5712" s="3" t="str">
        <f t="shared" si="89"/>
        <v>I7958</v>
      </c>
    </row>
    <row r="5713" spans="1:6" x14ac:dyDescent="0.2">
      <c r="A5713" s="29" t="s">
        <v>15186</v>
      </c>
      <c r="B5713" s="30" t="s">
        <v>15187</v>
      </c>
      <c r="C5713" s="29" t="s">
        <v>255</v>
      </c>
      <c r="D5713" s="31">
        <v>38.07</v>
      </c>
      <c r="F5713" s="3" t="str">
        <f t="shared" si="89"/>
        <v>I1870</v>
      </c>
    </row>
    <row r="5714" spans="1:6" x14ac:dyDescent="0.2">
      <c r="A5714" s="29" t="s">
        <v>15188</v>
      </c>
      <c r="B5714" s="30" t="s">
        <v>15189</v>
      </c>
      <c r="C5714" s="29" t="s">
        <v>558</v>
      </c>
      <c r="D5714" s="31">
        <v>0.79</v>
      </c>
      <c r="F5714" s="3" t="str">
        <f t="shared" si="89"/>
        <v>I8625</v>
      </c>
    </row>
    <row r="5715" spans="1:6" ht="15.75" customHeight="1" x14ac:dyDescent="0.2">
      <c r="A5715" s="32" t="s">
        <v>15190</v>
      </c>
      <c r="B5715" s="33"/>
      <c r="C5715" s="32">
        <v>0</v>
      </c>
      <c r="D5715" s="34">
        <v>0</v>
      </c>
      <c r="F5715" s="3" t="str">
        <f t="shared" si="89"/>
        <v>COTAÇÃO / APARELHOS E EQUIPAMENTOS</v>
      </c>
    </row>
    <row r="5716" spans="1:6" ht="25.5" x14ac:dyDescent="0.2">
      <c r="A5716" s="26" t="s">
        <v>14985</v>
      </c>
      <c r="B5716" s="27" t="s">
        <v>14986</v>
      </c>
      <c r="C5716" s="26" t="s">
        <v>14987</v>
      </c>
      <c r="D5716" s="28" t="e">
        <v>#VALUE!</v>
      </c>
      <c r="F5716" s="3" t="str">
        <f t="shared" si="89"/>
        <v>Insumo</v>
      </c>
    </row>
    <row r="5717" spans="1:6" x14ac:dyDescent="0.2">
      <c r="A5717" s="29" t="s">
        <v>15191</v>
      </c>
      <c r="B5717" s="30" t="s">
        <v>15192</v>
      </c>
      <c r="C5717" s="29" t="s">
        <v>26</v>
      </c>
      <c r="D5717" s="31">
        <v>1738.99</v>
      </c>
      <c r="F5717" s="3" t="str">
        <f t="shared" si="89"/>
        <v>I7357</v>
      </c>
    </row>
    <row r="5718" spans="1:6" x14ac:dyDescent="0.2">
      <c r="A5718" s="29" t="s">
        <v>15193</v>
      </c>
      <c r="B5718" s="30" t="s">
        <v>15194</v>
      </c>
      <c r="C5718" s="29" t="s">
        <v>26</v>
      </c>
      <c r="D5718" s="31">
        <v>2040</v>
      </c>
      <c r="F5718" s="3" t="str">
        <f t="shared" si="89"/>
        <v>I7358</v>
      </c>
    </row>
    <row r="5719" spans="1:6" x14ac:dyDescent="0.2">
      <c r="A5719" s="29" t="s">
        <v>15195</v>
      </c>
      <c r="B5719" s="30" t="s">
        <v>15196</v>
      </c>
      <c r="C5719" s="29" t="s">
        <v>26</v>
      </c>
      <c r="D5719" s="31">
        <v>3161.57</v>
      </c>
      <c r="F5719" s="3" t="str">
        <f t="shared" si="89"/>
        <v>I7360</v>
      </c>
    </row>
    <row r="5720" spans="1:6" x14ac:dyDescent="0.2">
      <c r="A5720" s="29" t="s">
        <v>15197</v>
      </c>
      <c r="B5720" s="30" t="s">
        <v>15198</v>
      </c>
      <c r="C5720" s="29" t="s">
        <v>26</v>
      </c>
      <c r="D5720" s="31">
        <v>3643.29</v>
      </c>
      <c r="F5720" s="3" t="str">
        <f t="shared" si="89"/>
        <v>I7361</v>
      </c>
    </row>
    <row r="5721" spans="1:6" x14ac:dyDescent="0.2">
      <c r="A5721" s="29" t="s">
        <v>15199</v>
      </c>
      <c r="B5721" s="30" t="s">
        <v>15200</v>
      </c>
      <c r="C5721" s="29" t="s">
        <v>26</v>
      </c>
      <c r="D5721" s="31">
        <v>4639.7700000000004</v>
      </c>
      <c r="F5721" s="3" t="str">
        <f t="shared" si="89"/>
        <v>I7362</v>
      </c>
    </row>
    <row r="5722" spans="1:6" x14ac:dyDescent="0.2">
      <c r="A5722" s="29" t="s">
        <v>15201</v>
      </c>
      <c r="B5722" s="30" t="s">
        <v>15202</v>
      </c>
      <c r="C5722" s="29" t="s">
        <v>26</v>
      </c>
      <c r="D5722" s="31">
        <v>1368.9</v>
      </c>
      <c r="F5722" s="3" t="str">
        <f t="shared" si="89"/>
        <v>I7356</v>
      </c>
    </row>
    <row r="5723" spans="1:6" x14ac:dyDescent="0.2">
      <c r="A5723" s="29" t="s">
        <v>15203</v>
      </c>
      <c r="B5723" s="30" t="s">
        <v>15204</v>
      </c>
      <c r="C5723" s="29" t="s">
        <v>26</v>
      </c>
      <c r="D5723" s="31">
        <v>203.08</v>
      </c>
      <c r="F5723" s="3" t="str">
        <f t="shared" si="89"/>
        <v>I6359</v>
      </c>
    </row>
    <row r="5724" spans="1:6" x14ac:dyDescent="0.2">
      <c r="A5724" s="29" t="s">
        <v>15205</v>
      </c>
      <c r="B5724" s="30" t="s">
        <v>15206</v>
      </c>
      <c r="C5724" s="29" t="s">
        <v>26</v>
      </c>
      <c r="D5724" s="31">
        <v>3633.48</v>
      </c>
      <c r="F5724" s="3" t="str">
        <f t="shared" si="89"/>
        <v>I0094</v>
      </c>
    </row>
    <row r="5725" spans="1:6" x14ac:dyDescent="0.2">
      <c r="A5725" s="29" t="s">
        <v>15207</v>
      </c>
      <c r="B5725" s="30" t="s">
        <v>15208</v>
      </c>
      <c r="C5725" s="29" t="s">
        <v>26</v>
      </c>
      <c r="D5725" s="31">
        <v>1100.8900000000001</v>
      </c>
      <c r="F5725" s="3" t="str">
        <f t="shared" si="89"/>
        <v>I0095</v>
      </c>
    </row>
    <row r="5726" spans="1:6" x14ac:dyDescent="0.2">
      <c r="A5726" s="29" t="s">
        <v>15209</v>
      </c>
      <c r="B5726" s="30" t="s">
        <v>15210</v>
      </c>
      <c r="C5726" s="29" t="s">
        <v>26</v>
      </c>
      <c r="D5726" s="31">
        <v>4490.59</v>
      </c>
      <c r="F5726" s="3" t="str">
        <f t="shared" si="89"/>
        <v>I0096</v>
      </c>
    </row>
    <row r="5727" spans="1:6" x14ac:dyDescent="0.2">
      <c r="A5727" s="29" t="s">
        <v>15211</v>
      </c>
      <c r="B5727" s="30" t="s">
        <v>15212</v>
      </c>
      <c r="C5727" s="29" t="s">
        <v>26</v>
      </c>
      <c r="D5727" s="31">
        <v>20.32</v>
      </c>
      <c r="F5727" s="3" t="str">
        <f t="shared" si="89"/>
        <v>I0212</v>
      </c>
    </row>
    <row r="5728" spans="1:6" x14ac:dyDescent="0.2">
      <c r="A5728" s="29" t="s">
        <v>15213</v>
      </c>
      <c r="B5728" s="30" t="s">
        <v>15214</v>
      </c>
      <c r="C5728" s="29" t="s">
        <v>26</v>
      </c>
      <c r="D5728" s="31">
        <v>258.87</v>
      </c>
      <c r="F5728" s="3" t="str">
        <f t="shared" si="89"/>
        <v>I0213</v>
      </c>
    </row>
    <row r="5729" spans="1:6" x14ac:dyDescent="0.2">
      <c r="A5729" s="29" t="s">
        <v>15215</v>
      </c>
      <c r="B5729" s="30" t="s">
        <v>15216</v>
      </c>
      <c r="C5729" s="29" t="s">
        <v>26</v>
      </c>
      <c r="D5729" s="31">
        <v>2320.6799999999998</v>
      </c>
      <c r="F5729" s="3" t="str">
        <f t="shared" si="89"/>
        <v>I0215</v>
      </c>
    </row>
    <row r="5730" spans="1:6" x14ac:dyDescent="0.2">
      <c r="A5730" s="29" t="s">
        <v>15217</v>
      </c>
      <c r="B5730" s="30" t="s">
        <v>15218</v>
      </c>
      <c r="C5730" s="29" t="s">
        <v>26</v>
      </c>
      <c r="D5730" s="31">
        <v>1156.8699999999999</v>
      </c>
      <c r="F5730" s="3" t="str">
        <f t="shared" si="89"/>
        <v>I0250</v>
      </c>
    </row>
    <row r="5731" spans="1:6" x14ac:dyDescent="0.2">
      <c r="A5731" s="29" t="s">
        <v>15219</v>
      </c>
      <c r="B5731" s="30" t="s">
        <v>15220</v>
      </c>
      <c r="C5731" s="29" t="s">
        <v>26</v>
      </c>
      <c r="D5731" s="31">
        <v>521.41999999999996</v>
      </c>
      <c r="F5731" s="3" t="str">
        <f t="shared" si="89"/>
        <v>I0251</v>
      </c>
    </row>
    <row r="5732" spans="1:6" x14ac:dyDescent="0.2">
      <c r="A5732" s="29" t="s">
        <v>15221</v>
      </c>
      <c r="B5732" s="30" t="s">
        <v>15222</v>
      </c>
      <c r="C5732" s="29" t="s">
        <v>26</v>
      </c>
      <c r="D5732" s="31">
        <v>504.96</v>
      </c>
      <c r="F5732" s="3" t="str">
        <f t="shared" si="89"/>
        <v>I0252</v>
      </c>
    </row>
    <row r="5733" spans="1:6" x14ac:dyDescent="0.2">
      <c r="A5733" s="29" t="s">
        <v>15223</v>
      </c>
      <c r="B5733" s="30" t="s">
        <v>15224</v>
      </c>
      <c r="C5733" s="29" t="s">
        <v>26</v>
      </c>
      <c r="D5733" s="31">
        <v>457.81</v>
      </c>
      <c r="F5733" s="3" t="str">
        <f t="shared" si="89"/>
        <v>I0852</v>
      </c>
    </row>
    <row r="5734" spans="1:6" x14ac:dyDescent="0.2">
      <c r="A5734" s="29" t="s">
        <v>15225</v>
      </c>
      <c r="B5734" s="30" t="s">
        <v>15226</v>
      </c>
      <c r="C5734" s="29" t="s">
        <v>26</v>
      </c>
      <c r="D5734" s="31">
        <v>877.15</v>
      </c>
      <c r="F5734" s="3" t="str">
        <f t="shared" si="89"/>
        <v>I0253</v>
      </c>
    </row>
    <row r="5735" spans="1:6" x14ac:dyDescent="0.2">
      <c r="A5735" s="29" t="s">
        <v>15227</v>
      </c>
      <c r="B5735" s="30" t="s">
        <v>15228</v>
      </c>
      <c r="C5735" s="29" t="s">
        <v>26</v>
      </c>
      <c r="D5735" s="31">
        <v>1436.6</v>
      </c>
      <c r="F5735" s="3" t="str">
        <f t="shared" si="89"/>
        <v>I0254</v>
      </c>
    </row>
    <row r="5736" spans="1:6" x14ac:dyDescent="0.2">
      <c r="A5736" s="29" t="s">
        <v>15229</v>
      </c>
      <c r="B5736" s="30" t="s">
        <v>15230</v>
      </c>
      <c r="C5736" s="29" t="s">
        <v>26</v>
      </c>
      <c r="D5736" s="31">
        <v>1516.29</v>
      </c>
      <c r="F5736" s="3" t="str">
        <f t="shared" si="89"/>
        <v>I0255</v>
      </c>
    </row>
    <row r="5737" spans="1:6" x14ac:dyDescent="0.2">
      <c r="A5737" s="29" t="s">
        <v>15231</v>
      </c>
      <c r="B5737" s="30" t="s">
        <v>15232</v>
      </c>
      <c r="C5737" s="29" t="s">
        <v>26</v>
      </c>
      <c r="D5737" s="31">
        <v>2280.8200000000002</v>
      </c>
      <c r="F5737" s="3" t="str">
        <f t="shared" si="89"/>
        <v>I0256</v>
      </c>
    </row>
    <row r="5738" spans="1:6" x14ac:dyDescent="0.2">
      <c r="A5738" s="29" t="s">
        <v>15233</v>
      </c>
      <c r="B5738" s="30" t="s">
        <v>15234</v>
      </c>
      <c r="C5738" s="29" t="s">
        <v>26</v>
      </c>
      <c r="D5738" s="31">
        <v>3125.4</v>
      </c>
      <c r="F5738" s="3" t="str">
        <f t="shared" si="89"/>
        <v>I0246</v>
      </c>
    </row>
    <row r="5739" spans="1:6" x14ac:dyDescent="0.2">
      <c r="A5739" s="29" t="s">
        <v>15235</v>
      </c>
      <c r="B5739" s="30" t="s">
        <v>15236</v>
      </c>
      <c r="C5739" s="29" t="s">
        <v>26</v>
      </c>
      <c r="D5739" s="31">
        <v>3516.42</v>
      </c>
      <c r="F5739" s="3" t="str">
        <f t="shared" si="89"/>
        <v>I0247</v>
      </c>
    </row>
    <row r="5740" spans="1:6" x14ac:dyDescent="0.2">
      <c r="A5740" s="29" t="s">
        <v>15237</v>
      </c>
      <c r="B5740" s="30" t="s">
        <v>15238</v>
      </c>
      <c r="C5740" s="29" t="s">
        <v>26</v>
      </c>
      <c r="D5740" s="31">
        <v>5495.19</v>
      </c>
      <c r="F5740" s="3" t="str">
        <f t="shared" si="89"/>
        <v>I0248</v>
      </c>
    </row>
    <row r="5741" spans="1:6" x14ac:dyDescent="0.2">
      <c r="A5741" s="29" t="s">
        <v>15239</v>
      </c>
      <c r="B5741" s="30" t="s">
        <v>15240</v>
      </c>
      <c r="C5741" s="29" t="s">
        <v>26</v>
      </c>
      <c r="D5741" s="31">
        <v>6691.8</v>
      </c>
      <c r="F5741" s="3" t="str">
        <f t="shared" si="89"/>
        <v>I0249</v>
      </c>
    </row>
    <row r="5742" spans="1:6" x14ac:dyDescent="0.2">
      <c r="A5742" s="29" t="s">
        <v>15241</v>
      </c>
      <c r="B5742" s="30" t="s">
        <v>15242</v>
      </c>
      <c r="C5742" s="29" t="s">
        <v>26</v>
      </c>
      <c r="D5742" s="31">
        <v>871.93</v>
      </c>
      <c r="F5742" s="3" t="str">
        <f t="shared" si="89"/>
        <v>I0258</v>
      </c>
    </row>
    <row r="5743" spans="1:6" x14ac:dyDescent="0.2">
      <c r="A5743" s="29" t="s">
        <v>15243</v>
      </c>
      <c r="B5743" s="30" t="s">
        <v>15244</v>
      </c>
      <c r="C5743" s="29" t="s">
        <v>26</v>
      </c>
      <c r="D5743" s="31">
        <v>912.68</v>
      </c>
      <c r="F5743" s="3" t="str">
        <f t="shared" si="89"/>
        <v>I0259</v>
      </c>
    </row>
    <row r="5744" spans="1:6" x14ac:dyDescent="0.2">
      <c r="A5744" s="29" t="s">
        <v>15245</v>
      </c>
      <c r="B5744" s="30" t="s">
        <v>15246</v>
      </c>
      <c r="C5744" s="29" t="s">
        <v>26</v>
      </c>
      <c r="D5744" s="31">
        <v>951.4</v>
      </c>
      <c r="F5744" s="3" t="str">
        <f t="shared" si="89"/>
        <v>I0260</v>
      </c>
    </row>
    <row r="5745" spans="1:6" x14ac:dyDescent="0.2">
      <c r="A5745" s="29" t="s">
        <v>15247</v>
      </c>
      <c r="B5745" s="30" t="s">
        <v>15248</v>
      </c>
      <c r="C5745" s="29" t="s">
        <v>26</v>
      </c>
      <c r="D5745" s="31">
        <v>1141.68</v>
      </c>
      <c r="F5745" s="3" t="str">
        <f t="shared" si="89"/>
        <v>I0261</v>
      </c>
    </row>
    <row r="5746" spans="1:6" x14ac:dyDescent="0.2">
      <c r="A5746" s="29" t="s">
        <v>15249</v>
      </c>
      <c r="B5746" s="30" t="s">
        <v>15250</v>
      </c>
      <c r="C5746" s="29" t="s">
        <v>26</v>
      </c>
      <c r="D5746" s="31">
        <v>984.64</v>
      </c>
      <c r="F5746" s="3" t="str">
        <f t="shared" si="89"/>
        <v>I0265</v>
      </c>
    </row>
    <row r="5747" spans="1:6" x14ac:dyDescent="0.2">
      <c r="A5747" s="29" t="s">
        <v>15251</v>
      </c>
      <c r="B5747" s="30" t="s">
        <v>15252</v>
      </c>
      <c r="C5747" s="29" t="s">
        <v>26</v>
      </c>
      <c r="D5747" s="31">
        <v>1380.48</v>
      </c>
      <c r="F5747" s="3" t="str">
        <f t="shared" si="89"/>
        <v>I0262</v>
      </c>
    </row>
    <row r="5748" spans="1:6" x14ac:dyDescent="0.2">
      <c r="A5748" s="29" t="s">
        <v>15253</v>
      </c>
      <c r="B5748" s="30" t="s">
        <v>15254</v>
      </c>
      <c r="C5748" s="29" t="s">
        <v>26</v>
      </c>
      <c r="D5748" s="31">
        <v>1309.1400000000001</v>
      </c>
      <c r="F5748" s="3" t="str">
        <f t="shared" si="89"/>
        <v>I0263</v>
      </c>
    </row>
    <row r="5749" spans="1:6" x14ac:dyDescent="0.2">
      <c r="A5749" s="29" t="s">
        <v>15255</v>
      </c>
      <c r="B5749" s="30" t="s">
        <v>15256</v>
      </c>
      <c r="C5749" s="29" t="s">
        <v>26</v>
      </c>
      <c r="D5749" s="31">
        <v>1494.34</v>
      </c>
      <c r="F5749" s="3" t="str">
        <f t="shared" si="89"/>
        <v>I0264</v>
      </c>
    </row>
    <row r="5750" spans="1:6" x14ac:dyDescent="0.2">
      <c r="A5750" s="29" t="s">
        <v>15257</v>
      </c>
      <c r="B5750" s="30" t="s">
        <v>15258</v>
      </c>
      <c r="C5750" s="29" t="s">
        <v>26</v>
      </c>
      <c r="D5750" s="31">
        <v>3026.94</v>
      </c>
      <c r="F5750" s="3" t="str">
        <f t="shared" si="89"/>
        <v>I0257</v>
      </c>
    </row>
    <row r="5751" spans="1:6" x14ac:dyDescent="0.2">
      <c r="A5751" s="29" t="s">
        <v>15259</v>
      </c>
      <c r="B5751" s="30" t="s">
        <v>15260</v>
      </c>
      <c r="C5751" s="29" t="s">
        <v>26</v>
      </c>
      <c r="D5751" s="31">
        <v>316.70999999999998</v>
      </c>
      <c r="F5751" s="3" t="str">
        <f t="shared" si="89"/>
        <v>I0795</v>
      </c>
    </row>
    <row r="5752" spans="1:6" x14ac:dyDescent="0.2">
      <c r="A5752" s="29" t="s">
        <v>15261</v>
      </c>
      <c r="B5752" s="30" t="s">
        <v>15262</v>
      </c>
      <c r="C5752" s="29" t="s">
        <v>26</v>
      </c>
      <c r="D5752" s="31">
        <v>129.52000000000001</v>
      </c>
      <c r="F5752" s="3" t="str">
        <f t="shared" si="89"/>
        <v>I1098</v>
      </c>
    </row>
    <row r="5753" spans="1:6" x14ac:dyDescent="0.2">
      <c r="A5753" s="29" t="s">
        <v>15263</v>
      </c>
      <c r="B5753" s="30" t="s">
        <v>15264</v>
      </c>
      <c r="C5753" s="29" t="s">
        <v>26</v>
      </c>
      <c r="D5753" s="31">
        <v>222.46</v>
      </c>
      <c r="F5753" s="3" t="str">
        <f t="shared" si="89"/>
        <v>I1143</v>
      </c>
    </row>
    <row r="5754" spans="1:6" x14ac:dyDescent="0.2">
      <c r="A5754" s="29" t="s">
        <v>15265</v>
      </c>
      <c r="B5754" s="30" t="s">
        <v>15266</v>
      </c>
      <c r="C5754" s="29" t="s">
        <v>26</v>
      </c>
      <c r="D5754" s="31">
        <v>1203.9000000000001</v>
      </c>
      <c r="F5754" s="3" t="str">
        <f t="shared" si="89"/>
        <v>I1144</v>
      </c>
    </row>
    <row r="5755" spans="1:6" x14ac:dyDescent="0.2">
      <c r="A5755" s="29" t="s">
        <v>15267</v>
      </c>
      <c r="B5755" s="30" t="s">
        <v>15268</v>
      </c>
      <c r="C5755" s="29" t="s">
        <v>26</v>
      </c>
      <c r="D5755" s="31">
        <v>840</v>
      </c>
      <c r="F5755" s="3" t="str">
        <f t="shared" si="89"/>
        <v>I1145</v>
      </c>
    </row>
    <row r="5756" spans="1:6" x14ac:dyDescent="0.2">
      <c r="A5756" s="29" t="s">
        <v>15269</v>
      </c>
      <c r="B5756" s="30" t="s">
        <v>15270</v>
      </c>
      <c r="C5756" s="29" t="s">
        <v>26</v>
      </c>
      <c r="D5756" s="31">
        <v>245</v>
      </c>
      <c r="F5756" s="3" t="str">
        <f t="shared" si="89"/>
        <v>I1146</v>
      </c>
    </row>
    <row r="5757" spans="1:6" x14ac:dyDescent="0.2">
      <c r="A5757" s="29" t="s">
        <v>15271</v>
      </c>
      <c r="B5757" s="30" t="s">
        <v>11215</v>
      </c>
      <c r="C5757" s="29" t="s">
        <v>26</v>
      </c>
      <c r="D5757" s="31">
        <v>3079.08</v>
      </c>
      <c r="F5757" s="3" t="str">
        <f t="shared" si="89"/>
        <v>I8571</v>
      </c>
    </row>
    <row r="5758" spans="1:6" x14ac:dyDescent="0.2">
      <c r="A5758" s="29" t="s">
        <v>15272</v>
      </c>
      <c r="B5758" s="30" t="s">
        <v>15273</v>
      </c>
      <c r="C5758" s="29" t="s">
        <v>26</v>
      </c>
      <c r="D5758" s="31">
        <v>998.31</v>
      </c>
      <c r="F5758" s="3" t="str">
        <f t="shared" si="89"/>
        <v>I8557</v>
      </c>
    </row>
    <row r="5759" spans="1:6" x14ac:dyDescent="0.2">
      <c r="A5759" s="29" t="s">
        <v>15274</v>
      </c>
      <c r="B5759" s="30" t="s">
        <v>15275</v>
      </c>
      <c r="C5759" s="29" t="s">
        <v>26</v>
      </c>
      <c r="D5759" s="31">
        <v>175.36</v>
      </c>
      <c r="F5759" s="3" t="str">
        <f t="shared" si="89"/>
        <v>I7363</v>
      </c>
    </row>
    <row r="5760" spans="1:6" x14ac:dyDescent="0.2">
      <c r="A5760" s="29" t="s">
        <v>15276</v>
      </c>
      <c r="B5760" s="30" t="s">
        <v>15277</v>
      </c>
      <c r="C5760" s="29" t="s">
        <v>26</v>
      </c>
      <c r="D5760" s="31">
        <v>260.45</v>
      </c>
      <c r="F5760" s="3" t="str">
        <f t="shared" si="89"/>
        <v>I7364</v>
      </c>
    </row>
    <row r="5761" spans="1:6" x14ac:dyDescent="0.2">
      <c r="A5761" s="29" t="s">
        <v>15278</v>
      </c>
      <c r="B5761" s="30" t="s">
        <v>15279</v>
      </c>
      <c r="C5761" s="29" t="s">
        <v>26</v>
      </c>
      <c r="D5761" s="31">
        <v>309.45</v>
      </c>
      <c r="F5761" s="3" t="str">
        <f t="shared" si="89"/>
        <v>I7365</v>
      </c>
    </row>
    <row r="5762" spans="1:6" x14ac:dyDescent="0.2">
      <c r="A5762" s="29" t="s">
        <v>15280</v>
      </c>
      <c r="B5762" s="30" t="s">
        <v>15281</v>
      </c>
      <c r="C5762" s="29" t="s">
        <v>26</v>
      </c>
      <c r="D5762" s="31">
        <v>386.01</v>
      </c>
      <c r="F5762" s="3" t="str">
        <f t="shared" ref="F5762:F5825" si="90">A5762</f>
        <v>I7366</v>
      </c>
    </row>
    <row r="5763" spans="1:6" x14ac:dyDescent="0.2">
      <c r="A5763" s="29" t="s">
        <v>15282</v>
      </c>
      <c r="B5763" s="30" t="s">
        <v>15283</v>
      </c>
      <c r="C5763" s="29" t="s">
        <v>26</v>
      </c>
      <c r="D5763" s="31">
        <v>468.07</v>
      </c>
      <c r="F5763" s="3" t="str">
        <f t="shared" si="90"/>
        <v>I7367</v>
      </c>
    </row>
    <row r="5764" spans="1:6" x14ac:dyDescent="0.2">
      <c r="A5764" s="29" t="s">
        <v>15284</v>
      </c>
      <c r="B5764" s="30" t="s">
        <v>15285</v>
      </c>
      <c r="C5764" s="29" t="s">
        <v>26</v>
      </c>
      <c r="D5764" s="31">
        <v>1892.15</v>
      </c>
      <c r="F5764" s="3" t="str">
        <f t="shared" si="90"/>
        <v>I6377</v>
      </c>
    </row>
    <row r="5765" spans="1:6" x14ac:dyDescent="0.2">
      <c r="A5765" s="29" t="s">
        <v>15286</v>
      </c>
      <c r="B5765" s="30" t="s">
        <v>15287</v>
      </c>
      <c r="C5765" s="29" t="s">
        <v>26</v>
      </c>
      <c r="D5765" s="31">
        <v>3296.21</v>
      </c>
      <c r="F5765" s="3" t="str">
        <f t="shared" si="90"/>
        <v>I6395</v>
      </c>
    </row>
    <row r="5766" spans="1:6" x14ac:dyDescent="0.2">
      <c r="A5766" s="29" t="s">
        <v>15288</v>
      </c>
      <c r="B5766" s="30" t="s">
        <v>15289</v>
      </c>
      <c r="C5766" s="29" t="s">
        <v>26</v>
      </c>
      <c r="D5766" s="31">
        <v>1493.74</v>
      </c>
      <c r="F5766" s="3" t="str">
        <f t="shared" si="90"/>
        <v>I2397</v>
      </c>
    </row>
    <row r="5767" spans="1:6" ht="56.25" x14ac:dyDescent="0.2">
      <c r="A5767" s="29" t="s">
        <v>15290</v>
      </c>
      <c r="B5767" s="30" t="s">
        <v>15291</v>
      </c>
      <c r="C5767" s="29" t="s">
        <v>26</v>
      </c>
      <c r="D5767" s="31">
        <v>2515</v>
      </c>
      <c r="F5767" s="3" t="str">
        <f t="shared" si="90"/>
        <v>I10267</v>
      </c>
    </row>
    <row r="5768" spans="1:6" x14ac:dyDescent="0.2">
      <c r="A5768" s="29" t="s">
        <v>15292</v>
      </c>
      <c r="B5768" s="30" t="s">
        <v>15293</v>
      </c>
      <c r="C5768" s="29" t="s">
        <v>26</v>
      </c>
      <c r="D5768" s="31">
        <v>2735.44</v>
      </c>
      <c r="F5768" s="3" t="str">
        <f t="shared" si="90"/>
        <v>I7350</v>
      </c>
    </row>
    <row r="5769" spans="1:6" x14ac:dyDescent="0.2">
      <c r="A5769" s="29" t="s">
        <v>15294</v>
      </c>
      <c r="B5769" s="30" t="s">
        <v>15295</v>
      </c>
      <c r="C5769" s="29" t="s">
        <v>26</v>
      </c>
      <c r="D5769" s="31">
        <v>4135.99</v>
      </c>
      <c r="F5769" s="3" t="str">
        <f t="shared" si="90"/>
        <v>I7351</v>
      </c>
    </row>
    <row r="5770" spans="1:6" x14ac:dyDescent="0.2">
      <c r="A5770" s="29" t="s">
        <v>15296</v>
      </c>
      <c r="B5770" s="30" t="s">
        <v>15297</v>
      </c>
      <c r="C5770" s="29" t="s">
        <v>26</v>
      </c>
      <c r="D5770" s="31">
        <v>5116.67</v>
      </c>
      <c r="F5770" s="3" t="str">
        <f t="shared" si="90"/>
        <v>I7352</v>
      </c>
    </row>
    <row r="5771" spans="1:6" x14ac:dyDescent="0.2">
      <c r="A5771" s="29" t="s">
        <v>15298</v>
      </c>
      <c r="B5771" s="30" t="s">
        <v>15299</v>
      </c>
      <c r="C5771" s="29" t="s">
        <v>26</v>
      </c>
      <c r="D5771" s="31">
        <v>7481.6</v>
      </c>
      <c r="F5771" s="3" t="str">
        <f t="shared" si="90"/>
        <v>I7353</v>
      </c>
    </row>
    <row r="5772" spans="1:6" x14ac:dyDescent="0.2">
      <c r="A5772" s="29" t="s">
        <v>15300</v>
      </c>
      <c r="B5772" s="30" t="s">
        <v>15301</v>
      </c>
      <c r="C5772" s="29" t="s">
        <v>26</v>
      </c>
      <c r="D5772" s="31">
        <v>7806.47</v>
      </c>
      <c r="F5772" s="3" t="str">
        <f t="shared" si="90"/>
        <v>I7354</v>
      </c>
    </row>
    <row r="5773" spans="1:6" x14ac:dyDescent="0.2">
      <c r="A5773" s="29" t="s">
        <v>15302</v>
      </c>
      <c r="B5773" s="30" t="s">
        <v>15303</v>
      </c>
      <c r="C5773" s="29" t="s">
        <v>26</v>
      </c>
      <c r="D5773" s="31">
        <v>9353.69</v>
      </c>
      <c r="F5773" s="3" t="str">
        <f t="shared" si="90"/>
        <v>I7355</v>
      </c>
    </row>
    <row r="5774" spans="1:6" x14ac:dyDescent="0.2">
      <c r="A5774" s="29" t="s">
        <v>15304</v>
      </c>
      <c r="B5774" s="30" t="s">
        <v>13159</v>
      </c>
      <c r="C5774" s="29" t="s">
        <v>26</v>
      </c>
      <c r="D5774" s="31">
        <v>258.45</v>
      </c>
      <c r="F5774" s="3" t="str">
        <f t="shared" si="90"/>
        <v>I2245</v>
      </c>
    </row>
    <row r="5775" spans="1:6" x14ac:dyDescent="0.2">
      <c r="A5775" s="29" t="s">
        <v>15305</v>
      </c>
      <c r="B5775" s="30" t="s">
        <v>13161</v>
      </c>
      <c r="C5775" s="29" t="s">
        <v>26</v>
      </c>
      <c r="D5775" s="31">
        <v>246.15</v>
      </c>
      <c r="F5775" s="3" t="str">
        <f t="shared" si="90"/>
        <v>I2246</v>
      </c>
    </row>
    <row r="5776" spans="1:6" ht="15.75" customHeight="1" x14ac:dyDescent="0.2">
      <c r="A5776" s="32" t="s">
        <v>15306</v>
      </c>
      <c r="B5776" s="33"/>
      <c r="C5776" s="32">
        <v>0</v>
      </c>
      <c r="D5776" s="34">
        <v>0</v>
      </c>
      <c r="F5776" s="3" t="str">
        <f t="shared" si="90"/>
        <v>COTAÇÃO / ARTEFATOS PREMOLDADOS</v>
      </c>
    </row>
    <row r="5777" spans="1:6" ht="25.5" x14ac:dyDescent="0.2">
      <c r="A5777" s="26" t="s">
        <v>14985</v>
      </c>
      <c r="B5777" s="27" t="s">
        <v>14986</v>
      </c>
      <c r="C5777" s="26" t="s">
        <v>14987</v>
      </c>
      <c r="D5777" s="28" t="e">
        <v>#VALUE!</v>
      </c>
      <c r="F5777" s="3" t="str">
        <f t="shared" si="90"/>
        <v>Insumo</v>
      </c>
    </row>
    <row r="5778" spans="1:6" x14ac:dyDescent="0.2">
      <c r="A5778" s="29" t="s">
        <v>15307</v>
      </c>
      <c r="B5778" s="30" t="s">
        <v>15308</v>
      </c>
      <c r="C5778" s="29" t="s">
        <v>26</v>
      </c>
      <c r="D5778" s="31">
        <v>6589.77</v>
      </c>
      <c r="F5778" s="3" t="str">
        <f t="shared" si="90"/>
        <v>I0004</v>
      </c>
    </row>
    <row r="5779" spans="1:6" x14ac:dyDescent="0.2">
      <c r="A5779" s="29" t="s">
        <v>15309</v>
      </c>
      <c r="B5779" s="30" t="s">
        <v>15310</v>
      </c>
      <c r="C5779" s="29" t="s">
        <v>26</v>
      </c>
      <c r="D5779" s="31">
        <v>116.99</v>
      </c>
      <c r="F5779" s="3" t="str">
        <f t="shared" si="90"/>
        <v>I0083</v>
      </c>
    </row>
    <row r="5780" spans="1:6" x14ac:dyDescent="0.2">
      <c r="A5780" s="29" t="s">
        <v>15311</v>
      </c>
      <c r="B5780" s="30" t="s">
        <v>15312</v>
      </c>
      <c r="C5780" s="29" t="s">
        <v>26</v>
      </c>
      <c r="D5780" s="31">
        <v>194.02</v>
      </c>
      <c r="F5780" s="3" t="str">
        <f t="shared" si="90"/>
        <v>I7964</v>
      </c>
    </row>
    <row r="5781" spans="1:6" x14ac:dyDescent="0.2">
      <c r="A5781" s="29" t="s">
        <v>15313</v>
      </c>
      <c r="B5781" s="30" t="s">
        <v>15314</v>
      </c>
      <c r="C5781" s="29" t="s">
        <v>26</v>
      </c>
      <c r="D5781" s="31">
        <v>153.52000000000001</v>
      </c>
      <c r="F5781" s="3" t="str">
        <f t="shared" si="90"/>
        <v>I0084</v>
      </c>
    </row>
    <row r="5782" spans="1:6" x14ac:dyDescent="0.2">
      <c r="A5782" s="29" t="s">
        <v>15315</v>
      </c>
      <c r="B5782" s="30" t="s">
        <v>15316</v>
      </c>
      <c r="C5782" s="29" t="s">
        <v>26</v>
      </c>
      <c r="D5782" s="31">
        <v>162.86000000000001</v>
      </c>
      <c r="F5782" s="3" t="str">
        <f t="shared" si="90"/>
        <v>I0085</v>
      </c>
    </row>
    <row r="5783" spans="1:6" x14ac:dyDescent="0.2">
      <c r="A5783" s="29" t="s">
        <v>15317</v>
      </c>
      <c r="B5783" s="30" t="s">
        <v>15318</v>
      </c>
      <c r="C5783" s="29" t="s">
        <v>26</v>
      </c>
      <c r="D5783" s="31">
        <v>166.91</v>
      </c>
      <c r="F5783" s="3" t="str">
        <f t="shared" si="90"/>
        <v>I6224</v>
      </c>
    </row>
    <row r="5784" spans="1:6" ht="33.75" x14ac:dyDescent="0.2">
      <c r="A5784" s="29" t="s">
        <v>15319</v>
      </c>
      <c r="B5784" s="30" t="s">
        <v>15320</v>
      </c>
      <c r="C5784" s="29" t="s">
        <v>255</v>
      </c>
      <c r="D5784" s="31">
        <v>60.66</v>
      </c>
      <c r="F5784" s="3" t="str">
        <f t="shared" si="90"/>
        <v>I9396</v>
      </c>
    </row>
    <row r="5785" spans="1:6" ht="33.75" x14ac:dyDescent="0.2">
      <c r="A5785" s="29" t="s">
        <v>15321</v>
      </c>
      <c r="B5785" s="30" t="s">
        <v>15322</v>
      </c>
      <c r="C5785" s="29" t="s">
        <v>255</v>
      </c>
      <c r="D5785" s="31">
        <v>47.18</v>
      </c>
      <c r="F5785" s="3" t="str">
        <f t="shared" si="90"/>
        <v>I9379</v>
      </c>
    </row>
    <row r="5786" spans="1:6" ht="33.75" x14ac:dyDescent="0.2">
      <c r="A5786" s="29" t="s">
        <v>15323</v>
      </c>
      <c r="B5786" s="30" t="s">
        <v>15324</v>
      </c>
      <c r="C5786" s="29" t="s">
        <v>255</v>
      </c>
      <c r="D5786" s="31">
        <v>40.729999999999997</v>
      </c>
      <c r="F5786" s="3" t="str">
        <f t="shared" si="90"/>
        <v>I9099</v>
      </c>
    </row>
    <row r="5787" spans="1:6" ht="45" x14ac:dyDescent="0.2">
      <c r="A5787" s="29" t="s">
        <v>15325</v>
      </c>
      <c r="B5787" s="30" t="s">
        <v>15326</v>
      </c>
      <c r="C5787" s="29" t="s">
        <v>255</v>
      </c>
      <c r="D5787" s="31">
        <v>56.61</v>
      </c>
      <c r="F5787" s="3" t="str">
        <f t="shared" si="90"/>
        <v>I9104</v>
      </c>
    </row>
    <row r="5788" spans="1:6" x14ac:dyDescent="0.2">
      <c r="A5788" s="29" t="s">
        <v>15327</v>
      </c>
      <c r="B5788" s="30" t="s">
        <v>15328</v>
      </c>
      <c r="C5788" s="29" t="s">
        <v>26</v>
      </c>
      <c r="D5788" s="31">
        <v>148.4</v>
      </c>
      <c r="F5788" s="3" t="str">
        <f t="shared" si="90"/>
        <v>I0433</v>
      </c>
    </row>
    <row r="5789" spans="1:6" x14ac:dyDescent="0.2">
      <c r="A5789" s="29" t="s">
        <v>15329</v>
      </c>
      <c r="B5789" s="30" t="s">
        <v>15330</v>
      </c>
      <c r="C5789" s="29" t="s">
        <v>26</v>
      </c>
      <c r="D5789" s="31">
        <v>95.32</v>
      </c>
      <c r="F5789" s="3" t="str">
        <f t="shared" si="90"/>
        <v>I0434</v>
      </c>
    </row>
    <row r="5790" spans="1:6" x14ac:dyDescent="0.2">
      <c r="A5790" s="29" t="s">
        <v>15331</v>
      </c>
      <c r="B5790" s="30" t="s">
        <v>15332</v>
      </c>
      <c r="C5790" s="29" t="s">
        <v>0</v>
      </c>
      <c r="D5790" s="31">
        <v>42.87</v>
      </c>
      <c r="F5790" s="3" t="str">
        <f t="shared" si="90"/>
        <v>I2455</v>
      </c>
    </row>
    <row r="5791" spans="1:6" x14ac:dyDescent="0.2">
      <c r="A5791" s="29" t="s">
        <v>15333</v>
      </c>
      <c r="B5791" s="30" t="s">
        <v>15334</v>
      </c>
      <c r="C5791" s="29" t="s">
        <v>0</v>
      </c>
      <c r="D5791" s="31">
        <v>56.14</v>
      </c>
      <c r="F5791" s="3" t="str">
        <f t="shared" si="90"/>
        <v>I0448</v>
      </c>
    </row>
    <row r="5792" spans="1:6" x14ac:dyDescent="0.2">
      <c r="A5792" s="29" t="s">
        <v>15335</v>
      </c>
      <c r="B5792" s="30" t="s">
        <v>15336</v>
      </c>
      <c r="C5792" s="29" t="s">
        <v>0</v>
      </c>
      <c r="D5792" s="31">
        <v>538.46</v>
      </c>
      <c r="F5792" s="3" t="str">
        <f t="shared" si="90"/>
        <v>I1093</v>
      </c>
    </row>
    <row r="5793" spans="1:6" x14ac:dyDescent="0.2">
      <c r="A5793" s="29" t="s">
        <v>15337</v>
      </c>
      <c r="B5793" s="30" t="s">
        <v>15338</v>
      </c>
      <c r="C5793" s="29" t="s">
        <v>26</v>
      </c>
      <c r="D5793" s="31">
        <v>29.25</v>
      </c>
      <c r="F5793" s="3" t="str">
        <f t="shared" si="90"/>
        <v>I1096</v>
      </c>
    </row>
    <row r="5794" spans="1:6" x14ac:dyDescent="0.2">
      <c r="A5794" s="29" t="s">
        <v>15339</v>
      </c>
      <c r="B5794" s="30" t="s">
        <v>15340</v>
      </c>
      <c r="C5794" s="29" t="s">
        <v>26</v>
      </c>
      <c r="D5794" s="31">
        <v>49.55</v>
      </c>
      <c r="F5794" s="3" t="str">
        <f t="shared" si="90"/>
        <v>I1097</v>
      </c>
    </row>
    <row r="5795" spans="1:6" x14ac:dyDescent="0.2">
      <c r="A5795" s="29" t="s">
        <v>15341</v>
      </c>
      <c r="B5795" s="30" t="s">
        <v>15342</v>
      </c>
      <c r="C5795" s="29" t="s">
        <v>26</v>
      </c>
      <c r="D5795" s="31">
        <v>43.45</v>
      </c>
      <c r="F5795" s="3" t="str">
        <f t="shared" si="90"/>
        <v>I2327</v>
      </c>
    </row>
    <row r="5796" spans="1:6" x14ac:dyDescent="0.2">
      <c r="A5796" s="29" t="s">
        <v>15343</v>
      </c>
      <c r="B5796" s="30" t="s">
        <v>15344</v>
      </c>
      <c r="C5796" s="29" t="s">
        <v>26</v>
      </c>
      <c r="D5796" s="31">
        <v>236.62</v>
      </c>
      <c r="F5796" s="3" t="str">
        <f t="shared" si="90"/>
        <v>I7966</v>
      </c>
    </row>
    <row r="5797" spans="1:6" x14ac:dyDescent="0.2">
      <c r="A5797" s="29" t="s">
        <v>15345</v>
      </c>
      <c r="B5797" s="30" t="s">
        <v>15346</v>
      </c>
      <c r="C5797" s="29" t="s">
        <v>255</v>
      </c>
      <c r="D5797" s="31">
        <v>42.78</v>
      </c>
      <c r="F5797" s="3" t="str">
        <f t="shared" si="90"/>
        <v>I1339</v>
      </c>
    </row>
    <row r="5798" spans="1:6" x14ac:dyDescent="0.2">
      <c r="A5798" s="29" t="s">
        <v>15347</v>
      </c>
      <c r="B5798" s="30" t="s">
        <v>15348</v>
      </c>
      <c r="C5798" s="29" t="s">
        <v>255</v>
      </c>
      <c r="D5798" s="31">
        <v>55.58</v>
      </c>
      <c r="F5798" s="3" t="str">
        <f t="shared" si="90"/>
        <v>I8267</v>
      </c>
    </row>
    <row r="5799" spans="1:6" x14ac:dyDescent="0.2">
      <c r="A5799" s="29" t="s">
        <v>15349</v>
      </c>
      <c r="B5799" s="30" t="s">
        <v>15350</v>
      </c>
      <c r="C5799" s="29" t="s">
        <v>255</v>
      </c>
      <c r="D5799" s="31">
        <v>42.78</v>
      </c>
      <c r="F5799" s="3" t="str">
        <f t="shared" si="90"/>
        <v>I8276</v>
      </c>
    </row>
    <row r="5800" spans="1:6" x14ac:dyDescent="0.2">
      <c r="A5800" s="29" t="s">
        <v>15351</v>
      </c>
      <c r="B5800" s="30" t="s">
        <v>15352</v>
      </c>
      <c r="C5800" s="29" t="s">
        <v>255</v>
      </c>
      <c r="D5800" s="31">
        <v>46.91</v>
      </c>
      <c r="F5800" s="3" t="str">
        <f t="shared" si="90"/>
        <v>I8265</v>
      </c>
    </row>
    <row r="5801" spans="1:6" x14ac:dyDescent="0.2">
      <c r="A5801" s="29" t="s">
        <v>15353</v>
      </c>
      <c r="B5801" s="30" t="s">
        <v>15354</v>
      </c>
      <c r="C5801" s="29" t="s">
        <v>255</v>
      </c>
      <c r="D5801" s="31">
        <v>51.04</v>
      </c>
      <c r="F5801" s="3" t="str">
        <f t="shared" si="90"/>
        <v>I8266</v>
      </c>
    </row>
    <row r="5802" spans="1:6" x14ac:dyDescent="0.2">
      <c r="A5802" s="29" t="s">
        <v>15355</v>
      </c>
      <c r="B5802" s="30" t="s">
        <v>15356</v>
      </c>
      <c r="C5802" s="29" t="s">
        <v>255</v>
      </c>
      <c r="D5802" s="31">
        <v>60.16</v>
      </c>
      <c r="F5802" s="3" t="str">
        <f t="shared" si="90"/>
        <v>I8264</v>
      </c>
    </row>
    <row r="5803" spans="1:6" x14ac:dyDescent="0.2">
      <c r="A5803" s="29" t="s">
        <v>15357</v>
      </c>
      <c r="B5803" s="30" t="s">
        <v>15358</v>
      </c>
      <c r="C5803" s="29" t="s">
        <v>255</v>
      </c>
      <c r="D5803" s="31">
        <v>45.97</v>
      </c>
      <c r="F5803" s="3" t="str">
        <f t="shared" si="90"/>
        <v>I8275</v>
      </c>
    </row>
    <row r="5804" spans="1:6" x14ac:dyDescent="0.2">
      <c r="A5804" s="29" t="s">
        <v>15359</v>
      </c>
      <c r="B5804" s="30" t="s">
        <v>15360</v>
      </c>
      <c r="C5804" s="29" t="s">
        <v>255</v>
      </c>
      <c r="D5804" s="31">
        <v>53.29</v>
      </c>
      <c r="F5804" s="3" t="str">
        <f t="shared" si="90"/>
        <v>I8262</v>
      </c>
    </row>
    <row r="5805" spans="1:6" x14ac:dyDescent="0.2">
      <c r="A5805" s="29" t="s">
        <v>15361</v>
      </c>
      <c r="B5805" s="30" t="s">
        <v>15362</v>
      </c>
      <c r="C5805" s="29" t="s">
        <v>255</v>
      </c>
      <c r="D5805" s="31">
        <v>58.66</v>
      </c>
      <c r="F5805" s="3" t="str">
        <f t="shared" si="90"/>
        <v>I8263</v>
      </c>
    </row>
    <row r="5806" spans="1:6" ht="22.5" x14ac:dyDescent="0.2">
      <c r="A5806" s="29" t="s">
        <v>15363</v>
      </c>
      <c r="B5806" s="30" t="s">
        <v>15364</v>
      </c>
      <c r="C5806" s="29" t="s">
        <v>255</v>
      </c>
      <c r="D5806" s="31">
        <v>77.36</v>
      </c>
      <c r="F5806" s="3" t="str">
        <f t="shared" si="90"/>
        <v>I8285</v>
      </c>
    </row>
    <row r="5807" spans="1:6" ht="22.5" x14ac:dyDescent="0.2">
      <c r="A5807" s="29" t="s">
        <v>15365</v>
      </c>
      <c r="B5807" s="30" t="s">
        <v>15366</v>
      </c>
      <c r="C5807" s="29" t="s">
        <v>255</v>
      </c>
      <c r="D5807" s="31">
        <v>45.73</v>
      </c>
      <c r="F5807" s="3" t="str">
        <f t="shared" si="90"/>
        <v>I8282</v>
      </c>
    </row>
    <row r="5808" spans="1:6" ht="22.5" x14ac:dyDescent="0.2">
      <c r="A5808" s="29" t="s">
        <v>15367</v>
      </c>
      <c r="B5808" s="30" t="s">
        <v>15368</v>
      </c>
      <c r="C5808" s="29" t="s">
        <v>255</v>
      </c>
      <c r="D5808" s="31">
        <v>46</v>
      </c>
      <c r="F5808" s="3" t="str">
        <f t="shared" si="90"/>
        <v>I8283</v>
      </c>
    </row>
    <row r="5809" spans="1:6" ht="22.5" x14ac:dyDescent="0.2">
      <c r="A5809" s="29" t="s">
        <v>15369</v>
      </c>
      <c r="B5809" s="30" t="s">
        <v>15370</v>
      </c>
      <c r="C5809" s="29" t="s">
        <v>255</v>
      </c>
      <c r="D5809" s="31">
        <v>54.76</v>
      </c>
      <c r="F5809" s="3" t="str">
        <f t="shared" si="90"/>
        <v>I8284</v>
      </c>
    </row>
    <row r="5810" spans="1:6" ht="22.5" x14ac:dyDescent="0.2">
      <c r="A5810" s="29" t="s">
        <v>15371</v>
      </c>
      <c r="B5810" s="30" t="s">
        <v>15372</v>
      </c>
      <c r="C5810" s="29" t="s">
        <v>255</v>
      </c>
      <c r="D5810" s="31">
        <v>70.41</v>
      </c>
      <c r="F5810" s="3" t="str">
        <f t="shared" si="90"/>
        <v>I8281</v>
      </c>
    </row>
    <row r="5811" spans="1:6" x14ac:dyDescent="0.2">
      <c r="A5811" s="29" t="s">
        <v>15373</v>
      </c>
      <c r="B5811" s="30" t="s">
        <v>15374</v>
      </c>
      <c r="C5811" s="29" t="s">
        <v>255</v>
      </c>
      <c r="D5811" s="31">
        <v>48.77</v>
      </c>
      <c r="F5811" s="3" t="str">
        <f t="shared" si="90"/>
        <v>I8277</v>
      </c>
    </row>
    <row r="5812" spans="1:6" ht="22.5" x14ac:dyDescent="0.2">
      <c r="A5812" s="29" t="s">
        <v>15375</v>
      </c>
      <c r="B5812" s="30" t="s">
        <v>15376</v>
      </c>
      <c r="C5812" s="29" t="s">
        <v>255</v>
      </c>
      <c r="D5812" s="31">
        <v>54.41</v>
      </c>
      <c r="F5812" s="3" t="str">
        <f t="shared" si="90"/>
        <v>I8278</v>
      </c>
    </row>
    <row r="5813" spans="1:6" ht="22.5" x14ac:dyDescent="0.2">
      <c r="A5813" s="29" t="s">
        <v>15377</v>
      </c>
      <c r="B5813" s="30" t="s">
        <v>15378</v>
      </c>
      <c r="C5813" s="29" t="s">
        <v>255</v>
      </c>
      <c r="D5813" s="31">
        <v>60.82</v>
      </c>
      <c r="F5813" s="3" t="str">
        <f t="shared" si="90"/>
        <v>I8279</v>
      </c>
    </row>
    <row r="5814" spans="1:6" ht="22.5" x14ac:dyDescent="0.2">
      <c r="A5814" s="29" t="s">
        <v>15379</v>
      </c>
      <c r="B5814" s="30" t="s">
        <v>15380</v>
      </c>
      <c r="C5814" s="29" t="s">
        <v>255</v>
      </c>
      <c r="D5814" s="31">
        <v>63</v>
      </c>
      <c r="F5814" s="3" t="str">
        <f t="shared" si="90"/>
        <v>I8280</v>
      </c>
    </row>
    <row r="5815" spans="1:6" x14ac:dyDescent="0.2">
      <c r="A5815" s="29" t="s">
        <v>15381</v>
      </c>
      <c r="B5815" s="30" t="s">
        <v>15382</v>
      </c>
      <c r="C5815" s="29" t="s">
        <v>255</v>
      </c>
      <c r="D5815" s="31">
        <v>29.72</v>
      </c>
      <c r="F5815" s="3" t="str">
        <f t="shared" si="90"/>
        <v>I1341</v>
      </c>
    </row>
    <row r="5816" spans="1:6" x14ac:dyDescent="0.2">
      <c r="A5816" s="29" t="s">
        <v>15383</v>
      </c>
      <c r="B5816" s="30" t="s">
        <v>15384</v>
      </c>
      <c r="C5816" s="29" t="s">
        <v>26</v>
      </c>
      <c r="D5816" s="31">
        <v>195.25</v>
      </c>
      <c r="F5816" s="3" t="str">
        <f t="shared" si="90"/>
        <v>I7402</v>
      </c>
    </row>
    <row r="5817" spans="1:6" x14ac:dyDescent="0.2">
      <c r="A5817" s="29" t="s">
        <v>15385</v>
      </c>
      <c r="B5817" s="30" t="s">
        <v>15386</v>
      </c>
      <c r="C5817" s="29" t="s">
        <v>0</v>
      </c>
      <c r="D5817" s="31">
        <v>15.86</v>
      </c>
      <c r="F5817" s="3" t="str">
        <f t="shared" si="90"/>
        <v>I0971</v>
      </c>
    </row>
    <row r="5818" spans="1:6" x14ac:dyDescent="0.2">
      <c r="A5818" s="29" t="s">
        <v>15387</v>
      </c>
      <c r="B5818" s="30" t="s">
        <v>15388</v>
      </c>
      <c r="C5818" s="29" t="s">
        <v>26</v>
      </c>
      <c r="D5818" s="31">
        <v>51.25</v>
      </c>
      <c r="F5818" s="3" t="str">
        <f t="shared" si="90"/>
        <v>I1532</v>
      </c>
    </row>
    <row r="5819" spans="1:6" x14ac:dyDescent="0.2">
      <c r="A5819" s="29" t="s">
        <v>15389</v>
      </c>
      <c r="B5819" s="30" t="s">
        <v>15390</v>
      </c>
      <c r="C5819" s="29" t="s">
        <v>26</v>
      </c>
      <c r="D5819" s="31">
        <v>47.22</v>
      </c>
      <c r="F5819" s="3" t="str">
        <f t="shared" si="90"/>
        <v>I1533</v>
      </c>
    </row>
    <row r="5820" spans="1:6" x14ac:dyDescent="0.2">
      <c r="A5820" s="29" t="s">
        <v>15391</v>
      </c>
      <c r="B5820" s="30" t="s">
        <v>15392</v>
      </c>
      <c r="C5820" s="29" t="s">
        <v>26</v>
      </c>
      <c r="D5820" s="31">
        <v>54.71</v>
      </c>
      <c r="F5820" s="3" t="str">
        <f t="shared" si="90"/>
        <v>I1534</v>
      </c>
    </row>
    <row r="5821" spans="1:6" x14ac:dyDescent="0.2">
      <c r="A5821" s="29" t="s">
        <v>15393</v>
      </c>
      <c r="B5821" s="30" t="s">
        <v>15394</v>
      </c>
      <c r="C5821" s="29" t="s">
        <v>255</v>
      </c>
      <c r="D5821" s="31">
        <v>205.37</v>
      </c>
      <c r="F5821" s="3" t="str">
        <f t="shared" si="90"/>
        <v>I1553</v>
      </c>
    </row>
    <row r="5822" spans="1:6" x14ac:dyDescent="0.2">
      <c r="A5822" s="29" t="s">
        <v>15395</v>
      </c>
      <c r="B5822" s="30" t="s">
        <v>15396</v>
      </c>
      <c r="C5822" s="29" t="s">
        <v>255</v>
      </c>
      <c r="D5822" s="31">
        <v>254.59</v>
      </c>
      <c r="F5822" s="3" t="str">
        <f t="shared" si="90"/>
        <v>I1554</v>
      </c>
    </row>
    <row r="5823" spans="1:6" x14ac:dyDescent="0.2">
      <c r="A5823" s="29" t="s">
        <v>15397</v>
      </c>
      <c r="B5823" s="30" t="s">
        <v>15398</v>
      </c>
      <c r="C5823" s="29" t="s">
        <v>255</v>
      </c>
      <c r="D5823" s="31">
        <v>310.85000000000002</v>
      </c>
      <c r="F5823" s="3" t="str">
        <f t="shared" si="90"/>
        <v>I1555</v>
      </c>
    </row>
    <row r="5824" spans="1:6" x14ac:dyDescent="0.2">
      <c r="A5824" s="29" t="s">
        <v>15399</v>
      </c>
      <c r="B5824" s="30" t="s">
        <v>15400</v>
      </c>
      <c r="C5824" s="29" t="s">
        <v>255</v>
      </c>
      <c r="D5824" s="31">
        <v>87.63</v>
      </c>
      <c r="F5824" s="3" t="str">
        <f t="shared" si="90"/>
        <v>I1559</v>
      </c>
    </row>
    <row r="5825" spans="1:6" x14ac:dyDescent="0.2">
      <c r="A5825" s="29" t="s">
        <v>15401</v>
      </c>
      <c r="B5825" s="30" t="s">
        <v>15402</v>
      </c>
      <c r="C5825" s="29" t="s">
        <v>255</v>
      </c>
      <c r="D5825" s="31">
        <v>100.85</v>
      </c>
      <c r="F5825" s="3" t="str">
        <f t="shared" si="90"/>
        <v>I1560</v>
      </c>
    </row>
    <row r="5826" spans="1:6" x14ac:dyDescent="0.2">
      <c r="A5826" s="29" t="s">
        <v>15403</v>
      </c>
      <c r="B5826" s="30" t="s">
        <v>15404</v>
      </c>
      <c r="C5826" s="29" t="s">
        <v>255</v>
      </c>
      <c r="D5826" s="31">
        <v>30</v>
      </c>
      <c r="F5826" s="3" t="str">
        <f t="shared" ref="F5826:F5889" si="91">A5826</f>
        <v>I0242</v>
      </c>
    </row>
    <row r="5827" spans="1:6" x14ac:dyDescent="0.2">
      <c r="A5827" s="29" t="s">
        <v>15405</v>
      </c>
      <c r="B5827" s="30" t="s">
        <v>15406</v>
      </c>
      <c r="C5827" s="29" t="s">
        <v>255</v>
      </c>
      <c r="D5827" s="31">
        <v>32.31</v>
      </c>
      <c r="F5827" s="3" t="str">
        <f t="shared" si="91"/>
        <v>I0243</v>
      </c>
    </row>
    <row r="5828" spans="1:6" x14ac:dyDescent="0.2">
      <c r="A5828" s="29" t="s">
        <v>15407</v>
      </c>
      <c r="B5828" s="30" t="s">
        <v>9466</v>
      </c>
      <c r="C5828" s="29" t="s">
        <v>255</v>
      </c>
      <c r="D5828" s="31">
        <v>30</v>
      </c>
      <c r="F5828" s="3" t="str">
        <f t="shared" si="91"/>
        <v>I1662</v>
      </c>
    </row>
    <row r="5829" spans="1:6" x14ac:dyDescent="0.2">
      <c r="A5829" s="29" t="s">
        <v>15408</v>
      </c>
      <c r="B5829" s="30" t="s">
        <v>9468</v>
      </c>
      <c r="C5829" s="29" t="s">
        <v>255</v>
      </c>
      <c r="D5829" s="31">
        <v>40.729999999999997</v>
      </c>
      <c r="F5829" s="3" t="str">
        <f t="shared" si="91"/>
        <v>I6201</v>
      </c>
    </row>
    <row r="5830" spans="1:6" ht="22.5" x14ac:dyDescent="0.2">
      <c r="A5830" s="29" t="s">
        <v>15409</v>
      </c>
      <c r="B5830" s="30" t="s">
        <v>9470</v>
      </c>
      <c r="C5830" s="29" t="s">
        <v>255</v>
      </c>
      <c r="D5830" s="31">
        <v>49.9</v>
      </c>
      <c r="F5830" s="3" t="str">
        <f t="shared" si="91"/>
        <v>I7004</v>
      </c>
    </row>
    <row r="5831" spans="1:6" ht="22.5" x14ac:dyDescent="0.2">
      <c r="A5831" s="29" t="s">
        <v>15410</v>
      </c>
      <c r="B5831" s="30" t="s">
        <v>9472</v>
      </c>
      <c r="C5831" s="29" t="s">
        <v>255</v>
      </c>
      <c r="D5831" s="31">
        <v>51.67</v>
      </c>
      <c r="F5831" s="3" t="str">
        <f t="shared" si="91"/>
        <v>I8558</v>
      </c>
    </row>
    <row r="5832" spans="1:6" x14ac:dyDescent="0.2">
      <c r="A5832" s="29" t="s">
        <v>15411</v>
      </c>
      <c r="B5832" s="30" t="s">
        <v>15412</v>
      </c>
      <c r="C5832" s="29" t="s">
        <v>255</v>
      </c>
      <c r="D5832" s="31">
        <v>23.21</v>
      </c>
      <c r="F5832" s="3" t="str">
        <f t="shared" si="91"/>
        <v>I1667</v>
      </c>
    </row>
    <row r="5833" spans="1:6" x14ac:dyDescent="0.2">
      <c r="A5833" s="29" t="s">
        <v>15413</v>
      </c>
      <c r="B5833" s="30" t="s">
        <v>15414</v>
      </c>
      <c r="C5833" s="29" t="s">
        <v>26</v>
      </c>
      <c r="D5833" s="31">
        <v>100.85</v>
      </c>
      <c r="F5833" s="3" t="str">
        <f t="shared" si="91"/>
        <v>I1671</v>
      </c>
    </row>
    <row r="5834" spans="1:6" ht="45" x14ac:dyDescent="0.2">
      <c r="A5834" s="29" t="s">
        <v>15415</v>
      </c>
      <c r="B5834" s="30" t="s">
        <v>15416</v>
      </c>
      <c r="C5834" s="29" t="s">
        <v>26</v>
      </c>
      <c r="D5834" s="31">
        <v>23615.55</v>
      </c>
      <c r="F5834" s="3" t="str">
        <f t="shared" si="91"/>
        <v>I6721</v>
      </c>
    </row>
    <row r="5835" spans="1:6" x14ac:dyDescent="0.2">
      <c r="A5835" s="29" t="s">
        <v>15417</v>
      </c>
      <c r="B5835" s="30" t="s">
        <v>15418</v>
      </c>
      <c r="C5835" s="29" t="s">
        <v>26</v>
      </c>
      <c r="D5835" s="31">
        <v>73.14</v>
      </c>
      <c r="F5835" s="3" t="str">
        <f t="shared" si="91"/>
        <v>I7403</v>
      </c>
    </row>
    <row r="5836" spans="1:6" x14ac:dyDescent="0.2">
      <c r="A5836" s="29" t="s">
        <v>15419</v>
      </c>
      <c r="B5836" s="30" t="s">
        <v>15420</v>
      </c>
      <c r="C5836" s="29" t="s">
        <v>26</v>
      </c>
      <c r="D5836" s="31">
        <v>263.02999999999997</v>
      </c>
      <c r="F5836" s="3" t="str">
        <f t="shared" si="91"/>
        <v>I7965</v>
      </c>
    </row>
    <row r="5837" spans="1:6" ht="15.75" customHeight="1" x14ac:dyDescent="0.2">
      <c r="A5837" s="32" t="s">
        <v>15421</v>
      </c>
      <c r="B5837" s="33"/>
      <c r="C5837" s="32">
        <v>0</v>
      </c>
      <c r="D5837" s="34">
        <v>0</v>
      </c>
      <c r="F5837" s="3" t="str">
        <f t="shared" si="91"/>
        <v>COTAÇÃO / BLOCOS,TIJOLOS E ELEMENTOS VAZADOS</v>
      </c>
    </row>
    <row r="5838" spans="1:6" ht="25.5" x14ac:dyDescent="0.2">
      <c r="A5838" s="26" t="s">
        <v>14985</v>
      </c>
      <c r="B5838" s="27" t="s">
        <v>14986</v>
      </c>
      <c r="C5838" s="26" t="s">
        <v>14987</v>
      </c>
      <c r="D5838" s="28" t="e">
        <v>#VALUE!</v>
      </c>
      <c r="F5838" s="3" t="str">
        <f t="shared" si="91"/>
        <v>Insumo</v>
      </c>
    </row>
    <row r="5839" spans="1:6" x14ac:dyDescent="0.2">
      <c r="A5839" s="29" t="s">
        <v>15422</v>
      </c>
      <c r="B5839" s="30" t="s">
        <v>15423</v>
      </c>
      <c r="C5839" s="29" t="s">
        <v>26</v>
      </c>
      <c r="D5839" s="31">
        <v>2.0099999999999998</v>
      </c>
      <c r="F5839" s="3" t="str">
        <f t="shared" si="91"/>
        <v>I0225</v>
      </c>
    </row>
    <row r="5840" spans="1:6" x14ac:dyDescent="0.2">
      <c r="A5840" s="29" t="s">
        <v>15424</v>
      </c>
      <c r="B5840" s="30" t="s">
        <v>15425</v>
      </c>
      <c r="C5840" s="29" t="s">
        <v>26</v>
      </c>
      <c r="D5840" s="31">
        <v>2.4900000000000002</v>
      </c>
      <c r="F5840" s="3" t="str">
        <f t="shared" si="91"/>
        <v>I0226</v>
      </c>
    </row>
    <row r="5841" spans="1:6" x14ac:dyDescent="0.2">
      <c r="A5841" s="29" t="s">
        <v>15426</v>
      </c>
      <c r="B5841" s="30" t="s">
        <v>15427</v>
      </c>
      <c r="C5841" s="29" t="s">
        <v>26</v>
      </c>
      <c r="D5841" s="31">
        <v>2.0299999999999998</v>
      </c>
      <c r="F5841" s="3" t="str">
        <f t="shared" si="91"/>
        <v>I0227</v>
      </c>
    </row>
    <row r="5842" spans="1:6" x14ac:dyDescent="0.2">
      <c r="A5842" s="29" t="s">
        <v>15428</v>
      </c>
      <c r="B5842" s="30" t="s">
        <v>15429</v>
      </c>
      <c r="C5842" s="29" t="s">
        <v>26</v>
      </c>
      <c r="D5842" s="31">
        <v>2.2400000000000002</v>
      </c>
      <c r="F5842" s="3" t="str">
        <f t="shared" si="91"/>
        <v>I0228</v>
      </c>
    </row>
    <row r="5843" spans="1:6" x14ac:dyDescent="0.2">
      <c r="A5843" s="29" t="s">
        <v>15430</v>
      </c>
      <c r="B5843" s="30" t="s">
        <v>15431</v>
      </c>
      <c r="C5843" s="29" t="s">
        <v>26</v>
      </c>
      <c r="D5843" s="31">
        <v>1.42</v>
      </c>
      <c r="F5843" s="3" t="str">
        <f t="shared" si="91"/>
        <v>I0229</v>
      </c>
    </row>
    <row r="5844" spans="1:6" x14ac:dyDescent="0.2">
      <c r="A5844" s="29" t="s">
        <v>15432</v>
      </c>
      <c r="B5844" s="30" t="s">
        <v>15433</v>
      </c>
      <c r="C5844" s="29" t="s">
        <v>26</v>
      </c>
      <c r="D5844" s="31">
        <v>1.54</v>
      </c>
      <c r="F5844" s="3" t="str">
        <f t="shared" si="91"/>
        <v>I8569</v>
      </c>
    </row>
    <row r="5845" spans="1:6" x14ac:dyDescent="0.2">
      <c r="A5845" s="29" t="s">
        <v>15434</v>
      </c>
      <c r="B5845" s="30" t="s">
        <v>15435</v>
      </c>
      <c r="C5845" s="29" t="s">
        <v>26</v>
      </c>
      <c r="D5845" s="31">
        <v>3.76</v>
      </c>
      <c r="F5845" s="3" t="str">
        <f t="shared" si="91"/>
        <v>I0230</v>
      </c>
    </row>
    <row r="5846" spans="1:6" x14ac:dyDescent="0.2">
      <c r="A5846" s="29" t="s">
        <v>15436</v>
      </c>
      <c r="B5846" s="30" t="s">
        <v>15437</v>
      </c>
      <c r="C5846" s="29" t="s">
        <v>26</v>
      </c>
      <c r="D5846" s="31">
        <v>3.23</v>
      </c>
      <c r="F5846" s="3" t="str">
        <f t="shared" si="91"/>
        <v>I0231</v>
      </c>
    </row>
    <row r="5847" spans="1:6" x14ac:dyDescent="0.2">
      <c r="A5847" s="29" t="s">
        <v>15438</v>
      </c>
      <c r="B5847" s="30" t="s">
        <v>15439</v>
      </c>
      <c r="C5847" s="29" t="s">
        <v>26</v>
      </c>
      <c r="D5847" s="31">
        <v>4.95</v>
      </c>
      <c r="F5847" s="3" t="str">
        <f t="shared" si="91"/>
        <v>I0232</v>
      </c>
    </row>
    <row r="5848" spans="1:6" x14ac:dyDescent="0.2">
      <c r="A5848" s="29" t="s">
        <v>15440</v>
      </c>
      <c r="B5848" s="30" t="s">
        <v>15441</v>
      </c>
      <c r="C5848" s="29" t="s">
        <v>26</v>
      </c>
      <c r="D5848" s="31">
        <v>3.85</v>
      </c>
      <c r="F5848" s="3" t="str">
        <f t="shared" si="91"/>
        <v>I0233</v>
      </c>
    </row>
    <row r="5849" spans="1:6" x14ac:dyDescent="0.2">
      <c r="A5849" s="29" t="s">
        <v>15442</v>
      </c>
      <c r="B5849" s="30" t="s">
        <v>15443</v>
      </c>
      <c r="C5849" s="29" t="s">
        <v>26</v>
      </c>
      <c r="D5849" s="31">
        <v>2.5299999999999998</v>
      </c>
      <c r="F5849" s="3" t="str">
        <f t="shared" si="91"/>
        <v>I6813</v>
      </c>
    </row>
    <row r="5850" spans="1:6" x14ac:dyDescent="0.2">
      <c r="A5850" s="29" t="s">
        <v>15444</v>
      </c>
      <c r="B5850" s="30" t="s">
        <v>15445</v>
      </c>
      <c r="C5850" s="29" t="s">
        <v>26</v>
      </c>
      <c r="D5850" s="31">
        <v>5.52</v>
      </c>
      <c r="F5850" s="3" t="str">
        <f t="shared" si="91"/>
        <v>I0235</v>
      </c>
    </row>
    <row r="5851" spans="1:6" x14ac:dyDescent="0.2">
      <c r="A5851" s="29" t="s">
        <v>15446</v>
      </c>
      <c r="B5851" s="30" t="s">
        <v>15447</v>
      </c>
      <c r="C5851" s="29" t="s">
        <v>26</v>
      </c>
      <c r="D5851" s="31">
        <v>21.42</v>
      </c>
      <c r="F5851" s="3" t="str">
        <f t="shared" si="91"/>
        <v>I0236</v>
      </c>
    </row>
    <row r="5852" spans="1:6" x14ac:dyDescent="0.2">
      <c r="A5852" s="29" t="s">
        <v>15448</v>
      </c>
      <c r="B5852" s="30" t="s">
        <v>15449</v>
      </c>
      <c r="C5852" s="29" t="s">
        <v>26</v>
      </c>
      <c r="D5852" s="31">
        <v>5.36</v>
      </c>
      <c r="F5852" s="3" t="str">
        <f t="shared" si="91"/>
        <v>I6683</v>
      </c>
    </row>
    <row r="5853" spans="1:6" x14ac:dyDescent="0.2">
      <c r="A5853" s="29" t="s">
        <v>15450</v>
      </c>
      <c r="B5853" s="30" t="s">
        <v>15451</v>
      </c>
      <c r="C5853" s="29" t="s">
        <v>26</v>
      </c>
      <c r="D5853" s="31">
        <v>7.8</v>
      </c>
      <c r="F5853" s="3" t="str">
        <f t="shared" si="91"/>
        <v>I6684</v>
      </c>
    </row>
    <row r="5854" spans="1:6" x14ac:dyDescent="0.2">
      <c r="A5854" s="29" t="s">
        <v>15452</v>
      </c>
      <c r="B5854" s="30" t="s">
        <v>15453</v>
      </c>
      <c r="C5854" s="29" t="s">
        <v>26</v>
      </c>
      <c r="D5854" s="31">
        <v>16.2</v>
      </c>
      <c r="F5854" s="3" t="str">
        <f t="shared" si="91"/>
        <v>I0238</v>
      </c>
    </row>
    <row r="5855" spans="1:6" x14ac:dyDescent="0.2">
      <c r="A5855" s="29" t="s">
        <v>15454</v>
      </c>
      <c r="B5855" s="30" t="s">
        <v>15455</v>
      </c>
      <c r="C5855" s="29" t="s">
        <v>255</v>
      </c>
      <c r="D5855" s="31">
        <v>70</v>
      </c>
      <c r="F5855" s="3" t="str">
        <f t="shared" si="91"/>
        <v>I0811</v>
      </c>
    </row>
    <row r="5856" spans="1:6" x14ac:dyDescent="0.2">
      <c r="A5856" s="29" t="s">
        <v>15456</v>
      </c>
      <c r="B5856" s="30" t="s">
        <v>15457</v>
      </c>
      <c r="C5856" s="29" t="s">
        <v>26</v>
      </c>
      <c r="D5856" s="31">
        <v>9.89</v>
      </c>
      <c r="F5856" s="3" t="str">
        <f t="shared" si="91"/>
        <v>I0822</v>
      </c>
    </row>
    <row r="5857" spans="1:6" x14ac:dyDescent="0.2">
      <c r="A5857" s="29" t="s">
        <v>15458</v>
      </c>
      <c r="B5857" s="30" t="s">
        <v>15459</v>
      </c>
      <c r="C5857" s="29" t="s">
        <v>26</v>
      </c>
      <c r="D5857" s="31">
        <v>21.45</v>
      </c>
      <c r="F5857" s="3" t="str">
        <f t="shared" si="91"/>
        <v>I0823</v>
      </c>
    </row>
    <row r="5858" spans="1:6" x14ac:dyDescent="0.2">
      <c r="A5858" s="29" t="s">
        <v>15460</v>
      </c>
      <c r="B5858" s="30" t="s">
        <v>15461</v>
      </c>
      <c r="C5858" s="29" t="s">
        <v>26</v>
      </c>
      <c r="D5858" s="31">
        <v>22.17</v>
      </c>
      <c r="F5858" s="3" t="str">
        <f t="shared" si="91"/>
        <v>I0810</v>
      </c>
    </row>
    <row r="5859" spans="1:6" x14ac:dyDescent="0.2">
      <c r="A5859" s="29" t="s">
        <v>15462</v>
      </c>
      <c r="B5859" s="30" t="s">
        <v>15463</v>
      </c>
      <c r="C5859" s="29" t="s">
        <v>26</v>
      </c>
      <c r="D5859" s="31">
        <v>16.309999999999999</v>
      </c>
      <c r="F5859" s="3" t="str">
        <f t="shared" si="91"/>
        <v>I8360</v>
      </c>
    </row>
    <row r="5860" spans="1:6" x14ac:dyDescent="0.2">
      <c r="A5860" s="29" t="s">
        <v>15464</v>
      </c>
      <c r="B5860" s="30" t="s">
        <v>15465</v>
      </c>
      <c r="C5860" s="29" t="s">
        <v>26</v>
      </c>
      <c r="D5860" s="31">
        <v>1.73</v>
      </c>
      <c r="F5860" s="3" t="str">
        <f t="shared" si="91"/>
        <v>I1059</v>
      </c>
    </row>
    <row r="5861" spans="1:6" x14ac:dyDescent="0.2">
      <c r="A5861" s="29" t="s">
        <v>15466</v>
      </c>
      <c r="B5861" s="30" t="s">
        <v>15467</v>
      </c>
      <c r="C5861" s="29" t="s">
        <v>26</v>
      </c>
      <c r="D5861" s="31">
        <v>4.3600000000000003</v>
      </c>
      <c r="F5861" s="3" t="str">
        <f t="shared" si="91"/>
        <v>I1060</v>
      </c>
    </row>
    <row r="5862" spans="1:6" x14ac:dyDescent="0.2">
      <c r="A5862" s="29" t="s">
        <v>15468</v>
      </c>
      <c r="B5862" s="30" t="s">
        <v>15469</v>
      </c>
      <c r="C5862" s="29" t="s">
        <v>26</v>
      </c>
      <c r="D5862" s="31">
        <v>5.91</v>
      </c>
      <c r="F5862" s="3" t="str">
        <f t="shared" si="91"/>
        <v>I1058</v>
      </c>
    </row>
    <row r="5863" spans="1:6" x14ac:dyDescent="0.2">
      <c r="A5863" s="29" t="s">
        <v>15470</v>
      </c>
      <c r="B5863" s="30" t="s">
        <v>15471</v>
      </c>
      <c r="C5863" s="29" t="s">
        <v>26</v>
      </c>
      <c r="D5863" s="31">
        <v>0.87</v>
      </c>
      <c r="F5863" s="3" t="str">
        <f t="shared" si="91"/>
        <v>I9512</v>
      </c>
    </row>
    <row r="5864" spans="1:6" x14ac:dyDescent="0.2">
      <c r="A5864" s="29" t="s">
        <v>15472</v>
      </c>
      <c r="B5864" s="30" t="s">
        <v>15473</v>
      </c>
      <c r="C5864" s="29" t="s">
        <v>26</v>
      </c>
      <c r="D5864" s="31">
        <v>0.71</v>
      </c>
      <c r="F5864" s="3" t="str">
        <f t="shared" si="91"/>
        <v>I9513</v>
      </c>
    </row>
    <row r="5865" spans="1:6" x14ac:dyDescent="0.2">
      <c r="A5865" s="29" t="s">
        <v>15474</v>
      </c>
      <c r="B5865" s="30" t="s">
        <v>15475</v>
      </c>
      <c r="C5865" s="29" t="s">
        <v>255</v>
      </c>
      <c r="D5865" s="31">
        <v>27.81</v>
      </c>
      <c r="F5865" s="3" t="str">
        <f t="shared" si="91"/>
        <v>I7950</v>
      </c>
    </row>
    <row r="5866" spans="1:6" x14ac:dyDescent="0.2">
      <c r="A5866" s="29" t="s">
        <v>15476</v>
      </c>
      <c r="B5866" s="30" t="s">
        <v>15477</v>
      </c>
      <c r="C5866" s="29" t="s">
        <v>26</v>
      </c>
      <c r="D5866" s="31">
        <v>0.53</v>
      </c>
      <c r="F5866" s="3" t="str">
        <f t="shared" si="91"/>
        <v>I2081</v>
      </c>
    </row>
    <row r="5867" spans="1:6" x14ac:dyDescent="0.2">
      <c r="A5867" s="29" t="s">
        <v>15478</v>
      </c>
      <c r="B5867" s="30" t="s">
        <v>15479</v>
      </c>
      <c r="C5867" s="29" t="s">
        <v>26</v>
      </c>
      <c r="D5867" s="31">
        <v>0.76</v>
      </c>
      <c r="F5867" s="3" t="str">
        <f t="shared" si="91"/>
        <v>I2080</v>
      </c>
    </row>
    <row r="5868" spans="1:6" x14ac:dyDescent="0.2">
      <c r="A5868" s="29" t="s">
        <v>15480</v>
      </c>
      <c r="B5868" s="30" t="s">
        <v>15481</v>
      </c>
      <c r="C5868" s="29" t="s">
        <v>26</v>
      </c>
      <c r="D5868" s="31">
        <v>0.76</v>
      </c>
      <c r="F5868" s="3" t="str">
        <f t="shared" si="91"/>
        <v>I2443</v>
      </c>
    </row>
    <row r="5869" spans="1:6" x14ac:dyDescent="0.2">
      <c r="A5869" s="29" t="s">
        <v>15482</v>
      </c>
      <c r="B5869" s="30" t="s">
        <v>15483</v>
      </c>
      <c r="C5869" s="29" t="s">
        <v>26</v>
      </c>
      <c r="D5869" s="31">
        <v>1.31</v>
      </c>
      <c r="F5869" s="3" t="str">
        <f t="shared" si="91"/>
        <v>I6225</v>
      </c>
    </row>
    <row r="5870" spans="1:6" x14ac:dyDescent="0.2">
      <c r="A5870" s="29" t="s">
        <v>15484</v>
      </c>
      <c r="B5870" s="30" t="s">
        <v>15485</v>
      </c>
      <c r="C5870" s="29" t="s">
        <v>26</v>
      </c>
      <c r="D5870" s="31">
        <v>0.47</v>
      </c>
      <c r="F5870" s="3" t="str">
        <f t="shared" si="91"/>
        <v>I2082</v>
      </c>
    </row>
    <row r="5871" spans="1:6" x14ac:dyDescent="0.2">
      <c r="A5871" s="29" t="s">
        <v>15486</v>
      </c>
      <c r="B5871" s="30" t="s">
        <v>15487</v>
      </c>
      <c r="C5871" s="29" t="s">
        <v>26</v>
      </c>
      <c r="D5871" s="31">
        <v>2.02</v>
      </c>
      <c r="F5871" s="3" t="str">
        <f t="shared" si="91"/>
        <v>I2499</v>
      </c>
    </row>
    <row r="5872" spans="1:6" ht="15.75" customHeight="1" x14ac:dyDescent="0.2">
      <c r="A5872" s="32" t="s">
        <v>15488</v>
      </c>
      <c r="B5872" s="33"/>
      <c r="C5872" s="32">
        <v>0</v>
      </c>
      <c r="D5872" s="34">
        <v>0</v>
      </c>
      <c r="F5872" s="3" t="str">
        <f t="shared" si="91"/>
        <v>COTAÇÃO / DEFAULT</v>
      </c>
    </row>
    <row r="5873" spans="1:6" ht="25.5" x14ac:dyDescent="0.2">
      <c r="A5873" s="26" t="s">
        <v>14985</v>
      </c>
      <c r="B5873" s="27" t="s">
        <v>14986</v>
      </c>
      <c r="C5873" s="26" t="s">
        <v>14987</v>
      </c>
      <c r="D5873" s="28" t="e">
        <v>#VALUE!</v>
      </c>
      <c r="F5873" s="3" t="str">
        <f t="shared" si="91"/>
        <v>Insumo</v>
      </c>
    </row>
    <row r="5874" spans="1:6" x14ac:dyDescent="0.2">
      <c r="A5874" s="29" t="s">
        <v>15489</v>
      </c>
      <c r="B5874" s="30" t="s">
        <v>15490</v>
      </c>
      <c r="C5874" s="29" t="s">
        <v>9</v>
      </c>
      <c r="D5874" s="31">
        <v>3.74</v>
      </c>
      <c r="F5874" s="3" t="str">
        <f t="shared" si="91"/>
        <v>I2708</v>
      </c>
    </row>
    <row r="5875" spans="1:6" x14ac:dyDescent="0.2">
      <c r="A5875" s="29" t="s">
        <v>15491</v>
      </c>
      <c r="B5875" s="30" t="s">
        <v>15492</v>
      </c>
      <c r="C5875" s="29" t="s">
        <v>9</v>
      </c>
      <c r="D5875" s="31">
        <v>5.08</v>
      </c>
      <c r="F5875" s="3" t="str">
        <f t="shared" si="91"/>
        <v>I2707</v>
      </c>
    </row>
    <row r="5876" spans="1:6" x14ac:dyDescent="0.2">
      <c r="A5876" s="29" t="s">
        <v>15493</v>
      </c>
      <c r="B5876" s="30" t="s">
        <v>15494</v>
      </c>
      <c r="C5876" s="29" t="s">
        <v>9</v>
      </c>
      <c r="D5876" s="31">
        <v>4.99</v>
      </c>
      <c r="F5876" s="3" t="str">
        <f t="shared" si="91"/>
        <v>I2706</v>
      </c>
    </row>
    <row r="5877" spans="1:6" ht="15.75" customHeight="1" x14ac:dyDescent="0.2">
      <c r="A5877" s="32" t="s">
        <v>15495</v>
      </c>
      <c r="B5877" s="33"/>
      <c r="C5877" s="32">
        <v>0</v>
      </c>
      <c r="D5877" s="34">
        <v>0</v>
      </c>
      <c r="F5877" s="3" t="str">
        <f t="shared" si="91"/>
        <v>COTAÇÃO / DIVERSOS</v>
      </c>
    </row>
    <row r="5878" spans="1:6" ht="25.5" x14ac:dyDescent="0.2">
      <c r="A5878" s="26" t="s">
        <v>14985</v>
      </c>
      <c r="B5878" s="27" t="s">
        <v>14986</v>
      </c>
      <c r="C5878" s="26" t="s">
        <v>14987</v>
      </c>
      <c r="D5878" s="28" t="e">
        <v>#VALUE!</v>
      </c>
      <c r="F5878" s="3" t="str">
        <f t="shared" si="91"/>
        <v>Insumo</v>
      </c>
    </row>
    <row r="5879" spans="1:6" x14ac:dyDescent="0.2">
      <c r="A5879" s="29" t="s">
        <v>15496</v>
      </c>
      <c r="B5879" s="30" t="s">
        <v>15497</v>
      </c>
      <c r="C5879" s="29" t="s">
        <v>9</v>
      </c>
      <c r="D5879" s="31">
        <v>97.24</v>
      </c>
      <c r="F5879" s="3" t="str">
        <f t="shared" si="91"/>
        <v>I8560</v>
      </c>
    </row>
    <row r="5880" spans="1:6" x14ac:dyDescent="0.2">
      <c r="A5880" s="29" t="s">
        <v>15498</v>
      </c>
      <c r="B5880" s="30" t="s">
        <v>15499</v>
      </c>
      <c r="C5880" s="29" t="s">
        <v>1284</v>
      </c>
      <c r="D5880" s="31">
        <v>89</v>
      </c>
      <c r="F5880" s="3" t="str">
        <f t="shared" si="91"/>
        <v>I7469</v>
      </c>
    </row>
    <row r="5881" spans="1:6" x14ac:dyDescent="0.2">
      <c r="A5881" s="29" t="s">
        <v>15500</v>
      </c>
      <c r="B5881" s="30" t="s">
        <v>15501</v>
      </c>
      <c r="C5881" s="29" t="s">
        <v>1284</v>
      </c>
      <c r="D5881" s="31">
        <v>8.7899999999999991</v>
      </c>
      <c r="F5881" s="3" t="str">
        <f t="shared" si="91"/>
        <v>I0028</v>
      </c>
    </row>
    <row r="5882" spans="1:6" x14ac:dyDescent="0.2">
      <c r="A5882" s="29" t="s">
        <v>15502</v>
      </c>
      <c r="B5882" s="30" t="s">
        <v>15503</v>
      </c>
      <c r="C5882" s="29" t="s">
        <v>9</v>
      </c>
      <c r="D5882" s="31">
        <v>12.91</v>
      </c>
      <c r="F5882" s="3" t="str">
        <f t="shared" si="91"/>
        <v>I0033</v>
      </c>
    </row>
    <row r="5883" spans="1:6" x14ac:dyDescent="0.2">
      <c r="A5883" s="29" t="s">
        <v>15504</v>
      </c>
      <c r="B5883" s="30" t="s">
        <v>15505</v>
      </c>
      <c r="C5883" s="29" t="s">
        <v>26</v>
      </c>
      <c r="D5883" s="31">
        <v>1.2</v>
      </c>
      <c r="F5883" s="3" t="str">
        <f t="shared" si="91"/>
        <v>I0036</v>
      </c>
    </row>
    <row r="5884" spans="1:6" x14ac:dyDescent="0.2">
      <c r="A5884" s="29" t="s">
        <v>15506</v>
      </c>
      <c r="B5884" s="30" t="s">
        <v>7836</v>
      </c>
      <c r="C5884" s="29" t="s">
        <v>15507</v>
      </c>
      <c r="D5884" s="31">
        <v>82.85</v>
      </c>
      <c r="F5884" s="3" t="str">
        <f t="shared" si="91"/>
        <v>I0086</v>
      </c>
    </row>
    <row r="5885" spans="1:6" x14ac:dyDescent="0.2">
      <c r="A5885" s="29" t="s">
        <v>15508</v>
      </c>
      <c r="B5885" s="30" t="s">
        <v>15509</v>
      </c>
      <c r="C5885" s="29" t="s">
        <v>26</v>
      </c>
      <c r="D5885" s="31">
        <v>877.38</v>
      </c>
      <c r="F5885" s="3" t="str">
        <f t="shared" si="91"/>
        <v>I8414</v>
      </c>
    </row>
    <row r="5886" spans="1:6" x14ac:dyDescent="0.2">
      <c r="A5886" s="29" t="s">
        <v>15510</v>
      </c>
      <c r="B5886" s="30" t="s">
        <v>15511</v>
      </c>
      <c r="C5886" s="29" t="s">
        <v>26</v>
      </c>
      <c r="D5886" s="31">
        <v>14</v>
      </c>
      <c r="F5886" s="3" t="str">
        <f t="shared" si="91"/>
        <v>I0183</v>
      </c>
    </row>
    <row r="5887" spans="1:6" x14ac:dyDescent="0.2">
      <c r="A5887" s="29" t="s">
        <v>15512</v>
      </c>
      <c r="B5887" s="30" t="s">
        <v>15513</v>
      </c>
      <c r="C5887" s="29" t="s">
        <v>8321</v>
      </c>
      <c r="D5887" s="31">
        <v>1262.9100000000001</v>
      </c>
      <c r="F5887" s="3" t="str">
        <f t="shared" si="91"/>
        <v>I8642</v>
      </c>
    </row>
    <row r="5888" spans="1:6" x14ac:dyDescent="0.2">
      <c r="A5888" s="29" t="s">
        <v>15514</v>
      </c>
      <c r="B5888" s="30" t="s">
        <v>15515</v>
      </c>
      <c r="C5888" s="29" t="s">
        <v>26</v>
      </c>
      <c r="D5888" s="31">
        <v>505.48</v>
      </c>
      <c r="F5888" s="3" t="str">
        <f t="shared" si="91"/>
        <v>I0217</v>
      </c>
    </row>
    <row r="5889" spans="1:6" x14ac:dyDescent="0.2">
      <c r="A5889" s="29" t="s">
        <v>15516</v>
      </c>
      <c r="B5889" s="30" t="s">
        <v>15517</v>
      </c>
      <c r="C5889" s="29" t="s">
        <v>26</v>
      </c>
      <c r="D5889" s="31">
        <v>1003</v>
      </c>
      <c r="F5889" s="3" t="str">
        <f t="shared" si="91"/>
        <v>I8193</v>
      </c>
    </row>
    <row r="5890" spans="1:6" x14ac:dyDescent="0.2">
      <c r="A5890" s="29" t="s">
        <v>15518</v>
      </c>
      <c r="B5890" s="30" t="s">
        <v>7570</v>
      </c>
      <c r="C5890" s="29" t="s">
        <v>271</v>
      </c>
      <c r="D5890" s="31">
        <v>48.32</v>
      </c>
      <c r="F5890" s="3" t="str">
        <f t="shared" ref="F5890:F5953" si="92">A5890</f>
        <v>I0266</v>
      </c>
    </row>
    <row r="5891" spans="1:6" x14ac:dyDescent="0.2">
      <c r="A5891" s="29" t="s">
        <v>15519</v>
      </c>
      <c r="B5891" s="30" t="s">
        <v>15520</v>
      </c>
      <c r="C5891" s="29" t="s">
        <v>26</v>
      </c>
      <c r="D5891" s="31">
        <v>18.28</v>
      </c>
      <c r="F5891" s="3" t="str">
        <f t="shared" si="92"/>
        <v>I8630</v>
      </c>
    </row>
    <row r="5892" spans="1:6" x14ac:dyDescent="0.2">
      <c r="A5892" s="29" t="s">
        <v>15521</v>
      </c>
      <c r="B5892" s="30" t="s">
        <v>15522</v>
      </c>
      <c r="C5892" s="29" t="s">
        <v>26</v>
      </c>
      <c r="D5892" s="31">
        <v>95.65</v>
      </c>
      <c r="F5892" s="3" t="str">
        <f t="shared" si="92"/>
        <v>I1006</v>
      </c>
    </row>
    <row r="5893" spans="1:6" x14ac:dyDescent="0.2">
      <c r="A5893" s="29" t="s">
        <v>15523</v>
      </c>
      <c r="B5893" s="30" t="s">
        <v>15524</v>
      </c>
      <c r="C5893" s="29" t="s">
        <v>26</v>
      </c>
      <c r="D5893" s="31">
        <v>2.11</v>
      </c>
      <c r="F5893" s="3" t="str">
        <f t="shared" si="92"/>
        <v>I0453</v>
      </c>
    </row>
    <row r="5894" spans="1:6" x14ac:dyDescent="0.2">
      <c r="A5894" s="29" t="s">
        <v>15525</v>
      </c>
      <c r="B5894" s="30" t="s">
        <v>15526</v>
      </c>
      <c r="C5894" s="29" t="s">
        <v>26</v>
      </c>
      <c r="D5894" s="31">
        <v>12.61</v>
      </c>
      <c r="F5894" s="3" t="str">
        <f t="shared" si="92"/>
        <v>I0495</v>
      </c>
    </row>
    <row r="5895" spans="1:6" x14ac:dyDescent="0.2">
      <c r="A5895" s="29" t="s">
        <v>15527</v>
      </c>
      <c r="B5895" s="30" t="s">
        <v>15528</v>
      </c>
      <c r="C5895" s="29" t="s">
        <v>26</v>
      </c>
      <c r="D5895" s="31">
        <v>23.74</v>
      </c>
      <c r="F5895" s="3" t="str">
        <f t="shared" si="92"/>
        <v>I7377</v>
      </c>
    </row>
    <row r="5896" spans="1:6" x14ac:dyDescent="0.2">
      <c r="A5896" s="29" t="s">
        <v>15529</v>
      </c>
      <c r="B5896" s="30" t="s">
        <v>15530</v>
      </c>
      <c r="C5896" s="29" t="s">
        <v>9</v>
      </c>
      <c r="D5896" s="31">
        <v>158.33000000000001</v>
      </c>
      <c r="F5896" s="3" t="str">
        <f t="shared" si="92"/>
        <v>I8559</v>
      </c>
    </row>
    <row r="5897" spans="1:6" x14ac:dyDescent="0.2">
      <c r="A5897" s="29" t="s">
        <v>15531</v>
      </c>
      <c r="B5897" s="30" t="s">
        <v>15532</v>
      </c>
      <c r="C5897" s="29" t="s">
        <v>1284</v>
      </c>
      <c r="D5897" s="31">
        <v>20</v>
      </c>
      <c r="F5897" s="3" t="str">
        <f t="shared" si="92"/>
        <v>I0508</v>
      </c>
    </row>
    <row r="5898" spans="1:6" x14ac:dyDescent="0.2">
      <c r="A5898" s="29" t="s">
        <v>15533</v>
      </c>
      <c r="B5898" s="30" t="s">
        <v>15534</v>
      </c>
      <c r="C5898" s="29" t="s">
        <v>26</v>
      </c>
      <c r="D5898" s="31">
        <v>2.29</v>
      </c>
      <c r="F5898" s="3" t="str">
        <f t="shared" si="92"/>
        <v>I0791</v>
      </c>
    </row>
    <row r="5899" spans="1:6" x14ac:dyDescent="0.2">
      <c r="A5899" s="29" t="s">
        <v>15535</v>
      </c>
      <c r="B5899" s="30" t="s">
        <v>15536</v>
      </c>
      <c r="C5899" s="29" t="s">
        <v>1284</v>
      </c>
      <c r="D5899" s="31">
        <v>30.76</v>
      </c>
      <c r="F5899" s="3" t="str">
        <f t="shared" si="92"/>
        <v>I8621</v>
      </c>
    </row>
    <row r="5900" spans="1:6" x14ac:dyDescent="0.2">
      <c r="A5900" s="29" t="s">
        <v>15537</v>
      </c>
      <c r="B5900" s="30" t="s">
        <v>15538</v>
      </c>
      <c r="C5900" s="29" t="s">
        <v>8321</v>
      </c>
      <c r="D5900" s="31">
        <v>389.08</v>
      </c>
      <c r="F5900" s="3" t="str">
        <f t="shared" si="92"/>
        <v>I8643</v>
      </c>
    </row>
    <row r="5901" spans="1:6" x14ac:dyDescent="0.2">
      <c r="A5901" s="29" t="s">
        <v>15539</v>
      </c>
      <c r="B5901" s="30" t="s">
        <v>15540</v>
      </c>
      <c r="C5901" s="29" t="s">
        <v>255</v>
      </c>
      <c r="D5901" s="31">
        <v>16.54</v>
      </c>
      <c r="F5901" s="3" t="str">
        <f t="shared" si="92"/>
        <v>I0857</v>
      </c>
    </row>
    <row r="5902" spans="1:6" x14ac:dyDescent="0.2">
      <c r="A5902" s="29" t="s">
        <v>15541</v>
      </c>
      <c r="B5902" s="30" t="s">
        <v>15542</v>
      </c>
      <c r="C5902" s="29" t="s">
        <v>0</v>
      </c>
      <c r="D5902" s="31">
        <v>0.28999999999999998</v>
      </c>
      <c r="F5902" s="3" t="str">
        <f t="shared" si="92"/>
        <v>I6220</v>
      </c>
    </row>
    <row r="5903" spans="1:6" x14ac:dyDescent="0.2">
      <c r="A5903" s="29" t="s">
        <v>15543</v>
      </c>
      <c r="B5903" s="30" t="s">
        <v>15544</v>
      </c>
      <c r="C5903" s="29" t="s">
        <v>1284</v>
      </c>
      <c r="D5903" s="31">
        <v>17.86</v>
      </c>
      <c r="F5903" s="3" t="str">
        <f t="shared" si="92"/>
        <v>I0858</v>
      </c>
    </row>
    <row r="5904" spans="1:6" x14ac:dyDescent="0.2">
      <c r="A5904" s="29" t="s">
        <v>15545</v>
      </c>
      <c r="B5904" s="30" t="s">
        <v>15546</v>
      </c>
      <c r="C5904" s="29" t="s">
        <v>1284</v>
      </c>
      <c r="D5904" s="31">
        <v>17.86</v>
      </c>
      <c r="F5904" s="3" t="str">
        <f t="shared" si="92"/>
        <v>I0859</v>
      </c>
    </row>
    <row r="5905" spans="1:6" x14ac:dyDescent="0.2">
      <c r="A5905" s="29" t="s">
        <v>15547</v>
      </c>
      <c r="B5905" s="30" t="s">
        <v>15548</v>
      </c>
      <c r="C5905" s="29" t="s">
        <v>1284</v>
      </c>
      <c r="D5905" s="31">
        <v>17.86</v>
      </c>
      <c r="F5905" s="3" t="str">
        <f t="shared" si="92"/>
        <v>I6751</v>
      </c>
    </row>
    <row r="5906" spans="1:6" x14ac:dyDescent="0.2">
      <c r="A5906" s="29" t="s">
        <v>15549</v>
      </c>
      <c r="B5906" s="30" t="s">
        <v>15550</v>
      </c>
      <c r="C5906" s="29" t="s">
        <v>15551</v>
      </c>
      <c r="D5906" s="31">
        <v>7.97</v>
      </c>
      <c r="F5906" s="3" t="str">
        <f t="shared" si="92"/>
        <v>I8564</v>
      </c>
    </row>
    <row r="5907" spans="1:6" x14ac:dyDescent="0.2">
      <c r="A5907" s="29" t="s">
        <v>15552</v>
      </c>
      <c r="B5907" s="30" t="s">
        <v>15553</v>
      </c>
      <c r="C5907" s="29" t="s">
        <v>26</v>
      </c>
      <c r="D5907" s="31">
        <v>54.22</v>
      </c>
      <c r="F5907" s="3" t="str">
        <f t="shared" si="92"/>
        <v>I8417</v>
      </c>
    </row>
    <row r="5908" spans="1:6" x14ac:dyDescent="0.2">
      <c r="A5908" s="29" t="s">
        <v>15554</v>
      </c>
      <c r="B5908" s="30" t="s">
        <v>15555</v>
      </c>
      <c r="C5908" s="29" t="s">
        <v>26</v>
      </c>
      <c r="D5908" s="31">
        <v>40.270000000000003</v>
      </c>
      <c r="F5908" s="3" t="str">
        <f t="shared" si="92"/>
        <v>I8413</v>
      </c>
    </row>
    <row r="5909" spans="1:6" x14ac:dyDescent="0.2">
      <c r="A5909" s="29" t="s">
        <v>15556</v>
      </c>
      <c r="B5909" s="30" t="s">
        <v>15557</v>
      </c>
      <c r="C5909" s="29" t="s">
        <v>9</v>
      </c>
      <c r="D5909" s="31">
        <v>8.4499999999999993</v>
      </c>
      <c r="F5909" s="3" t="str">
        <f t="shared" si="92"/>
        <v>I0965</v>
      </c>
    </row>
    <row r="5910" spans="1:6" x14ac:dyDescent="0.2">
      <c r="A5910" s="29" t="s">
        <v>15558</v>
      </c>
      <c r="B5910" s="30" t="s">
        <v>15559</v>
      </c>
      <c r="C5910" s="29" t="s">
        <v>9</v>
      </c>
      <c r="D5910" s="31">
        <v>2.89</v>
      </c>
      <c r="F5910" s="3" t="str">
        <f t="shared" si="92"/>
        <v>I7373</v>
      </c>
    </row>
    <row r="5911" spans="1:6" x14ac:dyDescent="0.2">
      <c r="A5911" s="29" t="s">
        <v>15560</v>
      </c>
      <c r="B5911" s="30" t="s">
        <v>15561</v>
      </c>
      <c r="C5911" s="29" t="s">
        <v>26</v>
      </c>
      <c r="D5911" s="31">
        <v>320</v>
      </c>
      <c r="F5911" s="3" t="str">
        <f t="shared" si="92"/>
        <v>I6036</v>
      </c>
    </row>
    <row r="5912" spans="1:6" x14ac:dyDescent="0.2">
      <c r="A5912" s="29" t="s">
        <v>15562</v>
      </c>
      <c r="B5912" s="30" t="s">
        <v>15563</v>
      </c>
      <c r="C5912" s="29" t="s">
        <v>26</v>
      </c>
      <c r="D5912" s="31">
        <v>6.2</v>
      </c>
      <c r="F5912" s="3" t="str">
        <f t="shared" si="92"/>
        <v>I2301</v>
      </c>
    </row>
    <row r="5913" spans="1:6" x14ac:dyDescent="0.2">
      <c r="A5913" s="29" t="s">
        <v>15564</v>
      </c>
      <c r="B5913" s="30" t="s">
        <v>15565</v>
      </c>
      <c r="C5913" s="29" t="s">
        <v>26</v>
      </c>
      <c r="D5913" s="31">
        <v>23.78</v>
      </c>
      <c r="F5913" s="3" t="str">
        <f t="shared" si="92"/>
        <v>I2302</v>
      </c>
    </row>
    <row r="5914" spans="1:6" x14ac:dyDescent="0.2">
      <c r="A5914" s="29" t="s">
        <v>15566</v>
      </c>
      <c r="B5914" s="30" t="s">
        <v>15567</v>
      </c>
      <c r="C5914" s="29" t="s">
        <v>26</v>
      </c>
      <c r="D5914" s="31">
        <v>23.78</v>
      </c>
      <c r="F5914" s="3" t="str">
        <f t="shared" si="92"/>
        <v>I0967</v>
      </c>
    </row>
    <row r="5915" spans="1:6" x14ac:dyDescent="0.2">
      <c r="A5915" s="29" t="s">
        <v>15568</v>
      </c>
      <c r="B5915" s="30" t="s">
        <v>15569</v>
      </c>
      <c r="C5915" s="29" t="s">
        <v>26</v>
      </c>
      <c r="D5915" s="31">
        <v>84.39</v>
      </c>
      <c r="F5915" s="3" t="str">
        <f t="shared" si="92"/>
        <v>I8633</v>
      </c>
    </row>
    <row r="5916" spans="1:6" x14ac:dyDescent="0.2">
      <c r="A5916" s="29" t="s">
        <v>15570</v>
      </c>
      <c r="B5916" s="30" t="s">
        <v>15571</v>
      </c>
      <c r="C5916" s="29" t="s">
        <v>15128</v>
      </c>
      <c r="D5916" s="31">
        <v>35.85</v>
      </c>
      <c r="F5916" s="3" t="str">
        <f t="shared" si="92"/>
        <v>I8563</v>
      </c>
    </row>
    <row r="5917" spans="1:6" x14ac:dyDescent="0.2">
      <c r="A5917" s="29" t="s">
        <v>15572</v>
      </c>
      <c r="B5917" s="30" t="s">
        <v>15573</v>
      </c>
      <c r="C5917" s="29" t="s">
        <v>1284</v>
      </c>
      <c r="D5917" s="31">
        <v>32.44</v>
      </c>
      <c r="F5917" s="3" t="str">
        <f t="shared" si="92"/>
        <v>I1061</v>
      </c>
    </row>
    <row r="5918" spans="1:6" x14ac:dyDescent="0.2">
      <c r="A5918" s="29" t="s">
        <v>15574</v>
      </c>
      <c r="B5918" s="30" t="s">
        <v>15575</v>
      </c>
      <c r="C5918" s="29" t="s">
        <v>0</v>
      </c>
      <c r="D5918" s="31">
        <v>1.79</v>
      </c>
      <c r="F5918" s="3" t="str">
        <f t="shared" si="92"/>
        <v>I8566</v>
      </c>
    </row>
    <row r="5919" spans="1:6" x14ac:dyDescent="0.2">
      <c r="A5919" s="29" t="s">
        <v>15576</v>
      </c>
      <c r="B5919" s="30" t="s">
        <v>15577</v>
      </c>
      <c r="C5919" s="29" t="s">
        <v>26</v>
      </c>
      <c r="D5919" s="31">
        <v>45.11</v>
      </c>
      <c r="F5919" s="3" t="str">
        <f t="shared" si="92"/>
        <v>I1101</v>
      </c>
    </row>
    <row r="5920" spans="1:6" x14ac:dyDescent="0.2">
      <c r="A5920" s="29" t="s">
        <v>15578</v>
      </c>
      <c r="B5920" s="30" t="s">
        <v>15579</v>
      </c>
      <c r="C5920" s="29" t="s">
        <v>26</v>
      </c>
      <c r="D5920" s="31">
        <v>45.9</v>
      </c>
      <c r="F5920" s="3" t="str">
        <f t="shared" si="92"/>
        <v>I1102</v>
      </c>
    </row>
    <row r="5921" spans="1:6" x14ac:dyDescent="0.2">
      <c r="A5921" s="29" t="s">
        <v>15580</v>
      </c>
      <c r="B5921" s="30" t="s">
        <v>15581</v>
      </c>
      <c r="C5921" s="29" t="s">
        <v>0</v>
      </c>
      <c r="D5921" s="31">
        <v>0.09</v>
      </c>
      <c r="F5921" s="3" t="str">
        <f t="shared" si="92"/>
        <v>I2342</v>
      </c>
    </row>
    <row r="5922" spans="1:6" x14ac:dyDescent="0.2">
      <c r="A5922" s="29" t="s">
        <v>15582</v>
      </c>
      <c r="B5922" s="30" t="s">
        <v>15583</v>
      </c>
      <c r="C5922" s="29" t="s">
        <v>15584</v>
      </c>
      <c r="D5922" s="31">
        <v>51.34</v>
      </c>
      <c r="F5922" s="3" t="str">
        <f t="shared" si="92"/>
        <v>I8620</v>
      </c>
    </row>
    <row r="5923" spans="1:6" x14ac:dyDescent="0.2">
      <c r="A5923" s="29" t="s">
        <v>15585</v>
      </c>
      <c r="B5923" s="30" t="s">
        <v>15586</v>
      </c>
      <c r="C5923" s="29" t="s">
        <v>0</v>
      </c>
      <c r="D5923" s="31">
        <v>2.3199999999999998</v>
      </c>
      <c r="F5923" s="3" t="str">
        <f t="shared" si="92"/>
        <v>I8619</v>
      </c>
    </row>
    <row r="5924" spans="1:6" x14ac:dyDescent="0.2">
      <c r="A5924" s="29" t="s">
        <v>15587</v>
      </c>
      <c r="B5924" s="30" t="s">
        <v>15588</v>
      </c>
      <c r="C5924" s="29" t="s">
        <v>255</v>
      </c>
      <c r="D5924" s="31">
        <v>48.95</v>
      </c>
      <c r="F5924" s="3" t="str">
        <f t="shared" si="92"/>
        <v>I8626</v>
      </c>
    </row>
    <row r="5925" spans="1:6" x14ac:dyDescent="0.2">
      <c r="A5925" s="29" t="s">
        <v>15589</v>
      </c>
      <c r="B5925" s="30" t="s">
        <v>15590</v>
      </c>
      <c r="C5925" s="29" t="s">
        <v>1284</v>
      </c>
      <c r="D5925" s="31">
        <v>7.64</v>
      </c>
      <c r="F5925" s="3" t="str">
        <f t="shared" si="92"/>
        <v>I1218</v>
      </c>
    </row>
    <row r="5926" spans="1:6" ht="22.5" x14ac:dyDescent="0.2">
      <c r="A5926" s="29" t="s">
        <v>15591</v>
      </c>
      <c r="B5926" s="30" t="s">
        <v>15592</v>
      </c>
      <c r="C5926" s="29" t="s">
        <v>26</v>
      </c>
      <c r="D5926" s="31">
        <v>138.22</v>
      </c>
      <c r="F5926" s="3" t="str">
        <f t="shared" si="92"/>
        <v>I13304</v>
      </c>
    </row>
    <row r="5927" spans="1:6" x14ac:dyDescent="0.2">
      <c r="A5927" s="29" t="s">
        <v>15593</v>
      </c>
      <c r="B5927" s="30" t="s">
        <v>15594</v>
      </c>
      <c r="C5927" s="29" t="s">
        <v>26</v>
      </c>
      <c r="D5927" s="31">
        <v>1265.94</v>
      </c>
      <c r="F5927" s="3" t="str">
        <f t="shared" si="92"/>
        <v>I8191</v>
      </c>
    </row>
    <row r="5928" spans="1:6" x14ac:dyDescent="0.2">
      <c r="A5928" s="29" t="s">
        <v>15595</v>
      </c>
      <c r="B5928" s="30" t="s">
        <v>15596</v>
      </c>
      <c r="C5928" s="29" t="s">
        <v>26</v>
      </c>
      <c r="D5928" s="31">
        <v>4.8</v>
      </c>
      <c r="F5928" s="3" t="str">
        <f t="shared" si="92"/>
        <v>I7378</v>
      </c>
    </row>
    <row r="5929" spans="1:6" x14ac:dyDescent="0.2">
      <c r="A5929" s="29" t="s">
        <v>15597</v>
      </c>
      <c r="B5929" s="30" t="s">
        <v>15598</v>
      </c>
      <c r="C5929" s="29" t="s">
        <v>0</v>
      </c>
      <c r="D5929" s="31">
        <v>22.05</v>
      </c>
      <c r="F5929" s="3" t="str">
        <f t="shared" si="92"/>
        <v>I8565</v>
      </c>
    </row>
    <row r="5930" spans="1:6" x14ac:dyDescent="0.2">
      <c r="A5930" s="29" t="s">
        <v>15599</v>
      </c>
      <c r="B5930" s="30" t="s">
        <v>14967</v>
      </c>
      <c r="C5930" s="29" t="s">
        <v>271</v>
      </c>
      <c r="D5930" s="31">
        <v>1.57</v>
      </c>
      <c r="F5930" s="3" t="str">
        <f t="shared" si="92"/>
        <v>I2354</v>
      </c>
    </row>
    <row r="5931" spans="1:6" x14ac:dyDescent="0.2">
      <c r="A5931" s="29" t="s">
        <v>15600</v>
      </c>
      <c r="B5931" s="30" t="s">
        <v>15601</v>
      </c>
      <c r="C5931" s="29" t="s">
        <v>26</v>
      </c>
      <c r="D5931" s="31">
        <v>13.94</v>
      </c>
      <c r="F5931" s="3" t="str">
        <f t="shared" si="92"/>
        <v>I2356</v>
      </c>
    </row>
    <row r="5932" spans="1:6" x14ac:dyDescent="0.2">
      <c r="A5932" s="29" t="s">
        <v>15602</v>
      </c>
      <c r="B5932" s="30" t="s">
        <v>15603</v>
      </c>
      <c r="C5932" s="29" t="s">
        <v>26</v>
      </c>
      <c r="D5932" s="31">
        <v>9.3000000000000007</v>
      </c>
      <c r="F5932" s="3" t="str">
        <f t="shared" si="92"/>
        <v>I2360</v>
      </c>
    </row>
    <row r="5933" spans="1:6" x14ac:dyDescent="0.2">
      <c r="A5933" s="29" t="s">
        <v>15604</v>
      </c>
      <c r="B5933" s="30" t="s">
        <v>15605</v>
      </c>
      <c r="C5933" s="29" t="s">
        <v>1284</v>
      </c>
      <c r="D5933" s="31">
        <v>80.45</v>
      </c>
      <c r="F5933" s="3" t="str">
        <f t="shared" si="92"/>
        <v>I2368</v>
      </c>
    </row>
    <row r="5934" spans="1:6" x14ac:dyDescent="0.2">
      <c r="A5934" s="29" t="s">
        <v>15606</v>
      </c>
      <c r="B5934" s="30" t="s">
        <v>15607</v>
      </c>
      <c r="C5934" s="29" t="s">
        <v>26</v>
      </c>
      <c r="D5934" s="31">
        <v>0.71</v>
      </c>
      <c r="F5934" s="3" t="str">
        <f t="shared" si="92"/>
        <v>I8627</v>
      </c>
    </row>
    <row r="5935" spans="1:6" x14ac:dyDescent="0.2">
      <c r="A5935" s="29" t="s">
        <v>15608</v>
      </c>
      <c r="B5935" s="30" t="s">
        <v>15609</v>
      </c>
      <c r="C5935" s="29" t="s">
        <v>255</v>
      </c>
      <c r="D5935" s="31">
        <v>87.53</v>
      </c>
      <c r="F5935" s="3" t="str">
        <f t="shared" si="92"/>
        <v>I8395</v>
      </c>
    </row>
    <row r="5936" spans="1:6" x14ac:dyDescent="0.2">
      <c r="A5936" s="29" t="s">
        <v>15610</v>
      </c>
      <c r="B5936" s="30" t="s">
        <v>15611</v>
      </c>
      <c r="C5936" s="29" t="s">
        <v>255</v>
      </c>
      <c r="D5936" s="31">
        <v>1.1499999999999999</v>
      </c>
      <c r="F5936" s="3" t="str">
        <f t="shared" si="92"/>
        <v>I1348</v>
      </c>
    </row>
    <row r="5937" spans="1:6" x14ac:dyDescent="0.2">
      <c r="A5937" s="29" t="s">
        <v>15612</v>
      </c>
      <c r="B5937" s="30" t="s">
        <v>15613</v>
      </c>
      <c r="C5937" s="29" t="s">
        <v>26</v>
      </c>
      <c r="D5937" s="31">
        <v>348.56</v>
      </c>
      <c r="F5937" s="3" t="str">
        <f t="shared" si="92"/>
        <v>I8192</v>
      </c>
    </row>
    <row r="5938" spans="1:6" x14ac:dyDescent="0.2">
      <c r="A5938" s="29" t="s">
        <v>15614</v>
      </c>
      <c r="B5938" s="30" t="s">
        <v>15615</v>
      </c>
      <c r="C5938" s="29" t="s">
        <v>1284</v>
      </c>
      <c r="D5938" s="31">
        <v>18.14</v>
      </c>
      <c r="F5938" s="3" t="str">
        <f t="shared" si="92"/>
        <v>I8555</v>
      </c>
    </row>
    <row r="5939" spans="1:6" x14ac:dyDescent="0.2">
      <c r="A5939" s="29" t="s">
        <v>15616</v>
      </c>
      <c r="B5939" s="30" t="s">
        <v>15617</v>
      </c>
      <c r="C5939" s="29" t="s">
        <v>26</v>
      </c>
      <c r="D5939" s="31">
        <v>78.290000000000006</v>
      </c>
      <c r="F5939" s="3" t="str">
        <f t="shared" si="92"/>
        <v>I6804</v>
      </c>
    </row>
    <row r="5940" spans="1:6" x14ac:dyDescent="0.2">
      <c r="A5940" s="29" t="s">
        <v>15618</v>
      </c>
      <c r="B5940" s="30" t="s">
        <v>15619</v>
      </c>
      <c r="C5940" s="29" t="s">
        <v>26</v>
      </c>
      <c r="D5940" s="31">
        <v>194.68</v>
      </c>
      <c r="F5940" s="3" t="str">
        <f t="shared" si="92"/>
        <v>I7379</v>
      </c>
    </row>
    <row r="5941" spans="1:6" x14ac:dyDescent="0.2">
      <c r="A5941" s="29" t="s">
        <v>15620</v>
      </c>
      <c r="B5941" s="30" t="s">
        <v>15621</v>
      </c>
      <c r="C5941" s="29" t="s">
        <v>9</v>
      </c>
      <c r="D5941" s="31">
        <v>15.48</v>
      </c>
      <c r="F5941" s="3" t="str">
        <f t="shared" si="92"/>
        <v>I8628</v>
      </c>
    </row>
    <row r="5942" spans="1:6" x14ac:dyDescent="0.2">
      <c r="A5942" s="29" t="s">
        <v>15622</v>
      </c>
      <c r="B5942" s="30" t="s">
        <v>15623</v>
      </c>
      <c r="C5942" s="29" t="s">
        <v>271</v>
      </c>
      <c r="D5942" s="31">
        <v>18.47</v>
      </c>
      <c r="F5942" s="3" t="str">
        <f t="shared" si="92"/>
        <v>I0988</v>
      </c>
    </row>
    <row r="5943" spans="1:6" x14ac:dyDescent="0.2">
      <c r="A5943" s="29" t="s">
        <v>15624</v>
      </c>
      <c r="B5943" s="30" t="s">
        <v>15625</v>
      </c>
      <c r="C5943" s="29" t="s">
        <v>26</v>
      </c>
      <c r="D5943" s="31">
        <v>0.22</v>
      </c>
      <c r="F5943" s="3" t="str">
        <f t="shared" si="92"/>
        <v>I6750</v>
      </c>
    </row>
    <row r="5944" spans="1:6" x14ac:dyDescent="0.2">
      <c r="A5944" s="29" t="s">
        <v>15626</v>
      </c>
      <c r="B5944" s="30" t="s">
        <v>15627</v>
      </c>
      <c r="C5944" s="29" t="s">
        <v>26</v>
      </c>
      <c r="D5944" s="31">
        <v>0.08</v>
      </c>
      <c r="F5944" s="3" t="str">
        <f t="shared" si="92"/>
        <v>I6039</v>
      </c>
    </row>
    <row r="5945" spans="1:6" x14ac:dyDescent="0.2">
      <c r="A5945" s="29" t="s">
        <v>15628</v>
      </c>
      <c r="B5945" s="30" t="s">
        <v>15629</v>
      </c>
      <c r="C5945" s="29" t="s">
        <v>255</v>
      </c>
      <c r="D5945" s="31">
        <v>9.57</v>
      </c>
      <c r="F5945" s="3" t="str">
        <f t="shared" si="92"/>
        <v>I2385</v>
      </c>
    </row>
    <row r="5946" spans="1:6" x14ac:dyDescent="0.2">
      <c r="A5946" s="29" t="s">
        <v>15630</v>
      </c>
      <c r="B5946" s="30" t="s">
        <v>15631</v>
      </c>
      <c r="C5946" s="29" t="s">
        <v>26</v>
      </c>
      <c r="D5946" s="31">
        <v>49.9</v>
      </c>
      <c r="F5946" s="3" t="str">
        <f t="shared" si="92"/>
        <v>I1596</v>
      </c>
    </row>
    <row r="5947" spans="1:6" x14ac:dyDescent="0.2">
      <c r="A5947" s="29" t="s">
        <v>15632</v>
      </c>
      <c r="B5947" s="30" t="s">
        <v>15633</v>
      </c>
      <c r="C5947" s="29" t="s">
        <v>8321</v>
      </c>
      <c r="D5947" s="31">
        <v>26583</v>
      </c>
      <c r="F5947" s="3" t="str">
        <f t="shared" si="92"/>
        <v>I2528</v>
      </c>
    </row>
    <row r="5948" spans="1:6" x14ac:dyDescent="0.2">
      <c r="A5948" s="29" t="s">
        <v>15634</v>
      </c>
      <c r="B5948" s="30" t="s">
        <v>15635</v>
      </c>
      <c r="C5948" s="29" t="s">
        <v>255</v>
      </c>
      <c r="D5948" s="31">
        <v>290.41000000000003</v>
      </c>
      <c r="F5948" s="3" t="str">
        <f t="shared" si="92"/>
        <v>I8967</v>
      </c>
    </row>
    <row r="5949" spans="1:6" ht="22.5" x14ac:dyDescent="0.2">
      <c r="A5949" s="29" t="s">
        <v>15636</v>
      </c>
      <c r="B5949" s="30" t="s">
        <v>15637</v>
      </c>
      <c r="C5949" s="29" t="s">
        <v>26</v>
      </c>
      <c r="D5949" s="31">
        <v>57.79</v>
      </c>
      <c r="F5949" s="3" t="str">
        <f t="shared" si="92"/>
        <v>I9150</v>
      </c>
    </row>
    <row r="5950" spans="1:6" x14ac:dyDescent="0.2">
      <c r="A5950" s="29" t="s">
        <v>15638</v>
      </c>
      <c r="B5950" s="30" t="s">
        <v>15639</v>
      </c>
      <c r="C5950" s="29" t="s">
        <v>26</v>
      </c>
      <c r="D5950" s="31">
        <v>753.75</v>
      </c>
      <c r="F5950" s="3" t="str">
        <f t="shared" si="92"/>
        <v>I8424</v>
      </c>
    </row>
    <row r="5951" spans="1:6" x14ac:dyDescent="0.2">
      <c r="A5951" s="29" t="s">
        <v>15640</v>
      </c>
      <c r="B5951" s="30" t="s">
        <v>15641</v>
      </c>
      <c r="C5951" s="29" t="s">
        <v>26</v>
      </c>
      <c r="D5951" s="31">
        <v>984.57</v>
      </c>
      <c r="F5951" s="3" t="str">
        <f t="shared" si="92"/>
        <v>I8635</v>
      </c>
    </row>
    <row r="5952" spans="1:6" x14ac:dyDescent="0.2">
      <c r="A5952" s="29" t="s">
        <v>15642</v>
      </c>
      <c r="B5952" s="30" t="s">
        <v>14953</v>
      </c>
      <c r="C5952" s="29" t="s">
        <v>26</v>
      </c>
      <c r="D5952" s="31">
        <v>81.83</v>
      </c>
      <c r="F5952" s="3" t="str">
        <f t="shared" si="92"/>
        <v>I8649</v>
      </c>
    </row>
    <row r="5953" spans="1:6" x14ac:dyDescent="0.2">
      <c r="A5953" s="29" t="s">
        <v>15643</v>
      </c>
      <c r="B5953" s="30" t="s">
        <v>15644</v>
      </c>
      <c r="C5953" s="29" t="s">
        <v>271</v>
      </c>
      <c r="D5953" s="31">
        <v>314.45999999999998</v>
      </c>
      <c r="F5953" s="3" t="str">
        <f t="shared" si="92"/>
        <v>I7919</v>
      </c>
    </row>
    <row r="5954" spans="1:6" x14ac:dyDescent="0.2">
      <c r="A5954" s="29" t="s">
        <v>15645</v>
      </c>
      <c r="B5954" s="30" t="s">
        <v>15646</v>
      </c>
      <c r="C5954" s="29" t="s">
        <v>255</v>
      </c>
      <c r="D5954" s="31">
        <v>32.270000000000003</v>
      </c>
      <c r="F5954" s="3" t="str">
        <f t="shared" ref="F5954:F6017" si="93">A5954</f>
        <v>I1686</v>
      </c>
    </row>
    <row r="5955" spans="1:6" x14ac:dyDescent="0.2">
      <c r="A5955" s="29" t="s">
        <v>15647</v>
      </c>
      <c r="B5955" s="30" t="s">
        <v>15648</v>
      </c>
      <c r="C5955" s="29" t="s">
        <v>26</v>
      </c>
      <c r="D5955" s="31">
        <v>439.75</v>
      </c>
      <c r="F5955" s="3" t="str">
        <f t="shared" si="93"/>
        <v>I8412</v>
      </c>
    </row>
    <row r="5956" spans="1:6" x14ac:dyDescent="0.2">
      <c r="A5956" s="29" t="s">
        <v>15649</v>
      </c>
      <c r="B5956" s="30" t="s">
        <v>15650</v>
      </c>
      <c r="C5956" s="29" t="s">
        <v>26</v>
      </c>
      <c r="D5956" s="31">
        <v>364.41</v>
      </c>
      <c r="F5956" s="3" t="str">
        <f t="shared" si="93"/>
        <v>I8416</v>
      </c>
    </row>
    <row r="5957" spans="1:6" x14ac:dyDescent="0.2">
      <c r="A5957" s="29" t="s">
        <v>15651</v>
      </c>
      <c r="B5957" s="30" t="s">
        <v>15652</v>
      </c>
      <c r="C5957" s="29" t="s">
        <v>26</v>
      </c>
      <c r="D5957" s="31">
        <v>1000.98</v>
      </c>
      <c r="F5957" s="3" t="str">
        <f t="shared" si="93"/>
        <v>I8190</v>
      </c>
    </row>
    <row r="5958" spans="1:6" x14ac:dyDescent="0.2">
      <c r="A5958" s="29" t="s">
        <v>15653</v>
      </c>
      <c r="B5958" s="30" t="s">
        <v>14911</v>
      </c>
      <c r="C5958" s="29" t="s">
        <v>0</v>
      </c>
      <c r="D5958" s="31">
        <v>220.51</v>
      </c>
      <c r="F5958" s="3" t="str">
        <f t="shared" si="93"/>
        <v>I8639</v>
      </c>
    </row>
    <row r="5959" spans="1:6" x14ac:dyDescent="0.2">
      <c r="A5959" s="29" t="s">
        <v>15654</v>
      </c>
      <c r="B5959" s="30" t="s">
        <v>15655</v>
      </c>
      <c r="C5959" s="29" t="s">
        <v>1284</v>
      </c>
      <c r="D5959" s="31">
        <v>33.51</v>
      </c>
      <c r="F5959" s="3" t="str">
        <f t="shared" si="93"/>
        <v>I8556</v>
      </c>
    </row>
    <row r="5960" spans="1:6" x14ac:dyDescent="0.2">
      <c r="A5960" s="29" t="s">
        <v>15656</v>
      </c>
      <c r="B5960" s="30" t="s">
        <v>15657</v>
      </c>
      <c r="C5960" s="29" t="s">
        <v>1284</v>
      </c>
      <c r="D5960" s="31">
        <v>52.76</v>
      </c>
      <c r="F5960" s="3" t="str">
        <f t="shared" si="93"/>
        <v>I8561</v>
      </c>
    </row>
    <row r="5961" spans="1:6" x14ac:dyDescent="0.2">
      <c r="A5961" s="29" t="s">
        <v>15658</v>
      </c>
      <c r="B5961" s="30" t="s">
        <v>15659</v>
      </c>
      <c r="C5961" s="29" t="s">
        <v>26</v>
      </c>
      <c r="D5961" s="31">
        <v>39.380000000000003</v>
      </c>
      <c r="F5961" s="3" t="str">
        <f t="shared" si="93"/>
        <v>I9071</v>
      </c>
    </row>
    <row r="5962" spans="1:6" x14ac:dyDescent="0.2">
      <c r="A5962" s="29" t="s">
        <v>15660</v>
      </c>
      <c r="B5962" s="30" t="s">
        <v>15661</v>
      </c>
      <c r="C5962" s="29" t="s">
        <v>26</v>
      </c>
      <c r="D5962" s="31">
        <v>0.98</v>
      </c>
      <c r="F5962" s="3" t="str">
        <f t="shared" si="93"/>
        <v>I2418</v>
      </c>
    </row>
    <row r="5963" spans="1:6" x14ac:dyDescent="0.2">
      <c r="A5963" s="29" t="s">
        <v>15662</v>
      </c>
      <c r="B5963" s="30" t="s">
        <v>15663</v>
      </c>
      <c r="C5963" s="29" t="s">
        <v>26</v>
      </c>
      <c r="D5963" s="31">
        <v>0.18</v>
      </c>
      <c r="F5963" s="3" t="str">
        <f t="shared" si="93"/>
        <v>I1842</v>
      </c>
    </row>
    <row r="5964" spans="1:6" x14ac:dyDescent="0.2">
      <c r="A5964" s="29" t="s">
        <v>15664</v>
      </c>
      <c r="B5964" s="30" t="s">
        <v>15665</v>
      </c>
      <c r="C5964" s="29" t="s">
        <v>9</v>
      </c>
      <c r="D5964" s="31">
        <v>20.94</v>
      </c>
      <c r="F5964" s="3" t="str">
        <f t="shared" si="93"/>
        <v>I7484</v>
      </c>
    </row>
    <row r="5965" spans="1:6" x14ac:dyDescent="0.2">
      <c r="A5965" s="29" t="s">
        <v>15666</v>
      </c>
      <c r="B5965" s="30" t="s">
        <v>15667</v>
      </c>
      <c r="C5965" s="29" t="s">
        <v>8321</v>
      </c>
      <c r="D5965" s="31">
        <v>667.73</v>
      </c>
      <c r="F5965" s="3" t="str">
        <f t="shared" si="93"/>
        <v>I8644</v>
      </c>
    </row>
    <row r="5966" spans="1:6" x14ac:dyDescent="0.2">
      <c r="A5966" s="29" t="s">
        <v>15668</v>
      </c>
      <c r="B5966" s="30" t="s">
        <v>15669</v>
      </c>
      <c r="C5966" s="29" t="s">
        <v>1284</v>
      </c>
      <c r="D5966" s="31">
        <v>147.13</v>
      </c>
      <c r="F5966" s="3" t="str">
        <f t="shared" si="93"/>
        <v>I1872</v>
      </c>
    </row>
    <row r="5967" spans="1:6" x14ac:dyDescent="0.2">
      <c r="A5967" s="29" t="s">
        <v>15670</v>
      </c>
      <c r="B5967" s="30" t="s">
        <v>15671</v>
      </c>
      <c r="C5967" s="29" t="s">
        <v>1284</v>
      </c>
      <c r="D5967" s="31">
        <v>128.12</v>
      </c>
      <c r="F5967" s="3" t="str">
        <f t="shared" si="93"/>
        <v>I1873</v>
      </c>
    </row>
    <row r="5968" spans="1:6" x14ac:dyDescent="0.2">
      <c r="A5968" s="29" t="s">
        <v>15672</v>
      </c>
      <c r="B5968" s="30" t="s">
        <v>8316</v>
      </c>
      <c r="C5968" s="29" t="s">
        <v>26</v>
      </c>
      <c r="D5968" s="31">
        <v>88.02</v>
      </c>
      <c r="F5968" s="3" t="str">
        <f t="shared" si="93"/>
        <v>I1899</v>
      </c>
    </row>
    <row r="5969" spans="1:6" x14ac:dyDescent="0.2">
      <c r="A5969" s="29" t="s">
        <v>15673</v>
      </c>
      <c r="B5969" s="30" t="s">
        <v>15674</v>
      </c>
      <c r="C5969" s="29" t="s">
        <v>15675</v>
      </c>
      <c r="D5969" s="31">
        <v>729.07</v>
      </c>
      <c r="F5969" s="3" t="str">
        <f t="shared" si="93"/>
        <v>I2535</v>
      </c>
    </row>
    <row r="5970" spans="1:6" x14ac:dyDescent="0.2">
      <c r="A5970" s="29" t="s">
        <v>15676</v>
      </c>
      <c r="B5970" s="30" t="s">
        <v>15677</v>
      </c>
      <c r="C5970" s="29" t="s">
        <v>255</v>
      </c>
      <c r="D5970" s="31">
        <v>480.18</v>
      </c>
      <c r="F5970" s="3" t="str">
        <f t="shared" si="93"/>
        <v>I8640</v>
      </c>
    </row>
    <row r="5971" spans="1:6" x14ac:dyDescent="0.2">
      <c r="A5971" s="29" t="s">
        <v>15678</v>
      </c>
      <c r="B5971" s="30" t="s">
        <v>15679</v>
      </c>
      <c r="C5971" s="29" t="s">
        <v>0</v>
      </c>
      <c r="D5971" s="31">
        <v>4.92</v>
      </c>
      <c r="F5971" s="3" t="str">
        <f t="shared" si="93"/>
        <v>I2033</v>
      </c>
    </row>
    <row r="5972" spans="1:6" x14ac:dyDescent="0.2">
      <c r="A5972" s="29" t="s">
        <v>15680</v>
      </c>
      <c r="B5972" s="30" t="s">
        <v>15681</v>
      </c>
      <c r="C5972" s="29" t="s">
        <v>9</v>
      </c>
      <c r="D5972" s="31">
        <v>24.29</v>
      </c>
      <c r="F5972" s="3" t="str">
        <f t="shared" si="93"/>
        <v>I8631</v>
      </c>
    </row>
    <row r="5973" spans="1:6" x14ac:dyDescent="0.2">
      <c r="A5973" s="29" t="s">
        <v>15682</v>
      </c>
      <c r="B5973" s="30" t="s">
        <v>15683</v>
      </c>
      <c r="C5973" s="29" t="s">
        <v>26</v>
      </c>
      <c r="D5973" s="31">
        <v>4.28</v>
      </c>
      <c r="F5973" s="3" t="str">
        <f t="shared" si="93"/>
        <v>I2104</v>
      </c>
    </row>
    <row r="5974" spans="1:6" x14ac:dyDescent="0.2">
      <c r="A5974" s="29" t="s">
        <v>15684</v>
      </c>
      <c r="B5974" s="30" t="s">
        <v>15685</v>
      </c>
      <c r="C5974" s="29" t="s">
        <v>1284</v>
      </c>
      <c r="D5974" s="31">
        <v>38.21</v>
      </c>
      <c r="F5974" s="3" t="str">
        <f t="shared" si="93"/>
        <v>I9526</v>
      </c>
    </row>
    <row r="5975" spans="1:6" x14ac:dyDescent="0.2">
      <c r="A5975" s="29" t="s">
        <v>15686</v>
      </c>
      <c r="B5975" s="30" t="s">
        <v>15687</v>
      </c>
      <c r="C5975" s="29" t="s">
        <v>255</v>
      </c>
      <c r="D5975" s="31">
        <v>100.66</v>
      </c>
      <c r="F5975" s="3" t="str">
        <f t="shared" si="93"/>
        <v>I8629</v>
      </c>
    </row>
    <row r="5976" spans="1:6" x14ac:dyDescent="0.2">
      <c r="A5976" s="29" t="s">
        <v>15688</v>
      </c>
      <c r="B5976" s="30" t="s">
        <v>15689</v>
      </c>
      <c r="C5976" s="29" t="s">
        <v>26</v>
      </c>
      <c r="D5976" s="31">
        <v>0.15</v>
      </c>
      <c r="F5976" s="3" t="str">
        <f t="shared" si="93"/>
        <v>I6041</v>
      </c>
    </row>
    <row r="5977" spans="1:6" ht="15.75" customHeight="1" x14ac:dyDescent="0.2">
      <c r="A5977" s="32" t="s">
        <v>15690</v>
      </c>
      <c r="B5977" s="33"/>
      <c r="C5977" s="32">
        <v>0</v>
      </c>
      <c r="D5977" s="34">
        <v>0</v>
      </c>
      <c r="F5977" s="3" t="str">
        <f t="shared" si="93"/>
        <v>COTAÇÃO / ENERGIA ELÉTRICA - L.T. / S.E. / R.D.E</v>
      </c>
    </row>
    <row r="5978" spans="1:6" ht="25.5" x14ac:dyDescent="0.2">
      <c r="A5978" s="26" t="s">
        <v>14985</v>
      </c>
      <c r="B5978" s="27" t="s">
        <v>14986</v>
      </c>
      <c r="C5978" s="26" t="s">
        <v>14987</v>
      </c>
      <c r="D5978" s="28" t="e">
        <v>#VALUE!</v>
      </c>
      <c r="F5978" s="3" t="str">
        <f t="shared" si="93"/>
        <v>Insumo</v>
      </c>
    </row>
    <row r="5979" spans="1:6" x14ac:dyDescent="0.2">
      <c r="A5979" s="29" t="s">
        <v>15691</v>
      </c>
      <c r="B5979" s="30" t="s">
        <v>15692</v>
      </c>
      <c r="C5979" s="29" t="s">
        <v>6001</v>
      </c>
      <c r="D5979" s="31">
        <v>5307.19</v>
      </c>
      <c r="F5979" s="3" t="str">
        <f t="shared" si="93"/>
        <v>I8158</v>
      </c>
    </row>
    <row r="5980" spans="1:6" x14ac:dyDescent="0.2">
      <c r="A5980" s="29" t="s">
        <v>15693</v>
      </c>
      <c r="B5980" s="30" t="s">
        <v>15694</v>
      </c>
      <c r="C5980" s="29" t="s">
        <v>6001</v>
      </c>
      <c r="D5980" s="31">
        <v>3326.15</v>
      </c>
      <c r="F5980" s="3" t="str">
        <f t="shared" si="93"/>
        <v>I8157</v>
      </c>
    </row>
    <row r="5981" spans="1:6" x14ac:dyDescent="0.2">
      <c r="A5981" s="29" t="s">
        <v>15695</v>
      </c>
      <c r="B5981" s="30" t="s">
        <v>15696</v>
      </c>
      <c r="C5981" s="29" t="s">
        <v>6001</v>
      </c>
      <c r="D5981" s="31">
        <v>6676.78</v>
      </c>
      <c r="F5981" s="3" t="str">
        <f t="shared" si="93"/>
        <v>I8159</v>
      </c>
    </row>
    <row r="5982" spans="1:6" x14ac:dyDescent="0.2">
      <c r="A5982" s="29" t="s">
        <v>15697</v>
      </c>
      <c r="B5982" s="30" t="s">
        <v>15698</v>
      </c>
      <c r="C5982" s="29" t="s">
        <v>6001</v>
      </c>
      <c r="D5982" s="31">
        <v>13353.57</v>
      </c>
      <c r="F5982" s="3" t="str">
        <f t="shared" si="93"/>
        <v>I8162</v>
      </c>
    </row>
    <row r="5983" spans="1:6" x14ac:dyDescent="0.2">
      <c r="A5983" s="29" t="s">
        <v>15699</v>
      </c>
      <c r="B5983" s="30" t="s">
        <v>15700</v>
      </c>
      <c r="C5983" s="29" t="s">
        <v>6001</v>
      </c>
      <c r="D5983" s="31">
        <v>8413.2199999999993</v>
      </c>
      <c r="F5983" s="3" t="str">
        <f t="shared" si="93"/>
        <v>I8160</v>
      </c>
    </row>
    <row r="5984" spans="1:6" x14ac:dyDescent="0.2">
      <c r="A5984" s="29" t="s">
        <v>15701</v>
      </c>
      <c r="B5984" s="30" t="s">
        <v>15702</v>
      </c>
      <c r="C5984" s="29" t="s">
        <v>6001</v>
      </c>
      <c r="D5984" s="31">
        <v>15041.1</v>
      </c>
      <c r="F5984" s="3" t="str">
        <f t="shared" si="93"/>
        <v>I8163</v>
      </c>
    </row>
    <row r="5985" spans="1:6" x14ac:dyDescent="0.2">
      <c r="A5985" s="29" t="s">
        <v>15703</v>
      </c>
      <c r="B5985" s="30" t="s">
        <v>15704</v>
      </c>
      <c r="C5985" s="29" t="s">
        <v>6001</v>
      </c>
      <c r="D5985" s="31">
        <v>16850.93</v>
      </c>
      <c r="F5985" s="3" t="str">
        <f t="shared" si="93"/>
        <v>I8164</v>
      </c>
    </row>
    <row r="5986" spans="1:6" x14ac:dyDescent="0.2">
      <c r="A5986" s="29" t="s">
        <v>15705</v>
      </c>
      <c r="B5986" s="30" t="s">
        <v>15706</v>
      </c>
      <c r="C5986" s="29" t="s">
        <v>6001</v>
      </c>
      <c r="D5986" s="31">
        <v>19906.79</v>
      </c>
      <c r="F5986" s="3" t="str">
        <f t="shared" si="93"/>
        <v>I8165</v>
      </c>
    </row>
    <row r="5987" spans="1:6" x14ac:dyDescent="0.2">
      <c r="A5987" s="29" t="s">
        <v>15707</v>
      </c>
      <c r="B5987" s="30" t="s">
        <v>15708</v>
      </c>
      <c r="C5987" s="29" t="s">
        <v>6001</v>
      </c>
      <c r="D5987" s="31">
        <v>2088.62</v>
      </c>
      <c r="F5987" s="3" t="str">
        <f t="shared" si="93"/>
        <v>I8156</v>
      </c>
    </row>
    <row r="5988" spans="1:6" x14ac:dyDescent="0.2">
      <c r="A5988" s="29" t="s">
        <v>15709</v>
      </c>
      <c r="B5988" s="30" t="s">
        <v>15710</v>
      </c>
      <c r="C5988" s="29" t="s">
        <v>6001</v>
      </c>
      <c r="D5988" s="31">
        <v>10589.92</v>
      </c>
      <c r="F5988" s="3" t="str">
        <f t="shared" si="93"/>
        <v>I8161</v>
      </c>
    </row>
    <row r="5989" spans="1:6" x14ac:dyDescent="0.2">
      <c r="A5989" s="29" t="s">
        <v>15711</v>
      </c>
      <c r="B5989" s="30" t="s">
        <v>15712</v>
      </c>
      <c r="C5989" s="29" t="s">
        <v>6001</v>
      </c>
      <c r="D5989" s="31">
        <v>23919</v>
      </c>
      <c r="F5989" s="3" t="str">
        <f t="shared" si="93"/>
        <v>I8166</v>
      </c>
    </row>
    <row r="5990" spans="1:6" x14ac:dyDescent="0.2">
      <c r="A5990" s="29" t="s">
        <v>15713</v>
      </c>
      <c r="B5990" s="30" t="s">
        <v>15714</v>
      </c>
      <c r="C5990" s="29" t="s">
        <v>6001</v>
      </c>
      <c r="D5990" s="31">
        <v>27881.07</v>
      </c>
      <c r="F5990" s="3" t="str">
        <f t="shared" si="93"/>
        <v>I8167</v>
      </c>
    </row>
    <row r="5991" spans="1:6" x14ac:dyDescent="0.2">
      <c r="A5991" s="29" t="s">
        <v>15715</v>
      </c>
      <c r="B5991" s="30" t="s">
        <v>15716</v>
      </c>
      <c r="C5991" s="29" t="s">
        <v>6001</v>
      </c>
      <c r="D5991" s="31">
        <v>11879.15</v>
      </c>
      <c r="F5991" s="3" t="str">
        <f t="shared" si="93"/>
        <v>I8175</v>
      </c>
    </row>
    <row r="5992" spans="1:6" x14ac:dyDescent="0.2">
      <c r="A5992" s="29" t="s">
        <v>15717</v>
      </c>
      <c r="B5992" s="30" t="s">
        <v>15718</v>
      </c>
      <c r="C5992" s="29" t="s">
        <v>6001</v>
      </c>
      <c r="D5992" s="31">
        <v>4201.18</v>
      </c>
      <c r="F5992" s="3" t="str">
        <f t="shared" si="93"/>
        <v>I8170</v>
      </c>
    </row>
    <row r="5993" spans="1:6" x14ac:dyDescent="0.2">
      <c r="A5993" s="29" t="s">
        <v>15719</v>
      </c>
      <c r="B5993" s="30" t="s">
        <v>15720</v>
      </c>
      <c r="C5993" s="29" t="s">
        <v>6001</v>
      </c>
      <c r="D5993" s="31">
        <v>2640.34</v>
      </c>
      <c r="F5993" s="3" t="str">
        <f t="shared" si="93"/>
        <v>I8169</v>
      </c>
    </row>
    <row r="5994" spans="1:6" x14ac:dyDescent="0.2">
      <c r="A5994" s="29" t="s">
        <v>15721</v>
      </c>
      <c r="B5994" s="30" t="s">
        <v>15722</v>
      </c>
      <c r="C5994" s="29" t="s">
        <v>6001</v>
      </c>
      <c r="D5994" s="31">
        <v>5033.7299999999996</v>
      </c>
      <c r="F5994" s="3" t="str">
        <f t="shared" si="93"/>
        <v>I8171</v>
      </c>
    </row>
    <row r="5995" spans="1:6" x14ac:dyDescent="0.2">
      <c r="A5995" s="29" t="s">
        <v>15723</v>
      </c>
      <c r="B5995" s="30" t="s">
        <v>15724</v>
      </c>
      <c r="C5995" s="29" t="s">
        <v>6001</v>
      </c>
      <c r="D5995" s="31">
        <v>10621.16</v>
      </c>
      <c r="F5995" s="3" t="str">
        <f t="shared" si="93"/>
        <v>I8174</v>
      </c>
    </row>
    <row r="5996" spans="1:6" x14ac:dyDescent="0.2">
      <c r="A5996" s="29" t="s">
        <v>15725</v>
      </c>
      <c r="B5996" s="30" t="s">
        <v>15726</v>
      </c>
      <c r="C5996" s="29" t="s">
        <v>6001</v>
      </c>
      <c r="D5996" s="31">
        <v>6679.18</v>
      </c>
      <c r="F5996" s="3" t="str">
        <f t="shared" si="93"/>
        <v>I8172</v>
      </c>
    </row>
    <row r="5997" spans="1:6" x14ac:dyDescent="0.2">
      <c r="A5997" s="29" t="s">
        <v>15727</v>
      </c>
      <c r="B5997" s="30" t="s">
        <v>15728</v>
      </c>
      <c r="C5997" s="29" t="s">
        <v>6001</v>
      </c>
      <c r="D5997" s="31">
        <v>1660.53</v>
      </c>
      <c r="F5997" s="3" t="str">
        <f t="shared" si="93"/>
        <v>I8168</v>
      </c>
    </row>
    <row r="5998" spans="1:6" x14ac:dyDescent="0.2">
      <c r="A5998" s="29" t="s">
        <v>15729</v>
      </c>
      <c r="B5998" s="30" t="s">
        <v>15730</v>
      </c>
      <c r="C5998" s="29" t="s">
        <v>6001</v>
      </c>
      <c r="D5998" s="31">
        <v>8419.48</v>
      </c>
      <c r="F5998" s="3" t="str">
        <f t="shared" si="93"/>
        <v>I8173</v>
      </c>
    </row>
    <row r="5999" spans="1:6" x14ac:dyDescent="0.2">
      <c r="A5999" s="29" t="s">
        <v>15731</v>
      </c>
      <c r="B5999" s="30" t="s">
        <v>15732</v>
      </c>
      <c r="C5999" s="29" t="s">
        <v>6001</v>
      </c>
      <c r="D5999" s="31">
        <v>51747.43</v>
      </c>
      <c r="F5999" s="3" t="str">
        <f t="shared" si="93"/>
        <v>I8181</v>
      </c>
    </row>
    <row r="6000" spans="1:6" x14ac:dyDescent="0.2">
      <c r="A6000" s="29" t="s">
        <v>15733</v>
      </c>
      <c r="B6000" s="30" t="s">
        <v>15734</v>
      </c>
      <c r="C6000" s="29" t="s">
        <v>6001</v>
      </c>
      <c r="D6000" s="31">
        <v>64994.14</v>
      </c>
      <c r="F6000" s="3" t="str">
        <f t="shared" si="93"/>
        <v>I8182</v>
      </c>
    </row>
    <row r="6001" spans="1:6" x14ac:dyDescent="0.2">
      <c r="A6001" s="29" t="s">
        <v>15735</v>
      </c>
      <c r="B6001" s="30" t="s">
        <v>15736</v>
      </c>
      <c r="C6001" s="29" t="s">
        <v>6001</v>
      </c>
      <c r="D6001" s="31">
        <v>75634.350000000006</v>
      </c>
      <c r="F6001" s="3" t="str">
        <f t="shared" si="93"/>
        <v>I8183</v>
      </c>
    </row>
    <row r="6002" spans="1:6" x14ac:dyDescent="0.2">
      <c r="A6002" s="29" t="s">
        <v>15737</v>
      </c>
      <c r="B6002" s="30" t="s">
        <v>15738</v>
      </c>
      <c r="C6002" s="29" t="s">
        <v>6001</v>
      </c>
      <c r="D6002" s="31">
        <v>101772.36</v>
      </c>
      <c r="F6002" s="3" t="str">
        <f t="shared" si="93"/>
        <v>I8184</v>
      </c>
    </row>
    <row r="6003" spans="1:6" x14ac:dyDescent="0.2">
      <c r="A6003" s="29" t="s">
        <v>15739</v>
      </c>
      <c r="B6003" s="30" t="s">
        <v>15740</v>
      </c>
      <c r="C6003" s="29" t="s">
        <v>6001</v>
      </c>
      <c r="D6003" s="31">
        <v>9532.89</v>
      </c>
      <c r="F6003" s="3" t="str">
        <f t="shared" si="93"/>
        <v>I8176</v>
      </c>
    </row>
    <row r="6004" spans="1:6" x14ac:dyDescent="0.2">
      <c r="A6004" s="29" t="s">
        <v>15741</v>
      </c>
      <c r="B6004" s="30" t="s">
        <v>15742</v>
      </c>
      <c r="C6004" s="29" t="s">
        <v>6001</v>
      </c>
      <c r="D6004" s="31">
        <v>14044.15</v>
      </c>
      <c r="F6004" s="3" t="str">
        <f t="shared" si="93"/>
        <v>I8177</v>
      </c>
    </row>
    <row r="6005" spans="1:6" x14ac:dyDescent="0.2">
      <c r="A6005" s="29" t="s">
        <v>15743</v>
      </c>
      <c r="B6005" s="30" t="s">
        <v>15744</v>
      </c>
      <c r="C6005" s="29" t="s">
        <v>6001</v>
      </c>
      <c r="D6005" s="31">
        <v>20223.23</v>
      </c>
      <c r="F6005" s="3" t="str">
        <f t="shared" si="93"/>
        <v>I8178</v>
      </c>
    </row>
    <row r="6006" spans="1:6" x14ac:dyDescent="0.2">
      <c r="A6006" s="29" t="s">
        <v>15745</v>
      </c>
      <c r="B6006" s="30" t="s">
        <v>15746</v>
      </c>
      <c r="C6006" s="29" t="s">
        <v>6001</v>
      </c>
      <c r="D6006" s="31">
        <v>26744.05</v>
      </c>
      <c r="F6006" s="3" t="str">
        <f t="shared" si="93"/>
        <v>I8179</v>
      </c>
    </row>
    <row r="6007" spans="1:6" x14ac:dyDescent="0.2">
      <c r="A6007" s="29" t="s">
        <v>15747</v>
      </c>
      <c r="B6007" s="30" t="s">
        <v>15748</v>
      </c>
      <c r="C6007" s="29" t="s">
        <v>6001</v>
      </c>
      <c r="D6007" s="31">
        <v>38136.15</v>
      </c>
      <c r="F6007" s="3" t="str">
        <f t="shared" si="93"/>
        <v>I8180</v>
      </c>
    </row>
    <row r="6008" spans="1:6" ht="33.75" x14ac:dyDescent="0.2">
      <c r="A6008" s="29" t="s">
        <v>15749</v>
      </c>
      <c r="B6008" s="30" t="s">
        <v>15750</v>
      </c>
      <c r="C6008" s="29" t="s">
        <v>26</v>
      </c>
      <c r="D6008" s="31">
        <v>7972.06</v>
      </c>
      <c r="F6008" s="3" t="str">
        <f t="shared" si="93"/>
        <v>I2448</v>
      </c>
    </row>
    <row r="6009" spans="1:6" ht="33.75" x14ac:dyDescent="0.2">
      <c r="A6009" s="29" t="s">
        <v>15751</v>
      </c>
      <c r="B6009" s="30" t="s">
        <v>15752</v>
      </c>
      <c r="C6009" s="29" t="s">
        <v>26</v>
      </c>
      <c r="D6009" s="31">
        <v>9737.2999999999993</v>
      </c>
      <c r="F6009" s="3" t="str">
        <f t="shared" si="93"/>
        <v>I2449</v>
      </c>
    </row>
    <row r="6010" spans="1:6" ht="33.75" x14ac:dyDescent="0.2">
      <c r="A6010" s="29" t="s">
        <v>15753</v>
      </c>
      <c r="B6010" s="30" t="s">
        <v>15754</v>
      </c>
      <c r="C6010" s="29" t="s">
        <v>26</v>
      </c>
      <c r="D6010" s="31">
        <v>10876.17</v>
      </c>
      <c r="F6010" s="3" t="str">
        <f t="shared" si="93"/>
        <v>I2149</v>
      </c>
    </row>
    <row r="6011" spans="1:6" ht="33.75" x14ac:dyDescent="0.2">
      <c r="A6011" s="29" t="s">
        <v>15755</v>
      </c>
      <c r="B6011" s="30" t="s">
        <v>15756</v>
      </c>
      <c r="C6011" s="29" t="s">
        <v>26</v>
      </c>
      <c r="D6011" s="31">
        <v>14065</v>
      </c>
      <c r="F6011" s="3" t="str">
        <f t="shared" si="93"/>
        <v>I2151</v>
      </c>
    </row>
    <row r="6012" spans="1:6" ht="33.75" x14ac:dyDescent="0.2">
      <c r="A6012" s="29" t="s">
        <v>15757</v>
      </c>
      <c r="B6012" s="30" t="s">
        <v>15758</v>
      </c>
      <c r="C6012" s="29" t="s">
        <v>26</v>
      </c>
      <c r="D6012" s="31">
        <v>17379.099999999999</v>
      </c>
      <c r="F6012" s="3" t="str">
        <f t="shared" si="93"/>
        <v>I2144</v>
      </c>
    </row>
    <row r="6013" spans="1:6" ht="33.75" x14ac:dyDescent="0.2">
      <c r="A6013" s="29" t="s">
        <v>15759</v>
      </c>
      <c r="B6013" s="30" t="s">
        <v>15760</v>
      </c>
      <c r="C6013" s="29" t="s">
        <v>26</v>
      </c>
      <c r="D6013" s="31">
        <v>21919.19</v>
      </c>
      <c r="F6013" s="3" t="str">
        <f t="shared" si="93"/>
        <v>I2145</v>
      </c>
    </row>
    <row r="6014" spans="1:6" ht="33.75" x14ac:dyDescent="0.2">
      <c r="A6014" s="29" t="s">
        <v>15761</v>
      </c>
      <c r="B6014" s="30" t="s">
        <v>15762</v>
      </c>
      <c r="C6014" s="29" t="s">
        <v>26</v>
      </c>
      <c r="D6014" s="31">
        <v>30749.39</v>
      </c>
      <c r="F6014" s="3" t="str">
        <f t="shared" si="93"/>
        <v>I2146</v>
      </c>
    </row>
    <row r="6015" spans="1:6" ht="33.75" x14ac:dyDescent="0.2">
      <c r="A6015" s="29" t="s">
        <v>15763</v>
      </c>
      <c r="B6015" s="30" t="s">
        <v>15764</v>
      </c>
      <c r="C6015" s="29" t="s">
        <v>26</v>
      </c>
      <c r="D6015" s="31">
        <v>35874.29</v>
      </c>
      <c r="F6015" s="3" t="str">
        <f t="shared" si="93"/>
        <v>I2148</v>
      </c>
    </row>
    <row r="6016" spans="1:6" ht="33.75" x14ac:dyDescent="0.2">
      <c r="A6016" s="29" t="s">
        <v>15765</v>
      </c>
      <c r="B6016" s="30" t="s">
        <v>15766</v>
      </c>
      <c r="C6016" s="29" t="s">
        <v>26</v>
      </c>
      <c r="D6016" s="31">
        <v>58541.14</v>
      </c>
      <c r="F6016" s="3" t="str">
        <f t="shared" si="93"/>
        <v>I2150</v>
      </c>
    </row>
    <row r="6017" spans="1:6" ht="33.75" x14ac:dyDescent="0.2">
      <c r="A6017" s="29" t="s">
        <v>15767</v>
      </c>
      <c r="B6017" s="30" t="s">
        <v>15768</v>
      </c>
      <c r="C6017" s="29" t="s">
        <v>26</v>
      </c>
      <c r="D6017" s="31">
        <v>80299.19</v>
      </c>
      <c r="F6017" s="3" t="str">
        <f t="shared" si="93"/>
        <v>I8185</v>
      </c>
    </row>
    <row r="6018" spans="1:6" ht="33.75" x14ac:dyDescent="0.2">
      <c r="A6018" s="29" t="s">
        <v>15769</v>
      </c>
      <c r="B6018" s="30" t="s">
        <v>15770</v>
      </c>
      <c r="C6018" s="29" t="s">
        <v>26</v>
      </c>
      <c r="D6018" s="31">
        <v>112428.88</v>
      </c>
      <c r="F6018" s="3" t="str">
        <f t="shared" ref="F6018:F6081" si="94">A6018</f>
        <v>I8186</v>
      </c>
    </row>
    <row r="6019" spans="1:6" ht="33.75" x14ac:dyDescent="0.2">
      <c r="A6019" s="29" t="s">
        <v>15771</v>
      </c>
      <c r="B6019" s="30" t="s">
        <v>15772</v>
      </c>
      <c r="C6019" s="29" t="s">
        <v>26</v>
      </c>
      <c r="D6019" s="31">
        <v>123493.06</v>
      </c>
      <c r="F6019" s="3" t="str">
        <f t="shared" si="94"/>
        <v>I8187</v>
      </c>
    </row>
    <row r="6020" spans="1:6" ht="33.75" x14ac:dyDescent="0.2">
      <c r="A6020" s="29" t="s">
        <v>15773</v>
      </c>
      <c r="B6020" s="30" t="s">
        <v>15774</v>
      </c>
      <c r="C6020" s="29" t="s">
        <v>26</v>
      </c>
      <c r="D6020" s="31">
        <v>142162.41</v>
      </c>
      <c r="F6020" s="3" t="str">
        <f t="shared" si="94"/>
        <v>I8188</v>
      </c>
    </row>
    <row r="6021" spans="1:6" x14ac:dyDescent="0.2">
      <c r="A6021" s="29" t="s">
        <v>15775</v>
      </c>
      <c r="B6021" s="30" t="s">
        <v>15776</v>
      </c>
      <c r="C6021" s="29" t="s">
        <v>26</v>
      </c>
      <c r="D6021" s="31">
        <v>137630.42000000001</v>
      </c>
      <c r="F6021" s="3" t="str">
        <f t="shared" si="94"/>
        <v>I2538</v>
      </c>
    </row>
    <row r="6022" spans="1:6" x14ac:dyDescent="0.2">
      <c r="A6022" s="29" t="s">
        <v>15777</v>
      </c>
      <c r="B6022" s="30" t="s">
        <v>15778</v>
      </c>
      <c r="C6022" s="29" t="s">
        <v>26</v>
      </c>
      <c r="D6022" s="31">
        <v>49876.2</v>
      </c>
      <c r="F6022" s="3" t="str">
        <f t="shared" si="94"/>
        <v>I2519</v>
      </c>
    </row>
    <row r="6023" spans="1:6" x14ac:dyDescent="0.2">
      <c r="A6023" s="29" t="s">
        <v>15779</v>
      </c>
      <c r="B6023" s="30" t="s">
        <v>15780</v>
      </c>
      <c r="C6023" s="29" t="s">
        <v>26</v>
      </c>
      <c r="D6023" s="31">
        <v>168214.97</v>
      </c>
      <c r="F6023" s="3" t="str">
        <f t="shared" si="94"/>
        <v>I8257</v>
      </c>
    </row>
    <row r="6024" spans="1:6" x14ac:dyDescent="0.2">
      <c r="A6024" s="29" t="s">
        <v>15781</v>
      </c>
      <c r="B6024" s="30" t="s">
        <v>15782</v>
      </c>
      <c r="C6024" s="29" t="s">
        <v>26</v>
      </c>
      <c r="D6024" s="31">
        <v>67649.59</v>
      </c>
      <c r="F6024" s="3" t="str">
        <f t="shared" si="94"/>
        <v>I8256</v>
      </c>
    </row>
    <row r="6025" spans="1:6" ht="15.75" customHeight="1" x14ac:dyDescent="0.2">
      <c r="A6025" s="32" t="s">
        <v>15783</v>
      </c>
      <c r="B6025" s="33"/>
      <c r="C6025" s="32">
        <v>0</v>
      </c>
      <c r="D6025" s="34">
        <v>0</v>
      </c>
      <c r="F6025" s="3" t="str">
        <f t="shared" si="94"/>
        <v>COTAÇÃO / EQ.AQUISICAO</v>
      </c>
    </row>
    <row r="6026" spans="1:6" ht="25.5" x14ac:dyDescent="0.2">
      <c r="A6026" s="26" t="s">
        <v>14985</v>
      </c>
      <c r="B6026" s="27" t="s">
        <v>14986</v>
      </c>
      <c r="C6026" s="26" t="s">
        <v>14987</v>
      </c>
      <c r="D6026" s="28" t="e">
        <v>#VALUE!</v>
      </c>
      <c r="F6026" s="3" t="str">
        <f t="shared" si="94"/>
        <v>Insumo</v>
      </c>
    </row>
    <row r="6027" spans="1:6" x14ac:dyDescent="0.2">
      <c r="A6027" s="29" t="s">
        <v>15784</v>
      </c>
      <c r="B6027" s="30" t="s">
        <v>15785</v>
      </c>
      <c r="C6027" s="29" t="s">
        <v>26</v>
      </c>
      <c r="D6027" s="31">
        <v>5988.87</v>
      </c>
      <c r="F6027" s="3" t="str">
        <f t="shared" si="94"/>
        <v>I7459</v>
      </c>
    </row>
    <row r="6028" spans="1:6" x14ac:dyDescent="0.2">
      <c r="A6028" s="29" t="s">
        <v>15786</v>
      </c>
      <c r="B6028" s="30" t="s">
        <v>15787</v>
      </c>
      <c r="C6028" s="29" t="s">
        <v>26</v>
      </c>
      <c r="D6028" s="31">
        <v>489930.5</v>
      </c>
      <c r="F6028" s="3" t="str">
        <f t="shared" si="94"/>
        <v>I2595</v>
      </c>
    </row>
    <row r="6029" spans="1:6" x14ac:dyDescent="0.2">
      <c r="A6029" s="29" t="s">
        <v>15788</v>
      </c>
      <c r="B6029" s="30" t="s">
        <v>15789</v>
      </c>
      <c r="C6029" s="29" t="s">
        <v>26</v>
      </c>
      <c r="D6029" s="31">
        <v>265558</v>
      </c>
      <c r="F6029" s="3" t="str">
        <f t="shared" si="94"/>
        <v>I2693</v>
      </c>
    </row>
    <row r="6030" spans="1:6" x14ac:dyDescent="0.2">
      <c r="A6030" s="29" t="s">
        <v>15790</v>
      </c>
      <c r="B6030" s="30" t="s">
        <v>15791</v>
      </c>
      <c r="C6030" s="29" t="s">
        <v>26</v>
      </c>
      <c r="D6030" s="31">
        <v>8407.08</v>
      </c>
      <c r="F6030" s="3" t="str">
        <f t="shared" si="94"/>
        <v>I2596</v>
      </c>
    </row>
    <row r="6031" spans="1:6" x14ac:dyDescent="0.2">
      <c r="A6031" s="29" t="s">
        <v>15792</v>
      </c>
      <c r="B6031" s="30" t="s">
        <v>15793</v>
      </c>
      <c r="C6031" s="29" t="s">
        <v>26</v>
      </c>
      <c r="D6031" s="31">
        <v>6310</v>
      </c>
      <c r="F6031" s="3" t="str">
        <f t="shared" si="94"/>
        <v>I2665</v>
      </c>
    </row>
    <row r="6032" spans="1:6" x14ac:dyDescent="0.2">
      <c r="A6032" s="29" t="s">
        <v>15794</v>
      </c>
      <c r="B6032" s="30" t="s">
        <v>15795</v>
      </c>
      <c r="C6032" s="29" t="s">
        <v>26</v>
      </c>
      <c r="D6032" s="31">
        <v>14904</v>
      </c>
      <c r="F6032" s="3" t="str">
        <f t="shared" si="94"/>
        <v>I2666</v>
      </c>
    </row>
    <row r="6033" spans="1:6" x14ac:dyDescent="0.2">
      <c r="A6033" s="29" t="s">
        <v>15796</v>
      </c>
      <c r="B6033" s="30" t="s">
        <v>15797</v>
      </c>
      <c r="C6033" s="29" t="s">
        <v>26</v>
      </c>
      <c r="D6033" s="31">
        <v>39036</v>
      </c>
      <c r="F6033" s="3" t="str">
        <f t="shared" si="94"/>
        <v>I2597</v>
      </c>
    </row>
    <row r="6034" spans="1:6" x14ac:dyDescent="0.2">
      <c r="A6034" s="29" t="s">
        <v>15798</v>
      </c>
      <c r="B6034" s="30" t="s">
        <v>15799</v>
      </c>
      <c r="C6034" s="29" t="s">
        <v>26</v>
      </c>
      <c r="D6034" s="31">
        <v>4137</v>
      </c>
      <c r="F6034" s="3" t="str">
        <f t="shared" si="94"/>
        <v>I2667</v>
      </c>
    </row>
    <row r="6035" spans="1:6" x14ac:dyDescent="0.2">
      <c r="A6035" s="29" t="s">
        <v>15800</v>
      </c>
      <c r="B6035" s="30" t="s">
        <v>15801</v>
      </c>
      <c r="C6035" s="29" t="s">
        <v>26</v>
      </c>
      <c r="D6035" s="31">
        <v>7183</v>
      </c>
      <c r="F6035" s="3" t="str">
        <f t="shared" si="94"/>
        <v>I2668</v>
      </c>
    </row>
    <row r="6036" spans="1:6" x14ac:dyDescent="0.2">
      <c r="A6036" s="29" t="s">
        <v>15802</v>
      </c>
      <c r="B6036" s="30" t="s">
        <v>15803</v>
      </c>
      <c r="C6036" s="29" t="s">
        <v>26</v>
      </c>
      <c r="D6036" s="31">
        <v>6245</v>
      </c>
      <c r="F6036" s="3" t="str">
        <f t="shared" si="94"/>
        <v>I2669</v>
      </c>
    </row>
    <row r="6037" spans="1:6" x14ac:dyDescent="0.2">
      <c r="A6037" s="29" t="s">
        <v>15804</v>
      </c>
      <c r="B6037" s="30" t="s">
        <v>15805</v>
      </c>
      <c r="C6037" s="29" t="s">
        <v>26</v>
      </c>
      <c r="D6037" s="31">
        <v>8432</v>
      </c>
      <c r="F6037" s="3" t="str">
        <f t="shared" si="94"/>
        <v>I2670</v>
      </c>
    </row>
    <row r="6038" spans="1:6" x14ac:dyDescent="0.2">
      <c r="A6038" s="29" t="s">
        <v>15806</v>
      </c>
      <c r="B6038" s="30" t="s">
        <v>15807</v>
      </c>
      <c r="C6038" s="29" t="s">
        <v>26</v>
      </c>
      <c r="D6038" s="31">
        <v>825590.42</v>
      </c>
      <c r="F6038" s="3" t="str">
        <f t="shared" si="94"/>
        <v>I9516</v>
      </c>
    </row>
    <row r="6039" spans="1:6" x14ac:dyDescent="0.2">
      <c r="A6039" s="29" t="s">
        <v>15808</v>
      </c>
      <c r="B6039" s="30" t="s">
        <v>15809</v>
      </c>
      <c r="C6039" s="29" t="s">
        <v>26</v>
      </c>
      <c r="D6039" s="31">
        <v>343516</v>
      </c>
      <c r="F6039" s="3" t="str">
        <f t="shared" si="94"/>
        <v>I2598</v>
      </c>
    </row>
    <row r="6040" spans="1:6" x14ac:dyDescent="0.2">
      <c r="A6040" s="29" t="s">
        <v>15810</v>
      </c>
      <c r="B6040" s="30" t="s">
        <v>15811</v>
      </c>
      <c r="C6040" s="29" t="s">
        <v>26</v>
      </c>
      <c r="D6040" s="31">
        <v>359130</v>
      </c>
      <c r="F6040" s="3" t="str">
        <f t="shared" si="94"/>
        <v>I2599</v>
      </c>
    </row>
    <row r="6041" spans="1:6" x14ac:dyDescent="0.2">
      <c r="A6041" s="29" t="s">
        <v>15812</v>
      </c>
      <c r="B6041" s="30" t="s">
        <v>15813</v>
      </c>
      <c r="C6041" s="29" t="s">
        <v>26</v>
      </c>
      <c r="D6041" s="31">
        <v>563778.02</v>
      </c>
      <c r="F6041" s="3" t="str">
        <f t="shared" si="94"/>
        <v>I2600</v>
      </c>
    </row>
    <row r="6042" spans="1:6" x14ac:dyDescent="0.2">
      <c r="A6042" s="29" t="s">
        <v>15814</v>
      </c>
      <c r="B6042" s="30" t="s">
        <v>15815</v>
      </c>
      <c r="C6042" s="29" t="s">
        <v>26</v>
      </c>
      <c r="D6042" s="31">
        <v>487300.8</v>
      </c>
      <c r="F6042" s="3" t="str">
        <f t="shared" si="94"/>
        <v>I2602</v>
      </c>
    </row>
    <row r="6043" spans="1:6" x14ac:dyDescent="0.2">
      <c r="A6043" s="29" t="s">
        <v>15816</v>
      </c>
      <c r="B6043" s="30" t="s">
        <v>15817</v>
      </c>
      <c r="C6043" s="29" t="s">
        <v>26</v>
      </c>
      <c r="D6043" s="31">
        <v>735302.1</v>
      </c>
      <c r="F6043" s="3" t="str">
        <f t="shared" si="94"/>
        <v>I2604</v>
      </c>
    </row>
    <row r="6044" spans="1:6" x14ac:dyDescent="0.2">
      <c r="A6044" s="29" t="s">
        <v>15818</v>
      </c>
      <c r="B6044" s="30" t="s">
        <v>15819</v>
      </c>
      <c r="C6044" s="29" t="s">
        <v>26</v>
      </c>
      <c r="D6044" s="31">
        <v>337919.9</v>
      </c>
      <c r="F6044" s="3" t="str">
        <f t="shared" si="94"/>
        <v>I2607</v>
      </c>
    </row>
    <row r="6045" spans="1:6" x14ac:dyDescent="0.2">
      <c r="A6045" s="29" t="s">
        <v>15820</v>
      </c>
      <c r="B6045" s="30" t="s">
        <v>15821</v>
      </c>
      <c r="C6045" s="29" t="s">
        <v>26</v>
      </c>
      <c r="D6045" s="31">
        <v>514856.5</v>
      </c>
      <c r="F6045" s="3" t="str">
        <f t="shared" si="94"/>
        <v>I2605</v>
      </c>
    </row>
    <row r="6046" spans="1:6" x14ac:dyDescent="0.2">
      <c r="A6046" s="29" t="s">
        <v>15822</v>
      </c>
      <c r="B6046" s="30" t="s">
        <v>15823</v>
      </c>
      <c r="C6046" s="29" t="s">
        <v>26</v>
      </c>
      <c r="D6046" s="31">
        <v>559815.80000000005</v>
      </c>
      <c r="F6046" s="3" t="str">
        <f t="shared" si="94"/>
        <v>I2606</v>
      </c>
    </row>
    <row r="6047" spans="1:6" x14ac:dyDescent="0.2">
      <c r="A6047" s="29" t="s">
        <v>15824</v>
      </c>
      <c r="B6047" s="30" t="s">
        <v>15825</v>
      </c>
      <c r="C6047" s="29" t="s">
        <v>26</v>
      </c>
      <c r="D6047" s="31">
        <v>498201.25</v>
      </c>
      <c r="F6047" s="3" t="str">
        <f t="shared" si="94"/>
        <v>I2608</v>
      </c>
    </row>
    <row r="6048" spans="1:6" x14ac:dyDescent="0.2">
      <c r="A6048" s="29" t="s">
        <v>15826</v>
      </c>
      <c r="B6048" s="30" t="s">
        <v>15827</v>
      </c>
      <c r="C6048" s="29" t="s">
        <v>26</v>
      </c>
      <c r="D6048" s="31">
        <v>666043.02</v>
      </c>
      <c r="F6048" s="3" t="str">
        <f t="shared" si="94"/>
        <v>I2609</v>
      </c>
    </row>
    <row r="6049" spans="1:6" x14ac:dyDescent="0.2">
      <c r="A6049" s="29" t="s">
        <v>15828</v>
      </c>
      <c r="B6049" s="30" t="s">
        <v>15829</v>
      </c>
      <c r="C6049" s="29" t="s">
        <v>26</v>
      </c>
      <c r="D6049" s="31">
        <v>951111.09</v>
      </c>
      <c r="F6049" s="3" t="str">
        <f t="shared" si="94"/>
        <v>I2611</v>
      </c>
    </row>
    <row r="6050" spans="1:6" x14ac:dyDescent="0.2">
      <c r="A6050" s="29" t="s">
        <v>15830</v>
      </c>
      <c r="B6050" s="30" t="s">
        <v>15831</v>
      </c>
      <c r="C6050" s="29" t="s">
        <v>26</v>
      </c>
      <c r="D6050" s="31">
        <v>536611</v>
      </c>
      <c r="F6050" s="3" t="str">
        <f t="shared" si="94"/>
        <v>I2671</v>
      </c>
    </row>
    <row r="6051" spans="1:6" x14ac:dyDescent="0.2">
      <c r="A6051" s="29" t="s">
        <v>15832</v>
      </c>
      <c r="B6051" s="30" t="s">
        <v>15833</v>
      </c>
      <c r="C6051" s="29" t="s">
        <v>26</v>
      </c>
      <c r="D6051" s="31">
        <v>584470.9</v>
      </c>
      <c r="F6051" s="3" t="str">
        <f t="shared" si="94"/>
        <v>I2613</v>
      </c>
    </row>
    <row r="6052" spans="1:6" x14ac:dyDescent="0.2">
      <c r="A6052" s="29" t="s">
        <v>15834</v>
      </c>
      <c r="B6052" s="30" t="s">
        <v>15835</v>
      </c>
      <c r="C6052" s="29" t="s">
        <v>26</v>
      </c>
      <c r="D6052" s="31">
        <v>163057.23000000001</v>
      </c>
      <c r="F6052" s="3" t="str">
        <f t="shared" si="94"/>
        <v>I2615</v>
      </c>
    </row>
    <row r="6053" spans="1:6" x14ac:dyDescent="0.2">
      <c r="A6053" s="29" t="s">
        <v>15836</v>
      </c>
      <c r="B6053" s="30" t="s">
        <v>15837</v>
      </c>
      <c r="C6053" s="29" t="s">
        <v>26</v>
      </c>
      <c r="D6053" s="31">
        <v>727440.02</v>
      </c>
      <c r="F6053" s="3" t="str">
        <f t="shared" si="94"/>
        <v>I2616</v>
      </c>
    </row>
    <row r="6054" spans="1:6" x14ac:dyDescent="0.2">
      <c r="A6054" s="29" t="s">
        <v>15838</v>
      </c>
      <c r="B6054" s="30" t="s">
        <v>15839</v>
      </c>
      <c r="C6054" s="29" t="s">
        <v>26</v>
      </c>
      <c r="D6054" s="31">
        <v>1014500</v>
      </c>
      <c r="F6054" s="3" t="str">
        <f t="shared" si="94"/>
        <v>I2618</v>
      </c>
    </row>
    <row r="6055" spans="1:6" x14ac:dyDescent="0.2">
      <c r="A6055" s="29" t="s">
        <v>15840</v>
      </c>
      <c r="B6055" s="30" t="s">
        <v>15841</v>
      </c>
      <c r="C6055" s="29" t="s">
        <v>26</v>
      </c>
      <c r="D6055" s="31">
        <v>271.20999999999998</v>
      </c>
      <c r="F6055" s="3" t="str">
        <f t="shared" si="94"/>
        <v>I2620</v>
      </c>
    </row>
    <row r="6056" spans="1:6" x14ac:dyDescent="0.2">
      <c r="A6056" s="29" t="s">
        <v>15842</v>
      </c>
      <c r="B6056" s="30" t="s">
        <v>15843</v>
      </c>
      <c r="C6056" s="29" t="s">
        <v>26</v>
      </c>
      <c r="D6056" s="31">
        <v>2490.17</v>
      </c>
      <c r="F6056" s="3" t="str">
        <f t="shared" si="94"/>
        <v>I0982</v>
      </c>
    </row>
    <row r="6057" spans="1:6" x14ac:dyDescent="0.2">
      <c r="A6057" s="29" t="s">
        <v>15844</v>
      </c>
      <c r="B6057" s="30" t="s">
        <v>15845</v>
      </c>
      <c r="C6057" s="29" t="s">
        <v>26</v>
      </c>
      <c r="D6057" s="31">
        <v>2945.56</v>
      </c>
      <c r="F6057" s="3" t="str">
        <f t="shared" si="94"/>
        <v>I0985</v>
      </c>
    </row>
    <row r="6058" spans="1:6" x14ac:dyDescent="0.2">
      <c r="A6058" s="29" t="s">
        <v>15846</v>
      </c>
      <c r="B6058" s="30" t="s">
        <v>15847</v>
      </c>
      <c r="C6058" s="29" t="s">
        <v>26</v>
      </c>
      <c r="D6058" s="31">
        <v>851326.1</v>
      </c>
      <c r="F6058" s="3" t="str">
        <f t="shared" si="94"/>
        <v>I2673</v>
      </c>
    </row>
    <row r="6059" spans="1:6" x14ac:dyDescent="0.2">
      <c r="A6059" s="29" t="s">
        <v>15848</v>
      </c>
      <c r="B6059" s="30" t="s">
        <v>15849</v>
      </c>
      <c r="C6059" s="29" t="s">
        <v>26</v>
      </c>
      <c r="D6059" s="31">
        <v>1000707</v>
      </c>
      <c r="F6059" s="3" t="str">
        <f t="shared" si="94"/>
        <v>I2674</v>
      </c>
    </row>
    <row r="6060" spans="1:6" x14ac:dyDescent="0.2">
      <c r="A6060" s="29" t="s">
        <v>15850</v>
      </c>
      <c r="B6060" s="30" t="s">
        <v>15851</v>
      </c>
      <c r="C6060" s="29" t="s">
        <v>26</v>
      </c>
      <c r="D6060" s="31">
        <v>10398.26</v>
      </c>
      <c r="F6060" s="3" t="str">
        <f t="shared" si="94"/>
        <v>I2631</v>
      </c>
    </row>
    <row r="6061" spans="1:6" x14ac:dyDescent="0.2">
      <c r="A6061" s="29" t="s">
        <v>15852</v>
      </c>
      <c r="B6061" s="30" t="s">
        <v>15853</v>
      </c>
      <c r="C6061" s="29" t="s">
        <v>26</v>
      </c>
      <c r="D6061" s="31">
        <v>68841.210000000006</v>
      </c>
      <c r="F6061" s="3" t="str">
        <f t="shared" si="94"/>
        <v>I2694</v>
      </c>
    </row>
    <row r="6062" spans="1:6" x14ac:dyDescent="0.2">
      <c r="A6062" s="29" t="s">
        <v>15854</v>
      </c>
      <c r="B6062" s="30" t="s">
        <v>15855</v>
      </c>
      <c r="C6062" s="29" t="s">
        <v>26</v>
      </c>
      <c r="D6062" s="31">
        <v>737032.31</v>
      </c>
      <c r="F6062" s="3" t="str">
        <f t="shared" si="94"/>
        <v>I2627</v>
      </c>
    </row>
    <row r="6063" spans="1:6" x14ac:dyDescent="0.2">
      <c r="A6063" s="29" t="s">
        <v>15856</v>
      </c>
      <c r="B6063" s="30" t="s">
        <v>15857</v>
      </c>
      <c r="C6063" s="29" t="s">
        <v>26</v>
      </c>
      <c r="D6063" s="31">
        <v>329628.53000000003</v>
      </c>
      <c r="F6063" s="3" t="str">
        <f t="shared" si="94"/>
        <v>I2628</v>
      </c>
    </row>
    <row r="6064" spans="1:6" x14ac:dyDescent="0.2">
      <c r="A6064" s="29" t="s">
        <v>15858</v>
      </c>
      <c r="B6064" s="30" t="s">
        <v>15859</v>
      </c>
      <c r="C6064" s="29" t="s">
        <v>26</v>
      </c>
      <c r="D6064" s="31">
        <v>628957.4</v>
      </c>
      <c r="F6064" s="3" t="str">
        <f t="shared" si="94"/>
        <v>I2629</v>
      </c>
    </row>
    <row r="6065" spans="1:6" x14ac:dyDescent="0.2">
      <c r="A6065" s="29" t="s">
        <v>15860</v>
      </c>
      <c r="B6065" s="30" t="s">
        <v>15861</v>
      </c>
      <c r="C6065" s="29" t="s">
        <v>26</v>
      </c>
      <c r="D6065" s="31">
        <v>11356.57</v>
      </c>
      <c r="F6065" s="3" t="str">
        <f t="shared" si="94"/>
        <v>G0456</v>
      </c>
    </row>
    <row r="6066" spans="1:6" x14ac:dyDescent="0.2">
      <c r="A6066" s="29" t="s">
        <v>15862</v>
      </c>
      <c r="B6066" s="30" t="s">
        <v>15863</v>
      </c>
      <c r="C6066" s="29" t="s">
        <v>26</v>
      </c>
      <c r="D6066" s="31">
        <v>645537.57999999996</v>
      </c>
      <c r="F6066" s="3" t="str">
        <f t="shared" si="94"/>
        <v>I2630</v>
      </c>
    </row>
    <row r="6067" spans="1:6" x14ac:dyDescent="0.2">
      <c r="A6067" s="29" t="s">
        <v>15864</v>
      </c>
      <c r="B6067" s="30" t="s">
        <v>15865</v>
      </c>
      <c r="C6067" s="29" t="s">
        <v>26</v>
      </c>
      <c r="D6067" s="31">
        <v>147867.22</v>
      </c>
      <c r="F6067" s="3" t="str">
        <f t="shared" si="94"/>
        <v>I2632</v>
      </c>
    </row>
    <row r="6068" spans="1:6" x14ac:dyDescent="0.2">
      <c r="A6068" s="29" t="s">
        <v>15866</v>
      </c>
      <c r="B6068" s="30" t="s">
        <v>15867</v>
      </c>
      <c r="C6068" s="29" t="s">
        <v>26</v>
      </c>
      <c r="D6068" s="31">
        <v>249479.16</v>
      </c>
      <c r="F6068" s="3" t="str">
        <f t="shared" si="94"/>
        <v>I2633</v>
      </c>
    </row>
    <row r="6069" spans="1:6" x14ac:dyDescent="0.2">
      <c r="A6069" s="29" t="s">
        <v>15868</v>
      </c>
      <c r="B6069" s="30" t="s">
        <v>15869</v>
      </c>
      <c r="C6069" s="29" t="s">
        <v>26</v>
      </c>
      <c r="D6069" s="31">
        <v>273622.3</v>
      </c>
      <c r="F6069" s="3" t="str">
        <f t="shared" si="94"/>
        <v>I2675</v>
      </c>
    </row>
    <row r="6070" spans="1:6" x14ac:dyDescent="0.2">
      <c r="A6070" s="29" t="s">
        <v>15870</v>
      </c>
      <c r="B6070" s="30" t="s">
        <v>15871</v>
      </c>
      <c r="C6070" s="29" t="s">
        <v>26</v>
      </c>
      <c r="D6070" s="31">
        <v>538528.30000000005</v>
      </c>
      <c r="F6070" s="3" t="str">
        <f t="shared" si="94"/>
        <v>I2676</v>
      </c>
    </row>
    <row r="6071" spans="1:6" x14ac:dyDescent="0.2">
      <c r="A6071" s="29" t="s">
        <v>15872</v>
      </c>
      <c r="B6071" s="30" t="s">
        <v>15873</v>
      </c>
      <c r="C6071" s="29" t="s">
        <v>26</v>
      </c>
      <c r="D6071" s="31">
        <v>155372</v>
      </c>
      <c r="F6071" s="3" t="str">
        <f t="shared" si="94"/>
        <v>G0460</v>
      </c>
    </row>
    <row r="6072" spans="1:6" x14ac:dyDescent="0.2">
      <c r="A6072" s="29" t="s">
        <v>15874</v>
      </c>
      <c r="B6072" s="30" t="s">
        <v>15875</v>
      </c>
      <c r="C6072" s="29" t="s">
        <v>26</v>
      </c>
      <c r="D6072" s="31">
        <v>9194.8700000000008</v>
      </c>
      <c r="F6072" s="3" t="str">
        <f t="shared" si="94"/>
        <v>G0431</v>
      </c>
    </row>
    <row r="6073" spans="1:6" x14ac:dyDescent="0.2">
      <c r="A6073" s="29" t="s">
        <v>15876</v>
      </c>
      <c r="B6073" s="30" t="s">
        <v>15877</v>
      </c>
      <c r="C6073" s="29" t="s">
        <v>26</v>
      </c>
      <c r="D6073" s="31">
        <v>41767.32</v>
      </c>
      <c r="F6073" s="3" t="str">
        <f t="shared" si="94"/>
        <v>G0444</v>
      </c>
    </row>
    <row r="6074" spans="1:6" x14ac:dyDescent="0.2">
      <c r="A6074" s="29" t="s">
        <v>15878</v>
      </c>
      <c r="B6074" s="30" t="s">
        <v>15879</v>
      </c>
      <c r="C6074" s="29" t="s">
        <v>26</v>
      </c>
      <c r="D6074" s="31">
        <v>4685</v>
      </c>
      <c r="F6074" s="3" t="str">
        <f t="shared" si="94"/>
        <v>I2677</v>
      </c>
    </row>
    <row r="6075" spans="1:6" x14ac:dyDescent="0.2">
      <c r="A6075" s="29" t="s">
        <v>15880</v>
      </c>
      <c r="B6075" s="30" t="s">
        <v>15881</v>
      </c>
      <c r="C6075" s="29" t="s">
        <v>26</v>
      </c>
      <c r="D6075" s="31">
        <v>3170368.85</v>
      </c>
      <c r="F6075" s="3" t="str">
        <f t="shared" si="94"/>
        <v>I2634</v>
      </c>
    </row>
    <row r="6076" spans="1:6" x14ac:dyDescent="0.2">
      <c r="A6076" s="29" t="s">
        <v>15882</v>
      </c>
      <c r="B6076" s="30" t="s">
        <v>15883</v>
      </c>
      <c r="C6076" s="29" t="s">
        <v>26</v>
      </c>
      <c r="D6076" s="31">
        <v>5434.27</v>
      </c>
      <c r="F6076" s="3" t="str">
        <f t="shared" si="94"/>
        <v>I2678</v>
      </c>
    </row>
    <row r="6077" spans="1:6" x14ac:dyDescent="0.2">
      <c r="A6077" s="29" t="s">
        <v>15884</v>
      </c>
      <c r="B6077" s="30" t="s">
        <v>15885</v>
      </c>
      <c r="C6077" s="29" t="s">
        <v>26</v>
      </c>
      <c r="D6077" s="31">
        <v>1698412.97</v>
      </c>
      <c r="F6077" s="3" t="str">
        <f t="shared" si="94"/>
        <v>I2679</v>
      </c>
    </row>
    <row r="6078" spans="1:6" ht="33.75" x14ac:dyDescent="0.2">
      <c r="A6078" s="29" t="s">
        <v>15886</v>
      </c>
      <c r="B6078" s="30" t="s">
        <v>15887</v>
      </c>
      <c r="C6078" s="29" t="s">
        <v>26</v>
      </c>
      <c r="D6078" s="31">
        <v>164049.15</v>
      </c>
      <c r="F6078" s="3" t="str">
        <f t="shared" si="94"/>
        <v>I9390</v>
      </c>
    </row>
    <row r="6079" spans="1:6" x14ac:dyDescent="0.2">
      <c r="A6079" s="29" t="s">
        <v>15888</v>
      </c>
      <c r="B6079" s="30" t="s">
        <v>15889</v>
      </c>
      <c r="C6079" s="29" t="s">
        <v>26</v>
      </c>
      <c r="D6079" s="31">
        <v>1559646.82</v>
      </c>
      <c r="F6079" s="3" t="str">
        <f t="shared" si="94"/>
        <v>I9400</v>
      </c>
    </row>
    <row r="6080" spans="1:6" x14ac:dyDescent="0.2">
      <c r="A6080" s="29" t="s">
        <v>15890</v>
      </c>
      <c r="B6080" s="30" t="s">
        <v>15891</v>
      </c>
      <c r="C6080" s="29" t="s">
        <v>26</v>
      </c>
      <c r="D6080" s="31">
        <v>969102.06</v>
      </c>
      <c r="F6080" s="3" t="str">
        <f t="shared" si="94"/>
        <v>I2635</v>
      </c>
    </row>
    <row r="6081" spans="1:6" ht="22.5" x14ac:dyDescent="0.2">
      <c r="A6081" s="29" t="s">
        <v>15892</v>
      </c>
      <c r="B6081" s="30" t="s">
        <v>15893</v>
      </c>
      <c r="C6081" s="29" t="s">
        <v>26</v>
      </c>
      <c r="D6081" s="31">
        <v>713683.93</v>
      </c>
      <c r="F6081" s="3" t="str">
        <f t="shared" si="94"/>
        <v>I10262</v>
      </c>
    </row>
    <row r="6082" spans="1:6" x14ac:dyDescent="0.2">
      <c r="A6082" s="29" t="s">
        <v>15894</v>
      </c>
      <c r="B6082" s="30" t="s">
        <v>15895</v>
      </c>
      <c r="C6082" s="29" t="s">
        <v>26</v>
      </c>
      <c r="D6082" s="31">
        <v>2263.92</v>
      </c>
      <c r="F6082" s="3" t="str">
        <f t="shared" ref="F6082:F6145" si="95">A6082</f>
        <v>I2680</v>
      </c>
    </row>
    <row r="6083" spans="1:6" x14ac:dyDescent="0.2">
      <c r="A6083" s="29" t="s">
        <v>15896</v>
      </c>
      <c r="B6083" s="30" t="s">
        <v>15897</v>
      </c>
      <c r="C6083" s="29" t="s">
        <v>26</v>
      </c>
      <c r="D6083" s="31">
        <v>65668.13</v>
      </c>
      <c r="F6083" s="3" t="str">
        <f t="shared" si="95"/>
        <v>I2637</v>
      </c>
    </row>
    <row r="6084" spans="1:6" x14ac:dyDescent="0.2">
      <c r="A6084" s="29" t="s">
        <v>15898</v>
      </c>
      <c r="B6084" s="30" t="s">
        <v>15899</v>
      </c>
      <c r="C6084" s="29" t="s">
        <v>26</v>
      </c>
      <c r="D6084" s="31">
        <v>111966.06</v>
      </c>
      <c r="F6084" s="3" t="str">
        <f t="shared" si="95"/>
        <v>I9132</v>
      </c>
    </row>
    <row r="6085" spans="1:6" ht="22.5" x14ac:dyDescent="0.2">
      <c r="A6085" s="29" t="s">
        <v>15900</v>
      </c>
      <c r="B6085" s="30" t="s">
        <v>15901</v>
      </c>
      <c r="C6085" s="29" t="s">
        <v>26</v>
      </c>
      <c r="D6085" s="31">
        <v>2116860.7799999998</v>
      </c>
      <c r="F6085" s="3" t="str">
        <f t="shared" si="95"/>
        <v>I8418</v>
      </c>
    </row>
    <row r="6086" spans="1:6" x14ac:dyDescent="0.2">
      <c r="A6086" s="29" t="s">
        <v>15902</v>
      </c>
      <c r="B6086" s="30" t="s">
        <v>15903</v>
      </c>
      <c r="C6086" s="29" t="s">
        <v>26</v>
      </c>
      <c r="D6086" s="31">
        <v>1309.6199999999999</v>
      </c>
      <c r="F6086" s="3" t="str">
        <f t="shared" si="95"/>
        <v>I9376</v>
      </c>
    </row>
    <row r="6087" spans="1:6" x14ac:dyDescent="0.2">
      <c r="A6087" s="29" t="s">
        <v>15904</v>
      </c>
      <c r="B6087" s="30" t="s">
        <v>15905</v>
      </c>
      <c r="C6087" s="29" t="s">
        <v>26</v>
      </c>
      <c r="D6087" s="31">
        <v>9092.17</v>
      </c>
      <c r="F6087" s="3" t="str">
        <f t="shared" si="95"/>
        <v>G0434</v>
      </c>
    </row>
    <row r="6088" spans="1:6" x14ac:dyDescent="0.2">
      <c r="A6088" s="29" t="s">
        <v>15906</v>
      </c>
      <c r="B6088" s="30" t="s">
        <v>15907</v>
      </c>
      <c r="C6088" s="29" t="s">
        <v>26</v>
      </c>
      <c r="D6088" s="31">
        <v>39793.33</v>
      </c>
      <c r="F6088" s="3" t="str">
        <f t="shared" si="95"/>
        <v>I2638</v>
      </c>
    </row>
    <row r="6089" spans="1:6" x14ac:dyDescent="0.2">
      <c r="A6089" s="29" t="s">
        <v>15908</v>
      </c>
      <c r="B6089" s="30" t="s">
        <v>15909</v>
      </c>
      <c r="C6089" s="29" t="s">
        <v>26</v>
      </c>
      <c r="D6089" s="31">
        <v>48421.17</v>
      </c>
      <c r="F6089" s="3" t="str">
        <f t="shared" si="95"/>
        <v>I9380</v>
      </c>
    </row>
    <row r="6090" spans="1:6" x14ac:dyDescent="0.2">
      <c r="A6090" s="29" t="s">
        <v>15910</v>
      </c>
      <c r="B6090" s="30" t="s">
        <v>15911</v>
      </c>
      <c r="C6090" s="29" t="s">
        <v>26</v>
      </c>
      <c r="D6090" s="31">
        <v>135429.01</v>
      </c>
      <c r="F6090" s="3" t="str">
        <f t="shared" si="95"/>
        <v>I2639</v>
      </c>
    </row>
    <row r="6091" spans="1:6" x14ac:dyDescent="0.2">
      <c r="A6091" s="29" t="s">
        <v>15912</v>
      </c>
      <c r="B6091" s="30" t="s">
        <v>15913</v>
      </c>
      <c r="C6091" s="29" t="s">
        <v>26</v>
      </c>
      <c r="D6091" s="31">
        <v>169840.28</v>
      </c>
      <c r="F6091" s="3" t="str">
        <f t="shared" si="95"/>
        <v>I2640</v>
      </c>
    </row>
    <row r="6092" spans="1:6" x14ac:dyDescent="0.2">
      <c r="A6092" s="29" t="s">
        <v>15914</v>
      </c>
      <c r="B6092" s="30" t="s">
        <v>15915</v>
      </c>
      <c r="C6092" s="29" t="s">
        <v>26</v>
      </c>
      <c r="D6092" s="31">
        <v>70198.87</v>
      </c>
      <c r="F6092" s="3" t="str">
        <f t="shared" si="95"/>
        <v>I2641</v>
      </c>
    </row>
    <row r="6093" spans="1:6" x14ac:dyDescent="0.2">
      <c r="A6093" s="29" t="s">
        <v>15916</v>
      </c>
      <c r="B6093" s="30" t="s">
        <v>15917</v>
      </c>
      <c r="C6093" s="29" t="s">
        <v>26</v>
      </c>
      <c r="D6093" s="31">
        <v>294392.05</v>
      </c>
      <c r="F6093" s="3" t="str">
        <f t="shared" si="95"/>
        <v>I2681</v>
      </c>
    </row>
    <row r="6094" spans="1:6" x14ac:dyDescent="0.2">
      <c r="A6094" s="29" t="s">
        <v>15918</v>
      </c>
      <c r="B6094" s="30" t="s">
        <v>15919</v>
      </c>
      <c r="C6094" s="29" t="s">
        <v>26</v>
      </c>
      <c r="D6094" s="31">
        <v>554813.72</v>
      </c>
      <c r="F6094" s="3" t="str">
        <f t="shared" si="95"/>
        <v>I2682</v>
      </c>
    </row>
    <row r="6095" spans="1:6" x14ac:dyDescent="0.2">
      <c r="A6095" s="29" t="s">
        <v>15920</v>
      </c>
      <c r="B6095" s="30" t="s">
        <v>15921</v>
      </c>
      <c r="C6095" s="29" t="s">
        <v>26</v>
      </c>
      <c r="D6095" s="31">
        <v>837883.27</v>
      </c>
      <c r="F6095" s="3" t="str">
        <f t="shared" si="95"/>
        <v>I2683</v>
      </c>
    </row>
    <row r="6096" spans="1:6" x14ac:dyDescent="0.2">
      <c r="A6096" s="29" t="s">
        <v>15922</v>
      </c>
      <c r="B6096" s="30" t="s">
        <v>15923</v>
      </c>
      <c r="C6096" s="29" t="s">
        <v>26</v>
      </c>
      <c r="D6096" s="31">
        <v>333020.78999999998</v>
      </c>
      <c r="F6096" s="3" t="str">
        <f t="shared" si="95"/>
        <v>I2684</v>
      </c>
    </row>
    <row r="6097" spans="1:6" x14ac:dyDescent="0.2">
      <c r="A6097" s="29" t="s">
        <v>15924</v>
      </c>
      <c r="B6097" s="30" t="s">
        <v>15925</v>
      </c>
      <c r="C6097" s="29" t="s">
        <v>26</v>
      </c>
      <c r="D6097" s="31">
        <v>1200213.17</v>
      </c>
      <c r="F6097" s="3" t="str">
        <f t="shared" si="95"/>
        <v>I2685</v>
      </c>
    </row>
    <row r="6098" spans="1:6" ht="22.5" x14ac:dyDescent="0.2">
      <c r="A6098" s="29" t="s">
        <v>15926</v>
      </c>
      <c r="B6098" s="30" t="s">
        <v>15927</v>
      </c>
      <c r="C6098" s="29" t="s">
        <v>26</v>
      </c>
      <c r="D6098" s="31">
        <v>3335690</v>
      </c>
      <c r="F6098" s="3" t="str">
        <f t="shared" si="95"/>
        <v>I9534</v>
      </c>
    </row>
    <row r="6099" spans="1:6" ht="22.5" x14ac:dyDescent="0.2">
      <c r="A6099" s="29" t="s">
        <v>15928</v>
      </c>
      <c r="B6099" s="30" t="s">
        <v>15929</v>
      </c>
      <c r="C6099" s="29" t="s">
        <v>26</v>
      </c>
      <c r="D6099" s="31">
        <v>11767.21</v>
      </c>
      <c r="F6099" s="3" t="str">
        <f t="shared" si="95"/>
        <v>G0427</v>
      </c>
    </row>
    <row r="6100" spans="1:6" x14ac:dyDescent="0.2">
      <c r="A6100" s="29" t="s">
        <v>15930</v>
      </c>
      <c r="B6100" s="30" t="s">
        <v>15931</v>
      </c>
      <c r="C6100" s="29" t="s">
        <v>26</v>
      </c>
      <c r="D6100" s="31">
        <v>8200</v>
      </c>
      <c r="F6100" s="3" t="str">
        <f t="shared" si="95"/>
        <v>I9129</v>
      </c>
    </row>
    <row r="6101" spans="1:6" x14ac:dyDescent="0.2">
      <c r="A6101" s="29" t="s">
        <v>15932</v>
      </c>
      <c r="B6101" s="30" t="s">
        <v>15933</v>
      </c>
      <c r="C6101" s="29" t="s">
        <v>26</v>
      </c>
      <c r="D6101" s="31">
        <v>57115.71</v>
      </c>
      <c r="F6101" s="3" t="str">
        <f t="shared" si="95"/>
        <v>I8979</v>
      </c>
    </row>
    <row r="6102" spans="1:6" x14ac:dyDescent="0.2">
      <c r="A6102" s="29" t="s">
        <v>15934</v>
      </c>
      <c r="B6102" s="30" t="s">
        <v>15935</v>
      </c>
      <c r="C6102" s="29" t="s">
        <v>26</v>
      </c>
      <c r="D6102" s="31">
        <v>216544.29</v>
      </c>
      <c r="F6102" s="3" t="str">
        <f t="shared" si="95"/>
        <v>I9090</v>
      </c>
    </row>
    <row r="6103" spans="1:6" ht="22.5" x14ac:dyDescent="0.2">
      <c r="A6103" s="29" t="s">
        <v>15936</v>
      </c>
      <c r="B6103" s="30" t="s">
        <v>15937</v>
      </c>
      <c r="C6103" s="29" t="s">
        <v>26</v>
      </c>
      <c r="D6103" s="31">
        <v>224000</v>
      </c>
      <c r="F6103" s="3" t="str">
        <f t="shared" si="95"/>
        <v>G0424</v>
      </c>
    </row>
    <row r="6104" spans="1:6" x14ac:dyDescent="0.2">
      <c r="A6104" s="29" t="s">
        <v>15938</v>
      </c>
      <c r="B6104" s="30" t="s">
        <v>15939</v>
      </c>
      <c r="C6104" s="29" t="s">
        <v>26</v>
      </c>
      <c r="D6104" s="31">
        <v>38711.410000000003</v>
      </c>
      <c r="F6104" s="3" t="str">
        <f t="shared" si="95"/>
        <v>I2644</v>
      </c>
    </row>
    <row r="6105" spans="1:6" x14ac:dyDescent="0.2">
      <c r="A6105" s="29" t="s">
        <v>15940</v>
      </c>
      <c r="B6105" s="30" t="s">
        <v>15941</v>
      </c>
      <c r="C6105" s="29" t="s">
        <v>26</v>
      </c>
      <c r="D6105" s="31">
        <v>45289.97</v>
      </c>
      <c r="F6105" s="3" t="str">
        <f t="shared" si="95"/>
        <v>I2689</v>
      </c>
    </row>
    <row r="6106" spans="1:6" x14ac:dyDescent="0.2">
      <c r="A6106" s="29" t="s">
        <v>15942</v>
      </c>
      <c r="B6106" s="30" t="s">
        <v>15943</v>
      </c>
      <c r="C6106" s="29" t="s">
        <v>26</v>
      </c>
      <c r="D6106" s="31">
        <v>11980.93</v>
      </c>
      <c r="F6106" s="3" t="str">
        <f t="shared" si="95"/>
        <v>I8968</v>
      </c>
    </row>
    <row r="6107" spans="1:6" x14ac:dyDescent="0.2">
      <c r="A6107" s="29" t="s">
        <v>15944</v>
      </c>
      <c r="B6107" s="30" t="s">
        <v>15945</v>
      </c>
      <c r="C6107" s="29" t="s">
        <v>26</v>
      </c>
      <c r="D6107" s="31">
        <v>5746068.2999999998</v>
      </c>
      <c r="F6107" s="3" t="str">
        <f t="shared" si="95"/>
        <v>I2690</v>
      </c>
    </row>
    <row r="6108" spans="1:6" x14ac:dyDescent="0.2">
      <c r="A6108" s="29" t="s">
        <v>15946</v>
      </c>
      <c r="B6108" s="30" t="s">
        <v>15947</v>
      </c>
      <c r="C6108" s="29" t="s">
        <v>26</v>
      </c>
      <c r="D6108" s="31">
        <v>1276583.07</v>
      </c>
      <c r="F6108" s="3" t="str">
        <f t="shared" si="95"/>
        <v>I2645</v>
      </c>
    </row>
    <row r="6109" spans="1:6" x14ac:dyDescent="0.2">
      <c r="A6109" s="29" t="s">
        <v>15948</v>
      </c>
      <c r="B6109" s="30" t="s">
        <v>15949</v>
      </c>
      <c r="C6109" s="29" t="s">
        <v>26</v>
      </c>
      <c r="D6109" s="31">
        <v>87051.36</v>
      </c>
      <c r="F6109" s="3" t="str">
        <f t="shared" si="95"/>
        <v>I9384</v>
      </c>
    </row>
    <row r="6110" spans="1:6" x14ac:dyDescent="0.2">
      <c r="A6110" s="29" t="s">
        <v>15950</v>
      </c>
      <c r="B6110" s="30" t="s">
        <v>15951</v>
      </c>
      <c r="C6110" s="29" t="s">
        <v>26</v>
      </c>
      <c r="D6110" s="31">
        <v>61006.87</v>
      </c>
      <c r="F6110" s="3" t="str">
        <f t="shared" si="95"/>
        <v>I9387</v>
      </c>
    </row>
    <row r="6111" spans="1:6" x14ac:dyDescent="0.2">
      <c r="A6111" s="29" t="s">
        <v>15952</v>
      </c>
      <c r="B6111" s="30" t="s">
        <v>15953</v>
      </c>
      <c r="C6111" s="29" t="s">
        <v>26</v>
      </c>
      <c r="D6111" s="31">
        <v>2897714.4</v>
      </c>
      <c r="F6111" s="3" t="str">
        <f t="shared" si="95"/>
        <v>G0413</v>
      </c>
    </row>
    <row r="6112" spans="1:6" x14ac:dyDescent="0.2">
      <c r="A6112" s="29" t="s">
        <v>15954</v>
      </c>
      <c r="B6112" s="30" t="s">
        <v>15955</v>
      </c>
      <c r="C6112" s="29" t="s">
        <v>26</v>
      </c>
      <c r="D6112" s="31">
        <v>3458750.4</v>
      </c>
      <c r="F6112" s="3" t="str">
        <f t="shared" si="95"/>
        <v>G0417</v>
      </c>
    </row>
    <row r="6113" spans="1:6" x14ac:dyDescent="0.2">
      <c r="A6113" s="29" t="s">
        <v>15956</v>
      </c>
      <c r="B6113" s="30" t="s">
        <v>15957</v>
      </c>
      <c r="C6113" s="29" t="s">
        <v>26</v>
      </c>
      <c r="D6113" s="31">
        <v>7244.25</v>
      </c>
      <c r="F6113" s="3" t="str">
        <f t="shared" si="95"/>
        <v>I2686</v>
      </c>
    </row>
    <row r="6114" spans="1:6" x14ac:dyDescent="0.2">
      <c r="A6114" s="29" t="s">
        <v>15958</v>
      </c>
      <c r="B6114" s="30" t="s">
        <v>15959</v>
      </c>
      <c r="C6114" s="29" t="s">
        <v>26</v>
      </c>
      <c r="D6114" s="31">
        <v>18137.560000000001</v>
      </c>
      <c r="F6114" s="3" t="str">
        <f t="shared" si="95"/>
        <v>G0438</v>
      </c>
    </row>
    <row r="6115" spans="1:6" x14ac:dyDescent="0.2">
      <c r="A6115" s="29" t="s">
        <v>15960</v>
      </c>
      <c r="B6115" s="30" t="s">
        <v>15961</v>
      </c>
      <c r="C6115" s="29" t="s">
        <v>26</v>
      </c>
      <c r="D6115" s="31">
        <v>656.99</v>
      </c>
      <c r="F6115" s="3" t="str">
        <f t="shared" si="95"/>
        <v>I2687</v>
      </c>
    </row>
    <row r="6116" spans="1:6" x14ac:dyDescent="0.2">
      <c r="A6116" s="29" t="s">
        <v>15962</v>
      </c>
      <c r="B6116" s="30" t="s">
        <v>15963</v>
      </c>
      <c r="C6116" s="29" t="s">
        <v>26</v>
      </c>
      <c r="D6116" s="31">
        <v>153988.5</v>
      </c>
      <c r="F6116" s="3" t="str">
        <f t="shared" si="95"/>
        <v>I2642</v>
      </c>
    </row>
    <row r="6117" spans="1:6" x14ac:dyDescent="0.2">
      <c r="A6117" s="29" t="s">
        <v>15964</v>
      </c>
      <c r="B6117" s="30" t="s">
        <v>15965</v>
      </c>
      <c r="C6117" s="29" t="s">
        <v>26</v>
      </c>
      <c r="D6117" s="31">
        <v>99309.29</v>
      </c>
      <c r="F6117" s="3" t="str">
        <f t="shared" si="95"/>
        <v>I2688</v>
      </c>
    </row>
    <row r="6118" spans="1:6" x14ac:dyDescent="0.2">
      <c r="A6118" s="29" t="s">
        <v>15966</v>
      </c>
      <c r="B6118" s="30" t="s">
        <v>15967</v>
      </c>
      <c r="C6118" s="29" t="s">
        <v>26</v>
      </c>
      <c r="D6118" s="31">
        <v>611427.63</v>
      </c>
      <c r="F6118" s="3" t="str">
        <f t="shared" si="95"/>
        <v>I2643</v>
      </c>
    </row>
    <row r="6119" spans="1:6" x14ac:dyDescent="0.2">
      <c r="A6119" s="29" t="s">
        <v>15968</v>
      </c>
      <c r="B6119" s="30" t="s">
        <v>15969</v>
      </c>
      <c r="C6119" s="29" t="s">
        <v>26</v>
      </c>
      <c r="D6119" s="31">
        <v>12617.61</v>
      </c>
      <c r="F6119" s="3" t="str">
        <f t="shared" si="95"/>
        <v>I2691</v>
      </c>
    </row>
    <row r="6120" spans="1:6" ht="33.75" x14ac:dyDescent="0.2">
      <c r="A6120" s="29" t="s">
        <v>15970</v>
      </c>
      <c r="B6120" s="30" t="s">
        <v>15971</v>
      </c>
      <c r="C6120" s="29" t="s">
        <v>26</v>
      </c>
      <c r="D6120" s="31">
        <v>4104205</v>
      </c>
      <c r="F6120" s="3" t="str">
        <f t="shared" si="95"/>
        <v>I13306</v>
      </c>
    </row>
    <row r="6121" spans="1:6" x14ac:dyDescent="0.2">
      <c r="A6121" s="29" t="s">
        <v>15972</v>
      </c>
      <c r="B6121" s="30" t="s">
        <v>15973</v>
      </c>
      <c r="C6121" s="29" t="s">
        <v>26</v>
      </c>
      <c r="D6121" s="31">
        <v>13927.23</v>
      </c>
      <c r="F6121" s="3" t="str">
        <f t="shared" si="95"/>
        <v>I2647</v>
      </c>
    </row>
    <row r="6122" spans="1:6" x14ac:dyDescent="0.2">
      <c r="A6122" s="29" t="s">
        <v>15974</v>
      </c>
      <c r="B6122" s="30" t="s">
        <v>15046</v>
      </c>
      <c r="C6122" s="29" t="s">
        <v>26</v>
      </c>
      <c r="D6122" s="31">
        <v>46409.599999999999</v>
      </c>
      <c r="F6122" s="3" t="str">
        <f t="shared" si="95"/>
        <v>I2692</v>
      </c>
    </row>
    <row r="6123" spans="1:6" x14ac:dyDescent="0.2">
      <c r="A6123" s="29" t="s">
        <v>15975</v>
      </c>
      <c r="B6123" s="30" t="s">
        <v>15976</v>
      </c>
      <c r="C6123" s="29" t="s">
        <v>26</v>
      </c>
      <c r="D6123" s="31">
        <v>294384.78999999998</v>
      </c>
      <c r="F6123" s="3" t="str">
        <f t="shared" si="95"/>
        <v>I9523</v>
      </c>
    </row>
    <row r="6124" spans="1:6" x14ac:dyDescent="0.2">
      <c r="A6124" s="29" t="s">
        <v>15977</v>
      </c>
      <c r="B6124" s="30" t="s">
        <v>15978</v>
      </c>
      <c r="C6124" s="29" t="s">
        <v>26</v>
      </c>
      <c r="D6124" s="31">
        <v>24950.959999999999</v>
      </c>
      <c r="F6124" s="3" t="str">
        <f t="shared" si="95"/>
        <v>I2580</v>
      </c>
    </row>
    <row r="6125" spans="1:6" x14ac:dyDescent="0.2">
      <c r="A6125" s="29" t="s">
        <v>15979</v>
      </c>
      <c r="B6125" s="30" t="s">
        <v>15980</v>
      </c>
      <c r="C6125" s="29" t="s">
        <v>26</v>
      </c>
      <c r="D6125" s="31">
        <v>4529096.91</v>
      </c>
      <c r="F6125" s="3" t="str">
        <f t="shared" si="95"/>
        <v>I7419</v>
      </c>
    </row>
    <row r="6126" spans="1:6" x14ac:dyDescent="0.2">
      <c r="A6126" s="29" t="s">
        <v>15981</v>
      </c>
      <c r="B6126" s="30" t="s">
        <v>15982</v>
      </c>
      <c r="C6126" s="29" t="s">
        <v>26</v>
      </c>
      <c r="D6126" s="31">
        <v>40260.33</v>
      </c>
      <c r="F6126" s="3" t="str">
        <f t="shared" si="95"/>
        <v>I2648</v>
      </c>
    </row>
    <row r="6127" spans="1:6" x14ac:dyDescent="0.2">
      <c r="A6127" s="29" t="s">
        <v>15983</v>
      </c>
      <c r="B6127" s="30" t="s">
        <v>15984</v>
      </c>
      <c r="C6127" s="29" t="s">
        <v>26</v>
      </c>
      <c r="D6127" s="31">
        <v>312407.67</v>
      </c>
      <c r="F6127" s="3" t="str">
        <f t="shared" si="95"/>
        <v>I2583</v>
      </c>
    </row>
    <row r="6128" spans="1:6" x14ac:dyDescent="0.2">
      <c r="A6128" s="29" t="s">
        <v>15985</v>
      </c>
      <c r="B6128" s="30" t="s">
        <v>15986</v>
      </c>
      <c r="C6128" s="29" t="s">
        <v>26</v>
      </c>
      <c r="D6128" s="31">
        <v>1910.05</v>
      </c>
      <c r="F6128" s="3" t="str">
        <f t="shared" si="95"/>
        <v>G0441</v>
      </c>
    </row>
    <row r="6129" spans="1:6" x14ac:dyDescent="0.2">
      <c r="A6129" s="29" t="s">
        <v>15987</v>
      </c>
      <c r="B6129" s="30" t="s">
        <v>15988</v>
      </c>
      <c r="C6129" s="29" t="s">
        <v>26</v>
      </c>
      <c r="D6129" s="31">
        <v>20304.2</v>
      </c>
      <c r="F6129" s="3" t="str">
        <f t="shared" si="95"/>
        <v>I2650</v>
      </c>
    </row>
    <row r="6130" spans="1:6" x14ac:dyDescent="0.2">
      <c r="A6130" s="29" t="s">
        <v>15989</v>
      </c>
      <c r="B6130" s="30" t="s">
        <v>15990</v>
      </c>
      <c r="C6130" s="29" t="s">
        <v>26</v>
      </c>
      <c r="D6130" s="31">
        <v>3538.73</v>
      </c>
      <c r="F6130" s="3" t="str">
        <f t="shared" si="95"/>
        <v>I2584</v>
      </c>
    </row>
    <row r="6131" spans="1:6" x14ac:dyDescent="0.2">
      <c r="A6131" s="29" t="s">
        <v>15991</v>
      </c>
      <c r="B6131" s="30" t="s">
        <v>15992</v>
      </c>
      <c r="C6131" s="29" t="s">
        <v>26</v>
      </c>
      <c r="D6131" s="31">
        <v>21513.75</v>
      </c>
      <c r="F6131" s="3" t="str">
        <f t="shared" si="95"/>
        <v>I2585</v>
      </c>
    </row>
    <row r="6132" spans="1:6" x14ac:dyDescent="0.2">
      <c r="A6132" s="29" t="s">
        <v>15993</v>
      </c>
      <c r="B6132" s="30" t="s">
        <v>15994</v>
      </c>
      <c r="C6132" s="29" t="s">
        <v>26</v>
      </c>
      <c r="D6132" s="31">
        <v>9738.76</v>
      </c>
      <c r="F6132" s="3" t="str">
        <f t="shared" si="95"/>
        <v>I2581</v>
      </c>
    </row>
    <row r="6133" spans="1:6" x14ac:dyDescent="0.2">
      <c r="A6133" s="29" t="s">
        <v>15995</v>
      </c>
      <c r="B6133" s="30" t="s">
        <v>15996</v>
      </c>
      <c r="C6133" s="29" t="s">
        <v>26</v>
      </c>
      <c r="D6133" s="31">
        <v>14722</v>
      </c>
      <c r="F6133" s="3" t="str">
        <f t="shared" si="95"/>
        <v>I2582</v>
      </c>
    </row>
    <row r="6134" spans="1:6" x14ac:dyDescent="0.2">
      <c r="A6134" s="29" t="s">
        <v>15997</v>
      </c>
      <c r="B6134" s="30" t="s">
        <v>15998</v>
      </c>
      <c r="C6134" s="29" t="s">
        <v>26</v>
      </c>
      <c r="D6134" s="31">
        <v>4640.96</v>
      </c>
      <c r="F6134" s="3" t="str">
        <f t="shared" si="95"/>
        <v>I2586</v>
      </c>
    </row>
    <row r="6135" spans="1:6" ht="22.5" x14ac:dyDescent="0.2">
      <c r="A6135" s="29" t="s">
        <v>15999</v>
      </c>
      <c r="B6135" s="30" t="s">
        <v>16000</v>
      </c>
      <c r="C6135" s="29" t="s">
        <v>26</v>
      </c>
      <c r="D6135" s="31">
        <v>276303.90000000002</v>
      </c>
      <c r="F6135" s="3" t="str">
        <f t="shared" si="95"/>
        <v>I9097</v>
      </c>
    </row>
    <row r="6136" spans="1:6" x14ac:dyDescent="0.2">
      <c r="A6136" s="29" t="s">
        <v>16001</v>
      </c>
      <c r="B6136" s="30" t="s">
        <v>16002</v>
      </c>
      <c r="C6136" s="29" t="s">
        <v>26</v>
      </c>
      <c r="D6136" s="31">
        <v>252224</v>
      </c>
      <c r="F6136" s="3" t="str">
        <f t="shared" si="95"/>
        <v>G0420</v>
      </c>
    </row>
    <row r="6137" spans="1:6" x14ac:dyDescent="0.2">
      <c r="A6137" s="29" t="s">
        <v>16003</v>
      </c>
      <c r="B6137" s="30" t="s">
        <v>16004</v>
      </c>
      <c r="C6137" s="29" t="s">
        <v>26</v>
      </c>
      <c r="D6137" s="31">
        <v>1696.85</v>
      </c>
      <c r="F6137" s="3" t="str">
        <f t="shared" si="95"/>
        <v>I0977</v>
      </c>
    </row>
    <row r="6138" spans="1:6" x14ac:dyDescent="0.2">
      <c r="A6138" s="29" t="s">
        <v>16005</v>
      </c>
      <c r="B6138" s="30" t="s">
        <v>16006</v>
      </c>
      <c r="C6138" s="29" t="s">
        <v>26</v>
      </c>
      <c r="D6138" s="31">
        <v>1926</v>
      </c>
      <c r="F6138" s="3" t="str">
        <f t="shared" si="95"/>
        <v>I2651</v>
      </c>
    </row>
    <row r="6139" spans="1:6" x14ac:dyDescent="0.2">
      <c r="A6139" s="29" t="s">
        <v>16007</v>
      </c>
      <c r="B6139" s="30" t="s">
        <v>16008</v>
      </c>
      <c r="C6139" s="29" t="s">
        <v>26</v>
      </c>
      <c r="D6139" s="31">
        <v>2490.17</v>
      </c>
      <c r="F6139" s="3" t="str">
        <f t="shared" si="95"/>
        <v>I0979</v>
      </c>
    </row>
    <row r="6140" spans="1:6" x14ac:dyDescent="0.2">
      <c r="A6140" s="29" t="s">
        <v>16009</v>
      </c>
      <c r="B6140" s="30" t="s">
        <v>16010</v>
      </c>
      <c r="C6140" s="29" t="s">
        <v>26</v>
      </c>
      <c r="D6140" s="31">
        <v>3907.11</v>
      </c>
      <c r="F6140" s="3" t="str">
        <f t="shared" si="95"/>
        <v>I2587</v>
      </c>
    </row>
    <row r="6141" spans="1:6" x14ac:dyDescent="0.2">
      <c r="A6141" s="29" t="s">
        <v>16011</v>
      </c>
      <c r="B6141" s="30" t="s">
        <v>16012</v>
      </c>
      <c r="C6141" s="29" t="s">
        <v>26</v>
      </c>
      <c r="D6141" s="31">
        <v>6513.3</v>
      </c>
      <c r="F6141" s="3" t="str">
        <f t="shared" si="95"/>
        <v>I2588</v>
      </c>
    </row>
    <row r="6142" spans="1:6" x14ac:dyDescent="0.2">
      <c r="A6142" s="29" t="s">
        <v>16013</v>
      </c>
      <c r="B6142" s="30" t="s">
        <v>16014</v>
      </c>
      <c r="C6142" s="29" t="s">
        <v>26</v>
      </c>
      <c r="D6142" s="31">
        <v>424243.21</v>
      </c>
      <c r="F6142" s="3" t="str">
        <f t="shared" si="95"/>
        <v>I2652</v>
      </c>
    </row>
    <row r="6143" spans="1:6" x14ac:dyDescent="0.2">
      <c r="A6143" s="29" t="s">
        <v>16015</v>
      </c>
      <c r="B6143" s="30" t="s">
        <v>16016</v>
      </c>
      <c r="C6143" s="29" t="s">
        <v>26</v>
      </c>
      <c r="D6143" s="31">
        <v>24910.35</v>
      </c>
      <c r="F6143" s="3" t="str">
        <f t="shared" si="95"/>
        <v>I2589</v>
      </c>
    </row>
    <row r="6144" spans="1:6" x14ac:dyDescent="0.2">
      <c r="A6144" s="29" t="s">
        <v>16017</v>
      </c>
      <c r="B6144" s="30" t="s">
        <v>16018</v>
      </c>
      <c r="C6144" s="29" t="s">
        <v>26</v>
      </c>
      <c r="D6144" s="31">
        <v>968595</v>
      </c>
      <c r="F6144" s="3" t="str">
        <f t="shared" si="95"/>
        <v>I2655</v>
      </c>
    </row>
    <row r="6145" spans="1:6" x14ac:dyDescent="0.2">
      <c r="A6145" s="29" t="s">
        <v>16019</v>
      </c>
      <c r="B6145" s="30" t="s">
        <v>16020</v>
      </c>
      <c r="C6145" s="29" t="s">
        <v>26</v>
      </c>
      <c r="D6145" s="31">
        <v>3907211.17</v>
      </c>
      <c r="F6145" s="3" t="str">
        <f t="shared" si="95"/>
        <v>I2653</v>
      </c>
    </row>
    <row r="6146" spans="1:6" x14ac:dyDescent="0.2">
      <c r="A6146" s="29" t="s">
        <v>16021</v>
      </c>
      <c r="B6146" s="30" t="s">
        <v>16022</v>
      </c>
      <c r="C6146" s="29" t="s">
        <v>26</v>
      </c>
      <c r="D6146" s="31">
        <v>3721153.63</v>
      </c>
      <c r="F6146" s="3" t="str">
        <f t="shared" ref="F6146:F6209" si="96">A6146</f>
        <v>I2590</v>
      </c>
    </row>
    <row r="6147" spans="1:6" x14ac:dyDescent="0.2">
      <c r="A6147" s="29" t="s">
        <v>16023</v>
      </c>
      <c r="B6147" s="30" t="s">
        <v>16024</v>
      </c>
      <c r="C6147" s="29" t="s">
        <v>26</v>
      </c>
      <c r="D6147" s="31">
        <v>239380.72</v>
      </c>
      <c r="F6147" s="3" t="str">
        <f t="shared" si="96"/>
        <v>I2656</v>
      </c>
    </row>
    <row r="6148" spans="1:6" x14ac:dyDescent="0.2">
      <c r="A6148" s="29" t="s">
        <v>16025</v>
      </c>
      <c r="B6148" s="30" t="s">
        <v>16026</v>
      </c>
      <c r="C6148" s="29" t="s">
        <v>26</v>
      </c>
      <c r="D6148" s="31">
        <v>1924867.17</v>
      </c>
      <c r="F6148" s="3" t="str">
        <f t="shared" si="96"/>
        <v>I8396</v>
      </c>
    </row>
    <row r="6149" spans="1:6" x14ac:dyDescent="0.2">
      <c r="A6149" s="29" t="s">
        <v>16027</v>
      </c>
      <c r="B6149" s="30" t="s">
        <v>16028</v>
      </c>
      <c r="C6149" s="29" t="s">
        <v>26</v>
      </c>
      <c r="D6149" s="31">
        <v>192563.58</v>
      </c>
      <c r="F6149" s="3" t="str">
        <f t="shared" si="96"/>
        <v>I2658</v>
      </c>
    </row>
    <row r="6150" spans="1:6" x14ac:dyDescent="0.2">
      <c r="A6150" s="29" t="s">
        <v>16029</v>
      </c>
      <c r="B6150" s="30" t="s">
        <v>16030</v>
      </c>
      <c r="C6150" s="29" t="s">
        <v>26</v>
      </c>
      <c r="D6150" s="31">
        <v>3779481.8</v>
      </c>
      <c r="F6150" s="3" t="str">
        <f t="shared" si="96"/>
        <v>I2659</v>
      </c>
    </row>
    <row r="6151" spans="1:6" x14ac:dyDescent="0.2">
      <c r="A6151" s="29" t="s">
        <v>16031</v>
      </c>
      <c r="B6151" s="30" t="s">
        <v>16032</v>
      </c>
      <c r="C6151" s="29" t="s">
        <v>26</v>
      </c>
      <c r="D6151" s="31">
        <v>1132273.8700000001</v>
      </c>
      <c r="F6151" s="3" t="str">
        <f t="shared" si="96"/>
        <v>I2660</v>
      </c>
    </row>
    <row r="6152" spans="1:6" x14ac:dyDescent="0.2">
      <c r="A6152" s="29" t="s">
        <v>16033</v>
      </c>
      <c r="B6152" s="30" t="s">
        <v>16034</v>
      </c>
      <c r="C6152" s="29" t="s">
        <v>26</v>
      </c>
      <c r="D6152" s="31">
        <v>185580.51</v>
      </c>
      <c r="F6152" s="3" t="str">
        <f t="shared" si="96"/>
        <v>G0452</v>
      </c>
    </row>
    <row r="6153" spans="1:6" x14ac:dyDescent="0.2">
      <c r="A6153" s="29" t="s">
        <v>16035</v>
      </c>
      <c r="B6153" s="30" t="s">
        <v>16036</v>
      </c>
      <c r="C6153" s="29" t="s">
        <v>26</v>
      </c>
      <c r="D6153" s="31">
        <v>56526.89</v>
      </c>
      <c r="F6153" s="3" t="str">
        <f t="shared" si="96"/>
        <v>I2661</v>
      </c>
    </row>
    <row r="6154" spans="1:6" x14ac:dyDescent="0.2">
      <c r="A6154" s="29" t="s">
        <v>16037</v>
      </c>
      <c r="B6154" s="30" t="s">
        <v>16038</v>
      </c>
      <c r="C6154" s="29" t="s">
        <v>26</v>
      </c>
      <c r="D6154" s="31">
        <v>266879.35999999999</v>
      </c>
      <c r="F6154" s="3" t="str">
        <f t="shared" si="96"/>
        <v>G0448</v>
      </c>
    </row>
    <row r="6155" spans="1:6" x14ac:dyDescent="0.2">
      <c r="A6155" s="29" t="s">
        <v>16039</v>
      </c>
      <c r="B6155" s="30" t="s">
        <v>16040</v>
      </c>
      <c r="C6155" s="29" t="s">
        <v>26</v>
      </c>
      <c r="D6155" s="31">
        <v>74751.600000000006</v>
      </c>
      <c r="F6155" s="3" t="str">
        <f t="shared" si="96"/>
        <v>I2672</v>
      </c>
    </row>
    <row r="6156" spans="1:6" x14ac:dyDescent="0.2">
      <c r="A6156" s="29" t="s">
        <v>16041</v>
      </c>
      <c r="B6156" s="30" t="s">
        <v>16042</v>
      </c>
      <c r="C6156" s="29" t="s">
        <v>26</v>
      </c>
      <c r="D6156" s="31">
        <v>65580</v>
      </c>
      <c r="F6156" s="3" t="str">
        <f t="shared" si="96"/>
        <v>I2662</v>
      </c>
    </row>
    <row r="6157" spans="1:6" x14ac:dyDescent="0.2">
      <c r="A6157" s="29" t="s">
        <v>16043</v>
      </c>
      <c r="B6157" s="30" t="s">
        <v>16044</v>
      </c>
      <c r="C6157" s="29" t="s">
        <v>26</v>
      </c>
      <c r="D6157" s="31">
        <v>11710</v>
      </c>
      <c r="F6157" s="3" t="str">
        <f t="shared" si="96"/>
        <v>I2591</v>
      </c>
    </row>
    <row r="6158" spans="1:6" x14ac:dyDescent="0.2">
      <c r="A6158" s="29" t="s">
        <v>16045</v>
      </c>
      <c r="B6158" s="30" t="s">
        <v>16046</v>
      </c>
      <c r="C6158" s="29" t="s">
        <v>26</v>
      </c>
      <c r="D6158" s="31">
        <v>6558</v>
      </c>
      <c r="F6158" s="3" t="str">
        <f t="shared" si="96"/>
        <v>I2592</v>
      </c>
    </row>
    <row r="6159" spans="1:6" x14ac:dyDescent="0.2">
      <c r="A6159" s="29" t="s">
        <v>16047</v>
      </c>
      <c r="B6159" s="30" t="s">
        <v>16048</v>
      </c>
      <c r="C6159" s="29" t="s">
        <v>26</v>
      </c>
      <c r="D6159" s="31">
        <v>902681</v>
      </c>
      <c r="F6159" s="3" t="str">
        <f t="shared" si="96"/>
        <v>I2663</v>
      </c>
    </row>
    <row r="6160" spans="1:6" ht="15.75" customHeight="1" x14ac:dyDescent="0.2">
      <c r="A6160" s="32" t="s">
        <v>16049</v>
      </c>
      <c r="B6160" s="33"/>
      <c r="C6160" s="32">
        <v>0</v>
      </c>
      <c r="D6160" s="34">
        <v>0</v>
      </c>
      <c r="F6160" s="3" t="str">
        <f t="shared" si="96"/>
        <v>COTAÇÃO / EQ.CUSTO HORARIO</v>
      </c>
    </row>
    <row r="6161" spans="1:6" ht="25.5" x14ac:dyDescent="0.2">
      <c r="A6161" s="26" t="s">
        <v>14985</v>
      </c>
      <c r="B6161" s="27" t="s">
        <v>14986</v>
      </c>
      <c r="C6161" s="26" t="s">
        <v>14987</v>
      </c>
      <c r="D6161" s="28" t="e">
        <v>#VALUE!</v>
      </c>
      <c r="F6161" s="3" t="str">
        <f t="shared" si="96"/>
        <v>Insumo</v>
      </c>
    </row>
    <row r="6162" spans="1:6" x14ac:dyDescent="0.2">
      <c r="A6162" s="29" t="s">
        <v>16050</v>
      </c>
      <c r="B6162" s="30" t="s">
        <v>16051</v>
      </c>
      <c r="C6162" s="29" t="s">
        <v>558</v>
      </c>
      <c r="D6162" s="31">
        <v>0.58690925999999999</v>
      </c>
      <c r="F6162" s="3" t="str">
        <f t="shared" si="96"/>
        <v>I9518</v>
      </c>
    </row>
    <row r="6163" spans="1:6" x14ac:dyDescent="0.2">
      <c r="A6163" s="29" t="s">
        <v>16052</v>
      </c>
      <c r="B6163" s="30" t="s">
        <v>16053</v>
      </c>
      <c r="C6163" s="29" t="s">
        <v>558</v>
      </c>
      <c r="D6163" s="31">
        <v>1.06601886</v>
      </c>
      <c r="F6163" s="3" t="str">
        <f t="shared" si="96"/>
        <v>I9517</v>
      </c>
    </row>
    <row r="6164" spans="1:6" x14ac:dyDescent="0.2">
      <c r="A6164" s="29" t="s">
        <v>16054</v>
      </c>
      <c r="B6164" s="30" t="s">
        <v>16055</v>
      </c>
      <c r="C6164" s="29" t="s">
        <v>558</v>
      </c>
      <c r="D6164" s="31">
        <v>49.950934249999996</v>
      </c>
      <c r="F6164" s="3" t="str">
        <f t="shared" si="96"/>
        <v>I0564</v>
      </c>
    </row>
    <row r="6165" spans="1:6" x14ac:dyDescent="0.2">
      <c r="A6165" s="29" t="s">
        <v>16056</v>
      </c>
      <c r="B6165" s="30" t="s">
        <v>16057</v>
      </c>
      <c r="C6165" s="29" t="s">
        <v>558</v>
      </c>
      <c r="D6165" s="31">
        <v>73.086501749999996</v>
      </c>
      <c r="F6165" s="3" t="str">
        <f t="shared" si="96"/>
        <v>I0678</v>
      </c>
    </row>
    <row r="6166" spans="1:6" x14ac:dyDescent="0.2">
      <c r="A6166" s="29" t="s">
        <v>16058</v>
      </c>
      <c r="B6166" s="30" t="s">
        <v>16059</v>
      </c>
      <c r="C6166" s="29" t="s">
        <v>558</v>
      </c>
      <c r="D6166" s="31">
        <v>58.611508888888892</v>
      </c>
      <c r="F6166" s="3" t="str">
        <f t="shared" si="96"/>
        <v>I0565</v>
      </c>
    </row>
    <row r="6167" spans="1:6" x14ac:dyDescent="0.2">
      <c r="A6167" s="29" t="s">
        <v>16060</v>
      </c>
      <c r="B6167" s="30" t="s">
        <v>16061</v>
      </c>
      <c r="C6167" s="29" t="s">
        <v>558</v>
      </c>
      <c r="D6167" s="31">
        <v>103.92316444444445</v>
      </c>
      <c r="F6167" s="3" t="str">
        <f t="shared" si="96"/>
        <v>I0679</v>
      </c>
    </row>
    <row r="6168" spans="1:6" x14ac:dyDescent="0.2">
      <c r="A6168" s="29" t="s">
        <v>16062</v>
      </c>
      <c r="B6168" s="30" t="s">
        <v>16063</v>
      </c>
      <c r="C6168" s="29" t="s">
        <v>558</v>
      </c>
      <c r="D6168" s="31">
        <v>22.810000064</v>
      </c>
      <c r="F6168" s="3" t="str">
        <f t="shared" si="96"/>
        <v>I0566</v>
      </c>
    </row>
    <row r="6169" spans="1:6" x14ac:dyDescent="0.2">
      <c r="A6169" s="29" t="s">
        <v>16064</v>
      </c>
      <c r="B6169" s="30" t="s">
        <v>16065</v>
      </c>
      <c r="C6169" s="29" t="s">
        <v>558</v>
      </c>
      <c r="D6169" s="31">
        <v>29.096316464000001</v>
      </c>
      <c r="F6169" s="3" t="str">
        <f t="shared" si="96"/>
        <v>I0680</v>
      </c>
    </row>
    <row r="6170" spans="1:6" x14ac:dyDescent="0.2">
      <c r="A6170" s="29" t="s">
        <v>16066</v>
      </c>
      <c r="B6170" s="30" t="s">
        <v>16067</v>
      </c>
      <c r="C6170" s="29" t="s">
        <v>558</v>
      </c>
      <c r="D6170" s="31">
        <v>22.430848000000001</v>
      </c>
      <c r="F6170" s="3" t="str">
        <f t="shared" si="96"/>
        <v>I0567</v>
      </c>
    </row>
    <row r="6171" spans="1:6" x14ac:dyDescent="0.2">
      <c r="A6171" s="29" t="s">
        <v>16068</v>
      </c>
      <c r="B6171" s="30" t="s">
        <v>16069</v>
      </c>
      <c r="C6171" s="29" t="s">
        <v>558</v>
      </c>
      <c r="D6171" s="31">
        <v>22.935648</v>
      </c>
      <c r="F6171" s="3" t="str">
        <f t="shared" si="96"/>
        <v>I0681</v>
      </c>
    </row>
    <row r="6172" spans="1:6" x14ac:dyDescent="0.2">
      <c r="A6172" s="29" t="s">
        <v>16070</v>
      </c>
      <c r="B6172" s="30" t="s">
        <v>16071</v>
      </c>
      <c r="C6172" s="29" t="s">
        <v>558</v>
      </c>
      <c r="D6172" s="31">
        <v>23.984643200000001</v>
      </c>
      <c r="F6172" s="3" t="str">
        <f t="shared" si="96"/>
        <v>I0568</v>
      </c>
    </row>
    <row r="6173" spans="1:6" x14ac:dyDescent="0.2">
      <c r="A6173" s="29" t="s">
        <v>16072</v>
      </c>
      <c r="B6173" s="30" t="s">
        <v>16073</v>
      </c>
      <c r="C6173" s="29" t="s">
        <v>558</v>
      </c>
      <c r="D6173" s="31">
        <v>25.176963199999999</v>
      </c>
      <c r="F6173" s="3" t="str">
        <f t="shared" si="96"/>
        <v>I0682</v>
      </c>
    </row>
    <row r="6174" spans="1:6" x14ac:dyDescent="0.2">
      <c r="A6174" s="29" t="s">
        <v>16074</v>
      </c>
      <c r="B6174" s="30" t="s">
        <v>16075</v>
      </c>
      <c r="C6174" s="29" t="s">
        <v>558</v>
      </c>
      <c r="D6174" s="31">
        <v>25.517708799999998</v>
      </c>
      <c r="F6174" s="3" t="str">
        <f t="shared" si="96"/>
        <v>I0569</v>
      </c>
    </row>
    <row r="6175" spans="1:6" x14ac:dyDescent="0.2">
      <c r="A6175" s="29" t="s">
        <v>16076</v>
      </c>
      <c r="B6175" s="30" t="s">
        <v>16077</v>
      </c>
      <c r="C6175" s="29" t="s">
        <v>558</v>
      </c>
      <c r="D6175" s="31">
        <v>34.254338799999999</v>
      </c>
      <c r="F6175" s="3" t="str">
        <f t="shared" si="96"/>
        <v>I0683</v>
      </c>
    </row>
    <row r="6176" spans="1:6" x14ac:dyDescent="0.2">
      <c r="A6176" s="29" t="s">
        <v>16078</v>
      </c>
      <c r="B6176" s="30" t="s">
        <v>16079</v>
      </c>
      <c r="C6176" s="29" t="s">
        <v>558</v>
      </c>
      <c r="D6176" s="31">
        <v>0.62330799999999997</v>
      </c>
      <c r="F6176" s="3" t="str">
        <f t="shared" si="96"/>
        <v>I0570</v>
      </c>
    </row>
    <row r="6177" spans="1:6" x14ac:dyDescent="0.2">
      <c r="A6177" s="29" t="s">
        <v>16080</v>
      </c>
      <c r="B6177" s="30" t="s">
        <v>16081</v>
      </c>
      <c r="C6177" s="29" t="s">
        <v>558</v>
      </c>
      <c r="D6177" s="31">
        <v>1.0094279999999998</v>
      </c>
      <c r="F6177" s="3" t="str">
        <f t="shared" si="96"/>
        <v>I0684</v>
      </c>
    </row>
    <row r="6178" spans="1:6" x14ac:dyDescent="0.2">
      <c r="A6178" s="29" t="s">
        <v>16082</v>
      </c>
      <c r="B6178" s="30" t="s">
        <v>16083</v>
      </c>
      <c r="C6178" s="29" t="s">
        <v>558</v>
      </c>
      <c r="D6178" s="31">
        <v>1.0822386666666666</v>
      </c>
      <c r="F6178" s="3" t="str">
        <f t="shared" si="96"/>
        <v>I0571</v>
      </c>
    </row>
    <row r="6179" spans="1:6" x14ac:dyDescent="0.2">
      <c r="A6179" s="29" t="s">
        <v>16084</v>
      </c>
      <c r="B6179" s="30" t="s">
        <v>16085</v>
      </c>
      <c r="C6179" s="29" t="s">
        <v>558</v>
      </c>
      <c r="D6179" s="31">
        <v>1.7526519999999999</v>
      </c>
      <c r="F6179" s="3" t="str">
        <f t="shared" si="96"/>
        <v>I0685</v>
      </c>
    </row>
    <row r="6180" spans="1:6" x14ac:dyDescent="0.2">
      <c r="A6180" s="29" t="s">
        <v>16086</v>
      </c>
      <c r="B6180" s="30" t="s">
        <v>16087</v>
      </c>
      <c r="C6180" s="29" t="s">
        <v>558</v>
      </c>
      <c r="D6180" s="31">
        <v>0.94091333333333338</v>
      </c>
      <c r="F6180" s="3" t="str">
        <f t="shared" si="96"/>
        <v>I0572</v>
      </c>
    </row>
    <row r="6181" spans="1:6" x14ac:dyDescent="0.2">
      <c r="A6181" s="29" t="s">
        <v>16088</v>
      </c>
      <c r="B6181" s="30" t="s">
        <v>16089</v>
      </c>
      <c r="C6181" s="29" t="s">
        <v>558</v>
      </c>
      <c r="D6181" s="31">
        <v>1.5237799999999999</v>
      </c>
      <c r="F6181" s="3" t="str">
        <f t="shared" si="96"/>
        <v>I0686</v>
      </c>
    </row>
    <row r="6182" spans="1:6" x14ac:dyDescent="0.2">
      <c r="A6182" s="29" t="s">
        <v>16090</v>
      </c>
      <c r="B6182" s="30" t="s">
        <v>16091</v>
      </c>
      <c r="C6182" s="29" t="s">
        <v>558</v>
      </c>
      <c r="D6182" s="31">
        <v>1.2704213333333332</v>
      </c>
      <c r="F6182" s="3" t="str">
        <f t="shared" si="96"/>
        <v>I0573</v>
      </c>
    </row>
    <row r="6183" spans="1:6" x14ac:dyDescent="0.2">
      <c r="A6183" s="29" t="s">
        <v>16092</v>
      </c>
      <c r="B6183" s="30" t="s">
        <v>16093</v>
      </c>
      <c r="C6183" s="29" t="s">
        <v>558</v>
      </c>
      <c r="D6183" s="31">
        <v>2.0574079999999997</v>
      </c>
      <c r="F6183" s="3" t="str">
        <f t="shared" si="96"/>
        <v>I0687</v>
      </c>
    </row>
    <row r="6184" spans="1:6" x14ac:dyDescent="0.2">
      <c r="A6184" s="29" t="s">
        <v>16094</v>
      </c>
      <c r="B6184" s="30" t="s">
        <v>16095</v>
      </c>
      <c r="C6184" s="29" t="s">
        <v>558</v>
      </c>
      <c r="D6184" s="31">
        <v>67.935858730000007</v>
      </c>
      <c r="F6184" s="3" t="str">
        <f t="shared" si="96"/>
        <v>I9521</v>
      </c>
    </row>
    <row r="6185" spans="1:6" x14ac:dyDescent="0.2">
      <c r="A6185" s="29" t="s">
        <v>16096</v>
      </c>
      <c r="B6185" s="30" t="s">
        <v>16097</v>
      </c>
      <c r="C6185" s="29" t="s">
        <v>558</v>
      </c>
      <c r="D6185" s="31">
        <v>96.831523430000004</v>
      </c>
      <c r="F6185" s="3" t="str">
        <f t="shared" si="96"/>
        <v>I9520</v>
      </c>
    </row>
    <row r="6186" spans="1:6" x14ac:dyDescent="0.2">
      <c r="A6186" s="29" t="s">
        <v>16098</v>
      </c>
      <c r="B6186" s="30" t="s">
        <v>16099</v>
      </c>
      <c r="C6186" s="29" t="s">
        <v>558</v>
      </c>
      <c r="D6186" s="31">
        <v>25.121593000000001</v>
      </c>
      <c r="F6186" s="3" t="str">
        <f t="shared" si="96"/>
        <v>I0592</v>
      </c>
    </row>
    <row r="6187" spans="1:6" x14ac:dyDescent="0.2">
      <c r="A6187" s="29" t="s">
        <v>16100</v>
      </c>
      <c r="B6187" s="30" t="s">
        <v>16101</v>
      </c>
      <c r="C6187" s="29" t="s">
        <v>558</v>
      </c>
      <c r="D6187" s="31">
        <v>79.482633000000007</v>
      </c>
      <c r="F6187" s="3" t="str">
        <f t="shared" si="96"/>
        <v>I0700</v>
      </c>
    </row>
    <row r="6188" spans="1:6" x14ac:dyDescent="0.2">
      <c r="A6188" s="29" t="s">
        <v>16102</v>
      </c>
      <c r="B6188" s="30" t="s">
        <v>16103</v>
      </c>
      <c r="C6188" s="29" t="s">
        <v>558</v>
      </c>
      <c r="D6188" s="31">
        <v>50.388205333333332</v>
      </c>
      <c r="F6188" s="3" t="str">
        <f t="shared" si="96"/>
        <v>I0574</v>
      </c>
    </row>
    <row r="6189" spans="1:6" x14ac:dyDescent="0.2">
      <c r="A6189" s="29" t="s">
        <v>16104</v>
      </c>
      <c r="B6189" s="30" t="s">
        <v>16105</v>
      </c>
      <c r="C6189" s="29" t="s">
        <v>558</v>
      </c>
      <c r="D6189" s="31">
        <v>145.73348533333333</v>
      </c>
      <c r="F6189" s="3" t="str">
        <f t="shared" si="96"/>
        <v>I0701</v>
      </c>
    </row>
    <row r="6190" spans="1:6" x14ac:dyDescent="0.2">
      <c r="A6190" s="29" t="s">
        <v>16106</v>
      </c>
      <c r="B6190" s="30" t="s">
        <v>16107</v>
      </c>
      <c r="C6190" s="29" t="s">
        <v>558</v>
      </c>
      <c r="D6190" s="31">
        <v>51.564460000000004</v>
      </c>
      <c r="F6190" s="3" t="str">
        <f t="shared" si="96"/>
        <v>I0575</v>
      </c>
    </row>
    <row r="6191" spans="1:6" x14ac:dyDescent="0.2">
      <c r="A6191" s="29" t="s">
        <v>16108</v>
      </c>
      <c r="B6191" s="30" t="s">
        <v>16109</v>
      </c>
      <c r="C6191" s="29" t="s">
        <v>558</v>
      </c>
      <c r="D6191" s="31">
        <v>148.15886</v>
      </c>
      <c r="F6191" s="3" t="str">
        <f t="shared" si="96"/>
        <v>I0702</v>
      </c>
    </row>
    <row r="6192" spans="1:6" x14ac:dyDescent="0.2">
      <c r="A6192" s="29" t="s">
        <v>16110</v>
      </c>
      <c r="B6192" s="30" t="s">
        <v>16111</v>
      </c>
      <c r="C6192" s="29" t="s">
        <v>558</v>
      </c>
      <c r="D6192" s="31">
        <v>68.866064808823538</v>
      </c>
      <c r="F6192" s="3" t="str">
        <f t="shared" si="96"/>
        <v>I0576</v>
      </c>
    </row>
    <row r="6193" spans="1:6" x14ac:dyDescent="0.2">
      <c r="A6193" s="29" t="s">
        <v>16112</v>
      </c>
      <c r="B6193" s="30" t="s">
        <v>16113</v>
      </c>
      <c r="C6193" s="29" t="s">
        <v>558</v>
      </c>
      <c r="D6193" s="31">
        <v>210.42718422058823</v>
      </c>
      <c r="F6193" s="3" t="str">
        <f t="shared" si="96"/>
        <v>I0688</v>
      </c>
    </row>
    <row r="6194" spans="1:6" x14ac:dyDescent="0.2">
      <c r="A6194" s="29" t="s">
        <v>16114</v>
      </c>
      <c r="B6194" s="30" t="s">
        <v>16115</v>
      </c>
      <c r="C6194" s="29" t="s">
        <v>558</v>
      </c>
      <c r="D6194" s="31">
        <v>62.849107058823527</v>
      </c>
      <c r="F6194" s="3" t="str">
        <f t="shared" si="96"/>
        <v>I0578</v>
      </c>
    </row>
    <row r="6195" spans="1:6" x14ac:dyDescent="0.2">
      <c r="A6195" s="29" t="s">
        <v>16116</v>
      </c>
      <c r="B6195" s="30" t="s">
        <v>16117</v>
      </c>
      <c r="C6195" s="29" t="s">
        <v>558</v>
      </c>
      <c r="D6195" s="31">
        <v>173.71023647058823</v>
      </c>
      <c r="F6195" s="3" t="str">
        <f t="shared" si="96"/>
        <v>I0690</v>
      </c>
    </row>
    <row r="6196" spans="1:6" x14ac:dyDescent="0.2">
      <c r="A6196" s="29" t="s">
        <v>16118</v>
      </c>
      <c r="B6196" s="30" t="s">
        <v>16119</v>
      </c>
      <c r="C6196" s="29" t="s">
        <v>558</v>
      </c>
      <c r="D6196" s="31">
        <v>82.360974044117654</v>
      </c>
      <c r="F6196" s="3" t="str">
        <f t="shared" si="96"/>
        <v>I0580</v>
      </c>
    </row>
    <row r="6197" spans="1:6" x14ac:dyDescent="0.2">
      <c r="A6197" s="29" t="s">
        <v>16120</v>
      </c>
      <c r="B6197" s="30" t="s">
        <v>16121</v>
      </c>
      <c r="C6197" s="29" t="s">
        <v>558</v>
      </c>
      <c r="D6197" s="31">
        <v>239.05657110294118</v>
      </c>
      <c r="F6197" s="3" t="str">
        <f t="shared" si="96"/>
        <v>I0692</v>
      </c>
    </row>
    <row r="6198" spans="1:6" x14ac:dyDescent="0.2">
      <c r="A6198" s="29" t="s">
        <v>16122</v>
      </c>
      <c r="B6198" s="30" t="s">
        <v>16123</v>
      </c>
      <c r="C6198" s="29" t="s">
        <v>558</v>
      </c>
      <c r="D6198" s="31">
        <v>49.966632466666674</v>
      </c>
      <c r="F6198" s="3" t="str">
        <f t="shared" si="96"/>
        <v>I0583</v>
      </c>
    </row>
    <row r="6199" spans="1:6" x14ac:dyDescent="0.2">
      <c r="A6199" s="29" t="s">
        <v>16124</v>
      </c>
      <c r="B6199" s="30" t="s">
        <v>16125</v>
      </c>
      <c r="C6199" s="29" t="s">
        <v>558</v>
      </c>
      <c r="D6199" s="31">
        <v>122.90822446666667</v>
      </c>
      <c r="F6199" s="3" t="str">
        <f t="shared" si="96"/>
        <v>I0704</v>
      </c>
    </row>
    <row r="6200" spans="1:6" x14ac:dyDescent="0.2">
      <c r="A6200" s="29" t="s">
        <v>16126</v>
      </c>
      <c r="B6200" s="30" t="s">
        <v>16127</v>
      </c>
      <c r="C6200" s="29" t="s">
        <v>558</v>
      </c>
      <c r="D6200" s="31">
        <v>63.295856333333333</v>
      </c>
      <c r="F6200" s="3" t="str">
        <f t="shared" si="96"/>
        <v>I0581</v>
      </c>
    </row>
    <row r="6201" spans="1:6" x14ac:dyDescent="0.2">
      <c r="A6201" s="29" t="s">
        <v>16128</v>
      </c>
      <c r="B6201" s="30" t="s">
        <v>16129</v>
      </c>
      <c r="C6201" s="29" t="s">
        <v>558</v>
      </c>
      <c r="D6201" s="31">
        <v>172.34837633333333</v>
      </c>
      <c r="F6201" s="3" t="str">
        <f t="shared" si="96"/>
        <v>I0703</v>
      </c>
    </row>
    <row r="6202" spans="1:6" x14ac:dyDescent="0.2">
      <c r="A6202" s="29" t="s">
        <v>16130</v>
      </c>
      <c r="B6202" s="30" t="s">
        <v>16131</v>
      </c>
      <c r="C6202" s="29" t="s">
        <v>558</v>
      </c>
      <c r="D6202" s="31">
        <v>66.682790266666672</v>
      </c>
      <c r="F6202" s="3" t="str">
        <f t="shared" si="96"/>
        <v>I0582</v>
      </c>
    </row>
    <row r="6203" spans="1:6" x14ac:dyDescent="0.2">
      <c r="A6203" s="29" t="s">
        <v>16132</v>
      </c>
      <c r="B6203" s="30" t="s">
        <v>16133</v>
      </c>
      <c r="C6203" s="29" t="s">
        <v>558</v>
      </c>
      <c r="D6203" s="31">
        <v>203.28405426666666</v>
      </c>
      <c r="F6203" s="3" t="str">
        <f t="shared" si="96"/>
        <v>I0693</v>
      </c>
    </row>
    <row r="6204" spans="1:6" x14ac:dyDescent="0.2">
      <c r="A6204" s="29" t="s">
        <v>16134</v>
      </c>
      <c r="B6204" s="30" t="s">
        <v>16135</v>
      </c>
      <c r="C6204" s="29" t="s">
        <v>558</v>
      </c>
      <c r="D6204" s="31">
        <v>62.041160833333336</v>
      </c>
      <c r="F6204" s="3" t="str">
        <f t="shared" si="96"/>
        <v>I0584</v>
      </c>
    </row>
    <row r="6205" spans="1:6" x14ac:dyDescent="0.2">
      <c r="A6205" s="29" t="s">
        <v>16136</v>
      </c>
      <c r="B6205" s="30" t="s">
        <v>16137</v>
      </c>
      <c r="C6205" s="29" t="s">
        <v>558</v>
      </c>
      <c r="D6205" s="31">
        <v>169.76126083333332</v>
      </c>
      <c r="F6205" s="3" t="str">
        <f t="shared" si="96"/>
        <v>I0705</v>
      </c>
    </row>
    <row r="6206" spans="1:6" x14ac:dyDescent="0.2">
      <c r="A6206" s="29" t="s">
        <v>16138</v>
      </c>
      <c r="B6206" s="30" t="s">
        <v>16139</v>
      </c>
      <c r="C6206" s="29" t="s">
        <v>558</v>
      </c>
      <c r="D6206" s="31">
        <v>109.148633168</v>
      </c>
      <c r="F6206" s="3" t="str">
        <f t="shared" si="96"/>
        <v>I0585</v>
      </c>
    </row>
    <row r="6207" spans="1:6" x14ac:dyDescent="0.2">
      <c r="A6207" s="29" t="s">
        <v>16140</v>
      </c>
      <c r="B6207" s="30" t="s">
        <v>16141</v>
      </c>
      <c r="C6207" s="29" t="s">
        <v>558</v>
      </c>
      <c r="D6207" s="31">
        <v>280.561523088</v>
      </c>
      <c r="F6207" s="3" t="str">
        <f t="shared" si="96"/>
        <v>I0694</v>
      </c>
    </row>
    <row r="6208" spans="1:6" x14ac:dyDescent="0.2">
      <c r="A6208" s="29" t="s">
        <v>16142</v>
      </c>
      <c r="B6208" s="30" t="s">
        <v>16143</v>
      </c>
      <c r="C6208" s="29" t="s">
        <v>558</v>
      </c>
      <c r="D6208" s="31">
        <v>139.38933125599999</v>
      </c>
      <c r="F6208" s="3" t="str">
        <f t="shared" si="96"/>
        <v>I0587</v>
      </c>
    </row>
    <row r="6209" spans="1:6" x14ac:dyDescent="0.2">
      <c r="A6209" s="29" t="s">
        <v>16144</v>
      </c>
      <c r="B6209" s="30" t="s">
        <v>16145</v>
      </c>
      <c r="C6209" s="29" t="s">
        <v>558</v>
      </c>
      <c r="D6209" s="31">
        <v>314.05907589600002</v>
      </c>
      <c r="F6209" s="3" t="str">
        <f t="shared" si="96"/>
        <v>I0696</v>
      </c>
    </row>
    <row r="6210" spans="1:6" x14ac:dyDescent="0.2">
      <c r="A6210" s="29" t="s">
        <v>16146</v>
      </c>
      <c r="B6210" s="30" t="s">
        <v>16147</v>
      </c>
      <c r="C6210" s="29" t="s">
        <v>558</v>
      </c>
      <c r="D6210" s="31">
        <v>66.728659558823537</v>
      </c>
      <c r="F6210" s="3" t="str">
        <f t="shared" ref="F6210:F6273" si="97">A6210</f>
        <v>I0588</v>
      </c>
    </row>
    <row r="6211" spans="1:6" x14ac:dyDescent="0.2">
      <c r="A6211" s="29" t="s">
        <v>16148</v>
      </c>
      <c r="B6211" s="30" t="s">
        <v>16149</v>
      </c>
      <c r="C6211" s="29" t="s">
        <v>558</v>
      </c>
      <c r="D6211" s="31">
        <v>181.94068897058824</v>
      </c>
      <c r="F6211" s="3" t="str">
        <f t="shared" si="97"/>
        <v>I0706</v>
      </c>
    </row>
    <row r="6212" spans="1:6" x14ac:dyDescent="0.2">
      <c r="A6212" s="29" t="s">
        <v>16150</v>
      </c>
      <c r="B6212" s="30" t="s">
        <v>16151</v>
      </c>
      <c r="C6212" s="29" t="s">
        <v>558</v>
      </c>
      <c r="D6212" s="31">
        <v>70.494107573529419</v>
      </c>
      <c r="F6212" s="3" t="str">
        <f t="shared" si="97"/>
        <v>I0590</v>
      </c>
    </row>
    <row r="6213" spans="1:6" x14ac:dyDescent="0.2">
      <c r="A6213" s="29" t="s">
        <v>16152</v>
      </c>
      <c r="B6213" s="30" t="s">
        <v>16153</v>
      </c>
      <c r="C6213" s="29" t="s">
        <v>558</v>
      </c>
      <c r="D6213" s="31">
        <v>213.88106933823528</v>
      </c>
      <c r="F6213" s="3" t="str">
        <f t="shared" si="97"/>
        <v>I0698</v>
      </c>
    </row>
    <row r="6214" spans="1:6" x14ac:dyDescent="0.2">
      <c r="A6214" s="29" t="s">
        <v>16154</v>
      </c>
      <c r="B6214" s="30" t="s">
        <v>16155</v>
      </c>
      <c r="C6214" s="29" t="s">
        <v>558</v>
      </c>
      <c r="D6214" s="31">
        <v>13.746978775384617</v>
      </c>
      <c r="F6214" s="3" t="str">
        <f t="shared" si="97"/>
        <v>I0593</v>
      </c>
    </row>
    <row r="6215" spans="1:6" x14ac:dyDescent="0.2">
      <c r="A6215" s="29" t="s">
        <v>16156</v>
      </c>
      <c r="B6215" s="30" t="s">
        <v>16157</v>
      </c>
      <c r="C6215" s="29" t="s">
        <v>558</v>
      </c>
      <c r="D6215" s="31">
        <v>18.764124313846157</v>
      </c>
      <c r="F6215" s="3" t="str">
        <f t="shared" si="97"/>
        <v>I0707</v>
      </c>
    </row>
    <row r="6216" spans="1:6" x14ac:dyDescent="0.2">
      <c r="A6216" s="29" t="s">
        <v>16158</v>
      </c>
      <c r="B6216" s="30" t="s">
        <v>16159</v>
      </c>
      <c r="C6216" s="29" t="s">
        <v>558</v>
      </c>
      <c r="D6216" s="31">
        <v>84.407201528571434</v>
      </c>
      <c r="F6216" s="3" t="str">
        <f t="shared" si="97"/>
        <v>I0594</v>
      </c>
    </row>
    <row r="6217" spans="1:6" x14ac:dyDescent="0.2">
      <c r="A6217" s="29" t="s">
        <v>16160</v>
      </c>
      <c r="B6217" s="30" t="s">
        <v>16161</v>
      </c>
      <c r="C6217" s="29" t="s">
        <v>558</v>
      </c>
      <c r="D6217" s="31">
        <v>229.84270324285714</v>
      </c>
      <c r="F6217" s="3" t="str">
        <f t="shared" si="97"/>
        <v>I0708</v>
      </c>
    </row>
    <row r="6218" spans="1:6" x14ac:dyDescent="0.2">
      <c r="A6218" s="29" t="s">
        <v>16162</v>
      </c>
      <c r="B6218" s="30" t="s">
        <v>16163</v>
      </c>
      <c r="C6218" s="29" t="s">
        <v>558</v>
      </c>
      <c r="D6218" s="31">
        <v>106.34678571428572</v>
      </c>
      <c r="F6218" s="3" t="str">
        <f t="shared" si="97"/>
        <v>I0596</v>
      </c>
    </row>
    <row r="6219" spans="1:6" x14ac:dyDescent="0.2">
      <c r="A6219" s="29" t="s">
        <v>16164</v>
      </c>
      <c r="B6219" s="30" t="s">
        <v>16165</v>
      </c>
      <c r="C6219" s="29" t="s">
        <v>558</v>
      </c>
      <c r="D6219" s="31">
        <v>328.03392857142859</v>
      </c>
      <c r="F6219" s="3" t="str">
        <f t="shared" si="97"/>
        <v>I0710</v>
      </c>
    </row>
    <row r="6220" spans="1:6" x14ac:dyDescent="0.2">
      <c r="A6220" s="29" t="s">
        <v>16166</v>
      </c>
      <c r="B6220" s="30" t="s">
        <v>16167</v>
      </c>
      <c r="C6220" s="29" t="s">
        <v>558</v>
      </c>
      <c r="D6220" s="31">
        <v>0.35935325000000001</v>
      </c>
      <c r="F6220" s="3" t="str">
        <f t="shared" si="97"/>
        <v>I0598</v>
      </c>
    </row>
    <row r="6221" spans="1:6" x14ac:dyDescent="0.2">
      <c r="A6221" s="29" t="s">
        <v>16168</v>
      </c>
      <c r="B6221" s="30" t="s">
        <v>16169</v>
      </c>
      <c r="C6221" s="29" t="s">
        <v>558</v>
      </c>
      <c r="D6221" s="31">
        <v>0.52885950000000004</v>
      </c>
      <c r="F6221" s="3" t="str">
        <f t="shared" si="97"/>
        <v>I0712</v>
      </c>
    </row>
    <row r="6222" spans="1:6" x14ac:dyDescent="0.2">
      <c r="A6222" s="29" t="s">
        <v>16170</v>
      </c>
      <c r="B6222" s="30" t="s">
        <v>16171</v>
      </c>
      <c r="C6222" s="29" t="s">
        <v>558</v>
      </c>
      <c r="D6222" s="31">
        <v>104.12475564814815</v>
      </c>
      <c r="F6222" s="3" t="str">
        <f t="shared" si="97"/>
        <v>I0601</v>
      </c>
    </row>
    <row r="6223" spans="1:6" x14ac:dyDescent="0.2">
      <c r="A6223" s="29" t="s">
        <v>16172</v>
      </c>
      <c r="B6223" s="30" t="s">
        <v>16173</v>
      </c>
      <c r="C6223" s="29" t="s">
        <v>558</v>
      </c>
      <c r="D6223" s="31">
        <v>312.48854453703706</v>
      </c>
      <c r="F6223" s="3" t="str">
        <f t="shared" si="97"/>
        <v>I0715</v>
      </c>
    </row>
    <row r="6224" spans="1:6" x14ac:dyDescent="0.2">
      <c r="A6224" s="29" t="s">
        <v>16174</v>
      </c>
      <c r="B6224" s="30" t="s">
        <v>16175</v>
      </c>
      <c r="C6224" s="29" t="s">
        <v>558</v>
      </c>
      <c r="D6224" s="31">
        <v>118.09463611111113</v>
      </c>
      <c r="F6224" s="3" t="str">
        <f t="shared" si="97"/>
        <v>I0602</v>
      </c>
    </row>
    <row r="6225" spans="1:6" x14ac:dyDescent="0.2">
      <c r="A6225" s="29" t="s">
        <v>16176</v>
      </c>
      <c r="B6225" s="30" t="s">
        <v>16177</v>
      </c>
      <c r="C6225" s="29" t="s">
        <v>558</v>
      </c>
      <c r="D6225" s="31">
        <v>397.44730277777779</v>
      </c>
      <c r="F6225" s="3" t="str">
        <f t="shared" si="97"/>
        <v>I0716</v>
      </c>
    </row>
    <row r="6226" spans="1:6" x14ac:dyDescent="0.2">
      <c r="A6226" s="29" t="s">
        <v>16178</v>
      </c>
      <c r="B6226" s="30" t="s">
        <v>16179</v>
      </c>
      <c r="C6226" s="29" t="s">
        <v>558</v>
      </c>
      <c r="D6226" s="31">
        <v>94.323983111111119</v>
      </c>
      <c r="F6226" s="3" t="str">
        <f t="shared" si="97"/>
        <v>I0607</v>
      </c>
    </row>
    <row r="6227" spans="1:6" x14ac:dyDescent="0.2">
      <c r="A6227" s="29" t="s">
        <v>16180</v>
      </c>
      <c r="B6227" s="30" t="s">
        <v>16181</v>
      </c>
      <c r="C6227" s="29" t="s">
        <v>558</v>
      </c>
      <c r="D6227" s="31">
        <v>246.22396903703705</v>
      </c>
      <c r="F6227" s="3" t="str">
        <f t="shared" si="97"/>
        <v>I0721</v>
      </c>
    </row>
    <row r="6228" spans="1:6" x14ac:dyDescent="0.2">
      <c r="A6228" s="29" t="s">
        <v>16182</v>
      </c>
      <c r="B6228" s="30" t="s">
        <v>16183</v>
      </c>
      <c r="C6228" s="29" t="s">
        <v>558</v>
      </c>
      <c r="D6228" s="31">
        <v>80.384506799999997</v>
      </c>
      <c r="F6228" s="3" t="str">
        <f t="shared" si="97"/>
        <v>I0609</v>
      </c>
    </row>
    <row r="6229" spans="1:6" x14ac:dyDescent="0.2">
      <c r="A6229" s="29" t="s">
        <v>16184</v>
      </c>
      <c r="B6229" s="30" t="s">
        <v>16185</v>
      </c>
      <c r="C6229" s="29" t="s">
        <v>558</v>
      </c>
      <c r="D6229" s="31">
        <v>225.7605988</v>
      </c>
      <c r="F6229" s="3" t="str">
        <f t="shared" si="97"/>
        <v>I0722</v>
      </c>
    </row>
    <row r="6230" spans="1:6" x14ac:dyDescent="0.2">
      <c r="A6230" s="29" t="s">
        <v>16186</v>
      </c>
      <c r="B6230" s="30" t="s">
        <v>16187</v>
      </c>
      <c r="C6230" s="29" t="s">
        <v>558</v>
      </c>
      <c r="D6230" s="31">
        <v>81.744081559999998</v>
      </c>
      <c r="F6230" s="3" t="str">
        <f t="shared" si="97"/>
        <v>I0610</v>
      </c>
    </row>
    <row r="6231" spans="1:6" x14ac:dyDescent="0.2">
      <c r="A6231" s="29" t="s">
        <v>16188</v>
      </c>
      <c r="B6231" s="30" t="s">
        <v>16189</v>
      </c>
      <c r="C6231" s="29" t="s">
        <v>558</v>
      </c>
      <c r="D6231" s="31">
        <v>228.44658795999999</v>
      </c>
      <c r="F6231" s="3" t="str">
        <f t="shared" si="97"/>
        <v>I0723</v>
      </c>
    </row>
    <row r="6232" spans="1:6" x14ac:dyDescent="0.2">
      <c r="A6232" s="29" t="s">
        <v>16190</v>
      </c>
      <c r="B6232" s="30" t="s">
        <v>16191</v>
      </c>
      <c r="C6232" s="29" t="s">
        <v>558</v>
      </c>
      <c r="D6232" s="31">
        <v>22.965275222222221</v>
      </c>
      <c r="F6232" s="3" t="str">
        <f t="shared" si="97"/>
        <v>I0611</v>
      </c>
    </row>
    <row r="6233" spans="1:6" x14ac:dyDescent="0.2">
      <c r="A6233" s="29" t="s">
        <v>16192</v>
      </c>
      <c r="B6233" s="30" t="s">
        <v>16193</v>
      </c>
      <c r="C6233" s="29" t="s">
        <v>558</v>
      </c>
      <c r="D6233" s="31">
        <v>27.692318555555556</v>
      </c>
      <c r="F6233" s="3" t="str">
        <f t="shared" si="97"/>
        <v>I0724</v>
      </c>
    </row>
    <row r="6234" spans="1:6" x14ac:dyDescent="0.2">
      <c r="A6234" s="29" t="s">
        <v>16194</v>
      </c>
      <c r="B6234" s="30" t="s">
        <v>16195</v>
      </c>
      <c r="C6234" s="29" t="s">
        <v>558</v>
      </c>
      <c r="D6234" s="31">
        <v>32.381083833333335</v>
      </c>
      <c r="F6234" s="3" t="str">
        <f t="shared" si="97"/>
        <v>I0612</v>
      </c>
    </row>
    <row r="6235" spans="1:6" x14ac:dyDescent="0.2">
      <c r="A6235" s="29" t="s">
        <v>16196</v>
      </c>
      <c r="B6235" s="30" t="s">
        <v>16197</v>
      </c>
      <c r="C6235" s="29" t="s">
        <v>558</v>
      </c>
      <c r="D6235" s="31">
        <v>49.094118833333333</v>
      </c>
      <c r="F6235" s="3" t="str">
        <f t="shared" si="97"/>
        <v>I0725</v>
      </c>
    </row>
    <row r="6236" spans="1:6" x14ac:dyDescent="0.2">
      <c r="A6236" s="29" t="s">
        <v>16198</v>
      </c>
      <c r="B6236" s="30" t="s">
        <v>16199</v>
      </c>
      <c r="C6236" s="29" t="s">
        <v>558</v>
      </c>
      <c r="D6236" s="31">
        <v>58.110313777777776</v>
      </c>
      <c r="F6236" s="3" t="str">
        <f t="shared" si="97"/>
        <v>I0608</v>
      </c>
    </row>
    <row r="6237" spans="1:6" x14ac:dyDescent="0.2">
      <c r="A6237" s="29" t="s">
        <v>16200</v>
      </c>
      <c r="B6237" s="30" t="s">
        <v>16201</v>
      </c>
      <c r="C6237" s="29" t="s">
        <v>558</v>
      </c>
      <c r="D6237" s="31">
        <v>113.01954911111112</v>
      </c>
      <c r="F6237" s="3" t="str">
        <f t="shared" si="97"/>
        <v>I0726</v>
      </c>
    </row>
    <row r="6238" spans="1:6" x14ac:dyDescent="0.2">
      <c r="A6238" s="29" t="s">
        <v>16202</v>
      </c>
      <c r="B6238" s="30" t="s">
        <v>16203</v>
      </c>
      <c r="C6238" s="29" t="s">
        <v>558</v>
      </c>
      <c r="D6238" s="31">
        <v>0.95584464166666661</v>
      </c>
      <c r="F6238" s="3" t="str">
        <f t="shared" si="97"/>
        <v>G0459</v>
      </c>
    </row>
    <row r="6239" spans="1:6" x14ac:dyDescent="0.2">
      <c r="A6239" s="29" t="s">
        <v>16204</v>
      </c>
      <c r="B6239" s="30" t="s">
        <v>16205</v>
      </c>
      <c r="C6239" s="29" t="s">
        <v>558</v>
      </c>
      <c r="D6239" s="31">
        <v>4.5069493083333336</v>
      </c>
      <c r="F6239" s="3" t="str">
        <f t="shared" si="97"/>
        <v>G0458</v>
      </c>
    </row>
    <row r="6240" spans="1:6" x14ac:dyDescent="0.2">
      <c r="A6240" s="29" t="s">
        <v>16206</v>
      </c>
      <c r="B6240" s="30" t="s">
        <v>16207</v>
      </c>
      <c r="C6240" s="29" t="s">
        <v>558</v>
      </c>
      <c r="D6240" s="31">
        <v>35.372592380952376</v>
      </c>
      <c r="F6240" s="3" t="str">
        <f t="shared" si="97"/>
        <v>I0613</v>
      </c>
    </row>
    <row r="6241" spans="1:6" x14ac:dyDescent="0.2">
      <c r="A6241" s="29" t="s">
        <v>16208</v>
      </c>
      <c r="B6241" s="30" t="s">
        <v>16209</v>
      </c>
      <c r="C6241" s="29" t="s">
        <v>558</v>
      </c>
      <c r="D6241" s="31">
        <v>106.23958603174603</v>
      </c>
      <c r="F6241" s="3" t="str">
        <f t="shared" si="97"/>
        <v>I0727</v>
      </c>
    </row>
    <row r="6242" spans="1:6" x14ac:dyDescent="0.2">
      <c r="A6242" s="29" t="s">
        <v>16210</v>
      </c>
      <c r="B6242" s="30" t="s">
        <v>16211</v>
      </c>
      <c r="C6242" s="29" t="s">
        <v>558</v>
      </c>
      <c r="D6242" s="31">
        <v>45.04992</v>
      </c>
      <c r="F6242" s="3" t="str">
        <f t="shared" si="97"/>
        <v>I0614</v>
      </c>
    </row>
    <row r="6243" spans="1:6" x14ac:dyDescent="0.2">
      <c r="A6243" s="29" t="s">
        <v>16212</v>
      </c>
      <c r="B6243" s="30" t="s">
        <v>16213</v>
      </c>
      <c r="C6243" s="29" t="s">
        <v>558</v>
      </c>
      <c r="D6243" s="31">
        <v>135.20885333333334</v>
      </c>
      <c r="F6243" s="3" t="str">
        <f t="shared" si="97"/>
        <v>I0728</v>
      </c>
    </row>
    <row r="6244" spans="1:6" x14ac:dyDescent="0.2">
      <c r="A6244" s="29" t="s">
        <v>16214</v>
      </c>
      <c r="B6244" s="30" t="s">
        <v>16215</v>
      </c>
      <c r="C6244" s="29" t="s">
        <v>558</v>
      </c>
      <c r="D6244" s="31">
        <v>47.349266666666665</v>
      </c>
      <c r="F6244" s="3" t="str">
        <f t="shared" si="97"/>
        <v>I0615</v>
      </c>
    </row>
    <row r="6245" spans="1:6" x14ac:dyDescent="0.2">
      <c r="A6245" s="29" t="s">
        <v>16216</v>
      </c>
      <c r="B6245" s="30" t="s">
        <v>16217</v>
      </c>
      <c r="C6245" s="29" t="s">
        <v>558</v>
      </c>
      <c r="D6245" s="31">
        <v>158.13682222222224</v>
      </c>
      <c r="F6245" s="3" t="str">
        <f t="shared" si="97"/>
        <v>I0729</v>
      </c>
    </row>
    <row r="6246" spans="1:6" x14ac:dyDescent="0.2">
      <c r="A6246" s="29" t="s">
        <v>16218</v>
      </c>
      <c r="B6246" s="30" t="s">
        <v>16219</v>
      </c>
      <c r="C6246" s="29" t="s">
        <v>558</v>
      </c>
      <c r="D6246" s="31">
        <v>72.578409523809526</v>
      </c>
      <c r="F6246" s="3" t="str">
        <f t="shared" si="97"/>
        <v>I0616</v>
      </c>
    </row>
    <row r="6247" spans="1:6" x14ac:dyDescent="0.2">
      <c r="A6247" s="29" t="s">
        <v>16220</v>
      </c>
      <c r="B6247" s="30" t="s">
        <v>16221</v>
      </c>
      <c r="C6247" s="29" t="s">
        <v>558</v>
      </c>
      <c r="D6247" s="31">
        <v>316.66525079365078</v>
      </c>
      <c r="F6247" s="3" t="str">
        <f t="shared" si="97"/>
        <v>I0730</v>
      </c>
    </row>
    <row r="6248" spans="1:6" x14ac:dyDescent="0.2">
      <c r="A6248" s="29" t="s">
        <v>16222</v>
      </c>
      <c r="B6248" s="30" t="s">
        <v>16223</v>
      </c>
      <c r="C6248" s="29" t="s">
        <v>558</v>
      </c>
      <c r="D6248" s="31">
        <v>13.077143333333334</v>
      </c>
      <c r="F6248" s="3" t="str">
        <f t="shared" si="97"/>
        <v>G0463</v>
      </c>
    </row>
    <row r="6249" spans="1:6" x14ac:dyDescent="0.2">
      <c r="A6249" s="29" t="s">
        <v>16224</v>
      </c>
      <c r="B6249" s="30" t="s">
        <v>16225</v>
      </c>
      <c r="C6249" s="29" t="s">
        <v>558</v>
      </c>
      <c r="D6249" s="31">
        <v>60.361276666666669</v>
      </c>
      <c r="F6249" s="3" t="str">
        <f t="shared" si="97"/>
        <v>G0462</v>
      </c>
    </row>
    <row r="6250" spans="1:6" x14ac:dyDescent="0.2">
      <c r="A6250" s="29" t="s">
        <v>16226</v>
      </c>
      <c r="B6250" s="30" t="s">
        <v>16227</v>
      </c>
      <c r="C6250" s="29" t="s">
        <v>558</v>
      </c>
      <c r="D6250" s="31">
        <v>0.90109726000000001</v>
      </c>
      <c r="F6250" s="3" t="str">
        <f t="shared" si="97"/>
        <v>G0433</v>
      </c>
    </row>
    <row r="6251" spans="1:6" x14ac:dyDescent="0.2">
      <c r="A6251" s="29" t="s">
        <v>16228</v>
      </c>
      <c r="B6251" s="30" t="s">
        <v>16229</v>
      </c>
      <c r="C6251" s="29" t="s">
        <v>558</v>
      </c>
      <c r="D6251" s="31">
        <v>1.3608407600000001</v>
      </c>
      <c r="F6251" s="3" t="str">
        <f t="shared" si="97"/>
        <v>G0432</v>
      </c>
    </row>
    <row r="6252" spans="1:6" x14ac:dyDescent="0.2">
      <c r="A6252" s="29" t="s">
        <v>16230</v>
      </c>
      <c r="B6252" s="30" t="s">
        <v>16231</v>
      </c>
      <c r="C6252" s="29" t="s">
        <v>558</v>
      </c>
      <c r="D6252" s="31">
        <v>3.5154161000000004</v>
      </c>
      <c r="F6252" s="3" t="str">
        <f t="shared" si="97"/>
        <v>G0447</v>
      </c>
    </row>
    <row r="6253" spans="1:6" x14ac:dyDescent="0.2">
      <c r="A6253" s="29" t="s">
        <v>16232</v>
      </c>
      <c r="B6253" s="30" t="s">
        <v>16233</v>
      </c>
      <c r="C6253" s="29" t="s">
        <v>558</v>
      </c>
      <c r="D6253" s="31">
        <v>23.166104099999998</v>
      </c>
      <c r="F6253" s="3" t="str">
        <f t="shared" si="97"/>
        <v>G0446</v>
      </c>
    </row>
    <row r="6254" spans="1:6" x14ac:dyDescent="0.2">
      <c r="A6254" s="29" t="s">
        <v>16234</v>
      </c>
      <c r="B6254" s="30" t="s">
        <v>16235</v>
      </c>
      <c r="C6254" s="29" t="s">
        <v>558</v>
      </c>
      <c r="D6254" s="31">
        <v>1.0619333333333334</v>
      </c>
      <c r="F6254" s="3" t="str">
        <f t="shared" si="97"/>
        <v>I0731</v>
      </c>
    </row>
    <row r="6255" spans="1:6" x14ac:dyDescent="0.2">
      <c r="A6255" s="29" t="s">
        <v>16236</v>
      </c>
      <c r="B6255" s="30" t="s">
        <v>16237</v>
      </c>
      <c r="C6255" s="29" t="s">
        <v>558</v>
      </c>
      <c r="D6255" s="31">
        <v>310.62056444444448</v>
      </c>
      <c r="F6255" s="3" t="str">
        <f t="shared" si="97"/>
        <v>I0618</v>
      </c>
    </row>
    <row r="6256" spans="1:6" x14ac:dyDescent="0.2">
      <c r="A6256" s="29" t="s">
        <v>16238</v>
      </c>
      <c r="B6256" s="30" t="s">
        <v>16239</v>
      </c>
      <c r="C6256" s="29" t="s">
        <v>558</v>
      </c>
      <c r="D6256" s="31">
        <v>592.43112888888891</v>
      </c>
      <c r="F6256" s="3" t="str">
        <f t="shared" si="97"/>
        <v>I0732</v>
      </c>
    </row>
    <row r="6257" spans="1:6" x14ac:dyDescent="0.2">
      <c r="A6257" s="29" t="s">
        <v>16240</v>
      </c>
      <c r="B6257" s="30" t="s">
        <v>16241</v>
      </c>
      <c r="C6257" s="29" t="s">
        <v>558</v>
      </c>
      <c r="D6257" s="31">
        <v>1.9684133555555556</v>
      </c>
      <c r="F6257" s="3" t="str">
        <f t="shared" si="97"/>
        <v>I0733</v>
      </c>
    </row>
    <row r="6258" spans="1:6" x14ac:dyDescent="0.2">
      <c r="A6258" s="29" t="s">
        <v>16242</v>
      </c>
      <c r="B6258" s="30" t="s">
        <v>16243</v>
      </c>
      <c r="C6258" s="29" t="s">
        <v>558</v>
      </c>
      <c r="D6258" s="31">
        <v>162.43513808088235</v>
      </c>
      <c r="F6258" s="3" t="str">
        <f t="shared" si="97"/>
        <v>I0620</v>
      </c>
    </row>
    <row r="6259" spans="1:6" x14ac:dyDescent="0.2">
      <c r="A6259" s="29" t="s">
        <v>16244</v>
      </c>
      <c r="B6259" s="30" t="s">
        <v>16245</v>
      </c>
      <c r="C6259" s="29" t="s">
        <v>558</v>
      </c>
      <c r="D6259" s="31">
        <v>392.10844469852941</v>
      </c>
      <c r="F6259" s="3" t="str">
        <f t="shared" si="97"/>
        <v>I0734</v>
      </c>
    </row>
    <row r="6260" spans="1:6" ht="33.75" x14ac:dyDescent="0.2">
      <c r="A6260" s="29" t="s">
        <v>16246</v>
      </c>
      <c r="B6260" s="30" t="s">
        <v>16247</v>
      </c>
      <c r="C6260" s="29" t="s">
        <v>558</v>
      </c>
      <c r="D6260" s="31">
        <v>34.648287928571428</v>
      </c>
      <c r="F6260" s="3" t="str">
        <f t="shared" si="97"/>
        <v>I9392</v>
      </c>
    </row>
    <row r="6261" spans="1:6" ht="33.75" x14ac:dyDescent="0.2">
      <c r="A6261" s="29" t="s">
        <v>16248</v>
      </c>
      <c r="B6261" s="30" t="s">
        <v>16249</v>
      </c>
      <c r="C6261" s="29" t="s">
        <v>558</v>
      </c>
      <c r="D6261" s="31">
        <v>40.507186142857144</v>
      </c>
      <c r="F6261" s="3" t="str">
        <f t="shared" si="97"/>
        <v>I9391</v>
      </c>
    </row>
    <row r="6262" spans="1:6" x14ac:dyDescent="0.2">
      <c r="A6262" s="29" t="s">
        <v>16250</v>
      </c>
      <c r="B6262" s="30" t="s">
        <v>16251</v>
      </c>
      <c r="C6262" s="29" t="s">
        <v>558</v>
      </c>
      <c r="D6262" s="31">
        <v>114.09098127999999</v>
      </c>
      <c r="F6262" s="3" t="str">
        <f t="shared" si="97"/>
        <v>I0621</v>
      </c>
    </row>
    <row r="6263" spans="1:6" x14ac:dyDescent="0.2">
      <c r="A6263" s="29" t="s">
        <v>16252</v>
      </c>
      <c r="B6263" s="30" t="s">
        <v>16253</v>
      </c>
      <c r="C6263" s="29" t="s">
        <v>558</v>
      </c>
      <c r="D6263" s="31">
        <v>284.47262547999998</v>
      </c>
      <c r="F6263" s="3" t="str">
        <f t="shared" si="97"/>
        <v>I0735</v>
      </c>
    </row>
    <row r="6264" spans="1:6" x14ac:dyDescent="0.2">
      <c r="A6264" s="29" t="s">
        <v>16254</v>
      </c>
      <c r="B6264" s="30" t="s">
        <v>16255</v>
      </c>
      <c r="C6264" s="29" t="s">
        <v>558</v>
      </c>
      <c r="D6264" s="31">
        <v>214.01805987500001</v>
      </c>
      <c r="F6264" s="3" t="str">
        <f t="shared" si="97"/>
        <v>I9402</v>
      </c>
    </row>
    <row r="6265" spans="1:6" x14ac:dyDescent="0.2">
      <c r="A6265" s="29" t="s">
        <v>16256</v>
      </c>
      <c r="B6265" s="30" t="s">
        <v>16257</v>
      </c>
      <c r="C6265" s="29" t="s">
        <v>558</v>
      </c>
      <c r="D6265" s="31">
        <v>511.51841237500003</v>
      </c>
      <c r="F6265" s="3" t="str">
        <f t="shared" si="97"/>
        <v>I9401</v>
      </c>
    </row>
    <row r="6266" spans="1:6" ht="22.5" x14ac:dyDescent="0.2">
      <c r="A6266" s="29" t="s">
        <v>16258</v>
      </c>
      <c r="B6266" s="30" t="s">
        <v>16259</v>
      </c>
      <c r="C6266" s="29" t="s">
        <v>558</v>
      </c>
      <c r="D6266" s="31">
        <v>91.61418583999999</v>
      </c>
      <c r="F6266" s="3" t="str">
        <f t="shared" si="97"/>
        <v>I10264</v>
      </c>
    </row>
    <row r="6267" spans="1:6" ht="33.75" x14ac:dyDescent="0.2">
      <c r="A6267" s="29" t="s">
        <v>16260</v>
      </c>
      <c r="B6267" s="30" t="s">
        <v>16261</v>
      </c>
      <c r="C6267" s="29" t="s">
        <v>558</v>
      </c>
      <c r="D6267" s="31">
        <v>246.06607883999999</v>
      </c>
      <c r="F6267" s="3" t="str">
        <f t="shared" si="97"/>
        <v>I10263</v>
      </c>
    </row>
    <row r="6268" spans="1:6" x14ac:dyDescent="0.2">
      <c r="A6268" s="29" t="s">
        <v>16262</v>
      </c>
      <c r="B6268" s="30" t="s">
        <v>16263</v>
      </c>
      <c r="C6268" s="29" t="s">
        <v>558</v>
      </c>
      <c r="D6268" s="31">
        <v>0.35543544000000005</v>
      </c>
      <c r="F6268" s="3" t="str">
        <f t="shared" si="97"/>
        <v>I0737</v>
      </c>
    </row>
    <row r="6269" spans="1:6" x14ac:dyDescent="0.2">
      <c r="A6269" s="29" t="s">
        <v>16264</v>
      </c>
      <c r="B6269" s="30" t="s">
        <v>16265</v>
      </c>
      <c r="C6269" s="29" t="s">
        <v>558</v>
      </c>
      <c r="D6269" s="31">
        <v>8.4055206400000007</v>
      </c>
      <c r="F6269" s="3" t="str">
        <f t="shared" si="97"/>
        <v>I0624</v>
      </c>
    </row>
    <row r="6270" spans="1:6" x14ac:dyDescent="0.2">
      <c r="A6270" s="29" t="s">
        <v>16266</v>
      </c>
      <c r="B6270" s="30" t="s">
        <v>16267</v>
      </c>
      <c r="C6270" s="29" t="s">
        <v>558</v>
      </c>
      <c r="D6270" s="31">
        <v>11.688927140000001</v>
      </c>
      <c r="F6270" s="3" t="str">
        <f t="shared" si="97"/>
        <v>I0738</v>
      </c>
    </row>
    <row r="6271" spans="1:6" x14ac:dyDescent="0.2">
      <c r="A6271" s="29" t="s">
        <v>16268</v>
      </c>
      <c r="B6271" s="30" t="s">
        <v>16269</v>
      </c>
      <c r="C6271" s="29" t="s">
        <v>558</v>
      </c>
      <c r="D6271" s="31">
        <v>80.893273579545451</v>
      </c>
      <c r="F6271" s="3" t="str">
        <f t="shared" si="97"/>
        <v>I9134</v>
      </c>
    </row>
    <row r="6272" spans="1:6" x14ac:dyDescent="0.2">
      <c r="A6272" s="29" t="s">
        <v>16270</v>
      </c>
      <c r="B6272" s="30" t="s">
        <v>16271</v>
      </c>
      <c r="C6272" s="29" t="s">
        <v>558</v>
      </c>
      <c r="D6272" s="31">
        <v>80.999302045454542</v>
      </c>
      <c r="F6272" s="3" t="str">
        <f t="shared" si="97"/>
        <v>I9133</v>
      </c>
    </row>
    <row r="6273" spans="1:6" x14ac:dyDescent="0.2">
      <c r="A6273" s="29" t="s">
        <v>16272</v>
      </c>
      <c r="B6273" s="30" t="s">
        <v>16273</v>
      </c>
      <c r="C6273" s="29" t="s">
        <v>558</v>
      </c>
      <c r="D6273" s="31">
        <v>193.32860915000001</v>
      </c>
      <c r="F6273" s="3" t="str">
        <f t="shared" si="97"/>
        <v>I8422</v>
      </c>
    </row>
    <row r="6274" spans="1:6" x14ac:dyDescent="0.2">
      <c r="A6274" s="29" t="s">
        <v>16274</v>
      </c>
      <c r="B6274" s="30" t="s">
        <v>16275</v>
      </c>
      <c r="C6274" s="29" t="s">
        <v>558</v>
      </c>
      <c r="D6274" s="31">
        <v>525.42167414999994</v>
      </c>
      <c r="F6274" s="3" t="str">
        <f t="shared" ref="F6274:F6337" si="98">A6274</f>
        <v>I8421</v>
      </c>
    </row>
    <row r="6275" spans="1:6" x14ac:dyDescent="0.2">
      <c r="A6275" s="29" t="s">
        <v>16276</v>
      </c>
      <c r="B6275" s="30" t="s">
        <v>16277</v>
      </c>
      <c r="C6275" s="29" t="s">
        <v>558</v>
      </c>
      <c r="D6275" s="31">
        <v>0.12834276</v>
      </c>
      <c r="F6275" s="3" t="str">
        <f t="shared" si="98"/>
        <v>I9378</v>
      </c>
    </row>
    <row r="6276" spans="1:6" ht="22.5" x14ac:dyDescent="0.2">
      <c r="A6276" s="29" t="s">
        <v>16278</v>
      </c>
      <c r="B6276" s="30" t="s">
        <v>16279</v>
      </c>
      <c r="C6276" s="29" t="s">
        <v>558</v>
      </c>
      <c r="D6276" s="31">
        <v>0.19382375999999998</v>
      </c>
      <c r="F6276" s="3" t="str">
        <f t="shared" si="98"/>
        <v>I9377</v>
      </c>
    </row>
    <row r="6277" spans="1:6" x14ac:dyDescent="0.2">
      <c r="A6277" s="29" t="s">
        <v>16280</v>
      </c>
      <c r="B6277" s="30" t="s">
        <v>16281</v>
      </c>
      <c r="C6277" s="29" t="s">
        <v>558</v>
      </c>
      <c r="D6277" s="31">
        <v>0.61047427142857136</v>
      </c>
      <c r="F6277" s="3" t="str">
        <f t="shared" si="98"/>
        <v>G0437</v>
      </c>
    </row>
    <row r="6278" spans="1:6" x14ac:dyDescent="0.2">
      <c r="A6278" s="29" t="s">
        <v>16282</v>
      </c>
      <c r="B6278" s="30" t="s">
        <v>16283</v>
      </c>
      <c r="C6278" s="29" t="s">
        <v>558</v>
      </c>
      <c r="D6278" s="31">
        <v>5.8881946285714282</v>
      </c>
      <c r="F6278" s="3" t="str">
        <f t="shared" si="98"/>
        <v>G0436</v>
      </c>
    </row>
    <row r="6279" spans="1:6" x14ac:dyDescent="0.2">
      <c r="A6279" s="29" t="s">
        <v>16284</v>
      </c>
      <c r="B6279" s="30" t="s">
        <v>16285</v>
      </c>
      <c r="C6279" s="29" t="s">
        <v>558</v>
      </c>
      <c r="D6279" s="31">
        <v>4.8945795900000011</v>
      </c>
      <c r="F6279" s="3" t="str">
        <f t="shared" si="98"/>
        <v>I0625</v>
      </c>
    </row>
    <row r="6280" spans="1:6" x14ac:dyDescent="0.2">
      <c r="A6280" s="29" t="s">
        <v>16286</v>
      </c>
      <c r="B6280" s="30" t="s">
        <v>16287</v>
      </c>
      <c r="C6280" s="29" t="s">
        <v>558</v>
      </c>
      <c r="D6280" s="31">
        <v>6.8842460900000004</v>
      </c>
      <c r="F6280" s="3" t="str">
        <f t="shared" si="98"/>
        <v>I0739</v>
      </c>
    </row>
    <row r="6281" spans="1:6" x14ac:dyDescent="0.2">
      <c r="A6281" s="29" t="s">
        <v>16288</v>
      </c>
      <c r="B6281" s="30" t="s">
        <v>16289</v>
      </c>
      <c r="C6281" s="29" t="s">
        <v>558</v>
      </c>
      <c r="D6281" s="31">
        <v>3.2511356999999994</v>
      </c>
      <c r="F6281" s="3" t="str">
        <f t="shared" si="98"/>
        <v>I9382</v>
      </c>
    </row>
    <row r="6282" spans="1:6" ht="22.5" x14ac:dyDescent="0.2">
      <c r="A6282" s="29" t="s">
        <v>16290</v>
      </c>
      <c r="B6282" s="30" t="s">
        <v>16291</v>
      </c>
      <c r="C6282" s="29" t="s">
        <v>558</v>
      </c>
      <c r="D6282" s="31">
        <v>16.207963199999998</v>
      </c>
      <c r="F6282" s="3" t="str">
        <f t="shared" si="98"/>
        <v>I9381</v>
      </c>
    </row>
    <row r="6283" spans="1:6" x14ac:dyDescent="0.2">
      <c r="A6283" s="29" t="s">
        <v>16292</v>
      </c>
      <c r="B6283" s="30" t="s">
        <v>16293</v>
      </c>
      <c r="C6283" s="29" t="s">
        <v>558</v>
      </c>
      <c r="D6283" s="31">
        <v>33.365753391666665</v>
      </c>
      <c r="F6283" s="3" t="str">
        <f t="shared" si="98"/>
        <v>I0626</v>
      </c>
    </row>
    <row r="6284" spans="1:6" x14ac:dyDescent="0.2">
      <c r="A6284" s="29" t="s">
        <v>16294</v>
      </c>
      <c r="B6284" s="30" t="s">
        <v>16295</v>
      </c>
      <c r="C6284" s="29" t="s">
        <v>558</v>
      </c>
      <c r="D6284" s="31">
        <v>175.99577897500001</v>
      </c>
      <c r="F6284" s="3" t="str">
        <f t="shared" si="98"/>
        <v>I0740</v>
      </c>
    </row>
    <row r="6285" spans="1:6" x14ac:dyDescent="0.2">
      <c r="A6285" s="29" t="s">
        <v>16296</v>
      </c>
      <c r="B6285" s="30" t="s">
        <v>16297</v>
      </c>
      <c r="C6285" s="29" t="s">
        <v>558</v>
      </c>
      <c r="D6285" s="31">
        <v>36.434091633333331</v>
      </c>
      <c r="F6285" s="3" t="str">
        <f t="shared" si="98"/>
        <v>I0627</v>
      </c>
    </row>
    <row r="6286" spans="1:6" x14ac:dyDescent="0.2">
      <c r="A6286" s="29" t="s">
        <v>16298</v>
      </c>
      <c r="B6286" s="30" t="s">
        <v>16299</v>
      </c>
      <c r="C6286" s="29" t="s">
        <v>558</v>
      </c>
      <c r="D6286" s="31">
        <v>214.75394130000001</v>
      </c>
      <c r="F6286" s="3" t="str">
        <f t="shared" si="98"/>
        <v>I0741</v>
      </c>
    </row>
    <row r="6287" spans="1:6" x14ac:dyDescent="0.2">
      <c r="A6287" s="29" t="s">
        <v>16300</v>
      </c>
      <c r="B6287" s="30" t="s">
        <v>16301</v>
      </c>
      <c r="C6287" s="29" t="s">
        <v>558</v>
      </c>
      <c r="D6287" s="31">
        <v>27.549399241666666</v>
      </c>
      <c r="F6287" s="3" t="str">
        <f t="shared" si="98"/>
        <v>I0628</v>
      </c>
    </row>
    <row r="6288" spans="1:6" x14ac:dyDescent="0.2">
      <c r="A6288" s="29" t="s">
        <v>16302</v>
      </c>
      <c r="B6288" s="30" t="s">
        <v>16303</v>
      </c>
      <c r="C6288" s="29" t="s">
        <v>558</v>
      </c>
      <c r="D6288" s="31">
        <v>65.326833324999996</v>
      </c>
      <c r="F6288" s="3" t="str">
        <f t="shared" si="98"/>
        <v>I0742</v>
      </c>
    </row>
    <row r="6289" spans="1:6" x14ac:dyDescent="0.2">
      <c r="A6289" s="29" t="s">
        <v>16304</v>
      </c>
      <c r="B6289" s="30" t="s">
        <v>16305</v>
      </c>
      <c r="C6289" s="29" t="s">
        <v>558</v>
      </c>
      <c r="D6289" s="31">
        <v>57.660420900000005</v>
      </c>
      <c r="F6289" s="3" t="str">
        <f t="shared" si="98"/>
        <v>I0629</v>
      </c>
    </row>
    <row r="6290" spans="1:6" x14ac:dyDescent="0.2">
      <c r="A6290" s="29" t="s">
        <v>16306</v>
      </c>
      <c r="B6290" s="30" t="s">
        <v>16307</v>
      </c>
      <c r="C6290" s="29" t="s">
        <v>558</v>
      </c>
      <c r="D6290" s="31">
        <v>78.267864399999993</v>
      </c>
      <c r="F6290" s="3" t="str">
        <f t="shared" si="98"/>
        <v>I0743</v>
      </c>
    </row>
    <row r="6291" spans="1:6" x14ac:dyDescent="0.2">
      <c r="A6291" s="29" t="s">
        <v>16308</v>
      </c>
      <c r="B6291" s="30" t="s">
        <v>16309</v>
      </c>
      <c r="C6291" s="29" t="s">
        <v>558</v>
      </c>
      <c r="D6291" s="31">
        <v>83.181744559999999</v>
      </c>
      <c r="F6291" s="3" t="str">
        <f t="shared" si="98"/>
        <v>I0630</v>
      </c>
    </row>
    <row r="6292" spans="1:6" x14ac:dyDescent="0.2">
      <c r="A6292" s="29" t="s">
        <v>16310</v>
      </c>
      <c r="B6292" s="30" t="s">
        <v>16311</v>
      </c>
      <c r="C6292" s="29" t="s">
        <v>558</v>
      </c>
      <c r="D6292" s="31">
        <v>122.01870495999999</v>
      </c>
      <c r="F6292" s="3" t="str">
        <f t="shared" si="98"/>
        <v>I0744</v>
      </c>
    </row>
    <row r="6293" spans="1:6" x14ac:dyDescent="0.2">
      <c r="A6293" s="29" t="s">
        <v>16312</v>
      </c>
      <c r="B6293" s="30" t="s">
        <v>16313</v>
      </c>
      <c r="C6293" s="29" t="s">
        <v>558</v>
      </c>
      <c r="D6293" s="31">
        <v>110.92256046</v>
      </c>
      <c r="F6293" s="3" t="str">
        <f t="shared" si="98"/>
        <v>I0631</v>
      </c>
    </row>
    <row r="6294" spans="1:6" x14ac:dyDescent="0.2">
      <c r="A6294" s="29" t="s">
        <v>16314</v>
      </c>
      <c r="B6294" s="30" t="s">
        <v>16315</v>
      </c>
      <c r="C6294" s="29" t="s">
        <v>558</v>
      </c>
      <c r="D6294" s="31">
        <v>169.57438936</v>
      </c>
      <c r="F6294" s="3" t="str">
        <f t="shared" si="98"/>
        <v>I0745</v>
      </c>
    </row>
    <row r="6295" spans="1:6" x14ac:dyDescent="0.2">
      <c r="A6295" s="29" t="s">
        <v>16316</v>
      </c>
      <c r="B6295" s="30" t="s">
        <v>16317</v>
      </c>
      <c r="C6295" s="29" t="s">
        <v>558</v>
      </c>
      <c r="D6295" s="31">
        <v>102.15636038888888</v>
      </c>
      <c r="F6295" s="3" t="str">
        <f t="shared" si="98"/>
        <v>I0633</v>
      </c>
    </row>
    <row r="6296" spans="1:6" x14ac:dyDescent="0.2">
      <c r="A6296" s="29" t="s">
        <v>16318</v>
      </c>
      <c r="B6296" s="30" t="s">
        <v>16319</v>
      </c>
      <c r="C6296" s="29" t="s">
        <v>558</v>
      </c>
      <c r="D6296" s="31">
        <v>275.12186983333334</v>
      </c>
      <c r="F6296" s="3" t="str">
        <f t="shared" si="98"/>
        <v>I0747</v>
      </c>
    </row>
    <row r="6297" spans="1:6" x14ac:dyDescent="0.2">
      <c r="A6297" s="29" t="s">
        <v>16320</v>
      </c>
      <c r="B6297" s="30" t="s">
        <v>16321</v>
      </c>
      <c r="C6297" s="29" t="s">
        <v>558</v>
      </c>
      <c r="D6297" s="31">
        <v>61.446037419999996</v>
      </c>
      <c r="F6297" s="3" t="str">
        <f t="shared" si="98"/>
        <v>I0632</v>
      </c>
    </row>
    <row r="6298" spans="1:6" x14ac:dyDescent="0.2">
      <c r="A6298" s="29" t="s">
        <v>16322</v>
      </c>
      <c r="B6298" s="30" t="s">
        <v>16323</v>
      </c>
      <c r="C6298" s="29" t="s">
        <v>558</v>
      </c>
      <c r="D6298" s="31">
        <v>128.43061642000001</v>
      </c>
      <c r="F6298" s="3" t="str">
        <f t="shared" si="98"/>
        <v>I0746</v>
      </c>
    </row>
    <row r="6299" spans="1:6" x14ac:dyDescent="0.2">
      <c r="A6299" s="29" t="s">
        <v>16324</v>
      </c>
      <c r="B6299" s="30" t="s">
        <v>16325</v>
      </c>
      <c r="C6299" s="29" t="s">
        <v>558</v>
      </c>
      <c r="D6299" s="31">
        <v>200.59803500000001</v>
      </c>
      <c r="F6299" s="3" t="str">
        <f t="shared" si="98"/>
        <v>I10240</v>
      </c>
    </row>
    <row r="6300" spans="1:6" x14ac:dyDescent="0.2">
      <c r="A6300" s="29" t="s">
        <v>16326</v>
      </c>
      <c r="B6300" s="30" t="s">
        <v>16327</v>
      </c>
      <c r="C6300" s="29" t="s">
        <v>558</v>
      </c>
      <c r="D6300" s="31">
        <v>591.93253500000003</v>
      </c>
      <c r="F6300" s="3" t="str">
        <f t="shared" si="98"/>
        <v>I10239</v>
      </c>
    </row>
    <row r="6301" spans="1:6" ht="33.75" x14ac:dyDescent="0.2">
      <c r="A6301" s="29" t="s">
        <v>16328</v>
      </c>
      <c r="B6301" s="30" t="s">
        <v>16329</v>
      </c>
      <c r="C6301" s="29" t="s">
        <v>558</v>
      </c>
      <c r="D6301" s="31">
        <v>1.38853078</v>
      </c>
      <c r="F6301" s="3" t="str">
        <f t="shared" si="98"/>
        <v>G0429</v>
      </c>
    </row>
    <row r="6302" spans="1:6" ht="33.75" x14ac:dyDescent="0.2">
      <c r="A6302" s="29" t="s">
        <v>16330</v>
      </c>
      <c r="B6302" s="30" t="s">
        <v>16331</v>
      </c>
      <c r="C6302" s="29" t="s">
        <v>558</v>
      </c>
      <c r="D6302" s="31">
        <v>1.9768912799999998</v>
      </c>
      <c r="F6302" s="3" t="str">
        <f t="shared" si="98"/>
        <v>G0428</v>
      </c>
    </row>
    <row r="6303" spans="1:6" x14ac:dyDescent="0.2">
      <c r="A6303" s="29" t="s">
        <v>16332</v>
      </c>
      <c r="B6303" s="30" t="s">
        <v>16333</v>
      </c>
      <c r="C6303" s="29" t="s">
        <v>558</v>
      </c>
      <c r="D6303" s="31">
        <v>2.9793333333333334</v>
      </c>
      <c r="F6303" s="3" t="str">
        <f t="shared" si="98"/>
        <v>I9131</v>
      </c>
    </row>
    <row r="6304" spans="1:6" x14ac:dyDescent="0.2">
      <c r="A6304" s="29" t="s">
        <v>16334</v>
      </c>
      <c r="B6304" s="30" t="s">
        <v>16335</v>
      </c>
      <c r="C6304" s="29" t="s">
        <v>558</v>
      </c>
      <c r="D6304" s="31">
        <v>3.3893333333333335</v>
      </c>
      <c r="F6304" s="3" t="str">
        <f t="shared" si="98"/>
        <v>I9130</v>
      </c>
    </row>
    <row r="6305" spans="1:6" x14ac:dyDescent="0.2">
      <c r="A6305" s="29" t="s">
        <v>16336</v>
      </c>
      <c r="B6305" s="30" t="s">
        <v>16337</v>
      </c>
      <c r="C6305" s="29" t="s">
        <v>558</v>
      </c>
      <c r="D6305" s="31">
        <v>8.0769690909090901</v>
      </c>
      <c r="F6305" s="3" t="str">
        <f t="shared" si="98"/>
        <v>I9102</v>
      </c>
    </row>
    <row r="6306" spans="1:6" x14ac:dyDescent="0.2">
      <c r="A6306" s="29" t="s">
        <v>16338</v>
      </c>
      <c r="B6306" s="30" t="s">
        <v>16339</v>
      </c>
      <c r="C6306" s="29" t="s">
        <v>558</v>
      </c>
      <c r="D6306" s="31">
        <v>13.846232727272726</v>
      </c>
      <c r="F6306" s="3" t="str">
        <f t="shared" si="98"/>
        <v>I9050</v>
      </c>
    </row>
    <row r="6307" spans="1:6" x14ac:dyDescent="0.2">
      <c r="A6307" s="29" t="s">
        <v>16340</v>
      </c>
      <c r="B6307" s="30" t="s">
        <v>16341</v>
      </c>
      <c r="C6307" s="29" t="s">
        <v>558</v>
      </c>
      <c r="D6307" s="31">
        <v>39.986871732954548</v>
      </c>
      <c r="F6307" s="3" t="str">
        <f t="shared" si="98"/>
        <v>I9103</v>
      </c>
    </row>
    <row r="6308" spans="1:6" x14ac:dyDescent="0.2">
      <c r="A6308" s="29" t="s">
        <v>16342</v>
      </c>
      <c r="B6308" s="30" t="s">
        <v>16343</v>
      </c>
      <c r="C6308" s="29" t="s">
        <v>558</v>
      </c>
      <c r="D6308" s="31">
        <v>23.582001278409091</v>
      </c>
      <c r="F6308" s="3" t="str">
        <f t="shared" si="98"/>
        <v>I9101</v>
      </c>
    </row>
    <row r="6309" spans="1:6" ht="22.5" x14ac:dyDescent="0.2">
      <c r="A6309" s="29" t="s">
        <v>16344</v>
      </c>
      <c r="B6309" s="30" t="s">
        <v>16345</v>
      </c>
      <c r="C6309" s="29" t="s">
        <v>558</v>
      </c>
      <c r="D6309" s="31">
        <v>17.080000000000002</v>
      </c>
      <c r="F6309" s="3" t="str">
        <f t="shared" si="98"/>
        <v>G0426</v>
      </c>
    </row>
    <row r="6310" spans="1:6" ht="22.5" x14ac:dyDescent="0.2">
      <c r="A6310" s="29" t="s">
        <v>16346</v>
      </c>
      <c r="B6310" s="30" t="s">
        <v>16347</v>
      </c>
      <c r="C6310" s="29" t="s">
        <v>558</v>
      </c>
      <c r="D6310" s="31">
        <v>24.080000000000002</v>
      </c>
      <c r="F6310" s="3" t="str">
        <f t="shared" si="98"/>
        <v>G0425</v>
      </c>
    </row>
    <row r="6311" spans="1:6" x14ac:dyDescent="0.2">
      <c r="A6311" s="29" t="s">
        <v>16348</v>
      </c>
      <c r="B6311" s="30" t="s">
        <v>16349</v>
      </c>
      <c r="C6311" s="29" t="s">
        <v>558</v>
      </c>
      <c r="D6311" s="31">
        <v>23.221503430000002</v>
      </c>
      <c r="F6311" s="3" t="str">
        <f t="shared" si="98"/>
        <v>I0639</v>
      </c>
    </row>
    <row r="6312" spans="1:6" x14ac:dyDescent="0.2">
      <c r="A6312" s="29" t="s">
        <v>16350</v>
      </c>
      <c r="B6312" s="30" t="s">
        <v>16351</v>
      </c>
      <c r="C6312" s="29" t="s">
        <v>558</v>
      </c>
      <c r="D6312" s="31">
        <v>25.157073930000003</v>
      </c>
      <c r="F6312" s="3" t="str">
        <f t="shared" si="98"/>
        <v>I0753</v>
      </c>
    </row>
    <row r="6313" spans="1:6" x14ac:dyDescent="0.2">
      <c r="A6313" s="29" t="s">
        <v>16352</v>
      </c>
      <c r="B6313" s="30" t="s">
        <v>16353</v>
      </c>
      <c r="C6313" s="29" t="s">
        <v>558</v>
      </c>
      <c r="D6313" s="31">
        <v>27.40414595</v>
      </c>
      <c r="F6313" s="3" t="str">
        <f t="shared" si="98"/>
        <v>I0640</v>
      </c>
    </row>
    <row r="6314" spans="1:6" x14ac:dyDescent="0.2">
      <c r="A6314" s="29" t="s">
        <v>16354</v>
      </c>
      <c r="B6314" s="30" t="s">
        <v>16355</v>
      </c>
      <c r="C6314" s="29" t="s">
        <v>558</v>
      </c>
      <c r="D6314" s="31">
        <v>39.235767575000004</v>
      </c>
      <c r="F6314" s="3" t="str">
        <f t="shared" si="98"/>
        <v>I0754</v>
      </c>
    </row>
    <row r="6315" spans="1:6" x14ac:dyDescent="0.2">
      <c r="A6315" s="29" t="s">
        <v>16356</v>
      </c>
      <c r="B6315" s="30" t="s">
        <v>16357</v>
      </c>
      <c r="C6315" s="29" t="s">
        <v>558</v>
      </c>
      <c r="D6315" s="31">
        <v>22.51413114</v>
      </c>
      <c r="F6315" s="3" t="str">
        <f t="shared" si="98"/>
        <v>I8970</v>
      </c>
    </row>
    <row r="6316" spans="1:6" x14ac:dyDescent="0.2">
      <c r="A6316" s="29" t="s">
        <v>16358</v>
      </c>
      <c r="B6316" s="30" t="s">
        <v>16359</v>
      </c>
      <c r="C6316" s="29" t="s">
        <v>558</v>
      </c>
      <c r="D6316" s="31">
        <v>30.371088140000001</v>
      </c>
      <c r="F6316" s="3" t="str">
        <f t="shared" si="98"/>
        <v>I8969</v>
      </c>
    </row>
    <row r="6317" spans="1:6" x14ac:dyDescent="0.2">
      <c r="A6317" s="29" t="s">
        <v>16360</v>
      </c>
      <c r="B6317" s="30" t="s">
        <v>16361</v>
      </c>
      <c r="C6317" s="29" t="s">
        <v>558</v>
      </c>
      <c r="D6317" s="31">
        <v>484.88037360294118</v>
      </c>
      <c r="F6317" s="3" t="str">
        <f t="shared" si="98"/>
        <v>I0641</v>
      </c>
    </row>
    <row r="6318" spans="1:6" x14ac:dyDescent="0.2">
      <c r="A6318" s="29" t="s">
        <v>16362</v>
      </c>
      <c r="B6318" s="30" t="s">
        <v>16363</v>
      </c>
      <c r="C6318" s="29" t="s">
        <v>558</v>
      </c>
      <c r="D6318" s="31">
        <v>1251.6159000735292</v>
      </c>
      <c r="F6318" s="3" t="str">
        <f t="shared" si="98"/>
        <v>I0755</v>
      </c>
    </row>
    <row r="6319" spans="1:6" x14ac:dyDescent="0.2">
      <c r="A6319" s="29" t="s">
        <v>16364</v>
      </c>
      <c r="B6319" s="30" t="s">
        <v>16365</v>
      </c>
      <c r="C6319" s="29" t="s">
        <v>558</v>
      </c>
      <c r="D6319" s="31">
        <v>121.95818266666667</v>
      </c>
      <c r="F6319" s="3" t="str">
        <f t="shared" si="98"/>
        <v>I0642</v>
      </c>
    </row>
    <row r="6320" spans="1:6" x14ac:dyDescent="0.2">
      <c r="A6320" s="29" t="s">
        <v>16366</v>
      </c>
      <c r="B6320" s="30" t="s">
        <v>16367</v>
      </c>
      <c r="C6320" s="29" t="s">
        <v>558</v>
      </c>
      <c r="D6320" s="31">
        <v>307.80107600000002</v>
      </c>
      <c r="F6320" s="3" t="str">
        <f t="shared" si="98"/>
        <v>I0756</v>
      </c>
    </row>
    <row r="6321" spans="1:6" x14ac:dyDescent="0.2">
      <c r="A6321" s="29" t="s">
        <v>16368</v>
      </c>
      <c r="B6321" s="30" t="s">
        <v>16369</v>
      </c>
      <c r="C6321" s="29" t="s">
        <v>558</v>
      </c>
      <c r="D6321" s="31">
        <v>6.4666724571428569</v>
      </c>
      <c r="F6321" s="3" t="str">
        <f t="shared" si="98"/>
        <v>I9386</v>
      </c>
    </row>
    <row r="6322" spans="1:6" x14ac:dyDescent="0.2">
      <c r="A6322" s="29" t="s">
        <v>16370</v>
      </c>
      <c r="B6322" s="30" t="s">
        <v>16371</v>
      </c>
      <c r="C6322" s="29" t="s">
        <v>558</v>
      </c>
      <c r="D6322" s="31">
        <v>10.197445028571428</v>
      </c>
      <c r="F6322" s="3" t="str">
        <f t="shared" si="98"/>
        <v>I9385</v>
      </c>
    </row>
    <row r="6323" spans="1:6" x14ac:dyDescent="0.2">
      <c r="A6323" s="29" t="s">
        <v>16372</v>
      </c>
      <c r="B6323" s="30" t="s">
        <v>16373</v>
      </c>
      <c r="C6323" s="29" t="s">
        <v>558</v>
      </c>
      <c r="D6323" s="31">
        <v>4.5319389142857149</v>
      </c>
      <c r="F6323" s="3" t="str">
        <f t="shared" si="98"/>
        <v>I9389</v>
      </c>
    </row>
    <row r="6324" spans="1:6" x14ac:dyDescent="0.2">
      <c r="A6324" s="29" t="s">
        <v>16374</v>
      </c>
      <c r="B6324" s="30" t="s">
        <v>16375</v>
      </c>
      <c r="C6324" s="29" t="s">
        <v>558</v>
      </c>
      <c r="D6324" s="31">
        <v>7.1465190571428581</v>
      </c>
      <c r="F6324" s="3" t="str">
        <f t="shared" si="98"/>
        <v>I9388</v>
      </c>
    </row>
    <row r="6325" spans="1:6" x14ac:dyDescent="0.2">
      <c r="A6325" s="29" t="s">
        <v>16376</v>
      </c>
      <c r="B6325" s="30" t="s">
        <v>16377</v>
      </c>
      <c r="C6325" s="29" t="s">
        <v>558</v>
      </c>
      <c r="D6325" s="31">
        <v>312.95315519999997</v>
      </c>
      <c r="F6325" s="3" t="str">
        <f t="shared" si="98"/>
        <v>G0416</v>
      </c>
    </row>
    <row r="6326" spans="1:6" x14ac:dyDescent="0.2">
      <c r="A6326" s="29" t="s">
        <v>16378</v>
      </c>
      <c r="B6326" s="30" t="s">
        <v>16379</v>
      </c>
      <c r="C6326" s="29" t="s">
        <v>558</v>
      </c>
      <c r="D6326" s="31">
        <v>667.30995119999989</v>
      </c>
      <c r="F6326" s="3" t="str">
        <f t="shared" si="98"/>
        <v>G0415</v>
      </c>
    </row>
    <row r="6327" spans="1:6" x14ac:dyDescent="0.2">
      <c r="A6327" s="29" t="s">
        <v>16380</v>
      </c>
      <c r="B6327" s="30" t="s">
        <v>16381</v>
      </c>
      <c r="C6327" s="29" t="s">
        <v>558</v>
      </c>
      <c r="D6327" s="31">
        <v>373.54504319999995</v>
      </c>
      <c r="F6327" s="3" t="str">
        <f t="shared" si="98"/>
        <v>G0419</v>
      </c>
    </row>
    <row r="6328" spans="1:6" x14ac:dyDescent="0.2">
      <c r="A6328" s="29" t="s">
        <v>16382</v>
      </c>
      <c r="B6328" s="30" t="s">
        <v>16383</v>
      </c>
      <c r="C6328" s="29" t="s">
        <v>558</v>
      </c>
      <c r="D6328" s="31">
        <v>755.03507520000005</v>
      </c>
      <c r="F6328" s="3" t="str">
        <f t="shared" si="98"/>
        <v>G0418</v>
      </c>
    </row>
    <row r="6329" spans="1:6" x14ac:dyDescent="0.2">
      <c r="A6329" s="29" t="s">
        <v>16384</v>
      </c>
      <c r="B6329" s="30" t="s">
        <v>16385</v>
      </c>
      <c r="C6329" s="29" t="s">
        <v>558</v>
      </c>
      <c r="D6329" s="31">
        <v>1.3991751428571428</v>
      </c>
      <c r="F6329" s="3" t="str">
        <f t="shared" si="98"/>
        <v>I0748</v>
      </c>
    </row>
    <row r="6330" spans="1:6" x14ac:dyDescent="0.2">
      <c r="A6330" s="29" t="s">
        <v>16386</v>
      </c>
      <c r="B6330" s="30" t="s">
        <v>16387</v>
      </c>
      <c r="C6330" s="29" t="s">
        <v>558</v>
      </c>
      <c r="D6330" s="31">
        <v>6.4385020000000001E-2</v>
      </c>
      <c r="F6330" s="3" t="str">
        <f t="shared" si="98"/>
        <v>I0635</v>
      </c>
    </row>
    <row r="6331" spans="1:6" x14ac:dyDescent="0.2">
      <c r="A6331" s="29" t="s">
        <v>16388</v>
      </c>
      <c r="B6331" s="30" t="s">
        <v>16389</v>
      </c>
      <c r="C6331" s="29" t="s">
        <v>558</v>
      </c>
      <c r="D6331" s="31">
        <v>9.7234520000000005E-2</v>
      </c>
      <c r="F6331" s="3" t="str">
        <f t="shared" si="98"/>
        <v>I0749</v>
      </c>
    </row>
    <row r="6332" spans="1:6" x14ac:dyDescent="0.2">
      <c r="A6332" s="29" t="s">
        <v>16390</v>
      </c>
      <c r="B6332" s="30" t="s">
        <v>16391</v>
      </c>
      <c r="C6332" s="29" t="s">
        <v>558</v>
      </c>
      <c r="D6332" s="31">
        <v>1.3473616000000002</v>
      </c>
      <c r="F6332" s="3" t="str">
        <f t="shared" si="98"/>
        <v>G0440</v>
      </c>
    </row>
    <row r="6333" spans="1:6" x14ac:dyDescent="0.2">
      <c r="A6333" s="29" t="s">
        <v>16392</v>
      </c>
      <c r="B6333" s="30" t="s">
        <v>16393</v>
      </c>
      <c r="C6333" s="29" t="s">
        <v>558</v>
      </c>
      <c r="D6333" s="31">
        <v>2.3837936000000006</v>
      </c>
      <c r="F6333" s="3" t="str">
        <f t="shared" si="98"/>
        <v>G0439</v>
      </c>
    </row>
    <row r="6334" spans="1:6" x14ac:dyDescent="0.2">
      <c r="A6334" s="29" t="s">
        <v>16394</v>
      </c>
      <c r="B6334" s="30" t="s">
        <v>16395</v>
      </c>
      <c r="C6334" s="29" t="s">
        <v>558</v>
      </c>
      <c r="D6334" s="31">
        <v>40.859371875000001</v>
      </c>
      <c r="F6334" s="3" t="str">
        <f t="shared" si="98"/>
        <v>I0636</v>
      </c>
    </row>
    <row r="6335" spans="1:6" x14ac:dyDescent="0.2">
      <c r="A6335" s="29" t="s">
        <v>16396</v>
      </c>
      <c r="B6335" s="30" t="s">
        <v>16397</v>
      </c>
      <c r="C6335" s="29" t="s">
        <v>558</v>
      </c>
      <c r="D6335" s="31">
        <v>60.107934374999999</v>
      </c>
      <c r="F6335" s="3" t="str">
        <f t="shared" si="98"/>
        <v>I0750</v>
      </c>
    </row>
    <row r="6336" spans="1:6" x14ac:dyDescent="0.2">
      <c r="A6336" s="29" t="s">
        <v>16398</v>
      </c>
      <c r="B6336" s="30" t="s">
        <v>16399</v>
      </c>
      <c r="C6336" s="29" t="s">
        <v>558</v>
      </c>
      <c r="D6336" s="31">
        <v>33.405733380000001</v>
      </c>
      <c r="F6336" s="3" t="str">
        <f t="shared" si="98"/>
        <v>I0637</v>
      </c>
    </row>
    <row r="6337" spans="1:6" x14ac:dyDescent="0.2">
      <c r="A6337" s="29" t="s">
        <v>16400</v>
      </c>
      <c r="B6337" s="30" t="s">
        <v>16401</v>
      </c>
      <c r="C6337" s="29" t="s">
        <v>558</v>
      </c>
      <c r="D6337" s="31">
        <v>44.359197879999996</v>
      </c>
      <c r="F6337" s="3" t="str">
        <f t="shared" si="98"/>
        <v>I0751</v>
      </c>
    </row>
    <row r="6338" spans="1:6" x14ac:dyDescent="0.2">
      <c r="A6338" s="29" t="s">
        <v>16402</v>
      </c>
      <c r="B6338" s="30" t="s">
        <v>16403</v>
      </c>
      <c r="C6338" s="29" t="s">
        <v>558</v>
      </c>
      <c r="D6338" s="31">
        <v>110.7112908875</v>
      </c>
      <c r="F6338" s="3" t="str">
        <f t="shared" ref="F6338:F6401" si="99">A6338</f>
        <v>I0638</v>
      </c>
    </row>
    <row r="6339" spans="1:6" x14ac:dyDescent="0.2">
      <c r="A6339" s="29" t="s">
        <v>16404</v>
      </c>
      <c r="B6339" s="30" t="s">
        <v>16405</v>
      </c>
      <c r="C6339" s="29" t="s">
        <v>558</v>
      </c>
      <c r="D6339" s="31">
        <v>220.50655388750002</v>
      </c>
      <c r="F6339" s="3" t="str">
        <f t="shared" si="99"/>
        <v>I0752</v>
      </c>
    </row>
    <row r="6340" spans="1:6" x14ac:dyDescent="0.2">
      <c r="A6340" s="29" t="s">
        <v>16406</v>
      </c>
      <c r="B6340" s="30" t="s">
        <v>16407</v>
      </c>
      <c r="C6340" s="29" t="s">
        <v>558</v>
      </c>
      <c r="D6340" s="31">
        <v>1.1752402457142859</v>
      </c>
      <c r="F6340" s="3" t="str">
        <f t="shared" si="99"/>
        <v>I0758</v>
      </c>
    </row>
    <row r="6341" spans="1:6" ht="33.75" x14ac:dyDescent="0.2">
      <c r="A6341" s="29" t="s">
        <v>16408</v>
      </c>
      <c r="B6341" s="30" t="s">
        <v>16409</v>
      </c>
      <c r="C6341" s="29" t="s">
        <v>558</v>
      </c>
      <c r="D6341" s="31">
        <v>303.27870937500001</v>
      </c>
      <c r="F6341" s="3" t="str">
        <f t="shared" si="99"/>
        <v>I13310</v>
      </c>
    </row>
    <row r="6342" spans="1:6" ht="33.75" x14ac:dyDescent="0.2">
      <c r="A6342" s="29" t="s">
        <v>16410</v>
      </c>
      <c r="B6342" s="30" t="s">
        <v>16411</v>
      </c>
      <c r="C6342" s="29" t="s">
        <v>558</v>
      </c>
      <c r="D6342" s="31">
        <v>611.03345937500001</v>
      </c>
      <c r="F6342" s="3" t="str">
        <f t="shared" si="99"/>
        <v>I13307</v>
      </c>
    </row>
    <row r="6343" spans="1:6" x14ac:dyDescent="0.2">
      <c r="A6343" s="29" t="s">
        <v>16412</v>
      </c>
      <c r="B6343" s="30" t="s">
        <v>16413</v>
      </c>
      <c r="C6343" s="29" t="s">
        <v>558</v>
      </c>
      <c r="D6343" s="31">
        <v>24.214718300000001</v>
      </c>
      <c r="F6343" s="3" t="str">
        <f t="shared" si="99"/>
        <v>I0645</v>
      </c>
    </row>
    <row r="6344" spans="1:6" x14ac:dyDescent="0.2">
      <c r="A6344" s="29" t="s">
        <v>16414</v>
      </c>
      <c r="B6344" s="30" t="s">
        <v>16415</v>
      </c>
      <c r="C6344" s="29" t="s">
        <v>558</v>
      </c>
      <c r="D6344" s="31">
        <v>25.607441300000001</v>
      </c>
      <c r="F6344" s="3" t="str">
        <f t="shared" si="99"/>
        <v>I0759</v>
      </c>
    </row>
    <row r="6345" spans="1:6" x14ac:dyDescent="0.2">
      <c r="A6345" s="29" t="s">
        <v>16416</v>
      </c>
      <c r="B6345" s="30" t="s">
        <v>16417</v>
      </c>
      <c r="C6345" s="29" t="s">
        <v>558</v>
      </c>
      <c r="D6345" s="31">
        <v>8.1216799999999996</v>
      </c>
      <c r="F6345" s="3" t="str">
        <f t="shared" si="99"/>
        <v>I0760</v>
      </c>
    </row>
    <row r="6346" spans="1:6" x14ac:dyDescent="0.2">
      <c r="A6346" s="29" t="s">
        <v>16418</v>
      </c>
      <c r="B6346" s="30" t="s">
        <v>16419</v>
      </c>
      <c r="C6346" s="29" t="s">
        <v>558</v>
      </c>
      <c r="D6346" s="31">
        <v>37.922740634999997</v>
      </c>
      <c r="F6346" s="3" t="str">
        <f t="shared" si="99"/>
        <v>I9525</v>
      </c>
    </row>
    <row r="6347" spans="1:6" x14ac:dyDescent="0.2">
      <c r="A6347" s="29" t="s">
        <v>16420</v>
      </c>
      <c r="B6347" s="30" t="s">
        <v>16421</v>
      </c>
      <c r="C6347" s="29" t="s">
        <v>558</v>
      </c>
      <c r="D6347" s="31">
        <v>45.282360384999997</v>
      </c>
      <c r="F6347" s="3" t="str">
        <f t="shared" si="99"/>
        <v>I9524</v>
      </c>
    </row>
    <row r="6348" spans="1:6" x14ac:dyDescent="0.2">
      <c r="A6348" s="29" t="s">
        <v>16422</v>
      </c>
      <c r="B6348" s="30" t="s">
        <v>16423</v>
      </c>
      <c r="C6348" s="29" t="s">
        <v>558</v>
      </c>
      <c r="D6348" s="31">
        <v>20.905194080000001</v>
      </c>
      <c r="F6348" s="3" t="str">
        <f t="shared" si="99"/>
        <v>I0647</v>
      </c>
    </row>
    <row r="6349" spans="1:6" x14ac:dyDescent="0.2">
      <c r="A6349" s="29" t="s">
        <v>16424</v>
      </c>
      <c r="B6349" s="30" t="s">
        <v>16425</v>
      </c>
      <c r="C6349" s="29" t="s">
        <v>558</v>
      </c>
      <c r="D6349" s="31">
        <v>22.152742079999999</v>
      </c>
      <c r="F6349" s="3" t="str">
        <f t="shared" si="99"/>
        <v>I0761</v>
      </c>
    </row>
    <row r="6350" spans="1:6" x14ac:dyDescent="0.2">
      <c r="A6350" s="29" t="s">
        <v>16426</v>
      </c>
      <c r="B6350" s="30" t="s">
        <v>16427</v>
      </c>
      <c r="C6350" s="29" t="s">
        <v>558</v>
      </c>
      <c r="D6350" s="31">
        <v>436.64447447500004</v>
      </c>
      <c r="F6350" s="3" t="str">
        <f t="shared" si="99"/>
        <v>I7421</v>
      </c>
    </row>
    <row r="6351" spans="1:6" x14ac:dyDescent="0.2">
      <c r="A6351" s="29" t="s">
        <v>16428</v>
      </c>
      <c r="B6351" s="30" t="s">
        <v>16429</v>
      </c>
      <c r="C6351" s="29" t="s">
        <v>558</v>
      </c>
      <c r="D6351" s="31">
        <v>1064.816716975</v>
      </c>
      <c r="F6351" s="3" t="str">
        <f t="shared" si="99"/>
        <v>I7420</v>
      </c>
    </row>
    <row r="6352" spans="1:6" x14ac:dyDescent="0.2">
      <c r="A6352" s="29" t="s">
        <v>16430</v>
      </c>
      <c r="B6352" s="30" t="s">
        <v>16431</v>
      </c>
      <c r="C6352" s="29" t="s">
        <v>558</v>
      </c>
      <c r="D6352" s="31">
        <v>3.3942555138461534</v>
      </c>
      <c r="F6352" s="3" t="str">
        <f t="shared" si="99"/>
        <v>I0651</v>
      </c>
    </row>
    <row r="6353" spans="1:6" x14ac:dyDescent="0.2">
      <c r="A6353" s="29" t="s">
        <v>16432</v>
      </c>
      <c r="B6353" s="30" t="s">
        <v>16433</v>
      </c>
      <c r="C6353" s="29" t="s">
        <v>558</v>
      </c>
      <c r="D6353" s="31">
        <v>4.6330348984615384</v>
      </c>
      <c r="F6353" s="3" t="str">
        <f t="shared" si="99"/>
        <v>I0764</v>
      </c>
    </row>
    <row r="6354" spans="1:6" x14ac:dyDescent="0.2">
      <c r="A6354" s="29" t="s">
        <v>16434</v>
      </c>
      <c r="B6354" s="30" t="s">
        <v>16435</v>
      </c>
      <c r="C6354" s="29" t="s">
        <v>558</v>
      </c>
      <c r="D6354" s="31">
        <v>53.389132860294119</v>
      </c>
      <c r="F6354" s="3" t="str">
        <f t="shared" si="99"/>
        <v>I0653</v>
      </c>
    </row>
    <row r="6355" spans="1:6" x14ac:dyDescent="0.2">
      <c r="A6355" s="29" t="s">
        <v>16436</v>
      </c>
      <c r="B6355" s="30" t="s">
        <v>16437</v>
      </c>
      <c r="C6355" s="29" t="s">
        <v>558</v>
      </c>
      <c r="D6355" s="31">
        <v>137.09201550735295</v>
      </c>
      <c r="F6355" s="3" t="str">
        <f t="shared" si="99"/>
        <v>I0765</v>
      </c>
    </row>
    <row r="6356" spans="1:6" x14ac:dyDescent="0.2">
      <c r="A6356" s="29" t="s">
        <v>16438</v>
      </c>
      <c r="B6356" s="30" t="s">
        <v>16439</v>
      </c>
      <c r="C6356" s="29" t="s">
        <v>558</v>
      </c>
      <c r="D6356" s="31">
        <v>0.21583564999999999</v>
      </c>
      <c r="F6356" s="3" t="str">
        <f t="shared" si="99"/>
        <v>G0443</v>
      </c>
    </row>
    <row r="6357" spans="1:6" x14ac:dyDescent="0.2">
      <c r="A6357" s="29" t="s">
        <v>16440</v>
      </c>
      <c r="B6357" s="30" t="s">
        <v>16441</v>
      </c>
      <c r="C6357" s="29" t="s">
        <v>558</v>
      </c>
      <c r="D6357" s="31">
        <v>0.36863964999999999</v>
      </c>
      <c r="F6357" s="3" t="str">
        <f t="shared" si="99"/>
        <v>G0442</v>
      </c>
    </row>
    <row r="6358" spans="1:6" x14ac:dyDescent="0.2">
      <c r="A6358" s="29" t="s">
        <v>16442</v>
      </c>
      <c r="B6358" s="30" t="s">
        <v>16443</v>
      </c>
      <c r="C6358" s="29" t="s">
        <v>558</v>
      </c>
      <c r="D6358" s="31">
        <v>25.553882000000002</v>
      </c>
      <c r="F6358" s="3" t="str">
        <f t="shared" si="99"/>
        <v>I0654</v>
      </c>
    </row>
    <row r="6359" spans="1:6" x14ac:dyDescent="0.2">
      <c r="A6359" s="29" t="s">
        <v>16444</v>
      </c>
      <c r="B6359" s="30" t="s">
        <v>16445</v>
      </c>
      <c r="C6359" s="29" t="s">
        <v>558</v>
      </c>
      <c r="D6359" s="31">
        <v>27.584302000000001</v>
      </c>
      <c r="F6359" s="3" t="str">
        <f t="shared" si="99"/>
        <v>I0769</v>
      </c>
    </row>
    <row r="6360" spans="1:6" x14ac:dyDescent="0.2">
      <c r="A6360" s="29" t="s">
        <v>16446</v>
      </c>
      <c r="B6360" s="30" t="s">
        <v>16447</v>
      </c>
      <c r="C6360" s="29" t="s">
        <v>558</v>
      </c>
      <c r="D6360" s="31">
        <v>0.76436567999999994</v>
      </c>
      <c r="F6360" s="3" t="str">
        <f t="shared" si="99"/>
        <v>I0655</v>
      </c>
    </row>
    <row r="6361" spans="1:6" x14ac:dyDescent="0.2">
      <c r="A6361" s="29" t="s">
        <v>16448</v>
      </c>
      <c r="B6361" s="30" t="s">
        <v>16449</v>
      </c>
      <c r="C6361" s="29" t="s">
        <v>558</v>
      </c>
      <c r="D6361" s="31">
        <v>2.84035868</v>
      </c>
      <c r="F6361" s="3" t="str">
        <f t="shared" si="99"/>
        <v>I0767</v>
      </c>
    </row>
    <row r="6362" spans="1:6" x14ac:dyDescent="0.2">
      <c r="A6362" s="29" t="s">
        <v>16450</v>
      </c>
      <c r="B6362" s="30" t="s">
        <v>16451</v>
      </c>
      <c r="C6362" s="29" t="s">
        <v>558</v>
      </c>
      <c r="D6362" s="31">
        <v>4.6469699999999996</v>
      </c>
      <c r="F6362" s="3" t="str">
        <f t="shared" si="99"/>
        <v>I0656</v>
      </c>
    </row>
    <row r="6363" spans="1:6" x14ac:dyDescent="0.2">
      <c r="A6363" s="29" t="s">
        <v>16452</v>
      </c>
      <c r="B6363" s="30" t="s">
        <v>16453</v>
      </c>
      <c r="C6363" s="29" t="s">
        <v>558</v>
      </c>
      <c r="D6363" s="31">
        <v>7.6588949999999993</v>
      </c>
      <c r="F6363" s="3" t="str">
        <f t="shared" si="99"/>
        <v>I0768</v>
      </c>
    </row>
    <row r="6364" spans="1:6" x14ac:dyDescent="0.2">
      <c r="A6364" s="29" t="s">
        <v>16454</v>
      </c>
      <c r="B6364" s="30" t="s">
        <v>16455</v>
      </c>
      <c r="C6364" s="29" t="s">
        <v>558</v>
      </c>
      <c r="D6364" s="31">
        <v>21.641328266666665</v>
      </c>
      <c r="F6364" s="3" t="str">
        <f t="shared" si="99"/>
        <v>I0650</v>
      </c>
    </row>
    <row r="6365" spans="1:6" x14ac:dyDescent="0.2">
      <c r="A6365" s="29" t="s">
        <v>16456</v>
      </c>
      <c r="B6365" s="30" t="s">
        <v>16457</v>
      </c>
      <c r="C6365" s="29" t="s">
        <v>558</v>
      </c>
      <c r="D6365" s="31">
        <v>23.264454933333333</v>
      </c>
      <c r="F6365" s="3" t="str">
        <f t="shared" si="99"/>
        <v>I0762</v>
      </c>
    </row>
    <row r="6366" spans="1:6" x14ac:dyDescent="0.2">
      <c r="A6366" s="29" t="s">
        <v>16458</v>
      </c>
      <c r="B6366" s="30" t="s">
        <v>16459</v>
      </c>
      <c r="C6366" s="29" t="s">
        <v>558</v>
      </c>
      <c r="D6366" s="31">
        <v>23.269186666666666</v>
      </c>
      <c r="F6366" s="3" t="str">
        <f t="shared" si="99"/>
        <v>I0649</v>
      </c>
    </row>
    <row r="6367" spans="1:6" x14ac:dyDescent="0.2">
      <c r="A6367" s="29" t="s">
        <v>16460</v>
      </c>
      <c r="B6367" s="30" t="s">
        <v>16461</v>
      </c>
      <c r="C6367" s="29" t="s">
        <v>558</v>
      </c>
      <c r="D6367" s="31">
        <v>25.722853333333333</v>
      </c>
      <c r="F6367" s="3" t="str">
        <f t="shared" si="99"/>
        <v>I0763</v>
      </c>
    </row>
    <row r="6368" spans="1:6" x14ac:dyDescent="0.2">
      <c r="A6368" s="29" t="s">
        <v>16462</v>
      </c>
      <c r="B6368" s="30" t="s">
        <v>16463</v>
      </c>
      <c r="C6368" s="29" t="s">
        <v>558</v>
      </c>
      <c r="D6368" s="31">
        <v>0.61879466666666672</v>
      </c>
      <c r="F6368" s="3" t="str">
        <f t="shared" si="99"/>
        <v>I0657</v>
      </c>
    </row>
    <row r="6369" spans="1:6" x14ac:dyDescent="0.2">
      <c r="A6369" s="29" t="s">
        <v>16464</v>
      </c>
      <c r="B6369" s="30" t="s">
        <v>16465</v>
      </c>
      <c r="C6369" s="29" t="s">
        <v>558</v>
      </c>
      <c r="D6369" s="31">
        <v>0.87662577777777784</v>
      </c>
      <c r="F6369" s="3" t="str">
        <f t="shared" si="99"/>
        <v>I0770</v>
      </c>
    </row>
    <row r="6370" spans="1:6" x14ac:dyDescent="0.2">
      <c r="A6370" s="29" t="s">
        <v>16466</v>
      </c>
      <c r="B6370" s="30" t="s">
        <v>16467</v>
      </c>
      <c r="C6370" s="29" t="s">
        <v>558</v>
      </c>
      <c r="D6370" s="31">
        <v>80.199913352272731</v>
      </c>
      <c r="F6370" s="3" t="str">
        <f t="shared" si="99"/>
        <v>I9127</v>
      </c>
    </row>
    <row r="6371" spans="1:6" x14ac:dyDescent="0.2">
      <c r="A6371" s="29" t="s">
        <v>16468</v>
      </c>
      <c r="B6371" s="30" t="s">
        <v>16469</v>
      </c>
      <c r="C6371" s="29" t="s">
        <v>558</v>
      </c>
      <c r="D6371" s="31">
        <v>80.461564772727272</v>
      </c>
      <c r="F6371" s="3" t="str">
        <f t="shared" si="99"/>
        <v>I9098</v>
      </c>
    </row>
    <row r="6372" spans="1:6" x14ac:dyDescent="0.2">
      <c r="A6372" s="29" t="s">
        <v>16470</v>
      </c>
      <c r="B6372" s="30" t="s">
        <v>16471</v>
      </c>
      <c r="C6372" s="29" t="s">
        <v>558</v>
      </c>
      <c r="D6372" s="31">
        <v>24.717952</v>
      </c>
      <c r="F6372" s="3" t="str">
        <f t="shared" si="99"/>
        <v>G0423</v>
      </c>
    </row>
    <row r="6373" spans="1:6" x14ac:dyDescent="0.2">
      <c r="A6373" s="29" t="s">
        <v>16472</v>
      </c>
      <c r="B6373" s="30" t="s">
        <v>16473</v>
      </c>
      <c r="C6373" s="29" t="s">
        <v>558</v>
      </c>
      <c r="D6373" s="31">
        <v>59.963382000000003</v>
      </c>
      <c r="F6373" s="3" t="str">
        <f t="shared" si="99"/>
        <v>G0422</v>
      </c>
    </row>
    <row r="6374" spans="1:6" x14ac:dyDescent="0.2">
      <c r="A6374" s="29" t="s">
        <v>16474</v>
      </c>
      <c r="B6374" s="30" t="s">
        <v>16475</v>
      </c>
      <c r="C6374" s="29" t="s">
        <v>558</v>
      </c>
      <c r="D6374" s="31">
        <v>0.18951840000000003</v>
      </c>
      <c r="F6374" s="3" t="str">
        <f t="shared" si="99"/>
        <v>I0658</v>
      </c>
    </row>
    <row r="6375" spans="1:6" x14ac:dyDescent="0.2">
      <c r="A6375" s="29" t="s">
        <v>16476</v>
      </c>
      <c r="B6375" s="30" t="s">
        <v>16477</v>
      </c>
      <c r="C6375" s="29" t="s">
        <v>558</v>
      </c>
      <c r="D6375" s="31">
        <v>0.26655840000000003</v>
      </c>
      <c r="F6375" s="3" t="str">
        <f t="shared" si="99"/>
        <v>I0771</v>
      </c>
    </row>
    <row r="6376" spans="1:6" x14ac:dyDescent="0.2">
      <c r="A6376" s="29" t="s">
        <v>16478</v>
      </c>
      <c r="B6376" s="30" t="s">
        <v>16479</v>
      </c>
      <c r="C6376" s="29" t="s">
        <v>558</v>
      </c>
      <c r="D6376" s="31">
        <v>0.5407440240000001</v>
      </c>
      <c r="F6376" s="3" t="str">
        <f t="shared" si="99"/>
        <v>I0772</v>
      </c>
    </row>
    <row r="6377" spans="1:6" x14ac:dyDescent="0.2">
      <c r="A6377" s="29" t="s">
        <v>16480</v>
      </c>
      <c r="B6377" s="30" t="s">
        <v>16481</v>
      </c>
      <c r="C6377" s="29" t="s">
        <v>558</v>
      </c>
      <c r="D6377" s="31">
        <v>0.38445962400000006</v>
      </c>
      <c r="F6377" s="3" t="str">
        <f t="shared" si="99"/>
        <v>I0659</v>
      </c>
    </row>
    <row r="6378" spans="1:6" x14ac:dyDescent="0.2">
      <c r="A6378" s="29" t="s">
        <v>16482</v>
      </c>
      <c r="B6378" s="30" t="s">
        <v>16483</v>
      </c>
      <c r="C6378" s="29" t="s">
        <v>558</v>
      </c>
      <c r="D6378" s="31">
        <v>0.90144072000000008</v>
      </c>
      <c r="F6378" s="3" t="str">
        <f t="shared" si="99"/>
        <v>I0773</v>
      </c>
    </row>
    <row r="6379" spans="1:6" x14ac:dyDescent="0.2">
      <c r="A6379" s="29" t="s">
        <v>16484</v>
      </c>
      <c r="B6379" s="30" t="s">
        <v>16485</v>
      </c>
      <c r="C6379" s="29" t="s">
        <v>558</v>
      </c>
      <c r="D6379" s="31">
        <v>0.6409087200000001</v>
      </c>
      <c r="F6379" s="3" t="str">
        <f t="shared" si="99"/>
        <v>I0660</v>
      </c>
    </row>
    <row r="6380" spans="1:6" x14ac:dyDescent="0.2">
      <c r="A6380" s="29" t="s">
        <v>16486</v>
      </c>
      <c r="B6380" s="30" t="s">
        <v>16487</v>
      </c>
      <c r="C6380" s="29" t="s">
        <v>558</v>
      </c>
      <c r="D6380" s="31">
        <v>23.642720557291671</v>
      </c>
      <c r="F6380" s="3" t="str">
        <f t="shared" si="99"/>
        <v>I0661</v>
      </c>
    </row>
    <row r="6381" spans="1:6" x14ac:dyDescent="0.2">
      <c r="A6381" s="29" t="s">
        <v>16488</v>
      </c>
      <c r="B6381" s="30" t="s">
        <v>16489</v>
      </c>
      <c r="C6381" s="29" t="s">
        <v>558</v>
      </c>
      <c r="D6381" s="31">
        <v>34.690720817708339</v>
      </c>
      <c r="F6381" s="3" t="str">
        <f t="shared" si="99"/>
        <v>I0774</v>
      </c>
    </row>
    <row r="6382" spans="1:6" x14ac:dyDescent="0.2">
      <c r="A6382" s="29" t="s">
        <v>16490</v>
      </c>
      <c r="B6382" s="30" t="s">
        <v>16491</v>
      </c>
      <c r="C6382" s="29" t="s">
        <v>558</v>
      </c>
      <c r="D6382" s="31">
        <v>2.3202211714285714</v>
      </c>
      <c r="F6382" s="3" t="str">
        <f t="shared" si="99"/>
        <v>I0775</v>
      </c>
    </row>
    <row r="6383" spans="1:6" x14ac:dyDescent="0.2">
      <c r="A6383" s="29" t="s">
        <v>16492</v>
      </c>
      <c r="B6383" s="30" t="s">
        <v>16493</v>
      </c>
      <c r="C6383" s="29" t="s">
        <v>558</v>
      </c>
      <c r="D6383" s="31">
        <v>288.52462482941178</v>
      </c>
      <c r="F6383" s="3" t="str">
        <f t="shared" si="99"/>
        <v>I0663</v>
      </c>
    </row>
    <row r="6384" spans="1:6" x14ac:dyDescent="0.2">
      <c r="A6384" s="29" t="s">
        <v>16494</v>
      </c>
      <c r="B6384" s="30" t="s">
        <v>16495</v>
      </c>
      <c r="C6384" s="29" t="s">
        <v>558</v>
      </c>
      <c r="D6384" s="31">
        <v>809.83576624117654</v>
      </c>
      <c r="F6384" s="3" t="str">
        <f t="shared" si="99"/>
        <v>I0776</v>
      </c>
    </row>
    <row r="6385" spans="1:6" x14ac:dyDescent="0.2">
      <c r="A6385" s="29" t="s">
        <v>16496</v>
      </c>
      <c r="B6385" s="30" t="s">
        <v>16497</v>
      </c>
      <c r="C6385" s="29" t="s">
        <v>558</v>
      </c>
      <c r="D6385" s="31">
        <v>93.193079411764714</v>
      </c>
      <c r="F6385" s="3" t="str">
        <f t="shared" si="99"/>
        <v>I0666</v>
      </c>
    </row>
    <row r="6386" spans="1:6" x14ac:dyDescent="0.2">
      <c r="A6386" s="29" t="s">
        <v>16498</v>
      </c>
      <c r="B6386" s="30" t="s">
        <v>16499</v>
      </c>
      <c r="C6386" s="29" t="s">
        <v>558</v>
      </c>
      <c r="D6386" s="31">
        <v>277.58199117647058</v>
      </c>
      <c r="F6386" s="3" t="str">
        <f t="shared" si="99"/>
        <v>I0779</v>
      </c>
    </row>
    <row r="6387" spans="1:6" x14ac:dyDescent="0.2">
      <c r="A6387" s="29" t="s">
        <v>16500</v>
      </c>
      <c r="B6387" s="30" t="s">
        <v>16501</v>
      </c>
      <c r="C6387" s="29" t="s">
        <v>558</v>
      </c>
      <c r="D6387" s="31">
        <v>276.15727070000003</v>
      </c>
      <c r="F6387" s="3" t="str">
        <f t="shared" si="99"/>
        <v>I0665</v>
      </c>
    </row>
    <row r="6388" spans="1:6" x14ac:dyDescent="0.2">
      <c r="A6388" s="29" t="s">
        <v>16502</v>
      </c>
      <c r="B6388" s="30" t="s">
        <v>16503</v>
      </c>
      <c r="C6388" s="29" t="s">
        <v>558</v>
      </c>
      <c r="D6388" s="31">
        <v>784.33493870000007</v>
      </c>
      <c r="F6388" s="3" t="str">
        <f t="shared" si="99"/>
        <v>I0778</v>
      </c>
    </row>
    <row r="6389" spans="1:6" x14ac:dyDescent="0.2">
      <c r="A6389" s="29" t="s">
        <v>16504</v>
      </c>
      <c r="B6389" s="30" t="s">
        <v>16505</v>
      </c>
      <c r="C6389" s="29" t="s">
        <v>558</v>
      </c>
      <c r="D6389" s="31">
        <v>37.201777270588238</v>
      </c>
      <c r="F6389" s="3" t="str">
        <f t="shared" si="99"/>
        <v>I0667</v>
      </c>
    </row>
    <row r="6390" spans="1:6" x14ac:dyDescent="0.2">
      <c r="A6390" s="29" t="s">
        <v>16506</v>
      </c>
      <c r="B6390" s="30" t="s">
        <v>16507</v>
      </c>
      <c r="C6390" s="29" t="s">
        <v>558</v>
      </c>
      <c r="D6390" s="31">
        <v>124.7248742117647</v>
      </c>
      <c r="F6390" s="3" t="str">
        <f t="shared" si="99"/>
        <v>I0780</v>
      </c>
    </row>
    <row r="6391" spans="1:6" x14ac:dyDescent="0.2">
      <c r="A6391" s="29" t="s">
        <v>16508</v>
      </c>
      <c r="B6391" s="30" t="s">
        <v>16509</v>
      </c>
      <c r="C6391" s="29" t="s">
        <v>558</v>
      </c>
      <c r="D6391" s="31">
        <v>202.64102866666667</v>
      </c>
      <c r="F6391" s="3" t="str">
        <f t="shared" si="99"/>
        <v>I8399</v>
      </c>
    </row>
    <row r="6392" spans="1:6" x14ac:dyDescent="0.2">
      <c r="A6392" s="29" t="s">
        <v>16510</v>
      </c>
      <c r="B6392" s="30" t="s">
        <v>16511</v>
      </c>
      <c r="C6392" s="29" t="s">
        <v>558</v>
      </c>
      <c r="D6392" s="31">
        <v>536.05450666666673</v>
      </c>
      <c r="F6392" s="3" t="str">
        <f t="shared" si="99"/>
        <v>I8400</v>
      </c>
    </row>
    <row r="6393" spans="1:6" x14ac:dyDescent="0.2">
      <c r="A6393" s="29" t="s">
        <v>16512</v>
      </c>
      <c r="B6393" s="30" t="s">
        <v>16513</v>
      </c>
      <c r="C6393" s="29" t="s">
        <v>558</v>
      </c>
      <c r="D6393" s="31">
        <v>364.76393777777776</v>
      </c>
      <c r="F6393" s="3" t="str">
        <f t="shared" si="99"/>
        <v>I0669</v>
      </c>
    </row>
    <row r="6394" spans="1:6" x14ac:dyDescent="0.2">
      <c r="A6394" s="29" t="s">
        <v>16514</v>
      </c>
      <c r="B6394" s="30" t="s">
        <v>16515</v>
      </c>
      <c r="C6394" s="29" t="s">
        <v>558</v>
      </c>
      <c r="D6394" s="31">
        <v>1448.7178755555556</v>
      </c>
      <c r="F6394" s="3" t="str">
        <f t="shared" si="99"/>
        <v>I0782</v>
      </c>
    </row>
    <row r="6395" spans="1:6" x14ac:dyDescent="0.2">
      <c r="A6395" s="29" t="s">
        <v>16516</v>
      </c>
      <c r="B6395" s="30" t="s">
        <v>16517</v>
      </c>
      <c r="C6395" s="29" t="s">
        <v>558</v>
      </c>
      <c r="D6395" s="31">
        <v>45.926762666666662</v>
      </c>
      <c r="F6395" s="3" t="str">
        <f t="shared" si="99"/>
        <v>I0670</v>
      </c>
    </row>
    <row r="6396" spans="1:6" x14ac:dyDescent="0.2">
      <c r="A6396" s="29" t="s">
        <v>16518</v>
      </c>
      <c r="B6396" s="30" t="s">
        <v>16519</v>
      </c>
      <c r="C6396" s="29" t="s">
        <v>558</v>
      </c>
      <c r="D6396" s="31">
        <v>63.043525333333328</v>
      </c>
      <c r="F6396" s="3" t="str">
        <f t="shared" si="99"/>
        <v>I0783</v>
      </c>
    </row>
    <row r="6397" spans="1:6" x14ac:dyDescent="0.2">
      <c r="A6397" s="29" t="s">
        <v>16520</v>
      </c>
      <c r="B6397" s="30" t="s">
        <v>16521</v>
      </c>
      <c r="C6397" s="29" t="s">
        <v>558</v>
      </c>
      <c r="D6397" s="31">
        <v>129.45656622222222</v>
      </c>
      <c r="F6397" s="3" t="str">
        <f t="shared" si="99"/>
        <v>I0671</v>
      </c>
    </row>
    <row r="6398" spans="1:6" x14ac:dyDescent="0.2">
      <c r="A6398" s="29" t="s">
        <v>16522</v>
      </c>
      <c r="B6398" s="30" t="s">
        <v>16523</v>
      </c>
      <c r="C6398" s="29" t="s">
        <v>558</v>
      </c>
      <c r="D6398" s="31">
        <v>230.10313244444447</v>
      </c>
      <c r="F6398" s="3" t="str">
        <f t="shared" si="99"/>
        <v>I0784</v>
      </c>
    </row>
    <row r="6399" spans="1:6" x14ac:dyDescent="0.2">
      <c r="A6399" s="29" t="s">
        <v>16524</v>
      </c>
      <c r="B6399" s="30" t="s">
        <v>16525</v>
      </c>
      <c r="C6399" s="29" t="s">
        <v>558</v>
      </c>
      <c r="D6399" s="31">
        <v>31.356684425000001</v>
      </c>
      <c r="F6399" s="3" t="str">
        <f t="shared" si="99"/>
        <v>G0455</v>
      </c>
    </row>
    <row r="6400" spans="1:6" x14ac:dyDescent="0.2">
      <c r="A6400" s="29" t="s">
        <v>16526</v>
      </c>
      <c r="B6400" s="30" t="s">
        <v>16527</v>
      </c>
      <c r="C6400" s="29" t="s">
        <v>558</v>
      </c>
      <c r="D6400" s="31">
        <v>103.010709925</v>
      </c>
      <c r="F6400" s="3" t="str">
        <f t="shared" si="99"/>
        <v>G0454</v>
      </c>
    </row>
    <row r="6401" spans="1:6" x14ac:dyDescent="0.2">
      <c r="A6401" s="29" t="s">
        <v>16528</v>
      </c>
      <c r="B6401" s="30" t="s">
        <v>16529</v>
      </c>
      <c r="C6401" s="29" t="s">
        <v>558</v>
      </c>
      <c r="D6401" s="31">
        <v>9.0443023999999994</v>
      </c>
      <c r="F6401" s="3" t="str">
        <f t="shared" si="99"/>
        <v>I0672</v>
      </c>
    </row>
    <row r="6402" spans="1:6" x14ac:dyDescent="0.2">
      <c r="A6402" s="29" t="s">
        <v>16530</v>
      </c>
      <c r="B6402" s="30" t="s">
        <v>16531</v>
      </c>
      <c r="C6402" s="29" t="s">
        <v>558</v>
      </c>
      <c r="D6402" s="31">
        <v>12.577233025</v>
      </c>
      <c r="F6402" s="3" t="str">
        <f t="shared" ref="F6402:F6465" si="100">A6402</f>
        <v>I0785</v>
      </c>
    </row>
    <row r="6403" spans="1:6" x14ac:dyDescent="0.2">
      <c r="A6403" s="29" t="s">
        <v>16532</v>
      </c>
      <c r="B6403" s="30" t="s">
        <v>16533</v>
      </c>
      <c r="C6403" s="29" t="s">
        <v>558</v>
      </c>
      <c r="D6403" s="31">
        <v>39.646590079999996</v>
      </c>
      <c r="F6403" s="3" t="str">
        <f t="shared" si="100"/>
        <v>G0451</v>
      </c>
    </row>
    <row r="6404" spans="1:6" x14ac:dyDescent="0.2">
      <c r="A6404" s="29" t="s">
        <v>16534</v>
      </c>
      <c r="B6404" s="30" t="s">
        <v>16535</v>
      </c>
      <c r="C6404" s="29" t="s">
        <v>558</v>
      </c>
      <c r="D6404" s="31">
        <v>154.06215168</v>
      </c>
      <c r="F6404" s="3" t="str">
        <f t="shared" si="100"/>
        <v>G0450</v>
      </c>
    </row>
    <row r="6405" spans="1:6" x14ac:dyDescent="0.2">
      <c r="A6405" s="29" t="s">
        <v>16536</v>
      </c>
      <c r="B6405" s="30" t="s">
        <v>16537</v>
      </c>
      <c r="C6405" s="29" t="s">
        <v>558</v>
      </c>
      <c r="D6405" s="31">
        <v>24.34965</v>
      </c>
      <c r="F6405" s="3" t="str">
        <f t="shared" si="100"/>
        <v>I0673</v>
      </c>
    </row>
    <row r="6406" spans="1:6" x14ac:dyDescent="0.2">
      <c r="A6406" s="29" t="s">
        <v>16538</v>
      </c>
      <c r="B6406" s="30" t="s">
        <v>16539</v>
      </c>
      <c r="C6406" s="29" t="s">
        <v>558</v>
      </c>
      <c r="D6406" s="31">
        <v>78.089089999999999</v>
      </c>
      <c r="F6406" s="3" t="str">
        <f t="shared" si="100"/>
        <v>I0786</v>
      </c>
    </row>
    <row r="6407" spans="1:6" x14ac:dyDescent="0.2">
      <c r="A6407" s="29" t="s">
        <v>16540</v>
      </c>
      <c r="B6407" s="30" t="s">
        <v>16541</v>
      </c>
      <c r="C6407" s="29" t="s">
        <v>558</v>
      </c>
      <c r="D6407" s="31">
        <v>3.2202500000000001</v>
      </c>
      <c r="F6407" s="3" t="str">
        <f t="shared" si="100"/>
        <v>I0674</v>
      </c>
    </row>
    <row r="6408" spans="1:6" x14ac:dyDescent="0.2">
      <c r="A6408" s="29" t="s">
        <v>16542</v>
      </c>
      <c r="B6408" s="30" t="s">
        <v>16543</v>
      </c>
      <c r="C6408" s="29" t="s">
        <v>558</v>
      </c>
      <c r="D6408" s="31">
        <v>6.181</v>
      </c>
      <c r="F6408" s="3" t="str">
        <f t="shared" si="100"/>
        <v>I0787</v>
      </c>
    </row>
    <row r="6409" spans="1:6" x14ac:dyDescent="0.2">
      <c r="A6409" s="29" t="s">
        <v>16544</v>
      </c>
      <c r="B6409" s="30" t="s">
        <v>16545</v>
      </c>
      <c r="C6409" s="29" t="s">
        <v>558</v>
      </c>
      <c r="D6409" s="31">
        <v>1.2350899999999998</v>
      </c>
      <c r="F6409" s="3" t="str">
        <f t="shared" si="100"/>
        <v>I0675</v>
      </c>
    </row>
    <row r="6410" spans="1:6" x14ac:dyDescent="0.2">
      <c r="A6410" s="29" t="s">
        <v>16546</v>
      </c>
      <c r="B6410" s="30" t="s">
        <v>16547</v>
      </c>
      <c r="C6410" s="29" t="s">
        <v>558</v>
      </c>
      <c r="D6410" s="31">
        <v>1.7815899999999998</v>
      </c>
      <c r="F6410" s="3" t="str">
        <f t="shared" si="100"/>
        <v>I0788</v>
      </c>
    </row>
    <row r="6411" spans="1:6" x14ac:dyDescent="0.2">
      <c r="A6411" s="29" t="s">
        <v>16548</v>
      </c>
      <c r="B6411" s="30" t="s">
        <v>16549</v>
      </c>
      <c r="C6411" s="29" t="s">
        <v>558</v>
      </c>
      <c r="D6411" s="31">
        <v>117.6338104</v>
      </c>
      <c r="F6411" s="3" t="str">
        <f t="shared" si="100"/>
        <v>I0676</v>
      </c>
    </row>
    <row r="6412" spans="1:6" x14ac:dyDescent="0.2">
      <c r="A6412" s="29" t="s">
        <v>16550</v>
      </c>
      <c r="B6412" s="30" t="s">
        <v>16551</v>
      </c>
      <c r="C6412" s="29" t="s">
        <v>558</v>
      </c>
      <c r="D6412" s="31">
        <v>219.30334239999999</v>
      </c>
      <c r="F6412" s="3" t="str">
        <f t="shared" si="100"/>
        <v>I0789</v>
      </c>
    </row>
    <row r="6413" spans="1:6" ht="15.75" customHeight="1" x14ac:dyDescent="0.2">
      <c r="A6413" s="32" t="s">
        <v>16552</v>
      </c>
      <c r="B6413" s="33"/>
      <c r="C6413" s="32">
        <v>0</v>
      </c>
      <c r="D6413" s="34">
        <v>0</v>
      </c>
      <c r="F6413" s="3" t="str">
        <f t="shared" si="100"/>
        <v>COTAÇÃO / ESQUADRIAS METALICAS</v>
      </c>
    </row>
    <row r="6414" spans="1:6" ht="25.5" x14ac:dyDescent="0.2">
      <c r="A6414" s="26" t="s">
        <v>14985</v>
      </c>
      <c r="B6414" s="27" t="s">
        <v>14986</v>
      </c>
      <c r="C6414" s="26" t="s">
        <v>14987</v>
      </c>
      <c r="D6414" s="28" t="e">
        <v>#VALUE!</v>
      </c>
      <c r="F6414" s="3" t="str">
        <f t="shared" si="100"/>
        <v>Insumo</v>
      </c>
    </row>
    <row r="6415" spans="1:6" x14ac:dyDescent="0.2">
      <c r="A6415" s="29" t="s">
        <v>16553</v>
      </c>
      <c r="B6415" s="30" t="s">
        <v>16554</v>
      </c>
      <c r="C6415" s="29" t="s">
        <v>255</v>
      </c>
      <c r="D6415" s="31">
        <v>365.94</v>
      </c>
      <c r="F6415" s="3" t="str">
        <f t="shared" si="100"/>
        <v>I0437</v>
      </c>
    </row>
    <row r="6416" spans="1:6" x14ac:dyDescent="0.2">
      <c r="A6416" s="29" t="s">
        <v>16555</v>
      </c>
      <c r="B6416" s="30" t="s">
        <v>16556</v>
      </c>
      <c r="C6416" s="29" t="s">
        <v>255</v>
      </c>
      <c r="D6416" s="31">
        <v>281.31</v>
      </c>
      <c r="F6416" s="3" t="str">
        <f t="shared" si="100"/>
        <v>I0438</v>
      </c>
    </row>
    <row r="6417" spans="1:6" x14ac:dyDescent="0.2">
      <c r="A6417" s="29" t="s">
        <v>16557</v>
      </c>
      <c r="B6417" s="30" t="s">
        <v>16558</v>
      </c>
      <c r="C6417" s="29" t="s">
        <v>255</v>
      </c>
      <c r="D6417" s="31">
        <v>281.31</v>
      </c>
      <c r="F6417" s="3" t="str">
        <f t="shared" si="100"/>
        <v>I0439</v>
      </c>
    </row>
    <row r="6418" spans="1:6" x14ac:dyDescent="0.2">
      <c r="A6418" s="29" t="s">
        <v>16559</v>
      </c>
      <c r="B6418" s="30" t="s">
        <v>8205</v>
      </c>
      <c r="C6418" s="29" t="s">
        <v>255</v>
      </c>
      <c r="D6418" s="31">
        <v>188.77</v>
      </c>
      <c r="F6418" s="3" t="str">
        <f t="shared" si="100"/>
        <v>I8440</v>
      </c>
    </row>
    <row r="6419" spans="1:6" ht="22.5" x14ac:dyDescent="0.2">
      <c r="A6419" s="29" t="s">
        <v>16560</v>
      </c>
      <c r="B6419" s="30" t="s">
        <v>16561</v>
      </c>
      <c r="C6419" s="29" t="s">
        <v>255</v>
      </c>
      <c r="D6419" s="31">
        <v>318.89999999999998</v>
      </c>
      <c r="F6419" s="3" t="str">
        <f t="shared" si="100"/>
        <v>I6748</v>
      </c>
    </row>
    <row r="6420" spans="1:6" x14ac:dyDescent="0.2">
      <c r="A6420" s="29" t="s">
        <v>16562</v>
      </c>
      <c r="B6420" s="30" t="s">
        <v>16563</v>
      </c>
      <c r="C6420" s="29" t="s">
        <v>26</v>
      </c>
      <c r="D6420" s="31">
        <v>417.52</v>
      </c>
      <c r="F6420" s="3" t="str">
        <f t="shared" si="100"/>
        <v>I9142</v>
      </c>
    </row>
    <row r="6421" spans="1:6" x14ac:dyDescent="0.2">
      <c r="A6421" s="29" t="s">
        <v>16564</v>
      </c>
      <c r="B6421" s="30" t="s">
        <v>16565</v>
      </c>
      <c r="C6421" s="29" t="s">
        <v>255</v>
      </c>
      <c r="D6421" s="31">
        <v>492.31</v>
      </c>
      <c r="F6421" s="3" t="str">
        <f t="shared" si="100"/>
        <v>I1275</v>
      </c>
    </row>
    <row r="6422" spans="1:6" x14ac:dyDescent="0.2">
      <c r="A6422" s="29" t="s">
        <v>16566</v>
      </c>
      <c r="B6422" s="30" t="s">
        <v>16567</v>
      </c>
      <c r="C6422" s="29" t="s">
        <v>26</v>
      </c>
      <c r="D6422" s="31">
        <v>2501.58</v>
      </c>
      <c r="F6422" s="3" t="str">
        <f t="shared" si="100"/>
        <v>I1697</v>
      </c>
    </row>
    <row r="6423" spans="1:6" x14ac:dyDescent="0.2">
      <c r="A6423" s="29" t="s">
        <v>16568</v>
      </c>
      <c r="B6423" s="30" t="s">
        <v>16569</v>
      </c>
      <c r="C6423" s="29" t="s">
        <v>26</v>
      </c>
      <c r="D6423" s="31">
        <v>3335.43</v>
      </c>
      <c r="F6423" s="3" t="str">
        <f t="shared" si="100"/>
        <v>I1698</v>
      </c>
    </row>
    <row r="6424" spans="1:6" x14ac:dyDescent="0.2">
      <c r="A6424" s="29" t="s">
        <v>16570</v>
      </c>
      <c r="B6424" s="30" t="s">
        <v>16571</v>
      </c>
      <c r="C6424" s="29" t="s">
        <v>26</v>
      </c>
      <c r="D6424" s="31">
        <v>5003.1400000000003</v>
      </c>
      <c r="F6424" s="3" t="str">
        <f t="shared" si="100"/>
        <v>I1696</v>
      </c>
    </row>
    <row r="6425" spans="1:6" x14ac:dyDescent="0.2">
      <c r="A6425" s="29" t="s">
        <v>16572</v>
      </c>
      <c r="B6425" s="30" t="s">
        <v>16573</v>
      </c>
      <c r="C6425" s="29" t="s">
        <v>26</v>
      </c>
      <c r="D6425" s="31">
        <v>1038.73</v>
      </c>
      <c r="F6425" s="3" t="str">
        <f t="shared" si="100"/>
        <v>I1700</v>
      </c>
    </row>
    <row r="6426" spans="1:6" x14ac:dyDescent="0.2">
      <c r="A6426" s="29" t="s">
        <v>16574</v>
      </c>
      <c r="B6426" s="30" t="s">
        <v>16575</v>
      </c>
      <c r="C6426" s="29" t="s">
        <v>26</v>
      </c>
      <c r="D6426" s="31">
        <v>1038.73</v>
      </c>
      <c r="F6426" s="3" t="str">
        <f t="shared" si="100"/>
        <v>I1699</v>
      </c>
    </row>
    <row r="6427" spans="1:6" x14ac:dyDescent="0.2">
      <c r="A6427" s="29" t="s">
        <v>16576</v>
      </c>
      <c r="B6427" s="30" t="s">
        <v>16577</v>
      </c>
      <c r="C6427" s="29" t="s">
        <v>255</v>
      </c>
      <c r="D6427" s="31">
        <v>1496.56</v>
      </c>
      <c r="F6427" s="3" t="str">
        <f t="shared" si="100"/>
        <v>I1701</v>
      </c>
    </row>
    <row r="6428" spans="1:6" x14ac:dyDescent="0.2">
      <c r="A6428" s="29" t="s">
        <v>16578</v>
      </c>
      <c r="B6428" s="30" t="s">
        <v>16579</v>
      </c>
      <c r="C6428" s="29" t="s">
        <v>255</v>
      </c>
      <c r="D6428" s="31">
        <v>556.64</v>
      </c>
      <c r="F6428" s="3" t="str">
        <f t="shared" si="100"/>
        <v>I1702</v>
      </c>
    </row>
    <row r="6429" spans="1:6" ht="22.5" x14ac:dyDescent="0.2">
      <c r="A6429" s="29" t="s">
        <v>16580</v>
      </c>
      <c r="B6429" s="30" t="s">
        <v>16581</v>
      </c>
      <c r="C6429" s="29" t="s">
        <v>255</v>
      </c>
      <c r="D6429" s="31">
        <v>309.95999999999998</v>
      </c>
      <c r="F6429" s="3" t="str">
        <f t="shared" si="100"/>
        <v>I1703</v>
      </c>
    </row>
    <row r="6430" spans="1:6" ht="22.5" x14ac:dyDescent="0.2">
      <c r="A6430" s="29" t="s">
        <v>16582</v>
      </c>
      <c r="B6430" s="30" t="s">
        <v>16583</v>
      </c>
      <c r="C6430" s="29" t="s">
        <v>26</v>
      </c>
      <c r="D6430" s="31">
        <v>3329.89</v>
      </c>
      <c r="F6430" s="3" t="str">
        <f t="shared" si="100"/>
        <v>I6811</v>
      </c>
    </row>
    <row r="6431" spans="1:6" x14ac:dyDescent="0.2">
      <c r="A6431" s="29" t="s">
        <v>16584</v>
      </c>
      <c r="B6431" s="30" t="s">
        <v>16585</v>
      </c>
      <c r="C6431" s="29" t="s">
        <v>255</v>
      </c>
      <c r="D6431" s="31">
        <v>299.32</v>
      </c>
      <c r="F6431" s="3" t="str">
        <f t="shared" si="100"/>
        <v>I1713</v>
      </c>
    </row>
    <row r="6432" spans="1:6" ht="22.5" x14ac:dyDescent="0.2">
      <c r="A6432" s="29" t="s">
        <v>16586</v>
      </c>
      <c r="B6432" s="30" t="s">
        <v>16587</v>
      </c>
      <c r="C6432" s="29" t="s">
        <v>255</v>
      </c>
      <c r="D6432" s="31">
        <v>485.06</v>
      </c>
      <c r="F6432" s="3" t="str">
        <f t="shared" si="100"/>
        <v>I6805</v>
      </c>
    </row>
    <row r="6433" spans="1:6" ht="22.5" x14ac:dyDescent="0.2">
      <c r="A6433" s="29" t="s">
        <v>16588</v>
      </c>
      <c r="B6433" s="30" t="s">
        <v>16589</v>
      </c>
      <c r="C6433" s="29" t="s">
        <v>26</v>
      </c>
      <c r="D6433" s="31">
        <v>449.66</v>
      </c>
      <c r="F6433" s="3" t="str">
        <f t="shared" si="100"/>
        <v>I6727</v>
      </c>
    </row>
    <row r="6434" spans="1:6" ht="15.75" customHeight="1" x14ac:dyDescent="0.2">
      <c r="A6434" s="32" t="s">
        <v>16590</v>
      </c>
      <c r="B6434" s="33"/>
      <c r="C6434" s="32">
        <v>0</v>
      </c>
      <c r="D6434" s="34">
        <v>0</v>
      </c>
      <c r="F6434" s="3" t="str">
        <f t="shared" si="100"/>
        <v>COTAÇÃO / EXPLOSIVOS</v>
      </c>
    </row>
    <row r="6435" spans="1:6" ht="25.5" x14ac:dyDescent="0.2">
      <c r="A6435" s="26" t="s">
        <v>14985</v>
      </c>
      <c r="B6435" s="27" t="s">
        <v>14986</v>
      </c>
      <c r="C6435" s="26" t="s">
        <v>14987</v>
      </c>
      <c r="D6435" s="28" t="e">
        <v>#VALUE!</v>
      </c>
      <c r="F6435" s="3" t="str">
        <f t="shared" si="100"/>
        <v>Insumo</v>
      </c>
    </row>
    <row r="6436" spans="1:6" x14ac:dyDescent="0.2">
      <c r="A6436" s="29" t="s">
        <v>16591</v>
      </c>
      <c r="B6436" s="30" t="s">
        <v>16592</v>
      </c>
      <c r="C6436" s="29" t="s">
        <v>0</v>
      </c>
      <c r="D6436" s="31">
        <v>6.01</v>
      </c>
      <c r="F6436" s="3" t="str">
        <f t="shared" si="100"/>
        <v>I0860</v>
      </c>
    </row>
    <row r="6437" spans="1:6" x14ac:dyDescent="0.2">
      <c r="A6437" s="29" t="s">
        <v>16593</v>
      </c>
      <c r="B6437" s="30" t="s">
        <v>16594</v>
      </c>
      <c r="C6437" s="29" t="s">
        <v>1284</v>
      </c>
      <c r="D6437" s="31">
        <v>18.670000000000002</v>
      </c>
      <c r="F6437" s="3" t="str">
        <f t="shared" si="100"/>
        <v>I0966</v>
      </c>
    </row>
    <row r="6438" spans="1:6" x14ac:dyDescent="0.2">
      <c r="A6438" s="29" t="s">
        <v>16595</v>
      </c>
      <c r="B6438" s="30" t="s">
        <v>16596</v>
      </c>
      <c r="C6438" s="29" t="s">
        <v>1284</v>
      </c>
      <c r="D6438" s="31">
        <v>18.670000000000002</v>
      </c>
      <c r="F6438" s="3" t="str">
        <f t="shared" si="100"/>
        <v>I2507</v>
      </c>
    </row>
    <row r="6439" spans="1:6" x14ac:dyDescent="0.2">
      <c r="A6439" s="29" t="s">
        <v>16597</v>
      </c>
      <c r="B6439" s="30" t="s">
        <v>16598</v>
      </c>
      <c r="C6439" s="29" t="s">
        <v>1284</v>
      </c>
      <c r="D6439" s="31">
        <v>16.059999999999999</v>
      </c>
      <c r="F6439" s="3" t="str">
        <f t="shared" si="100"/>
        <v>I2568</v>
      </c>
    </row>
    <row r="6440" spans="1:6" x14ac:dyDescent="0.2">
      <c r="A6440" s="29" t="s">
        <v>16599</v>
      </c>
      <c r="B6440" s="30" t="s">
        <v>16600</v>
      </c>
      <c r="C6440" s="29" t="s">
        <v>26</v>
      </c>
      <c r="D6440" s="31">
        <v>7.4</v>
      </c>
      <c r="F6440" s="3" t="str">
        <f t="shared" si="100"/>
        <v>I2326</v>
      </c>
    </row>
    <row r="6441" spans="1:6" x14ac:dyDescent="0.2">
      <c r="A6441" s="29" t="s">
        <v>16601</v>
      </c>
      <c r="B6441" s="30" t="s">
        <v>16602</v>
      </c>
      <c r="C6441" s="29" t="s">
        <v>0</v>
      </c>
      <c r="D6441" s="31">
        <v>7.25</v>
      </c>
      <c r="F6441" s="3" t="str">
        <f t="shared" si="100"/>
        <v>I2329</v>
      </c>
    </row>
    <row r="6442" spans="1:6" x14ac:dyDescent="0.2">
      <c r="A6442" s="29" t="s">
        <v>16603</v>
      </c>
      <c r="B6442" s="30" t="s">
        <v>16604</v>
      </c>
      <c r="C6442" s="29" t="s">
        <v>26</v>
      </c>
      <c r="D6442" s="31">
        <v>70.08</v>
      </c>
      <c r="F6442" s="3" t="str">
        <f t="shared" si="100"/>
        <v>I2417</v>
      </c>
    </row>
    <row r="6443" spans="1:6" ht="15.75" customHeight="1" x14ac:dyDescent="0.2">
      <c r="A6443" s="32" t="s">
        <v>16605</v>
      </c>
      <c r="B6443" s="33"/>
      <c r="C6443" s="32">
        <v>0</v>
      </c>
      <c r="D6443" s="34">
        <v>0</v>
      </c>
      <c r="F6443" s="3" t="str">
        <f t="shared" si="100"/>
        <v>COTAÇÃO / FERRAGENS</v>
      </c>
    </row>
    <row r="6444" spans="1:6" ht="25.5" x14ac:dyDescent="0.2">
      <c r="A6444" s="26" t="s">
        <v>14985</v>
      </c>
      <c r="B6444" s="27" t="s">
        <v>14986</v>
      </c>
      <c r="C6444" s="26" t="s">
        <v>14987</v>
      </c>
      <c r="D6444" s="28" t="e">
        <v>#VALUE!</v>
      </c>
      <c r="F6444" s="3" t="str">
        <f t="shared" si="100"/>
        <v>Insumo</v>
      </c>
    </row>
    <row r="6445" spans="1:6" x14ac:dyDescent="0.2">
      <c r="A6445" s="29" t="s">
        <v>16606</v>
      </c>
      <c r="B6445" s="30" t="s">
        <v>8323</v>
      </c>
      <c r="C6445" s="29" t="s">
        <v>26</v>
      </c>
      <c r="D6445" s="31">
        <v>20.96</v>
      </c>
      <c r="F6445" s="3" t="str">
        <f t="shared" si="100"/>
        <v>I6222</v>
      </c>
    </row>
    <row r="6446" spans="1:6" x14ac:dyDescent="0.2">
      <c r="A6446" s="29" t="s">
        <v>16607</v>
      </c>
      <c r="B6446" s="30" t="s">
        <v>8325</v>
      </c>
      <c r="C6446" s="29" t="s">
        <v>26</v>
      </c>
      <c r="D6446" s="31">
        <v>11.6</v>
      </c>
      <c r="F6446" s="3" t="str">
        <f t="shared" si="100"/>
        <v>I6223</v>
      </c>
    </row>
    <row r="6447" spans="1:6" x14ac:dyDescent="0.2">
      <c r="A6447" s="29" t="s">
        <v>16608</v>
      </c>
      <c r="B6447" s="30" t="s">
        <v>16609</v>
      </c>
      <c r="C6447" s="29" t="s">
        <v>26</v>
      </c>
      <c r="D6447" s="31">
        <v>77.569999999999993</v>
      </c>
      <c r="F6447" s="3" t="str">
        <f t="shared" si="100"/>
        <v>I0207</v>
      </c>
    </row>
    <row r="6448" spans="1:6" x14ac:dyDescent="0.2">
      <c r="A6448" s="29" t="s">
        <v>16610</v>
      </c>
      <c r="B6448" s="30" t="s">
        <v>16611</v>
      </c>
      <c r="C6448" s="29" t="s">
        <v>26</v>
      </c>
      <c r="D6448" s="31">
        <v>7.62</v>
      </c>
      <c r="F6448" s="3" t="str">
        <f t="shared" si="100"/>
        <v>I0269</v>
      </c>
    </row>
    <row r="6449" spans="1:6" x14ac:dyDescent="0.2">
      <c r="A6449" s="29" t="s">
        <v>16612</v>
      </c>
      <c r="B6449" s="30" t="s">
        <v>16613</v>
      </c>
      <c r="C6449" s="29" t="s">
        <v>26</v>
      </c>
      <c r="D6449" s="31">
        <v>8.68</v>
      </c>
      <c r="F6449" s="3" t="str">
        <f t="shared" si="100"/>
        <v>I0299</v>
      </c>
    </row>
    <row r="6450" spans="1:6" x14ac:dyDescent="0.2">
      <c r="A6450" s="29" t="s">
        <v>16614</v>
      </c>
      <c r="B6450" s="30" t="s">
        <v>16615</v>
      </c>
      <c r="C6450" s="29" t="s">
        <v>26</v>
      </c>
      <c r="D6450" s="31">
        <v>0.09</v>
      </c>
      <c r="F6450" s="3" t="str">
        <f t="shared" si="100"/>
        <v>I0301</v>
      </c>
    </row>
    <row r="6451" spans="1:6" x14ac:dyDescent="0.2">
      <c r="A6451" s="29" t="s">
        <v>16616</v>
      </c>
      <c r="B6451" s="30" t="s">
        <v>16617</v>
      </c>
      <c r="C6451" s="29" t="s">
        <v>26</v>
      </c>
      <c r="D6451" s="31">
        <v>169</v>
      </c>
      <c r="F6451" s="3" t="str">
        <f t="shared" si="100"/>
        <v>I0399</v>
      </c>
    </row>
    <row r="6452" spans="1:6" x14ac:dyDescent="0.2">
      <c r="A6452" s="29" t="s">
        <v>16618</v>
      </c>
      <c r="B6452" s="30" t="s">
        <v>16619</v>
      </c>
      <c r="C6452" s="29" t="s">
        <v>26</v>
      </c>
      <c r="D6452" s="31">
        <v>28.49</v>
      </c>
      <c r="F6452" s="3" t="str">
        <f t="shared" si="100"/>
        <v>I0400</v>
      </c>
    </row>
    <row r="6453" spans="1:6" x14ac:dyDescent="0.2">
      <c r="A6453" s="29" t="s">
        <v>16620</v>
      </c>
      <c r="B6453" s="30" t="s">
        <v>8333</v>
      </c>
      <c r="C6453" s="29" t="s">
        <v>26</v>
      </c>
      <c r="D6453" s="31">
        <v>19.14</v>
      </c>
      <c r="F6453" s="3" t="str">
        <f t="shared" si="100"/>
        <v>I0401</v>
      </c>
    </row>
    <row r="6454" spans="1:6" x14ac:dyDescent="0.2">
      <c r="A6454" s="29" t="s">
        <v>16621</v>
      </c>
      <c r="B6454" s="30" t="s">
        <v>16622</v>
      </c>
      <c r="C6454" s="29" t="s">
        <v>26</v>
      </c>
      <c r="D6454" s="31">
        <v>5.59</v>
      </c>
      <c r="F6454" s="3" t="str">
        <f t="shared" si="100"/>
        <v>I0494</v>
      </c>
    </row>
    <row r="6455" spans="1:6" x14ac:dyDescent="0.2">
      <c r="A6455" s="29" t="s">
        <v>16623</v>
      </c>
      <c r="B6455" s="30" t="s">
        <v>16624</v>
      </c>
      <c r="C6455" s="29" t="s">
        <v>26</v>
      </c>
      <c r="D6455" s="31">
        <v>2455</v>
      </c>
      <c r="F6455" s="3" t="str">
        <f t="shared" si="100"/>
        <v>I0813</v>
      </c>
    </row>
    <row r="6456" spans="1:6" x14ac:dyDescent="0.2">
      <c r="A6456" s="29" t="s">
        <v>16625</v>
      </c>
      <c r="B6456" s="30" t="s">
        <v>16626</v>
      </c>
      <c r="C6456" s="29" t="s">
        <v>26</v>
      </c>
      <c r="D6456" s="31">
        <v>22.9</v>
      </c>
      <c r="F6456" s="3" t="str">
        <f t="shared" si="100"/>
        <v>I0856</v>
      </c>
    </row>
    <row r="6457" spans="1:6" x14ac:dyDescent="0.2">
      <c r="A6457" s="29" t="s">
        <v>16627</v>
      </c>
      <c r="B6457" s="30" t="s">
        <v>16628</v>
      </c>
      <c r="C6457" s="29" t="s">
        <v>0</v>
      </c>
      <c r="D6457" s="31">
        <v>27.3</v>
      </c>
      <c r="F6457" s="3" t="str">
        <f t="shared" si="100"/>
        <v>I0863</v>
      </c>
    </row>
    <row r="6458" spans="1:6" x14ac:dyDescent="0.2">
      <c r="A6458" s="29" t="s">
        <v>16629</v>
      </c>
      <c r="B6458" s="265" t="s">
        <v>16630</v>
      </c>
      <c r="C6458" s="29" t="s">
        <v>26</v>
      </c>
      <c r="D6458" s="31">
        <v>16.63</v>
      </c>
      <c r="F6458" s="3" t="str">
        <f t="shared" si="100"/>
        <v>I1027</v>
      </c>
    </row>
    <row r="6459" spans="1:6" x14ac:dyDescent="0.2">
      <c r="A6459" s="272" t="s">
        <v>16631</v>
      </c>
      <c r="B6459" s="265" t="s">
        <v>16632</v>
      </c>
      <c r="C6459" s="272" t="s">
        <v>26</v>
      </c>
      <c r="D6459" s="273">
        <v>35.85</v>
      </c>
      <c r="F6459" s="3" t="str">
        <f t="shared" si="100"/>
        <v>I1028</v>
      </c>
    </row>
    <row r="6460" spans="1:6" x14ac:dyDescent="0.2">
      <c r="A6460" s="29" t="s">
        <v>16633</v>
      </c>
      <c r="B6460" s="30" t="s">
        <v>16634</v>
      </c>
      <c r="C6460" s="29" t="s">
        <v>26</v>
      </c>
      <c r="D6460" s="31">
        <v>15.95</v>
      </c>
      <c r="F6460" s="3" t="str">
        <f t="shared" si="100"/>
        <v>I1029</v>
      </c>
    </row>
    <row r="6461" spans="1:6" x14ac:dyDescent="0.2">
      <c r="A6461" s="29" t="s">
        <v>16635</v>
      </c>
      <c r="B6461" s="30" t="s">
        <v>16636</v>
      </c>
      <c r="C6461" s="29" t="s">
        <v>26</v>
      </c>
      <c r="D6461" s="31">
        <v>34.14</v>
      </c>
      <c r="F6461" s="3" t="str">
        <f t="shared" si="100"/>
        <v>I8697</v>
      </c>
    </row>
    <row r="6462" spans="1:6" x14ac:dyDescent="0.2">
      <c r="A6462" s="29" t="s">
        <v>16637</v>
      </c>
      <c r="B6462" s="30" t="s">
        <v>16638</v>
      </c>
      <c r="C6462" s="29" t="s">
        <v>26</v>
      </c>
      <c r="D6462" s="31">
        <v>12.14</v>
      </c>
      <c r="F6462" s="3" t="str">
        <f t="shared" si="100"/>
        <v>I2311</v>
      </c>
    </row>
    <row r="6463" spans="1:6" x14ac:dyDescent="0.2">
      <c r="A6463" s="29" t="s">
        <v>16639</v>
      </c>
      <c r="B6463" s="30" t="s">
        <v>16640</v>
      </c>
      <c r="C6463" s="29" t="s">
        <v>26</v>
      </c>
      <c r="D6463" s="31">
        <v>20.86</v>
      </c>
      <c r="F6463" s="3" t="str">
        <f t="shared" si="100"/>
        <v>I1030</v>
      </c>
    </row>
    <row r="6464" spans="1:6" x14ac:dyDescent="0.2">
      <c r="A6464" s="29" t="s">
        <v>16641</v>
      </c>
      <c r="B6464" s="30" t="s">
        <v>16642</v>
      </c>
      <c r="C6464" s="29" t="s">
        <v>26</v>
      </c>
      <c r="D6464" s="31">
        <v>20.86</v>
      </c>
      <c r="F6464" s="3" t="str">
        <f t="shared" si="100"/>
        <v>I1031</v>
      </c>
    </row>
    <row r="6465" spans="1:6" x14ac:dyDescent="0.2">
      <c r="A6465" s="29" t="s">
        <v>16643</v>
      </c>
      <c r="B6465" s="30" t="s">
        <v>16644</v>
      </c>
      <c r="C6465" s="29" t="s">
        <v>0</v>
      </c>
      <c r="D6465" s="31">
        <v>11.63</v>
      </c>
      <c r="F6465" s="3" t="str">
        <f t="shared" si="100"/>
        <v>I1032</v>
      </c>
    </row>
    <row r="6466" spans="1:6" x14ac:dyDescent="0.2">
      <c r="A6466" s="29" t="s">
        <v>16645</v>
      </c>
      <c r="B6466" s="30" t="s">
        <v>16646</v>
      </c>
      <c r="C6466" s="29" t="s">
        <v>26</v>
      </c>
      <c r="D6466" s="31">
        <v>3.1</v>
      </c>
      <c r="F6466" s="3" t="str">
        <f t="shared" ref="F6466:F6529" si="101">A6466</f>
        <v>I1033</v>
      </c>
    </row>
    <row r="6467" spans="1:6" x14ac:dyDescent="0.2">
      <c r="A6467" s="29" t="s">
        <v>16647</v>
      </c>
      <c r="B6467" s="30" t="s">
        <v>16648</v>
      </c>
      <c r="C6467" s="29" t="s">
        <v>26</v>
      </c>
      <c r="D6467" s="31">
        <v>44.92</v>
      </c>
      <c r="F6467" s="3" t="str">
        <f t="shared" si="101"/>
        <v>I1034</v>
      </c>
    </row>
    <row r="6468" spans="1:6" x14ac:dyDescent="0.2">
      <c r="A6468" s="29" t="s">
        <v>16649</v>
      </c>
      <c r="B6468" s="30" t="s">
        <v>16650</v>
      </c>
      <c r="C6468" s="29" t="s">
        <v>26</v>
      </c>
      <c r="D6468" s="31">
        <v>19.57</v>
      </c>
      <c r="F6468" s="3" t="str">
        <f t="shared" si="101"/>
        <v>I1035</v>
      </c>
    </row>
    <row r="6469" spans="1:6" x14ac:dyDescent="0.2">
      <c r="A6469" s="29" t="s">
        <v>16651</v>
      </c>
      <c r="B6469" s="30" t="s">
        <v>8357</v>
      </c>
      <c r="C6469" s="29" t="s">
        <v>26</v>
      </c>
      <c r="D6469" s="31">
        <v>76.84</v>
      </c>
      <c r="F6469" s="3" t="str">
        <f t="shared" si="101"/>
        <v>I8431</v>
      </c>
    </row>
    <row r="6470" spans="1:6" x14ac:dyDescent="0.2">
      <c r="A6470" s="29" t="s">
        <v>16652</v>
      </c>
      <c r="B6470" s="30" t="s">
        <v>16653</v>
      </c>
      <c r="C6470" s="29" t="s">
        <v>26</v>
      </c>
      <c r="D6470" s="31">
        <v>37.1</v>
      </c>
      <c r="F6470" s="3" t="str">
        <f t="shared" si="101"/>
        <v>I1036</v>
      </c>
    </row>
    <row r="6471" spans="1:6" x14ac:dyDescent="0.2">
      <c r="A6471" s="29" t="s">
        <v>16654</v>
      </c>
      <c r="B6471" s="30" t="s">
        <v>16655</v>
      </c>
      <c r="C6471" s="29" t="s">
        <v>26</v>
      </c>
      <c r="D6471" s="31">
        <v>110.5</v>
      </c>
      <c r="F6471" s="3" t="str">
        <f t="shared" si="101"/>
        <v>I1037</v>
      </c>
    </row>
    <row r="6472" spans="1:6" x14ac:dyDescent="0.2">
      <c r="A6472" s="29" t="s">
        <v>16656</v>
      </c>
      <c r="B6472" s="30" t="s">
        <v>16657</v>
      </c>
      <c r="C6472" s="29" t="s">
        <v>26</v>
      </c>
      <c r="D6472" s="31">
        <v>155.66999999999999</v>
      </c>
      <c r="F6472" s="3" t="str">
        <f t="shared" si="101"/>
        <v>I1149</v>
      </c>
    </row>
    <row r="6473" spans="1:6" x14ac:dyDescent="0.2">
      <c r="A6473" s="29" t="s">
        <v>16658</v>
      </c>
      <c r="B6473" s="30" t="s">
        <v>16659</v>
      </c>
      <c r="C6473" s="29" t="s">
        <v>26</v>
      </c>
      <c r="D6473" s="31">
        <v>162.72</v>
      </c>
      <c r="F6473" s="3" t="str">
        <f t="shared" si="101"/>
        <v>I1150</v>
      </c>
    </row>
    <row r="6474" spans="1:6" x14ac:dyDescent="0.2">
      <c r="A6474" s="29" t="s">
        <v>16660</v>
      </c>
      <c r="B6474" s="30" t="s">
        <v>16661</v>
      </c>
      <c r="C6474" s="29" t="s">
        <v>26</v>
      </c>
      <c r="D6474" s="31">
        <v>86.24</v>
      </c>
      <c r="F6474" s="3" t="str">
        <f t="shared" si="101"/>
        <v>I1151</v>
      </c>
    </row>
    <row r="6475" spans="1:6" x14ac:dyDescent="0.2">
      <c r="A6475" s="29" t="s">
        <v>16662</v>
      </c>
      <c r="B6475" s="30" t="s">
        <v>16663</v>
      </c>
      <c r="C6475" s="29" t="s">
        <v>26</v>
      </c>
      <c r="D6475" s="31">
        <v>137.62</v>
      </c>
      <c r="F6475" s="3" t="str">
        <f t="shared" si="101"/>
        <v>I1152</v>
      </c>
    </row>
    <row r="6476" spans="1:6" x14ac:dyDescent="0.2">
      <c r="A6476" s="29" t="s">
        <v>16664</v>
      </c>
      <c r="B6476" s="30" t="s">
        <v>8359</v>
      </c>
      <c r="C6476" s="29" t="s">
        <v>26</v>
      </c>
      <c r="D6476" s="31">
        <v>66.98</v>
      </c>
      <c r="F6476" s="3" t="str">
        <f t="shared" si="101"/>
        <v>I1154</v>
      </c>
    </row>
    <row r="6477" spans="1:6" x14ac:dyDescent="0.2">
      <c r="A6477" s="29" t="s">
        <v>16665</v>
      </c>
      <c r="B6477" s="30" t="s">
        <v>8361</v>
      </c>
      <c r="C6477" s="29" t="s">
        <v>26</v>
      </c>
      <c r="D6477" s="31">
        <v>58.69</v>
      </c>
      <c r="F6477" s="3" t="str">
        <f t="shared" si="101"/>
        <v>I1155</v>
      </c>
    </row>
    <row r="6478" spans="1:6" x14ac:dyDescent="0.2">
      <c r="A6478" s="29" t="s">
        <v>16666</v>
      </c>
      <c r="B6478" s="30" t="s">
        <v>16667</v>
      </c>
      <c r="C6478" s="29" t="s">
        <v>26</v>
      </c>
      <c r="D6478" s="31">
        <v>53.12</v>
      </c>
      <c r="F6478" s="3" t="str">
        <f t="shared" si="101"/>
        <v>I2331</v>
      </c>
    </row>
    <row r="6479" spans="1:6" x14ac:dyDescent="0.2">
      <c r="A6479" s="29" t="s">
        <v>16668</v>
      </c>
      <c r="B6479" s="30" t="s">
        <v>8365</v>
      </c>
      <c r="C6479" s="29" t="s">
        <v>26</v>
      </c>
      <c r="D6479" s="31">
        <v>43.81</v>
      </c>
      <c r="F6479" s="3" t="str">
        <f t="shared" si="101"/>
        <v>I8433</v>
      </c>
    </row>
    <row r="6480" spans="1:6" x14ac:dyDescent="0.2">
      <c r="A6480" s="29" t="s">
        <v>16669</v>
      </c>
      <c r="B6480" s="30" t="s">
        <v>16670</v>
      </c>
      <c r="C6480" s="29" t="s">
        <v>26</v>
      </c>
      <c r="D6480" s="31">
        <v>12.08</v>
      </c>
      <c r="F6480" s="3" t="str">
        <f t="shared" si="101"/>
        <v>I1157</v>
      </c>
    </row>
    <row r="6481" spans="1:6" x14ac:dyDescent="0.2">
      <c r="A6481" s="29" t="s">
        <v>16671</v>
      </c>
      <c r="B6481" s="30" t="s">
        <v>16672</v>
      </c>
      <c r="C6481" s="29" t="s">
        <v>26</v>
      </c>
      <c r="D6481" s="31">
        <v>81.91</v>
      </c>
      <c r="F6481" s="3" t="str">
        <f t="shared" si="101"/>
        <v>I8696</v>
      </c>
    </row>
    <row r="6482" spans="1:6" x14ac:dyDescent="0.2">
      <c r="A6482" s="29" t="s">
        <v>16673</v>
      </c>
      <c r="B6482" s="30" t="s">
        <v>16674</v>
      </c>
      <c r="C6482" s="29" t="s">
        <v>26</v>
      </c>
      <c r="D6482" s="31">
        <v>28.92</v>
      </c>
      <c r="F6482" s="3" t="str">
        <f t="shared" si="101"/>
        <v>I1158</v>
      </c>
    </row>
    <row r="6483" spans="1:6" x14ac:dyDescent="0.2">
      <c r="A6483" s="29" t="s">
        <v>16675</v>
      </c>
      <c r="B6483" s="30" t="s">
        <v>16676</v>
      </c>
      <c r="C6483" s="29" t="s">
        <v>26</v>
      </c>
      <c r="D6483" s="31">
        <v>2.2599999999999998</v>
      </c>
      <c r="F6483" s="3" t="str">
        <f t="shared" si="101"/>
        <v>I1159</v>
      </c>
    </row>
    <row r="6484" spans="1:6" x14ac:dyDescent="0.2">
      <c r="A6484" s="29" t="s">
        <v>16677</v>
      </c>
      <c r="B6484" s="30" t="s">
        <v>16678</v>
      </c>
      <c r="C6484" s="29" t="s">
        <v>1284</v>
      </c>
      <c r="D6484" s="31">
        <v>10.029999999999999</v>
      </c>
      <c r="F6484" s="3" t="str">
        <f t="shared" si="101"/>
        <v>I1160</v>
      </c>
    </row>
    <row r="6485" spans="1:6" x14ac:dyDescent="0.2">
      <c r="A6485" s="29" t="s">
        <v>16679</v>
      </c>
      <c r="B6485" s="30" t="s">
        <v>8369</v>
      </c>
      <c r="C6485" s="29" t="s">
        <v>26</v>
      </c>
      <c r="D6485" s="31">
        <v>19.149999999999999</v>
      </c>
      <c r="F6485" s="3" t="str">
        <f t="shared" si="101"/>
        <v>I1162</v>
      </c>
    </row>
    <row r="6486" spans="1:6" x14ac:dyDescent="0.2">
      <c r="A6486" s="29" t="s">
        <v>16680</v>
      </c>
      <c r="B6486" s="30" t="s">
        <v>16681</v>
      </c>
      <c r="C6486" s="29" t="s">
        <v>26</v>
      </c>
      <c r="D6486" s="31">
        <v>16.02</v>
      </c>
      <c r="F6486" s="3" t="str">
        <f t="shared" si="101"/>
        <v>I1163</v>
      </c>
    </row>
    <row r="6487" spans="1:6" x14ac:dyDescent="0.2">
      <c r="A6487" s="29" t="s">
        <v>16682</v>
      </c>
      <c r="B6487" s="30" t="s">
        <v>8373</v>
      </c>
      <c r="C6487" s="29" t="s">
        <v>26</v>
      </c>
      <c r="D6487" s="31">
        <v>5.41</v>
      </c>
      <c r="F6487" s="3" t="str">
        <f t="shared" si="101"/>
        <v>I1164</v>
      </c>
    </row>
    <row r="6488" spans="1:6" x14ac:dyDescent="0.2">
      <c r="A6488" s="29" t="s">
        <v>16683</v>
      </c>
      <c r="B6488" s="30" t="s">
        <v>16684</v>
      </c>
      <c r="C6488" s="29" t="s">
        <v>12086</v>
      </c>
      <c r="D6488" s="31">
        <v>45.81</v>
      </c>
      <c r="F6488" s="3" t="str">
        <f t="shared" si="101"/>
        <v>I8638</v>
      </c>
    </row>
    <row r="6489" spans="1:6" x14ac:dyDescent="0.2">
      <c r="A6489" s="29" t="s">
        <v>16685</v>
      </c>
      <c r="B6489" s="30" t="s">
        <v>16686</v>
      </c>
      <c r="C6489" s="29" t="s">
        <v>26</v>
      </c>
      <c r="D6489" s="31">
        <v>771.02</v>
      </c>
      <c r="F6489" s="3" t="str">
        <f t="shared" si="101"/>
        <v>I1525</v>
      </c>
    </row>
    <row r="6490" spans="1:6" x14ac:dyDescent="0.2">
      <c r="A6490" s="29" t="s">
        <v>16687</v>
      </c>
      <c r="B6490" s="30" t="s">
        <v>16688</v>
      </c>
      <c r="C6490" s="29" t="s">
        <v>26</v>
      </c>
      <c r="D6490" s="31">
        <v>177.76</v>
      </c>
      <c r="F6490" s="3" t="str">
        <f t="shared" si="101"/>
        <v>I1526</v>
      </c>
    </row>
    <row r="6491" spans="1:6" ht="22.5" x14ac:dyDescent="0.2">
      <c r="A6491" s="29" t="s">
        <v>16689</v>
      </c>
      <c r="B6491" s="30" t="s">
        <v>16690</v>
      </c>
      <c r="C6491" s="29" t="s">
        <v>26</v>
      </c>
      <c r="D6491" s="31">
        <v>279.77999999999997</v>
      </c>
      <c r="F6491" s="3" t="str">
        <f t="shared" si="101"/>
        <v>I9449</v>
      </c>
    </row>
    <row r="6492" spans="1:6" x14ac:dyDescent="0.2">
      <c r="A6492" s="29" t="s">
        <v>16691</v>
      </c>
      <c r="B6492" s="30" t="s">
        <v>16692</v>
      </c>
      <c r="C6492" s="29" t="s">
        <v>26</v>
      </c>
      <c r="D6492" s="31">
        <v>3.98</v>
      </c>
      <c r="F6492" s="3" t="str">
        <f t="shared" si="101"/>
        <v>I8432</v>
      </c>
    </row>
    <row r="6493" spans="1:6" x14ac:dyDescent="0.2">
      <c r="A6493" s="29" t="s">
        <v>16693</v>
      </c>
      <c r="B6493" s="30" t="s">
        <v>16694</v>
      </c>
      <c r="C6493" s="29" t="s">
        <v>26</v>
      </c>
      <c r="D6493" s="31">
        <v>29.78</v>
      </c>
      <c r="F6493" s="3" t="str">
        <f t="shared" si="101"/>
        <v>I1606</v>
      </c>
    </row>
    <row r="6494" spans="1:6" x14ac:dyDescent="0.2">
      <c r="A6494" s="29" t="s">
        <v>16695</v>
      </c>
      <c r="B6494" s="30" t="s">
        <v>8407</v>
      </c>
      <c r="C6494" s="29" t="s">
        <v>26</v>
      </c>
      <c r="D6494" s="31">
        <v>23.56</v>
      </c>
      <c r="F6494" s="3" t="str">
        <f t="shared" si="101"/>
        <v>I1733</v>
      </c>
    </row>
    <row r="6495" spans="1:6" x14ac:dyDescent="0.2">
      <c r="A6495" s="29" t="s">
        <v>16696</v>
      </c>
      <c r="B6495" s="30" t="s">
        <v>16697</v>
      </c>
      <c r="C6495" s="29" t="s">
        <v>26</v>
      </c>
      <c r="D6495" s="31">
        <v>14.25</v>
      </c>
      <c r="F6495" s="3" t="str">
        <f t="shared" si="101"/>
        <v>I1743</v>
      </c>
    </row>
    <row r="6496" spans="1:6" x14ac:dyDescent="0.2">
      <c r="A6496" s="29" t="s">
        <v>16698</v>
      </c>
      <c r="B6496" s="30" t="s">
        <v>16699</v>
      </c>
      <c r="C6496" s="29" t="s">
        <v>26</v>
      </c>
      <c r="D6496" s="31">
        <v>6.32</v>
      </c>
      <c r="F6496" s="3" t="str">
        <f t="shared" si="101"/>
        <v>I1744</v>
      </c>
    </row>
    <row r="6497" spans="1:6" x14ac:dyDescent="0.2">
      <c r="A6497" s="29" t="s">
        <v>16700</v>
      </c>
      <c r="B6497" s="30" t="s">
        <v>16701</v>
      </c>
      <c r="C6497" s="29" t="s">
        <v>26</v>
      </c>
      <c r="D6497" s="31">
        <v>4.96</v>
      </c>
      <c r="F6497" s="3" t="str">
        <f t="shared" si="101"/>
        <v>I1941</v>
      </c>
    </row>
    <row r="6498" spans="1:6" x14ac:dyDescent="0.2">
      <c r="A6498" s="29" t="s">
        <v>16702</v>
      </c>
      <c r="B6498" s="30" t="s">
        <v>16703</v>
      </c>
      <c r="C6498" s="29" t="s">
        <v>26</v>
      </c>
      <c r="D6498" s="31">
        <v>5.87</v>
      </c>
      <c r="F6498" s="3" t="str">
        <f t="shared" si="101"/>
        <v>I2433</v>
      </c>
    </row>
    <row r="6499" spans="1:6" x14ac:dyDescent="0.2">
      <c r="A6499" s="29" t="s">
        <v>16704</v>
      </c>
      <c r="B6499" s="30" t="s">
        <v>16705</v>
      </c>
      <c r="C6499" s="29" t="s">
        <v>26</v>
      </c>
      <c r="D6499" s="31">
        <v>43.81</v>
      </c>
      <c r="F6499" s="3" t="str">
        <f t="shared" si="101"/>
        <v>I1942</v>
      </c>
    </row>
    <row r="6500" spans="1:6" x14ac:dyDescent="0.2">
      <c r="A6500" s="29" t="s">
        <v>16706</v>
      </c>
      <c r="B6500" s="30" t="s">
        <v>16707</v>
      </c>
      <c r="C6500" s="29" t="s">
        <v>26</v>
      </c>
      <c r="D6500" s="31">
        <v>34.32</v>
      </c>
      <c r="F6500" s="3" t="str">
        <f t="shared" si="101"/>
        <v>I2159</v>
      </c>
    </row>
    <row r="6501" spans="1:6" x14ac:dyDescent="0.2">
      <c r="A6501" s="29" t="s">
        <v>16708</v>
      </c>
      <c r="B6501" s="30" t="s">
        <v>16709</v>
      </c>
      <c r="C6501" s="29" t="s">
        <v>26</v>
      </c>
      <c r="D6501" s="31">
        <v>46.15</v>
      </c>
      <c r="F6501" s="3" t="str">
        <f t="shared" si="101"/>
        <v>I2160</v>
      </c>
    </row>
    <row r="6502" spans="1:6" ht="15.75" customHeight="1" x14ac:dyDescent="0.2">
      <c r="A6502" s="32" t="s">
        <v>16710</v>
      </c>
      <c r="B6502" s="33"/>
      <c r="C6502" s="32">
        <v>0</v>
      </c>
      <c r="D6502" s="34">
        <v>0</v>
      </c>
      <c r="F6502" s="3" t="str">
        <f t="shared" si="101"/>
        <v>COTAÇÃO / FERRO</v>
      </c>
    </row>
    <row r="6503" spans="1:6" ht="25.5" x14ac:dyDescent="0.2">
      <c r="A6503" s="26" t="s">
        <v>14985</v>
      </c>
      <c r="B6503" s="27" t="s">
        <v>14986</v>
      </c>
      <c r="C6503" s="26" t="s">
        <v>14987</v>
      </c>
      <c r="D6503" s="28" t="e">
        <v>#VALUE!</v>
      </c>
      <c r="F6503" s="3" t="str">
        <f t="shared" si="101"/>
        <v>Insumo</v>
      </c>
    </row>
    <row r="6504" spans="1:6" x14ac:dyDescent="0.2">
      <c r="A6504" s="29" t="s">
        <v>16711</v>
      </c>
      <c r="B6504" s="30" t="s">
        <v>16712</v>
      </c>
      <c r="C6504" s="29" t="s">
        <v>26</v>
      </c>
      <c r="D6504" s="31">
        <v>51.2</v>
      </c>
      <c r="F6504" s="3" t="str">
        <f t="shared" si="101"/>
        <v>I6700</v>
      </c>
    </row>
    <row r="6505" spans="1:6" x14ac:dyDescent="0.2">
      <c r="A6505" s="29" t="s">
        <v>16713</v>
      </c>
      <c r="B6505" s="30" t="s">
        <v>16714</v>
      </c>
      <c r="C6505" s="29" t="s">
        <v>26</v>
      </c>
      <c r="D6505" s="31">
        <v>118.28</v>
      </c>
      <c r="F6505" s="3" t="str">
        <f t="shared" si="101"/>
        <v>I0056</v>
      </c>
    </row>
    <row r="6506" spans="1:6" x14ac:dyDescent="0.2">
      <c r="A6506" s="29" t="s">
        <v>16715</v>
      </c>
      <c r="B6506" s="30" t="s">
        <v>16716</v>
      </c>
      <c r="C6506" s="29" t="s">
        <v>26</v>
      </c>
      <c r="D6506" s="31">
        <v>1112.55</v>
      </c>
      <c r="F6506" s="3" t="str">
        <f t="shared" si="101"/>
        <v>I0057</v>
      </c>
    </row>
    <row r="6507" spans="1:6" x14ac:dyDescent="0.2">
      <c r="A6507" s="29" t="s">
        <v>16717</v>
      </c>
      <c r="B6507" s="30" t="s">
        <v>16718</v>
      </c>
      <c r="C6507" s="29" t="s">
        <v>26</v>
      </c>
      <c r="D6507" s="31">
        <v>187.22</v>
      </c>
      <c r="F6507" s="3" t="str">
        <f t="shared" si="101"/>
        <v>I0058</v>
      </c>
    </row>
    <row r="6508" spans="1:6" x14ac:dyDescent="0.2">
      <c r="A6508" s="29" t="s">
        <v>16719</v>
      </c>
      <c r="B6508" s="30" t="s">
        <v>7499</v>
      </c>
      <c r="C6508" s="29" t="s">
        <v>26</v>
      </c>
      <c r="D6508" s="31">
        <v>362.05</v>
      </c>
      <c r="F6508" s="3" t="str">
        <f t="shared" si="101"/>
        <v>I0059</v>
      </c>
    </row>
    <row r="6509" spans="1:6" x14ac:dyDescent="0.2">
      <c r="A6509" s="29" t="s">
        <v>16720</v>
      </c>
      <c r="B6509" s="30" t="s">
        <v>16721</v>
      </c>
      <c r="C6509" s="29" t="s">
        <v>26</v>
      </c>
      <c r="D6509" s="31">
        <v>519.58000000000004</v>
      </c>
      <c r="F6509" s="3" t="str">
        <f t="shared" si="101"/>
        <v>I0060</v>
      </c>
    </row>
    <row r="6510" spans="1:6" x14ac:dyDescent="0.2">
      <c r="A6510" s="29" t="s">
        <v>16722</v>
      </c>
      <c r="B6510" s="30" t="s">
        <v>16723</v>
      </c>
      <c r="C6510" s="29" t="s">
        <v>26</v>
      </c>
      <c r="D6510" s="31">
        <v>600.15</v>
      </c>
      <c r="F6510" s="3" t="str">
        <f t="shared" si="101"/>
        <v>I0061</v>
      </c>
    </row>
    <row r="6511" spans="1:6" x14ac:dyDescent="0.2">
      <c r="A6511" s="29" t="s">
        <v>16724</v>
      </c>
      <c r="B6511" s="30" t="s">
        <v>16725</v>
      </c>
      <c r="C6511" s="29" t="s">
        <v>26</v>
      </c>
      <c r="D6511" s="31">
        <v>18.23</v>
      </c>
      <c r="F6511" s="3" t="str">
        <f t="shared" si="101"/>
        <v>I0062</v>
      </c>
    </row>
    <row r="6512" spans="1:6" x14ac:dyDescent="0.2">
      <c r="A6512" s="29" t="s">
        <v>16726</v>
      </c>
      <c r="B6512" s="30" t="s">
        <v>16727</v>
      </c>
      <c r="C6512" s="29" t="s">
        <v>26</v>
      </c>
      <c r="D6512" s="31">
        <v>260.67</v>
      </c>
      <c r="F6512" s="3" t="str">
        <f t="shared" si="101"/>
        <v>I0063</v>
      </c>
    </row>
    <row r="6513" spans="1:6" x14ac:dyDescent="0.2">
      <c r="A6513" s="29" t="s">
        <v>16728</v>
      </c>
      <c r="B6513" s="30" t="s">
        <v>16729</v>
      </c>
      <c r="C6513" s="29" t="s">
        <v>26</v>
      </c>
      <c r="D6513" s="31">
        <v>23.01</v>
      </c>
      <c r="F6513" s="3" t="str">
        <f t="shared" si="101"/>
        <v>I0064</v>
      </c>
    </row>
    <row r="6514" spans="1:6" x14ac:dyDescent="0.2">
      <c r="A6514" s="29" t="s">
        <v>16730</v>
      </c>
      <c r="B6514" s="30" t="s">
        <v>16731</v>
      </c>
      <c r="C6514" s="29" t="s">
        <v>26</v>
      </c>
      <c r="D6514" s="31">
        <v>107.81</v>
      </c>
      <c r="F6514" s="3" t="str">
        <f t="shared" si="101"/>
        <v>I0065</v>
      </c>
    </row>
    <row r="6515" spans="1:6" x14ac:dyDescent="0.2">
      <c r="A6515" s="29" t="s">
        <v>16732</v>
      </c>
      <c r="B6515" s="30" t="s">
        <v>16733</v>
      </c>
      <c r="C6515" s="29" t="s">
        <v>26</v>
      </c>
      <c r="D6515" s="31">
        <v>162.5</v>
      </c>
      <c r="F6515" s="3" t="str">
        <f t="shared" si="101"/>
        <v>I0066</v>
      </c>
    </row>
    <row r="6516" spans="1:6" x14ac:dyDescent="0.2">
      <c r="A6516" s="29" t="s">
        <v>16734</v>
      </c>
      <c r="B6516" s="30" t="s">
        <v>16735</v>
      </c>
      <c r="C6516" s="29" t="s">
        <v>26</v>
      </c>
      <c r="D6516" s="31">
        <v>173.28</v>
      </c>
      <c r="F6516" s="3" t="str">
        <f t="shared" si="101"/>
        <v>I0067</v>
      </c>
    </row>
    <row r="6517" spans="1:6" x14ac:dyDescent="0.2">
      <c r="A6517" s="29" t="s">
        <v>16736</v>
      </c>
      <c r="B6517" s="30" t="s">
        <v>16737</v>
      </c>
      <c r="C6517" s="29" t="s">
        <v>0</v>
      </c>
      <c r="D6517" s="31">
        <v>0.91</v>
      </c>
      <c r="F6517" s="3" t="str">
        <f t="shared" si="101"/>
        <v>I0097</v>
      </c>
    </row>
    <row r="6518" spans="1:6" x14ac:dyDescent="0.2">
      <c r="A6518" s="29" t="s">
        <v>16738</v>
      </c>
      <c r="B6518" s="30" t="s">
        <v>16739</v>
      </c>
      <c r="C6518" s="29" t="s">
        <v>1284</v>
      </c>
      <c r="D6518" s="31">
        <v>9.5500000000000007</v>
      </c>
      <c r="F6518" s="3" t="str">
        <f t="shared" si="101"/>
        <v>I0098</v>
      </c>
    </row>
    <row r="6519" spans="1:6" x14ac:dyDescent="0.2">
      <c r="A6519" s="29" t="s">
        <v>16740</v>
      </c>
      <c r="B6519" s="30" t="s">
        <v>16741</v>
      </c>
      <c r="C6519" s="29" t="s">
        <v>1284</v>
      </c>
      <c r="D6519" s="31">
        <v>11.05</v>
      </c>
      <c r="F6519" s="3" t="str">
        <f t="shared" si="101"/>
        <v>I0100</v>
      </c>
    </row>
    <row r="6520" spans="1:6" x14ac:dyDescent="0.2">
      <c r="A6520" s="29" t="s">
        <v>16742</v>
      </c>
      <c r="B6520" s="30" t="s">
        <v>16743</v>
      </c>
      <c r="C6520" s="29" t="s">
        <v>1284</v>
      </c>
      <c r="D6520" s="31">
        <v>21.73</v>
      </c>
      <c r="F6520" s="3" t="str">
        <f t="shared" si="101"/>
        <v>I0101</v>
      </c>
    </row>
    <row r="6521" spans="1:6" x14ac:dyDescent="0.2">
      <c r="A6521" s="29" t="s">
        <v>16744</v>
      </c>
      <c r="B6521" s="30" t="s">
        <v>16745</v>
      </c>
      <c r="C6521" s="29" t="s">
        <v>1284</v>
      </c>
      <c r="D6521" s="31">
        <v>23.57</v>
      </c>
      <c r="F6521" s="3" t="str">
        <f t="shared" si="101"/>
        <v>I0102</v>
      </c>
    </row>
    <row r="6522" spans="1:6" x14ac:dyDescent="0.2">
      <c r="A6522" s="29" t="s">
        <v>16746</v>
      </c>
      <c r="B6522" s="30" t="s">
        <v>16747</v>
      </c>
      <c r="C6522" s="29" t="s">
        <v>1284</v>
      </c>
      <c r="D6522" s="31">
        <v>16.53</v>
      </c>
      <c r="F6522" s="3" t="str">
        <f t="shared" si="101"/>
        <v>I0103</v>
      </c>
    </row>
    <row r="6523" spans="1:6" x14ac:dyDescent="0.2">
      <c r="A6523" s="29" t="s">
        <v>16748</v>
      </c>
      <c r="B6523" s="30" t="s">
        <v>16749</v>
      </c>
      <c r="C6523" s="29" t="s">
        <v>1284</v>
      </c>
      <c r="D6523" s="31">
        <v>17.34</v>
      </c>
      <c r="F6523" s="3" t="str">
        <f t="shared" si="101"/>
        <v>I0104</v>
      </c>
    </row>
    <row r="6524" spans="1:6" x14ac:dyDescent="0.2">
      <c r="A6524" s="29" t="s">
        <v>16750</v>
      </c>
      <c r="B6524" s="265" t="s">
        <v>16751</v>
      </c>
      <c r="C6524" s="29" t="s">
        <v>26</v>
      </c>
      <c r="D6524" s="31">
        <v>0.47</v>
      </c>
      <c r="F6524" s="3" t="str">
        <f t="shared" si="101"/>
        <v>I0137</v>
      </c>
    </row>
    <row r="6525" spans="1:6" x14ac:dyDescent="0.2">
      <c r="A6525" s="29" t="s">
        <v>16752</v>
      </c>
      <c r="B6525" s="30" t="s">
        <v>16753</v>
      </c>
      <c r="C6525" s="29" t="s">
        <v>26</v>
      </c>
      <c r="D6525" s="31">
        <v>0.47</v>
      </c>
      <c r="F6525" s="3" t="str">
        <f t="shared" si="101"/>
        <v>I0138</v>
      </c>
    </row>
    <row r="6526" spans="1:6" x14ac:dyDescent="0.2">
      <c r="A6526" s="29" t="s">
        <v>16754</v>
      </c>
      <c r="B6526" s="30" t="s">
        <v>16755</v>
      </c>
      <c r="C6526" s="29" t="s">
        <v>26</v>
      </c>
      <c r="D6526" s="31">
        <v>3.24</v>
      </c>
      <c r="F6526" s="3" t="str">
        <f t="shared" si="101"/>
        <v>I0141</v>
      </c>
    </row>
    <row r="6527" spans="1:6" x14ac:dyDescent="0.2">
      <c r="A6527" s="29" t="s">
        <v>16756</v>
      </c>
      <c r="B6527" s="30" t="s">
        <v>16757</v>
      </c>
      <c r="C6527" s="29" t="s">
        <v>1284</v>
      </c>
      <c r="D6527" s="31">
        <v>8.23</v>
      </c>
      <c r="F6527" s="3" t="str">
        <f t="shared" si="101"/>
        <v>I0157</v>
      </c>
    </row>
    <row r="6528" spans="1:6" x14ac:dyDescent="0.2">
      <c r="A6528" s="29" t="s">
        <v>16758</v>
      </c>
      <c r="B6528" s="30" t="s">
        <v>16759</v>
      </c>
      <c r="C6528" s="29" t="s">
        <v>1284</v>
      </c>
      <c r="D6528" s="31">
        <v>7.1</v>
      </c>
      <c r="F6528" s="3" t="str">
        <f t="shared" si="101"/>
        <v>I0163</v>
      </c>
    </row>
    <row r="6529" spans="1:6" x14ac:dyDescent="0.2">
      <c r="A6529" s="29" t="s">
        <v>16760</v>
      </c>
      <c r="B6529" s="30" t="s">
        <v>16761</v>
      </c>
      <c r="C6529" s="29" t="s">
        <v>1284</v>
      </c>
      <c r="D6529" s="31">
        <v>7.35</v>
      </c>
      <c r="F6529" s="3" t="str">
        <f t="shared" si="101"/>
        <v>I7952</v>
      </c>
    </row>
    <row r="6530" spans="1:6" x14ac:dyDescent="0.2">
      <c r="A6530" s="29" t="s">
        <v>16762</v>
      </c>
      <c r="B6530" s="30" t="s">
        <v>16763</v>
      </c>
      <c r="C6530" s="29" t="s">
        <v>1284</v>
      </c>
      <c r="D6530" s="31">
        <v>7.59</v>
      </c>
      <c r="F6530" s="3" t="str">
        <f t="shared" ref="F6530:F6593" si="102">A6530</f>
        <v>I0169</v>
      </c>
    </row>
    <row r="6531" spans="1:6" x14ac:dyDescent="0.2">
      <c r="A6531" s="29" t="s">
        <v>16764</v>
      </c>
      <c r="B6531" s="30" t="s">
        <v>16765</v>
      </c>
      <c r="C6531" s="29" t="s">
        <v>0</v>
      </c>
      <c r="D6531" s="31">
        <v>20.63</v>
      </c>
      <c r="F6531" s="3" t="str">
        <f t="shared" si="102"/>
        <v>I0178</v>
      </c>
    </row>
    <row r="6532" spans="1:6" x14ac:dyDescent="0.2">
      <c r="A6532" s="29" t="s">
        <v>16766</v>
      </c>
      <c r="B6532" s="30" t="s">
        <v>16767</v>
      </c>
      <c r="C6532" s="29" t="s">
        <v>0</v>
      </c>
      <c r="D6532" s="31">
        <v>21.94</v>
      </c>
      <c r="F6532" s="3" t="str">
        <f t="shared" si="102"/>
        <v>I0179</v>
      </c>
    </row>
    <row r="6533" spans="1:6" x14ac:dyDescent="0.2">
      <c r="A6533" s="29" t="s">
        <v>16768</v>
      </c>
      <c r="B6533" s="30" t="s">
        <v>16769</v>
      </c>
      <c r="C6533" s="29" t="s">
        <v>0</v>
      </c>
      <c r="D6533" s="31">
        <v>38.200000000000003</v>
      </c>
      <c r="F6533" s="3" t="str">
        <f t="shared" si="102"/>
        <v>I0180</v>
      </c>
    </row>
    <row r="6534" spans="1:6" x14ac:dyDescent="0.2">
      <c r="A6534" s="29" t="s">
        <v>16770</v>
      </c>
      <c r="B6534" s="30" t="s">
        <v>16771</v>
      </c>
      <c r="C6534" s="29" t="s">
        <v>0</v>
      </c>
      <c r="D6534" s="31">
        <v>45.51</v>
      </c>
      <c r="F6534" s="3" t="str">
        <f t="shared" si="102"/>
        <v>I0181</v>
      </c>
    </row>
    <row r="6535" spans="1:6" x14ac:dyDescent="0.2">
      <c r="A6535" s="29" t="s">
        <v>16772</v>
      </c>
      <c r="B6535" s="30" t="s">
        <v>16773</v>
      </c>
      <c r="C6535" s="29" t="s">
        <v>0</v>
      </c>
      <c r="D6535" s="31">
        <v>25.17</v>
      </c>
      <c r="F6535" s="3" t="str">
        <f t="shared" si="102"/>
        <v>I0208</v>
      </c>
    </row>
    <row r="6536" spans="1:6" x14ac:dyDescent="0.2">
      <c r="A6536" s="29" t="s">
        <v>16774</v>
      </c>
      <c r="B6536" s="30" t="s">
        <v>16775</v>
      </c>
      <c r="C6536" s="29" t="s">
        <v>0</v>
      </c>
      <c r="D6536" s="31">
        <v>40.840000000000003</v>
      </c>
      <c r="F6536" s="3" t="str">
        <f t="shared" si="102"/>
        <v>I0211</v>
      </c>
    </row>
    <row r="6537" spans="1:6" x14ac:dyDescent="0.2">
      <c r="A6537" s="29" t="s">
        <v>16776</v>
      </c>
      <c r="B6537" s="30" t="s">
        <v>16777</v>
      </c>
      <c r="C6537" s="29" t="s">
        <v>0</v>
      </c>
      <c r="D6537" s="31">
        <v>4.75</v>
      </c>
      <c r="F6537" s="3" t="str">
        <f t="shared" si="102"/>
        <v>I0335</v>
      </c>
    </row>
    <row r="6538" spans="1:6" ht="22.5" x14ac:dyDescent="0.2">
      <c r="A6538" s="29" t="s">
        <v>16778</v>
      </c>
      <c r="B6538" s="30" t="s">
        <v>16779</v>
      </c>
      <c r="C6538" s="29" t="s">
        <v>1284</v>
      </c>
      <c r="D6538" s="31">
        <v>9.23</v>
      </c>
      <c r="F6538" s="3" t="str">
        <f t="shared" si="102"/>
        <v>I8231</v>
      </c>
    </row>
    <row r="6539" spans="1:6" ht="22.5" x14ac:dyDescent="0.2">
      <c r="A6539" s="29" t="s">
        <v>16780</v>
      </c>
      <c r="B6539" s="30" t="s">
        <v>16781</v>
      </c>
      <c r="C6539" s="29" t="s">
        <v>1284</v>
      </c>
      <c r="D6539" s="31">
        <v>8.89</v>
      </c>
      <c r="F6539" s="3" t="str">
        <f t="shared" si="102"/>
        <v>I7349</v>
      </c>
    </row>
    <row r="6540" spans="1:6" ht="22.5" x14ac:dyDescent="0.2">
      <c r="A6540" s="29" t="s">
        <v>16782</v>
      </c>
      <c r="B6540" s="30" t="s">
        <v>16783</v>
      </c>
      <c r="C6540" s="29" t="s">
        <v>1284</v>
      </c>
      <c r="D6540" s="31">
        <v>9.23</v>
      </c>
      <c r="F6540" s="3" t="str">
        <f t="shared" si="102"/>
        <v>I8199</v>
      </c>
    </row>
    <row r="6541" spans="1:6" ht="22.5" x14ac:dyDescent="0.2">
      <c r="A6541" s="29" t="s">
        <v>16784</v>
      </c>
      <c r="B6541" s="30" t="s">
        <v>16785</v>
      </c>
      <c r="C6541" s="29" t="s">
        <v>1284</v>
      </c>
      <c r="D6541" s="31">
        <v>8.7899999999999991</v>
      </c>
      <c r="F6541" s="3" t="str">
        <f t="shared" si="102"/>
        <v>I0466</v>
      </c>
    </row>
    <row r="6542" spans="1:6" ht="22.5" x14ac:dyDescent="0.2">
      <c r="A6542" s="29" t="s">
        <v>16786</v>
      </c>
      <c r="B6542" s="30" t="s">
        <v>16787</v>
      </c>
      <c r="C6542" s="29" t="s">
        <v>1284</v>
      </c>
      <c r="D6542" s="31">
        <v>8.7899999999999991</v>
      </c>
      <c r="F6542" s="3" t="str">
        <f t="shared" si="102"/>
        <v>I0467</v>
      </c>
    </row>
    <row r="6543" spans="1:6" ht="22.5" x14ac:dyDescent="0.2">
      <c r="A6543" s="29" t="s">
        <v>16788</v>
      </c>
      <c r="B6543" s="30" t="s">
        <v>16789</v>
      </c>
      <c r="C6543" s="29" t="s">
        <v>1284</v>
      </c>
      <c r="D6543" s="31">
        <v>8.7899999999999991</v>
      </c>
      <c r="F6543" s="3" t="str">
        <f t="shared" si="102"/>
        <v>I0468</v>
      </c>
    </row>
    <row r="6544" spans="1:6" ht="22.5" x14ac:dyDescent="0.2">
      <c r="A6544" s="29" t="s">
        <v>16790</v>
      </c>
      <c r="B6544" s="30" t="s">
        <v>16791</v>
      </c>
      <c r="C6544" s="29" t="s">
        <v>1284</v>
      </c>
      <c r="D6544" s="31">
        <v>9.23</v>
      </c>
      <c r="F6544" s="3" t="str">
        <f t="shared" si="102"/>
        <v>I0471</v>
      </c>
    </row>
    <row r="6545" spans="1:6" ht="22.5" x14ac:dyDescent="0.2">
      <c r="A6545" s="29" t="s">
        <v>16792</v>
      </c>
      <c r="B6545" s="30" t="s">
        <v>16793</v>
      </c>
      <c r="C6545" s="29" t="s">
        <v>255</v>
      </c>
      <c r="D6545" s="31">
        <v>609.12</v>
      </c>
      <c r="F6545" s="3" t="str">
        <f t="shared" si="102"/>
        <v>I0521</v>
      </c>
    </row>
    <row r="6546" spans="1:6" x14ac:dyDescent="0.2">
      <c r="A6546" s="29" t="s">
        <v>16794</v>
      </c>
      <c r="B6546" s="30" t="s">
        <v>16795</v>
      </c>
      <c r="C6546" s="29" t="s">
        <v>255</v>
      </c>
      <c r="D6546" s="31">
        <v>1020.08</v>
      </c>
      <c r="F6546" s="3" t="str">
        <f t="shared" si="102"/>
        <v>I0535</v>
      </c>
    </row>
    <row r="6547" spans="1:6" x14ac:dyDescent="0.2">
      <c r="A6547" s="29" t="s">
        <v>16796</v>
      </c>
      <c r="B6547" s="30" t="s">
        <v>16797</v>
      </c>
      <c r="C6547" s="29" t="s">
        <v>1284</v>
      </c>
      <c r="D6547" s="31">
        <v>8.5</v>
      </c>
      <c r="F6547" s="3" t="str">
        <f t="shared" si="102"/>
        <v>I13305</v>
      </c>
    </row>
    <row r="6548" spans="1:6" ht="22.5" x14ac:dyDescent="0.2">
      <c r="A6548" s="29" t="s">
        <v>16798</v>
      </c>
      <c r="B6548" s="30" t="s">
        <v>16799</v>
      </c>
      <c r="C6548" s="29" t="s">
        <v>1284</v>
      </c>
      <c r="D6548" s="31">
        <v>9.64</v>
      </c>
      <c r="F6548" s="3" t="str">
        <f t="shared" si="102"/>
        <v>I0536</v>
      </c>
    </row>
    <row r="6549" spans="1:6" x14ac:dyDescent="0.2">
      <c r="A6549" s="29" t="s">
        <v>16800</v>
      </c>
      <c r="B6549" s="30" t="s">
        <v>16801</v>
      </c>
      <c r="C6549" s="29" t="s">
        <v>1284</v>
      </c>
      <c r="D6549" s="31">
        <v>7.74</v>
      </c>
      <c r="F6549" s="3" t="str">
        <f t="shared" si="102"/>
        <v>I6043</v>
      </c>
    </row>
    <row r="6550" spans="1:6" ht="22.5" x14ac:dyDescent="0.2">
      <c r="A6550" s="29" t="s">
        <v>16802</v>
      </c>
      <c r="B6550" s="30" t="s">
        <v>16803</v>
      </c>
      <c r="C6550" s="29" t="s">
        <v>255</v>
      </c>
      <c r="D6550" s="31">
        <v>294.12</v>
      </c>
      <c r="F6550" s="3" t="str">
        <f t="shared" si="102"/>
        <v>I0532</v>
      </c>
    </row>
    <row r="6551" spans="1:6" ht="22.5" x14ac:dyDescent="0.2">
      <c r="A6551" s="29" t="s">
        <v>16804</v>
      </c>
      <c r="B6551" s="30" t="s">
        <v>16803</v>
      </c>
      <c r="C6551" s="29" t="s">
        <v>1284</v>
      </c>
      <c r="D6551" s="31">
        <v>7.74</v>
      </c>
      <c r="F6551" s="3" t="str">
        <f t="shared" si="102"/>
        <v>I0534</v>
      </c>
    </row>
    <row r="6552" spans="1:6" x14ac:dyDescent="0.2">
      <c r="A6552" s="29" t="s">
        <v>16805</v>
      </c>
      <c r="B6552" s="30" t="s">
        <v>16806</v>
      </c>
      <c r="C6552" s="29" t="s">
        <v>26</v>
      </c>
      <c r="D6552" s="31">
        <v>275.02999999999997</v>
      </c>
      <c r="F6552" s="3" t="str">
        <f t="shared" si="102"/>
        <v>I0533</v>
      </c>
    </row>
    <row r="6553" spans="1:6" x14ac:dyDescent="0.2">
      <c r="A6553" s="29" t="s">
        <v>16807</v>
      </c>
      <c r="B6553" s="30" t="s">
        <v>16808</v>
      </c>
      <c r="C6553" s="29" t="s">
        <v>255</v>
      </c>
      <c r="D6553" s="31">
        <v>39.03</v>
      </c>
      <c r="F6553" s="3" t="str">
        <f t="shared" si="102"/>
        <v>I0537</v>
      </c>
    </row>
    <row r="6554" spans="1:6" x14ac:dyDescent="0.2">
      <c r="A6554" s="29" t="s">
        <v>16809</v>
      </c>
      <c r="B6554" s="30" t="s">
        <v>16810</v>
      </c>
      <c r="C6554" s="29" t="s">
        <v>0</v>
      </c>
      <c r="D6554" s="31">
        <v>15.33</v>
      </c>
      <c r="F6554" s="3" t="str">
        <f t="shared" si="102"/>
        <v>I0538</v>
      </c>
    </row>
    <row r="6555" spans="1:6" x14ac:dyDescent="0.2">
      <c r="A6555" s="29" t="s">
        <v>16811</v>
      </c>
      <c r="B6555" s="30" t="s">
        <v>16812</v>
      </c>
      <c r="C6555" s="29" t="s">
        <v>0</v>
      </c>
      <c r="D6555" s="31">
        <v>23.23</v>
      </c>
      <c r="F6555" s="3" t="str">
        <f t="shared" si="102"/>
        <v>I0539</v>
      </c>
    </row>
    <row r="6556" spans="1:6" x14ac:dyDescent="0.2">
      <c r="A6556" s="29" t="s">
        <v>16813</v>
      </c>
      <c r="B6556" s="30" t="s">
        <v>16814</v>
      </c>
      <c r="C6556" s="29" t="s">
        <v>1284</v>
      </c>
      <c r="D6556" s="31">
        <v>8.5</v>
      </c>
      <c r="F6556" s="3" t="str">
        <f t="shared" si="102"/>
        <v>I9530</v>
      </c>
    </row>
    <row r="6557" spans="1:6" x14ac:dyDescent="0.2">
      <c r="A6557" s="29" t="s">
        <v>16815</v>
      </c>
      <c r="B6557" s="30" t="s">
        <v>16816</v>
      </c>
      <c r="C6557" s="29" t="s">
        <v>1284</v>
      </c>
      <c r="D6557" s="31">
        <v>8.5</v>
      </c>
      <c r="F6557" s="3" t="str">
        <f t="shared" si="102"/>
        <v>I9528</v>
      </c>
    </row>
    <row r="6558" spans="1:6" ht="22.5" x14ac:dyDescent="0.2">
      <c r="A6558" s="29" t="s">
        <v>16817</v>
      </c>
      <c r="B6558" s="30" t="s">
        <v>16818</v>
      </c>
      <c r="C6558" s="29" t="s">
        <v>1284</v>
      </c>
      <c r="D6558" s="31">
        <v>8.5</v>
      </c>
      <c r="F6558" s="3" t="str">
        <f t="shared" si="102"/>
        <v>I7480</v>
      </c>
    </row>
    <row r="6559" spans="1:6" x14ac:dyDescent="0.2">
      <c r="A6559" s="29" t="s">
        <v>16819</v>
      </c>
      <c r="B6559" s="30" t="s">
        <v>16820</v>
      </c>
      <c r="C6559" s="29" t="s">
        <v>1284</v>
      </c>
      <c r="D6559" s="31">
        <v>8.5</v>
      </c>
      <c r="F6559" s="3" t="str">
        <f t="shared" si="102"/>
        <v>I9529</v>
      </c>
    </row>
    <row r="6560" spans="1:6" x14ac:dyDescent="0.2">
      <c r="A6560" s="29" t="s">
        <v>16821</v>
      </c>
      <c r="B6560" s="30" t="s">
        <v>16822</v>
      </c>
      <c r="C6560" s="29" t="s">
        <v>1284</v>
      </c>
      <c r="D6560" s="31">
        <v>8.5</v>
      </c>
      <c r="F6560" s="3" t="str">
        <f t="shared" si="102"/>
        <v>I0531</v>
      </c>
    </row>
    <row r="6561" spans="1:6" x14ac:dyDescent="0.2">
      <c r="A6561" s="29" t="s">
        <v>16823</v>
      </c>
      <c r="B6561" s="30" t="s">
        <v>16824</v>
      </c>
      <c r="C6561" s="29" t="s">
        <v>1284</v>
      </c>
      <c r="D6561" s="31">
        <v>8.5</v>
      </c>
      <c r="F6561" s="3" t="str">
        <f t="shared" si="102"/>
        <v>I8669</v>
      </c>
    </row>
    <row r="6562" spans="1:6" x14ac:dyDescent="0.2">
      <c r="A6562" s="29" t="s">
        <v>16825</v>
      </c>
      <c r="B6562" s="30" t="s">
        <v>16826</v>
      </c>
      <c r="C6562" s="29" t="s">
        <v>255</v>
      </c>
      <c r="D6562" s="31">
        <v>202.09</v>
      </c>
      <c r="F6562" s="3" t="str">
        <f t="shared" si="102"/>
        <v>I8356</v>
      </c>
    </row>
    <row r="6563" spans="1:6" x14ac:dyDescent="0.2">
      <c r="A6563" s="29" t="s">
        <v>16827</v>
      </c>
      <c r="B6563" s="30" t="s">
        <v>16828</v>
      </c>
      <c r="C6563" s="29" t="s">
        <v>26</v>
      </c>
      <c r="D6563" s="31">
        <v>1.5</v>
      </c>
      <c r="F6563" s="3" t="str">
        <f t="shared" si="102"/>
        <v>I0793</v>
      </c>
    </row>
    <row r="6564" spans="1:6" x14ac:dyDescent="0.2">
      <c r="A6564" s="29" t="s">
        <v>16829</v>
      </c>
      <c r="B6564" s="30" t="s">
        <v>16830</v>
      </c>
      <c r="C6564" s="29" t="s">
        <v>26</v>
      </c>
      <c r="D6564" s="31">
        <v>4.9000000000000004</v>
      </c>
      <c r="F6564" s="3" t="str">
        <f t="shared" si="102"/>
        <v>I0990</v>
      </c>
    </row>
    <row r="6565" spans="1:6" x14ac:dyDescent="0.2">
      <c r="A6565" s="29" t="s">
        <v>16831</v>
      </c>
      <c r="B6565" s="30" t="s">
        <v>16832</v>
      </c>
      <c r="C6565" s="29" t="s">
        <v>26</v>
      </c>
      <c r="D6565" s="31">
        <v>3.27</v>
      </c>
      <c r="F6565" s="3" t="str">
        <f t="shared" si="102"/>
        <v>I0794</v>
      </c>
    </row>
    <row r="6566" spans="1:6" x14ac:dyDescent="0.2">
      <c r="A6566" s="29" t="s">
        <v>16833</v>
      </c>
      <c r="B6566" s="30" t="s">
        <v>16834</v>
      </c>
      <c r="C6566" s="29" t="s">
        <v>1284</v>
      </c>
      <c r="D6566" s="31">
        <v>10.75</v>
      </c>
      <c r="F6566" s="3" t="str">
        <f t="shared" si="102"/>
        <v>I0849</v>
      </c>
    </row>
    <row r="6567" spans="1:6" x14ac:dyDescent="0.2">
      <c r="A6567" s="29" t="s">
        <v>16835</v>
      </c>
      <c r="B6567" s="30" t="s">
        <v>16836</v>
      </c>
      <c r="C6567" s="29" t="s">
        <v>1284</v>
      </c>
      <c r="D6567" s="31">
        <v>11.88</v>
      </c>
      <c r="F6567" s="3" t="str">
        <f t="shared" si="102"/>
        <v>I0861</v>
      </c>
    </row>
    <row r="6568" spans="1:6" x14ac:dyDescent="0.2">
      <c r="A6568" s="29" t="s">
        <v>16837</v>
      </c>
      <c r="B6568" s="30" t="s">
        <v>16838</v>
      </c>
      <c r="C6568" s="29" t="s">
        <v>0</v>
      </c>
      <c r="D6568" s="31">
        <v>143.74</v>
      </c>
      <c r="F6568" s="3" t="str">
        <f t="shared" si="102"/>
        <v>I0864</v>
      </c>
    </row>
    <row r="6569" spans="1:6" x14ac:dyDescent="0.2">
      <c r="A6569" s="29" t="s">
        <v>16839</v>
      </c>
      <c r="B6569" s="30" t="s">
        <v>16840</v>
      </c>
      <c r="C6569" s="29" t="s">
        <v>1284</v>
      </c>
      <c r="D6569" s="31">
        <v>87.78</v>
      </c>
      <c r="F6569" s="3" t="str">
        <f t="shared" si="102"/>
        <v>I8357</v>
      </c>
    </row>
    <row r="6570" spans="1:6" x14ac:dyDescent="0.2">
      <c r="A6570" s="29" t="s">
        <v>16841</v>
      </c>
      <c r="B6570" s="30" t="s">
        <v>16842</v>
      </c>
      <c r="C6570" s="29" t="s">
        <v>1284</v>
      </c>
      <c r="D6570" s="31">
        <v>24.67</v>
      </c>
      <c r="F6570" s="3" t="str">
        <f t="shared" si="102"/>
        <v>I8354</v>
      </c>
    </row>
    <row r="6571" spans="1:6" x14ac:dyDescent="0.2">
      <c r="A6571" s="29" t="s">
        <v>16843</v>
      </c>
      <c r="B6571" s="30" t="s">
        <v>16844</v>
      </c>
      <c r="C6571" s="29" t="s">
        <v>1284</v>
      </c>
      <c r="D6571" s="31">
        <v>9.18</v>
      </c>
      <c r="F6571" s="3" t="str">
        <f t="shared" si="102"/>
        <v>I2338</v>
      </c>
    </row>
    <row r="6572" spans="1:6" x14ac:dyDescent="0.2">
      <c r="A6572" s="29" t="s">
        <v>16845</v>
      </c>
      <c r="B6572" s="30" t="s">
        <v>16846</v>
      </c>
      <c r="C6572" s="29" t="s">
        <v>1284</v>
      </c>
      <c r="D6572" s="31">
        <v>9.18</v>
      </c>
      <c r="F6572" s="3" t="str">
        <f t="shared" si="102"/>
        <v>I2337</v>
      </c>
    </row>
    <row r="6573" spans="1:6" x14ac:dyDescent="0.2">
      <c r="A6573" s="29" t="s">
        <v>16847</v>
      </c>
      <c r="B6573" s="30" t="s">
        <v>16848</v>
      </c>
      <c r="C6573" s="29" t="s">
        <v>1284</v>
      </c>
      <c r="D6573" s="31">
        <v>9.18</v>
      </c>
      <c r="F6573" s="3" t="str">
        <f t="shared" si="102"/>
        <v>I2332</v>
      </c>
    </row>
    <row r="6574" spans="1:6" x14ac:dyDescent="0.2">
      <c r="A6574" s="29" t="s">
        <v>16849</v>
      </c>
      <c r="B6574" s="30" t="s">
        <v>16850</v>
      </c>
      <c r="C6574" s="29" t="s">
        <v>1284</v>
      </c>
      <c r="D6574" s="31">
        <v>9.27</v>
      </c>
      <c r="F6574" s="3" t="str">
        <f t="shared" si="102"/>
        <v>I2333</v>
      </c>
    </row>
    <row r="6575" spans="1:6" x14ac:dyDescent="0.2">
      <c r="A6575" s="29" t="s">
        <v>16851</v>
      </c>
      <c r="B6575" s="30" t="s">
        <v>16852</v>
      </c>
      <c r="C6575" s="29" t="s">
        <v>1284</v>
      </c>
      <c r="D6575" s="31">
        <v>9.18</v>
      </c>
      <c r="F6575" s="3" t="str">
        <f t="shared" si="102"/>
        <v>I2334</v>
      </c>
    </row>
    <row r="6576" spans="1:6" x14ac:dyDescent="0.2">
      <c r="A6576" s="29" t="s">
        <v>16853</v>
      </c>
      <c r="B6576" s="30" t="s">
        <v>16854</v>
      </c>
      <c r="C6576" s="29" t="s">
        <v>1284</v>
      </c>
      <c r="D6576" s="31">
        <v>9.18</v>
      </c>
      <c r="F6576" s="3" t="str">
        <f t="shared" si="102"/>
        <v>I2339</v>
      </c>
    </row>
    <row r="6577" spans="1:6" x14ac:dyDescent="0.2">
      <c r="A6577" s="29" t="s">
        <v>16855</v>
      </c>
      <c r="B6577" s="30" t="s">
        <v>16856</v>
      </c>
      <c r="C6577" s="29" t="s">
        <v>1284</v>
      </c>
      <c r="D6577" s="31">
        <v>9.27</v>
      </c>
      <c r="F6577" s="3" t="str">
        <f t="shared" si="102"/>
        <v>I0191</v>
      </c>
    </row>
    <row r="6578" spans="1:6" x14ac:dyDescent="0.2">
      <c r="A6578" s="29" t="s">
        <v>16857</v>
      </c>
      <c r="B6578" s="30" t="s">
        <v>16858</v>
      </c>
      <c r="C6578" s="29" t="s">
        <v>1284</v>
      </c>
      <c r="D6578" s="31">
        <v>9.18</v>
      </c>
      <c r="F6578" s="3" t="str">
        <f t="shared" si="102"/>
        <v>I2335</v>
      </c>
    </row>
    <row r="6579" spans="1:6" x14ac:dyDescent="0.2">
      <c r="A6579" s="29" t="s">
        <v>16859</v>
      </c>
      <c r="B6579" s="30" t="s">
        <v>16860</v>
      </c>
      <c r="C6579" s="29" t="s">
        <v>1284</v>
      </c>
      <c r="D6579" s="31">
        <v>9.18</v>
      </c>
      <c r="F6579" s="3" t="str">
        <f t="shared" si="102"/>
        <v>I2336</v>
      </c>
    </row>
    <row r="6580" spans="1:6" x14ac:dyDescent="0.2">
      <c r="A6580" s="29" t="s">
        <v>16861</v>
      </c>
      <c r="B6580" s="30" t="s">
        <v>16862</v>
      </c>
      <c r="C6580" s="29" t="s">
        <v>26</v>
      </c>
      <c r="D6580" s="31">
        <v>3.86</v>
      </c>
      <c r="F6580" s="3" t="str">
        <f t="shared" si="102"/>
        <v>I6221</v>
      </c>
    </row>
    <row r="6581" spans="1:6" x14ac:dyDescent="0.2">
      <c r="A6581" s="29" t="s">
        <v>16863</v>
      </c>
      <c r="B6581" s="30" t="s">
        <v>16864</v>
      </c>
      <c r="C6581" s="29" t="s">
        <v>255</v>
      </c>
      <c r="D6581" s="31">
        <v>108.68</v>
      </c>
      <c r="F6581" s="3" t="str">
        <f t="shared" si="102"/>
        <v>I1222</v>
      </c>
    </row>
    <row r="6582" spans="1:6" x14ac:dyDescent="0.2">
      <c r="A6582" s="29" t="s">
        <v>16865</v>
      </c>
      <c r="B6582" s="30" t="s">
        <v>16866</v>
      </c>
      <c r="C6582" s="29" t="s">
        <v>255</v>
      </c>
      <c r="D6582" s="31">
        <v>108.68</v>
      </c>
      <c r="F6582" s="3" t="str">
        <f t="shared" si="102"/>
        <v>I1223</v>
      </c>
    </row>
    <row r="6583" spans="1:6" x14ac:dyDescent="0.2">
      <c r="A6583" s="29" t="s">
        <v>16867</v>
      </c>
      <c r="B6583" s="30" t="s">
        <v>16868</v>
      </c>
      <c r="C6583" s="29" t="s">
        <v>255</v>
      </c>
      <c r="D6583" s="31">
        <v>132.02000000000001</v>
      </c>
      <c r="F6583" s="3" t="str">
        <f t="shared" si="102"/>
        <v>I1224</v>
      </c>
    </row>
    <row r="6584" spans="1:6" x14ac:dyDescent="0.2">
      <c r="A6584" s="29" t="s">
        <v>16869</v>
      </c>
      <c r="B6584" s="30" t="s">
        <v>16870</v>
      </c>
      <c r="C6584" s="29" t="s">
        <v>1284</v>
      </c>
      <c r="D6584" s="31">
        <v>14.59</v>
      </c>
      <c r="F6584" s="3" t="str">
        <f t="shared" si="102"/>
        <v>I2516</v>
      </c>
    </row>
    <row r="6585" spans="1:6" x14ac:dyDescent="0.2">
      <c r="A6585" s="29" t="s">
        <v>16871</v>
      </c>
      <c r="B6585" s="30" t="s">
        <v>16872</v>
      </c>
      <c r="C6585" s="29" t="s">
        <v>26</v>
      </c>
      <c r="D6585" s="31">
        <v>0.9</v>
      </c>
      <c r="F6585" s="3" t="str">
        <f t="shared" si="102"/>
        <v>I1566</v>
      </c>
    </row>
    <row r="6586" spans="1:6" x14ac:dyDescent="0.2">
      <c r="A6586" s="29" t="s">
        <v>16873</v>
      </c>
      <c r="B6586" s="30" t="s">
        <v>16874</v>
      </c>
      <c r="C6586" s="29" t="s">
        <v>26</v>
      </c>
      <c r="D6586" s="31">
        <v>7.68</v>
      </c>
      <c r="F6586" s="3" t="str">
        <f t="shared" si="102"/>
        <v>I1568</v>
      </c>
    </row>
    <row r="6587" spans="1:6" x14ac:dyDescent="0.2">
      <c r="A6587" s="29" t="s">
        <v>16875</v>
      </c>
      <c r="B6587" s="30" t="s">
        <v>16876</v>
      </c>
      <c r="C6587" s="29" t="s">
        <v>26</v>
      </c>
      <c r="D6587" s="31">
        <v>0.6</v>
      </c>
      <c r="F6587" s="3" t="str">
        <f t="shared" si="102"/>
        <v>I2525</v>
      </c>
    </row>
    <row r="6588" spans="1:6" x14ac:dyDescent="0.2">
      <c r="A6588" s="29" t="s">
        <v>16877</v>
      </c>
      <c r="B6588" s="30" t="s">
        <v>16878</v>
      </c>
      <c r="C6588" s="29" t="s">
        <v>26</v>
      </c>
      <c r="D6588" s="31">
        <v>1.04</v>
      </c>
      <c r="F6588" s="3" t="str">
        <f t="shared" si="102"/>
        <v>I2526</v>
      </c>
    </row>
    <row r="6589" spans="1:6" x14ac:dyDescent="0.2">
      <c r="A6589" s="29" t="s">
        <v>16879</v>
      </c>
      <c r="B6589" s="30" t="s">
        <v>16880</v>
      </c>
      <c r="C6589" s="29" t="s">
        <v>26</v>
      </c>
      <c r="D6589" s="31">
        <v>0.25</v>
      </c>
      <c r="F6589" s="3" t="str">
        <f t="shared" si="102"/>
        <v>I1570</v>
      </c>
    </row>
    <row r="6590" spans="1:6" x14ac:dyDescent="0.2">
      <c r="A6590" s="29" t="s">
        <v>16881</v>
      </c>
      <c r="B6590" s="30" t="s">
        <v>16882</v>
      </c>
      <c r="C6590" s="29" t="s">
        <v>26</v>
      </c>
      <c r="D6590" s="31">
        <v>1.38</v>
      </c>
      <c r="F6590" s="3" t="str">
        <f t="shared" si="102"/>
        <v>I1571</v>
      </c>
    </row>
    <row r="6591" spans="1:6" x14ac:dyDescent="0.2">
      <c r="A6591" s="29" t="s">
        <v>16883</v>
      </c>
      <c r="B6591" s="30" t="s">
        <v>16884</v>
      </c>
      <c r="C6591" s="29" t="s">
        <v>26</v>
      </c>
      <c r="D6591" s="31">
        <v>1.46</v>
      </c>
      <c r="F6591" s="3" t="str">
        <f t="shared" si="102"/>
        <v>I1572</v>
      </c>
    </row>
    <row r="6592" spans="1:6" x14ac:dyDescent="0.2">
      <c r="A6592" s="29" t="s">
        <v>16885</v>
      </c>
      <c r="B6592" s="30" t="s">
        <v>16886</v>
      </c>
      <c r="C6592" s="29" t="s">
        <v>26</v>
      </c>
      <c r="D6592" s="31">
        <v>1.88</v>
      </c>
      <c r="F6592" s="3" t="str">
        <f t="shared" si="102"/>
        <v>I1573</v>
      </c>
    </row>
    <row r="6593" spans="1:6" x14ac:dyDescent="0.2">
      <c r="A6593" s="29" t="s">
        <v>16887</v>
      </c>
      <c r="B6593" s="30" t="s">
        <v>16888</v>
      </c>
      <c r="C6593" s="29" t="s">
        <v>26</v>
      </c>
      <c r="D6593" s="31">
        <v>2.19</v>
      </c>
      <c r="F6593" s="3" t="str">
        <f t="shared" si="102"/>
        <v>I1574</v>
      </c>
    </row>
    <row r="6594" spans="1:6" x14ac:dyDescent="0.2">
      <c r="A6594" s="29" t="s">
        <v>16889</v>
      </c>
      <c r="B6594" s="30" t="s">
        <v>16890</v>
      </c>
      <c r="C6594" s="29" t="s">
        <v>26</v>
      </c>
      <c r="D6594" s="31">
        <v>5.25</v>
      </c>
      <c r="F6594" s="3" t="str">
        <f t="shared" ref="F6594:F6657" si="103">A6594</f>
        <v>I1575</v>
      </c>
    </row>
    <row r="6595" spans="1:6" x14ac:dyDescent="0.2">
      <c r="A6595" s="29" t="s">
        <v>16891</v>
      </c>
      <c r="B6595" s="30" t="s">
        <v>16892</v>
      </c>
      <c r="C6595" s="29" t="s">
        <v>26</v>
      </c>
      <c r="D6595" s="31">
        <v>3.94</v>
      </c>
      <c r="F6595" s="3" t="str">
        <f t="shared" si="103"/>
        <v>I1576</v>
      </c>
    </row>
    <row r="6596" spans="1:6" x14ac:dyDescent="0.2">
      <c r="A6596" s="29" t="s">
        <v>16893</v>
      </c>
      <c r="B6596" s="30" t="s">
        <v>16894</v>
      </c>
      <c r="C6596" s="29" t="s">
        <v>26</v>
      </c>
      <c r="D6596" s="31">
        <v>0.94</v>
      </c>
      <c r="F6596" s="3" t="str">
        <f t="shared" si="103"/>
        <v>I1577</v>
      </c>
    </row>
    <row r="6597" spans="1:6" x14ac:dyDescent="0.2">
      <c r="A6597" s="29" t="s">
        <v>16895</v>
      </c>
      <c r="B6597" s="265" t="s">
        <v>16896</v>
      </c>
      <c r="C6597" s="29" t="s">
        <v>26</v>
      </c>
      <c r="D6597" s="31">
        <v>1.1399999999999999</v>
      </c>
      <c r="F6597" s="3" t="str">
        <f t="shared" si="103"/>
        <v>I1578</v>
      </c>
    </row>
    <row r="6598" spans="1:6" ht="22.5" x14ac:dyDescent="0.2">
      <c r="A6598" s="29" t="s">
        <v>16897</v>
      </c>
      <c r="B6598" s="30" t="s">
        <v>16898</v>
      </c>
      <c r="C6598" s="29" t="s">
        <v>26</v>
      </c>
      <c r="D6598" s="31">
        <v>9.4</v>
      </c>
      <c r="F6598" s="3" t="str">
        <f t="shared" si="103"/>
        <v>I1579</v>
      </c>
    </row>
    <row r="6599" spans="1:6" x14ac:dyDescent="0.2">
      <c r="A6599" s="29" t="s">
        <v>16899</v>
      </c>
      <c r="B6599" s="30" t="s">
        <v>16900</v>
      </c>
      <c r="C6599" s="29" t="s">
        <v>26</v>
      </c>
      <c r="D6599" s="31">
        <v>1.25</v>
      </c>
      <c r="F6599" s="3" t="str">
        <f t="shared" si="103"/>
        <v>I2387</v>
      </c>
    </row>
    <row r="6600" spans="1:6" x14ac:dyDescent="0.2">
      <c r="A6600" s="272" t="s">
        <v>16901</v>
      </c>
      <c r="B6600" s="265" t="s">
        <v>16902</v>
      </c>
      <c r="C6600" s="272" t="s">
        <v>26</v>
      </c>
      <c r="D6600" s="273">
        <v>3.71</v>
      </c>
      <c r="F6600" s="3" t="str">
        <f t="shared" si="103"/>
        <v>I7348</v>
      </c>
    </row>
    <row r="6601" spans="1:6" x14ac:dyDescent="0.2">
      <c r="A6601" s="272" t="s">
        <v>16903</v>
      </c>
      <c r="B6601" s="265" t="s">
        <v>16904</v>
      </c>
      <c r="C6601" s="272" t="s">
        <v>26</v>
      </c>
      <c r="D6601" s="273">
        <v>22.52</v>
      </c>
      <c r="F6601" s="3" t="str">
        <f t="shared" si="103"/>
        <v>I8114</v>
      </c>
    </row>
    <row r="6602" spans="1:6" x14ac:dyDescent="0.2">
      <c r="A6602" s="29" t="s">
        <v>16905</v>
      </c>
      <c r="B6602" s="30" t="s">
        <v>16906</v>
      </c>
      <c r="C6602" s="29" t="s">
        <v>26</v>
      </c>
      <c r="D6602" s="31">
        <v>0.85</v>
      </c>
      <c r="F6602" s="3" t="str">
        <f t="shared" si="103"/>
        <v>I2483</v>
      </c>
    </row>
    <row r="6603" spans="1:6" x14ac:dyDescent="0.2">
      <c r="A6603" s="29" t="s">
        <v>16907</v>
      </c>
      <c r="B6603" s="30" t="s">
        <v>16908</v>
      </c>
      <c r="C6603" s="29" t="s">
        <v>26</v>
      </c>
      <c r="D6603" s="31">
        <v>1.73</v>
      </c>
      <c r="F6603" s="3" t="str">
        <f t="shared" si="103"/>
        <v>I2388</v>
      </c>
    </row>
    <row r="6604" spans="1:6" x14ac:dyDescent="0.2">
      <c r="A6604" s="29" t="s">
        <v>16909</v>
      </c>
      <c r="B6604" s="30" t="s">
        <v>16910</v>
      </c>
      <c r="C6604" s="29" t="s">
        <v>26</v>
      </c>
      <c r="D6604" s="31">
        <v>6.37</v>
      </c>
      <c r="F6604" s="3" t="str">
        <f t="shared" si="103"/>
        <v>I1580</v>
      </c>
    </row>
    <row r="6605" spans="1:6" x14ac:dyDescent="0.2">
      <c r="A6605" s="29" t="s">
        <v>16911</v>
      </c>
      <c r="B6605" s="30" t="s">
        <v>16912</v>
      </c>
      <c r="C6605" s="29" t="s">
        <v>26</v>
      </c>
      <c r="D6605" s="31">
        <v>6.37</v>
      </c>
      <c r="F6605" s="3" t="str">
        <f t="shared" si="103"/>
        <v>I1581</v>
      </c>
    </row>
    <row r="6606" spans="1:6" x14ac:dyDescent="0.2">
      <c r="A6606" s="29" t="s">
        <v>16913</v>
      </c>
      <c r="B6606" s="30" t="s">
        <v>16914</v>
      </c>
      <c r="C6606" s="29" t="s">
        <v>26</v>
      </c>
      <c r="D6606" s="31">
        <v>0.94</v>
      </c>
      <c r="F6606" s="3" t="str">
        <f t="shared" si="103"/>
        <v>I1565</v>
      </c>
    </row>
    <row r="6607" spans="1:6" x14ac:dyDescent="0.2">
      <c r="A6607" s="29" t="s">
        <v>16915</v>
      </c>
      <c r="B6607" s="30" t="s">
        <v>16916</v>
      </c>
      <c r="C6607" s="29" t="s">
        <v>26</v>
      </c>
      <c r="D6607" s="31">
        <v>13.74</v>
      </c>
      <c r="F6607" s="3" t="str">
        <f t="shared" si="103"/>
        <v>I2389</v>
      </c>
    </row>
    <row r="6608" spans="1:6" x14ac:dyDescent="0.2">
      <c r="A6608" s="29" t="s">
        <v>16917</v>
      </c>
      <c r="B6608" s="30" t="s">
        <v>16918</v>
      </c>
      <c r="C6608" s="29" t="s">
        <v>26</v>
      </c>
      <c r="D6608" s="31">
        <v>18.260000000000002</v>
      </c>
      <c r="F6608" s="3" t="str">
        <f t="shared" si="103"/>
        <v>I2390</v>
      </c>
    </row>
    <row r="6609" spans="1:6" x14ac:dyDescent="0.2">
      <c r="A6609" s="29" t="s">
        <v>16919</v>
      </c>
      <c r="B6609" s="30" t="s">
        <v>16920</v>
      </c>
      <c r="C6609" s="29" t="s">
        <v>26</v>
      </c>
      <c r="D6609" s="31">
        <v>0.78</v>
      </c>
      <c r="F6609" s="3" t="str">
        <f t="shared" si="103"/>
        <v>I1582</v>
      </c>
    </row>
    <row r="6610" spans="1:6" x14ac:dyDescent="0.2">
      <c r="A6610" s="29" t="s">
        <v>16921</v>
      </c>
      <c r="B6610" s="30" t="s">
        <v>16922</v>
      </c>
      <c r="C6610" s="29" t="s">
        <v>26</v>
      </c>
      <c r="D6610" s="31">
        <v>2.0099999999999998</v>
      </c>
      <c r="F6610" s="3" t="str">
        <f t="shared" si="103"/>
        <v>I1583</v>
      </c>
    </row>
    <row r="6611" spans="1:6" x14ac:dyDescent="0.2">
      <c r="A6611" s="29" t="s">
        <v>16923</v>
      </c>
      <c r="B6611" s="30" t="s">
        <v>16924</v>
      </c>
      <c r="C6611" s="29" t="s">
        <v>26</v>
      </c>
      <c r="D6611" s="31">
        <v>0.19</v>
      </c>
      <c r="F6611" s="3" t="str">
        <f t="shared" si="103"/>
        <v>I1587</v>
      </c>
    </row>
    <row r="6612" spans="1:6" x14ac:dyDescent="0.2">
      <c r="A6612" s="29" t="s">
        <v>16925</v>
      </c>
      <c r="B6612" s="30" t="s">
        <v>16926</v>
      </c>
      <c r="C6612" s="29" t="s">
        <v>26</v>
      </c>
      <c r="D6612" s="31">
        <v>0.26</v>
      </c>
      <c r="F6612" s="3" t="str">
        <f t="shared" si="103"/>
        <v>I1588</v>
      </c>
    </row>
    <row r="6613" spans="1:6" x14ac:dyDescent="0.2">
      <c r="A6613" s="29" t="s">
        <v>16927</v>
      </c>
      <c r="B6613" s="30" t="s">
        <v>16928</v>
      </c>
      <c r="C6613" s="29" t="s">
        <v>26</v>
      </c>
      <c r="D6613" s="31">
        <v>0.04</v>
      </c>
      <c r="F6613" s="3" t="str">
        <f t="shared" si="103"/>
        <v>I1586</v>
      </c>
    </row>
    <row r="6614" spans="1:6" x14ac:dyDescent="0.2">
      <c r="A6614" s="29" t="s">
        <v>16929</v>
      </c>
      <c r="B6614" s="30" t="s">
        <v>16930</v>
      </c>
      <c r="C6614" s="29" t="s">
        <v>26</v>
      </c>
      <c r="D6614" s="31">
        <v>0.08</v>
      </c>
      <c r="F6614" s="3" t="str">
        <f t="shared" si="103"/>
        <v>I1584</v>
      </c>
    </row>
    <row r="6615" spans="1:6" x14ac:dyDescent="0.2">
      <c r="A6615" s="29" t="s">
        <v>16931</v>
      </c>
      <c r="B6615" s="30" t="s">
        <v>16932</v>
      </c>
      <c r="C6615" s="29" t="s">
        <v>26</v>
      </c>
      <c r="D6615" s="31">
        <v>0.26</v>
      </c>
      <c r="F6615" s="3" t="str">
        <f t="shared" si="103"/>
        <v>I1589</v>
      </c>
    </row>
    <row r="6616" spans="1:6" x14ac:dyDescent="0.2">
      <c r="A6616" s="29" t="s">
        <v>16933</v>
      </c>
      <c r="B6616" s="30" t="s">
        <v>16934</v>
      </c>
      <c r="C6616" s="29" t="s">
        <v>26</v>
      </c>
      <c r="D6616" s="31">
        <v>0.34</v>
      </c>
      <c r="F6616" s="3" t="str">
        <f t="shared" si="103"/>
        <v>I1590</v>
      </c>
    </row>
    <row r="6617" spans="1:6" x14ac:dyDescent="0.2">
      <c r="A6617" s="29" t="s">
        <v>16935</v>
      </c>
      <c r="B6617" s="30" t="s">
        <v>16936</v>
      </c>
      <c r="C6617" s="29" t="s">
        <v>26</v>
      </c>
      <c r="D6617" s="31">
        <v>0.55000000000000004</v>
      </c>
      <c r="F6617" s="3" t="str">
        <f t="shared" si="103"/>
        <v>I1592</v>
      </c>
    </row>
    <row r="6618" spans="1:6" x14ac:dyDescent="0.2">
      <c r="A6618" s="29" t="s">
        <v>16937</v>
      </c>
      <c r="B6618" s="30" t="s">
        <v>16938</v>
      </c>
      <c r="C6618" s="29" t="s">
        <v>26</v>
      </c>
      <c r="D6618" s="31">
        <v>0.55000000000000004</v>
      </c>
      <c r="F6618" s="3" t="str">
        <f t="shared" si="103"/>
        <v>I1593</v>
      </c>
    </row>
    <row r="6619" spans="1:6" x14ac:dyDescent="0.2">
      <c r="A6619" s="29" t="s">
        <v>16939</v>
      </c>
      <c r="B6619" s="30" t="s">
        <v>16940</v>
      </c>
      <c r="C6619" s="29" t="s">
        <v>1284</v>
      </c>
      <c r="D6619" s="31">
        <v>13</v>
      </c>
      <c r="F6619" s="3" t="str">
        <f t="shared" si="103"/>
        <v>I7951</v>
      </c>
    </row>
    <row r="6620" spans="1:6" x14ac:dyDescent="0.2">
      <c r="A6620" s="272" t="s">
        <v>16941</v>
      </c>
      <c r="B6620" s="265" t="s">
        <v>16942</v>
      </c>
      <c r="C6620" s="272" t="s">
        <v>1284</v>
      </c>
      <c r="D6620" s="273">
        <v>11.86</v>
      </c>
      <c r="F6620" s="3" t="str">
        <f t="shared" si="103"/>
        <v>I13303</v>
      </c>
    </row>
    <row r="6621" spans="1:6" x14ac:dyDescent="0.2">
      <c r="A6621" s="29" t="s">
        <v>16943</v>
      </c>
      <c r="B6621" s="30" t="s">
        <v>16944</v>
      </c>
      <c r="C6621" s="29" t="s">
        <v>1284</v>
      </c>
      <c r="D6621" s="31">
        <v>13</v>
      </c>
      <c r="F6621" s="3" t="str">
        <f t="shared" si="103"/>
        <v>I2392</v>
      </c>
    </row>
    <row r="6622" spans="1:6" x14ac:dyDescent="0.2">
      <c r="A6622" s="29" t="s">
        <v>16945</v>
      </c>
      <c r="B6622" s="30" t="s">
        <v>16946</v>
      </c>
      <c r="C6622" s="29" t="s">
        <v>1284</v>
      </c>
      <c r="D6622" s="31">
        <v>2.54</v>
      </c>
      <c r="F6622" s="3" t="str">
        <f t="shared" si="103"/>
        <v>I1618</v>
      </c>
    </row>
    <row r="6623" spans="1:6" x14ac:dyDescent="0.2">
      <c r="A6623" s="29" t="s">
        <v>16947</v>
      </c>
      <c r="B6623" s="30" t="s">
        <v>16948</v>
      </c>
      <c r="C6623" s="29" t="s">
        <v>0</v>
      </c>
      <c r="D6623" s="31">
        <v>13.31</v>
      </c>
      <c r="F6623" s="3" t="str">
        <f t="shared" si="103"/>
        <v>I1619</v>
      </c>
    </row>
    <row r="6624" spans="1:6" x14ac:dyDescent="0.2">
      <c r="A6624" s="29" t="s">
        <v>16949</v>
      </c>
      <c r="B6624" s="30" t="s">
        <v>16950</v>
      </c>
      <c r="C6624" s="29" t="s">
        <v>1284</v>
      </c>
      <c r="D6624" s="31">
        <v>4.03</v>
      </c>
      <c r="F6624" s="3" t="str">
        <f t="shared" si="103"/>
        <v>I1621</v>
      </c>
    </row>
    <row r="6625" spans="1:6" x14ac:dyDescent="0.2">
      <c r="A6625" s="29" t="s">
        <v>16951</v>
      </c>
      <c r="B6625" s="30" t="s">
        <v>16952</v>
      </c>
      <c r="C6625" s="29" t="s">
        <v>255</v>
      </c>
      <c r="D6625" s="31">
        <v>132.29</v>
      </c>
      <c r="F6625" s="3" t="str">
        <f t="shared" si="103"/>
        <v>I8355</v>
      </c>
    </row>
    <row r="6626" spans="1:6" x14ac:dyDescent="0.2">
      <c r="A6626" s="29" t="s">
        <v>16953</v>
      </c>
      <c r="B6626" s="30" t="s">
        <v>16954</v>
      </c>
      <c r="C6626" s="29" t="s">
        <v>0</v>
      </c>
      <c r="D6626" s="31">
        <v>4.21</v>
      </c>
      <c r="F6626" s="3" t="str">
        <f t="shared" si="103"/>
        <v>I1627</v>
      </c>
    </row>
    <row r="6627" spans="1:6" x14ac:dyDescent="0.2">
      <c r="A6627" s="29" t="s">
        <v>16955</v>
      </c>
      <c r="B6627" s="30" t="s">
        <v>16956</v>
      </c>
      <c r="C6627" s="29" t="s">
        <v>0</v>
      </c>
      <c r="D6627" s="31">
        <v>16.13</v>
      </c>
      <c r="F6627" s="3" t="str">
        <f t="shared" si="103"/>
        <v>I1626</v>
      </c>
    </row>
    <row r="6628" spans="1:6" x14ac:dyDescent="0.2">
      <c r="A6628" s="29" t="s">
        <v>16957</v>
      </c>
      <c r="B6628" s="30" t="s">
        <v>16958</v>
      </c>
      <c r="C6628" s="29" t="s">
        <v>0</v>
      </c>
      <c r="D6628" s="31">
        <v>23.19</v>
      </c>
      <c r="F6628" s="3" t="str">
        <f t="shared" si="103"/>
        <v>I1628</v>
      </c>
    </row>
    <row r="6629" spans="1:6" x14ac:dyDescent="0.2">
      <c r="A6629" s="29" t="s">
        <v>16959</v>
      </c>
      <c r="B6629" s="30" t="s">
        <v>16960</v>
      </c>
      <c r="C6629" s="29" t="s">
        <v>0</v>
      </c>
      <c r="D6629" s="31">
        <v>25.34</v>
      </c>
      <c r="F6629" s="3" t="str">
        <f t="shared" si="103"/>
        <v>I1625</v>
      </c>
    </row>
    <row r="6630" spans="1:6" x14ac:dyDescent="0.2">
      <c r="A6630" s="29" t="s">
        <v>16961</v>
      </c>
      <c r="B6630" s="30" t="s">
        <v>16962</v>
      </c>
      <c r="C6630" s="29" t="s">
        <v>1284</v>
      </c>
      <c r="D6630" s="31">
        <v>13</v>
      </c>
      <c r="F6630" s="3" t="str">
        <f t="shared" si="103"/>
        <v>I8685</v>
      </c>
    </row>
    <row r="6631" spans="1:6" x14ac:dyDescent="0.2">
      <c r="A6631" s="29" t="s">
        <v>16963</v>
      </c>
      <c r="B6631" s="30" t="s">
        <v>16964</v>
      </c>
      <c r="C6631" s="29" t="s">
        <v>0</v>
      </c>
      <c r="D6631" s="31">
        <v>870.63</v>
      </c>
      <c r="F6631" s="3" t="str">
        <f t="shared" si="103"/>
        <v>I1629</v>
      </c>
    </row>
    <row r="6632" spans="1:6" x14ac:dyDescent="0.2">
      <c r="A6632" s="29" t="s">
        <v>16965</v>
      </c>
      <c r="B6632" s="30" t="s">
        <v>16966</v>
      </c>
      <c r="C6632" s="29" t="s">
        <v>0</v>
      </c>
      <c r="D6632" s="31">
        <v>1160.81</v>
      </c>
      <c r="F6632" s="3" t="str">
        <f t="shared" si="103"/>
        <v>I1630</v>
      </c>
    </row>
    <row r="6633" spans="1:6" x14ac:dyDescent="0.2">
      <c r="A6633" s="29" t="s">
        <v>16967</v>
      </c>
      <c r="B6633" s="30" t="s">
        <v>16968</v>
      </c>
      <c r="C6633" s="29" t="s">
        <v>0</v>
      </c>
      <c r="D6633" s="31">
        <v>1644.56</v>
      </c>
      <c r="F6633" s="3" t="str">
        <f t="shared" si="103"/>
        <v>I1631</v>
      </c>
    </row>
    <row r="6634" spans="1:6" x14ac:dyDescent="0.2">
      <c r="A6634" s="29" t="s">
        <v>16969</v>
      </c>
      <c r="B6634" s="30" t="s">
        <v>16970</v>
      </c>
      <c r="C6634" s="29" t="s">
        <v>0</v>
      </c>
      <c r="D6634" s="31">
        <v>396.52</v>
      </c>
      <c r="F6634" s="3" t="str">
        <f t="shared" si="103"/>
        <v>I1632</v>
      </c>
    </row>
    <row r="6635" spans="1:6" x14ac:dyDescent="0.2">
      <c r="A6635" s="29" t="s">
        <v>16971</v>
      </c>
      <c r="B6635" s="30" t="s">
        <v>16972</v>
      </c>
      <c r="C6635" s="29" t="s">
        <v>0</v>
      </c>
      <c r="D6635" s="31">
        <v>39.49</v>
      </c>
      <c r="F6635" s="3" t="str">
        <f t="shared" si="103"/>
        <v>I6740</v>
      </c>
    </row>
    <row r="6636" spans="1:6" x14ac:dyDescent="0.2">
      <c r="A6636" s="29" t="s">
        <v>16973</v>
      </c>
      <c r="B6636" s="30" t="s">
        <v>16974</v>
      </c>
      <c r="C6636" s="29" t="s">
        <v>1284</v>
      </c>
      <c r="D6636" s="31">
        <v>4.03</v>
      </c>
      <c r="F6636" s="3" t="str">
        <f t="shared" si="103"/>
        <v>I1633</v>
      </c>
    </row>
    <row r="6637" spans="1:6" x14ac:dyDescent="0.2">
      <c r="A6637" s="29" t="s">
        <v>16975</v>
      </c>
      <c r="B6637" s="30" t="s">
        <v>16976</v>
      </c>
      <c r="C6637" s="29" t="s">
        <v>1284</v>
      </c>
      <c r="D6637" s="31">
        <v>11.29</v>
      </c>
      <c r="F6637" s="3" t="str">
        <f t="shared" si="103"/>
        <v>I8207</v>
      </c>
    </row>
    <row r="6638" spans="1:6" x14ac:dyDescent="0.2">
      <c r="A6638" s="29" t="s">
        <v>16977</v>
      </c>
      <c r="B6638" s="30" t="s">
        <v>16978</v>
      </c>
      <c r="C6638" s="29" t="s">
        <v>26</v>
      </c>
      <c r="D6638" s="31">
        <v>1.65</v>
      </c>
      <c r="F6638" s="3" t="str">
        <f t="shared" si="103"/>
        <v>I2394</v>
      </c>
    </row>
    <row r="6639" spans="1:6" x14ac:dyDescent="0.2">
      <c r="A6639" s="29" t="s">
        <v>16979</v>
      </c>
      <c r="B6639" s="30" t="s">
        <v>16980</v>
      </c>
      <c r="C6639" s="29" t="s">
        <v>255</v>
      </c>
      <c r="D6639" s="31">
        <v>97.37</v>
      </c>
      <c r="F6639" s="3" t="str">
        <f t="shared" si="103"/>
        <v>I2400</v>
      </c>
    </row>
    <row r="6640" spans="1:6" x14ac:dyDescent="0.2">
      <c r="A6640" s="29" t="s">
        <v>16981</v>
      </c>
      <c r="B6640" s="30" t="s">
        <v>16982</v>
      </c>
      <c r="C6640" s="29" t="s">
        <v>26</v>
      </c>
      <c r="D6640" s="31">
        <v>0.32</v>
      </c>
      <c r="F6640" s="3" t="str">
        <f t="shared" si="103"/>
        <v>I1694</v>
      </c>
    </row>
    <row r="6641" spans="1:6" x14ac:dyDescent="0.2">
      <c r="A6641" s="29" t="s">
        <v>16983</v>
      </c>
      <c r="B6641" s="30" t="s">
        <v>16984</v>
      </c>
      <c r="C6641" s="29" t="s">
        <v>26</v>
      </c>
      <c r="D6641" s="31">
        <v>0.36</v>
      </c>
      <c r="F6641" s="3" t="str">
        <f t="shared" si="103"/>
        <v>I1695</v>
      </c>
    </row>
    <row r="6642" spans="1:6" x14ac:dyDescent="0.2">
      <c r="A6642" s="29" t="s">
        <v>16985</v>
      </c>
      <c r="B6642" s="30" t="s">
        <v>16986</v>
      </c>
      <c r="C6642" s="29" t="s">
        <v>255</v>
      </c>
      <c r="D6642" s="31">
        <v>162.33000000000001</v>
      </c>
      <c r="F6642" s="3" t="str">
        <f t="shared" si="103"/>
        <v>I1704</v>
      </c>
    </row>
    <row r="6643" spans="1:6" x14ac:dyDescent="0.2">
      <c r="A6643" s="29" t="s">
        <v>16987</v>
      </c>
      <c r="B6643" s="30" t="s">
        <v>16988</v>
      </c>
      <c r="C6643" s="29" t="s">
        <v>1284</v>
      </c>
      <c r="D6643" s="31">
        <v>17</v>
      </c>
      <c r="F6643" s="3" t="str">
        <f t="shared" si="103"/>
        <v>I1724</v>
      </c>
    </row>
    <row r="6644" spans="1:6" x14ac:dyDescent="0.2">
      <c r="A6644" s="29" t="s">
        <v>16989</v>
      </c>
      <c r="B6644" s="30" t="s">
        <v>16990</v>
      </c>
      <c r="C6644" s="29" t="s">
        <v>1284</v>
      </c>
      <c r="D6644" s="31">
        <v>19.03</v>
      </c>
      <c r="F6644" s="3" t="str">
        <f t="shared" si="103"/>
        <v>I2494</v>
      </c>
    </row>
    <row r="6645" spans="1:6" x14ac:dyDescent="0.2">
      <c r="A6645" s="29" t="s">
        <v>16991</v>
      </c>
      <c r="B6645" s="30" t="s">
        <v>16992</v>
      </c>
      <c r="C6645" s="29" t="s">
        <v>1284</v>
      </c>
      <c r="D6645" s="31">
        <v>15.99</v>
      </c>
      <c r="F6645" s="3" t="str">
        <f t="shared" si="103"/>
        <v>I2409</v>
      </c>
    </row>
    <row r="6646" spans="1:6" x14ac:dyDescent="0.2">
      <c r="A6646" s="29" t="s">
        <v>16993</v>
      </c>
      <c r="B6646" s="30" t="s">
        <v>16994</v>
      </c>
      <c r="C6646" s="29" t="s">
        <v>1284</v>
      </c>
      <c r="D6646" s="31">
        <v>17.23</v>
      </c>
      <c r="F6646" s="3" t="str">
        <f t="shared" si="103"/>
        <v>I2408</v>
      </c>
    </row>
    <row r="6647" spans="1:6" x14ac:dyDescent="0.2">
      <c r="A6647" s="29" t="s">
        <v>16995</v>
      </c>
      <c r="B6647" s="30" t="s">
        <v>16996</v>
      </c>
      <c r="C6647" s="29" t="s">
        <v>1284</v>
      </c>
      <c r="D6647" s="31">
        <v>15.99</v>
      </c>
      <c r="F6647" s="3" t="str">
        <f t="shared" si="103"/>
        <v>I1725</v>
      </c>
    </row>
    <row r="6648" spans="1:6" x14ac:dyDescent="0.2">
      <c r="A6648" s="29" t="s">
        <v>16997</v>
      </c>
      <c r="B6648" s="30" t="s">
        <v>16998</v>
      </c>
      <c r="C6648" s="29" t="s">
        <v>1284</v>
      </c>
      <c r="D6648" s="31">
        <v>16.75</v>
      </c>
      <c r="F6648" s="3" t="str">
        <f t="shared" si="103"/>
        <v>I1726</v>
      </c>
    </row>
    <row r="6649" spans="1:6" x14ac:dyDescent="0.2">
      <c r="A6649" s="29" t="s">
        <v>16999</v>
      </c>
      <c r="B6649" s="30" t="s">
        <v>17000</v>
      </c>
      <c r="C6649" s="29" t="s">
        <v>26</v>
      </c>
      <c r="D6649" s="31">
        <v>0.24</v>
      </c>
      <c r="F6649" s="3" t="str">
        <f t="shared" si="103"/>
        <v>I1727</v>
      </c>
    </row>
    <row r="6650" spans="1:6" x14ac:dyDescent="0.2">
      <c r="A6650" s="29" t="s">
        <v>17001</v>
      </c>
      <c r="B6650" s="30" t="s">
        <v>17002</v>
      </c>
      <c r="C6650" s="29" t="s">
        <v>1284</v>
      </c>
      <c r="D6650" s="31">
        <v>14.2</v>
      </c>
      <c r="F6650" s="3" t="str">
        <f t="shared" si="103"/>
        <v>I1728</v>
      </c>
    </row>
    <row r="6651" spans="1:6" x14ac:dyDescent="0.2">
      <c r="A6651" s="29" t="s">
        <v>17003</v>
      </c>
      <c r="B6651" s="30" t="s">
        <v>17004</v>
      </c>
      <c r="C6651" s="29" t="s">
        <v>1284</v>
      </c>
      <c r="D6651" s="31">
        <v>14.2</v>
      </c>
      <c r="F6651" s="3" t="str">
        <f t="shared" si="103"/>
        <v>I2410</v>
      </c>
    </row>
    <row r="6652" spans="1:6" x14ac:dyDescent="0.2">
      <c r="A6652" s="29" t="s">
        <v>17005</v>
      </c>
      <c r="B6652" s="30" t="s">
        <v>17006</v>
      </c>
      <c r="C6652" s="29" t="s">
        <v>26</v>
      </c>
      <c r="D6652" s="31">
        <v>0.08</v>
      </c>
      <c r="F6652" s="3" t="str">
        <f t="shared" si="103"/>
        <v>I1729</v>
      </c>
    </row>
    <row r="6653" spans="1:6" x14ac:dyDescent="0.2">
      <c r="A6653" s="29" t="s">
        <v>17007</v>
      </c>
      <c r="B6653" s="30" t="s">
        <v>17008</v>
      </c>
      <c r="C6653" s="29" t="s">
        <v>1284</v>
      </c>
      <c r="D6653" s="31">
        <v>14.44</v>
      </c>
      <c r="F6653" s="3" t="str">
        <f t="shared" si="103"/>
        <v>I1730</v>
      </c>
    </row>
    <row r="6654" spans="1:6" x14ac:dyDescent="0.2">
      <c r="A6654" s="29" t="s">
        <v>17009</v>
      </c>
      <c r="B6654" s="30" t="s">
        <v>17010</v>
      </c>
      <c r="C6654" s="29" t="s">
        <v>1284</v>
      </c>
      <c r="D6654" s="31">
        <v>14.63</v>
      </c>
      <c r="F6654" s="3" t="str">
        <f t="shared" si="103"/>
        <v>I1731</v>
      </c>
    </row>
    <row r="6655" spans="1:6" x14ac:dyDescent="0.2">
      <c r="A6655" s="29" t="s">
        <v>17011</v>
      </c>
      <c r="B6655" s="30" t="s">
        <v>17012</v>
      </c>
      <c r="C6655" s="29" t="s">
        <v>1284</v>
      </c>
      <c r="D6655" s="31">
        <v>14.55</v>
      </c>
      <c r="F6655" s="3" t="str">
        <f t="shared" si="103"/>
        <v>I1732</v>
      </c>
    </row>
    <row r="6656" spans="1:6" x14ac:dyDescent="0.2">
      <c r="A6656" s="29" t="s">
        <v>17013</v>
      </c>
      <c r="B6656" s="30" t="s">
        <v>17014</v>
      </c>
      <c r="C6656" s="29" t="s">
        <v>26</v>
      </c>
      <c r="D6656" s="31">
        <v>6.73</v>
      </c>
      <c r="F6656" s="3" t="str">
        <f t="shared" si="103"/>
        <v>I1742</v>
      </c>
    </row>
    <row r="6657" spans="1:6" x14ac:dyDescent="0.2">
      <c r="A6657" s="29" t="s">
        <v>17015</v>
      </c>
      <c r="B6657" s="30" t="s">
        <v>17016</v>
      </c>
      <c r="C6657" s="29" t="s">
        <v>26</v>
      </c>
      <c r="D6657" s="31">
        <v>0.14000000000000001</v>
      </c>
      <c r="F6657" s="3" t="str">
        <f t="shared" si="103"/>
        <v>I1783</v>
      </c>
    </row>
    <row r="6658" spans="1:6" x14ac:dyDescent="0.2">
      <c r="A6658" s="29" t="s">
        <v>17017</v>
      </c>
      <c r="B6658" s="30" t="s">
        <v>17018</v>
      </c>
      <c r="C6658" s="29" t="s">
        <v>1284</v>
      </c>
      <c r="D6658" s="31">
        <v>63.07</v>
      </c>
      <c r="F6658" s="3" t="str">
        <f t="shared" ref="F6658:F6721" si="104">A6658</f>
        <v>I1784</v>
      </c>
    </row>
    <row r="6659" spans="1:6" x14ac:dyDescent="0.2">
      <c r="A6659" s="29" t="s">
        <v>17019</v>
      </c>
      <c r="B6659" s="30" t="s">
        <v>17020</v>
      </c>
      <c r="C6659" s="29" t="s">
        <v>255</v>
      </c>
      <c r="D6659" s="31">
        <v>51.67</v>
      </c>
      <c r="F6659" s="3" t="str">
        <f t="shared" si="104"/>
        <v>I2436</v>
      </c>
    </row>
    <row r="6660" spans="1:6" x14ac:dyDescent="0.2">
      <c r="A6660" s="29" t="s">
        <v>17021</v>
      </c>
      <c r="B6660" s="30" t="s">
        <v>17022</v>
      </c>
      <c r="C6660" s="29" t="s">
        <v>255</v>
      </c>
      <c r="D6660" s="31">
        <v>23.87</v>
      </c>
      <c r="F6660" s="3" t="str">
        <f t="shared" si="104"/>
        <v>I2040</v>
      </c>
    </row>
    <row r="6661" spans="1:6" x14ac:dyDescent="0.2">
      <c r="A6661" s="29" t="s">
        <v>17023</v>
      </c>
      <c r="B6661" s="30" t="s">
        <v>12539</v>
      </c>
      <c r="C6661" s="29" t="s">
        <v>0</v>
      </c>
      <c r="D6661" s="31">
        <v>4.51</v>
      </c>
      <c r="F6661" s="3" t="str">
        <f t="shared" si="104"/>
        <v>I6037</v>
      </c>
    </row>
    <row r="6662" spans="1:6" ht="15.75" customHeight="1" x14ac:dyDescent="0.2">
      <c r="A6662" s="32" t="s">
        <v>17024</v>
      </c>
      <c r="B6662" s="33"/>
      <c r="C6662" s="32">
        <v>0</v>
      </c>
      <c r="D6662" s="34">
        <v>0</v>
      </c>
      <c r="F6662" s="3" t="str">
        <f t="shared" si="104"/>
        <v>COTAÇÃO / GRUPO GERADOR</v>
      </c>
    </row>
    <row r="6663" spans="1:6" ht="25.5" x14ac:dyDescent="0.2">
      <c r="A6663" s="26" t="s">
        <v>14985</v>
      </c>
      <c r="B6663" s="27" t="s">
        <v>14986</v>
      </c>
      <c r="C6663" s="26" t="s">
        <v>14987</v>
      </c>
      <c r="D6663" s="28" t="e">
        <v>#VALUE!</v>
      </c>
      <c r="F6663" s="3" t="str">
        <f t="shared" si="104"/>
        <v>Insumo</v>
      </c>
    </row>
    <row r="6664" spans="1:6" ht="33.75" x14ac:dyDescent="0.2">
      <c r="A6664" s="29" t="s">
        <v>17025</v>
      </c>
      <c r="B6664" s="30" t="s">
        <v>17026</v>
      </c>
      <c r="C6664" s="29" t="s">
        <v>26</v>
      </c>
      <c r="D6664" s="31">
        <v>83200</v>
      </c>
      <c r="F6664" s="3" t="str">
        <f t="shared" si="104"/>
        <v>I6728</v>
      </c>
    </row>
    <row r="6665" spans="1:6" ht="33.75" x14ac:dyDescent="0.2">
      <c r="A6665" s="29" t="s">
        <v>17027</v>
      </c>
      <c r="B6665" s="30" t="s">
        <v>17028</v>
      </c>
      <c r="C6665" s="29" t="s">
        <v>26</v>
      </c>
      <c r="D6665" s="31">
        <v>96720</v>
      </c>
      <c r="F6665" s="3" t="str">
        <f t="shared" si="104"/>
        <v>I1237</v>
      </c>
    </row>
    <row r="6666" spans="1:6" ht="22.5" x14ac:dyDescent="0.2">
      <c r="A6666" s="29" t="s">
        <v>17029</v>
      </c>
      <c r="B6666" s="30" t="s">
        <v>17030</v>
      </c>
      <c r="C6666" s="29" t="s">
        <v>26</v>
      </c>
      <c r="D6666" s="31">
        <v>124800</v>
      </c>
      <c r="F6666" s="3" t="str">
        <f t="shared" si="104"/>
        <v>I6729</v>
      </c>
    </row>
    <row r="6667" spans="1:6" ht="22.5" x14ac:dyDescent="0.2">
      <c r="A6667" s="29" t="s">
        <v>17031</v>
      </c>
      <c r="B6667" s="30" t="s">
        <v>17032</v>
      </c>
      <c r="C6667" s="29" t="s">
        <v>26</v>
      </c>
      <c r="D6667" s="31">
        <v>141440</v>
      </c>
      <c r="F6667" s="3" t="str">
        <f t="shared" si="104"/>
        <v>I1234</v>
      </c>
    </row>
    <row r="6668" spans="1:6" ht="22.5" x14ac:dyDescent="0.2">
      <c r="A6668" s="29" t="s">
        <v>17033</v>
      </c>
      <c r="B6668" s="30" t="s">
        <v>17034</v>
      </c>
      <c r="C6668" s="29" t="s">
        <v>26</v>
      </c>
      <c r="D6668" s="31">
        <v>164320</v>
      </c>
      <c r="F6668" s="3" t="str">
        <f t="shared" si="104"/>
        <v>I6731</v>
      </c>
    </row>
    <row r="6669" spans="1:6" ht="22.5" x14ac:dyDescent="0.2">
      <c r="A6669" s="29" t="s">
        <v>17035</v>
      </c>
      <c r="B6669" s="30" t="s">
        <v>17036</v>
      </c>
      <c r="C6669" s="29" t="s">
        <v>26</v>
      </c>
      <c r="D6669" s="31">
        <v>182686.43</v>
      </c>
      <c r="F6669" s="3" t="str">
        <f t="shared" si="104"/>
        <v>I7983</v>
      </c>
    </row>
    <row r="6670" spans="1:6" ht="22.5" x14ac:dyDescent="0.2">
      <c r="A6670" s="29" t="s">
        <v>17037</v>
      </c>
      <c r="B6670" s="30" t="s">
        <v>17038</v>
      </c>
      <c r="C6670" s="29" t="s">
        <v>26</v>
      </c>
      <c r="D6670" s="31">
        <v>209809.71</v>
      </c>
      <c r="F6670" s="3" t="str">
        <f t="shared" si="104"/>
        <v>I6732</v>
      </c>
    </row>
    <row r="6671" spans="1:6" ht="22.5" x14ac:dyDescent="0.2">
      <c r="A6671" s="29" t="s">
        <v>17039</v>
      </c>
      <c r="B6671" s="30" t="s">
        <v>17040</v>
      </c>
      <c r="C6671" s="29" t="s">
        <v>26</v>
      </c>
      <c r="D6671" s="31">
        <v>213918.9</v>
      </c>
      <c r="F6671" s="3" t="str">
        <f t="shared" si="104"/>
        <v>I1236</v>
      </c>
    </row>
    <row r="6672" spans="1:6" ht="22.5" x14ac:dyDescent="0.2">
      <c r="A6672" s="29" t="s">
        <v>17041</v>
      </c>
      <c r="B6672" s="30" t="s">
        <v>17042</v>
      </c>
      <c r="C6672" s="29" t="s">
        <v>26</v>
      </c>
      <c r="D6672" s="31">
        <v>237635.37</v>
      </c>
      <c r="F6672" s="3" t="str">
        <f t="shared" si="104"/>
        <v>I6734</v>
      </c>
    </row>
    <row r="6673" spans="1:6" ht="22.5" x14ac:dyDescent="0.2">
      <c r="A6673" s="29" t="s">
        <v>17043</v>
      </c>
      <c r="B6673" s="30" t="s">
        <v>17044</v>
      </c>
      <c r="C6673" s="29" t="s">
        <v>26</v>
      </c>
      <c r="D6673" s="31">
        <v>263005.44</v>
      </c>
      <c r="F6673" s="3" t="str">
        <f t="shared" si="104"/>
        <v>I6735</v>
      </c>
    </row>
    <row r="6674" spans="1:6" ht="22.5" x14ac:dyDescent="0.2">
      <c r="A6674" s="29" t="s">
        <v>17045</v>
      </c>
      <c r="B6674" s="30" t="s">
        <v>17046</v>
      </c>
      <c r="C6674" s="29" t="s">
        <v>26</v>
      </c>
      <c r="D6674" s="31">
        <v>298462.5</v>
      </c>
      <c r="F6674" s="3" t="str">
        <f t="shared" si="104"/>
        <v>I7984</v>
      </c>
    </row>
    <row r="6675" spans="1:6" ht="22.5" x14ac:dyDescent="0.2">
      <c r="A6675" s="29" t="s">
        <v>17047</v>
      </c>
      <c r="B6675" s="30" t="s">
        <v>17048</v>
      </c>
      <c r="C6675" s="29" t="s">
        <v>26</v>
      </c>
      <c r="D6675" s="31">
        <v>312588.07</v>
      </c>
      <c r="F6675" s="3" t="str">
        <f t="shared" si="104"/>
        <v>I7547</v>
      </c>
    </row>
    <row r="6676" spans="1:6" ht="22.5" x14ac:dyDescent="0.2">
      <c r="A6676" s="29" t="s">
        <v>17049</v>
      </c>
      <c r="B6676" s="30" t="s">
        <v>17050</v>
      </c>
      <c r="C6676" s="29" t="s">
        <v>26</v>
      </c>
      <c r="D6676" s="31">
        <v>417496.42</v>
      </c>
      <c r="F6676" s="3" t="str">
        <f t="shared" si="104"/>
        <v>I6736</v>
      </c>
    </row>
    <row r="6677" spans="1:6" ht="22.5" x14ac:dyDescent="0.2">
      <c r="A6677" s="29" t="s">
        <v>17051</v>
      </c>
      <c r="B6677" s="30" t="s">
        <v>17052</v>
      </c>
      <c r="C6677" s="29" t="s">
        <v>26</v>
      </c>
      <c r="D6677" s="31">
        <v>655200</v>
      </c>
      <c r="F6677" s="3" t="str">
        <f t="shared" si="104"/>
        <v>I7888</v>
      </c>
    </row>
    <row r="6678" spans="1:6" ht="22.5" x14ac:dyDescent="0.2">
      <c r="A6678" s="29" t="s">
        <v>17053</v>
      </c>
      <c r="B6678" s="30" t="s">
        <v>17054</v>
      </c>
      <c r="C6678" s="29" t="s">
        <v>26</v>
      </c>
      <c r="D6678" s="31">
        <v>794459.41</v>
      </c>
      <c r="F6678" s="3" t="str">
        <f t="shared" si="104"/>
        <v>I7889</v>
      </c>
    </row>
    <row r="6679" spans="1:6" ht="33.75" x14ac:dyDescent="0.2">
      <c r="A6679" s="29" t="s">
        <v>17055</v>
      </c>
      <c r="B6679" s="30" t="s">
        <v>17056</v>
      </c>
      <c r="C6679" s="29" t="s">
        <v>26</v>
      </c>
      <c r="D6679" s="31">
        <v>111280</v>
      </c>
      <c r="F6679" s="3" t="str">
        <f t="shared" si="104"/>
        <v>I1233</v>
      </c>
    </row>
    <row r="6680" spans="1:6" ht="22.5" x14ac:dyDescent="0.2">
      <c r="A6680" s="29" t="s">
        <v>17057</v>
      </c>
      <c r="B6680" s="30" t="s">
        <v>17058</v>
      </c>
      <c r="C6680" s="29" t="s">
        <v>26</v>
      </c>
      <c r="D6680" s="31">
        <v>832683.09</v>
      </c>
      <c r="F6680" s="3" t="str">
        <f t="shared" si="104"/>
        <v>I7985</v>
      </c>
    </row>
    <row r="6681" spans="1:6" ht="15.75" customHeight="1" x14ac:dyDescent="0.2">
      <c r="A6681" s="32" t="s">
        <v>17059</v>
      </c>
      <c r="B6681" s="33"/>
      <c r="C6681" s="32">
        <v>0</v>
      </c>
      <c r="D6681" s="34">
        <v>0</v>
      </c>
      <c r="F6681" s="3" t="str">
        <f t="shared" si="104"/>
        <v>COTAÇÃO / IMPERMEABILIZANTE/ISOLAMENTO/JUNTA</v>
      </c>
    </row>
    <row r="6682" spans="1:6" ht="25.5" x14ac:dyDescent="0.2">
      <c r="A6682" s="26" t="s">
        <v>14985</v>
      </c>
      <c r="B6682" s="27" t="s">
        <v>14986</v>
      </c>
      <c r="C6682" s="26" t="s">
        <v>14987</v>
      </c>
      <c r="D6682" s="28" t="e">
        <v>#VALUE!</v>
      </c>
      <c r="F6682" s="3" t="str">
        <f t="shared" si="104"/>
        <v>Insumo</v>
      </c>
    </row>
    <row r="6683" spans="1:6" x14ac:dyDescent="0.2">
      <c r="A6683" s="29" t="s">
        <v>17060</v>
      </c>
      <c r="B6683" s="30" t="s">
        <v>17061</v>
      </c>
      <c r="C6683" s="29" t="s">
        <v>1284</v>
      </c>
      <c r="D6683" s="31">
        <v>129.33000000000001</v>
      </c>
      <c r="F6683" s="3" t="str">
        <f t="shared" si="104"/>
        <v>I9495</v>
      </c>
    </row>
    <row r="6684" spans="1:6" x14ac:dyDescent="0.2">
      <c r="A6684" s="29" t="s">
        <v>17062</v>
      </c>
      <c r="B6684" s="30" t="s">
        <v>17063</v>
      </c>
      <c r="C6684" s="29" t="s">
        <v>9</v>
      </c>
      <c r="D6684" s="31">
        <v>60.94</v>
      </c>
      <c r="F6684" s="3" t="str">
        <f t="shared" si="104"/>
        <v>I0023</v>
      </c>
    </row>
    <row r="6685" spans="1:6" x14ac:dyDescent="0.2">
      <c r="A6685" s="29" t="s">
        <v>17064</v>
      </c>
      <c r="B6685" s="30" t="s">
        <v>17065</v>
      </c>
      <c r="C6685" s="29" t="s">
        <v>1284</v>
      </c>
      <c r="D6685" s="31">
        <v>39.450000000000003</v>
      </c>
      <c r="F6685" s="3" t="str">
        <f t="shared" si="104"/>
        <v>I0024</v>
      </c>
    </row>
    <row r="6686" spans="1:6" x14ac:dyDescent="0.2">
      <c r="A6686" s="29" t="s">
        <v>17066</v>
      </c>
      <c r="B6686" s="30" t="s">
        <v>17067</v>
      </c>
      <c r="C6686" s="29" t="s">
        <v>9</v>
      </c>
      <c r="D6686" s="31">
        <v>13.15</v>
      </c>
      <c r="F6686" s="3" t="str">
        <f t="shared" si="104"/>
        <v>I0025</v>
      </c>
    </row>
    <row r="6687" spans="1:6" ht="22.5" x14ac:dyDescent="0.2">
      <c r="A6687" s="29" t="s">
        <v>17068</v>
      </c>
      <c r="B6687" s="30" t="s">
        <v>17069</v>
      </c>
      <c r="C6687" s="29" t="s">
        <v>255</v>
      </c>
      <c r="D6687" s="31">
        <v>23.86</v>
      </c>
      <c r="F6687" s="3" t="str">
        <f t="shared" si="104"/>
        <v>I6787</v>
      </c>
    </row>
    <row r="6688" spans="1:6" x14ac:dyDescent="0.2">
      <c r="A6688" s="29" t="s">
        <v>17070</v>
      </c>
      <c r="B6688" s="30" t="s">
        <v>17071</v>
      </c>
      <c r="C6688" s="29" t="s">
        <v>271</v>
      </c>
      <c r="D6688" s="31">
        <v>599.88</v>
      </c>
      <c r="F6688" s="3" t="str">
        <f t="shared" si="104"/>
        <v>I0120</v>
      </c>
    </row>
    <row r="6689" spans="1:6" x14ac:dyDescent="0.2">
      <c r="A6689" s="29" t="s">
        <v>17072</v>
      </c>
      <c r="B6689" s="30" t="s">
        <v>17073</v>
      </c>
      <c r="C6689" s="29" t="s">
        <v>1284</v>
      </c>
      <c r="D6689" s="31">
        <v>4.6900000000000004</v>
      </c>
      <c r="F6689" s="3" t="str">
        <f t="shared" si="104"/>
        <v>I0146</v>
      </c>
    </row>
    <row r="6690" spans="1:6" x14ac:dyDescent="0.2">
      <c r="A6690" s="29" t="s">
        <v>17074</v>
      </c>
      <c r="B6690" s="30" t="s">
        <v>17075</v>
      </c>
      <c r="C6690" s="29" t="s">
        <v>1284</v>
      </c>
      <c r="D6690" s="31">
        <v>9.02</v>
      </c>
      <c r="F6690" s="3" t="str">
        <f t="shared" si="104"/>
        <v>I0216</v>
      </c>
    </row>
    <row r="6691" spans="1:6" x14ac:dyDescent="0.2">
      <c r="A6691" s="29" t="s">
        <v>17076</v>
      </c>
      <c r="B6691" s="30" t="s">
        <v>17077</v>
      </c>
      <c r="C6691" s="29" t="s">
        <v>0</v>
      </c>
      <c r="D6691" s="31">
        <v>10.3</v>
      </c>
      <c r="F6691" s="3" t="str">
        <f t="shared" si="104"/>
        <v>I6784</v>
      </c>
    </row>
    <row r="6692" spans="1:6" x14ac:dyDescent="0.2">
      <c r="A6692" s="29" t="s">
        <v>17078</v>
      </c>
      <c r="B6692" s="30" t="s">
        <v>17079</v>
      </c>
      <c r="C6692" s="29" t="s">
        <v>1284</v>
      </c>
      <c r="D6692" s="31">
        <v>4.62</v>
      </c>
      <c r="F6692" s="3" t="str">
        <f t="shared" si="104"/>
        <v>I0801</v>
      </c>
    </row>
    <row r="6693" spans="1:6" x14ac:dyDescent="0.2">
      <c r="A6693" s="29" t="s">
        <v>17080</v>
      </c>
      <c r="B6693" s="30" t="s">
        <v>17081</v>
      </c>
      <c r="C6693" s="29" t="s">
        <v>1284</v>
      </c>
      <c r="D6693" s="31">
        <v>10.93</v>
      </c>
      <c r="F6693" s="3" t="str">
        <f t="shared" si="104"/>
        <v>I0802</v>
      </c>
    </row>
    <row r="6694" spans="1:6" x14ac:dyDescent="0.2">
      <c r="A6694" s="29" t="s">
        <v>17082</v>
      </c>
      <c r="B6694" s="30" t="s">
        <v>17083</v>
      </c>
      <c r="C6694" s="29" t="s">
        <v>1284</v>
      </c>
      <c r="D6694" s="31">
        <v>12.11</v>
      </c>
      <c r="F6694" s="3" t="str">
        <f t="shared" si="104"/>
        <v>I0803</v>
      </c>
    </row>
    <row r="6695" spans="1:6" x14ac:dyDescent="0.2">
      <c r="A6695" s="29" t="s">
        <v>17084</v>
      </c>
      <c r="B6695" s="30" t="s">
        <v>17085</v>
      </c>
      <c r="C6695" s="29" t="s">
        <v>1284</v>
      </c>
      <c r="D6695" s="31">
        <v>20.7</v>
      </c>
      <c r="F6695" s="3" t="str">
        <f t="shared" si="104"/>
        <v>I0804</v>
      </c>
    </row>
    <row r="6696" spans="1:6" x14ac:dyDescent="0.2">
      <c r="A6696" s="29" t="s">
        <v>17086</v>
      </c>
      <c r="B6696" s="30" t="s">
        <v>17087</v>
      </c>
      <c r="C6696" s="29" t="s">
        <v>0</v>
      </c>
      <c r="D6696" s="31">
        <v>2.08</v>
      </c>
      <c r="F6696" s="3" t="str">
        <f t="shared" si="104"/>
        <v>I6788</v>
      </c>
    </row>
    <row r="6697" spans="1:6" x14ac:dyDescent="0.2">
      <c r="A6697" s="29" t="s">
        <v>17088</v>
      </c>
      <c r="B6697" s="30" t="s">
        <v>17089</v>
      </c>
      <c r="C6697" s="29" t="s">
        <v>1284</v>
      </c>
      <c r="D6697" s="31">
        <v>17.72</v>
      </c>
      <c r="F6697" s="3" t="str">
        <f t="shared" si="104"/>
        <v>I1089</v>
      </c>
    </row>
    <row r="6698" spans="1:6" x14ac:dyDescent="0.2">
      <c r="A6698" s="29" t="s">
        <v>17090</v>
      </c>
      <c r="B6698" s="30" t="s">
        <v>17091</v>
      </c>
      <c r="C6698" s="29" t="s">
        <v>1284</v>
      </c>
      <c r="D6698" s="31">
        <v>18.18</v>
      </c>
      <c r="F6698" s="3" t="str">
        <f t="shared" si="104"/>
        <v>I1090</v>
      </c>
    </row>
    <row r="6699" spans="1:6" x14ac:dyDescent="0.2">
      <c r="A6699" s="29" t="s">
        <v>17092</v>
      </c>
      <c r="B6699" s="30" t="s">
        <v>17093</v>
      </c>
      <c r="C6699" s="29" t="s">
        <v>255</v>
      </c>
      <c r="D6699" s="31">
        <v>11.16</v>
      </c>
      <c r="F6699" s="3" t="str">
        <f t="shared" si="104"/>
        <v>I6786</v>
      </c>
    </row>
    <row r="6700" spans="1:6" x14ac:dyDescent="0.2">
      <c r="A6700" s="29" t="s">
        <v>17094</v>
      </c>
      <c r="B6700" s="30" t="s">
        <v>17095</v>
      </c>
      <c r="C6700" s="29" t="s">
        <v>0</v>
      </c>
      <c r="D6700" s="31">
        <v>3.83</v>
      </c>
      <c r="F6700" s="3" t="str">
        <f t="shared" si="104"/>
        <v>I1179</v>
      </c>
    </row>
    <row r="6701" spans="1:6" x14ac:dyDescent="0.2">
      <c r="A6701" s="29" t="s">
        <v>17096</v>
      </c>
      <c r="B6701" s="30" t="s">
        <v>17097</v>
      </c>
      <c r="C6701" s="29" t="s">
        <v>1284</v>
      </c>
      <c r="D6701" s="31">
        <v>15</v>
      </c>
      <c r="F6701" s="3" t="str">
        <f t="shared" si="104"/>
        <v>I6229</v>
      </c>
    </row>
    <row r="6702" spans="1:6" x14ac:dyDescent="0.2">
      <c r="A6702" s="29" t="s">
        <v>17098</v>
      </c>
      <c r="B6702" s="30" t="s">
        <v>17099</v>
      </c>
      <c r="C6702" s="29" t="s">
        <v>1284</v>
      </c>
      <c r="D6702" s="31">
        <v>7</v>
      </c>
      <c r="F6702" s="3" t="str">
        <f t="shared" si="104"/>
        <v>I1249</v>
      </c>
    </row>
    <row r="6703" spans="1:6" x14ac:dyDescent="0.2">
      <c r="A6703" s="29" t="s">
        <v>17100</v>
      </c>
      <c r="B6703" s="30" t="s">
        <v>17101</v>
      </c>
      <c r="C6703" s="29" t="s">
        <v>1284</v>
      </c>
      <c r="D6703" s="31">
        <v>3.57</v>
      </c>
      <c r="F6703" s="3" t="str">
        <f t="shared" si="104"/>
        <v>I1250</v>
      </c>
    </row>
    <row r="6704" spans="1:6" x14ac:dyDescent="0.2">
      <c r="A6704" s="29" t="s">
        <v>17102</v>
      </c>
      <c r="B6704" s="30" t="s">
        <v>17103</v>
      </c>
      <c r="C6704" s="29" t="s">
        <v>0</v>
      </c>
      <c r="D6704" s="31">
        <v>1.64</v>
      </c>
      <c r="F6704" s="3" t="str">
        <f t="shared" si="104"/>
        <v>I1316</v>
      </c>
    </row>
    <row r="6705" spans="1:6" x14ac:dyDescent="0.2">
      <c r="A6705" s="29" t="s">
        <v>17104</v>
      </c>
      <c r="B6705" s="30" t="s">
        <v>17105</v>
      </c>
      <c r="C6705" s="29" t="s">
        <v>0</v>
      </c>
      <c r="D6705" s="31">
        <v>1.1200000000000001</v>
      </c>
      <c r="F6705" s="3" t="str">
        <f t="shared" si="104"/>
        <v>I1317</v>
      </c>
    </row>
    <row r="6706" spans="1:6" x14ac:dyDescent="0.2">
      <c r="A6706" s="29" t="s">
        <v>17106</v>
      </c>
      <c r="B6706" s="30" t="s">
        <v>17107</v>
      </c>
      <c r="C6706" s="29" t="s">
        <v>255</v>
      </c>
      <c r="D6706" s="31">
        <v>31.9</v>
      </c>
      <c r="F6706" s="3" t="str">
        <f t="shared" si="104"/>
        <v>I1501</v>
      </c>
    </row>
    <row r="6707" spans="1:6" x14ac:dyDescent="0.2">
      <c r="A6707" s="29" t="s">
        <v>17108</v>
      </c>
      <c r="B6707" s="30" t="s">
        <v>17109</v>
      </c>
      <c r="C6707" s="29" t="s">
        <v>255</v>
      </c>
      <c r="D6707" s="31">
        <v>71.650000000000006</v>
      </c>
      <c r="F6707" s="3" t="str">
        <f t="shared" si="104"/>
        <v>I1503</v>
      </c>
    </row>
    <row r="6708" spans="1:6" x14ac:dyDescent="0.2">
      <c r="A6708" s="29" t="s">
        <v>17110</v>
      </c>
      <c r="B6708" s="30" t="s">
        <v>17111</v>
      </c>
      <c r="C6708" s="29" t="s">
        <v>1284</v>
      </c>
      <c r="D6708" s="31">
        <v>38.24</v>
      </c>
      <c r="F6708" s="3" t="str">
        <f t="shared" si="104"/>
        <v>I1517</v>
      </c>
    </row>
    <row r="6709" spans="1:6" x14ac:dyDescent="0.2">
      <c r="A6709" s="29" t="s">
        <v>17112</v>
      </c>
      <c r="B6709" s="30" t="s">
        <v>17113</v>
      </c>
      <c r="C6709" s="29" t="s">
        <v>1284</v>
      </c>
      <c r="D6709" s="31">
        <v>6.7</v>
      </c>
      <c r="F6709" s="3" t="str">
        <f t="shared" si="104"/>
        <v>I1520</v>
      </c>
    </row>
    <row r="6710" spans="1:6" x14ac:dyDescent="0.2">
      <c r="A6710" s="29" t="s">
        <v>17114</v>
      </c>
      <c r="B6710" s="30" t="s">
        <v>17115</v>
      </c>
      <c r="C6710" s="29" t="s">
        <v>1284</v>
      </c>
      <c r="D6710" s="31">
        <v>19.100000000000001</v>
      </c>
      <c r="F6710" s="3" t="str">
        <f t="shared" si="104"/>
        <v>I1521</v>
      </c>
    </row>
    <row r="6711" spans="1:6" x14ac:dyDescent="0.2">
      <c r="A6711" s="29" t="s">
        <v>17116</v>
      </c>
      <c r="B6711" s="30" t="s">
        <v>17117</v>
      </c>
      <c r="C6711" s="29" t="s">
        <v>1284</v>
      </c>
      <c r="D6711" s="31">
        <v>6.23</v>
      </c>
      <c r="F6711" s="3" t="str">
        <f t="shared" si="104"/>
        <v>I1522</v>
      </c>
    </row>
    <row r="6712" spans="1:6" x14ac:dyDescent="0.2">
      <c r="A6712" s="29" t="s">
        <v>17118</v>
      </c>
      <c r="B6712" s="30" t="s">
        <v>7774</v>
      </c>
      <c r="C6712" s="29" t="s">
        <v>0</v>
      </c>
      <c r="D6712" s="31">
        <v>5.85</v>
      </c>
      <c r="F6712" s="3" t="str">
        <f t="shared" si="104"/>
        <v>I1538</v>
      </c>
    </row>
    <row r="6713" spans="1:6" x14ac:dyDescent="0.2">
      <c r="A6713" s="29" t="s">
        <v>17119</v>
      </c>
      <c r="B6713" s="30" t="s">
        <v>17120</v>
      </c>
      <c r="C6713" s="29" t="s">
        <v>255</v>
      </c>
      <c r="D6713" s="31">
        <v>4.9800000000000004</v>
      </c>
      <c r="F6713" s="3" t="str">
        <f t="shared" si="104"/>
        <v>I1562</v>
      </c>
    </row>
    <row r="6714" spans="1:6" x14ac:dyDescent="0.2">
      <c r="A6714" s="29" t="s">
        <v>17121</v>
      </c>
      <c r="B6714" s="30" t="s">
        <v>17122</v>
      </c>
      <c r="C6714" s="29" t="s">
        <v>26</v>
      </c>
      <c r="D6714" s="31">
        <v>0.32</v>
      </c>
      <c r="F6714" s="3" t="str">
        <f t="shared" si="104"/>
        <v>I6789</v>
      </c>
    </row>
    <row r="6715" spans="1:6" x14ac:dyDescent="0.2">
      <c r="A6715" s="29" t="s">
        <v>17123</v>
      </c>
      <c r="B6715" s="30" t="s">
        <v>17124</v>
      </c>
      <c r="C6715" s="29" t="s">
        <v>1284</v>
      </c>
      <c r="D6715" s="31">
        <v>7</v>
      </c>
      <c r="F6715" s="3" t="str">
        <f t="shared" si="104"/>
        <v>I2421</v>
      </c>
    </row>
    <row r="6716" spans="1:6" x14ac:dyDescent="0.2">
      <c r="A6716" s="29" t="s">
        <v>17125</v>
      </c>
      <c r="B6716" s="30" t="s">
        <v>17126</v>
      </c>
      <c r="C6716" s="29" t="s">
        <v>1284</v>
      </c>
      <c r="D6716" s="31">
        <v>114.24</v>
      </c>
      <c r="F6716" s="3" t="str">
        <f t="shared" si="104"/>
        <v>I2422</v>
      </c>
    </row>
    <row r="6717" spans="1:6" x14ac:dyDescent="0.2">
      <c r="A6717" s="29" t="s">
        <v>17127</v>
      </c>
      <c r="B6717" s="30" t="s">
        <v>17128</v>
      </c>
      <c r="C6717" s="29" t="s">
        <v>9</v>
      </c>
      <c r="D6717" s="31">
        <v>31.13</v>
      </c>
      <c r="F6717" s="3" t="str">
        <f t="shared" si="104"/>
        <v>I1866</v>
      </c>
    </row>
    <row r="6718" spans="1:6" x14ac:dyDescent="0.2">
      <c r="A6718" s="29" t="s">
        <v>17129</v>
      </c>
      <c r="B6718" s="30" t="s">
        <v>17130</v>
      </c>
      <c r="C6718" s="29" t="s">
        <v>255</v>
      </c>
      <c r="D6718" s="31">
        <v>5.91</v>
      </c>
      <c r="F6718" s="3" t="str">
        <f t="shared" si="104"/>
        <v>I2038</v>
      </c>
    </row>
    <row r="6719" spans="1:6" x14ac:dyDescent="0.2">
      <c r="A6719" s="29" t="s">
        <v>17131</v>
      </c>
      <c r="B6719" s="30" t="s">
        <v>17132</v>
      </c>
      <c r="C6719" s="29" t="s">
        <v>271</v>
      </c>
      <c r="D6719" s="31">
        <v>624.63</v>
      </c>
      <c r="F6719" s="3" t="str">
        <f t="shared" si="104"/>
        <v>I2247</v>
      </c>
    </row>
    <row r="6720" spans="1:6" x14ac:dyDescent="0.2">
      <c r="A6720" s="29" t="s">
        <v>17133</v>
      </c>
      <c r="B6720" s="30" t="s">
        <v>17134</v>
      </c>
      <c r="C6720" s="29" t="s">
        <v>255</v>
      </c>
      <c r="D6720" s="31">
        <v>6.67</v>
      </c>
      <c r="F6720" s="3" t="str">
        <f t="shared" si="104"/>
        <v>I2251</v>
      </c>
    </row>
    <row r="6721" spans="1:6" x14ac:dyDescent="0.2">
      <c r="A6721" s="29" t="s">
        <v>17135</v>
      </c>
      <c r="B6721" s="30" t="s">
        <v>17136</v>
      </c>
      <c r="C6721" s="29" t="s">
        <v>1284</v>
      </c>
      <c r="D6721" s="31">
        <v>3.44</v>
      </c>
      <c r="F6721" s="3" t="str">
        <f t="shared" si="104"/>
        <v>I7891</v>
      </c>
    </row>
    <row r="6722" spans="1:6" x14ac:dyDescent="0.2">
      <c r="A6722" s="29" t="s">
        <v>17137</v>
      </c>
      <c r="B6722" s="30" t="s">
        <v>17138</v>
      </c>
      <c r="C6722" s="29" t="s">
        <v>255</v>
      </c>
      <c r="D6722" s="31">
        <v>11.16</v>
      </c>
      <c r="F6722" s="3" t="str">
        <f t="shared" ref="F6722:F6785" si="105">A6722</f>
        <v>I2292</v>
      </c>
    </row>
    <row r="6723" spans="1:6" ht="15.75" customHeight="1" x14ac:dyDescent="0.2">
      <c r="A6723" s="32" t="s">
        <v>17139</v>
      </c>
      <c r="B6723" s="33"/>
      <c r="C6723" s="32">
        <v>0</v>
      </c>
      <c r="D6723" s="34">
        <v>0</v>
      </c>
      <c r="F6723" s="3" t="str">
        <f t="shared" si="105"/>
        <v>COTAÇÃO / INSTAL.HIDRAULICA</v>
      </c>
    </row>
    <row r="6724" spans="1:6" ht="25.5" x14ac:dyDescent="0.2">
      <c r="A6724" s="26" t="s">
        <v>14985</v>
      </c>
      <c r="B6724" s="27" t="s">
        <v>14986</v>
      </c>
      <c r="C6724" s="26" t="s">
        <v>14987</v>
      </c>
      <c r="D6724" s="28" t="e">
        <v>#VALUE!</v>
      </c>
      <c r="F6724" s="3" t="str">
        <f t="shared" si="105"/>
        <v>Insumo</v>
      </c>
    </row>
    <row r="6725" spans="1:6" ht="33.75" x14ac:dyDescent="0.2">
      <c r="A6725" s="29" t="s">
        <v>17140</v>
      </c>
      <c r="B6725" s="30" t="s">
        <v>17141</v>
      </c>
      <c r="C6725" s="29" t="s">
        <v>26</v>
      </c>
      <c r="D6725" s="31">
        <v>458.25</v>
      </c>
      <c r="F6725" s="3" t="str">
        <f t="shared" si="105"/>
        <v>I0003</v>
      </c>
    </row>
    <row r="6726" spans="1:6" x14ac:dyDescent="0.2">
      <c r="A6726" s="29" t="s">
        <v>17142</v>
      </c>
      <c r="B6726" s="30" t="s">
        <v>17143</v>
      </c>
      <c r="C6726" s="29" t="s">
        <v>26</v>
      </c>
      <c r="D6726" s="31">
        <v>62.44</v>
      </c>
      <c r="F6726" s="3" t="str">
        <f t="shared" si="105"/>
        <v>I0005</v>
      </c>
    </row>
    <row r="6727" spans="1:6" x14ac:dyDescent="0.2">
      <c r="A6727" s="29" t="s">
        <v>17144</v>
      </c>
      <c r="B6727" s="30" t="s">
        <v>17145</v>
      </c>
      <c r="C6727" s="29" t="s">
        <v>26</v>
      </c>
      <c r="D6727" s="31">
        <v>87.61</v>
      </c>
      <c r="F6727" s="3" t="str">
        <f t="shared" si="105"/>
        <v>I0006</v>
      </c>
    </row>
    <row r="6728" spans="1:6" x14ac:dyDescent="0.2">
      <c r="A6728" s="29" t="s">
        <v>17146</v>
      </c>
      <c r="B6728" s="30" t="s">
        <v>17147</v>
      </c>
      <c r="C6728" s="29" t="s">
        <v>26</v>
      </c>
      <c r="D6728" s="31">
        <v>1.19</v>
      </c>
      <c r="F6728" s="3" t="str">
        <f t="shared" si="105"/>
        <v>I0007</v>
      </c>
    </row>
    <row r="6729" spans="1:6" x14ac:dyDescent="0.2">
      <c r="A6729" s="29" t="s">
        <v>17148</v>
      </c>
      <c r="B6729" s="30" t="s">
        <v>17149</v>
      </c>
      <c r="C6729" s="29" t="s">
        <v>26</v>
      </c>
      <c r="D6729" s="31">
        <v>0.97</v>
      </c>
      <c r="F6729" s="3" t="str">
        <f t="shared" si="105"/>
        <v>I6722</v>
      </c>
    </row>
    <row r="6730" spans="1:6" x14ac:dyDescent="0.2">
      <c r="A6730" s="29" t="s">
        <v>17150</v>
      </c>
      <c r="B6730" s="30" t="s">
        <v>17151</v>
      </c>
      <c r="C6730" s="29" t="s">
        <v>26</v>
      </c>
      <c r="D6730" s="31">
        <v>1.96</v>
      </c>
      <c r="F6730" s="3" t="str">
        <f t="shared" si="105"/>
        <v>I6723</v>
      </c>
    </row>
    <row r="6731" spans="1:6" x14ac:dyDescent="0.2">
      <c r="A6731" s="29" t="s">
        <v>17152</v>
      </c>
      <c r="B6731" s="30" t="s">
        <v>17153</v>
      </c>
      <c r="C6731" s="29" t="s">
        <v>26</v>
      </c>
      <c r="D6731" s="31">
        <v>4.05</v>
      </c>
      <c r="F6731" s="3" t="str">
        <f t="shared" si="105"/>
        <v>I6724</v>
      </c>
    </row>
    <row r="6732" spans="1:6" x14ac:dyDescent="0.2">
      <c r="A6732" s="29" t="s">
        <v>17154</v>
      </c>
      <c r="B6732" s="30" t="s">
        <v>17155</v>
      </c>
      <c r="C6732" s="29" t="s">
        <v>26</v>
      </c>
      <c r="D6732" s="31">
        <v>4.88</v>
      </c>
      <c r="F6732" s="3" t="str">
        <f t="shared" si="105"/>
        <v>I6725</v>
      </c>
    </row>
    <row r="6733" spans="1:6" x14ac:dyDescent="0.2">
      <c r="A6733" s="29" t="s">
        <v>17156</v>
      </c>
      <c r="B6733" s="30" t="s">
        <v>17157</v>
      </c>
      <c r="C6733" s="29" t="s">
        <v>26</v>
      </c>
      <c r="D6733" s="31">
        <v>12.21</v>
      </c>
      <c r="F6733" s="3" t="str">
        <f t="shared" si="105"/>
        <v>I6726</v>
      </c>
    </row>
    <row r="6734" spans="1:6" x14ac:dyDescent="0.2">
      <c r="A6734" s="29" t="s">
        <v>17158</v>
      </c>
      <c r="B6734" s="30" t="s">
        <v>17159</v>
      </c>
      <c r="C6734" s="29" t="s">
        <v>26</v>
      </c>
      <c r="D6734" s="31">
        <v>21.25</v>
      </c>
      <c r="F6734" s="3" t="str">
        <f t="shared" si="105"/>
        <v>I0008</v>
      </c>
    </row>
    <row r="6735" spans="1:6" x14ac:dyDescent="0.2">
      <c r="A6735" s="29" t="s">
        <v>17160</v>
      </c>
      <c r="B6735" s="30" t="s">
        <v>17161</v>
      </c>
      <c r="C6735" s="29" t="s">
        <v>26</v>
      </c>
      <c r="D6735" s="31">
        <v>29.3</v>
      </c>
      <c r="F6735" s="3" t="str">
        <f t="shared" si="105"/>
        <v>I0009</v>
      </c>
    </row>
    <row r="6736" spans="1:6" x14ac:dyDescent="0.2">
      <c r="A6736" s="29" t="s">
        <v>17162</v>
      </c>
      <c r="B6736" s="30" t="s">
        <v>17163</v>
      </c>
      <c r="C6736" s="29" t="s">
        <v>26</v>
      </c>
      <c r="D6736" s="31">
        <v>292.01</v>
      </c>
      <c r="F6736" s="3" t="str">
        <f t="shared" si="105"/>
        <v>I0010</v>
      </c>
    </row>
    <row r="6737" spans="1:6" x14ac:dyDescent="0.2">
      <c r="A6737" s="29" t="s">
        <v>17164</v>
      </c>
      <c r="B6737" s="30" t="s">
        <v>17165</v>
      </c>
      <c r="C6737" s="29" t="s">
        <v>26</v>
      </c>
      <c r="D6737" s="31">
        <v>12.38</v>
      </c>
      <c r="F6737" s="3" t="str">
        <f t="shared" si="105"/>
        <v>I0011</v>
      </c>
    </row>
    <row r="6738" spans="1:6" x14ac:dyDescent="0.2">
      <c r="A6738" s="29" t="s">
        <v>17166</v>
      </c>
      <c r="B6738" s="30" t="s">
        <v>17167</v>
      </c>
      <c r="C6738" s="29" t="s">
        <v>26</v>
      </c>
      <c r="D6738" s="31">
        <v>16.190000000000001</v>
      </c>
      <c r="F6738" s="3" t="str">
        <f t="shared" si="105"/>
        <v>I0012</v>
      </c>
    </row>
    <row r="6739" spans="1:6" x14ac:dyDescent="0.2">
      <c r="A6739" s="29" t="s">
        <v>17168</v>
      </c>
      <c r="B6739" s="30" t="s">
        <v>17169</v>
      </c>
      <c r="C6739" s="29" t="s">
        <v>26</v>
      </c>
      <c r="D6739" s="31">
        <v>20.13</v>
      </c>
      <c r="F6739" s="3" t="str">
        <f t="shared" si="105"/>
        <v>I0013</v>
      </c>
    </row>
    <row r="6740" spans="1:6" x14ac:dyDescent="0.2">
      <c r="A6740" s="29" t="s">
        <v>17170</v>
      </c>
      <c r="B6740" s="30" t="s">
        <v>17171</v>
      </c>
      <c r="C6740" s="29" t="s">
        <v>26</v>
      </c>
      <c r="D6740" s="31">
        <v>32.33</v>
      </c>
      <c r="F6740" s="3" t="str">
        <f t="shared" si="105"/>
        <v>I0014</v>
      </c>
    </row>
    <row r="6741" spans="1:6" x14ac:dyDescent="0.2">
      <c r="A6741" s="29" t="s">
        <v>17172</v>
      </c>
      <c r="B6741" s="30" t="s">
        <v>17173</v>
      </c>
      <c r="C6741" s="29" t="s">
        <v>26</v>
      </c>
      <c r="D6741" s="31">
        <v>34.97</v>
      </c>
      <c r="F6741" s="3" t="str">
        <f t="shared" si="105"/>
        <v>I0015</v>
      </c>
    </row>
    <row r="6742" spans="1:6" x14ac:dyDescent="0.2">
      <c r="A6742" s="29" t="s">
        <v>17174</v>
      </c>
      <c r="B6742" s="30" t="s">
        <v>17175</v>
      </c>
      <c r="C6742" s="29" t="s">
        <v>26</v>
      </c>
      <c r="D6742" s="31">
        <v>59.63</v>
      </c>
      <c r="F6742" s="3" t="str">
        <f t="shared" si="105"/>
        <v>I0016</v>
      </c>
    </row>
    <row r="6743" spans="1:6" x14ac:dyDescent="0.2">
      <c r="A6743" s="29" t="s">
        <v>17176</v>
      </c>
      <c r="B6743" s="30" t="s">
        <v>17177</v>
      </c>
      <c r="C6743" s="29" t="s">
        <v>26</v>
      </c>
      <c r="D6743" s="31">
        <v>233.46</v>
      </c>
      <c r="F6743" s="3" t="str">
        <f t="shared" si="105"/>
        <v>I0017</v>
      </c>
    </row>
    <row r="6744" spans="1:6" x14ac:dyDescent="0.2">
      <c r="A6744" s="29" t="s">
        <v>17178</v>
      </c>
      <c r="B6744" s="30" t="s">
        <v>17179</v>
      </c>
      <c r="C6744" s="29" t="s">
        <v>26</v>
      </c>
      <c r="D6744" s="31">
        <v>333.78</v>
      </c>
      <c r="F6744" s="3" t="str">
        <f t="shared" si="105"/>
        <v>I0018</v>
      </c>
    </row>
    <row r="6745" spans="1:6" x14ac:dyDescent="0.2">
      <c r="A6745" s="29" t="s">
        <v>17180</v>
      </c>
      <c r="B6745" s="30" t="s">
        <v>17181</v>
      </c>
      <c r="C6745" s="29" t="s">
        <v>26</v>
      </c>
      <c r="D6745" s="31">
        <v>0.97</v>
      </c>
      <c r="F6745" s="3" t="str">
        <f t="shared" si="105"/>
        <v>I0019</v>
      </c>
    </row>
    <row r="6746" spans="1:6" x14ac:dyDescent="0.2">
      <c r="A6746" s="29" t="s">
        <v>17182</v>
      </c>
      <c r="B6746" s="30" t="s">
        <v>17183</v>
      </c>
      <c r="C6746" s="29" t="s">
        <v>26</v>
      </c>
      <c r="D6746" s="31">
        <v>19.690000000000001</v>
      </c>
      <c r="F6746" s="3" t="str">
        <f t="shared" si="105"/>
        <v>I0020</v>
      </c>
    </row>
    <row r="6747" spans="1:6" x14ac:dyDescent="0.2">
      <c r="A6747" s="29" t="s">
        <v>17184</v>
      </c>
      <c r="B6747" s="30" t="s">
        <v>17185</v>
      </c>
      <c r="C6747" s="29" t="s">
        <v>26</v>
      </c>
      <c r="D6747" s="31">
        <v>7</v>
      </c>
      <c r="F6747" s="3" t="str">
        <f t="shared" si="105"/>
        <v>I0021</v>
      </c>
    </row>
    <row r="6748" spans="1:6" x14ac:dyDescent="0.2">
      <c r="A6748" s="29" t="s">
        <v>17186</v>
      </c>
      <c r="B6748" s="30" t="s">
        <v>17187</v>
      </c>
      <c r="C6748" s="29" t="s">
        <v>1284</v>
      </c>
      <c r="D6748" s="31">
        <v>63.36</v>
      </c>
      <c r="F6748" s="3" t="str">
        <f t="shared" si="105"/>
        <v>I0026</v>
      </c>
    </row>
    <row r="6749" spans="1:6" x14ac:dyDescent="0.2">
      <c r="A6749" s="29" t="s">
        <v>17188</v>
      </c>
      <c r="B6749" s="30" t="s">
        <v>17189</v>
      </c>
      <c r="C6749" s="29" t="s">
        <v>26</v>
      </c>
      <c r="D6749" s="31">
        <v>22.07</v>
      </c>
      <c r="F6749" s="3" t="str">
        <f t="shared" si="105"/>
        <v>I0069</v>
      </c>
    </row>
    <row r="6750" spans="1:6" x14ac:dyDescent="0.2">
      <c r="A6750" s="29" t="s">
        <v>17190</v>
      </c>
      <c r="B6750" s="30" t="s">
        <v>17191</v>
      </c>
      <c r="C6750" s="29" t="s">
        <v>26</v>
      </c>
      <c r="D6750" s="31">
        <v>28.69</v>
      </c>
      <c r="F6750" s="3" t="str">
        <f t="shared" si="105"/>
        <v>I0070</v>
      </c>
    </row>
    <row r="6751" spans="1:6" x14ac:dyDescent="0.2">
      <c r="A6751" s="29" t="s">
        <v>17192</v>
      </c>
      <c r="B6751" s="30" t="s">
        <v>17193</v>
      </c>
      <c r="C6751" s="29" t="s">
        <v>26</v>
      </c>
      <c r="D6751" s="31">
        <v>18.7</v>
      </c>
      <c r="F6751" s="3" t="str">
        <f t="shared" si="105"/>
        <v>I0071</v>
      </c>
    </row>
    <row r="6752" spans="1:6" x14ac:dyDescent="0.2">
      <c r="A6752" s="29" t="s">
        <v>17194</v>
      </c>
      <c r="B6752" s="30" t="s">
        <v>17195</v>
      </c>
      <c r="C6752" s="29" t="s">
        <v>26</v>
      </c>
      <c r="D6752" s="31">
        <v>19.2</v>
      </c>
      <c r="F6752" s="3" t="str">
        <f t="shared" si="105"/>
        <v>I0072</v>
      </c>
    </row>
    <row r="6753" spans="1:6" x14ac:dyDescent="0.2">
      <c r="A6753" s="29" t="s">
        <v>17196</v>
      </c>
      <c r="B6753" s="30" t="s">
        <v>17197</v>
      </c>
      <c r="C6753" s="29" t="s">
        <v>26</v>
      </c>
      <c r="D6753" s="31">
        <v>2.99</v>
      </c>
      <c r="F6753" s="3" t="str">
        <f t="shared" si="105"/>
        <v>I0073</v>
      </c>
    </row>
    <row r="6754" spans="1:6" x14ac:dyDescent="0.2">
      <c r="A6754" s="29" t="s">
        <v>17198</v>
      </c>
      <c r="B6754" s="30" t="s">
        <v>17199</v>
      </c>
      <c r="C6754" s="29" t="s">
        <v>26</v>
      </c>
      <c r="D6754" s="31">
        <v>10.63</v>
      </c>
      <c r="F6754" s="3" t="str">
        <f t="shared" si="105"/>
        <v>I0074</v>
      </c>
    </row>
    <row r="6755" spans="1:6" x14ac:dyDescent="0.2">
      <c r="A6755" s="29" t="s">
        <v>17200</v>
      </c>
      <c r="B6755" s="30" t="s">
        <v>17201</v>
      </c>
      <c r="C6755" s="29" t="s">
        <v>26</v>
      </c>
      <c r="D6755" s="31">
        <v>1.56</v>
      </c>
      <c r="F6755" s="3" t="str">
        <f t="shared" si="105"/>
        <v>I0075</v>
      </c>
    </row>
    <row r="6756" spans="1:6" x14ac:dyDescent="0.2">
      <c r="A6756" s="29" t="s">
        <v>17202</v>
      </c>
      <c r="B6756" s="30" t="s">
        <v>17203</v>
      </c>
      <c r="C6756" s="29" t="s">
        <v>26</v>
      </c>
      <c r="D6756" s="31">
        <v>1.84</v>
      </c>
      <c r="F6756" s="3" t="str">
        <f t="shared" si="105"/>
        <v>I0076</v>
      </c>
    </row>
    <row r="6757" spans="1:6" x14ac:dyDescent="0.2">
      <c r="A6757" s="29" t="s">
        <v>17204</v>
      </c>
      <c r="B6757" s="30" t="s">
        <v>17205</v>
      </c>
      <c r="C6757" s="29" t="s">
        <v>26</v>
      </c>
      <c r="D6757" s="31">
        <v>2.34</v>
      </c>
      <c r="F6757" s="3" t="str">
        <f t="shared" si="105"/>
        <v>I0077</v>
      </c>
    </row>
    <row r="6758" spans="1:6" x14ac:dyDescent="0.2">
      <c r="A6758" s="29" t="s">
        <v>17206</v>
      </c>
      <c r="B6758" s="30" t="s">
        <v>17207</v>
      </c>
      <c r="C6758" s="29" t="s">
        <v>26</v>
      </c>
      <c r="D6758" s="31">
        <v>3.39</v>
      </c>
      <c r="F6758" s="3" t="str">
        <f t="shared" si="105"/>
        <v>I0078</v>
      </c>
    </row>
    <row r="6759" spans="1:6" x14ac:dyDescent="0.2">
      <c r="A6759" s="29" t="s">
        <v>17208</v>
      </c>
      <c r="B6759" s="30" t="s">
        <v>17209</v>
      </c>
      <c r="C6759" s="29" t="s">
        <v>26</v>
      </c>
      <c r="D6759" s="31">
        <v>17.41</v>
      </c>
      <c r="F6759" s="3" t="str">
        <f t="shared" si="105"/>
        <v>I0079</v>
      </c>
    </row>
    <row r="6760" spans="1:6" x14ac:dyDescent="0.2">
      <c r="A6760" s="29" t="s">
        <v>17210</v>
      </c>
      <c r="B6760" s="30" t="s">
        <v>17211</v>
      </c>
      <c r="C6760" s="29" t="s">
        <v>26</v>
      </c>
      <c r="D6760" s="31">
        <v>2.09</v>
      </c>
      <c r="F6760" s="3" t="str">
        <f t="shared" si="105"/>
        <v>I0080</v>
      </c>
    </row>
    <row r="6761" spans="1:6" x14ac:dyDescent="0.2">
      <c r="A6761" s="29" t="s">
        <v>17212</v>
      </c>
      <c r="B6761" s="30" t="s">
        <v>17213</v>
      </c>
      <c r="C6761" s="29" t="s">
        <v>26</v>
      </c>
      <c r="D6761" s="31">
        <v>2.6</v>
      </c>
      <c r="F6761" s="3" t="str">
        <f t="shared" si="105"/>
        <v>I0081</v>
      </c>
    </row>
    <row r="6762" spans="1:6" x14ac:dyDescent="0.2">
      <c r="A6762" s="29" t="s">
        <v>17214</v>
      </c>
      <c r="B6762" s="30" t="s">
        <v>17215</v>
      </c>
      <c r="C6762" s="29" t="s">
        <v>26</v>
      </c>
      <c r="D6762" s="31">
        <v>10.1</v>
      </c>
      <c r="F6762" s="3" t="str">
        <f t="shared" si="105"/>
        <v>I0082</v>
      </c>
    </row>
    <row r="6763" spans="1:6" x14ac:dyDescent="0.2">
      <c r="A6763" s="29" t="s">
        <v>17216</v>
      </c>
      <c r="B6763" s="30" t="s">
        <v>17217</v>
      </c>
      <c r="C6763" s="29" t="s">
        <v>1284</v>
      </c>
      <c r="D6763" s="31">
        <v>12.81</v>
      </c>
      <c r="F6763" s="3" t="str">
        <f t="shared" si="105"/>
        <v>I0145</v>
      </c>
    </row>
    <row r="6764" spans="1:6" x14ac:dyDescent="0.2">
      <c r="A6764" s="29" t="s">
        <v>17218</v>
      </c>
      <c r="B6764" s="30" t="s">
        <v>17219</v>
      </c>
      <c r="C6764" s="29" t="s">
        <v>26</v>
      </c>
      <c r="D6764" s="31">
        <v>36</v>
      </c>
      <c r="F6764" s="3" t="str">
        <f t="shared" si="105"/>
        <v>I8648</v>
      </c>
    </row>
    <row r="6765" spans="1:6" x14ac:dyDescent="0.2">
      <c r="A6765" s="29" t="s">
        <v>17220</v>
      </c>
      <c r="B6765" s="30" t="s">
        <v>17221</v>
      </c>
      <c r="C6765" s="29" t="s">
        <v>0</v>
      </c>
      <c r="D6765" s="31">
        <v>24.78</v>
      </c>
      <c r="F6765" s="3" t="str">
        <f t="shared" si="105"/>
        <v>I0244</v>
      </c>
    </row>
    <row r="6766" spans="1:6" x14ac:dyDescent="0.2">
      <c r="A6766" s="29" t="s">
        <v>17222</v>
      </c>
      <c r="B6766" s="30" t="s">
        <v>17223</v>
      </c>
      <c r="C6766" s="29" t="s">
        <v>26</v>
      </c>
      <c r="D6766" s="31">
        <v>16.760000000000002</v>
      </c>
      <c r="F6766" s="3" t="str">
        <f t="shared" si="105"/>
        <v>I0302</v>
      </c>
    </row>
    <row r="6767" spans="1:6" x14ac:dyDescent="0.2">
      <c r="A6767" s="29" t="s">
        <v>17224</v>
      </c>
      <c r="B6767" s="30" t="s">
        <v>17225</v>
      </c>
      <c r="C6767" s="29" t="s">
        <v>26</v>
      </c>
      <c r="D6767" s="31">
        <v>23.11</v>
      </c>
      <c r="F6767" s="3" t="str">
        <f t="shared" si="105"/>
        <v>I8226</v>
      </c>
    </row>
    <row r="6768" spans="1:6" x14ac:dyDescent="0.2">
      <c r="A6768" s="29" t="s">
        <v>17226</v>
      </c>
      <c r="B6768" s="30" t="s">
        <v>17227</v>
      </c>
      <c r="C6768" s="29" t="s">
        <v>26</v>
      </c>
      <c r="D6768" s="31">
        <v>23.11</v>
      </c>
      <c r="F6768" s="3" t="str">
        <f t="shared" si="105"/>
        <v>I8227</v>
      </c>
    </row>
    <row r="6769" spans="1:6" x14ac:dyDescent="0.2">
      <c r="A6769" s="29" t="s">
        <v>17228</v>
      </c>
      <c r="B6769" s="30" t="s">
        <v>17229</v>
      </c>
      <c r="C6769" s="29" t="s">
        <v>26</v>
      </c>
      <c r="D6769" s="31">
        <v>17.760000000000002</v>
      </c>
      <c r="F6769" s="3" t="str">
        <f t="shared" si="105"/>
        <v>I8225</v>
      </c>
    </row>
    <row r="6770" spans="1:6" x14ac:dyDescent="0.2">
      <c r="A6770" s="29" t="s">
        <v>17230</v>
      </c>
      <c r="B6770" s="30" t="s">
        <v>17231</v>
      </c>
      <c r="C6770" s="29" t="s">
        <v>26</v>
      </c>
      <c r="D6770" s="31">
        <v>31.01</v>
      </c>
      <c r="F6770" s="3" t="str">
        <f t="shared" si="105"/>
        <v>I8228</v>
      </c>
    </row>
    <row r="6771" spans="1:6" x14ac:dyDescent="0.2">
      <c r="A6771" s="29" t="s">
        <v>17232</v>
      </c>
      <c r="B6771" s="30" t="s">
        <v>17233</v>
      </c>
      <c r="C6771" s="29" t="s">
        <v>26</v>
      </c>
      <c r="D6771" s="31">
        <v>66.59</v>
      </c>
      <c r="F6771" s="3" t="str">
        <f t="shared" si="105"/>
        <v>I0324</v>
      </c>
    </row>
    <row r="6772" spans="1:6" x14ac:dyDescent="0.2">
      <c r="A6772" s="29" t="s">
        <v>17234</v>
      </c>
      <c r="B6772" s="30" t="s">
        <v>17235</v>
      </c>
      <c r="C6772" s="29" t="s">
        <v>26</v>
      </c>
      <c r="D6772" s="31">
        <v>78.64</v>
      </c>
      <c r="F6772" s="3" t="str">
        <f t="shared" si="105"/>
        <v>I0322</v>
      </c>
    </row>
    <row r="6773" spans="1:6" x14ac:dyDescent="0.2">
      <c r="A6773" s="29" t="s">
        <v>17236</v>
      </c>
      <c r="B6773" s="30" t="s">
        <v>17237</v>
      </c>
      <c r="C6773" s="29" t="s">
        <v>26</v>
      </c>
      <c r="D6773" s="31">
        <v>287.64</v>
      </c>
      <c r="F6773" s="3" t="str">
        <f t="shared" si="105"/>
        <v>I0323</v>
      </c>
    </row>
    <row r="6774" spans="1:6" x14ac:dyDescent="0.2">
      <c r="A6774" s="29" t="s">
        <v>17238</v>
      </c>
      <c r="B6774" s="30" t="s">
        <v>17239</v>
      </c>
      <c r="C6774" s="29" t="s">
        <v>26</v>
      </c>
      <c r="D6774" s="31">
        <v>8.26</v>
      </c>
      <c r="F6774" s="3" t="str">
        <f t="shared" si="105"/>
        <v>I0296</v>
      </c>
    </row>
    <row r="6775" spans="1:6" x14ac:dyDescent="0.2">
      <c r="A6775" s="29" t="s">
        <v>17240</v>
      </c>
      <c r="B6775" s="30" t="s">
        <v>17241</v>
      </c>
      <c r="C6775" s="29" t="s">
        <v>26</v>
      </c>
      <c r="D6775" s="31">
        <v>11.04</v>
      </c>
      <c r="F6775" s="3" t="str">
        <f t="shared" si="105"/>
        <v>I0297</v>
      </c>
    </row>
    <row r="6776" spans="1:6" x14ac:dyDescent="0.2">
      <c r="A6776" s="29" t="s">
        <v>17242</v>
      </c>
      <c r="B6776" s="30" t="s">
        <v>17243</v>
      </c>
      <c r="C6776" s="29" t="s">
        <v>26</v>
      </c>
      <c r="D6776" s="31">
        <v>45.82</v>
      </c>
      <c r="F6776" s="3" t="str">
        <f t="shared" si="105"/>
        <v>I0298</v>
      </c>
    </row>
    <row r="6777" spans="1:6" x14ac:dyDescent="0.2">
      <c r="A6777" s="29" t="s">
        <v>17244</v>
      </c>
      <c r="B6777" s="30" t="s">
        <v>17245</v>
      </c>
      <c r="C6777" s="29" t="s">
        <v>26</v>
      </c>
      <c r="D6777" s="31">
        <v>3.91</v>
      </c>
      <c r="F6777" s="3" t="str">
        <f t="shared" si="105"/>
        <v>I0325</v>
      </c>
    </row>
    <row r="6778" spans="1:6" x14ac:dyDescent="0.2">
      <c r="A6778" s="29" t="s">
        <v>17246</v>
      </c>
      <c r="B6778" s="30" t="s">
        <v>17247</v>
      </c>
      <c r="C6778" s="29" t="s">
        <v>26</v>
      </c>
      <c r="D6778" s="31">
        <v>1.28</v>
      </c>
      <c r="F6778" s="3" t="str">
        <f t="shared" si="105"/>
        <v>I0318</v>
      </c>
    </row>
    <row r="6779" spans="1:6" x14ac:dyDescent="0.2">
      <c r="A6779" s="29" t="s">
        <v>17248</v>
      </c>
      <c r="B6779" s="30" t="s">
        <v>17249</v>
      </c>
      <c r="C6779" s="29" t="s">
        <v>26</v>
      </c>
      <c r="D6779" s="31">
        <v>3.84</v>
      </c>
      <c r="F6779" s="3" t="str">
        <f t="shared" si="105"/>
        <v>I0310</v>
      </c>
    </row>
    <row r="6780" spans="1:6" x14ac:dyDescent="0.2">
      <c r="A6780" s="29" t="s">
        <v>17250</v>
      </c>
      <c r="B6780" s="30" t="s">
        <v>17251</v>
      </c>
      <c r="C6780" s="29" t="s">
        <v>26</v>
      </c>
      <c r="D6780" s="31">
        <v>3.72</v>
      </c>
      <c r="F6780" s="3" t="str">
        <f t="shared" si="105"/>
        <v>I0311</v>
      </c>
    </row>
    <row r="6781" spans="1:6" x14ac:dyDescent="0.2">
      <c r="A6781" s="29" t="s">
        <v>17252</v>
      </c>
      <c r="B6781" s="30" t="s">
        <v>17253</v>
      </c>
      <c r="C6781" s="29" t="s">
        <v>26</v>
      </c>
      <c r="D6781" s="31">
        <v>6.49</v>
      </c>
      <c r="F6781" s="3" t="str">
        <f t="shared" si="105"/>
        <v>I0305</v>
      </c>
    </row>
    <row r="6782" spans="1:6" x14ac:dyDescent="0.2">
      <c r="A6782" s="29" t="s">
        <v>17254</v>
      </c>
      <c r="B6782" s="30" t="s">
        <v>17255</v>
      </c>
      <c r="C6782" s="29" t="s">
        <v>26</v>
      </c>
      <c r="D6782" s="31">
        <v>7.93</v>
      </c>
      <c r="F6782" s="3" t="str">
        <f t="shared" si="105"/>
        <v>I0306</v>
      </c>
    </row>
    <row r="6783" spans="1:6" x14ac:dyDescent="0.2">
      <c r="A6783" s="29" t="s">
        <v>17256</v>
      </c>
      <c r="B6783" s="30" t="s">
        <v>17257</v>
      </c>
      <c r="C6783" s="29" t="s">
        <v>26</v>
      </c>
      <c r="D6783" s="31">
        <v>7.8</v>
      </c>
      <c r="F6783" s="3" t="str">
        <f t="shared" si="105"/>
        <v>I0303</v>
      </c>
    </row>
    <row r="6784" spans="1:6" x14ac:dyDescent="0.2">
      <c r="A6784" s="29" t="s">
        <v>17258</v>
      </c>
      <c r="B6784" s="30" t="s">
        <v>17259</v>
      </c>
      <c r="C6784" s="29" t="s">
        <v>26</v>
      </c>
      <c r="D6784" s="31">
        <v>9.34</v>
      </c>
      <c r="F6784" s="3" t="str">
        <f t="shared" si="105"/>
        <v>I0304</v>
      </c>
    </row>
    <row r="6785" spans="1:6" x14ac:dyDescent="0.2">
      <c r="A6785" s="29" t="s">
        <v>17260</v>
      </c>
      <c r="B6785" s="30" t="s">
        <v>17261</v>
      </c>
      <c r="C6785" s="29" t="s">
        <v>26</v>
      </c>
      <c r="D6785" s="31">
        <v>5.47</v>
      </c>
      <c r="F6785" s="3" t="str">
        <f t="shared" si="105"/>
        <v>I0308</v>
      </c>
    </row>
    <row r="6786" spans="1:6" x14ac:dyDescent="0.2">
      <c r="A6786" s="29" t="s">
        <v>17262</v>
      </c>
      <c r="B6786" s="30" t="s">
        <v>17263</v>
      </c>
      <c r="C6786" s="29" t="s">
        <v>26</v>
      </c>
      <c r="D6786" s="31">
        <v>5.56</v>
      </c>
      <c r="F6786" s="3" t="str">
        <f t="shared" ref="F6786:F6849" si="106">A6786</f>
        <v>I0309</v>
      </c>
    </row>
    <row r="6787" spans="1:6" x14ac:dyDescent="0.2">
      <c r="A6787" s="29" t="s">
        <v>17264</v>
      </c>
      <c r="B6787" s="30" t="s">
        <v>17265</v>
      </c>
      <c r="C6787" s="29" t="s">
        <v>26</v>
      </c>
      <c r="D6787" s="31">
        <v>5.74</v>
      </c>
      <c r="F6787" s="3" t="str">
        <f t="shared" si="106"/>
        <v>I0307</v>
      </c>
    </row>
    <row r="6788" spans="1:6" x14ac:dyDescent="0.2">
      <c r="A6788" s="29" t="s">
        <v>17266</v>
      </c>
      <c r="B6788" s="30" t="s">
        <v>17267</v>
      </c>
      <c r="C6788" s="29" t="s">
        <v>26</v>
      </c>
      <c r="D6788" s="31">
        <v>27.53</v>
      </c>
      <c r="F6788" s="3" t="str">
        <f t="shared" si="106"/>
        <v>I0312</v>
      </c>
    </row>
    <row r="6789" spans="1:6" x14ac:dyDescent="0.2">
      <c r="A6789" s="29" t="s">
        <v>17268</v>
      </c>
      <c r="B6789" s="30" t="s">
        <v>17269</v>
      </c>
      <c r="C6789" s="29" t="s">
        <v>26</v>
      </c>
      <c r="D6789" s="31">
        <v>25.26</v>
      </c>
      <c r="F6789" s="3" t="str">
        <f t="shared" si="106"/>
        <v>I0313</v>
      </c>
    </row>
    <row r="6790" spans="1:6" x14ac:dyDescent="0.2">
      <c r="A6790" s="29" t="s">
        <v>17270</v>
      </c>
      <c r="B6790" s="30" t="s">
        <v>17271</v>
      </c>
      <c r="C6790" s="29" t="s">
        <v>26</v>
      </c>
      <c r="D6790" s="31">
        <v>34.450000000000003</v>
      </c>
      <c r="F6790" s="3" t="str">
        <f t="shared" si="106"/>
        <v>I0314</v>
      </c>
    </row>
    <row r="6791" spans="1:6" x14ac:dyDescent="0.2">
      <c r="A6791" s="29" t="s">
        <v>17272</v>
      </c>
      <c r="B6791" s="30" t="s">
        <v>17273</v>
      </c>
      <c r="C6791" s="29" t="s">
        <v>26</v>
      </c>
      <c r="D6791" s="31">
        <v>18.170000000000002</v>
      </c>
      <c r="F6791" s="3" t="str">
        <f t="shared" si="106"/>
        <v>I0315</v>
      </c>
    </row>
    <row r="6792" spans="1:6" x14ac:dyDescent="0.2">
      <c r="A6792" s="29" t="s">
        <v>17274</v>
      </c>
      <c r="B6792" s="30" t="s">
        <v>17275</v>
      </c>
      <c r="C6792" s="29" t="s">
        <v>26</v>
      </c>
      <c r="D6792" s="31">
        <v>16.04</v>
      </c>
      <c r="F6792" s="3" t="str">
        <f t="shared" si="106"/>
        <v>I0316</v>
      </c>
    </row>
    <row r="6793" spans="1:6" x14ac:dyDescent="0.2">
      <c r="A6793" s="29" t="s">
        <v>17276</v>
      </c>
      <c r="B6793" s="30" t="s">
        <v>17277</v>
      </c>
      <c r="C6793" s="29" t="s">
        <v>26</v>
      </c>
      <c r="D6793" s="31">
        <v>16.02</v>
      </c>
      <c r="F6793" s="3" t="str">
        <f t="shared" si="106"/>
        <v>I0317</v>
      </c>
    </row>
    <row r="6794" spans="1:6" x14ac:dyDescent="0.2">
      <c r="A6794" s="29" t="s">
        <v>17278</v>
      </c>
      <c r="B6794" s="30" t="s">
        <v>17279</v>
      </c>
      <c r="C6794" s="29" t="s">
        <v>26</v>
      </c>
      <c r="D6794" s="31">
        <v>26.74</v>
      </c>
      <c r="F6794" s="3" t="str">
        <f t="shared" si="106"/>
        <v>I0319</v>
      </c>
    </row>
    <row r="6795" spans="1:6" x14ac:dyDescent="0.2">
      <c r="A6795" s="29" t="s">
        <v>17280</v>
      </c>
      <c r="B6795" s="30" t="s">
        <v>17281</v>
      </c>
      <c r="C6795" s="29" t="s">
        <v>26</v>
      </c>
      <c r="D6795" s="31">
        <v>38.49</v>
      </c>
      <c r="F6795" s="3" t="str">
        <f t="shared" si="106"/>
        <v>I0320</v>
      </c>
    </row>
    <row r="6796" spans="1:6" x14ac:dyDescent="0.2">
      <c r="A6796" s="29" t="s">
        <v>17282</v>
      </c>
      <c r="B6796" s="30" t="s">
        <v>17283</v>
      </c>
      <c r="C6796" s="29" t="s">
        <v>26</v>
      </c>
      <c r="D6796" s="31">
        <v>97.71</v>
      </c>
      <c r="F6796" s="3" t="str">
        <f t="shared" si="106"/>
        <v>I0321</v>
      </c>
    </row>
    <row r="6797" spans="1:6" x14ac:dyDescent="0.2">
      <c r="A6797" s="29" t="s">
        <v>17284</v>
      </c>
      <c r="B6797" s="30" t="s">
        <v>17285</v>
      </c>
      <c r="C6797" s="29" t="s">
        <v>26</v>
      </c>
      <c r="D6797" s="31">
        <v>3.97</v>
      </c>
      <c r="F6797" s="3" t="str">
        <f t="shared" si="106"/>
        <v>I0327</v>
      </c>
    </row>
    <row r="6798" spans="1:6" x14ac:dyDescent="0.2">
      <c r="A6798" s="29" t="s">
        <v>17286</v>
      </c>
      <c r="B6798" s="30" t="s">
        <v>17287</v>
      </c>
      <c r="C6798" s="29" t="s">
        <v>26</v>
      </c>
      <c r="D6798" s="31">
        <v>11.64</v>
      </c>
      <c r="F6798" s="3" t="str">
        <f t="shared" si="106"/>
        <v>I0326</v>
      </c>
    </row>
    <row r="6799" spans="1:6" x14ac:dyDescent="0.2">
      <c r="A6799" s="29" t="s">
        <v>17288</v>
      </c>
      <c r="B6799" s="30" t="s">
        <v>17289</v>
      </c>
      <c r="C6799" s="29" t="s">
        <v>26</v>
      </c>
      <c r="D6799" s="31">
        <v>40.119999999999997</v>
      </c>
      <c r="F6799" s="3" t="str">
        <f t="shared" si="106"/>
        <v>I0328</v>
      </c>
    </row>
    <row r="6800" spans="1:6" x14ac:dyDescent="0.2">
      <c r="A6800" s="29" t="s">
        <v>17290</v>
      </c>
      <c r="B6800" s="30" t="s">
        <v>17291</v>
      </c>
      <c r="C6800" s="29" t="s">
        <v>26</v>
      </c>
      <c r="D6800" s="31">
        <v>104.44</v>
      </c>
      <c r="F6800" s="3" t="str">
        <f t="shared" si="106"/>
        <v>I0329</v>
      </c>
    </row>
    <row r="6801" spans="1:6" x14ac:dyDescent="0.2">
      <c r="A6801" s="29" t="s">
        <v>17292</v>
      </c>
      <c r="B6801" s="30" t="s">
        <v>17293</v>
      </c>
      <c r="C6801" s="29" t="s">
        <v>26</v>
      </c>
      <c r="D6801" s="31">
        <v>262.81</v>
      </c>
      <c r="F6801" s="3" t="str">
        <f t="shared" si="106"/>
        <v>I0402</v>
      </c>
    </row>
    <row r="6802" spans="1:6" x14ac:dyDescent="0.2">
      <c r="A6802" s="29" t="s">
        <v>17294</v>
      </c>
      <c r="B6802" s="30" t="s">
        <v>17295</v>
      </c>
      <c r="C6802" s="29" t="s">
        <v>26</v>
      </c>
      <c r="D6802" s="31">
        <v>100.79</v>
      </c>
      <c r="F6802" s="3" t="str">
        <f t="shared" si="106"/>
        <v>I0403</v>
      </c>
    </row>
    <row r="6803" spans="1:6" x14ac:dyDescent="0.2">
      <c r="A6803" s="29" t="s">
        <v>17296</v>
      </c>
      <c r="B6803" s="30" t="s">
        <v>17297</v>
      </c>
      <c r="C6803" s="29" t="s">
        <v>26</v>
      </c>
      <c r="D6803" s="31">
        <v>584.75</v>
      </c>
      <c r="F6803" s="3" t="str">
        <f t="shared" si="106"/>
        <v>I10268</v>
      </c>
    </row>
    <row r="6804" spans="1:6" x14ac:dyDescent="0.2">
      <c r="A6804" s="29" t="s">
        <v>17298</v>
      </c>
      <c r="B6804" s="30" t="s">
        <v>17299</v>
      </c>
      <c r="C6804" s="29" t="s">
        <v>26</v>
      </c>
      <c r="D6804" s="31">
        <v>361.69</v>
      </c>
      <c r="F6804" s="3" t="str">
        <f t="shared" si="106"/>
        <v>I6226</v>
      </c>
    </row>
    <row r="6805" spans="1:6" x14ac:dyDescent="0.2">
      <c r="A6805" s="29" t="s">
        <v>17300</v>
      </c>
      <c r="B6805" s="30" t="s">
        <v>17301</v>
      </c>
      <c r="C6805" s="29" t="s">
        <v>26</v>
      </c>
      <c r="D6805" s="31">
        <v>274.27999999999997</v>
      </c>
      <c r="F6805" s="3" t="str">
        <f t="shared" si="106"/>
        <v>I8576</v>
      </c>
    </row>
    <row r="6806" spans="1:6" x14ac:dyDescent="0.2">
      <c r="A6806" s="29" t="s">
        <v>17302</v>
      </c>
      <c r="B6806" s="30" t="s">
        <v>17303</v>
      </c>
      <c r="C6806" s="29" t="s">
        <v>26</v>
      </c>
      <c r="D6806" s="31">
        <v>284.33999999999997</v>
      </c>
      <c r="F6806" s="3" t="str">
        <f t="shared" si="106"/>
        <v>I0411</v>
      </c>
    </row>
    <row r="6807" spans="1:6" x14ac:dyDescent="0.2">
      <c r="A6807" s="29" t="s">
        <v>17304</v>
      </c>
      <c r="B6807" s="30" t="s">
        <v>17305</v>
      </c>
      <c r="C6807" s="29" t="s">
        <v>26</v>
      </c>
      <c r="D6807" s="31">
        <v>38.270000000000003</v>
      </c>
      <c r="F6807" s="3" t="str">
        <f t="shared" si="106"/>
        <v>I0435</v>
      </c>
    </row>
    <row r="6808" spans="1:6" x14ac:dyDescent="0.2">
      <c r="A6808" s="29" t="s">
        <v>17306</v>
      </c>
      <c r="B6808" s="30" t="s">
        <v>11332</v>
      </c>
      <c r="C6808" s="29" t="s">
        <v>26</v>
      </c>
      <c r="D6808" s="31">
        <v>17.45</v>
      </c>
      <c r="F6808" s="3" t="str">
        <f t="shared" si="106"/>
        <v>I9404</v>
      </c>
    </row>
    <row r="6809" spans="1:6" x14ac:dyDescent="0.2">
      <c r="A6809" s="29" t="s">
        <v>17307</v>
      </c>
      <c r="B6809" s="30" t="s">
        <v>11334</v>
      </c>
      <c r="C6809" s="29" t="s">
        <v>26</v>
      </c>
      <c r="D6809" s="31">
        <v>34.39</v>
      </c>
      <c r="F6809" s="3" t="str">
        <f t="shared" si="106"/>
        <v>I9405</v>
      </c>
    </row>
    <row r="6810" spans="1:6" x14ac:dyDescent="0.2">
      <c r="A6810" s="29" t="s">
        <v>17308</v>
      </c>
      <c r="B6810" s="30" t="s">
        <v>11336</v>
      </c>
      <c r="C6810" s="29" t="s">
        <v>26</v>
      </c>
      <c r="D6810" s="31">
        <v>35.159999999999997</v>
      </c>
      <c r="F6810" s="3" t="str">
        <f t="shared" si="106"/>
        <v>I9406</v>
      </c>
    </row>
    <row r="6811" spans="1:6" x14ac:dyDescent="0.2">
      <c r="A6811" s="29" t="s">
        <v>17309</v>
      </c>
      <c r="B6811" s="30" t="s">
        <v>11338</v>
      </c>
      <c r="C6811" s="29" t="s">
        <v>26</v>
      </c>
      <c r="D6811" s="31">
        <v>38.270000000000003</v>
      </c>
      <c r="F6811" s="3" t="str">
        <f t="shared" si="106"/>
        <v>I9407</v>
      </c>
    </row>
    <row r="6812" spans="1:6" x14ac:dyDescent="0.2">
      <c r="A6812" s="29" t="s">
        <v>17310</v>
      </c>
      <c r="B6812" s="30" t="s">
        <v>11340</v>
      </c>
      <c r="C6812" s="29" t="s">
        <v>26</v>
      </c>
      <c r="D6812" s="31">
        <v>41.71</v>
      </c>
      <c r="F6812" s="3" t="str">
        <f t="shared" si="106"/>
        <v>I9408</v>
      </c>
    </row>
    <row r="6813" spans="1:6" x14ac:dyDescent="0.2">
      <c r="A6813" s="29" t="s">
        <v>17311</v>
      </c>
      <c r="B6813" s="30" t="s">
        <v>11342</v>
      </c>
      <c r="C6813" s="29" t="s">
        <v>26</v>
      </c>
      <c r="D6813" s="31">
        <v>53.38</v>
      </c>
      <c r="F6813" s="3" t="str">
        <f t="shared" si="106"/>
        <v>I9409</v>
      </c>
    </row>
    <row r="6814" spans="1:6" x14ac:dyDescent="0.2">
      <c r="A6814" s="29" t="s">
        <v>17312</v>
      </c>
      <c r="B6814" s="30" t="s">
        <v>11344</v>
      </c>
      <c r="C6814" s="29" t="s">
        <v>26</v>
      </c>
      <c r="D6814" s="31">
        <v>51.75</v>
      </c>
      <c r="F6814" s="3" t="str">
        <f t="shared" si="106"/>
        <v>I9410</v>
      </c>
    </row>
    <row r="6815" spans="1:6" x14ac:dyDescent="0.2">
      <c r="A6815" s="29" t="s">
        <v>17313</v>
      </c>
      <c r="B6815" s="30" t="s">
        <v>11346</v>
      </c>
      <c r="C6815" s="29" t="s">
        <v>26</v>
      </c>
      <c r="D6815" s="31">
        <v>69.489999999999995</v>
      </c>
      <c r="F6815" s="3" t="str">
        <f t="shared" si="106"/>
        <v>I8230</v>
      </c>
    </row>
    <row r="6816" spans="1:6" x14ac:dyDescent="0.2">
      <c r="A6816" s="29" t="s">
        <v>17314</v>
      </c>
      <c r="B6816" s="30" t="s">
        <v>11348</v>
      </c>
      <c r="C6816" s="29" t="s">
        <v>26</v>
      </c>
      <c r="D6816" s="31">
        <v>107.38</v>
      </c>
      <c r="F6816" s="3" t="str">
        <f t="shared" si="106"/>
        <v>I9411</v>
      </c>
    </row>
    <row r="6817" spans="1:6" x14ac:dyDescent="0.2">
      <c r="A6817" s="29" t="s">
        <v>17315</v>
      </c>
      <c r="B6817" s="30" t="s">
        <v>17316</v>
      </c>
      <c r="C6817" s="29" t="s">
        <v>0</v>
      </c>
      <c r="D6817" s="31">
        <v>19.14</v>
      </c>
      <c r="F6817" s="3" t="str">
        <f t="shared" si="106"/>
        <v>I0447</v>
      </c>
    </row>
    <row r="6818" spans="1:6" x14ac:dyDescent="0.2">
      <c r="A6818" s="29" t="s">
        <v>17317</v>
      </c>
      <c r="B6818" s="30" t="s">
        <v>17318</v>
      </c>
      <c r="C6818" s="29" t="s">
        <v>0</v>
      </c>
      <c r="D6818" s="31">
        <v>23.47</v>
      </c>
      <c r="F6818" s="3" t="str">
        <f t="shared" si="106"/>
        <v>I0452</v>
      </c>
    </row>
    <row r="6819" spans="1:6" x14ac:dyDescent="0.2">
      <c r="A6819" s="29" t="s">
        <v>17319</v>
      </c>
      <c r="B6819" s="30" t="s">
        <v>17320</v>
      </c>
      <c r="C6819" s="29" t="s">
        <v>26</v>
      </c>
      <c r="D6819" s="31">
        <v>1.92</v>
      </c>
      <c r="F6819" s="3" t="str">
        <f t="shared" si="106"/>
        <v>I0485</v>
      </c>
    </row>
    <row r="6820" spans="1:6" x14ac:dyDescent="0.2">
      <c r="A6820" s="29" t="s">
        <v>17321</v>
      </c>
      <c r="B6820" s="30" t="s">
        <v>17322</v>
      </c>
      <c r="C6820" s="29" t="s">
        <v>26</v>
      </c>
      <c r="D6820" s="31">
        <v>2.5099999999999998</v>
      </c>
      <c r="F6820" s="3" t="str">
        <f t="shared" si="106"/>
        <v>I0488</v>
      </c>
    </row>
    <row r="6821" spans="1:6" x14ac:dyDescent="0.2">
      <c r="A6821" s="29" t="s">
        <v>17323</v>
      </c>
      <c r="B6821" s="30" t="s">
        <v>17324</v>
      </c>
      <c r="C6821" s="29" t="s">
        <v>26</v>
      </c>
      <c r="D6821" s="31">
        <v>12.38</v>
      </c>
      <c r="F6821" s="3" t="str">
        <f t="shared" si="106"/>
        <v>I0482</v>
      </c>
    </row>
    <row r="6822" spans="1:6" x14ac:dyDescent="0.2">
      <c r="A6822" s="29" t="s">
        <v>17325</v>
      </c>
      <c r="B6822" s="30" t="s">
        <v>17326</v>
      </c>
      <c r="C6822" s="29" t="s">
        <v>26</v>
      </c>
      <c r="D6822" s="31">
        <v>11.99</v>
      </c>
      <c r="F6822" s="3" t="str">
        <f t="shared" si="106"/>
        <v>I0483</v>
      </c>
    </row>
    <row r="6823" spans="1:6" x14ac:dyDescent="0.2">
      <c r="A6823" s="29" t="s">
        <v>17327</v>
      </c>
      <c r="B6823" s="30" t="s">
        <v>17328</v>
      </c>
      <c r="C6823" s="29" t="s">
        <v>26</v>
      </c>
      <c r="D6823" s="31">
        <v>5.44</v>
      </c>
      <c r="F6823" s="3" t="str">
        <f t="shared" si="106"/>
        <v>I0484</v>
      </c>
    </row>
    <row r="6824" spans="1:6" x14ac:dyDescent="0.2">
      <c r="A6824" s="29" t="s">
        <v>17329</v>
      </c>
      <c r="B6824" s="30" t="s">
        <v>17330</v>
      </c>
      <c r="C6824" s="29" t="s">
        <v>26</v>
      </c>
      <c r="D6824" s="31">
        <v>24.39</v>
      </c>
      <c r="F6824" s="3" t="str">
        <f t="shared" si="106"/>
        <v>I0486</v>
      </c>
    </row>
    <row r="6825" spans="1:6" x14ac:dyDescent="0.2">
      <c r="A6825" s="29" t="s">
        <v>17331</v>
      </c>
      <c r="B6825" s="30" t="s">
        <v>17332</v>
      </c>
      <c r="C6825" s="29" t="s">
        <v>26</v>
      </c>
      <c r="D6825" s="31">
        <v>31.87</v>
      </c>
      <c r="F6825" s="3" t="str">
        <f t="shared" si="106"/>
        <v>I0487</v>
      </c>
    </row>
    <row r="6826" spans="1:6" x14ac:dyDescent="0.2">
      <c r="A6826" s="29" t="s">
        <v>17333</v>
      </c>
      <c r="B6826" s="30" t="s">
        <v>17334</v>
      </c>
      <c r="C6826" s="29" t="s">
        <v>26</v>
      </c>
      <c r="D6826" s="31">
        <v>53.25</v>
      </c>
      <c r="F6826" s="3" t="str">
        <f t="shared" si="106"/>
        <v>I0489</v>
      </c>
    </row>
    <row r="6827" spans="1:6" x14ac:dyDescent="0.2">
      <c r="A6827" s="29" t="s">
        <v>17335</v>
      </c>
      <c r="B6827" s="30" t="s">
        <v>17336</v>
      </c>
      <c r="C6827" s="29" t="s">
        <v>26</v>
      </c>
      <c r="D6827" s="31">
        <v>78.349999999999994</v>
      </c>
      <c r="F6827" s="3" t="str">
        <f t="shared" si="106"/>
        <v>I0473</v>
      </c>
    </row>
    <row r="6828" spans="1:6" x14ac:dyDescent="0.2">
      <c r="A6828" s="29" t="s">
        <v>17337</v>
      </c>
      <c r="B6828" s="30" t="s">
        <v>17338</v>
      </c>
      <c r="C6828" s="29" t="s">
        <v>26</v>
      </c>
      <c r="D6828" s="31">
        <v>1.36</v>
      </c>
      <c r="F6828" s="3" t="str">
        <f t="shared" si="106"/>
        <v>I0474</v>
      </c>
    </row>
    <row r="6829" spans="1:6" x14ac:dyDescent="0.2">
      <c r="A6829" s="29" t="s">
        <v>17339</v>
      </c>
      <c r="B6829" s="30" t="s">
        <v>17340</v>
      </c>
      <c r="C6829" s="29" t="s">
        <v>26</v>
      </c>
      <c r="D6829" s="31">
        <v>1.36</v>
      </c>
      <c r="F6829" s="3" t="str">
        <f t="shared" si="106"/>
        <v>I0475</v>
      </c>
    </row>
    <row r="6830" spans="1:6" x14ac:dyDescent="0.2">
      <c r="A6830" s="29" t="s">
        <v>17341</v>
      </c>
      <c r="B6830" s="30" t="s">
        <v>17342</v>
      </c>
      <c r="C6830" s="29" t="s">
        <v>26</v>
      </c>
      <c r="D6830" s="31">
        <v>4.29</v>
      </c>
      <c r="F6830" s="3" t="str">
        <f t="shared" si="106"/>
        <v>I0476</v>
      </c>
    </row>
    <row r="6831" spans="1:6" x14ac:dyDescent="0.2">
      <c r="A6831" s="29" t="s">
        <v>17343</v>
      </c>
      <c r="B6831" s="30" t="s">
        <v>17344</v>
      </c>
      <c r="C6831" s="29" t="s">
        <v>26</v>
      </c>
      <c r="D6831" s="31">
        <v>7.76</v>
      </c>
      <c r="F6831" s="3" t="str">
        <f t="shared" si="106"/>
        <v>I0477</v>
      </c>
    </row>
    <row r="6832" spans="1:6" x14ac:dyDescent="0.2">
      <c r="A6832" s="29" t="s">
        <v>17345</v>
      </c>
      <c r="B6832" s="30" t="s">
        <v>17346</v>
      </c>
      <c r="C6832" s="29" t="s">
        <v>26</v>
      </c>
      <c r="D6832" s="31">
        <v>13.05</v>
      </c>
      <c r="F6832" s="3" t="str">
        <f t="shared" si="106"/>
        <v>I0478</v>
      </c>
    </row>
    <row r="6833" spans="1:6" x14ac:dyDescent="0.2">
      <c r="A6833" s="29" t="s">
        <v>17347</v>
      </c>
      <c r="B6833" s="30" t="s">
        <v>17348</v>
      </c>
      <c r="C6833" s="29" t="s">
        <v>26</v>
      </c>
      <c r="D6833" s="31">
        <v>22.83</v>
      </c>
      <c r="F6833" s="3" t="str">
        <f t="shared" si="106"/>
        <v>I0479</v>
      </c>
    </row>
    <row r="6834" spans="1:6" x14ac:dyDescent="0.2">
      <c r="A6834" s="29" t="s">
        <v>17349</v>
      </c>
      <c r="B6834" s="30" t="s">
        <v>17350</v>
      </c>
      <c r="C6834" s="29" t="s">
        <v>26</v>
      </c>
      <c r="D6834" s="31">
        <v>52.13</v>
      </c>
      <c r="F6834" s="3" t="str">
        <f t="shared" si="106"/>
        <v>I0480</v>
      </c>
    </row>
    <row r="6835" spans="1:6" x14ac:dyDescent="0.2">
      <c r="A6835" s="29" t="s">
        <v>17351</v>
      </c>
      <c r="B6835" s="30" t="s">
        <v>17352</v>
      </c>
      <c r="C6835" s="29" t="s">
        <v>26</v>
      </c>
      <c r="D6835" s="31">
        <v>2.23</v>
      </c>
      <c r="F6835" s="3" t="str">
        <f t="shared" si="106"/>
        <v>I0481</v>
      </c>
    </row>
    <row r="6836" spans="1:6" x14ac:dyDescent="0.2">
      <c r="A6836" s="29" t="s">
        <v>17353</v>
      </c>
      <c r="B6836" s="30" t="s">
        <v>17354</v>
      </c>
      <c r="C6836" s="29" t="s">
        <v>255</v>
      </c>
      <c r="D6836" s="31">
        <v>379.18</v>
      </c>
      <c r="F6836" s="3" t="str">
        <f t="shared" si="106"/>
        <v>I0825</v>
      </c>
    </row>
    <row r="6837" spans="1:6" x14ac:dyDescent="0.2">
      <c r="A6837" s="29" t="s">
        <v>17355</v>
      </c>
      <c r="B6837" s="30" t="s">
        <v>17356</v>
      </c>
      <c r="C6837" s="29" t="s">
        <v>26</v>
      </c>
      <c r="D6837" s="31">
        <v>175.72</v>
      </c>
      <c r="F6837" s="3" t="str">
        <f t="shared" si="106"/>
        <v>I6772</v>
      </c>
    </row>
    <row r="6838" spans="1:6" x14ac:dyDescent="0.2">
      <c r="A6838" s="29" t="s">
        <v>17357</v>
      </c>
      <c r="B6838" s="30" t="s">
        <v>17358</v>
      </c>
      <c r="C6838" s="29" t="s">
        <v>26</v>
      </c>
      <c r="D6838" s="31">
        <v>63.45</v>
      </c>
      <c r="F6838" s="3" t="str">
        <f t="shared" si="106"/>
        <v>I6766</v>
      </c>
    </row>
    <row r="6839" spans="1:6" x14ac:dyDescent="0.2">
      <c r="A6839" s="29" t="s">
        <v>17359</v>
      </c>
      <c r="B6839" s="30" t="s">
        <v>17360</v>
      </c>
      <c r="C6839" s="29" t="s">
        <v>26</v>
      </c>
      <c r="D6839" s="31">
        <v>112.27</v>
      </c>
      <c r="F6839" s="3" t="str">
        <f t="shared" si="106"/>
        <v>I6767</v>
      </c>
    </row>
    <row r="6840" spans="1:6" x14ac:dyDescent="0.2">
      <c r="A6840" s="29" t="s">
        <v>17361</v>
      </c>
      <c r="B6840" s="30" t="s">
        <v>17362</v>
      </c>
      <c r="C6840" s="29" t="s">
        <v>26</v>
      </c>
      <c r="D6840" s="31">
        <v>144.44999999999999</v>
      </c>
      <c r="F6840" s="3" t="str">
        <f t="shared" si="106"/>
        <v>I6768</v>
      </c>
    </row>
    <row r="6841" spans="1:6" x14ac:dyDescent="0.2">
      <c r="A6841" s="29" t="s">
        <v>17363</v>
      </c>
      <c r="B6841" s="30" t="s">
        <v>17364</v>
      </c>
      <c r="C6841" s="29" t="s">
        <v>26</v>
      </c>
      <c r="D6841" s="31">
        <v>155.02000000000001</v>
      </c>
      <c r="F6841" s="3" t="str">
        <f t="shared" si="106"/>
        <v>I6769</v>
      </c>
    </row>
    <row r="6842" spans="1:6" x14ac:dyDescent="0.2">
      <c r="A6842" s="29" t="s">
        <v>17365</v>
      </c>
      <c r="B6842" s="30" t="s">
        <v>17366</v>
      </c>
      <c r="C6842" s="29" t="s">
        <v>26</v>
      </c>
      <c r="D6842" s="31">
        <v>165.59</v>
      </c>
      <c r="F6842" s="3" t="str">
        <f t="shared" si="106"/>
        <v>I6770</v>
      </c>
    </row>
    <row r="6843" spans="1:6" x14ac:dyDescent="0.2">
      <c r="A6843" s="29" t="s">
        <v>17367</v>
      </c>
      <c r="B6843" s="30" t="s">
        <v>17368</v>
      </c>
      <c r="C6843" s="29" t="s">
        <v>26</v>
      </c>
      <c r="D6843" s="31">
        <v>173.47</v>
      </c>
      <c r="F6843" s="3" t="str">
        <f t="shared" si="106"/>
        <v>I6771</v>
      </c>
    </row>
    <row r="6844" spans="1:6" x14ac:dyDescent="0.2">
      <c r="A6844" s="29" t="s">
        <v>17369</v>
      </c>
      <c r="B6844" s="30" t="s">
        <v>17370</v>
      </c>
      <c r="C6844" s="29" t="s">
        <v>26</v>
      </c>
      <c r="D6844" s="31">
        <v>7.74</v>
      </c>
      <c r="F6844" s="3" t="str">
        <f t="shared" si="106"/>
        <v>I0874</v>
      </c>
    </row>
    <row r="6845" spans="1:6" x14ac:dyDescent="0.2">
      <c r="A6845" s="29" t="s">
        <v>17371</v>
      </c>
      <c r="B6845" s="30" t="s">
        <v>17372</v>
      </c>
      <c r="C6845" s="29" t="s">
        <v>26</v>
      </c>
      <c r="D6845" s="31">
        <v>11.58</v>
      </c>
      <c r="F6845" s="3" t="str">
        <f t="shared" si="106"/>
        <v>I0878</v>
      </c>
    </row>
    <row r="6846" spans="1:6" x14ac:dyDescent="0.2">
      <c r="A6846" s="29" t="s">
        <v>17373</v>
      </c>
      <c r="B6846" s="30" t="s">
        <v>17374</v>
      </c>
      <c r="C6846" s="29" t="s">
        <v>26</v>
      </c>
      <c r="D6846" s="31">
        <v>36.299999999999997</v>
      </c>
      <c r="F6846" s="3" t="str">
        <f t="shared" si="106"/>
        <v>I0871</v>
      </c>
    </row>
    <row r="6847" spans="1:6" x14ac:dyDescent="0.2">
      <c r="A6847" s="29" t="s">
        <v>17375</v>
      </c>
      <c r="B6847" s="30" t="s">
        <v>17376</v>
      </c>
      <c r="C6847" s="29" t="s">
        <v>26</v>
      </c>
      <c r="D6847" s="31">
        <v>27.25</v>
      </c>
      <c r="F6847" s="3" t="str">
        <f t="shared" si="106"/>
        <v>I0872</v>
      </c>
    </row>
    <row r="6848" spans="1:6" x14ac:dyDescent="0.2">
      <c r="A6848" s="29" t="s">
        <v>17377</v>
      </c>
      <c r="B6848" s="30" t="s">
        <v>17378</v>
      </c>
      <c r="C6848" s="29" t="s">
        <v>26</v>
      </c>
      <c r="D6848" s="31">
        <v>17.39</v>
      </c>
      <c r="F6848" s="3" t="str">
        <f t="shared" si="106"/>
        <v>I0873</v>
      </c>
    </row>
    <row r="6849" spans="1:6" x14ac:dyDescent="0.2">
      <c r="A6849" s="29" t="s">
        <v>17379</v>
      </c>
      <c r="B6849" s="30" t="s">
        <v>17380</v>
      </c>
      <c r="C6849" s="29" t="s">
        <v>26</v>
      </c>
      <c r="D6849" s="31">
        <v>101.37</v>
      </c>
      <c r="F6849" s="3" t="str">
        <f t="shared" si="106"/>
        <v>I0875</v>
      </c>
    </row>
    <row r="6850" spans="1:6" x14ac:dyDescent="0.2">
      <c r="A6850" s="29" t="s">
        <v>17381</v>
      </c>
      <c r="B6850" s="30" t="s">
        <v>17382</v>
      </c>
      <c r="C6850" s="29" t="s">
        <v>26</v>
      </c>
      <c r="D6850" s="31">
        <v>55.7</v>
      </c>
      <c r="F6850" s="3" t="str">
        <f t="shared" ref="F6850:F6913" si="107">A6850</f>
        <v>I0876</v>
      </c>
    </row>
    <row r="6851" spans="1:6" x14ac:dyDescent="0.2">
      <c r="A6851" s="29" t="s">
        <v>17383</v>
      </c>
      <c r="B6851" s="30" t="s">
        <v>17384</v>
      </c>
      <c r="C6851" s="29" t="s">
        <v>26</v>
      </c>
      <c r="D6851" s="31">
        <v>142.97999999999999</v>
      </c>
      <c r="F6851" s="3" t="str">
        <f t="shared" si="107"/>
        <v>I0877</v>
      </c>
    </row>
    <row r="6852" spans="1:6" x14ac:dyDescent="0.2">
      <c r="A6852" s="29" t="s">
        <v>17385</v>
      </c>
      <c r="B6852" s="30" t="s">
        <v>17386</v>
      </c>
      <c r="C6852" s="29" t="s">
        <v>26</v>
      </c>
      <c r="D6852" s="31">
        <v>271.92</v>
      </c>
      <c r="F6852" s="3" t="str">
        <f t="shared" si="107"/>
        <v>I0879</v>
      </c>
    </row>
    <row r="6853" spans="1:6" x14ac:dyDescent="0.2">
      <c r="A6853" s="29" t="s">
        <v>17387</v>
      </c>
      <c r="B6853" s="30" t="s">
        <v>17388</v>
      </c>
      <c r="C6853" s="29" t="s">
        <v>26</v>
      </c>
      <c r="D6853" s="31">
        <v>396.77</v>
      </c>
      <c r="F6853" s="3" t="str">
        <f t="shared" si="107"/>
        <v>I0880</v>
      </c>
    </row>
    <row r="6854" spans="1:6" x14ac:dyDescent="0.2">
      <c r="A6854" s="29" t="s">
        <v>17389</v>
      </c>
      <c r="B6854" s="30" t="s">
        <v>17390</v>
      </c>
      <c r="C6854" s="29" t="s">
        <v>26</v>
      </c>
      <c r="D6854" s="31">
        <v>1014.11</v>
      </c>
      <c r="F6854" s="3" t="str">
        <f t="shared" si="107"/>
        <v>I0881</v>
      </c>
    </row>
    <row r="6855" spans="1:6" x14ac:dyDescent="0.2">
      <c r="A6855" s="29" t="s">
        <v>17391</v>
      </c>
      <c r="B6855" s="30" t="s">
        <v>17392</v>
      </c>
      <c r="C6855" s="29" t="s">
        <v>26</v>
      </c>
      <c r="D6855" s="31">
        <v>226.09</v>
      </c>
      <c r="F6855" s="3" t="str">
        <f t="shared" si="107"/>
        <v>I0882</v>
      </c>
    </row>
    <row r="6856" spans="1:6" x14ac:dyDescent="0.2">
      <c r="A6856" s="29" t="s">
        <v>17393</v>
      </c>
      <c r="B6856" s="30" t="s">
        <v>17394</v>
      </c>
      <c r="C6856" s="29" t="s">
        <v>26</v>
      </c>
      <c r="D6856" s="31">
        <v>0.65</v>
      </c>
      <c r="F6856" s="3" t="str">
        <f t="shared" si="107"/>
        <v>I0883</v>
      </c>
    </row>
    <row r="6857" spans="1:6" x14ac:dyDescent="0.2">
      <c r="A6857" s="29" t="s">
        <v>17395</v>
      </c>
      <c r="B6857" s="30" t="s">
        <v>17396</v>
      </c>
      <c r="C6857" s="29" t="s">
        <v>26</v>
      </c>
      <c r="D6857" s="31">
        <v>0.79</v>
      </c>
      <c r="F6857" s="3" t="str">
        <f t="shared" si="107"/>
        <v>I0884</v>
      </c>
    </row>
    <row r="6858" spans="1:6" x14ac:dyDescent="0.2">
      <c r="A6858" s="29" t="s">
        <v>17397</v>
      </c>
      <c r="B6858" s="30" t="s">
        <v>17398</v>
      </c>
      <c r="C6858" s="29" t="s">
        <v>26</v>
      </c>
      <c r="D6858" s="31">
        <v>2.65</v>
      </c>
      <c r="F6858" s="3" t="str">
        <f t="shared" si="107"/>
        <v>I0885</v>
      </c>
    </row>
    <row r="6859" spans="1:6" x14ac:dyDescent="0.2">
      <c r="A6859" s="29" t="s">
        <v>17399</v>
      </c>
      <c r="B6859" s="30" t="s">
        <v>17400</v>
      </c>
      <c r="C6859" s="29" t="s">
        <v>26</v>
      </c>
      <c r="D6859" s="31">
        <v>6.45</v>
      </c>
      <c r="F6859" s="3" t="str">
        <f t="shared" si="107"/>
        <v>I0886</v>
      </c>
    </row>
    <row r="6860" spans="1:6" x14ac:dyDescent="0.2">
      <c r="A6860" s="29" t="s">
        <v>17401</v>
      </c>
      <c r="B6860" s="30" t="s">
        <v>17402</v>
      </c>
      <c r="C6860" s="29" t="s">
        <v>26</v>
      </c>
      <c r="D6860" s="31">
        <v>5.46</v>
      </c>
      <c r="F6860" s="3" t="str">
        <f t="shared" si="107"/>
        <v>I0887</v>
      </c>
    </row>
    <row r="6861" spans="1:6" x14ac:dyDescent="0.2">
      <c r="A6861" s="29" t="s">
        <v>17403</v>
      </c>
      <c r="B6861" s="30" t="s">
        <v>17404</v>
      </c>
      <c r="C6861" s="29" t="s">
        <v>26</v>
      </c>
      <c r="D6861" s="31">
        <v>31.64</v>
      </c>
      <c r="F6861" s="3" t="str">
        <f t="shared" si="107"/>
        <v>I0888</v>
      </c>
    </row>
    <row r="6862" spans="1:6" x14ac:dyDescent="0.2">
      <c r="A6862" s="29" t="s">
        <v>17405</v>
      </c>
      <c r="B6862" s="30" t="s">
        <v>17406</v>
      </c>
      <c r="C6862" s="29" t="s">
        <v>26</v>
      </c>
      <c r="D6862" s="31">
        <v>66.709999999999994</v>
      </c>
      <c r="F6862" s="3" t="str">
        <f t="shared" si="107"/>
        <v>I0889</v>
      </c>
    </row>
    <row r="6863" spans="1:6" x14ac:dyDescent="0.2">
      <c r="A6863" s="29" t="s">
        <v>17407</v>
      </c>
      <c r="B6863" s="30" t="s">
        <v>17408</v>
      </c>
      <c r="C6863" s="29" t="s">
        <v>26</v>
      </c>
      <c r="D6863" s="31">
        <v>111.58</v>
      </c>
      <c r="F6863" s="3" t="str">
        <f t="shared" si="107"/>
        <v>I0890</v>
      </c>
    </row>
    <row r="6864" spans="1:6" x14ac:dyDescent="0.2">
      <c r="A6864" s="29" t="s">
        <v>17409</v>
      </c>
      <c r="B6864" s="30" t="s">
        <v>17410</v>
      </c>
      <c r="C6864" s="29" t="s">
        <v>26</v>
      </c>
      <c r="D6864" s="31">
        <v>13.01</v>
      </c>
      <c r="F6864" s="3" t="str">
        <f t="shared" si="107"/>
        <v>I0893</v>
      </c>
    </row>
    <row r="6865" spans="1:6" x14ac:dyDescent="0.2">
      <c r="A6865" s="29" t="s">
        <v>17411</v>
      </c>
      <c r="B6865" s="30" t="s">
        <v>17412</v>
      </c>
      <c r="C6865" s="29" t="s">
        <v>26</v>
      </c>
      <c r="D6865" s="31">
        <v>22.61</v>
      </c>
      <c r="F6865" s="3" t="str">
        <f t="shared" si="107"/>
        <v>I0891</v>
      </c>
    </row>
    <row r="6866" spans="1:6" x14ac:dyDescent="0.2">
      <c r="A6866" s="29" t="s">
        <v>17413</v>
      </c>
      <c r="B6866" s="30" t="s">
        <v>17414</v>
      </c>
      <c r="C6866" s="29" t="s">
        <v>26</v>
      </c>
      <c r="D6866" s="31">
        <v>120.31</v>
      </c>
      <c r="F6866" s="3" t="str">
        <f t="shared" si="107"/>
        <v>I0892</v>
      </c>
    </row>
    <row r="6867" spans="1:6" x14ac:dyDescent="0.2">
      <c r="A6867" s="29" t="s">
        <v>17415</v>
      </c>
      <c r="B6867" s="30" t="s">
        <v>17416</v>
      </c>
      <c r="C6867" s="29" t="s">
        <v>26</v>
      </c>
      <c r="D6867" s="31">
        <v>24.01</v>
      </c>
      <c r="F6867" s="3" t="str">
        <f t="shared" si="107"/>
        <v>I0896</v>
      </c>
    </row>
    <row r="6868" spans="1:6" x14ac:dyDescent="0.2">
      <c r="A6868" s="29" t="s">
        <v>17417</v>
      </c>
      <c r="B6868" s="30" t="s">
        <v>17418</v>
      </c>
      <c r="C6868" s="29" t="s">
        <v>26</v>
      </c>
      <c r="D6868" s="31">
        <v>32.96</v>
      </c>
      <c r="F6868" s="3" t="str">
        <f t="shared" si="107"/>
        <v>I6233</v>
      </c>
    </row>
    <row r="6869" spans="1:6" x14ac:dyDescent="0.2">
      <c r="A6869" s="29" t="s">
        <v>17419</v>
      </c>
      <c r="B6869" s="30" t="s">
        <v>17420</v>
      </c>
      <c r="C6869" s="29" t="s">
        <v>26</v>
      </c>
      <c r="D6869" s="31">
        <v>67.06</v>
      </c>
      <c r="F6869" s="3" t="str">
        <f t="shared" si="107"/>
        <v>I0895</v>
      </c>
    </row>
    <row r="6870" spans="1:6" x14ac:dyDescent="0.2">
      <c r="A6870" s="29" t="s">
        <v>17421</v>
      </c>
      <c r="B6870" s="30" t="s">
        <v>17422</v>
      </c>
      <c r="C6870" s="29" t="s">
        <v>26</v>
      </c>
      <c r="D6870" s="31">
        <v>213.9</v>
      </c>
      <c r="F6870" s="3" t="str">
        <f t="shared" si="107"/>
        <v>I0897</v>
      </c>
    </row>
    <row r="6871" spans="1:6" x14ac:dyDescent="0.2">
      <c r="A6871" s="29" t="s">
        <v>17423</v>
      </c>
      <c r="B6871" s="30" t="s">
        <v>17424</v>
      </c>
      <c r="C6871" s="29" t="s">
        <v>26</v>
      </c>
      <c r="D6871" s="31">
        <v>118.23</v>
      </c>
      <c r="F6871" s="3" t="str">
        <f t="shared" si="107"/>
        <v>I6234</v>
      </c>
    </row>
    <row r="6872" spans="1:6" x14ac:dyDescent="0.2">
      <c r="A6872" s="29" t="s">
        <v>17425</v>
      </c>
      <c r="B6872" s="30" t="s">
        <v>17426</v>
      </c>
      <c r="C6872" s="29" t="s">
        <v>26</v>
      </c>
      <c r="D6872" s="31">
        <v>8.3699999999999992</v>
      </c>
      <c r="F6872" s="3" t="str">
        <f t="shared" si="107"/>
        <v>I0902</v>
      </c>
    </row>
    <row r="6873" spans="1:6" x14ac:dyDescent="0.2">
      <c r="A6873" s="29" t="s">
        <v>17427</v>
      </c>
      <c r="B6873" s="30" t="s">
        <v>17428</v>
      </c>
      <c r="C6873" s="29" t="s">
        <v>26</v>
      </c>
      <c r="D6873" s="31">
        <v>14.7</v>
      </c>
      <c r="F6873" s="3" t="str">
        <f t="shared" si="107"/>
        <v>I0904</v>
      </c>
    </row>
    <row r="6874" spans="1:6" x14ac:dyDescent="0.2">
      <c r="A6874" s="29" t="s">
        <v>17429</v>
      </c>
      <c r="B6874" s="30" t="s">
        <v>17430</v>
      </c>
      <c r="C6874" s="29" t="s">
        <v>26</v>
      </c>
      <c r="D6874" s="31">
        <v>33.979999999999997</v>
      </c>
      <c r="F6874" s="3" t="str">
        <f t="shared" si="107"/>
        <v>I0900</v>
      </c>
    </row>
    <row r="6875" spans="1:6" x14ac:dyDescent="0.2">
      <c r="A6875" s="29" t="s">
        <v>17431</v>
      </c>
      <c r="B6875" s="30" t="s">
        <v>17432</v>
      </c>
      <c r="C6875" s="29" t="s">
        <v>26</v>
      </c>
      <c r="D6875" s="31">
        <v>24.58</v>
      </c>
      <c r="F6875" s="3" t="str">
        <f t="shared" si="107"/>
        <v>I0901</v>
      </c>
    </row>
    <row r="6876" spans="1:6" x14ac:dyDescent="0.2">
      <c r="A6876" s="29" t="s">
        <v>17433</v>
      </c>
      <c r="B6876" s="30" t="s">
        <v>17434</v>
      </c>
      <c r="C6876" s="29" t="s">
        <v>26</v>
      </c>
      <c r="D6876" s="31">
        <v>13</v>
      </c>
      <c r="F6876" s="3" t="str">
        <f t="shared" si="107"/>
        <v>I0899</v>
      </c>
    </row>
    <row r="6877" spans="1:6" x14ac:dyDescent="0.2">
      <c r="A6877" s="29" t="s">
        <v>17435</v>
      </c>
      <c r="B6877" s="30" t="s">
        <v>17436</v>
      </c>
      <c r="C6877" s="29" t="s">
        <v>26</v>
      </c>
      <c r="D6877" s="31">
        <v>39.42</v>
      </c>
      <c r="F6877" s="3" t="str">
        <f t="shared" si="107"/>
        <v>I0903</v>
      </c>
    </row>
    <row r="6878" spans="1:6" x14ac:dyDescent="0.2">
      <c r="A6878" s="29" t="s">
        <v>17437</v>
      </c>
      <c r="B6878" s="30" t="s">
        <v>17438</v>
      </c>
      <c r="C6878" s="29" t="s">
        <v>26</v>
      </c>
      <c r="D6878" s="31">
        <v>141.1</v>
      </c>
      <c r="F6878" s="3" t="str">
        <f t="shared" si="107"/>
        <v>I0906</v>
      </c>
    </row>
    <row r="6879" spans="1:6" x14ac:dyDescent="0.2">
      <c r="A6879" s="29" t="s">
        <v>17439</v>
      </c>
      <c r="B6879" s="30" t="s">
        <v>17440</v>
      </c>
      <c r="C6879" s="29" t="s">
        <v>26</v>
      </c>
      <c r="D6879" s="31">
        <v>6.14</v>
      </c>
      <c r="F6879" s="3" t="str">
        <f t="shared" si="107"/>
        <v>I0907</v>
      </c>
    </row>
    <row r="6880" spans="1:6" x14ac:dyDescent="0.2">
      <c r="A6880" s="29" t="s">
        <v>17441</v>
      </c>
      <c r="B6880" s="30" t="s">
        <v>17442</v>
      </c>
      <c r="C6880" s="29" t="s">
        <v>26</v>
      </c>
      <c r="D6880" s="31">
        <v>9.1199999999999992</v>
      </c>
      <c r="F6880" s="3" t="str">
        <f t="shared" si="107"/>
        <v>I0908</v>
      </c>
    </row>
    <row r="6881" spans="1:6" x14ac:dyDescent="0.2">
      <c r="A6881" s="29" t="s">
        <v>17443</v>
      </c>
      <c r="B6881" s="30" t="s">
        <v>17444</v>
      </c>
      <c r="C6881" s="29" t="s">
        <v>26</v>
      </c>
      <c r="D6881" s="31">
        <v>9.7899999999999991</v>
      </c>
      <c r="F6881" s="3" t="str">
        <f t="shared" si="107"/>
        <v>I0905</v>
      </c>
    </row>
    <row r="6882" spans="1:6" x14ac:dyDescent="0.2">
      <c r="A6882" s="29" t="s">
        <v>17445</v>
      </c>
      <c r="B6882" s="30" t="s">
        <v>17446</v>
      </c>
      <c r="C6882" s="29" t="s">
        <v>26</v>
      </c>
      <c r="D6882" s="31">
        <v>12.32</v>
      </c>
      <c r="F6882" s="3" t="str">
        <f t="shared" si="107"/>
        <v>I0909</v>
      </c>
    </row>
    <row r="6883" spans="1:6" x14ac:dyDescent="0.2">
      <c r="A6883" s="29" t="s">
        <v>17447</v>
      </c>
      <c r="B6883" s="30" t="s">
        <v>17448</v>
      </c>
      <c r="C6883" s="29" t="s">
        <v>26</v>
      </c>
      <c r="D6883" s="31">
        <v>25.45</v>
      </c>
      <c r="F6883" s="3" t="str">
        <f t="shared" si="107"/>
        <v>I0910</v>
      </c>
    </row>
    <row r="6884" spans="1:6" x14ac:dyDescent="0.2">
      <c r="A6884" s="29" t="s">
        <v>17449</v>
      </c>
      <c r="B6884" s="30" t="s">
        <v>17450</v>
      </c>
      <c r="C6884" s="29" t="s">
        <v>26</v>
      </c>
      <c r="D6884" s="31">
        <v>27.44</v>
      </c>
      <c r="F6884" s="3" t="str">
        <f t="shared" si="107"/>
        <v>I0911</v>
      </c>
    </row>
    <row r="6885" spans="1:6" x14ac:dyDescent="0.2">
      <c r="A6885" s="29" t="s">
        <v>17451</v>
      </c>
      <c r="B6885" s="30" t="s">
        <v>17452</v>
      </c>
      <c r="C6885" s="29" t="s">
        <v>26</v>
      </c>
      <c r="D6885" s="31">
        <v>38.630000000000003</v>
      </c>
      <c r="F6885" s="3" t="str">
        <f t="shared" si="107"/>
        <v>I0913</v>
      </c>
    </row>
    <row r="6886" spans="1:6" x14ac:dyDescent="0.2">
      <c r="A6886" s="29" t="s">
        <v>17453</v>
      </c>
      <c r="B6886" s="30" t="s">
        <v>17454</v>
      </c>
      <c r="C6886" s="29" t="s">
        <v>26</v>
      </c>
      <c r="D6886" s="31">
        <v>70.05</v>
      </c>
      <c r="F6886" s="3" t="str">
        <f t="shared" si="107"/>
        <v>I0912</v>
      </c>
    </row>
    <row r="6887" spans="1:6" x14ac:dyDescent="0.2">
      <c r="A6887" s="29" t="s">
        <v>17455</v>
      </c>
      <c r="B6887" s="30" t="s">
        <v>17456</v>
      </c>
      <c r="C6887" s="29" t="s">
        <v>26</v>
      </c>
      <c r="D6887" s="31">
        <v>17.239999999999998</v>
      </c>
      <c r="F6887" s="3" t="str">
        <f t="shared" si="107"/>
        <v>I0931</v>
      </c>
    </row>
    <row r="6888" spans="1:6" x14ac:dyDescent="0.2">
      <c r="A6888" s="29" t="s">
        <v>17457</v>
      </c>
      <c r="B6888" s="30" t="s">
        <v>17458</v>
      </c>
      <c r="C6888" s="29" t="s">
        <v>26</v>
      </c>
      <c r="D6888" s="31">
        <v>233.93</v>
      </c>
      <c r="F6888" s="3" t="str">
        <f t="shared" si="107"/>
        <v>I0932</v>
      </c>
    </row>
    <row r="6889" spans="1:6" x14ac:dyDescent="0.2">
      <c r="A6889" s="29" t="s">
        <v>17459</v>
      </c>
      <c r="B6889" s="30" t="s">
        <v>17460</v>
      </c>
      <c r="C6889" s="29" t="s">
        <v>26</v>
      </c>
      <c r="D6889" s="31">
        <v>670.74</v>
      </c>
      <c r="F6889" s="3" t="str">
        <f t="shared" si="107"/>
        <v>I0933</v>
      </c>
    </row>
    <row r="6890" spans="1:6" x14ac:dyDescent="0.2">
      <c r="A6890" s="29" t="s">
        <v>17461</v>
      </c>
      <c r="B6890" s="30" t="s">
        <v>17462</v>
      </c>
      <c r="C6890" s="29" t="s">
        <v>26</v>
      </c>
      <c r="D6890" s="31">
        <v>30.81</v>
      </c>
      <c r="F6890" s="3" t="str">
        <f t="shared" si="107"/>
        <v>I8647</v>
      </c>
    </row>
    <row r="6891" spans="1:6" x14ac:dyDescent="0.2">
      <c r="A6891" s="29" t="s">
        <v>17463</v>
      </c>
      <c r="B6891" s="30" t="s">
        <v>17464</v>
      </c>
      <c r="C6891" s="29" t="s">
        <v>26</v>
      </c>
      <c r="D6891" s="31">
        <v>728.37</v>
      </c>
      <c r="F6891" s="3" t="str">
        <f t="shared" si="107"/>
        <v>I0934</v>
      </c>
    </row>
    <row r="6892" spans="1:6" x14ac:dyDescent="0.2">
      <c r="A6892" s="29" t="s">
        <v>17465</v>
      </c>
      <c r="B6892" s="30" t="s">
        <v>17466</v>
      </c>
      <c r="C6892" s="29" t="s">
        <v>26</v>
      </c>
      <c r="D6892" s="31">
        <v>4.75</v>
      </c>
      <c r="F6892" s="3" t="str">
        <f t="shared" si="107"/>
        <v>I0937</v>
      </c>
    </row>
    <row r="6893" spans="1:6" x14ac:dyDescent="0.2">
      <c r="A6893" s="29" t="s">
        <v>17467</v>
      </c>
      <c r="B6893" s="30" t="s">
        <v>17468</v>
      </c>
      <c r="C6893" s="29" t="s">
        <v>26</v>
      </c>
      <c r="D6893" s="31">
        <v>10.73</v>
      </c>
      <c r="F6893" s="3" t="str">
        <f t="shared" si="107"/>
        <v>I0938</v>
      </c>
    </row>
    <row r="6894" spans="1:6" x14ac:dyDescent="0.2">
      <c r="A6894" s="29" t="s">
        <v>17469</v>
      </c>
      <c r="B6894" s="30" t="s">
        <v>17470</v>
      </c>
      <c r="C6894" s="29" t="s">
        <v>26</v>
      </c>
      <c r="D6894" s="31">
        <v>36.229999999999997</v>
      </c>
      <c r="F6894" s="3" t="str">
        <f t="shared" si="107"/>
        <v>I0936</v>
      </c>
    </row>
    <row r="6895" spans="1:6" x14ac:dyDescent="0.2">
      <c r="A6895" s="29" t="s">
        <v>17471</v>
      </c>
      <c r="B6895" s="30" t="s">
        <v>17472</v>
      </c>
      <c r="C6895" s="29" t="s">
        <v>26</v>
      </c>
      <c r="D6895" s="31">
        <v>55.61</v>
      </c>
      <c r="F6895" s="3" t="str">
        <f t="shared" si="107"/>
        <v>I0940</v>
      </c>
    </row>
    <row r="6896" spans="1:6" x14ac:dyDescent="0.2">
      <c r="A6896" s="29" t="s">
        <v>17473</v>
      </c>
      <c r="B6896" s="30" t="s">
        <v>17474</v>
      </c>
      <c r="C6896" s="29" t="s">
        <v>26</v>
      </c>
      <c r="D6896" s="31">
        <v>88.28</v>
      </c>
      <c r="F6896" s="3" t="str">
        <f t="shared" si="107"/>
        <v>I0941</v>
      </c>
    </row>
    <row r="6897" spans="1:6" x14ac:dyDescent="0.2">
      <c r="A6897" s="29" t="s">
        <v>17475</v>
      </c>
      <c r="B6897" s="30" t="s">
        <v>17476</v>
      </c>
      <c r="C6897" s="29" t="s">
        <v>26</v>
      </c>
      <c r="D6897" s="31">
        <v>307.39</v>
      </c>
      <c r="F6897" s="3" t="str">
        <f t="shared" si="107"/>
        <v>I0942</v>
      </c>
    </row>
    <row r="6898" spans="1:6" x14ac:dyDescent="0.2">
      <c r="A6898" s="29" t="s">
        <v>17477</v>
      </c>
      <c r="B6898" s="30" t="s">
        <v>17478</v>
      </c>
      <c r="C6898" s="29" t="s">
        <v>26</v>
      </c>
      <c r="D6898" s="31">
        <v>294.77</v>
      </c>
      <c r="F6898" s="3" t="str">
        <f t="shared" si="107"/>
        <v>I0935</v>
      </c>
    </row>
    <row r="6899" spans="1:6" x14ac:dyDescent="0.2">
      <c r="A6899" s="29" t="s">
        <v>17479</v>
      </c>
      <c r="B6899" s="30" t="s">
        <v>17480</v>
      </c>
      <c r="C6899" s="29" t="s">
        <v>26</v>
      </c>
      <c r="D6899" s="31">
        <v>18.43</v>
      </c>
      <c r="F6899" s="3" t="str">
        <f t="shared" si="107"/>
        <v>I0939</v>
      </c>
    </row>
    <row r="6900" spans="1:6" x14ac:dyDescent="0.2">
      <c r="A6900" s="29" t="s">
        <v>17481</v>
      </c>
      <c r="B6900" s="30" t="s">
        <v>17482</v>
      </c>
      <c r="C6900" s="29" t="s">
        <v>26</v>
      </c>
      <c r="D6900" s="31">
        <v>58.44</v>
      </c>
      <c r="F6900" s="3" t="str">
        <f t="shared" si="107"/>
        <v>I2298</v>
      </c>
    </row>
    <row r="6901" spans="1:6" x14ac:dyDescent="0.2">
      <c r="A6901" s="29" t="s">
        <v>17483</v>
      </c>
      <c r="B6901" s="30" t="s">
        <v>17484</v>
      </c>
      <c r="C6901" s="29" t="s">
        <v>26</v>
      </c>
      <c r="D6901" s="31">
        <v>3.26</v>
      </c>
      <c r="F6901" s="3" t="str">
        <f t="shared" si="107"/>
        <v>I2297</v>
      </c>
    </row>
    <row r="6902" spans="1:6" x14ac:dyDescent="0.2">
      <c r="A6902" s="29" t="s">
        <v>17485</v>
      </c>
      <c r="B6902" s="30" t="s">
        <v>17486</v>
      </c>
      <c r="C6902" s="29" t="s">
        <v>26</v>
      </c>
      <c r="D6902" s="31">
        <v>5.54</v>
      </c>
      <c r="F6902" s="3" t="str">
        <f t="shared" si="107"/>
        <v>I8575</v>
      </c>
    </row>
    <row r="6903" spans="1:6" x14ac:dyDescent="0.2">
      <c r="A6903" s="29" t="s">
        <v>17487</v>
      </c>
      <c r="B6903" s="30" t="s">
        <v>11213</v>
      </c>
      <c r="C6903" s="29" t="s">
        <v>26</v>
      </c>
      <c r="D6903" s="31">
        <v>99.37</v>
      </c>
      <c r="F6903" s="3" t="str">
        <f t="shared" si="107"/>
        <v>I8237</v>
      </c>
    </row>
    <row r="6904" spans="1:6" ht="22.5" x14ac:dyDescent="0.2">
      <c r="A6904" s="29" t="s">
        <v>17488</v>
      </c>
      <c r="B6904" s="30" t="s">
        <v>17489</v>
      </c>
      <c r="C6904" s="29" t="s">
        <v>26</v>
      </c>
      <c r="D6904" s="31">
        <v>236.3</v>
      </c>
      <c r="F6904" s="3" t="str">
        <f t="shared" si="107"/>
        <v>I8574</v>
      </c>
    </row>
    <row r="6905" spans="1:6" x14ac:dyDescent="0.2">
      <c r="A6905" s="29" t="s">
        <v>17490</v>
      </c>
      <c r="B6905" s="30" t="s">
        <v>17491</v>
      </c>
      <c r="C6905" s="29" t="s">
        <v>0</v>
      </c>
      <c r="D6905" s="31">
        <v>0.36</v>
      </c>
      <c r="F6905" s="3" t="str">
        <f t="shared" si="107"/>
        <v>I1180</v>
      </c>
    </row>
    <row r="6906" spans="1:6" x14ac:dyDescent="0.2">
      <c r="A6906" s="29" t="s">
        <v>17492</v>
      </c>
      <c r="B6906" s="30" t="s">
        <v>17493</v>
      </c>
      <c r="C6906" s="29" t="s">
        <v>26</v>
      </c>
      <c r="D6906" s="31">
        <v>9.1</v>
      </c>
      <c r="F6906" s="3" t="str">
        <f t="shared" si="107"/>
        <v>I2344</v>
      </c>
    </row>
    <row r="6907" spans="1:6" x14ac:dyDescent="0.2">
      <c r="A6907" s="29" t="s">
        <v>17494</v>
      </c>
      <c r="B6907" s="30" t="s">
        <v>17495</v>
      </c>
      <c r="C6907" s="29" t="s">
        <v>26</v>
      </c>
      <c r="D6907" s="31">
        <v>46.9</v>
      </c>
      <c r="F6907" s="3" t="str">
        <f t="shared" si="107"/>
        <v>I1188</v>
      </c>
    </row>
    <row r="6908" spans="1:6" x14ac:dyDescent="0.2">
      <c r="A6908" s="29" t="s">
        <v>17496</v>
      </c>
      <c r="B6908" s="30" t="s">
        <v>17497</v>
      </c>
      <c r="C6908" s="29" t="s">
        <v>26</v>
      </c>
      <c r="D6908" s="31">
        <v>20.53</v>
      </c>
      <c r="F6908" s="3" t="str">
        <f t="shared" si="107"/>
        <v>I1189</v>
      </c>
    </row>
    <row r="6909" spans="1:6" x14ac:dyDescent="0.2">
      <c r="A6909" s="29" t="s">
        <v>17498</v>
      </c>
      <c r="B6909" s="30" t="s">
        <v>17499</v>
      </c>
      <c r="C6909" s="29" t="s">
        <v>26</v>
      </c>
      <c r="D6909" s="31">
        <v>110.13</v>
      </c>
      <c r="F6909" s="3" t="str">
        <f t="shared" si="107"/>
        <v>I1190</v>
      </c>
    </row>
    <row r="6910" spans="1:6" x14ac:dyDescent="0.2">
      <c r="A6910" s="29" t="s">
        <v>17500</v>
      </c>
      <c r="B6910" s="30" t="s">
        <v>17501</v>
      </c>
      <c r="C6910" s="29" t="s">
        <v>26</v>
      </c>
      <c r="D6910" s="31">
        <v>220.14</v>
      </c>
      <c r="F6910" s="3" t="str">
        <f t="shared" si="107"/>
        <v>I1191</v>
      </c>
    </row>
    <row r="6911" spans="1:6" x14ac:dyDescent="0.2">
      <c r="A6911" s="29" t="s">
        <v>17502</v>
      </c>
      <c r="B6911" s="30" t="s">
        <v>17503</v>
      </c>
      <c r="C6911" s="29" t="s">
        <v>26</v>
      </c>
      <c r="D6911" s="31">
        <v>68.34</v>
      </c>
      <c r="F6911" s="3" t="str">
        <f t="shared" si="107"/>
        <v>I1232</v>
      </c>
    </row>
    <row r="6912" spans="1:6" x14ac:dyDescent="0.2">
      <c r="A6912" s="29" t="s">
        <v>17504</v>
      </c>
      <c r="B6912" s="30" t="s">
        <v>11490</v>
      </c>
      <c r="C6912" s="29" t="s">
        <v>26</v>
      </c>
      <c r="D6912" s="31">
        <v>153.72999999999999</v>
      </c>
      <c r="F6912" s="3" t="str">
        <f t="shared" si="107"/>
        <v>I7493</v>
      </c>
    </row>
    <row r="6913" spans="1:6" x14ac:dyDescent="0.2">
      <c r="A6913" s="29" t="s">
        <v>17505</v>
      </c>
      <c r="B6913" s="30" t="s">
        <v>17506</v>
      </c>
      <c r="C6913" s="29" t="s">
        <v>26</v>
      </c>
      <c r="D6913" s="31">
        <v>855.62</v>
      </c>
      <c r="F6913" s="3" t="str">
        <f t="shared" si="107"/>
        <v>I1246</v>
      </c>
    </row>
    <row r="6914" spans="1:6" x14ac:dyDescent="0.2">
      <c r="A6914" s="29" t="s">
        <v>17507</v>
      </c>
      <c r="B6914" s="30" t="s">
        <v>11223</v>
      </c>
      <c r="C6914" s="29" t="s">
        <v>26</v>
      </c>
      <c r="D6914" s="31">
        <v>1003.63</v>
      </c>
      <c r="F6914" s="3" t="str">
        <f t="shared" ref="F6914:F6977" si="108">A6914</f>
        <v>I8205</v>
      </c>
    </row>
    <row r="6915" spans="1:6" x14ac:dyDescent="0.2">
      <c r="A6915" s="29" t="s">
        <v>17508</v>
      </c>
      <c r="B6915" s="30" t="s">
        <v>17509</v>
      </c>
      <c r="C6915" s="29" t="s">
        <v>26</v>
      </c>
      <c r="D6915" s="31">
        <v>2.48</v>
      </c>
      <c r="F6915" s="3" t="str">
        <f t="shared" si="108"/>
        <v>I8240</v>
      </c>
    </row>
    <row r="6916" spans="1:6" x14ac:dyDescent="0.2">
      <c r="A6916" s="29" t="s">
        <v>17510</v>
      </c>
      <c r="B6916" s="30" t="s">
        <v>17511</v>
      </c>
      <c r="C6916" s="29" t="s">
        <v>26</v>
      </c>
      <c r="D6916" s="31">
        <v>4.0199999999999996</v>
      </c>
      <c r="F6916" s="3" t="str">
        <f t="shared" si="108"/>
        <v>I6235</v>
      </c>
    </row>
    <row r="6917" spans="1:6" x14ac:dyDescent="0.2">
      <c r="A6917" s="29" t="s">
        <v>17512</v>
      </c>
      <c r="B6917" s="30" t="s">
        <v>17513</v>
      </c>
      <c r="C6917" s="29" t="s">
        <v>26</v>
      </c>
      <c r="D6917" s="31">
        <v>7.02</v>
      </c>
      <c r="F6917" s="3" t="str">
        <f t="shared" si="108"/>
        <v>I8241</v>
      </c>
    </row>
    <row r="6918" spans="1:6" x14ac:dyDescent="0.2">
      <c r="A6918" s="29" t="s">
        <v>17514</v>
      </c>
      <c r="B6918" s="30" t="s">
        <v>17515</v>
      </c>
      <c r="C6918" s="29" t="s">
        <v>26</v>
      </c>
      <c r="D6918" s="31">
        <v>8.83</v>
      </c>
      <c r="F6918" s="3" t="str">
        <f t="shared" si="108"/>
        <v>I8242</v>
      </c>
    </row>
    <row r="6919" spans="1:6" x14ac:dyDescent="0.2">
      <c r="A6919" s="29" t="s">
        <v>17516</v>
      </c>
      <c r="B6919" s="30" t="s">
        <v>17517</v>
      </c>
      <c r="C6919" s="29" t="s">
        <v>26</v>
      </c>
      <c r="D6919" s="31">
        <v>1.64</v>
      </c>
      <c r="F6919" s="3" t="str">
        <f t="shared" si="108"/>
        <v>I8243</v>
      </c>
    </row>
    <row r="6920" spans="1:6" x14ac:dyDescent="0.2">
      <c r="A6920" s="29" t="s">
        <v>17518</v>
      </c>
      <c r="B6920" s="30" t="s">
        <v>17519</v>
      </c>
      <c r="C6920" s="29" t="s">
        <v>26</v>
      </c>
      <c r="D6920" s="31">
        <v>4.53</v>
      </c>
      <c r="F6920" s="3" t="str">
        <f t="shared" si="108"/>
        <v>I8244</v>
      </c>
    </row>
    <row r="6921" spans="1:6" x14ac:dyDescent="0.2">
      <c r="A6921" s="29" t="s">
        <v>17520</v>
      </c>
      <c r="B6921" s="30" t="s">
        <v>17521</v>
      </c>
      <c r="C6921" s="29" t="s">
        <v>26</v>
      </c>
      <c r="D6921" s="31">
        <v>6.51</v>
      </c>
      <c r="F6921" s="3" t="str">
        <f t="shared" si="108"/>
        <v>I8245</v>
      </c>
    </row>
    <row r="6922" spans="1:6" x14ac:dyDescent="0.2">
      <c r="A6922" s="29" t="s">
        <v>17522</v>
      </c>
      <c r="B6922" s="30" t="s">
        <v>17523</v>
      </c>
      <c r="C6922" s="29" t="s">
        <v>26</v>
      </c>
      <c r="D6922" s="31">
        <v>15.12</v>
      </c>
      <c r="F6922" s="3" t="str">
        <f t="shared" si="108"/>
        <v>I1281</v>
      </c>
    </row>
    <row r="6923" spans="1:6" x14ac:dyDescent="0.2">
      <c r="A6923" s="29" t="s">
        <v>17524</v>
      </c>
      <c r="B6923" s="30" t="s">
        <v>17525</v>
      </c>
      <c r="C6923" s="29" t="s">
        <v>26</v>
      </c>
      <c r="D6923" s="31">
        <v>21.55</v>
      </c>
      <c r="F6923" s="3" t="str">
        <f t="shared" si="108"/>
        <v>I1279</v>
      </c>
    </row>
    <row r="6924" spans="1:6" x14ac:dyDescent="0.2">
      <c r="A6924" s="29" t="s">
        <v>17526</v>
      </c>
      <c r="B6924" s="30" t="s">
        <v>17527</v>
      </c>
      <c r="C6924" s="29" t="s">
        <v>26</v>
      </c>
      <c r="D6924" s="31">
        <v>22.89</v>
      </c>
      <c r="F6924" s="3" t="str">
        <f t="shared" si="108"/>
        <v>I1280</v>
      </c>
    </row>
    <row r="6925" spans="1:6" x14ac:dyDescent="0.2">
      <c r="A6925" s="29" t="s">
        <v>17528</v>
      </c>
      <c r="B6925" s="30" t="s">
        <v>17529</v>
      </c>
      <c r="C6925" s="29" t="s">
        <v>26</v>
      </c>
      <c r="D6925" s="31">
        <v>266.87</v>
      </c>
      <c r="F6925" s="3" t="str">
        <f t="shared" si="108"/>
        <v>I1286</v>
      </c>
    </row>
    <row r="6926" spans="1:6" x14ac:dyDescent="0.2">
      <c r="A6926" s="29" t="s">
        <v>17530</v>
      </c>
      <c r="B6926" s="30" t="s">
        <v>17531</v>
      </c>
      <c r="C6926" s="29" t="s">
        <v>26</v>
      </c>
      <c r="D6926" s="31">
        <v>82.21</v>
      </c>
      <c r="F6926" s="3" t="str">
        <f t="shared" si="108"/>
        <v>I1287</v>
      </c>
    </row>
    <row r="6927" spans="1:6" x14ac:dyDescent="0.2">
      <c r="A6927" s="29" t="s">
        <v>17532</v>
      </c>
      <c r="B6927" s="30" t="s">
        <v>17533</v>
      </c>
      <c r="C6927" s="29" t="s">
        <v>26</v>
      </c>
      <c r="D6927" s="31">
        <v>103.79</v>
      </c>
      <c r="F6927" s="3" t="str">
        <f t="shared" si="108"/>
        <v>I1288</v>
      </c>
    </row>
    <row r="6928" spans="1:6" x14ac:dyDescent="0.2">
      <c r="A6928" s="29" t="s">
        <v>17534</v>
      </c>
      <c r="B6928" s="30" t="s">
        <v>17535</v>
      </c>
      <c r="C6928" s="29" t="s">
        <v>26</v>
      </c>
      <c r="D6928" s="31">
        <v>52.93</v>
      </c>
      <c r="F6928" s="3" t="str">
        <f t="shared" si="108"/>
        <v>I1289</v>
      </c>
    </row>
    <row r="6929" spans="1:6" x14ac:dyDescent="0.2">
      <c r="A6929" s="29" t="s">
        <v>17536</v>
      </c>
      <c r="B6929" s="30" t="s">
        <v>17537</v>
      </c>
      <c r="C6929" s="29" t="s">
        <v>26</v>
      </c>
      <c r="D6929" s="31">
        <v>79.62</v>
      </c>
      <c r="F6929" s="3" t="str">
        <f t="shared" si="108"/>
        <v>I1290</v>
      </c>
    </row>
    <row r="6930" spans="1:6" x14ac:dyDescent="0.2">
      <c r="A6930" s="29" t="s">
        <v>17538</v>
      </c>
      <c r="B6930" s="30" t="s">
        <v>17539</v>
      </c>
      <c r="C6930" s="29" t="s">
        <v>26</v>
      </c>
      <c r="D6930" s="31">
        <v>17.39</v>
      </c>
      <c r="F6930" s="3" t="str">
        <f t="shared" si="108"/>
        <v>I2364</v>
      </c>
    </row>
    <row r="6931" spans="1:6" x14ac:dyDescent="0.2">
      <c r="A6931" s="29" t="s">
        <v>17540</v>
      </c>
      <c r="B6931" s="30" t="s">
        <v>17541</v>
      </c>
      <c r="C6931" s="29" t="s">
        <v>26</v>
      </c>
      <c r="D6931" s="31">
        <v>85.5</v>
      </c>
      <c r="F6931" s="3" t="str">
        <f t="shared" si="108"/>
        <v>I1305</v>
      </c>
    </row>
    <row r="6932" spans="1:6" x14ac:dyDescent="0.2">
      <c r="A6932" s="29" t="s">
        <v>17542</v>
      </c>
      <c r="B6932" s="30" t="s">
        <v>17543</v>
      </c>
      <c r="C6932" s="29" t="s">
        <v>26</v>
      </c>
      <c r="D6932" s="31">
        <v>2.36</v>
      </c>
      <c r="F6932" s="3" t="str">
        <f t="shared" si="108"/>
        <v>I1283</v>
      </c>
    </row>
    <row r="6933" spans="1:6" x14ac:dyDescent="0.2">
      <c r="A6933" s="29" t="s">
        <v>17544</v>
      </c>
      <c r="B6933" s="30" t="s">
        <v>17545</v>
      </c>
      <c r="C6933" s="29" t="s">
        <v>26</v>
      </c>
      <c r="D6933" s="31">
        <v>3.25</v>
      </c>
      <c r="F6933" s="3" t="str">
        <f t="shared" si="108"/>
        <v>I1284</v>
      </c>
    </row>
    <row r="6934" spans="1:6" x14ac:dyDescent="0.2">
      <c r="A6934" s="29" t="s">
        <v>17546</v>
      </c>
      <c r="B6934" s="30" t="s">
        <v>17547</v>
      </c>
      <c r="C6934" s="29" t="s">
        <v>26</v>
      </c>
      <c r="D6934" s="31">
        <v>7.38</v>
      </c>
      <c r="F6934" s="3" t="str">
        <f t="shared" si="108"/>
        <v>I1285</v>
      </c>
    </row>
    <row r="6935" spans="1:6" x14ac:dyDescent="0.2">
      <c r="A6935" s="29" t="s">
        <v>17548</v>
      </c>
      <c r="B6935" s="30" t="s">
        <v>17549</v>
      </c>
      <c r="C6935" s="29" t="s">
        <v>26</v>
      </c>
      <c r="D6935" s="31">
        <v>8.82</v>
      </c>
      <c r="F6935" s="3" t="str">
        <f t="shared" si="108"/>
        <v>I1282</v>
      </c>
    </row>
    <row r="6936" spans="1:6" x14ac:dyDescent="0.2">
      <c r="A6936" s="29" t="s">
        <v>17550</v>
      </c>
      <c r="B6936" s="30" t="s">
        <v>17551</v>
      </c>
      <c r="C6936" s="29" t="s">
        <v>26</v>
      </c>
      <c r="D6936" s="31">
        <v>1.93</v>
      </c>
      <c r="F6936" s="3" t="str">
        <f t="shared" si="108"/>
        <v>I1294</v>
      </c>
    </row>
    <row r="6937" spans="1:6" x14ac:dyDescent="0.2">
      <c r="A6937" s="29" t="s">
        <v>17552</v>
      </c>
      <c r="B6937" s="30" t="s">
        <v>17553</v>
      </c>
      <c r="C6937" s="29" t="s">
        <v>26</v>
      </c>
      <c r="D6937" s="31">
        <v>2.87</v>
      </c>
      <c r="F6937" s="3" t="str">
        <f t="shared" si="108"/>
        <v>I1298</v>
      </c>
    </row>
    <row r="6938" spans="1:6" x14ac:dyDescent="0.2">
      <c r="A6938" s="29" t="s">
        <v>17554</v>
      </c>
      <c r="B6938" s="30" t="s">
        <v>17555</v>
      </c>
      <c r="C6938" s="29" t="s">
        <v>26</v>
      </c>
      <c r="D6938" s="31">
        <v>14.82</v>
      </c>
      <c r="F6938" s="3" t="str">
        <f t="shared" si="108"/>
        <v>I1291</v>
      </c>
    </row>
    <row r="6939" spans="1:6" x14ac:dyDescent="0.2">
      <c r="A6939" s="29" t="s">
        <v>17556</v>
      </c>
      <c r="B6939" s="30" t="s">
        <v>17557</v>
      </c>
      <c r="C6939" s="29" t="s">
        <v>26</v>
      </c>
      <c r="D6939" s="31">
        <v>13.78</v>
      </c>
      <c r="F6939" s="3" t="str">
        <f t="shared" si="108"/>
        <v>I1292</v>
      </c>
    </row>
    <row r="6940" spans="1:6" x14ac:dyDescent="0.2">
      <c r="A6940" s="29" t="s">
        <v>17558</v>
      </c>
      <c r="B6940" s="30" t="s">
        <v>17559</v>
      </c>
      <c r="C6940" s="29" t="s">
        <v>26</v>
      </c>
      <c r="D6940" s="31">
        <v>5.94</v>
      </c>
      <c r="F6940" s="3" t="str">
        <f t="shared" si="108"/>
        <v>I1293</v>
      </c>
    </row>
    <row r="6941" spans="1:6" x14ac:dyDescent="0.2">
      <c r="A6941" s="29" t="s">
        <v>17560</v>
      </c>
      <c r="B6941" s="30" t="s">
        <v>17561</v>
      </c>
      <c r="C6941" s="29" t="s">
        <v>26</v>
      </c>
      <c r="D6941" s="31">
        <v>54.8</v>
      </c>
      <c r="F6941" s="3" t="str">
        <f t="shared" si="108"/>
        <v>I1295</v>
      </c>
    </row>
    <row r="6942" spans="1:6" x14ac:dyDescent="0.2">
      <c r="A6942" s="29" t="s">
        <v>17562</v>
      </c>
      <c r="B6942" s="30" t="s">
        <v>17563</v>
      </c>
      <c r="C6942" s="29" t="s">
        <v>26</v>
      </c>
      <c r="D6942" s="31">
        <v>36.21</v>
      </c>
      <c r="F6942" s="3" t="str">
        <f t="shared" si="108"/>
        <v>I1296</v>
      </c>
    </row>
    <row r="6943" spans="1:6" x14ac:dyDescent="0.2">
      <c r="A6943" s="29" t="s">
        <v>17564</v>
      </c>
      <c r="B6943" s="30" t="s">
        <v>17565</v>
      </c>
      <c r="C6943" s="29" t="s">
        <v>26</v>
      </c>
      <c r="D6943" s="31">
        <v>57.28</v>
      </c>
      <c r="F6943" s="3" t="str">
        <f t="shared" si="108"/>
        <v>I1297</v>
      </c>
    </row>
    <row r="6944" spans="1:6" x14ac:dyDescent="0.2">
      <c r="A6944" s="29" t="s">
        <v>17566</v>
      </c>
      <c r="B6944" s="30" t="s">
        <v>17567</v>
      </c>
      <c r="C6944" s="29" t="s">
        <v>26</v>
      </c>
      <c r="D6944" s="31">
        <v>137.26</v>
      </c>
      <c r="F6944" s="3" t="str">
        <f t="shared" si="108"/>
        <v>I1299</v>
      </c>
    </row>
    <row r="6945" spans="1:6" x14ac:dyDescent="0.2">
      <c r="A6945" s="29" t="s">
        <v>17568</v>
      </c>
      <c r="B6945" s="30" t="s">
        <v>17569</v>
      </c>
      <c r="C6945" s="29" t="s">
        <v>26</v>
      </c>
      <c r="D6945" s="31">
        <v>1.49</v>
      </c>
      <c r="F6945" s="3" t="str">
        <f t="shared" si="108"/>
        <v>I2363</v>
      </c>
    </row>
    <row r="6946" spans="1:6" x14ac:dyDescent="0.2">
      <c r="A6946" s="29" t="s">
        <v>17570</v>
      </c>
      <c r="B6946" s="30" t="s">
        <v>17571</v>
      </c>
      <c r="C6946" s="29" t="s">
        <v>26</v>
      </c>
      <c r="D6946" s="31">
        <v>7.12</v>
      </c>
      <c r="F6946" s="3" t="str">
        <f t="shared" si="108"/>
        <v>I1300</v>
      </c>
    </row>
    <row r="6947" spans="1:6" x14ac:dyDescent="0.2">
      <c r="A6947" s="29" t="s">
        <v>17572</v>
      </c>
      <c r="B6947" s="30" t="s">
        <v>17573</v>
      </c>
      <c r="C6947" s="29" t="s">
        <v>26</v>
      </c>
      <c r="D6947" s="31">
        <v>8.81</v>
      </c>
      <c r="F6947" s="3" t="str">
        <f t="shared" si="108"/>
        <v>I1301</v>
      </c>
    </row>
    <row r="6948" spans="1:6" x14ac:dyDescent="0.2">
      <c r="A6948" s="29" t="s">
        <v>17574</v>
      </c>
      <c r="B6948" s="30" t="s">
        <v>17575</v>
      </c>
      <c r="C6948" s="29" t="s">
        <v>26</v>
      </c>
      <c r="D6948" s="31">
        <v>2.16</v>
      </c>
      <c r="F6948" s="3" t="str">
        <f t="shared" si="108"/>
        <v>I1302</v>
      </c>
    </row>
    <row r="6949" spans="1:6" x14ac:dyDescent="0.2">
      <c r="A6949" s="29" t="s">
        <v>17576</v>
      </c>
      <c r="B6949" s="30" t="s">
        <v>17577</v>
      </c>
      <c r="C6949" s="29" t="s">
        <v>26</v>
      </c>
      <c r="D6949" s="31">
        <v>2.65</v>
      </c>
      <c r="F6949" s="3" t="str">
        <f t="shared" si="108"/>
        <v>I1303</v>
      </c>
    </row>
    <row r="6950" spans="1:6" x14ac:dyDescent="0.2">
      <c r="A6950" s="29" t="s">
        <v>17578</v>
      </c>
      <c r="B6950" s="30" t="s">
        <v>17579</v>
      </c>
      <c r="C6950" s="29" t="s">
        <v>26</v>
      </c>
      <c r="D6950" s="31">
        <v>3.67</v>
      </c>
      <c r="F6950" s="3" t="str">
        <f t="shared" si="108"/>
        <v>I1314</v>
      </c>
    </row>
    <row r="6951" spans="1:6" x14ac:dyDescent="0.2">
      <c r="A6951" s="29" t="s">
        <v>17580</v>
      </c>
      <c r="B6951" s="30" t="s">
        <v>17581</v>
      </c>
      <c r="C6951" s="29" t="s">
        <v>26</v>
      </c>
      <c r="D6951" s="31">
        <v>5.49</v>
      </c>
      <c r="F6951" s="3" t="str">
        <f t="shared" si="108"/>
        <v>I1313</v>
      </c>
    </row>
    <row r="6952" spans="1:6" x14ac:dyDescent="0.2">
      <c r="A6952" s="29" t="s">
        <v>17582</v>
      </c>
      <c r="B6952" s="30" t="s">
        <v>17583</v>
      </c>
      <c r="C6952" s="29" t="s">
        <v>26</v>
      </c>
      <c r="D6952" s="31">
        <v>2.99</v>
      </c>
      <c r="F6952" s="3" t="str">
        <f t="shared" si="108"/>
        <v>I1310</v>
      </c>
    </row>
    <row r="6953" spans="1:6" x14ac:dyDescent="0.2">
      <c r="A6953" s="29" t="s">
        <v>17584</v>
      </c>
      <c r="B6953" s="30" t="s">
        <v>17585</v>
      </c>
      <c r="C6953" s="29" t="s">
        <v>26</v>
      </c>
      <c r="D6953" s="31">
        <v>5.66</v>
      </c>
      <c r="F6953" s="3" t="str">
        <f t="shared" si="108"/>
        <v>I1311</v>
      </c>
    </row>
    <row r="6954" spans="1:6" x14ac:dyDescent="0.2">
      <c r="A6954" s="29" t="s">
        <v>17586</v>
      </c>
      <c r="B6954" s="30" t="s">
        <v>17587</v>
      </c>
      <c r="C6954" s="29" t="s">
        <v>26</v>
      </c>
      <c r="D6954" s="31">
        <v>4.3099999999999996</v>
      </c>
      <c r="F6954" s="3" t="str">
        <f t="shared" si="108"/>
        <v>I1312</v>
      </c>
    </row>
    <row r="6955" spans="1:6" x14ac:dyDescent="0.2">
      <c r="A6955" s="29" t="s">
        <v>17588</v>
      </c>
      <c r="B6955" s="30" t="s">
        <v>17589</v>
      </c>
      <c r="C6955" s="29" t="s">
        <v>26</v>
      </c>
      <c r="D6955" s="31">
        <v>5.85</v>
      </c>
      <c r="F6955" s="3" t="str">
        <f t="shared" si="108"/>
        <v>I1306</v>
      </c>
    </row>
    <row r="6956" spans="1:6" x14ac:dyDescent="0.2">
      <c r="A6956" s="29" t="s">
        <v>17590</v>
      </c>
      <c r="B6956" s="30" t="s">
        <v>17591</v>
      </c>
      <c r="C6956" s="29" t="s">
        <v>26</v>
      </c>
      <c r="D6956" s="31">
        <v>20.36</v>
      </c>
      <c r="F6956" s="3" t="str">
        <f t="shared" si="108"/>
        <v>I1307</v>
      </c>
    </row>
    <row r="6957" spans="1:6" x14ac:dyDescent="0.2">
      <c r="A6957" s="29" t="s">
        <v>17592</v>
      </c>
      <c r="B6957" s="30" t="s">
        <v>17593</v>
      </c>
      <c r="C6957" s="29" t="s">
        <v>26</v>
      </c>
      <c r="D6957" s="31">
        <v>4.12</v>
      </c>
      <c r="F6957" s="3" t="str">
        <f t="shared" si="108"/>
        <v>I1308</v>
      </c>
    </row>
    <row r="6958" spans="1:6" x14ac:dyDescent="0.2">
      <c r="A6958" s="29" t="s">
        <v>17594</v>
      </c>
      <c r="B6958" s="30" t="s">
        <v>17595</v>
      </c>
      <c r="C6958" s="29" t="s">
        <v>26</v>
      </c>
      <c r="D6958" s="31">
        <v>10.49</v>
      </c>
      <c r="F6958" s="3" t="str">
        <f t="shared" si="108"/>
        <v>I1304</v>
      </c>
    </row>
    <row r="6959" spans="1:6" x14ac:dyDescent="0.2">
      <c r="A6959" s="29" t="s">
        <v>17596</v>
      </c>
      <c r="B6959" s="30" t="s">
        <v>17597</v>
      </c>
      <c r="C6959" s="29" t="s">
        <v>26</v>
      </c>
      <c r="D6959" s="31">
        <v>13.96</v>
      </c>
      <c r="F6959" s="3" t="str">
        <f t="shared" si="108"/>
        <v>I1309</v>
      </c>
    </row>
    <row r="6960" spans="1:6" x14ac:dyDescent="0.2">
      <c r="A6960" s="29" t="s">
        <v>17598</v>
      </c>
      <c r="B6960" s="30" t="s">
        <v>17599</v>
      </c>
      <c r="C6960" s="29" t="s">
        <v>26</v>
      </c>
      <c r="D6960" s="31">
        <v>139.08000000000001</v>
      </c>
      <c r="F6960" s="3" t="str">
        <f t="shared" si="108"/>
        <v>I6790</v>
      </c>
    </row>
    <row r="6961" spans="1:6" x14ac:dyDescent="0.2">
      <c r="A6961" s="29" t="s">
        <v>17600</v>
      </c>
      <c r="B6961" s="30" t="s">
        <v>17601</v>
      </c>
      <c r="C6961" s="29" t="s">
        <v>26</v>
      </c>
      <c r="D6961" s="31">
        <v>158.47</v>
      </c>
      <c r="F6961" s="3" t="str">
        <f t="shared" si="108"/>
        <v>I6791</v>
      </c>
    </row>
    <row r="6962" spans="1:6" x14ac:dyDescent="0.2">
      <c r="A6962" s="29" t="s">
        <v>17602</v>
      </c>
      <c r="B6962" s="30" t="s">
        <v>17603</v>
      </c>
      <c r="C6962" s="29" t="s">
        <v>26</v>
      </c>
      <c r="D6962" s="31">
        <v>13.06</v>
      </c>
      <c r="F6962" s="3" t="str">
        <f t="shared" si="108"/>
        <v>I2365</v>
      </c>
    </row>
    <row r="6963" spans="1:6" x14ac:dyDescent="0.2">
      <c r="A6963" s="29" t="s">
        <v>17604</v>
      </c>
      <c r="B6963" s="30" t="s">
        <v>17605</v>
      </c>
      <c r="C6963" s="29" t="s">
        <v>26</v>
      </c>
      <c r="D6963" s="31">
        <v>20.76</v>
      </c>
      <c r="F6963" s="3" t="str">
        <f t="shared" si="108"/>
        <v>I1326</v>
      </c>
    </row>
    <row r="6964" spans="1:6" x14ac:dyDescent="0.2">
      <c r="A6964" s="29" t="s">
        <v>17606</v>
      </c>
      <c r="B6964" s="30" t="s">
        <v>17607</v>
      </c>
      <c r="C6964" s="29" t="s">
        <v>26</v>
      </c>
      <c r="D6964" s="31">
        <v>19.489999999999998</v>
      </c>
      <c r="F6964" s="3" t="str">
        <f t="shared" si="108"/>
        <v>I1325</v>
      </c>
    </row>
    <row r="6965" spans="1:6" x14ac:dyDescent="0.2">
      <c r="A6965" s="29" t="s">
        <v>17608</v>
      </c>
      <c r="B6965" s="30" t="s">
        <v>17609</v>
      </c>
      <c r="C6965" s="29" t="s">
        <v>26</v>
      </c>
      <c r="D6965" s="31">
        <v>380.2</v>
      </c>
      <c r="F6965" s="3" t="str">
        <f t="shared" si="108"/>
        <v>I1322</v>
      </c>
    </row>
    <row r="6966" spans="1:6" x14ac:dyDescent="0.2">
      <c r="A6966" s="29" t="s">
        <v>17610</v>
      </c>
      <c r="B6966" s="30" t="s">
        <v>17611</v>
      </c>
      <c r="C6966" s="29" t="s">
        <v>26</v>
      </c>
      <c r="D6966" s="31">
        <v>44.46</v>
      </c>
      <c r="F6966" s="3" t="str">
        <f t="shared" si="108"/>
        <v>I1323</v>
      </c>
    </row>
    <row r="6967" spans="1:6" x14ac:dyDescent="0.2">
      <c r="A6967" s="29" t="s">
        <v>17612</v>
      </c>
      <c r="B6967" s="30" t="s">
        <v>17613</v>
      </c>
      <c r="C6967" s="29" t="s">
        <v>26</v>
      </c>
      <c r="D6967" s="31">
        <v>24.13</v>
      </c>
      <c r="F6967" s="3" t="str">
        <f t="shared" si="108"/>
        <v>I1324</v>
      </c>
    </row>
    <row r="6968" spans="1:6" x14ac:dyDescent="0.2">
      <c r="A6968" s="29" t="s">
        <v>17614</v>
      </c>
      <c r="B6968" s="30" t="s">
        <v>17615</v>
      </c>
      <c r="C6968" s="29" t="s">
        <v>26</v>
      </c>
      <c r="D6968" s="31">
        <v>10.46</v>
      </c>
      <c r="F6968" s="3" t="str">
        <f t="shared" si="108"/>
        <v>I7492</v>
      </c>
    </row>
    <row r="6969" spans="1:6" x14ac:dyDescent="0.2">
      <c r="A6969" s="29" t="s">
        <v>17616</v>
      </c>
      <c r="B6969" s="30" t="s">
        <v>17617</v>
      </c>
      <c r="C6969" s="29" t="s">
        <v>26</v>
      </c>
      <c r="D6969" s="31">
        <v>19.86</v>
      </c>
      <c r="F6969" s="3" t="str">
        <f t="shared" si="108"/>
        <v>I1319</v>
      </c>
    </row>
    <row r="6970" spans="1:6" x14ac:dyDescent="0.2">
      <c r="A6970" s="29" t="s">
        <v>17618</v>
      </c>
      <c r="B6970" s="30" t="s">
        <v>17619</v>
      </c>
      <c r="C6970" s="29" t="s">
        <v>26</v>
      </c>
      <c r="D6970" s="31">
        <v>14.72</v>
      </c>
      <c r="F6970" s="3" t="str">
        <f t="shared" si="108"/>
        <v>I1318</v>
      </c>
    </row>
    <row r="6971" spans="1:6" x14ac:dyDescent="0.2">
      <c r="A6971" s="29" t="s">
        <v>17620</v>
      </c>
      <c r="B6971" s="30" t="s">
        <v>17621</v>
      </c>
      <c r="C6971" s="29" t="s">
        <v>26</v>
      </c>
      <c r="D6971" s="31">
        <v>25.68</v>
      </c>
      <c r="F6971" s="3" t="str">
        <f t="shared" si="108"/>
        <v>I1320</v>
      </c>
    </row>
    <row r="6972" spans="1:6" x14ac:dyDescent="0.2">
      <c r="A6972" s="29" t="s">
        <v>17622</v>
      </c>
      <c r="B6972" s="30" t="s">
        <v>17623</v>
      </c>
      <c r="C6972" s="29" t="s">
        <v>26</v>
      </c>
      <c r="D6972" s="31">
        <v>61.28</v>
      </c>
      <c r="F6972" s="3" t="str">
        <f t="shared" si="108"/>
        <v>I1321</v>
      </c>
    </row>
    <row r="6973" spans="1:6" x14ac:dyDescent="0.2">
      <c r="A6973" s="29" t="s">
        <v>17624</v>
      </c>
      <c r="B6973" s="30" t="s">
        <v>17625</v>
      </c>
      <c r="C6973" s="29" t="s">
        <v>1284</v>
      </c>
      <c r="D6973" s="31">
        <v>39.32</v>
      </c>
      <c r="F6973" s="3" t="str">
        <f t="shared" si="108"/>
        <v>I1350</v>
      </c>
    </row>
    <row r="6974" spans="1:6" x14ac:dyDescent="0.2">
      <c r="A6974" s="29" t="s">
        <v>17626</v>
      </c>
      <c r="B6974" s="30" t="s">
        <v>17627</v>
      </c>
      <c r="C6974" s="29" t="s">
        <v>1284</v>
      </c>
      <c r="D6974" s="31">
        <v>43.01</v>
      </c>
      <c r="F6974" s="3" t="str">
        <f t="shared" si="108"/>
        <v>I1351</v>
      </c>
    </row>
    <row r="6975" spans="1:6" x14ac:dyDescent="0.2">
      <c r="A6975" s="29" t="s">
        <v>17628</v>
      </c>
      <c r="B6975" s="30" t="s">
        <v>17629</v>
      </c>
      <c r="C6975" s="29" t="s">
        <v>26</v>
      </c>
      <c r="D6975" s="31">
        <v>20.92</v>
      </c>
      <c r="F6975" s="3" t="str">
        <f t="shared" si="108"/>
        <v>I1387</v>
      </c>
    </row>
    <row r="6976" spans="1:6" x14ac:dyDescent="0.2">
      <c r="A6976" s="29" t="s">
        <v>17630</v>
      </c>
      <c r="B6976" s="30" t="s">
        <v>17631</v>
      </c>
      <c r="C6976" s="29" t="s">
        <v>26</v>
      </c>
      <c r="D6976" s="31">
        <v>71.53</v>
      </c>
      <c r="F6976" s="3" t="str">
        <f t="shared" si="108"/>
        <v>I1388</v>
      </c>
    </row>
    <row r="6977" spans="1:6" x14ac:dyDescent="0.2">
      <c r="A6977" s="29" t="s">
        <v>17632</v>
      </c>
      <c r="B6977" s="30" t="s">
        <v>17633</v>
      </c>
      <c r="C6977" s="29" t="s">
        <v>26</v>
      </c>
      <c r="D6977" s="31">
        <v>39.21</v>
      </c>
      <c r="F6977" s="3" t="str">
        <f t="shared" si="108"/>
        <v>I1389</v>
      </c>
    </row>
    <row r="6978" spans="1:6" x14ac:dyDescent="0.2">
      <c r="A6978" s="29" t="s">
        <v>17634</v>
      </c>
      <c r="B6978" s="30" t="s">
        <v>17635</v>
      </c>
      <c r="C6978" s="29" t="s">
        <v>26</v>
      </c>
      <c r="D6978" s="31">
        <v>170.17</v>
      </c>
      <c r="F6978" s="3" t="str">
        <f t="shared" ref="F6978:F7041" si="109">A6978</f>
        <v>I1390</v>
      </c>
    </row>
    <row r="6979" spans="1:6" x14ac:dyDescent="0.2">
      <c r="A6979" s="29" t="s">
        <v>17636</v>
      </c>
      <c r="B6979" s="30" t="s">
        <v>17637</v>
      </c>
      <c r="C6979" s="29" t="s">
        <v>26</v>
      </c>
      <c r="D6979" s="31">
        <v>132.56</v>
      </c>
      <c r="F6979" s="3" t="str">
        <f t="shared" si="109"/>
        <v>I1391</v>
      </c>
    </row>
    <row r="6980" spans="1:6" x14ac:dyDescent="0.2">
      <c r="A6980" s="29" t="s">
        <v>17638</v>
      </c>
      <c r="B6980" s="30" t="s">
        <v>17639</v>
      </c>
      <c r="C6980" s="29" t="s">
        <v>26</v>
      </c>
      <c r="D6980" s="31">
        <v>236.92</v>
      </c>
      <c r="F6980" s="3" t="str">
        <f t="shared" si="109"/>
        <v>I1392</v>
      </c>
    </row>
    <row r="6981" spans="1:6" x14ac:dyDescent="0.2">
      <c r="A6981" s="29" t="s">
        <v>17640</v>
      </c>
      <c r="B6981" s="30" t="s">
        <v>17641</v>
      </c>
      <c r="C6981" s="29" t="s">
        <v>26</v>
      </c>
      <c r="D6981" s="31">
        <v>90.84</v>
      </c>
      <c r="F6981" s="3" t="str">
        <f t="shared" si="109"/>
        <v>I1393</v>
      </c>
    </row>
    <row r="6982" spans="1:6" x14ac:dyDescent="0.2">
      <c r="A6982" s="29" t="s">
        <v>17642</v>
      </c>
      <c r="B6982" s="30" t="s">
        <v>17643</v>
      </c>
      <c r="C6982" s="29" t="s">
        <v>26</v>
      </c>
      <c r="D6982" s="31">
        <v>115.59</v>
      </c>
      <c r="F6982" s="3" t="str">
        <f t="shared" si="109"/>
        <v>I1394</v>
      </c>
    </row>
    <row r="6983" spans="1:6" x14ac:dyDescent="0.2">
      <c r="A6983" s="29" t="s">
        <v>17644</v>
      </c>
      <c r="B6983" s="30" t="s">
        <v>17645</v>
      </c>
      <c r="C6983" s="29" t="s">
        <v>26</v>
      </c>
      <c r="D6983" s="31">
        <v>165.48</v>
      </c>
      <c r="F6983" s="3" t="str">
        <f t="shared" si="109"/>
        <v>I1395</v>
      </c>
    </row>
    <row r="6984" spans="1:6" x14ac:dyDescent="0.2">
      <c r="A6984" s="29" t="s">
        <v>17646</v>
      </c>
      <c r="B6984" s="30" t="s">
        <v>17647</v>
      </c>
      <c r="C6984" s="29" t="s">
        <v>26</v>
      </c>
      <c r="D6984" s="31">
        <v>211.73</v>
      </c>
      <c r="F6984" s="3" t="str">
        <f t="shared" si="109"/>
        <v>I1396</v>
      </c>
    </row>
    <row r="6985" spans="1:6" x14ac:dyDescent="0.2">
      <c r="A6985" s="29" t="s">
        <v>17648</v>
      </c>
      <c r="B6985" s="30" t="s">
        <v>17649</v>
      </c>
      <c r="C6985" s="29" t="s">
        <v>26</v>
      </c>
      <c r="D6985" s="31">
        <v>23.05</v>
      </c>
      <c r="F6985" s="3" t="str">
        <f t="shared" si="109"/>
        <v>I1397</v>
      </c>
    </row>
    <row r="6986" spans="1:6" x14ac:dyDescent="0.2">
      <c r="A6986" s="29" t="s">
        <v>17650</v>
      </c>
      <c r="B6986" s="30" t="s">
        <v>17651</v>
      </c>
      <c r="C6986" s="29" t="s">
        <v>26</v>
      </c>
      <c r="D6986" s="31">
        <v>31.35</v>
      </c>
      <c r="F6986" s="3" t="str">
        <f t="shared" si="109"/>
        <v>I1398</v>
      </c>
    </row>
    <row r="6987" spans="1:6" x14ac:dyDescent="0.2">
      <c r="A6987" s="29" t="s">
        <v>17652</v>
      </c>
      <c r="B6987" s="30" t="s">
        <v>17653</v>
      </c>
      <c r="C6987" s="29" t="s">
        <v>26</v>
      </c>
      <c r="D6987" s="31">
        <v>19.579999999999998</v>
      </c>
      <c r="F6987" s="3" t="str">
        <f t="shared" si="109"/>
        <v>I1434</v>
      </c>
    </row>
    <row r="6988" spans="1:6" x14ac:dyDescent="0.2">
      <c r="A6988" s="29" t="s">
        <v>17654</v>
      </c>
      <c r="B6988" s="30" t="s">
        <v>17655</v>
      </c>
      <c r="C6988" s="29" t="s">
        <v>26</v>
      </c>
      <c r="D6988" s="31">
        <v>11.94</v>
      </c>
      <c r="F6988" s="3" t="str">
        <f t="shared" si="109"/>
        <v>I1435</v>
      </c>
    </row>
    <row r="6989" spans="1:6" x14ac:dyDescent="0.2">
      <c r="A6989" s="29" t="s">
        <v>17656</v>
      </c>
      <c r="B6989" s="30" t="s">
        <v>17657</v>
      </c>
      <c r="C6989" s="29" t="s">
        <v>26</v>
      </c>
      <c r="D6989" s="31">
        <v>13.26</v>
      </c>
      <c r="F6989" s="3" t="str">
        <f t="shared" si="109"/>
        <v>I1436</v>
      </c>
    </row>
    <row r="6990" spans="1:6" x14ac:dyDescent="0.2">
      <c r="A6990" s="29" t="s">
        <v>17658</v>
      </c>
      <c r="B6990" s="30" t="s">
        <v>17659</v>
      </c>
      <c r="C6990" s="29" t="s">
        <v>26</v>
      </c>
      <c r="D6990" s="31">
        <v>13.07</v>
      </c>
      <c r="F6990" s="3" t="str">
        <f t="shared" si="109"/>
        <v>I1437</v>
      </c>
    </row>
    <row r="6991" spans="1:6" x14ac:dyDescent="0.2">
      <c r="A6991" s="29" t="s">
        <v>17660</v>
      </c>
      <c r="B6991" s="30" t="s">
        <v>17661</v>
      </c>
      <c r="C6991" s="29" t="s">
        <v>26</v>
      </c>
      <c r="D6991" s="31">
        <v>6.88</v>
      </c>
      <c r="F6991" s="3" t="str">
        <f t="shared" si="109"/>
        <v>I1438</v>
      </c>
    </row>
    <row r="6992" spans="1:6" x14ac:dyDescent="0.2">
      <c r="A6992" s="29" t="s">
        <v>17662</v>
      </c>
      <c r="B6992" s="30" t="s">
        <v>17663</v>
      </c>
      <c r="C6992" s="29" t="s">
        <v>26</v>
      </c>
      <c r="D6992" s="31">
        <v>5.2</v>
      </c>
      <c r="F6992" s="3" t="str">
        <f t="shared" si="109"/>
        <v>I1439</v>
      </c>
    </row>
    <row r="6993" spans="1:6" x14ac:dyDescent="0.2">
      <c r="A6993" s="29" t="s">
        <v>17664</v>
      </c>
      <c r="B6993" s="30" t="s">
        <v>17665</v>
      </c>
      <c r="C6993" s="29" t="s">
        <v>26</v>
      </c>
      <c r="D6993" s="31">
        <v>1.67</v>
      </c>
      <c r="F6993" s="3" t="str">
        <f t="shared" si="109"/>
        <v>I1440</v>
      </c>
    </row>
    <row r="6994" spans="1:6" x14ac:dyDescent="0.2">
      <c r="A6994" s="29" t="s">
        <v>17666</v>
      </c>
      <c r="B6994" s="30" t="s">
        <v>17667</v>
      </c>
      <c r="C6994" s="29" t="s">
        <v>26</v>
      </c>
      <c r="D6994" s="31">
        <v>23.82</v>
      </c>
      <c r="F6994" s="3" t="str">
        <f t="shared" si="109"/>
        <v>I1441</v>
      </c>
    </row>
    <row r="6995" spans="1:6" x14ac:dyDescent="0.2">
      <c r="A6995" s="29" t="s">
        <v>17668</v>
      </c>
      <c r="B6995" s="30" t="s">
        <v>17669</v>
      </c>
      <c r="C6995" s="29" t="s">
        <v>26</v>
      </c>
      <c r="D6995" s="31">
        <v>15.18</v>
      </c>
      <c r="F6995" s="3" t="str">
        <f t="shared" si="109"/>
        <v>I1442</v>
      </c>
    </row>
    <row r="6996" spans="1:6" x14ac:dyDescent="0.2">
      <c r="A6996" s="29" t="s">
        <v>17670</v>
      </c>
      <c r="B6996" s="30" t="s">
        <v>17671</v>
      </c>
      <c r="C6996" s="29" t="s">
        <v>26</v>
      </c>
      <c r="D6996" s="31">
        <v>34.26</v>
      </c>
      <c r="F6996" s="3" t="str">
        <f t="shared" si="109"/>
        <v>I1443</v>
      </c>
    </row>
    <row r="6997" spans="1:6" x14ac:dyDescent="0.2">
      <c r="A6997" s="29" t="s">
        <v>17672</v>
      </c>
      <c r="B6997" s="30" t="s">
        <v>17673</v>
      </c>
      <c r="C6997" s="29" t="s">
        <v>26</v>
      </c>
      <c r="D6997" s="31">
        <v>2.65</v>
      </c>
      <c r="F6997" s="3" t="str">
        <f t="shared" si="109"/>
        <v>I1444</v>
      </c>
    </row>
    <row r="6998" spans="1:6" x14ac:dyDescent="0.2">
      <c r="A6998" s="29" t="s">
        <v>17674</v>
      </c>
      <c r="B6998" s="30" t="s">
        <v>17675</v>
      </c>
      <c r="C6998" s="29" t="s">
        <v>26</v>
      </c>
      <c r="D6998" s="31">
        <v>48.79</v>
      </c>
      <c r="F6998" s="3" t="str">
        <f t="shared" si="109"/>
        <v>I1445</v>
      </c>
    </row>
    <row r="6999" spans="1:6" x14ac:dyDescent="0.2">
      <c r="A6999" s="29" t="s">
        <v>17676</v>
      </c>
      <c r="B6999" s="30" t="s">
        <v>17677</v>
      </c>
      <c r="C6999" s="29" t="s">
        <v>26</v>
      </c>
      <c r="D6999" s="31">
        <v>5.64</v>
      </c>
      <c r="F6999" s="3" t="str">
        <f t="shared" si="109"/>
        <v>I1446</v>
      </c>
    </row>
    <row r="7000" spans="1:6" x14ac:dyDescent="0.2">
      <c r="A7000" s="29" t="s">
        <v>17678</v>
      </c>
      <c r="B7000" s="30" t="s">
        <v>17679</v>
      </c>
      <c r="C7000" s="29" t="s">
        <v>26</v>
      </c>
      <c r="D7000" s="31">
        <v>7.18</v>
      </c>
      <c r="F7000" s="3" t="str">
        <f t="shared" si="109"/>
        <v>I1447</v>
      </c>
    </row>
    <row r="7001" spans="1:6" x14ac:dyDescent="0.2">
      <c r="A7001" s="29" t="s">
        <v>17680</v>
      </c>
      <c r="B7001" s="30" t="s">
        <v>17681</v>
      </c>
      <c r="C7001" s="29" t="s">
        <v>26</v>
      </c>
      <c r="D7001" s="31">
        <v>1.45</v>
      </c>
      <c r="F7001" s="3" t="str">
        <f t="shared" si="109"/>
        <v>I1448</v>
      </c>
    </row>
    <row r="7002" spans="1:6" x14ac:dyDescent="0.2">
      <c r="A7002" s="29" t="s">
        <v>17682</v>
      </c>
      <c r="B7002" s="30" t="s">
        <v>17683</v>
      </c>
      <c r="C7002" s="29" t="s">
        <v>26</v>
      </c>
      <c r="D7002" s="31">
        <v>1.66</v>
      </c>
      <c r="F7002" s="3" t="str">
        <f t="shared" si="109"/>
        <v>I1449</v>
      </c>
    </row>
    <row r="7003" spans="1:6" x14ac:dyDescent="0.2">
      <c r="A7003" s="29" t="s">
        <v>17684</v>
      </c>
      <c r="B7003" s="30" t="s">
        <v>17685</v>
      </c>
      <c r="C7003" s="29" t="s">
        <v>26</v>
      </c>
      <c r="D7003" s="31">
        <v>4.92</v>
      </c>
      <c r="F7003" s="3" t="str">
        <f t="shared" si="109"/>
        <v>I1450</v>
      </c>
    </row>
    <row r="7004" spans="1:6" x14ac:dyDescent="0.2">
      <c r="A7004" s="29" t="s">
        <v>17686</v>
      </c>
      <c r="B7004" s="30" t="s">
        <v>17687</v>
      </c>
      <c r="C7004" s="29" t="s">
        <v>26</v>
      </c>
      <c r="D7004" s="31">
        <v>11.29</v>
      </c>
      <c r="F7004" s="3" t="str">
        <f t="shared" si="109"/>
        <v>I1451</v>
      </c>
    </row>
    <row r="7005" spans="1:6" x14ac:dyDescent="0.2">
      <c r="A7005" s="29" t="s">
        <v>17688</v>
      </c>
      <c r="B7005" s="30" t="s">
        <v>17689</v>
      </c>
      <c r="C7005" s="29" t="s">
        <v>26</v>
      </c>
      <c r="D7005" s="31">
        <v>19.97</v>
      </c>
      <c r="F7005" s="3" t="str">
        <f t="shared" si="109"/>
        <v>I1452</v>
      </c>
    </row>
    <row r="7006" spans="1:6" x14ac:dyDescent="0.2">
      <c r="A7006" s="29" t="s">
        <v>17690</v>
      </c>
      <c r="B7006" s="30" t="s">
        <v>17691</v>
      </c>
      <c r="C7006" s="29" t="s">
        <v>26</v>
      </c>
      <c r="D7006" s="31">
        <v>0.84</v>
      </c>
      <c r="F7006" s="3" t="str">
        <f t="shared" si="109"/>
        <v>I1410</v>
      </c>
    </row>
    <row r="7007" spans="1:6" x14ac:dyDescent="0.2">
      <c r="A7007" s="29" t="s">
        <v>17692</v>
      </c>
      <c r="B7007" s="30" t="s">
        <v>17693</v>
      </c>
      <c r="C7007" s="29" t="s">
        <v>26</v>
      </c>
      <c r="D7007" s="31">
        <v>0.9</v>
      </c>
      <c r="F7007" s="3" t="str">
        <f t="shared" si="109"/>
        <v>I1411</v>
      </c>
    </row>
    <row r="7008" spans="1:6" x14ac:dyDescent="0.2">
      <c r="A7008" s="29" t="s">
        <v>17694</v>
      </c>
      <c r="B7008" s="30" t="s">
        <v>17695</v>
      </c>
      <c r="C7008" s="29" t="s">
        <v>26</v>
      </c>
      <c r="D7008" s="31">
        <v>2.1800000000000002</v>
      </c>
      <c r="F7008" s="3" t="str">
        <f t="shared" si="109"/>
        <v>I1412</v>
      </c>
    </row>
    <row r="7009" spans="1:6" x14ac:dyDescent="0.2">
      <c r="A7009" s="29" t="s">
        <v>17696</v>
      </c>
      <c r="B7009" s="30" t="s">
        <v>17697</v>
      </c>
      <c r="C7009" s="29" t="s">
        <v>26</v>
      </c>
      <c r="D7009" s="31">
        <v>4.6500000000000004</v>
      </c>
      <c r="F7009" s="3" t="str">
        <f t="shared" si="109"/>
        <v>I1413</v>
      </c>
    </row>
    <row r="7010" spans="1:6" x14ac:dyDescent="0.2">
      <c r="A7010" s="29" t="s">
        <v>17698</v>
      </c>
      <c r="B7010" s="30" t="s">
        <v>17699</v>
      </c>
      <c r="C7010" s="29" t="s">
        <v>26</v>
      </c>
      <c r="D7010" s="31">
        <v>4.7699999999999996</v>
      </c>
      <c r="F7010" s="3" t="str">
        <f t="shared" si="109"/>
        <v>I1414</v>
      </c>
    </row>
    <row r="7011" spans="1:6" x14ac:dyDescent="0.2">
      <c r="A7011" s="29" t="s">
        <v>17700</v>
      </c>
      <c r="B7011" s="30" t="s">
        <v>17701</v>
      </c>
      <c r="C7011" s="29" t="s">
        <v>26</v>
      </c>
      <c r="D7011" s="31">
        <v>14.6</v>
      </c>
      <c r="F7011" s="3" t="str">
        <f t="shared" si="109"/>
        <v>I1415</v>
      </c>
    </row>
    <row r="7012" spans="1:6" x14ac:dyDescent="0.2">
      <c r="A7012" s="29" t="s">
        <v>17702</v>
      </c>
      <c r="B7012" s="30" t="s">
        <v>17703</v>
      </c>
      <c r="C7012" s="29" t="s">
        <v>26</v>
      </c>
      <c r="D7012" s="31">
        <v>21.35</v>
      </c>
      <c r="F7012" s="3" t="str">
        <f t="shared" si="109"/>
        <v>I1416</v>
      </c>
    </row>
    <row r="7013" spans="1:6" x14ac:dyDescent="0.2">
      <c r="A7013" s="29" t="s">
        <v>17704</v>
      </c>
      <c r="B7013" s="30" t="s">
        <v>17705</v>
      </c>
      <c r="C7013" s="29" t="s">
        <v>26</v>
      </c>
      <c r="D7013" s="31">
        <v>47.94</v>
      </c>
      <c r="F7013" s="3" t="str">
        <f t="shared" si="109"/>
        <v>I1417</v>
      </c>
    </row>
    <row r="7014" spans="1:6" x14ac:dyDescent="0.2">
      <c r="A7014" s="29" t="s">
        <v>17706</v>
      </c>
      <c r="B7014" s="30" t="s">
        <v>17707</v>
      </c>
      <c r="C7014" s="29" t="s">
        <v>26</v>
      </c>
      <c r="D7014" s="31">
        <v>10.69</v>
      </c>
      <c r="F7014" s="3" t="str">
        <f t="shared" si="109"/>
        <v>I1386</v>
      </c>
    </row>
    <row r="7015" spans="1:6" x14ac:dyDescent="0.2">
      <c r="A7015" s="29" t="s">
        <v>17708</v>
      </c>
      <c r="B7015" s="30" t="s">
        <v>17709</v>
      </c>
      <c r="C7015" s="29" t="s">
        <v>26</v>
      </c>
      <c r="D7015" s="31">
        <v>22.44</v>
      </c>
      <c r="F7015" s="3" t="str">
        <f t="shared" si="109"/>
        <v>I1418</v>
      </c>
    </row>
    <row r="7016" spans="1:6" x14ac:dyDescent="0.2">
      <c r="A7016" s="29" t="s">
        <v>17710</v>
      </c>
      <c r="B7016" s="30" t="s">
        <v>17711</v>
      </c>
      <c r="C7016" s="29" t="s">
        <v>26</v>
      </c>
      <c r="D7016" s="31">
        <v>116.37</v>
      </c>
      <c r="F7016" s="3" t="str">
        <f t="shared" si="109"/>
        <v>I1385</v>
      </c>
    </row>
    <row r="7017" spans="1:6" x14ac:dyDescent="0.2">
      <c r="A7017" s="29" t="s">
        <v>17712</v>
      </c>
      <c r="B7017" s="30" t="s">
        <v>17713</v>
      </c>
      <c r="C7017" s="29" t="s">
        <v>26</v>
      </c>
      <c r="D7017" s="31">
        <v>200.94</v>
      </c>
      <c r="F7017" s="3" t="str">
        <f t="shared" si="109"/>
        <v>I1419</v>
      </c>
    </row>
    <row r="7018" spans="1:6" x14ac:dyDescent="0.2">
      <c r="A7018" s="29" t="s">
        <v>17714</v>
      </c>
      <c r="B7018" s="30" t="s">
        <v>17715</v>
      </c>
      <c r="C7018" s="29" t="s">
        <v>26</v>
      </c>
      <c r="D7018" s="31">
        <v>200.94</v>
      </c>
      <c r="F7018" s="3" t="str">
        <f t="shared" si="109"/>
        <v>I1420</v>
      </c>
    </row>
    <row r="7019" spans="1:6" x14ac:dyDescent="0.2">
      <c r="A7019" s="29" t="s">
        <v>17716</v>
      </c>
      <c r="B7019" s="30" t="s">
        <v>17717</v>
      </c>
      <c r="C7019" s="29" t="s">
        <v>26</v>
      </c>
      <c r="D7019" s="31">
        <v>200.94</v>
      </c>
      <c r="F7019" s="3" t="str">
        <f t="shared" si="109"/>
        <v>I1421</v>
      </c>
    </row>
    <row r="7020" spans="1:6" x14ac:dyDescent="0.2">
      <c r="A7020" s="29" t="s">
        <v>17718</v>
      </c>
      <c r="B7020" s="30" t="s">
        <v>17719</v>
      </c>
      <c r="C7020" s="29" t="s">
        <v>26</v>
      </c>
      <c r="D7020" s="31">
        <v>5.87</v>
      </c>
      <c r="F7020" s="3" t="str">
        <f t="shared" si="109"/>
        <v>I1455</v>
      </c>
    </row>
    <row r="7021" spans="1:6" x14ac:dyDescent="0.2">
      <c r="A7021" s="29" t="s">
        <v>17720</v>
      </c>
      <c r="B7021" s="30" t="s">
        <v>17721</v>
      </c>
      <c r="C7021" s="29" t="s">
        <v>26</v>
      </c>
      <c r="D7021" s="31">
        <v>4.17</v>
      </c>
      <c r="F7021" s="3" t="str">
        <f t="shared" si="109"/>
        <v>I1456</v>
      </c>
    </row>
    <row r="7022" spans="1:6" x14ac:dyDescent="0.2">
      <c r="A7022" s="29" t="s">
        <v>17722</v>
      </c>
      <c r="B7022" s="30" t="s">
        <v>17723</v>
      </c>
      <c r="C7022" s="29" t="s">
        <v>26</v>
      </c>
      <c r="D7022" s="31">
        <v>6.54</v>
      </c>
      <c r="F7022" s="3" t="str">
        <f t="shared" si="109"/>
        <v>I1453</v>
      </c>
    </row>
    <row r="7023" spans="1:6" x14ac:dyDescent="0.2">
      <c r="A7023" s="29" t="s">
        <v>17724</v>
      </c>
      <c r="B7023" s="30" t="s">
        <v>17725</v>
      </c>
      <c r="C7023" s="29" t="s">
        <v>26</v>
      </c>
      <c r="D7023" s="31">
        <v>2.0099999999999998</v>
      </c>
      <c r="F7023" s="3" t="str">
        <f t="shared" si="109"/>
        <v>I1454</v>
      </c>
    </row>
    <row r="7024" spans="1:6" x14ac:dyDescent="0.2">
      <c r="A7024" s="29" t="s">
        <v>17726</v>
      </c>
      <c r="B7024" s="30" t="s">
        <v>17727</v>
      </c>
      <c r="C7024" s="29" t="s">
        <v>26</v>
      </c>
      <c r="D7024" s="31">
        <v>43.66</v>
      </c>
      <c r="F7024" s="3" t="str">
        <f t="shared" si="109"/>
        <v>I1422</v>
      </c>
    </row>
    <row r="7025" spans="1:6" x14ac:dyDescent="0.2">
      <c r="A7025" s="29" t="s">
        <v>17728</v>
      </c>
      <c r="B7025" s="30" t="s">
        <v>17729</v>
      </c>
      <c r="C7025" s="29" t="s">
        <v>26</v>
      </c>
      <c r="D7025" s="31">
        <v>51.57</v>
      </c>
      <c r="F7025" s="3" t="str">
        <f t="shared" si="109"/>
        <v>I1423</v>
      </c>
    </row>
    <row r="7026" spans="1:6" x14ac:dyDescent="0.2">
      <c r="A7026" s="29" t="s">
        <v>17730</v>
      </c>
      <c r="B7026" s="30" t="s">
        <v>17731</v>
      </c>
      <c r="C7026" s="29" t="s">
        <v>26</v>
      </c>
      <c r="D7026" s="31">
        <v>49.43</v>
      </c>
      <c r="F7026" s="3" t="str">
        <f t="shared" si="109"/>
        <v>I1424</v>
      </c>
    </row>
    <row r="7027" spans="1:6" x14ac:dyDescent="0.2">
      <c r="A7027" s="29" t="s">
        <v>17732</v>
      </c>
      <c r="B7027" s="30" t="s">
        <v>17733</v>
      </c>
      <c r="C7027" s="29" t="s">
        <v>26</v>
      </c>
      <c r="D7027" s="31">
        <v>1.53</v>
      </c>
      <c r="F7027" s="3" t="str">
        <f t="shared" si="109"/>
        <v>I1425</v>
      </c>
    </row>
    <row r="7028" spans="1:6" x14ac:dyDescent="0.2">
      <c r="A7028" s="29" t="s">
        <v>17734</v>
      </c>
      <c r="B7028" s="30" t="s">
        <v>17735</v>
      </c>
      <c r="C7028" s="29" t="s">
        <v>26</v>
      </c>
      <c r="D7028" s="31">
        <v>3.39</v>
      </c>
      <c r="F7028" s="3" t="str">
        <f t="shared" si="109"/>
        <v>I1426</v>
      </c>
    </row>
    <row r="7029" spans="1:6" x14ac:dyDescent="0.2">
      <c r="A7029" s="29" t="s">
        <v>17736</v>
      </c>
      <c r="B7029" s="30" t="s">
        <v>17737</v>
      </c>
      <c r="C7029" s="29" t="s">
        <v>26</v>
      </c>
      <c r="D7029" s="31">
        <v>5.79</v>
      </c>
      <c r="F7029" s="3" t="str">
        <f t="shared" si="109"/>
        <v>I1427</v>
      </c>
    </row>
    <row r="7030" spans="1:6" x14ac:dyDescent="0.2">
      <c r="A7030" s="29" t="s">
        <v>17738</v>
      </c>
      <c r="B7030" s="30" t="s">
        <v>17739</v>
      </c>
      <c r="C7030" s="29" t="s">
        <v>26</v>
      </c>
      <c r="D7030" s="31">
        <v>15.4</v>
      </c>
      <c r="F7030" s="3" t="str">
        <f t="shared" si="109"/>
        <v>I1428</v>
      </c>
    </row>
    <row r="7031" spans="1:6" x14ac:dyDescent="0.2">
      <c r="A7031" s="29" t="s">
        <v>17740</v>
      </c>
      <c r="B7031" s="30" t="s">
        <v>17741</v>
      </c>
      <c r="C7031" s="29" t="s">
        <v>26</v>
      </c>
      <c r="D7031" s="31">
        <v>25.43</v>
      </c>
      <c r="F7031" s="3" t="str">
        <f t="shared" si="109"/>
        <v>I1429</v>
      </c>
    </row>
    <row r="7032" spans="1:6" x14ac:dyDescent="0.2">
      <c r="A7032" s="29" t="s">
        <v>17742</v>
      </c>
      <c r="B7032" s="30" t="s">
        <v>17743</v>
      </c>
      <c r="C7032" s="29" t="s">
        <v>26</v>
      </c>
      <c r="D7032" s="31">
        <v>30.64</v>
      </c>
      <c r="F7032" s="3" t="str">
        <f t="shared" si="109"/>
        <v>I1430</v>
      </c>
    </row>
    <row r="7033" spans="1:6" x14ac:dyDescent="0.2">
      <c r="A7033" s="29" t="s">
        <v>17744</v>
      </c>
      <c r="B7033" s="30" t="s">
        <v>17745</v>
      </c>
      <c r="C7033" s="29" t="s">
        <v>26</v>
      </c>
      <c r="D7033" s="31">
        <v>6.96</v>
      </c>
      <c r="F7033" s="3" t="str">
        <f t="shared" si="109"/>
        <v>I1457</v>
      </c>
    </row>
    <row r="7034" spans="1:6" x14ac:dyDescent="0.2">
      <c r="A7034" s="29" t="s">
        <v>17746</v>
      </c>
      <c r="B7034" s="30" t="s">
        <v>17747</v>
      </c>
      <c r="C7034" s="29" t="s">
        <v>26</v>
      </c>
      <c r="D7034" s="31">
        <v>1.7</v>
      </c>
      <c r="F7034" s="3" t="str">
        <f t="shared" si="109"/>
        <v>I1458</v>
      </c>
    </row>
    <row r="7035" spans="1:6" x14ac:dyDescent="0.2">
      <c r="A7035" s="29" t="s">
        <v>17748</v>
      </c>
      <c r="B7035" s="30" t="s">
        <v>17749</v>
      </c>
      <c r="C7035" s="29" t="s">
        <v>26</v>
      </c>
      <c r="D7035" s="31">
        <v>3.51</v>
      </c>
      <c r="F7035" s="3" t="str">
        <f t="shared" si="109"/>
        <v>I1459</v>
      </c>
    </row>
    <row r="7036" spans="1:6" x14ac:dyDescent="0.2">
      <c r="A7036" s="29" t="s">
        <v>17750</v>
      </c>
      <c r="B7036" s="30" t="s">
        <v>17751</v>
      </c>
      <c r="C7036" s="29" t="s">
        <v>26</v>
      </c>
      <c r="D7036" s="31">
        <v>7.12</v>
      </c>
      <c r="F7036" s="3" t="str">
        <f t="shared" si="109"/>
        <v>I1460</v>
      </c>
    </row>
    <row r="7037" spans="1:6" x14ac:dyDescent="0.2">
      <c r="A7037" s="29" t="s">
        <v>17752</v>
      </c>
      <c r="B7037" s="30" t="s">
        <v>17753</v>
      </c>
      <c r="C7037" s="29" t="s">
        <v>26</v>
      </c>
      <c r="D7037" s="31">
        <v>34.82</v>
      </c>
      <c r="F7037" s="3" t="str">
        <f t="shared" si="109"/>
        <v>I1461</v>
      </c>
    </row>
    <row r="7038" spans="1:6" x14ac:dyDescent="0.2">
      <c r="A7038" s="29" t="s">
        <v>17754</v>
      </c>
      <c r="B7038" s="30" t="s">
        <v>17755</v>
      </c>
      <c r="C7038" s="29" t="s">
        <v>26</v>
      </c>
      <c r="D7038" s="31">
        <v>53.5</v>
      </c>
      <c r="F7038" s="3" t="str">
        <f t="shared" si="109"/>
        <v>I6778</v>
      </c>
    </row>
    <row r="7039" spans="1:6" x14ac:dyDescent="0.2">
      <c r="A7039" s="29" t="s">
        <v>17756</v>
      </c>
      <c r="B7039" s="30" t="s">
        <v>17757</v>
      </c>
      <c r="C7039" s="29" t="s">
        <v>26</v>
      </c>
      <c r="D7039" s="31">
        <v>67.3</v>
      </c>
      <c r="F7039" s="3" t="str">
        <f t="shared" si="109"/>
        <v>I6779</v>
      </c>
    </row>
    <row r="7040" spans="1:6" x14ac:dyDescent="0.2">
      <c r="A7040" s="29" t="s">
        <v>17758</v>
      </c>
      <c r="B7040" s="30" t="s">
        <v>17759</v>
      </c>
      <c r="C7040" s="29" t="s">
        <v>26</v>
      </c>
      <c r="D7040" s="31">
        <v>87.71</v>
      </c>
      <c r="F7040" s="3" t="str">
        <f t="shared" si="109"/>
        <v>I8254</v>
      </c>
    </row>
    <row r="7041" spans="1:6" x14ac:dyDescent="0.2">
      <c r="A7041" s="29" t="s">
        <v>17760</v>
      </c>
      <c r="B7041" s="30" t="s">
        <v>17761</v>
      </c>
      <c r="C7041" s="29" t="s">
        <v>26</v>
      </c>
      <c r="D7041" s="31">
        <v>62.68</v>
      </c>
      <c r="F7041" s="3" t="str">
        <f t="shared" si="109"/>
        <v>I1433</v>
      </c>
    </row>
    <row r="7042" spans="1:6" x14ac:dyDescent="0.2">
      <c r="A7042" s="29" t="s">
        <v>17762</v>
      </c>
      <c r="B7042" s="30" t="s">
        <v>17763</v>
      </c>
      <c r="C7042" s="29" t="s">
        <v>26</v>
      </c>
      <c r="D7042" s="31">
        <v>91.94</v>
      </c>
      <c r="F7042" s="3" t="str">
        <f t="shared" ref="F7042:F7105" si="110">A7042</f>
        <v>I1431</v>
      </c>
    </row>
    <row r="7043" spans="1:6" x14ac:dyDescent="0.2">
      <c r="A7043" s="29" t="s">
        <v>17764</v>
      </c>
      <c r="B7043" s="30" t="s">
        <v>17765</v>
      </c>
      <c r="C7043" s="29" t="s">
        <v>26</v>
      </c>
      <c r="D7043" s="31">
        <v>150.47999999999999</v>
      </c>
      <c r="F7043" s="3" t="str">
        <f t="shared" si="110"/>
        <v>I1432</v>
      </c>
    </row>
    <row r="7044" spans="1:6" x14ac:dyDescent="0.2">
      <c r="A7044" s="29" t="s">
        <v>17766</v>
      </c>
      <c r="B7044" s="30" t="s">
        <v>17767</v>
      </c>
      <c r="C7044" s="29" t="s">
        <v>26</v>
      </c>
      <c r="D7044" s="31">
        <v>9.7100000000000009</v>
      </c>
      <c r="F7044" s="3" t="str">
        <f t="shared" si="110"/>
        <v>I2372</v>
      </c>
    </row>
    <row r="7045" spans="1:6" x14ac:dyDescent="0.2">
      <c r="A7045" s="29" t="s">
        <v>17768</v>
      </c>
      <c r="B7045" s="30" t="s">
        <v>17769</v>
      </c>
      <c r="C7045" s="29" t="s">
        <v>26</v>
      </c>
      <c r="D7045" s="31">
        <v>1455.44</v>
      </c>
      <c r="F7045" s="3" t="str">
        <f t="shared" si="110"/>
        <v>I1499</v>
      </c>
    </row>
    <row r="7046" spans="1:6" x14ac:dyDescent="0.2">
      <c r="A7046" s="29" t="s">
        <v>17770</v>
      </c>
      <c r="B7046" s="30" t="s">
        <v>17771</v>
      </c>
      <c r="C7046" s="29" t="s">
        <v>0</v>
      </c>
      <c r="D7046" s="31">
        <v>13.88</v>
      </c>
      <c r="F7046" s="3" t="str">
        <f t="shared" si="110"/>
        <v>I2374</v>
      </c>
    </row>
    <row r="7047" spans="1:6" x14ac:dyDescent="0.2">
      <c r="A7047" s="29" t="s">
        <v>17772</v>
      </c>
      <c r="B7047" s="30" t="s">
        <v>17773</v>
      </c>
      <c r="C7047" s="29" t="s">
        <v>0</v>
      </c>
      <c r="D7047" s="31">
        <v>19.25</v>
      </c>
      <c r="F7047" s="3" t="str">
        <f t="shared" si="110"/>
        <v>I2375</v>
      </c>
    </row>
    <row r="7048" spans="1:6" x14ac:dyDescent="0.2">
      <c r="A7048" s="29" t="s">
        <v>17774</v>
      </c>
      <c r="B7048" s="30" t="s">
        <v>17775</v>
      </c>
      <c r="C7048" s="29" t="s">
        <v>0</v>
      </c>
      <c r="D7048" s="31">
        <v>32.24</v>
      </c>
      <c r="F7048" s="3" t="str">
        <f t="shared" si="110"/>
        <v>I2376</v>
      </c>
    </row>
    <row r="7049" spans="1:6" x14ac:dyDescent="0.2">
      <c r="A7049" s="29" t="s">
        <v>17776</v>
      </c>
      <c r="B7049" s="30" t="s">
        <v>17777</v>
      </c>
      <c r="C7049" s="29" t="s">
        <v>1284</v>
      </c>
      <c r="D7049" s="31">
        <v>47.82</v>
      </c>
      <c r="F7049" s="3" t="str">
        <f t="shared" si="110"/>
        <v>I1519</v>
      </c>
    </row>
    <row r="7050" spans="1:6" x14ac:dyDescent="0.2">
      <c r="A7050" s="29" t="s">
        <v>17778</v>
      </c>
      <c r="B7050" s="30" t="s">
        <v>17779</v>
      </c>
      <c r="C7050" s="29" t="s">
        <v>26</v>
      </c>
      <c r="D7050" s="31">
        <v>6.3</v>
      </c>
      <c r="F7050" s="3" t="str">
        <f t="shared" si="110"/>
        <v>I1540</v>
      </c>
    </row>
    <row r="7051" spans="1:6" x14ac:dyDescent="0.2">
      <c r="A7051" s="29" t="s">
        <v>17780</v>
      </c>
      <c r="B7051" s="30" t="s">
        <v>17781</v>
      </c>
      <c r="C7051" s="29" t="s">
        <v>26</v>
      </c>
      <c r="D7051" s="31">
        <v>18.989999999999998</v>
      </c>
      <c r="F7051" s="3" t="str">
        <f t="shared" si="110"/>
        <v>I1539</v>
      </c>
    </row>
    <row r="7052" spans="1:6" x14ac:dyDescent="0.2">
      <c r="A7052" s="29" t="s">
        <v>17782</v>
      </c>
      <c r="B7052" s="30" t="s">
        <v>17783</v>
      </c>
      <c r="C7052" s="29" t="s">
        <v>26</v>
      </c>
      <c r="D7052" s="31">
        <v>60.06</v>
      </c>
      <c r="F7052" s="3" t="str">
        <f t="shared" si="110"/>
        <v>I1541</v>
      </c>
    </row>
    <row r="7053" spans="1:6" x14ac:dyDescent="0.2">
      <c r="A7053" s="29" t="s">
        <v>17784</v>
      </c>
      <c r="B7053" s="30" t="s">
        <v>17785</v>
      </c>
      <c r="C7053" s="29" t="s">
        <v>26</v>
      </c>
      <c r="D7053" s="31">
        <v>157.29</v>
      </c>
      <c r="F7053" s="3" t="str">
        <f t="shared" si="110"/>
        <v>I1542</v>
      </c>
    </row>
    <row r="7054" spans="1:6" x14ac:dyDescent="0.2">
      <c r="A7054" s="29" t="s">
        <v>17786</v>
      </c>
      <c r="B7054" s="30" t="s">
        <v>17787</v>
      </c>
      <c r="C7054" s="29" t="s">
        <v>26</v>
      </c>
      <c r="D7054" s="31">
        <v>26.81</v>
      </c>
      <c r="F7054" s="3" t="str">
        <f t="shared" si="110"/>
        <v>I1543</v>
      </c>
    </row>
    <row r="7055" spans="1:6" x14ac:dyDescent="0.2">
      <c r="A7055" s="29" t="s">
        <v>17788</v>
      </c>
      <c r="B7055" s="30" t="s">
        <v>17789</v>
      </c>
      <c r="C7055" s="29" t="s">
        <v>26</v>
      </c>
      <c r="D7055" s="31">
        <v>63.98</v>
      </c>
      <c r="F7055" s="3" t="str">
        <f t="shared" si="110"/>
        <v>I1544</v>
      </c>
    </row>
    <row r="7056" spans="1:6" x14ac:dyDescent="0.2">
      <c r="A7056" s="29" t="s">
        <v>17790</v>
      </c>
      <c r="B7056" s="30" t="s">
        <v>17791</v>
      </c>
      <c r="C7056" s="29" t="s">
        <v>26</v>
      </c>
      <c r="D7056" s="31">
        <v>10.02</v>
      </c>
      <c r="F7056" s="3" t="str">
        <f t="shared" si="110"/>
        <v>I1545</v>
      </c>
    </row>
    <row r="7057" spans="1:6" x14ac:dyDescent="0.2">
      <c r="A7057" s="29" t="s">
        <v>17792</v>
      </c>
      <c r="B7057" s="30" t="s">
        <v>17793</v>
      </c>
      <c r="C7057" s="29" t="s">
        <v>26</v>
      </c>
      <c r="D7057" s="31">
        <v>134.18</v>
      </c>
      <c r="F7057" s="3" t="str">
        <f t="shared" si="110"/>
        <v>I1546</v>
      </c>
    </row>
    <row r="7058" spans="1:6" x14ac:dyDescent="0.2">
      <c r="A7058" s="29" t="s">
        <v>17794</v>
      </c>
      <c r="B7058" s="30" t="s">
        <v>17795</v>
      </c>
      <c r="C7058" s="29" t="s">
        <v>26</v>
      </c>
      <c r="D7058" s="31">
        <v>6.2</v>
      </c>
      <c r="F7058" s="3" t="str">
        <f t="shared" si="110"/>
        <v>I1547</v>
      </c>
    </row>
    <row r="7059" spans="1:6" x14ac:dyDescent="0.2">
      <c r="A7059" s="29" t="s">
        <v>17796</v>
      </c>
      <c r="B7059" s="30" t="s">
        <v>17797</v>
      </c>
      <c r="C7059" s="29" t="s">
        <v>26</v>
      </c>
      <c r="D7059" s="31">
        <v>18.03</v>
      </c>
      <c r="F7059" s="3" t="str">
        <f t="shared" si="110"/>
        <v>I1548</v>
      </c>
    </row>
    <row r="7060" spans="1:6" x14ac:dyDescent="0.2">
      <c r="A7060" s="29" t="s">
        <v>17798</v>
      </c>
      <c r="B7060" s="30" t="s">
        <v>17799</v>
      </c>
      <c r="C7060" s="29" t="s">
        <v>26</v>
      </c>
      <c r="D7060" s="31">
        <v>1.49</v>
      </c>
      <c r="F7060" s="3" t="str">
        <f t="shared" si="110"/>
        <v>I2381</v>
      </c>
    </row>
    <row r="7061" spans="1:6" x14ac:dyDescent="0.2">
      <c r="A7061" s="29" t="s">
        <v>17800</v>
      </c>
      <c r="B7061" s="30" t="s">
        <v>17801</v>
      </c>
      <c r="C7061" s="29" t="s">
        <v>26</v>
      </c>
      <c r="D7061" s="31">
        <v>121.12</v>
      </c>
      <c r="F7061" s="3" t="str">
        <f t="shared" si="110"/>
        <v>I1676</v>
      </c>
    </row>
    <row r="7062" spans="1:6" x14ac:dyDescent="0.2">
      <c r="A7062" s="29" t="s">
        <v>17802</v>
      </c>
      <c r="B7062" s="30" t="s">
        <v>17803</v>
      </c>
      <c r="C7062" s="29" t="s">
        <v>26</v>
      </c>
      <c r="D7062" s="31">
        <v>130.78</v>
      </c>
      <c r="F7062" s="3" t="str">
        <f t="shared" si="110"/>
        <v>I1677</v>
      </c>
    </row>
    <row r="7063" spans="1:6" x14ac:dyDescent="0.2">
      <c r="A7063" s="29" t="s">
        <v>17804</v>
      </c>
      <c r="B7063" s="30" t="s">
        <v>17805</v>
      </c>
      <c r="C7063" s="29" t="s">
        <v>26</v>
      </c>
      <c r="D7063" s="31">
        <v>46.54</v>
      </c>
      <c r="F7063" s="3" t="str">
        <f t="shared" si="110"/>
        <v>I1678</v>
      </c>
    </row>
    <row r="7064" spans="1:6" x14ac:dyDescent="0.2">
      <c r="A7064" s="29" t="s">
        <v>17806</v>
      </c>
      <c r="B7064" s="30" t="s">
        <v>17807</v>
      </c>
      <c r="C7064" s="29" t="s">
        <v>26</v>
      </c>
      <c r="D7064" s="31">
        <v>65.17</v>
      </c>
      <c r="F7064" s="3" t="str">
        <f t="shared" si="110"/>
        <v>I1679</v>
      </c>
    </row>
    <row r="7065" spans="1:6" x14ac:dyDescent="0.2">
      <c r="A7065" s="29" t="s">
        <v>17808</v>
      </c>
      <c r="B7065" s="30" t="s">
        <v>17809</v>
      </c>
      <c r="C7065" s="29" t="s">
        <v>26</v>
      </c>
      <c r="D7065" s="31">
        <v>0.84</v>
      </c>
      <c r="F7065" s="3" t="str">
        <f t="shared" si="110"/>
        <v>I2401</v>
      </c>
    </row>
    <row r="7066" spans="1:6" x14ac:dyDescent="0.2">
      <c r="A7066" s="29" t="s">
        <v>17810</v>
      </c>
      <c r="B7066" s="30" t="s">
        <v>17811</v>
      </c>
      <c r="C7066" s="29" t="s">
        <v>26</v>
      </c>
      <c r="D7066" s="31">
        <v>8.36</v>
      </c>
      <c r="F7066" s="3" t="str">
        <f t="shared" si="110"/>
        <v>I1680</v>
      </c>
    </row>
    <row r="7067" spans="1:6" x14ac:dyDescent="0.2">
      <c r="A7067" s="29" t="s">
        <v>17812</v>
      </c>
      <c r="B7067" s="30" t="s">
        <v>17813</v>
      </c>
      <c r="C7067" s="29" t="s">
        <v>26</v>
      </c>
      <c r="D7067" s="31">
        <v>2.91</v>
      </c>
      <c r="F7067" s="3" t="str">
        <f t="shared" si="110"/>
        <v>I1681</v>
      </c>
    </row>
    <row r="7068" spans="1:6" x14ac:dyDescent="0.2">
      <c r="A7068" s="29" t="s">
        <v>17814</v>
      </c>
      <c r="B7068" s="30" t="s">
        <v>17815</v>
      </c>
      <c r="C7068" s="29" t="s">
        <v>26</v>
      </c>
      <c r="D7068" s="31">
        <v>5.15</v>
      </c>
      <c r="F7068" s="3" t="str">
        <f t="shared" si="110"/>
        <v>I1682</v>
      </c>
    </row>
    <row r="7069" spans="1:6" x14ac:dyDescent="0.2">
      <c r="A7069" s="29" t="s">
        <v>17816</v>
      </c>
      <c r="B7069" s="30" t="s">
        <v>17817</v>
      </c>
      <c r="C7069" s="29" t="s">
        <v>26</v>
      </c>
      <c r="D7069" s="31">
        <v>14.27</v>
      </c>
      <c r="F7069" s="3" t="str">
        <f t="shared" si="110"/>
        <v>I1770</v>
      </c>
    </row>
    <row r="7070" spans="1:6" x14ac:dyDescent="0.2">
      <c r="A7070" s="29" t="s">
        <v>17818</v>
      </c>
      <c r="B7070" s="30" t="s">
        <v>17819</v>
      </c>
      <c r="C7070" s="29" t="s">
        <v>26</v>
      </c>
      <c r="D7070" s="31">
        <v>120.98</v>
      </c>
      <c r="F7070" s="3" t="str">
        <f t="shared" si="110"/>
        <v>I1771</v>
      </c>
    </row>
    <row r="7071" spans="1:6" x14ac:dyDescent="0.2">
      <c r="A7071" s="29" t="s">
        <v>17820</v>
      </c>
      <c r="B7071" s="30" t="s">
        <v>17821</v>
      </c>
      <c r="C7071" s="29" t="s">
        <v>26</v>
      </c>
      <c r="D7071" s="31">
        <v>19.23</v>
      </c>
      <c r="F7071" s="3" t="str">
        <f t="shared" si="110"/>
        <v>I6777</v>
      </c>
    </row>
    <row r="7072" spans="1:6" x14ac:dyDescent="0.2">
      <c r="A7072" s="29" t="s">
        <v>17822</v>
      </c>
      <c r="B7072" s="30" t="s">
        <v>17823</v>
      </c>
      <c r="C7072" s="29" t="s">
        <v>26</v>
      </c>
      <c r="D7072" s="31">
        <v>19.23</v>
      </c>
      <c r="F7072" s="3" t="str">
        <f t="shared" si="110"/>
        <v>I6776</v>
      </c>
    </row>
    <row r="7073" spans="1:6" x14ac:dyDescent="0.2">
      <c r="A7073" s="29" t="s">
        <v>17824</v>
      </c>
      <c r="B7073" s="30" t="s">
        <v>17825</v>
      </c>
      <c r="C7073" s="29" t="s">
        <v>26</v>
      </c>
      <c r="D7073" s="31">
        <v>19.27</v>
      </c>
      <c r="F7073" s="3" t="str">
        <f t="shared" si="110"/>
        <v>I6775</v>
      </c>
    </row>
    <row r="7074" spans="1:6" x14ac:dyDescent="0.2">
      <c r="A7074" s="29" t="s">
        <v>17826</v>
      </c>
      <c r="B7074" s="30" t="s">
        <v>17827</v>
      </c>
      <c r="C7074" s="29" t="s">
        <v>26</v>
      </c>
      <c r="D7074" s="31">
        <v>29.37</v>
      </c>
      <c r="F7074" s="3" t="str">
        <f t="shared" si="110"/>
        <v>I6774</v>
      </c>
    </row>
    <row r="7075" spans="1:6" x14ac:dyDescent="0.2">
      <c r="A7075" s="29" t="s">
        <v>17828</v>
      </c>
      <c r="B7075" s="30" t="s">
        <v>17829</v>
      </c>
      <c r="C7075" s="29" t="s">
        <v>26</v>
      </c>
      <c r="D7075" s="31">
        <v>25.83</v>
      </c>
      <c r="F7075" s="3" t="str">
        <f t="shared" si="110"/>
        <v>I6773</v>
      </c>
    </row>
    <row r="7076" spans="1:6" x14ac:dyDescent="0.2">
      <c r="A7076" s="29" t="s">
        <v>17830</v>
      </c>
      <c r="B7076" s="30" t="s">
        <v>17831</v>
      </c>
      <c r="C7076" s="29" t="s">
        <v>26</v>
      </c>
      <c r="D7076" s="31">
        <v>9.52</v>
      </c>
      <c r="F7076" s="3" t="str">
        <f t="shared" si="110"/>
        <v>I1790</v>
      </c>
    </row>
    <row r="7077" spans="1:6" x14ac:dyDescent="0.2">
      <c r="A7077" s="29" t="s">
        <v>17832</v>
      </c>
      <c r="B7077" s="30" t="s">
        <v>17833</v>
      </c>
      <c r="C7077" s="29" t="s">
        <v>26</v>
      </c>
      <c r="D7077" s="31">
        <v>8.26</v>
      </c>
      <c r="F7077" s="3" t="str">
        <f t="shared" si="110"/>
        <v>I1791</v>
      </c>
    </row>
    <row r="7078" spans="1:6" x14ac:dyDescent="0.2">
      <c r="A7078" s="29" t="s">
        <v>17834</v>
      </c>
      <c r="B7078" s="30" t="s">
        <v>17835</v>
      </c>
      <c r="C7078" s="29" t="s">
        <v>26</v>
      </c>
      <c r="D7078" s="31">
        <v>11.04</v>
      </c>
      <c r="F7078" s="3" t="str">
        <f t="shared" si="110"/>
        <v>I1789</v>
      </c>
    </row>
    <row r="7079" spans="1:6" x14ac:dyDescent="0.2">
      <c r="A7079" s="29" t="s">
        <v>17836</v>
      </c>
      <c r="B7079" s="30" t="s">
        <v>17837</v>
      </c>
      <c r="C7079" s="29" t="s">
        <v>26</v>
      </c>
      <c r="D7079" s="31">
        <v>58.65</v>
      </c>
      <c r="F7079" s="3" t="str">
        <f t="shared" si="110"/>
        <v>I1788</v>
      </c>
    </row>
    <row r="7080" spans="1:6" x14ac:dyDescent="0.2">
      <c r="A7080" s="29" t="s">
        <v>17838</v>
      </c>
      <c r="B7080" s="30" t="s">
        <v>17839</v>
      </c>
      <c r="C7080" s="29" t="s">
        <v>26</v>
      </c>
      <c r="D7080" s="31">
        <v>15.72</v>
      </c>
      <c r="F7080" s="3" t="str">
        <f t="shared" si="110"/>
        <v>I1792</v>
      </c>
    </row>
    <row r="7081" spans="1:6" x14ac:dyDescent="0.2">
      <c r="A7081" s="29" t="s">
        <v>17840</v>
      </c>
      <c r="B7081" s="30" t="s">
        <v>17841</v>
      </c>
      <c r="C7081" s="29" t="s">
        <v>26</v>
      </c>
      <c r="D7081" s="31">
        <v>24.08</v>
      </c>
      <c r="F7081" s="3" t="str">
        <f t="shared" si="110"/>
        <v>I1793</v>
      </c>
    </row>
    <row r="7082" spans="1:6" x14ac:dyDescent="0.2">
      <c r="A7082" s="29" t="s">
        <v>17842</v>
      </c>
      <c r="B7082" s="30" t="s">
        <v>17843</v>
      </c>
      <c r="C7082" s="29" t="s">
        <v>26</v>
      </c>
      <c r="D7082" s="31">
        <v>27.69</v>
      </c>
      <c r="F7082" s="3" t="str">
        <f t="shared" si="110"/>
        <v>I1794</v>
      </c>
    </row>
    <row r="7083" spans="1:6" x14ac:dyDescent="0.2">
      <c r="A7083" s="29" t="s">
        <v>17844</v>
      </c>
      <c r="B7083" s="30" t="s">
        <v>17845</v>
      </c>
      <c r="C7083" s="29" t="s">
        <v>26</v>
      </c>
      <c r="D7083" s="31">
        <v>47.51</v>
      </c>
      <c r="F7083" s="3" t="str">
        <f t="shared" si="110"/>
        <v>I1795</v>
      </c>
    </row>
    <row r="7084" spans="1:6" x14ac:dyDescent="0.2">
      <c r="A7084" s="29" t="s">
        <v>17846</v>
      </c>
      <c r="B7084" s="30" t="s">
        <v>17847</v>
      </c>
      <c r="C7084" s="29" t="s">
        <v>26</v>
      </c>
      <c r="D7084" s="31">
        <v>15.45</v>
      </c>
      <c r="F7084" s="3" t="str">
        <f t="shared" si="110"/>
        <v>I2415</v>
      </c>
    </row>
    <row r="7085" spans="1:6" x14ac:dyDescent="0.2">
      <c r="A7085" s="29" t="s">
        <v>17848</v>
      </c>
      <c r="B7085" s="30" t="s">
        <v>17849</v>
      </c>
      <c r="C7085" s="29" t="s">
        <v>26</v>
      </c>
      <c r="D7085" s="31">
        <v>681.44</v>
      </c>
      <c r="F7085" s="3" t="str">
        <f t="shared" si="110"/>
        <v>I1796</v>
      </c>
    </row>
    <row r="7086" spans="1:6" x14ac:dyDescent="0.2">
      <c r="A7086" s="29" t="s">
        <v>17850</v>
      </c>
      <c r="B7086" s="30" t="s">
        <v>17851</v>
      </c>
      <c r="C7086" s="29" t="s">
        <v>26</v>
      </c>
      <c r="D7086" s="31">
        <v>32.64</v>
      </c>
      <c r="F7086" s="3" t="str">
        <f t="shared" si="110"/>
        <v>I1797</v>
      </c>
    </row>
    <row r="7087" spans="1:6" x14ac:dyDescent="0.2">
      <c r="A7087" s="29" t="s">
        <v>17852</v>
      </c>
      <c r="B7087" s="30" t="s">
        <v>17853</v>
      </c>
      <c r="C7087" s="29" t="s">
        <v>26</v>
      </c>
      <c r="D7087" s="31">
        <v>34.43</v>
      </c>
      <c r="F7087" s="3" t="str">
        <f t="shared" si="110"/>
        <v>I1798</v>
      </c>
    </row>
    <row r="7088" spans="1:6" x14ac:dyDescent="0.2">
      <c r="A7088" s="29" t="s">
        <v>17854</v>
      </c>
      <c r="B7088" s="30" t="s">
        <v>17855</v>
      </c>
      <c r="C7088" s="29" t="s">
        <v>26</v>
      </c>
      <c r="D7088" s="31">
        <v>54.35</v>
      </c>
      <c r="F7088" s="3" t="str">
        <f t="shared" si="110"/>
        <v>I1799</v>
      </c>
    </row>
    <row r="7089" spans="1:6" x14ac:dyDescent="0.2">
      <c r="A7089" s="29" t="s">
        <v>17856</v>
      </c>
      <c r="B7089" s="30" t="s">
        <v>17857</v>
      </c>
      <c r="C7089" s="29" t="s">
        <v>26</v>
      </c>
      <c r="D7089" s="31">
        <v>74.069999999999993</v>
      </c>
      <c r="F7089" s="3" t="str">
        <f t="shared" si="110"/>
        <v>I1800</v>
      </c>
    </row>
    <row r="7090" spans="1:6" x14ac:dyDescent="0.2">
      <c r="A7090" s="29" t="s">
        <v>17858</v>
      </c>
      <c r="B7090" s="30" t="s">
        <v>17859</v>
      </c>
      <c r="C7090" s="29" t="s">
        <v>26</v>
      </c>
      <c r="D7090" s="31">
        <v>93.51</v>
      </c>
      <c r="F7090" s="3" t="str">
        <f t="shared" si="110"/>
        <v>I1801</v>
      </c>
    </row>
    <row r="7091" spans="1:6" x14ac:dyDescent="0.2">
      <c r="A7091" s="29" t="s">
        <v>17860</v>
      </c>
      <c r="B7091" s="30" t="s">
        <v>17861</v>
      </c>
      <c r="C7091" s="29" t="s">
        <v>26</v>
      </c>
      <c r="D7091" s="31">
        <v>130.25</v>
      </c>
      <c r="F7091" s="3" t="str">
        <f t="shared" si="110"/>
        <v>I1802</v>
      </c>
    </row>
    <row r="7092" spans="1:6" x14ac:dyDescent="0.2">
      <c r="A7092" s="29" t="s">
        <v>17862</v>
      </c>
      <c r="B7092" s="30" t="s">
        <v>17863</v>
      </c>
      <c r="C7092" s="29" t="s">
        <v>26</v>
      </c>
      <c r="D7092" s="31">
        <v>270.13</v>
      </c>
      <c r="F7092" s="3" t="str">
        <f t="shared" si="110"/>
        <v>I1803</v>
      </c>
    </row>
    <row r="7093" spans="1:6" x14ac:dyDescent="0.2">
      <c r="A7093" s="29" t="s">
        <v>17864</v>
      </c>
      <c r="B7093" s="30" t="s">
        <v>17865</v>
      </c>
      <c r="C7093" s="29" t="s">
        <v>26</v>
      </c>
      <c r="D7093" s="31">
        <v>327.04000000000002</v>
      </c>
      <c r="F7093" s="3" t="str">
        <f t="shared" si="110"/>
        <v>I1804</v>
      </c>
    </row>
    <row r="7094" spans="1:6" x14ac:dyDescent="0.2">
      <c r="A7094" s="29" t="s">
        <v>17866</v>
      </c>
      <c r="B7094" s="30" t="s">
        <v>17867</v>
      </c>
      <c r="C7094" s="29" t="s">
        <v>26</v>
      </c>
      <c r="D7094" s="31">
        <v>74.459999999999994</v>
      </c>
      <c r="F7094" s="3" t="str">
        <f t="shared" si="110"/>
        <v>I1805</v>
      </c>
    </row>
    <row r="7095" spans="1:6" x14ac:dyDescent="0.2">
      <c r="A7095" s="29" t="s">
        <v>17868</v>
      </c>
      <c r="B7095" s="30" t="s">
        <v>17869</v>
      </c>
      <c r="C7095" s="29" t="s">
        <v>26</v>
      </c>
      <c r="D7095" s="31">
        <v>84</v>
      </c>
      <c r="F7095" s="3" t="str">
        <f t="shared" si="110"/>
        <v>I1806</v>
      </c>
    </row>
    <row r="7096" spans="1:6" x14ac:dyDescent="0.2">
      <c r="A7096" s="29" t="s">
        <v>17870</v>
      </c>
      <c r="B7096" s="30" t="s">
        <v>17871</v>
      </c>
      <c r="C7096" s="29" t="s">
        <v>26</v>
      </c>
      <c r="D7096" s="31">
        <v>102.83</v>
      </c>
      <c r="F7096" s="3" t="str">
        <f t="shared" si="110"/>
        <v>I1807</v>
      </c>
    </row>
    <row r="7097" spans="1:6" x14ac:dyDescent="0.2">
      <c r="A7097" s="29" t="s">
        <v>17872</v>
      </c>
      <c r="B7097" s="30" t="s">
        <v>17873</v>
      </c>
      <c r="C7097" s="29" t="s">
        <v>26</v>
      </c>
      <c r="D7097" s="31">
        <v>142.96</v>
      </c>
      <c r="F7097" s="3" t="str">
        <f t="shared" si="110"/>
        <v>I1808</v>
      </c>
    </row>
    <row r="7098" spans="1:6" x14ac:dyDescent="0.2">
      <c r="A7098" s="29" t="s">
        <v>17874</v>
      </c>
      <c r="B7098" s="30" t="s">
        <v>17875</v>
      </c>
      <c r="C7098" s="29" t="s">
        <v>26</v>
      </c>
      <c r="D7098" s="31">
        <v>149.53</v>
      </c>
      <c r="F7098" s="3" t="str">
        <f t="shared" si="110"/>
        <v>I1809</v>
      </c>
    </row>
    <row r="7099" spans="1:6" x14ac:dyDescent="0.2">
      <c r="A7099" s="29" t="s">
        <v>17876</v>
      </c>
      <c r="B7099" s="30" t="s">
        <v>17877</v>
      </c>
      <c r="C7099" s="29" t="s">
        <v>26</v>
      </c>
      <c r="D7099" s="31">
        <v>76.64</v>
      </c>
      <c r="F7099" s="3" t="str">
        <f t="shared" si="110"/>
        <v>I1810</v>
      </c>
    </row>
    <row r="7100" spans="1:6" x14ac:dyDescent="0.2">
      <c r="A7100" s="29" t="s">
        <v>17878</v>
      </c>
      <c r="B7100" s="30" t="s">
        <v>17879</v>
      </c>
      <c r="C7100" s="29" t="s">
        <v>26</v>
      </c>
      <c r="D7100" s="31">
        <v>79.22</v>
      </c>
      <c r="F7100" s="3" t="str">
        <f t="shared" si="110"/>
        <v>I1811</v>
      </c>
    </row>
    <row r="7101" spans="1:6" x14ac:dyDescent="0.2">
      <c r="A7101" s="29" t="s">
        <v>17880</v>
      </c>
      <c r="B7101" s="30" t="s">
        <v>17881</v>
      </c>
      <c r="C7101" s="29" t="s">
        <v>26</v>
      </c>
      <c r="D7101" s="31">
        <v>82.1</v>
      </c>
      <c r="F7101" s="3" t="str">
        <f t="shared" si="110"/>
        <v>I2593</v>
      </c>
    </row>
    <row r="7102" spans="1:6" x14ac:dyDescent="0.2">
      <c r="A7102" s="29" t="s">
        <v>17882</v>
      </c>
      <c r="B7102" s="30" t="s">
        <v>17883</v>
      </c>
      <c r="C7102" s="29" t="s">
        <v>26</v>
      </c>
      <c r="D7102" s="31">
        <v>23.13</v>
      </c>
      <c r="F7102" s="3" t="str">
        <f t="shared" si="110"/>
        <v>I2416</v>
      </c>
    </row>
    <row r="7103" spans="1:6" x14ac:dyDescent="0.2">
      <c r="A7103" s="29" t="s">
        <v>17884</v>
      </c>
      <c r="B7103" s="30" t="s">
        <v>17885</v>
      </c>
      <c r="C7103" s="29" t="s">
        <v>26</v>
      </c>
      <c r="D7103" s="31">
        <v>113.65</v>
      </c>
      <c r="F7103" s="3" t="str">
        <f t="shared" si="110"/>
        <v>I1813</v>
      </c>
    </row>
    <row r="7104" spans="1:6" x14ac:dyDescent="0.2">
      <c r="A7104" s="29" t="s">
        <v>17886</v>
      </c>
      <c r="B7104" s="30" t="s">
        <v>17887</v>
      </c>
      <c r="C7104" s="29" t="s">
        <v>26</v>
      </c>
      <c r="D7104" s="31">
        <v>76.25</v>
      </c>
      <c r="F7104" s="3" t="str">
        <f t="shared" si="110"/>
        <v>I1812</v>
      </c>
    </row>
    <row r="7105" spans="1:6" x14ac:dyDescent="0.2">
      <c r="A7105" s="29" t="s">
        <v>17888</v>
      </c>
      <c r="B7105" s="30" t="s">
        <v>17889</v>
      </c>
      <c r="C7105" s="29" t="s">
        <v>26</v>
      </c>
      <c r="D7105" s="31">
        <v>211.18</v>
      </c>
      <c r="F7105" s="3" t="str">
        <f t="shared" si="110"/>
        <v>I1814</v>
      </c>
    </row>
    <row r="7106" spans="1:6" x14ac:dyDescent="0.2">
      <c r="A7106" s="29" t="s">
        <v>17890</v>
      </c>
      <c r="B7106" s="30" t="s">
        <v>17891</v>
      </c>
      <c r="C7106" s="29" t="s">
        <v>26</v>
      </c>
      <c r="D7106" s="31">
        <v>56.48</v>
      </c>
      <c r="F7106" s="3" t="str">
        <f t="shared" ref="F7106:F7169" si="111">A7106</f>
        <v>I1815</v>
      </c>
    </row>
    <row r="7107" spans="1:6" x14ac:dyDescent="0.2">
      <c r="A7107" s="29" t="s">
        <v>17892</v>
      </c>
      <c r="B7107" s="30" t="s">
        <v>17893</v>
      </c>
      <c r="C7107" s="29" t="s">
        <v>26</v>
      </c>
      <c r="D7107" s="31">
        <v>200</v>
      </c>
      <c r="F7107" s="3" t="str">
        <f t="shared" si="111"/>
        <v>I1816</v>
      </c>
    </row>
    <row r="7108" spans="1:6" x14ac:dyDescent="0.2">
      <c r="A7108" s="29" t="s">
        <v>17894</v>
      </c>
      <c r="B7108" s="30" t="s">
        <v>17895</v>
      </c>
      <c r="C7108" s="29" t="s">
        <v>26</v>
      </c>
      <c r="D7108" s="31">
        <v>76.25</v>
      </c>
      <c r="F7108" s="3" t="str">
        <f t="shared" si="111"/>
        <v>I6781</v>
      </c>
    </row>
    <row r="7109" spans="1:6" x14ac:dyDescent="0.2">
      <c r="A7109" s="29" t="s">
        <v>17896</v>
      </c>
      <c r="B7109" s="30" t="s">
        <v>17897</v>
      </c>
      <c r="C7109" s="29" t="s">
        <v>26</v>
      </c>
      <c r="D7109" s="31">
        <v>56.48</v>
      </c>
      <c r="F7109" s="3" t="str">
        <f t="shared" si="111"/>
        <v>I6780</v>
      </c>
    </row>
    <row r="7110" spans="1:6" x14ac:dyDescent="0.2">
      <c r="A7110" s="29" t="s">
        <v>17898</v>
      </c>
      <c r="B7110" s="30" t="s">
        <v>17899</v>
      </c>
      <c r="C7110" s="29" t="s">
        <v>26</v>
      </c>
      <c r="D7110" s="31">
        <v>136.94999999999999</v>
      </c>
      <c r="F7110" s="3" t="str">
        <f t="shared" si="111"/>
        <v>I1817</v>
      </c>
    </row>
    <row r="7111" spans="1:6" x14ac:dyDescent="0.2">
      <c r="A7111" s="29" t="s">
        <v>17900</v>
      </c>
      <c r="B7111" s="30" t="s">
        <v>17901</v>
      </c>
      <c r="C7111" s="29" t="s">
        <v>9</v>
      </c>
      <c r="D7111" s="31">
        <v>61.02</v>
      </c>
      <c r="F7111" s="3" t="str">
        <f t="shared" si="111"/>
        <v>I1888</v>
      </c>
    </row>
    <row r="7112" spans="1:6" x14ac:dyDescent="0.2">
      <c r="A7112" s="29" t="s">
        <v>17902</v>
      </c>
      <c r="B7112" s="30" t="s">
        <v>17903</v>
      </c>
      <c r="C7112" s="29" t="s">
        <v>26</v>
      </c>
      <c r="D7112" s="31">
        <v>55.99</v>
      </c>
      <c r="F7112" s="3" t="str">
        <f t="shared" si="111"/>
        <v>I1891</v>
      </c>
    </row>
    <row r="7113" spans="1:6" x14ac:dyDescent="0.2">
      <c r="A7113" s="29" t="s">
        <v>17904</v>
      </c>
      <c r="B7113" s="30" t="s">
        <v>17905</v>
      </c>
      <c r="C7113" s="29" t="s">
        <v>26</v>
      </c>
      <c r="D7113" s="31">
        <v>58.67</v>
      </c>
      <c r="F7113" s="3" t="str">
        <f t="shared" si="111"/>
        <v>I1892</v>
      </c>
    </row>
    <row r="7114" spans="1:6" x14ac:dyDescent="0.2">
      <c r="A7114" s="29" t="s">
        <v>17906</v>
      </c>
      <c r="B7114" s="30" t="s">
        <v>17907</v>
      </c>
      <c r="C7114" s="29" t="s">
        <v>26</v>
      </c>
      <c r="D7114" s="31">
        <v>571.5</v>
      </c>
      <c r="F7114" s="3" t="str">
        <f t="shared" si="111"/>
        <v>I7401</v>
      </c>
    </row>
    <row r="7115" spans="1:6" x14ac:dyDescent="0.2">
      <c r="A7115" s="29" t="s">
        <v>17908</v>
      </c>
      <c r="B7115" s="30" t="s">
        <v>17909</v>
      </c>
      <c r="C7115" s="29" t="s">
        <v>26</v>
      </c>
      <c r="D7115" s="31">
        <v>756.68</v>
      </c>
      <c r="F7115" s="3" t="str">
        <f t="shared" si="111"/>
        <v>I8201</v>
      </c>
    </row>
    <row r="7116" spans="1:6" x14ac:dyDescent="0.2">
      <c r="A7116" s="29" t="s">
        <v>17910</v>
      </c>
      <c r="B7116" s="30" t="s">
        <v>17911</v>
      </c>
      <c r="C7116" s="29" t="s">
        <v>26</v>
      </c>
      <c r="D7116" s="31">
        <v>1128.6600000000001</v>
      </c>
      <c r="F7116" s="3" t="str">
        <f t="shared" si="111"/>
        <v>I8202</v>
      </c>
    </row>
    <row r="7117" spans="1:6" x14ac:dyDescent="0.2">
      <c r="A7117" s="29" t="s">
        <v>17912</v>
      </c>
      <c r="B7117" s="30" t="s">
        <v>17913</v>
      </c>
      <c r="C7117" s="29" t="s">
        <v>26</v>
      </c>
      <c r="D7117" s="31">
        <v>11.37</v>
      </c>
      <c r="F7117" s="3" t="str">
        <f t="shared" si="111"/>
        <v>I1927</v>
      </c>
    </row>
    <row r="7118" spans="1:6" x14ac:dyDescent="0.2">
      <c r="A7118" s="29" t="s">
        <v>17914</v>
      </c>
      <c r="B7118" s="30" t="s">
        <v>17915</v>
      </c>
      <c r="C7118" s="29" t="s">
        <v>26</v>
      </c>
      <c r="D7118" s="31">
        <v>17.350000000000001</v>
      </c>
      <c r="F7118" s="3" t="str">
        <f t="shared" si="111"/>
        <v>I1928</v>
      </c>
    </row>
    <row r="7119" spans="1:6" x14ac:dyDescent="0.2">
      <c r="A7119" s="29" t="s">
        <v>17916</v>
      </c>
      <c r="B7119" s="30" t="s">
        <v>17917</v>
      </c>
      <c r="C7119" s="29" t="s">
        <v>26</v>
      </c>
      <c r="D7119" s="31">
        <v>133.06</v>
      </c>
      <c r="F7119" s="3" t="str">
        <f t="shared" si="111"/>
        <v>I1929</v>
      </c>
    </row>
    <row r="7120" spans="1:6" x14ac:dyDescent="0.2">
      <c r="A7120" s="29" t="s">
        <v>17918</v>
      </c>
      <c r="B7120" s="30" t="s">
        <v>17919</v>
      </c>
      <c r="C7120" s="29" t="s">
        <v>26</v>
      </c>
      <c r="D7120" s="31">
        <v>55.8</v>
      </c>
      <c r="F7120" s="3" t="str">
        <f t="shared" si="111"/>
        <v>I1930</v>
      </c>
    </row>
    <row r="7121" spans="1:6" x14ac:dyDescent="0.2">
      <c r="A7121" s="29" t="s">
        <v>17920</v>
      </c>
      <c r="B7121" s="30" t="s">
        <v>17921</v>
      </c>
      <c r="C7121" s="29" t="s">
        <v>26</v>
      </c>
      <c r="D7121" s="31">
        <v>1105.6300000000001</v>
      </c>
      <c r="F7121" s="3" t="str">
        <f t="shared" si="111"/>
        <v>I1931</v>
      </c>
    </row>
    <row r="7122" spans="1:6" x14ac:dyDescent="0.2">
      <c r="A7122" s="29" t="s">
        <v>17922</v>
      </c>
      <c r="B7122" s="30" t="s">
        <v>17923</v>
      </c>
      <c r="C7122" s="29" t="s">
        <v>26</v>
      </c>
      <c r="D7122" s="31">
        <v>571.5</v>
      </c>
      <c r="F7122" s="3" t="str">
        <f t="shared" si="111"/>
        <v>I2432</v>
      </c>
    </row>
    <row r="7123" spans="1:6" x14ac:dyDescent="0.2">
      <c r="A7123" s="29" t="s">
        <v>17924</v>
      </c>
      <c r="B7123" s="30" t="s">
        <v>17925</v>
      </c>
      <c r="C7123" s="29" t="s">
        <v>26</v>
      </c>
      <c r="D7123" s="31">
        <v>118</v>
      </c>
      <c r="F7123" s="3" t="str">
        <f t="shared" si="111"/>
        <v>I6765</v>
      </c>
    </row>
    <row r="7124" spans="1:6" x14ac:dyDescent="0.2">
      <c r="A7124" s="29" t="s">
        <v>17926</v>
      </c>
      <c r="B7124" s="30" t="s">
        <v>17927</v>
      </c>
      <c r="C7124" s="29" t="s">
        <v>26</v>
      </c>
      <c r="D7124" s="31">
        <v>3.8</v>
      </c>
      <c r="F7124" s="3" t="str">
        <f t="shared" si="111"/>
        <v>I6760</v>
      </c>
    </row>
    <row r="7125" spans="1:6" x14ac:dyDescent="0.2">
      <c r="A7125" s="29" t="s">
        <v>17928</v>
      </c>
      <c r="B7125" s="30" t="s">
        <v>17929</v>
      </c>
      <c r="C7125" s="29" t="s">
        <v>26</v>
      </c>
      <c r="D7125" s="31">
        <v>4.2699999999999996</v>
      </c>
      <c r="F7125" s="3" t="str">
        <f t="shared" si="111"/>
        <v>I6761</v>
      </c>
    </row>
    <row r="7126" spans="1:6" x14ac:dyDescent="0.2">
      <c r="A7126" s="29" t="s">
        <v>17930</v>
      </c>
      <c r="B7126" s="30" t="s">
        <v>17931</v>
      </c>
      <c r="C7126" s="29" t="s">
        <v>26</v>
      </c>
      <c r="D7126" s="31">
        <v>5.3</v>
      </c>
      <c r="F7126" s="3" t="str">
        <f t="shared" si="111"/>
        <v>I6762</v>
      </c>
    </row>
    <row r="7127" spans="1:6" x14ac:dyDescent="0.2">
      <c r="A7127" s="29" t="s">
        <v>17932</v>
      </c>
      <c r="B7127" s="30" t="s">
        <v>17933</v>
      </c>
      <c r="C7127" s="29" t="s">
        <v>26</v>
      </c>
      <c r="D7127" s="31">
        <v>72.42</v>
      </c>
      <c r="F7127" s="3" t="str">
        <f t="shared" si="111"/>
        <v>I6763</v>
      </c>
    </row>
    <row r="7128" spans="1:6" x14ac:dyDescent="0.2">
      <c r="A7128" s="29" t="s">
        <v>17934</v>
      </c>
      <c r="B7128" s="30" t="s">
        <v>17935</v>
      </c>
      <c r="C7128" s="29" t="s">
        <v>26</v>
      </c>
      <c r="D7128" s="31">
        <v>97</v>
      </c>
      <c r="F7128" s="3" t="str">
        <f t="shared" si="111"/>
        <v>I6764</v>
      </c>
    </row>
    <row r="7129" spans="1:6" x14ac:dyDescent="0.2">
      <c r="A7129" s="29" t="s">
        <v>17936</v>
      </c>
      <c r="B7129" s="30" t="s">
        <v>17937</v>
      </c>
      <c r="C7129" s="29" t="s">
        <v>26</v>
      </c>
      <c r="D7129" s="31">
        <v>3.2</v>
      </c>
      <c r="F7129" s="3" t="str">
        <f t="shared" si="111"/>
        <v>I6759</v>
      </c>
    </row>
    <row r="7130" spans="1:6" x14ac:dyDescent="0.2">
      <c r="A7130" s="29" t="s">
        <v>17938</v>
      </c>
      <c r="B7130" s="30" t="s">
        <v>17939</v>
      </c>
      <c r="C7130" s="29" t="s">
        <v>26</v>
      </c>
      <c r="D7130" s="31">
        <v>46.75</v>
      </c>
      <c r="F7130" s="3" t="str">
        <f t="shared" si="111"/>
        <v>I1945</v>
      </c>
    </row>
    <row r="7131" spans="1:6" x14ac:dyDescent="0.2">
      <c r="A7131" s="29" t="s">
        <v>17940</v>
      </c>
      <c r="B7131" s="30" t="s">
        <v>17941</v>
      </c>
      <c r="C7131" s="29" t="s">
        <v>26</v>
      </c>
      <c r="D7131" s="31">
        <v>36.9</v>
      </c>
      <c r="F7131" s="3" t="str">
        <f t="shared" si="111"/>
        <v>I1946</v>
      </c>
    </row>
    <row r="7132" spans="1:6" x14ac:dyDescent="0.2">
      <c r="A7132" s="29" t="s">
        <v>17942</v>
      </c>
      <c r="B7132" s="30" t="s">
        <v>17943</v>
      </c>
      <c r="C7132" s="29" t="s">
        <v>26</v>
      </c>
      <c r="D7132" s="31">
        <v>24.11</v>
      </c>
      <c r="F7132" s="3" t="str">
        <f t="shared" si="111"/>
        <v>I1947</v>
      </c>
    </row>
    <row r="7133" spans="1:6" x14ac:dyDescent="0.2">
      <c r="A7133" s="29" t="s">
        <v>17944</v>
      </c>
      <c r="B7133" s="30" t="s">
        <v>17945</v>
      </c>
      <c r="C7133" s="29" t="s">
        <v>26</v>
      </c>
      <c r="D7133" s="31">
        <v>10.52</v>
      </c>
      <c r="F7133" s="3" t="str">
        <f t="shared" si="111"/>
        <v>I1948</v>
      </c>
    </row>
    <row r="7134" spans="1:6" x14ac:dyDescent="0.2">
      <c r="A7134" s="29" t="s">
        <v>17946</v>
      </c>
      <c r="B7134" s="30" t="s">
        <v>17947</v>
      </c>
      <c r="C7134" s="29" t="s">
        <v>26</v>
      </c>
      <c r="D7134" s="31">
        <v>140.62</v>
      </c>
      <c r="F7134" s="3" t="str">
        <f t="shared" si="111"/>
        <v>I1949</v>
      </c>
    </row>
    <row r="7135" spans="1:6" x14ac:dyDescent="0.2">
      <c r="A7135" s="29" t="s">
        <v>17948</v>
      </c>
      <c r="B7135" s="30" t="s">
        <v>17949</v>
      </c>
      <c r="C7135" s="29" t="s">
        <v>26</v>
      </c>
      <c r="D7135" s="31">
        <v>74.06</v>
      </c>
      <c r="F7135" s="3" t="str">
        <f t="shared" si="111"/>
        <v>I1950</v>
      </c>
    </row>
    <row r="7136" spans="1:6" x14ac:dyDescent="0.2">
      <c r="A7136" s="29" t="s">
        <v>17950</v>
      </c>
      <c r="B7136" s="30" t="s">
        <v>17951</v>
      </c>
      <c r="C7136" s="29" t="s">
        <v>26</v>
      </c>
      <c r="D7136" s="31">
        <v>188.34</v>
      </c>
      <c r="F7136" s="3" t="str">
        <f t="shared" si="111"/>
        <v>I1951</v>
      </c>
    </row>
    <row r="7137" spans="1:6" x14ac:dyDescent="0.2">
      <c r="A7137" s="29" t="s">
        <v>17952</v>
      </c>
      <c r="B7137" s="30" t="s">
        <v>17953</v>
      </c>
      <c r="C7137" s="29" t="s">
        <v>26</v>
      </c>
      <c r="D7137" s="31">
        <v>14.98</v>
      </c>
      <c r="F7137" s="3" t="str">
        <f t="shared" si="111"/>
        <v>I1952</v>
      </c>
    </row>
    <row r="7138" spans="1:6" x14ac:dyDescent="0.2">
      <c r="A7138" s="29" t="s">
        <v>17954</v>
      </c>
      <c r="B7138" s="30" t="s">
        <v>17955</v>
      </c>
      <c r="C7138" s="29" t="s">
        <v>26</v>
      </c>
      <c r="D7138" s="31">
        <v>347.23</v>
      </c>
      <c r="F7138" s="3" t="str">
        <f t="shared" si="111"/>
        <v>I1954</v>
      </c>
    </row>
    <row r="7139" spans="1:6" x14ac:dyDescent="0.2">
      <c r="A7139" s="29" t="s">
        <v>17956</v>
      </c>
      <c r="B7139" s="30" t="s">
        <v>17957</v>
      </c>
      <c r="C7139" s="29" t="s">
        <v>26</v>
      </c>
      <c r="D7139" s="31">
        <v>495.99</v>
      </c>
      <c r="F7139" s="3" t="str">
        <f t="shared" si="111"/>
        <v>I1955</v>
      </c>
    </row>
    <row r="7140" spans="1:6" x14ac:dyDescent="0.2">
      <c r="A7140" s="29" t="s">
        <v>17958</v>
      </c>
      <c r="B7140" s="30" t="s">
        <v>17959</v>
      </c>
      <c r="C7140" s="29" t="s">
        <v>26</v>
      </c>
      <c r="D7140" s="31">
        <v>1162.55</v>
      </c>
      <c r="F7140" s="3" t="str">
        <f t="shared" si="111"/>
        <v>I1956</v>
      </c>
    </row>
    <row r="7141" spans="1:6" x14ac:dyDescent="0.2">
      <c r="A7141" s="29" t="s">
        <v>17960</v>
      </c>
      <c r="B7141" s="30" t="s">
        <v>17961</v>
      </c>
      <c r="C7141" s="29" t="s">
        <v>26</v>
      </c>
      <c r="D7141" s="31">
        <v>35.49</v>
      </c>
      <c r="F7141" s="3" t="str">
        <f t="shared" si="111"/>
        <v>I1957</v>
      </c>
    </row>
    <row r="7142" spans="1:6" x14ac:dyDescent="0.2">
      <c r="A7142" s="29" t="s">
        <v>17962</v>
      </c>
      <c r="B7142" s="30" t="s">
        <v>17963</v>
      </c>
      <c r="C7142" s="29" t="s">
        <v>26</v>
      </c>
      <c r="D7142" s="31">
        <v>32.44</v>
      </c>
      <c r="F7142" s="3" t="str">
        <f t="shared" si="111"/>
        <v>I1958</v>
      </c>
    </row>
    <row r="7143" spans="1:6" x14ac:dyDescent="0.2">
      <c r="A7143" s="29" t="s">
        <v>17964</v>
      </c>
      <c r="B7143" s="30" t="s">
        <v>17965</v>
      </c>
      <c r="C7143" s="29" t="s">
        <v>26</v>
      </c>
      <c r="D7143" s="31">
        <v>195.94</v>
      </c>
      <c r="F7143" s="3" t="str">
        <f t="shared" si="111"/>
        <v>I1959</v>
      </c>
    </row>
    <row r="7144" spans="1:6" x14ac:dyDescent="0.2">
      <c r="A7144" s="29" t="s">
        <v>17966</v>
      </c>
      <c r="B7144" s="30" t="s">
        <v>17967</v>
      </c>
      <c r="C7144" s="29" t="s">
        <v>26</v>
      </c>
      <c r="D7144" s="31">
        <v>905.86</v>
      </c>
      <c r="F7144" s="3" t="str">
        <f t="shared" si="111"/>
        <v>I1960</v>
      </c>
    </row>
    <row r="7145" spans="1:6" x14ac:dyDescent="0.2">
      <c r="A7145" s="29" t="s">
        <v>17968</v>
      </c>
      <c r="B7145" s="30" t="s">
        <v>17969</v>
      </c>
      <c r="C7145" s="29" t="s">
        <v>26</v>
      </c>
      <c r="D7145" s="31">
        <v>6.46</v>
      </c>
      <c r="F7145" s="3" t="str">
        <f t="shared" si="111"/>
        <v>I1962</v>
      </c>
    </row>
    <row r="7146" spans="1:6" x14ac:dyDescent="0.2">
      <c r="A7146" s="29" t="s">
        <v>17970</v>
      </c>
      <c r="B7146" s="30" t="s">
        <v>17971</v>
      </c>
      <c r="C7146" s="29" t="s">
        <v>26</v>
      </c>
      <c r="D7146" s="31">
        <v>13.78</v>
      </c>
      <c r="F7146" s="3" t="str">
        <f t="shared" si="111"/>
        <v>I1963</v>
      </c>
    </row>
    <row r="7147" spans="1:6" x14ac:dyDescent="0.2">
      <c r="A7147" s="29" t="s">
        <v>17972</v>
      </c>
      <c r="B7147" s="30" t="s">
        <v>17973</v>
      </c>
      <c r="C7147" s="29" t="s">
        <v>26</v>
      </c>
      <c r="D7147" s="31">
        <v>22.67</v>
      </c>
      <c r="F7147" s="3" t="str">
        <f t="shared" si="111"/>
        <v>I1964</v>
      </c>
    </row>
    <row r="7148" spans="1:6" x14ac:dyDescent="0.2">
      <c r="A7148" s="29" t="s">
        <v>17974</v>
      </c>
      <c r="B7148" s="30" t="s">
        <v>17975</v>
      </c>
      <c r="C7148" s="29" t="s">
        <v>26</v>
      </c>
      <c r="D7148" s="31">
        <v>51.83</v>
      </c>
      <c r="F7148" s="3" t="str">
        <f t="shared" si="111"/>
        <v>I1965</v>
      </c>
    </row>
    <row r="7149" spans="1:6" x14ac:dyDescent="0.2">
      <c r="A7149" s="29" t="s">
        <v>17976</v>
      </c>
      <c r="B7149" s="30" t="s">
        <v>17977</v>
      </c>
      <c r="C7149" s="29" t="s">
        <v>26</v>
      </c>
      <c r="D7149" s="31">
        <v>66.78</v>
      </c>
      <c r="F7149" s="3" t="str">
        <f t="shared" si="111"/>
        <v>I1966</v>
      </c>
    </row>
    <row r="7150" spans="1:6" x14ac:dyDescent="0.2">
      <c r="A7150" s="29" t="s">
        <v>17978</v>
      </c>
      <c r="B7150" s="30" t="s">
        <v>17979</v>
      </c>
      <c r="C7150" s="29" t="s">
        <v>26</v>
      </c>
      <c r="D7150" s="31">
        <v>131.97999999999999</v>
      </c>
      <c r="F7150" s="3" t="str">
        <f t="shared" si="111"/>
        <v>I1967</v>
      </c>
    </row>
    <row r="7151" spans="1:6" x14ac:dyDescent="0.2">
      <c r="A7151" s="29" t="s">
        <v>17980</v>
      </c>
      <c r="B7151" s="30" t="s">
        <v>17981</v>
      </c>
      <c r="C7151" s="29" t="s">
        <v>26</v>
      </c>
      <c r="D7151" s="31">
        <v>365.72</v>
      </c>
      <c r="F7151" s="3" t="str">
        <f t="shared" si="111"/>
        <v>I1968</v>
      </c>
    </row>
    <row r="7152" spans="1:6" x14ac:dyDescent="0.2">
      <c r="A7152" s="29" t="s">
        <v>17982</v>
      </c>
      <c r="B7152" s="30" t="s">
        <v>17983</v>
      </c>
      <c r="C7152" s="29" t="s">
        <v>26</v>
      </c>
      <c r="D7152" s="31">
        <v>440.8</v>
      </c>
      <c r="F7152" s="3" t="str">
        <f t="shared" si="111"/>
        <v>I1961</v>
      </c>
    </row>
    <row r="7153" spans="1:6" x14ac:dyDescent="0.2">
      <c r="A7153" s="29" t="s">
        <v>17984</v>
      </c>
      <c r="B7153" s="30" t="s">
        <v>17985</v>
      </c>
      <c r="C7153" s="29" t="s">
        <v>26</v>
      </c>
      <c r="D7153" s="31">
        <v>168.99</v>
      </c>
      <c r="F7153" s="3" t="str">
        <f t="shared" si="111"/>
        <v>I1985</v>
      </c>
    </row>
    <row r="7154" spans="1:6" x14ac:dyDescent="0.2">
      <c r="A7154" s="29" t="s">
        <v>17986</v>
      </c>
      <c r="B7154" s="30" t="s">
        <v>17987</v>
      </c>
      <c r="C7154" s="29" t="s">
        <v>26</v>
      </c>
      <c r="D7154" s="31">
        <v>127.34</v>
      </c>
      <c r="F7154" s="3" t="str">
        <f t="shared" si="111"/>
        <v>I1986</v>
      </c>
    </row>
    <row r="7155" spans="1:6" x14ac:dyDescent="0.2">
      <c r="A7155" s="29" t="s">
        <v>17988</v>
      </c>
      <c r="B7155" s="30" t="s">
        <v>17989</v>
      </c>
      <c r="C7155" s="29" t="s">
        <v>26</v>
      </c>
      <c r="D7155" s="31">
        <v>190.53</v>
      </c>
      <c r="F7155" s="3" t="str">
        <f t="shared" si="111"/>
        <v>I1987</v>
      </c>
    </row>
    <row r="7156" spans="1:6" x14ac:dyDescent="0.2">
      <c r="A7156" s="29" t="s">
        <v>17990</v>
      </c>
      <c r="B7156" s="30" t="s">
        <v>17991</v>
      </c>
      <c r="C7156" s="29" t="s">
        <v>26</v>
      </c>
      <c r="D7156" s="31">
        <v>306.57</v>
      </c>
      <c r="F7156" s="3" t="str">
        <f t="shared" si="111"/>
        <v>I1988</v>
      </c>
    </row>
    <row r="7157" spans="1:6" x14ac:dyDescent="0.2">
      <c r="A7157" s="29" t="s">
        <v>17992</v>
      </c>
      <c r="B7157" s="30" t="s">
        <v>17993</v>
      </c>
      <c r="C7157" s="29" t="s">
        <v>26</v>
      </c>
      <c r="D7157" s="31">
        <v>364.82</v>
      </c>
      <c r="F7157" s="3" t="str">
        <f t="shared" si="111"/>
        <v>I1989</v>
      </c>
    </row>
    <row r="7158" spans="1:6" x14ac:dyDescent="0.2">
      <c r="A7158" s="29" t="s">
        <v>17994</v>
      </c>
      <c r="B7158" s="30" t="s">
        <v>17995</v>
      </c>
      <c r="C7158" s="29" t="s">
        <v>26</v>
      </c>
      <c r="D7158" s="31">
        <v>89.66</v>
      </c>
      <c r="F7158" s="3" t="str">
        <f t="shared" si="111"/>
        <v>I1990</v>
      </c>
    </row>
    <row r="7159" spans="1:6" x14ac:dyDescent="0.2">
      <c r="A7159" s="29" t="s">
        <v>17996</v>
      </c>
      <c r="B7159" s="30" t="s">
        <v>17997</v>
      </c>
      <c r="C7159" s="29" t="s">
        <v>26</v>
      </c>
      <c r="D7159" s="31">
        <v>164.81</v>
      </c>
      <c r="F7159" s="3" t="str">
        <f t="shared" si="111"/>
        <v>I1991</v>
      </c>
    </row>
    <row r="7160" spans="1:6" x14ac:dyDescent="0.2">
      <c r="A7160" s="29" t="s">
        <v>17998</v>
      </c>
      <c r="B7160" s="30" t="s">
        <v>17999</v>
      </c>
      <c r="C7160" s="29" t="s">
        <v>26</v>
      </c>
      <c r="D7160" s="31">
        <v>170.77</v>
      </c>
      <c r="F7160" s="3" t="str">
        <f t="shared" si="111"/>
        <v>I1992</v>
      </c>
    </row>
    <row r="7161" spans="1:6" ht="22.5" x14ac:dyDescent="0.2">
      <c r="A7161" s="29" t="s">
        <v>18000</v>
      </c>
      <c r="B7161" s="30" t="s">
        <v>18001</v>
      </c>
      <c r="C7161" s="29" t="s">
        <v>26</v>
      </c>
      <c r="D7161" s="31">
        <v>12.04</v>
      </c>
      <c r="F7161" s="3" t="str">
        <f t="shared" si="111"/>
        <v>I1943</v>
      </c>
    </row>
    <row r="7162" spans="1:6" ht="22.5" x14ac:dyDescent="0.2">
      <c r="A7162" s="29" t="s">
        <v>18002</v>
      </c>
      <c r="B7162" s="30" t="s">
        <v>18003</v>
      </c>
      <c r="C7162" s="29" t="s">
        <v>26</v>
      </c>
      <c r="D7162" s="31">
        <v>283.41000000000003</v>
      </c>
      <c r="F7162" s="3" t="str">
        <f t="shared" si="111"/>
        <v>I2006</v>
      </c>
    </row>
    <row r="7163" spans="1:6" ht="22.5" x14ac:dyDescent="0.2">
      <c r="A7163" s="29" t="s">
        <v>18004</v>
      </c>
      <c r="B7163" s="30" t="s">
        <v>18005</v>
      </c>
      <c r="C7163" s="29" t="s">
        <v>26</v>
      </c>
      <c r="D7163" s="31">
        <v>138.35</v>
      </c>
      <c r="F7163" s="3" t="str">
        <f t="shared" si="111"/>
        <v>I2007</v>
      </c>
    </row>
    <row r="7164" spans="1:6" x14ac:dyDescent="0.2">
      <c r="A7164" s="29" t="s">
        <v>18006</v>
      </c>
      <c r="B7164" s="30" t="s">
        <v>18007</v>
      </c>
      <c r="C7164" s="29" t="s">
        <v>26</v>
      </c>
      <c r="D7164" s="31">
        <v>3.93</v>
      </c>
      <c r="F7164" s="3" t="str">
        <f t="shared" si="111"/>
        <v>I2013</v>
      </c>
    </row>
    <row r="7165" spans="1:6" x14ac:dyDescent="0.2">
      <c r="A7165" s="29" t="s">
        <v>18008</v>
      </c>
      <c r="B7165" s="30" t="s">
        <v>18009</v>
      </c>
      <c r="C7165" s="29" t="s">
        <v>26</v>
      </c>
      <c r="D7165" s="31">
        <v>7.97</v>
      </c>
      <c r="F7165" s="3" t="str">
        <f t="shared" si="111"/>
        <v>I2014</v>
      </c>
    </row>
    <row r="7166" spans="1:6" x14ac:dyDescent="0.2">
      <c r="A7166" s="29" t="s">
        <v>18010</v>
      </c>
      <c r="B7166" s="30" t="s">
        <v>18011</v>
      </c>
      <c r="C7166" s="29" t="s">
        <v>26</v>
      </c>
      <c r="D7166" s="31">
        <v>17.63</v>
      </c>
      <c r="F7166" s="3" t="str">
        <f t="shared" si="111"/>
        <v>I2015</v>
      </c>
    </row>
    <row r="7167" spans="1:6" x14ac:dyDescent="0.2">
      <c r="A7167" s="29" t="s">
        <v>18012</v>
      </c>
      <c r="B7167" s="30" t="s">
        <v>18013</v>
      </c>
      <c r="C7167" s="29" t="s">
        <v>26</v>
      </c>
      <c r="D7167" s="31">
        <v>16.98</v>
      </c>
      <c r="F7167" s="3" t="str">
        <f t="shared" si="111"/>
        <v>I2012</v>
      </c>
    </row>
    <row r="7168" spans="1:6" x14ac:dyDescent="0.2">
      <c r="A7168" s="29" t="s">
        <v>18014</v>
      </c>
      <c r="B7168" s="30" t="s">
        <v>18015</v>
      </c>
      <c r="C7168" s="29" t="s">
        <v>26</v>
      </c>
      <c r="D7168" s="31">
        <v>28.84</v>
      </c>
      <c r="F7168" s="3" t="str">
        <f t="shared" si="111"/>
        <v>I1969</v>
      </c>
    </row>
    <row r="7169" spans="1:6" x14ac:dyDescent="0.2">
      <c r="A7169" s="29" t="s">
        <v>18016</v>
      </c>
      <c r="B7169" s="30" t="s">
        <v>18017</v>
      </c>
      <c r="C7169" s="29" t="s">
        <v>26</v>
      </c>
      <c r="D7169" s="31">
        <v>13.15</v>
      </c>
      <c r="F7169" s="3" t="str">
        <f t="shared" si="111"/>
        <v>I2011</v>
      </c>
    </row>
    <row r="7170" spans="1:6" x14ac:dyDescent="0.2">
      <c r="A7170" s="29" t="s">
        <v>18018</v>
      </c>
      <c r="B7170" s="30" t="s">
        <v>18019</v>
      </c>
      <c r="C7170" s="29" t="s">
        <v>26</v>
      </c>
      <c r="D7170" s="31">
        <v>18.05</v>
      </c>
      <c r="F7170" s="3" t="str">
        <f t="shared" ref="F7170:F7233" si="112">A7170</f>
        <v>I2008</v>
      </c>
    </row>
    <row r="7171" spans="1:6" x14ac:dyDescent="0.2">
      <c r="A7171" s="29" t="s">
        <v>18020</v>
      </c>
      <c r="B7171" s="30" t="s">
        <v>18021</v>
      </c>
      <c r="C7171" s="29" t="s">
        <v>26</v>
      </c>
      <c r="D7171" s="31">
        <v>20.73</v>
      </c>
      <c r="F7171" s="3" t="str">
        <f t="shared" si="112"/>
        <v>I2009</v>
      </c>
    </row>
    <row r="7172" spans="1:6" x14ac:dyDescent="0.2">
      <c r="A7172" s="29" t="s">
        <v>18022</v>
      </c>
      <c r="B7172" s="30" t="s">
        <v>18023</v>
      </c>
      <c r="C7172" s="29" t="s">
        <v>26</v>
      </c>
      <c r="D7172" s="31">
        <v>91.91</v>
      </c>
      <c r="F7172" s="3" t="str">
        <f t="shared" si="112"/>
        <v>I2010</v>
      </c>
    </row>
    <row r="7173" spans="1:6" ht="22.5" x14ac:dyDescent="0.2">
      <c r="A7173" s="29" t="s">
        <v>18024</v>
      </c>
      <c r="B7173" s="30" t="s">
        <v>18025</v>
      </c>
      <c r="C7173" s="29" t="s">
        <v>26</v>
      </c>
      <c r="D7173" s="31">
        <v>4.1900000000000004</v>
      </c>
      <c r="F7173" s="3" t="str">
        <f t="shared" si="112"/>
        <v>I1998</v>
      </c>
    </row>
    <row r="7174" spans="1:6" ht="22.5" x14ac:dyDescent="0.2">
      <c r="A7174" s="29" t="s">
        <v>18026</v>
      </c>
      <c r="B7174" s="30" t="s">
        <v>18027</v>
      </c>
      <c r="C7174" s="29" t="s">
        <v>26</v>
      </c>
      <c r="D7174" s="31">
        <v>5.0599999999999996</v>
      </c>
      <c r="F7174" s="3" t="str">
        <f t="shared" si="112"/>
        <v>I2001</v>
      </c>
    </row>
    <row r="7175" spans="1:6" ht="22.5" x14ac:dyDescent="0.2">
      <c r="A7175" s="29" t="s">
        <v>18028</v>
      </c>
      <c r="B7175" s="30" t="s">
        <v>18029</v>
      </c>
      <c r="C7175" s="29" t="s">
        <v>26</v>
      </c>
      <c r="D7175" s="31">
        <v>13.7</v>
      </c>
      <c r="F7175" s="3" t="str">
        <f t="shared" si="112"/>
        <v>I1997</v>
      </c>
    </row>
    <row r="7176" spans="1:6" ht="22.5" x14ac:dyDescent="0.2">
      <c r="A7176" s="29" t="s">
        <v>18030</v>
      </c>
      <c r="B7176" s="30" t="s">
        <v>18031</v>
      </c>
      <c r="C7176" s="29" t="s">
        <v>26</v>
      </c>
      <c r="D7176" s="31">
        <v>28.17</v>
      </c>
      <c r="F7176" s="3" t="str">
        <f t="shared" si="112"/>
        <v>I1995</v>
      </c>
    </row>
    <row r="7177" spans="1:6" ht="22.5" x14ac:dyDescent="0.2">
      <c r="A7177" s="29" t="s">
        <v>18032</v>
      </c>
      <c r="B7177" s="30" t="s">
        <v>18033</v>
      </c>
      <c r="C7177" s="29" t="s">
        <v>26</v>
      </c>
      <c r="D7177" s="31">
        <v>22.71</v>
      </c>
      <c r="F7177" s="3" t="str">
        <f t="shared" si="112"/>
        <v>I1996</v>
      </c>
    </row>
    <row r="7178" spans="1:6" ht="22.5" x14ac:dyDescent="0.2">
      <c r="A7178" s="29" t="s">
        <v>18034</v>
      </c>
      <c r="B7178" s="30" t="s">
        <v>18035</v>
      </c>
      <c r="C7178" s="29" t="s">
        <v>26</v>
      </c>
      <c r="D7178" s="31">
        <v>63.15</v>
      </c>
      <c r="F7178" s="3" t="str">
        <f t="shared" si="112"/>
        <v>I1999</v>
      </c>
    </row>
    <row r="7179" spans="1:6" ht="22.5" x14ac:dyDescent="0.2">
      <c r="A7179" s="29" t="s">
        <v>18036</v>
      </c>
      <c r="B7179" s="30" t="s">
        <v>18037</v>
      </c>
      <c r="C7179" s="29" t="s">
        <v>26</v>
      </c>
      <c r="D7179" s="31">
        <v>53.55</v>
      </c>
      <c r="F7179" s="3" t="str">
        <f t="shared" si="112"/>
        <v>I1993</v>
      </c>
    </row>
    <row r="7180" spans="1:6" ht="22.5" x14ac:dyDescent="0.2">
      <c r="A7180" s="29" t="s">
        <v>18038</v>
      </c>
      <c r="B7180" s="30" t="s">
        <v>18039</v>
      </c>
      <c r="C7180" s="29" t="s">
        <v>26</v>
      </c>
      <c r="D7180" s="31">
        <v>82.71</v>
      </c>
      <c r="F7180" s="3" t="str">
        <f t="shared" si="112"/>
        <v>I2000</v>
      </c>
    </row>
    <row r="7181" spans="1:6" ht="22.5" x14ac:dyDescent="0.2">
      <c r="A7181" s="29" t="s">
        <v>18040</v>
      </c>
      <c r="B7181" s="30" t="s">
        <v>18041</v>
      </c>
      <c r="C7181" s="29" t="s">
        <v>26</v>
      </c>
      <c r="D7181" s="31">
        <v>178.32</v>
      </c>
      <c r="F7181" s="3" t="str">
        <f t="shared" si="112"/>
        <v>I1994</v>
      </c>
    </row>
    <row r="7182" spans="1:6" x14ac:dyDescent="0.2">
      <c r="A7182" s="29" t="s">
        <v>18042</v>
      </c>
      <c r="B7182" s="30" t="s">
        <v>18043</v>
      </c>
      <c r="C7182" s="29" t="s">
        <v>26</v>
      </c>
      <c r="D7182" s="31">
        <v>183.29</v>
      </c>
      <c r="F7182" s="3" t="str">
        <f t="shared" si="112"/>
        <v>I1970</v>
      </c>
    </row>
    <row r="7183" spans="1:6" x14ac:dyDescent="0.2">
      <c r="A7183" s="29" t="s">
        <v>18044</v>
      </c>
      <c r="B7183" s="30" t="s">
        <v>18045</v>
      </c>
      <c r="C7183" s="29" t="s">
        <v>26</v>
      </c>
      <c r="D7183" s="31">
        <v>1.1599999999999999</v>
      </c>
      <c r="F7183" s="3" t="str">
        <f t="shared" si="112"/>
        <v>I1971</v>
      </c>
    </row>
    <row r="7184" spans="1:6" x14ac:dyDescent="0.2">
      <c r="A7184" s="29" t="s">
        <v>18046</v>
      </c>
      <c r="B7184" s="30" t="s">
        <v>18047</v>
      </c>
      <c r="C7184" s="29" t="s">
        <v>26</v>
      </c>
      <c r="D7184" s="31">
        <v>1.31</v>
      </c>
      <c r="F7184" s="3" t="str">
        <f t="shared" si="112"/>
        <v>I1972</v>
      </c>
    </row>
    <row r="7185" spans="1:6" x14ac:dyDescent="0.2">
      <c r="A7185" s="29" t="s">
        <v>18048</v>
      </c>
      <c r="B7185" s="30" t="s">
        <v>18049</v>
      </c>
      <c r="C7185" s="29" t="s">
        <v>26</v>
      </c>
      <c r="D7185" s="31">
        <v>4.12</v>
      </c>
      <c r="F7185" s="3" t="str">
        <f t="shared" si="112"/>
        <v>I1973</v>
      </c>
    </row>
    <row r="7186" spans="1:6" x14ac:dyDescent="0.2">
      <c r="A7186" s="29" t="s">
        <v>18050</v>
      </c>
      <c r="B7186" s="30" t="s">
        <v>18051</v>
      </c>
      <c r="C7186" s="29" t="s">
        <v>26</v>
      </c>
      <c r="D7186" s="31">
        <v>10.08</v>
      </c>
      <c r="F7186" s="3" t="str">
        <f t="shared" si="112"/>
        <v>I1974</v>
      </c>
    </row>
    <row r="7187" spans="1:6" x14ac:dyDescent="0.2">
      <c r="A7187" s="29" t="s">
        <v>18052</v>
      </c>
      <c r="B7187" s="30" t="s">
        <v>18053</v>
      </c>
      <c r="C7187" s="29" t="s">
        <v>26</v>
      </c>
      <c r="D7187" s="31">
        <v>10.54</v>
      </c>
      <c r="F7187" s="3" t="str">
        <f t="shared" si="112"/>
        <v>I1975</v>
      </c>
    </row>
    <row r="7188" spans="1:6" x14ac:dyDescent="0.2">
      <c r="A7188" s="29" t="s">
        <v>18054</v>
      </c>
      <c r="B7188" s="30" t="s">
        <v>18055</v>
      </c>
      <c r="C7188" s="29" t="s">
        <v>26</v>
      </c>
      <c r="D7188" s="31">
        <v>33.840000000000003</v>
      </c>
      <c r="F7188" s="3" t="str">
        <f t="shared" si="112"/>
        <v>I1976</v>
      </c>
    </row>
    <row r="7189" spans="1:6" x14ac:dyDescent="0.2">
      <c r="A7189" s="29" t="s">
        <v>18056</v>
      </c>
      <c r="B7189" s="30" t="s">
        <v>18057</v>
      </c>
      <c r="C7189" s="29" t="s">
        <v>26</v>
      </c>
      <c r="D7189" s="31">
        <v>62.78</v>
      </c>
      <c r="F7189" s="3" t="str">
        <f t="shared" si="112"/>
        <v>I1977</v>
      </c>
    </row>
    <row r="7190" spans="1:6" x14ac:dyDescent="0.2">
      <c r="A7190" s="29" t="s">
        <v>18058</v>
      </c>
      <c r="B7190" s="30" t="s">
        <v>18059</v>
      </c>
      <c r="C7190" s="29" t="s">
        <v>26</v>
      </c>
      <c r="D7190" s="31">
        <v>85.36</v>
      </c>
      <c r="F7190" s="3" t="str">
        <f t="shared" si="112"/>
        <v>I1978</v>
      </c>
    </row>
    <row r="7191" spans="1:6" x14ac:dyDescent="0.2">
      <c r="A7191" s="29" t="s">
        <v>18060</v>
      </c>
      <c r="B7191" s="30" t="s">
        <v>18061</v>
      </c>
      <c r="C7191" s="29" t="s">
        <v>26</v>
      </c>
      <c r="D7191" s="31">
        <v>10.01</v>
      </c>
      <c r="F7191" s="3" t="str">
        <f t="shared" si="112"/>
        <v>I2005</v>
      </c>
    </row>
    <row r="7192" spans="1:6" ht="22.5" x14ac:dyDescent="0.2">
      <c r="A7192" s="29" t="s">
        <v>18062</v>
      </c>
      <c r="B7192" s="30" t="s">
        <v>18063</v>
      </c>
      <c r="C7192" s="29" t="s">
        <v>26</v>
      </c>
      <c r="D7192" s="31">
        <v>2.77</v>
      </c>
      <c r="F7192" s="3" t="str">
        <f t="shared" si="112"/>
        <v>I2002</v>
      </c>
    </row>
    <row r="7193" spans="1:6" x14ac:dyDescent="0.2">
      <c r="A7193" s="29" t="s">
        <v>18064</v>
      </c>
      <c r="B7193" s="30" t="s">
        <v>18065</v>
      </c>
      <c r="C7193" s="29" t="s">
        <v>26</v>
      </c>
      <c r="D7193" s="31">
        <v>4.62</v>
      </c>
      <c r="F7193" s="3" t="str">
        <f t="shared" si="112"/>
        <v>I2003</v>
      </c>
    </row>
    <row r="7194" spans="1:6" ht="22.5" x14ac:dyDescent="0.2">
      <c r="A7194" s="29" t="s">
        <v>18066</v>
      </c>
      <c r="B7194" s="30" t="s">
        <v>18067</v>
      </c>
      <c r="C7194" s="29" t="s">
        <v>26</v>
      </c>
      <c r="D7194" s="31">
        <v>15.06</v>
      </c>
      <c r="F7194" s="3" t="str">
        <f t="shared" si="112"/>
        <v>I2004</v>
      </c>
    </row>
    <row r="7195" spans="1:6" ht="22.5" x14ac:dyDescent="0.2">
      <c r="A7195" s="29" t="s">
        <v>18068</v>
      </c>
      <c r="B7195" s="30" t="s">
        <v>18069</v>
      </c>
      <c r="C7195" s="29" t="s">
        <v>26</v>
      </c>
      <c r="D7195" s="31">
        <v>9.4600000000000009</v>
      </c>
      <c r="F7195" s="3" t="str">
        <f t="shared" si="112"/>
        <v>I2029</v>
      </c>
    </row>
    <row r="7196" spans="1:6" ht="22.5" x14ac:dyDescent="0.2">
      <c r="A7196" s="29" t="s">
        <v>18070</v>
      </c>
      <c r="B7196" s="30" t="s">
        <v>18071</v>
      </c>
      <c r="C7196" s="29" t="s">
        <v>26</v>
      </c>
      <c r="D7196" s="31">
        <v>12.33</v>
      </c>
      <c r="F7196" s="3" t="str">
        <f t="shared" si="112"/>
        <v>I2028</v>
      </c>
    </row>
    <row r="7197" spans="1:6" ht="22.5" x14ac:dyDescent="0.2">
      <c r="A7197" s="29" t="s">
        <v>18072</v>
      </c>
      <c r="B7197" s="30" t="s">
        <v>18073</v>
      </c>
      <c r="C7197" s="29" t="s">
        <v>26</v>
      </c>
      <c r="D7197" s="31">
        <v>25.16</v>
      </c>
      <c r="F7197" s="3" t="str">
        <f t="shared" si="112"/>
        <v>I2027</v>
      </c>
    </row>
    <row r="7198" spans="1:6" ht="22.5" x14ac:dyDescent="0.2">
      <c r="A7198" s="29" t="s">
        <v>18074</v>
      </c>
      <c r="B7198" s="30" t="s">
        <v>18075</v>
      </c>
      <c r="C7198" s="29" t="s">
        <v>26</v>
      </c>
      <c r="D7198" s="31">
        <v>23.18</v>
      </c>
      <c r="F7198" s="3" t="str">
        <f t="shared" si="112"/>
        <v>I1979</v>
      </c>
    </row>
    <row r="7199" spans="1:6" x14ac:dyDescent="0.2">
      <c r="A7199" s="29" t="s">
        <v>18076</v>
      </c>
      <c r="B7199" s="30" t="s">
        <v>18077</v>
      </c>
      <c r="C7199" s="29" t="s">
        <v>26</v>
      </c>
      <c r="D7199" s="31">
        <v>22.71</v>
      </c>
      <c r="F7199" s="3" t="str">
        <f t="shared" si="112"/>
        <v>I1980</v>
      </c>
    </row>
    <row r="7200" spans="1:6" x14ac:dyDescent="0.2">
      <c r="A7200" s="29" t="s">
        <v>18078</v>
      </c>
      <c r="B7200" s="30" t="s">
        <v>18079</v>
      </c>
      <c r="C7200" s="29" t="s">
        <v>26</v>
      </c>
      <c r="D7200" s="31">
        <v>68.849999999999994</v>
      </c>
      <c r="F7200" s="3" t="str">
        <f t="shared" si="112"/>
        <v>I1982</v>
      </c>
    </row>
    <row r="7201" spans="1:6" ht="22.5" x14ac:dyDescent="0.2">
      <c r="A7201" s="29" t="s">
        <v>18080</v>
      </c>
      <c r="B7201" s="30" t="s">
        <v>10560</v>
      </c>
      <c r="C7201" s="29" t="s">
        <v>26</v>
      </c>
      <c r="D7201" s="31">
        <v>71.239999999999995</v>
      </c>
      <c r="F7201" s="3" t="str">
        <f t="shared" si="112"/>
        <v>I1984</v>
      </c>
    </row>
    <row r="7202" spans="1:6" x14ac:dyDescent="0.2">
      <c r="A7202" s="29" t="s">
        <v>18081</v>
      </c>
      <c r="B7202" s="30" t="s">
        <v>18082</v>
      </c>
      <c r="C7202" s="29" t="s">
        <v>26</v>
      </c>
      <c r="D7202" s="31">
        <v>10.94</v>
      </c>
      <c r="F7202" s="3" t="str">
        <f t="shared" si="112"/>
        <v>I2018</v>
      </c>
    </row>
    <row r="7203" spans="1:6" x14ac:dyDescent="0.2">
      <c r="A7203" s="29" t="s">
        <v>18083</v>
      </c>
      <c r="B7203" s="30" t="s">
        <v>18084</v>
      </c>
      <c r="C7203" s="29" t="s">
        <v>26</v>
      </c>
      <c r="D7203" s="31">
        <v>14</v>
      </c>
      <c r="F7203" s="3" t="str">
        <f t="shared" si="112"/>
        <v>I2016</v>
      </c>
    </row>
    <row r="7204" spans="1:6" x14ac:dyDescent="0.2">
      <c r="A7204" s="29" t="s">
        <v>18085</v>
      </c>
      <c r="B7204" s="30" t="s">
        <v>18086</v>
      </c>
      <c r="C7204" s="29" t="s">
        <v>26</v>
      </c>
      <c r="D7204" s="31">
        <v>5.68</v>
      </c>
      <c r="F7204" s="3" t="str">
        <f t="shared" si="112"/>
        <v>I2017</v>
      </c>
    </row>
    <row r="7205" spans="1:6" x14ac:dyDescent="0.2">
      <c r="A7205" s="29" t="s">
        <v>18087</v>
      </c>
      <c r="B7205" s="30" t="s">
        <v>18088</v>
      </c>
      <c r="C7205" s="29" t="s">
        <v>26</v>
      </c>
      <c r="D7205" s="31">
        <v>4.1900000000000004</v>
      </c>
      <c r="F7205" s="3" t="str">
        <f t="shared" si="112"/>
        <v>I1983</v>
      </c>
    </row>
    <row r="7206" spans="1:6" x14ac:dyDescent="0.2">
      <c r="A7206" s="29" t="s">
        <v>18089</v>
      </c>
      <c r="B7206" s="30" t="s">
        <v>18090</v>
      </c>
      <c r="C7206" s="29" t="s">
        <v>26</v>
      </c>
      <c r="D7206" s="31">
        <v>7.31</v>
      </c>
      <c r="F7206" s="3" t="str">
        <f t="shared" si="112"/>
        <v>I1981</v>
      </c>
    </row>
    <row r="7207" spans="1:6" x14ac:dyDescent="0.2">
      <c r="A7207" s="29" t="s">
        <v>18091</v>
      </c>
      <c r="B7207" s="30" t="s">
        <v>18092</v>
      </c>
      <c r="C7207" s="29" t="s">
        <v>26</v>
      </c>
      <c r="D7207" s="31">
        <v>9.48</v>
      </c>
      <c r="F7207" s="3" t="str">
        <f t="shared" si="112"/>
        <v>I9536</v>
      </c>
    </row>
    <row r="7208" spans="1:6" ht="22.5" x14ac:dyDescent="0.2">
      <c r="A7208" s="29" t="s">
        <v>18093</v>
      </c>
      <c r="B7208" s="30" t="s">
        <v>18094</v>
      </c>
      <c r="C7208" s="29" t="s">
        <v>26</v>
      </c>
      <c r="D7208" s="31">
        <v>9.4600000000000009</v>
      </c>
      <c r="F7208" s="3" t="str">
        <f t="shared" si="112"/>
        <v>I2022</v>
      </c>
    </row>
    <row r="7209" spans="1:6" x14ac:dyDescent="0.2">
      <c r="A7209" s="29" t="s">
        <v>18095</v>
      </c>
      <c r="B7209" s="30" t="s">
        <v>10548</v>
      </c>
      <c r="C7209" s="29" t="s">
        <v>26</v>
      </c>
      <c r="D7209" s="31">
        <v>11.13</v>
      </c>
      <c r="F7209" s="3" t="str">
        <f t="shared" si="112"/>
        <v>I2023</v>
      </c>
    </row>
    <row r="7210" spans="1:6" x14ac:dyDescent="0.2">
      <c r="A7210" s="29" t="s">
        <v>18096</v>
      </c>
      <c r="B7210" s="30" t="s">
        <v>10550</v>
      </c>
      <c r="C7210" s="29" t="s">
        <v>26</v>
      </c>
      <c r="D7210" s="31">
        <v>16.170000000000002</v>
      </c>
      <c r="F7210" s="3" t="str">
        <f t="shared" si="112"/>
        <v>I2024</v>
      </c>
    </row>
    <row r="7211" spans="1:6" x14ac:dyDescent="0.2">
      <c r="A7211" s="29" t="s">
        <v>18097</v>
      </c>
      <c r="B7211" s="30" t="s">
        <v>18098</v>
      </c>
      <c r="C7211" s="29" t="s">
        <v>26</v>
      </c>
      <c r="D7211" s="31">
        <v>19.77</v>
      </c>
      <c r="F7211" s="3" t="str">
        <f t="shared" si="112"/>
        <v>I9537</v>
      </c>
    </row>
    <row r="7212" spans="1:6" x14ac:dyDescent="0.2">
      <c r="A7212" s="29" t="s">
        <v>18099</v>
      </c>
      <c r="B7212" s="30" t="s">
        <v>10554</v>
      </c>
      <c r="C7212" s="29" t="s">
        <v>26</v>
      </c>
      <c r="D7212" s="31">
        <v>46.56</v>
      </c>
      <c r="F7212" s="3" t="str">
        <f t="shared" si="112"/>
        <v>I2025</v>
      </c>
    </row>
    <row r="7213" spans="1:6" x14ac:dyDescent="0.2">
      <c r="A7213" s="29" t="s">
        <v>18100</v>
      </c>
      <c r="B7213" s="30" t="s">
        <v>10558</v>
      </c>
      <c r="C7213" s="29" t="s">
        <v>26</v>
      </c>
      <c r="D7213" s="31">
        <v>107.59</v>
      </c>
      <c r="F7213" s="3" t="str">
        <f t="shared" si="112"/>
        <v>I2026</v>
      </c>
    </row>
    <row r="7214" spans="1:6" x14ac:dyDescent="0.2">
      <c r="A7214" s="29" t="s">
        <v>18101</v>
      </c>
      <c r="B7214" s="30" t="s">
        <v>10562</v>
      </c>
      <c r="C7214" s="29" t="s">
        <v>26</v>
      </c>
      <c r="D7214" s="31">
        <v>155.65</v>
      </c>
      <c r="F7214" s="3" t="str">
        <f t="shared" si="112"/>
        <v>I2019</v>
      </c>
    </row>
    <row r="7215" spans="1:6" x14ac:dyDescent="0.2">
      <c r="A7215" s="29" t="s">
        <v>18102</v>
      </c>
      <c r="B7215" s="30" t="s">
        <v>10564</v>
      </c>
      <c r="C7215" s="29" t="s">
        <v>26</v>
      </c>
      <c r="D7215" s="31">
        <v>166.9</v>
      </c>
      <c r="F7215" s="3" t="str">
        <f t="shared" si="112"/>
        <v>I2020</v>
      </c>
    </row>
    <row r="7216" spans="1:6" x14ac:dyDescent="0.2">
      <c r="A7216" s="29" t="s">
        <v>18103</v>
      </c>
      <c r="B7216" s="30" t="s">
        <v>10566</v>
      </c>
      <c r="C7216" s="29" t="s">
        <v>26</v>
      </c>
      <c r="D7216" s="31">
        <v>183.12</v>
      </c>
      <c r="F7216" s="3" t="str">
        <f t="shared" si="112"/>
        <v>I2021</v>
      </c>
    </row>
    <row r="7217" spans="1:6" ht="22.5" x14ac:dyDescent="0.2">
      <c r="A7217" s="29" t="s">
        <v>18104</v>
      </c>
      <c r="B7217" s="30" t="s">
        <v>18105</v>
      </c>
      <c r="C7217" s="29" t="s">
        <v>26</v>
      </c>
      <c r="D7217" s="31">
        <v>17.39</v>
      </c>
      <c r="F7217" s="3" t="str">
        <f t="shared" si="112"/>
        <v>I1953</v>
      </c>
    </row>
    <row r="7218" spans="1:6" ht="22.5" x14ac:dyDescent="0.2">
      <c r="A7218" s="29" t="s">
        <v>18106</v>
      </c>
      <c r="B7218" s="30" t="s">
        <v>18107</v>
      </c>
      <c r="C7218" s="29" t="s">
        <v>26</v>
      </c>
      <c r="D7218" s="31">
        <v>41.59</v>
      </c>
      <c r="F7218" s="3" t="str">
        <f t="shared" si="112"/>
        <v>I2030</v>
      </c>
    </row>
    <row r="7219" spans="1:6" ht="22.5" x14ac:dyDescent="0.2">
      <c r="A7219" s="29" t="s">
        <v>18108</v>
      </c>
      <c r="B7219" s="30" t="s">
        <v>9861</v>
      </c>
      <c r="C7219" s="29" t="s">
        <v>26</v>
      </c>
      <c r="D7219" s="31">
        <v>151.99</v>
      </c>
      <c r="F7219" s="3" t="str">
        <f t="shared" si="112"/>
        <v>I2031</v>
      </c>
    </row>
    <row r="7220" spans="1:6" ht="22.5" x14ac:dyDescent="0.2">
      <c r="A7220" s="29" t="s">
        <v>18109</v>
      </c>
      <c r="B7220" s="30" t="s">
        <v>9863</v>
      </c>
      <c r="C7220" s="29" t="s">
        <v>26</v>
      </c>
      <c r="D7220" s="31">
        <v>413.94</v>
      </c>
      <c r="F7220" s="3" t="str">
        <f t="shared" si="112"/>
        <v>I2032</v>
      </c>
    </row>
    <row r="7221" spans="1:6" ht="22.5" x14ac:dyDescent="0.2">
      <c r="A7221" s="29" t="s">
        <v>18110</v>
      </c>
      <c r="B7221" s="30" t="s">
        <v>18111</v>
      </c>
      <c r="C7221" s="29" t="s">
        <v>26</v>
      </c>
      <c r="D7221" s="31">
        <v>15.06</v>
      </c>
      <c r="F7221" s="3" t="str">
        <f t="shared" si="112"/>
        <v>I1944</v>
      </c>
    </row>
    <row r="7222" spans="1:6" x14ac:dyDescent="0.2">
      <c r="A7222" s="29" t="s">
        <v>18112</v>
      </c>
      <c r="B7222" s="30" t="s">
        <v>18113</v>
      </c>
      <c r="C7222" s="29" t="s">
        <v>26</v>
      </c>
      <c r="D7222" s="31">
        <v>23.28</v>
      </c>
      <c r="F7222" s="3" t="str">
        <f t="shared" si="112"/>
        <v>I9095</v>
      </c>
    </row>
    <row r="7223" spans="1:6" x14ac:dyDescent="0.2">
      <c r="A7223" s="29" t="s">
        <v>18114</v>
      </c>
      <c r="B7223" s="30" t="s">
        <v>18115</v>
      </c>
      <c r="C7223" s="29" t="s">
        <v>26</v>
      </c>
      <c r="D7223" s="31">
        <v>9.69</v>
      </c>
      <c r="F7223" s="3" t="str">
        <f t="shared" si="112"/>
        <v>I9096</v>
      </c>
    </row>
    <row r="7224" spans="1:6" x14ac:dyDescent="0.2">
      <c r="A7224" s="29" t="s">
        <v>18116</v>
      </c>
      <c r="B7224" s="30" t="s">
        <v>18117</v>
      </c>
      <c r="C7224" s="29" t="s">
        <v>26</v>
      </c>
      <c r="D7224" s="31">
        <v>18.62</v>
      </c>
      <c r="F7224" s="3" t="str">
        <f t="shared" si="112"/>
        <v>I9051</v>
      </c>
    </row>
    <row r="7225" spans="1:6" x14ac:dyDescent="0.2">
      <c r="A7225" s="29" t="s">
        <v>18118</v>
      </c>
      <c r="B7225" s="30" t="s">
        <v>18119</v>
      </c>
      <c r="C7225" s="29" t="s">
        <v>26</v>
      </c>
      <c r="D7225" s="31">
        <v>54.13</v>
      </c>
      <c r="F7225" s="3" t="str">
        <f t="shared" si="112"/>
        <v>I7496</v>
      </c>
    </row>
    <row r="7226" spans="1:6" x14ac:dyDescent="0.2">
      <c r="A7226" s="29" t="s">
        <v>18120</v>
      </c>
      <c r="B7226" s="30" t="s">
        <v>18121</v>
      </c>
      <c r="C7226" s="29" t="s">
        <v>26</v>
      </c>
      <c r="D7226" s="31">
        <v>142.1</v>
      </c>
      <c r="F7226" s="3" t="str">
        <f t="shared" si="112"/>
        <v>I7494</v>
      </c>
    </row>
    <row r="7227" spans="1:6" x14ac:dyDescent="0.2">
      <c r="A7227" s="29" t="s">
        <v>18122</v>
      </c>
      <c r="B7227" s="30" t="s">
        <v>18123</v>
      </c>
      <c r="C7227" s="29" t="s">
        <v>26</v>
      </c>
      <c r="D7227" s="31">
        <v>181.4</v>
      </c>
      <c r="F7227" s="3" t="str">
        <f t="shared" si="112"/>
        <v>I7495</v>
      </c>
    </row>
    <row r="7228" spans="1:6" x14ac:dyDescent="0.2">
      <c r="A7228" s="29" t="s">
        <v>18124</v>
      </c>
      <c r="B7228" s="30" t="s">
        <v>9877</v>
      </c>
      <c r="C7228" s="29" t="s">
        <v>0</v>
      </c>
      <c r="D7228" s="31">
        <v>128.4</v>
      </c>
      <c r="F7228" s="3" t="str">
        <f t="shared" si="112"/>
        <v>I6758</v>
      </c>
    </row>
    <row r="7229" spans="1:6" x14ac:dyDescent="0.2">
      <c r="A7229" s="29" t="s">
        <v>18125</v>
      </c>
      <c r="B7229" s="30" t="s">
        <v>18126</v>
      </c>
      <c r="C7229" s="29" t="s">
        <v>0</v>
      </c>
      <c r="D7229" s="31">
        <v>26.4</v>
      </c>
      <c r="F7229" s="3" t="str">
        <f t="shared" si="112"/>
        <v>I6753</v>
      </c>
    </row>
    <row r="7230" spans="1:6" x14ac:dyDescent="0.2">
      <c r="A7230" s="29" t="s">
        <v>18127</v>
      </c>
      <c r="B7230" s="30" t="s">
        <v>9873</v>
      </c>
      <c r="C7230" s="29" t="s">
        <v>0</v>
      </c>
      <c r="D7230" s="31">
        <v>89.42</v>
      </c>
      <c r="F7230" s="3" t="str">
        <f t="shared" si="112"/>
        <v>I6757</v>
      </c>
    </row>
    <row r="7231" spans="1:6" x14ac:dyDescent="0.2">
      <c r="A7231" s="29" t="s">
        <v>18128</v>
      </c>
      <c r="B7231" s="30" t="s">
        <v>18129</v>
      </c>
      <c r="C7231" s="29" t="s">
        <v>0</v>
      </c>
      <c r="D7231" s="31">
        <v>13.47</v>
      </c>
      <c r="F7231" s="3" t="str">
        <f t="shared" si="112"/>
        <v>I6752</v>
      </c>
    </row>
    <row r="7232" spans="1:6" x14ac:dyDescent="0.2">
      <c r="A7232" s="29" t="s">
        <v>18130</v>
      </c>
      <c r="B7232" s="30" t="s">
        <v>18131</v>
      </c>
      <c r="C7232" s="29" t="s">
        <v>0</v>
      </c>
      <c r="D7232" s="31">
        <v>27.09</v>
      </c>
      <c r="F7232" s="3" t="str">
        <f t="shared" si="112"/>
        <v>I6754</v>
      </c>
    </row>
    <row r="7233" spans="1:6" x14ac:dyDescent="0.2">
      <c r="A7233" s="29" t="s">
        <v>18132</v>
      </c>
      <c r="B7233" s="30" t="s">
        <v>18133</v>
      </c>
      <c r="C7233" s="29" t="s">
        <v>0</v>
      </c>
      <c r="D7233" s="31">
        <v>41.74</v>
      </c>
      <c r="F7233" s="3" t="str">
        <f t="shared" si="112"/>
        <v>I6755</v>
      </c>
    </row>
    <row r="7234" spans="1:6" x14ac:dyDescent="0.2">
      <c r="A7234" s="29" t="s">
        <v>18134</v>
      </c>
      <c r="B7234" s="30" t="s">
        <v>18135</v>
      </c>
      <c r="C7234" s="29" t="s">
        <v>0</v>
      </c>
      <c r="D7234" s="31">
        <v>43.52</v>
      </c>
      <c r="F7234" s="3" t="str">
        <f t="shared" ref="F7234:F7297" si="113">A7234</f>
        <v>I6756</v>
      </c>
    </row>
    <row r="7235" spans="1:6" x14ac:dyDescent="0.2">
      <c r="A7235" s="29" t="s">
        <v>18136</v>
      </c>
      <c r="B7235" s="30" t="s">
        <v>18137</v>
      </c>
      <c r="C7235" s="29" t="s">
        <v>0</v>
      </c>
      <c r="D7235" s="31">
        <v>167.57</v>
      </c>
      <c r="F7235" s="3" t="str">
        <f t="shared" si="113"/>
        <v>I2163</v>
      </c>
    </row>
    <row r="7236" spans="1:6" x14ac:dyDescent="0.2">
      <c r="A7236" s="29" t="s">
        <v>18138</v>
      </c>
      <c r="B7236" s="30" t="s">
        <v>18139</v>
      </c>
      <c r="C7236" s="29" t="s">
        <v>0</v>
      </c>
      <c r="D7236" s="31">
        <v>250.89</v>
      </c>
      <c r="F7236" s="3" t="str">
        <f t="shared" si="113"/>
        <v>I2164</v>
      </c>
    </row>
    <row r="7237" spans="1:6" x14ac:dyDescent="0.2">
      <c r="A7237" s="29" t="s">
        <v>18140</v>
      </c>
      <c r="B7237" s="30" t="s">
        <v>18141</v>
      </c>
      <c r="C7237" s="29" t="s">
        <v>0</v>
      </c>
      <c r="D7237" s="31">
        <v>272.10000000000002</v>
      </c>
      <c r="F7237" s="3" t="str">
        <f t="shared" si="113"/>
        <v>I2165</v>
      </c>
    </row>
    <row r="7238" spans="1:6" x14ac:dyDescent="0.2">
      <c r="A7238" s="29" t="s">
        <v>18142</v>
      </c>
      <c r="B7238" s="30" t="s">
        <v>18143</v>
      </c>
      <c r="C7238" s="29" t="s">
        <v>0</v>
      </c>
      <c r="D7238" s="31">
        <v>18.38</v>
      </c>
      <c r="F7238" s="3" t="str">
        <f t="shared" si="113"/>
        <v>I2166</v>
      </c>
    </row>
    <row r="7239" spans="1:6" x14ac:dyDescent="0.2">
      <c r="A7239" s="29" t="s">
        <v>18144</v>
      </c>
      <c r="B7239" s="30" t="s">
        <v>18145</v>
      </c>
      <c r="C7239" s="29" t="s">
        <v>0</v>
      </c>
      <c r="D7239" s="31">
        <v>23.24</v>
      </c>
      <c r="F7239" s="3" t="str">
        <f t="shared" si="113"/>
        <v>I2167</v>
      </c>
    </row>
    <row r="7240" spans="1:6" x14ac:dyDescent="0.2">
      <c r="A7240" s="29" t="s">
        <v>18146</v>
      </c>
      <c r="B7240" s="30" t="s">
        <v>18147</v>
      </c>
      <c r="C7240" s="29" t="s">
        <v>0</v>
      </c>
      <c r="D7240" s="31">
        <v>34.49</v>
      </c>
      <c r="F7240" s="3" t="str">
        <f t="shared" si="113"/>
        <v>I2168</v>
      </c>
    </row>
    <row r="7241" spans="1:6" x14ac:dyDescent="0.2">
      <c r="A7241" s="29" t="s">
        <v>18148</v>
      </c>
      <c r="B7241" s="30" t="s">
        <v>18149</v>
      </c>
      <c r="C7241" s="29" t="s">
        <v>0</v>
      </c>
      <c r="D7241" s="31">
        <v>43.49</v>
      </c>
      <c r="F7241" s="3" t="str">
        <f t="shared" si="113"/>
        <v>I2169</v>
      </c>
    </row>
    <row r="7242" spans="1:6" x14ac:dyDescent="0.2">
      <c r="A7242" s="29" t="s">
        <v>18150</v>
      </c>
      <c r="B7242" s="30" t="s">
        <v>18151</v>
      </c>
      <c r="C7242" s="29" t="s">
        <v>0</v>
      </c>
      <c r="D7242" s="31">
        <v>50.53</v>
      </c>
      <c r="F7242" s="3" t="str">
        <f t="shared" si="113"/>
        <v>I2170</v>
      </c>
    </row>
    <row r="7243" spans="1:6" x14ac:dyDescent="0.2">
      <c r="A7243" s="29" t="s">
        <v>18152</v>
      </c>
      <c r="B7243" s="30" t="s">
        <v>18153</v>
      </c>
      <c r="C7243" s="29" t="s">
        <v>0</v>
      </c>
      <c r="D7243" s="31">
        <v>72.86</v>
      </c>
      <c r="F7243" s="3" t="str">
        <f t="shared" si="113"/>
        <v>I2171</v>
      </c>
    </row>
    <row r="7244" spans="1:6" x14ac:dyDescent="0.2">
      <c r="A7244" s="29" t="s">
        <v>18154</v>
      </c>
      <c r="B7244" s="30" t="s">
        <v>18155</v>
      </c>
      <c r="C7244" s="29" t="s">
        <v>0</v>
      </c>
      <c r="D7244" s="31">
        <v>90.42</v>
      </c>
      <c r="F7244" s="3" t="str">
        <f t="shared" si="113"/>
        <v>I2172</v>
      </c>
    </row>
    <row r="7245" spans="1:6" x14ac:dyDescent="0.2">
      <c r="A7245" s="29" t="s">
        <v>18156</v>
      </c>
      <c r="B7245" s="30" t="s">
        <v>18157</v>
      </c>
      <c r="C7245" s="29" t="s">
        <v>0</v>
      </c>
      <c r="D7245" s="31">
        <v>121.68</v>
      </c>
      <c r="F7245" s="3" t="str">
        <f t="shared" si="113"/>
        <v>I2173</v>
      </c>
    </row>
    <row r="7246" spans="1:6" x14ac:dyDescent="0.2">
      <c r="A7246" s="29" t="s">
        <v>18158</v>
      </c>
      <c r="B7246" s="30" t="s">
        <v>18159</v>
      </c>
      <c r="C7246" s="29" t="s">
        <v>0</v>
      </c>
      <c r="D7246" s="31">
        <v>71.75</v>
      </c>
      <c r="F7246" s="3" t="str">
        <f t="shared" si="113"/>
        <v>I2207</v>
      </c>
    </row>
    <row r="7247" spans="1:6" x14ac:dyDescent="0.2">
      <c r="A7247" s="29" t="s">
        <v>18160</v>
      </c>
      <c r="B7247" s="30" t="s">
        <v>18161</v>
      </c>
      <c r="C7247" s="29" t="s">
        <v>0</v>
      </c>
      <c r="D7247" s="31">
        <v>160.19999999999999</v>
      </c>
      <c r="F7247" s="3" t="str">
        <f t="shared" si="113"/>
        <v>I8646</v>
      </c>
    </row>
    <row r="7248" spans="1:6" x14ac:dyDescent="0.2">
      <c r="A7248" s="29" t="s">
        <v>18162</v>
      </c>
      <c r="B7248" s="30" t="s">
        <v>18163</v>
      </c>
      <c r="C7248" s="29" t="s">
        <v>0</v>
      </c>
      <c r="D7248" s="31">
        <v>29.9</v>
      </c>
      <c r="F7248" s="3" t="str">
        <f t="shared" si="113"/>
        <v>I2161</v>
      </c>
    </row>
    <row r="7249" spans="1:6" x14ac:dyDescent="0.2">
      <c r="A7249" s="29" t="s">
        <v>18164</v>
      </c>
      <c r="B7249" s="30" t="s">
        <v>18165</v>
      </c>
      <c r="C7249" s="29" t="s">
        <v>0</v>
      </c>
      <c r="D7249" s="31">
        <v>72.430000000000007</v>
      </c>
      <c r="F7249" s="3" t="str">
        <f t="shared" si="113"/>
        <v>I2162</v>
      </c>
    </row>
    <row r="7250" spans="1:6" x14ac:dyDescent="0.2">
      <c r="A7250" s="29" t="s">
        <v>18166</v>
      </c>
      <c r="B7250" s="30" t="s">
        <v>18167</v>
      </c>
      <c r="C7250" s="29" t="s">
        <v>0</v>
      </c>
      <c r="D7250" s="31">
        <v>90.22</v>
      </c>
      <c r="F7250" s="3" t="str">
        <f t="shared" si="113"/>
        <v>I9085</v>
      </c>
    </row>
    <row r="7251" spans="1:6" x14ac:dyDescent="0.2">
      <c r="A7251" s="29" t="s">
        <v>18168</v>
      </c>
      <c r="B7251" s="30" t="s">
        <v>18169</v>
      </c>
      <c r="C7251" s="29" t="s">
        <v>0</v>
      </c>
      <c r="D7251" s="31">
        <v>136.26</v>
      </c>
      <c r="F7251" s="3" t="str">
        <f t="shared" si="113"/>
        <v>I9087</v>
      </c>
    </row>
    <row r="7252" spans="1:6" x14ac:dyDescent="0.2">
      <c r="A7252" s="29" t="s">
        <v>18170</v>
      </c>
      <c r="B7252" s="30" t="s">
        <v>18171</v>
      </c>
      <c r="C7252" s="29" t="s">
        <v>0</v>
      </c>
      <c r="D7252" s="31">
        <v>163.94</v>
      </c>
      <c r="F7252" s="3" t="str">
        <f t="shared" si="113"/>
        <v>I9089</v>
      </c>
    </row>
    <row r="7253" spans="1:6" x14ac:dyDescent="0.2">
      <c r="A7253" s="29" t="s">
        <v>18172</v>
      </c>
      <c r="B7253" s="30" t="s">
        <v>18173</v>
      </c>
      <c r="C7253" s="29" t="s">
        <v>0</v>
      </c>
      <c r="D7253" s="31">
        <v>37.299999999999997</v>
      </c>
      <c r="F7253" s="3" t="str">
        <f t="shared" si="113"/>
        <v>I9082</v>
      </c>
    </row>
    <row r="7254" spans="1:6" x14ac:dyDescent="0.2">
      <c r="A7254" s="29" t="s">
        <v>18174</v>
      </c>
      <c r="B7254" s="30" t="s">
        <v>18175</v>
      </c>
      <c r="C7254" s="29" t="s">
        <v>0</v>
      </c>
      <c r="D7254" s="31">
        <v>17.88</v>
      </c>
      <c r="F7254" s="3" t="str">
        <f t="shared" si="113"/>
        <v>I9077</v>
      </c>
    </row>
    <row r="7255" spans="1:6" x14ac:dyDescent="0.2">
      <c r="A7255" s="29" t="s">
        <v>18176</v>
      </c>
      <c r="B7255" s="30" t="s">
        <v>18177</v>
      </c>
      <c r="C7255" s="29" t="s">
        <v>0</v>
      </c>
      <c r="D7255" s="31">
        <v>533.78</v>
      </c>
      <c r="F7255" s="3" t="str">
        <f t="shared" si="113"/>
        <v>I2174</v>
      </c>
    </row>
    <row r="7256" spans="1:6" x14ac:dyDescent="0.2">
      <c r="A7256" s="29" t="s">
        <v>18178</v>
      </c>
      <c r="B7256" s="30" t="s">
        <v>18179</v>
      </c>
      <c r="C7256" s="29" t="s">
        <v>0</v>
      </c>
      <c r="D7256" s="31">
        <v>28.31</v>
      </c>
      <c r="F7256" s="3" t="str">
        <f t="shared" si="113"/>
        <v>I2175</v>
      </c>
    </row>
    <row r="7257" spans="1:6" x14ac:dyDescent="0.2">
      <c r="A7257" s="29" t="s">
        <v>18180</v>
      </c>
      <c r="B7257" s="30" t="s">
        <v>18181</v>
      </c>
      <c r="C7257" s="29" t="s">
        <v>0</v>
      </c>
      <c r="D7257" s="31">
        <v>70.92</v>
      </c>
      <c r="F7257" s="3" t="str">
        <f t="shared" si="113"/>
        <v>I9080</v>
      </c>
    </row>
    <row r="7258" spans="1:6" x14ac:dyDescent="0.2">
      <c r="A7258" s="29" t="s">
        <v>18182</v>
      </c>
      <c r="B7258" s="30" t="s">
        <v>18183</v>
      </c>
      <c r="C7258" s="29" t="s">
        <v>0</v>
      </c>
      <c r="D7258" s="31">
        <v>48.7</v>
      </c>
      <c r="F7258" s="3" t="str">
        <f t="shared" si="113"/>
        <v>I2176</v>
      </c>
    </row>
    <row r="7259" spans="1:6" x14ac:dyDescent="0.2">
      <c r="A7259" s="29" t="s">
        <v>18184</v>
      </c>
      <c r="B7259" s="30" t="s">
        <v>18185</v>
      </c>
      <c r="C7259" s="29" t="s">
        <v>0</v>
      </c>
      <c r="D7259" s="31">
        <v>90.22</v>
      </c>
      <c r="F7259" s="3" t="str">
        <f t="shared" si="113"/>
        <v>I9084</v>
      </c>
    </row>
    <row r="7260" spans="1:6" x14ac:dyDescent="0.2">
      <c r="A7260" s="29" t="s">
        <v>18186</v>
      </c>
      <c r="B7260" s="30" t="s">
        <v>18187</v>
      </c>
      <c r="C7260" s="29" t="s">
        <v>0</v>
      </c>
      <c r="D7260" s="31">
        <v>61.8</v>
      </c>
      <c r="F7260" s="3" t="str">
        <f t="shared" si="113"/>
        <v>I2177</v>
      </c>
    </row>
    <row r="7261" spans="1:6" x14ac:dyDescent="0.2">
      <c r="A7261" s="29" t="s">
        <v>18188</v>
      </c>
      <c r="B7261" s="30" t="s">
        <v>18189</v>
      </c>
      <c r="C7261" s="29" t="s">
        <v>0</v>
      </c>
      <c r="D7261" s="31">
        <v>56.11</v>
      </c>
      <c r="F7261" s="3" t="str">
        <f t="shared" si="113"/>
        <v>I9083</v>
      </c>
    </row>
    <row r="7262" spans="1:6" x14ac:dyDescent="0.2">
      <c r="A7262" s="29" t="s">
        <v>18190</v>
      </c>
      <c r="B7262" s="30" t="s">
        <v>18191</v>
      </c>
      <c r="C7262" s="29" t="s">
        <v>0</v>
      </c>
      <c r="D7262" s="31">
        <v>27.5</v>
      </c>
      <c r="F7262" s="3" t="str">
        <f t="shared" si="113"/>
        <v>I9078</v>
      </c>
    </row>
    <row r="7263" spans="1:6" x14ac:dyDescent="0.2">
      <c r="A7263" s="29" t="s">
        <v>18192</v>
      </c>
      <c r="B7263" s="30" t="s">
        <v>18193</v>
      </c>
      <c r="C7263" s="29" t="s">
        <v>0</v>
      </c>
      <c r="D7263" s="31">
        <v>136.26</v>
      </c>
      <c r="F7263" s="3" t="str">
        <f t="shared" si="113"/>
        <v>I9086</v>
      </c>
    </row>
    <row r="7264" spans="1:6" x14ac:dyDescent="0.2">
      <c r="A7264" s="29" t="s">
        <v>18194</v>
      </c>
      <c r="B7264" s="30" t="s">
        <v>18195</v>
      </c>
      <c r="C7264" s="29" t="s">
        <v>0</v>
      </c>
      <c r="D7264" s="31">
        <v>89.75</v>
      </c>
      <c r="F7264" s="3" t="str">
        <f t="shared" si="113"/>
        <v>I2178</v>
      </c>
    </row>
    <row r="7265" spans="1:6" x14ac:dyDescent="0.2">
      <c r="A7265" s="29" t="s">
        <v>18196</v>
      </c>
      <c r="B7265" s="30" t="s">
        <v>18197</v>
      </c>
      <c r="C7265" s="29" t="s">
        <v>0</v>
      </c>
      <c r="D7265" s="31">
        <v>163.94</v>
      </c>
      <c r="F7265" s="3" t="str">
        <f t="shared" si="113"/>
        <v>I9088</v>
      </c>
    </row>
    <row r="7266" spans="1:6" x14ac:dyDescent="0.2">
      <c r="A7266" s="29" t="s">
        <v>18198</v>
      </c>
      <c r="B7266" s="30" t="s">
        <v>18199</v>
      </c>
      <c r="C7266" s="29" t="s">
        <v>0</v>
      </c>
      <c r="D7266" s="31">
        <v>121.2</v>
      </c>
      <c r="F7266" s="3" t="str">
        <f t="shared" si="113"/>
        <v>I2179</v>
      </c>
    </row>
    <row r="7267" spans="1:6" x14ac:dyDescent="0.2">
      <c r="A7267" s="29" t="s">
        <v>18200</v>
      </c>
      <c r="B7267" s="30" t="s">
        <v>18201</v>
      </c>
      <c r="C7267" s="29" t="s">
        <v>0</v>
      </c>
      <c r="D7267" s="31">
        <v>46.39</v>
      </c>
      <c r="F7267" s="3" t="str">
        <f t="shared" si="113"/>
        <v>I9079</v>
      </c>
    </row>
    <row r="7268" spans="1:6" x14ac:dyDescent="0.2">
      <c r="A7268" s="29" t="s">
        <v>18202</v>
      </c>
      <c r="B7268" s="30" t="s">
        <v>18203</v>
      </c>
      <c r="C7268" s="29" t="s">
        <v>0</v>
      </c>
      <c r="D7268" s="31">
        <v>175.77</v>
      </c>
      <c r="F7268" s="3" t="str">
        <f t="shared" si="113"/>
        <v>I2180</v>
      </c>
    </row>
    <row r="7269" spans="1:6" x14ac:dyDescent="0.2">
      <c r="A7269" s="29" t="s">
        <v>18204</v>
      </c>
      <c r="B7269" s="30" t="s">
        <v>18205</v>
      </c>
      <c r="C7269" s="29" t="s">
        <v>0</v>
      </c>
      <c r="D7269" s="31">
        <v>247.63</v>
      </c>
      <c r="F7269" s="3" t="str">
        <f t="shared" si="113"/>
        <v>I2181</v>
      </c>
    </row>
    <row r="7270" spans="1:6" x14ac:dyDescent="0.2">
      <c r="A7270" s="29" t="s">
        <v>18206</v>
      </c>
      <c r="B7270" s="30" t="s">
        <v>18207</v>
      </c>
      <c r="C7270" s="29" t="s">
        <v>0</v>
      </c>
      <c r="D7270" s="31">
        <v>362</v>
      </c>
      <c r="F7270" s="3" t="str">
        <f t="shared" si="113"/>
        <v>I2182</v>
      </c>
    </row>
    <row r="7271" spans="1:6" x14ac:dyDescent="0.2">
      <c r="A7271" s="29" t="s">
        <v>18208</v>
      </c>
      <c r="B7271" s="30" t="s">
        <v>18209</v>
      </c>
      <c r="C7271" s="29" t="s">
        <v>26</v>
      </c>
      <c r="D7271" s="31">
        <v>85.97</v>
      </c>
      <c r="F7271" s="3" t="str">
        <f t="shared" si="113"/>
        <v>I2451</v>
      </c>
    </row>
    <row r="7272" spans="1:6" x14ac:dyDescent="0.2">
      <c r="A7272" s="29" t="s">
        <v>18210</v>
      </c>
      <c r="B7272" s="30" t="s">
        <v>18211</v>
      </c>
      <c r="C7272" s="29" t="s">
        <v>0</v>
      </c>
      <c r="D7272" s="31">
        <v>214.93</v>
      </c>
      <c r="F7272" s="3" t="str">
        <f t="shared" si="113"/>
        <v>I2186</v>
      </c>
    </row>
    <row r="7273" spans="1:6" x14ac:dyDescent="0.2">
      <c r="A7273" s="29" t="s">
        <v>18212</v>
      </c>
      <c r="B7273" s="30" t="s">
        <v>18213</v>
      </c>
      <c r="C7273" s="29" t="s">
        <v>0</v>
      </c>
      <c r="D7273" s="31">
        <v>292.95</v>
      </c>
      <c r="F7273" s="3" t="str">
        <f t="shared" si="113"/>
        <v>I9538</v>
      </c>
    </row>
    <row r="7274" spans="1:6" x14ac:dyDescent="0.2">
      <c r="A7274" s="29" t="s">
        <v>18214</v>
      </c>
      <c r="B7274" s="30" t="s">
        <v>18215</v>
      </c>
      <c r="C7274" s="29" t="s">
        <v>0</v>
      </c>
      <c r="D7274" s="31">
        <v>357.61</v>
      </c>
      <c r="F7274" s="3" t="str">
        <f t="shared" si="113"/>
        <v>I2187</v>
      </c>
    </row>
    <row r="7275" spans="1:6" x14ac:dyDescent="0.2">
      <c r="A7275" s="29" t="s">
        <v>18216</v>
      </c>
      <c r="B7275" s="30" t="s">
        <v>18217</v>
      </c>
      <c r="C7275" s="29" t="s">
        <v>0</v>
      </c>
      <c r="D7275" s="31">
        <v>410.89</v>
      </c>
      <c r="F7275" s="3" t="str">
        <f t="shared" si="113"/>
        <v>I9539</v>
      </c>
    </row>
    <row r="7276" spans="1:6" x14ac:dyDescent="0.2">
      <c r="A7276" s="29" t="s">
        <v>18218</v>
      </c>
      <c r="B7276" s="30" t="s">
        <v>18219</v>
      </c>
      <c r="C7276" s="29" t="s">
        <v>0</v>
      </c>
      <c r="D7276" s="31">
        <v>419.02</v>
      </c>
      <c r="F7276" s="3" t="str">
        <f t="shared" si="113"/>
        <v>I2183</v>
      </c>
    </row>
    <row r="7277" spans="1:6" x14ac:dyDescent="0.2">
      <c r="A7277" s="29" t="s">
        <v>18220</v>
      </c>
      <c r="B7277" s="30" t="s">
        <v>18221</v>
      </c>
      <c r="C7277" s="29" t="s">
        <v>0</v>
      </c>
      <c r="D7277" s="31">
        <v>586.99</v>
      </c>
      <c r="F7277" s="3" t="str">
        <f t="shared" si="113"/>
        <v>I9540</v>
      </c>
    </row>
    <row r="7278" spans="1:6" x14ac:dyDescent="0.2">
      <c r="A7278" s="29" t="s">
        <v>18222</v>
      </c>
      <c r="B7278" s="30" t="s">
        <v>18223</v>
      </c>
      <c r="C7278" s="29" t="s">
        <v>0</v>
      </c>
      <c r="D7278" s="31">
        <v>625.82000000000005</v>
      </c>
      <c r="F7278" s="3" t="str">
        <f t="shared" si="113"/>
        <v>I2184</v>
      </c>
    </row>
    <row r="7279" spans="1:6" x14ac:dyDescent="0.2">
      <c r="A7279" s="29" t="s">
        <v>18224</v>
      </c>
      <c r="B7279" s="30" t="s">
        <v>18225</v>
      </c>
      <c r="C7279" s="29" t="s">
        <v>0</v>
      </c>
      <c r="D7279" s="31">
        <v>906.67</v>
      </c>
      <c r="F7279" s="3" t="str">
        <f t="shared" si="113"/>
        <v>I2185</v>
      </c>
    </row>
    <row r="7280" spans="1:6" x14ac:dyDescent="0.2">
      <c r="A7280" s="29" t="s">
        <v>18226</v>
      </c>
      <c r="B7280" s="30" t="s">
        <v>18227</v>
      </c>
      <c r="C7280" s="29" t="s">
        <v>0</v>
      </c>
      <c r="D7280" s="31">
        <v>20.75</v>
      </c>
      <c r="F7280" s="3" t="str">
        <f t="shared" si="113"/>
        <v>I2452</v>
      </c>
    </row>
    <row r="7281" spans="1:6" x14ac:dyDescent="0.2">
      <c r="A7281" s="29" t="s">
        <v>18228</v>
      </c>
      <c r="B7281" s="30" t="s">
        <v>18229</v>
      </c>
      <c r="C7281" s="29" t="s">
        <v>0</v>
      </c>
      <c r="D7281" s="31">
        <v>37.29</v>
      </c>
      <c r="F7281" s="3" t="str">
        <f t="shared" si="113"/>
        <v>I2453</v>
      </c>
    </row>
    <row r="7282" spans="1:6" x14ac:dyDescent="0.2">
      <c r="A7282" s="29" t="s">
        <v>18230</v>
      </c>
      <c r="B7282" s="30" t="s">
        <v>18231</v>
      </c>
      <c r="C7282" s="29" t="s">
        <v>0</v>
      </c>
      <c r="D7282" s="31">
        <v>48.64</v>
      </c>
      <c r="F7282" s="3" t="str">
        <f t="shared" si="113"/>
        <v>I2454</v>
      </c>
    </row>
    <row r="7283" spans="1:6" x14ac:dyDescent="0.2">
      <c r="A7283" s="29" t="s">
        <v>18232</v>
      </c>
      <c r="B7283" s="30" t="s">
        <v>18233</v>
      </c>
      <c r="C7283" s="29" t="s">
        <v>0</v>
      </c>
      <c r="D7283" s="31">
        <v>35.67</v>
      </c>
      <c r="F7283" s="3" t="str">
        <f t="shared" si="113"/>
        <v>I9541</v>
      </c>
    </row>
    <row r="7284" spans="1:6" x14ac:dyDescent="0.2">
      <c r="A7284" s="29" t="s">
        <v>18234</v>
      </c>
      <c r="B7284" s="30" t="s">
        <v>18235</v>
      </c>
      <c r="C7284" s="29" t="s">
        <v>0</v>
      </c>
      <c r="D7284" s="31">
        <v>49.94</v>
      </c>
      <c r="F7284" s="3" t="str">
        <f t="shared" si="113"/>
        <v>I2188</v>
      </c>
    </row>
    <row r="7285" spans="1:6" x14ac:dyDescent="0.2">
      <c r="A7285" s="29" t="s">
        <v>18236</v>
      </c>
      <c r="B7285" s="30" t="s">
        <v>18237</v>
      </c>
      <c r="C7285" s="29" t="s">
        <v>0</v>
      </c>
      <c r="D7285" s="31">
        <v>69.72</v>
      </c>
      <c r="F7285" s="3" t="str">
        <f t="shared" si="113"/>
        <v>I2189</v>
      </c>
    </row>
    <row r="7286" spans="1:6" x14ac:dyDescent="0.2">
      <c r="A7286" s="29" t="s">
        <v>18238</v>
      </c>
      <c r="B7286" s="30" t="s">
        <v>18239</v>
      </c>
      <c r="C7286" s="29" t="s">
        <v>0</v>
      </c>
      <c r="D7286" s="31">
        <v>101.35</v>
      </c>
      <c r="F7286" s="3" t="str">
        <f t="shared" si="113"/>
        <v>I9542</v>
      </c>
    </row>
    <row r="7287" spans="1:6" x14ac:dyDescent="0.2">
      <c r="A7287" s="29" t="s">
        <v>18240</v>
      </c>
      <c r="B7287" s="30" t="s">
        <v>18241</v>
      </c>
      <c r="C7287" s="29" t="s">
        <v>0</v>
      </c>
      <c r="D7287" s="31">
        <v>116.71</v>
      </c>
      <c r="F7287" s="3" t="str">
        <f t="shared" si="113"/>
        <v>I9543</v>
      </c>
    </row>
    <row r="7288" spans="1:6" x14ac:dyDescent="0.2">
      <c r="A7288" s="29" t="s">
        <v>18242</v>
      </c>
      <c r="B7288" s="30" t="s">
        <v>18243</v>
      </c>
      <c r="C7288" s="29" t="s">
        <v>0</v>
      </c>
      <c r="D7288" s="31">
        <v>18.05</v>
      </c>
      <c r="F7288" s="3" t="str">
        <f t="shared" si="113"/>
        <v>I2211</v>
      </c>
    </row>
    <row r="7289" spans="1:6" x14ac:dyDescent="0.2">
      <c r="A7289" s="29" t="s">
        <v>18244</v>
      </c>
      <c r="B7289" s="30" t="s">
        <v>18245</v>
      </c>
      <c r="C7289" s="29" t="s">
        <v>0</v>
      </c>
      <c r="D7289" s="31">
        <v>62.51</v>
      </c>
      <c r="F7289" s="3" t="str">
        <f t="shared" si="113"/>
        <v>I2212</v>
      </c>
    </row>
    <row r="7290" spans="1:6" x14ac:dyDescent="0.2">
      <c r="A7290" s="29" t="s">
        <v>18246</v>
      </c>
      <c r="B7290" s="30" t="s">
        <v>18247</v>
      </c>
      <c r="C7290" s="29" t="s">
        <v>0</v>
      </c>
      <c r="D7290" s="31">
        <v>77.150000000000006</v>
      </c>
      <c r="F7290" s="3" t="str">
        <f t="shared" si="113"/>
        <v>I2213</v>
      </c>
    </row>
    <row r="7291" spans="1:6" ht="22.5" x14ac:dyDescent="0.2">
      <c r="A7291" s="29" t="s">
        <v>18248</v>
      </c>
      <c r="B7291" s="30" t="s">
        <v>18249</v>
      </c>
      <c r="C7291" s="29" t="s">
        <v>0</v>
      </c>
      <c r="D7291" s="31">
        <v>95.34</v>
      </c>
      <c r="F7291" s="3" t="str">
        <f t="shared" si="113"/>
        <v>I2208</v>
      </c>
    </row>
    <row r="7292" spans="1:6" x14ac:dyDescent="0.2">
      <c r="A7292" s="29" t="s">
        <v>18250</v>
      </c>
      <c r="B7292" s="30" t="s">
        <v>18251</v>
      </c>
      <c r="C7292" s="29" t="s">
        <v>0</v>
      </c>
      <c r="D7292" s="31">
        <v>107.5</v>
      </c>
      <c r="F7292" s="3" t="str">
        <f t="shared" si="113"/>
        <v>I2209</v>
      </c>
    </row>
    <row r="7293" spans="1:6" x14ac:dyDescent="0.2">
      <c r="A7293" s="29" t="s">
        <v>18252</v>
      </c>
      <c r="B7293" s="30" t="s">
        <v>18253</v>
      </c>
      <c r="C7293" s="29" t="s">
        <v>0</v>
      </c>
      <c r="D7293" s="31">
        <v>160.05000000000001</v>
      </c>
      <c r="F7293" s="3" t="str">
        <f t="shared" si="113"/>
        <v>I2210</v>
      </c>
    </row>
    <row r="7294" spans="1:6" ht="22.5" x14ac:dyDescent="0.2">
      <c r="A7294" s="29" t="s">
        <v>18254</v>
      </c>
      <c r="B7294" s="30" t="s">
        <v>18255</v>
      </c>
      <c r="C7294" s="29" t="s">
        <v>0</v>
      </c>
      <c r="D7294" s="31">
        <v>92.42</v>
      </c>
      <c r="F7294" s="3" t="str">
        <f t="shared" si="113"/>
        <v>I2214</v>
      </c>
    </row>
    <row r="7295" spans="1:6" x14ac:dyDescent="0.2">
      <c r="A7295" s="29" t="s">
        <v>18256</v>
      </c>
      <c r="B7295" s="30" t="s">
        <v>18257</v>
      </c>
      <c r="C7295" s="29" t="s">
        <v>0</v>
      </c>
      <c r="D7295" s="31">
        <v>15.82</v>
      </c>
      <c r="F7295" s="3" t="str">
        <f t="shared" si="113"/>
        <v>I2193</v>
      </c>
    </row>
    <row r="7296" spans="1:6" x14ac:dyDescent="0.2">
      <c r="A7296" s="29" t="s">
        <v>18258</v>
      </c>
      <c r="B7296" s="30" t="s">
        <v>18259</v>
      </c>
      <c r="C7296" s="29" t="s">
        <v>0</v>
      </c>
      <c r="D7296" s="31">
        <v>41.35</v>
      </c>
      <c r="F7296" s="3" t="str">
        <f t="shared" si="113"/>
        <v>I2197</v>
      </c>
    </row>
    <row r="7297" spans="1:6" x14ac:dyDescent="0.2">
      <c r="A7297" s="29" t="s">
        <v>18260</v>
      </c>
      <c r="B7297" s="30" t="s">
        <v>18261</v>
      </c>
      <c r="C7297" s="29" t="s">
        <v>0</v>
      </c>
      <c r="D7297" s="31">
        <v>6.91</v>
      </c>
      <c r="F7297" s="3" t="str">
        <f t="shared" si="113"/>
        <v>I2194</v>
      </c>
    </row>
    <row r="7298" spans="1:6" x14ac:dyDescent="0.2">
      <c r="A7298" s="29" t="s">
        <v>18262</v>
      </c>
      <c r="B7298" s="30" t="s">
        <v>18263</v>
      </c>
      <c r="C7298" s="29" t="s">
        <v>0</v>
      </c>
      <c r="D7298" s="31">
        <v>10.75</v>
      </c>
      <c r="F7298" s="3" t="str">
        <f t="shared" ref="F7298:F7361" si="114">A7298</f>
        <v>I2195</v>
      </c>
    </row>
    <row r="7299" spans="1:6" x14ac:dyDescent="0.2">
      <c r="A7299" s="29" t="s">
        <v>18264</v>
      </c>
      <c r="B7299" s="30" t="s">
        <v>18265</v>
      </c>
      <c r="C7299" s="29" t="s">
        <v>0</v>
      </c>
      <c r="D7299" s="31">
        <v>14.98</v>
      </c>
      <c r="F7299" s="3" t="str">
        <f t="shared" si="114"/>
        <v>I2196</v>
      </c>
    </row>
    <row r="7300" spans="1:6" x14ac:dyDescent="0.2">
      <c r="A7300" s="29" t="s">
        <v>18266</v>
      </c>
      <c r="B7300" s="30" t="s">
        <v>18267</v>
      </c>
      <c r="C7300" s="29" t="s">
        <v>0</v>
      </c>
      <c r="D7300" s="31">
        <v>15.82</v>
      </c>
      <c r="F7300" s="3" t="str">
        <f t="shared" si="114"/>
        <v>I2456</v>
      </c>
    </row>
    <row r="7301" spans="1:6" x14ac:dyDescent="0.2">
      <c r="A7301" s="29" t="s">
        <v>18268</v>
      </c>
      <c r="B7301" s="30" t="s">
        <v>18269</v>
      </c>
      <c r="C7301" s="29" t="s">
        <v>0</v>
      </c>
      <c r="D7301" s="31">
        <v>6.91</v>
      </c>
      <c r="F7301" s="3" t="str">
        <f t="shared" si="114"/>
        <v>I2458</v>
      </c>
    </row>
    <row r="7302" spans="1:6" x14ac:dyDescent="0.2">
      <c r="A7302" s="29" t="s">
        <v>18270</v>
      </c>
      <c r="B7302" s="30" t="s">
        <v>18271</v>
      </c>
      <c r="C7302" s="29" t="s">
        <v>0</v>
      </c>
      <c r="D7302" s="31">
        <v>10.75</v>
      </c>
      <c r="F7302" s="3" t="str">
        <f t="shared" si="114"/>
        <v>I2457</v>
      </c>
    </row>
    <row r="7303" spans="1:6" x14ac:dyDescent="0.2">
      <c r="A7303" s="29" t="s">
        <v>18272</v>
      </c>
      <c r="B7303" s="30" t="s">
        <v>18273</v>
      </c>
      <c r="C7303" s="29" t="s">
        <v>0</v>
      </c>
      <c r="D7303" s="31">
        <v>47.42</v>
      </c>
      <c r="F7303" s="3" t="str">
        <f t="shared" si="114"/>
        <v>I2459</v>
      </c>
    </row>
    <row r="7304" spans="1:6" x14ac:dyDescent="0.2">
      <c r="A7304" s="29" t="s">
        <v>18274</v>
      </c>
      <c r="B7304" s="30" t="s">
        <v>18275</v>
      </c>
      <c r="C7304" s="29" t="s">
        <v>0</v>
      </c>
      <c r="D7304" s="31">
        <v>96.76</v>
      </c>
      <c r="F7304" s="3" t="str">
        <f t="shared" si="114"/>
        <v>I2460</v>
      </c>
    </row>
    <row r="7305" spans="1:6" x14ac:dyDescent="0.2">
      <c r="A7305" s="29" t="s">
        <v>18276</v>
      </c>
      <c r="B7305" s="30" t="s">
        <v>18277</v>
      </c>
      <c r="C7305" s="29" t="s">
        <v>26</v>
      </c>
      <c r="D7305" s="31">
        <v>126.69</v>
      </c>
      <c r="F7305" s="3" t="str">
        <f t="shared" si="114"/>
        <v>I2215</v>
      </c>
    </row>
    <row r="7306" spans="1:6" x14ac:dyDescent="0.2">
      <c r="A7306" s="29" t="s">
        <v>18278</v>
      </c>
      <c r="B7306" s="30" t="s">
        <v>18279</v>
      </c>
      <c r="C7306" s="29" t="s">
        <v>0</v>
      </c>
      <c r="D7306" s="31">
        <v>38.409999999999997</v>
      </c>
      <c r="F7306" s="3" t="str">
        <f t="shared" si="114"/>
        <v>I8203</v>
      </c>
    </row>
    <row r="7307" spans="1:6" x14ac:dyDescent="0.2">
      <c r="A7307" s="29" t="s">
        <v>18280</v>
      </c>
      <c r="B7307" s="30" t="s">
        <v>18281</v>
      </c>
      <c r="C7307" s="29" t="s">
        <v>0</v>
      </c>
      <c r="D7307" s="31">
        <v>103.38</v>
      </c>
      <c r="F7307" s="3" t="str">
        <f t="shared" si="114"/>
        <v>I8204</v>
      </c>
    </row>
    <row r="7308" spans="1:6" x14ac:dyDescent="0.2">
      <c r="A7308" s="29" t="s">
        <v>18282</v>
      </c>
      <c r="B7308" s="30" t="s">
        <v>18283</v>
      </c>
      <c r="C7308" s="29" t="s">
        <v>0</v>
      </c>
      <c r="D7308" s="31">
        <v>7.26</v>
      </c>
      <c r="F7308" s="3" t="str">
        <f t="shared" si="114"/>
        <v>I2219</v>
      </c>
    </row>
    <row r="7309" spans="1:6" x14ac:dyDescent="0.2">
      <c r="A7309" s="29" t="s">
        <v>18284</v>
      </c>
      <c r="B7309" s="30" t="s">
        <v>18285</v>
      </c>
      <c r="C7309" s="29" t="s">
        <v>0</v>
      </c>
      <c r="D7309" s="31">
        <v>11.11</v>
      </c>
      <c r="F7309" s="3" t="str">
        <f t="shared" si="114"/>
        <v>I2223</v>
      </c>
    </row>
    <row r="7310" spans="1:6" x14ac:dyDescent="0.2">
      <c r="A7310" s="29" t="s">
        <v>18286</v>
      </c>
      <c r="B7310" s="30" t="s">
        <v>18287</v>
      </c>
      <c r="C7310" s="29" t="s">
        <v>0</v>
      </c>
      <c r="D7310" s="31">
        <v>34.25</v>
      </c>
      <c r="F7310" s="3" t="str">
        <f t="shared" si="114"/>
        <v>I2216</v>
      </c>
    </row>
    <row r="7311" spans="1:6" x14ac:dyDescent="0.2">
      <c r="A7311" s="29" t="s">
        <v>18288</v>
      </c>
      <c r="B7311" s="30" t="s">
        <v>18289</v>
      </c>
      <c r="C7311" s="29" t="s">
        <v>0</v>
      </c>
      <c r="D7311" s="31">
        <v>26.9</v>
      </c>
      <c r="F7311" s="3" t="str">
        <f t="shared" si="114"/>
        <v>I2217</v>
      </c>
    </row>
    <row r="7312" spans="1:6" x14ac:dyDescent="0.2">
      <c r="A7312" s="29" t="s">
        <v>18290</v>
      </c>
      <c r="B7312" s="30" t="s">
        <v>18291</v>
      </c>
      <c r="C7312" s="29" t="s">
        <v>0</v>
      </c>
      <c r="D7312" s="31">
        <v>19.95</v>
      </c>
      <c r="F7312" s="3" t="str">
        <f t="shared" si="114"/>
        <v>I2218</v>
      </c>
    </row>
    <row r="7313" spans="1:6" x14ac:dyDescent="0.2">
      <c r="A7313" s="29" t="s">
        <v>18292</v>
      </c>
      <c r="B7313" s="30" t="s">
        <v>18293</v>
      </c>
      <c r="C7313" s="29" t="s">
        <v>0</v>
      </c>
      <c r="D7313" s="31">
        <v>67.16</v>
      </c>
      <c r="F7313" s="3" t="str">
        <f t="shared" si="114"/>
        <v>I2220</v>
      </c>
    </row>
    <row r="7314" spans="1:6" x14ac:dyDescent="0.2">
      <c r="A7314" s="29" t="s">
        <v>18294</v>
      </c>
      <c r="B7314" s="30" t="s">
        <v>18295</v>
      </c>
      <c r="C7314" s="29" t="s">
        <v>0</v>
      </c>
      <c r="D7314" s="31">
        <v>49.02</v>
      </c>
      <c r="F7314" s="3" t="str">
        <f t="shared" si="114"/>
        <v>I2221</v>
      </c>
    </row>
    <row r="7315" spans="1:6" x14ac:dyDescent="0.2">
      <c r="A7315" s="29" t="s">
        <v>18296</v>
      </c>
      <c r="B7315" s="30" t="s">
        <v>18297</v>
      </c>
      <c r="C7315" s="29" t="s">
        <v>0</v>
      </c>
      <c r="D7315" s="31">
        <v>95.98</v>
      </c>
      <c r="F7315" s="3" t="str">
        <f t="shared" si="114"/>
        <v>I2222</v>
      </c>
    </row>
    <row r="7316" spans="1:6" x14ac:dyDescent="0.2">
      <c r="A7316" s="29" t="s">
        <v>18298</v>
      </c>
      <c r="B7316" s="30" t="s">
        <v>18299</v>
      </c>
      <c r="C7316" s="29" t="s">
        <v>0</v>
      </c>
      <c r="D7316" s="31">
        <v>115.88</v>
      </c>
      <c r="F7316" s="3" t="str">
        <f t="shared" si="114"/>
        <v>I2224</v>
      </c>
    </row>
    <row r="7317" spans="1:6" x14ac:dyDescent="0.2">
      <c r="A7317" s="29" t="s">
        <v>18300</v>
      </c>
      <c r="B7317" s="30" t="s">
        <v>18301</v>
      </c>
      <c r="C7317" s="29" t="s">
        <v>0</v>
      </c>
      <c r="D7317" s="31">
        <v>38.06</v>
      </c>
      <c r="F7317" s="3" t="str">
        <f t="shared" si="114"/>
        <v>I2461</v>
      </c>
    </row>
    <row r="7318" spans="1:6" x14ac:dyDescent="0.2">
      <c r="A7318" s="29" t="s">
        <v>18302</v>
      </c>
      <c r="B7318" s="30" t="s">
        <v>18303</v>
      </c>
      <c r="C7318" s="29" t="s">
        <v>0</v>
      </c>
      <c r="D7318" s="31">
        <v>80.92</v>
      </c>
      <c r="F7318" s="3" t="str">
        <f t="shared" si="114"/>
        <v>I2198</v>
      </c>
    </row>
    <row r="7319" spans="1:6" x14ac:dyDescent="0.2">
      <c r="A7319" s="29" t="s">
        <v>18304</v>
      </c>
      <c r="B7319" s="30" t="s">
        <v>18305</v>
      </c>
      <c r="C7319" s="29" t="s">
        <v>0</v>
      </c>
      <c r="D7319" s="31">
        <v>3.1</v>
      </c>
      <c r="F7319" s="3" t="str">
        <f t="shared" si="114"/>
        <v>I2199</v>
      </c>
    </row>
    <row r="7320" spans="1:6" x14ac:dyDescent="0.2">
      <c r="A7320" s="29" t="s">
        <v>18306</v>
      </c>
      <c r="B7320" s="30" t="s">
        <v>18307</v>
      </c>
      <c r="C7320" s="29" t="s">
        <v>0</v>
      </c>
      <c r="D7320" s="31">
        <v>4.33</v>
      </c>
      <c r="F7320" s="3" t="str">
        <f t="shared" si="114"/>
        <v>I2200</v>
      </c>
    </row>
    <row r="7321" spans="1:6" x14ac:dyDescent="0.2">
      <c r="A7321" s="29" t="s">
        <v>18308</v>
      </c>
      <c r="B7321" s="30" t="s">
        <v>18309</v>
      </c>
      <c r="C7321" s="29" t="s">
        <v>0</v>
      </c>
      <c r="D7321" s="31">
        <v>8.56</v>
      </c>
      <c r="F7321" s="3" t="str">
        <f t="shared" si="114"/>
        <v>I2201</v>
      </c>
    </row>
    <row r="7322" spans="1:6" x14ac:dyDescent="0.2">
      <c r="A7322" s="29" t="s">
        <v>18310</v>
      </c>
      <c r="B7322" s="30" t="s">
        <v>18311</v>
      </c>
      <c r="C7322" s="29" t="s">
        <v>0</v>
      </c>
      <c r="D7322" s="31">
        <v>12.46</v>
      </c>
      <c r="F7322" s="3" t="str">
        <f t="shared" si="114"/>
        <v>I2202</v>
      </c>
    </row>
    <row r="7323" spans="1:6" x14ac:dyDescent="0.2">
      <c r="A7323" s="29" t="s">
        <v>18312</v>
      </c>
      <c r="B7323" s="30" t="s">
        <v>18313</v>
      </c>
      <c r="C7323" s="29" t="s">
        <v>0</v>
      </c>
      <c r="D7323" s="31">
        <v>14.28</v>
      </c>
      <c r="F7323" s="3" t="str">
        <f t="shared" si="114"/>
        <v>I2203</v>
      </c>
    </row>
    <row r="7324" spans="1:6" x14ac:dyDescent="0.2">
      <c r="A7324" s="29" t="s">
        <v>18314</v>
      </c>
      <c r="B7324" s="30" t="s">
        <v>18315</v>
      </c>
      <c r="C7324" s="29" t="s">
        <v>0</v>
      </c>
      <c r="D7324" s="31">
        <v>24.1</v>
      </c>
      <c r="F7324" s="3" t="str">
        <f t="shared" si="114"/>
        <v>I2204</v>
      </c>
    </row>
    <row r="7325" spans="1:6" x14ac:dyDescent="0.2">
      <c r="A7325" s="29" t="s">
        <v>18316</v>
      </c>
      <c r="B7325" s="30" t="s">
        <v>18317</v>
      </c>
      <c r="C7325" s="29" t="s">
        <v>0</v>
      </c>
      <c r="D7325" s="31">
        <v>40.369999999999997</v>
      </c>
      <c r="F7325" s="3" t="str">
        <f t="shared" si="114"/>
        <v>I2205</v>
      </c>
    </row>
    <row r="7326" spans="1:6" x14ac:dyDescent="0.2">
      <c r="A7326" s="29" t="s">
        <v>18318</v>
      </c>
      <c r="B7326" s="30" t="s">
        <v>18319</v>
      </c>
      <c r="C7326" s="29" t="s">
        <v>0</v>
      </c>
      <c r="D7326" s="31">
        <v>50.45</v>
      </c>
      <c r="F7326" s="3" t="str">
        <f t="shared" si="114"/>
        <v>I2206</v>
      </c>
    </row>
    <row r="7327" spans="1:6" x14ac:dyDescent="0.2">
      <c r="A7327" s="29" t="s">
        <v>18320</v>
      </c>
      <c r="B7327" s="30" t="s">
        <v>18321</v>
      </c>
      <c r="C7327" s="29" t="s">
        <v>26</v>
      </c>
      <c r="D7327" s="31">
        <v>7.37</v>
      </c>
      <c r="F7327" s="3" t="str">
        <f t="shared" si="114"/>
        <v>I2227</v>
      </c>
    </row>
    <row r="7328" spans="1:6" x14ac:dyDescent="0.2">
      <c r="A7328" s="29" t="s">
        <v>18322</v>
      </c>
      <c r="B7328" s="30" t="s">
        <v>18323</v>
      </c>
      <c r="C7328" s="29" t="s">
        <v>26</v>
      </c>
      <c r="D7328" s="31">
        <v>416.38</v>
      </c>
      <c r="F7328" s="3" t="str">
        <f t="shared" si="114"/>
        <v>I2228</v>
      </c>
    </row>
    <row r="7329" spans="1:6" x14ac:dyDescent="0.2">
      <c r="A7329" s="29" t="s">
        <v>18324</v>
      </c>
      <c r="B7329" s="30" t="s">
        <v>18325</v>
      </c>
      <c r="C7329" s="29" t="s">
        <v>26</v>
      </c>
      <c r="D7329" s="31">
        <v>7.24</v>
      </c>
      <c r="F7329" s="3" t="str">
        <f t="shared" si="114"/>
        <v>I2229</v>
      </c>
    </row>
    <row r="7330" spans="1:6" x14ac:dyDescent="0.2">
      <c r="A7330" s="29" t="s">
        <v>18326</v>
      </c>
      <c r="B7330" s="30" t="s">
        <v>18327</v>
      </c>
      <c r="C7330" s="29" t="s">
        <v>26</v>
      </c>
      <c r="D7330" s="31">
        <v>8.73</v>
      </c>
      <c r="F7330" s="3" t="str">
        <f t="shared" si="114"/>
        <v>I2230</v>
      </c>
    </row>
    <row r="7331" spans="1:6" x14ac:dyDescent="0.2">
      <c r="A7331" s="29" t="s">
        <v>18328</v>
      </c>
      <c r="B7331" s="30" t="s">
        <v>18329</v>
      </c>
      <c r="C7331" s="29" t="s">
        <v>26</v>
      </c>
      <c r="D7331" s="31">
        <v>14.71</v>
      </c>
      <c r="F7331" s="3" t="str">
        <f t="shared" si="114"/>
        <v>I2231</v>
      </c>
    </row>
    <row r="7332" spans="1:6" x14ac:dyDescent="0.2">
      <c r="A7332" s="29" t="s">
        <v>18330</v>
      </c>
      <c r="B7332" s="30" t="s">
        <v>18331</v>
      </c>
      <c r="C7332" s="29" t="s">
        <v>26</v>
      </c>
      <c r="D7332" s="31">
        <v>28.29</v>
      </c>
      <c r="F7332" s="3" t="str">
        <f t="shared" si="114"/>
        <v>I2232</v>
      </c>
    </row>
    <row r="7333" spans="1:6" x14ac:dyDescent="0.2">
      <c r="A7333" s="29" t="s">
        <v>18332</v>
      </c>
      <c r="B7333" s="30" t="s">
        <v>18333</v>
      </c>
      <c r="C7333" s="29" t="s">
        <v>26</v>
      </c>
      <c r="D7333" s="31">
        <v>30.21</v>
      </c>
      <c r="F7333" s="3" t="str">
        <f t="shared" si="114"/>
        <v>I2233</v>
      </c>
    </row>
    <row r="7334" spans="1:6" x14ac:dyDescent="0.2">
      <c r="A7334" s="29" t="s">
        <v>18334</v>
      </c>
      <c r="B7334" s="30" t="s">
        <v>18335</v>
      </c>
      <c r="C7334" s="29" t="s">
        <v>26</v>
      </c>
      <c r="D7334" s="31">
        <v>78.599999999999994</v>
      </c>
      <c r="F7334" s="3" t="str">
        <f t="shared" si="114"/>
        <v>I2234</v>
      </c>
    </row>
    <row r="7335" spans="1:6" x14ac:dyDescent="0.2">
      <c r="A7335" s="29" t="s">
        <v>18336</v>
      </c>
      <c r="B7335" s="30" t="s">
        <v>18337</v>
      </c>
      <c r="C7335" s="29" t="s">
        <v>26</v>
      </c>
      <c r="D7335" s="31">
        <v>160.07</v>
      </c>
      <c r="F7335" s="3" t="str">
        <f t="shared" si="114"/>
        <v>I2235</v>
      </c>
    </row>
    <row r="7336" spans="1:6" x14ac:dyDescent="0.2">
      <c r="A7336" s="29" t="s">
        <v>18338</v>
      </c>
      <c r="B7336" s="30" t="s">
        <v>18339</v>
      </c>
      <c r="C7336" s="29" t="s">
        <v>26</v>
      </c>
      <c r="D7336" s="31">
        <v>188.99</v>
      </c>
      <c r="F7336" s="3" t="str">
        <f t="shared" si="114"/>
        <v>I2236</v>
      </c>
    </row>
    <row r="7337" spans="1:6" x14ac:dyDescent="0.2">
      <c r="A7337" s="29" t="s">
        <v>18340</v>
      </c>
      <c r="B7337" s="30" t="s">
        <v>18341</v>
      </c>
      <c r="C7337" s="29" t="s">
        <v>26</v>
      </c>
      <c r="D7337" s="31">
        <v>9.26</v>
      </c>
      <c r="F7337" s="3" t="str">
        <f t="shared" si="114"/>
        <v>I2243</v>
      </c>
    </row>
    <row r="7338" spans="1:6" x14ac:dyDescent="0.2">
      <c r="A7338" s="29" t="s">
        <v>18342</v>
      </c>
      <c r="B7338" s="30" t="s">
        <v>18343</v>
      </c>
      <c r="C7338" s="29" t="s">
        <v>26</v>
      </c>
      <c r="D7338" s="31">
        <v>20.65</v>
      </c>
      <c r="F7338" s="3" t="str">
        <f t="shared" si="114"/>
        <v>I2239</v>
      </c>
    </row>
    <row r="7339" spans="1:6" x14ac:dyDescent="0.2">
      <c r="A7339" s="29" t="s">
        <v>18344</v>
      </c>
      <c r="B7339" s="30" t="s">
        <v>18345</v>
      </c>
      <c r="C7339" s="29" t="s">
        <v>26</v>
      </c>
      <c r="D7339" s="31">
        <v>35.65</v>
      </c>
      <c r="F7339" s="3" t="str">
        <f t="shared" si="114"/>
        <v>I2237</v>
      </c>
    </row>
    <row r="7340" spans="1:6" x14ac:dyDescent="0.2">
      <c r="A7340" s="29" t="s">
        <v>18346</v>
      </c>
      <c r="B7340" s="30" t="s">
        <v>18347</v>
      </c>
      <c r="C7340" s="29" t="s">
        <v>26</v>
      </c>
      <c r="D7340" s="31">
        <v>35.200000000000003</v>
      </c>
      <c r="F7340" s="3" t="str">
        <f t="shared" si="114"/>
        <v>I2238</v>
      </c>
    </row>
    <row r="7341" spans="1:6" x14ac:dyDescent="0.2">
      <c r="A7341" s="29" t="s">
        <v>18348</v>
      </c>
      <c r="B7341" s="30" t="s">
        <v>18349</v>
      </c>
      <c r="C7341" s="29" t="s">
        <v>26</v>
      </c>
      <c r="D7341" s="31">
        <v>181</v>
      </c>
      <c r="F7341" s="3" t="str">
        <f t="shared" si="114"/>
        <v>I2240</v>
      </c>
    </row>
    <row r="7342" spans="1:6" x14ac:dyDescent="0.2">
      <c r="A7342" s="29" t="s">
        <v>18350</v>
      </c>
      <c r="B7342" s="30" t="s">
        <v>18351</v>
      </c>
      <c r="C7342" s="29" t="s">
        <v>26</v>
      </c>
      <c r="D7342" s="31">
        <v>88.02</v>
      </c>
      <c r="F7342" s="3" t="str">
        <f t="shared" si="114"/>
        <v>I2241</v>
      </c>
    </row>
    <row r="7343" spans="1:6" x14ac:dyDescent="0.2">
      <c r="A7343" s="29" t="s">
        <v>18352</v>
      </c>
      <c r="B7343" s="30" t="s">
        <v>18353</v>
      </c>
      <c r="C7343" s="29" t="s">
        <v>26</v>
      </c>
      <c r="D7343" s="31">
        <v>229.21</v>
      </c>
      <c r="F7343" s="3" t="str">
        <f t="shared" si="114"/>
        <v>I2242</v>
      </c>
    </row>
    <row r="7344" spans="1:6" x14ac:dyDescent="0.2">
      <c r="A7344" s="29" t="s">
        <v>18354</v>
      </c>
      <c r="B7344" s="30" t="s">
        <v>18355</v>
      </c>
      <c r="C7344" s="29" t="s">
        <v>26</v>
      </c>
      <c r="D7344" s="31">
        <v>351.79</v>
      </c>
      <c r="F7344" s="3" t="str">
        <f t="shared" si="114"/>
        <v>I2244</v>
      </c>
    </row>
    <row r="7345" spans="1:6" x14ac:dyDescent="0.2">
      <c r="A7345" s="29" t="s">
        <v>18356</v>
      </c>
      <c r="B7345" s="30" t="s">
        <v>11513</v>
      </c>
      <c r="C7345" s="29" t="s">
        <v>26</v>
      </c>
      <c r="D7345" s="31">
        <v>2909.07</v>
      </c>
      <c r="F7345" s="3" t="str">
        <f t="shared" si="114"/>
        <v>I7539</v>
      </c>
    </row>
    <row r="7346" spans="1:6" x14ac:dyDescent="0.2">
      <c r="A7346" s="29" t="s">
        <v>18357</v>
      </c>
      <c r="B7346" s="30" t="s">
        <v>18358</v>
      </c>
      <c r="C7346" s="29" t="s">
        <v>255</v>
      </c>
      <c r="D7346" s="31">
        <v>277.58</v>
      </c>
      <c r="F7346" s="3" t="str">
        <f t="shared" si="114"/>
        <v>I2464</v>
      </c>
    </row>
    <row r="7347" spans="1:6" x14ac:dyDescent="0.2">
      <c r="A7347" s="29" t="s">
        <v>18359</v>
      </c>
      <c r="B7347" s="30" t="s">
        <v>18360</v>
      </c>
      <c r="C7347" s="29" t="s">
        <v>26</v>
      </c>
      <c r="D7347" s="31">
        <v>410.54</v>
      </c>
      <c r="F7347" s="3" t="str">
        <f t="shared" si="114"/>
        <v>I2269</v>
      </c>
    </row>
    <row r="7348" spans="1:6" x14ac:dyDescent="0.2">
      <c r="A7348" s="29" t="s">
        <v>18361</v>
      </c>
      <c r="B7348" s="30" t="s">
        <v>18362</v>
      </c>
      <c r="C7348" s="29" t="s">
        <v>26</v>
      </c>
      <c r="D7348" s="31">
        <v>242.27</v>
      </c>
      <c r="F7348" s="3" t="str">
        <f t="shared" si="114"/>
        <v>I9076</v>
      </c>
    </row>
    <row r="7349" spans="1:6" x14ac:dyDescent="0.2">
      <c r="A7349" s="29" t="s">
        <v>18363</v>
      </c>
      <c r="B7349" s="30" t="s">
        <v>18364</v>
      </c>
      <c r="C7349" s="29" t="s">
        <v>26</v>
      </c>
      <c r="D7349" s="31">
        <v>304.92</v>
      </c>
      <c r="F7349" s="3" t="str">
        <f t="shared" si="114"/>
        <v>I6783</v>
      </c>
    </row>
    <row r="7350" spans="1:6" x14ac:dyDescent="0.2">
      <c r="A7350" s="29" t="s">
        <v>18365</v>
      </c>
      <c r="B7350" s="30" t="s">
        <v>18366</v>
      </c>
      <c r="C7350" s="29" t="s">
        <v>26</v>
      </c>
      <c r="D7350" s="31">
        <v>287.06</v>
      </c>
      <c r="F7350" s="3" t="str">
        <f t="shared" si="114"/>
        <v>I6782</v>
      </c>
    </row>
    <row r="7351" spans="1:6" x14ac:dyDescent="0.2">
      <c r="A7351" s="29" t="s">
        <v>18367</v>
      </c>
      <c r="B7351" s="30" t="s">
        <v>18368</v>
      </c>
      <c r="C7351" s="29" t="s">
        <v>26</v>
      </c>
      <c r="D7351" s="31">
        <v>281.95999999999998</v>
      </c>
      <c r="F7351" s="3" t="str">
        <f t="shared" si="114"/>
        <v>I7499</v>
      </c>
    </row>
    <row r="7352" spans="1:6" x14ac:dyDescent="0.2">
      <c r="A7352" s="29" t="s">
        <v>18369</v>
      </c>
      <c r="B7352" s="30" t="s">
        <v>18370</v>
      </c>
      <c r="C7352" s="29" t="s">
        <v>26</v>
      </c>
      <c r="D7352" s="31">
        <v>833.27</v>
      </c>
      <c r="F7352" s="3" t="str">
        <f t="shared" si="114"/>
        <v>I2275</v>
      </c>
    </row>
    <row r="7353" spans="1:6" x14ac:dyDescent="0.2">
      <c r="A7353" s="29" t="s">
        <v>18371</v>
      </c>
      <c r="B7353" s="30" t="s">
        <v>18372</v>
      </c>
      <c r="C7353" s="29" t="s">
        <v>26</v>
      </c>
      <c r="D7353" s="31">
        <v>46.52</v>
      </c>
      <c r="F7353" s="3" t="str">
        <f t="shared" si="114"/>
        <v>I2276</v>
      </c>
    </row>
    <row r="7354" spans="1:6" x14ac:dyDescent="0.2">
      <c r="A7354" s="29" t="s">
        <v>18373</v>
      </c>
      <c r="B7354" s="30" t="s">
        <v>18374</v>
      </c>
      <c r="C7354" s="29" t="s">
        <v>26</v>
      </c>
      <c r="D7354" s="31">
        <v>61.87</v>
      </c>
      <c r="F7354" s="3" t="str">
        <f t="shared" si="114"/>
        <v>I2277</v>
      </c>
    </row>
    <row r="7355" spans="1:6" x14ac:dyDescent="0.2">
      <c r="A7355" s="29" t="s">
        <v>18375</v>
      </c>
      <c r="B7355" s="30" t="s">
        <v>18376</v>
      </c>
      <c r="C7355" s="29" t="s">
        <v>26</v>
      </c>
      <c r="D7355" s="31">
        <v>84.8</v>
      </c>
      <c r="F7355" s="3" t="str">
        <f t="shared" si="114"/>
        <v>I2278</v>
      </c>
    </row>
    <row r="7356" spans="1:6" x14ac:dyDescent="0.2">
      <c r="A7356" s="29" t="s">
        <v>18377</v>
      </c>
      <c r="B7356" s="30" t="s">
        <v>18378</v>
      </c>
      <c r="C7356" s="29" t="s">
        <v>26</v>
      </c>
      <c r="D7356" s="31">
        <v>131.9</v>
      </c>
      <c r="F7356" s="3" t="str">
        <f t="shared" si="114"/>
        <v>I2279</v>
      </c>
    </row>
    <row r="7357" spans="1:6" x14ac:dyDescent="0.2">
      <c r="A7357" s="29" t="s">
        <v>18379</v>
      </c>
      <c r="B7357" s="30" t="s">
        <v>18380</v>
      </c>
      <c r="C7357" s="29" t="s">
        <v>26</v>
      </c>
      <c r="D7357" s="31">
        <v>179.06</v>
      </c>
      <c r="F7357" s="3" t="str">
        <f t="shared" si="114"/>
        <v>I2280</v>
      </c>
    </row>
    <row r="7358" spans="1:6" x14ac:dyDescent="0.2">
      <c r="A7358" s="29" t="s">
        <v>18381</v>
      </c>
      <c r="B7358" s="30" t="s">
        <v>18382</v>
      </c>
      <c r="C7358" s="29" t="s">
        <v>26</v>
      </c>
      <c r="D7358" s="31">
        <v>240.54</v>
      </c>
      <c r="F7358" s="3" t="str">
        <f t="shared" si="114"/>
        <v>I2281</v>
      </c>
    </row>
    <row r="7359" spans="1:6" x14ac:dyDescent="0.2">
      <c r="A7359" s="29" t="s">
        <v>18383</v>
      </c>
      <c r="B7359" s="30" t="s">
        <v>18384</v>
      </c>
      <c r="C7359" s="29" t="s">
        <v>26</v>
      </c>
      <c r="D7359" s="31">
        <v>388.95</v>
      </c>
      <c r="F7359" s="3" t="str">
        <f t="shared" si="114"/>
        <v>I2282</v>
      </c>
    </row>
    <row r="7360" spans="1:6" x14ac:dyDescent="0.2">
      <c r="A7360" s="29" t="s">
        <v>18385</v>
      </c>
      <c r="B7360" s="30" t="s">
        <v>18386</v>
      </c>
      <c r="C7360" s="29" t="s">
        <v>26</v>
      </c>
      <c r="D7360" s="31">
        <v>547.66999999999996</v>
      </c>
      <c r="F7360" s="3" t="str">
        <f t="shared" si="114"/>
        <v>I2283</v>
      </c>
    </row>
    <row r="7361" spans="1:6" x14ac:dyDescent="0.2">
      <c r="A7361" s="29" t="s">
        <v>18387</v>
      </c>
      <c r="B7361" s="30" t="s">
        <v>18388</v>
      </c>
      <c r="C7361" s="29" t="s">
        <v>26</v>
      </c>
      <c r="D7361" s="31">
        <v>65.83</v>
      </c>
      <c r="F7361" s="3" t="str">
        <f t="shared" si="114"/>
        <v>I2284</v>
      </c>
    </row>
    <row r="7362" spans="1:6" x14ac:dyDescent="0.2">
      <c r="A7362" s="29" t="s">
        <v>18389</v>
      </c>
      <c r="B7362" s="30" t="s">
        <v>18390</v>
      </c>
      <c r="C7362" s="29" t="s">
        <v>26</v>
      </c>
      <c r="D7362" s="31">
        <v>728.44</v>
      </c>
      <c r="F7362" s="3" t="str">
        <f t="shared" ref="F7362:F7425" si="115">A7362</f>
        <v>I2285</v>
      </c>
    </row>
    <row r="7363" spans="1:6" x14ac:dyDescent="0.2">
      <c r="A7363" s="29" t="s">
        <v>18391</v>
      </c>
      <c r="B7363" s="30" t="s">
        <v>18392</v>
      </c>
      <c r="C7363" s="29" t="s">
        <v>26</v>
      </c>
      <c r="D7363" s="31">
        <v>59.54</v>
      </c>
      <c r="F7363" s="3" t="str">
        <f t="shared" si="115"/>
        <v>I2286</v>
      </c>
    </row>
    <row r="7364" spans="1:6" x14ac:dyDescent="0.2">
      <c r="A7364" s="29" t="s">
        <v>18393</v>
      </c>
      <c r="B7364" s="30" t="s">
        <v>18394</v>
      </c>
      <c r="C7364" s="29" t="s">
        <v>26</v>
      </c>
      <c r="D7364" s="31">
        <v>104.52</v>
      </c>
      <c r="F7364" s="3" t="str">
        <f t="shared" si="115"/>
        <v>I2287</v>
      </c>
    </row>
    <row r="7365" spans="1:6" x14ac:dyDescent="0.2">
      <c r="A7365" s="29" t="s">
        <v>18395</v>
      </c>
      <c r="B7365" s="30" t="s">
        <v>18396</v>
      </c>
      <c r="C7365" s="29" t="s">
        <v>26</v>
      </c>
      <c r="D7365" s="31">
        <v>111.54</v>
      </c>
      <c r="F7365" s="3" t="str">
        <f t="shared" si="115"/>
        <v>I2288</v>
      </c>
    </row>
    <row r="7366" spans="1:6" x14ac:dyDescent="0.2">
      <c r="A7366" s="29" t="s">
        <v>18397</v>
      </c>
      <c r="B7366" s="30" t="s">
        <v>18398</v>
      </c>
      <c r="C7366" s="29" t="s">
        <v>26</v>
      </c>
      <c r="D7366" s="31">
        <v>168.94</v>
      </c>
      <c r="F7366" s="3" t="str">
        <f t="shared" si="115"/>
        <v>I2289</v>
      </c>
    </row>
    <row r="7367" spans="1:6" x14ac:dyDescent="0.2">
      <c r="A7367" s="29" t="s">
        <v>18399</v>
      </c>
      <c r="B7367" s="30" t="s">
        <v>18400</v>
      </c>
      <c r="C7367" s="29" t="s">
        <v>26</v>
      </c>
      <c r="D7367" s="31">
        <v>413.9</v>
      </c>
      <c r="F7367" s="3" t="str">
        <f t="shared" si="115"/>
        <v>I2290</v>
      </c>
    </row>
    <row r="7368" spans="1:6" x14ac:dyDescent="0.2">
      <c r="A7368" s="29" t="s">
        <v>18401</v>
      </c>
      <c r="B7368" s="30" t="s">
        <v>18402</v>
      </c>
      <c r="C7368" s="29" t="s">
        <v>26</v>
      </c>
      <c r="D7368" s="31">
        <v>301.92</v>
      </c>
      <c r="F7368" s="3" t="str">
        <f t="shared" si="115"/>
        <v>I2291</v>
      </c>
    </row>
    <row r="7369" spans="1:6" x14ac:dyDescent="0.2">
      <c r="A7369" s="29" t="s">
        <v>18403</v>
      </c>
      <c r="B7369" s="30" t="s">
        <v>18404</v>
      </c>
      <c r="C7369" s="29" t="s">
        <v>26</v>
      </c>
      <c r="D7369" s="31">
        <v>52.25</v>
      </c>
      <c r="F7369" s="3" t="str">
        <f t="shared" si="115"/>
        <v>I2274</v>
      </c>
    </row>
    <row r="7370" spans="1:6" ht="15.75" customHeight="1" x14ac:dyDescent="0.2">
      <c r="A7370" s="32" t="s">
        <v>18405</v>
      </c>
      <c r="B7370" s="33"/>
      <c r="C7370" s="32">
        <v>0</v>
      </c>
      <c r="D7370" s="34">
        <v>0</v>
      </c>
      <c r="F7370" s="3" t="str">
        <f t="shared" si="115"/>
        <v>COTAÇÃO / INSTALAÇÕES ELÉTRICAS/TELEFÔNICA/INFORMÁTICA</v>
      </c>
    </row>
    <row r="7371" spans="1:6" ht="25.5" x14ac:dyDescent="0.2">
      <c r="A7371" s="26" t="s">
        <v>14985</v>
      </c>
      <c r="B7371" s="27" t="s">
        <v>14986</v>
      </c>
      <c r="C7371" s="26" t="s">
        <v>14987</v>
      </c>
      <c r="D7371" s="28" t="e">
        <v>#VALUE!</v>
      </c>
      <c r="F7371" s="3" t="str">
        <f t="shared" si="115"/>
        <v>Insumo</v>
      </c>
    </row>
    <row r="7372" spans="1:6" x14ac:dyDescent="0.2">
      <c r="A7372" s="29" t="s">
        <v>18406</v>
      </c>
      <c r="B7372" s="30" t="s">
        <v>18407</v>
      </c>
      <c r="C7372" s="29" t="s">
        <v>26</v>
      </c>
      <c r="D7372" s="31">
        <v>1537.41</v>
      </c>
      <c r="F7372" s="3" t="str">
        <f t="shared" si="115"/>
        <v>I7501</v>
      </c>
    </row>
    <row r="7373" spans="1:6" x14ac:dyDescent="0.2">
      <c r="A7373" s="29" t="s">
        <v>18408</v>
      </c>
      <c r="B7373" s="30" t="s">
        <v>18409</v>
      </c>
      <c r="C7373" s="29" t="s">
        <v>26</v>
      </c>
      <c r="D7373" s="31">
        <v>67.260000000000005</v>
      </c>
      <c r="F7373" s="3" t="str">
        <f t="shared" si="115"/>
        <v>I7447</v>
      </c>
    </row>
    <row r="7374" spans="1:6" x14ac:dyDescent="0.2">
      <c r="A7374" s="29" t="s">
        <v>18410</v>
      </c>
      <c r="B7374" s="30" t="s">
        <v>18411</v>
      </c>
      <c r="C7374" s="29" t="s">
        <v>26</v>
      </c>
      <c r="D7374" s="31">
        <v>916.71</v>
      </c>
      <c r="F7374" s="3" t="str">
        <f t="shared" si="115"/>
        <v>I7443</v>
      </c>
    </row>
    <row r="7375" spans="1:6" x14ac:dyDescent="0.2">
      <c r="A7375" s="29" t="s">
        <v>18412</v>
      </c>
      <c r="B7375" s="30" t="s">
        <v>18413</v>
      </c>
      <c r="C7375" s="29" t="s">
        <v>26</v>
      </c>
      <c r="D7375" s="31">
        <v>224.4</v>
      </c>
      <c r="F7375" s="3" t="str">
        <f t="shared" si="115"/>
        <v>I7452</v>
      </c>
    </row>
    <row r="7376" spans="1:6" x14ac:dyDescent="0.2">
      <c r="A7376" s="29" t="s">
        <v>18414</v>
      </c>
      <c r="B7376" s="30" t="s">
        <v>18415</v>
      </c>
      <c r="C7376" s="29" t="s">
        <v>26</v>
      </c>
      <c r="D7376" s="31">
        <v>117.69</v>
      </c>
      <c r="F7376" s="3" t="str">
        <f t="shared" si="115"/>
        <v>I0053</v>
      </c>
    </row>
    <row r="7377" spans="1:6" x14ac:dyDescent="0.2">
      <c r="A7377" s="29" t="s">
        <v>18416</v>
      </c>
      <c r="B7377" s="30" t="s">
        <v>18417</v>
      </c>
      <c r="C7377" s="29" t="s">
        <v>26</v>
      </c>
      <c r="D7377" s="31">
        <v>243.42</v>
      </c>
      <c r="F7377" s="3" t="str">
        <f t="shared" si="115"/>
        <v>I0054</v>
      </c>
    </row>
    <row r="7378" spans="1:6" x14ac:dyDescent="0.2">
      <c r="A7378" s="29" t="s">
        <v>18418</v>
      </c>
      <c r="B7378" s="30" t="s">
        <v>18419</v>
      </c>
      <c r="C7378" s="29" t="s">
        <v>26</v>
      </c>
      <c r="D7378" s="31">
        <v>130.13</v>
      </c>
      <c r="F7378" s="3" t="str">
        <f t="shared" si="115"/>
        <v>I0055</v>
      </c>
    </row>
    <row r="7379" spans="1:6" x14ac:dyDescent="0.2">
      <c r="A7379" s="29" t="s">
        <v>18420</v>
      </c>
      <c r="B7379" s="30" t="s">
        <v>18421</v>
      </c>
      <c r="C7379" s="29" t="s">
        <v>26</v>
      </c>
      <c r="D7379" s="31">
        <v>1876.42</v>
      </c>
      <c r="F7379" s="3" t="str">
        <f t="shared" si="115"/>
        <v>I7448</v>
      </c>
    </row>
    <row r="7380" spans="1:6" x14ac:dyDescent="0.2">
      <c r="A7380" s="29" t="s">
        <v>18422</v>
      </c>
      <c r="B7380" s="30" t="s">
        <v>18423</v>
      </c>
      <c r="C7380" s="29" t="s">
        <v>26</v>
      </c>
      <c r="D7380" s="31">
        <v>6.38</v>
      </c>
      <c r="F7380" s="3" t="str">
        <f t="shared" si="115"/>
        <v>I7412</v>
      </c>
    </row>
    <row r="7381" spans="1:6" x14ac:dyDescent="0.2">
      <c r="A7381" s="29" t="s">
        <v>18424</v>
      </c>
      <c r="B7381" s="30" t="s">
        <v>18425</v>
      </c>
      <c r="C7381" s="29" t="s">
        <v>26</v>
      </c>
      <c r="D7381" s="31">
        <v>86.9</v>
      </c>
      <c r="F7381" s="3" t="str">
        <f t="shared" si="115"/>
        <v>I0090</v>
      </c>
    </row>
    <row r="7382" spans="1:6" ht="22.5" x14ac:dyDescent="0.2">
      <c r="A7382" s="29" t="s">
        <v>18426</v>
      </c>
      <c r="B7382" s="30" t="s">
        <v>12821</v>
      </c>
      <c r="C7382" s="29" t="s">
        <v>26</v>
      </c>
      <c r="D7382" s="31">
        <v>327</v>
      </c>
      <c r="F7382" s="3" t="str">
        <f t="shared" si="115"/>
        <v>I8223</v>
      </c>
    </row>
    <row r="7383" spans="1:6" ht="22.5" x14ac:dyDescent="0.2">
      <c r="A7383" s="29" t="s">
        <v>18427</v>
      </c>
      <c r="B7383" s="30" t="s">
        <v>18428</v>
      </c>
      <c r="C7383" s="29" t="s">
        <v>26</v>
      </c>
      <c r="D7383" s="31">
        <v>45.93</v>
      </c>
      <c r="F7383" s="3" t="str">
        <f t="shared" si="115"/>
        <v>I9451</v>
      </c>
    </row>
    <row r="7384" spans="1:6" ht="22.5" x14ac:dyDescent="0.2">
      <c r="A7384" s="29" t="s">
        <v>18429</v>
      </c>
      <c r="B7384" s="30" t="s">
        <v>12827</v>
      </c>
      <c r="C7384" s="29" t="s">
        <v>26</v>
      </c>
      <c r="D7384" s="31">
        <v>37.64</v>
      </c>
      <c r="F7384" s="3" t="str">
        <f t="shared" si="115"/>
        <v>I9428</v>
      </c>
    </row>
    <row r="7385" spans="1:6" ht="22.5" x14ac:dyDescent="0.2">
      <c r="A7385" s="29" t="s">
        <v>18430</v>
      </c>
      <c r="B7385" s="30" t="s">
        <v>12825</v>
      </c>
      <c r="C7385" s="29" t="s">
        <v>26</v>
      </c>
      <c r="D7385" s="31">
        <v>45.8</v>
      </c>
      <c r="F7385" s="3" t="str">
        <f t="shared" si="115"/>
        <v>I9450</v>
      </c>
    </row>
    <row r="7386" spans="1:6" ht="22.5" x14ac:dyDescent="0.2">
      <c r="A7386" s="29" t="s">
        <v>18431</v>
      </c>
      <c r="B7386" s="30" t="s">
        <v>12831</v>
      </c>
      <c r="C7386" s="29" t="s">
        <v>26</v>
      </c>
      <c r="D7386" s="31">
        <v>208.68</v>
      </c>
      <c r="F7386" s="3" t="str">
        <f t="shared" si="115"/>
        <v>I7927</v>
      </c>
    </row>
    <row r="7387" spans="1:6" ht="22.5" x14ac:dyDescent="0.2">
      <c r="A7387" s="29" t="s">
        <v>18432</v>
      </c>
      <c r="B7387" s="30" t="s">
        <v>12829</v>
      </c>
      <c r="C7387" s="29" t="s">
        <v>26</v>
      </c>
      <c r="D7387" s="31">
        <v>175.65</v>
      </c>
      <c r="F7387" s="3" t="str">
        <f t="shared" si="115"/>
        <v>I7926</v>
      </c>
    </row>
    <row r="7388" spans="1:6" ht="22.5" x14ac:dyDescent="0.2">
      <c r="A7388" s="29" t="s">
        <v>18433</v>
      </c>
      <c r="B7388" s="30" t="s">
        <v>12833</v>
      </c>
      <c r="C7388" s="29" t="s">
        <v>26</v>
      </c>
      <c r="D7388" s="31">
        <v>113.51</v>
      </c>
      <c r="F7388" s="3" t="str">
        <f t="shared" si="115"/>
        <v>I7928</v>
      </c>
    </row>
    <row r="7389" spans="1:6" x14ac:dyDescent="0.2">
      <c r="A7389" s="29" t="s">
        <v>18434</v>
      </c>
      <c r="B7389" s="30" t="s">
        <v>18435</v>
      </c>
      <c r="C7389" s="29" t="s">
        <v>26</v>
      </c>
      <c r="D7389" s="31">
        <v>81.86</v>
      </c>
      <c r="F7389" s="3" t="str">
        <f t="shared" si="115"/>
        <v>I0125</v>
      </c>
    </row>
    <row r="7390" spans="1:6" x14ac:dyDescent="0.2">
      <c r="A7390" s="29" t="s">
        <v>18436</v>
      </c>
      <c r="B7390" s="30" t="s">
        <v>18437</v>
      </c>
      <c r="C7390" s="29" t="s">
        <v>26</v>
      </c>
      <c r="D7390" s="31">
        <v>1.1499999999999999</v>
      </c>
      <c r="F7390" s="3" t="str">
        <f t="shared" si="115"/>
        <v>I0126</v>
      </c>
    </row>
    <row r="7391" spans="1:6" x14ac:dyDescent="0.2">
      <c r="A7391" s="29" t="s">
        <v>18438</v>
      </c>
      <c r="B7391" s="30" t="s">
        <v>18439</v>
      </c>
      <c r="C7391" s="29" t="s">
        <v>26</v>
      </c>
      <c r="D7391" s="31">
        <v>1.08</v>
      </c>
      <c r="F7391" s="3" t="str">
        <f t="shared" si="115"/>
        <v>I0127</v>
      </c>
    </row>
    <row r="7392" spans="1:6" x14ac:dyDescent="0.2">
      <c r="A7392" s="29" t="s">
        <v>18440</v>
      </c>
      <c r="B7392" s="30" t="s">
        <v>18441</v>
      </c>
      <c r="C7392" s="29" t="s">
        <v>26</v>
      </c>
      <c r="D7392" s="31">
        <v>0.73</v>
      </c>
      <c r="F7392" s="3" t="str">
        <f t="shared" si="115"/>
        <v>I0128</v>
      </c>
    </row>
    <row r="7393" spans="1:6" x14ac:dyDescent="0.2">
      <c r="A7393" s="29" t="s">
        <v>18442</v>
      </c>
      <c r="B7393" s="30" t="s">
        <v>18443</v>
      </c>
      <c r="C7393" s="29" t="s">
        <v>26</v>
      </c>
      <c r="D7393" s="31">
        <v>0.26</v>
      </c>
      <c r="F7393" s="3" t="str">
        <f t="shared" si="115"/>
        <v>I0129</v>
      </c>
    </row>
    <row r="7394" spans="1:6" x14ac:dyDescent="0.2">
      <c r="A7394" s="29" t="s">
        <v>18444</v>
      </c>
      <c r="B7394" s="30" t="s">
        <v>18445</v>
      </c>
      <c r="C7394" s="29" t="s">
        <v>26</v>
      </c>
      <c r="D7394" s="31">
        <v>2.6</v>
      </c>
      <c r="F7394" s="3" t="str">
        <f t="shared" si="115"/>
        <v>I0130</v>
      </c>
    </row>
    <row r="7395" spans="1:6" x14ac:dyDescent="0.2">
      <c r="A7395" s="29" t="s">
        <v>18446</v>
      </c>
      <c r="B7395" s="30" t="s">
        <v>18447</v>
      </c>
      <c r="C7395" s="29" t="s">
        <v>26</v>
      </c>
      <c r="D7395" s="31">
        <v>1.34</v>
      </c>
      <c r="F7395" s="3" t="str">
        <f t="shared" si="115"/>
        <v>I0131</v>
      </c>
    </row>
    <row r="7396" spans="1:6" x14ac:dyDescent="0.2">
      <c r="A7396" s="29" t="s">
        <v>18448</v>
      </c>
      <c r="B7396" s="30" t="s">
        <v>18449</v>
      </c>
      <c r="C7396" s="29" t="s">
        <v>26</v>
      </c>
      <c r="D7396" s="31">
        <v>4.3099999999999996</v>
      </c>
      <c r="F7396" s="3" t="str">
        <f t="shared" si="115"/>
        <v>I0132</v>
      </c>
    </row>
    <row r="7397" spans="1:6" x14ac:dyDescent="0.2">
      <c r="A7397" s="29" t="s">
        <v>18450</v>
      </c>
      <c r="B7397" s="30" t="s">
        <v>18451</v>
      </c>
      <c r="C7397" s="29" t="s">
        <v>26</v>
      </c>
      <c r="D7397" s="31">
        <v>3.85</v>
      </c>
      <c r="F7397" s="3" t="str">
        <f t="shared" si="115"/>
        <v>I0133</v>
      </c>
    </row>
    <row r="7398" spans="1:6" x14ac:dyDescent="0.2">
      <c r="A7398" s="29" t="s">
        <v>18452</v>
      </c>
      <c r="B7398" s="30" t="s">
        <v>18453</v>
      </c>
      <c r="C7398" s="29" t="s">
        <v>26</v>
      </c>
      <c r="D7398" s="31">
        <v>0.55000000000000004</v>
      </c>
      <c r="F7398" s="3" t="str">
        <f t="shared" si="115"/>
        <v>I0134</v>
      </c>
    </row>
    <row r="7399" spans="1:6" x14ac:dyDescent="0.2">
      <c r="A7399" s="29" t="s">
        <v>18454</v>
      </c>
      <c r="B7399" s="30" t="s">
        <v>18455</v>
      </c>
      <c r="C7399" s="29" t="s">
        <v>26</v>
      </c>
      <c r="D7399" s="31">
        <v>4.66</v>
      </c>
      <c r="F7399" s="3" t="str">
        <f t="shared" si="115"/>
        <v>I0135</v>
      </c>
    </row>
    <row r="7400" spans="1:6" x14ac:dyDescent="0.2">
      <c r="A7400" s="29" t="s">
        <v>18456</v>
      </c>
      <c r="B7400" s="30" t="s">
        <v>18457</v>
      </c>
      <c r="C7400" s="29" t="s">
        <v>26</v>
      </c>
      <c r="D7400" s="31">
        <v>0.6</v>
      </c>
      <c r="F7400" s="3" t="str">
        <f t="shared" si="115"/>
        <v>I7396</v>
      </c>
    </row>
    <row r="7401" spans="1:6" x14ac:dyDescent="0.2">
      <c r="A7401" s="29" t="s">
        <v>18458</v>
      </c>
      <c r="B7401" s="30" t="s">
        <v>18459</v>
      </c>
      <c r="C7401" s="29" t="s">
        <v>26</v>
      </c>
      <c r="D7401" s="31">
        <v>40.880000000000003</v>
      </c>
      <c r="F7401" s="3" t="str">
        <f t="shared" si="115"/>
        <v>I0148</v>
      </c>
    </row>
    <row r="7402" spans="1:6" ht="22.5" x14ac:dyDescent="0.2">
      <c r="A7402" s="29" t="s">
        <v>18460</v>
      </c>
      <c r="B7402" s="30" t="s">
        <v>12837</v>
      </c>
      <c r="C7402" s="29" t="s">
        <v>26</v>
      </c>
      <c r="D7402" s="31">
        <v>172.23</v>
      </c>
      <c r="F7402" s="3" t="str">
        <f t="shared" si="115"/>
        <v>I9122</v>
      </c>
    </row>
    <row r="7403" spans="1:6" ht="22.5" x14ac:dyDescent="0.2">
      <c r="A7403" s="29" t="s">
        <v>18461</v>
      </c>
      <c r="B7403" s="30" t="s">
        <v>12839</v>
      </c>
      <c r="C7403" s="29" t="s">
        <v>26</v>
      </c>
      <c r="D7403" s="31">
        <v>318.95</v>
      </c>
      <c r="F7403" s="3" t="str">
        <f t="shared" si="115"/>
        <v>I9123</v>
      </c>
    </row>
    <row r="7404" spans="1:6" ht="22.5" x14ac:dyDescent="0.2">
      <c r="A7404" s="29" t="s">
        <v>18462</v>
      </c>
      <c r="B7404" s="30" t="s">
        <v>18463</v>
      </c>
      <c r="C7404" s="29" t="s">
        <v>26</v>
      </c>
      <c r="D7404" s="31">
        <v>58.88</v>
      </c>
      <c r="F7404" s="3" t="str">
        <f t="shared" si="115"/>
        <v>I9116</v>
      </c>
    </row>
    <row r="7405" spans="1:6" x14ac:dyDescent="0.2">
      <c r="A7405" s="29" t="s">
        <v>18464</v>
      </c>
      <c r="B7405" s="30" t="s">
        <v>13291</v>
      </c>
      <c r="C7405" s="29" t="s">
        <v>26</v>
      </c>
      <c r="D7405" s="31">
        <v>36.369999999999997</v>
      </c>
      <c r="F7405" s="3" t="str">
        <f t="shared" si="115"/>
        <v>I8447</v>
      </c>
    </row>
    <row r="7406" spans="1:6" x14ac:dyDescent="0.2">
      <c r="A7406" s="29" t="s">
        <v>18465</v>
      </c>
      <c r="B7406" s="30" t="s">
        <v>18466</v>
      </c>
      <c r="C7406" s="29" t="s">
        <v>0</v>
      </c>
      <c r="D7406" s="31">
        <v>49.63</v>
      </c>
      <c r="F7406" s="3" t="str">
        <f t="shared" si="115"/>
        <v>I0192</v>
      </c>
    </row>
    <row r="7407" spans="1:6" x14ac:dyDescent="0.2">
      <c r="A7407" s="29" t="s">
        <v>18467</v>
      </c>
      <c r="B7407" s="30" t="s">
        <v>18468</v>
      </c>
      <c r="C7407" s="29" t="s">
        <v>0</v>
      </c>
      <c r="D7407" s="31">
        <v>102.28</v>
      </c>
      <c r="F7407" s="3" t="str">
        <f t="shared" si="115"/>
        <v>I7416</v>
      </c>
    </row>
    <row r="7408" spans="1:6" x14ac:dyDescent="0.2">
      <c r="A7408" s="29" t="s">
        <v>18469</v>
      </c>
      <c r="B7408" s="30" t="s">
        <v>18470</v>
      </c>
      <c r="C7408" s="29" t="s">
        <v>26</v>
      </c>
      <c r="D7408" s="31">
        <v>37.14</v>
      </c>
      <c r="F7408" s="3" t="str">
        <f t="shared" si="115"/>
        <v>I7478</v>
      </c>
    </row>
    <row r="7409" spans="1:6" x14ac:dyDescent="0.2">
      <c r="A7409" s="29" t="s">
        <v>18471</v>
      </c>
      <c r="B7409" s="30" t="s">
        <v>18472</v>
      </c>
      <c r="C7409" s="29" t="s">
        <v>26</v>
      </c>
      <c r="D7409" s="31">
        <v>37.270000000000003</v>
      </c>
      <c r="F7409" s="3" t="str">
        <f t="shared" si="115"/>
        <v>I7479</v>
      </c>
    </row>
    <row r="7410" spans="1:6" x14ac:dyDescent="0.2">
      <c r="A7410" s="29" t="s">
        <v>18473</v>
      </c>
      <c r="B7410" s="30" t="s">
        <v>18474</v>
      </c>
      <c r="C7410" s="29" t="s">
        <v>26</v>
      </c>
      <c r="D7410" s="31">
        <v>41.32</v>
      </c>
      <c r="F7410" s="3" t="str">
        <f t="shared" si="115"/>
        <v>I0193</v>
      </c>
    </row>
    <row r="7411" spans="1:6" x14ac:dyDescent="0.2">
      <c r="A7411" s="29" t="s">
        <v>18475</v>
      </c>
      <c r="B7411" s="30" t="s">
        <v>18476</v>
      </c>
      <c r="C7411" s="29" t="s">
        <v>26</v>
      </c>
      <c r="D7411" s="31">
        <v>40.65</v>
      </c>
      <c r="F7411" s="3" t="str">
        <f t="shared" si="115"/>
        <v>I0194</v>
      </c>
    </row>
    <row r="7412" spans="1:6" x14ac:dyDescent="0.2">
      <c r="A7412" s="29" t="s">
        <v>18477</v>
      </c>
      <c r="B7412" s="30" t="s">
        <v>18478</v>
      </c>
      <c r="C7412" s="29" t="s">
        <v>26</v>
      </c>
      <c r="D7412" s="31">
        <v>33.6</v>
      </c>
      <c r="F7412" s="3" t="str">
        <f t="shared" si="115"/>
        <v>I0195</v>
      </c>
    </row>
    <row r="7413" spans="1:6" x14ac:dyDescent="0.2">
      <c r="A7413" s="29" t="s">
        <v>18479</v>
      </c>
      <c r="B7413" s="30" t="s">
        <v>18480</v>
      </c>
      <c r="C7413" s="29" t="s">
        <v>26</v>
      </c>
      <c r="D7413" s="31">
        <v>40.17</v>
      </c>
      <c r="F7413" s="3" t="str">
        <f t="shared" si="115"/>
        <v>I0199</v>
      </c>
    </row>
    <row r="7414" spans="1:6" x14ac:dyDescent="0.2">
      <c r="A7414" s="29" t="s">
        <v>18481</v>
      </c>
      <c r="B7414" s="30" t="s">
        <v>18482</v>
      </c>
      <c r="C7414" s="29" t="s">
        <v>26</v>
      </c>
      <c r="D7414" s="31">
        <v>54.16</v>
      </c>
      <c r="F7414" s="3" t="str">
        <f t="shared" si="115"/>
        <v>I0200</v>
      </c>
    </row>
    <row r="7415" spans="1:6" x14ac:dyDescent="0.2">
      <c r="A7415" s="29" t="s">
        <v>18483</v>
      </c>
      <c r="B7415" s="30" t="s">
        <v>18484</v>
      </c>
      <c r="C7415" s="29" t="s">
        <v>26</v>
      </c>
      <c r="D7415" s="31">
        <v>24.41</v>
      </c>
      <c r="F7415" s="3" t="str">
        <f t="shared" si="115"/>
        <v>I0201</v>
      </c>
    </row>
    <row r="7416" spans="1:6" x14ac:dyDescent="0.2">
      <c r="A7416" s="29" t="s">
        <v>18485</v>
      </c>
      <c r="B7416" s="30" t="s">
        <v>18486</v>
      </c>
      <c r="C7416" s="29" t="s">
        <v>26</v>
      </c>
      <c r="D7416" s="31">
        <v>125.44</v>
      </c>
      <c r="F7416" s="3" t="str">
        <f t="shared" si="115"/>
        <v>I0202</v>
      </c>
    </row>
    <row r="7417" spans="1:6" x14ac:dyDescent="0.2">
      <c r="A7417" s="29" t="s">
        <v>18487</v>
      </c>
      <c r="B7417" s="30" t="s">
        <v>18488</v>
      </c>
      <c r="C7417" s="29" t="s">
        <v>26</v>
      </c>
      <c r="D7417" s="31">
        <v>125.44</v>
      </c>
      <c r="F7417" s="3" t="str">
        <f t="shared" si="115"/>
        <v>I0203</v>
      </c>
    </row>
    <row r="7418" spans="1:6" x14ac:dyDescent="0.2">
      <c r="A7418" s="29" t="s">
        <v>18489</v>
      </c>
      <c r="B7418" s="30" t="s">
        <v>18490</v>
      </c>
      <c r="C7418" s="29" t="s">
        <v>26</v>
      </c>
      <c r="D7418" s="31">
        <v>173.24</v>
      </c>
      <c r="F7418" s="3" t="str">
        <f t="shared" si="115"/>
        <v>I0204</v>
      </c>
    </row>
    <row r="7419" spans="1:6" x14ac:dyDescent="0.2">
      <c r="A7419" s="29" t="s">
        <v>18491</v>
      </c>
      <c r="B7419" s="30" t="s">
        <v>18492</v>
      </c>
      <c r="C7419" s="29" t="s">
        <v>26</v>
      </c>
      <c r="D7419" s="31">
        <v>410.95</v>
      </c>
      <c r="F7419" s="3" t="str">
        <f t="shared" si="115"/>
        <v>I0205</v>
      </c>
    </row>
    <row r="7420" spans="1:6" x14ac:dyDescent="0.2">
      <c r="A7420" s="29" t="s">
        <v>18493</v>
      </c>
      <c r="B7420" s="30" t="s">
        <v>18494</v>
      </c>
      <c r="C7420" s="29" t="s">
        <v>26</v>
      </c>
      <c r="D7420" s="31">
        <v>54.72</v>
      </c>
      <c r="F7420" s="3" t="str">
        <f t="shared" si="115"/>
        <v>I6367</v>
      </c>
    </row>
    <row r="7421" spans="1:6" x14ac:dyDescent="0.2">
      <c r="A7421" s="29" t="s">
        <v>18495</v>
      </c>
      <c r="B7421" s="30" t="s">
        <v>18496</v>
      </c>
      <c r="C7421" s="29" t="s">
        <v>26</v>
      </c>
      <c r="D7421" s="31">
        <v>296</v>
      </c>
      <c r="F7421" s="3" t="str">
        <f t="shared" si="115"/>
        <v>I7374</v>
      </c>
    </row>
    <row r="7422" spans="1:6" x14ac:dyDescent="0.2">
      <c r="A7422" s="29" t="s">
        <v>18497</v>
      </c>
      <c r="B7422" s="30" t="s">
        <v>18498</v>
      </c>
      <c r="C7422" s="29" t="s">
        <v>26</v>
      </c>
      <c r="D7422" s="31">
        <v>56.58</v>
      </c>
      <c r="F7422" s="3" t="str">
        <f t="shared" si="115"/>
        <v>I0206</v>
      </c>
    </row>
    <row r="7423" spans="1:6" x14ac:dyDescent="0.2">
      <c r="A7423" s="29" t="s">
        <v>18499</v>
      </c>
      <c r="B7423" s="30" t="s">
        <v>18500</v>
      </c>
      <c r="C7423" s="29" t="s">
        <v>26</v>
      </c>
      <c r="D7423" s="31">
        <v>147.87</v>
      </c>
      <c r="F7423" s="3" t="str">
        <f t="shared" si="115"/>
        <v>I0214</v>
      </c>
    </row>
    <row r="7424" spans="1:6" x14ac:dyDescent="0.2">
      <c r="A7424" s="29" t="s">
        <v>18501</v>
      </c>
      <c r="B7424" s="30" t="s">
        <v>18502</v>
      </c>
      <c r="C7424" s="29" t="s">
        <v>26</v>
      </c>
      <c r="D7424" s="31">
        <v>306.06</v>
      </c>
      <c r="F7424" s="3" t="str">
        <f t="shared" si="115"/>
        <v>I0222</v>
      </c>
    </row>
    <row r="7425" spans="1:6" x14ac:dyDescent="0.2">
      <c r="A7425" s="29" t="s">
        <v>18503</v>
      </c>
      <c r="B7425" s="30" t="s">
        <v>18504</v>
      </c>
      <c r="C7425" s="29" t="s">
        <v>26</v>
      </c>
      <c r="D7425" s="31">
        <v>4.8099999999999996</v>
      </c>
      <c r="F7425" s="3" t="str">
        <f t="shared" si="115"/>
        <v>I0237</v>
      </c>
    </row>
    <row r="7426" spans="1:6" x14ac:dyDescent="0.2">
      <c r="A7426" s="29" t="s">
        <v>18505</v>
      </c>
      <c r="B7426" s="30" t="s">
        <v>13295</v>
      </c>
      <c r="C7426" s="29" t="s">
        <v>26</v>
      </c>
      <c r="D7426" s="31">
        <v>312.7</v>
      </c>
      <c r="F7426" s="3" t="str">
        <f t="shared" ref="F7426:F7489" si="116">A7426</f>
        <v>I8446</v>
      </c>
    </row>
    <row r="7427" spans="1:6" x14ac:dyDescent="0.2">
      <c r="A7427" s="29" t="s">
        <v>18506</v>
      </c>
      <c r="B7427" s="30" t="s">
        <v>18507</v>
      </c>
      <c r="C7427" s="29" t="s">
        <v>26</v>
      </c>
      <c r="D7427" s="31">
        <v>157.83000000000001</v>
      </c>
      <c r="F7427" s="3" t="str">
        <f t="shared" si="116"/>
        <v>I0268</v>
      </c>
    </row>
    <row r="7428" spans="1:6" x14ac:dyDescent="0.2">
      <c r="A7428" s="29" t="s">
        <v>18508</v>
      </c>
      <c r="B7428" s="30" t="s">
        <v>18509</v>
      </c>
      <c r="C7428" s="29" t="s">
        <v>26</v>
      </c>
      <c r="D7428" s="31">
        <v>37.869999999999997</v>
      </c>
      <c r="F7428" s="3" t="str">
        <f t="shared" si="116"/>
        <v>I7408</v>
      </c>
    </row>
    <row r="7429" spans="1:6" x14ac:dyDescent="0.2">
      <c r="A7429" s="29" t="s">
        <v>18510</v>
      </c>
      <c r="B7429" s="30" t="s">
        <v>18511</v>
      </c>
      <c r="C7429" s="29" t="s">
        <v>26</v>
      </c>
      <c r="D7429" s="31">
        <v>7.28</v>
      </c>
      <c r="F7429" s="3" t="str">
        <f t="shared" si="116"/>
        <v>I6133</v>
      </c>
    </row>
    <row r="7430" spans="1:6" x14ac:dyDescent="0.2">
      <c r="A7430" s="29" t="s">
        <v>18512</v>
      </c>
      <c r="B7430" s="30" t="s">
        <v>18513</v>
      </c>
      <c r="C7430" s="29" t="s">
        <v>26</v>
      </c>
      <c r="D7430" s="31">
        <v>14.42</v>
      </c>
      <c r="F7430" s="3" t="str">
        <f t="shared" si="116"/>
        <v>I6132</v>
      </c>
    </row>
    <row r="7431" spans="1:6" x14ac:dyDescent="0.2">
      <c r="A7431" s="29" t="s">
        <v>18514</v>
      </c>
      <c r="B7431" s="30" t="s">
        <v>18515</v>
      </c>
      <c r="C7431" s="29" t="s">
        <v>26</v>
      </c>
      <c r="D7431" s="31">
        <v>34.450000000000003</v>
      </c>
      <c r="F7431" s="3" t="str">
        <f t="shared" si="116"/>
        <v>I0270</v>
      </c>
    </row>
    <row r="7432" spans="1:6" x14ac:dyDescent="0.2">
      <c r="A7432" s="29" t="s">
        <v>18516</v>
      </c>
      <c r="B7432" s="30" t="s">
        <v>18517</v>
      </c>
      <c r="C7432" s="29" t="s">
        <v>26</v>
      </c>
      <c r="D7432" s="31">
        <v>10.97</v>
      </c>
      <c r="F7432" s="3" t="str">
        <f t="shared" si="116"/>
        <v>I0271</v>
      </c>
    </row>
    <row r="7433" spans="1:6" x14ac:dyDescent="0.2">
      <c r="A7433" s="29" t="s">
        <v>18518</v>
      </c>
      <c r="B7433" s="30" t="s">
        <v>18519</v>
      </c>
      <c r="C7433" s="29" t="s">
        <v>26</v>
      </c>
      <c r="D7433" s="31">
        <v>2.67</v>
      </c>
      <c r="F7433" s="3" t="str">
        <f t="shared" si="116"/>
        <v>I0272</v>
      </c>
    </row>
    <row r="7434" spans="1:6" x14ac:dyDescent="0.2">
      <c r="A7434" s="29" t="s">
        <v>18520</v>
      </c>
      <c r="B7434" s="30" t="s">
        <v>18521</v>
      </c>
      <c r="C7434" s="29" t="s">
        <v>26</v>
      </c>
      <c r="D7434" s="31">
        <v>1.44</v>
      </c>
      <c r="F7434" s="3" t="str">
        <f t="shared" si="116"/>
        <v>I0273</v>
      </c>
    </row>
    <row r="7435" spans="1:6" x14ac:dyDescent="0.2">
      <c r="A7435" s="29" t="s">
        <v>18522</v>
      </c>
      <c r="B7435" s="30" t="s">
        <v>18523</v>
      </c>
      <c r="C7435" s="29" t="s">
        <v>26</v>
      </c>
      <c r="D7435" s="31">
        <v>4.09</v>
      </c>
      <c r="F7435" s="3" t="str">
        <f t="shared" si="116"/>
        <v>I0274</v>
      </c>
    </row>
    <row r="7436" spans="1:6" x14ac:dyDescent="0.2">
      <c r="A7436" s="29" t="s">
        <v>18524</v>
      </c>
      <c r="B7436" s="30" t="s">
        <v>18525</v>
      </c>
      <c r="C7436" s="29" t="s">
        <v>26</v>
      </c>
      <c r="D7436" s="31">
        <v>2.59</v>
      </c>
      <c r="F7436" s="3" t="str">
        <f t="shared" si="116"/>
        <v>I0275</v>
      </c>
    </row>
    <row r="7437" spans="1:6" x14ac:dyDescent="0.2">
      <c r="A7437" s="29" t="s">
        <v>18526</v>
      </c>
      <c r="B7437" s="30" t="s">
        <v>18527</v>
      </c>
      <c r="C7437" s="29" t="s">
        <v>26</v>
      </c>
      <c r="D7437" s="31">
        <v>5.25</v>
      </c>
      <c r="F7437" s="3" t="str">
        <f t="shared" si="116"/>
        <v>I0276</v>
      </c>
    </row>
    <row r="7438" spans="1:6" x14ac:dyDescent="0.2">
      <c r="A7438" s="29" t="s">
        <v>18528</v>
      </c>
      <c r="B7438" s="30" t="s">
        <v>18529</v>
      </c>
      <c r="C7438" s="29" t="s">
        <v>26</v>
      </c>
      <c r="D7438" s="31">
        <v>41.05</v>
      </c>
      <c r="F7438" s="3" t="str">
        <f t="shared" si="116"/>
        <v>I0277</v>
      </c>
    </row>
    <row r="7439" spans="1:6" x14ac:dyDescent="0.2">
      <c r="A7439" s="29" t="s">
        <v>18530</v>
      </c>
      <c r="B7439" s="30" t="s">
        <v>18531</v>
      </c>
      <c r="C7439" s="29" t="s">
        <v>26</v>
      </c>
      <c r="D7439" s="31">
        <v>41.05</v>
      </c>
      <c r="F7439" s="3" t="str">
        <f t="shared" si="116"/>
        <v>I0278</v>
      </c>
    </row>
    <row r="7440" spans="1:6" x14ac:dyDescent="0.2">
      <c r="A7440" s="29" t="s">
        <v>18532</v>
      </c>
      <c r="B7440" s="30" t="s">
        <v>18533</v>
      </c>
      <c r="C7440" s="29" t="s">
        <v>26</v>
      </c>
      <c r="D7440" s="31">
        <v>0.88</v>
      </c>
      <c r="F7440" s="3" t="str">
        <f t="shared" si="116"/>
        <v>I0288</v>
      </c>
    </row>
    <row r="7441" spans="1:6" x14ac:dyDescent="0.2">
      <c r="A7441" s="29" t="s">
        <v>18534</v>
      </c>
      <c r="B7441" s="30" t="s">
        <v>18535</v>
      </c>
      <c r="C7441" s="29" t="s">
        <v>26</v>
      </c>
      <c r="D7441" s="31">
        <v>0.74</v>
      </c>
      <c r="F7441" s="3" t="str">
        <f t="shared" si="116"/>
        <v>I0293</v>
      </c>
    </row>
    <row r="7442" spans="1:6" x14ac:dyDescent="0.2">
      <c r="A7442" s="29" t="s">
        <v>18536</v>
      </c>
      <c r="B7442" s="30" t="s">
        <v>18537</v>
      </c>
      <c r="C7442" s="29" t="s">
        <v>26</v>
      </c>
      <c r="D7442" s="31">
        <v>1.35</v>
      </c>
      <c r="F7442" s="3" t="str">
        <f t="shared" si="116"/>
        <v>I0285</v>
      </c>
    </row>
    <row r="7443" spans="1:6" x14ac:dyDescent="0.2">
      <c r="A7443" s="29" t="s">
        <v>18538</v>
      </c>
      <c r="B7443" s="30" t="s">
        <v>18539</v>
      </c>
      <c r="C7443" s="29" t="s">
        <v>26</v>
      </c>
      <c r="D7443" s="31">
        <v>1</v>
      </c>
      <c r="F7443" s="3" t="str">
        <f t="shared" si="116"/>
        <v>I0286</v>
      </c>
    </row>
    <row r="7444" spans="1:6" x14ac:dyDescent="0.2">
      <c r="A7444" s="29" t="s">
        <v>18540</v>
      </c>
      <c r="B7444" s="30" t="s">
        <v>18541</v>
      </c>
      <c r="C7444" s="29" t="s">
        <v>26</v>
      </c>
      <c r="D7444" s="31">
        <v>0.84</v>
      </c>
      <c r="F7444" s="3" t="str">
        <f t="shared" si="116"/>
        <v>I0287</v>
      </c>
    </row>
    <row r="7445" spans="1:6" x14ac:dyDescent="0.2">
      <c r="A7445" s="29" t="s">
        <v>18542</v>
      </c>
      <c r="B7445" s="30" t="s">
        <v>18543</v>
      </c>
      <c r="C7445" s="29" t="s">
        <v>26</v>
      </c>
      <c r="D7445" s="31">
        <v>3.33</v>
      </c>
      <c r="F7445" s="3" t="str">
        <f t="shared" si="116"/>
        <v>I0289</v>
      </c>
    </row>
    <row r="7446" spans="1:6" x14ac:dyDescent="0.2">
      <c r="A7446" s="29" t="s">
        <v>18544</v>
      </c>
      <c r="B7446" s="30" t="s">
        <v>18545</v>
      </c>
      <c r="C7446" s="29" t="s">
        <v>26</v>
      </c>
      <c r="D7446" s="31">
        <v>2.74</v>
      </c>
      <c r="F7446" s="3" t="str">
        <f t="shared" si="116"/>
        <v>I0290</v>
      </c>
    </row>
    <row r="7447" spans="1:6" x14ac:dyDescent="0.2">
      <c r="A7447" s="29" t="s">
        <v>18546</v>
      </c>
      <c r="B7447" s="30" t="s">
        <v>18547</v>
      </c>
      <c r="C7447" s="29" t="s">
        <v>26</v>
      </c>
      <c r="D7447" s="31">
        <v>10.9</v>
      </c>
      <c r="F7447" s="3" t="str">
        <f t="shared" si="116"/>
        <v>I0291</v>
      </c>
    </row>
    <row r="7448" spans="1:6" x14ac:dyDescent="0.2">
      <c r="A7448" s="29" t="s">
        <v>18548</v>
      </c>
      <c r="B7448" s="30" t="s">
        <v>18549</v>
      </c>
      <c r="C7448" s="29" t="s">
        <v>26</v>
      </c>
      <c r="D7448" s="31">
        <v>6.4</v>
      </c>
      <c r="F7448" s="3" t="str">
        <f t="shared" si="116"/>
        <v>I0292</v>
      </c>
    </row>
    <row r="7449" spans="1:6" x14ac:dyDescent="0.2">
      <c r="A7449" s="29" t="s">
        <v>18550</v>
      </c>
      <c r="B7449" s="30" t="s">
        <v>18551</v>
      </c>
      <c r="C7449" s="29" t="s">
        <v>26</v>
      </c>
      <c r="D7449" s="31">
        <v>6.53</v>
      </c>
      <c r="F7449" s="3" t="str">
        <f t="shared" si="116"/>
        <v>I0294</v>
      </c>
    </row>
    <row r="7450" spans="1:6" x14ac:dyDescent="0.2">
      <c r="A7450" s="29" t="s">
        <v>18552</v>
      </c>
      <c r="B7450" s="30" t="s">
        <v>18553</v>
      </c>
      <c r="C7450" s="29" t="s">
        <v>26</v>
      </c>
      <c r="D7450" s="31">
        <v>6.98</v>
      </c>
      <c r="F7450" s="3" t="str">
        <f t="shared" si="116"/>
        <v>I0332</v>
      </c>
    </row>
    <row r="7451" spans="1:6" x14ac:dyDescent="0.2">
      <c r="A7451" s="29" t="s">
        <v>18554</v>
      </c>
      <c r="B7451" s="30" t="s">
        <v>18555</v>
      </c>
      <c r="C7451" s="29" t="s">
        <v>0</v>
      </c>
      <c r="D7451" s="31">
        <v>4.53</v>
      </c>
      <c r="F7451" s="3" t="str">
        <f t="shared" si="116"/>
        <v>I6399</v>
      </c>
    </row>
    <row r="7452" spans="1:6" x14ac:dyDescent="0.2">
      <c r="A7452" s="29" t="s">
        <v>18556</v>
      </c>
      <c r="B7452" s="30" t="s">
        <v>18557</v>
      </c>
      <c r="C7452" s="29" t="s">
        <v>0</v>
      </c>
      <c r="D7452" s="31">
        <v>49.74</v>
      </c>
      <c r="F7452" s="3" t="str">
        <f t="shared" si="116"/>
        <v>I0461</v>
      </c>
    </row>
    <row r="7453" spans="1:6" x14ac:dyDescent="0.2">
      <c r="A7453" s="29" t="s">
        <v>18558</v>
      </c>
      <c r="B7453" s="30" t="s">
        <v>12331</v>
      </c>
      <c r="C7453" s="29" t="s">
        <v>0</v>
      </c>
      <c r="D7453" s="31">
        <v>9.94</v>
      </c>
      <c r="F7453" s="3" t="str">
        <f t="shared" si="116"/>
        <v>I0336</v>
      </c>
    </row>
    <row r="7454" spans="1:6" x14ac:dyDescent="0.2">
      <c r="A7454" s="29" t="s">
        <v>18559</v>
      </c>
      <c r="B7454" s="30" t="s">
        <v>18560</v>
      </c>
      <c r="C7454" s="29" t="s">
        <v>0</v>
      </c>
      <c r="D7454" s="31">
        <v>126.35</v>
      </c>
      <c r="F7454" s="3" t="str">
        <f t="shared" si="116"/>
        <v>I0337</v>
      </c>
    </row>
    <row r="7455" spans="1:6" x14ac:dyDescent="0.2">
      <c r="A7455" s="29" t="s">
        <v>18561</v>
      </c>
      <c r="B7455" s="30" t="s">
        <v>12333</v>
      </c>
      <c r="C7455" s="29" t="s">
        <v>0</v>
      </c>
      <c r="D7455" s="31">
        <v>16.63</v>
      </c>
      <c r="F7455" s="3" t="str">
        <f t="shared" si="116"/>
        <v>I0365</v>
      </c>
    </row>
    <row r="7456" spans="1:6" x14ac:dyDescent="0.2">
      <c r="A7456" s="29" t="s">
        <v>18562</v>
      </c>
      <c r="B7456" s="30" t="s">
        <v>12335</v>
      </c>
      <c r="C7456" s="29" t="s">
        <v>0</v>
      </c>
      <c r="D7456" s="31">
        <v>23.71</v>
      </c>
      <c r="F7456" s="3" t="str">
        <f t="shared" si="116"/>
        <v>I0338</v>
      </c>
    </row>
    <row r="7457" spans="1:6" x14ac:dyDescent="0.2">
      <c r="A7457" s="29" t="s">
        <v>18563</v>
      </c>
      <c r="B7457" s="30" t="s">
        <v>12337</v>
      </c>
      <c r="C7457" s="29" t="s">
        <v>0</v>
      </c>
      <c r="D7457" s="31">
        <v>34.909999999999997</v>
      </c>
      <c r="F7457" s="3" t="str">
        <f t="shared" si="116"/>
        <v>I0339</v>
      </c>
    </row>
    <row r="7458" spans="1:6" x14ac:dyDescent="0.2">
      <c r="A7458" s="29" t="s">
        <v>18564</v>
      </c>
      <c r="B7458" s="30" t="s">
        <v>12329</v>
      </c>
      <c r="C7458" s="29" t="s">
        <v>0</v>
      </c>
      <c r="D7458" s="31">
        <v>7.5</v>
      </c>
      <c r="F7458" s="3" t="str">
        <f t="shared" si="116"/>
        <v>I0340</v>
      </c>
    </row>
    <row r="7459" spans="1:6" x14ac:dyDescent="0.2">
      <c r="A7459" s="29" t="s">
        <v>18565</v>
      </c>
      <c r="B7459" s="30" t="s">
        <v>12341</v>
      </c>
      <c r="C7459" s="29" t="s">
        <v>0</v>
      </c>
      <c r="D7459" s="31">
        <v>65.7</v>
      </c>
      <c r="F7459" s="3" t="str">
        <f t="shared" si="116"/>
        <v>I0341</v>
      </c>
    </row>
    <row r="7460" spans="1:6" x14ac:dyDescent="0.2">
      <c r="A7460" s="29" t="s">
        <v>18566</v>
      </c>
      <c r="B7460" s="30" t="s">
        <v>12345</v>
      </c>
      <c r="C7460" s="29" t="s">
        <v>0</v>
      </c>
      <c r="D7460" s="31">
        <v>5.04</v>
      </c>
      <c r="F7460" s="3" t="str">
        <f t="shared" si="116"/>
        <v>I8438</v>
      </c>
    </row>
    <row r="7461" spans="1:6" x14ac:dyDescent="0.2">
      <c r="A7461" s="29" t="s">
        <v>18567</v>
      </c>
      <c r="B7461" s="30" t="s">
        <v>18568</v>
      </c>
      <c r="C7461" s="29" t="s">
        <v>0</v>
      </c>
      <c r="D7461" s="31">
        <v>7.59</v>
      </c>
      <c r="F7461" s="3" t="str">
        <f t="shared" si="116"/>
        <v>I7375</v>
      </c>
    </row>
    <row r="7462" spans="1:6" ht="22.5" x14ac:dyDescent="0.2">
      <c r="A7462" s="29" t="s">
        <v>18569</v>
      </c>
      <c r="B7462" s="30" t="s">
        <v>18570</v>
      </c>
      <c r="C7462" s="29" t="s">
        <v>0</v>
      </c>
      <c r="D7462" s="31">
        <v>268.16000000000003</v>
      </c>
      <c r="F7462" s="3" t="str">
        <f t="shared" si="116"/>
        <v>I9415</v>
      </c>
    </row>
    <row r="7463" spans="1:6" x14ac:dyDescent="0.2">
      <c r="A7463" s="29" t="s">
        <v>18571</v>
      </c>
      <c r="B7463" s="30" t="s">
        <v>18572</v>
      </c>
      <c r="C7463" s="29" t="s">
        <v>0</v>
      </c>
      <c r="D7463" s="31">
        <v>3.84</v>
      </c>
      <c r="F7463" s="3" t="str">
        <f t="shared" si="116"/>
        <v>I6816</v>
      </c>
    </row>
    <row r="7464" spans="1:6" x14ac:dyDescent="0.2">
      <c r="A7464" s="29" t="s">
        <v>18573</v>
      </c>
      <c r="B7464" s="30" t="s">
        <v>18574</v>
      </c>
      <c r="C7464" s="29" t="s">
        <v>0</v>
      </c>
      <c r="D7464" s="31">
        <v>5.04</v>
      </c>
      <c r="F7464" s="3" t="str">
        <f t="shared" si="116"/>
        <v>I6817</v>
      </c>
    </row>
    <row r="7465" spans="1:6" x14ac:dyDescent="0.2">
      <c r="A7465" s="29" t="s">
        <v>18575</v>
      </c>
      <c r="B7465" s="30" t="s">
        <v>18576</v>
      </c>
      <c r="C7465" s="29" t="s">
        <v>0</v>
      </c>
      <c r="D7465" s="31">
        <v>5.3</v>
      </c>
      <c r="F7465" s="3" t="str">
        <f t="shared" si="116"/>
        <v>I6818</v>
      </c>
    </row>
    <row r="7466" spans="1:6" x14ac:dyDescent="0.2">
      <c r="A7466" s="29" t="s">
        <v>18577</v>
      </c>
      <c r="B7466" s="30" t="s">
        <v>18578</v>
      </c>
      <c r="C7466" s="29" t="s">
        <v>0</v>
      </c>
      <c r="D7466" s="31">
        <v>5.71</v>
      </c>
      <c r="F7466" s="3" t="str">
        <f t="shared" si="116"/>
        <v>I6819</v>
      </c>
    </row>
    <row r="7467" spans="1:6" x14ac:dyDescent="0.2">
      <c r="A7467" s="29" t="s">
        <v>18579</v>
      </c>
      <c r="B7467" s="30" t="s">
        <v>18580</v>
      </c>
      <c r="C7467" s="29" t="s">
        <v>0</v>
      </c>
      <c r="D7467" s="31">
        <v>7.46</v>
      </c>
      <c r="F7467" s="3" t="str">
        <f t="shared" si="116"/>
        <v>I0366</v>
      </c>
    </row>
    <row r="7468" spans="1:6" x14ac:dyDescent="0.2">
      <c r="A7468" s="29" t="s">
        <v>18581</v>
      </c>
      <c r="B7468" s="30" t="s">
        <v>18582</v>
      </c>
      <c r="C7468" s="29" t="s">
        <v>0</v>
      </c>
      <c r="D7468" s="31">
        <v>82.12</v>
      </c>
      <c r="F7468" s="3" t="str">
        <f t="shared" si="116"/>
        <v>I0367</v>
      </c>
    </row>
    <row r="7469" spans="1:6" x14ac:dyDescent="0.2">
      <c r="A7469" s="29" t="s">
        <v>18583</v>
      </c>
      <c r="B7469" s="30" t="s">
        <v>18584</v>
      </c>
      <c r="C7469" s="29" t="s">
        <v>0</v>
      </c>
      <c r="D7469" s="31">
        <v>101.75</v>
      </c>
      <c r="F7469" s="3" t="str">
        <f t="shared" si="116"/>
        <v>I0368</v>
      </c>
    </row>
    <row r="7470" spans="1:6" x14ac:dyDescent="0.2">
      <c r="A7470" s="29" t="s">
        <v>18585</v>
      </c>
      <c r="B7470" s="30" t="s">
        <v>18586</v>
      </c>
      <c r="C7470" s="29" t="s">
        <v>0</v>
      </c>
      <c r="D7470" s="31">
        <v>11.47</v>
      </c>
      <c r="F7470" s="3" t="str">
        <f t="shared" si="116"/>
        <v>I0369</v>
      </c>
    </row>
    <row r="7471" spans="1:6" x14ac:dyDescent="0.2">
      <c r="A7471" s="29" t="s">
        <v>18587</v>
      </c>
      <c r="B7471" s="30" t="s">
        <v>18588</v>
      </c>
      <c r="C7471" s="29" t="s">
        <v>0</v>
      </c>
      <c r="D7471" s="31">
        <v>124.73</v>
      </c>
      <c r="F7471" s="3" t="str">
        <f t="shared" si="116"/>
        <v>I0370</v>
      </c>
    </row>
    <row r="7472" spans="1:6" x14ac:dyDescent="0.2">
      <c r="A7472" s="29" t="s">
        <v>18589</v>
      </c>
      <c r="B7472" s="30" t="s">
        <v>18590</v>
      </c>
      <c r="C7472" s="29" t="s">
        <v>0</v>
      </c>
      <c r="D7472" s="31">
        <v>2.37</v>
      </c>
      <c r="F7472" s="3" t="str">
        <f t="shared" si="116"/>
        <v>I8229</v>
      </c>
    </row>
    <row r="7473" spans="1:6" x14ac:dyDescent="0.2">
      <c r="A7473" s="29" t="s">
        <v>18591</v>
      </c>
      <c r="B7473" s="30" t="s">
        <v>18592</v>
      </c>
      <c r="C7473" s="29" t="s">
        <v>0</v>
      </c>
      <c r="D7473" s="31">
        <v>164.26</v>
      </c>
      <c r="F7473" s="3" t="str">
        <f t="shared" si="116"/>
        <v>I0371</v>
      </c>
    </row>
    <row r="7474" spans="1:6" x14ac:dyDescent="0.2">
      <c r="A7474" s="29" t="s">
        <v>18593</v>
      </c>
      <c r="B7474" s="30" t="s">
        <v>18594</v>
      </c>
      <c r="C7474" s="29" t="s">
        <v>0</v>
      </c>
      <c r="D7474" s="31">
        <v>17.440000000000001</v>
      </c>
      <c r="F7474" s="3" t="str">
        <f t="shared" si="116"/>
        <v>I0372</v>
      </c>
    </row>
    <row r="7475" spans="1:6" x14ac:dyDescent="0.2">
      <c r="A7475" s="29" t="s">
        <v>18595</v>
      </c>
      <c r="B7475" s="30" t="s">
        <v>12375</v>
      </c>
      <c r="C7475" s="29" t="s">
        <v>0</v>
      </c>
      <c r="D7475" s="31">
        <v>205.56</v>
      </c>
      <c r="F7475" s="3" t="str">
        <f t="shared" si="116"/>
        <v>I9074</v>
      </c>
    </row>
    <row r="7476" spans="1:6" x14ac:dyDescent="0.2">
      <c r="A7476" s="29" t="s">
        <v>18596</v>
      </c>
      <c r="B7476" s="30" t="s">
        <v>18597</v>
      </c>
      <c r="C7476" s="29" t="s">
        <v>0</v>
      </c>
      <c r="D7476" s="31">
        <v>24.05</v>
      </c>
      <c r="F7476" s="3" t="str">
        <f t="shared" si="116"/>
        <v>I0373</v>
      </c>
    </row>
    <row r="7477" spans="1:6" x14ac:dyDescent="0.2">
      <c r="A7477" s="29" t="s">
        <v>18598</v>
      </c>
      <c r="B7477" s="30" t="s">
        <v>18599</v>
      </c>
      <c r="C7477" s="29" t="s">
        <v>0</v>
      </c>
      <c r="D7477" s="31">
        <v>3.41</v>
      </c>
      <c r="F7477" s="3" t="str">
        <f t="shared" si="116"/>
        <v>I0374</v>
      </c>
    </row>
    <row r="7478" spans="1:6" x14ac:dyDescent="0.2">
      <c r="A7478" s="29" t="s">
        <v>18600</v>
      </c>
      <c r="B7478" s="30" t="s">
        <v>18601</v>
      </c>
      <c r="C7478" s="29" t="s">
        <v>0</v>
      </c>
      <c r="D7478" s="31">
        <v>34.28</v>
      </c>
      <c r="F7478" s="3" t="str">
        <f t="shared" si="116"/>
        <v>I0331</v>
      </c>
    </row>
    <row r="7479" spans="1:6" x14ac:dyDescent="0.2">
      <c r="A7479" s="29" t="s">
        <v>18602</v>
      </c>
      <c r="B7479" s="30" t="s">
        <v>18603</v>
      </c>
      <c r="C7479" s="29" t="s">
        <v>0</v>
      </c>
      <c r="D7479" s="31">
        <v>4.66</v>
      </c>
      <c r="F7479" s="3" t="str">
        <f t="shared" si="116"/>
        <v>I0375</v>
      </c>
    </row>
    <row r="7480" spans="1:6" x14ac:dyDescent="0.2">
      <c r="A7480" s="29" t="s">
        <v>18604</v>
      </c>
      <c r="B7480" s="30" t="s">
        <v>18605</v>
      </c>
      <c r="C7480" s="29" t="s">
        <v>0</v>
      </c>
      <c r="D7480" s="31">
        <v>47.49</v>
      </c>
      <c r="F7480" s="3" t="str">
        <f t="shared" si="116"/>
        <v>I0376</v>
      </c>
    </row>
    <row r="7481" spans="1:6" x14ac:dyDescent="0.2">
      <c r="A7481" s="29" t="s">
        <v>18606</v>
      </c>
      <c r="B7481" s="30" t="s">
        <v>18607</v>
      </c>
      <c r="C7481" s="29" t="s">
        <v>0</v>
      </c>
      <c r="D7481" s="31">
        <v>63.09</v>
      </c>
      <c r="F7481" s="3" t="str">
        <f t="shared" si="116"/>
        <v>I0377</v>
      </c>
    </row>
    <row r="7482" spans="1:6" x14ac:dyDescent="0.2">
      <c r="A7482" s="29" t="s">
        <v>18608</v>
      </c>
      <c r="B7482" s="30" t="s">
        <v>18609</v>
      </c>
      <c r="C7482" s="29" t="s">
        <v>0</v>
      </c>
      <c r="D7482" s="31">
        <v>121.58</v>
      </c>
      <c r="F7482" s="3" t="str">
        <f t="shared" si="116"/>
        <v>I8374</v>
      </c>
    </row>
    <row r="7483" spans="1:6" x14ac:dyDescent="0.2">
      <c r="A7483" s="29" t="s">
        <v>18610</v>
      </c>
      <c r="B7483" s="30" t="s">
        <v>18611</v>
      </c>
      <c r="C7483" s="29" t="s">
        <v>0</v>
      </c>
      <c r="D7483" s="31">
        <v>192.17</v>
      </c>
      <c r="F7483" s="3" t="str">
        <f t="shared" si="116"/>
        <v>I6178</v>
      </c>
    </row>
    <row r="7484" spans="1:6" x14ac:dyDescent="0.2">
      <c r="A7484" s="29" t="s">
        <v>18612</v>
      </c>
      <c r="B7484" s="30" t="s">
        <v>18613</v>
      </c>
      <c r="C7484" s="29" t="s">
        <v>0</v>
      </c>
      <c r="D7484" s="31">
        <v>50.83</v>
      </c>
      <c r="F7484" s="3" t="str">
        <f t="shared" si="116"/>
        <v>I7429</v>
      </c>
    </row>
    <row r="7485" spans="1:6" x14ac:dyDescent="0.2">
      <c r="A7485" s="29" t="s">
        <v>18614</v>
      </c>
      <c r="B7485" s="30" t="s">
        <v>18615</v>
      </c>
      <c r="C7485" s="29" t="s">
        <v>0</v>
      </c>
      <c r="D7485" s="31">
        <v>52.6</v>
      </c>
      <c r="F7485" s="3" t="str">
        <f t="shared" si="116"/>
        <v>I8373</v>
      </c>
    </row>
    <row r="7486" spans="1:6" x14ac:dyDescent="0.2">
      <c r="A7486" s="29" t="s">
        <v>18616</v>
      </c>
      <c r="B7486" s="30" t="s">
        <v>18617</v>
      </c>
      <c r="C7486" s="29" t="s">
        <v>0</v>
      </c>
      <c r="D7486" s="31">
        <v>73.260000000000005</v>
      </c>
      <c r="F7486" s="3" t="str">
        <f t="shared" si="116"/>
        <v>I6162</v>
      </c>
    </row>
    <row r="7487" spans="1:6" x14ac:dyDescent="0.2">
      <c r="A7487" s="29" t="s">
        <v>18618</v>
      </c>
      <c r="B7487" s="30" t="s">
        <v>18619</v>
      </c>
      <c r="C7487" s="29" t="s">
        <v>0</v>
      </c>
      <c r="D7487" s="31">
        <v>11.37</v>
      </c>
      <c r="F7487" s="3" t="str">
        <f t="shared" si="116"/>
        <v>I0342</v>
      </c>
    </row>
    <row r="7488" spans="1:6" x14ac:dyDescent="0.2">
      <c r="A7488" s="29" t="s">
        <v>18620</v>
      </c>
      <c r="B7488" s="30" t="s">
        <v>18621</v>
      </c>
      <c r="C7488" s="29" t="s">
        <v>0</v>
      </c>
      <c r="D7488" s="31">
        <v>17.38</v>
      </c>
      <c r="F7488" s="3" t="str">
        <f t="shared" si="116"/>
        <v>I0347</v>
      </c>
    </row>
    <row r="7489" spans="1:6" x14ac:dyDescent="0.2">
      <c r="A7489" s="29" t="s">
        <v>18622</v>
      </c>
      <c r="B7489" s="30" t="s">
        <v>18623</v>
      </c>
      <c r="C7489" s="29" t="s">
        <v>0</v>
      </c>
      <c r="D7489" s="31">
        <v>23.62</v>
      </c>
      <c r="F7489" s="3" t="str">
        <f t="shared" si="116"/>
        <v>I0349</v>
      </c>
    </row>
    <row r="7490" spans="1:6" x14ac:dyDescent="0.2">
      <c r="A7490" s="29" t="s">
        <v>18624</v>
      </c>
      <c r="B7490" s="30" t="s">
        <v>18625</v>
      </c>
      <c r="C7490" s="29" t="s">
        <v>0</v>
      </c>
      <c r="D7490" s="31">
        <v>79.72</v>
      </c>
      <c r="F7490" s="3" t="str">
        <f t="shared" ref="F7490:F7553" si="117">A7490</f>
        <v>I0343</v>
      </c>
    </row>
    <row r="7491" spans="1:6" x14ac:dyDescent="0.2">
      <c r="A7491" s="29" t="s">
        <v>18626</v>
      </c>
      <c r="B7491" s="30" t="s">
        <v>18627</v>
      </c>
      <c r="C7491" s="29" t="s">
        <v>0</v>
      </c>
      <c r="D7491" s="31">
        <v>99.49</v>
      </c>
      <c r="F7491" s="3" t="str">
        <f t="shared" si="117"/>
        <v>I0344</v>
      </c>
    </row>
    <row r="7492" spans="1:6" x14ac:dyDescent="0.2">
      <c r="A7492" s="29" t="s">
        <v>18628</v>
      </c>
      <c r="B7492" s="30" t="s">
        <v>18629</v>
      </c>
      <c r="C7492" s="29" t="s">
        <v>0</v>
      </c>
      <c r="D7492" s="31">
        <v>122.11</v>
      </c>
      <c r="F7492" s="3" t="str">
        <f t="shared" si="117"/>
        <v>I0345</v>
      </c>
    </row>
    <row r="7493" spans="1:6" x14ac:dyDescent="0.2">
      <c r="A7493" s="29" t="s">
        <v>18630</v>
      </c>
      <c r="B7493" s="30" t="s">
        <v>18631</v>
      </c>
      <c r="C7493" s="29" t="s">
        <v>0</v>
      </c>
      <c r="D7493" s="31">
        <v>161.35</v>
      </c>
      <c r="F7493" s="3" t="str">
        <f t="shared" si="117"/>
        <v>I0346</v>
      </c>
    </row>
    <row r="7494" spans="1:6" x14ac:dyDescent="0.2">
      <c r="A7494" s="29" t="s">
        <v>18632</v>
      </c>
      <c r="B7494" s="30" t="s">
        <v>18633</v>
      </c>
      <c r="C7494" s="29" t="s">
        <v>0</v>
      </c>
      <c r="D7494" s="31">
        <v>199.69</v>
      </c>
      <c r="F7494" s="3" t="str">
        <f t="shared" si="117"/>
        <v>I0348</v>
      </c>
    </row>
    <row r="7495" spans="1:6" x14ac:dyDescent="0.2">
      <c r="A7495" s="29" t="s">
        <v>18634</v>
      </c>
      <c r="B7495" s="30" t="s">
        <v>18635</v>
      </c>
      <c r="C7495" s="29" t="s">
        <v>0</v>
      </c>
      <c r="D7495" s="31">
        <v>258.36</v>
      </c>
      <c r="F7495" s="3" t="str">
        <f t="shared" si="117"/>
        <v>I0350</v>
      </c>
    </row>
    <row r="7496" spans="1:6" x14ac:dyDescent="0.2">
      <c r="A7496" s="29" t="s">
        <v>18636</v>
      </c>
      <c r="B7496" s="30" t="s">
        <v>18637</v>
      </c>
      <c r="C7496" s="29" t="s">
        <v>0</v>
      </c>
      <c r="D7496" s="31">
        <v>320.12</v>
      </c>
      <c r="F7496" s="3" t="str">
        <f t="shared" si="117"/>
        <v>I0351</v>
      </c>
    </row>
    <row r="7497" spans="1:6" x14ac:dyDescent="0.2">
      <c r="A7497" s="29" t="s">
        <v>18638</v>
      </c>
      <c r="B7497" s="30" t="s">
        <v>18639</v>
      </c>
      <c r="C7497" s="29" t="s">
        <v>0</v>
      </c>
      <c r="D7497" s="31">
        <v>33.5</v>
      </c>
      <c r="F7497" s="3" t="str">
        <f t="shared" si="117"/>
        <v>I0352</v>
      </c>
    </row>
    <row r="7498" spans="1:6" x14ac:dyDescent="0.2">
      <c r="A7498" s="29" t="s">
        <v>18640</v>
      </c>
      <c r="B7498" s="30" t="s">
        <v>18641</v>
      </c>
      <c r="C7498" s="29" t="s">
        <v>0</v>
      </c>
      <c r="D7498" s="31">
        <v>46.27</v>
      </c>
      <c r="F7498" s="3" t="str">
        <f t="shared" si="117"/>
        <v>I0353</v>
      </c>
    </row>
    <row r="7499" spans="1:6" x14ac:dyDescent="0.2">
      <c r="A7499" s="29" t="s">
        <v>18642</v>
      </c>
      <c r="B7499" s="30" t="s">
        <v>18643</v>
      </c>
      <c r="C7499" s="29" t="s">
        <v>0</v>
      </c>
      <c r="D7499" s="31">
        <v>62.69</v>
      </c>
      <c r="F7499" s="3" t="str">
        <f t="shared" si="117"/>
        <v>I0354</v>
      </c>
    </row>
    <row r="7500" spans="1:6" x14ac:dyDescent="0.2">
      <c r="A7500" s="29" t="s">
        <v>18644</v>
      </c>
      <c r="B7500" s="30" t="s">
        <v>12389</v>
      </c>
      <c r="C7500" s="29" t="s">
        <v>0</v>
      </c>
      <c r="D7500" s="31">
        <v>9.33</v>
      </c>
      <c r="F7500" s="3" t="str">
        <f t="shared" si="117"/>
        <v>I0355</v>
      </c>
    </row>
    <row r="7501" spans="1:6" x14ac:dyDescent="0.2">
      <c r="A7501" s="29" t="s">
        <v>18645</v>
      </c>
      <c r="B7501" s="30" t="s">
        <v>18646</v>
      </c>
      <c r="C7501" s="29" t="s">
        <v>0</v>
      </c>
      <c r="D7501" s="31">
        <v>2.11</v>
      </c>
      <c r="F7501" s="3" t="str">
        <f t="shared" si="117"/>
        <v>I0356</v>
      </c>
    </row>
    <row r="7502" spans="1:6" x14ac:dyDescent="0.2">
      <c r="A7502" s="29" t="s">
        <v>18647</v>
      </c>
      <c r="B7502" s="30" t="s">
        <v>12385</v>
      </c>
      <c r="C7502" s="29" t="s">
        <v>0</v>
      </c>
      <c r="D7502" s="31">
        <v>3.5</v>
      </c>
      <c r="F7502" s="3" t="str">
        <f t="shared" si="117"/>
        <v>I0357</v>
      </c>
    </row>
    <row r="7503" spans="1:6" x14ac:dyDescent="0.2">
      <c r="A7503" s="29" t="s">
        <v>18648</v>
      </c>
      <c r="B7503" s="30" t="s">
        <v>12387</v>
      </c>
      <c r="C7503" s="29" t="s">
        <v>0</v>
      </c>
      <c r="D7503" s="31">
        <v>4.16</v>
      </c>
      <c r="F7503" s="3" t="str">
        <f t="shared" si="117"/>
        <v>I0358</v>
      </c>
    </row>
    <row r="7504" spans="1:6" x14ac:dyDescent="0.2">
      <c r="A7504" s="29" t="s">
        <v>18649</v>
      </c>
      <c r="B7504" s="30" t="s">
        <v>18650</v>
      </c>
      <c r="C7504" s="29" t="s">
        <v>0</v>
      </c>
      <c r="D7504" s="31">
        <v>1.53</v>
      </c>
      <c r="F7504" s="3" t="str">
        <f t="shared" si="117"/>
        <v>I0359</v>
      </c>
    </row>
    <row r="7505" spans="1:6" x14ac:dyDescent="0.2">
      <c r="A7505" s="29" t="s">
        <v>18651</v>
      </c>
      <c r="B7505" s="30" t="s">
        <v>18652</v>
      </c>
      <c r="C7505" s="29" t="s">
        <v>0</v>
      </c>
      <c r="D7505" s="31">
        <v>1.91</v>
      </c>
      <c r="F7505" s="3" t="str">
        <f t="shared" si="117"/>
        <v>I0360</v>
      </c>
    </row>
    <row r="7506" spans="1:6" x14ac:dyDescent="0.2">
      <c r="A7506" s="29" t="s">
        <v>18653</v>
      </c>
      <c r="B7506" s="30" t="s">
        <v>18654</v>
      </c>
      <c r="C7506" s="29" t="s">
        <v>0</v>
      </c>
      <c r="D7506" s="31">
        <v>2.37</v>
      </c>
      <c r="F7506" s="3" t="str">
        <f t="shared" si="117"/>
        <v>I0361</v>
      </c>
    </row>
    <row r="7507" spans="1:6" x14ac:dyDescent="0.2">
      <c r="A7507" s="29" t="s">
        <v>18655</v>
      </c>
      <c r="B7507" s="30" t="s">
        <v>18656</v>
      </c>
      <c r="C7507" s="29" t="s">
        <v>0</v>
      </c>
      <c r="D7507" s="31">
        <v>1.79</v>
      </c>
      <c r="F7507" s="3" t="str">
        <f t="shared" si="117"/>
        <v>I0362</v>
      </c>
    </row>
    <row r="7508" spans="1:6" x14ac:dyDescent="0.2">
      <c r="A7508" s="29" t="s">
        <v>18657</v>
      </c>
      <c r="B7508" s="30" t="s">
        <v>18658</v>
      </c>
      <c r="C7508" s="29" t="s">
        <v>0</v>
      </c>
      <c r="D7508" s="31">
        <v>1.81</v>
      </c>
      <c r="F7508" s="3" t="str">
        <f t="shared" si="117"/>
        <v>I0363</v>
      </c>
    </row>
    <row r="7509" spans="1:6" x14ac:dyDescent="0.2">
      <c r="A7509" s="29" t="s">
        <v>18659</v>
      </c>
      <c r="B7509" s="30" t="s">
        <v>18660</v>
      </c>
      <c r="C7509" s="29" t="s">
        <v>0</v>
      </c>
      <c r="D7509" s="31">
        <v>2.5</v>
      </c>
      <c r="F7509" s="3" t="str">
        <f t="shared" si="117"/>
        <v>I0364</v>
      </c>
    </row>
    <row r="7510" spans="1:6" x14ac:dyDescent="0.2">
      <c r="A7510" s="29" t="s">
        <v>18661</v>
      </c>
      <c r="B7510" s="30" t="s">
        <v>18662</v>
      </c>
      <c r="C7510" s="29" t="s">
        <v>0</v>
      </c>
      <c r="D7510" s="31">
        <v>3.05</v>
      </c>
      <c r="F7510" s="3" t="str">
        <f t="shared" si="117"/>
        <v>I8368</v>
      </c>
    </row>
    <row r="7511" spans="1:6" x14ac:dyDescent="0.2">
      <c r="A7511" s="29" t="s">
        <v>18663</v>
      </c>
      <c r="B7511" s="30" t="s">
        <v>12425</v>
      </c>
      <c r="C7511" s="29" t="s">
        <v>0</v>
      </c>
      <c r="D7511" s="31">
        <v>71.55</v>
      </c>
      <c r="F7511" s="3" t="str">
        <f t="shared" si="117"/>
        <v>I8369</v>
      </c>
    </row>
    <row r="7512" spans="1:6" x14ac:dyDescent="0.2">
      <c r="A7512" s="29" t="s">
        <v>18664</v>
      </c>
      <c r="B7512" s="30" t="s">
        <v>18665</v>
      </c>
      <c r="C7512" s="29" t="s">
        <v>0</v>
      </c>
      <c r="D7512" s="31">
        <v>8.68</v>
      </c>
      <c r="F7512" s="3" t="str">
        <f t="shared" si="117"/>
        <v>I6796</v>
      </c>
    </row>
    <row r="7513" spans="1:6" x14ac:dyDescent="0.2">
      <c r="A7513" s="29" t="s">
        <v>18666</v>
      </c>
      <c r="B7513" s="30" t="s">
        <v>18667</v>
      </c>
      <c r="C7513" s="29" t="s">
        <v>0</v>
      </c>
      <c r="D7513" s="31">
        <v>4.21</v>
      </c>
      <c r="F7513" s="3" t="str">
        <f t="shared" si="117"/>
        <v>I0379</v>
      </c>
    </row>
    <row r="7514" spans="1:6" x14ac:dyDescent="0.2">
      <c r="A7514" s="29" t="s">
        <v>18668</v>
      </c>
      <c r="B7514" s="30" t="s">
        <v>18669</v>
      </c>
      <c r="C7514" s="29" t="s">
        <v>0</v>
      </c>
      <c r="D7514" s="31">
        <v>4.8499999999999996</v>
      </c>
      <c r="F7514" s="3" t="str">
        <f t="shared" si="117"/>
        <v>I0380</v>
      </c>
    </row>
    <row r="7515" spans="1:6" x14ac:dyDescent="0.2">
      <c r="A7515" s="29" t="s">
        <v>18670</v>
      </c>
      <c r="B7515" s="30" t="s">
        <v>18671</v>
      </c>
      <c r="C7515" s="29" t="s">
        <v>0</v>
      </c>
      <c r="D7515" s="31">
        <v>0.73</v>
      </c>
      <c r="F7515" s="3" t="str">
        <f t="shared" si="117"/>
        <v>I0381</v>
      </c>
    </row>
    <row r="7516" spans="1:6" x14ac:dyDescent="0.2">
      <c r="A7516" s="29" t="s">
        <v>18672</v>
      </c>
      <c r="B7516" s="30" t="s">
        <v>18673</v>
      </c>
      <c r="C7516" s="29" t="s">
        <v>0</v>
      </c>
      <c r="D7516" s="31">
        <v>1.4</v>
      </c>
      <c r="F7516" s="3" t="str">
        <f t="shared" si="117"/>
        <v>I0382</v>
      </c>
    </row>
    <row r="7517" spans="1:6" x14ac:dyDescent="0.2">
      <c r="A7517" s="29" t="s">
        <v>18674</v>
      </c>
      <c r="B7517" s="30" t="s">
        <v>18675</v>
      </c>
      <c r="C7517" s="29" t="s">
        <v>0</v>
      </c>
      <c r="D7517" s="31">
        <v>1.48</v>
      </c>
      <c r="F7517" s="3" t="str">
        <f t="shared" si="117"/>
        <v>I0383</v>
      </c>
    </row>
    <row r="7518" spans="1:6" x14ac:dyDescent="0.2">
      <c r="A7518" s="29" t="s">
        <v>18676</v>
      </c>
      <c r="B7518" s="30" t="s">
        <v>18677</v>
      </c>
      <c r="C7518" s="29" t="s">
        <v>0</v>
      </c>
      <c r="D7518" s="31">
        <v>2.25</v>
      </c>
      <c r="F7518" s="3" t="str">
        <f t="shared" si="117"/>
        <v>I0384</v>
      </c>
    </row>
    <row r="7519" spans="1:6" x14ac:dyDescent="0.2">
      <c r="A7519" s="29" t="s">
        <v>18678</v>
      </c>
      <c r="B7519" s="30" t="s">
        <v>18679</v>
      </c>
      <c r="C7519" s="29" t="s">
        <v>0</v>
      </c>
      <c r="D7519" s="31">
        <v>2.74</v>
      </c>
      <c r="F7519" s="3" t="str">
        <f t="shared" si="117"/>
        <v>I0385</v>
      </c>
    </row>
    <row r="7520" spans="1:6" x14ac:dyDescent="0.2">
      <c r="A7520" s="29" t="s">
        <v>18680</v>
      </c>
      <c r="B7520" s="30" t="s">
        <v>18681</v>
      </c>
      <c r="C7520" s="29" t="s">
        <v>0</v>
      </c>
      <c r="D7520" s="31">
        <v>3.49</v>
      </c>
      <c r="F7520" s="3" t="str">
        <f t="shared" si="117"/>
        <v>I0386</v>
      </c>
    </row>
    <row r="7521" spans="1:6" x14ac:dyDescent="0.2">
      <c r="A7521" s="29" t="s">
        <v>18682</v>
      </c>
      <c r="B7521" s="30" t="s">
        <v>18683</v>
      </c>
      <c r="C7521" s="29" t="s">
        <v>0</v>
      </c>
      <c r="D7521" s="31">
        <v>6.4</v>
      </c>
      <c r="F7521" s="3" t="str">
        <f t="shared" si="117"/>
        <v>I0387</v>
      </c>
    </row>
    <row r="7522" spans="1:6" x14ac:dyDescent="0.2">
      <c r="A7522" s="29" t="s">
        <v>18684</v>
      </c>
      <c r="B7522" s="30" t="s">
        <v>18685</v>
      </c>
      <c r="C7522" s="29" t="s">
        <v>0</v>
      </c>
      <c r="D7522" s="31">
        <v>42.1</v>
      </c>
      <c r="F7522" s="3" t="str">
        <f t="shared" si="117"/>
        <v>I0388</v>
      </c>
    </row>
    <row r="7523" spans="1:6" x14ac:dyDescent="0.2">
      <c r="A7523" s="29" t="s">
        <v>18686</v>
      </c>
      <c r="B7523" s="30" t="s">
        <v>18687</v>
      </c>
      <c r="C7523" s="29" t="s">
        <v>0</v>
      </c>
      <c r="D7523" s="31">
        <v>12.15</v>
      </c>
      <c r="F7523" s="3" t="str">
        <f t="shared" si="117"/>
        <v>I0389</v>
      </c>
    </row>
    <row r="7524" spans="1:6" x14ac:dyDescent="0.2">
      <c r="A7524" s="29" t="s">
        <v>18688</v>
      </c>
      <c r="B7524" s="30" t="s">
        <v>18689</v>
      </c>
      <c r="C7524" s="29" t="s">
        <v>0</v>
      </c>
      <c r="D7524" s="31">
        <v>102.04</v>
      </c>
      <c r="F7524" s="3" t="str">
        <f t="shared" si="117"/>
        <v>I0390</v>
      </c>
    </row>
    <row r="7525" spans="1:6" x14ac:dyDescent="0.2">
      <c r="A7525" s="29" t="s">
        <v>18690</v>
      </c>
      <c r="B7525" s="30" t="s">
        <v>18691</v>
      </c>
      <c r="C7525" s="29" t="s">
        <v>0</v>
      </c>
      <c r="D7525" s="31">
        <v>17.78</v>
      </c>
      <c r="F7525" s="3" t="str">
        <f t="shared" si="117"/>
        <v>I0391</v>
      </c>
    </row>
    <row r="7526" spans="1:6" x14ac:dyDescent="0.2">
      <c r="A7526" s="29" t="s">
        <v>18692</v>
      </c>
      <c r="B7526" s="30" t="s">
        <v>18693</v>
      </c>
      <c r="C7526" s="29" t="s">
        <v>0</v>
      </c>
      <c r="D7526" s="31">
        <v>28.76</v>
      </c>
      <c r="F7526" s="3" t="str">
        <f t="shared" si="117"/>
        <v>I0392</v>
      </c>
    </row>
    <row r="7527" spans="1:6" x14ac:dyDescent="0.2">
      <c r="A7527" s="29" t="s">
        <v>18694</v>
      </c>
      <c r="B7527" s="30" t="s">
        <v>18695</v>
      </c>
      <c r="C7527" s="29" t="s">
        <v>0</v>
      </c>
      <c r="D7527" s="31">
        <v>8.75</v>
      </c>
      <c r="F7527" s="3" t="str">
        <f t="shared" si="117"/>
        <v>I0393</v>
      </c>
    </row>
    <row r="7528" spans="1:6" x14ac:dyDescent="0.2">
      <c r="A7528" s="29" t="s">
        <v>18696</v>
      </c>
      <c r="B7528" s="30" t="s">
        <v>18697</v>
      </c>
      <c r="C7528" s="29" t="s">
        <v>0</v>
      </c>
      <c r="D7528" s="31">
        <v>63.07</v>
      </c>
      <c r="F7528" s="3" t="str">
        <f t="shared" si="117"/>
        <v>I0394</v>
      </c>
    </row>
    <row r="7529" spans="1:6" x14ac:dyDescent="0.2">
      <c r="A7529" s="29" t="s">
        <v>18698</v>
      </c>
      <c r="B7529" s="30" t="s">
        <v>18699</v>
      </c>
      <c r="C7529" s="29" t="s">
        <v>0</v>
      </c>
      <c r="D7529" s="31">
        <v>15.42</v>
      </c>
      <c r="F7529" s="3" t="str">
        <f t="shared" si="117"/>
        <v>I0395</v>
      </c>
    </row>
    <row r="7530" spans="1:6" x14ac:dyDescent="0.2">
      <c r="A7530" s="29" t="s">
        <v>18700</v>
      </c>
      <c r="B7530" s="30" t="s">
        <v>18701</v>
      </c>
      <c r="C7530" s="29" t="s">
        <v>0</v>
      </c>
      <c r="D7530" s="31">
        <v>72.98</v>
      </c>
      <c r="F7530" s="3" t="str">
        <f t="shared" si="117"/>
        <v>I0396</v>
      </c>
    </row>
    <row r="7531" spans="1:6" x14ac:dyDescent="0.2">
      <c r="A7531" s="29" t="s">
        <v>18702</v>
      </c>
      <c r="B7531" s="30" t="s">
        <v>18703</v>
      </c>
      <c r="C7531" s="29" t="s">
        <v>0</v>
      </c>
      <c r="D7531" s="31">
        <v>18.29</v>
      </c>
      <c r="F7531" s="3" t="str">
        <f t="shared" si="117"/>
        <v>I0397</v>
      </c>
    </row>
    <row r="7532" spans="1:6" x14ac:dyDescent="0.2">
      <c r="A7532" s="29" t="s">
        <v>18704</v>
      </c>
      <c r="B7532" s="30" t="s">
        <v>18705</v>
      </c>
      <c r="C7532" s="29" t="s">
        <v>0</v>
      </c>
      <c r="D7532" s="31">
        <v>28.76</v>
      </c>
      <c r="F7532" s="3" t="str">
        <f t="shared" si="117"/>
        <v>I0398</v>
      </c>
    </row>
    <row r="7533" spans="1:6" x14ac:dyDescent="0.2">
      <c r="A7533" s="29" t="s">
        <v>18706</v>
      </c>
      <c r="B7533" s="30" t="s">
        <v>12475</v>
      </c>
      <c r="C7533" s="29" t="s">
        <v>0</v>
      </c>
      <c r="D7533" s="31">
        <v>29.56</v>
      </c>
      <c r="F7533" s="3" t="str">
        <f t="shared" si="117"/>
        <v>I7376</v>
      </c>
    </row>
    <row r="7534" spans="1:6" x14ac:dyDescent="0.2">
      <c r="A7534" s="29" t="s">
        <v>18707</v>
      </c>
      <c r="B7534" s="30" t="s">
        <v>18708</v>
      </c>
      <c r="C7534" s="29" t="s">
        <v>26</v>
      </c>
      <c r="D7534" s="31">
        <v>85.24</v>
      </c>
      <c r="F7534" s="3" t="str">
        <f t="shared" si="117"/>
        <v>I0407</v>
      </c>
    </row>
    <row r="7535" spans="1:6" x14ac:dyDescent="0.2">
      <c r="A7535" s="29" t="s">
        <v>18709</v>
      </c>
      <c r="B7535" s="30" t="s">
        <v>18710</v>
      </c>
      <c r="C7535" s="29" t="s">
        <v>26</v>
      </c>
      <c r="D7535" s="31">
        <v>74.83</v>
      </c>
      <c r="F7535" s="3" t="str">
        <f t="shared" si="117"/>
        <v>I0408</v>
      </c>
    </row>
    <row r="7536" spans="1:6" x14ac:dyDescent="0.2">
      <c r="A7536" s="29" t="s">
        <v>18711</v>
      </c>
      <c r="B7536" s="30" t="s">
        <v>18712</v>
      </c>
      <c r="C7536" s="29" t="s">
        <v>26</v>
      </c>
      <c r="D7536" s="31">
        <v>4.22</v>
      </c>
      <c r="F7536" s="3" t="str">
        <f t="shared" si="117"/>
        <v>I6431</v>
      </c>
    </row>
    <row r="7537" spans="1:6" x14ac:dyDescent="0.2">
      <c r="A7537" s="272" t="s">
        <v>18713</v>
      </c>
      <c r="B7537" s="265" t="s">
        <v>18714</v>
      </c>
      <c r="C7537" s="272" t="s">
        <v>26</v>
      </c>
      <c r="D7537" s="273">
        <v>2.36</v>
      </c>
      <c r="F7537" s="3" t="str">
        <f t="shared" si="117"/>
        <v>I6432</v>
      </c>
    </row>
    <row r="7538" spans="1:6" x14ac:dyDescent="0.2">
      <c r="A7538" s="29" t="s">
        <v>18715</v>
      </c>
      <c r="B7538" s="30" t="s">
        <v>18716</v>
      </c>
      <c r="C7538" s="29" t="s">
        <v>26</v>
      </c>
      <c r="D7538" s="31">
        <v>4.49</v>
      </c>
      <c r="F7538" s="3" t="str">
        <f t="shared" si="117"/>
        <v>I9446</v>
      </c>
    </row>
    <row r="7539" spans="1:6" x14ac:dyDescent="0.2">
      <c r="A7539" s="29" t="s">
        <v>18717</v>
      </c>
      <c r="B7539" s="30" t="s">
        <v>18718</v>
      </c>
      <c r="C7539" s="29" t="s">
        <v>26</v>
      </c>
      <c r="D7539" s="31">
        <v>4.6900000000000004</v>
      </c>
      <c r="F7539" s="3" t="str">
        <f t="shared" si="117"/>
        <v>I6433</v>
      </c>
    </row>
    <row r="7540" spans="1:6" x14ac:dyDescent="0.2">
      <c r="A7540" s="29" t="s">
        <v>18719</v>
      </c>
      <c r="B7540" s="30" t="s">
        <v>18720</v>
      </c>
      <c r="C7540" s="29" t="s">
        <v>26</v>
      </c>
      <c r="D7540" s="31">
        <v>6.61</v>
      </c>
      <c r="F7540" s="3" t="str">
        <f t="shared" si="117"/>
        <v>I0417</v>
      </c>
    </row>
    <row r="7541" spans="1:6" x14ac:dyDescent="0.2">
      <c r="A7541" s="29" t="s">
        <v>18721</v>
      </c>
      <c r="B7541" s="30" t="s">
        <v>12171</v>
      </c>
      <c r="C7541" s="29" t="s">
        <v>26</v>
      </c>
      <c r="D7541" s="31">
        <v>19</v>
      </c>
      <c r="F7541" s="3" t="str">
        <f t="shared" si="117"/>
        <v>I10250</v>
      </c>
    </row>
    <row r="7542" spans="1:6" x14ac:dyDescent="0.2">
      <c r="A7542" s="29" t="s">
        <v>18722</v>
      </c>
      <c r="B7542" s="30" t="s">
        <v>12173</v>
      </c>
      <c r="C7542" s="29" t="s">
        <v>26</v>
      </c>
      <c r="D7542" s="31">
        <v>23.96</v>
      </c>
      <c r="F7542" s="3" t="str">
        <f t="shared" si="117"/>
        <v>I10251</v>
      </c>
    </row>
    <row r="7543" spans="1:6" x14ac:dyDescent="0.2">
      <c r="A7543" s="29" t="s">
        <v>18723</v>
      </c>
      <c r="B7543" s="30" t="s">
        <v>18724</v>
      </c>
      <c r="C7543" s="29" t="s">
        <v>26</v>
      </c>
      <c r="D7543" s="31">
        <v>47.7</v>
      </c>
      <c r="F7543" s="3" t="str">
        <f t="shared" si="117"/>
        <v>I0418</v>
      </c>
    </row>
    <row r="7544" spans="1:6" x14ac:dyDescent="0.2">
      <c r="A7544" s="29" t="s">
        <v>18725</v>
      </c>
      <c r="B7544" s="30" t="s">
        <v>18726</v>
      </c>
      <c r="C7544" s="29" t="s">
        <v>26</v>
      </c>
      <c r="D7544" s="31">
        <v>1.93</v>
      </c>
      <c r="F7544" s="3" t="str">
        <f t="shared" si="117"/>
        <v>I0419</v>
      </c>
    </row>
    <row r="7545" spans="1:6" x14ac:dyDescent="0.2">
      <c r="A7545" s="29" t="s">
        <v>18727</v>
      </c>
      <c r="B7545" s="30" t="s">
        <v>18728</v>
      </c>
      <c r="C7545" s="29" t="s">
        <v>26</v>
      </c>
      <c r="D7545" s="31">
        <v>5.42</v>
      </c>
      <c r="F7545" s="3" t="str">
        <f t="shared" si="117"/>
        <v>I0420</v>
      </c>
    </row>
    <row r="7546" spans="1:6" x14ac:dyDescent="0.2">
      <c r="A7546" s="29" t="s">
        <v>18729</v>
      </c>
      <c r="B7546" s="30" t="s">
        <v>18730</v>
      </c>
      <c r="C7546" s="29" t="s">
        <v>26</v>
      </c>
      <c r="D7546" s="31">
        <v>65.87</v>
      </c>
      <c r="F7546" s="3" t="str">
        <f t="shared" si="117"/>
        <v>I0421</v>
      </c>
    </row>
    <row r="7547" spans="1:6" x14ac:dyDescent="0.2">
      <c r="A7547" s="29" t="s">
        <v>18731</v>
      </c>
      <c r="B7547" s="30" t="s">
        <v>18732</v>
      </c>
      <c r="C7547" s="29" t="s">
        <v>26</v>
      </c>
      <c r="D7547" s="31">
        <v>26.26</v>
      </c>
      <c r="F7547" s="3" t="str">
        <f t="shared" si="117"/>
        <v>I0422</v>
      </c>
    </row>
    <row r="7548" spans="1:6" x14ac:dyDescent="0.2">
      <c r="A7548" s="29" t="s">
        <v>18733</v>
      </c>
      <c r="B7548" s="30" t="s">
        <v>18734</v>
      </c>
      <c r="C7548" s="29" t="s">
        <v>26</v>
      </c>
      <c r="D7548" s="31">
        <v>30.48</v>
      </c>
      <c r="F7548" s="3" t="str">
        <f t="shared" si="117"/>
        <v>I0423</v>
      </c>
    </row>
    <row r="7549" spans="1:6" x14ac:dyDescent="0.2">
      <c r="A7549" s="29" t="s">
        <v>18735</v>
      </c>
      <c r="B7549" s="30" t="s">
        <v>18736</v>
      </c>
      <c r="C7549" s="29" t="s">
        <v>26</v>
      </c>
      <c r="D7549" s="31">
        <v>37.56</v>
      </c>
      <c r="F7549" s="3" t="str">
        <f t="shared" si="117"/>
        <v>I0424</v>
      </c>
    </row>
    <row r="7550" spans="1:6" x14ac:dyDescent="0.2">
      <c r="A7550" s="29" t="s">
        <v>18737</v>
      </c>
      <c r="B7550" s="30" t="s">
        <v>18738</v>
      </c>
      <c r="C7550" s="29" t="s">
        <v>26</v>
      </c>
      <c r="D7550" s="31">
        <v>86.32</v>
      </c>
      <c r="F7550" s="3" t="str">
        <f t="shared" si="117"/>
        <v>I0425</v>
      </c>
    </row>
    <row r="7551" spans="1:6" x14ac:dyDescent="0.2">
      <c r="A7551" s="29" t="s">
        <v>18739</v>
      </c>
      <c r="B7551" s="30" t="s">
        <v>18740</v>
      </c>
      <c r="C7551" s="29" t="s">
        <v>26</v>
      </c>
      <c r="D7551" s="31">
        <v>54.32</v>
      </c>
      <c r="F7551" s="3" t="str">
        <f t="shared" si="117"/>
        <v>I0427</v>
      </c>
    </row>
    <row r="7552" spans="1:6" x14ac:dyDescent="0.2">
      <c r="A7552" s="29" t="s">
        <v>18741</v>
      </c>
      <c r="B7552" s="30" t="s">
        <v>18742</v>
      </c>
      <c r="C7552" s="29" t="s">
        <v>26</v>
      </c>
      <c r="D7552" s="31">
        <v>11.2</v>
      </c>
      <c r="F7552" s="3" t="str">
        <f t="shared" si="117"/>
        <v>I0428</v>
      </c>
    </row>
    <row r="7553" spans="1:6" x14ac:dyDescent="0.2">
      <c r="A7553" s="29" t="s">
        <v>18743</v>
      </c>
      <c r="B7553" s="30" t="s">
        <v>18744</v>
      </c>
      <c r="C7553" s="29" t="s">
        <v>26</v>
      </c>
      <c r="D7553" s="31">
        <v>20.22</v>
      </c>
      <c r="F7553" s="3" t="str">
        <f t="shared" si="117"/>
        <v>I0429</v>
      </c>
    </row>
    <row r="7554" spans="1:6" x14ac:dyDescent="0.2">
      <c r="A7554" s="29" t="s">
        <v>18745</v>
      </c>
      <c r="B7554" s="30" t="s">
        <v>18746</v>
      </c>
      <c r="C7554" s="29" t="s">
        <v>26</v>
      </c>
      <c r="D7554" s="31">
        <v>28.84</v>
      </c>
      <c r="F7554" s="3" t="str">
        <f t="shared" ref="F7554:F7617" si="118">A7554</f>
        <v>I0430</v>
      </c>
    </row>
    <row r="7555" spans="1:6" x14ac:dyDescent="0.2">
      <c r="A7555" s="29" t="s">
        <v>18747</v>
      </c>
      <c r="B7555" s="30" t="s">
        <v>18748</v>
      </c>
      <c r="C7555" s="29" t="s">
        <v>26</v>
      </c>
      <c r="D7555" s="31">
        <v>91.12</v>
      </c>
      <c r="F7555" s="3" t="str">
        <f t="shared" si="118"/>
        <v>I0431</v>
      </c>
    </row>
    <row r="7556" spans="1:6" x14ac:dyDescent="0.2">
      <c r="A7556" s="29" t="s">
        <v>18749</v>
      </c>
      <c r="B7556" s="30" t="s">
        <v>18750</v>
      </c>
      <c r="C7556" s="29" t="s">
        <v>26</v>
      </c>
      <c r="D7556" s="31">
        <v>136.29</v>
      </c>
      <c r="F7556" s="3" t="str">
        <f t="shared" si="118"/>
        <v>I0432</v>
      </c>
    </row>
    <row r="7557" spans="1:6" x14ac:dyDescent="0.2">
      <c r="A7557" s="29" t="s">
        <v>18751</v>
      </c>
      <c r="B7557" s="30" t="s">
        <v>18752</v>
      </c>
      <c r="C7557" s="29" t="s">
        <v>26</v>
      </c>
      <c r="D7557" s="31">
        <v>89.88</v>
      </c>
      <c r="F7557" s="3" t="str">
        <f t="shared" si="118"/>
        <v>I0436</v>
      </c>
    </row>
    <row r="7558" spans="1:6" x14ac:dyDescent="0.2">
      <c r="A7558" s="29" t="s">
        <v>18753</v>
      </c>
      <c r="B7558" s="30" t="s">
        <v>18754</v>
      </c>
      <c r="C7558" s="29" t="s">
        <v>26</v>
      </c>
      <c r="D7558" s="31">
        <v>162.06</v>
      </c>
      <c r="F7558" s="3" t="str">
        <f t="shared" si="118"/>
        <v>I0456</v>
      </c>
    </row>
    <row r="7559" spans="1:6" x14ac:dyDescent="0.2">
      <c r="A7559" s="29" t="s">
        <v>18755</v>
      </c>
      <c r="B7559" s="30" t="s">
        <v>18756</v>
      </c>
      <c r="C7559" s="29" t="s">
        <v>0</v>
      </c>
      <c r="D7559" s="31">
        <v>10.87</v>
      </c>
      <c r="F7559" s="3" t="str">
        <f t="shared" si="118"/>
        <v>I0457</v>
      </c>
    </row>
    <row r="7560" spans="1:6" x14ac:dyDescent="0.2">
      <c r="A7560" s="29" t="s">
        <v>18757</v>
      </c>
      <c r="B7560" s="30" t="s">
        <v>18758</v>
      </c>
      <c r="C7560" s="29" t="s">
        <v>0</v>
      </c>
      <c r="D7560" s="31">
        <v>74.38</v>
      </c>
      <c r="F7560" s="3" t="str">
        <f t="shared" si="118"/>
        <v>I0458</v>
      </c>
    </row>
    <row r="7561" spans="1:6" x14ac:dyDescent="0.2">
      <c r="A7561" s="29" t="s">
        <v>18759</v>
      </c>
      <c r="B7561" s="30" t="s">
        <v>18760</v>
      </c>
      <c r="C7561" s="29" t="s">
        <v>0</v>
      </c>
      <c r="D7561" s="31">
        <v>3.47</v>
      </c>
      <c r="F7561" s="3" t="str">
        <f t="shared" si="118"/>
        <v>I0459</v>
      </c>
    </row>
    <row r="7562" spans="1:6" x14ac:dyDescent="0.2">
      <c r="A7562" s="29" t="s">
        <v>18761</v>
      </c>
      <c r="B7562" s="30" t="s">
        <v>18762</v>
      </c>
      <c r="C7562" s="29" t="s">
        <v>0</v>
      </c>
      <c r="D7562" s="31">
        <v>23</v>
      </c>
      <c r="F7562" s="3" t="str">
        <f t="shared" si="118"/>
        <v>I0460</v>
      </c>
    </row>
    <row r="7563" spans="1:6" x14ac:dyDescent="0.2">
      <c r="A7563" s="29" t="s">
        <v>18763</v>
      </c>
      <c r="B7563" s="30" t="s">
        <v>18764</v>
      </c>
      <c r="C7563" s="29" t="s">
        <v>0</v>
      </c>
      <c r="D7563" s="31">
        <v>78.33</v>
      </c>
      <c r="F7563" s="3" t="str">
        <f t="shared" si="118"/>
        <v>I6173</v>
      </c>
    </row>
    <row r="7564" spans="1:6" ht="22.5" x14ac:dyDescent="0.2">
      <c r="A7564" s="29" t="s">
        <v>18765</v>
      </c>
      <c r="B7564" s="30" t="s">
        <v>18766</v>
      </c>
      <c r="C7564" s="29" t="s">
        <v>26</v>
      </c>
      <c r="D7564" s="31">
        <v>4607.37</v>
      </c>
      <c r="F7564" s="3" t="str">
        <f t="shared" si="118"/>
        <v>I6376</v>
      </c>
    </row>
    <row r="7565" spans="1:6" x14ac:dyDescent="0.2">
      <c r="A7565" s="29" t="s">
        <v>18767</v>
      </c>
      <c r="B7565" s="30" t="s">
        <v>18768</v>
      </c>
      <c r="C7565" s="29" t="s">
        <v>26</v>
      </c>
      <c r="D7565" s="31">
        <v>4.4800000000000004</v>
      </c>
      <c r="F7565" s="3" t="str">
        <f t="shared" si="118"/>
        <v>I0469</v>
      </c>
    </row>
    <row r="7566" spans="1:6" x14ac:dyDescent="0.2">
      <c r="A7566" s="29" t="s">
        <v>18769</v>
      </c>
      <c r="B7566" s="30" t="s">
        <v>18770</v>
      </c>
      <c r="C7566" s="29" t="s">
        <v>26</v>
      </c>
      <c r="D7566" s="31">
        <v>92.43</v>
      </c>
      <c r="F7566" s="3" t="str">
        <f t="shared" si="118"/>
        <v>I0330</v>
      </c>
    </row>
    <row r="7567" spans="1:6" x14ac:dyDescent="0.2">
      <c r="A7567" s="29" t="s">
        <v>18771</v>
      </c>
      <c r="B7567" s="30" t="s">
        <v>18772</v>
      </c>
      <c r="C7567" s="29" t="s">
        <v>26</v>
      </c>
      <c r="D7567" s="31">
        <v>4795.8599999999997</v>
      </c>
      <c r="F7567" s="3" t="str">
        <f t="shared" si="118"/>
        <v>I6248</v>
      </c>
    </row>
    <row r="7568" spans="1:6" x14ac:dyDescent="0.2">
      <c r="A7568" s="29" t="s">
        <v>18773</v>
      </c>
      <c r="B7568" s="30" t="s">
        <v>18774</v>
      </c>
      <c r="C7568" s="29" t="s">
        <v>26</v>
      </c>
      <c r="D7568" s="31">
        <v>4795.8599999999997</v>
      </c>
      <c r="F7568" s="3" t="str">
        <f t="shared" si="118"/>
        <v>I6272</v>
      </c>
    </row>
    <row r="7569" spans="1:6" x14ac:dyDescent="0.2">
      <c r="A7569" s="29" t="s">
        <v>18775</v>
      </c>
      <c r="B7569" s="30" t="s">
        <v>18776</v>
      </c>
      <c r="C7569" s="29" t="s">
        <v>26</v>
      </c>
      <c r="D7569" s="31">
        <v>44.53</v>
      </c>
      <c r="F7569" s="3" t="str">
        <f t="shared" si="118"/>
        <v>I0502</v>
      </c>
    </row>
    <row r="7570" spans="1:6" x14ac:dyDescent="0.2">
      <c r="A7570" s="29" t="s">
        <v>18777</v>
      </c>
      <c r="B7570" s="30" t="s">
        <v>18778</v>
      </c>
      <c r="C7570" s="29" t="s">
        <v>26</v>
      </c>
      <c r="D7570" s="31">
        <v>44.53</v>
      </c>
      <c r="F7570" s="3" t="str">
        <f t="shared" si="118"/>
        <v>I0503</v>
      </c>
    </row>
    <row r="7571" spans="1:6" x14ac:dyDescent="0.2">
      <c r="A7571" s="29" t="s">
        <v>18779</v>
      </c>
      <c r="B7571" s="30" t="s">
        <v>18780</v>
      </c>
      <c r="C7571" s="29" t="s">
        <v>26</v>
      </c>
      <c r="D7571" s="31">
        <v>44.53</v>
      </c>
      <c r="F7571" s="3" t="str">
        <f t="shared" si="118"/>
        <v>I0501</v>
      </c>
    </row>
    <row r="7572" spans="1:6" x14ac:dyDescent="0.2">
      <c r="A7572" s="29" t="s">
        <v>18781</v>
      </c>
      <c r="B7572" s="30" t="s">
        <v>18782</v>
      </c>
      <c r="C7572" s="29" t="s">
        <v>26</v>
      </c>
      <c r="D7572" s="31">
        <v>15211.74</v>
      </c>
      <c r="F7572" s="3" t="str">
        <f t="shared" si="118"/>
        <v>I0505</v>
      </c>
    </row>
    <row r="7573" spans="1:6" x14ac:dyDescent="0.2">
      <c r="A7573" s="29" t="s">
        <v>18783</v>
      </c>
      <c r="B7573" s="30" t="s">
        <v>18784</v>
      </c>
      <c r="C7573" s="29" t="s">
        <v>26</v>
      </c>
      <c r="D7573" s="31">
        <v>22817.62</v>
      </c>
      <c r="F7573" s="3" t="str">
        <f t="shared" si="118"/>
        <v>I0506</v>
      </c>
    </row>
    <row r="7574" spans="1:6" x14ac:dyDescent="0.2">
      <c r="A7574" s="29" t="s">
        <v>18785</v>
      </c>
      <c r="B7574" s="30" t="s">
        <v>18786</v>
      </c>
      <c r="C7574" s="29" t="s">
        <v>26</v>
      </c>
      <c r="D7574" s="31">
        <v>7606.87</v>
      </c>
      <c r="F7574" s="3" t="str">
        <f t="shared" si="118"/>
        <v>I0507</v>
      </c>
    </row>
    <row r="7575" spans="1:6" ht="56.25" x14ac:dyDescent="0.2">
      <c r="A7575" s="29" t="s">
        <v>18787</v>
      </c>
      <c r="B7575" s="30" t="s">
        <v>18788</v>
      </c>
      <c r="C7575" s="29" t="s">
        <v>26</v>
      </c>
      <c r="D7575" s="31">
        <v>3843.53</v>
      </c>
      <c r="F7575" s="3" t="str">
        <f t="shared" si="118"/>
        <v>I7538</v>
      </c>
    </row>
    <row r="7576" spans="1:6" x14ac:dyDescent="0.2">
      <c r="A7576" s="29" t="s">
        <v>18789</v>
      </c>
      <c r="B7576" s="30" t="s">
        <v>18790</v>
      </c>
      <c r="C7576" s="29" t="s">
        <v>26</v>
      </c>
      <c r="D7576" s="31">
        <v>94.74</v>
      </c>
      <c r="F7576" s="3" t="str">
        <f t="shared" si="118"/>
        <v>I0546</v>
      </c>
    </row>
    <row r="7577" spans="1:6" x14ac:dyDescent="0.2">
      <c r="A7577" s="29" t="s">
        <v>18791</v>
      </c>
      <c r="B7577" s="30" t="s">
        <v>18792</v>
      </c>
      <c r="C7577" s="29" t="s">
        <v>26</v>
      </c>
      <c r="D7577" s="31">
        <v>990.02</v>
      </c>
      <c r="F7577" s="3" t="str">
        <f t="shared" si="118"/>
        <v>I0547</v>
      </c>
    </row>
    <row r="7578" spans="1:6" x14ac:dyDescent="0.2">
      <c r="A7578" s="29" t="s">
        <v>18793</v>
      </c>
      <c r="B7578" s="30" t="s">
        <v>18794</v>
      </c>
      <c r="C7578" s="29" t="s">
        <v>26</v>
      </c>
      <c r="D7578" s="31">
        <v>357.28</v>
      </c>
      <c r="F7578" s="3" t="str">
        <f t="shared" si="118"/>
        <v>I0549</v>
      </c>
    </row>
    <row r="7579" spans="1:6" x14ac:dyDescent="0.2">
      <c r="A7579" s="29" t="s">
        <v>18795</v>
      </c>
      <c r="B7579" s="30" t="s">
        <v>18796</v>
      </c>
      <c r="C7579" s="29" t="s">
        <v>26</v>
      </c>
      <c r="D7579" s="31">
        <v>444.07</v>
      </c>
      <c r="F7579" s="3" t="str">
        <f t="shared" si="118"/>
        <v>I0551</v>
      </c>
    </row>
    <row r="7580" spans="1:6" x14ac:dyDescent="0.2">
      <c r="A7580" s="29" t="s">
        <v>18797</v>
      </c>
      <c r="B7580" s="30" t="s">
        <v>18798</v>
      </c>
      <c r="C7580" s="29" t="s">
        <v>26</v>
      </c>
      <c r="D7580" s="31">
        <v>549.97</v>
      </c>
      <c r="F7580" s="3" t="str">
        <f t="shared" si="118"/>
        <v>I7537</v>
      </c>
    </row>
    <row r="7581" spans="1:6" x14ac:dyDescent="0.2">
      <c r="A7581" s="29" t="s">
        <v>18799</v>
      </c>
      <c r="B7581" s="30" t="s">
        <v>12558</v>
      </c>
      <c r="C7581" s="29" t="s">
        <v>26</v>
      </c>
      <c r="D7581" s="31">
        <v>5470.63</v>
      </c>
      <c r="F7581" s="3" t="str">
        <f t="shared" si="118"/>
        <v>I9072</v>
      </c>
    </row>
    <row r="7582" spans="1:6" x14ac:dyDescent="0.2">
      <c r="A7582" s="29" t="s">
        <v>18800</v>
      </c>
      <c r="B7582" s="30" t="s">
        <v>18801</v>
      </c>
      <c r="C7582" s="29" t="s">
        <v>26</v>
      </c>
      <c r="D7582" s="31">
        <v>185.11</v>
      </c>
      <c r="F7582" s="3" t="str">
        <f t="shared" si="118"/>
        <v>I0552</v>
      </c>
    </row>
    <row r="7583" spans="1:6" x14ac:dyDescent="0.2">
      <c r="A7583" s="29" t="s">
        <v>18802</v>
      </c>
      <c r="B7583" s="30" t="s">
        <v>18803</v>
      </c>
      <c r="C7583" s="29" t="s">
        <v>26</v>
      </c>
      <c r="D7583" s="31">
        <v>450.01</v>
      </c>
      <c r="F7583" s="3" t="str">
        <f t="shared" si="118"/>
        <v>I0553</v>
      </c>
    </row>
    <row r="7584" spans="1:6" x14ac:dyDescent="0.2">
      <c r="A7584" s="29" t="s">
        <v>18804</v>
      </c>
      <c r="B7584" s="30" t="s">
        <v>18805</v>
      </c>
      <c r="C7584" s="29" t="s">
        <v>26</v>
      </c>
      <c r="D7584" s="31">
        <v>207.15</v>
      </c>
      <c r="F7584" s="3" t="str">
        <f t="shared" si="118"/>
        <v>I0554</v>
      </c>
    </row>
    <row r="7585" spans="1:6" x14ac:dyDescent="0.2">
      <c r="A7585" s="29" t="s">
        <v>18806</v>
      </c>
      <c r="B7585" s="30" t="s">
        <v>18807</v>
      </c>
      <c r="C7585" s="29" t="s">
        <v>26</v>
      </c>
      <c r="D7585" s="31">
        <v>356</v>
      </c>
      <c r="F7585" s="3" t="str">
        <f t="shared" si="118"/>
        <v>I0555</v>
      </c>
    </row>
    <row r="7586" spans="1:6" x14ac:dyDescent="0.2">
      <c r="A7586" s="29" t="s">
        <v>18808</v>
      </c>
      <c r="B7586" s="30" t="s">
        <v>18809</v>
      </c>
      <c r="C7586" s="29" t="s">
        <v>26</v>
      </c>
      <c r="D7586" s="31">
        <v>944.16</v>
      </c>
      <c r="F7586" s="3" t="str">
        <f t="shared" si="118"/>
        <v>I7431</v>
      </c>
    </row>
    <row r="7587" spans="1:6" x14ac:dyDescent="0.2">
      <c r="A7587" s="29" t="s">
        <v>18810</v>
      </c>
      <c r="B7587" s="30" t="s">
        <v>18811</v>
      </c>
      <c r="C7587" s="29" t="s">
        <v>26</v>
      </c>
      <c r="D7587" s="31">
        <v>450.16</v>
      </c>
      <c r="F7587" s="3" t="str">
        <f t="shared" si="118"/>
        <v>I0556</v>
      </c>
    </row>
    <row r="7588" spans="1:6" x14ac:dyDescent="0.2">
      <c r="A7588" s="29" t="s">
        <v>18812</v>
      </c>
      <c r="B7588" s="30" t="s">
        <v>18813</v>
      </c>
      <c r="C7588" s="29" t="s">
        <v>26</v>
      </c>
      <c r="D7588" s="31">
        <v>454.17</v>
      </c>
      <c r="F7588" s="3" t="str">
        <f t="shared" si="118"/>
        <v>I0557</v>
      </c>
    </row>
    <row r="7589" spans="1:6" x14ac:dyDescent="0.2">
      <c r="A7589" s="29" t="s">
        <v>18814</v>
      </c>
      <c r="B7589" s="30" t="s">
        <v>18815</v>
      </c>
      <c r="C7589" s="29" t="s">
        <v>26</v>
      </c>
      <c r="D7589" s="31">
        <v>123.78</v>
      </c>
      <c r="F7589" s="3" t="str">
        <f t="shared" si="118"/>
        <v>I0558</v>
      </c>
    </row>
    <row r="7590" spans="1:6" x14ac:dyDescent="0.2">
      <c r="A7590" s="29" t="s">
        <v>18816</v>
      </c>
      <c r="B7590" s="30" t="s">
        <v>18817</v>
      </c>
      <c r="C7590" s="29" t="s">
        <v>26</v>
      </c>
      <c r="D7590" s="31">
        <v>456.35</v>
      </c>
      <c r="F7590" s="3" t="str">
        <f t="shared" si="118"/>
        <v>I0559</v>
      </c>
    </row>
    <row r="7591" spans="1:6" x14ac:dyDescent="0.2">
      <c r="A7591" s="29" t="s">
        <v>18818</v>
      </c>
      <c r="B7591" s="30" t="s">
        <v>18819</v>
      </c>
      <c r="C7591" s="29" t="s">
        <v>26</v>
      </c>
      <c r="D7591" s="31">
        <v>609.08000000000004</v>
      </c>
      <c r="F7591" s="3" t="str">
        <f t="shared" si="118"/>
        <v>I0560</v>
      </c>
    </row>
    <row r="7592" spans="1:6" x14ac:dyDescent="0.2">
      <c r="A7592" s="29" t="s">
        <v>18820</v>
      </c>
      <c r="B7592" s="30" t="s">
        <v>18821</v>
      </c>
      <c r="C7592" s="29" t="s">
        <v>26</v>
      </c>
      <c r="D7592" s="31">
        <v>170.89</v>
      </c>
      <c r="F7592" s="3" t="str">
        <f t="shared" si="118"/>
        <v>I0561</v>
      </c>
    </row>
    <row r="7593" spans="1:6" x14ac:dyDescent="0.2">
      <c r="A7593" s="29" t="s">
        <v>18822</v>
      </c>
      <c r="B7593" s="30" t="s">
        <v>18823</v>
      </c>
      <c r="C7593" s="29" t="s">
        <v>26</v>
      </c>
      <c r="D7593" s="31">
        <v>208.87</v>
      </c>
      <c r="F7593" s="3" t="str">
        <f t="shared" si="118"/>
        <v>I0562</v>
      </c>
    </row>
    <row r="7594" spans="1:6" x14ac:dyDescent="0.2">
      <c r="A7594" s="29" t="s">
        <v>18824</v>
      </c>
      <c r="B7594" s="30" t="s">
        <v>18825</v>
      </c>
      <c r="C7594" s="29" t="s">
        <v>26</v>
      </c>
      <c r="D7594" s="31">
        <v>356</v>
      </c>
      <c r="F7594" s="3" t="str">
        <f t="shared" si="118"/>
        <v>I0563</v>
      </c>
    </row>
    <row r="7595" spans="1:6" x14ac:dyDescent="0.2">
      <c r="A7595" s="29" t="s">
        <v>18826</v>
      </c>
      <c r="B7595" s="30" t="s">
        <v>18827</v>
      </c>
      <c r="C7595" s="29" t="s">
        <v>26</v>
      </c>
      <c r="D7595" s="31">
        <v>26.2</v>
      </c>
      <c r="F7595" s="3" t="str">
        <f t="shared" si="118"/>
        <v>I0806</v>
      </c>
    </row>
    <row r="7596" spans="1:6" ht="22.5" x14ac:dyDescent="0.2">
      <c r="A7596" s="29" t="s">
        <v>18828</v>
      </c>
      <c r="B7596" s="30" t="s">
        <v>12847</v>
      </c>
      <c r="C7596" s="29" t="s">
        <v>26</v>
      </c>
      <c r="D7596" s="31">
        <v>120.86</v>
      </c>
      <c r="F7596" s="3" t="str">
        <f t="shared" si="118"/>
        <v>I7925</v>
      </c>
    </row>
    <row r="7597" spans="1:6" x14ac:dyDescent="0.2">
      <c r="A7597" s="29" t="s">
        <v>18829</v>
      </c>
      <c r="B7597" s="30" t="s">
        <v>18830</v>
      </c>
      <c r="C7597" s="29" t="s">
        <v>26</v>
      </c>
      <c r="D7597" s="31">
        <v>0.52</v>
      </c>
      <c r="F7597" s="3" t="str">
        <f t="shared" si="118"/>
        <v>I0808</v>
      </c>
    </row>
    <row r="7598" spans="1:6" ht="22.5" x14ac:dyDescent="0.2">
      <c r="A7598" s="29" t="s">
        <v>18831</v>
      </c>
      <c r="B7598" s="30" t="s">
        <v>18832</v>
      </c>
      <c r="C7598" s="29" t="s">
        <v>26</v>
      </c>
      <c r="D7598" s="31">
        <v>2771.72</v>
      </c>
      <c r="F7598" s="3" t="str">
        <f t="shared" si="118"/>
        <v>I7453</v>
      </c>
    </row>
    <row r="7599" spans="1:6" x14ac:dyDescent="0.2">
      <c r="A7599" s="29" t="s">
        <v>18833</v>
      </c>
      <c r="B7599" s="30" t="s">
        <v>18834</v>
      </c>
      <c r="C7599" s="29" t="s">
        <v>26</v>
      </c>
      <c r="D7599" s="31">
        <v>12.72</v>
      </c>
      <c r="F7599" s="3" t="str">
        <f t="shared" si="118"/>
        <v>I0837</v>
      </c>
    </row>
    <row r="7600" spans="1:6" x14ac:dyDescent="0.2">
      <c r="A7600" s="29" t="s">
        <v>18835</v>
      </c>
      <c r="B7600" s="30" t="s">
        <v>18836</v>
      </c>
      <c r="C7600" s="29" t="s">
        <v>26</v>
      </c>
      <c r="D7600" s="31">
        <v>10.91</v>
      </c>
      <c r="F7600" s="3" t="str">
        <f t="shared" si="118"/>
        <v>I0838</v>
      </c>
    </row>
    <row r="7601" spans="1:6" x14ac:dyDescent="0.2">
      <c r="A7601" s="29" t="s">
        <v>18837</v>
      </c>
      <c r="B7601" s="30" t="s">
        <v>18838</v>
      </c>
      <c r="C7601" s="29" t="s">
        <v>26</v>
      </c>
      <c r="D7601" s="31">
        <v>10.93</v>
      </c>
      <c r="F7601" s="3" t="str">
        <f t="shared" si="118"/>
        <v>I0839</v>
      </c>
    </row>
    <row r="7602" spans="1:6" x14ac:dyDescent="0.2">
      <c r="A7602" s="29" t="s">
        <v>18839</v>
      </c>
      <c r="B7602" s="30" t="s">
        <v>12481</v>
      </c>
      <c r="C7602" s="29" t="s">
        <v>26</v>
      </c>
      <c r="D7602" s="31">
        <v>10.95</v>
      </c>
      <c r="F7602" s="3" t="str">
        <f t="shared" si="118"/>
        <v>I7382</v>
      </c>
    </row>
    <row r="7603" spans="1:6" x14ac:dyDescent="0.2">
      <c r="A7603" s="29" t="s">
        <v>18840</v>
      </c>
      <c r="B7603" s="30" t="s">
        <v>18841</v>
      </c>
      <c r="C7603" s="29" t="s">
        <v>26</v>
      </c>
      <c r="D7603" s="31">
        <v>7.46</v>
      </c>
      <c r="F7603" s="3" t="str">
        <f t="shared" si="118"/>
        <v>I7414</v>
      </c>
    </row>
    <row r="7604" spans="1:6" x14ac:dyDescent="0.2">
      <c r="A7604" s="29" t="s">
        <v>18842</v>
      </c>
      <c r="B7604" s="30" t="s">
        <v>18843</v>
      </c>
      <c r="C7604" s="29" t="s">
        <v>26</v>
      </c>
      <c r="D7604" s="31">
        <v>2.83</v>
      </c>
      <c r="F7604" s="3" t="str">
        <f t="shared" si="118"/>
        <v>I0841</v>
      </c>
    </row>
    <row r="7605" spans="1:6" x14ac:dyDescent="0.2">
      <c r="A7605" s="29" t="s">
        <v>18844</v>
      </c>
      <c r="B7605" s="30" t="s">
        <v>18845</v>
      </c>
      <c r="C7605" s="29" t="s">
        <v>26</v>
      </c>
      <c r="D7605" s="31">
        <v>31.68</v>
      </c>
      <c r="F7605" s="3" t="str">
        <f t="shared" si="118"/>
        <v>I0844</v>
      </c>
    </row>
    <row r="7606" spans="1:6" x14ac:dyDescent="0.2">
      <c r="A7606" s="29" t="s">
        <v>18846</v>
      </c>
      <c r="B7606" s="30" t="s">
        <v>18847</v>
      </c>
      <c r="C7606" s="29" t="s">
        <v>26</v>
      </c>
      <c r="D7606" s="31">
        <v>82.45</v>
      </c>
      <c r="F7606" s="3" t="str">
        <f t="shared" si="118"/>
        <v>I0845</v>
      </c>
    </row>
    <row r="7607" spans="1:6" x14ac:dyDescent="0.2">
      <c r="A7607" s="29" t="s">
        <v>18848</v>
      </c>
      <c r="B7607" s="30" t="s">
        <v>18849</v>
      </c>
      <c r="C7607" s="29" t="s">
        <v>26</v>
      </c>
      <c r="D7607" s="31">
        <v>6.02</v>
      </c>
      <c r="F7607" s="3" t="str">
        <f t="shared" si="118"/>
        <v>I0840</v>
      </c>
    </row>
    <row r="7608" spans="1:6" x14ac:dyDescent="0.2">
      <c r="A7608" s="29" t="s">
        <v>18850</v>
      </c>
      <c r="B7608" s="30" t="s">
        <v>18851</v>
      </c>
      <c r="C7608" s="29" t="s">
        <v>26</v>
      </c>
      <c r="D7608" s="31">
        <v>7.07</v>
      </c>
      <c r="F7608" s="3" t="str">
        <f t="shared" si="118"/>
        <v>I0846</v>
      </c>
    </row>
    <row r="7609" spans="1:6" x14ac:dyDescent="0.2">
      <c r="A7609" s="29" t="s">
        <v>18852</v>
      </c>
      <c r="B7609" s="30" t="s">
        <v>18853</v>
      </c>
      <c r="C7609" s="29" t="s">
        <v>26</v>
      </c>
      <c r="D7609" s="31">
        <v>9.32</v>
      </c>
      <c r="F7609" s="3" t="str">
        <f t="shared" si="118"/>
        <v>I0847</v>
      </c>
    </row>
    <row r="7610" spans="1:6" x14ac:dyDescent="0.2">
      <c r="A7610" s="29" t="s">
        <v>18854</v>
      </c>
      <c r="B7610" s="30" t="s">
        <v>18855</v>
      </c>
      <c r="C7610" s="29" t="s">
        <v>26</v>
      </c>
      <c r="D7610" s="31">
        <v>111.43</v>
      </c>
      <c r="F7610" s="3" t="str">
        <f t="shared" si="118"/>
        <v>I0850</v>
      </c>
    </row>
    <row r="7611" spans="1:6" x14ac:dyDescent="0.2">
      <c r="A7611" s="29" t="s">
        <v>18856</v>
      </c>
      <c r="B7611" s="30" t="s">
        <v>18857</v>
      </c>
      <c r="C7611" s="29" t="s">
        <v>26</v>
      </c>
      <c r="D7611" s="31">
        <v>727.6</v>
      </c>
      <c r="F7611" s="3" t="str">
        <f t="shared" si="118"/>
        <v>I7436</v>
      </c>
    </row>
    <row r="7612" spans="1:6" x14ac:dyDescent="0.2">
      <c r="A7612" s="29" t="s">
        <v>18858</v>
      </c>
      <c r="B7612" s="30" t="s">
        <v>18859</v>
      </c>
      <c r="C7612" s="29" t="s">
        <v>26</v>
      </c>
      <c r="D7612" s="31">
        <v>4463.3599999999997</v>
      </c>
      <c r="F7612" s="3" t="str">
        <f t="shared" si="118"/>
        <v>I6005</v>
      </c>
    </row>
    <row r="7613" spans="1:6" x14ac:dyDescent="0.2">
      <c r="A7613" s="29" t="s">
        <v>18860</v>
      </c>
      <c r="B7613" s="30" t="s">
        <v>12588</v>
      </c>
      <c r="C7613" s="29" t="s">
        <v>26</v>
      </c>
      <c r="D7613" s="31">
        <v>144.41</v>
      </c>
      <c r="F7613" s="3" t="str">
        <f t="shared" si="118"/>
        <v>I0648</v>
      </c>
    </row>
    <row r="7614" spans="1:6" x14ac:dyDescent="0.2">
      <c r="A7614" s="29" t="s">
        <v>18861</v>
      </c>
      <c r="B7614" s="30" t="s">
        <v>18862</v>
      </c>
      <c r="C7614" s="29" t="s">
        <v>26</v>
      </c>
      <c r="D7614" s="31">
        <v>358.82</v>
      </c>
      <c r="F7614" s="3" t="str">
        <f t="shared" si="118"/>
        <v>I7405</v>
      </c>
    </row>
    <row r="7615" spans="1:6" x14ac:dyDescent="0.2">
      <c r="A7615" s="29" t="s">
        <v>18863</v>
      </c>
      <c r="B7615" s="30" t="s">
        <v>18864</v>
      </c>
      <c r="C7615" s="29" t="s">
        <v>26</v>
      </c>
      <c r="D7615" s="31">
        <v>46.57</v>
      </c>
      <c r="F7615" s="3" t="str">
        <f t="shared" si="118"/>
        <v>I6175</v>
      </c>
    </row>
    <row r="7616" spans="1:6" x14ac:dyDescent="0.2">
      <c r="A7616" s="29" t="s">
        <v>18865</v>
      </c>
      <c r="B7616" s="30" t="s">
        <v>18866</v>
      </c>
      <c r="C7616" s="29" t="s">
        <v>26</v>
      </c>
      <c r="D7616" s="31">
        <v>44.14</v>
      </c>
      <c r="F7616" s="3" t="str">
        <f t="shared" si="118"/>
        <v>I6174</v>
      </c>
    </row>
    <row r="7617" spans="1:6" x14ac:dyDescent="0.2">
      <c r="A7617" s="29" t="s">
        <v>18867</v>
      </c>
      <c r="B7617" s="30" t="s">
        <v>18868</v>
      </c>
      <c r="C7617" s="29" t="s">
        <v>26</v>
      </c>
      <c r="D7617" s="31">
        <v>80.010000000000005</v>
      </c>
      <c r="F7617" s="3" t="str">
        <f t="shared" si="118"/>
        <v>I0914</v>
      </c>
    </row>
    <row r="7618" spans="1:6" x14ac:dyDescent="0.2">
      <c r="A7618" s="29" t="s">
        <v>18869</v>
      </c>
      <c r="B7618" s="30" t="s">
        <v>18870</v>
      </c>
      <c r="C7618" s="29" t="s">
        <v>26</v>
      </c>
      <c r="D7618" s="31">
        <v>18.75</v>
      </c>
      <c r="F7618" s="3" t="str">
        <f t="shared" ref="F7618:F7681" si="119">A7618</f>
        <v>I0943</v>
      </c>
    </row>
    <row r="7619" spans="1:6" x14ac:dyDescent="0.2">
      <c r="A7619" s="29" t="s">
        <v>18871</v>
      </c>
      <c r="B7619" s="30" t="s">
        <v>18872</v>
      </c>
      <c r="C7619" s="29" t="s">
        <v>26</v>
      </c>
      <c r="D7619" s="31">
        <v>15.37</v>
      </c>
      <c r="F7619" s="3" t="str">
        <f t="shared" si="119"/>
        <v>I0944</v>
      </c>
    </row>
    <row r="7620" spans="1:6" x14ac:dyDescent="0.2">
      <c r="A7620" s="29" t="s">
        <v>18873</v>
      </c>
      <c r="B7620" s="30" t="s">
        <v>18874</v>
      </c>
      <c r="C7620" s="29" t="s">
        <v>26</v>
      </c>
      <c r="D7620" s="31">
        <v>6.75</v>
      </c>
      <c r="F7620" s="3" t="str">
        <f t="shared" si="119"/>
        <v>I0945</v>
      </c>
    </row>
    <row r="7621" spans="1:6" x14ac:dyDescent="0.2">
      <c r="A7621" s="29" t="s">
        <v>18875</v>
      </c>
      <c r="B7621" s="30" t="s">
        <v>18876</v>
      </c>
      <c r="C7621" s="29" t="s">
        <v>26</v>
      </c>
      <c r="D7621" s="31">
        <v>69.72</v>
      </c>
      <c r="F7621" s="3" t="str">
        <f t="shared" si="119"/>
        <v>I0946</v>
      </c>
    </row>
    <row r="7622" spans="1:6" x14ac:dyDescent="0.2">
      <c r="A7622" s="29" t="s">
        <v>18877</v>
      </c>
      <c r="B7622" s="30" t="s">
        <v>18878</v>
      </c>
      <c r="C7622" s="29" t="s">
        <v>26</v>
      </c>
      <c r="D7622" s="31">
        <v>27.53</v>
      </c>
      <c r="F7622" s="3" t="str">
        <f t="shared" si="119"/>
        <v>I0947</v>
      </c>
    </row>
    <row r="7623" spans="1:6" x14ac:dyDescent="0.2">
      <c r="A7623" s="29" t="s">
        <v>18879</v>
      </c>
      <c r="B7623" s="30" t="s">
        <v>18880</v>
      </c>
      <c r="C7623" s="29" t="s">
        <v>26</v>
      </c>
      <c r="D7623" s="31">
        <v>4.97</v>
      </c>
      <c r="F7623" s="3" t="str">
        <f t="shared" si="119"/>
        <v>I0949</v>
      </c>
    </row>
    <row r="7624" spans="1:6" x14ac:dyDescent="0.2">
      <c r="A7624" s="29" t="s">
        <v>18881</v>
      </c>
      <c r="B7624" s="30" t="s">
        <v>18882</v>
      </c>
      <c r="C7624" s="29" t="s">
        <v>26</v>
      </c>
      <c r="D7624" s="31">
        <v>5.66</v>
      </c>
      <c r="F7624" s="3" t="str">
        <f t="shared" si="119"/>
        <v>I0950</v>
      </c>
    </row>
    <row r="7625" spans="1:6" x14ac:dyDescent="0.2">
      <c r="A7625" s="29" t="s">
        <v>18883</v>
      </c>
      <c r="B7625" s="30" t="s">
        <v>18884</v>
      </c>
      <c r="C7625" s="29" t="s">
        <v>26</v>
      </c>
      <c r="D7625" s="31">
        <v>4.67</v>
      </c>
      <c r="F7625" s="3" t="str">
        <f t="shared" si="119"/>
        <v>I0951</v>
      </c>
    </row>
    <row r="7626" spans="1:6" x14ac:dyDescent="0.2">
      <c r="A7626" s="29" t="s">
        <v>18885</v>
      </c>
      <c r="B7626" s="30" t="s">
        <v>18886</v>
      </c>
      <c r="C7626" s="29" t="s">
        <v>26</v>
      </c>
      <c r="D7626" s="31">
        <v>4.1399999999999997</v>
      </c>
      <c r="F7626" s="3" t="str">
        <f t="shared" si="119"/>
        <v>I0952</v>
      </c>
    </row>
    <row r="7627" spans="1:6" x14ac:dyDescent="0.2">
      <c r="A7627" s="29" t="s">
        <v>18887</v>
      </c>
      <c r="B7627" s="30" t="s">
        <v>18888</v>
      </c>
      <c r="C7627" s="29" t="s">
        <v>26</v>
      </c>
      <c r="D7627" s="31">
        <v>2.7</v>
      </c>
      <c r="F7627" s="3" t="str">
        <f t="shared" si="119"/>
        <v>I0953</v>
      </c>
    </row>
    <row r="7628" spans="1:6" x14ac:dyDescent="0.2">
      <c r="A7628" s="29" t="s">
        <v>18889</v>
      </c>
      <c r="B7628" s="30" t="s">
        <v>18890</v>
      </c>
      <c r="C7628" s="29" t="s">
        <v>26</v>
      </c>
      <c r="D7628" s="31">
        <v>23.47</v>
      </c>
      <c r="F7628" s="3" t="str">
        <f t="shared" si="119"/>
        <v>I0954</v>
      </c>
    </row>
    <row r="7629" spans="1:6" x14ac:dyDescent="0.2">
      <c r="A7629" s="29" t="s">
        <v>18891</v>
      </c>
      <c r="B7629" s="30" t="s">
        <v>18892</v>
      </c>
      <c r="C7629" s="29" t="s">
        <v>26</v>
      </c>
      <c r="D7629" s="31">
        <v>9.1999999999999993</v>
      </c>
      <c r="F7629" s="3" t="str">
        <f t="shared" si="119"/>
        <v>I0955</v>
      </c>
    </row>
    <row r="7630" spans="1:6" x14ac:dyDescent="0.2">
      <c r="A7630" s="29" t="s">
        <v>18893</v>
      </c>
      <c r="B7630" s="30" t="s">
        <v>18894</v>
      </c>
      <c r="C7630" s="29" t="s">
        <v>26</v>
      </c>
      <c r="D7630" s="31">
        <v>23.5</v>
      </c>
      <c r="F7630" s="3" t="str">
        <f t="shared" si="119"/>
        <v>I0956</v>
      </c>
    </row>
    <row r="7631" spans="1:6" x14ac:dyDescent="0.2">
      <c r="A7631" s="29" t="s">
        <v>18895</v>
      </c>
      <c r="B7631" s="30" t="s">
        <v>18896</v>
      </c>
      <c r="C7631" s="29" t="s">
        <v>26</v>
      </c>
      <c r="D7631" s="31">
        <v>2.73</v>
      </c>
      <c r="F7631" s="3" t="str">
        <f t="shared" si="119"/>
        <v>I0957</v>
      </c>
    </row>
    <row r="7632" spans="1:6" x14ac:dyDescent="0.2">
      <c r="A7632" s="29" t="s">
        <v>18897</v>
      </c>
      <c r="B7632" s="30" t="s">
        <v>18898</v>
      </c>
      <c r="C7632" s="29" t="s">
        <v>26</v>
      </c>
      <c r="D7632" s="31">
        <v>47.23</v>
      </c>
      <c r="F7632" s="3" t="str">
        <f t="shared" si="119"/>
        <v>I0958</v>
      </c>
    </row>
    <row r="7633" spans="1:6" ht="22.5" x14ac:dyDescent="0.2">
      <c r="A7633" s="29" t="s">
        <v>18899</v>
      </c>
      <c r="B7633" s="30" t="s">
        <v>18900</v>
      </c>
      <c r="C7633" s="29" t="s">
        <v>26</v>
      </c>
      <c r="D7633" s="31">
        <v>304.24</v>
      </c>
      <c r="F7633" s="3" t="str">
        <f t="shared" si="119"/>
        <v>I0961</v>
      </c>
    </row>
    <row r="7634" spans="1:6" x14ac:dyDescent="0.2">
      <c r="A7634" s="29" t="s">
        <v>18901</v>
      </c>
      <c r="B7634" s="30" t="s">
        <v>18902</v>
      </c>
      <c r="C7634" s="29" t="s">
        <v>26</v>
      </c>
      <c r="D7634" s="31">
        <v>49.76</v>
      </c>
      <c r="F7634" s="3" t="str">
        <f t="shared" si="119"/>
        <v>I6179</v>
      </c>
    </row>
    <row r="7635" spans="1:6" ht="22.5" x14ac:dyDescent="0.2">
      <c r="A7635" s="29" t="s">
        <v>18903</v>
      </c>
      <c r="B7635" s="30" t="s">
        <v>18904</v>
      </c>
      <c r="C7635" s="29" t="s">
        <v>26</v>
      </c>
      <c r="D7635" s="31">
        <v>230.9</v>
      </c>
      <c r="F7635" s="3" t="str">
        <f t="shared" si="119"/>
        <v>I7451</v>
      </c>
    </row>
    <row r="7636" spans="1:6" x14ac:dyDescent="0.2">
      <c r="A7636" s="29" t="s">
        <v>18905</v>
      </c>
      <c r="B7636" s="30" t="s">
        <v>18906</v>
      </c>
      <c r="C7636" s="29" t="s">
        <v>26</v>
      </c>
      <c r="D7636" s="31">
        <v>51.13</v>
      </c>
      <c r="F7636" s="3" t="str">
        <f t="shared" si="119"/>
        <v>I0969</v>
      </c>
    </row>
    <row r="7637" spans="1:6" x14ac:dyDescent="0.2">
      <c r="A7637" s="29" t="s">
        <v>18907</v>
      </c>
      <c r="B7637" s="30" t="s">
        <v>18908</v>
      </c>
      <c r="C7637" s="29" t="s">
        <v>26</v>
      </c>
      <c r="D7637" s="31">
        <v>51.13</v>
      </c>
      <c r="F7637" s="3" t="str">
        <f t="shared" si="119"/>
        <v>I0970</v>
      </c>
    </row>
    <row r="7638" spans="1:6" x14ac:dyDescent="0.2">
      <c r="A7638" s="29" t="s">
        <v>18909</v>
      </c>
      <c r="B7638" s="30" t="s">
        <v>18910</v>
      </c>
      <c r="C7638" s="29" t="s">
        <v>26</v>
      </c>
      <c r="D7638" s="31">
        <v>51.13</v>
      </c>
      <c r="F7638" s="3" t="str">
        <f t="shared" si="119"/>
        <v>I0972</v>
      </c>
    </row>
    <row r="7639" spans="1:6" x14ac:dyDescent="0.2">
      <c r="A7639" s="29" t="s">
        <v>18911</v>
      </c>
      <c r="B7639" s="30" t="s">
        <v>18912</v>
      </c>
      <c r="C7639" s="29" t="s">
        <v>26</v>
      </c>
      <c r="D7639" s="31">
        <v>51.13</v>
      </c>
      <c r="F7639" s="3" t="str">
        <f t="shared" si="119"/>
        <v>I0973</v>
      </c>
    </row>
    <row r="7640" spans="1:6" x14ac:dyDescent="0.2">
      <c r="A7640" s="29" t="s">
        <v>18913</v>
      </c>
      <c r="B7640" s="30" t="s">
        <v>18914</v>
      </c>
      <c r="C7640" s="29" t="s">
        <v>26</v>
      </c>
      <c r="D7640" s="31">
        <v>51.96</v>
      </c>
      <c r="F7640" s="3" t="str">
        <f t="shared" si="119"/>
        <v>I0975</v>
      </c>
    </row>
    <row r="7641" spans="1:6" x14ac:dyDescent="0.2">
      <c r="A7641" s="29" t="s">
        <v>18915</v>
      </c>
      <c r="B7641" s="30" t="s">
        <v>18916</v>
      </c>
      <c r="C7641" s="29" t="s">
        <v>26</v>
      </c>
      <c r="D7641" s="31">
        <v>52.2</v>
      </c>
      <c r="F7641" s="3" t="str">
        <f t="shared" si="119"/>
        <v>I0976</v>
      </c>
    </row>
    <row r="7642" spans="1:6" x14ac:dyDescent="0.2">
      <c r="A7642" s="29" t="s">
        <v>18917</v>
      </c>
      <c r="B7642" s="30" t="s">
        <v>18918</v>
      </c>
      <c r="C7642" s="29" t="s">
        <v>26</v>
      </c>
      <c r="D7642" s="31">
        <v>55.25</v>
      </c>
      <c r="F7642" s="3" t="str">
        <f t="shared" si="119"/>
        <v>I0978</v>
      </c>
    </row>
    <row r="7643" spans="1:6" x14ac:dyDescent="0.2">
      <c r="A7643" s="29" t="s">
        <v>18919</v>
      </c>
      <c r="B7643" s="30" t="s">
        <v>40</v>
      </c>
      <c r="C7643" s="29" t="s">
        <v>26</v>
      </c>
      <c r="D7643" s="31">
        <v>134.19</v>
      </c>
      <c r="F7643" s="3" t="str">
        <f t="shared" si="119"/>
        <v>I8365</v>
      </c>
    </row>
    <row r="7644" spans="1:6" x14ac:dyDescent="0.2">
      <c r="A7644" s="29" t="s">
        <v>18920</v>
      </c>
      <c r="B7644" s="30" t="s">
        <v>12618</v>
      </c>
      <c r="C7644" s="29" t="s">
        <v>26</v>
      </c>
      <c r="D7644" s="31">
        <v>244.7</v>
      </c>
      <c r="F7644" s="3" t="str">
        <f t="shared" si="119"/>
        <v>I8366</v>
      </c>
    </row>
    <row r="7645" spans="1:6" x14ac:dyDescent="0.2">
      <c r="A7645" s="29" t="s">
        <v>18921</v>
      </c>
      <c r="B7645" s="30" t="s">
        <v>18922</v>
      </c>
      <c r="C7645" s="29" t="s">
        <v>26</v>
      </c>
      <c r="D7645" s="31">
        <v>11.09</v>
      </c>
      <c r="F7645" s="3" t="str">
        <f t="shared" si="119"/>
        <v>I0980</v>
      </c>
    </row>
    <row r="7646" spans="1:6" x14ac:dyDescent="0.2">
      <c r="A7646" s="29" t="s">
        <v>18923</v>
      </c>
      <c r="B7646" s="30" t="s">
        <v>18924</v>
      </c>
      <c r="C7646" s="29" t="s">
        <v>26</v>
      </c>
      <c r="D7646" s="31">
        <v>11.09</v>
      </c>
      <c r="F7646" s="3" t="str">
        <f t="shared" si="119"/>
        <v>I0981</v>
      </c>
    </row>
    <row r="7647" spans="1:6" x14ac:dyDescent="0.2">
      <c r="A7647" s="29" t="s">
        <v>18925</v>
      </c>
      <c r="B7647" s="30" t="s">
        <v>18926</v>
      </c>
      <c r="C7647" s="29" t="s">
        <v>26</v>
      </c>
      <c r="D7647" s="31">
        <v>11.09</v>
      </c>
      <c r="F7647" s="3" t="str">
        <f t="shared" si="119"/>
        <v>I0983</v>
      </c>
    </row>
    <row r="7648" spans="1:6" x14ac:dyDescent="0.2">
      <c r="A7648" s="29" t="s">
        <v>18927</v>
      </c>
      <c r="B7648" s="30" t="s">
        <v>18928</v>
      </c>
      <c r="C7648" s="29" t="s">
        <v>26</v>
      </c>
      <c r="D7648" s="31">
        <v>11.09</v>
      </c>
      <c r="F7648" s="3" t="str">
        <f t="shared" si="119"/>
        <v>I0984</v>
      </c>
    </row>
    <row r="7649" spans="1:6" x14ac:dyDescent="0.2">
      <c r="A7649" s="29" t="s">
        <v>18929</v>
      </c>
      <c r="B7649" s="30" t="s">
        <v>18930</v>
      </c>
      <c r="C7649" s="29" t="s">
        <v>26</v>
      </c>
      <c r="D7649" s="31">
        <v>18.600000000000001</v>
      </c>
      <c r="F7649" s="3" t="str">
        <f t="shared" si="119"/>
        <v>I0986</v>
      </c>
    </row>
    <row r="7650" spans="1:6" x14ac:dyDescent="0.2">
      <c r="A7650" s="29" t="s">
        <v>18931</v>
      </c>
      <c r="B7650" s="30" t="s">
        <v>18932</v>
      </c>
      <c r="C7650" s="29" t="s">
        <v>26</v>
      </c>
      <c r="D7650" s="31">
        <v>18.600000000000001</v>
      </c>
      <c r="F7650" s="3" t="str">
        <f t="shared" si="119"/>
        <v>I0987</v>
      </c>
    </row>
    <row r="7651" spans="1:6" x14ac:dyDescent="0.2">
      <c r="A7651" s="29" t="s">
        <v>18933</v>
      </c>
      <c r="B7651" s="30" t="s">
        <v>18934</v>
      </c>
      <c r="C7651" s="29" t="s">
        <v>26</v>
      </c>
      <c r="D7651" s="31">
        <v>18.600000000000001</v>
      </c>
      <c r="F7651" s="3" t="str">
        <f t="shared" si="119"/>
        <v>I0989</v>
      </c>
    </row>
    <row r="7652" spans="1:6" ht="33.75" x14ac:dyDescent="0.2">
      <c r="A7652" s="29" t="s">
        <v>18935</v>
      </c>
      <c r="B7652" s="30" t="s">
        <v>18936</v>
      </c>
      <c r="C7652" s="29" t="s">
        <v>26</v>
      </c>
      <c r="D7652" s="31">
        <v>1726.23</v>
      </c>
      <c r="F7652" s="3" t="str">
        <f t="shared" si="119"/>
        <v>I9416</v>
      </c>
    </row>
    <row r="7653" spans="1:6" x14ac:dyDescent="0.2">
      <c r="A7653" s="29" t="s">
        <v>18937</v>
      </c>
      <c r="B7653" s="30" t="s">
        <v>18938</v>
      </c>
      <c r="C7653" s="29" t="s">
        <v>26</v>
      </c>
      <c r="D7653" s="31">
        <v>328.01</v>
      </c>
      <c r="F7653" s="3" t="str">
        <f t="shared" si="119"/>
        <v>I9417</v>
      </c>
    </row>
    <row r="7654" spans="1:6" x14ac:dyDescent="0.2">
      <c r="A7654" s="29" t="s">
        <v>18939</v>
      </c>
      <c r="B7654" s="30" t="s">
        <v>18940</v>
      </c>
      <c r="C7654" s="29" t="s">
        <v>26</v>
      </c>
      <c r="D7654" s="31">
        <v>522.24</v>
      </c>
      <c r="F7654" s="3" t="str">
        <f t="shared" si="119"/>
        <v>I9418</v>
      </c>
    </row>
    <row r="7655" spans="1:6" x14ac:dyDescent="0.2">
      <c r="A7655" s="29" t="s">
        <v>18941</v>
      </c>
      <c r="B7655" s="30" t="s">
        <v>18942</v>
      </c>
      <c r="C7655" s="29" t="s">
        <v>26</v>
      </c>
      <c r="D7655" s="31">
        <v>874.55</v>
      </c>
      <c r="F7655" s="3" t="str">
        <f t="shared" si="119"/>
        <v>I9419</v>
      </c>
    </row>
    <row r="7656" spans="1:6" x14ac:dyDescent="0.2">
      <c r="A7656" s="29" t="s">
        <v>18943</v>
      </c>
      <c r="B7656" s="30" t="s">
        <v>18944</v>
      </c>
      <c r="C7656" s="29" t="s">
        <v>26</v>
      </c>
      <c r="D7656" s="31">
        <v>60.42</v>
      </c>
      <c r="F7656" s="3" t="str">
        <f t="shared" si="119"/>
        <v>I0993</v>
      </c>
    </row>
    <row r="7657" spans="1:6" x14ac:dyDescent="0.2">
      <c r="A7657" s="29" t="s">
        <v>18945</v>
      </c>
      <c r="B7657" s="30" t="s">
        <v>18946</v>
      </c>
      <c r="C7657" s="29" t="s">
        <v>26</v>
      </c>
      <c r="D7657" s="31">
        <v>60.42</v>
      </c>
      <c r="F7657" s="3" t="str">
        <f t="shared" si="119"/>
        <v>I0995</v>
      </c>
    </row>
    <row r="7658" spans="1:6" x14ac:dyDescent="0.2">
      <c r="A7658" s="29" t="s">
        <v>18947</v>
      </c>
      <c r="B7658" s="30" t="s">
        <v>18948</v>
      </c>
      <c r="C7658" s="29" t="s">
        <v>26</v>
      </c>
      <c r="D7658" s="31">
        <v>71.819999999999993</v>
      </c>
      <c r="F7658" s="3" t="str">
        <f t="shared" si="119"/>
        <v>I0997</v>
      </c>
    </row>
    <row r="7659" spans="1:6" x14ac:dyDescent="0.2">
      <c r="A7659" s="29" t="s">
        <v>18949</v>
      </c>
      <c r="B7659" s="30" t="s">
        <v>18950</v>
      </c>
      <c r="C7659" s="29" t="s">
        <v>26</v>
      </c>
      <c r="D7659" s="31">
        <v>161.93</v>
      </c>
      <c r="F7659" s="3" t="str">
        <f t="shared" si="119"/>
        <v>I0991</v>
      </c>
    </row>
    <row r="7660" spans="1:6" x14ac:dyDescent="0.2">
      <c r="A7660" s="29" t="s">
        <v>18951</v>
      </c>
      <c r="B7660" s="30" t="s">
        <v>18952</v>
      </c>
      <c r="C7660" s="29" t="s">
        <v>26</v>
      </c>
      <c r="D7660" s="31">
        <v>222.1</v>
      </c>
      <c r="F7660" s="3" t="str">
        <f t="shared" si="119"/>
        <v>I0992</v>
      </c>
    </row>
    <row r="7661" spans="1:6" x14ac:dyDescent="0.2">
      <c r="A7661" s="29" t="s">
        <v>18953</v>
      </c>
      <c r="B7661" s="30" t="s">
        <v>18954</v>
      </c>
      <c r="C7661" s="29" t="s">
        <v>26</v>
      </c>
      <c r="D7661" s="31">
        <v>222.1</v>
      </c>
      <c r="F7661" s="3" t="str">
        <f t="shared" si="119"/>
        <v>I1015</v>
      </c>
    </row>
    <row r="7662" spans="1:6" x14ac:dyDescent="0.2">
      <c r="A7662" s="29" t="s">
        <v>18955</v>
      </c>
      <c r="B7662" s="30" t="s">
        <v>18956</v>
      </c>
      <c r="C7662" s="29" t="s">
        <v>26</v>
      </c>
      <c r="D7662" s="31">
        <v>2279.1799999999998</v>
      </c>
      <c r="F7662" s="3" t="str">
        <f t="shared" si="119"/>
        <v>I0994</v>
      </c>
    </row>
    <row r="7663" spans="1:6" x14ac:dyDescent="0.2">
      <c r="A7663" s="29" t="s">
        <v>18957</v>
      </c>
      <c r="B7663" s="30" t="s">
        <v>18958</v>
      </c>
      <c r="C7663" s="29" t="s">
        <v>26</v>
      </c>
      <c r="D7663" s="31">
        <v>2534.8200000000002</v>
      </c>
      <c r="F7663" s="3" t="str">
        <f t="shared" si="119"/>
        <v>I0996</v>
      </c>
    </row>
    <row r="7664" spans="1:6" x14ac:dyDescent="0.2">
      <c r="A7664" s="29" t="s">
        <v>18959</v>
      </c>
      <c r="B7664" s="30" t="s">
        <v>18960</v>
      </c>
      <c r="C7664" s="29" t="s">
        <v>26</v>
      </c>
      <c r="D7664" s="31">
        <v>3370.85</v>
      </c>
      <c r="F7664" s="3" t="str">
        <f t="shared" si="119"/>
        <v>I1003</v>
      </c>
    </row>
    <row r="7665" spans="1:6" x14ac:dyDescent="0.2">
      <c r="A7665" s="29" t="s">
        <v>18961</v>
      </c>
      <c r="B7665" s="30" t="s">
        <v>18962</v>
      </c>
      <c r="C7665" s="29" t="s">
        <v>26</v>
      </c>
      <c r="D7665" s="31">
        <v>15201.49</v>
      </c>
      <c r="F7665" s="3" t="str">
        <f t="shared" si="119"/>
        <v>I0998</v>
      </c>
    </row>
    <row r="7666" spans="1:6" x14ac:dyDescent="0.2">
      <c r="A7666" s="29" t="s">
        <v>18963</v>
      </c>
      <c r="B7666" s="30" t="s">
        <v>18964</v>
      </c>
      <c r="C7666" s="29" t="s">
        <v>26</v>
      </c>
      <c r="D7666" s="31">
        <v>15201.49</v>
      </c>
      <c r="F7666" s="3" t="str">
        <f t="shared" si="119"/>
        <v>I0999</v>
      </c>
    </row>
    <row r="7667" spans="1:6" x14ac:dyDescent="0.2">
      <c r="A7667" s="29" t="s">
        <v>18965</v>
      </c>
      <c r="B7667" s="30" t="s">
        <v>18966</v>
      </c>
      <c r="C7667" s="29" t="s">
        <v>26</v>
      </c>
      <c r="D7667" s="31">
        <v>18512.05</v>
      </c>
      <c r="F7667" s="3" t="str">
        <f t="shared" si="119"/>
        <v>I1000</v>
      </c>
    </row>
    <row r="7668" spans="1:6" x14ac:dyDescent="0.2">
      <c r="A7668" s="29" t="s">
        <v>18967</v>
      </c>
      <c r="B7668" s="30" t="s">
        <v>18968</v>
      </c>
      <c r="C7668" s="29" t="s">
        <v>26</v>
      </c>
      <c r="D7668" s="31">
        <v>34115.56</v>
      </c>
      <c r="F7668" s="3" t="str">
        <f t="shared" si="119"/>
        <v>I1001</v>
      </c>
    </row>
    <row r="7669" spans="1:6" x14ac:dyDescent="0.2">
      <c r="A7669" s="29" t="s">
        <v>18969</v>
      </c>
      <c r="B7669" s="30" t="s">
        <v>18970</v>
      </c>
      <c r="C7669" s="29" t="s">
        <v>26</v>
      </c>
      <c r="D7669" s="31">
        <v>34445.730000000003</v>
      </c>
      <c r="F7669" s="3" t="str">
        <f t="shared" si="119"/>
        <v>I1002</v>
      </c>
    </row>
    <row r="7670" spans="1:6" x14ac:dyDescent="0.2">
      <c r="A7670" s="29" t="s">
        <v>18971</v>
      </c>
      <c r="B7670" s="30" t="s">
        <v>18972</v>
      </c>
      <c r="C7670" s="29" t="s">
        <v>26</v>
      </c>
      <c r="D7670" s="31">
        <v>60.13</v>
      </c>
      <c r="F7670" s="3" t="str">
        <f t="shared" si="119"/>
        <v>I1004</v>
      </c>
    </row>
    <row r="7671" spans="1:6" x14ac:dyDescent="0.2">
      <c r="A7671" s="29" t="s">
        <v>18973</v>
      </c>
      <c r="B7671" s="30" t="s">
        <v>18974</v>
      </c>
      <c r="C7671" s="29" t="s">
        <v>26</v>
      </c>
      <c r="D7671" s="31">
        <v>60.13</v>
      </c>
      <c r="F7671" s="3" t="str">
        <f t="shared" si="119"/>
        <v>I1005</v>
      </c>
    </row>
    <row r="7672" spans="1:6" x14ac:dyDescent="0.2">
      <c r="A7672" s="29" t="s">
        <v>18975</v>
      </c>
      <c r="B7672" s="30" t="s">
        <v>18976</v>
      </c>
      <c r="C7672" s="29" t="s">
        <v>26</v>
      </c>
      <c r="D7672" s="31">
        <v>60.13</v>
      </c>
      <c r="F7672" s="3" t="str">
        <f t="shared" si="119"/>
        <v>I1007</v>
      </c>
    </row>
    <row r="7673" spans="1:6" x14ac:dyDescent="0.2">
      <c r="A7673" s="29" t="s">
        <v>18977</v>
      </c>
      <c r="B7673" s="30" t="s">
        <v>18978</v>
      </c>
      <c r="C7673" s="29" t="s">
        <v>26</v>
      </c>
      <c r="D7673" s="31">
        <v>60.13</v>
      </c>
      <c r="F7673" s="3" t="str">
        <f t="shared" si="119"/>
        <v>I1008</v>
      </c>
    </row>
    <row r="7674" spans="1:6" x14ac:dyDescent="0.2">
      <c r="A7674" s="29" t="s">
        <v>18979</v>
      </c>
      <c r="B7674" s="30" t="s">
        <v>18980</v>
      </c>
      <c r="C7674" s="29" t="s">
        <v>26</v>
      </c>
      <c r="D7674" s="31">
        <v>60.13</v>
      </c>
      <c r="F7674" s="3" t="str">
        <f t="shared" si="119"/>
        <v>I1010</v>
      </c>
    </row>
    <row r="7675" spans="1:6" x14ac:dyDescent="0.2">
      <c r="A7675" s="29" t="s">
        <v>18981</v>
      </c>
      <c r="B7675" s="30" t="s">
        <v>18982</v>
      </c>
      <c r="C7675" s="29" t="s">
        <v>26</v>
      </c>
      <c r="D7675" s="31">
        <v>874.81</v>
      </c>
      <c r="F7675" s="3" t="str">
        <f t="shared" si="119"/>
        <v>I7404</v>
      </c>
    </row>
    <row r="7676" spans="1:6" x14ac:dyDescent="0.2">
      <c r="A7676" s="29" t="s">
        <v>18983</v>
      </c>
      <c r="B7676" s="30" t="s">
        <v>18984</v>
      </c>
      <c r="C7676" s="29" t="s">
        <v>26</v>
      </c>
      <c r="D7676" s="31">
        <v>1114.9000000000001</v>
      </c>
      <c r="F7676" s="3" t="str">
        <f t="shared" si="119"/>
        <v>I7400</v>
      </c>
    </row>
    <row r="7677" spans="1:6" x14ac:dyDescent="0.2">
      <c r="A7677" s="29" t="s">
        <v>18985</v>
      </c>
      <c r="B7677" s="30" t="s">
        <v>18986</v>
      </c>
      <c r="C7677" s="29" t="s">
        <v>26</v>
      </c>
      <c r="D7677" s="31">
        <v>60.13</v>
      </c>
      <c r="F7677" s="3" t="str">
        <f t="shared" si="119"/>
        <v>I1011</v>
      </c>
    </row>
    <row r="7678" spans="1:6" x14ac:dyDescent="0.2">
      <c r="A7678" s="29" t="s">
        <v>18987</v>
      </c>
      <c r="B7678" s="30" t="s">
        <v>18988</v>
      </c>
      <c r="C7678" s="29" t="s">
        <v>26</v>
      </c>
      <c r="D7678" s="31">
        <v>60.13</v>
      </c>
      <c r="F7678" s="3" t="str">
        <f t="shared" si="119"/>
        <v>I1013</v>
      </c>
    </row>
    <row r="7679" spans="1:6" x14ac:dyDescent="0.2">
      <c r="A7679" s="29" t="s">
        <v>18989</v>
      </c>
      <c r="B7679" s="30" t="s">
        <v>18990</v>
      </c>
      <c r="C7679" s="29" t="s">
        <v>26</v>
      </c>
      <c r="D7679" s="31">
        <v>4229.8100000000004</v>
      </c>
      <c r="F7679" s="3" t="str">
        <f t="shared" si="119"/>
        <v>I9075</v>
      </c>
    </row>
    <row r="7680" spans="1:6" x14ac:dyDescent="0.2">
      <c r="A7680" s="29" t="s">
        <v>18991</v>
      </c>
      <c r="B7680" s="30" t="s">
        <v>18992</v>
      </c>
      <c r="C7680" s="29" t="s">
        <v>26</v>
      </c>
      <c r="D7680" s="31">
        <v>104.88</v>
      </c>
      <c r="F7680" s="3" t="str">
        <f t="shared" si="119"/>
        <v>I1016</v>
      </c>
    </row>
    <row r="7681" spans="1:6" x14ac:dyDescent="0.2">
      <c r="A7681" s="29" t="s">
        <v>18993</v>
      </c>
      <c r="B7681" s="30" t="s">
        <v>18994</v>
      </c>
      <c r="C7681" s="29" t="s">
        <v>26</v>
      </c>
      <c r="D7681" s="31">
        <v>71.819999999999993</v>
      </c>
      <c r="F7681" s="3" t="str">
        <f t="shared" si="119"/>
        <v>I1017</v>
      </c>
    </row>
    <row r="7682" spans="1:6" x14ac:dyDescent="0.2">
      <c r="A7682" s="29" t="s">
        <v>18995</v>
      </c>
      <c r="B7682" s="30" t="s">
        <v>18996</v>
      </c>
      <c r="C7682" s="29" t="s">
        <v>26</v>
      </c>
      <c r="D7682" s="31">
        <v>104.88</v>
      </c>
      <c r="F7682" s="3" t="str">
        <f t="shared" ref="F7682:F7745" si="120">A7682</f>
        <v>I1018</v>
      </c>
    </row>
    <row r="7683" spans="1:6" x14ac:dyDescent="0.2">
      <c r="A7683" s="29" t="s">
        <v>18997</v>
      </c>
      <c r="B7683" s="30" t="s">
        <v>18998</v>
      </c>
      <c r="C7683" s="29" t="s">
        <v>26</v>
      </c>
      <c r="D7683" s="31">
        <v>104.88</v>
      </c>
      <c r="F7683" s="3" t="str">
        <f t="shared" si="120"/>
        <v>I1019</v>
      </c>
    </row>
    <row r="7684" spans="1:6" ht="22.5" x14ac:dyDescent="0.2">
      <c r="A7684" s="29" t="s">
        <v>18999</v>
      </c>
      <c r="B7684" s="30" t="s">
        <v>19000</v>
      </c>
      <c r="C7684" s="29" t="s">
        <v>26</v>
      </c>
      <c r="D7684" s="31">
        <v>4033</v>
      </c>
      <c r="F7684" s="3" t="str">
        <f t="shared" si="120"/>
        <v>I9065</v>
      </c>
    </row>
    <row r="7685" spans="1:6" ht="22.5" x14ac:dyDescent="0.2">
      <c r="A7685" s="29" t="s">
        <v>19001</v>
      </c>
      <c r="B7685" s="30" t="s">
        <v>19002</v>
      </c>
      <c r="C7685" s="29" t="s">
        <v>26</v>
      </c>
      <c r="D7685" s="31">
        <v>133.83000000000001</v>
      </c>
      <c r="F7685" s="3" t="str">
        <f t="shared" si="120"/>
        <v>I8442</v>
      </c>
    </row>
    <row r="7686" spans="1:6" ht="22.5" x14ac:dyDescent="0.2">
      <c r="A7686" s="29" t="s">
        <v>19003</v>
      </c>
      <c r="B7686" s="30" t="s">
        <v>13313</v>
      </c>
      <c r="C7686" s="29" t="s">
        <v>26</v>
      </c>
      <c r="D7686" s="31">
        <v>412.44</v>
      </c>
      <c r="F7686" s="3" t="str">
        <f t="shared" si="120"/>
        <v>I8444</v>
      </c>
    </row>
    <row r="7687" spans="1:6" ht="22.5" x14ac:dyDescent="0.2">
      <c r="A7687" s="29" t="s">
        <v>19004</v>
      </c>
      <c r="B7687" s="30" t="s">
        <v>19005</v>
      </c>
      <c r="C7687" s="29" t="s">
        <v>26</v>
      </c>
      <c r="D7687" s="31">
        <v>699</v>
      </c>
      <c r="F7687" s="3" t="str">
        <f t="shared" si="120"/>
        <v>I8445</v>
      </c>
    </row>
    <row r="7688" spans="1:6" x14ac:dyDescent="0.2">
      <c r="A7688" s="29" t="s">
        <v>19006</v>
      </c>
      <c r="B7688" s="30" t="s">
        <v>13311</v>
      </c>
      <c r="C7688" s="29" t="s">
        <v>26</v>
      </c>
      <c r="D7688" s="31">
        <v>699</v>
      </c>
      <c r="F7688" s="3" t="str">
        <f t="shared" si="120"/>
        <v>I6829</v>
      </c>
    </row>
    <row r="7689" spans="1:6" x14ac:dyDescent="0.2">
      <c r="A7689" s="29" t="s">
        <v>19007</v>
      </c>
      <c r="B7689" s="30" t="s">
        <v>19008</v>
      </c>
      <c r="C7689" s="29" t="s">
        <v>0</v>
      </c>
      <c r="D7689" s="31">
        <v>120.79</v>
      </c>
      <c r="F7689" s="3" t="str">
        <f t="shared" si="120"/>
        <v>I1043</v>
      </c>
    </row>
    <row r="7690" spans="1:6" x14ac:dyDescent="0.2">
      <c r="A7690" s="29" t="s">
        <v>19009</v>
      </c>
      <c r="B7690" s="30" t="s">
        <v>19010</v>
      </c>
      <c r="C7690" s="29" t="s">
        <v>0</v>
      </c>
      <c r="D7690" s="31">
        <v>13.18</v>
      </c>
      <c r="F7690" s="3" t="str">
        <f t="shared" si="120"/>
        <v>I6690</v>
      </c>
    </row>
    <row r="7691" spans="1:6" x14ac:dyDescent="0.2">
      <c r="A7691" s="29" t="s">
        <v>19011</v>
      </c>
      <c r="B7691" s="30" t="s">
        <v>19012</v>
      </c>
      <c r="C7691" s="29" t="s">
        <v>0</v>
      </c>
      <c r="D7691" s="31">
        <v>32.57</v>
      </c>
      <c r="F7691" s="3" t="str">
        <f t="shared" si="120"/>
        <v>I6692</v>
      </c>
    </row>
    <row r="7692" spans="1:6" x14ac:dyDescent="0.2">
      <c r="A7692" s="29" t="s">
        <v>19013</v>
      </c>
      <c r="B7692" s="30" t="s">
        <v>19014</v>
      </c>
      <c r="C7692" s="29" t="s">
        <v>0</v>
      </c>
      <c r="D7692" s="31">
        <v>33</v>
      </c>
      <c r="F7692" s="3" t="str">
        <f t="shared" si="120"/>
        <v>I6693</v>
      </c>
    </row>
    <row r="7693" spans="1:6" x14ac:dyDescent="0.2">
      <c r="A7693" s="29" t="s">
        <v>19015</v>
      </c>
      <c r="B7693" s="30" t="s">
        <v>19016</v>
      </c>
      <c r="C7693" s="29" t="s">
        <v>0</v>
      </c>
      <c r="D7693" s="31">
        <v>4.0999999999999996</v>
      </c>
      <c r="F7693" s="3" t="str">
        <f t="shared" si="120"/>
        <v>I6686</v>
      </c>
    </row>
    <row r="7694" spans="1:6" x14ac:dyDescent="0.2">
      <c r="A7694" s="29" t="s">
        <v>19017</v>
      </c>
      <c r="B7694" s="30" t="s">
        <v>19018</v>
      </c>
      <c r="C7694" s="29" t="s">
        <v>0</v>
      </c>
      <c r="D7694" s="31">
        <v>4.7</v>
      </c>
      <c r="F7694" s="3" t="str">
        <f t="shared" si="120"/>
        <v>I6687</v>
      </c>
    </row>
    <row r="7695" spans="1:6" x14ac:dyDescent="0.2">
      <c r="A7695" s="29" t="s">
        <v>19019</v>
      </c>
      <c r="B7695" s="30" t="s">
        <v>19020</v>
      </c>
      <c r="C7695" s="29" t="s">
        <v>0</v>
      </c>
      <c r="D7695" s="31">
        <v>6.75</v>
      </c>
      <c r="F7695" s="3" t="str">
        <f t="shared" si="120"/>
        <v>I6688</v>
      </c>
    </row>
    <row r="7696" spans="1:6" x14ac:dyDescent="0.2">
      <c r="A7696" s="29" t="s">
        <v>19021</v>
      </c>
      <c r="B7696" s="30" t="s">
        <v>19022</v>
      </c>
      <c r="C7696" s="29" t="s">
        <v>0</v>
      </c>
      <c r="D7696" s="31">
        <v>9.4499999999999993</v>
      </c>
      <c r="F7696" s="3" t="str">
        <f t="shared" si="120"/>
        <v>I6689</v>
      </c>
    </row>
    <row r="7697" spans="1:6" x14ac:dyDescent="0.2">
      <c r="A7697" s="29" t="s">
        <v>19023</v>
      </c>
      <c r="B7697" s="30" t="s">
        <v>19024</v>
      </c>
      <c r="C7697" s="29" t="s">
        <v>0</v>
      </c>
      <c r="D7697" s="31">
        <v>28.38</v>
      </c>
      <c r="F7697" s="3" t="str">
        <f t="shared" si="120"/>
        <v>I1044</v>
      </c>
    </row>
    <row r="7698" spans="1:6" x14ac:dyDescent="0.2">
      <c r="A7698" s="29" t="s">
        <v>19025</v>
      </c>
      <c r="B7698" s="30" t="s">
        <v>19026</v>
      </c>
      <c r="C7698" s="29" t="s">
        <v>0</v>
      </c>
      <c r="D7698" s="31">
        <v>37.9</v>
      </c>
      <c r="F7698" s="3" t="str">
        <f t="shared" si="120"/>
        <v>I1045</v>
      </c>
    </row>
    <row r="7699" spans="1:6" x14ac:dyDescent="0.2">
      <c r="A7699" s="29" t="s">
        <v>19027</v>
      </c>
      <c r="B7699" s="30" t="s">
        <v>19028</v>
      </c>
      <c r="C7699" s="29" t="s">
        <v>0</v>
      </c>
      <c r="D7699" s="31">
        <v>91.99</v>
      </c>
      <c r="F7699" s="3" t="str">
        <f t="shared" si="120"/>
        <v>I8370</v>
      </c>
    </row>
    <row r="7700" spans="1:6" x14ac:dyDescent="0.2">
      <c r="A7700" s="29" t="s">
        <v>19029</v>
      </c>
      <c r="B7700" s="30" t="s">
        <v>19030</v>
      </c>
      <c r="C7700" s="29" t="s">
        <v>0</v>
      </c>
      <c r="D7700" s="31">
        <v>9.06</v>
      </c>
      <c r="F7700" s="3" t="str">
        <f t="shared" si="120"/>
        <v>I1046</v>
      </c>
    </row>
    <row r="7701" spans="1:6" x14ac:dyDescent="0.2">
      <c r="A7701" s="29" t="s">
        <v>19031</v>
      </c>
      <c r="B7701" s="30" t="s">
        <v>19032</v>
      </c>
      <c r="C7701" s="29" t="s">
        <v>0</v>
      </c>
      <c r="D7701" s="31">
        <v>13.51</v>
      </c>
      <c r="F7701" s="3" t="str">
        <f t="shared" si="120"/>
        <v>I1047</v>
      </c>
    </row>
    <row r="7702" spans="1:6" x14ac:dyDescent="0.2">
      <c r="A7702" s="29" t="s">
        <v>19033</v>
      </c>
      <c r="B7702" s="30" t="s">
        <v>19034</v>
      </c>
      <c r="C7702" s="29" t="s">
        <v>0</v>
      </c>
      <c r="D7702" s="31">
        <v>18.82</v>
      </c>
      <c r="F7702" s="3" t="str">
        <f t="shared" si="120"/>
        <v>I1048</v>
      </c>
    </row>
    <row r="7703" spans="1:6" x14ac:dyDescent="0.2">
      <c r="A7703" s="29" t="s">
        <v>19035</v>
      </c>
      <c r="B7703" s="30" t="s">
        <v>19036</v>
      </c>
      <c r="C7703" s="29" t="s">
        <v>0</v>
      </c>
      <c r="D7703" s="31">
        <v>15.05</v>
      </c>
      <c r="F7703" s="3" t="str">
        <f t="shared" si="120"/>
        <v>I1049</v>
      </c>
    </row>
    <row r="7704" spans="1:6" x14ac:dyDescent="0.2">
      <c r="A7704" s="29" t="s">
        <v>19037</v>
      </c>
      <c r="B7704" s="30" t="s">
        <v>19038</v>
      </c>
      <c r="C7704" s="29" t="s">
        <v>0</v>
      </c>
      <c r="D7704" s="31">
        <v>15.95</v>
      </c>
      <c r="F7704" s="3" t="str">
        <f t="shared" si="120"/>
        <v>I1050</v>
      </c>
    </row>
    <row r="7705" spans="1:6" x14ac:dyDescent="0.2">
      <c r="A7705" s="29" t="s">
        <v>19039</v>
      </c>
      <c r="B7705" s="30" t="s">
        <v>19040</v>
      </c>
      <c r="C7705" s="29" t="s">
        <v>0</v>
      </c>
      <c r="D7705" s="31">
        <v>15.9</v>
      </c>
      <c r="F7705" s="3" t="str">
        <f t="shared" si="120"/>
        <v>I1051</v>
      </c>
    </row>
    <row r="7706" spans="1:6" x14ac:dyDescent="0.2">
      <c r="A7706" s="29" t="s">
        <v>19041</v>
      </c>
      <c r="B7706" s="30" t="s">
        <v>19042</v>
      </c>
      <c r="C7706" s="29" t="s">
        <v>0</v>
      </c>
      <c r="D7706" s="31">
        <v>6.17</v>
      </c>
      <c r="F7706" s="3" t="str">
        <f t="shared" si="120"/>
        <v>I1052</v>
      </c>
    </row>
    <row r="7707" spans="1:6" x14ac:dyDescent="0.2">
      <c r="A7707" s="29" t="s">
        <v>19043</v>
      </c>
      <c r="B7707" s="30" t="s">
        <v>19044</v>
      </c>
      <c r="C7707" s="29" t="s">
        <v>0</v>
      </c>
      <c r="D7707" s="31">
        <v>6.45</v>
      </c>
      <c r="F7707" s="3" t="str">
        <f t="shared" si="120"/>
        <v>I1053</v>
      </c>
    </row>
    <row r="7708" spans="1:6" x14ac:dyDescent="0.2">
      <c r="A7708" s="29" t="s">
        <v>19045</v>
      </c>
      <c r="B7708" s="30" t="s">
        <v>19046</v>
      </c>
      <c r="C7708" s="29" t="s">
        <v>0</v>
      </c>
      <c r="D7708" s="31">
        <v>10.039999999999999</v>
      </c>
      <c r="F7708" s="3" t="str">
        <f t="shared" si="120"/>
        <v>I1054</v>
      </c>
    </row>
    <row r="7709" spans="1:6" x14ac:dyDescent="0.2">
      <c r="A7709" s="29" t="s">
        <v>19047</v>
      </c>
      <c r="B7709" s="30" t="s">
        <v>19048</v>
      </c>
      <c r="C7709" s="29" t="s">
        <v>0</v>
      </c>
      <c r="D7709" s="31">
        <v>10.47</v>
      </c>
      <c r="F7709" s="3" t="str">
        <f t="shared" si="120"/>
        <v>I1055</v>
      </c>
    </row>
    <row r="7710" spans="1:6" x14ac:dyDescent="0.2">
      <c r="A7710" s="29" t="s">
        <v>19049</v>
      </c>
      <c r="B7710" s="30" t="s">
        <v>19050</v>
      </c>
      <c r="C7710" s="29" t="s">
        <v>0</v>
      </c>
      <c r="D7710" s="31">
        <v>11.74</v>
      </c>
      <c r="F7710" s="3" t="str">
        <f t="shared" si="120"/>
        <v>I1056</v>
      </c>
    </row>
    <row r="7711" spans="1:6" x14ac:dyDescent="0.2">
      <c r="A7711" s="29" t="s">
        <v>19051</v>
      </c>
      <c r="B7711" s="30" t="s">
        <v>19052</v>
      </c>
      <c r="C7711" s="29" t="s">
        <v>0</v>
      </c>
      <c r="D7711" s="31">
        <v>24.11</v>
      </c>
      <c r="F7711" s="3" t="str">
        <f t="shared" si="120"/>
        <v>I1062</v>
      </c>
    </row>
    <row r="7712" spans="1:6" x14ac:dyDescent="0.2">
      <c r="A7712" s="29" t="s">
        <v>19053</v>
      </c>
      <c r="B7712" s="30" t="s">
        <v>19054</v>
      </c>
      <c r="C7712" s="29" t="s">
        <v>0</v>
      </c>
      <c r="D7712" s="31">
        <v>20.29</v>
      </c>
      <c r="F7712" s="3" t="str">
        <f t="shared" si="120"/>
        <v>I1063</v>
      </c>
    </row>
    <row r="7713" spans="1:6" x14ac:dyDescent="0.2">
      <c r="A7713" s="29" t="s">
        <v>19055</v>
      </c>
      <c r="B7713" s="30" t="s">
        <v>19056</v>
      </c>
      <c r="C7713" s="29" t="s">
        <v>0</v>
      </c>
      <c r="D7713" s="31">
        <v>16.010000000000002</v>
      </c>
      <c r="F7713" s="3" t="str">
        <f t="shared" si="120"/>
        <v>I1064</v>
      </c>
    </row>
    <row r="7714" spans="1:6" x14ac:dyDescent="0.2">
      <c r="A7714" s="29" t="s">
        <v>19057</v>
      </c>
      <c r="B7714" s="30" t="s">
        <v>19058</v>
      </c>
      <c r="C7714" s="29" t="s">
        <v>0</v>
      </c>
      <c r="D7714" s="31">
        <v>44.56</v>
      </c>
      <c r="F7714" s="3" t="str">
        <f t="shared" si="120"/>
        <v>I1065</v>
      </c>
    </row>
    <row r="7715" spans="1:6" x14ac:dyDescent="0.2">
      <c r="A7715" s="29" t="s">
        <v>19059</v>
      </c>
      <c r="B7715" s="30" t="s">
        <v>19060</v>
      </c>
      <c r="C7715" s="29" t="s">
        <v>0</v>
      </c>
      <c r="D7715" s="31">
        <v>37.28</v>
      </c>
      <c r="F7715" s="3" t="str">
        <f t="shared" si="120"/>
        <v>I1066</v>
      </c>
    </row>
    <row r="7716" spans="1:6" x14ac:dyDescent="0.2">
      <c r="A7716" s="29" t="s">
        <v>19061</v>
      </c>
      <c r="B7716" s="30" t="s">
        <v>19062</v>
      </c>
      <c r="C7716" s="29" t="s">
        <v>0</v>
      </c>
      <c r="D7716" s="31">
        <v>13.27</v>
      </c>
      <c r="F7716" s="3" t="str">
        <f t="shared" si="120"/>
        <v>I1067</v>
      </c>
    </row>
    <row r="7717" spans="1:6" x14ac:dyDescent="0.2">
      <c r="A7717" s="29" t="s">
        <v>19063</v>
      </c>
      <c r="B7717" s="30" t="s">
        <v>19064</v>
      </c>
      <c r="C7717" s="29" t="s">
        <v>0</v>
      </c>
      <c r="D7717" s="31">
        <v>70.260000000000005</v>
      </c>
      <c r="F7717" s="3" t="str">
        <f t="shared" si="120"/>
        <v>I8371</v>
      </c>
    </row>
    <row r="7718" spans="1:6" x14ac:dyDescent="0.2">
      <c r="A7718" s="29" t="s">
        <v>19065</v>
      </c>
      <c r="B7718" s="30" t="s">
        <v>19066</v>
      </c>
      <c r="C7718" s="29" t="s">
        <v>0</v>
      </c>
      <c r="D7718" s="31">
        <v>3.67</v>
      </c>
      <c r="F7718" s="3" t="str">
        <f t="shared" si="120"/>
        <v>I1071</v>
      </c>
    </row>
    <row r="7719" spans="1:6" x14ac:dyDescent="0.2">
      <c r="A7719" s="29" t="s">
        <v>19067</v>
      </c>
      <c r="B7719" s="30" t="s">
        <v>19068</v>
      </c>
      <c r="C7719" s="29" t="s">
        <v>0</v>
      </c>
      <c r="D7719" s="31">
        <v>4.57</v>
      </c>
      <c r="F7719" s="3" t="str">
        <f t="shared" si="120"/>
        <v>I1075</v>
      </c>
    </row>
    <row r="7720" spans="1:6" x14ac:dyDescent="0.2">
      <c r="A7720" s="29" t="s">
        <v>19069</v>
      </c>
      <c r="B7720" s="30" t="s">
        <v>19070</v>
      </c>
      <c r="C7720" s="29" t="s">
        <v>0</v>
      </c>
      <c r="D7720" s="31">
        <v>10.45</v>
      </c>
      <c r="F7720" s="3" t="str">
        <f t="shared" si="120"/>
        <v>I1068</v>
      </c>
    </row>
    <row r="7721" spans="1:6" x14ac:dyDescent="0.2">
      <c r="A7721" s="29" t="s">
        <v>19071</v>
      </c>
      <c r="B7721" s="30" t="s">
        <v>19072</v>
      </c>
      <c r="C7721" s="29" t="s">
        <v>0</v>
      </c>
      <c r="D7721" s="31">
        <v>9.51</v>
      </c>
      <c r="F7721" s="3" t="str">
        <f t="shared" si="120"/>
        <v>I1069</v>
      </c>
    </row>
    <row r="7722" spans="1:6" x14ac:dyDescent="0.2">
      <c r="A7722" s="29" t="s">
        <v>19073</v>
      </c>
      <c r="B7722" s="30" t="s">
        <v>19074</v>
      </c>
      <c r="C7722" s="29" t="s">
        <v>0</v>
      </c>
      <c r="D7722" s="31">
        <v>7.14</v>
      </c>
      <c r="F7722" s="3" t="str">
        <f t="shared" si="120"/>
        <v>I1070</v>
      </c>
    </row>
    <row r="7723" spans="1:6" x14ac:dyDescent="0.2">
      <c r="A7723" s="29" t="s">
        <v>19075</v>
      </c>
      <c r="B7723" s="30" t="s">
        <v>19076</v>
      </c>
      <c r="C7723" s="29" t="s">
        <v>0</v>
      </c>
      <c r="D7723" s="31">
        <v>24.91</v>
      </c>
      <c r="F7723" s="3" t="str">
        <f t="shared" si="120"/>
        <v>I1072</v>
      </c>
    </row>
    <row r="7724" spans="1:6" x14ac:dyDescent="0.2">
      <c r="A7724" s="29" t="s">
        <v>19077</v>
      </c>
      <c r="B7724" s="30" t="s">
        <v>19078</v>
      </c>
      <c r="C7724" s="29" t="s">
        <v>0</v>
      </c>
      <c r="D7724" s="31">
        <v>17.079999999999998</v>
      </c>
      <c r="F7724" s="3" t="str">
        <f t="shared" si="120"/>
        <v>I1073</v>
      </c>
    </row>
    <row r="7725" spans="1:6" x14ac:dyDescent="0.2">
      <c r="A7725" s="29" t="s">
        <v>19079</v>
      </c>
      <c r="B7725" s="30" t="s">
        <v>19080</v>
      </c>
      <c r="C7725" s="29" t="s">
        <v>0</v>
      </c>
      <c r="D7725" s="31">
        <v>31.24</v>
      </c>
      <c r="F7725" s="3" t="str">
        <f t="shared" si="120"/>
        <v>I1074</v>
      </c>
    </row>
    <row r="7726" spans="1:6" x14ac:dyDescent="0.2">
      <c r="A7726" s="29" t="s">
        <v>19081</v>
      </c>
      <c r="B7726" s="30" t="s">
        <v>19082</v>
      </c>
      <c r="C7726" s="29" t="s">
        <v>0</v>
      </c>
      <c r="D7726" s="31">
        <v>49.23</v>
      </c>
      <c r="F7726" s="3" t="str">
        <f t="shared" si="120"/>
        <v>I1076</v>
      </c>
    </row>
    <row r="7727" spans="1:6" x14ac:dyDescent="0.2">
      <c r="A7727" s="29" t="s">
        <v>19083</v>
      </c>
      <c r="B7727" s="30" t="s">
        <v>19084</v>
      </c>
      <c r="C7727" s="29" t="s">
        <v>0</v>
      </c>
      <c r="D7727" s="31">
        <v>22.22</v>
      </c>
      <c r="F7727" s="3" t="str">
        <f t="shared" si="120"/>
        <v>I1077</v>
      </c>
    </row>
    <row r="7728" spans="1:6" x14ac:dyDescent="0.2">
      <c r="A7728" s="29" t="s">
        <v>19085</v>
      </c>
      <c r="B7728" s="30" t="s">
        <v>19086</v>
      </c>
      <c r="C7728" s="29" t="s">
        <v>0</v>
      </c>
      <c r="D7728" s="31">
        <v>18.079999999999998</v>
      </c>
      <c r="F7728" s="3" t="str">
        <f t="shared" si="120"/>
        <v>I1078</v>
      </c>
    </row>
    <row r="7729" spans="1:6" x14ac:dyDescent="0.2">
      <c r="A7729" s="29" t="s">
        <v>19087</v>
      </c>
      <c r="B7729" s="30" t="s">
        <v>19088</v>
      </c>
      <c r="C7729" s="29" t="s">
        <v>0</v>
      </c>
      <c r="D7729" s="31">
        <v>12.38</v>
      </c>
      <c r="F7729" s="3" t="str">
        <f t="shared" si="120"/>
        <v>I1079</v>
      </c>
    </row>
    <row r="7730" spans="1:6" x14ac:dyDescent="0.2">
      <c r="A7730" s="29" t="s">
        <v>19089</v>
      </c>
      <c r="B7730" s="30" t="s">
        <v>19090</v>
      </c>
      <c r="C7730" s="29" t="s">
        <v>0</v>
      </c>
      <c r="D7730" s="31">
        <v>7.78</v>
      </c>
      <c r="F7730" s="3" t="str">
        <f t="shared" si="120"/>
        <v>I1080</v>
      </c>
    </row>
    <row r="7731" spans="1:6" x14ac:dyDescent="0.2">
      <c r="A7731" s="29" t="s">
        <v>19091</v>
      </c>
      <c r="B7731" s="30" t="s">
        <v>19092</v>
      </c>
      <c r="C7731" s="29" t="s">
        <v>0</v>
      </c>
      <c r="D7731" s="31">
        <v>37.090000000000003</v>
      </c>
      <c r="F7731" s="3" t="str">
        <f t="shared" si="120"/>
        <v>I1081</v>
      </c>
    </row>
    <row r="7732" spans="1:6" x14ac:dyDescent="0.2">
      <c r="A7732" s="29" t="s">
        <v>19093</v>
      </c>
      <c r="B7732" s="30" t="s">
        <v>19094</v>
      </c>
      <c r="C7732" s="29" t="s">
        <v>0</v>
      </c>
      <c r="D7732" s="31">
        <v>9.1</v>
      </c>
      <c r="F7732" s="3" t="str">
        <f t="shared" si="120"/>
        <v>I1083</v>
      </c>
    </row>
    <row r="7733" spans="1:6" x14ac:dyDescent="0.2">
      <c r="A7733" s="29" t="s">
        <v>19095</v>
      </c>
      <c r="B7733" s="30" t="s">
        <v>19096</v>
      </c>
      <c r="C7733" s="29" t="s">
        <v>0</v>
      </c>
      <c r="D7733" s="31">
        <v>2.2200000000000002</v>
      </c>
      <c r="F7733" s="3" t="str">
        <f t="shared" si="120"/>
        <v>I1084</v>
      </c>
    </row>
    <row r="7734" spans="1:6" x14ac:dyDescent="0.2">
      <c r="A7734" s="29" t="s">
        <v>19097</v>
      </c>
      <c r="B7734" s="30" t="s">
        <v>19098</v>
      </c>
      <c r="C7734" s="29" t="s">
        <v>0</v>
      </c>
      <c r="D7734" s="31">
        <v>19.5</v>
      </c>
      <c r="F7734" s="3" t="str">
        <f t="shared" si="120"/>
        <v>I1085</v>
      </c>
    </row>
    <row r="7735" spans="1:6" x14ac:dyDescent="0.2">
      <c r="A7735" s="29" t="s">
        <v>19099</v>
      </c>
      <c r="B7735" s="30" t="s">
        <v>19100</v>
      </c>
      <c r="C7735" s="29" t="s">
        <v>0</v>
      </c>
      <c r="D7735" s="31">
        <v>10.54</v>
      </c>
      <c r="F7735" s="3" t="str">
        <f t="shared" si="120"/>
        <v>I1086</v>
      </c>
    </row>
    <row r="7736" spans="1:6" x14ac:dyDescent="0.2">
      <c r="A7736" s="29" t="s">
        <v>19101</v>
      </c>
      <c r="B7736" s="30" t="s">
        <v>19102</v>
      </c>
      <c r="C7736" s="29" t="s">
        <v>0</v>
      </c>
      <c r="D7736" s="31">
        <v>13.43</v>
      </c>
      <c r="F7736" s="3" t="str">
        <f t="shared" si="120"/>
        <v>I1087</v>
      </c>
    </row>
    <row r="7737" spans="1:6" ht="22.5" x14ac:dyDescent="0.2">
      <c r="A7737" s="29" t="s">
        <v>19103</v>
      </c>
      <c r="B7737" s="30" t="s">
        <v>19104</v>
      </c>
      <c r="C7737" s="29" t="s">
        <v>26</v>
      </c>
      <c r="D7737" s="31">
        <v>2.82</v>
      </c>
      <c r="F7737" s="3" t="str">
        <f t="shared" si="120"/>
        <v>I9066</v>
      </c>
    </row>
    <row r="7738" spans="1:6" x14ac:dyDescent="0.2">
      <c r="A7738" s="29" t="s">
        <v>19105</v>
      </c>
      <c r="B7738" s="30" t="s">
        <v>19106</v>
      </c>
      <c r="C7738" s="29" t="s">
        <v>26</v>
      </c>
      <c r="D7738" s="31">
        <v>2.82</v>
      </c>
      <c r="F7738" s="3" t="str">
        <f t="shared" si="120"/>
        <v>I2313</v>
      </c>
    </row>
    <row r="7739" spans="1:6" x14ac:dyDescent="0.2">
      <c r="A7739" s="29" t="s">
        <v>19107</v>
      </c>
      <c r="B7739" s="30" t="s">
        <v>19108</v>
      </c>
      <c r="C7739" s="29" t="s">
        <v>26</v>
      </c>
      <c r="D7739" s="31">
        <v>2.82</v>
      </c>
      <c r="F7739" s="3" t="str">
        <f t="shared" si="120"/>
        <v>I2315</v>
      </c>
    </row>
    <row r="7740" spans="1:6" x14ac:dyDescent="0.2">
      <c r="A7740" s="29" t="s">
        <v>19109</v>
      </c>
      <c r="B7740" s="30" t="s">
        <v>19110</v>
      </c>
      <c r="C7740" s="29" t="s">
        <v>26</v>
      </c>
      <c r="D7740" s="31">
        <v>50.65</v>
      </c>
      <c r="F7740" s="3" t="str">
        <f t="shared" si="120"/>
        <v>I6020</v>
      </c>
    </row>
    <row r="7741" spans="1:6" x14ac:dyDescent="0.2">
      <c r="A7741" s="29" t="s">
        <v>19111</v>
      </c>
      <c r="B7741" s="30" t="s">
        <v>19112</v>
      </c>
      <c r="C7741" s="29" t="s">
        <v>19113</v>
      </c>
      <c r="D7741" s="31">
        <v>0.98</v>
      </c>
      <c r="F7741" s="3" t="str">
        <f t="shared" si="120"/>
        <v>I2321</v>
      </c>
    </row>
    <row r="7742" spans="1:6" x14ac:dyDescent="0.2">
      <c r="A7742" s="29" t="s">
        <v>19114</v>
      </c>
      <c r="B7742" s="30" t="s">
        <v>19115</v>
      </c>
      <c r="C7742" s="29" t="s">
        <v>26</v>
      </c>
      <c r="D7742" s="31">
        <v>2.9</v>
      </c>
      <c r="F7742" s="3" t="str">
        <f t="shared" si="120"/>
        <v>I1105</v>
      </c>
    </row>
    <row r="7743" spans="1:6" x14ac:dyDescent="0.2">
      <c r="A7743" s="29" t="s">
        <v>19116</v>
      </c>
      <c r="B7743" s="30" t="s">
        <v>19117</v>
      </c>
      <c r="C7743" s="29" t="s">
        <v>26</v>
      </c>
      <c r="D7743" s="31">
        <v>6.14</v>
      </c>
      <c r="F7743" s="3" t="str">
        <f t="shared" si="120"/>
        <v>I1106</v>
      </c>
    </row>
    <row r="7744" spans="1:6" x14ac:dyDescent="0.2">
      <c r="A7744" s="29" t="s">
        <v>19118</v>
      </c>
      <c r="B7744" s="30" t="s">
        <v>19119</v>
      </c>
      <c r="C7744" s="29" t="s">
        <v>26</v>
      </c>
      <c r="D7744" s="31">
        <v>3.48</v>
      </c>
      <c r="F7744" s="3" t="str">
        <f t="shared" si="120"/>
        <v>I9106</v>
      </c>
    </row>
    <row r="7745" spans="1:6" x14ac:dyDescent="0.2">
      <c r="A7745" s="29" t="s">
        <v>19120</v>
      </c>
      <c r="B7745" s="30" t="s">
        <v>13129</v>
      </c>
      <c r="C7745" s="29" t="s">
        <v>26</v>
      </c>
      <c r="D7745" s="31">
        <v>2605.75</v>
      </c>
      <c r="F7745" s="3" t="str">
        <f t="shared" si="120"/>
        <v>I1109</v>
      </c>
    </row>
    <row r="7746" spans="1:6" x14ac:dyDescent="0.2">
      <c r="A7746" s="29" t="s">
        <v>19121</v>
      </c>
      <c r="B7746" s="30" t="s">
        <v>19122</v>
      </c>
      <c r="C7746" s="29" t="s">
        <v>26</v>
      </c>
      <c r="D7746" s="31">
        <v>267</v>
      </c>
      <c r="F7746" s="3" t="str">
        <f t="shared" ref="F7746:F7809" si="121">A7746</f>
        <v>I1110</v>
      </c>
    </row>
    <row r="7747" spans="1:6" x14ac:dyDescent="0.2">
      <c r="A7747" s="29" t="s">
        <v>19123</v>
      </c>
      <c r="B7747" s="30" t="s">
        <v>19124</v>
      </c>
      <c r="C7747" s="29" t="s">
        <v>26</v>
      </c>
      <c r="D7747" s="31">
        <v>647.99</v>
      </c>
      <c r="F7747" s="3" t="str">
        <f t="shared" si="121"/>
        <v>I1111</v>
      </c>
    </row>
    <row r="7748" spans="1:6" x14ac:dyDescent="0.2">
      <c r="A7748" s="29" t="s">
        <v>19125</v>
      </c>
      <c r="B7748" s="30" t="s">
        <v>19126</v>
      </c>
      <c r="C7748" s="29" t="s">
        <v>26</v>
      </c>
      <c r="D7748" s="31">
        <v>963.02</v>
      </c>
      <c r="F7748" s="3" t="str">
        <f t="shared" si="121"/>
        <v>I1112</v>
      </c>
    </row>
    <row r="7749" spans="1:6" x14ac:dyDescent="0.2">
      <c r="A7749" s="29" t="s">
        <v>19127</v>
      </c>
      <c r="B7749" s="30" t="s">
        <v>19128</v>
      </c>
      <c r="C7749" s="29" t="s">
        <v>26</v>
      </c>
      <c r="D7749" s="31">
        <v>1129.3599999999999</v>
      </c>
      <c r="F7749" s="3" t="str">
        <f t="shared" si="121"/>
        <v>I1113</v>
      </c>
    </row>
    <row r="7750" spans="1:6" x14ac:dyDescent="0.2">
      <c r="A7750" s="29" t="s">
        <v>19129</v>
      </c>
      <c r="B7750" s="30" t="s">
        <v>19130</v>
      </c>
      <c r="C7750" s="29" t="s">
        <v>0</v>
      </c>
      <c r="D7750" s="31">
        <v>1.74</v>
      </c>
      <c r="F7750" s="3" t="str">
        <f t="shared" si="121"/>
        <v>I2340</v>
      </c>
    </row>
    <row r="7751" spans="1:6" x14ac:dyDescent="0.2">
      <c r="A7751" s="29" t="s">
        <v>19131</v>
      </c>
      <c r="B7751" s="30" t="s">
        <v>19132</v>
      </c>
      <c r="C7751" s="29" t="s">
        <v>0</v>
      </c>
      <c r="D7751" s="31">
        <v>0.64</v>
      </c>
      <c r="F7751" s="3" t="str">
        <f t="shared" si="121"/>
        <v>I1167</v>
      </c>
    </row>
    <row r="7752" spans="1:6" x14ac:dyDescent="0.2">
      <c r="A7752" s="29" t="s">
        <v>19133</v>
      </c>
      <c r="B7752" s="30" t="s">
        <v>19134</v>
      </c>
      <c r="C7752" s="29" t="s">
        <v>0</v>
      </c>
      <c r="D7752" s="31">
        <v>0.85</v>
      </c>
      <c r="F7752" s="3" t="str">
        <f t="shared" si="121"/>
        <v>I1168</v>
      </c>
    </row>
    <row r="7753" spans="1:6" x14ac:dyDescent="0.2">
      <c r="A7753" s="29" t="s">
        <v>19135</v>
      </c>
      <c r="B7753" s="30" t="s">
        <v>19136</v>
      </c>
      <c r="C7753" s="29" t="s">
        <v>0</v>
      </c>
      <c r="D7753" s="31">
        <v>0.89</v>
      </c>
      <c r="F7753" s="3" t="str">
        <f t="shared" si="121"/>
        <v>I1169</v>
      </c>
    </row>
    <row r="7754" spans="1:6" x14ac:dyDescent="0.2">
      <c r="A7754" s="29" t="s">
        <v>19137</v>
      </c>
      <c r="B7754" s="30" t="s">
        <v>19138</v>
      </c>
      <c r="C7754" s="29" t="s">
        <v>0</v>
      </c>
      <c r="D7754" s="31">
        <v>1.08</v>
      </c>
      <c r="F7754" s="3" t="str">
        <f t="shared" si="121"/>
        <v>I1170</v>
      </c>
    </row>
    <row r="7755" spans="1:6" x14ac:dyDescent="0.2">
      <c r="A7755" s="29" t="s">
        <v>19139</v>
      </c>
      <c r="B7755" s="30" t="s">
        <v>19140</v>
      </c>
      <c r="C7755" s="29" t="s">
        <v>0</v>
      </c>
      <c r="D7755" s="31">
        <v>6.7</v>
      </c>
      <c r="F7755" s="3" t="str">
        <f t="shared" si="121"/>
        <v>I1171</v>
      </c>
    </row>
    <row r="7756" spans="1:6" x14ac:dyDescent="0.2">
      <c r="A7756" s="29" t="s">
        <v>19141</v>
      </c>
      <c r="B7756" s="30" t="s">
        <v>19142</v>
      </c>
      <c r="C7756" s="29" t="s">
        <v>0</v>
      </c>
      <c r="D7756" s="31">
        <v>1.74</v>
      </c>
      <c r="F7756" s="3" t="str">
        <f t="shared" si="121"/>
        <v>I1172</v>
      </c>
    </row>
    <row r="7757" spans="1:6" x14ac:dyDescent="0.2">
      <c r="A7757" s="29" t="s">
        <v>19143</v>
      </c>
      <c r="B7757" s="30" t="s">
        <v>19144</v>
      </c>
      <c r="C7757" s="29" t="s">
        <v>0</v>
      </c>
      <c r="D7757" s="31">
        <v>2.96</v>
      </c>
      <c r="F7757" s="3" t="str">
        <f t="shared" si="121"/>
        <v>I1173</v>
      </c>
    </row>
    <row r="7758" spans="1:6" x14ac:dyDescent="0.2">
      <c r="A7758" s="29" t="s">
        <v>19145</v>
      </c>
      <c r="B7758" s="30" t="s">
        <v>19146</v>
      </c>
      <c r="C7758" s="29" t="s">
        <v>0</v>
      </c>
      <c r="D7758" s="31">
        <v>4.0999999999999996</v>
      </c>
      <c r="F7758" s="3" t="str">
        <f t="shared" si="121"/>
        <v>I1174</v>
      </c>
    </row>
    <row r="7759" spans="1:6" x14ac:dyDescent="0.2">
      <c r="A7759" s="29" t="s">
        <v>19147</v>
      </c>
      <c r="B7759" s="30" t="s">
        <v>12511</v>
      </c>
      <c r="C7759" s="29" t="s">
        <v>0</v>
      </c>
      <c r="D7759" s="31">
        <v>1.45</v>
      </c>
      <c r="F7759" s="3" t="str">
        <f t="shared" si="121"/>
        <v>I1175</v>
      </c>
    </row>
    <row r="7760" spans="1:6" x14ac:dyDescent="0.2">
      <c r="A7760" s="29" t="s">
        <v>19148</v>
      </c>
      <c r="B7760" s="30" t="s">
        <v>12513</v>
      </c>
      <c r="C7760" s="29" t="s">
        <v>0</v>
      </c>
      <c r="D7760" s="31">
        <v>1.68</v>
      </c>
      <c r="F7760" s="3" t="str">
        <f t="shared" si="121"/>
        <v>I1176</v>
      </c>
    </row>
    <row r="7761" spans="1:6" x14ac:dyDescent="0.2">
      <c r="A7761" s="29" t="s">
        <v>19149</v>
      </c>
      <c r="B7761" s="30" t="s">
        <v>12515</v>
      </c>
      <c r="C7761" s="29" t="s">
        <v>0</v>
      </c>
      <c r="D7761" s="31">
        <v>2.2200000000000002</v>
      </c>
      <c r="F7761" s="3" t="str">
        <f t="shared" si="121"/>
        <v>I1177</v>
      </c>
    </row>
    <row r="7762" spans="1:6" ht="22.5" x14ac:dyDescent="0.2">
      <c r="A7762" s="29" t="s">
        <v>19150</v>
      </c>
      <c r="B7762" s="30" t="s">
        <v>19151</v>
      </c>
      <c r="C7762" s="29" t="s">
        <v>0</v>
      </c>
      <c r="D7762" s="31">
        <v>7.79</v>
      </c>
      <c r="F7762" s="3" t="str">
        <f t="shared" si="121"/>
        <v>I9144</v>
      </c>
    </row>
    <row r="7763" spans="1:6" x14ac:dyDescent="0.2">
      <c r="A7763" s="29" t="s">
        <v>19152</v>
      </c>
      <c r="B7763" s="30" t="s">
        <v>19153</v>
      </c>
      <c r="C7763" s="29" t="s">
        <v>0</v>
      </c>
      <c r="D7763" s="31">
        <v>0.75</v>
      </c>
      <c r="F7763" s="3" t="str">
        <f t="shared" si="121"/>
        <v>I1181</v>
      </c>
    </row>
    <row r="7764" spans="1:6" x14ac:dyDescent="0.2">
      <c r="A7764" s="29" t="s">
        <v>19154</v>
      </c>
      <c r="B7764" s="30" t="s">
        <v>19155</v>
      </c>
      <c r="C7764" s="29" t="s">
        <v>26</v>
      </c>
      <c r="D7764" s="31">
        <v>10.220000000000001</v>
      </c>
      <c r="F7764" s="3" t="str">
        <f t="shared" si="121"/>
        <v>I7392</v>
      </c>
    </row>
    <row r="7765" spans="1:6" x14ac:dyDescent="0.2">
      <c r="A7765" s="29" t="s">
        <v>19156</v>
      </c>
      <c r="B7765" s="30" t="s">
        <v>19157</v>
      </c>
      <c r="C7765" s="29" t="s">
        <v>26</v>
      </c>
      <c r="D7765" s="31">
        <v>6.7</v>
      </c>
      <c r="F7765" s="3" t="str">
        <f t="shared" si="121"/>
        <v>I7391</v>
      </c>
    </row>
    <row r="7766" spans="1:6" x14ac:dyDescent="0.2">
      <c r="A7766" s="29" t="s">
        <v>19158</v>
      </c>
      <c r="B7766" s="30" t="s">
        <v>19159</v>
      </c>
      <c r="C7766" s="29" t="s">
        <v>26</v>
      </c>
      <c r="D7766" s="31">
        <v>167.8</v>
      </c>
      <c r="F7766" s="3" t="str">
        <f t="shared" si="121"/>
        <v>I7418</v>
      </c>
    </row>
    <row r="7767" spans="1:6" x14ac:dyDescent="0.2">
      <c r="A7767" s="29" t="s">
        <v>19160</v>
      </c>
      <c r="B7767" s="30" t="s">
        <v>19161</v>
      </c>
      <c r="C7767" s="29" t="s">
        <v>26</v>
      </c>
      <c r="D7767" s="31">
        <v>3.19</v>
      </c>
      <c r="F7767" s="3" t="str">
        <f t="shared" si="121"/>
        <v>I7442</v>
      </c>
    </row>
    <row r="7768" spans="1:6" x14ac:dyDescent="0.2">
      <c r="A7768" s="29" t="s">
        <v>19162</v>
      </c>
      <c r="B7768" s="30" t="s">
        <v>19163</v>
      </c>
      <c r="C7768" s="29" t="s">
        <v>26</v>
      </c>
      <c r="D7768" s="31">
        <v>2.2000000000000002</v>
      </c>
      <c r="F7768" s="3" t="str">
        <f t="shared" si="121"/>
        <v>I1204</v>
      </c>
    </row>
    <row r="7769" spans="1:6" x14ac:dyDescent="0.2">
      <c r="A7769" s="29" t="s">
        <v>19164</v>
      </c>
      <c r="B7769" s="30" t="s">
        <v>19165</v>
      </c>
      <c r="C7769" s="29" t="s">
        <v>26</v>
      </c>
      <c r="D7769" s="31">
        <v>4.7699999999999996</v>
      </c>
      <c r="F7769" s="3" t="str">
        <f t="shared" si="121"/>
        <v>I1205</v>
      </c>
    </row>
    <row r="7770" spans="1:6" x14ac:dyDescent="0.2">
      <c r="A7770" s="29" t="s">
        <v>19166</v>
      </c>
      <c r="B7770" s="30" t="s">
        <v>19167</v>
      </c>
      <c r="C7770" s="29" t="s">
        <v>26</v>
      </c>
      <c r="D7770" s="31">
        <v>24.23</v>
      </c>
      <c r="F7770" s="3" t="str">
        <f t="shared" si="121"/>
        <v>I1206</v>
      </c>
    </row>
    <row r="7771" spans="1:6" x14ac:dyDescent="0.2">
      <c r="A7771" s="29" t="s">
        <v>19168</v>
      </c>
      <c r="B7771" s="30" t="s">
        <v>19169</v>
      </c>
      <c r="C7771" s="29" t="s">
        <v>26</v>
      </c>
      <c r="D7771" s="31">
        <v>54.16</v>
      </c>
      <c r="F7771" s="3" t="str">
        <f t="shared" si="121"/>
        <v>I1207</v>
      </c>
    </row>
    <row r="7772" spans="1:6" x14ac:dyDescent="0.2">
      <c r="A7772" s="29" t="s">
        <v>19170</v>
      </c>
      <c r="B7772" s="30" t="s">
        <v>19171</v>
      </c>
      <c r="C7772" s="29" t="s">
        <v>26</v>
      </c>
      <c r="D7772" s="31">
        <v>57.72</v>
      </c>
      <c r="F7772" s="3" t="str">
        <f t="shared" si="121"/>
        <v>I1208</v>
      </c>
    </row>
    <row r="7773" spans="1:6" x14ac:dyDescent="0.2">
      <c r="A7773" s="29" t="s">
        <v>19172</v>
      </c>
      <c r="B7773" s="30" t="s">
        <v>19173</v>
      </c>
      <c r="C7773" s="29" t="s">
        <v>26</v>
      </c>
      <c r="D7773" s="31">
        <v>73.23</v>
      </c>
      <c r="F7773" s="3" t="str">
        <f t="shared" si="121"/>
        <v>I1209</v>
      </c>
    </row>
    <row r="7774" spans="1:6" x14ac:dyDescent="0.2">
      <c r="A7774" s="29" t="s">
        <v>19174</v>
      </c>
      <c r="B7774" s="30" t="s">
        <v>19175</v>
      </c>
      <c r="C7774" s="29" t="s">
        <v>26</v>
      </c>
      <c r="D7774" s="31">
        <v>739.15</v>
      </c>
      <c r="F7774" s="3" t="str">
        <f t="shared" si="121"/>
        <v>I1210</v>
      </c>
    </row>
    <row r="7775" spans="1:6" x14ac:dyDescent="0.2">
      <c r="A7775" s="29" t="s">
        <v>19176</v>
      </c>
      <c r="B7775" s="30" t="s">
        <v>19177</v>
      </c>
      <c r="C7775" s="29" t="s">
        <v>26</v>
      </c>
      <c r="D7775" s="31">
        <v>27.83</v>
      </c>
      <c r="F7775" s="3" t="str">
        <f t="shared" si="121"/>
        <v>I7409</v>
      </c>
    </row>
    <row r="7776" spans="1:6" x14ac:dyDescent="0.2">
      <c r="A7776" s="29" t="s">
        <v>19178</v>
      </c>
      <c r="B7776" s="30" t="s">
        <v>19179</v>
      </c>
      <c r="C7776" s="29" t="s">
        <v>26</v>
      </c>
      <c r="D7776" s="31">
        <v>22.7</v>
      </c>
      <c r="F7776" s="3" t="str">
        <f t="shared" si="121"/>
        <v>I7435</v>
      </c>
    </row>
    <row r="7777" spans="1:6" x14ac:dyDescent="0.2">
      <c r="A7777" s="29" t="s">
        <v>19180</v>
      </c>
      <c r="B7777" s="30" t="s">
        <v>19181</v>
      </c>
      <c r="C7777" s="29" t="s">
        <v>26</v>
      </c>
      <c r="D7777" s="31">
        <v>11.67</v>
      </c>
      <c r="F7777" s="3" t="str">
        <f t="shared" si="121"/>
        <v>I1217</v>
      </c>
    </row>
    <row r="7778" spans="1:6" x14ac:dyDescent="0.2">
      <c r="A7778" s="29" t="s">
        <v>19182</v>
      </c>
      <c r="B7778" s="30" t="s">
        <v>19183</v>
      </c>
      <c r="C7778" s="29" t="s">
        <v>26</v>
      </c>
      <c r="D7778" s="31">
        <v>377.8</v>
      </c>
      <c r="F7778" s="3" t="str">
        <f t="shared" si="121"/>
        <v>I7387</v>
      </c>
    </row>
    <row r="7779" spans="1:6" x14ac:dyDescent="0.2">
      <c r="A7779" s="29" t="s">
        <v>19184</v>
      </c>
      <c r="B7779" s="30" t="s">
        <v>19185</v>
      </c>
      <c r="C7779" s="29" t="s">
        <v>26</v>
      </c>
      <c r="D7779" s="31">
        <v>224.8</v>
      </c>
      <c r="F7779" s="3" t="str">
        <f t="shared" si="121"/>
        <v>I7386</v>
      </c>
    </row>
    <row r="7780" spans="1:6" x14ac:dyDescent="0.2">
      <c r="A7780" s="29" t="s">
        <v>19186</v>
      </c>
      <c r="B7780" s="30" t="s">
        <v>12849</v>
      </c>
      <c r="C7780" s="29" t="s">
        <v>26</v>
      </c>
      <c r="D7780" s="31">
        <v>284.10000000000002</v>
      </c>
      <c r="F7780" s="3" t="str">
        <f t="shared" si="121"/>
        <v>I7385</v>
      </c>
    </row>
    <row r="7781" spans="1:6" x14ac:dyDescent="0.2">
      <c r="A7781" s="29" t="s">
        <v>19187</v>
      </c>
      <c r="B7781" s="30" t="s">
        <v>19188</v>
      </c>
      <c r="C7781" s="29" t="s">
        <v>26</v>
      </c>
      <c r="D7781" s="31">
        <v>7.27</v>
      </c>
      <c r="F7781" s="3" t="str">
        <f t="shared" si="121"/>
        <v>I7381</v>
      </c>
    </row>
    <row r="7782" spans="1:6" x14ac:dyDescent="0.2">
      <c r="A7782" s="29" t="s">
        <v>19189</v>
      </c>
      <c r="B7782" s="30" t="s">
        <v>19190</v>
      </c>
      <c r="C7782" s="29" t="s">
        <v>26</v>
      </c>
      <c r="D7782" s="31">
        <v>4.47</v>
      </c>
      <c r="F7782" s="3" t="str">
        <f t="shared" si="121"/>
        <v>I6177</v>
      </c>
    </row>
    <row r="7783" spans="1:6" x14ac:dyDescent="0.2">
      <c r="A7783" s="29" t="s">
        <v>19191</v>
      </c>
      <c r="B7783" s="30" t="s">
        <v>19192</v>
      </c>
      <c r="C7783" s="29" t="s">
        <v>26</v>
      </c>
      <c r="D7783" s="31">
        <v>1628.3</v>
      </c>
      <c r="F7783" s="3" t="str">
        <f t="shared" si="121"/>
        <v>I7464</v>
      </c>
    </row>
    <row r="7784" spans="1:6" x14ac:dyDescent="0.2">
      <c r="A7784" s="29" t="s">
        <v>19193</v>
      </c>
      <c r="B7784" s="30" t="s">
        <v>19194</v>
      </c>
      <c r="C7784" s="29" t="s">
        <v>26</v>
      </c>
      <c r="D7784" s="31">
        <v>74.599999999999994</v>
      </c>
      <c r="F7784" s="3" t="str">
        <f t="shared" si="121"/>
        <v>I7380</v>
      </c>
    </row>
    <row r="7785" spans="1:6" x14ac:dyDescent="0.2">
      <c r="A7785" s="29" t="s">
        <v>19195</v>
      </c>
      <c r="B7785" s="30" t="s">
        <v>19196</v>
      </c>
      <c r="C7785" s="29" t="s">
        <v>26</v>
      </c>
      <c r="D7785" s="31">
        <v>53.28</v>
      </c>
      <c r="F7785" s="3" t="str">
        <f t="shared" si="121"/>
        <v>I2352</v>
      </c>
    </row>
    <row r="7786" spans="1:6" x14ac:dyDescent="0.2">
      <c r="A7786" s="29" t="s">
        <v>19197</v>
      </c>
      <c r="B7786" s="30" t="s">
        <v>19198</v>
      </c>
      <c r="C7786" s="29" t="s">
        <v>26</v>
      </c>
      <c r="D7786" s="31">
        <v>131.87</v>
      </c>
      <c r="F7786" s="3" t="str">
        <f t="shared" si="121"/>
        <v>I1243</v>
      </c>
    </row>
    <row r="7787" spans="1:6" x14ac:dyDescent="0.2">
      <c r="A7787" s="29" t="s">
        <v>19199</v>
      </c>
      <c r="B7787" s="30" t="s">
        <v>19200</v>
      </c>
      <c r="C7787" s="29" t="s">
        <v>26</v>
      </c>
      <c r="D7787" s="31">
        <v>82</v>
      </c>
      <c r="F7787" s="3" t="str">
        <f t="shared" si="121"/>
        <v>I1244</v>
      </c>
    </row>
    <row r="7788" spans="1:6" x14ac:dyDescent="0.2">
      <c r="A7788" s="29" t="s">
        <v>19201</v>
      </c>
      <c r="B7788" s="30" t="s">
        <v>13319</v>
      </c>
      <c r="C7788" s="29" t="s">
        <v>26</v>
      </c>
      <c r="D7788" s="31">
        <v>1510.55</v>
      </c>
      <c r="F7788" s="3" t="str">
        <f t="shared" si="121"/>
        <v>I6824</v>
      </c>
    </row>
    <row r="7789" spans="1:6" x14ac:dyDescent="0.2">
      <c r="A7789" s="29" t="s">
        <v>19202</v>
      </c>
      <c r="B7789" s="30" t="s">
        <v>19203</v>
      </c>
      <c r="C7789" s="29" t="s">
        <v>26</v>
      </c>
      <c r="D7789" s="31">
        <v>11.48</v>
      </c>
      <c r="F7789" s="3" t="str">
        <f t="shared" si="121"/>
        <v>I1253</v>
      </c>
    </row>
    <row r="7790" spans="1:6" x14ac:dyDescent="0.2">
      <c r="A7790" s="29" t="s">
        <v>19204</v>
      </c>
      <c r="B7790" s="30" t="s">
        <v>19205</v>
      </c>
      <c r="C7790" s="29" t="s">
        <v>26</v>
      </c>
      <c r="D7790" s="31">
        <v>19.71</v>
      </c>
      <c r="F7790" s="3" t="str">
        <f t="shared" si="121"/>
        <v>I1254</v>
      </c>
    </row>
    <row r="7791" spans="1:6" x14ac:dyDescent="0.2">
      <c r="A7791" s="29" t="s">
        <v>19206</v>
      </c>
      <c r="B7791" s="30" t="s">
        <v>19207</v>
      </c>
      <c r="C7791" s="29" t="s">
        <v>26</v>
      </c>
      <c r="D7791" s="31">
        <v>11.48</v>
      </c>
      <c r="F7791" s="3" t="str">
        <f t="shared" si="121"/>
        <v>I1252</v>
      </c>
    </row>
    <row r="7792" spans="1:6" x14ac:dyDescent="0.2">
      <c r="A7792" s="29" t="s">
        <v>19208</v>
      </c>
      <c r="B7792" s="30" t="s">
        <v>19209</v>
      </c>
      <c r="C7792" s="29" t="s">
        <v>26</v>
      </c>
      <c r="D7792" s="31">
        <v>8.44</v>
      </c>
      <c r="F7792" s="3" t="str">
        <f t="shared" si="121"/>
        <v>I1255</v>
      </c>
    </row>
    <row r="7793" spans="1:6" x14ac:dyDescent="0.2">
      <c r="A7793" s="29" t="s">
        <v>19210</v>
      </c>
      <c r="B7793" s="30" t="s">
        <v>19211</v>
      </c>
      <c r="C7793" s="29" t="s">
        <v>26</v>
      </c>
      <c r="D7793" s="31">
        <v>11.36</v>
      </c>
      <c r="F7793" s="3" t="str">
        <f t="shared" si="121"/>
        <v>I1256</v>
      </c>
    </row>
    <row r="7794" spans="1:6" x14ac:dyDescent="0.2">
      <c r="A7794" s="29" t="s">
        <v>19212</v>
      </c>
      <c r="B7794" s="30" t="s">
        <v>19213</v>
      </c>
      <c r="C7794" s="29" t="s">
        <v>26</v>
      </c>
      <c r="D7794" s="31">
        <v>18.72</v>
      </c>
      <c r="F7794" s="3" t="str">
        <f t="shared" si="121"/>
        <v>I1257</v>
      </c>
    </row>
    <row r="7795" spans="1:6" x14ac:dyDescent="0.2">
      <c r="A7795" s="29" t="s">
        <v>19214</v>
      </c>
      <c r="B7795" s="30" t="s">
        <v>19215</v>
      </c>
      <c r="C7795" s="29" t="s">
        <v>26</v>
      </c>
      <c r="D7795" s="31">
        <v>34.22</v>
      </c>
      <c r="F7795" s="3" t="str">
        <f t="shared" si="121"/>
        <v>I1258</v>
      </c>
    </row>
    <row r="7796" spans="1:6" x14ac:dyDescent="0.2">
      <c r="A7796" s="29" t="s">
        <v>19216</v>
      </c>
      <c r="B7796" s="30" t="s">
        <v>19217</v>
      </c>
      <c r="C7796" s="29" t="s">
        <v>26</v>
      </c>
      <c r="D7796" s="31">
        <v>18.29</v>
      </c>
      <c r="F7796" s="3" t="str">
        <f t="shared" si="121"/>
        <v>I1259</v>
      </c>
    </row>
    <row r="7797" spans="1:6" x14ac:dyDescent="0.2">
      <c r="A7797" s="29" t="s">
        <v>19218</v>
      </c>
      <c r="B7797" s="30" t="s">
        <v>19219</v>
      </c>
      <c r="C7797" s="29" t="s">
        <v>26</v>
      </c>
      <c r="D7797" s="31">
        <v>27.87</v>
      </c>
      <c r="F7797" s="3" t="str">
        <f t="shared" si="121"/>
        <v>I1260</v>
      </c>
    </row>
    <row r="7798" spans="1:6" x14ac:dyDescent="0.2">
      <c r="A7798" s="29" t="s">
        <v>19220</v>
      </c>
      <c r="B7798" s="30" t="s">
        <v>19221</v>
      </c>
      <c r="C7798" s="29" t="s">
        <v>26</v>
      </c>
      <c r="D7798" s="31">
        <v>21.19</v>
      </c>
      <c r="F7798" s="3" t="str">
        <f t="shared" si="121"/>
        <v>I1261</v>
      </c>
    </row>
    <row r="7799" spans="1:6" x14ac:dyDescent="0.2">
      <c r="A7799" s="29" t="s">
        <v>19222</v>
      </c>
      <c r="B7799" s="30" t="s">
        <v>19223</v>
      </c>
      <c r="C7799" s="29" t="s">
        <v>26</v>
      </c>
      <c r="D7799" s="31">
        <v>24.74</v>
      </c>
      <c r="F7799" s="3" t="str">
        <f t="shared" si="121"/>
        <v>I1262</v>
      </c>
    </row>
    <row r="7800" spans="1:6" x14ac:dyDescent="0.2">
      <c r="A7800" s="29" t="s">
        <v>19224</v>
      </c>
      <c r="B7800" s="30" t="s">
        <v>19225</v>
      </c>
      <c r="C7800" s="29" t="s">
        <v>26</v>
      </c>
      <c r="D7800" s="31">
        <v>14.9</v>
      </c>
      <c r="F7800" s="3" t="str">
        <f t="shared" si="121"/>
        <v>I1263</v>
      </c>
    </row>
    <row r="7801" spans="1:6" x14ac:dyDescent="0.2">
      <c r="A7801" s="29" t="s">
        <v>19226</v>
      </c>
      <c r="B7801" s="30" t="s">
        <v>19227</v>
      </c>
      <c r="C7801" s="29" t="s">
        <v>26</v>
      </c>
      <c r="D7801" s="31">
        <v>25.09</v>
      </c>
      <c r="F7801" s="3" t="str">
        <f t="shared" si="121"/>
        <v>I1264</v>
      </c>
    </row>
    <row r="7802" spans="1:6" x14ac:dyDescent="0.2">
      <c r="A7802" s="29" t="s">
        <v>19228</v>
      </c>
      <c r="B7802" s="30" t="s">
        <v>19229</v>
      </c>
      <c r="C7802" s="29" t="s">
        <v>26</v>
      </c>
      <c r="D7802" s="31">
        <v>26.11</v>
      </c>
      <c r="F7802" s="3" t="str">
        <f t="shared" si="121"/>
        <v>I1265</v>
      </c>
    </row>
    <row r="7803" spans="1:6" x14ac:dyDescent="0.2">
      <c r="A7803" s="29" t="s">
        <v>19230</v>
      </c>
      <c r="B7803" s="30" t="s">
        <v>19231</v>
      </c>
      <c r="C7803" s="29" t="s">
        <v>26</v>
      </c>
      <c r="D7803" s="31">
        <v>30.42</v>
      </c>
      <c r="F7803" s="3" t="str">
        <f t="shared" si="121"/>
        <v>I1266</v>
      </c>
    </row>
    <row r="7804" spans="1:6" x14ac:dyDescent="0.2">
      <c r="A7804" s="29" t="s">
        <v>19232</v>
      </c>
      <c r="B7804" s="30" t="s">
        <v>19233</v>
      </c>
      <c r="C7804" s="29" t="s">
        <v>26</v>
      </c>
      <c r="D7804" s="31">
        <v>20.71</v>
      </c>
      <c r="F7804" s="3" t="str">
        <f t="shared" si="121"/>
        <v>I1267</v>
      </c>
    </row>
    <row r="7805" spans="1:6" x14ac:dyDescent="0.2">
      <c r="A7805" s="29" t="s">
        <v>19234</v>
      </c>
      <c r="B7805" s="30" t="s">
        <v>19235</v>
      </c>
      <c r="C7805" s="29" t="s">
        <v>26</v>
      </c>
      <c r="D7805" s="31">
        <v>11.28</v>
      </c>
      <c r="F7805" s="3" t="str">
        <f t="shared" si="121"/>
        <v>I2357</v>
      </c>
    </row>
    <row r="7806" spans="1:6" x14ac:dyDescent="0.2">
      <c r="A7806" s="29" t="s">
        <v>19236</v>
      </c>
      <c r="B7806" s="30" t="s">
        <v>12739</v>
      </c>
      <c r="C7806" s="29" t="s">
        <v>26</v>
      </c>
      <c r="D7806" s="31">
        <v>15.66</v>
      </c>
      <c r="F7806" s="3" t="str">
        <f t="shared" si="121"/>
        <v>I1268</v>
      </c>
    </row>
    <row r="7807" spans="1:6" x14ac:dyDescent="0.2">
      <c r="A7807" s="29" t="s">
        <v>19237</v>
      </c>
      <c r="B7807" s="30" t="s">
        <v>19238</v>
      </c>
      <c r="C7807" s="29" t="s">
        <v>26</v>
      </c>
      <c r="D7807" s="31">
        <v>12.13</v>
      </c>
      <c r="F7807" s="3" t="str">
        <f t="shared" si="121"/>
        <v>I1269</v>
      </c>
    </row>
    <row r="7808" spans="1:6" x14ac:dyDescent="0.2">
      <c r="A7808" s="29" t="s">
        <v>19239</v>
      </c>
      <c r="B7808" s="30" t="s">
        <v>12727</v>
      </c>
      <c r="C7808" s="29" t="s">
        <v>26</v>
      </c>
      <c r="D7808" s="31">
        <v>10.67</v>
      </c>
      <c r="F7808" s="3" t="str">
        <f t="shared" si="121"/>
        <v>I1270</v>
      </c>
    </row>
    <row r="7809" spans="1:6" x14ac:dyDescent="0.2">
      <c r="A7809" s="29" t="s">
        <v>19240</v>
      </c>
      <c r="B7809" s="30" t="s">
        <v>19241</v>
      </c>
      <c r="C7809" s="29" t="s">
        <v>26</v>
      </c>
      <c r="D7809" s="31">
        <v>8.68</v>
      </c>
      <c r="F7809" s="3" t="str">
        <f t="shared" si="121"/>
        <v>I7415</v>
      </c>
    </row>
    <row r="7810" spans="1:6" x14ac:dyDescent="0.2">
      <c r="A7810" s="29" t="s">
        <v>19242</v>
      </c>
      <c r="B7810" s="30" t="s">
        <v>19243</v>
      </c>
      <c r="C7810" s="29" t="s">
        <v>26</v>
      </c>
      <c r="D7810" s="31">
        <v>96.54</v>
      </c>
      <c r="F7810" s="3" t="str">
        <f t="shared" ref="F7810:F7873" si="122">A7810</f>
        <v>I1272</v>
      </c>
    </row>
    <row r="7811" spans="1:6" x14ac:dyDescent="0.2">
      <c r="A7811" s="29" t="s">
        <v>19244</v>
      </c>
      <c r="B7811" s="30" t="s">
        <v>19245</v>
      </c>
      <c r="C7811" s="29" t="s">
        <v>26</v>
      </c>
      <c r="D7811" s="31">
        <v>102.61</v>
      </c>
      <c r="F7811" s="3" t="str">
        <f t="shared" si="122"/>
        <v>I1271</v>
      </c>
    </row>
    <row r="7812" spans="1:6" x14ac:dyDescent="0.2">
      <c r="A7812" s="29" t="s">
        <v>19246</v>
      </c>
      <c r="B7812" s="30" t="s">
        <v>19247</v>
      </c>
      <c r="C7812" s="29" t="s">
        <v>26</v>
      </c>
      <c r="D7812" s="31">
        <v>29.55</v>
      </c>
      <c r="F7812" s="3" t="str">
        <f t="shared" si="122"/>
        <v>I9067</v>
      </c>
    </row>
    <row r="7813" spans="1:6" x14ac:dyDescent="0.2">
      <c r="A7813" s="29" t="s">
        <v>19248</v>
      </c>
      <c r="B7813" s="30" t="s">
        <v>19249</v>
      </c>
      <c r="C7813" s="29" t="s">
        <v>26</v>
      </c>
      <c r="D7813" s="31">
        <v>509.6</v>
      </c>
      <c r="F7813" s="3" t="str">
        <f t="shared" si="122"/>
        <v>I0300</v>
      </c>
    </row>
    <row r="7814" spans="1:6" x14ac:dyDescent="0.2">
      <c r="A7814" s="29" t="s">
        <v>19250</v>
      </c>
      <c r="B7814" s="30" t="s">
        <v>19251</v>
      </c>
      <c r="C7814" s="29" t="s">
        <v>26</v>
      </c>
      <c r="D7814" s="31">
        <v>30.28</v>
      </c>
      <c r="F7814" s="3" t="str">
        <f t="shared" si="122"/>
        <v>I7394</v>
      </c>
    </row>
    <row r="7815" spans="1:6" x14ac:dyDescent="0.2">
      <c r="A7815" s="29" t="s">
        <v>19252</v>
      </c>
      <c r="B7815" s="30" t="s">
        <v>12519</v>
      </c>
      <c r="C7815" s="29" t="s">
        <v>26</v>
      </c>
      <c r="D7815" s="31">
        <v>53.4</v>
      </c>
      <c r="F7815" s="3" t="str">
        <f t="shared" si="122"/>
        <v>I7397</v>
      </c>
    </row>
    <row r="7816" spans="1:6" x14ac:dyDescent="0.2">
      <c r="A7816" s="29" t="s">
        <v>19253</v>
      </c>
      <c r="B7816" s="30" t="s">
        <v>19254</v>
      </c>
      <c r="C7816" s="29" t="s">
        <v>26</v>
      </c>
      <c r="D7816" s="31">
        <v>715.71</v>
      </c>
      <c r="F7816" s="3" t="str">
        <f t="shared" si="122"/>
        <v>I6191</v>
      </c>
    </row>
    <row r="7817" spans="1:6" x14ac:dyDescent="0.2">
      <c r="A7817" s="29" t="s">
        <v>19255</v>
      </c>
      <c r="B7817" s="30" t="s">
        <v>19256</v>
      </c>
      <c r="C7817" s="29" t="s">
        <v>26</v>
      </c>
      <c r="D7817" s="31">
        <v>272.66000000000003</v>
      </c>
      <c r="F7817" s="3" t="str">
        <f t="shared" si="122"/>
        <v>I6199</v>
      </c>
    </row>
    <row r="7818" spans="1:6" x14ac:dyDescent="0.2">
      <c r="A7818" s="29" t="s">
        <v>19257</v>
      </c>
      <c r="B7818" s="30" t="s">
        <v>19258</v>
      </c>
      <c r="C7818" s="29" t="s">
        <v>26</v>
      </c>
      <c r="D7818" s="31">
        <v>273.76</v>
      </c>
      <c r="F7818" s="3" t="str">
        <f t="shared" si="122"/>
        <v>I6180</v>
      </c>
    </row>
    <row r="7819" spans="1:6" x14ac:dyDescent="0.2">
      <c r="A7819" s="29" t="s">
        <v>19259</v>
      </c>
      <c r="B7819" s="30" t="s">
        <v>19260</v>
      </c>
      <c r="C7819" s="29" t="s">
        <v>26</v>
      </c>
      <c r="D7819" s="31">
        <v>377.91</v>
      </c>
      <c r="F7819" s="3" t="str">
        <f t="shared" si="122"/>
        <v>I6200</v>
      </c>
    </row>
    <row r="7820" spans="1:6" x14ac:dyDescent="0.2">
      <c r="A7820" s="29" t="s">
        <v>19261</v>
      </c>
      <c r="B7820" s="30" t="s">
        <v>19262</v>
      </c>
      <c r="C7820" s="29" t="s">
        <v>26</v>
      </c>
      <c r="D7820" s="31">
        <v>428.04</v>
      </c>
      <c r="F7820" s="3" t="str">
        <f t="shared" si="122"/>
        <v>I6181</v>
      </c>
    </row>
    <row r="7821" spans="1:6" x14ac:dyDescent="0.2">
      <c r="A7821" s="29" t="s">
        <v>19263</v>
      </c>
      <c r="B7821" s="30" t="s">
        <v>19264</v>
      </c>
      <c r="C7821" s="29" t="s">
        <v>26</v>
      </c>
      <c r="D7821" s="31">
        <v>157.55000000000001</v>
      </c>
      <c r="F7821" s="3" t="str">
        <f t="shared" si="122"/>
        <v>I1354</v>
      </c>
    </row>
    <row r="7822" spans="1:6" ht="22.5" x14ac:dyDescent="0.2">
      <c r="A7822" s="29" t="s">
        <v>19265</v>
      </c>
      <c r="B7822" s="30" t="s">
        <v>19266</v>
      </c>
      <c r="C7822" s="29" t="s">
        <v>26</v>
      </c>
      <c r="D7822" s="31">
        <v>345.38</v>
      </c>
      <c r="F7822" s="3" t="str">
        <f t="shared" si="122"/>
        <v>I6697</v>
      </c>
    </row>
    <row r="7823" spans="1:6" ht="22.5" x14ac:dyDescent="0.2">
      <c r="A7823" s="29" t="s">
        <v>19267</v>
      </c>
      <c r="B7823" s="30" t="s">
        <v>19268</v>
      </c>
      <c r="C7823" s="29" t="s">
        <v>26</v>
      </c>
      <c r="D7823" s="31">
        <v>286.33</v>
      </c>
      <c r="F7823" s="3" t="str">
        <f t="shared" si="122"/>
        <v>I6698</v>
      </c>
    </row>
    <row r="7824" spans="1:6" x14ac:dyDescent="0.2">
      <c r="A7824" s="29" t="s">
        <v>19269</v>
      </c>
      <c r="B7824" s="30" t="s">
        <v>19270</v>
      </c>
      <c r="C7824" s="29" t="s">
        <v>26</v>
      </c>
      <c r="D7824" s="31">
        <v>151.72</v>
      </c>
      <c r="F7824" s="3" t="str">
        <f t="shared" si="122"/>
        <v>I1358</v>
      </c>
    </row>
    <row r="7825" spans="1:6" x14ac:dyDescent="0.2">
      <c r="A7825" s="29" t="s">
        <v>19271</v>
      </c>
      <c r="B7825" s="30" t="s">
        <v>19272</v>
      </c>
      <c r="C7825" s="29" t="s">
        <v>26</v>
      </c>
      <c r="D7825" s="31">
        <v>111.52</v>
      </c>
      <c r="F7825" s="3" t="str">
        <f t="shared" si="122"/>
        <v>I2371</v>
      </c>
    </row>
    <row r="7826" spans="1:6" x14ac:dyDescent="0.2">
      <c r="A7826" s="29" t="s">
        <v>19273</v>
      </c>
      <c r="B7826" s="30" t="s">
        <v>19274</v>
      </c>
      <c r="C7826" s="29" t="s">
        <v>26</v>
      </c>
      <c r="D7826" s="31">
        <v>45.97</v>
      </c>
      <c r="F7826" s="3" t="str">
        <f t="shared" si="122"/>
        <v>I1359</v>
      </c>
    </row>
    <row r="7827" spans="1:6" x14ac:dyDescent="0.2">
      <c r="A7827" s="29" t="s">
        <v>19275</v>
      </c>
      <c r="B7827" s="30" t="s">
        <v>19276</v>
      </c>
      <c r="C7827" s="29" t="s">
        <v>26</v>
      </c>
      <c r="D7827" s="31">
        <v>51.34</v>
      </c>
      <c r="F7827" s="3" t="str">
        <f t="shared" si="122"/>
        <v>I1360</v>
      </c>
    </row>
    <row r="7828" spans="1:6" x14ac:dyDescent="0.2">
      <c r="A7828" s="29" t="s">
        <v>19277</v>
      </c>
      <c r="B7828" s="30" t="s">
        <v>19278</v>
      </c>
      <c r="C7828" s="29" t="s">
        <v>26</v>
      </c>
      <c r="D7828" s="31">
        <v>52.58</v>
      </c>
      <c r="F7828" s="3" t="str">
        <f t="shared" si="122"/>
        <v>I1361</v>
      </c>
    </row>
    <row r="7829" spans="1:6" x14ac:dyDescent="0.2">
      <c r="A7829" s="29" t="s">
        <v>19279</v>
      </c>
      <c r="B7829" s="30" t="s">
        <v>19280</v>
      </c>
      <c r="C7829" s="29" t="s">
        <v>26</v>
      </c>
      <c r="D7829" s="31">
        <v>100.25</v>
      </c>
      <c r="F7829" s="3" t="str">
        <f t="shared" si="122"/>
        <v>I1362</v>
      </c>
    </row>
    <row r="7830" spans="1:6" x14ac:dyDescent="0.2">
      <c r="A7830" s="29" t="s">
        <v>19281</v>
      </c>
      <c r="B7830" s="30" t="s">
        <v>19282</v>
      </c>
      <c r="C7830" s="29" t="s">
        <v>26</v>
      </c>
      <c r="D7830" s="31">
        <v>64.709999999999994</v>
      </c>
      <c r="F7830" s="3" t="str">
        <f t="shared" si="122"/>
        <v>I1363</v>
      </c>
    </row>
    <row r="7831" spans="1:6" x14ac:dyDescent="0.2">
      <c r="A7831" s="29" t="s">
        <v>19283</v>
      </c>
      <c r="B7831" s="30" t="s">
        <v>19284</v>
      </c>
      <c r="C7831" s="29" t="s">
        <v>26</v>
      </c>
      <c r="D7831" s="31">
        <v>81.260000000000005</v>
      </c>
      <c r="F7831" s="3" t="str">
        <f t="shared" si="122"/>
        <v>I1364</v>
      </c>
    </row>
    <row r="7832" spans="1:6" x14ac:dyDescent="0.2">
      <c r="A7832" s="29" t="s">
        <v>19285</v>
      </c>
      <c r="B7832" s="30" t="s">
        <v>19286</v>
      </c>
      <c r="C7832" s="29" t="s">
        <v>26</v>
      </c>
      <c r="D7832" s="31">
        <v>100.25</v>
      </c>
      <c r="F7832" s="3" t="str">
        <f t="shared" si="122"/>
        <v>I1365</v>
      </c>
    </row>
    <row r="7833" spans="1:6" x14ac:dyDescent="0.2">
      <c r="A7833" s="29" t="s">
        <v>19287</v>
      </c>
      <c r="B7833" s="30" t="s">
        <v>19288</v>
      </c>
      <c r="C7833" s="29" t="s">
        <v>26</v>
      </c>
      <c r="D7833" s="31">
        <v>122.83</v>
      </c>
      <c r="F7833" s="3" t="str">
        <f t="shared" si="122"/>
        <v>I1366</v>
      </c>
    </row>
    <row r="7834" spans="1:6" x14ac:dyDescent="0.2">
      <c r="A7834" s="29" t="s">
        <v>19289</v>
      </c>
      <c r="B7834" s="30" t="s">
        <v>19290</v>
      </c>
      <c r="C7834" s="29" t="s">
        <v>26</v>
      </c>
      <c r="D7834" s="31">
        <v>168.89</v>
      </c>
      <c r="F7834" s="3" t="str">
        <f t="shared" si="122"/>
        <v>I1367</v>
      </c>
    </row>
    <row r="7835" spans="1:6" x14ac:dyDescent="0.2">
      <c r="A7835" s="29" t="s">
        <v>19291</v>
      </c>
      <c r="B7835" s="30" t="s">
        <v>19292</v>
      </c>
      <c r="C7835" s="29" t="s">
        <v>26</v>
      </c>
      <c r="D7835" s="31">
        <v>51.34</v>
      </c>
      <c r="F7835" s="3" t="str">
        <f t="shared" si="122"/>
        <v>I1368</v>
      </c>
    </row>
    <row r="7836" spans="1:6" x14ac:dyDescent="0.2">
      <c r="A7836" s="29" t="s">
        <v>19293</v>
      </c>
      <c r="B7836" s="30" t="s">
        <v>19294</v>
      </c>
      <c r="C7836" s="29" t="s">
        <v>26</v>
      </c>
      <c r="D7836" s="31">
        <v>52.58</v>
      </c>
      <c r="F7836" s="3" t="str">
        <f t="shared" si="122"/>
        <v>I1369</v>
      </c>
    </row>
    <row r="7837" spans="1:6" x14ac:dyDescent="0.2">
      <c r="A7837" s="29" t="s">
        <v>19295</v>
      </c>
      <c r="B7837" s="30" t="s">
        <v>19296</v>
      </c>
      <c r="C7837" s="29" t="s">
        <v>26</v>
      </c>
      <c r="D7837" s="31">
        <v>64.709999999999994</v>
      </c>
      <c r="F7837" s="3" t="str">
        <f t="shared" si="122"/>
        <v>I1370</v>
      </c>
    </row>
    <row r="7838" spans="1:6" x14ac:dyDescent="0.2">
      <c r="A7838" s="29" t="s">
        <v>19297</v>
      </c>
      <c r="B7838" s="30" t="s">
        <v>19298</v>
      </c>
      <c r="C7838" s="29" t="s">
        <v>26</v>
      </c>
      <c r="D7838" s="31">
        <v>81.260000000000005</v>
      </c>
      <c r="F7838" s="3" t="str">
        <f t="shared" si="122"/>
        <v>I1371</v>
      </c>
    </row>
    <row r="7839" spans="1:6" x14ac:dyDescent="0.2">
      <c r="A7839" s="29" t="s">
        <v>19299</v>
      </c>
      <c r="B7839" s="30" t="s">
        <v>19300</v>
      </c>
      <c r="C7839" s="29" t="s">
        <v>26</v>
      </c>
      <c r="D7839" s="31">
        <v>122.83</v>
      </c>
      <c r="F7839" s="3" t="str">
        <f t="shared" si="122"/>
        <v>I1372</v>
      </c>
    </row>
    <row r="7840" spans="1:6" x14ac:dyDescent="0.2">
      <c r="A7840" s="29" t="s">
        <v>19301</v>
      </c>
      <c r="B7840" s="30" t="s">
        <v>19302</v>
      </c>
      <c r="C7840" s="29" t="s">
        <v>26</v>
      </c>
      <c r="D7840" s="31">
        <v>168.89</v>
      </c>
      <c r="F7840" s="3" t="str">
        <f t="shared" si="122"/>
        <v>I1373</v>
      </c>
    </row>
    <row r="7841" spans="1:6" x14ac:dyDescent="0.2">
      <c r="A7841" s="29" t="s">
        <v>19303</v>
      </c>
      <c r="B7841" s="30" t="s">
        <v>19304</v>
      </c>
      <c r="C7841" s="29" t="s">
        <v>26</v>
      </c>
      <c r="D7841" s="31">
        <v>37.56</v>
      </c>
      <c r="F7841" s="3" t="str">
        <f t="shared" si="122"/>
        <v>I1374</v>
      </c>
    </row>
    <row r="7842" spans="1:6" x14ac:dyDescent="0.2">
      <c r="A7842" s="29" t="s">
        <v>19305</v>
      </c>
      <c r="B7842" s="30" t="s">
        <v>19306</v>
      </c>
      <c r="C7842" s="29" t="s">
        <v>26</v>
      </c>
      <c r="D7842" s="31">
        <v>31.97</v>
      </c>
      <c r="F7842" s="3" t="str">
        <f t="shared" si="122"/>
        <v>I1353</v>
      </c>
    </row>
    <row r="7843" spans="1:6" x14ac:dyDescent="0.2">
      <c r="A7843" s="29" t="s">
        <v>19307</v>
      </c>
      <c r="B7843" s="30" t="s">
        <v>19308</v>
      </c>
      <c r="C7843" s="29" t="s">
        <v>26</v>
      </c>
      <c r="D7843" s="31">
        <v>58.65</v>
      </c>
      <c r="F7843" s="3" t="str">
        <f t="shared" si="122"/>
        <v>I1352</v>
      </c>
    </row>
    <row r="7844" spans="1:6" x14ac:dyDescent="0.2">
      <c r="A7844" s="29" t="s">
        <v>19309</v>
      </c>
      <c r="B7844" s="30" t="s">
        <v>19310</v>
      </c>
      <c r="C7844" s="29" t="s">
        <v>26</v>
      </c>
      <c r="D7844" s="31">
        <v>62.31</v>
      </c>
      <c r="F7844" s="3" t="str">
        <f t="shared" si="122"/>
        <v>I1376</v>
      </c>
    </row>
    <row r="7845" spans="1:6" x14ac:dyDescent="0.2">
      <c r="A7845" s="29" t="s">
        <v>19311</v>
      </c>
      <c r="B7845" s="30" t="s">
        <v>19312</v>
      </c>
      <c r="C7845" s="29" t="s">
        <v>26</v>
      </c>
      <c r="D7845" s="31">
        <v>52.32</v>
      </c>
      <c r="F7845" s="3" t="str">
        <f t="shared" si="122"/>
        <v>I1377</v>
      </c>
    </row>
    <row r="7846" spans="1:6" ht="22.5" x14ac:dyDescent="0.2">
      <c r="A7846" s="29" t="s">
        <v>19313</v>
      </c>
      <c r="B7846" s="30" t="s">
        <v>19314</v>
      </c>
      <c r="C7846" s="29" t="s">
        <v>26</v>
      </c>
      <c r="D7846" s="31">
        <v>69.45</v>
      </c>
      <c r="F7846" s="3" t="str">
        <f t="shared" si="122"/>
        <v>I1378</v>
      </c>
    </row>
    <row r="7847" spans="1:6" ht="22.5" x14ac:dyDescent="0.2">
      <c r="A7847" s="29" t="s">
        <v>19315</v>
      </c>
      <c r="B7847" s="30" t="s">
        <v>19316</v>
      </c>
      <c r="C7847" s="29" t="s">
        <v>26</v>
      </c>
      <c r="D7847" s="31">
        <v>35.020000000000003</v>
      </c>
      <c r="F7847" s="3" t="str">
        <f t="shared" si="122"/>
        <v>I1379</v>
      </c>
    </row>
    <row r="7848" spans="1:6" x14ac:dyDescent="0.2">
      <c r="A7848" s="29" t="s">
        <v>19317</v>
      </c>
      <c r="B7848" s="30" t="s">
        <v>19318</v>
      </c>
      <c r="C7848" s="29" t="s">
        <v>26</v>
      </c>
      <c r="D7848" s="31">
        <v>15.62</v>
      </c>
      <c r="F7848" s="3" t="str">
        <f t="shared" si="122"/>
        <v>I1380</v>
      </c>
    </row>
    <row r="7849" spans="1:6" ht="33.75" x14ac:dyDescent="0.2">
      <c r="A7849" s="29" t="s">
        <v>19319</v>
      </c>
      <c r="B7849" s="30" t="s">
        <v>12887</v>
      </c>
      <c r="C7849" s="29" t="s">
        <v>26</v>
      </c>
      <c r="D7849" s="31">
        <v>271.93</v>
      </c>
      <c r="F7849" s="3" t="str">
        <f t="shared" si="122"/>
        <v>I7932</v>
      </c>
    </row>
    <row r="7850" spans="1:6" ht="33.75" x14ac:dyDescent="0.2">
      <c r="A7850" s="29" t="s">
        <v>19320</v>
      </c>
      <c r="B7850" s="30" t="s">
        <v>19321</v>
      </c>
      <c r="C7850" s="29" t="s">
        <v>26</v>
      </c>
      <c r="D7850" s="31">
        <v>144.56</v>
      </c>
      <c r="F7850" s="3" t="str">
        <f t="shared" si="122"/>
        <v>I7921</v>
      </c>
    </row>
    <row r="7851" spans="1:6" ht="33.75" x14ac:dyDescent="0.2">
      <c r="A7851" s="29" t="s">
        <v>19322</v>
      </c>
      <c r="B7851" s="30" t="s">
        <v>19323</v>
      </c>
      <c r="C7851" s="29" t="s">
        <v>26</v>
      </c>
      <c r="D7851" s="31">
        <v>103.48</v>
      </c>
      <c r="F7851" s="3" t="str">
        <f t="shared" si="122"/>
        <v>I9114</v>
      </c>
    </row>
    <row r="7852" spans="1:6" ht="33.75" x14ac:dyDescent="0.2">
      <c r="A7852" s="29" t="s">
        <v>19324</v>
      </c>
      <c r="B7852" s="30" t="s">
        <v>19325</v>
      </c>
      <c r="C7852" s="29" t="s">
        <v>26</v>
      </c>
      <c r="D7852" s="31">
        <v>72.599999999999994</v>
      </c>
      <c r="F7852" s="3" t="str">
        <f t="shared" si="122"/>
        <v>I9128</v>
      </c>
    </row>
    <row r="7853" spans="1:6" ht="56.25" x14ac:dyDescent="0.2">
      <c r="A7853" s="29" t="s">
        <v>19326</v>
      </c>
      <c r="B7853" s="30" t="s">
        <v>12891</v>
      </c>
      <c r="C7853" s="29" t="s">
        <v>26</v>
      </c>
      <c r="D7853" s="31">
        <v>40.68</v>
      </c>
      <c r="F7853" s="3" t="str">
        <f t="shared" si="122"/>
        <v>I9424</v>
      </c>
    </row>
    <row r="7854" spans="1:6" ht="33.75" x14ac:dyDescent="0.2">
      <c r="A7854" s="29" t="s">
        <v>19327</v>
      </c>
      <c r="B7854" s="30" t="s">
        <v>19328</v>
      </c>
      <c r="C7854" s="29" t="s">
        <v>26</v>
      </c>
      <c r="D7854" s="31">
        <v>68.06</v>
      </c>
      <c r="F7854" s="3" t="str">
        <f t="shared" si="122"/>
        <v>I9115</v>
      </c>
    </row>
    <row r="7855" spans="1:6" ht="45" x14ac:dyDescent="0.2">
      <c r="A7855" s="29" t="s">
        <v>19329</v>
      </c>
      <c r="B7855" s="30" t="s">
        <v>19330</v>
      </c>
      <c r="C7855" s="29" t="s">
        <v>26</v>
      </c>
      <c r="D7855" s="31">
        <v>28.55</v>
      </c>
      <c r="F7855" s="3" t="str">
        <f t="shared" si="122"/>
        <v>I9425</v>
      </c>
    </row>
    <row r="7856" spans="1:6" ht="33.75" x14ac:dyDescent="0.2">
      <c r="A7856" s="29" t="s">
        <v>19331</v>
      </c>
      <c r="B7856" s="30" t="s">
        <v>12901</v>
      </c>
      <c r="C7856" s="29" t="s">
        <v>26</v>
      </c>
      <c r="D7856" s="31">
        <v>120.86</v>
      </c>
      <c r="F7856" s="3" t="str">
        <f t="shared" si="122"/>
        <v>I7930</v>
      </c>
    </row>
    <row r="7857" spans="1:6" ht="22.5" x14ac:dyDescent="0.2">
      <c r="A7857" s="29" t="s">
        <v>19332</v>
      </c>
      <c r="B7857" s="30" t="s">
        <v>12915</v>
      </c>
      <c r="C7857" s="29" t="s">
        <v>26</v>
      </c>
      <c r="D7857" s="31">
        <v>101.75</v>
      </c>
      <c r="F7857" s="3" t="str">
        <f t="shared" si="122"/>
        <v>I9112</v>
      </c>
    </row>
    <row r="7858" spans="1:6" ht="33.75" x14ac:dyDescent="0.2">
      <c r="A7858" s="29" t="s">
        <v>19333</v>
      </c>
      <c r="B7858" s="30" t="s">
        <v>12909</v>
      </c>
      <c r="C7858" s="29" t="s">
        <v>26</v>
      </c>
      <c r="D7858" s="31">
        <v>113.31</v>
      </c>
      <c r="F7858" s="3" t="str">
        <f t="shared" si="122"/>
        <v>I7922</v>
      </c>
    </row>
    <row r="7859" spans="1:6" ht="22.5" x14ac:dyDescent="0.2">
      <c r="A7859" s="29" t="s">
        <v>19334</v>
      </c>
      <c r="B7859" s="30" t="s">
        <v>12911</v>
      </c>
      <c r="C7859" s="29" t="s">
        <v>26</v>
      </c>
      <c r="D7859" s="31">
        <v>94.52</v>
      </c>
      <c r="F7859" s="3" t="str">
        <f t="shared" si="122"/>
        <v>I7923</v>
      </c>
    </row>
    <row r="7860" spans="1:6" ht="45" x14ac:dyDescent="0.2">
      <c r="A7860" s="29" t="s">
        <v>19335</v>
      </c>
      <c r="B7860" s="30" t="s">
        <v>12913</v>
      </c>
      <c r="C7860" s="29" t="s">
        <v>26</v>
      </c>
      <c r="D7860" s="31">
        <v>213.38</v>
      </c>
      <c r="F7860" s="3" t="str">
        <f t="shared" si="122"/>
        <v>I9423</v>
      </c>
    </row>
    <row r="7861" spans="1:6" ht="22.5" x14ac:dyDescent="0.2">
      <c r="A7861" s="29" t="s">
        <v>19336</v>
      </c>
      <c r="B7861" s="30" t="s">
        <v>12917</v>
      </c>
      <c r="C7861" s="29" t="s">
        <v>26</v>
      </c>
      <c r="D7861" s="31">
        <v>119.27</v>
      </c>
      <c r="F7861" s="3" t="str">
        <f t="shared" si="122"/>
        <v>I8394</v>
      </c>
    </row>
    <row r="7862" spans="1:6" x14ac:dyDescent="0.2">
      <c r="A7862" s="29" t="s">
        <v>19337</v>
      </c>
      <c r="B7862" s="30" t="s">
        <v>19338</v>
      </c>
      <c r="C7862" s="29" t="s">
        <v>26</v>
      </c>
      <c r="D7862" s="31">
        <v>44.18</v>
      </c>
      <c r="F7862" s="3" t="str">
        <f t="shared" si="122"/>
        <v>I8353</v>
      </c>
    </row>
    <row r="7863" spans="1:6" ht="45" x14ac:dyDescent="0.2">
      <c r="A7863" s="29" t="s">
        <v>19339</v>
      </c>
      <c r="B7863" s="30" t="s">
        <v>12921</v>
      </c>
      <c r="C7863" s="29" t="s">
        <v>26</v>
      </c>
      <c r="D7863" s="31">
        <v>221.33</v>
      </c>
      <c r="F7863" s="3" t="str">
        <f t="shared" si="122"/>
        <v>I9110</v>
      </c>
    </row>
    <row r="7864" spans="1:6" ht="45" x14ac:dyDescent="0.2">
      <c r="A7864" s="29" t="s">
        <v>19340</v>
      </c>
      <c r="B7864" s="30" t="s">
        <v>12923</v>
      </c>
      <c r="C7864" s="29" t="s">
        <v>26</v>
      </c>
      <c r="D7864" s="31">
        <v>213.89</v>
      </c>
      <c r="F7864" s="3" t="str">
        <f t="shared" si="122"/>
        <v>I9111</v>
      </c>
    </row>
    <row r="7865" spans="1:6" ht="22.5" x14ac:dyDescent="0.2">
      <c r="A7865" s="29" t="s">
        <v>19341</v>
      </c>
      <c r="B7865" s="30" t="s">
        <v>28</v>
      </c>
      <c r="C7865" s="29" t="s">
        <v>26</v>
      </c>
      <c r="D7865" s="31">
        <v>368</v>
      </c>
      <c r="F7865" s="3" t="str">
        <f t="shared" si="122"/>
        <v>I9124</v>
      </c>
    </row>
    <row r="7866" spans="1:6" ht="56.25" x14ac:dyDescent="0.2">
      <c r="A7866" s="29" t="s">
        <v>19342</v>
      </c>
      <c r="B7866" s="30" t="s">
        <v>19343</v>
      </c>
      <c r="C7866" s="29" t="s">
        <v>26</v>
      </c>
      <c r="D7866" s="31">
        <v>435</v>
      </c>
      <c r="F7866" s="3" t="str">
        <f t="shared" si="122"/>
        <v>I9119</v>
      </c>
    </row>
    <row r="7867" spans="1:6" ht="33.75" x14ac:dyDescent="0.2">
      <c r="A7867" s="29" t="s">
        <v>19344</v>
      </c>
      <c r="B7867" s="30" t="s">
        <v>12937</v>
      </c>
      <c r="C7867" s="29" t="s">
        <v>26</v>
      </c>
      <c r="D7867" s="31">
        <v>435</v>
      </c>
      <c r="F7867" s="3" t="str">
        <f t="shared" si="122"/>
        <v>I9118</v>
      </c>
    </row>
    <row r="7868" spans="1:6" x14ac:dyDescent="0.2">
      <c r="A7868" s="29" t="s">
        <v>19345</v>
      </c>
      <c r="B7868" s="30" t="s">
        <v>12925</v>
      </c>
      <c r="C7868" s="29" t="s">
        <v>26</v>
      </c>
      <c r="D7868" s="31">
        <v>239.7</v>
      </c>
      <c r="F7868" s="3" t="str">
        <f t="shared" si="122"/>
        <v>I8246</v>
      </c>
    </row>
    <row r="7869" spans="1:6" ht="22.5" x14ac:dyDescent="0.2">
      <c r="A7869" s="29" t="s">
        <v>19346</v>
      </c>
      <c r="B7869" s="30" t="s">
        <v>19347</v>
      </c>
      <c r="C7869" s="29" t="s">
        <v>26</v>
      </c>
      <c r="D7869" s="31">
        <v>68.36</v>
      </c>
      <c r="F7869" s="3" t="str">
        <f t="shared" si="122"/>
        <v>I8350</v>
      </c>
    </row>
    <row r="7870" spans="1:6" ht="45" x14ac:dyDescent="0.2">
      <c r="A7870" s="29" t="s">
        <v>19348</v>
      </c>
      <c r="B7870" s="30" t="s">
        <v>19349</v>
      </c>
      <c r="C7870" s="29" t="s">
        <v>26</v>
      </c>
      <c r="D7870" s="31">
        <v>78.28</v>
      </c>
      <c r="F7870" s="3" t="str">
        <f t="shared" si="122"/>
        <v>I9113</v>
      </c>
    </row>
    <row r="7871" spans="1:6" ht="67.5" x14ac:dyDescent="0.2">
      <c r="A7871" s="29" t="s">
        <v>19350</v>
      </c>
      <c r="B7871" s="30" t="s">
        <v>12935</v>
      </c>
      <c r="C7871" s="29" t="s">
        <v>26</v>
      </c>
      <c r="D7871" s="31">
        <v>124.91</v>
      </c>
      <c r="F7871" s="3" t="str">
        <f t="shared" si="122"/>
        <v>I9426</v>
      </c>
    </row>
    <row r="7872" spans="1:6" ht="22.5" x14ac:dyDescent="0.2">
      <c r="A7872" s="29" t="s">
        <v>19351</v>
      </c>
      <c r="B7872" s="30" t="s">
        <v>19352</v>
      </c>
      <c r="C7872" s="29" t="s">
        <v>26</v>
      </c>
      <c r="D7872" s="31">
        <v>43.08</v>
      </c>
      <c r="F7872" s="3" t="str">
        <f t="shared" si="122"/>
        <v>I10273</v>
      </c>
    </row>
    <row r="7873" spans="1:6" ht="33.75" x14ac:dyDescent="0.2">
      <c r="A7873" s="29" t="s">
        <v>19353</v>
      </c>
      <c r="B7873" s="30" t="s">
        <v>19354</v>
      </c>
      <c r="C7873" s="29" t="s">
        <v>26</v>
      </c>
      <c r="D7873" s="31">
        <v>435</v>
      </c>
      <c r="F7873" s="3" t="str">
        <f t="shared" si="122"/>
        <v>I9117</v>
      </c>
    </row>
    <row r="7874" spans="1:6" x14ac:dyDescent="0.2">
      <c r="A7874" s="29" t="s">
        <v>19355</v>
      </c>
      <c r="B7874" s="30" t="s">
        <v>12943</v>
      </c>
      <c r="C7874" s="29" t="s">
        <v>26</v>
      </c>
      <c r="D7874" s="31">
        <v>257.41000000000003</v>
      </c>
      <c r="F7874" s="3" t="str">
        <f t="shared" ref="F7874:F7937" si="123">A7874</f>
        <v>I7399</v>
      </c>
    </row>
    <row r="7875" spans="1:6" ht="56.25" x14ac:dyDescent="0.2">
      <c r="A7875" s="29" t="s">
        <v>19356</v>
      </c>
      <c r="B7875" s="30" t="s">
        <v>12979</v>
      </c>
      <c r="C7875" s="29" t="s">
        <v>26</v>
      </c>
      <c r="D7875" s="31">
        <v>192.9</v>
      </c>
      <c r="F7875" s="3" t="str">
        <f t="shared" si="123"/>
        <v>I9427</v>
      </c>
    </row>
    <row r="7876" spans="1:6" x14ac:dyDescent="0.2">
      <c r="A7876" s="29" t="s">
        <v>19357</v>
      </c>
      <c r="B7876" s="30" t="s">
        <v>19358</v>
      </c>
      <c r="C7876" s="29" t="s">
        <v>26</v>
      </c>
      <c r="D7876" s="31">
        <v>690</v>
      </c>
      <c r="F7876" s="3" t="str">
        <f t="shared" si="123"/>
        <v>I9121</v>
      </c>
    </row>
    <row r="7877" spans="1:6" ht="22.5" x14ac:dyDescent="0.2">
      <c r="A7877" s="29" t="s">
        <v>19359</v>
      </c>
      <c r="B7877" s="30" t="s">
        <v>12987</v>
      </c>
      <c r="C7877" s="29" t="s">
        <v>26</v>
      </c>
      <c r="D7877" s="31">
        <v>430</v>
      </c>
      <c r="F7877" s="3" t="str">
        <f t="shared" si="123"/>
        <v>I9120</v>
      </c>
    </row>
    <row r="7878" spans="1:6" ht="33.75" x14ac:dyDescent="0.2">
      <c r="A7878" s="29" t="s">
        <v>19360</v>
      </c>
      <c r="B7878" s="30" t="s">
        <v>12989</v>
      </c>
      <c r="C7878" s="29" t="s">
        <v>26</v>
      </c>
      <c r="D7878" s="31">
        <v>149.83000000000001</v>
      </c>
      <c r="F7878" s="3" t="str">
        <f t="shared" si="123"/>
        <v>I9453</v>
      </c>
    </row>
    <row r="7879" spans="1:6" ht="33.75" x14ac:dyDescent="0.2">
      <c r="A7879" s="29" t="s">
        <v>19361</v>
      </c>
      <c r="B7879" s="30" t="s">
        <v>19362</v>
      </c>
      <c r="C7879" s="29" t="s">
        <v>26</v>
      </c>
      <c r="D7879" s="31">
        <v>390.51</v>
      </c>
      <c r="F7879" s="3" t="str">
        <f t="shared" si="123"/>
        <v>I7929</v>
      </c>
    </row>
    <row r="7880" spans="1:6" ht="22.5" x14ac:dyDescent="0.2">
      <c r="A7880" s="29" t="s">
        <v>19363</v>
      </c>
      <c r="B7880" s="30" t="s">
        <v>19364</v>
      </c>
      <c r="C7880" s="29" t="s">
        <v>26</v>
      </c>
      <c r="D7880" s="31">
        <v>12.73</v>
      </c>
      <c r="F7880" s="3" t="str">
        <f t="shared" si="123"/>
        <v>I9454</v>
      </c>
    </row>
    <row r="7881" spans="1:6" x14ac:dyDescent="0.2">
      <c r="A7881" s="29" t="s">
        <v>19365</v>
      </c>
      <c r="B7881" s="30" t="s">
        <v>19366</v>
      </c>
      <c r="C7881" s="29" t="s">
        <v>26</v>
      </c>
      <c r="D7881" s="31">
        <v>255.9</v>
      </c>
      <c r="F7881" s="3" t="str">
        <f t="shared" si="123"/>
        <v>I6793</v>
      </c>
    </row>
    <row r="7882" spans="1:6" x14ac:dyDescent="0.2">
      <c r="A7882" s="29" t="s">
        <v>19367</v>
      </c>
      <c r="B7882" s="30" t="s">
        <v>19368</v>
      </c>
      <c r="C7882" s="29" t="s">
        <v>26</v>
      </c>
      <c r="D7882" s="31">
        <v>3.53</v>
      </c>
      <c r="F7882" s="3" t="str">
        <f t="shared" si="123"/>
        <v>I1404</v>
      </c>
    </row>
    <row r="7883" spans="1:6" x14ac:dyDescent="0.2">
      <c r="A7883" s="29" t="s">
        <v>19369</v>
      </c>
      <c r="B7883" s="30" t="s">
        <v>19370</v>
      </c>
      <c r="C7883" s="29" t="s">
        <v>26</v>
      </c>
      <c r="D7883" s="31">
        <v>2.57</v>
      </c>
      <c r="F7883" s="3" t="str">
        <f t="shared" si="123"/>
        <v>I1405</v>
      </c>
    </row>
    <row r="7884" spans="1:6" x14ac:dyDescent="0.2">
      <c r="A7884" s="29" t="s">
        <v>19371</v>
      </c>
      <c r="B7884" s="30" t="s">
        <v>19372</v>
      </c>
      <c r="C7884" s="29" t="s">
        <v>26</v>
      </c>
      <c r="D7884" s="31">
        <v>1.65</v>
      </c>
      <c r="F7884" s="3" t="str">
        <f t="shared" si="123"/>
        <v>I1406</v>
      </c>
    </row>
    <row r="7885" spans="1:6" x14ac:dyDescent="0.2">
      <c r="A7885" s="29" t="s">
        <v>19373</v>
      </c>
      <c r="B7885" s="30" t="s">
        <v>19374</v>
      </c>
      <c r="C7885" s="29" t="s">
        <v>26</v>
      </c>
      <c r="D7885" s="31">
        <v>0.8</v>
      </c>
      <c r="F7885" s="3" t="str">
        <f t="shared" si="123"/>
        <v>I1407</v>
      </c>
    </row>
    <row r="7886" spans="1:6" x14ac:dyDescent="0.2">
      <c r="A7886" s="29" t="s">
        <v>19375</v>
      </c>
      <c r="B7886" s="30" t="s">
        <v>19376</v>
      </c>
      <c r="C7886" s="29" t="s">
        <v>26</v>
      </c>
      <c r="D7886" s="31">
        <v>5.1100000000000003</v>
      </c>
      <c r="F7886" s="3" t="str">
        <f t="shared" si="123"/>
        <v>I1408</v>
      </c>
    </row>
    <row r="7887" spans="1:6" x14ac:dyDescent="0.2">
      <c r="A7887" s="29" t="s">
        <v>19377</v>
      </c>
      <c r="B7887" s="30" t="s">
        <v>19378</v>
      </c>
      <c r="C7887" s="29" t="s">
        <v>26</v>
      </c>
      <c r="D7887" s="31">
        <v>1.18</v>
      </c>
      <c r="F7887" s="3" t="str">
        <f t="shared" si="123"/>
        <v>I1409</v>
      </c>
    </row>
    <row r="7888" spans="1:6" x14ac:dyDescent="0.2">
      <c r="A7888" s="29" t="s">
        <v>19379</v>
      </c>
      <c r="B7888" s="30" t="s">
        <v>19380</v>
      </c>
      <c r="C7888" s="29" t="s">
        <v>26</v>
      </c>
      <c r="D7888" s="31">
        <v>11.37</v>
      </c>
      <c r="F7888" s="3" t="str">
        <f t="shared" si="123"/>
        <v>I1401</v>
      </c>
    </row>
    <row r="7889" spans="1:6" x14ac:dyDescent="0.2">
      <c r="A7889" s="29" t="s">
        <v>19381</v>
      </c>
      <c r="B7889" s="30" t="s">
        <v>19382</v>
      </c>
      <c r="C7889" s="29" t="s">
        <v>26</v>
      </c>
      <c r="D7889" s="31">
        <v>15.27</v>
      </c>
      <c r="F7889" s="3" t="str">
        <f t="shared" si="123"/>
        <v>I1402</v>
      </c>
    </row>
    <row r="7890" spans="1:6" x14ac:dyDescent="0.2">
      <c r="A7890" s="29" t="s">
        <v>19383</v>
      </c>
      <c r="B7890" s="30" t="s">
        <v>19384</v>
      </c>
      <c r="C7890" s="29" t="s">
        <v>26</v>
      </c>
      <c r="D7890" s="31">
        <v>26.84</v>
      </c>
      <c r="F7890" s="3" t="str">
        <f t="shared" si="123"/>
        <v>I1403</v>
      </c>
    </row>
    <row r="7891" spans="1:6" x14ac:dyDescent="0.2">
      <c r="A7891" s="29" t="s">
        <v>19385</v>
      </c>
      <c r="B7891" s="30" t="s">
        <v>12082</v>
      </c>
      <c r="C7891" s="29" t="s">
        <v>26</v>
      </c>
      <c r="D7891" s="31">
        <v>12.73</v>
      </c>
      <c r="F7891" s="3" t="str">
        <f t="shared" si="123"/>
        <v>I6176</v>
      </c>
    </row>
    <row r="7892" spans="1:6" x14ac:dyDescent="0.2">
      <c r="A7892" s="29" t="s">
        <v>19386</v>
      </c>
      <c r="B7892" s="30" t="s">
        <v>12855</v>
      </c>
      <c r="C7892" s="29" t="s">
        <v>26</v>
      </c>
      <c r="D7892" s="31">
        <v>113.9</v>
      </c>
      <c r="F7892" s="3" t="str">
        <f t="shared" si="123"/>
        <v>I7388</v>
      </c>
    </row>
    <row r="7893" spans="1:6" x14ac:dyDescent="0.2">
      <c r="A7893" s="29" t="s">
        <v>19387</v>
      </c>
      <c r="B7893" s="30" t="s">
        <v>12857</v>
      </c>
      <c r="C7893" s="29" t="s">
        <v>26</v>
      </c>
      <c r="D7893" s="31">
        <v>113.9</v>
      </c>
      <c r="F7893" s="3" t="str">
        <f t="shared" si="123"/>
        <v>I7389</v>
      </c>
    </row>
    <row r="7894" spans="1:6" x14ac:dyDescent="0.2">
      <c r="A7894" s="29" t="s">
        <v>19388</v>
      </c>
      <c r="B7894" s="30" t="s">
        <v>19389</v>
      </c>
      <c r="C7894" s="29" t="s">
        <v>26</v>
      </c>
      <c r="D7894" s="31">
        <v>11.38</v>
      </c>
      <c r="F7894" s="3" t="str">
        <f t="shared" si="123"/>
        <v>I9452</v>
      </c>
    </row>
    <row r="7895" spans="1:6" x14ac:dyDescent="0.2">
      <c r="A7895" s="29" t="s">
        <v>19390</v>
      </c>
      <c r="B7895" s="30" t="s">
        <v>19391</v>
      </c>
      <c r="C7895" s="29" t="s">
        <v>26</v>
      </c>
      <c r="D7895" s="31">
        <v>30.25</v>
      </c>
      <c r="F7895" s="3" t="str">
        <f t="shared" si="123"/>
        <v>I7924</v>
      </c>
    </row>
    <row r="7896" spans="1:6" x14ac:dyDescent="0.2">
      <c r="A7896" s="29" t="s">
        <v>19392</v>
      </c>
      <c r="B7896" s="30" t="s">
        <v>19393</v>
      </c>
      <c r="C7896" s="29" t="s">
        <v>26</v>
      </c>
      <c r="D7896" s="31">
        <v>8.8800000000000008</v>
      </c>
      <c r="F7896" s="3" t="str">
        <f t="shared" si="123"/>
        <v>I1463</v>
      </c>
    </row>
    <row r="7897" spans="1:6" x14ac:dyDescent="0.2">
      <c r="A7897" s="29" t="s">
        <v>19394</v>
      </c>
      <c r="B7897" s="30" t="s">
        <v>19395</v>
      </c>
      <c r="C7897" s="29" t="s">
        <v>26</v>
      </c>
      <c r="D7897" s="31">
        <v>9.41</v>
      </c>
      <c r="F7897" s="3" t="str">
        <f t="shared" si="123"/>
        <v>I1464</v>
      </c>
    </row>
    <row r="7898" spans="1:6" x14ac:dyDescent="0.2">
      <c r="A7898" s="29" t="s">
        <v>19396</v>
      </c>
      <c r="B7898" s="30" t="s">
        <v>19397</v>
      </c>
      <c r="C7898" s="29" t="s">
        <v>26</v>
      </c>
      <c r="D7898" s="31">
        <v>14.52</v>
      </c>
      <c r="F7898" s="3" t="str">
        <f t="shared" si="123"/>
        <v>I1467</v>
      </c>
    </row>
    <row r="7899" spans="1:6" x14ac:dyDescent="0.2">
      <c r="A7899" s="29" t="s">
        <v>19398</v>
      </c>
      <c r="B7899" s="30" t="s">
        <v>19399</v>
      </c>
      <c r="C7899" s="29" t="s">
        <v>26</v>
      </c>
      <c r="D7899" s="31">
        <v>14.52</v>
      </c>
      <c r="F7899" s="3" t="str">
        <f t="shared" si="123"/>
        <v>I1465</v>
      </c>
    </row>
    <row r="7900" spans="1:6" x14ac:dyDescent="0.2">
      <c r="A7900" s="29" t="s">
        <v>19400</v>
      </c>
      <c r="B7900" s="30" t="s">
        <v>19401</v>
      </c>
      <c r="C7900" s="29" t="s">
        <v>26</v>
      </c>
      <c r="D7900" s="31">
        <v>14.89</v>
      </c>
      <c r="F7900" s="3" t="str">
        <f t="shared" si="123"/>
        <v>I1466</v>
      </c>
    </row>
    <row r="7901" spans="1:6" x14ac:dyDescent="0.2">
      <c r="A7901" s="29" t="s">
        <v>19402</v>
      </c>
      <c r="B7901" s="30" t="s">
        <v>19403</v>
      </c>
      <c r="C7901" s="29" t="s">
        <v>26</v>
      </c>
      <c r="D7901" s="31">
        <v>14.89</v>
      </c>
      <c r="F7901" s="3" t="str">
        <f t="shared" si="123"/>
        <v>I1468</v>
      </c>
    </row>
    <row r="7902" spans="1:6" x14ac:dyDescent="0.2">
      <c r="A7902" s="29" t="s">
        <v>19404</v>
      </c>
      <c r="B7902" s="30" t="s">
        <v>19405</v>
      </c>
      <c r="C7902" s="29" t="s">
        <v>26</v>
      </c>
      <c r="D7902" s="31">
        <v>46.4</v>
      </c>
      <c r="F7902" s="3" t="str">
        <f t="shared" si="123"/>
        <v>I1470</v>
      </c>
    </row>
    <row r="7903" spans="1:6" x14ac:dyDescent="0.2">
      <c r="A7903" s="29" t="s">
        <v>19406</v>
      </c>
      <c r="B7903" s="30" t="s">
        <v>19407</v>
      </c>
      <c r="C7903" s="29" t="s">
        <v>26</v>
      </c>
      <c r="D7903" s="31">
        <v>3.89</v>
      </c>
      <c r="F7903" s="3" t="str">
        <f t="shared" si="123"/>
        <v>I2373</v>
      </c>
    </row>
    <row r="7904" spans="1:6" x14ac:dyDescent="0.2">
      <c r="A7904" s="29" t="s">
        <v>19408</v>
      </c>
      <c r="B7904" s="30" t="s">
        <v>19409</v>
      </c>
      <c r="C7904" s="29" t="s">
        <v>26</v>
      </c>
      <c r="D7904" s="31">
        <v>3.89</v>
      </c>
      <c r="F7904" s="3" t="str">
        <f t="shared" si="123"/>
        <v>I1471</v>
      </c>
    </row>
    <row r="7905" spans="1:6" x14ac:dyDescent="0.2">
      <c r="A7905" s="29" t="s">
        <v>19410</v>
      </c>
      <c r="B7905" s="30" t="s">
        <v>19411</v>
      </c>
      <c r="C7905" s="29" t="s">
        <v>26</v>
      </c>
      <c r="D7905" s="31">
        <v>3.89</v>
      </c>
      <c r="F7905" s="3" t="str">
        <f t="shared" si="123"/>
        <v>I1472</v>
      </c>
    </row>
    <row r="7906" spans="1:6" x14ac:dyDescent="0.2">
      <c r="A7906" s="29" t="s">
        <v>19412</v>
      </c>
      <c r="B7906" s="30" t="s">
        <v>19413</v>
      </c>
      <c r="C7906" s="29" t="s">
        <v>26</v>
      </c>
      <c r="D7906" s="31">
        <v>26.86</v>
      </c>
      <c r="F7906" s="3" t="str">
        <f t="shared" si="123"/>
        <v>I1474</v>
      </c>
    </row>
    <row r="7907" spans="1:6" x14ac:dyDescent="0.2">
      <c r="A7907" s="29" t="s">
        <v>19414</v>
      </c>
      <c r="B7907" s="30" t="s">
        <v>19415</v>
      </c>
      <c r="C7907" s="29" t="s">
        <v>26</v>
      </c>
      <c r="D7907" s="31">
        <v>67.5</v>
      </c>
      <c r="F7907" s="3" t="str">
        <f t="shared" si="123"/>
        <v>I1473</v>
      </c>
    </row>
    <row r="7908" spans="1:6" x14ac:dyDescent="0.2">
      <c r="A7908" s="29" t="s">
        <v>19416</v>
      </c>
      <c r="B7908" s="30" t="s">
        <v>19417</v>
      </c>
      <c r="C7908" s="29" t="s">
        <v>26</v>
      </c>
      <c r="D7908" s="31">
        <v>10.220000000000001</v>
      </c>
      <c r="F7908" s="3" t="str">
        <f t="shared" si="123"/>
        <v>I1476</v>
      </c>
    </row>
    <row r="7909" spans="1:6" x14ac:dyDescent="0.2">
      <c r="A7909" s="29" t="s">
        <v>19418</v>
      </c>
      <c r="B7909" s="30" t="s">
        <v>19419</v>
      </c>
      <c r="C7909" s="29" t="s">
        <v>26</v>
      </c>
      <c r="D7909" s="31">
        <v>42.7</v>
      </c>
      <c r="F7909" s="3" t="str">
        <f t="shared" si="123"/>
        <v>I1477</v>
      </c>
    </row>
    <row r="7910" spans="1:6" x14ac:dyDescent="0.2">
      <c r="A7910" s="29" t="s">
        <v>19420</v>
      </c>
      <c r="B7910" s="30" t="s">
        <v>19421</v>
      </c>
      <c r="C7910" s="29" t="s">
        <v>26</v>
      </c>
      <c r="D7910" s="31">
        <v>58.27</v>
      </c>
      <c r="F7910" s="3" t="str">
        <f t="shared" si="123"/>
        <v>I1478</v>
      </c>
    </row>
    <row r="7911" spans="1:6" x14ac:dyDescent="0.2">
      <c r="A7911" s="29" t="s">
        <v>19422</v>
      </c>
      <c r="B7911" s="30" t="s">
        <v>19423</v>
      </c>
      <c r="C7911" s="29" t="s">
        <v>26</v>
      </c>
      <c r="D7911" s="31">
        <v>39.42</v>
      </c>
      <c r="F7911" s="3" t="str">
        <f t="shared" si="123"/>
        <v>I1481</v>
      </c>
    </row>
    <row r="7912" spans="1:6" x14ac:dyDescent="0.2">
      <c r="A7912" s="29" t="s">
        <v>19424</v>
      </c>
      <c r="B7912" s="30" t="s">
        <v>19425</v>
      </c>
      <c r="C7912" s="29" t="s">
        <v>26</v>
      </c>
      <c r="D7912" s="31">
        <v>60</v>
      </c>
      <c r="F7912" s="3" t="str">
        <f t="shared" si="123"/>
        <v>I1479</v>
      </c>
    </row>
    <row r="7913" spans="1:6" x14ac:dyDescent="0.2">
      <c r="A7913" s="29" t="s">
        <v>19426</v>
      </c>
      <c r="B7913" s="30" t="s">
        <v>19427</v>
      </c>
      <c r="C7913" s="29" t="s">
        <v>26</v>
      </c>
      <c r="D7913" s="31">
        <v>69.959999999999994</v>
      </c>
      <c r="F7913" s="3" t="str">
        <f t="shared" si="123"/>
        <v>I1480</v>
      </c>
    </row>
    <row r="7914" spans="1:6" x14ac:dyDescent="0.2">
      <c r="A7914" s="29" t="s">
        <v>19428</v>
      </c>
      <c r="B7914" s="30" t="s">
        <v>19429</v>
      </c>
      <c r="C7914" s="29" t="s">
        <v>26</v>
      </c>
      <c r="D7914" s="31">
        <v>45.98</v>
      </c>
      <c r="F7914" s="3" t="str">
        <f t="shared" si="123"/>
        <v>I8351</v>
      </c>
    </row>
    <row r="7915" spans="1:6" x14ac:dyDescent="0.2">
      <c r="A7915" s="29" t="s">
        <v>19430</v>
      </c>
      <c r="B7915" s="30" t="s">
        <v>19431</v>
      </c>
      <c r="C7915" s="29" t="s">
        <v>26</v>
      </c>
      <c r="D7915" s="31">
        <v>49.12</v>
      </c>
      <c r="F7915" s="3" t="str">
        <f t="shared" si="123"/>
        <v>I1484</v>
      </c>
    </row>
    <row r="7916" spans="1:6" x14ac:dyDescent="0.2">
      <c r="A7916" s="29" t="s">
        <v>19432</v>
      </c>
      <c r="B7916" s="30" t="s">
        <v>19433</v>
      </c>
      <c r="C7916" s="29" t="s">
        <v>26</v>
      </c>
      <c r="D7916" s="31">
        <v>77.680000000000007</v>
      </c>
      <c r="F7916" s="3" t="str">
        <f t="shared" si="123"/>
        <v>I1486</v>
      </c>
    </row>
    <row r="7917" spans="1:6" x14ac:dyDescent="0.2">
      <c r="A7917" s="29" t="s">
        <v>19434</v>
      </c>
      <c r="B7917" s="30" t="s">
        <v>19435</v>
      </c>
      <c r="C7917" s="29" t="s">
        <v>26</v>
      </c>
      <c r="D7917" s="31">
        <v>96.13</v>
      </c>
      <c r="F7917" s="3" t="str">
        <f t="shared" si="123"/>
        <v>I1487</v>
      </c>
    </row>
    <row r="7918" spans="1:6" x14ac:dyDescent="0.2">
      <c r="A7918" s="29" t="s">
        <v>19436</v>
      </c>
      <c r="B7918" s="30" t="s">
        <v>19437</v>
      </c>
      <c r="C7918" s="29" t="s">
        <v>26</v>
      </c>
      <c r="D7918" s="31">
        <v>274.3</v>
      </c>
      <c r="F7918" s="3" t="str">
        <f t="shared" si="123"/>
        <v>I1483</v>
      </c>
    </row>
    <row r="7919" spans="1:6" x14ac:dyDescent="0.2">
      <c r="A7919" s="29" t="s">
        <v>19438</v>
      </c>
      <c r="B7919" s="30" t="s">
        <v>19439</v>
      </c>
      <c r="C7919" s="29" t="s">
        <v>26</v>
      </c>
      <c r="D7919" s="31">
        <v>472.05</v>
      </c>
      <c r="F7919" s="3" t="str">
        <f t="shared" si="123"/>
        <v>I1485</v>
      </c>
    </row>
    <row r="7920" spans="1:6" x14ac:dyDescent="0.2">
      <c r="A7920" s="29" t="s">
        <v>19440</v>
      </c>
      <c r="B7920" s="30" t="s">
        <v>19441</v>
      </c>
      <c r="C7920" s="29" t="s">
        <v>26</v>
      </c>
      <c r="D7920" s="31">
        <v>67.459999999999994</v>
      </c>
      <c r="F7920" s="3" t="str">
        <f t="shared" si="123"/>
        <v>I2379</v>
      </c>
    </row>
    <row r="7921" spans="1:6" x14ac:dyDescent="0.2">
      <c r="A7921" s="29" t="s">
        <v>19442</v>
      </c>
      <c r="B7921" s="30" t="s">
        <v>19443</v>
      </c>
      <c r="C7921" s="29" t="s">
        <v>26</v>
      </c>
      <c r="D7921" s="31">
        <v>24.71</v>
      </c>
      <c r="F7921" s="3" t="str">
        <f t="shared" si="123"/>
        <v>I7503</v>
      </c>
    </row>
    <row r="7922" spans="1:6" x14ac:dyDescent="0.2">
      <c r="A7922" s="29" t="s">
        <v>19444</v>
      </c>
      <c r="B7922" s="30" t="s">
        <v>19445</v>
      </c>
      <c r="C7922" s="29" t="s">
        <v>26</v>
      </c>
      <c r="D7922" s="31">
        <v>1430.46</v>
      </c>
      <c r="F7922" s="3" t="str">
        <f t="shared" si="123"/>
        <v>I7462</v>
      </c>
    </row>
    <row r="7923" spans="1:6" ht="22.5" x14ac:dyDescent="0.2">
      <c r="A7923" s="29" t="s">
        <v>19446</v>
      </c>
      <c r="B7923" s="30" t="s">
        <v>19447</v>
      </c>
      <c r="C7923" s="29" t="s">
        <v>26</v>
      </c>
      <c r="D7923" s="31">
        <v>816.76</v>
      </c>
      <c r="F7923" s="3" t="str">
        <f t="shared" si="123"/>
        <v>I7463</v>
      </c>
    </row>
    <row r="7924" spans="1:6" x14ac:dyDescent="0.2">
      <c r="A7924" s="29" t="s">
        <v>19448</v>
      </c>
      <c r="B7924" s="30" t="s">
        <v>19449</v>
      </c>
      <c r="C7924" s="29" t="s">
        <v>26</v>
      </c>
      <c r="D7924" s="31">
        <v>272.02</v>
      </c>
      <c r="F7924" s="3" t="str">
        <f t="shared" si="123"/>
        <v>I1535</v>
      </c>
    </row>
    <row r="7925" spans="1:6" x14ac:dyDescent="0.2">
      <c r="A7925" s="29" t="s">
        <v>19450</v>
      </c>
      <c r="B7925" s="30" t="s">
        <v>19451</v>
      </c>
      <c r="C7925" s="29" t="s">
        <v>26</v>
      </c>
      <c r="D7925" s="31">
        <v>35.22</v>
      </c>
      <c r="F7925" s="3" t="str">
        <f t="shared" si="123"/>
        <v>I9414</v>
      </c>
    </row>
    <row r="7926" spans="1:6" x14ac:dyDescent="0.2">
      <c r="A7926" s="29" t="s">
        <v>19452</v>
      </c>
      <c r="B7926" s="30" t="s">
        <v>19453</v>
      </c>
      <c r="C7926" s="29" t="s">
        <v>26</v>
      </c>
      <c r="D7926" s="31">
        <v>70.05</v>
      </c>
      <c r="F7926" s="3" t="str">
        <f t="shared" si="123"/>
        <v>I6368</v>
      </c>
    </row>
    <row r="7927" spans="1:6" x14ac:dyDescent="0.2">
      <c r="A7927" s="29" t="s">
        <v>19454</v>
      </c>
      <c r="B7927" s="30" t="s">
        <v>19455</v>
      </c>
      <c r="C7927" s="29" t="s">
        <v>26</v>
      </c>
      <c r="D7927" s="31">
        <v>112.39</v>
      </c>
      <c r="F7927" s="3" t="str">
        <f t="shared" si="123"/>
        <v>I8441</v>
      </c>
    </row>
    <row r="7928" spans="1:6" x14ac:dyDescent="0.2">
      <c r="A7928" s="29" t="s">
        <v>19456</v>
      </c>
      <c r="B7928" s="30" t="s">
        <v>19457</v>
      </c>
      <c r="C7928" s="29" t="s">
        <v>26</v>
      </c>
      <c r="D7928" s="31">
        <v>87.57</v>
      </c>
      <c r="F7928" s="3" t="str">
        <f t="shared" si="123"/>
        <v>I6369</v>
      </c>
    </row>
    <row r="7929" spans="1:6" x14ac:dyDescent="0.2">
      <c r="A7929" s="29" t="s">
        <v>19458</v>
      </c>
      <c r="B7929" s="30" t="s">
        <v>19459</v>
      </c>
      <c r="C7929" s="29" t="s">
        <v>26</v>
      </c>
      <c r="D7929" s="31">
        <v>504.53</v>
      </c>
      <c r="F7929" s="3" t="str">
        <f t="shared" si="123"/>
        <v>I7506</v>
      </c>
    </row>
    <row r="7930" spans="1:6" ht="22.5" x14ac:dyDescent="0.2">
      <c r="A7930" s="29" t="s">
        <v>19460</v>
      </c>
      <c r="B7930" s="30" t="s">
        <v>19461</v>
      </c>
      <c r="C7930" s="29" t="s">
        <v>8321</v>
      </c>
      <c r="D7930" s="31">
        <v>2887.62</v>
      </c>
      <c r="F7930" s="3" t="str">
        <f t="shared" si="123"/>
        <v>I7432</v>
      </c>
    </row>
    <row r="7931" spans="1:6" x14ac:dyDescent="0.2">
      <c r="A7931" s="29" t="s">
        <v>19462</v>
      </c>
      <c r="B7931" s="30" t="s">
        <v>19463</v>
      </c>
      <c r="C7931" s="29" t="s">
        <v>26</v>
      </c>
      <c r="D7931" s="31">
        <v>29.15</v>
      </c>
      <c r="F7931" s="3" t="str">
        <f t="shared" si="123"/>
        <v>I2383</v>
      </c>
    </row>
    <row r="7932" spans="1:6" x14ac:dyDescent="0.2">
      <c r="A7932" s="29" t="s">
        <v>19464</v>
      </c>
      <c r="B7932" s="30" t="s">
        <v>19465</v>
      </c>
      <c r="C7932" s="29" t="s">
        <v>26</v>
      </c>
      <c r="D7932" s="31">
        <v>57.7</v>
      </c>
      <c r="F7932" s="3" t="str">
        <f t="shared" si="123"/>
        <v>I6794</v>
      </c>
    </row>
    <row r="7933" spans="1:6" x14ac:dyDescent="0.2">
      <c r="A7933" s="29" t="s">
        <v>19466</v>
      </c>
      <c r="B7933" s="30" t="s">
        <v>19467</v>
      </c>
      <c r="C7933" s="29" t="s">
        <v>26</v>
      </c>
      <c r="D7933" s="31">
        <v>72</v>
      </c>
      <c r="F7933" s="3" t="str">
        <f t="shared" si="123"/>
        <v>I6797</v>
      </c>
    </row>
    <row r="7934" spans="1:6" x14ac:dyDescent="0.2">
      <c r="A7934" s="29" t="s">
        <v>19468</v>
      </c>
      <c r="B7934" s="30" t="s">
        <v>19469</v>
      </c>
      <c r="C7934" s="29" t="s">
        <v>26</v>
      </c>
      <c r="D7934" s="31">
        <v>94.7</v>
      </c>
      <c r="F7934" s="3" t="str">
        <f t="shared" si="123"/>
        <v>I6798</v>
      </c>
    </row>
    <row r="7935" spans="1:6" x14ac:dyDescent="0.2">
      <c r="A7935" s="29" t="s">
        <v>19470</v>
      </c>
      <c r="B7935" s="30" t="s">
        <v>19471</v>
      </c>
      <c r="C7935" s="29" t="s">
        <v>26</v>
      </c>
      <c r="D7935" s="31">
        <v>129.91999999999999</v>
      </c>
      <c r="F7935" s="3" t="str">
        <f t="shared" si="123"/>
        <v>I6799</v>
      </c>
    </row>
    <row r="7936" spans="1:6" x14ac:dyDescent="0.2">
      <c r="A7936" s="29" t="s">
        <v>19472</v>
      </c>
      <c r="B7936" s="30" t="s">
        <v>19473</v>
      </c>
      <c r="C7936" s="29" t="s">
        <v>26</v>
      </c>
      <c r="D7936" s="31">
        <v>12.41</v>
      </c>
      <c r="F7936" s="3" t="str">
        <f t="shared" si="123"/>
        <v>I1549</v>
      </c>
    </row>
    <row r="7937" spans="1:6" x14ac:dyDescent="0.2">
      <c r="A7937" s="29" t="s">
        <v>19474</v>
      </c>
      <c r="B7937" s="30" t="s">
        <v>13329</v>
      </c>
      <c r="C7937" s="29" t="s">
        <v>26</v>
      </c>
      <c r="D7937" s="31">
        <v>34.9</v>
      </c>
      <c r="F7937" s="3" t="str">
        <f t="shared" si="123"/>
        <v>I8448</v>
      </c>
    </row>
    <row r="7938" spans="1:6" x14ac:dyDescent="0.2">
      <c r="A7938" s="29" t="s">
        <v>19475</v>
      </c>
      <c r="B7938" s="30" t="s">
        <v>19476</v>
      </c>
      <c r="C7938" s="29" t="s">
        <v>26</v>
      </c>
      <c r="D7938" s="31">
        <v>2740.48</v>
      </c>
      <c r="F7938" s="3" t="str">
        <f t="shared" ref="F7938:F8001" si="124">A7938</f>
        <v>I6197</v>
      </c>
    </row>
    <row r="7939" spans="1:6" x14ac:dyDescent="0.2">
      <c r="A7939" s="29" t="s">
        <v>19477</v>
      </c>
      <c r="B7939" s="30" t="s">
        <v>19478</v>
      </c>
      <c r="C7939" s="29" t="s">
        <v>26</v>
      </c>
      <c r="D7939" s="31">
        <v>192.51</v>
      </c>
      <c r="F7939" s="3" t="str">
        <f t="shared" si="124"/>
        <v>I1563</v>
      </c>
    </row>
    <row r="7940" spans="1:6" x14ac:dyDescent="0.2">
      <c r="A7940" s="29" t="s">
        <v>19479</v>
      </c>
      <c r="B7940" s="30" t="s">
        <v>19480</v>
      </c>
      <c r="C7940" s="29" t="s">
        <v>26</v>
      </c>
      <c r="D7940" s="31">
        <v>192.51</v>
      </c>
      <c r="F7940" s="3" t="str">
        <f t="shared" si="124"/>
        <v>I1564</v>
      </c>
    </row>
    <row r="7941" spans="1:6" x14ac:dyDescent="0.2">
      <c r="A7941" s="29" t="s">
        <v>19481</v>
      </c>
      <c r="B7941" s="30" t="s">
        <v>19482</v>
      </c>
      <c r="C7941" s="29" t="s">
        <v>26</v>
      </c>
      <c r="D7941" s="31">
        <v>4.6399999999999997</v>
      </c>
      <c r="F7941" s="3" t="str">
        <f t="shared" si="124"/>
        <v>I7411</v>
      </c>
    </row>
    <row r="7942" spans="1:6" x14ac:dyDescent="0.2">
      <c r="A7942" s="29" t="s">
        <v>19483</v>
      </c>
      <c r="B7942" s="30" t="s">
        <v>19484</v>
      </c>
      <c r="C7942" s="29" t="s">
        <v>26</v>
      </c>
      <c r="D7942" s="31">
        <v>8.2899999999999991</v>
      </c>
      <c r="F7942" s="3" t="str">
        <f t="shared" si="124"/>
        <v>I7395</v>
      </c>
    </row>
    <row r="7943" spans="1:6" x14ac:dyDescent="0.2">
      <c r="A7943" s="29" t="s">
        <v>19485</v>
      </c>
      <c r="B7943" s="30" t="s">
        <v>19486</v>
      </c>
      <c r="C7943" s="29" t="s">
        <v>26</v>
      </c>
      <c r="D7943" s="31">
        <v>14.68</v>
      </c>
      <c r="F7943" s="3" t="str">
        <f t="shared" si="124"/>
        <v>I8361</v>
      </c>
    </row>
    <row r="7944" spans="1:6" x14ac:dyDescent="0.2">
      <c r="A7944" s="29" t="s">
        <v>19487</v>
      </c>
      <c r="B7944" s="30" t="s">
        <v>13369</v>
      </c>
      <c r="C7944" s="29" t="s">
        <v>26</v>
      </c>
      <c r="D7944" s="31">
        <v>13.51</v>
      </c>
      <c r="F7944" s="3" t="str">
        <f t="shared" si="124"/>
        <v>I6834</v>
      </c>
    </row>
    <row r="7945" spans="1:6" x14ac:dyDescent="0.2">
      <c r="A7945" s="29" t="s">
        <v>19488</v>
      </c>
      <c r="B7945" s="30" t="s">
        <v>13285</v>
      </c>
      <c r="C7945" s="29" t="s">
        <v>26</v>
      </c>
      <c r="D7945" s="31">
        <v>34.78</v>
      </c>
      <c r="F7945" s="3" t="str">
        <f t="shared" si="124"/>
        <v>I8367</v>
      </c>
    </row>
    <row r="7946" spans="1:6" x14ac:dyDescent="0.2">
      <c r="A7946" s="29" t="s">
        <v>19489</v>
      </c>
      <c r="B7946" s="30" t="s">
        <v>13373</v>
      </c>
      <c r="C7946" s="29" t="s">
        <v>26</v>
      </c>
      <c r="D7946" s="31">
        <v>788.69</v>
      </c>
      <c r="F7946" s="3" t="str">
        <f t="shared" si="124"/>
        <v>I10269</v>
      </c>
    </row>
    <row r="7947" spans="1:6" x14ac:dyDescent="0.2">
      <c r="A7947" s="29" t="s">
        <v>19490</v>
      </c>
      <c r="B7947" s="30" t="s">
        <v>13375</v>
      </c>
      <c r="C7947" s="29" t="s">
        <v>26</v>
      </c>
      <c r="D7947" s="31">
        <v>2779.76</v>
      </c>
      <c r="F7947" s="3" t="str">
        <f t="shared" si="124"/>
        <v>I10270</v>
      </c>
    </row>
    <row r="7948" spans="1:6" x14ac:dyDescent="0.2">
      <c r="A7948" s="29" t="s">
        <v>19491</v>
      </c>
      <c r="B7948" s="30" t="s">
        <v>19492</v>
      </c>
      <c r="C7948" s="29" t="s">
        <v>26</v>
      </c>
      <c r="D7948" s="31">
        <v>10.210000000000001</v>
      </c>
      <c r="F7948" s="3" t="str">
        <f t="shared" si="124"/>
        <v>I1638</v>
      </c>
    </row>
    <row r="7949" spans="1:6" x14ac:dyDescent="0.2">
      <c r="A7949" s="29" t="s">
        <v>19493</v>
      </c>
      <c r="B7949" s="30" t="s">
        <v>19494</v>
      </c>
      <c r="C7949" s="29" t="s">
        <v>26</v>
      </c>
      <c r="D7949" s="31">
        <v>12.54</v>
      </c>
      <c r="F7949" s="3" t="str">
        <f t="shared" si="124"/>
        <v>I1642</v>
      </c>
    </row>
    <row r="7950" spans="1:6" x14ac:dyDescent="0.2">
      <c r="A7950" s="29" t="s">
        <v>19495</v>
      </c>
      <c r="B7950" s="30" t="s">
        <v>19496</v>
      </c>
      <c r="C7950" s="29" t="s">
        <v>26</v>
      </c>
      <c r="D7950" s="31">
        <v>35.380000000000003</v>
      </c>
      <c r="F7950" s="3" t="str">
        <f t="shared" si="124"/>
        <v>I1635</v>
      </c>
    </row>
    <row r="7951" spans="1:6" x14ac:dyDescent="0.2">
      <c r="A7951" s="29" t="s">
        <v>19497</v>
      </c>
      <c r="B7951" s="30" t="s">
        <v>19498</v>
      </c>
      <c r="C7951" s="29" t="s">
        <v>26</v>
      </c>
      <c r="D7951" s="31">
        <v>29</v>
      </c>
      <c r="F7951" s="3" t="str">
        <f t="shared" si="124"/>
        <v>I1636</v>
      </c>
    </row>
    <row r="7952" spans="1:6" x14ac:dyDescent="0.2">
      <c r="A7952" s="29" t="s">
        <v>19499</v>
      </c>
      <c r="B7952" s="30" t="s">
        <v>19500</v>
      </c>
      <c r="C7952" s="29" t="s">
        <v>26</v>
      </c>
      <c r="D7952" s="31">
        <v>17.350000000000001</v>
      </c>
      <c r="F7952" s="3" t="str">
        <f t="shared" si="124"/>
        <v>I1637</v>
      </c>
    </row>
    <row r="7953" spans="1:6" x14ac:dyDescent="0.2">
      <c r="A7953" s="29" t="s">
        <v>19501</v>
      </c>
      <c r="B7953" s="30" t="s">
        <v>19502</v>
      </c>
      <c r="C7953" s="29" t="s">
        <v>26</v>
      </c>
      <c r="D7953" s="31">
        <v>89.62</v>
      </c>
      <c r="F7953" s="3" t="str">
        <f t="shared" si="124"/>
        <v>I1639</v>
      </c>
    </row>
    <row r="7954" spans="1:6" x14ac:dyDescent="0.2">
      <c r="A7954" s="29" t="s">
        <v>19503</v>
      </c>
      <c r="B7954" s="30" t="s">
        <v>19504</v>
      </c>
      <c r="C7954" s="29" t="s">
        <v>26</v>
      </c>
      <c r="D7954" s="31">
        <v>56.01</v>
      </c>
      <c r="F7954" s="3" t="str">
        <f t="shared" si="124"/>
        <v>I1634</v>
      </c>
    </row>
    <row r="7955" spans="1:6" x14ac:dyDescent="0.2">
      <c r="A7955" s="29" t="s">
        <v>19505</v>
      </c>
      <c r="B7955" s="30" t="s">
        <v>19506</v>
      </c>
      <c r="C7955" s="29" t="s">
        <v>26</v>
      </c>
      <c r="D7955" s="31">
        <v>122.86</v>
      </c>
      <c r="F7955" s="3" t="str">
        <f t="shared" si="124"/>
        <v>I1640</v>
      </c>
    </row>
    <row r="7956" spans="1:6" x14ac:dyDescent="0.2">
      <c r="A7956" s="29" t="s">
        <v>19507</v>
      </c>
      <c r="B7956" s="30" t="s">
        <v>19508</v>
      </c>
      <c r="C7956" s="29" t="s">
        <v>26</v>
      </c>
      <c r="D7956" s="31">
        <v>115.38</v>
      </c>
      <c r="F7956" s="3" t="str">
        <f t="shared" si="124"/>
        <v>I1641</v>
      </c>
    </row>
    <row r="7957" spans="1:6" x14ac:dyDescent="0.2">
      <c r="A7957" s="29" t="s">
        <v>19509</v>
      </c>
      <c r="B7957" s="30" t="s">
        <v>19510</v>
      </c>
      <c r="C7957" s="29" t="s">
        <v>26</v>
      </c>
      <c r="D7957" s="31">
        <v>232.36</v>
      </c>
      <c r="F7957" s="3" t="str">
        <f t="shared" si="124"/>
        <v>I1643</v>
      </c>
    </row>
    <row r="7958" spans="1:6" x14ac:dyDescent="0.2">
      <c r="A7958" s="29" t="s">
        <v>19511</v>
      </c>
      <c r="B7958" s="30" t="s">
        <v>19512</v>
      </c>
      <c r="C7958" s="29" t="s">
        <v>26</v>
      </c>
      <c r="D7958" s="31">
        <v>29.85</v>
      </c>
      <c r="F7958" s="3" t="str">
        <f t="shared" si="124"/>
        <v>I1664</v>
      </c>
    </row>
    <row r="7959" spans="1:6" x14ac:dyDescent="0.2">
      <c r="A7959" s="29" t="s">
        <v>19513</v>
      </c>
      <c r="B7959" s="30" t="s">
        <v>19514</v>
      </c>
      <c r="C7959" s="29" t="s">
        <v>26</v>
      </c>
      <c r="D7959" s="31">
        <v>29.85</v>
      </c>
      <c r="F7959" s="3" t="str">
        <f t="shared" si="124"/>
        <v>I1665</v>
      </c>
    </row>
    <row r="7960" spans="1:6" x14ac:dyDescent="0.2">
      <c r="A7960" s="29" t="s">
        <v>19515</v>
      </c>
      <c r="B7960" s="30" t="s">
        <v>19516</v>
      </c>
      <c r="C7960" s="29" t="s">
        <v>26</v>
      </c>
      <c r="D7960" s="31">
        <v>6.29</v>
      </c>
      <c r="F7960" s="3" t="str">
        <f t="shared" si="124"/>
        <v>I10272</v>
      </c>
    </row>
    <row r="7961" spans="1:6" ht="22.5" x14ac:dyDescent="0.2">
      <c r="A7961" s="29" t="s">
        <v>19517</v>
      </c>
      <c r="B7961" s="30" t="s">
        <v>19518</v>
      </c>
      <c r="C7961" s="29" t="s">
        <v>255</v>
      </c>
      <c r="D7961" s="31">
        <v>423.82</v>
      </c>
      <c r="F7961" s="3" t="str">
        <f t="shared" si="124"/>
        <v>I6699</v>
      </c>
    </row>
    <row r="7962" spans="1:6" x14ac:dyDescent="0.2">
      <c r="A7962" s="29" t="s">
        <v>19519</v>
      </c>
      <c r="B7962" s="30" t="s">
        <v>13017</v>
      </c>
      <c r="C7962" s="29" t="s">
        <v>26</v>
      </c>
      <c r="D7962" s="31">
        <v>83.78</v>
      </c>
      <c r="F7962" s="3" t="str">
        <f t="shared" si="124"/>
        <v>I7393</v>
      </c>
    </row>
    <row r="7963" spans="1:6" ht="22.5" x14ac:dyDescent="0.2">
      <c r="A7963" s="29" t="s">
        <v>19520</v>
      </c>
      <c r="B7963" s="30" t="s">
        <v>19521</v>
      </c>
      <c r="C7963" s="29" t="s">
        <v>26</v>
      </c>
      <c r="D7963" s="31">
        <v>27.39</v>
      </c>
      <c r="F7963" s="3" t="str">
        <f t="shared" si="124"/>
        <v>I9413</v>
      </c>
    </row>
    <row r="7964" spans="1:6" x14ac:dyDescent="0.2">
      <c r="A7964" s="29" t="s">
        <v>19522</v>
      </c>
      <c r="B7964" s="30" t="s">
        <v>19523</v>
      </c>
      <c r="C7964" s="29" t="s">
        <v>26</v>
      </c>
      <c r="D7964" s="31">
        <v>16.829999999999998</v>
      </c>
      <c r="F7964" s="3" t="str">
        <f t="shared" si="124"/>
        <v>I9412</v>
      </c>
    </row>
    <row r="7965" spans="1:6" x14ac:dyDescent="0.2">
      <c r="A7965" s="29" t="s">
        <v>19524</v>
      </c>
      <c r="B7965" s="30" t="s">
        <v>19525</v>
      </c>
      <c r="C7965" s="29" t="s">
        <v>26</v>
      </c>
      <c r="D7965" s="31">
        <v>15.48</v>
      </c>
      <c r="F7965" s="3" t="str">
        <f t="shared" si="124"/>
        <v>I1674</v>
      </c>
    </row>
    <row r="7966" spans="1:6" x14ac:dyDescent="0.2">
      <c r="A7966" s="29" t="s">
        <v>19526</v>
      </c>
      <c r="B7966" s="30" t="s">
        <v>19527</v>
      </c>
      <c r="C7966" s="29" t="s">
        <v>26</v>
      </c>
      <c r="D7966" s="31">
        <v>8.08</v>
      </c>
      <c r="F7966" s="3" t="str">
        <f t="shared" si="124"/>
        <v>I7413</v>
      </c>
    </row>
    <row r="7967" spans="1:6" x14ac:dyDescent="0.2">
      <c r="A7967" s="29" t="s">
        <v>19528</v>
      </c>
      <c r="B7967" s="30" t="s">
        <v>19529</v>
      </c>
      <c r="C7967" s="29" t="s">
        <v>26</v>
      </c>
      <c r="D7967" s="31">
        <v>47.59</v>
      </c>
      <c r="F7967" s="3" t="str">
        <f t="shared" si="124"/>
        <v>I1683</v>
      </c>
    </row>
    <row r="7968" spans="1:6" x14ac:dyDescent="0.2">
      <c r="A7968" s="29" t="s">
        <v>19530</v>
      </c>
      <c r="B7968" s="30" t="s">
        <v>19531</v>
      </c>
      <c r="C7968" s="29" t="s">
        <v>26</v>
      </c>
      <c r="D7968" s="31">
        <v>3.28</v>
      </c>
      <c r="F7968" s="3" t="str">
        <f t="shared" si="124"/>
        <v>I1688</v>
      </c>
    </row>
    <row r="7969" spans="1:6" x14ac:dyDescent="0.2">
      <c r="A7969" s="29" t="s">
        <v>19532</v>
      </c>
      <c r="B7969" s="30" t="s">
        <v>19533</v>
      </c>
      <c r="C7969" s="29" t="s">
        <v>26</v>
      </c>
      <c r="D7969" s="31">
        <v>11.51</v>
      </c>
      <c r="F7969" s="3" t="str">
        <f t="shared" si="124"/>
        <v>I1692</v>
      </c>
    </row>
    <row r="7970" spans="1:6" x14ac:dyDescent="0.2">
      <c r="A7970" s="29" t="s">
        <v>19534</v>
      </c>
      <c r="B7970" s="30" t="s">
        <v>19535</v>
      </c>
      <c r="C7970" s="29" t="s">
        <v>26</v>
      </c>
      <c r="D7970" s="31">
        <v>206.82</v>
      </c>
      <c r="F7970" s="3" t="str">
        <f t="shared" si="124"/>
        <v>I1718</v>
      </c>
    </row>
    <row r="7971" spans="1:6" x14ac:dyDescent="0.2">
      <c r="A7971" s="29" t="s">
        <v>19536</v>
      </c>
      <c r="B7971" s="30" t="s">
        <v>19537</v>
      </c>
      <c r="C7971" s="29" t="s">
        <v>26</v>
      </c>
      <c r="D7971" s="31">
        <v>236.5</v>
      </c>
      <c r="F7971" s="3" t="str">
        <f t="shared" si="124"/>
        <v>I1721</v>
      </c>
    </row>
    <row r="7972" spans="1:6" x14ac:dyDescent="0.2">
      <c r="A7972" s="29" t="s">
        <v>19538</v>
      </c>
      <c r="B7972" s="30" t="s">
        <v>19539</v>
      </c>
      <c r="C7972" s="29" t="s">
        <v>26</v>
      </c>
      <c r="D7972" s="31">
        <v>631.5</v>
      </c>
      <c r="F7972" s="3" t="str">
        <f t="shared" si="124"/>
        <v>I6694</v>
      </c>
    </row>
    <row r="7973" spans="1:6" x14ac:dyDescent="0.2">
      <c r="A7973" s="29" t="s">
        <v>19540</v>
      </c>
      <c r="B7973" s="30" t="s">
        <v>19541</v>
      </c>
      <c r="C7973" s="29" t="s">
        <v>26</v>
      </c>
      <c r="D7973" s="31">
        <v>414.64</v>
      </c>
      <c r="F7973" s="3" t="str">
        <f t="shared" si="124"/>
        <v>I6696</v>
      </c>
    </row>
    <row r="7974" spans="1:6" x14ac:dyDescent="0.2">
      <c r="A7974" s="29" t="s">
        <v>19542</v>
      </c>
      <c r="B7974" s="30" t="s">
        <v>19543</v>
      </c>
      <c r="C7974" s="29" t="s">
        <v>26</v>
      </c>
      <c r="D7974" s="31">
        <v>1964.74</v>
      </c>
      <c r="F7974" s="3" t="str">
        <f t="shared" si="124"/>
        <v>I7504</v>
      </c>
    </row>
    <row r="7975" spans="1:6" ht="33.75" x14ac:dyDescent="0.2">
      <c r="A7975" s="29" t="s">
        <v>19544</v>
      </c>
      <c r="B7975" s="30" t="s">
        <v>19545</v>
      </c>
      <c r="C7975" s="29" t="s">
        <v>26</v>
      </c>
      <c r="D7975" s="31">
        <v>631.5</v>
      </c>
      <c r="F7975" s="3" t="str">
        <f t="shared" si="124"/>
        <v>I7936</v>
      </c>
    </row>
    <row r="7976" spans="1:6" x14ac:dyDescent="0.2">
      <c r="A7976" s="29" t="s">
        <v>19546</v>
      </c>
      <c r="B7976" s="30" t="s">
        <v>19547</v>
      </c>
      <c r="C7976" s="29" t="s">
        <v>26</v>
      </c>
      <c r="D7976" s="31">
        <v>59.59</v>
      </c>
      <c r="F7976" s="3" t="str">
        <f t="shared" si="124"/>
        <v>I9486</v>
      </c>
    </row>
    <row r="7977" spans="1:6" x14ac:dyDescent="0.2">
      <c r="A7977" s="29" t="s">
        <v>19548</v>
      </c>
      <c r="B7977" s="30" t="s">
        <v>19549</v>
      </c>
      <c r="C7977" s="29" t="s">
        <v>26</v>
      </c>
      <c r="D7977" s="31">
        <v>94.6</v>
      </c>
      <c r="F7977" s="3" t="str">
        <f t="shared" si="124"/>
        <v>I9487</v>
      </c>
    </row>
    <row r="7978" spans="1:6" x14ac:dyDescent="0.2">
      <c r="A7978" s="29" t="s">
        <v>19550</v>
      </c>
      <c r="B7978" s="30" t="s">
        <v>19551</v>
      </c>
      <c r="C7978" s="29" t="s">
        <v>26</v>
      </c>
      <c r="D7978" s="31">
        <v>210.51</v>
      </c>
      <c r="F7978" s="3" t="str">
        <f t="shared" si="124"/>
        <v>I9485</v>
      </c>
    </row>
    <row r="7979" spans="1:6" ht="33.75" x14ac:dyDescent="0.2">
      <c r="A7979" s="29" t="s">
        <v>19552</v>
      </c>
      <c r="B7979" s="30" t="s">
        <v>19553</v>
      </c>
      <c r="C7979" s="29" t="s">
        <v>26</v>
      </c>
      <c r="D7979" s="31">
        <v>456.03</v>
      </c>
      <c r="F7979" s="3" t="str">
        <f t="shared" si="124"/>
        <v>I7933</v>
      </c>
    </row>
    <row r="7980" spans="1:6" x14ac:dyDescent="0.2">
      <c r="A7980" s="29" t="s">
        <v>19554</v>
      </c>
      <c r="B7980" s="30" t="s">
        <v>19555</v>
      </c>
      <c r="C7980" s="29" t="s">
        <v>26</v>
      </c>
      <c r="D7980" s="31">
        <v>94.6</v>
      </c>
      <c r="F7980" s="3" t="str">
        <f t="shared" si="124"/>
        <v>I1738</v>
      </c>
    </row>
    <row r="7981" spans="1:6" x14ac:dyDescent="0.2">
      <c r="A7981" s="29" t="s">
        <v>19556</v>
      </c>
      <c r="B7981" s="30" t="s">
        <v>19557</v>
      </c>
      <c r="C7981" s="29" t="s">
        <v>26</v>
      </c>
      <c r="D7981" s="31">
        <v>143.58000000000001</v>
      </c>
      <c r="F7981" s="3" t="str">
        <f t="shared" si="124"/>
        <v>I9484</v>
      </c>
    </row>
    <row r="7982" spans="1:6" ht="33.75" x14ac:dyDescent="0.2">
      <c r="A7982" s="29" t="s">
        <v>19558</v>
      </c>
      <c r="B7982" s="30" t="s">
        <v>13051</v>
      </c>
      <c r="C7982" s="29" t="s">
        <v>26</v>
      </c>
      <c r="D7982" s="31">
        <v>433.77</v>
      </c>
      <c r="F7982" s="3" t="str">
        <f t="shared" si="124"/>
        <v>I9125</v>
      </c>
    </row>
    <row r="7983" spans="1:6" x14ac:dyDescent="0.2">
      <c r="A7983" s="29" t="s">
        <v>19559</v>
      </c>
      <c r="B7983" s="30" t="s">
        <v>19560</v>
      </c>
      <c r="C7983" s="29" t="s">
        <v>26</v>
      </c>
      <c r="D7983" s="31">
        <v>47.04</v>
      </c>
      <c r="F7983" s="3" t="str">
        <f t="shared" si="124"/>
        <v>I2412</v>
      </c>
    </row>
    <row r="7984" spans="1:6" x14ac:dyDescent="0.2">
      <c r="A7984" s="29" t="s">
        <v>19561</v>
      </c>
      <c r="B7984" s="30" t="s">
        <v>19562</v>
      </c>
      <c r="C7984" s="29" t="s">
        <v>26</v>
      </c>
      <c r="D7984" s="31">
        <v>47.04</v>
      </c>
      <c r="F7984" s="3" t="str">
        <f t="shared" si="124"/>
        <v>I1747</v>
      </c>
    </row>
    <row r="7985" spans="1:6" x14ac:dyDescent="0.2">
      <c r="A7985" s="29" t="s">
        <v>19563</v>
      </c>
      <c r="B7985" s="30" t="s">
        <v>19564</v>
      </c>
      <c r="C7985" s="29" t="s">
        <v>26</v>
      </c>
      <c r="D7985" s="31">
        <v>2262</v>
      </c>
      <c r="F7985" s="3" t="str">
        <f t="shared" si="124"/>
        <v>I1751</v>
      </c>
    </row>
    <row r="7986" spans="1:6" x14ac:dyDescent="0.2">
      <c r="A7986" s="29" t="s">
        <v>19565</v>
      </c>
      <c r="B7986" s="30" t="s">
        <v>19566</v>
      </c>
      <c r="C7986" s="29" t="s">
        <v>26</v>
      </c>
      <c r="D7986" s="31">
        <v>4900.1000000000004</v>
      </c>
      <c r="F7986" s="3" t="str">
        <f t="shared" si="124"/>
        <v>I1752</v>
      </c>
    </row>
    <row r="7987" spans="1:6" x14ac:dyDescent="0.2">
      <c r="A7987" s="29" t="s">
        <v>19567</v>
      </c>
      <c r="B7987" s="30" t="s">
        <v>19568</v>
      </c>
      <c r="C7987" s="29" t="s">
        <v>26</v>
      </c>
      <c r="D7987" s="31">
        <v>272.39999999999998</v>
      </c>
      <c r="F7987" s="3" t="str">
        <f t="shared" si="124"/>
        <v>I2413</v>
      </c>
    </row>
    <row r="7988" spans="1:6" x14ac:dyDescent="0.2">
      <c r="A7988" s="29" t="s">
        <v>19569</v>
      </c>
      <c r="B7988" s="30" t="s">
        <v>19570</v>
      </c>
      <c r="C7988" s="29" t="s">
        <v>26</v>
      </c>
      <c r="D7988" s="31">
        <v>31.03</v>
      </c>
      <c r="F7988" s="3" t="str">
        <f t="shared" si="124"/>
        <v>I1753</v>
      </c>
    </row>
    <row r="7989" spans="1:6" x14ac:dyDescent="0.2">
      <c r="A7989" s="29" t="s">
        <v>19571</v>
      </c>
      <c r="B7989" s="30" t="s">
        <v>19572</v>
      </c>
      <c r="C7989" s="29" t="s">
        <v>26</v>
      </c>
      <c r="D7989" s="31">
        <v>112.24</v>
      </c>
      <c r="F7989" s="3" t="str">
        <f t="shared" si="124"/>
        <v>I1754</v>
      </c>
    </row>
    <row r="7990" spans="1:6" x14ac:dyDescent="0.2">
      <c r="A7990" s="29" t="s">
        <v>19573</v>
      </c>
      <c r="B7990" s="30" t="s">
        <v>19574</v>
      </c>
      <c r="C7990" s="29" t="s">
        <v>26</v>
      </c>
      <c r="D7990" s="31">
        <v>133.18</v>
      </c>
      <c r="F7990" s="3" t="str">
        <f t="shared" si="124"/>
        <v>I1755</v>
      </c>
    </row>
    <row r="7991" spans="1:6" x14ac:dyDescent="0.2">
      <c r="A7991" s="29" t="s">
        <v>19575</v>
      </c>
      <c r="B7991" s="30" t="s">
        <v>19576</v>
      </c>
      <c r="C7991" s="29" t="s">
        <v>26</v>
      </c>
      <c r="D7991" s="31">
        <v>136.84</v>
      </c>
      <c r="F7991" s="3" t="str">
        <f t="shared" si="124"/>
        <v>I1756</v>
      </c>
    </row>
    <row r="7992" spans="1:6" x14ac:dyDescent="0.2">
      <c r="A7992" s="29" t="s">
        <v>19577</v>
      </c>
      <c r="B7992" s="30" t="s">
        <v>19578</v>
      </c>
      <c r="C7992" s="29" t="s">
        <v>26</v>
      </c>
      <c r="D7992" s="31">
        <v>201.41</v>
      </c>
      <c r="F7992" s="3" t="str">
        <f t="shared" si="124"/>
        <v>I1757</v>
      </c>
    </row>
    <row r="7993" spans="1:6" x14ac:dyDescent="0.2">
      <c r="A7993" s="29" t="s">
        <v>19579</v>
      </c>
      <c r="B7993" s="30" t="s">
        <v>19580</v>
      </c>
      <c r="C7993" s="29" t="s">
        <v>26</v>
      </c>
      <c r="D7993" s="31">
        <v>176.11</v>
      </c>
      <c r="F7993" s="3" t="str">
        <f t="shared" si="124"/>
        <v>I1758</v>
      </c>
    </row>
    <row r="7994" spans="1:6" x14ac:dyDescent="0.2">
      <c r="A7994" s="29" t="s">
        <v>19581</v>
      </c>
      <c r="B7994" s="30" t="s">
        <v>19582</v>
      </c>
      <c r="C7994" s="29" t="s">
        <v>26</v>
      </c>
      <c r="D7994" s="31">
        <v>435.67</v>
      </c>
      <c r="F7994" s="3" t="str">
        <f t="shared" si="124"/>
        <v>I1760</v>
      </c>
    </row>
    <row r="7995" spans="1:6" x14ac:dyDescent="0.2">
      <c r="A7995" s="29" t="s">
        <v>19583</v>
      </c>
      <c r="B7995" s="30" t="s">
        <v>19584</v>
      </c>
      <c r="C7995" s="29" t="s">
        <v>26</v>
      </c>
      <c r="D7995" s="31">
        <v>399.07</v>
      </c>
      <c r="F7995" s="3" t="str">
        <f t="shared" si="124"/>
        <v>I1759</v>
      </c>
    </row>
    <row r="7996" spans="1:6" x14ac:dyDescent="0.2">
      <c r="A7996" s="29" t="s">
        <v>19585</v>
      </c>
      <c r="B7996" s="30" t="s">
        <v>19586</v>
      </c>
      <c r="C7996" s="29" t="s">
        <v>26</v>
      </c>
      <c r="D7996" s="31">
        <v>435.67</v>
      </c>
      <c r="F7996" s="3" t="str">
        <f t="shared" si="124"/>
        <v>I1761</v>
      </c>
    </row>
    <row r="7997" spans="1:6" x14ac:dyDescent="0.2">
      <c r="A7997" s="29" t="s">
        <v>19587</v>
      </c>
      <c r="B7997" s="30" t="s">
        <v>19588</v>
      </c>
      <c r="C7997" s="29" t="s">
        <v>26</v>
      </c>
      <c r="D7997" s="31">
        <v>582.58000000000004</v>
      </c>
      <c r="F7997" s="3" t="str">
        <f t="shared" si="124"/>
        <v>I1762</v>
      </c>
    </row>
    <row r="7998" spans="1:6" x14ac:dyDescent="0.2">
      <c r="A7998" s="29" t="s">
        <v>19589</v>
      </c>
      <c r="B7998" s="30" t="s">
        <v>19590</v>
      </c>
      <c r="C7998" s="29" t="s">
        <v>26</v>
      </c>
      <c r="D7998" s="31">
        <v>422.54</v>
      </c>
      <c r="F7998" s="3" t="str">
        <f t="shared" si="124"/>
        <v>I1746</v>
      </c>
    </row>
    <row r="7999" spans="1:6" x14ac:dyDescent="0.2">
      <c r="A7999" s="29" t="s">
        <v>19591</v>
      </c>
      <c r="B7999" s="30" t="s">
        <v>19592</v>
      </c>
      <c r="C7999" s="29" t="s">
        <v>26</v>
      </c>
      <c r="D7999" s="31">
        <v>481.23</v>
      </c>
      <c r="F7999" s="3" t="str">
        <f t="shared" si="124"/>
        <v>I1748</v>
      </c>
    </row>
    <row r="8000" spans="1:6" x14ac:dyDescent="0.2">
      <c r="A8000" s="29" t="s">
        <v>19593</v>
      </c>
      <c r="B8000" s="30" t="s">
        <v>19594</v>
      </c>
      <c r="C8000" s="29" t="s">
        <v>26</v>
      </c>
      <c r="D8000" s="31">
        <v>532.71</v>
      </c>
      <c r="F8000" s="3" t="str">
        <f t="shared" si="124"/>
        <v>I1749</v>
      </c>
    </row>
    <row r="8001" spans="1:6" x14ac:dyDescent="0.2">
      <c r="A8001" s="29" t="s">
        <v>19595</v>
      </c>
      <c r="B8001" s="30" t="s">
        <v>19596</v>
      </c>
      <c r="C8001" s="29" t="s">
        <v>26</v>
      </c>
      <c r="D8001" s="31">
        <v>894.28</v>
      </c>
      <c r="F8001" s="3" t="str">
        <f t="shared" si="124"/>
        <v>I1750</v>
      </c>
    </row>
    <row r="8002" spans="1:6" x14ac:dyDescent="0.2">
      <c r="A8002" s="29" t="s">
        <v>19597</v>
      </c>
      <c r="B8002" s="30" t="s">
        <v>19598</v>
      </c>
      <c r="C8002" s="29" t="s">
        <v>26</v>
      </c>
      <c r="D8002" s="31">
        <v>31.53</v>
      </c>
      <c r="F8002" s="3" t="str">
        <f t="shared" ref="F8002:F8065" si="125">A8002</f>
        <v>I1763</v>
      </c>
    </row>
    <row r="8003" spans="1:6" x14ac:dyDescent="0.2">
      <c r="A8003" s="29" t="s">
        <v>19599</v>
      </c>
      <c r="B8003" s="30" t="s">
        <v>19600</v>
      </c>
      <c r="C8003" s="29" t="s">
        <v>26</v>
      </c>
      <c r="D8003" s="31">
        <v>73.650000000000006</v>
      </c>
      <c r="F8003" s="3" t="str">
        <f t="shared" si="125"/>
        <v>I1764</v>
      </c>
    </row>
    <row r="8004" spans="1:6" x14ac:dyDescent="0.2">
      <c r="A8004" s="29" t="s">
        <v>19601</v>
      </c>
      <c r="B8004" s="30" t="s">
        <v>19602</v>
      </c>
      <c r="C8004" s="29" t="s">
        <v>26</v>
      </c>
      <c r="D8004" s="31">
        <v>129.51</v>
      </c>
      <c r="F8004" s="3" t="str">
        <f t="shared" si="125"/>
        <v>I1765</v>
      </c>
    </row>
    <row r="8005" spans="1:6" x14ac:dyDescent="0.2">
      <c r="A8005" s="29" t="s">
        <v>19603</v>
      </c>
      <c r="B8005" s="30" t="s">
        <v>19604</v>
      </c>
      <c r="C8005" s="29" t="s">
        <v>26</v>
      </c>
      <c r="D8005" s="31">
        <v>242.96</v>
      </c>
      <c r="F8005" s="3" t="str">
        <f t="shared" si="125"/>
        <v>I1766</v>
      </c>
    </row>
    <row r="8006" spans="1:6" x14ac:dyDescent="0.2">
      <c r="A8006" s="29" t="s">
        <v>19605</v>
      </c>
      <c r="B8006" s="30" t="s">
        <v>19606</v>
      </c>
      <c r="C8006" s="29" t="s">
        <v>26</v>
      </c>
      <c r="D8006" s="31">
        <v>1324.15</v>
      </c>
      <c r="F8006" s="3" t="str">
        <f t="shared" si="125"/>
        <v>I7477</v>
      </c>
    </row>
    <row r="8007" spans="1:6" x14ac:dyDescent="0.2">
      <c r="A8007" s="29" t="s">
        <v>19607</v>
      </c>
      <c r="B8007" s="30" t="s">
        <v>19608</v>
      </c>
      <c r="C8007" s="29" t="s">
        <v>26</v>
      </c>
      <c r="D8007" s="31">
        <v>1934.98</v>
      </c>
      <c r="F8007" s="3" t="str">
        <f t="shared" si="125"/>
        <v>I7383</v>
      </c>
    </row>
    <row r="8008" spans="1:6" x14ac:dyDescent="0.2">
      <c r="A8008" s="29" t="s">
        <v>19609</v>
      </c>
      <c r="B8008" s="30" t="s">
        <v>19610</v>
      </c>
      <c r="C8008" s="29" t="s">
        <v>26</v>
      </c>
      <c r="D8008" s="31">
        <v>1216.69</v>
      </c>
      <c r="F8008" s="3" t="str">
        <f t="shared" si="125"/>
        <v>I1767</v>
      </c>
    </row>
    <row r="8009" spans="1:6" x14ac:dyDescent="0.2">
      <c r="A8009" s="29" t="s">
        <v>19611</v>
      </c>
      <c r="B8009" s="30" t="s">
        <v>12255</v>
      </c>
      <c r="C8009" s="29" t="s">
        <v>26</v>
      </c>
      <c r="D8009" s="31">
        <v>805.03</v>
      </c>
      <c r="F8009" s="3" t="str">
        <f t="shared" si="125"/>
        <v>I1768</v>
      </c>
    </row>
    <row r="8010" spans="1:6" x14ac:dyDescent="0.2">
      <c r="A8010" s="29" t="s">
        <v>19612</v>
      </c>
      <c r="B8010" s="30" t="s">
        <v>19613</v>
      </c>
      <c r="C8010" s="29" t="s">
        <v>26</v>
      </c>
      <c r="D8010" s="31">
        <v>805.03</v>
      </c>
      <c r="F8010" s="3" t="str">
        <f t="shared" si="125"/>
        <v>I1769</v>
      </c>
    </row>
    <row r="8011" spans="1:6" x14ac:dyDescent="0.2">
      <c r="A8011" s="29" t="s">
        <v>19614</v>
      </c>
      <c r="B8011" s="30" t="s">
        <v>19615</v>
      </c>
      <c r="C8011" s="29" t="s">
        <v>26</v>
      </c>
      <c r="D8011" s="31">
        <v>1787.52</v>
      </c>
      <c r="F8011" s="3" t="str">
        <f t="shared" si="125"/>
        <v>I6828</v>
      </c>
    </row>
    <row r="8012" spans="1:6" x14ac:dyDescent="0.2">
      <c r="A8012" s="29" t="s">
        <v>19616</v>
      </c>
      <c r="B8012" s="30" t="s">
        <v>19617</v>
      </c>
      <c r="C8012" s="29" t="s">
        <v>26</v>
      </c>
      <c r="D8012" s="31">
        <v>1915.36</v>
      </c>
      <c r="F8012" s="3" t="str">
        <f t="shared" si="125"/>
        <v>I6827</v>
      </c>
    </row>
    <row r="8013" spans="1:6" x14ac:dyDescent="0.2">
      <c r="A8013" s="29" t="s">
        <v>19618</v>
      </c>
      <c r="B8013" s="30" t="s">
        <v>19619</v>
      </c>
      <c r="C8013" s="29" t="s">
        <v>26</v>
      </c>
      <c r="D8013" s="31">
        <v>2285.63</v>
      </c>
      <c r="F8013" s="3" t="str">
        <f t="shared" si="125"/>
        <v>I6826</v>
      </c>
    </row>
    <row r="8014" spans="1:6" x14ac:dyDescent="0.2">
      <c r="A8014" s="29" t="s">
        <v>19620</v>
      </c>
      <c r="B8014" s="30" t="s">
        <v>19621</v>
      </c>
      <c r="C8014" s="29" t="s">
        <v>26</v>
      </c>
      <c r="D8014" s="31">
        <v>38.01</v>
      </c>
      <c r="F8014" s="3" t="str">
        <f t="shared" si="125"/>
        <v>I8352</v>
      </c>
    </row>
    <row r="8015" spans="1:6" x14ac:dyDescent="0.2">
      <c r="A8015" s="29" t="s">
        <v>19622</v>
      </c>
      <c r="B8015" s="30" t="s">
        <v>19623</v>
      </c>
      <c r="C8015" s="29" t="s">
        <v>26</v>
      </c>
      <c r="D8015" s="31">
        <v>38.22</v>
      </c>
      <c r="F8015" s="3" t="str">
        <f t="shared" si="125"/>
        <v>I1779</v>
      </c>
    </row>
    <row r="8016" spans="1:6" x14ac:dyDescent="0.2">
      <c r="A8016" s="29" t="s">
        <v>19624</v>
      </c>
      <c r="B8016" s="30" t="s">
        <v>19625</v>
      </c>
      <c r="C8016" s="29" t="s">
        <v>26</v>
      </c>
      <c r="D8016" s="31">
        <v>27.62</v>
      </c>
      <c r="F8016" s="3" t="str">
        <f t="shared" si="125"/>
        <v>I1780</v>
      </c>
    </row>
    <row r="8017" spans="1:6" x14ac:dyDescent="0.2">
      <c r="A8017" s="29" t="s">
        <v>19626</v>
      </c>
      <c r="B8017" s="30" t="s">
        <v>19627</v>
      </c>
      <c r="C8017" s="29" t="s">
        <v>26</v>
      </c>
      <c r="D8017" s="31">
        <v>27.62</v>
      </c>
      <c r="F8017" s="3" t="str">
        <f t="shared" si="125"/>
        <v>I1773</v>
      </c>
    </row>
    <row r="8018" spans="1:6" x14ac:dyDescent="0.2">
      <c r="A8018" s="29" t="s">
        <v>19628</v>
      </c>
      <c r="B8018" s="30" t="s">
        <v>19629</v>
      </c>
      <c r="C8018" s="29" t="s">
        <v>26</v>
      </c>
      <c r="D8018" s="31">
        <v>107.82</v>
      </c>
      <c r="F8018" s="3" t="str">
        <f t="shared" si="125"/>
        <v>I1781</v>
      </c>
    </row>
    <row r="8019" spans="1:6" x14ac:dyDescent="0.2">
      <c r="A8019" s="29" t="s">
        <v>19630</v>
      </c>
      <c r="B8019" s="30" t="s">
        <v>19631</v>
      </c>
      <c r="C8019" s="29" t="s">
        <v>26</v>
      </c>
      <c r="D8019" s="31">
        <v>124.21</v>
      </c>
      <c r="F8019" s="3" t="str">
        <f t="shared" si="125"/>
        <v>I1775</v>
      </c>
    </row>
    <row r="8020" spans="1:6" x14ac:dyDescent="0.2">
      <c r="A8020" s="29" t="s">
        <v>19632</v>
      </c>
      <c r="B8020" s="30" t="s">
        <v>19633</v>
      </c>
      <c r="C8020" s="29" t="s">
        <v>26</v>
      </c>
      <c r="D8020" s="31">
        <v>356.32</v>
      </c>
      <c r="F8020" s="3" t="str">
        <f t="shared" si="125"/>
        <v>I1777</v>
      </c>
    </row>
    <row r="8021" spans="1:6" x14ac:dyDescent="0.2">
      <c r="A8021" s="29" t="s">
        <v>19634</v>
      </c>
      <c r="B8021" s="30" t="s">
        <v>19635</v>
      </c>
      <c r="C8021" s="29" t="s">
        <v>26</v>
      </c>
      <c r="D8021" s="31">
        <v>66.3</v>
      </c>
      <c r="F8021" s="3" t="str">
        <f t="shared" si="125"/>
        <v>I1776</v>
      </c>
    </row>
    <row r="8022" spans="1:6" x14ac:dyDescent="0.2">
      <c r="A8022" s="29" t="s">
        <v>19636</v>
      </c>
      <c r="B8022" s="30" t="s">
        <v>19637</v>
      </c>
      <c r="C8022" s="29" t="s">
        <v>26</v>
      </c>
      <c r="D8022" s="31">
        <v>197.28</v>
      </c>
      <c r="F8022" s="3" t="str">
        <f t="shared" si="125"/>
        <v>I1782</v>
      </c>
    </row>
    <row r="8023" spans="1:6" x14ac:dyDescent="0.2">
      <c r="A8023" s="29" t="s">
        <v>19638</v>
      </c>
      <c r="B8023" s="30" t="s">
        <v>19639</v>
      </c>
      <c r="C8023" s="29" t="s">
        <v>26</v>
      </c>
      <c r="D8023" s="31">
        <v>229.64</v>
      </c>
      <c r="F8023" s="3" t="str">
        <f t="shared" si="125"/>
        <v>I9493</v>
      </c>
    </row>
    <row r="8024" spans="1:6" ht="22.5" x14ac:dyDescent="0.2">
      <c r="A8024" s="29" t="s">
        <v>19640</v>
      </c>
      <c r="B8024" s="30" t="s">
        <v>19641</v>
      </c>
      <c r="C8024" s="29" t="s">
        <v>26</v>
      </c>
      <c r="D8024" s="31">
        <v>68.69</v>
      </c>
      <c r="F8024" s="3" t="str">
        <f t="shared" si="125"/>
        <v>I9474</v>
      </c>
    </row>
    <row r="8025" spans="1:6" ht="22.5" x14ac:dyDescent="0.2">
      <c r="A8025" s="29" t="s">
        <v>19642</v>
      </c>
      <c r="B8025" s="30" t="s">
        <v>19643</v>
      </c>
      <c r="C8025" s="29" t="s">
        <v>26</v>
      </c>
      <c r="D8025" s="31">
        <v>99.99</v>
      </c>
      <c r="F8025" s="3" t="str">
        <f t="shared" si="125"/>
        <v>I9475</v>
      </c>
    </row>
    <row r="8026" spans="1:6" ht="22.5" x14ac:dyDescent="0.2">
      <c r="A8026" s="29" t="s">
        <v>19644</v>
      </c>
      <c r="B8026" s="30" t="s">
        <v>19645</v>
      </c>
      <c r="C8026" s="29" t="s">
        <v>26</v>
      </c>
      <c r="D8026" s="31">
        <v>114.88</v>
      </c>
      <c r="F8026" s="3" t="str">
        <f t="shared" si="125"/>
        <v>I1778</v>
      </c>
    </row>
    <row r="8027" spans="1:6" x14ac:dyDescent="0.2">
      <c r="A8027" s="29" t="s">
        <v>19646</v>
      </c>
      <c r="B8027" s="30" t="s">
        <v>19647</v>
      </c>
      <c r="C8027" s="29" t="s">
        <v>26</v>
      </c>
      <c r="D8027" s="31">
        <v>108.6</v>
      </c>
      <c r="F8027" s="3" t="str">
        <f t="shared" si="125"/>
        <v>I7417</v>
      </c>
    </row>
    <row r="8028" spans="1:6" ht="22.5" x14ac:dyDescent="0.2">
      <c r="A8028" s="29" t="s">
        <v>19648</v>
      </c>
      <c r="B8028" s="30" t="s">
        <v>19649</v>
      </c>
      <c r="C8028" s="29" t="s">
        <v>26</v>
      </c>
      <c r="D8028" s="31">
        <v>5451.74</v>
      </c>
      <c r="F8028" s="3" t="str">
        <f t="shared" si="125"/>
        <v>I8443</v>
      </c>
    </row>
    <row r="8029" spans="1:6" x14ac:dyDescent="0.2">
      <c r="A8029" s="29" t="s">
        <v>19650</v>
      </c>
      <c r="B8029" s="30" t="s">
        <v>13383</v>
      </c>
      <c r="C8029" s="29" t="s">
        <v>26</v>
      </c>
      <c r="D8029" s="31">
        <v>123.75</v>
      </c>
      <c r="F8029" s="3" t="str">
        <f t="shared" si="125"/>
        <v>I8449</v>
      </c>
    </row>
    <row r="8030" spans="1:6" x14ac:dyDescent="0.2">
      <c r="A8030" s="29" t="s">
        <v>19651</v>
      </c>
      <c r="B8030" s="30" t="s">
        <v>19652</v>
      </c>
      <c r="C8030" s="29" t="s">
        <v>1284</v>
      </c>
      <c r="D8030" s="31">
        <v>5.49</v>
      </c>
      <c r="F8030" s="3" t="str">
        <f t="shared" si="125"/>
        <v>I2419</v>
      </c>
    </row>
    <row r="8031" spans="1:6" x14ac:dyDescent="0.2">
      <c r="A8031" s="29" t="s">
        <v>19653</v>
      </c>
      <c r="B8031" s="30" t="s">
        <v>19654</v>
      </c>
      <c r="C8031" s="29" t="s">
        <v>26</v>
      </c>
      <c r="D8031" s="31">
        <v>68.38</v>
      </c>
      <c r="F8031" s="3" t="str">
        <f t="shared" si="125"/>
        <v>I1848</v>
      </c>
    </row>
    <row r="8032" spans="1:6" x14ac:dyDescent="0.2">
      <c r="A8032" s="29" t="s">
        <v>19655</v>
      </c>
      <c r="B8032" s="30" t="s">
        <v>19656</v>
      </c>
      <c r="C8032" s="29" t="s">
        <v>26</v>
      </c>
      <c r="D8032" s="31">
        <v>120.44</v>
      </c>
      <c r="F8032" s="3" t="str">
        <f t="shared" si="125"/>
        <v>I1849</v>
      </c>
    </row>
    <row r="8033" spans="1:6" x14ac:dyDescent="0.2">
      <c r="A8033" s="29" t="s">
        <v>19657</v>
      </c>
      <c r="B8033" s="30" t="s">
        <v>19658</v>
      </c>
      <c r="C8033" s="29" t="s">
        <v>26</v>
      </c>
      <c r="D8033" s="31">
        <v>215.23</v>
      </c>
      <c r="F8033" s="3" t="str">
        <f t="shared" si="125"/>
        <v>I1850</v>
      </c>
    </row>
    <row r="8034" spans="1:6" x14ac:dyDescent="0.2">
      <c r="A8034" s="29" t="s">
        <v>19659</v>
      </c>
      <c r="B8034" s="30" t="s">
        <v>19660</v>
      </c>
      <c r="C8034" s="29" t="s">
        <v>26</v>
      </c>
      <c r="D8034" s="31">
        <v>431.63</v>
      </c>
      <c r="F8034" s="3" t="str">
        <f t="shared" si="125"/>
        <v>I1851</v>
      </c>
    </row>
    <row r="8035" spans="1:6" x14ac:dyDescent="0.2">
      <c r="A8035" s="29" t="s">
        <v>19661</v>
      </c>
      <c r="B8035" s="30" t="s">
        <v>19662</v>
      </c>
      <c r="C8035" s="29" t="s">
        <v>26</v>
      </c>
      <c r="D8035" s="31">
        <v>684.72</v>
      </c>
      <c r="F8035" s="3" t="str">
        <f t="shared" si="125"/>
        <v>I1852</v>
      </c>
    </row>
    <row r="8036" spans="1:6" x14ac:dyDescent="0.2">
      <c r="A8036" s="29" t="s">
        <v>19663</v>
      </c>
      <c r="B8036" s="30" t="s">
        <v>19664</v>
      </c>
      <c r="C8036" s="29" t="s">
        <v>26</v>
      </c>
      <c r="D8036" s="31">
        <v>862.19</v>
      </c>
      <c r="F8036" s="3" t="str">
        <f t="shared" si="125"/>
        <v>I1853</v>
      </c>
    </row>
    <row r="8037" spans="1:6" ht="22.5" x14ac:dyDescent="0.2">
      <c r="A8037" s="29" t="s">
        <v>19665</v>
      </c>
      <c r="B8037" s="30" t="s">
        <v>19666</v>
      </c>
      <c r="C8037" s="29" t="s">
        <v>26</v>
      </c>
      <c r="D8037" s="31">
        <v>145.38</v>
      </c>
      <c r="F8037" s="3" t="str">
        <f t="shared" si="125"/>
        <v>I7454</v>
      </c>
    </row>
    <row r="8038" spans="1:6" x14ac:dyDescent="0.2">
      <c r="A8038" s="29" t="s">
        <v>19667</v>
      </c>
      <c r="B8038" s="30" t="s">
        <v>19668</v>
      </c>
      <c r="C8038" s="29" t="s">
        <v>26</v>
      </c>
      <c r="D8038" s="31">
        <v>787.99</v>
      </c>
      <c r="F8038" s="3" t="str">
        <f t="shared" si="125"/>
        <v>I7535</v>
      </c>
    </row>
    <row r="8039" spans="1:6" x14ac:dyDescent="0.2">
      <c r="A8039" s="29" t="s">
        <v>19669</v>
      </c>
      <c r="B8039" s="30" t="s">
        <v>19670</v>
      </c>
      <c r="C8039" s="29" t="s">
        <v>26</v>
      </c>
      <c r="D8039" s="31">
        <v>228.48</v>
      </c>
      <c r="F8039" s="3" t="str">
        <f t="shared" si="125"/>
        <v>I1867</v>
      </c>
    </row>
    <row r="8040" spans="1:6" x14ac:dyDescent="0.2">
      <c r="A8040" s="29" t="s">
        <v>19671</v>
      </c>
      <c r="B8040" s="30" t="s">
        <v>19672</v>
      </c>
      <c r="C8040" s="29" t="s">
        <v>26</v>
      </c>
      <c r="D8040" s="31">
        <v>60.65</v>
      </c>
      <c r="F8040" s="3" t="str">
        <f t="shared" si="125"/>
        <v>I7407</v>
      </c>
    </row>
    <row r="8041" spans="1:6" x14ac:dyDescent="0.2">
      <c r="A8041" s="29" t="s">
        <v>19673</v>
      </c>
      <c r="B8041" s="30" t="s">
        <v>19674</v>
      </c>
      <c r="C8041" s="29" t="s">
        <v>26</v>
      </c>
      <c r="D8041" s="31">
        <v>270.72000000000003</v>
      </c>
      <c r="F8041" s="3" t="str">
        <f t="shared" si="125"/>
        <v>I1868</v>
      </c>
    </row>
    <row r="8042" spans="1:6" ht="22.5" x14ac:dyDescent="0.2">
      <c r="A8042" s="29" t="s">
        <v>19675</v>
      </c>
      <c r="B8042" s="30" t="s">
        <v>19676</v>
      </c>
      <c r="C8042" s="29" t="s">
        <v>0</v>
      </c>
      <c r="D8042" s="31">
        <v>699.27</v>
      </c>
      <c r="F8042" s="3" t="str">
        <f t="shared" si="125"/>
        <v>I7931</v>
      </c>
    </row>
    <row r="8043" spans="1:6" x14ac:dyDescent="0.2">
      <c r="A8043" s="29" t="s">
        <v>19677</v>
      </c>
      <c r="B8043" s="30" t="s">
        <v>19678</v>
      </c>
      <c r="C8043" s="29" t="s">
        <v>26</v>
      </c>
      <c r="D8043" s="31">
        <v>6269.08</v>
      </c>
      <c r="F8043" s="3" t="str">
        <f t="shared" si="125"/>
        <v>I7505</v>
      </c>
    </row>
    <row r="8044" spans="1:6" x14ac:dyDescent="0.2">
      <c r="A8044" s="29" t="s">
        <v>19679</v>
      </c>
      <c r="B8044" s="30" t="s">
        <v>19680</v>
      </c>
      <c r="C8044" s="29" t="s">
        <v>26</v>
      </c>
      <c r="D8044" s="31">
        <v>2740.48</v>
      </c>
      <c r="F8044" s="3" t="str">
        <f t="shared" si="125"/>
        <v>I8250</v>
      </c>
    </row>
    <row r="8045" spans="1:6" x14ac:dyDescent="0.2">
      <c r="A8045" s="29" t="s">
        <v>19681</v>
      </c>
      <c r="B8045" s="30" t="s">
        <v>19682</v>
      </c>
      <c r="C8045" s="29" t="s">
        <v>26</v>
      </c>
      <c r="D8045" s="31">
        <v>4795.8599999999997</v>
      </c>
      <c r="F8045" s="3" t="str">
        <f t="shared" si="125"/>
        <v>I7508</v>
      </c>
    </row>
    <row r="8046" spans="1:6" ht="22.5" x14ac:dyDescent="0.2">
      <c r="A8046" s="29" t="s">
        <v>19683</v>
      </c>
      <c r="B8046" s="30" t="s">
        <v>19684</v>
      </c>
      <c r="C8046" s="29" t="s">
        <v>26</v>
      </c>
      <c r="D8046" s="31">
        <v>4316.2700000000004</v>
      </c>
      <c r="F8046" s="3" t="str">
        <f t="shared" si="125"/>
        <v>I7450</v>
      </c>
    </row>
    <row r="8047" spans="1:6" x14ac:dyDescent="0.2">
      <c r="A8047" s="29" t="s">
        <v>19685</v>
      </c>
      <c r="B8047" s="30" t="s">
        <v>19686</v>
      </c>
      <c r="C8047" s="29" t="s">
        <v>26</v>
      </c>
      <c r="D8047" s="31">
        <v>2.91</v>
      </c>
      <c r="F8047" s="3" t="str">
        <f t="shared" si="125"/>
        <v>I2427</v>
      </c>
    </row>
    <row r="8048" spans="1:6" x14ac:dyDescent="0.2">
      <c r="A8048" s="29" t="s">
        <v>19687</v>
      </c>
      <c r="B8048" s="30" t="s">
        <v>13063</v>
      </c>
      <c r="C8048" s="29" t="s">
        <v>26</v>
      </c>
      <c r="D8048" s="31">
        <v>129.52000000000001</v>
      </c>
      <c r="F8048" s="3" t="str">
        <f t="shared" si="125"/>
        <v>I7934</v>
      </c>
    </row>
    <row r="8049" spans="1:6" x14ac:dyDescent="0.2">
      <c r="A8049" s="29" t="s">
        <v>19688</v>
      </c>
      <c r="B8049" s="30" t="s">
        <v>19689</v>
      </c>
      <c r="C8049" s="29" t="s">
        <v>26</v>
      </c>
      <c r="D8049" s="31">
        <v>18.09</v>
      </c>
      <c r="F8049" s="3" t="str">
        <f t="shared" si="125"/>
        <v>I6168</v>
      </c>
    </row>
    <row r="8050" spans="1:6" ht="22.5" x14ac:dyDescent="0.2">
      <c r="A8050" s="29" t="s">
        <v>19690</v>
      </c>
      <c r="B8050" s="30" t="s">
        <v>19691</v>
      </c>
      <c r="C8050" s="29" t="s">
        <v>26</v>
      </c>
      <c r="D8050" s="31">
        <v>1.3</v>
      </c>
      <c r="F8050" s="3" t="str">
        <f t="shared" si="125"/>
        <v>I9107</v>
      </c>
    </row>
    <row r="8051" spans="1:6" ht="22.5" x14ac:dyDescent="0.2">
      <c r="A8051" s="29" t="s">
        <v>19692</v>
      </c>
      <c r="B8051" s="30" t="s">
        <v>19693</v>
      </c>
      <c r="C8051" s="29" t="s">
        <v>26</v>
      </c>
      <c r="D8051" s="31">
        <v>8.8000000000000007</v>
      </c>
      <c r="F8051" s="3" t="str">
        <f t="shared" si="125"/>
        <v>I1910</v>
      </c>
    </row>
    <row r="8052" spans="1:6" x14ac:dyDescent="0.2">
      <c r="A8052" s="29" t="s">
        <v>19694</v>
      </c>
      <c r="B8052" s="30" t="s">
        <v>19695</v>
      </c>
      <c r="C8052" s="29" t="s">
        <v>26</v>
      </c>
      <c r="D8052" s="31">
        <v>17.61</v>
      </c>
      <c r="F8052" s="3" t="str">
        <f t="shared" si="125"/>
        <v>I1898</v>
      </c>
    </row>
    <row r="8053" spans="1:6" x14ac:dyDescent="0.2">
      <c r="A8053" s="29" t="s">
        <v>19696</v>
      </c>
      <c r="B8053" s="30" t="s">
        <v>19695</v>
      </c>
      <c r="C8053" s="29" t="s">
        <v>26</v>
      </c>
      <c r="D8053" s="31">
        <v>8.8000000000000007</v>
      </c>
      <c r="F8053" s="3" t="str">
        <f t="shared" si="125"/>
        <v>I1904</v>
      </c>
    </row>
    <row r="8054" spans="1:6" x14ac:dyDescent="0.2">
      <c r="A8054" s="29" t="s">
        <v>19697</v>
      </c>
      <c r="B8054" s="30" t="s">
        <v>19698</v>
      </c>
      <c r="C8054" s="29" t="s">
        <v>26</v>
      </c>
      <c r="D8054" s="31">
        <v>135.38999999999999</v>
      </c>
      <c r="F8054" s="3" t="str">
        <f t="shared" si="125"/>
        <v>I6695</v>
      </c>
    </row>
    <row r="8055" spans="1:6" x14ac:dyDescent="0.2">
      <c r="A8055" s="29" t="s">
        <v>19699</v>
      </c>
      <c r="B8055" s="30" t="s">
        <v>19700</v>
      </c>
      <c r="C8055" s="29" t="s">
        <v>26</v>
      </c>
      <c r="D8055" s="31">
        <v>25.01</v>
      </c>
      <c r="F8055" s="3" t="str">
        <f t="shared" si="125"/>
        <v>I1901</v>
      </c>
    </row>
    <row r="8056" spans="1:6" x14ac:dyDescent="0.2">
      <c r="A8056" s="29" t="s">
        <v>19701</v>
      </c>
      <c r="B8056" s="30" t="s">
        <v>19702</v>
      </c>
      <c r="C8056" s="29" t="s">
        <v>26</v>
      </c>
      <c r="D8056" s="31">
        <v>22.71</v>
      </c>
      <c r="F8056" s="3" t="str">
        <f t="shared" si="125"/>
        <v>I1902</v>
      </c>
    </row>
    <row r="8057" spans="1:6" x14ac:dyDescent="0.2">
      <c r="A8057" s="29" t="s">
        <v>19703</v>
      </c>
      <c r="B8057" s="30" t="s">
        <v>19704</v>
      </c>
      <c r="C8057" s="29" t="s">
        <v>26</v>
      </c>
      <c r="D8057" s="31">
        <v>51.03</v>
      </c>
      <c r="F8057" s="3" t="str">
        <f t="shared" si="125"/>
        <v>I1903</v>
      </c>
    </row>
    <row r="8058" spans="1:6" x14ac:dyDescent="0.2">
      <c r="A8058" s="29" t="s">
        <v>19705</v>
      </c>
      <c r="B8058" s="30" t="s">
        <v>19706</v>
      </c>
      <c r="C8058" s="29" t="s">
        <v>26</v>
      </c>
      <c r="D8058" s="31">
        <v>49.22</v>
      </c>
      <c r="F8058" s="3" t="str">
        <f t="shared" si="125"/>
        <v>I6370</v>
      </c>
    </row>
    <row r="8059" spans="1:6" x14ac:dyDescent="0.2">
      <c r="A8059" s="29" t="s">
        <v>19707</v>
      </c>
      <c r="B8059" s="30" t="s">
        <v>19708</v>
      </c>
      <c r="C8059" s="29" t="s">
        <v>26</v>
      </c>
      <c r="D8059" s="31">
        <v>7.65</v>
      </c>
      <c r="F8059" s="3" t="str">
        <f t="shared" si="125"/>
        <v>I1921</v>
      </c>
    </row>
    <row r="8060" spans="1:6" x14ac:dyDescent="0.2">
      <c r="A8060" s="29" t="s">
        <v>19709</v>
      </c>
      <c r="B8060" s="30" t="s">
        <v>19710</v>
      </c>
      <c r="C8060" s="29" t="s">
        <v>0</v>
      </c>
      <c r="D8060" s="31">
        <v>57.79</v>
      </c>
      <c r="F8060" s="3" t="str">
        <f t="shared" si="125"/>
        <v>I1922</v>
      </c>
    </row>
    <row r="8061" spans="1:6" x14ac:dyDescent="0.2">
      <c r="A8061" s="29" t="s">
        <v>19711</v>
      </c>
      <c r="B8061" s="30" t="s">
        <v>19712</v>
      </c>
      <c r="C8061" s="29" t="s">
        <v>0</v>
      </c>
      <c r="D8061" s="31">
        <v>86.73</v>
      </c>
      <c r="F8061" s="3" t="str">
        <f t="shared" si="125"/>
        <v>I8372</v>
      </c>
    </row>
    <row r="8062" spans="1:6" x14ac:dyDescent="0.2">
      <c r="A8062" s="29" t="s">
        <v>19713</v>
      </c>
      <c r="B8062" s="30" t="s">
        <v>19714</v>
      </c>
      <c r="C8062" s="29" t="s">
        <v>0</v>
      </c>
      <c r="D8062" s="31">
        <v>46.35</v>
      </c>
      <c r="F8062" s="3" t="str">
        <f t="shared" si="125"/>
        <v>I1923</v>
      </c>
    </row>
    <row r="8063" spans="1:6" x14ac:dyDescent="0.2">
      <c r="A8063" s="29" t="s">
        <v>19715</v>
      </c>
      <c r="B8063" s="30" t="s">
        <v>19716</v>
      </c>
      <c r="C8063" s="29" t="s">
        <v>26</v>
      </c>
      <c r="D8063" s="31">
        <v>232.96</v>
      </c>
      <c r="F8063" s="3" t="str">
        <f t="shared" si="125"/>
        <v>I1924</v>
      </c>
    </row>
    <row r="8064" spans="1:6" x14ac:dyDescent="0.2">
      <c r="A8064" s="29" t="s">
        <v>19717</v>
      </c>
      <c r="B8064" s="30" t="s">
        <v>19718</v>
      </c>
      <c r="C8064" s="29" t="s">
        <v>26</v>
      </c>
      <c r="D8064" s="31">
        <v>191.83</v>
      </c>
      <c r="F8064" s="3" t="str">
        <f t="shared" si="125"/>
        <v>I7449</v>
      </c>
    </row>
    <row r="8065" spans="1:6" x14ac:dyDescent="0.2">
      <c r="A8065" s="29" t="s">
        <v>19719</v>
      </c>
      <c r="B8065" s="30" t="s">
        <v>19720</v>
      </c>
      <c r="C8065" s="29" t="s">
        <v>26</v>
      </c>
      <c r="D8065" s="31">
        <v>4.3099999999999996</v>
      </c>
      <c r="F8065" s="3" t="str">
        <f t="shared" si="125"/>
        <v>I6160</v>
      </c>
    </row>
    <row r="8066" spans="1:6" x14ac:dyDescent="0.2">
      <c r="A8066" s="29" t="s">
        <v>19721</v>
      </c>
      <c r="B8066" s="30" t="s">
        <v>19722</v>
      </c>
      <c r="C8066" s="29" t="s">
        <v>26</v>
      </c>
      <c r="D8066" s="31">
        <v>4.3099999999999996</v>
      </c>
      <c r="F8066" s="3" t="str">
        <f t="shared" ref="F8066:F8129" si="126">A8066</f>
        <v>I6161</v>
      </c>
    </row>
    <row r="8067" spans="1:6" x14ac:dyDescent="0.2">
      <c r="A8067" s="29" t="s">
        <v>19723</v>
      </c>
      <c r="B8067" s="30" t="s">
        <v>19724</v>
      </c>
      <c r="C8067" s="29" t="s">
        <v>26</v>
      </c>
      <c r="D8067" s="31">
        <v>22.05</v>
      </c>
      <c r="F8067" s="3" t="str">
        <f t="shared" si="126"/>
        <v>I2072</v>
      </c>
    </row>
    <row r="8068" spans="1:6" x14ac:dyDescent="0.2">
      <c r="A8068" s="29" t="s">
        <v>19725</v>
      </c>
      <c r="B8068" s="30" t="s">
        <v>19726</v>
      </c>
      <c r="C8068" s="29" t="s">
        <v>26</v>
      </c>
      <c r="D8068" s="31">
        <v>4.24</v>
      </c>
      <c r="F8068" s="3" t="str">
        <f t="shared" si="126"/>
        <v>I2074</v>
      </c>
    </row>
    <row r="8069" spans="1:6" x14ac:dyDescent="0.2">
      <c r="A8069" s="29" t="s">
        <v>19727</v>
      </c>
      <c r="B8069" s="30" t="s">
        <v>19728</v>
      </c>
      <c r="C8069" s="29" t="s">
        <v>26</v>
      </c>
      <c r="D8069" s="31">
        <v>5.47</v>
      </c>
      <c r="F8069" s="3" t="str">
        <f t="shared" si="126"/>
        <v>I2076</v>
      </c>
    </row>
    <row r="8070" spans="1:6" x14ac:dyDescent="0.2">
      <c r="A8070" s="29" t="s">
        <v>19729</v>
      </c>
      <c r="B8070" s="30" t="s">
        <v>19730</v>
      </c>
      <c r="C8070" s="29" t="s">
        <v>26</v>
      </c>
      <c r="D8070" s="31">
        <v>20.2</v>
      </c>
      <c r="F8070" s="3" t="str">
        <f t="shared" si="126"/>
        <v>I2073</v>
      </c>
    </row>
    <row r="8071" spans="1:6" x14ac:dyDescent="0.2">
      <c r="A8071" s="29" t="s">
        <v>19731</v>
      </c>
      <c r="B8071" s="30" t="s">
        <v>19732</v>
      </c>
      <c r="C8071" s="29" t="s">
        <v>26</v>
      </c>
      <c r="D8071" s="31">
        <v>29.74</v>
      </c>
      <c r="F8071" s="3" t="str">
        <f t="shared" si="126"/>
        <v>I2075</v>
      </c>
    </row>
    <row r="8072" spans="1:6" x14ac:dyDescent="0.2">
      <c r="A8072" s="29" t="s">
        <v>19733</v>
      </c>
      <c r="B8072" s="30" t="s">
        <v>19734</v>
      </c>
      <c r="C8072" s="29" t="s">
        <v>26</v>
      </c>
      <c r="D8072" s="31">
        <v>71.13</v>
      </c>
      <c r="F8072" s="3" t="str">
        <f t="shared" si="126"/>
        <v>I2071</v>
      </c>
    </row>
    <row r="8073" spans="1:6" x14ac:dyDescent="0.2">
      <c r="A8073" s="29" t="s">
        <v>19735</v>
      </c>
      <c r="B8073" s="30" t="s">
        <v>19736</v>
      </c>
      <c r="C8073" s="29" t="s">
        <v>26</v>
      </c>
      <c r="D8073" s="31">
        <v>14.72</v>
      </c>
      <c r="F8073" s="3" t="str">
        <f t="shared" si="126"/>
        <v>I2106</v>
      </c>
    </row>
    <row r="8074" spans="1:6" x14ac:dyDescent="0.2">
      <c r="A8074" s="29" t="s">
        <v>19737</v>
      </c>
      <c r="B8074" s="30" t="s">
        <v>19738</v>
      </c>
      <c r="C8074" s="29" t="s">
        <v>26</v>
      </c>
      <c r="D8074" s="31">
        <v>5.59</v>
      </c>
      <c r="F8074" s="3" t="str">
        <f t="shared" si="126"/>
        <v>I9108</v>
      </c>
    </row>
    <row r="8075" spans="1:6" ht="22.5" x14ac:dyDescent="0.2">
      <c r="A8075" s="29" t="s">
        <v>19739</v>
      </c>
      <c r="B8075" s="30" t="s">
        <v>19740</v>
      </c>
      <c r="C8075" s="29" t="s">
        <v>26</v>
      </c>
      <c r="D8075" s="31">
        <v>10.74</v>
      </c>
      <c r="F8075" s="3" t="str">
        <f t="shared" si="126"/>
        <v>I2107</v>
      </c>
    </row>
    <row r="8076" spans="1:6" x14ac:dyDescent="0.2">
      <c r="A8076" s="29" t="s">
        <v>19741</v>
      </c>
      <c r="B8076" s="30" t="s">
        <v>19742</v>
      </c>
      <c r="C8076" s="29" t="s">
        <v>26</v>
      </c>
      <c r="D8076" s="31">
        <v>55.35</v>
      </c>
      <c r="F8076" s="3" t="str">
        <f t="shared" si="126"/>
        <v>I2108</v>
      </c>
    </row>
    <row r="8077" spans="1:6" x14ac:dyDescent="0.2">
      <c r="A8077" s="29" t="s">
        <v>19743</v>
      </c>
      <c r="B8077" s="30" t="s">
        <v>19744</v>
      </c>
      <c r="C8077" s="29" t="s">
        <v>26</v>
      </c>
      <c r="D8077" s="31">
        <v>55.35</v>
      </c>
      <c r="F8077" s="3" t="str">
        <f t="shared" si="126"/>
        <v>I2109</v>
      </c>
    </row>
    <row r="8078" spans="1:6" x14ac:dyDescent="0.2">
      <c r="A8078" s="29" t="s">
        <v>19745</v>
      </c>
      <c r="B8078" s="30" t="s">
        <v>19746</v>
      </c>
      <c r="C8078" s="29" t="s">
        <v>26</v>
      </c>
      <c r="D8078" s="31">
        <v>49.28</v>
      </c>
      <c r="F8078" s="3" t="str">
        <f t="shared" si="126"/>
        <v>I6164</v>
      </c>
    </row>
    <row r="8079" spans="1:6" ht="22.5" x14ac:dyDescent="0.2">
      <c r="A8079" s="29" t="s">
        <v>19747</v>
      </c>
      <c r="B8079" s="30" t="s">
        <v>12778</v>
      </c>
      <c r="C8079" s="29" t="s">
        <v>26</v>
      </c>
      <c r="D8079" s="31">
        <v>5.79</v>
      </c>
      <c r="F8079" s="3" t="str">
        <f t="shared" si="126"/>
        <v>I7938</v>
      </c>
    </row>
    <row r="8080" spans="1:6" x14ac:dyDescent="0.2">
      <c r="A8080" s="29" t="s">
        <v>19748</v>
      </c>
      <c r="B8080" s="30" t="s">
        <v>12782</v>
      </c>
      <c r="C8080" s="29" t="s">
        <v>26</v>
      </c>
      <c r="D8080" s="31">
        <v>20.58</v>
      </c>
      <c r="F8080" s="3" t="str">
        <f t="shared" si="126"/>
        <v>I2111</v>
      </c>
    </row>
    <row r="8081" spans="1:6" x14ac:dyDescent="0.2">
      <c r="A8081" s="29" t="s">
        <v>19749</v>
      </c>
      <c r="B8081" s="30" t="s">
        <v>19750</v>
      </c>
      <c r="C8081" s="29" t="s">
        <v>26</v>
      </c>
      <c r="D8081" s="31">
        <v>20.58</v>
      </c>
      <c r="F8081" s="3" t="str">
        <f t="shared" si="126"/>
        <v>I2112</v>
      </c>
    </row>
    <row r="8082" spans="1:6" ht="22.5" x14ac:dyDescent="0.2">
      <c r="A8082" s="29" t="s">
        <v>19751</v>
      </c>
      <c r="B8082" s="30" t="s">
        <v>19752</v>
      </c>
      <c r="C8082" s="29" t="s">
        <v>26</v>
      </c>
      <c r="D8082" s="31">
        <v>36.74</v>
      </c>
      <c r="F8082" s="3" t="str">
        <f t="shared" si="126"/>
        <v>I9398</v>
      </c>
    </row>
    <row r="8083" spans="1:6" ht="22.5" x14ac:dyDescent="0.2">
      <c r="A8083" s="29" t="s">
        <v>19753</v>
      </c>
      <c r="B8083" s="30" t="s">
        <v>19754</v>
      </c>
      <c r="C8083" s="29" t="s">
        <v>26</v>
      </c>
      <c r="D8083" s="31">
        <v>45.2</v>
      </c>
      <c r="F8083" s="3" t="str">
        <f t="shared" si="126"/>
        <v>I9109</v>
      </c>
    </row>
    <row r="8084" spans="1:6" ht="22.5" x14ac:dyDescent="0.2">
      <c r="A8084" s="29" t="s">
        <v>19755</v>
      </c>
      <c r="B8084" s="30" t="s">
        <v>19756</v>
      </c>
      <c r="C8084" s="29" t="s">
        <v>26</v>
      </c>
      <c r="D8084" s="31">
        <v>42.75</v>
      </c>
      <c r="F8084" s="3" t="str">
        <f t="shared" si="126"/>
        <v>I7982</v>
      </c>
    </row>
    <row r="8085" spans="1:6" ht="22.5" x14ac:dyDescent="0.2">
      <c r="A8085" s="29" t="s">
        <v>19757</v>
      </c>
      <c r="B8085" s="30" t="s">
        <v>19758</v>
      </c>
      <c r="C8085" s="29" t="s">
        <v>26</v>
      </c>
      <c r="D8085" s="31">
        <v>62.5</v>
      </c>
      <c r="F8085" s="3" t="str">
        <f t="shared" si="126"/>
        <v>I9397</v>
      </c>
    </row>
    <row r="8086" spans="1:6" ht="22.5" x14ac:dyDescent="0.2">
      <c r="A8086" s="29" t="s">
        <v>19759</v>
      </c>
      <c r="B8086" s="30" t="s">
        <v>19760</v>
      </c>
      <c r="C8086" s="29" t="s">
        <v>26</v>
      </c>
      <c r="D8086" s="31">
        <v>30.39</v>
      </c>
      <c r="F8086" s="3" t="str">
        <f t="shared" si="126"/>
        <v>I10271</v>
      </c>
    </row>
    <row r="8087" spans="1:6" x14ac:dyDescent="0.2">
      <c r="A8087" s="29" t="s">
        <v>19761</v>
      </c>
      <c r="B8087" s="30" t="s">
        <v>19762</v>
      </c>
      <c r="C8087" s="29" t="s">
        <v>26</v>
      </c>
      <c r="D8087" s="31">
        <v>17.010000000000002</v>
      </c>
      <c r="F8087" s="3" t="str">
        <f t="shared" si="126"/>
        <v>I2113</v>
      </c>
    </row>
    <row r="8088" spans="1:6" x14ac:dyDescent="0.2">
      <c r="A8088" s="29" t="s">
        <v>19763</v>
      </c>
      <c r="B8088" s="30" t="s">
        <v>19764</v>
      </c>
      <c r="C8088" s="29" t="s">
        <v>26</v>
      </c>
      <c r="D8088" s="31">
        <v>14.94</v>
      </c>
      <c r="F8088" s="3" t="str">
        <f t="shared" si="126"/>
        <v>I2114</v>
      </c>
    </row>
    <row r="8089" spans="1:6" x14ac:dyDescent="0.2">
      <c r="A8089" s="29" t="s">
        <v>19765</v>
      </c>
      <c r="B8089" s="30" t="s">
        <v>19766</v>
      </c>
      <c r="C8089" s="29" t="s">
        <v>26</v>
      </c>
      <c r="D8089" s="31">
        <v>45.15</v>
      </c>
      <c r="F8089" s="3" t="str">
        <f t="shared" si="126"/>
        <v>I2115</v>
      </c>
    </row>
    <row r="8090" spans="1:6" x14ac:dyDescent="0.2">
      <c r="A8090" s="29" t="s">
        <v>19767</v>
      </c>
      <c r="B8090" s="30" t="s">
        <v>19768</v>
      </c>
      <c r="C8090" s="29" t="s">
        <v>26</v>
      </c>
      <c r="D8090" s="31">
        <v>40.01</v>
      </c>
      <c r="F8090" s="3" t="str">
        <f t="shared" si="126"/>
        <v>I2116</v>
      </c>
    </row>
    <row r="8091" spans="1:6" x14ac:dyDescent="0.2">
      <c r="A8091" s="29" t="s">
        <v>19769</v>
      </c>
      <c r="B8091" s="30" t="s">
        <v>19770</v>
      </c>
      <c r="C8091" s="29" t="s">
        <v>26</v>
      </c>
      <c r="D8091" s="31">
        <v>54.11</v>
      </c>
      <c r="F8091" s="3" t="str">
        <f t="shared" si="126"/>
        <v>I2117</v>
      </c>
    </row>
    <row r="8092" spans="1:6" x14ac:dyDescent="0.2">
      <c r="A8092" s="29" t="s">
        <v>19771</v>
      </c>
      <c r="B8092" s="30" t="s">
        <v>12814</v>
      </c>
      <c r="C8092" s="29" t="s">
        <v>26</v>
      </c>
      <c r="D8092" s="31">
        <v>16.760000000000002</v>
      </c>
      <c r="F8092" s="3" t="str">
        <f t="shared" si="126"/>
        <v>I2118</v>
      </c>
    </row>
    <row r="8093" spans="1:6" x14ac:dyDescent="0.2">
      <c r="A8093" s="29" t="s">
        <v>19772</v>
      </c>
      <c r="B8093" s="30" t="s">
        <v>19773</v>
      </c>
      <c r="C8093" s="29" t="s">
        <v>26</v>
      </c>
      <c r="D8093" s="31">
        <v>9.35</v>
      </c>
      <c r="F8093" s="3" t="str">
        <f t="shared" si="126"/>
        <v>I2119</v>
      </c>
    </row>
    <row r="8094" spans="1:6" x14ac:dyDescent="0.2">
      <c r="A8094" s="29" t="s">
        <v>19774</v>
      </c>
      <c r="B8094" s="30" t="s">
        <v>19775</v>
      </c>
      <c r="C8094" s="29" t="s">
        <v>26</v>
      </c>
      <c r="D8094" s="31">
        <v>16.760000000000002</v>
      </c>
      <c r="F8094" s="3" t="str">
        <f t="shared" si="126"/>
        <v>I2444</v>
      </c>
    </row>
    <row r="8095" spans="1:6" x14ac:dyDescent="0.2">
      <c r="A8095" s="29" t="s">
        <v>19776</v>
      </c>
      <c r="B8095" s="30" t="s">
        <v>19777</v>
      </c>
      <c r="C8095" s="29" t="s">
        <v>26</v>
      </c>
      <c r="D8095" s="31">
        <v>53.36</v>
      </c>
      <c r="F8095" s="3" t="str">
        <f t="shared" si="126"/>
        <v>I2120</v>
      </c>
    </row>
    <row r="8096" spans="1:6" x14ac:dyDescent="0.2">
      <c r="A8096" s="29" t="s">
        <v>19778</v>
      </c>
      <c r="B8096" s="30" t="s">
        <v>19779</v>
      </c>
      <c r="C8096" s="29" t="s">
        <v>26</v>
      </c>
      <c r="D8096" s="31">
        <v>115.79</v>
      </c>
      <c r="F8096" s="3" t="str">
        <f t="shared" si="126"/>
        <v>I2121</v>
      </c>
    </row>
    <row r="8097" spans="1:6" x14ac:dyDescent="0.2">
      <c r="A8097" s="29" t="s">
        <v>19780</v>
      </c>
      <c r="B8097" s="30" t="s">
        <v>19781</v>
      </c>
      <c r="C8097" s="29" t="s">
        <v>26</v>
      </c>
      <c r="D8097" s="31">
        <v>125.99</v>
      </c>
      <c r="F8097" s="3" t="str">
        <f t="shared" si="126"/>
        <v>I2156</v>
      </c>
    </row>
    <row r="8098" spans="1:6" x14ac:dyDescent="0.2">
      <c r="A8098" s="29" t="s">
        <v>19782</v>
      </c>
      <c r="B8098" s="30" t="s">
        <v>19783</v>
      </c>
      <c r="C8098" s="29" t="s">
        <v>26</v>
      </c>
      <c r="D8098" s="31">
        <v>149.13999999999999</v>
      </c>
      <c r="F8098" s="3" t="str">
        <f t="shared" si="126"/>
        <v>I2152</v>
      </c>
    </row>
    <row r="8099" spans="1:6" x14ac:dyDescent="0.2">
      <c r="A8099" s="29" t="s">
        <v>19784</v>
      </c>
      <c r="B8099" s="30" t="s">
        <v>19785</v>
      </c>
      <c r="C8099" s="29" t="s">
        <v>26</v>
      </c>
      <c r="D8099" s="31">
        <v>152.01</v>
      </c>
      <c r="F8099" s="3" t="str">
        <f t="shared" si="126"/>
        <v>I2153</v>
      </c>
    </row>
    <row r="8100" spans="1:6" x14ac:dyDescent="0.2">
      <c r="A8100" s="29" t="s">
        <v>19786</v>
      </c>
      <c r="B8100" s="30" t="s">
        <v>19787</v>
      </c>
      <c r="C8100" s="29" t="s">
        <v>26</v>
      </c>
      <c r="D8100" s="31">
        <v>161.57</v>
      </c>
      <c r="F8100" s="3" t="str">
        <f t="shared" si="126"/>
        <v>I2154</v>
      </c>
    </row>
    <row r="8101" spans="1:6" x14ac:dyDescent="0.2">
      <c r="A8101" s="29" t="s">
        <v>19788</v>
      </c>
      <c r="B8101" s="30" t="s">
        <v>19789</v>
      </c>
      <c r="C8101" s="29" t="s">
        <v>26</v>
      </c>
      <c r="D8101" s="31">
        <v>186.36</v>
      </c>
      <c r="F8101" s="3" t="str">
        <f t="shared" si="126"/>
        <v>I2155</v>
      </c>
    </row>
    <row r="8102" spans="1:6" x14ac:dyDescent="0.2">
      <c r="A8102" s="29" t="s">
        <v>19790</v>
      </c>
      <c r="B8102" s="30" t="s">
        <v>19791</v>
      </c>
      <c r="C8102" s="29" t="s">
        <v>26</v>
      </c>
      <c r="D8102" s="31">
        <v>1175.25</v>
      </c>
      <c r="F8102" s="3" t="str">
        <f t="shared" si="126"/>
        <v>I7542</v>
      </c>
    </row>
    <row r="8103" spans="1:6" x14ac:dyDescent="0.2">
      <c r="A8103" s="29" t="s">
        <v>19792</v>
      </c>
      <c r="B8103" s="30" t="s">
        <v>13153</v>
      </c>
      <c r="C8103" s="29" t="s">
        <v>26</v>
      </c>
      <c r="D8103" s="31">
        <v>1091.32</v>
      </c>
      <c r="F8103" s="3" t="str">
        <f t="shared" si="126"/>
        <v>I2471</v>
      </c>
    </row>
    <row r="8104" spans="1:6" x14ac:dyDescent="0.2">
      <c r="A8104" s="29" t="s">
        <v>19793</v>
      </c>
      <c r="B8104" s="30" t="s">
        <v>19794</v>
      </c>
      <c r="C8104" s="29" t="s">
        <v>26</v>
      </c>
      <c r="D8104" s="31">
        <v>1633.6</v>
      </c>
      <c r="F8104" s="3" t="str">
        <f t="shared" si="126"/>
        <v>I7543</v>
      </c>
    </row>
    <row r="8105" spans="1:6" x14ac:dyDescent="0.2">
      <c r="A8105" s="29" t="s">
        <v>19795</v>
      </c>
      <c r="B8105" s="30" t="s">
        <v>19796</v>
      </c>
      <c r="C8105" s="29" t="s">
        <v>26</v>
      </c>
      <c r="D8105" s="31">
        <v>306.55</v>
      </c>
      <c r="F8105" s="3" t="str">
        <f t="shared" si="126"/>
        <v>I2147</v>
      </c>
    </row>
    <row r="8106" spans="1:6" x14ac:dyDescent="0.2">
      <c r="A8106" s="29" t="s">
        <v>19797</v>
      </c>
      <c r="B8106" s="30" t="s">
        <v>13065</v>
      </c>
      <c r="C8106" s="29" t="s">
        <v>26</v>
      </c>
      <c r="D8106" s="31">
        <v>38.619999999999997</v>
      </c>
      <c r="F8106" s="3" t="str">
        <f t="shared" si="126"/>
        <v>I7937</v>
      </c>
    </row>
    <row r="8107" spans="1:6" ht="22.5" x14ac:dyDescent="0.2">
      <c r="A8107" s="29" t="s">
        <v>19798</v>
      </c>
      <c r="B8107" s="30" t="s">
        <v>19799</v>
      </c>
      <c r="C8107" s="29" t="s">
        <v>26</v>
      </c>
      <c r="D8107" s="31">
        <v>2632.56</v>
      </c>
      <c r="F8107" s="3" t="str">
        <f t="shared" si="126"/>
        <v>I7536</v>
      </c>
    </row>
    <row r="8108" spans="1:6" x14ac:dyDescent="0.2">
      <c r="A8108" s="29" t="s">
        <v>19800</v>
      </c>
      <c r="B8108" s="30" t="s">
        <v>19801</v>
      </c>
      <c r="C8108" s="29" t="s">
        <v>26</v>
      </c>
      <c r="D8108" s="31">
        <v>1838.11</v>
      </c>
      <c r="F8108" s="3" t="str">
        <f t="shared" si="126"/>
        <v>I7502</v>
      </c>
    </row>
    <row r="8109" spans="1:6" x14ac:dyDescent="0.2">
      <c r="A8109" s="29" t="s">
        <v>19802</v>
      </c>
      <c r="B8109" s="30" t="s">
        <v>19803</v>
      </c>
      <c r="C8109" s="29" t="s">
        <v>0</v>
      </c>
      <c r="D8109" s="31">
        <v>11.56</v>
      </c>
      <c r="F8109" s="3" t="str">
        <f t="shared" si="126"/>
        <v>I7410</v>
      </c>
    </row>
    <row r="8110" spans="1:6" x14ac:dyDescent="0.2">
      <c r="A8110" s="29" t="s">
        <v>19804</v>
      </c>
      <c r="B8110" s="30" t="s">
        <v>19805</v>
      </c>
      <c r="C8110" s="29" t="s">
        <v>26</v>
      </c>
      <c r="D8110" s="31">
        <v>181.66</v>
      </c>
      <c r="F8110" s="3" t="str">
        <f t="shared" si="126"/>
        <v>I2261</v>
      </c>
    </row>
    <row r="8111" spans="1:6" x14ac:dyDescent="0.2">
      <c r="A8111" s="29" t="s">
        <v>19806</v>
      </c>
      <c r="B8111" s="30" t="s">
        <v>19807</v>
      </c>
      <c r="C8111" s="29" t="s">
        <v>26</v>
      </c>
      <c r="D8111" s="31">
        <v>117.45</v>
      </c>
      <c r="F8111" s="3" t="str">
        <f t="shared" si="126"/>
        <v>I2262</v>
      </c>
    </row>
    <row r="8112" spans="1:6" x14ac:dyDescent="0.2">
      <c r="A8112" s="29" t="s">
        <v>19808</v>
      </c>
      <c r="B8112" s="30" t="s">
        <v>19809</v>
      </c>
      <c r="C8112" s="29" t="s">
        <v>26</v>
      </c>
      <c r="D8112" s="31">
        <v>144.25</v>
      </c>
      <c r="F8112" s="3" t="str">
        <f t="shared" si="126"/>
        <v>I2263</v>
      </c>
    </row>
    <row r="8113" spans="1:6" ht="15.75" customHeight="1" x14ac:dyDescent="0.2">
      <c r="A8113" s="32" t="s">
        <v>19810</v>
      </c>
      <c r="B8113" s="33"/>
      <c r="C8113" s="32">
        <v>0</v>
      </c>
      <c r="D8113" s="34">
        <v>0</v>
      </c>
      <c r="F8113" s="3" t="str">
        <f t="shared" si="126"/>
        <v>COTAÇÃO / JUNTAS ESTRUTURA</v>
      </c>
    </row>
    <row r="8114" spans="1:6" ht="25.5" x14ac:dyDescent="0.2">
      <c r="A8114" s="26" t="s">
        <v>14985</v>
      </c>
      <c r="B8114" s="27" t="s">
        <v>14986</v>
      </c>
      <c r="C8114" s="26" t="s">
        <v>14987</v>
      </c>
      <c r="D8114" s="28" t="e">
        <v>#VALUE!</v>
      </c>
      <c r="F8114" s="3" t="str">
        <f t="shared" si="126"/>
        <v>Insumo</v>
      </c>
    </row>
    <row r="8115" spans="1:6" x14ac:dyDescent="0.2">
      <c r="A8115" s="29" t="s">
        <v>19811</v>
      </c>
      <c r="B8115" s="30" t="s">
        <v>19812</v>
      </c>
      <c r="C8115" s="29" t="s">
        <v>0</v>
      </c>
      <c r="D8115" s="31">
        <v>86.56</v>
      </c>
      <c r="F8115" s="3" t="str">
        <f t="shared" si="126"/>
        <v>I9479</v>
      </c>
    </row>
    <row r="8116" spans="1:6" x14ac:dyDescent="0.2">
      <c r="A8116" s="29" t="s">
        <v>19813</v>
      </c>
      <c r="B8116" s="30" t="s">
        <v>7752</v>
      </c>
      <c r="C8116" s="29" t="s">
        <v>0</v>
      </c>
      <c r="D8116" s="31">
        <v>128.78</v>
      </c>
      <c r="F8116" s="3" t="str">
        <f t="shared" si="126"/>
        <v>I9480</v>
      </c>
    </row>
    <row r="8117" spans="1:6" x14ac:dyDescent="0.2">
      <c r="A8117" s="29" t="s">
        <v>19814</v>
      </c>
      <c r="B8117" s="30" t="s">
        <v>7754</v>
      </c>
      <c r="C8117" s="29" t="s">
        <v>0</v>
      </c>
      <c r="D8117" s="31">
        <v>218.21</v>
      </c>
      <c r="F8117" s="3" t="str">
        <f t="shared" si="126"/>
        <v>I9481</v>
      </c>
    </row>
    <row r="8118" spans="1:6" x14ac:dyDescent="0.2">
      <c r="A8118" s="29" t="s">
        <v>19815</v>
      </c>
      <c r="B8118" s="30" t="s">
        <v>7756</v>
      </c>
      <c r="C8118" s="29" t="s">
        <v>0</v>
      </c>
      <c r="D8118" s="31">
        <v>289.33</v>
      </c>
      <c r="F8118" s="3" t="str">
        <f t="shared" si="126"/>
        <v>I9482</v>
      </c>
    </row>
    <row r="8119" spans="1:6" ht="22.5" x14ac:dyDescent="0.2">
      <c r="A8119" s="29" t="s">
        <v>19816</v>
      </c>
      <c r="B8119" s="30" t="s">
        <v>19817</v>
      </c>
      <c r="C8119" s="29" t="s">
        <v>0</v>
      </c>
      <c r="D8119" s="31">
        <v>345.72</v>
      </c>
      <c r="F8119" s="3" t="str">
        <f t="shared" si="126"/>
        <v>I9497</v>
      </c>
    </row>
    <row r="8120" spans="1:6" ht="33.75" x14ac:dyDescent="0.2">
      <c r="A8120" s="29" t="s">
        <v>19818</v>
      </c>
      <c r="B8120" s="30" t="s">
        <v>7766</v>
      </c>
      <c r="C8120" s="29" t="s">
        <v>0</v>
      </c>
      <c r="D8120" s="31">
        <v>452.28</v>
      </c>
      <c r="F8120" s="3" t="str">
        <f t="shared" si="126"/>
        <v>I9496</v>
      </c>
    </row>
    <row r="8121" spans="1:6" ht="33.75" x14ac:dyDescent="0.2">
      <c r="A8121" s="29" t="s">
        <v>19819</v>
      </c>
      <c r="B8121" s="30" t="s">
        <v>19820</v>
      </c>
      <c r="C8121" s="29" t="s">
        <v>0</v>
      </c>
      <c r="D8121" s="31">
        <v>553.34</v>
      </c>
      <c r="F8121" s="3" t="str">
        <f t="shared" si="126"/>
        <v>I9494</v>
      </c>
    </row>
    <row r="8122" spans="1:6" ht="33.75" x14ac:dyDescent="0.2">
      <c r="A8122" s="29" t="s">
        <v>19821</v>
      </c>
      <c r="B8122" s="30" t="s">
        <v>7770</v>
      </c>
      <c r="C8122" s="29" t="s">
        <v>0</v>
      </c>
      <c r="D8122" s="31">
        <v>648.20000000000005</v>
      </c>
      <c r="F8122" s="3" t="str">
        <f t="shared" si="126"/>
        <v>I9498</v>
      </c>
    </row>
    <row r="8123" spans="1:6" ht="15.75" customHeight="1" x14ac:dyDescent="0.2">
      <c r="A8123" s="32" t="s">
        <v>19822</v>
      </c>
      <c r="B8123" s="33"/>
      <c r="C8123" s="32">
        <v>0</v>
      </c>
      <c r="D8123" s="34">
        <v>0</v>
      </c>
      <c r="F8123" s="3" t="str">
        <f t="shared" si="126"/>
        <v>COTAÇÃO / LOUÇAS, METAIS E ACESSORIOS</v>
      </c>
    </row>
    <row r="8124" spans="1:6" ht="25.5" x14ac:dyDescent="0.2">
      <c r="A8124" s="26" t="s">
        <v>14985</v>
      </c>
      <c r="B8124" s="27" t="s">
        <v>14986</v>
      </c>
      <c r="C8124" s="26" t="s">
        <v>14987</v>
      </c>
      <c r="D8124" s="28" t="e">
        <v>#VALUE!</v>
      </c>
      <c r="F8124" s="3" t="str">
        <f t="shared" si="126"/>
        <v>Insumo</v>
      </c>
    </row>
    <row r="8125" spans="1:6" x14ac:dyDescent="0.2">
      <c r="A8125" s="29" t="s">
        <v>19823</v>
      </c>
      <c r="B8125" s="30" t="s">
        <v>19824</v>
      </c>
      <c r="C8125" s="29" t="s">
        <v>26</v>
      </c>
      <c r="D8125" s="31">
        <v>225.48</v>
      </c>
      <c r="F8125" s="3" t="str">
        <f t="shared" si="126"/>
        <v>I0087</v>
      </c>
    </row>
    <row r="8126" spans="1:6" x14ac:dyDescent="0.2">
      <c r="A8126" s="29" t="s">
        <v>19825</v>
      </c>
      <c r="B8126" s="30" t="s">
        <v>19826</v>
      </c>
      <c r="C8126" s="29" t="s">
        <v>26</v>
      </c>
      <c r="D8126" s="31">
        <v>262.14999999999998</v>
      </c>
      <c r="F8126" s="3" t="str">
        <f t="shared" si="126"/>
        <v>I0088</v>
      </c>
    </row>
    <row r="8127" spans="1:6" x14ac:dyDescent="0.2">
      <c r="A8127" s="29" t="s">
        <v>19827</v>
      </c>
      <c r="B8127" s="30" t="s">
        <v>19828</v>
      </c>
      <c r="C8127" s="29" t="s">
        <v>26</v>
      </c>
      <c r="D8127" s="31">
        <v>239.43</v>
      </c>
      <c r="F8127" s="3" t="str">
        <f t="shared" si="126"/>
        <v>I0089</v>
      </c>
    </row>
    <row r="8128" spans="1:6" x14ac:dyDescent="0.2">
      <c r="A8128" s="29" t="s">
        <v>19829</v>
      </c>
      <c r="B8128" s="30" t="s">
        <v>19830</v>
      </c>
      <c r="C8128" s="29" t="s">
        <v>26</v>
      </c>
      <c r="D8128" s="31">
        <v>70.819999999999993</v>
      </c>
      <c r="F8128" s="3" t="str">
        <f t="shared" si="126"/>
        <v>I0124</v>
      </c>
    </row>
    <row r="8129" spans="1:6" x14ac:dyDescent="0.2">
      <c r="A8129" s="29" t="s">
        <v>19831</v>
      </c>
      <c r="B8129" s="30" t="s">
        <v>14918</v>
      </c>
      <c r="C8129" s="29" t="s">
        <v>26</v>
      </c>
      <c r="D8129" s="31">
        <v>683.65</v>
      </c>
      <c r="F8129" s="3" t="str">
        <f t="shared" si="126"/>
        <v>I8641</v>
      </c>
    </row>
    <row r="8130" spans="1:6" x14ac:dyDescent="0.2">
      <c r="A8130" s="29" t="s">
        <v>19832</v>
      </c>
      <c r="B8130" s="30" t="s">
        <v>19833</v>
      </c>
      <c r="C8130" s="29" t="s">
        <v>26</v>
      </c>
      <c r="D8130" s="31">
        <v>317.47000000000003</v>
      </c>
      <c r="F8130" s="3" t="str">
        <f t="shared" ref="F8130:F8193" si="127">A8130</f>
        <v>I8636</v>
      </c>
    </row>
    <row r="8131" spans="1:6" x14ac:dyDescent="0.2">
      <c r="A8131" s="29" t="s">
        <v>19834</v>
      </c>
      <c r="B8131" s="30" t="s">
        <v>19835</v>
      </c>
      <c r="C8131" s="29" t="s">
        <v>26</v>
      </c>
      <c r="D8131" s="31">
        <v>701.56</v>
      </c>
      <c r="F8131" s="3" t="str">
        <f t="shared" si="127"/>
        <v>I8651</v>
      </c>
    </row>
    <row r="8132" spans="1:6" x14ac:dyDescent="0.2">
      <c r="A8132" s="29" t="s">
        <v>19836</v>
      </c>
      <c r="B8132" s="30" t="s">
        <v>19837</v>
      </c>
      <c r="C8132" s="29" t="s">
        <v>26</v>
      </c>
      <c r="D8132" s="31">
        <v>223</v>
      </c>
      <c r="F8132" s="3" t="str">
        <f t="shared" si="127"/>
        <v>I0170</v>
      </c>
    </row>
    <row r="8133" spans="1:6" x14ac:dyDescent="0.2">
      <c r="A8133" s="29" t="s">
        <v>19838</v>
      </c>
      <c r="B8133" s="30" t="s">
        <v>19839</v>
      </c>
      <c r="C8133" s="29" t="s">
        <v>26</v>
      </c>
      <c r="D8133" s="31">
        <v>237.24</v>
      </c>
      <c r="F8133" s="3" t="str">
        <f t="shared" si="127"/>
        <v>I0171</v>
      </c>
    </row>
    <row r="8134" spans="1:6" x14ac:dyDescent="0.2">
      <c r="A8134" s="29" t="s">
        <v>19840</v>
      </c>
      <c r="B8134" s="30" t="s">
        <v>19841</v>
      </c>
      <c r="C8134" s="29" t="s">
        <v>26</v>
      </c>
      <c r="D8134" s="31">
        <v>223</v>
      </c>
      <c r="F8134" s="3" t="str">
        <f t="shared" si="127"/>
        <v>I0174</v>
      </c>
    </row>
    <row r="8135" spans="1:6" x14ac:dyDescent="0.2">
      <c r="A8135" s="29" t="s">
        <v>19842</v>
      </c>
      <c r="B8135" s="30" t="s">
        <v>19843</v>
      </c>
      <c r="C8135" s="29" t="s">
        <v>26</v>
      </c>
      <c r="D8135" s="31">
        <v>469.8</v>
      </c>
      <c r="F8135" s="3" t="str">
        <f t="shared" si="127"/>
        <v>I0176</v>
      </c>
    </row>
    <row r="8136" spans="1:6" x14ac:dyDescent="0.2">
      <c r="A8136" s="29" t="s">
        <v>19844</v>
      </c>
      <c r="B8136" s="30" t="s">
        <v>19845</v>
      </c>
      <c r="C8136" s="29" t="s">
        <v>26</v>
      </c>
      <c r="D8136" s="31">
        <v>650.72</v>
      </c>
      <c r="F8136" s="3" t="str">
        <f t="shared" si="127"/>
        <v>I0177</v>
      </c>
    </row>
    <row r="8137" spans="1:6" x14ac:dyDescent="0.2">
      <c r="A8137" s="29" t="s">
        <v>19846</v>
      </c>
      <c r="B8137" s="30" t="s">
        <v>19847</v>
      </c>
      <c r="C8137" s="29" t="s">
        <v>255</v>
      </c>
      <c r="D8137" s="31">
        <v>370.44</v>
      </c>
      <c r="F8137" s="3" t="str">
        <f t="shared" si="127"/>
        <v>I0184</v>
      </c>
    </row>
    <row r="8138" spans="1:6" x14ac:dyDescent="0.2">
      <c r="A8138" s="29" t="s">
        <v>19848</v>
      </c>
      <c r="B8138" s="30" t="s">
        <v>19849</v>
      </c>
      <c r="C8138" s="29" t="s">
        <v>255</v>
      </c>
      <c r="D8138" s="31">
        <v>833.49</v>
      </c>
      <c r="F8138" s="3" t="str">
        <f t="shared" si="127"/>
        <v>I0185</v>
      </c>
    </row>
    <row r="8139" spans="1:6" x14ac:dyDescent="0.2">
      <c r="A8139" s="29" t="s">
        <v>19850</v>
      </c>
      <c r="B8139" s="30" t="s">
        <v>19851</v>
      </c>
      <c r="C8139" s="29" t="s">
        <v>26</v>
      </c>
      <c r="D8139" s="31">
        <v>1750.55</v>
      </c>
      <c r="F8139" s="3" t="str">
        <f t="shared" si="127"/>
        <v>I6738</v>
      </c>
    </row>
    <row r="8140" spans="1:6" x14ac:dyDescent="0.2">
      <c r="A8140" s="29" t="s">
        <v>19852</v>
      </c>
      <c r="B8140" s="30" t="s">
        <v>19853</v>
      </c>
      <c r="C8140" s="29" t="s">
        <v>26</v>
      </c>
      <c r="D8140" s="31">
        <v>3.48</v>
      </c>
      <c r="F8140" s="3" t="str">
        <f t="shared" si="127"/>
        <v>I0245</v>
      </c>
    </row>
    <row r="8141" spans="1:6" x14ac:dyDescent="0.2">
      <c r="A8141" s="29" t="s">
        <v>19854</v>
      </c>
      <c r="B8141" s="30" t="s">
        <v>19855</v>
      </c>
      <c r="C8141" s="29" t="s">
        <v>26</v>
      </c>
      <c r="D8141" s="31">
        <v>10.17</v>
      </c>
      <c r="F8141" s="3" t="str">
        <f t="shared" si="127"/>
        <v>I0333</v>
      </c>
    </row>
    <row r="8142" spans="1:6" x14ac:dyDescent="0.2">
      <c r="A8142" s="29" t="s">
        <v>19856</v>
      </c>
      <c r="B8142" s="30" t="s">
        <v>19857</v>
      </c>
      <c r="C8142" s="29" t="s">
        <v>26</v>
      </c>
      <c r="D8142" s="31">
        <v>14.28</v>
      </c>
      <c r="F8142" s="3" t="str">
        <f t="shared" si="127"/>
        <v>I0334</v>
      </c>
    </row>
    <row r="8143" spans="1:6" x14ac:dyDescent="0.2">
      <c r="A8143" s="29" t="s">
        <v>19858</v>
      </c>
      <c r="B8143" s="30" t="s">
        <v>19859</v>
      </c>
      <c r="C8143" s="29" t="s">
        <v>26</v>
      </c>
      <c r="D8143" s="31">
        <v>260.63</v>
      </c>
      <c r="F8143" s="3" t="str">
        <f t="shared" si="127"/>
        <v>I0406</v>
      </c>
    </row>
    <row r="8144" spans="1:6" x14ac:dyDescent="0.2">
      <c r="A8144" s="29" t="s">
        <v>19860</v>
      </c>
      <c r="B8144" s="30" t="s">
        <v>19861</v>
      </c>
      <c r="C8144" s="29" t="s">
        <v>26</v>
      </c>
      <c r="D8144" s="31">
        <v>40</v>
      </c>
      <c r="F8144" s="3" t="str">
        <f t="shared" si="127"/>
        <v>I0416</v>
      </c>
    </row>
    <row r="8145" spans="1:6" x14ac:dyDescent="0.2">
      <c r="A8145" s="29" t="s">
        <v>19862</v>
      </c>
      <c r="B8145" s="30" t="s">
        <v>19863</v>
      </c>
      <c r="C8145" s="29" t="s">
        <v>26</v>
      </c>
      <c r="D8145" s="31">
        <v>81.53</v>
      </c>
      <c r="F8145" s="3" t="str">
        <f t="shared" si="127"/>
        <v>I0414</v>
      </c>
    </row>
    <row r="8146" spans="1:6" x14ac:dyDescent="0.2">
      <c r="A8146" s="29" t="s">
        <v>19864</v>
      </c>
      <c r="B8146" s="30" t="s">
        <v>19865</v>
      </c>
      <c r="C8146" s="29" t="s">
        <v>26</v>
      </c>
      <c r="D8146" s="31">
        <v>84.1</v>
      </c>
      <c r="F8146" s="3" t="str">
        <f t="shared" si="127"/>
        <v>I6167</v>
      </c>
    </row>
    <row r="8147" spans="1:6" x14ac:dyDescent="0.2">
      <c r="A8147" s="29" t="s">
        <v>19866</v>
      </c>
      <c r="B8147" s="30" t="s">
        <v>19867</v>
      </c>
      <c r="C8147" s="29" t="s">
        <v>26</v>
      </c>
      <c r="D8147" s="31">
        <v>7.22</v>
      </c>
      <c r="F8147" s="3" t="str">
        <f t="shared" si="127"/>
        <v>I0796</v>
      </c>
    </row>
    <row r="8148" spans="1:6" x14ac:dyDescent="0.2">
      <c r="A8148" s="29" t="s">
        <v>19868</v>
      </c>
      <c r="B8148" s="30" t="s">
        <v>19869</v>
      </c>
      <c r="C8148" s="29" t="s">
        <v>26</v>
      </c>
      <c r="D8148" s="31">
        <v>51.41</v>
      </c>
      <c r="F8148" s="3" t="str">
        <f t="shared" si="127"/>
        <v>I0797</v>
      </c>
    </row>
    <row r="8149" spans="1:6" ht="22.5" x14ac:dyDescent="0.2">
      <c r="A8149" s="29" t="s">
        <v>19870</v>
      </c>
      <c r="B8149" s="30" t="s">
        <v>11026</v>
      </c>
      <c r="C8149" s="29" t="s">
        <v>26</v>
      </c>
      <c r="D8149" s="31">
        <v>1064.03</v>
      </c>
      <c r="F8149" s="3" t="str">
        <f t="shared" si="127"/>
        <v>I6739</v>
      </c>
    </row>
    <row r="8150" spans="1:6" x14ac:dyDescent="0.2">
      <c r="A8150" s="29" t="s">
        <v>19871</v>
      </c>
      <c r="B8150" s="30" t="s">
        <v>19872</v>
      </c>
      <c r="C8150" s="29" t="s">
        <v>26</v>
      </c>
      <c r="D8150" s="31">
        <v>31.83</v>
      </c>
      <c r="F8150" s="3" t="str">
        <f t="shared" si="127"/>
        <v>I0848</v>
      </c>
    </row>
    <row r="8151" spans="1:6" x14ac:dyDescent="0.2">
      <c r="A8151" s="29" t="s">
        <v>19873</v>
      </c>
      <c r="B8151" s="30" t="s">
        <v>19874</v>
      </c>
      <c r="C8151" s="29" t="s">
        <v>26</v>
      </c>
      <c r="D8151" s="31">
        <v>30.43</v>
      </c>
      <c r="F8151" s="3" t="str">
        <f t="shared" si="127"/>
        <v>I0851</v>
      </c>
    </row>
    <row r="8152" spans="1:6" x14ac:dyDescent="0.2">
      <c r="A8152" s="29" t="s">
        <v>19875</v>
      </c>
      <c r="B8152" s="30" t="s">
        <v>19876</v>
      </c>
      <c r="C8152" s="29" t="s">
        <v>26</v>
      </c>
      <c r="D8152" s="31">
        <v>0.55000000000000004</v>
      </c>
      <c r="F8152" s="3" t="str">
        <f t="shared" si="127"/>
        <v>I0853</v>
      </c>
    </row>
    <row r="8153" spans="1:6" x14ac:dyDescent="0.2">
      <c r="A8153" s="29" t="s">
        <v>19877</v>
      </c>
      <c r="B8153" s="30" t="s">
        <v>19878</v>
      </c>
      <c r="C8153" s="29" t="s">
        <v>26</v>
      </c>
      <c r="D8153" s="31">
        <v>175.41</v>
      </c>
      <c r="F8153" s="3" t="str">
        <f t="shared" si="127"/>
        <v>I0915</v>
      </c>
    </row>
    <row r="8154" spans="1:6" x14ac:dyDescent="0.2">
      <c r="A8154" s="29" t="s">
        <v>19879</v>
      </c>
      <c r="B8154" s="30" t="s">
        <v>19880</v>
      </c>
      <c r="C8154" s="29" t="s">
        <v>26</v>
      </c>
      <c r="D8154" s="31">
        <v>94.06</v>
      </c>
      <c r="F8154" s="3" t="str">
        <f t="shared" si="127"/>
        <v>I0916</v>
      </c>
    </row>
    <row r="8155" spans="1:6" x14ac:dyDescent="0.2">
      <c r="A8155" s="29" t="s">
        <v>19881</v>
      </c>
      <c r="B8155" s="30" t="s">
        <v>19882</v>
      </c>
      <c r="C8155" s="29" t="s">
        <v>26</v>
      </c>
      <c r="D8155" s="31">
        <v>229</v>
      </c>
      <c r="F8155" s="3" t="str">
        <f t="shared" si="127"/>
        <v>I9073</v>
      </c>
    </row>
    <row r="8156" spans="1:6" x14ac:dyDescent="0.2">
      <c r="A8156" s="29" t="s">
        <v>19883</v>
      </c>
      <c r="B8156" s="30" t="s">
        <v>19884</v>
      </c>
      <c r="C8156" s="29" t="s">
        <v>26</v>
      </c>
      <c r="D8156" s="31">
        <v>22.59</v>
      </c>
      <c r="F8156" s="3" t="str">
        <f t="shared" si="127"/>
        <v>I1091</v>
      </c>
    </row>
    <row r="8157" spans="1:6" x14ac:dyDescent="0.2">
      <c r="A8157" s="29" t="s">
        <v>19885</v>
      </c>
      <c r="B8157" s="30" t="s">
        <v>19886</v>
      </c>
      <c r="C8157" s="29" t="s">
        <v>26</v>
      </c>
      <c r="D8157" s="31">
        <v>8.15</v>
      </c>
      <c r="F8157" s="3" t="str">
        <f t="shared" si="127"/>
        <v>I1092</v>
      </c>
    </row>
    <row r="8158" spans="1:6" x14ac:dyDescent="0.2">
      <c r="A8158" s="29" t="s">
        <v>19887</v>
      </c>
      <c r="B8158" s="30" t="s">
        <v>19888</v>
      </c>
      <c r="C8158" s="29" t="s">
        <v>26</v>
      </c>
      <c r="D8158" s="31">
        <v>38.4</v>
      </c>
      <c r="F8158" s="3" t="str">
        <f t="shared" si="127"/>
        <v>I1103</v>
      </c>
    </row>
    <row r="8159" spans="1:6" x14ac:dyDescent="0.2">
      <c r="A8159" s="29" t="s">
        <v>19889</v>
      </c>
      <c r="B8159" s="30" t="s">
        <v>19890</v>
      </c>
      <c r="C8159" s="29" t="s">
        <v>26</v>
      </c>
      <c r="D8159" s="31">
        <v>44.63</v>
      </c>
      <c r="F8159" s="3" t="str">
        <f t="shared" si="127"/>
        <v>I1315</v>
      </c>
    </row>
    <row r="8160" spans="1:6" x14ac:dyDescent="0.2">
      <c r="A8160" s="29" t="s">
        <v>19891</v>
      </c>
      <c r="B8160" s="30" t="s">
        <v>11044</v>
      </c>
      <c r="C8160" s="29" t="s">
        <v>26</v>
      </c>
      <c r="D8160" s="31">
        <v>766.8</v>
      </c>
      <c r="F8160" s="3" t="str">
        <f t="shared" si="127"/>
        <v>I6737</v>
      </c>
    </row>
    <row r="8161" spans="1:6" x14ac:dyDescent="0.2">
      <c r="A8161" s="29" t="s">
        <v>19892</v>
      </c>
      <c r="B8161" s="30" t="s">
        <v>19893</v>
      </c>
      <c r="C8161" s="29" t="s">
        <v>26</v>
      </c>
      <c r="D8161" s="31">
        <v>178.61</v>
      </c>
      <c r="F8161" s="3" t="str">
        <f t="shared" si="127"/>
        <v>I8637</v>
      </c>
    </row>
    <row r="8162" spans="1:6" x14ac:dyDescent="0.2">
      <c r="A8162" s="29" t="s">
        <v>19894</v>
      </c>
      <c r="B8162" s="30" t="s">
        <v>19895</v>
      </c>
      <c r="C8162" s="29" t="s">
        <v>26</v>
      </c>
      <c r="D8162" s="31">
        <v>199.01</v>
      </c>
      <c r="F8162" s="3" t="str">
        <f t="shared" si="127"/>
        <v>I1343</v>
      </c>
    </row>
    <row r="8163" spans="1:6" x14ac:dyDescent="0.2">
      <c r="A8163" s="29" t="s">
        <v>19896</v>
      </c>
      <c r="B8163" s="30" t="s">
        <v>19897</v>
      </c>
      <c r="C8163" s="29" t="s">
        <v>26</v>
      </c>
      <c r="D8163" s="31">
        <v>100.96</v>
      </c>
      <c r="F8163" s="3" t="str">
        <f t="shared" si="127"/>
        <v>I1344</v>
      </c>
    </row>
    <row r="8164" spans="1:6" x14ac:dyDescent="0.2">
      <c r="A8164" s="29" t="s">
        <v>19898</v>
      </c>
      <c r="B8164" s="30" t="s">
        <v>19899</v>
      </c>
      <c r="C8164" s="29" t="s">
        <v>0</v>
      </c>
      <c r="D8164" s="31">
        <v>731.08</v>
      </c>
      <c r="F8164" s="3" t="str">
        <f t="shared" si="127"/>
        <v>I1523</v>
      </c>
    </row>
    <row r="8165" spans="1:6" x14ac:dyDescent="0.2">
      <c r="A8165" s="29" t="s">
        <v>19900</v>
      </c>
      <c r="B8165" s="30" t="s">
        <v>19901</v>
      </c>
      <c r="C8165" s="29" t="s">
        <v>26</v>
      </c>
      <c r="D8165" s="31">
        <v>449.13</v>
      </c>
      <c r="F8165" s="3" t="str">
        <f t="shared" si="127"/>
        <v>I1524</v>
      </c>
    </row>
    <row r="8166" spans="1:6" x14ac:dyDescent="0.2">
      <c r="A8166" s="29" t="s">
        <v>19902</v>
      </c>
      <c r="B8166" s="30" t="s">
        <v>19903</v>
      </c>
      <c r="C8166" s="29" t="s">
        <v>0</v>
      </c>
      <c r="D8166" s="31">
        <v>159.07</v>
      </c>
      <c r="F8166" s="3" t="str">
        <f t="shared" si="127"/>
        <v>I1646</v>
      </c>
    </row>
    <row r="8167" spans="1:6" x14ac:dyDescent="0.2">
      <c r="A8167" s="29" t="s">
        <v>19904</v>
      </c>
      <c r="B8167" s="30" t="s">
        <v>19905</v>
      </c>
      <c r="C8167" s="29" t="s">
        <v>26</v>
      </c>
      <c r="D8167" s="31">
        <v>102.06</v>
      </c>
      <c r="F8167" s="3" t="str">
        <f t="shared" si="127"/>
        <v>I2486</v>
      </c>
    </row>
    <row r="8168" spans="1:6" x14ac:dyDescent="0.2">
      <c r="A8168" s="29" t="s">
        <v>19906</v>
      </c>
      <c r="B8168" s="30" t="s">
        <v>19907</v>
      </c>
      <c r="C8168" s="29" t="s">
        <v>26</v>
      </c>
      <c r="D8168" s="31">
        <v>1355.35</v>
      </c>
      <c r="F8168" s="3" t="str">
        <f t="shared" si="127"/>
        <v>I2491</v>
      </c>
    </row>
    <row r="8169" spans="1:6" x14ac:dyDescent="0.2">
      <c r="A8169" s="29" t="s">
        <v>19908</v>
      </c>
      <c r="B8169" s="30" t="s">
        <v>19909</v>
      </c>
      <c r="C8169" s="29" t="s">
        <v>26</v>
      </c>
      <c r="D8169" s="31">
        <v>219.9</v>
      </c>
      <c r="F8169" s="3" t="str">
        <f t="shared" si="127"/>
        <v>I2487</v>
      </c>
    </row>
    <row r="8170" spans="1:6" x14ac:dyDescent="0.2">
      <c r="A8170" s="29" t="s">
        <v>19910</v>
      </c>
      <c r="B8170" s="30" t="s">
        <v>19911</v>
      </c>
      <c r="C8170" s="29" t="s">
        <v>26</v>
      </c>
      <c r="D8170" s="31">
        <v>269.08999999999997</v>
      </c>
      <c r="F8170" s="3" t="str">
        <f t="shared" si="127"/>
        <v>I1649</v>
      </c>
    </row>
    <row r="8171" spans="1:6" x14ac:dyDescent="0.2">
      <c r="A8171" s="29" t="s">
        <v>19912</v>
      </c>
      <c r="B8171" s="30" t="s">
        <v>19913</v>
      </c>
      <c r="C8171" s="29" t="s">
        <v>26</v>
      </c>
      <c r="D8171" s="31">
        <v>547.99</v>
      </c>
      <c r="F8171" s="3" t="str">
        <f t="shared" si="127"/>
        <v>I2490</v>
      </c>
    </row>
    <row r="8172" spans="1:6" x14ac:dyDescent="0.2">
      <c r="A8172" s="29" t="s">
        <v>19914</v>
      </c>
      <c r="B8172" s="30" t="s">
        <v>19915</v>
      </c>
      <c r="C8172" s="29" t="s">
        <v>26</v>
      </c>
      <c r="D8172" s="31">
        <v>597.30999999999995</v>
      </c>
      <c r="F8172" s="3" t="str">
        <f t="shared" si="127"/>
        <v>I1648</v>
      </c>
    </row>
    <row r="8173" spans="1:6" x14ac:dyDescent="0.2">
      <c r="A8173" s="29" t="s">
        <v>19916</v>
      </c>
      <c r="B8173" s="30" t="s">
        <v>19917</v>
      </c>
      <c r="C8173" s="29" t="s">
        <v>26</v>
      </c>
      <c r="D8173" s="31">
        <v>1635.16</v>
      </c>
      <c r="F8173" s="3" t="str">
        <f t="shared" si="127"/>
        <v>I2492</v>
      </c>
    </row>
    <row r="8174" spans="1:6" x14ac:dyDescent="0.2">
      <c r="A8174" s="29" t="s">
        <v>19918</v>
      </c>
      <c r="B8174" s="30" t="s">
        <v>19919</v>
      </c>
      <c r="C8174" s="29" t="s">
        <v>26</v>
      </c>
      <c r="D8174" s="31">
        <v>29.97</v>
      </c>
      <c r="F8174" s="3" t="str">
        <f t="shared" si="127"/>
        <v>I1711</v>
      </c>
    </row>
    <row r="8175" spans="1:6" x14ac:dyDescent="0.2">
      <c r="A8175" s="29" t="s">
        <v>19920</v>
      </c>
      <c r="B8175" s="30" t="s">
        <v>11090</v>
      </c>
      <c r="C8175" s="29" t="s">
        <v>26</v>
      </c>
      <c r="D8175" s="31">
        <v>22.18</v>
      </c>
      <c r="F8175" s="3" t="str">
        <f t="shared" si="127"/>
        <v>I8670</v>
      </c>
    </row>
    <row r="8176" spans="1:6" x14ac:dyDescent="0.2">
      <c r="A8176" s="29" t="s">
        <v>19921</v>
      </c>
      <c r="B8176" s="30" t="s">
        <v>19922</v>
      </c>
      <c r="C8176" s="29" t="s">
        <v>26</v>
      </c>
      <c r="D8176" s="31">
        <v>41.28</v>
      </c>
      <c r="F8176" s="3" t="str">
        <f t="shared" si="127"/>
        <v>I1712</v>
      </c>
    </row>
    <row r="8177" spans="1:6" x14ac:dyDescent="0.2">
      <c r="A8177" s="29" t="s">
        <v>19923</v>
      </c>
      <c r="B8177" s="30" t="s">
        <v>11096</v>
      </c>
      <c r="C8177" s="29" t="s">
        <v>26</v>
      </c>
      <c r="D8177" s="31">
        <v>23.49</v>
      </c>
      <c r="F8177" s="3" t="str">
        <f t="shared" si="127"/>
        <v>I1716</v>
      </c>
    </row>
    <row r="8178" spans="1:6" x14ac:dyDescent="0.2">
      <c r="A8178" s="29" t="s">
        <v>19924</v>
      </c>
      <c r="B8178" s="30" t="s">
        <v>19925</v>
      </c>
      <c r="C8178" s="29" t="s">
        <v>26</v>
      </c>
      <c r="D8178" s="31">
        <v>43.89</v>
      </c>
      <c r="F8178" s="3" t="str">
        <f t="shared" si="127"/>
        <v>I1717</v>
      </c>
    </row>
    <row r="8179" spans="1:6" x14ac:dyDescent="0.2">
      <c r="A8179" s="29" t="s">
        <v>19926</v>
      </c>
      <c r="B8179" s="30" t="s">
        <v>19927</v>
      </c>
      <c r="C8179" s="29" t="s">
        <v>26</v>
      </c>
      <c r="D8179" s="31">
        <v>29.39</v>
      </c>
      <c r="F8179" s="3" t="str">
        <f t="shared" si="127"/>
        <v>I1839</v>
      </c>
    </row>
    <row r="8180" spans="1:6" x14ac:dyDescent="0.2">
      <c r="A8180" s="29" t="s">
        <v>19928</v>
      </c>
      <c r="B8180" s="30" t="s">
        <v>19929</v>
      </c>
      <c r="C8180" s="29" t="s">
        <v>26</v>
      </c>
      <c r="D8180" s="31">
        <v>33.76</v>
      </c>
      <c r="F8180" s="3" t="str">
        <f t="shared" si="127"/>
        <v>I1840</v>
      </c>
    </row>
    <row r="8181" spans="1:6" x14ac:dyDescent="0.2">
      <c r="A8181" s="29" t="s">
        <v>19930</v>
      </c>
      <c r="B8181" s="30" t="s">
        <v>11104</v>
      </c>
      <c r="C8181" s="29" t="s">
        <v>26</v>
      </c>
      <c r="D8181" s="31">
        <v>32.44</v>
      </c>
      <c r="F8181" s="3" t="str">
        <f t="shared" si="127"/>
        <v>I8671</v>
      </c>
    </row>
    <row r="8182" spans="1:6" x14ac:dyDescent="0.2">
      <c r="A8182" s="29" t="s">
        <v>19931</v>
      </c>
      <c r="B8182" s="30" t="s">
        <v>19932</v>
      </c>
      <c r="C8182" s="29" t="s">
        <v>26</v>
      </c>
      <c r="D8182" s="31">
        <v>174.3</v>
      </c>
      <c r="F8182" s="3" t="str">
        <f t="shared" si="127"/>
        <v>I1861</v>
      </c>
    </row>
    <row r="8183" spans="1:6" x14ac:dyDescent="0.2">
      <c r="A8183" s="29" t="s">
        <v>19933</v>
      </c>
      <c r="B8183" s="30" t="s">
        <v>19934</v>
      </c>
      <c r="C8183" s="29" t="s">
        <v>26</v>
      </c>
      <c r="D8183" s="31">
        <v>134.07</v>
      </c>
      <c r="F8183" s="3" t="str">
        <f t="shared" si="127"/>
        <v>I1862</v>
      </c>
    </row>
    <row r="8184" spans="1:6" x14ac:dyDescent="0.2">
      <c r="A8184" s="29" t="s">
        <v>19935</v>
      </c>
      <c r="B8184" s="30" t="s">
        <v>19936</v>
      </c>
      <c r="C8184" s="29" t="s">
        <v>26</v>
      </c>
      <c r="D8184" s="31">
        <v>209.37</v>
      </c>
      <c r="F8184" s="3" t="str">
        <f t="shared" si="127"/>
        <v>I1863</v>
      </c>
    </row>
    <row r="8185" spans="1:6" x14ac:dyDescent="0.2">
      <c r="A8185" s="29" t="s">
        <v>19937</v>
      </c>
      <c r="B8185" s="30" t="s">
        <v>19938</v>
      </c>
      <c r="C8185" s="29" t="s">
        <v>26</v>
      </c>
      <c r="D8185" s="31">
        <v>164.58</v>
      </c>
      <c r="F8185" s="3" t="str">
        <f t="shared" si="127"/>
        <v>I1864</v>
      </c>
    </row>
    <row r="8186" spans="1:6" x14ac:dyDescent="0.2">
      <c r="A8186" s="29" t="s">
        <v>19939</v>
      </c>
      <c r="B8186" s="30" t="s">
        <v>19940</v>
      </c>
      <c r="C8186" s="29" t="s">
        <v>26</v>
      </c>
      <c r="D8186" s="31">
        <v>14.38</v>
      </c>
      <c r="F8186" s="3" t="str">
        <f t="shared" si="127"/>
        <v>I2420</v>
      </c>
    </row>
    <row r="8187" spans="1:6" x14ac:dyDescent="0.2">
      <c r="A8187" s="29" t="s">
        <v>19941</v>
      </c>
      <c r="B8187" s="30" t="s">
        <v>19942</v>
      </c>
      <c r="C8187" s="29" t="s">
        <v>26</v>
      </c>
      <c r="D8187" s="31">
        <v>17.75</v>
      </c>
      <c r="F8187" s="3" t="str">
        <f t="shared" si="127"/>
        <v>I7603</v>
      </c>
    </row>
    <row r="8188" spans="1:6" x14ac:dyDescent="0.2">
      <c r="A8188" s="29" t="s">
        <v>19943</v>
      </c>
      <c r="B8188" s="30" t="s">
        <v>19944</v>
      </c>
      <c r="C8188" s="29" t="s">
        <v>26</v>
      </c>
      <c r="D8188" s="31">
        <v>13.78</v>
      </c>
      <c r="F8188" s="3" t="str">
        <f t="shared" si="127"/>
        <v>I1865</v>
      </c>
    </row>
    <row r="8189" spans="1:6" x14ac:dyDescent="0.2">
      <c r="A8189" s="29" t="s">
        <v>19945</v>
      </c>
      <c r="B8189" s="30" t="s">
        <v>19946</v>
      </c>
      <c r="C8189" s="29" t="s">
        <v>26</v>
      </c>
      <c r="D8189" s="31">
        <v>36.93</v>
      </c>
      <c r="F8189" s="3" t="str">
        <f t="shared" si="127"/>
        <v>I1925</v>
      </c>
    </row>
    <row r="8190" spans="1:6" x14ac:dyDescent="0.2">
      <c r="A8190" s="29" t="s">
        <v>19947</v>
      </c>
      <c r="B8190" s="30" t="s">
        <v>19948</v>
      </c>
      <c r="C8190" s="29" t="s">
        <v>26</v>
      </c>
      <c r="D8190" s="31">
        <v>78.59</v>
      </c>
      <c r="F8190" s="3" t="str">
        <f t="shared" si="127"/>
        <v>I7336</v>
      </c>
    </row>
    <row r="8191" spans="1:6" x14ac:dyDescent="0.2">
      <c r="A8191" s="29" t="s">
        <v>19949</v>
      </c>
      <c r="B8191" s="30" t="s">
        <v>11114</v>
      </c>
      <c r="C8191" s="29" t="s">
        <v>255</v>
      </c>
      <c r="D8191" s="31">
        <v>911.05</v>
      </c>
      <c r="F8191" s="3" t="str">
        <f t="shared" si="127"/>
        <v>I1926</v>
      </c>
    </row>
    <row r="8192" spans="1:6" x14ac:dyDescent="0.2">
      <c r="A8192" s="29" t="s">
        <v>19950</v>
      </c>
      <c r="B8192" s="30" t="s">
        <v>11116</v>
      </c>
      <c r="C8192" s="29" t="s">
        <v>26</v>
      </c>
      <c r="D8192" s="31">
        <v>420.04</v>
      </c>
      <c r="F8192" s="3" t="str">
        <f t="shared" si="127"/>
        <v>I1935</v>
      </c>
    </row>
    <row r="8193" spans="1:6" x14ac:dyDescent="0.2">
      <c r="A8193" s="29" t="s">
        <v>19951</v>
      </c>
      <c r="B8193" s="30" t="s">
        <v>19952</v>
      </c>
      <c r="C8193" s="29" t="s">
        <v>26</v>
      </c>
      <c r="D8193" s="31">
        <v>108.16</v>
      </c>
      <c r="F8193" s="3" t="str">
        <f t="shared" si="127"/>
        <v>I1936</v>
      </c>
    </row>
    <row r="8194" spans="1:6" x14ac:dyDescent="0.2">
      <c r="A8194" s="29" t="s">
        <v>19953</v>
      </c>
      <c r="B8194" s="30" t="s">
        <v>19954</v>
      </c>
      <c r="C8194" s="29" t="s">
        <v>26</v>
      </c>
      <c r="D8194" s="31">
        <v>91.42</v>
      </c>
      <c r="F8194" s="3" t="str">
        <f t="shared" ref="F8194:F8257" si="128">A8194</f>
        <v>I2497</v>
      </c>
    </row>
    <row r="8195" spans="1:6" ht="22.5" x14ac:dyDescent="0.2">
      <c r="A8195" s="29" t="s">
        <v>19955</v>
      </c>
      <c r="B8195" s="30" t="s">
        <v>19956</v>
      </c>
      <c r="C8195" s="29" t="s">
        <v>26</v>
      </c>
      <c r="D8195" s="31">
        <v>91.42</v>
      </c>
      <c r="F8195" s="3" t="str">
        <f t="shared" si="128"/>
        <v>I6236</v>
      </c>
    </row>
    <row r="8196" spans="1:6" x14ac:dyDescent="0.2">
      <c r="A8196" s="29" t="s">
        <v>19957</v>
      </c>
      <c r="B8196" s="30" t="s">
        <v>19958</v>
      </c>
      <c r="C8196" s="29" t="s">
        <v>26</v>
      </c>
      <c r="D8196" s="31">
        <v>414.94</v>
      </c>
      <c r="F8196" s="3" t="str">
        <f t="shared" si="128"/>
        <v>I1937</v>
      </c>
    </row>
    <row r="8197" spans="1:6" x14ac:dyDescent="0.2">
      <c r="A8197" s="29" t="s">
        <v>19959</v>
      </c>
      <c r="B8197" s="30" t="s">
        <v>19960</v>
      </c>
      <c r="C8197" s="29" t="s">
        <v>26</v>
      </c>
      <c r="D8197" s="31">
        <v>1071.42</v>
      </c>
      <c r="F8197" s="3" t="str">
        <f t="shared" si="128"/>
        <v>I6749</v>
      </c>
    </row>
    <row r="8198" spans="1:6" x14ac:dyDescent="0.2">
      <c r="A8198" s="29" t="s">
        <v>19961</v>
      </c>
      <c r="B8198" s="30" t="s">
        <v>19962</v>
      </c>
      <c r="C8198" s="29" t="s">
        <v>26</v>
      </c>
      <c r="D8198" s="31">
        <v>54.25</v>
      </c>
      <c r="F8198" s="3" t="str">
        <f t="shared" si="128"/>
        <v>I9139</v>
      </c>
    </row>
    <row r="8199" spans="1:6" x14ac:dyDescent="0.2">
      <c r="A8199" s="29" t="s">
        <v>19963</v>
      </c>
      <c r="B8199" s="30" t="s">
        <v>19964</v>
      </c>
      <c r="C8199" s="29" t="s">
        <v>26</v>
      </c>
      <c r="D8199" s="31">
        <v>14.03</v>
      </c>
      <c r="F8199" s="3" t="str">
        <f t="shared" si="128"/>
        <v>I2446</v>
      </c>
    </row>
    <row r="8200" spans="1:6" x14ac:dyDescent="0.2">
      <c r="A8200" s="29" t="s">
        <v>19965</v>
      </c>
      <c r="B8200" s="30" t="s">
        <v>19966</v>
      </c>
      <c r="C8200" s="29" t="s">
        <v>26</v>
      </c>
      <c r="D8200" s="31">
        <v>136.74</v>
      </c>
      <c r="F8200" s="3" t="str">
        <f t="shared" si="128"/>
        <v>I2125</v>
      </c>
    </row>
    <row r="8201" spans="1:6" ht="22.5" x14ac:dyDescent="0.2">
      <c r="A8201" s="29" t="s">
        <v>19967</v>
      </c>
      <c r="B8201" s="30" t="s">
        <v>19968</v>
      </c>
      <c r="C8201" s="29" t="s">
        <v>26</v>
      </c>
      <c r="D8201" s="31">
        <v>97.47</v>
      </c>
      <c r="F8201" s="3" t="str">
        <f t="shared" si="128"/>
        <v>I9100</v>
      </c>
    </row>
    <row r="8202" spans="1:6" x14ac:dyDescent="0.2">
      <c r="A8202" s="29" t="s">
        <v>19969</v>
      </c>
      <c r="B8202" s="30" t="s">
        <v>19970</v>
      </c>
      <c r="C8202" s="29" t="s">
        <v>26</v>
      </c>
      <c r="D8202" s="31">
        <v>115.89</v>
      </c>
      <c r="F8202" s="3" t="str">
        <f t="shared" si="128"/>
        <v>I2126</v>
      </c>
    </row>
    <row r="8203" spans="1:6" x14ac:dyDescent="0.2">
      <c r="A8203" s="29" t="s">
        <v>19971</v>
      </c>
      <c r="B8203" s="30" t="s">
        <v>19972</v>
      </c>
      <c r="C8203" s="29" t="s">
        <v>26</v>
      </c>
      <c r="D8203" s="31">
        <v>33.159999999999997</v>
      </c>
      <c r="F8203" s="3" t="str">
        <f t="shared" si="128"/>
        <v>I2127</v>
      </c>
    </row>
    <row r="8204" spans="1:6" x14ac:dyDescent="0.2">
      <c r="A8204" s="29" t="s">
        <v>19973</v>
      </c>
      <c r="B8204" s="30" t="s">
        <v>19974</v>
      </c>
      <c r="C8204" s="29" t="s">
        <v>26</v>
      </c>
      <c r="D8204" s="31">
        <v>43.77</v>
      </c>
      <c r="F8204" s="3" t="str">
        <f t="shared" si="128"/>
        <v>I2122</v>
      </c>
    </row>
    <row r="8205" spans="1:6" x14ac:dyDescent="0.2">
      <c r="A8205" s="29" t="s">
        <v>19975</v>
      </c>
      <c r="B8205" s="30" t="s">
        <v>19976</v>
      </c>
      <c r="C8205" s="29" t="s">
        <v>26</v>
      </c>
      <c r="D8205" s="31">
        <v>69.819999999999993</v>
      </c>
      <c r="F8205" s="3" t="str">
        <f t="shared" si="128"/>
        <v>I2123</v>
      </c>
    </row>
    <row r="8206" spans="1:6" x14ac:dyDescent="0.2">
      <c r="A8206" s="29" t="s">
        <v>19977</v>
      </c>
      <c r="B8206" s="30" t="s">
        <v>19978</v>
      </c>
      <c r="C8206" s="29" t="s">
        <v>26</v>
      </c>
      <c r="D8206" s="31">
        <v>65.37</v>
      </c>
      <c r="F8206" s="3" t="str">
        <f t="shared" si="128"/>
        <v>I2124</v>
      </c>
    </row>
    <row r="8207" spans="1:6" x14ac:dyDescent="0.2">
      <c r="A8207" s="29" t="s">
        <v>19979</v>
      </c>
      <c r="B8207" s="30" t="s">
        <v>11130</v>
      </c>
      <c r="C8207" s="29" t="s">
        <v>26</v>
      </c>
      <c r="D8207" s="31">
        <v>180.58</v>
      </c>
      <c r="F8207" s="3" t="str">
        <f t="shared" si="128"/>
        <v>I2128</v>
      </c>
    </row>
    <row r="8208" spans="1:6" x14ac:dyDescent="0.2">
      <c r="A8208" s="29" t="s">
        <v>19980</v>
      </c>
      <c r="B8208" s="30" t="s">
        <v>19981</v>
      </c>
      <c r="C8208" s="29" t="s">
        <v>26</v>
      </c>
      <c r="D8208" s="31">
        <v>743.7</v>
      </c>
      <c r="F8208" s="3" t="str">
        <f t="shared" si="128"/>
        <v>I2129</v>
      </c>
    </row>
    <row r="8209" spans="1:6" x14ac:dyDescent="0.2">
      <c r="A8209" s="29" t="s">
        <v>19982</v>
      </c>
      <c r="B8209" s="30" t="s">
        <v>19983</v>
      </c>
      <c r="C8209" s="29" t="s">
        <v>26</v>
      </c>
      <c r="D8209" s="31">
        <v>35.49</v>
      </c>
      <c r="F8209" s="3" t="str">
        <f t="shared" si="128"/>
        <v>I2501</v>
      </c>
    </row>
    <row r="8210" spans="1:6" x14ac:dyDescent="0.2">
      <c r="A8210" s="29" t="s">
        <v>19984</v>
      </c>
      <c r="B8210" s="30" t="s">
        <v>19985</v>
      </c>
      <c r="C8210" s="29" t="s">
        <v>26</v>
      </c>
      <c r="D8210" s="31">
        <v>17.989999999999998</v>
      </c>
      <c r="F8210" s="3" t="str">
        <f t="shared" si="128"/>
        <v>I2447</v>
      </c>
    </row>
    <row r="8211" spans="1:6" x14ac:dyDescent="0.2">
      <c r="A8211" s="29" t="s">
        <v>19986</v>
      </c>
      <c r="B8211" s="30" t="s">
        <v>19987</v>
      </c>
      <c r="C8211" s="29" t="s">
        <v>26</v>
      </c>
      <c r="D8211" s="31">
        <v>57.35</v>
      </c>
      <c r="F8211" s="3" t="str">
        <f t="shared" si="128"/>
        <v>I2502</v>
      </c>
    </row>
    <row r="8212" spans="1:6" x14ac:dyDescent="0.2">
      <c r="A8212" s="29" t="s">
        <v>19988</v>
      </c>
      <c r="B8212" s="30" t="s">
        <v>19989</v>
      </c>
      <c r="C8212" s="29" t="s">
        <v>26</v>
      </c>
      <c r="D8212" s="31">
        <v>47.49</v>
      </c>
      <c r="F8212" s="3" t="str">
        <f t="shared" si="128"/>
        <v>I2503</v>
      </c>
    </row>
    <row r="8213" spans="1:6" x14ac:dyDescent="0.2">
      <c r="A8213" s="29" t="s">
        <v>19990</v>
      </c>
      <c r="B8213" s="30" t="s">
        <v>19991</v>
      </c>
      <c r="C8213" s="29" t="s">
        <v>26</v>
      </c>
      <c r="D8213" s="31">
        <v>41.9</v>
      </c>
      <c r="F8213" s="3" t="str">
        <f t="shared" si="128"/>
        <v>I2130</v>
      </c>
    </row>
    <row r="8214" spans="1:6" x14ac:dyDescent="0.2">
      <c r="A8214" s="29" t="s">
        <v>19992</v>
      </c>
      <c r="B8214" s="30" t="s">
        <v>19993</v>
      </c>
      <c r="C8214" s="29" t="s">
        <v>26</v>
      </c>
      <c r="D8214" s="31">
        <v>110.38</v>
      </c>
      <c r="F8214" s="3" t="str">
        <f t="shared" si="128"/>
        <v>I2131</v>
      </c>
    </row>
    <row r="8215" spans="1:6" x14ac:dyDescent="0.2">
      <c r="A8215" s="29" t="s">
        <v>19994</v>
      </c>
      <c r="B8215" s="30" t="s">
        <v>19995</v>
      </c>
      <c r="C8215" s="29" t="s">
        <v>26</v>
      </c>
      <c r="D8215" s="31">
        <v>98.66</v>
      </c>
      <c r="F8215" s="3" t="str">
        <f t="shared" si="128"/>
        <v>I2132</v>
      </c>
    </row>
    <row r="8216" spans="1:6" x14ac:dyDescent="0.2">
      <c r="A8216" s="29" t="s">
        <v>19996</v>
      </c>
      <c r="B8216" s="30" t="s">
        <v>19997</v>
      </c>
      <c r="C8216" s="29" t="s">
        <v>26</v>
      </c>
      <c r="D8216" s="31">
        <v>17.989999999999998</v>
      </c>
      <c r="F8216" s="3" t="str">
        <f t="shared" si="128"/>
        <v>I2133</v>
      </c>
    </row>
    <row r="8217" spans="1:6" x14ac:dyDescent="0.2">
      <c r="A8217" s="29" t="s">
        <v>19998</v>
      </c>
      <c r="B8217" s="30" t="s">
        <v>19999</v>
      </c>
      <c r="C8217" s="29" t="s">
        <v>26</v>
      </c>
      <c r="D8217" s="31">
        <v>179.54</v>
      </c>
      <c r="F8217" s="3" t="str">
        <f t="shared" si="128"/>
        <v>I2134</v>
      </c>
    </row>
    <row r="8218" spans="1:6" x14ac:dyDescent="0.2">
      <c r="A8218" s="29" t="s">
        <v>20000</v>
      </c>
      <c r="B8218" s="30" t="s">
        <v>20001</v>
      </c>
      <c r="C8218" s="29" t="s">
        <v>26</v>
      </c>
      <c r="D8218" s="31">
        <v>65.34</v>
      </c>
      <c r="F8218" s="3" t="str">
        <f t="shared" si="128"/>
        <v>I2190</v>
      </c>
    </row>
    <row r="8219" spans="1:6" x14ac:dyDescent="0.2">
      <c r="A8219" s="29" t="s">
        <v>20002</v>
      </c>
      <c r="B8219" s="30" t="s">
        <v>20003</v>
      </c>
      <c r="C8219" s="29" t="s">
        <v>26</v>
      </c>
      <c r="D8219" s="31">
        <v>42.28</v>
      </c>
      <c r="F8219" s="3" t="str">
        <f t="shared" si="128"/>
        <v>I2191</v>
      </c>
    </row>
    <row r="8220" spans="1:6" x14ac:dyDescent="0.2">
      <c r="A8220" s="29" t="s">
        <v>20004</v>
      </c>
      <c r="B8220" s="30" t="s">
        <v>20005</v>
      </c>
      <c r="C8220" s="29" t="s">
        <v>26</v>
      </c>
      <c r="D8220" s="31">
        <v>20.9</v>
      </c>
      <c r="F8220" s="3" t="str">
        <f t="shared" si="128"/>
        <v>I2192</v>
      </c>
    </row>
    <row r="8221" spans="1:6" x14ac:dyDescent="0.2">
      <c r="A8221" s="29" t="s">
        <v>20006</v>
      </c>
      <c r="B8221" s="30" t="s">
        <v>20007</v>
      </c>
      <c r="C8221" s="29" t="s">
        <v>26</v>
      </c>
      <c r="D8221" s="31">
        <v>38</v>
      </c>
      <c r="F8221" s="3" t="str">
        <f t="shared" si="128"/>
        <v>I2265</v>
      </c>
    </row>
    <row r="8222" spans="1:6" x14ac:dyDescent="0.2">
      <c r="A8222" s="29" t="s">
        <v>20008</v>
      </c>
      <c r="B8222" s="30" t="s">
        <v>20009</v>
      </c>
      <c r="C8222" s="29" t="s">
        <v>26</v>
      </c>
      <c r="D8222" s="31">
        <v>56.2</v>
      </c>
      <c r="F8222" s="3" t="str">
        <f t="shared" si="128"/>
        <v>I2264</v>
      </c>
    </row>
    <row r="8223" spans="1:6" x14ac:dyDescent="0.2">
      <c r="A8223" s="29" t="s">
        <v>20010</v>
      </c>
      <c r="B8223" s="30" t="s">
        <v>20011</v>
      </c>
      <c r="C8223" s="29" t="s">
        <v>26</v>
      </c>
      <c r="D8223" s="31">
        <v>516.21</v>
      </c>
      <c r="F8223" s="3" t="str">
        <f t="shared" si="128"/>
        <v>I2469</v>
      </c>
    </row>
    <row r="8224" spans="1:6" x14ac:dyDescent="0.2">
      <c r="A8224" s="29" t="s">
        <v>20012</v>
      </c>
      <c r="B8224" s="30" t="s">
        <v>20013</v>
      </c>
      <c r="C8224" s="29" t="s">
        <v>26</v>
      </c>
      <c r="D8224" s="31">
        <v>276.77999999999997</v>
      </c>
      <c r="F8224" s="3" t="str">
        <f t="shared" si="128"/>
        <v>I2266</v>
      </c>
    </row>
    <row r="8225" spans="1:6" x14ac:dyDescent="0.2">
      <c r="A8225" s="29" t="s">
        <v>20014</v>
      </c>
      <c r="B8225" s="30" t="s">
        <v>20015</v>
      </c>
      <c r="C8225" s="29" t="s">
        <v>26</v>
      </c>
      <c r="D8225" s="31">
        <v>148.44</v>
      </c>
      <c r="F8225" s="3" t="str">
        <f t="shared" si="128"/>
        <v>I2267</v>
      </c>
    </row>
    <row r="8226" spans="1:6" x14ac:dyDescent="0.2">
      <c r="A8226" s="29" t="s">
        <v>20016</v>
      </c>
      <c r="B8226" s="30" t="s">
        <v>20017</v>
      </c>
      <c r="C8226" s="29" t="s">
        <v>26</v>
      </c>
      <c r="D8226" s="31">
        <v>136.38999999999999</v>
      </c>
      <c r="F8226" s="3" t="str">
        <f t="shared" si="128"/>
        <v>I2268</v>
      </c>
    </row>
    <row r="8227" spans="1:6" x14ac:dyDescent="0.2">
      <c r="A8227" s="29" t="s">
        <v>20018</v>
      </c>
      <c r="B8227" s="30" t="s">
        <v>20019</v>
      </c>
      <c r="C8227" s="29" t="s">
        <v>26</v>
      </c>
      <c r="D8227" s="31">
        <v>48.67</v>
      </c>
      <c r="F8227" s="3" t="str">
        <f t="shared" si="128"/>
        <v>I2270</v>
      </c>
    </row>
    <row r="8228" spans="1:6" x14ac:dyDescent="0.2">
      <c r="A8228" s="29" t="s">
        <v>20020</v>
      </c>
      <c r="B8228" s="30" t="s">
        <v>20021</v>
      </c>
      <c r="C8228" s="29" t="s">
        <v>26</v>
      </c>
      <c r="D8228" s="31">
        <v>31.89</v>
      </c>
      <c r="F8228" s="3" t="str">
        <f t="shared" si="128"/>
        <v>I2271</v>
      </c>
    </row>
    <row r="8229" spans="1:6" x14ac:dyDescent="0.2">
      <c r="A8229" s="29" t="s">
        <v>20022</v>
      </c>
      <c r="B8229" s="30" t="s">
        <v>20023</v>
      </c>
      <c r="C8229" s="29" t="s">
        <v>26</v>
      </c>
      <c r="D8229" s="31">
        <v>19.12</v>
      </c>
      <c r="F8229" s="3" t="str">
        <f t="shared" si="128"/>
        <v>I2272</v>
      </c>
    </row>
    <row r="8230" spans="1:6" x14ac:dyDescent="0.2">
      <c r="A8230" s="29" t="s">
        <v>20024</v>
      </c>
      <c r="B8230" s="30" t="s">
        <v>20025</v>
      </c>
      <c r="C8230" s="29" t="s">
        <v>26</v>
      </c>
      <c r="D8230" s="31">
        <v>28.22</v>
      </c>
      <c r="F8230" s="3" t="str">
        <f t="shared" si="128"/>
        <v>I2273</v>
      </c>
    </row>
    <row r="8231" spans="1:6" x14ac:dyDescent="0.2">
      <c r="A8231" s="29" t="s">
        <v>20026</v>
      </c>
      <c r="B8231" s="30" t="s">
        <v>20027</v>
      </c>
      <c r="C8231" s="29" t="s">
        <v>26</v>
      </c>
      <c r="D8231" s="31">
        <v>6.61</v>
      </c>
      <c r="F8231" s="3" t="str">
        <f t="shared" si="128"/>
        <v>I8286</v>
      </c>
    </row>
    <row r="8232" spans="1:6" x14ac:dyDescent="0.2">
      <c r="A8232" s="29" t="s">
        <v>20028</v>
      </c>
      <c r="B8232" s="30" t="s">
        <v>20029</v>
      </c>
      <c r="C8232" s="29" t="s">
        <v>26</v>
      </c>
      <c r="D8232" s="31">
        <v>4.84</v>
      </c>
      <c r="F8232" s="3" t="str">
        <f t="shared" si="128"/>
        <v>I7981</v>
      </c>
    </row>
    <row r="8233" spans="1:6" ht="15.75" customHeight="1" x14ac:dyDescent="0.2">
      <c r="A8233" s="32" t="s">
        <v>20030</v>
      </c>
      <c r="B8233" s="33"/>
      <c r="C8233" s="32">
        <v>0</v>
      </c>
      <c r="D8233" s="34">
        <v>0</v>
      </c>
      <c r="F8233" s="3" t="str">
        <f t="shared" si="128"/>
        <v>COTAÇÃO / MADEIRA</v>
      </c>
    </row>
    <row r="8234" spans="1:6" ht="25.5" x14ac:dyDescent="0.2">
      <c r="A8234" s="26" t="s">
        <v>14985</v>
      </c>
      <c r="B8234" s="27" t="s">
        <v>14986</v>
      </c>
      <c r="C8234" s="26" t="s">
        <v>14987</v>
      </c>
      <c r="D8234" s="28" t="e">
        <v>#VALUE!</v>
      </c>
      <c r="F8234" s="3" t="str">
        <f t="shared" si="128"/>
        <v>Insumo</v>
      </c>
    </row>
    <row r="8235" spans="1:6" x14ac:dyDescent="0.2">
      <c r="A8235" s="29" t="s">
        <v>20031</v>
      </c>
      <c r="B8235" s="30" t="s">
        <v>20032</v>
      </c>
      <c r="C8235" s="29" t="s">
        <v>0</v>
      </c>
      <c r="D8235" s="31">
        <v>5.79</v>
      </c>
      <c r="F8235" s="3" t="str">
        <f t="shared" si="128"/>
        <v>I8268</v>
      </c>
    </row>
    <row r="8236" spans="1:6" x14ac:dyDescent="0.2">
      <c r="A8236" s="29" t="s">
        <v>20033</v>
      </c>
      <c r="B8236" s="30" t="s">
        <v>20034</v>
      </c>
      <c r="C8236" s="29" t="s">
        <v>255</v>
      </c>
      <c r="D8236" s="31">
        <v>260.06</v>
      </c>
      <c r="F8236" s="3" t="str">
        <f t="shared" si="128"/>
        <v>I6166</v>
      </c>
    </row>
    <row r="8237" spans="1:6" x14ac:dyDescent="0.2">
      <c r="A8237" s="29" t="s">
        <v>20035</v>
      </c>
      <c r="B8237" s="30" t="s">
        <v>20036</v>
      </c>
      <c r="C8237" s="29" t="s">
        <v>0</v>
      </c>
      <c r="D8237" s="31">
        <v>11.11</v>
      </c>
      <c r="F8237" s="3" t="str">
        <f t="shared" si="128"/>
        <v>I0196</v>
      </c>
    </row>
    <row r="8238" spans="1:6" x14ac:dyDescent="0.2">
      <c r="A8238" s="29" t="s">
        <v>20037</v>
      </c>
      <c r="B8238" s="30" t="s">
        <v>20038</v>
      </c>
      <c r="C8238" s="29" t="s">
        <v>0</v>
      </c>
      <c r="D8238" s="31">
        <v>6.89</v>
      </c>
      <c r="F8238" s="3" t="str">
        <f t="shared" si="128"/>
        <v>I0197</v>
      </c>
    </row>
    <row r="8239" spans="1:6" x14ac:dyDescent="0.2">
      <c r="A8239" s="29" t="s">
        <v>20039</v>
      </c>
      <c r="B8239" s="30" t="s">
        <v>20040</v>
      </c>
      <c r="C8239" s="29" t="s">
        <v>0</v>
      </c>
      <c r="D8239" s="31">
        <v>9.33</v>
      </c>
      <c r="F8239" s="3" t="str">
        <f t="shared" si="128"/>
        <v>I6520</v>
      </c>
    </row>
    <row r="8240" spans="1:6" x14ac:dyDescent="0.2">
      <c r="A8240" s="29" t="s">
        <v>20041</v>
      </c>
      <c r="B8240" s="30" t="s">
        <v>20042</v>
      </c>
      <c r="C8240" s="29" t="s">
        <v>26</v>
      </c>
      <c r="D8240" s="31">
        <v>227.9</v>
      </c>
      <c r="F8240" s="3" t="str">
        <f t="shared" si="128"/>
        <v>I0209</v>
      </c>
    </row>
    <row r="8241" spans="1:6" x14ac:dyDescent="0.2">
      <c r="A8241" s="29" t="s">
        <v>20043</v>
      </c>
      <c r="B8241" s="30" t="s">
        <v>20044</v>
      </c>
      <c r="C8241" s="29" t="s">
        <v>26</v>
      </c>
      <c r="D8241" s="31">
        <v>178.74</v>
      </c>
      <c r="F8241" s="3" t="str">
        <f t="shared" si="128"/>
        <v>I0210</v>
      </c>
    </row>
    <row r="8242" spans="1:6" x14ac:dyDescent="0.2">
      <c r="A8242" s="29" t="s">
        <v>20045</v>
      </c>
      <c r="B8242" s="30" t="s">
        <v>20046</v>
      </c>
      <c r="C8242" s="29" t="s">
        <v>0</v>
      </c>
      <c r="D8242" s="31">
        <v>8.5</v>
      </c>
      <c r="F8242" s="3" t="str">
        <f t="shared" si="128"/>
        <v>I6522</v>
      </c>
    </row>
    <row r="8243" spans="1:6" ht="22.5" x14ac:dyDescent="0.2">
      <c r="A8243" s="29" t="s">
        <v>20047</v>
      </c>
      <c r="B8243" s="30" t="s">
        <v>20048</v>
      </c>
      <c r="C8243" s="29" t="s">
        <v>26</v>
      </c>
      <c r="D8243" s="31">
        <v>114.38</v>
      </c>
      <c r="F8243" s="3" t="str">
        <f t="shared" si="128"/>
        <v>I0284</v>
      </c>
    </row>
    <row r="8244" spans="1:6" x14ac:dyDescent="0.2">
      <c r="A8244" s="29" t="s">
        <v>20049</v>
      </c>
      <c r="B8244" s="30" t="s">
        <v>20050</v>
      </c>
      <c r="C8244" s="29" t="s">
        <v>0</v>
      </c>
      <c r="D8244" s="31">
        <v>6.4</v>
      </c>
      <c r="F8244" s="3" t="str">
        <f t="shared" si="128"/>
        <v>I0405</v>
      </c>
    </row>
    <row r="8245" spans="1:6" x14ac:dyDescent="0.2">
      <c r="A8245" s="29" t="s">
        <v>20051</v>
      </c>
      <c r="B8245" s="30" t="s">
        <v>20052</v>
      </c>
      <c r="C8245" s="29" t="s">
        <v>255</v>
      </c>
      <c r="D8245" s="31">
        <v>12.73</v>
      </c>
      <c r="F8245" s="3" t="str">
        <f t="shared" si="128"/>
        <v>I0491</v>
      </c>
    </row>
    <row r="8246" spans="1:6" x14ac:dyDescent="0.2">
      <c r="A8246" s="29" t="s">
        <v>20053</v>
      </c>
      <c r="B8246" s="30" t="s">
        <v>20054</v>
      </c>
      <c r="C8246" s="29" t="s">
        <v>255</v>
      </c>
      <c r="D8246" s="31">
        <v>16.25</v>
      </c>
      <c r="F8246" s="3" t="str">
        <f t="shared" si="128"/>
        <v>I0492</v>
      </c>
    </row>
    <row r="8247" spans="1:6" x14ac:dyDescent="0.2">
      <c r="A8247" s="29" t="s">
        <v>20055</v>
      </c>
      <c r="B8247" s="30" t="s">
        <v>20056</v>
      </c>
      <c r="C8247" s="29" t="s">
        <v>255</v>
      </c>
      <c r="D8247" s="31">
        <v>15.46</v>
      </c>
      <c r="F8247" s="3" t="str">
        <f t="shared" si="128"/>
        <v>I0493</v>
      </c>
    </row>
    <row r="8248" spans="1:6" x14ac:dyDescent="0.2">
      <c r="A8248" s="29" t="s">
        <v>20057</v>
      </c>
      <c r="B8248" s="30" t="s">
        <v>20058</v>
      </c>
      <c r="C8248" s="29" t="s">
        <v>255</v>
      </c>
      <c r="D8248" s="31">
        <v>83.15</v>
      </c>
      <c r="F8248" s="3" t="str">
        <f t="shared" si="128"/>
        <v>I0524</v>
      </c>
    </row>
    <row r="8249" spans="1:6" x14ac:dyDescent="0.2">
      <c r="A8249" s="29" t="s">
        <v>20059</v>
      </c>
      <c r="B8249" s="30" t="s">
        <v>20060</v>
      </c>
      <c r="C8249" s="29" t="s">
        <v>255</v>
      </c>
      <c r="D8249" s="31">
        <v>69.64</v>
      </c>
      <c r="F8249" s="3" t="str">
        <f t="shared" si="128"/>
        <v>I0526</v>
      </c>
    </row>
    <row r="8250" spans="1:6" x14ac:dyDescent="0.2">
      <c r="A8250" s="29" t="s">
        <v>20061</v>
      </c>
      <c r="B8250" s="30" t="s">
        <v>20062</v>
      </c>
      <c r="C8250" s="29" t="s">
        <v>255</v>
      </c>
      <c r="D8250" s="31">
        <v>21.7</v>
      </c>
      <c r="F8250" s="3" t="str">
        <f t="shared" si="128"/>
        <v>I0527</v>
      </c>
    </row>
    <row r="8251" spans="1:6" x14ac:dyDescent="0.2">
      <c r="A8251" s="29" t="s">
        <v>20063</v>
      </c>
      <c r="B8251" s="30" t="s">
        <v>20064</v>
      </c>
      <c r="C8251" s="29" t="s">
        <v>255</v>
      </c>
      <c r="D8251" s="31">
        <v>35.950000000000003</v>
      </c>
      <c r="F8251" s="3" t="str">
        <f t="shared" si="128"/>
        <v>I0528</v>
      </c>
    </row>
    <row r="8252" spans="1:6" x14ac:dyDescent="0.2">
      <c r="A8252" s="29" t="s">
        <v>20065</v>
      </c>
      <c r="B8252" s="30" t="s">
        <v>20066</v>
      </c>
      <c r="C8252" s="29" t="s">
        <v>255</v>
      </c>
      <c r="D8252" s="31">
        <v>35.950000000000003</v>
      </c>
      <c r="F8252" s="3" t="str">
        <f t="shared" si="128"/>
        <v>I0529</v>
      </c>
    </row>
    <row r="8253" spans="1:6" x14ac:dyDescent="0.2">
      <c r="A8253" s="29" t="s">
        <v>20067</v>
      </c>
      <c r="B8253" s="30" t="s">
        <v>20068</v>
      </c>
      <c r="C8253" s="29" t="s">
        <v>255</v>
      </c>
      <c r="D8253" s="31">
        <v>56.38</v>
      </c>
      <c r="F8253" s="3" t="str">
        <f t="shared" si="128"/>
        <v>I0541</v>
      </c>
    </row>
    <row r="8254" spans="1:6" x14ac:dyDescent="0.2">
      <c r="A8254" s="29" t="s">
        <v>20069</v>
      </c>
      <c r="B8254" s="30" t="s">
        <v>20070</v>
      </c>
      <c r="C8254" s="29" t="s">
        <v>1284</v>
      </c>
      <c r="D8254" s="31">
        <v>43.11</v>
      </c>
      <c r="F8254" s="3" t="str">
        <f t="shared" si="128"/>
        <v>I0816</v>
      </c>
    </row>
    <row r="8255" spans="1:6" x14ac:dyDescent="0.2">
      <c r="A8255" s="29" t="s">
        <v>20071</v>
      </c>
      <c r="B8255" s="30" t="s">
        <v>20072</v>
      </c>
      <c r="C8255" s="29" t="s">
        <v>0</v>
      </c>
      <c r="D8255" s="31">
        <v>14.25</v>
      </c>
      <c r="F8255" s="3" t="str">
        <f t="shared" si="128"/>
        <v>I0862</v>
      </c>
    </row>
    <row r="8256" spans="1:6" x14ac:dyDescent="0.2">
      <c r="A8256" s="29" t="s">
        <v>20073</v>
      </c>
      <c r="B8256" s="30" t="s">
        <v>20074</v>
      </c>
      <c r="C8256" s="29" t="s">
        <v>0</v>
      </c>
      <c r="D8256" s="31">
        <v>11.25</v>
      </c>
      <c r="F8256" s="3" t="str">
        <f t="shared" si="128"/>
        <v>I1094</v>
      </c>
    </row>
    <row r="8257" spans="1:6" x14ac:dyDescent="0.2">
      <c r="A8257" s="29" t="s">
        <v>20075</v>
      </c>
      <c r="B8257" s="30" t="s">
        <v>20076</v>
      </c>
      <c r="C8257" s="29" t="s">
        <v>0</v>
      </c>
      <c r="D8257" s="31">
        <v>48.9</v>
      </c>
      <c r="F8257" s="3" t="str">
        <f t="shared" si="128"/>
        <v>I1114</v>
      </c>
    </row>
    <row r="8258" spans="1:6" x14ac:dyDescent="0.2">
      <c r="A8258" s="29" t="s">
        <v>20077</v>
      </c>
      <c r="B8258" s="30" t="s">
        <v>20078</v>
      </c>
      <c r="C8258" s="29" t="s">
        <v>0</v>
      </c>
      <c r="D8258" s="31">
        <v>75.22</v>
      </c>
      <c r="F8258" s="3" t="str">
        <f t="shared" ref="F8258:F8321" si="129">A8258</f>
        <v>I1115</v>
      </c>
    </row>
    <row r="8259" spans="1:6" x14ac:dyDescent="0.2">
      <c r="A8259" s="29" t="s">
        <v>20079</v>
      </c>
      <c r="B8259" s="30" t="s">
        <v>20080</v>
      </c>
      <c r="C8259" s="29" t="s">
        <v>0</v>
      </c>
      <c r="D8259" s="31">
        <v>2.74</v>
      </c>
      <c r="F8259" s="3" t="str">
        <f t="shared" si="129"/>
        <v>I2330</v>
      </c>
    </row>
    <row r="8260" spans="1:6" x14ac:dyDescent="0.2">
      <c r="A8260" s="29" t="s">
        <v>20081</v>
      </c>
      <c r="B8260" s="30" t="s">
        <v>20082</v>
      </c>
      <c r="C8260" s="29" t="s">
        <v>255</v>
      </c>
      <c r="D8260" s="31">
        <v>50.52</v>
      </c>
      <c r="F8260" s="3" t="str">
        <f t="shared" si="129"/>
        <v>I1192</v>
      </c>
    </row>
    <row r="8261" spans="1:6" x14ac:dyDescent="0.2">
      <c r="A8261" s="29" t="s">
        <v>20083</v>
      </c>
      <c r="B8261" s="30" t="s">
        <v>20084</v>
      </c>
      <c r="C8261" s="29" t="s">
        <v>26</v>
      </c>
      <c r="D8261" s="31">
        <v>204.94</v>
      </c>
      <c r="F8261" s="3" t="str">
        <f t="shared" si="129"/>
        <v>I2345</v>
      </c>
    </row>
    <row r="8262" spans="1:6" x14ac:dyDescent="0.2">
      <c r="A8262" s="29" t="s">
        <v>20085</v>
      </c>
      <c r="B8262" s="30" t="s">
        <v>20086</v>
      </c>
      <c r="C8262" s="29" t="s">
        <v>255</v>
      </c>
      <c r="D8262" s="31">
        <v>57.89</v>
      </c>
      <c r="F8262" s="3" t="str">
        <f t="shared" si="129"/>
        <v>I1193</v>
      </c>
    </row>
    <row r="8263" spans="1:6" x14ac:dyDescent="0.2">
      <c r="A8263" s="29" t="s">
        <v>20087</v>
      </c>
      <c r="B8263" s="30" t="s">
        <v>8379</v>
      </c>
      <c r="C8263" s="29" t="s">
        <v>0</v>
      </c>
      <c r="D8263" s="31">
        <v>50.28</v>
      </c>
      <c r="F8263" s="3" t="str">
        <f t="shared" si="129"/>
        <v>I8269</v>
      </c>
    </row>
    <row r="8264" spans="1:6" x14ac:dyDescent="0.2">
      <c r="A8264" s="29" t="s">
        <v>20088</v>
      </c>
      <c r="B8264" s="30" t="s">
        <v>20089</v>
      </c>
      <c r="C8264" s="29" t="s">
        <v>8321</v>
      </c>
      <c r="D8264" s="31">
        <v>256.43</v>
      </c>
      <c r="F8264" s="3" t="str">
        <f t="shared" si="129"/>
        <v>I8270</v>
      </c>
    </row>
    <row r="8265" spans="1:6" x14ac:dyDescent="0.2">
      <c r="A8265" s="29" t="s">
        <v>20090</v>
      </c>
      <c r="B8265" s="30" t="s">
        <v>20091</v>
      </c>
      <c r="C8265" s="29" t="s">
        <v>8321</v>
      </c>
      <c r="D8265" s="31">
        <v>256.43</v>
      </c>
      <c r="F8265" s="3" t="str">
        <f t="shared" si="129"/>
        <v>I8274</v>
      </c>
    </row>
    <row r="8266" spans="1:6" x14ac:dyDescent="0.2">
      <c r="A8266" s="29" t="s">
        <v>20092</v>
      </c>
      <c r="B8266" s="30" t="s">
        <v>20093</v>
      </c>
      <c r="C8266" s="29" t="s">
        <v>26</v>
      </c>
      <c r="D8266" s="31">
        <v>47.71</v>
      </c>
      <c r="F8266" s="3" t="str">
        <f t="shared" si="129"/>
        <v>I2478</v>
      </c>
    </row>
    <row r="8267" spans="1:6" x14ac:dyDescent="0.2">
      <c r="A8267" s="29" t="s">
        <v>20094</v>
      </c>
      <c r="B8267" s="30" t="s">
        <v>20095</v>
      </c>
      <c r="C8267" s="29" t="s">
        <v>26</v>
      </c>
      <c r="D8267" s="31">
        <v>71.2</v>
      </c>
      <c r="F8267" s="3" t="str">
        <f t="shared" si="129"/>
        <v>I1240</v>
      </c>
    </row>
    <row r="8268" spans="1:6" x14ac:dyDescent="0.2">
      <c r="A8268" s="29" t="s">
        <v>20096</v>
      </c>
      <c r="B8268" s="30" t="s">
        <v>20097</v>
      </c>
      <c r="C8268" s="29" t="s">
        <v>26</v>
      </c>
      <c r="D8268" s="31">
        <v>71.2</v>
      </c>
      <c r="F8268" s="3" t="str">
        <f t="shared" si="129"/>
        <v>I1241</v>
      </c>
    </row>
    <row r="8269" spans="1:6" x14ac:dyDescent="0.2">
      <c r="A8269" s="29" t="s">
        <v>20098</v>
      </c>
      <c r="B8269" s="30" t="s">
        <v>20099</v>
      </c>
      <c r="C8269" s="29" t="s">
        <v>255</v>
      </c>
      <c r="D8269" s="31">
        <v>207.74</v>
      </c>
      <c r="F8269" s="3" t="str">
        <f t="shared" si="129"/>
        <v>I1276</v>
      </c>
    </row>
    <row r="8270" spans="1:6" x14ac:dyDescent="0.2">
      <c r="A8270" s="29" t="s">
        <v>20100</v>
      </c>
      <c r="B8270" s="30" t="s">
        <v>20101</v>
      </c>
      <c r="C8270" s="29" t="s">
        <v>0</v>
      </c>
      <c r="D8270" s="31">
        <v>34.54</v>
      </c>
      <c r="F8270" s="3" t="str">
        <f t="shared" si="129"/>
        <v>I2367</v>
      </c>
    </row>
    <row r="8271" spans="1:6" x14ac:dyDescent="0.2">
      <c r="A8271" s="29" t="s">
        <v>20102</v>
      </c>
      <c r="B8271" s="30" t="s">
        <v>20103</v>
      </c>
      <c r="C8271" s="29" t="s">
        <v>0</v>
      </c>
      <c r="D8271" s="31">
        <v>26.09</v>
      </c>
      <c r="F8271" s="3" t="str">
        <f t="shared" si="129"/>
        <v>I6519</v>
      </c>
    </row>
    <row r="8272" spans="1:6" x14ac:dyDescent="0.2">
      <c r="A8272" s="29" t="s">
        <v>20104</v>
      </c>
      <c r="B8272" s="30" t="s">
        <v>20105</v>
      </c>
      <c r="C8272" s="29" t="s">
        <v>0</v>
      </c>
      <c r="D8272" s="31">
        <v>34.54</v>
      </c>
      <c r="F8272" s="3" t="str">
        <f t="shared" si="129"/>
        <v>I6509</v>
      </c>
    </row>
    <row r="8273" spans="1:6" x14ac:dyDescent="0.2">
      <c r="A8273" s="29" t="s">
        <v>20106</v>
      </c>
      <c r="B8273" s="265" t="s">
        <v>20107</v>
      </c>
      <c r="C8273" s="29" t="s">
        <v>0</v>
      </c>
      <c r="D8273" s="31">
        <v>15.18</v>
      </c>
      <c r="F8273" s="3" t="str">
        <f t="shared" si="129"/>
        <v>I2369</v>
      </c>
    </row>
    <row r="8274" spans="1:6" x14ac:dyDescent="0.2">
      <c r="A8274" s="29" t="s">
        <v>20108</v>
      </c>
      <c r="B8274" s="30" t="s">
        <v>20109</v>
      </c>
      <c r="C8274" s="29" t="s">
        <v>0</v>
      </c>
      <c r="D8274" s="31">
        <v>23.13</v>
      </c>
      <c r="F8274" s="3" t="str">
        <f t="shared" si="129"/>
        <v>I2370</v>
      </c>
    </row>
    <row r="8275" spans="1:6" x14ac:dyDescent="0.2">
      <c r="A8275" s="29" t="s">
        <v>20110</v>
      </c>
      <c r="B8275" s="30" t="s">
        <v>20111</v>
      </c>
      <c r="C8275" s="29" t="s">
        <v>271</v>
      </c>
      <c r="D8275" s="31">
        <v>3162.71</v>
      </c>
      <c r="F8275" s="3" t="str">
        <f t="shared" si="129"/>
        <v>I1495</v>
      </c>
    </row>
    <row r="8276" spans="1:6" x14ac:dyDescent="0.2">
      <c r="A8276" s="29" t="s">
        <v>20112</v>
      </c>
      <c r="B8276" s="30" t="s">
        <v>20113</v>
      </c>
      <c r="C8276" s="29" t="s">
        <v>271</v>
      </c>
      <c r="D8276" s="31">
        <v>2488.15</v>
      </c>
      <c r="F8276" s="3" t="str">
        <f t="shared" si="129"/>
        <v>I1496</v>
      </c>
    </row>
    <row r="8277" spans="1:6" x14ac:dyDescent="0.2">
      <c r="A8277" s="29" t="s">
        <v>20114</v>
      </c>
      <c r="B8277" s="30" t="s">
        <v>20115</v>
      </c>
      <c r="C8277" s="29" t="s">
        <v>271</v>
      </c>
      <c r="D8277" s="31">
        <v>2488.15</v>
      </c>
      <c r="F8277" s="3" t="str">
        <f t="shared" si="129"/>
        <v>I1497</v>
      </c>
    </row>
    <row r="8278" spans="1:6" x14ac:dyDescent="0.2">
      <c r="A8278" s="29" t="s">
        <v>20116</v>
      </c>
      <c r="B8278" s="30" t="s">
        <v>20117</v>
      </c>
      <c r="C8278" s="29" t="s">
        <v>0</v>
      </c>
      <c r="D8278" s="31">
        <v>36.869999999999997</v>
      </c>
      <c r="F8278" s="3" t="str">
        <f t="shared" si="129"/>
        <v>I1498</v>
      </c>
    </row>
    <row r="8279" spans="1:6" x14ac:dyDescent="0.2">
      <c r="A8279" s="29" t="s">
        <v>20118</v>
      </c>
      <c r="B8279" s="30" t="s">
        <v>20119</v>
      </c>
      <c r="C8279" s="29" t="s">
        <v>26</v>
      </c>
      <c r="D8279" s="31">
        <v>29.25</v>
      </c>
      <c r="F8279" s="3" t="str">
        <f t="shared" si="129"/>
        <v>I1527</v>
      </c>
    </row>
    <row r="8280" spans="1:6" x14ac:dyDescent="0.2">
      <c r="A8280" s="29" t="s">
        <v>20120</v>
      </c>
      <c r="B8280" s="30" t="s">
        <v>20121</v>
      </c>
      <c r="C8280" s="29" t="s">
        <v>255</v>
      </c>
      <c r="D8280" s="31">
        <v>67.31</v>
      </c>
      <c r="F8280" s="3" t="str">
        <f t="shared" si="129"/>
        <v>I1594</v>
      </c>
    </row>
    <row r="8281" spans="1:6" ht="22.5" x14ac:dyDescent="0.2">
      <c r="A8281" s="29" t="s">
        <v>20122</v>
      </c>
      <c r="B8281" s="30" t="s">
        <v>20123</v>
      </c>
      <c r="C8281" s="29" t="s">
        <v>26</v>
      </c>
      <c r="D8281" s="31">
        <v>7.04</v>
      </c>
      <c r="F8281" s="3" t="str">
        <f t="shared" si="129"/>
        <v>I9052</v>
      </c>
    </row>
    <row r="8282" spans="1:6" ht="22.5" x14ac:dyDescent="0.2">
      <c r="A8282" s="29" t="s">
        <v>20124</v>
      </c>
      <c r="B8282" s="30" t="s">
        <v>20125</v>
      </c>
      <c r="C8282" s="29" t="s">
        <v>26</v>
      </c>
      <c r="D8282" s="31">
        <v>7.68</v>
      </c>
      <c r="F8282" s="3" t="str">
        <f t="shared" si="129"/>
        <v>I9053</v>
      </c>
    </row>
    <row r="8283" spans="1:6" x14ac:dyDescent="0.2">
      <c r="A8283" s="29" t="s">
        <v>20126</v>
      </c>
      <c r="B8283" s="30" t="s">
        <v>20127</v>
      </c>
      <c r="C8283" s="29" t="s">
        <v>0</v>
      </c>
      <c r="D8283" s="31">
        <v>110.23</v>
      </c>
      <c r="F8283" s="3" t="str">
        <f t="shared" si="129"/>
        <v>I6617</v>
      </c>
    </row>
    <row r="8284" spans="1:6" x14ac:dyDescent="0.2">
      <c r="A8284" s="29" t="s">
        <v>20128</v>
      </c>
      <c r="B8284" s="30" t="s">
        <v>20129</v>
      </c>
      <c r="C8284" s="29" t="s">
        <v>0</v>
      </c>
      <c r="D8284" s="31">
        <v>2.08</v>
      </c>
      <c r="F8284" s="3" t="str">
        <f t="shared" si="129"/>
        <v>I1652</v>
      </c>
    </row>
    <row r="8285" spans="1:6" x14ac:dyDescent="0.2">
      <c r="A8285" s="29" t="s">
        <v>20130</v>
      </c>
      <c r="B8285" s="30" t="s">
        <v>20131</v>
      </c>
      <c r="C8285" s="29" t="s">
        <v>0</v>
      </c>
      <c r="D8285" s="31">
        <v>16.09</v>
      </c>
      <c r="F8285" s="3" t="str">
        <f t="shared" si="129"/>
        <v>I1691</v>
      </c>
    </row>
    <row r="8286" spans="1:6" x14ac:dyDescent="0.2">
      <c r="A8286" s="29" t="s">
        <v>20132</v>
      </c>
      <c r="B8286" s="30" t="s">
        <v>20133</v>
      </c>
      <c r="C8286" s="29" t="s">
        <v>0</v>
      </c>
      <c r="D8286" s="31">
        <v>22.11</v>
      </c>
      <c r="F8286" s="3" t="str">
        <f t="shared" si="129"/>
        <v>I0198</v>
      </c>
    </row>
    <row r="8287" spans="1:6" x14ac:dyDescent="0.2">
      <c r="A8287" s="29" t="s">
        <v>20134</v>
      </c>
      <c r="B8287" s="30" t="s">
        <v>20135</v>
      </c>
      <c r="C8287" s="29" t="s">
        <v>255</v>
      </c>
      <c r="D8287" s="31">
        <v>342.91</v>
      </c>
      <c r="F8287" s="3" t="str">
        <f t="shared" si="129"/>
        <v>I1705</v>
      </c>
    </row>
    <row r="8288" spans="1:6" x14ac:dyDescent="0.2">
      <c r="A8288" s="29" t="s">
        <v>20136</v>
      </c>
      <c r="B8288" s="30" t="s">
        <v>20137</v>
      </c>
      <c r="C8288" s="29" t="s">
        <v>26</v>
      </c>
      <c r="D8288" s="31">
        <v>461.23</v>
      </c>
      <c r="F8288" s="3" t="str">
        <f t="shared" si="129"/>
        <v>I8577</v>
      </c>
    </row>
    <row r="8289" spans="1:6" x14ac:dyDescent="0.2">
      <c r="A8289" s="29" t="s">
        <v>20138</v>
      </c>
      <c r="B8289" s="30" t="s">
        <v>20139</v>
      </c>
      <c r="C8289" s="29" t="s">
        <v>26</v>
      </c>
      <c r="D8289" s="31">
        <v>200.82</v>
      </c>
      <c r="F8289" s="3" t="str">
        <f t="shared" si="129"/>
        <v>I1706</v>
      </c>
    </row>
    <row r="8290" spans="1:6" x14ac:dyDescent="0.2">
      <c r="A8290" s="29" t="s">
        <v>20140</v>
      </c>
      <c r="B8290" s="30" t="s">
        <v>20141</v>
      </c>
      <c r="C8290" s="29" t="s">
        <v>26</v>
      </c>
      <c r="D8290" s="31">
        <v>225</v>
      </c>
      <c r="F8290" s="3" t="str">
        <f t="shared" si="129"/>
        <v>I1707</v>
      </c>
    </row>
    <row r="8291" spans="1:6" x14ac:dyDescent="0.2">
      <c r="A8291" s="29" t="s">
        <v>20142</v>
      </c>
      <c r="B8291" s="30" t="s">
        <v>20143</v>
      </c>
      <c r="C8291" s="29" t="s">
        <v>26</v>
      </c>
      <c r="D8291" s="31">
        <v>268.91000000000003</v>
      </c>
      <c r="F8291" s="3" t="str">
        <f t="shared" si="129"/>
        <v>I1708</v>
      </c>
    </row>
    <row r="8292" spans="1:6" x14ac:dyDescent="0.2">
      <c r="A8292" s="29" t="s">
        <v>20144</v>
      </c>
      <c r="B8292" s="30" t="s">
        <v>20145</v>
      </c>
      <c r="C8292" s="29" t="s">
        <v>26</v>
      </c>
      <c r="D8292" s="31">
        <v>318.99</v>
      </c>
      <c r="F8292" s="3" t="str">
        <f t="shared" si="129"/>
        <v>I1709</v>
      </c>
    </row>
    <row r="8293" spans="1:6" x14ac:dyDescent="0.2">
      <c r="A8293" s="29" t="s">
        <v>20146</v>
      </c>
      <c r="B8293" s="30" t="s">
        <v>20147</v>
      </c>
      <c r="C8293" s="29" t="s">
        <v>26</v>
      </c>
      <c r="D8293" s="31">
        <v>341.68</v>
      </c>
      <c r="F8293" s="3" t="str">
        <f t="shared" si="129"/>
        <v>I1710</v>
      </c>
    </row>
    <row r="8294" spans="1:6" x14ac:dyDescent="0.2">
      <c r="A8294" s="29" t="s">
        <v>20148</v>
      </c>
      <c r="B8294" s="30" t="s">
        <v>20149</v>
      </c>
      <c r="C8294" s="29" t="s">
        <v>26</v>
      </c>
      <c r="D8294" s="31">
        <v>143.78</v>
      </c>
      <c r="F8294" s="3" t="str">
        <f t="shared" si="129"/>
        <v>I8271</v>
      </c>
    </row>
    <row r="8295" spans="1:6" x14ac:dyDescent="0.2">
      <c r="A8295" s="29" t="s">
        <v>20150</v>
      </c>
      <c r="B8295" s="30" t="s">
        <v>20151</v>
      </c>
      <c r="C8295" s="29" t="s">
        <v>26</v>
      </c>
      <c r="D8295" s="31">
        <v>155.16</v>
      </c>
      <c r="F8295" s="3" t="str">
        <f t="shared" si="129"/>
        <v>I8272</v>
      </c>
    </row>
    <row r="8296" spans="1:6" x14ac:dyDescent="0.2">
      <c r="A8296" s="29" t="s">
        <v>20152</v>
      </c>
      <c r="B8296" s="30" t="s">
        <v>20153</v>
      </c>
      <c r="C8296" s="29" t="s">
        <v>26</v>
      </c>
      <c r="D8296" s="31">
        <v>165.99</v>
      </c>
      <c r="F8296" s="3" t="str">
        <f t="shared" si="129"/>
        <v>I8273</v>
      </c>
    </row>
    <row r="8297" spans="1:6" x14ac:dyDescent="0.2">
      <c r="A8297" s="29" t="s">
        <v>20154</v>
      </c>
      <c r="B8297" s="30" t="s">
        <v>20155</v>
      </c>
      <c r="C8297" s="29" t="s">
        <v>26</v>
      </c>
      <c r="D8297" s="31">
        <v>198.63</v>
      </c>
      <c r="F8297" s="3" t="str">
        <f t="shared" si="129"/>
        <v>I1714</v>
      </c>
    </row>
    <row r="8298" spans="1:6" x14ac:dyDescent="0.2">
      <c r="A8298" s="29" t="s">
        <v>20156</v>
      </c>
      <c r="B8298" s="30" t="s">
        <v>20157</v>
      </c>
      <c r="C8298" s="29" t="s">
        <v>255</v>
      </c>
      <c r="D8298" s="31">
        <v>98.8</v>
      </c>
      <c r="F8298" s="3" t="str">
        <f t="shared" si="129"/>
        <v>I1715</v>
      </c>
    </row>
    <row r="8299" spans="1:6" x14ac:dyDescent="0.2">
      <c r="A8299" s="29" t="s">
        <v>20158</v>
      </c>
      <c r="B8299" s="30" t="s">
        <v>20159</v>
      </c>
      <c r="C8299" s="29" t="s">
        <v>0</v>
      </c>
      <c r="D8299" s="31">
        <v>21.93</v>
      </c>
      <c r="F8299" s="3" t="str">
        <f t="shared" si="129"/>
        <v>I1723</v>
      </c>
    </row>
    <row r="8300" spans="1:6" x14ac:dyDescent="0.2">
      <c r="A8300" s="29" t="s">
        <v>20160</v>
      </c>
      <c r="B8300" s="30" t="s">
        <v>20161</v>
      </c>
      <c r="C8300" s="29" t="s">
        <v>0</v>
      </c>
      <c r="D8300" s="31">
        <v>34.840000000000003</v>
      </c>
      <c r="F8300" s="3" t="str">
        <f t="shared" si="129"/>
        <v>I1349</v>
      </c>
    </row>
    <row r="8301" spans="1:6" x14ac:dyDescent="0.2">
      <c r="A8301" s="29" t="s">
        <v>20162</v>
      </c>
      <c r="B8301" s="30" t="s">
        <v>20163</v>
      </c>
      <c r="C8301" s="29" t="s">
        <v>26</v>
      </c>
      <c r="D8301" s="31">
        <v>143.53</v>
      </c>
      <c r="F8301" s="3" t="str">
        <f t="shared" si="129"/>
        <v>I6682</v>
      </c>
    </row>
    <row r="8302" spans="1:6" x14ac:dyDescent="0.2">
      <c r="A8302" s="29" t="s">
        <v>20164</v>
      </c>
      <c r="B8302" s="30" t="s">
        <v>20165</v>
      </c>
      <c r="C8302" s="29" t="s">
        <v>26</v>
      </c>
      <c r="D8302" s="31">
        <v>182.54</v>
      </c>
      <c r="F8302" s="3" t="str">
        <f t="shared" si="129"/>
        <v>I6681</v>
      </c>
    </row>
    <row r="8303" spans="1:6" x14ac:dyDescent="0.2">
      <c r="A8303" s="29" t="s">
        <v>20166</v>
      </c>
      <c r="B8303" s="30" t="s">
        <v>20167</v>
      </c>
      <c r="C8303" s="29" t="s">
        <v>271</v>
      </c>
      <c r="D8303" s="31">
        <v>2336.92</v>
      </c>
      <c r="F8303" s="3" t="str">
        <f t="shared" si="129"/>
        <v>I2407</v>
      </c>
    </row>
    <row r="8304" spans="1:6" x14ac:dyDescent="0.2">
      <c r="A8304" s="29" t="s">
        <v>20168</v>
      </c>
      <c r="B8304" s="30" t="s">
        <v>20169</v>
      </c>
      <c r="C8304" s="29" t="s">
        <v>0</v>
      </c>
      <c r="D8304" s="31">
        <v>41.34</v>
      </c>
      <c r="F8304" s="3" t="str">
        <f t="shared" si="129"/>
        <v>I2532</v>
      </c>
    </row>
    <row r="8305" spans="1:6" x14ac:dyDescent="0.2">
      <c r="A8305" s="29" t="s">
        <v>20170</v>
      </c>
      <c r="B8305" s="30" t="s">
        <v>20171</v>
      </c>
      <c r="C8305" s="29" t="s">
        <v>0</v>
      </c>
      <c r="D8305" s="31">
        <v>8.64</v>
      </c>
      <c r="F8305" s="3" t="str">
        <f t="shared" si="129"/>
        <v>I6232</v>
      </c>
    </row>
    <row r="8306" spans="1:6" x14ac:dyDescent="0.2">
      <c r="A8306" s="29" t="s">
        <v>20172</v>
      </c>
      <c r="B8306" s="30" t="s">
        <v>20173</v>
      </c>
      <c r="C8306" s="29" t="s">
        <v>0</v>
      </c>
      <c r="D8306" s="31">
        <v>1.72</v>
      </c>
      <c r="F8306" s="3" t="str">
        <f t="shared" si="129"/>
        <v>I1824</v>
      </c>
    </row>
    <row r="8307" spans="1:6" x14ac:dyDescent="0.2">
      <c r="A8307" s="29" t="s">
        <v>20174</v>
      </c>
      <c r="B8307" s="30" t="s">
        <v>20175</v>
      </c>
      <c r="C8307" s="29" t="s">
        <v>0</v>
      </c>
      <c r="D8307" s="31">
        <v>2.83</v>
      </c>
      <c r="F8307" s="3" t="str">
        <f t="shared" si="129"/>
        <v>I1825</v>
      </c>
    </row>
    <row r="8308" spans="1:6" x14ac:dyDescent="0.2">
      <c r="A8308" s="29" t="s">
        <v>20176</v>
      </c>
      <c r="B8308" s="30" t="s">
        <v>20177</v>
      </c>
      <c r="C8308" s="29" t="s">
        <v>0</v>
      </c>
      <c r="D8308" s="31">
        <v>4.53</v>
      </c>
      <c r="F8308" s="3" t="str">
        <f t="shared" si="129"/>
        <v>I1826</v>
      </c>
    </row>
    <row r="8309" spans="1:6" x14ac:dyDescent="0.2">
      <c r="A8309" s="29" t="s">
        <v>20178</v>
      </c>
      <c r="B8309" s="30" t="s">
        <v>20179</v>
      </c>
      <c r="C8309" s="29" t="s">
        <v>0</v>
      </c>
      <c r="D8309" s="31">
        <v>14.25</v>
      </c>
      <c r="F8309" s="3" t="str">
        <f t="shared" si="129"/>
        <v>I1829</v>
      </c>
    </row>
    <row r="8310" spans="1:6" x14ac:dyDescent="0.2">
      <c r="A8310" s="29" t="s">
        <v>20180</v>
      </c>
      <c r="B8310" s="30" t="s">
        <v>20181</v>
      </c>
      <c r="C8310" s="29" t="s">
        <v>0</v>
      </c>
      <c r="D8310" s="31">
        <v>6.54</v>
      </c>
      <c r="F8310" s="3" t="str">
        <f t="shared" si="129"/>
        <v>I1847</v>
      </c>
    </row>
    <row r="8311" spans="1:6" x14ac:dyDescent="0.2">
      <c r="A8311" s="29" t="s">
        <v>20182</v>
      </c>
      <c r="B8311" s="30" t="s">
        <v>20183</v>
      </c>
      <c r="C8311" s="29" t="s">
        <v>0</v>
      </c>
      <c r="D8311" s="31">
        <v>4.78</v>
      </c>
      <c r="F8311" s="3" t="str">
        <f t="shared" si="129"/>
        <v>I2517</v>
      </c>
    </row>
    <row r="8312" spans="1:6" x14ac:dyDescent="0.2">
      <c r="A8312" s="29" t="s">
        <v>20184</v>
      </c>
      <c r="B8312" s="30" t="s">
        <v>20185</v>
      </c>
      <c r="C8312" s="29" t="s">
        <v>0</v>
      </c>
      <c r="D8312" s="31">
        <v>6.05</v>
      </c>
      <c r="F8312" s="3" t="str">
        <f t="shared" si="129"/>
        <v>I1846</v>
      </c>
    </row>
    <row r="8313" spans="1:6" x14ac:dyDescent="0.2">
      <c r="A8313" s="29" t="s">
        <v>20186</v>
      </c>
      <c r="B8313" s="30" t="s">
        <v>20187</v>
      </c>
      <c r="C8313" s="29" t="s">
        <v>0</v>
      </c>
      <c r="D8313" s="31">
        <v>8.64</v>
      </c>
      <c r="F8313" s="3" t="str">
        <f t="shared" si="129"/>
        <v>I1845</v>
      </c>
    </row>
    <row r="8314" spans="1:6" x14ac:dyDescent="0.2">
      <c r="A8314" s="29" t="s">
        <v>20188</v>
      </c>
      <c r="B8314" s="30" t="s">
        <v>20189</v>
      </c>
      <c r="C8314" s="29" t="s">
        <v>0</v>
      </c>
      <c r="D8314" s="31">
        <v>7.35</v>
      </c>
      <c r="F8314" s="3" t="str">
        <f t="shared" si="129"/>
        <v>I1917</v>
      </c>
    </row>
    <row r="8315" spans="1:6" x14ac:dyDescent="0.2">
      <c r="A8315" s="29" t="s">
        <v>20190</v>
      </c>
      <c r="B8315" s="30" t="s">
        <v>20191</v>
      </c>
      <c r="C8315" s="29" t="s">
        <v>0</v>
      </c>
      <c r="D8315" s="31">
        <v>12.77</v>
      </c>
      <c r="F8315" s="3" t="str">
        <f t="shared" si="129"/>
        <v>I1916</v>
      </c>
    </row>
    <row r="8316" spans="1:6" x14ac:dyDescent="0.2">
      <c r="A8316" s="29" t="s">
        <v>20192</v>
      </c>
      <c r="B8316" s="30" t="s">
        <v>20193</v>
      </c>
      <c r="C8316" s="29" t="s">
        <v>255</v>
      </c>
      <c r="D8316" s="31">
        <v>89.31</v>
      </c>
      <c r="F8316" s="3" t="str">
        <f t="shared" si="129"/>
        <v>I1912</v>
      </c>
    </row>
    <row r="8317" spans="1:6" x14ac:dyDescent="0.2">
      <c r="A8317" s="29" t="s">
        <v>20194</v>
      </c>
      <c r="B8317" s="30" t="s">
        <v>20195</v>
      </c>
      <c r="C8317" s="29" t="s">
        <v>255</v>
      </c>
      <c r="D8317" s="31">
        <v>38.590000000000003</v>
      </c>
      <c r="F8317" s="3" t="str">
        <f t="shared" si="129"/>
        <v>I1915</v>
      </c>
    </row>
    <row r="8318" spans="1:6" x14ac:dyDescent="0.2">
      <c r="A8318" s="29" t="s">
        <v>20196</v>
      </c>
      <c r="B8318" s="30" t="s">
        <v>20197</v>
      </c>
      <c r="C8318" s="29" t="s">
        <v>255</v>
      </c>
      <c r="D8318" s="31">
        <v>36.64</v>
      </c>
      <c r="F8318" s="3" t="str">
        <f t="shared" si="129"/>
        <v>I2429</v>
      </c>
    </row>
    <row r="8319" spans="1:6" x14ac:dyDescent="0.2">
      <c r="A8319" s="29" t="s">
        <v>20198</v>
      </c>
      <c r="B8319" s="30" t="s">
        <v>20199</v>
      </c>
      <c r="C8319" s="29" t="s">
        <v>255</v>
      </c>
      <c r="D8319" s="31">
        <v>32.58</v>
      </c>
      <c r="F8319" s="3" t="str">
        <f t="shared" si="129"/>
        <v>I2430</v>
      </c>
    </row>
    <row r="8320" spans="1:6" x14ac:dyDescent="0.2">
      <c r="A8320" s="29" t="s">
        <v>20200</v>
      </c>
      <c r="B8320" s="30" t="s">
        <v>20201</v>
      </c>
      <c r="C8320" s="29" t="s">
        <v>255</v>
      </c>
      <c r="D8320" s="31">
        <v>162.91</v>
      </c>
      <c r="F8320" s="3" t="str">
        <f t="shared" si="129"/>
        <v>I1918</v>
      </c>
    </row>
    <row r="8321" spans="1:6" x14ac:dyDescent="0.2">
      <c r="A8321" s="29" t="s">
        <v>20202</v>
      </c>
      <c r="B8321" s="30" t="s">
        <v>20203</v>
      </c>
      <c r="C8321" s="29" t="s">
        <v>26</v>
      </c>
      <c r="D8321" s="31">
        <v>1.76</v>
      </c>
      <c r="F8321" s="3" t="str">
        <f t="shared" si="129"/>
        <v>I1919</v>
      </c>
    </row>
    <row r="8322" spans="1:6" x14ac:dyDescent="0.2">
      <c r="A8322" s="29" t="s">
        <v>20204</v>
      </c>
      <c r="B8322" s="30" t="s">
        <v>20205</v>
      </c>
      <c r="C8322" s="29" t="s">
        <v>0</v>
      </c>
      <c r="D8322" s="31">
        <v>10.49</v>
      </c>
      <c r="F8322" s="3" t="str">
        <f t="shared" ref="F8322:F8385" si="130">A8322</f>
        <v>I2542</v>
      </c>
    </row>
    <row r="8323" spans="1:6" x14ac:dyDescent="0.2">
      <c r="A8323" s="29" t="s">
        <v>20206</v>
      </c>
      <c r="B8323" s="30" t="s">
        <v>20207</v>
      </c>
      <c r="C8323" s="29" t="s">
        <v>255</v>
      </c>
      <c r="D8323" s="31">
        <v>112.07</v>
      </c>
      <c r="F8323" s="3" t="str">
        <f t="shared" si="130"/>
        <v>I2462</v>
      </c>
    </row>
    <row r="8324" spans="1:6" x14ac:dyDescent="0.2">
      <c r="A8324" s="29" t="s">
        <v>20208</v>
      </c>
      <c r="B8324" s="30" t="s">
        <v>20209</v>
      </c>
      <c r="C8324" s="29" t="s">
        <v>0</v>
      </c>
      <c r="D8324" s="31">
        <v>93.22</v>
      </c>
      <c r="F8324" s="3" t="str">
        <f t="shared" si="130"/>
        <v>I6792</v>
      </c>
    </row>
    <row r="8325" spans="1:6" x14ac:dyDescent="0.2">
      <c r="A8325" s="29" t="s">
        <v>20210</v>
      </c>
      <c r="B8325" s="30" t="s">
        <v>20211</v>
      </c>
      <c r="C8325" s="29" t="s">
        <v>0</v>
      </c>
      <c r="D8325" s="31">
        <v>23.13</v>
      </c>
      <c r="F8325" s="3" t="str">
        <f t="shared" si="130"/>
        <v>I2260</v>
      </c>
    </row>
    <row r="8326" spans="1:6" ht="15.75" customHeight="1" x14ac:dyDescent="0.2">
      <c r="A8326" s="32" t="s">
        <v>20212</v>
      </c>
      <c r="B8326" s="33"/>
      <c r="C8326" s="32">
        <v>0</v>
      </c>
      <c r="D8326" s="34">
        <v>0</v>
      </c>
      <c r="F8326" s="3" t="str">
        <f t="shared" si="130"/>
        <v>COTAÇÃO / MANTAS ASFÁLTICAS E AFINS</v>
      </c>
    </row>
    <row r="8327" spans="1:6" ht="25.5" x14ac:dyDescent="0.2">
      <c r="A8327" s="26" t="s">
        <v>14985</v>
      </c>
      <c r="B8327" s="27" t="s">
        <v>14986</v>
      </c>
      <c r="C8327" s="26" t="s">
        <v>14987</v>
      </c>
      <c r="D8327" s="28" t="e">
        <v>#VALUE!</v>
      </c>
      <c r="F8327" s="3" t="str">
        <f t="shared" si="130"/>
        <v>Insumo</v>
      </c>
    </row>
    <row r="8328" spans="1:6" x14ac:dyDescent="0.2">
      <c r="A8328" s="29" t="s">
        <v>20213</v>
      </c>
      <c r="B8328" s="30" t="s">
        <v>20214</v>
      </c>
      <c r="C8328" s="29" t="s">
        <v>255</v>
      </c>
      <c r="D8328" s="31">
        <v>1.95</v>
      </c>
      <c r="F8328" s="3" t="str">
        <f t="shared" si="130"/>
        <v>I9510</v>
      </c>
    </row>
    <row r="8329" spans="1:6" ht="22.5" x14ac:dyDescent="0.2">
      <c r="A8329" s="29" t="s">
        <v>20215</v>
      </c>
      <c r="B8329" s="30" t="s">
        <v>20216</v>
      </c>
      <c r="C8329" s="29" t="s">
        <v>255</v>
      </c>
      <c r="D8329" s="31">
        <v>33.74</v>
      </c>
      <c r="F8329" s="3" t="str">
        <f t="shared" si="130"/>
        <v>I9499</v>
      </c>
    </row>
    <row r="8330" spans="1:6" ht="22.5" x14ac:dyDescent="0.2">
      <c r="A8330" s="29" t="s">
        <v>20217</v>
      </c>
      <c r="B8330" s="30" t="s">
        <v>20218</v>
      </c>
      <c r="C8330" s="29" t="s">
        <v>255</v>
      </c>
      <c r="D8330" s="31">
        <v>39.770000000000003</v>
      </c>
      <c r="F8330" s="3" t="str">
        <f t="shared" si="130"/>
        <v>I9500</v>
      </c>
    </row>
    <row r="8331" spans="1:6" ht="22.5" x14ac:dyDescent="0.2">
      <c r="A8331" s="29" t="s">
        <v>20219</v>
      </c>
      <c r="B8331" s="30" t="s">
        <v>20220</v>
      </c>
      <c r="C8331" s="29" t="s">
        <v>255</v>
      </c>
      <c r="D8331" s="31">
        <v>39.72</v>
      </c>
      <c r="F8331" s="3" t="str">
        <f t="shared" si="130"/>
        <v>I9501</v>
      </c>
    </row>
    <row r="8332" spans="1:6" ht="22.5" x14ac:dyDescent="0.2">
      <c r="A8332" s="29" t="s">
        <v>20221</v>
      </c>
      <c r="B8332" s="30" t="s">
        <v>20222</v>
      </c>
      <c r="C8332" s="29" t="s">
        <v>255</v>
      </c>
      <c r="D8332" s="31">
        <v>43.38</v>
      </c>
      <c r="F8332" s="3" t="str">
        <f t="shared" si="130"/>
        <v>I9502</v>
      </c>
    </row>
    <row r="8333" spans="1:6" ht="22.5" x14ac:dyDescent="0.2">
      <c r="A8333" s="29" t="s">
        <v>20223</v>
      </c>
      <c r="B8333" s="30" t="s">
        <v>20224</v>
      </c>
      <c r="C8333" s="29" t="s">
        <v>255</v>
      </c>
      <c r="D8333" s="31">
        <v>31.33</v>
      </c>
      <c r="F8333" s="3" t="str">
        <f t="shared" si="130"/>
        <v>I9503</v>
      </c>
    </row>
    <row r="8334" spans="1:6" ht="22.5" x14ac:dyDescent="0.2">
      <c r="A8334" s="29" t="s">
        <v>20225</v>
      </c>
      <c r="B8334" s="30" t="s">
        <v>20226</v>
      </c>
      <c r="C8334" s="29" t="s">
        <v>255</v>
      </c>
      <c r="D8334" s="31">
        <v>33.1</v>
      </c>
      <c r="F8334" s="3" t="str">
        <f t="shared" si="130"/>
        <v>I9504</v>
      </c>
    </row>
    <row r="8335" spans="1:6" ht="22.5" x14ac:dyDescent="0.2">
      <c r="A8335" s="29" t="s">
        <v>20227</v>
      </c>
      <c r="B8335" s="30" t="s">
        <v>20228</v>
      </c>
      <c r="C8335" s="29" t="s">
        <v>255</v>
      </c>
      <c r="D8335" s="31">
        <v>34.950000000000003</v>
      </c>
      <c r="F8335" s="3" t="str">
        <f t="shared" si="130"/>
        <v>I9505</v>
      </c>
    </row>
    <row r="8336" spans="1:6" ht="22.5" x14ac:dyDescent="0.2">
      <c r="A8336" s="29" t="s">
        <v>20229</v>
      </c>
      <c r="B8336" s="30" t="s">
        <v>20230</v>
      </c>
      <c r="C8336" s="29" t="s">
        <v>255</v>
      </c>
      <c r="D8336" s="31">
        <v>36.78</v>
      </c>
      <c r="F8336" s="3" t="str">
        <f t="shared" si="130"/>
        <v>I9506</v>
      </c>
    </row>
    <row r="8337" spans="1:6" ht="22.5" x14ac:dyDescent="0.2">
      <c r="A8337" s="29" t="s">
        <v>20231</v>
      </c>
      <c r="B8337" s="30" t="s">
        <v>20232</v>
      </c>
      <c r="C8337" s="29" t="s">
        <v>255</v>
      </c>
      <c r="D8337" s="31">
        <v>40.25</v>
      </c>
      <c r="F8337" s="3" t="str">
        <f t="shared" si="130"/>
        <v>I9507</v>
      </c>
    </row>
    <row r="8338" spans="1:6" ht="22.5" x14ac:dyDescent="0.2">
      <c r="A8338" s="29" t="s">
        <v>20233</v>
      </c>
      <c r="B8338" s="30" t="s">
        <v>20234</v>
      </c>
      <c r="C8338" s="29" t="s">
        <v>255</v>
      </c>
      <c r="D8338" s="31">
        <v>44.57</v>
      </c>
      <c r="F8338" s="3" t="str">
        <f t="shared" si="130"/>
        <v>I9508</v>
      </c>
    </row>
    <row r="8339" spans="1:6" ht="22.5" x14ac:dyDescent="0.2">
      <c r="A8339" s="29" t="s">
        <v>20235</v>
      </c>
      <c r="B8339" s="30" t="s">
        <v>20236</v>
      </c>
      <c r="C8339" s="29" t="s">
        <v>9</v>
      </c>
      <c r="D8339" s="31">
        <v>9.91</v>
      </c>
      <c r="F8339" s="3" t="str">
        <f t="shared" si="130"/>
        <v>I9509</v>
      </c>
    </row>
    <row r="8340" spans="1:6" ht="15.75" customHeight="1" x14ac:dyDescent="0.2">
      <c r="A8340" s="32" t="s">
        <v>20237</v>
      </c>
      <c r="B8340" s="33"/>
      <c r="C8340" s="32">
        <v>0</v>
      </c>
      <c r="D8340" s="34">
        <v>0</v>
      </c>
      <c r="F8340" s="3" t="str">
        <f t="shared" si="130"/>
        <v>COTAÇÃO / MAO DE OBRA (C/ ENCARGOS)</v>
      </c>
    </row>
    <row r="8341" spans="1:6" ht="25.5" x14ac:dyDescent="0.2">
      <c r="A8341" s="26" t="s">
        <v>14985</v>
      </c>
      <c r="B8341" s="27" t="s">
        <v>14986</v>
      </c>
      <c r="C8341" s="26" t="s">
        <v>14987</v>
      </c>
      <c r="D8341" s="28" t="e">
        <v>#VALUE!</v>
      </c>
      <c r="F8341" s="3" t="str">
        <f t="shared" si="130"/>
        <v>Insumo</v>
      </c>
    </row>
    <row r="8342" spans="1:6" x14ac:dyDescent="0.2">
      <c r="A8342" s="29" t="s">
        <v>20238</v>
      </c>
      <c r="B8342" s="30" t="s">
        <v>20239</v>
      </c>
      <c r="C8342" s="29" t="s">
        <v>558</v>
      </c>
      <c r="D8342" s="31">
        <v>19.100000000000001</v>
      </c>
      <c r="F8342" s="3" t="str">
        <f t="shared" si="130"/>
        <v>I0037</v>
      </c>
    </row>
    <row r="8343" spans="1:6" x14ac:dyDescent="0.2">
      <c r="A8343" s="29" t="s">
        <v>20240</v>
      </c>
      <c r="B8343" s="30" t="s">
        <v>20241</v>
      </c>
      <c r="C8343" s="29" t="s">
        <v>558</v>
      </c>
      <c r="D8343" s="31">
        <v>19.100000000000001</v>
      </c>
      <c r="F8343" s="3" t="str">
        <f t="shared" si="130"/>
        <v>I0039</v>
      </c>
    </row>
    <row r="8344" spans="1:6" x14ac:dyDescent="0.2">
      <c r="A8344" s="29" t="s">
        <v>20242</v>
      </c>
      <c r="B8344" s="30" t="s">
        <v>20243</v>
      </c>
      <c r="C8344" s="29" t="s">
        <v>558</v>
      </c>
      <c r="D8344" s="31">
        <v>19.100000000000001</v>
      </c>
      <c r="F8344" s="3" t="str">
        <f t="shared" si="130"/>
        <v>I0040</v>
      </c>
    </row>
    <row r="8345" spans="1:6" x14ac:dyDescent="0.2">
      <c r="A8345" s="29" t="s">
        <v>20244</v>
      </c>
      <c r="B8345" s="30" t="s">
        <v>20245</v>
      </c>
      <c r="C8345" s="29" t="s">
        <v>558</v>
      </c>
      <c r="D8345" s="31">
        <v>19.100000000000001</v>
      </c>
      <c r="F8345" s="3" t="str">
        <f t="shared" si="130"/>
        <v>I0041</v>
      </c>
    </row>
    <row r="8346" spans="1:6" x14ac:dyDescent="0.2">
      <c r="A8346" s="29" t="s">
        <v>20246</v>
      </c>
      <c r="B8346" s="30" t="s">
        <v>20247</v>
      </c>
      <c r="C8346" s="29" t="s">
        <v>558</v>
      </c>
      <c r="D8346" s="31">
        <v>19.100000000000001</v>
      </c>
      <c r="F8346" s="3" t="str">
        <f t="shared" si="130"/>
        <v>I0042</v>
      </c>
    </row>
    <row r="8347" spans="1:6" ht="22.5" x14ac:dyDescent="0.2">
      <c r="A8347" s="29" t="s">
        <v>20248</v>
      </c>
      <c r="B8347" s="30" t="s">
        <v>20249</v>
      </c>
      <c r="C8347" s="29" t="s">
        <v>558</v>
      </c>
      <c r="D8347" s="31">
        <v>21.11</v>
      </c>
      <c r="F8347" s="3" t="str">
        <f t="shared" si="130"/>
        <v>G0867</v>
      </c>
    </row>
    <row r="8348" spans="1:6" x14ac:dyDescent="0.2">
      <c r="A8348" s="29" t="s">
        <v>20250</v>
      </c>
      <c r="B8348" s="30" t="s">
        <v>20251</v>
      </c>
      <c r="C8348" s="29" t="s">
        <v>558</v>
      </c>
      <c r="D8348" s="31">
        <v>19.100000000000001</v>
      </c>
      <c r="F8348" s="3" t="str">
        <f t="shared" si="130"/>
        <v>I0043</v>
      </c>
    </row>
    <row r="8349" spans="1:6" x14ac:dyDescent="0.2">
      <c r="A8349" s="29" t="s">
        <v>20252</v>
      </c>
      <c r="B8349" s="30" t="s">
        <v>20253</v>
      </c>
      <c r="C8349" s="29" t="s">
        <v>558</v>
      </c>
      <c r="D8349" s="31">
        <v>19.100000000000001</v>
      </c>
      <c r="F8349" s="3" t="str">
        <f t="shared" si="130"/>
        <v>I0044</v>
      </c>
    </row>
    <row r="8350" spans="1:6" ht="22.5" x14ac:dyDescent="0.2">
      <c r="A8350" s="29" t="s">
        <v>20254</v>
      </c>
      <c r="B8350" s="30" t="s">
        <v>20255</v>
      </c>
      <c r="C8350" s="29" t="s">
        <v>558</v>
      </c>
      <c r="D8350" s="31">
        <v>21.11</v>
      </c>
      <c r="F8350" s="3" t="str">
        <f t="shared" si="130"/>
        <v>G0850</v>
      </c>
    </row>
    <row r="8351" spans="1:6" x14ac:dyDescent="0.2">
      <c r="A8351" s="29" t="s">
        <v>20256</v>
      </c>
      <c r="B8351" s="30" t="s">
        <v>20257</v>
      </c>
      <c r="C8351" s="29" t="s">
        <v>558</v>
      </c>
      <c r="D8351" s="31">
        <v>19.100000000000001</v>
      </c>
      <c r="F8351" s="3" t="str">
        <f t="shared" si="130"/>
        <v>I0045</v>
      </c>
    </row>
    <row r="8352" spans="1:6" ht="22.5" x14ac:dyDescent="0.2">
      <c r="A8352" s="29" t="s">
        <v>20258</v>
      </c>
      <c r="B8352" s="30" t="s">
        <v>20259</v>
      </c>
      <c r="C8352" s="29" t="s">
        <v>558</v>
      </c>
      <c r="D8352" s="31">
        <v>21.11</v>
      </c>
      <c r="F8352" s="3" t="str">
        <f t="shared" si="130"/>
        <v>G0857</v>
      </c>
    </row>
    <row r="8353" spans="1:6" x14ac:dyDescent="0.2">
      <c r="A8353" s="29" t="s">
        <v>20260</v>
      </c>
      <c r="B8353" s="30" t="s">
        <v>20261</v>
      </c>
      <c r="C8353" s="29" t="s">
        <v>558</v>
      </c>
      <c r="D8353" s="31">
        <v>19.100000000000001</v>
      </c>
      <c r="F8353" s="3" t="str">
        <f t="shared" si="130"/>
        <v>I0046</v>
      </c>
    </row>
    <row r="8354" spans="1:6" x14ac:dyDescent="0.2">
      <c r="A8354" s="29" t="s">
        <v>20262</v>
      </c>
      <c r="B8354" s="30" t="s">
        <v>20263</v>
      </c>
      <c r="C8354" s="29" t="s">
        <v>558</v>
      </c>
      <c r="D8354" s="31">
        <v>19.100000000000001</v>
      </c>
      <c r="F8354" s="3" t="str">
        <f t="shared" si="130"/>
        <v>I0047</v>
      </c>
    </row>
    <row r="8355" spans="1:6" x14ac:dyDescent="0.2">
      <c r="A8355" s="29" t="s">
        <v>20264</v>
      </c>
      <c r="B8355" s="30" t="s">
        <v>20265</v>
      </c>
      <c r="C8355" s="29" t="s">
        <v>558</v>
      </c>
      <c r="D8355" s="31">
        <v>18.46</v>
      </c>
      <c r="F8355" s="3" t="str">
        <f t="shared" si="130"/>
        <v>I0048</v>
      </c>
    </row>
    <row r="8356" spans="1:6" x14ac:dyDescent="0.2">
      <c r="A8356" s="29" t="s">
        <v>20266</v>
      </c>
      <c r="B8356" s="30" t="s">
        <v>20267</v>
      </c>
      <c r="C8356" s="29" t="s">
        <v>558</v>
      </c>
      <c r="D8356" s="31">
        <v>98.19</v>
      </c>
      <c r="F8356" s="3" t="str">
        <f t="shared" si="130"/>
        <v>G0855</v>
      </c>
    </row>
    <row r="8357" spans="1:6" ht="22.5" x14ac:dyDescent="0.2">
      <c r="A8357" s="29" t="s">
        <v>20268</v>
      </c>
      <c r="B8357" s="30" t="s">
        <v>20269</v>
      </c>
      <c r="C8357" s="29" t="s">
        <v>558</v>
      </c>
      <c r="D8357" s="31">
        <v>26.87</v>
      </c>
      <c r="F8357" s="3" t="str">
        <f t="shared" si="130"/>
        <v>G0862</v>
      </c>
    </row>
    <row r="8358" spans="1:6" x14ac:dyDescent="0.2">
      <c r="A8358" s="29" t="s">
        <v>20270</v>
      </c>
      <c r="B8358" s="30" t="s">
        <v>20271</v>
      </c>
      <c r="C8358" s="29" t="s">
        <v>558</v>
      </c>
      <c r="D8358" s="31">
        <v>24.16</v>
      </c>
      <c r="F8358" s="3" t="str">
        <f t="shared" si="130"/>
        <v>I0091</v>
      </c>
    </row>
    <row r="8359" spans="1:6" x14ac:dyDescent="0.2">
      <c r="A8359" s="29" t="s">
        <v>20272</v>
      </c>
      <c r="B8359" s="30" t="s">
        <v>20273</v>
      </c>
      <c r="C8359" s="29" t="s">
        <v>558</v>
      </c>
      <c r="D8359" s="31">
        <v>24.16</v>
      </c>
      <c r="F8359" s="3" t="str">
        <f t="shared" si="130"/>
        <v>I0092</v>
      </c>
    </row>
    <row r="8360" spans="1:6" x14ac:dyDescent="0.2">
      <c r="A8360" s="29" t="s">
        <v>20274</v>
      </c>
      <c r="B8360" s="30" t="s">
        <v>20275</v>
      </c>
      <c r="C8360" s="29" t="s">
        <v>558</v>
      </c>
      <c r="D8360" s="31">
        <v>24.16</v>
      </c>
      <c r="F8360" s="3" t="str">
        <f t="shared" si="130"/>
        <v>I0121</v>
      </c>
    </row>
    <row r="8361" spans="1:6" x14ac:dyDescent="0.2">
      <c r="A8361" s="29" t="s">
        <v>20276</v>
      </c>
      <c r="B8361" s="30" t="s">
        <v>20277</v>
      </c>
      <c r="C8361" s="29" t="s">
        <v>558</v>
      </c>
      <c r="D8361" s="31">
        <v>22.59</v>
      </c>
      <c r="F8361" s="3" t="str">
        <f t="shared" si="130"/>
        <v>I0150</v>
      </c>
    </row>
    <row r="8362" spans="1:6" x14ac:dyDescent="0.2">
      <c r="A8362" s="29" t="s">
        <v>20278</v>
      </c>
      <c r="B8362" s="30" t="s">
        <v>20279</v>
      </c>
      <c r="C8362" s="29" t="s">
        <v>558</v>
      </c>
      <c r="D8362" s="31">
        <v>33.56</v>
      </c>
      <c r="F8362" s="3" t="str">
        <f t="shared" si="130"/>
        <v>I0151</v>
      </c>
    </row>
    <row r="8363" spans="1:6" x14ac:dyDescent="0.2">
      <c r="A8363" s="29" t="s">
        <v>20280</v>
      </c>
      <c r="B8363" s="30" t="s">
        <v>14994</v>
      </c>
      <c r="C8363" s="29" t="s">
        <v>558</v>
      </c>
      <c r="D8363" s="31">
        <v>18.59</v>
      </c>
      <c r="F8363" s="3" t="str">
        <f t="shared" si="130"/>
        <v>I0149</v>
      </c>
    </row>
    <row r="8364" spans="1:6" x14ac:dyDescent="0.2">
      <c r="A8364" s="29" t="s">
        <v>20281</v>
      </c>
      <c r="B8364" s="30" t="s">
        <v>14998</v>
      </c>
      <c r="C8364" s="29" t="s">
        <v>558</v>
      </c>
      <c r="D8364" s="31">
        <v>18.59</v>
      </c>
      <c r="F8364" s="3" t="str">
        <f t="shared" si="130"/>
        <v>I9136</v>
      </c>
    </row>
    <row r="8365" spans="1:6" x14ac:dyDescent="0.2">
      <c r="A8365" s="29" t="s">
        <v>20282</v>
      </c>
      <c r="B8365" s="30" t="s">
        <v>20283</v>
      </c>
      <c r="C8365" s="29" t="s">
        <v>558</v>
      </c>
      <c r="D8365" s="31">
        <v>24.16</v>
      </c>
      <c r="F8365" s="3" t="str">
        <f t="shared" si="130"/>
        <v>I0152</v>
      </c>
    </row>
    <row r="8366" spans="1:6" x14ac:dyDescent="0.2">
      <c r="A8366" s="29" t="s">
        <v>20284</v>
      </c>
      <c r="B8366" s="30" t="s">
        <v>20285</v>
      </c>
      <c r="C8366" s="29" t="s">
        <v>558</v>
      </c>
      <c r="D8366" s="31">
        <v>23.93</v>
      </c>
      <c r="F8366" s="3" t="str">
        <f t="shared" si="130"/>
        <v>I0221</v>
      </c>
    </row>
    <row r="8367" spans="1:6" x14ac:dyDescent="0.2">
      <c r="A8367" s="29" t="s">
        <v>20286</v>
      </c>
      <c r="B8367" s="30" t="s">
        <v>20287</v>
      </c>
      <c r="C8367" s="29" t="s">
        <v>558</v>
      </c>
      <c r="D8367" s="31">
        <v>18.59</v>
      </c>
      <c r="F8367" s="3" t="str">
        <f t="shared" si="130"/>
        <v>I6033</v>
      </c>
    </row>
    <row r="8368" spans="1:6" x14ac:dyDescent="0.2">
      <c r="A8368" s="29" t="s">
        <v>20288</v>
      </c>
      <c r="B8368" s="30" t="s">
        <v>20289</v>
      </c>
      <c r="C8368" s="29" t="s">
        <v>558</v>
      </c>
      <c r="D8368" s="31">
        <v>24.16</v>
      </c>
      <c r="F8368" s="3" t="str">
        <f t="shared" si="130"/>
        <v>I0443</v>
      </c>
    </row>
    <row r="8369" spans="1:6" x14ac:dyDescent="0.2">
      <c r="A8369" s="29" t="s">
        <v>20290</v>
      </c>
      <c r="B8369" s="30" t="s">
        <v>20291</v>
      </c>
      <c r="C8369" s="29" t="s">
        <v>558</v>
      </c>
      <c r="D8369" s="31">
        <v>24.16</v>
      </c>
      <c r="F8369" s="3" t="str">
        <f t="shared" si="130"/>
        <v>I0445</v>
      </c>
    </row>
    <row r="8370" spans="1:6" x14ac:dyDescent="0.2">
      <c r="A8370" s="29" t="s">
        <v>20292</v>
      </c>
      <c r="B8370" s="30" t="s">
        <v>20293</v>
      </c>
      <c r="C8370" s="29" t="s">
        <v>558</v>
      </c>
      <c r="D8370" s="31">
        <v>33.99</v>
      </c>
      <c r="F8370" s="3" t="str">
        <f t="shared" si="130"/>
        <v>I0490</v>
      </c>
    </row>
    <row r="8371" spans="1:6" x14ac:dyDescent="0.2">
      <c r="A8371" s="29" t="s">
        <v>20294</v>
      </c>
      <c r="B8371" s="30" t="s">
        <v>20295</v>
      </c>
      <c r="C8371" s="29" t="s">
        <v>558</v>
      </c>
      <c r="D8371" s="31">
        <v>24.16</v>
      </c>
      <c r="F8371" s="3" t="str">
        <f t="shared" si="130"/>
        <v>I0498</v>
      </c>
    </row>
    <row r="8372" spans="1:6" x14ac:dyDescent="0.2">
      <c r="A8372" s="29" t="s">
        <v>20296</v>
      </c>
      <c r="B8372" s="30" t="s">
        <v>20297</v>
      </c>
      <c r="C8372" s="29" t="s">
        <v>558</v>
      </c>
      <c r="D8372" s="31">
        <v>18.46</v>
      </c>
      <c r="F8372" s="3" t="str">
        <f t="shared" si="130"/>
        <v>I0500</v>
      </c>
    </row>
    <row r="8373" spans="1:6" x14ac:dyDescent="0.2">
      <c r="A8373" s="29" t="s">
        <v>20298</v>
      </c>
      <c r="B8373" s="30" t="s">
        <v>20299</v>
      </c>
      <c r="C8373" s="29" t="s">
        <v>558</v>
      </c>
      <c r="D8373" s="31">
        <v>179.62</v>
      </c>
      <c r="F8373" s="3" t="str">
        <f t="shared" si="130"/>
        <v>I0855</v>
      </c>
    </row>
    <row r="8374" spans="1:6" x14ac:dyDescent="0.2">
      <c r="A8374" s="29" t="s">
        <v>20300</v>
      </c>
      <c r="B8374" s="30" t="s">
        <v>20301</v>
      </c>
      <c r="C8374" s="29" t="s">
        <v>558</v>
      </c>
      <c r="D8374" s="31">
        <v>29.24</v>
      </c>
      <c r="F8374" s="3" t="str">
        <f t="shared" si="130"/>
        <v>I2299</v>
      </c>
    </row>
    <row r="8375" spans="1:6" x14ac:dyDescent="0.2">
      <c r="A8375" s="29" t="s">
        <v>20302</v>
      </c>
      <c r="B8375" s="30" t="s">
        <v>20303</v>
      </c>
      <c r="C8375" s="29" t="s">
        <v>558</v>
      </c>
      <c r="D8375" s="31">
        <v>22.82</v>
      </c>
      <c r="F8375" s="3" t="str">
        <f t="shared" si="130"/>
        <v>I2300</v>
      </c>
    </row>
    <row r="8376" spans="1:6" x14ac:dyDescent="0.2">
      <c r="A8376" s="29" t="s">
        <v>20304</v>
      </c>
      <c r="B8376" s="30" t="s">
        <v>20305</v>
      </c>
      <c r="C8376" s="29" t="s">
        <v>558</v>
      </c>
      <c r="D8376" s="31">
        <v>18.59</v>
      </c>
      <c r="F8376" s="3" t="str">
        <f t="shared" si="130"/>
        <v>I6034</v>
      </c>
    </row>
    <row r="8377" spans="1:6" x14ac:dyDescent="0.2">
      <c r="A8377" s="29" t="s">
        <v>20306</v>
      </c>
      <c r="B8377" s="30" t="s">
        <v>20307</v>
      </c>
      <c r="C8377" s="29" t="s">
        <v>558</v>
      </c>
      <c r="D8377" s="31">
        <v>24.15</v>
      </c>
      <c r="F8377" s="3" t="str">
        <f t="shared" si="130"/>
        <v>I2312</v>
      </c>
    </row>
    <row r="8378" spans="1:6" ht="22.5" x14ac:dyDescent="0.2">
      <c r="A8378" s="29" t="s">
        <v>20308</v>
      </c>
      <c r="B8378" s="30" t="s">
        <v>20309</v>
      </c>
      <c r="C8378" s="29" t="s">
        <v>558</v>
      </c>
      <c r="D8378" s="31">
        <v>26.86</v>
      </c>
      <c r="F8378" s="3" t="str">
        <f t="shared" si="130"/>
        <v>G0868</v>
      </c>
    </row>
    <row r="8379" spans="1:6" x14ac:dyDescent="0.2">
      <c r="A8379" s="29" t="s">
        <v>20310</v>
      </c>
      <c r="B8379" s="30" t="s">
        <v>20311</v>
      </c>
      <c r="C8379" s="29" t="s">
        <v>558</v>
      </c>
      <c r="D8379" s="31">
        <v>29.06</v>
      </c>
      <c r="F8379" s="3" t="str">
        <f t="shared" si="130"/>
        <v>I1088</v>
      </c>
    </row>
    <row r="8380" spans="1:6" ht="22.5" x14ac:dyDescent="0.2">
      <c r="A8380" s="29" t="s">
        <v>20312</v>
      </c>
      <c r="B8380" s="30" t="s">
        <v>20313</v>
      </c>
      <c r="C8380" s="29" t="s">
        <v>558</v>
      </c>
      <c r="D8380" s="31">
        <v>32.56</v>
      </c>
      <c r="F8380" s="3" t="str">
        <f t="shared" si="130"/>
        <v>G0869</v>
      </c>
    </row>
    <row r="8381" spans="1:6" x14ac:dyDescent="0.2">
      <c r="A8381" s="29" t="s">
        <v>20314</v>
      </c>
      <c r="B8381" s="30" t="s">
        <v>20315</v>
      </c>
      <c r="C8381" s="29" t="s">
        <v>558</v>
      </c>
      <c r="D8381" s="31">
        <v>23.48</v>
      </c>
      <c r="F8381" s="3" t="str">
        <f t="shared" si="130"/>
        <v>I2320</v>
      </c>
    </row>
    <row r="8382" spans="1:6" ht="22.5" x14ac:dyDescent="0.2">
      <c r="A8382" s="29" t="s">
        <v>20316</v>
      </c>
      <c r="B8382" s="30" t="s">
        <v>20317</v>
      </c>
      <c r="C8382" s="29" t="s">
        <v>558</v>
      </c>
      <c r="D8382" s="31">
        <v>32.770000000000003</v>
      </c>
      <c r="F8382" s="3" t="str">
        <f t="shared" si="130"/>
        <v>G0863</v>
      </c>
    </row>
    <row r="8383" spans="1:6" x14ac:dyDescent="0.2">
      <c r="A8383" s="29" t="s">
        <v>20318</v>
      </c>
      <c r="B8383" s="30" t="s">
        <v>20319</v>
      </c>
      <c r="C8383" s="29" t="s">
        <v>558</v>
      </c>
      <c r="D8383" s="31">
        <v>29.13</v>
      </c>
      <c r="F8383" s="3" t="str">
        <f t="shared" si="130"/>
        <v>I2510</v>
      </c>
    </row>
    <row r="8384" spans="1:6" x14ac:dyDescent="0.2">
      <c r="A8384" s="29" t="s">
        <v>20320</v>
      </c>
      <c r="B8384" s="30" t="s">
        <v>15007</v>
      </c>
      <c r="C8384" s="29" t="s">
        <v>558</v>
      </c>
      <c r="D8384" s="31">
        <v>29.13</v>
      </c>
      <c r="F8384" s="3" t="str">
        <f t="shared" si="130"/>
        <v>I6815</v>
      </c>
    </row>
    <row r="8385" spans="1:6" x14ac:dyDescent="0.2">
      <c r="A8385" s="29" t="s">
        <v>20321</v>
      </c>
      <c r="B8385" s="30" t="s">
        <v>20322</v>
      </c>
      <c r="C8385" s="29" t="s">
        <v>558</v>
      </c>
      <c r="D8385" s="31">
        <v>98.19</v>
      </c>
      <c r="F8385" s="3" t="str">
        <f t="shared" si="130"/>
        <v>I2322</v>
      </c>
    </row>
    <row r="8386" spans="1:6" x14ac:dyDescent="0.2">
      <c r="A8386" s="29" t="s">
        <v>20323</v>
      </c>
      <c r="B8386" s="30" t="s">
        <v>20324</v>
      </c>
      <c r="C8386" s="29" t="s">
        <v>558</v>
      </c>
      <c r="D8386" s="31">
        <v>24.16</v>
      </c>
      <c r="F8386" s="3" t="str">
        <f t="shared" ref="F8386:F8449" si="131">A8386</f>
        <v>I2325</v>
      </c>
    </row>
    <row r="8387" spans="1:6" x14ac:dyDescent="0.2">
      <c r="A8387" s="29" t="s">
        <v>20325</v>
      </c>
      <c r="B8387" s="30" t="s">
        <v>20326</v>
      </c>
      <c r="C8387" s="29" t="s">
        <v>558</v>
      </c>
      <c r="D8387" s="31">
        <v>24.16</v>
      </c>
      <c r="F8387" s="3" t="str">
        <f t="shared" si="131"/>
        <v>I1142</v>
      </c>
    </row>
    <row r="8388" spans="1:6" x14ac:dyDescent="0.2">
      <c r="A8388" s="29" t="s">
        <v>20327</v>
      </c>
      <c r="B8388" s="30" t="s">
        <v>20328</v>
      </c>
      <c r="C8388" s="29" t="s">
        <v>558</v>
      </c>
      <c r="D8388" s="31">
        <v>24.16</v>
      </c>
      <c r="F8388" s="3" t="str">
        <f t="shared" si="131"/>
        <v>I1220</v>
      </c>
    </row>
    <row r="8389" spans="1:6" x14ac:dyDescent="0.2">
      <c r="A8389" s="29" t="s">
        <v>20329</v>
      </c>
      <c r="B8389" s="30" t="s">
        <v>20330</v>
      </c>
      <c r="C8389" s="29" t="s">
        <v>558</v>
      </c>
      <c r="D8389" s="31">
        <v>24.16</v>
      </c>
      <c r="F8389" s="3" t="str">
        <f t="shared" si="131"/>
        <v>I1227</v>
      </c>
    </row>
    <row r="8390" spans="1:6" x14ac:dyDescent="0.2">
      <c r="A8390" s="29" t="s">
        <v>20331</v>
      </c>
      <c r="B8390" s="30" t="s">
        <v>20332</v>
      </c>
      <c r="C8390" s="29" t="s">
        <v>558</v>
      </c>
      <c r="D8390" s="31">
        <v>37.619999999999997</v>
      </c>
      <c r="F8390" s="3" t="str">
        <f t="shared" si="131"/>
        <v>G0467</v>
      </c>
    </row>
    <row r="8391" spans="1:6" ht="22.5" x14ac:dyDescent="0.2">
      <c r="A8391" s="29" t="s">
        <v>20333</v>
      </c>
      <c r="B8391" s="30" t="s">
        <v>20334</v>
      </c>
      <c r="C8391" s="29" t="s">
        <v>558</v>
      </c>
      <c r="D8391" s="31">
        <v>42.38</v>
      </c>
      <c r="F8391" s="3" t="str">
        <f t="shared" si="131"/>
        <v>G0859</v>
      </c>
    </row>
    <row r="8392" spans="1:6" x14ac:dyDescent="0.2">
      <c r="A8392" s="29" t="s">
        <v>20335</v>
      </c>
      <c r="B8392" s="30" t="s">
        <v>20336</v>
      </c>
      <c r="C8392" s="29" t="s">
        <v>558</v>
      </c>
      <c r="D8392" s="31">
        <v>37.619999999999997</v>
      </c>
      <c r="F8392" s="3" t="str">
        <f t="shared" si="131"/>
        <v>G0405</v>
      </c>
    </row>
    <row r="8393" spans="1:6" ht="22.5" x14ac:dyDescent="0.2">
      <c r="A8393" s="29" t="s">
        <v>20337</v>
      </c>
      <c r="B8393" s="30" t="s">
        <v>20338</v>
      </c>
      <c r="C8393" s="29" t="s">
        <v>558</v>
      </c>
      <c r="D8393" s="31">
        <v>42.38</v>
      </c>
      <c r="F8393" s="3" t="str">
        <f t="shared" si="131"/>
        <v>G0861</v>
      </c>
    </row>
    <row r="8394" spans="1:6" x14ac:dyDescent="0.2">
      <c r="A8394" s="29" t="s">
        <v>20339</v>
      </c>
      <c r="B8394" s="30" t="s">
        <v>20340</v>
      </c>
      <c r="C8394" s="29" t="s">
        <v>558</v>
      </c>
      <c r="D8394" s="31">
        <v>100.33</v>
      </c>
      <c r="F8394" s="3" t="str">
        <f t="shared" si="131"/>
        <v>G0407</v>
      </c>
    </row>
    <row r="8395" spans="1:6" ht="22.5" x14ac:dyDescent="0.2">
      <c r="A8395" s="29" t="s">
        <v>20341</v>
      </c>
      <c r="B8395" s="30" t="s">
        <v>20342</v>
      </c>
      <c r="C8395" s="29" t="s">
        <v>558</v>
      </c>
      <c r="D8395" s="31">
        <v>113.48</v>
      </c>
      <c r="F8395" s="3" t="str">
        <f t="shared" si="131"/>
        <v>G0860</v>
      </c>
    </row>
    <row r="8396" spans="1:6" x14ac:dyDescent="0.2">
      <c r="A8396" s="29" t="s">
        <v>20343</v>
      </c>
      <c r="B8396" s="30" t="s">
        <v>20344</v>
      </c>
      <c r="C8396" s="29" t="s">
        <v>558</v>
      </c>
      <c r="D8396" s="31">
        <v>20.86</v>
      </c>
      <c r="F8396" s="3" t="str">
        <f t="shared" si="131"/>
        <v>I1277</v>
      </c>
    </row>
    <row r="8397" spans="1:6" x14ac:dyDescent="0.2">
      <c r="A8397" s="29" t="s">
        <v>20345</v>
      </c>
      <c r="B8397" s="30" t="s">
        <v>20346</v>
      </c>
      <c r="C8397" s="29" t="s">
        <v>558</v>
      </c>
      <c r="D8397" s="31">
        <v>24.16</v>
      </c>
      <c r="F8397" s="3" t="str">
        <f t="shared" si="131"/>
        <v>I1278</v>
      </c>
    </row>
    <row r="8398" spans="1:6" ht="22.5" x14ac:dyDescent="0.2">
      <c r="A8398" s="29" t="s">
        <v>20347</v>
      </c>
      <c r="B8398" s="30" t="s">
        <v>20348</v>
      </c>
      <c r="C8398" s="29" t="s">
        <v>558</v>
      </c>
      <c r="D8398" s="31">
        <v>26.87</v>
      </c>
      <c r="F8398" s="3" t="str">
        <f t="shared" si="131"/>
        <v>G0870</v>
      </c>
    </row>
    <row r="8399" spans="1:6" x14ac:dyDescent="0.2">
      <c r="A8399" s="29" t="s">
        <v>20349</v>
      </c>
      <c r="B8399" s="30" t="s">
        <v>20350</v>
      </c>
      <c r="C8399" s="29" t="s">
        <v>558</v>
      </c>
      <c r="D8399" s="31">
        <v>24.16</v>
      </c>
      <c r="F8399" s="3" t="str">
        <f t="shared" si="131"/>
        <v>I1328</v>
      </c>
    </row>
    <row r="8400" spans="1:6" x14ac:dyDescent="0.2">
      <c r="A8400" s="29" t="s">
        <v>20351</v>
      </c>
      <c r="B8400" s="30" t="s">
        <v>20352</v>
      </c>
      <c r="C8400" s="29" t="s">
        <v>558</v>
      </c>
      <c r="D8400" s="31">
        <v>18.59</v>
      </c>
      <c r="F8400" s="3" t="str">
        <f t="shared" si="131"/>
        <v>I1508</v>
      </c>
    </row>
    <row r="8401" spans="1:6" ht="22.5" x14ac:dyDescent="0.2">
      <c r="A8401" s="29" t="s">
        <v>20353</v>
      </c>
      <c r="B8401" s="30" t="s">
        <v>20354</v>
      </c>
      <c r="C8401" s="29" t="s">
        <v>558</v>
      </c>
      <c r="D8401" s="31">
        <v>31.75</v>
      </c>
      <c r="F8401" s="3" t="str">
        <f t="shared" si="131"/>
        <v>G0852</v>
      </c>
    </row>
    <row r="8402" spans="1:6" x14ac:dyDescent="0.2">
      <c r="A8402" s="29" t="s">
        <v>20355</v>
      </c>
      <c r="B8402" s="30" t="s">
        <v>20356</v>
      </c>
      <c r="C8402" s="29" t="s">
        <v>558</v>
      </c>
      <c r="D8402" s="31">
        <v>23.42</v>
      </c>
      <c r="F8402" s="3" t="str">
        <f t="shared" si="131"/>
        <v>I2378</v>
      </c>
    </row>
    <row r="8403" spans="1:6" x14ac:dyDescent="0.2">
      <c r="A8403" s="29" t="s">
        <v>20357</v>
      </c>
      <c r="B8403" s="30" t="s">
        <v>20358</v>
      </c>
      <c r="C8403" s="29" t="s">
        <v>558</v>
      </c>
      <c r="D8403" s="31">
        <v>28.47</v>
      </c>
      <c r="F8403" s="3" t="str">
        <f t="shared" si="131"/>
        <v>G0851</v>
      </c>
    </row>
    <row r="8404" spans="1:6" x14ac:dyDescent="0.2">
      <c r="A8404" s="29" t="s">
        <v>20359</v>
      </c>
      <c r="B8404" s="30" t="s">
        <v>20360</v>
      </c>
      <c r="C8404" s="29" t="s">
        <v>558</v>
      </c>
      <c r="D8404" s="31">
        <v>24.86</v>
      </c>
      <c r="F8404" s="3" t="str">
        <f t="shared" si="131"/>
        <v>I7961</v>
      </c>
    </row>
    <row r="8405" spans="1:6" x14ac:dyDescent="0.2">
      <c r="A8405" s="29" t="s">
        <v>20361</v>
      </c>
      <c r="B8405" s="30" t="s">
        <v>20362</v>
      </c>
      <c r="C8405" s="29" t="s">
        <v>558</v>
      </c>
      <c r="D8405" s="31">
        <v>29.13</v>
      </c>
      <c r="F8405" s="3" t="str">
        <f t="shared" si="131"/>
        <v>I7989</v>
      </c>
    </row>
    <row r="8406" spans="1:6" x14ac:dyDescent="0.2">
      <c r="A8406" s="29" t="s">
        <v>20363</v>
      </c>
      <c r="B8406" s="30" t="s">
        <v>20364</v>
      </c>
      <c r="C8406" s="29" t="s">
        <v>558</v>
      </c>
      <c r="D8406" s="31">
        <v>24.16</v>
      </c>
      <c r="F8406" s="3" t="str">
        <f t="shared" si="131"/>
        <v>I1530</v>
      </c>
    </row>
    <row r="8407" spans="1:6" ht="22.5" x14ac:dyDescent="0.2">
      <c r="A8407" s="29" t="s">
        <v>20365</v>
      </c>
      <c r="B8407" s="30" t="s">
        <v>20366</v>
      </c>
      <c r="C8407" s="29" t="s">
        <v>558</v>
      </c>
      <c r="D8407" s="31">
        <v>26.87</v>
      </c>
      <c r="F8407" s="3" t="str">
        <f t="shared" si="131"/>
        <v>G0856</v>
      </c>
    </row>
    <row r="8408" spans="1:6" x14ac:dyDescent="0.2">
      <c r="A8408" s="29" t="s">
        <v>20367</v>
      </c>
      <c r="B8408" s="30" t="s">
        <v>20368</v>
      </c>
      <c r="C8408" s="29" t="s">
        <v>558</v>
      </c>
      <c r="D8408" s="31">
        <v>21.34</v>
      </c>
      <c r="F8408" s="3" t="str">
        <f t="shared" si="131"/>
        <v>I8978</v>
      </c>
    </row>
    <row r="8409" spans="1:6" x14ac:dyDescent="0.2">
      <c r="A8409" s="29" t="s">
        <v>20369</v>
      </c>
      <c r="B8409" s="30" t="s">
        <v>15038</v>
      </c>
      <c r="C8409" s="29" t="s">
        <v>558</v>
      </c>
      <c r="D8409" s="31">
        <v>18.829999999999998</v>
      </c>
      <c r="F8409" s="3" t="str">
        <f t="shared" si="131"/>
        <v>I2380</v>
      </c>
    </row>
    <row r="8410" spans="1:6" x14ac:dyDescent="0.2">
      <c r="A8410" s="29" t="s">
        <v>20370</v>
      </c>
      <c r="B8410" s="30" t="s">
        <v>20371</v>
      </c>
      <c r="C8410" s="29" t="s">
        <v>558</v>
      </c>
      <c r="D8410" s="31">
        <v>24.51</v>
      </c>
      <c r="F8410" s="3" t="str">
        <f t="shared" si="131"/>
        <v>I2545</v>
      </c>
    </row>
    <row r="8411" spans="1:6" x14ac:dyDescent="0.2">
      <c r="A8411" s="29" t="s">
        <v>20372</v>
      </c>
      <c r="B8411" s="30" t="s">
        <v>20373</v>
      </c>
      <c r="C8411" s="29" t="s">
        <v>558</v>
      </c>
      <c r="D8411" s="31">
        <v>32.56</v>
      </c>
      <c r="F8411" s="3" t="str">
        <f t="shared" si="131"/>
        <v>G0408</v>
      </c>
    </row>
    <row r="8412" spans="1:6" x14ac:dyDescent="0.2">
      <c r="A8412" s="29" t="s">
        <v>20374</v>
      </c>
      <c r="B8412" s="30" t="s">
        <v>15042</v>
      </c>
      <c r="C8412" s="29" t="s">
        <v>558</v>
      </c>
      <c r="D8412" s="31">
        <v>26.44</v>
      </c>
      <c r="F8412" s="3" t="str">
        <f t="shared" si="131"/>
        <v>I2382</v>
      </c>
    </row>
    <row r="8413" spans="1:6" x14ac:dyDescent="0.2">
      <c r="A8413" s="29" t="s">
        <v>20375</v>
      </c>
      <c r="B8413" s="30" t="s">
        <v>20376</v>
      </c>
      <c r="C8413" s="29" t="s">
        <v>558</v>
      </c>
      <c r="D8413" s="31">
        <v>21.29</v>
      </c>
      <c r="F8413" s="3" t="str">
        <f t="shared" si="131"/>
        <v>I2546</v>
      </c>
    </row>
    <row r="8414" spans="1:6" x14ac:dyDescent="0.2">
      <c r="A8414" s="29" t="s">
        <v>20377</v>
      </c>
      <c r="B8414" s="30" t="s">
        <v>20378</v>
      </c>
      <c r="C8414" s="29" t="s">
        <v>558</v>
      </c>
      <c r="D8414" s="31">
        <v>28.81</v>
      </c>
      <c r="F8414" s="3" t="str">
        <f t="shared" si="131"/>
        <v>I2547</v>
      </c>
    </row>
    <row r="8415" spans="1:6" x14ac:dyDescent="0.2">
      <c r="A8415" s="29" t="s">
        <v>20379</v>
      </c>
      <c r="B8415" s="30" t="s">
        <v>20380</v>
      </c>
      <c r="C8415" s="29" t="s">
        <v>558</v>
      </c>
      <c r="D8415" s="31">
        <v>21.29</v>
      </c>
      <c r="F8415" s="3" t="str">
        <f t="shared" si="131"/>
        <v>I2548</v>
      </c>
    </row>
    <row r="8416" spans="1:6" x14ac:dyDescent="0.2">
      <c r="A8416" s="29" t="s">
        <v>20381</v>
      </c>
      <c r="B8416" s="30" t="s">
        <v>20382</v>
      </c>
      <c r="C8416" s="29" t="s">
        <v>558</v>
      </c>
      <c r="D8416" s="31">
        <v>21.29</v>
      </c>
      <c r="F8416" s="3" t="str">
        <f t="shared" si="131"/>
        <v>I1551</v>
      </c>
    </row>
    <row r="8417" spans="1:6" x14ac:dyDescent="0.2">
      <c r="A8417" s="29" t="s">
        <v>20383</v>
      </c>
      <c r="B8417" s="30" t="s">
        <v>20384</v>
      </c>
      <c r="C8417" s="29" t="s">
        <v>558</v>
      </c>
      <c r="D8417" s="31">
        <v>21.29</v>
      </c>
      <c r="F8417" s="3" t="str">
        <f t="shared" si="131"/>
        <v>I1550</v>
      </c>
    </row>
    <row r="8418" spans="1:6" x14ac:dyDescent="0.2">
      <c r="A8418" s="29" t="s">
        <v>20385</v>
      </c>
      <c r="B8418" s="30" t="s">
        <v>20386</v>
      </c>
      <c r="C8418" s="29" t="s">
        <v>558</v>
      </c>
      <c r="D8418" s="31">
        <v>28.81</v>
      </c>
      <c r="F8418" s="3" t="str">
        <f t="shared" si="131"/>
        <v>I2549</v>
      </c>
    </row>
    <row r="8419" spans="1:6" x14ac:dyDescent="0.2">
      <c r="A8419" s="29" t="s">
        <v>20387</v>
      </c>
      <c r="B8419" s="30" t="s">
        <v>20388</v>
      </c>
      <c r="C8419" s="29" t="s">
        <v>558</v>
      </c>
      <c r="D8419" s="31">
        <v>28.81</v>
      </c>
      <c r="F8419" s="3" t="str">
        <f t="shared" si="131"/>
        <v>I2550</v>
      </c>
    </row>
    <row r="8420" spans="1:6" x14ac:dyDescent="0.2">
      <c r="A8420" s="29" t="s">
        <v>20389</v>
      </c>
      <c r="B8420" s="30" t="s">
        <v>20390</v>
      </c>
      <c r="C8420" s="29" t="s">
        <v>558</v>
      </c>
      <c r="D8420" s="31">
        <v>28.81</v>
      </c>
      <c r="F8420" s="3" t="str">
        <f t="shared" si="131"/>
        <v>I2551</v>
      </c>
    </row>
    <row r="8421" spans="1:6" x14ac:dyDescent="0.2">
      <c r="A8421" s="29" t="s">
        <v>20391</v>
      </c>
      <c r="B8421" s="30" t="s">
        <v>20392</v>
      </c>
      <c r="C8421" s="29" t="s">
        <v>558</v>
      </c>
      <c r="D8421" s="31">
        <v>21.29</v>
      </c>
      <c r="F8421" s="3" t="str">
        <f t="shared" si="131"/>
        <v>I2552</v>
      </c>
    </row>
    <row r="8422" spans="1:6" x14ac:dyDescent="0.2">
      <c r="A8422" s="29" t="s">
        <v>20393</v>
      </c>
      <c r="B8422" s="30" t="s">
        <v>20394</v>
      </c>
      <c r="C8422" s="29" t="s">
        <v>558</v>
      </c>
      <c r="D8422" s="31">
        <v>21.29</v>
      </c>
      <c r="F8422" s="3" t="str">
        <f t="shared" si="131"/>
        <v>I2553</v>
      </c>
    </row>
    <row r="8423" spans="1:6" x14ac:dyDescent="0.2">
      <c r="A8423" s="29" t="s">
        <v>20395</v>
      </c>
      <c r="B8423" s="30" t="s">
        <v>20396</v>
      </c>
      <c r="C8423" s="29" t="s">
        <v>558</v>
      </c>
      <c r="D8423" s="31">
        <v>23.42</v>
      </c>
      <c r="F8423" s="3" t="str">
        <f t="shared" si="131"/>
        <v>I2384</v>
      </c>
    </row>
    <row r="8424" spans="1:6" x14ac:dyDescent="0.2">
      <c r="A8424" s="29" t="s">
        <v>20397</v>
      </c>
      <c r="B8424" s="30" t="s">
        <v>20398</v>
      </c>
      <c r="C8424" s="29" t="s">
        <v>558</v>
      </c>
      <c r="D8424" s="31">
        <v>28.81</v>
      </c>
      <c r="F8424" s="3" t="str">
        <f t="shared" si="131"/>
        <v>I2554</v>
      </c>
    </row>
    <row r="8425" spans="1:6" x14ac:dyDescent="0.2">
      <c r="A8425" s="29" t="s">
        <v>20399</v>
      </c>
      <c r="B8425" s="30" t="s">
        <v>20400</v>
      </c>
      <c r="C8425" s="29" t="s">
        <v>558</v>
      </c>
      <c r="D8425" s="31">
        <v>21.29</v>
      </c>
      <c r="F8425" s="3" t="str">
        <f t="shared" si="131"/>
        <v>I1009</v>
      </c>
    </row>
    <row r="8426" spans="1:6" x14ac:dyDescent="0.2">
      <c r="A8426" s="29" t="s">
        <v>20401</v>
      </c>
      <c r="B8426" s="30" t="s">
        <v>20402</v>
      </c>
      <c r="C8426" s="29" t="s">
        <v>558</v>
      </c>
      <c r="D8426" s="31">
        <v>31.52</v>
      </c>
      <c r="F8426" s="3" t="str">
        <f t="shared" si="131"/>
        <v>I9137</v>
      </c>
    </row>
    <row r="8427" spans="1:6" x14ac:dyDescent="0.2">
      <c r="A8427" s="29" t="s">
        <v>20403</v>
      </c>
      <c r="B8427" s="30" t="s">
        <v>20404</v>
      </c>
      <c r="C8427" s="29" t="s">
        <v>558</v>
      </c>
      <c r="D8427" s="31">
        <v>21.29</v>
      </c>
      <c r="F8427" s="3" t="str">
        <f t="shared" si="131"/>
        <v>I2555</v>
      </c>
    </row>
    <row r="8428" spans="1:6" x14ac:dyDescent="0.2">
      <c r="A8428" s="29" t="s">
        <v>20405</v>
      </c>
      <c r="B8428" s="30" t="s">
        <v>20406</v>
      </c>
      <c r="C8428" s="29" t="s">
        <v>558</v>
      </c>
      <c r="D8428" s="31">
        <v>21.29</v>
      </c>
      <c r="F8428" s="3" t="str">
        <f t="shared" si="131"/>
        <v>I1552</v>
      </c>
    </row>
    <row r="8429" spans="1:6" x14ac:dyDescent="0.2">
      <c r="A8429" s="29" t="s">
        <v>20407</v>
      </c>
      <c r="B8429" s="30" t="s">
        <v>20408</v>
      </c>
      <c r="C8429" s="29" t="s">
        <v>558</v>
      </c>
      <c r="D8429" s="31">
        <v>21.29</v>
      </c>
      <c r="F8429" s="3" t="str">
        <f t="shared" si="131"/>
        <v>I2556</v>
      </c>
    </row>
    <row r="8430" spans="1:6" x14ac:dyDescent="0.2">
      <c r="A8430" s="29" t="s">
        <v>20409</v>
      </c>
      <c r="B8430" s="30" t="s">
        <v>20410</v>
      </c>
      <c r="C8430" s="29" t="s">
        <v>558</v>
      </c>
      <c r="D8430" s="31">
        <v>21.29</v>
      </c>
      <c r="F8430" s="3" t="str">
        <f t="shared" si="131"/>
        <v>I2557</v>
      </c>
    </row>
    <row r="8431" spans="1:6" x14ac:dyDescent="0.2">
      <c r="A8431" s="29" t="s">
        <v>20411</v>
      </c>
      <c r="B8431" s="30" t="s">
        <v>20412</v>
      </c>
      <c r="C8431" s="29" t="s">
        <v>558</v>
      </c>
      <c r="D8431" s="31">
        <v>32.799999999999997</v>
      </c>
      <c r="F8431" s="3" t="str">
        <f t="shared" si="131"/>
        <v>I2559</v>
      </c>
    </row>
    <row r="8432" spans="1:6" x14ac:dyDescent="0.2">
      <c r="A8432" s="29" t="s">
        <v>20413</v>
      </c>
      <c r="B8432" s="30" t="s">
        <v>20414</v>
      </c>
      <c r="C8432" s="29" t="s">
        <v>558</v>
      </c>
      <c r="D8432" s="31">
        <v>32.799999999999997</v>
      </c>
      <c r="F8432" s="3" t="str">
        <f t="shared" si="131"/>
        <v>I2560</v>
      </c>
    </row>
    <row r="8433" spans="1:6" x14ac:dyDescent="0.2">
      <c r="A8433" s="29" t="s">
        <v>20415</v>
      </c>
      <c r="B8433" s="30" t="s">
        <v>20416</v>
      </c>
      <c r="C8433" s="29" t="s">
        <v>558</v>
      </c>
      <c r="D8433" s="31">
        <v>30.41</v>
      </c>
      <c r="F8433" s="3" t="str">
        <f t="shared" si="131"/>
        <v>G0411</v>
      </c>
    </row>
    <row r="8434" spans="1:6" x14ac:dyDescent="0.2">
      <c r="A8434" s="29" t="s">
        <v>20417</v>
      </c>
      <c r="B8434" s="30" t="s">
        <v>20418</v>
      </c>
      <c r="C8434" s="29" t="s">
        <v>558</v>
      </c>
      <c r="D8434" s="31">
        <v>21.29</v>
      </c>
      <c r="F8434" s="3" t="str">
        <f t="shared" si="131"/>
        <v>I2523</v>
      </c>
    </row>
    <row r="8435" spans="1:6" x14ac:dyDescent="0.2">
      <c r="A8435" s="29" t="s">
        <v>20419</v>
      </c>
      <c r="B8435" s="30" t="s">
        <v>20420</v>
      </c>
      <c r="C8435" s="29" t="s">
        <v>558</v>
      </c>
      <c r="D8435" s="31">
        <v>32.799999999999997</v>
      </c>
      <c r="F8435" s="3" t="str">
        <f t="shared" si="131"/>
        <v>I7422</v>
      </c>
    </row>
    <row r="8436" spans="1:6" x14ac:dyDescent="0.2">
      <c r="A8436" s="29" t="s">
        <v>20421</v>
      </c>
      <c r="B8436" s="30" t="s">
        <v>20422</v>
      </c>
      <c r="C8436" s="29" t="s">
        <v>558</v>
      </c>
      <c r="D8436" s="31">
        <v>28.81</v>
      </c>
      <c r="F8436" s="3" t="str">
        <f t="shared" si="131"/>
        <v>I2561</v>
      </c>
    </row>
    <row r="8437" spans="1:6" x14ac:dyDescent="0.2">
      <c r="A8437" s="29" t="s">
        <v>20423</v>
      </c>
      <c r="B8437" s="30" t="s">
        <v>20424</v>
      </c>
      <c r="C8437" s="29" t="s">
        <v>558</v>
      </c>
      <c r="D8437" s="31">
        <v>28.81</v>
      </c>
      <c r="F8437" s="3" t="str">
        <f t="shared" si="131"/>
        <v>I2562</v>
      </c>
    </row>
    <row r="8438" spans="1:6" x14ac:dyDescent="0.2">
      <c r="A8438" s="29" t="s">
        <v>20425</v>
      </c>
      <c r="B8438" s="30" t="s">
        <v>20426</v>
      </c>
      <c r="C8438" s="29" t="s">
        <v>558</v>
      </c>
      <c r="D8438" s="31">
        <v>21.29</v>
      </c>
      <c r="F8438" s="3" t="str">
        <f t="shared" si="131"/>
        <v>I2563</v>
      </c>
    </row>
    <row r="8439" spans="1:6" x14ac:dyDescent="0.2">
      <c r="A8439" s="29" t="s">
        <v>20427</v>
      </c>
      <c r="B8439" s="30" t="s">
        <v>20428</v>
      </c>
      <c r="C8439" s="29" t="s">
        <v>558</v>
      </c>
      <c r="D8439" s="31">
        <v>28.81</v>
      </c>
      <c r="F8439" s="3" t="str">
        <f t="shared" si="131"/>
        <v>I2564</v>
      </c>
    </row>
    <row r="8440" spans="1:6" x14ac:dyDescent="0.2">
      <c r="A8440" s="29" t="s">
        <v>20429</v>
      </c>
      <c r="B8440" s="30" t="s">
        <v>20430</v>
      </c>
      <c r="C8440" s="29" t="s">
        <v>558</v>
      </c>
      <c r="D8440" s="31">
        <v>28.81</v>
      </c>
      <c r="F8440" s="3" t="str">
        <f t="shared" si="131"/>
        <v>I2524</v>
      </c>
    </row>
    <row r="8441" spans="1:6" x14ac:dyDescent="0.2">
      <c r="A8441" s="29" t="s">
        <v>20431</v>
      </c>
      <c r="B8441" s="30" t="s">
        <v>20432</v>
      </c>
      <c r="C8441" s="29" t="s">
        <v>558</v>
      </c>
      <c r="D8441" s="31">
        <v>21.29</v>
      </c>
      <c r="F8441" s="3" t="str">
        <f t="shared" si="131"/>
        <v>I2565</v>
      </c>
    </row>
    <row r="8442" spans="1:6" x14ac:dyDescent="0.2">
      <c r="A8442" s="29" t="s">
        <v>20433</v>
      </c>
      <c r="B8442" s="30" t="s">
        <v>20434</v>
      </c>
      <c r="C8442" s="29" t="s">
        <v>558</v>
      </c>
      <c r="D8442" s="31">
        <v>28.81</v>
      </c>
      <c r="F8442" s="3" t="str">
        <f t="shared" si="131"/>
        <v>I2566</v>
      </c>
    </row>
    <row r="8443" spans="1:6" x14ac:dyDescent="0.2">
      <c r="A8443" s="29" t="s">
        <v>20435</v>
      </c>
      <c r="B8443" s="30" t="s">
        <v>20436</v>
      </c>
      <c r="C8443" s="29" t="s">
        <v>558</v>
      </c>
      <c r="D8443" s="31">
        <v>24.16</v>
      </c>
      <c r="F8443" s="3" t="str">
        <f t="shared" si="131"/>
        <v>I1599</v>
      </c>
    </row>
    <row r="8444" spans="1:6" x14ac:dyDescent="0.2">
      <c r="A8444" s="29" t="s">
        <v>20437</v>
      </c>
      <c r="B8444" s="30" t="s">
        <v>20438</v>
      </c>
      <c r="C8444" s="29" t="s">
        <v>558</v>
      </c>
      <c r="D8444" s="31">
        <v>24.16</v>
      </c>
      <c r="F8444" s="3" t="str">
        <f t="shared" si="131"/>
        <v>I2391</v>
      </c>
    </row>
    <row r="8445" spans="1:6" ht="22.5" x14ac:dyDescent="0.2">
      <c r="A8445" s="29" t="s">
        <v>20439</v>
      </c>
      <c r="B8445" s="30" t="s">
        <v>20440</v>
      </c>
      <c r="C8445" s="29" t="s">
        <v>558</v>
      </c>
      <c r="D8445" s="31">
        <v>26.87</v>
      </c>
      <c r="F8445" s="3" t="str">
        <f t="shared" si="131"/>
        <v>G0865</v>
      </c>
    </row>
    <row r="8446" spans="1:6" x14ac:dyDescent="0.2">
      <c r="A8446" s="29" t="s">
        <v>20441</v>
      </c>
      <c r="B8446" s="30" t="s">
        <v>20442</v>
      </c>
      <c r="C8446" s="29" t="s">
        <v>558</v>
      </c>
      <c r="D8446" s="31">
        <v>24.16</v>
      </c>
      <c r="F8446" s="3" t="str">
        <f t="shared" si="131"/>
        <v>I2395</v>
      </c>
    </row>
    <row r="8447" spans="1:6" x14ac:dyDescent="0.2">
      <c r="A8447" s="29" t="s">
        <v>20443</v>
      </c>
      <c r="B8447" s="30" t="s">
        <v>20444</v>
      </c>
      <c r="C8447" s="29" t="s">
        <v>558</v>
      </c>
      <c r="D8447" s="31">
        <v>27.71</v>
      </c>
      <c r="F8447" s="3" t="str">
        <f t="shared" si="131"/>
        <v>G0858</v>
      </c>
    </row>
    <row r="8448" spans="1:6" x14ac:dyDescent="0.2">
      <c r="A8448" s="29" t="s">
        <v>20445</v>
      </c>
      <c r="B8448" s="30" t="s">
        <v>20446</v>
      </c>
      <c r="C8448" s="29" t="s">
        <v>558</v>
      </c>
      <c r="D8448" s="31">
        <v>24.16</v>
      </c>
      <c r="F8448" s="3" t="str">
        <f t="shared" si="131"/>
        <v>I1685</v>
      </c>
    </row>
    <row r="8449" spans="1:6" x14ac:dyDescent="0.2">
      <c r="A8449" s="29" t="s">
        <v>20447</v>
      </c>
      <c r="B8449" s="30" t="s">
        <v>20448</v>
      </c>
      <c r="C8449" s="29" t="s">
        <v>558</v>
      </c>
      <c r="D8449" s="31">
        <v>24.16</v>
      </c>
      <c r="F8449" s="3" t="str">
        <f t="shared" si="131"/>
        <v>I1772</v>
      </c>
    </row>
    <row r="8450" spans="1:6" x14ac:dyDescent="0.2">
      <c r="A8450" s="29" t="s">
        <v>20449</v>
      </c>
      <c r="B8450" s="30" t="s">
        <v>20450</v>
      </c>
      <c r="C8450" s="29" t="s">
        <v>558</v>
      </c>
      <c r="D8450" s="31">
        <v>19.100000000000001</v>
      </c>
      <c r="F8450" s="3" t="str">
        <f t="shared" ref="F8450:F8513" si="132">A8450</f>
        <v>I8409</v>
      </c>
    </row>
    <row r="8451" spans="1:6" x14ac:dyDescent="0.2">
      <c r="A8451" s="29" t="s">
        <v>20451</v>
      </c>
      <c r="B8451" s="30" t="s">
        <v>20452</v>
      </c>
      <c r="C8451" s="29" t="s">
        <v>558</v>
      </c>
      <c r="D8451" s="31">
        <v>24.16</v>
      </c>
      <c r="F8451" s="3" t="str">
        <f t="shared" si="132"/>
        <v>I1858</v>
      </c>
    </row>
    <row r="8452" spans="1:6" x14ac:dyDescent="0.2">
      <c r="A8452" s="29" t="s">
        <v>20453</v>
      </c>
      <c r="B8452" s="30" t="s">
        <v>15048</v>
      </c>
      <c r="C8452" s="29" t="s">
        <v>558</v>
      </c>
      <c r="D8452" s="31">
        <v>18.46</v>
      </c>
      <c r="F8452" s="3" t="str">
        <f t="shared" si="132"/>
        <v>I2543</v>
      </c>
    </row>
    <row r="8453" spans="1:6" ht="22.5" x14ac:dyDescent="0.2">
      <c r="A8453" s="29" t="s">
        <v>20454</v>
      </c>
      <c r="B8453" s="30" t="s">
        <v>20455</v>
      </c>
      <c r="C8453" s="29" t="s">
        <v>558</v>
      </c>
      <c r="D8453" s="31">
        <v>20.27</v>
      </c>
      <c r="F8453" s="3" t="str">
        <f t="shared" si="132"/>
        <v>G0866</v>
      </c>
    </row>
    <row r="8454" spans="1:6" x14ac:dyDescent="0.2">
      <c r="A8454" s="29" t="s">
        <v>20456</v>
      </c>
      <c r="B8454" s="30" t="s">
        <v>20457</v>
      </c>
      <c r="C8454" s="29" t="s">
        <v>558</v>
      </c>
      <c r="D8454" s="31">
        <v>24.16</v>
      </c>
      <c r="F8454" s="3" t="str">
        <f t="shared" si="132"/>
        <v>I2578</v>
      </c>
    </row>
    <row r="8455" spans="1:6" x14ac:dyDescent="0.2">
      <c r="A8455" s="29" t="s">
        <v>20458</v>
      </c>
      <c r="B8455" s="30" t="s">
        <v>20459</v>
      </c>
      <c r="C8455" s="29" t="s">
        <v>558</v>
      </c>
      <c r="D8455" s="31">
        <v>25</v>
      </c>
      <c r="F8455" s="3" t="str">
        <f t="shared" si="132"/>
        <v>I1879</v>
      </c>
    </row>
    <row r="8456" spans="1:6" x14ac:dyDescent="0.2">
      <c r="A8456" s="29" t="s">
        <v>20460</v>
      </c>
      <c r="B8456" s="30" t="s">
        <v>20461</v>
      </c>
      <c r="C8456" s="29" t="s">
        <v>558</v>
      </c>
      <c r="D8456" s="31">
        <v>24.99</v>
      </c>
      <c r="F8456" s="3" t="str">
        <f t="shared" si="132"/>
        <v>G0412</v>
      </c>
    </row>
    <row r="8457" spans="1:6" x14ac:dyDescent="0.2">
      <c r="A8457" s="29" t="s">
        <v>20462</v>
      </c>
      <c r="B8457" s="30" t="s">
        <v>20463</v>
      </c>
      <c r="C8457" s="29" t="s">
        <v>558</v>
      </c>
      <c r="D8457" s="31">
        <v>27.71</v>
      </c>
      <c r="F8457" s="3" t="str">
        <f t="shared" si="132"/>
        <v>G0466</v>
      </c>
    </row>
    <row r="8458" spans="1:6" x14ac:dyDescent="0.2">
      <c r="A8458" s="29" t="s">
        <v>20464</v>
      </c>
      <c r="B8458" s="30" t="s">
        <v>20465</v>
      </c>
      <c r="C8458" s="29" t="s">
        <v>558</v>
      </c>
      <c r="D8458" s="31">
        <v>28.56</v>
      </c>
      <c r="F8458" s="3" t="str">
        <f t="shared" si="132"/>
        <v>I2424</v>
      </c>
    </row>
    <row r="8459" spans="1:6" ht="22.5" x14ac:dyDescent="0.2">
      <c r="A8459" s="29" t="s">
        <v>20466</v>
      </c>
      <c r="B8459" s="30" t="s">
        <v>20467</v>
      </c>
      <c r="C8459" s="29" t="s">
        <v>558</v>
      </c>
      <c r="D8459" s="31">
        <v>31.85</v>
      </c>
      <c r="F8459" s="3" t="str">
        <f t="shared" si="132"/>
        <v>G0849</v>
      </c>
    </row>
    <row r="8460" spans="1:6" x14ac:dyDescent="0.2">
      <c r="A8460" s="29" t="s">
        <v>20468</v>
      </c>
      <c r="B8460" s="30" t="s">
        <v>20469</v>
      </c>
      <c r="C8460" s="29" t="s">
        <v>558</v>
      </c>
      <c r="D8460" s="31">
        <v>24.16</v>
      </c>
      <c r="F8460" s="3" t="str">
        <f t="shared" si="132"/>
        <v>I6035</v>
      </c>
    </row>
    <row r="8461" spans="1:6" x14ac:dyDescent="0.2">
      <c r="A8461" s="29" t="s">
        <v>20470</v>
      </c>
      <c r="B8461" s="30" t="s">
        <v>20471</v>
      </c>
      <c r="C8461" s="29" t="s">
        <v>558</v>
      </c>
      <c r="D8461" s="31">
        <v>29.64</v>
      </c>
      <c r="F8461" s="3" t="str">
        <f t="shared" si="132"/>
        <v>G0410</v>
      </c>
    </row>
    <row r="8462" spans="1:6" x14ac:dyDescent="0.2">
      <c r="A8462" s="29" t="s">
        <v>20472</v>
      </c>
      <c r="B8462" s="30" t="s">
        <v>20473</v>
      </c>
      <c r="C8462" s="29" t="s">
        <v>558</v>
      </c>
      <c r="D8462" s="31">
        <v>34.340000000000003</v>
      </c>
      <c r="F8462" s="3" t="str">
        <f t="shared" si="132"/>
        <v>G0465</v>
      </c>
    </row>
    <row r="8463" spans="1:6" x14ac:dyDescent="0.2">
      <c r="A8463" s="29" t="s">
        <v>20474</v>
      </c>
      <c r="B8463" s="30" t="s">
        <v>20475</v>
      </c>
      <c r="C8463" s="29" t="s">
        <v>558</v>
      </c>
      <c r="D8463" s="31">
        <v>24.16</v>
      </c>
      <c r="F8463" s="3" t="str">
        <f t="shared" si="132"/>
        <v>I1940</v>
      </c>
    </row>
    <row r="8464" spans="1:6" x14ac:dyDescent="0.2">
      <c r="A8464" s="29" t="s">
        <v>20476</v>
      </c>
      <c r="B8464" s="30" t="s">
        <v>20477</v>
      </c>
      <c r="C8464" s="29" t="s">
        <v>558</v>
      </c>
      <c r="D8464" s="31">
        <v>31.9</v>
      </c>
      <c r="F8464" s="3" t="str">
        <f t="shared" si="132"/>
        <v>G0853</v>
      </c>
    </row>
    <row r="8465" spans="1:6" ht="22.5" x14ac:dyDescent="0.2">
      <c r="A8465" s="29" t="s">
        <v>20478</v>
      </c>
      <c r="B8465" s="30" t="s">
        <v>20479</v>
      </c>
      <c r="C8465" s="29" t="s">
        <v>558</v>
      </c>
      <c r="D8465" s="31">
        <v>36.19</v>
      </c>
      <c r="F8465" s="3" t="str">
        <f t="shared" si="132"/>
        <v>G0854</v>
      </c>
    </row>
    <row r="8466" spans="1:6" x14ac:dyDescent="0.2">
      <c r="A8466" s="29" t="s">
        <v>20480</v>
      </c>
      <c r="B8466" s="30" t="s">
        <v>20481</v>
      </c>
      <c r="C8466" s="29" t="s">
        <v>558</v>
      </c>
      <c r="D8466" s="31">
        <v>28.49</v>
      </c>
      <c r="F8466" s="3" t="str">
        <f t="shared" si="132"/>
        <v>I8679</v>
      </c>
    </row>
    <row r="8467" spans="1:6" x14ac:dyDescent="0.2">
      <c r="A8467" s="29" t="s">
        <v>20482</v>
      </c>
      <c r="B8467" s="30" t="s">
        <v>20483</v>
      </c>
      <c r="C8467" s="29" t="s">
        <v>558</v>
      </c>
      <c r="D8467" s="31">
        <v>26.37</v>
      </c>
      <c r="F8467" s="3" t="str">
        <f t="shared" si="132"/>
        <v>I2434</v>
      </c>
    </row>
    <row r="8468" spans="1:6" x14ac:dyDescent="0.2">
      <c r="A8468" s="29" t="s">
        <v>20484</v>
      </c>
      <c r="B8468" s="30" t="s">
        <v>20485</v>
      </c>
      <c r="C8468" s="29" t="s">
        <v>558</v>
      </c>
      <c r="D8468" s="31">
        <v>36.979999999999997</v>
      </c>
      <c r="F8468" s="3" t="str">
        <f t="shared" si="132"/>
        <v>I2435</v>
      </c>
    </row>
    <row r="8469" spans="1:6" x14ac:dyDescent="0.2">
      <c r="A8469" s="29" t="s">
        <v>20486</v>
      </c>
      <c r="B8469" s="30" t="s">
        <v>20487</v>
      </c>
      <c r="C8469" s="29" t="s">
        <v>558</v>
      </c>
      <c r="D8469" s="31">
        <v>29.27</v>
      </c>
      <c r="F8469" s="3" t="str">
        <f t="shared" si="132"/>
        <v>I2567</v>
      </c>
    </row>
    <row r="8470" spans="1:6" x14ac:dyDescent="0.2">
      <c r="A8470" s="29" t="s">
        <v>20488</v>
      </c>
      <c r="B8470" s="30" t="s">
        <v>20489</v>
      </c>
      <c r="C8470" s="29" t="s">
        <v>558</v>
      </c>
      <c r="D8470" s="31">
        <v>24.16</v>
      </c>
      <c r="F8470" s="3" t="str">
        <f t="shared" si="132"/>
        <v>I2070</v>
      </c>
    </row>
    <row r="8471" spans="1:6" x14ac:dyDescent="0.2">
      <c r="A8471" s="29" t="s">
        <v>20490</v>
      </c>
      <c r="B8471" s="30" t="s">
        <v>20491</v>
      </c>
      <c r="C8471" s="29" t="s">
        <v>558</v>
      </c>
      <c r="D8471" s="31">
        <v>31.52</v>
      </c>
      <c r="F8471" s="3" t="str">
        <f t="shared" si="132"/>
        <v>I2445</v>
      </c>
    </row>
    <row r="8472" spans="1:6" x14ac:dyDescent="0.2">
      <c r="A8472" s="29" t="s">
        <v>20492</v>
      </c>
      <c r="B8472" s="30" t="s">
        <v>20493</v>
      </c>
      <c r="C8472" s="29" t="s">
        <v>558</v>
      </c>
      <c r="D8472" s="31">
        <v>24.16</v>
      </c>
      <c r="F8472" s="3" t="str">
        <f t="shared" si="132"/>
        <v>I2136</v>
      </c>
    </row>
    <row r="8473" spans="1:6" x14ac:dyDescent="0.2">
      <c r="A8473" s="29" t="s">
        <v>20494</v>
      </c>
      <c r="B8473" s="30" t="s">
        <v>20495</v>
      </c>
      <c r="C8473" s="29" t="s">
        <v>255</v>
      </c>
      <c r="D8473" s="31">
        <v>17.78</v>
      </c>
      <c r="F8473" s="3" t="str">
        <f t="shared" si="132"/>
        <v>I6238</v>
      </c>
    </row>
    <row r="8474" spans="1:6" x14ac:dyDescent="0.2">
      <c r="A8474" s="29" t="s">
        <v>20496</v>
      </c>
      <c r="B8474" s="30" t="s">
        <v>20497</v>
      </c>
      <c r="C8474" s="29" t="s">
        <v>255</v>
      </c>
      <c r="D8474" s="31">
        <v>28.68</v>
      </c>
      <c r="F8474" s="3" t="str">
        <f t="shared" si="132"/>
        <v>I6237</v>
      </c>
    </row>
    <row r="8475" spans="1:6" ht="22.5" x14ac:dyDescent="0.2">
      <c r="A8475" s="29" t="s">
        <v>20498</v>
      </c>
      <c r="B8475" s="30" t="s">
        <v>20499</v>
      </c>
      <c r="C8475" s="29" t="s">
        <v>558</v>
      </c>
      <c r="D8475" s="31">
        <v>34.24</v>
      </c>
      <c r="F8475" s="3" t="str">
        <f t="shared" si="132"/>
        <v>G0864</v>
      </c>
    </row>
    <row r="8476" spans="1:6" x14ac:dyDescent="0.2">
      <c r="A8476" s="29" t="s">
        <v>20500</v>
      </c>
      <c r="B8476" s="30" t="s">
        <v>15060</v>
      </c>
      <c r="C8476" s="29" t="s">
        <v>558</v>
      </c>
      <c r="D8476" s="31">
        <v>18.510000000000002</v>
      </c>
      <c r="F8476" s="3" t="str">
        <f t="shared" si="132"/>
        <v>I2466</v>
      </c>
    </row>
    <row r="8477" spans="1:6" ht="15.75" customHeight="1" x14ac:dyDescent="0.2">
      <c r="A8477" s="32" t="s">
        <v>20501</v>
      </c>
      <c r="B8477" s="33"/>
      <c r="C8477" s="32">
        <v>0</v>
      </c>
      <c r="D8477" s="34">
        <v>0</v>
      </c>
      <c r="F8477" s="3" t="str">
        <f t="shared" si="132"/>
        <v>COTAÇÃO / MATERIAIS FERROVIÁRIOS</v>
      </c>
    </row>
    <row r="8478" spans="1:6" ht="25.5" x14ac:dyDescent="0.2">
      <c r="A8478" s="26" t="s">
        <v>14985</v>
      </c>
      <c r="B8478" s="27" t="s">
        <v>14986</v>
      </c>
      <c r="C8478" s="26" t="s">
        <v>14987</v>
      </c>
      <c r="D8478" s="28" t="e">
        <v>#VALUE!</v>
      </c>
      <c r="F8478" s="3" t="str">
        <f t="shared" si="132"/>
        <v>Insumo</v>
      </c>
    </row>
    <row r="8479" spans="1:6" ht="22.5" x14ac:dyDescent="0.2">
      <c r="A8479" s="29" t="s">
        <v>20502</v>
      </c>
      <c r="B8479" s="30" t="s">
        <v>20503</v>
      </c>
      <c r="C8479" s="29" t="s">
        <v>26</v>
      </c>
      <c r="D8479" s="31">
        <v>252623.08</v>
      </c>
      <c r="F8479" s="3" t="str">
        <f t="shared" si="132"/>
        <v>I8087</v>
      </c>
    </row>
    <row r="8480" spans="1:6" ht="22.5" x14ac:dyDescent="0.2">
      <c r="A8480" s="29" t="s">
        <v>20504</v>
      </c>
      <c r="B8480" s="30" t="s">
        <v>20505</v>
      </c>
      <c r="C8480" s="29" t="s">
        <v>26</v>
      </c>
      <c r="D8480" s="31">
        <v>276710.21999999997</v>
      </c>
      <c r="F8480" s="3" t="str">
        <f t="shared" si="132"/>
        <v>I8088</v>
      </c>
    </row>
    <row r="8481" spans="1:6" ht="22.5" x14ac:dyDescent="0.2">
      <c r="A8481" s="29" t="s">
        <v>20506</v>
      </c>
      <c r="B8481" s="30" t="s">
        <v>20507</v>
      </c>
      <c r="C8481" s="29" t="s">
        <v>26</v>
      </c>
      <c r="D8481" s="31">
        <v>303205.82</v>
      </c>
      <c r="F8481" s="3" t="str">
        <f t="shared" si="132"/>
        <v>I8089</v>
      </c>
    </row>
    <row r="8482" spans="1:6" ht="22.5" x14ac:dyDescent="0.2">
      <c r="A8482" s="29" t="s">
        <v>20508</v>
      </c>
      <c r="B8482" s="30" t="s">
        <v>20509</v>
      </c>
      <c r="C8482" s="29" t="s">
        <v>26</v>
      </c>
      <c r="D8482" s="31">
        <v>263523.05</v>
      </c>
      <c r="F8482" s="3" t="str">
        <f t="shared" si="132"/>
        <v>I8086</v>
      </c>
    </row>
    <row r="8483" spans="1:6" x14ac:dyDescent="0.2">
      <c r="A8483" s="29" t="s">
        <v>20510</v>
      </c>
      <c r="B8483" s="30" t="s">
        <v>20511</v>
      </c>
      <c r="C8483" s="29" t="s">
        <v>26</v>
      </c>
      <c r="D8483" s="31">
        <v>419.79</v>
      </c>
      <c r="F8483" s="3" t="str">
        <f t="shared" si="132"/>
        <v>I13313</v>
      </c>
    </row>
    <row r="8484" spans="1:6" ht="22.5" x14ac:dyDescent="0.2">
      <c r="A8484" s="29" t="s">
        <v>20512</v>
      </c>
      <c r="B8484" s="30" t="s">
        <v>20513</v>
      </c>
      <c r="C8484" s="29" t="s">
        <v>26</v>
      </c>
      <c r="D8484" s="31">
        <v>1297.54</v>
      </c>
      <c r="F8484" s="3" t="str">
        <f t="shared" si="132"/>
        <v>I13315</v>
      </c>
    </row>
    <row r="8485" spans="1:6" x14ac:dyDescent="0.2">
      <c r="A8485" s="29" t="s">
        <v>20514</v>
      </c>
      <c r="B8485" s="30" t="s">
        <v>20515</v>
      </c>
      <c r="C8485" s="29" t="s">
        <v>26</v>
      </c>
      <c r="D8485" s="31">
        <v>272.2</v>
      </c>
      <c r="F8485" s="3" t="str">
        <f t="shared" si="132"/>
        <v>I8093</v>
      </c>
    </row>
    <row r="8486" spans="1:6" x14ac:dyDescent="0.2">
      <c r="A8486" s="29" t="s">
        <v>20516</v>
      </c>
      <c r="B8486" s="30" t="s">
        <v>20517</v>
      </c>
      <c r="C8486" s="29" t="s">
        <v>26</v>
      </c>
      <c r="D8486" s="31">
        <v>458.13</v>
      </c>
      <c r="F8486" s="3" t="str">
        <f t="shared" si="132"/>
        <v>I8092</v>
      </c>
    </row>
    <row r="8487" spans="1:6" x14ac:dyDescent="0.2">
      <c r="A8487" s="29" t="s">
        <v>20518</v>
      </c>
      <c r="B8487" s="30" t="s">
        <v>20519</v>
      </c>
      <c r="C8487" s="29" t="s">
        <v>26</v>
      </c>
      <c r="D8487" s="31">
        <v>290.27999999999997</v>
      </c>
      <c r="F8487" s="3" t="str">
        <f t="shared" si="132"/>
        <v>I8091</v>
      </c>
    </row>
    <row r="8488" spans="1:6" x14ac:dyDescent="0.2">
      <c r="A8488" s="29" t="s">
        <v>20520</v>
      </c>
      <c r="B8488" s="30" t="s">
        <v>20521</v>
      </c>
      <c r="C8488" s="29" t="s">
        <v>271</v>
      </c>
      <c r="D8488" s="31">
        <v>4152.5200000000004</v>
      </c>
      <c r="F8488" s="3" t="str">
        <f t="shared" si="132"/>
        <v>I13316</v>
      </c>
    </row>
    <row r="8489" spans="1:6" ht="22.5" x14ac:dyDescent="0.2">
      <c r="A8489" s="29" t="s">
        <v>20522</v>
      </c>
      <c r="B8489" s="30" t="s">
        <v>20523</v>
      </c>
      <c r="C8489" s="29" t="s">
        <v>15584</v>
      </c>
      <c r="D8489" s="31">
        <v>128.97</v>
      </c>
      <c r="F8489" s="3" t="str">
        <f t="shared" si="132"/>
        <v>I8105</v>
      </c>
    </row>
    <row r="8490" spans="1:6" x14ac:dyDescent="0.2">
      <c r="A8490" s="29" t="s">
        <v>20524</v>
      </c>
      <c r="B8490" s="30" t="s">
        <v>20525</v>
      </c>
      <c r="C8490" s="29" t="s">
        <v>8321</v>
      </c>
      <c r="D8490" s="31">
        <v>176.14</v>
      </c>
      <c r="F8490" s="3" t="str">
        <f t="shared" si="132"/>
        <v>I8097</v>
      </c>
    </row>
    <row r="8491" spans="1:6" x14ac:dyDescent="0.2">
      <c r="A8491" s="29" t="s">
        <v>20526</v>
      </c>
      <c r="B8491" s="30" t="s">
        <v>20527</v>
      </c>
      <c r="C8491" s="29" t="s">
        <v>8321</v>
      </c>
      <c r="D8491" s="31">
        <v>189.14</v>
      </c>
      <c r="F8491" s="3" t="str">
        <f t="shared" si="132"/>
        <v>I8096</v>
      </c>
    </row>
    <row r="8492" spans="1:6" x14ac:dyDescent="0.2">
      <c r="A8492" s="29" t="s">
        <v>20528</v>
      </c>
      <c r="B8492" s="30" t="s">
        <v>20529</v>
      </c>
      <c r="C8492" s="29" t="s">
        <v>26</v>
      </c>
      <c r="D8492" s="31">
        <v>6.53</v>
      </c>
      <c r="F8492" s="3" t="str">
        <f t="shared" si="132"/>
        <v>I8102</v>
      </c>
    </row>
    <row r="8493" spans="1:6" ht="22.5" x14ac:dyDescent="0.2">
      <c r="A8493" s="29" t="s">
        <v>20530</v>
      </c>
      <c r="B8493" s="30" t="s">
        <v>20531</v>
      </c>
      <c r="C8493" s="29" t="s">
        <v>8321</v>
      </c>
      <c r="D8493" s="31">
        <v>176.14</v>
      </c>
      <c r="F8493" s="3" t="str">
        <f t="shared" si="132"/>
        <v>I13314</v>
      </c>
    </row>
    <row r="8494" spans="1:6" x14ac:dyDescent="0.2">
      <c r="A8494" s="29" t="s">
        <v>20532</v>
      </c>
      <c r="B8494" s="30" t="s">
        <v>20533</v>
      </c>
      <c r="C8494" s="29" t="s">
        <v>26</v>
      </c>
      <c r="D8494" s="31">
        <v>434.04</v>
      </c>
      <c r="F8494" s="3" t="str">
        <f t="shared" si="132"/>
        <v>I13312</v>
      </c>
    </row>
    <row r="8495" spans="1:6" x14ac:dyDescent="0.2">
      <c r="A8495" s="29" t="s">
        <v>20534</v>
      </c>
      <c r="B8495" s="30" t="s">
        <v>20535</v>
      </c>
      <c r="C8495" s="29" t="s">
        <v>9</v>
      </c>
      <c r="D8495" s="31">
        <v>24.66</v>
      </c>
      <c r="F8495" s="3" t="str">
        <f t="shared" si="132"/>
        <v>I8090</v>
      </c>
    </row>
    <row r="8496" spans="1:6" x14ac:dyDescent="0.2">
      <c r="A8496" s="29" t="s">
        <v>20536</v>
      </c>
      <c r="B8496" s="30" t="s">
        <v>20537</v>
      </c>
      <c r="C8496" s="29" t="s">
        <v>26</v>
      </c>
      <c r="D8496" s="31">
        <v>21.11</v>
      </c>
      <c r="F8496" s="3" t="str">
        <f t="shared" si="132"/>
        <v>I8100</v>
      </c>
    </row>
    <row r="8497" spans="1:6" x14ac:dyDescent="0.2">
      <c r="A8497" s="29" t="s">
        <v>20538</v>
      </c>
      <c r="B8497" s="30" t="s">
        <v>20539</v>
      </c>
      <c r="C8497" s="29" t="s">
        <v>26</v>
      </c>
      <c r="D8497" s="31">
        <v>58.42</v>
      </c>
      <c r="F8497" s="3" t="str">
        <f t="shared" si="132"/>
        <v>I8101</v>
      </c>
    </row>
    <row r="8498" spans="1:6" x14ac:dyDescent="0.2">
      <c r="A8498" s="29" t="s">
        <v>20540</v>
      </c>
      <c r="B8498" s="30" t="s">
        <v>20541</v>
      </c>
      <c r="C8498" s="29" t="s">
        <v>12086</v>
      </c>
      <c r="D8498" s="31">
        <v>496.85</v>
      </c>
      <c r="F8498" s="3" t="str">
        <f t="shared" si="132"/>
        <v>I10253</v>
      </c>
    </row>
    <row r="8499" spans="1:6" ht="22.5" x14ac:dyDescent="0.2">
      <c r="A8499" s="29" t="s">
        <v>20542</v>
      </c>
      <c r="B8499" s="30" t="s">
        <v>20543</v>
      </c>
      <c r="C8499" s="29" t="s">
        <v>5477</v>
      </c>
      <c r="D8499" s="31">
        <v>5491.5</v>
      </c>
      <c r="F8499" s="3" t="str">
        <f t="shared" si="132"/>
        <v>I8098</v>
      </c>
    </row>
    <row r="8500" spans="1:6" ht="15.75" customHeight="1" x14ac:dyDescent="0.2">
      <c r="A8500" s="32" t="s">
        <v>20544</v>
      </c>
      <c r="B8500" s="33"/>
      <c r="C8500" s="32">
        <v>0</v>
      </c>
      <c r="D8500" s="34">
        <v>0</v>
      </c>
      <c r="F8500" s="3" t="str">
        <f t="shared" si="132"/>
        <v>COTAÇÃO / MATERIAIS FORNECIDOS</v>
      </c>
    </row>
    <row r="8501" spans="1:6" ht="25.5" x14ac:dyDescent="0.2">
      <c r="A8501" s="26" t="s">
        <v>14985</v>
      </c>
      <c r="B8501" s="27" t="s">
        <v>14986</v>
      </c>
      <c r="C8501" s="26" t="s">
        <v>14987</v>
      </c>
      <c r="D8501" s="28" t="e">
        <v>#VALUE!</v>
      </c>
      <c r="F8501" s="3" t="str">
        <f t="shared" si="132"/>
        <v>Insumo</v>
      </c>
    </row>
    <row r="8502" spans="1:6" x14ac:dyDescent="0.2">
      <c r="A8502" s="29" t="s">
        <v>20545</v>
      </c>
      <c r="B8502" s="30" t="s">
        <v>20546</v>
      </c>
      <c r="C8502" s="29" t="s">
        <v>8321</v>
      </c>
      <c r="D8502" s="31">
        <v>3.2</v>
      </c>
      <c r="F8502" s="3" t="str">
        <f t="shared" si="132"/>
        <v>I9544</v>
      </c>
    </row>
    <row r="8503" spans="1:6" x14ac:dyDescent="0.2">
      <c r="A8503" s="29" t="s">
        <v>20547</v>
      </c>
      <c r="B8503" s="30" t="s">
        <v>20548</v>
      </c>
      <c r="C8503" s="29" t="s">
        <v>26</v>
      </c>
      <c r="D8503" s="31">
        <v>0.09</v>
      </c>
      <c r="F8503" s="3" t="str">
        <f t="shared" si="132"/>
        <v>I9546</v>
      </c>
    </row>
    <row r="8504" spans="1:6" x14ac:dyDescent="0.2">
      <c r="A8504" s="29" t="s">
        <v>20549</v>
      </c>
      <c r="B8504" s="30" t="s">
        <v>20550</v>
      </c>
      <c r="C8504" s="29" t="s">
        <v>26</v>
      </c>
      <c r="D8504" s="31">
        <v>0.17</v>
      </c>
      <c r="F8504" s="3" t="str">
        <f t="shared" si="132"/>
        <v>I9545</v>
      </c>
    </row>
    <row r="8505" spans="1:6" x14ac:dyDescent="0.2">
      <c r="A8505" s="29" t="s">
        <v>20551</v>
      </c>
      <c r="B8505" s="30" t="s">
        <v>20552</v>
      </c>
      <c r="C8505" s="29" t="s">
        <v>26</v>
      </c>
      <c r="D8505" s="31">
        <v>3.7</v>
      </c>
      <c r="F8505" s="3" t="str">
        <f t="shared" si="132"/>
        <v>I9547</v>
      </c>
    </row>
    <row r="8506" spans="1:6" x14ac:dyDescent="0.2">
      <c r="A8506" s="29" t="s">
        <v>20553</v>
      </c>
      <c r="B8506" s="30" t="s">
        <v>20554</v>
      </c>
      <c r="C8506" s="29" t="s">
        <v>26</v>
      </c>
      <c r="D8506" s="31">
        <v>3.32</v>
      </c>
      <c r="F8506" s="3" t="str">
        <f t="shared" si="132"/>
        <v>I9548</v>
      </c>
    </row>
    <row r="8507" spans="1:6" x14ac:dyDescent="0.2">
      <c r="A8507" s="29" t="s">
        <v>20555</v>
      </c>
      <c r="B8507" s="30" t="s">
        <v>20556</v>
      </c>
      <c r="C8507" s="29" t="s">
        <v>26</v>
      </c>
      <c r="D8507" s="31">
        <v>8.25</v>
      </c>
      <c r="F8507" s="3" t="str">
        <f t="shared" si="132"/>
        <v>I6472</v>
      </c>
    </row>
    <row r="8508" spans="1:6" x14ac:dyDescent="0.2">
      <c r="A8508" s="29" t="s">
        <v>20557</v>
      </c>
      <c r="B8508" s="30" t="s">
        <v>20558</v>
      </c>
      <c r="C8508" s="29" t="s">
        <v>26</v>
      </c>
      <c r="D8508" s="31">
        <v>0.65</v>
      </c>
      <c r="F8508" s="3" t="str">
        <f t="shared" si="132"/>
        <v>I9549</v>
      </c>
    </row>
    <row r="8509" spans="1:6" x14ac:dyDescent="0.2">
      <c r="A8509" s="29" t="s">
        <v>20559</v>
      </c>
      <c r="B8509" s="30" t="s">
        <v>20560</v>
      </c>
      <c r="C8509" s="29" t="s">
        <v>26</v>
      </c>
      <c r="D8509" s="31">
        <v>3.62</v>
      </c>
      <c r="F8509" s="3" t="str">
        <f t="shared" si="132"/>
        <v>I9550</v>
      </c>
    </row>
    <row r="8510" spans="1:6" x14ac:dyDescent="0.2">
      <c r="A8510" s="29" t="s">
        <v>20561</v>
      </c>
      <c r="B8510" s="30" t="s">
        <v>20562</v>
      </c>
      <c r="C8510" s="29" t="s">
        <v>26</v>
      </c>
      <c r="D8510" s="31">
        <v>2.57</v>
      </c>
      <c r="F8510" s="3" t="str">
        <f t="shared" si="132"/>
        <v>I2898</v>
      </c>
    </row>
    <row r="8511" spans="1:6" x14ac:dyDescent="0.2">
      <c r="A8511" s="29" t="s">
        <v>20563</v>
      </c>
      <c r="B8511" s="30" t="s">
        <v>20564</v>
      </c>
      <c r="C8511" s="29" t="s">
        <v>26</v>
      </c>
      <c r="D8511" s="31">
        <v>2.66</v>
      </c>
      <c r="F8511" s="3" t="str">
        <f t="shared" si="132"/>
        <v>I2899</v>
      </c>
    </row>
    <row r="8512" spans="1:6" x14ac:dyDescent="0.2">
      <c r="A8512" s="29" t="s">
        <v>20565</v>
      </c>
      <c r="B8512" s="30" t="s">
        <v>20566</v>
      </c>
      <c r="C8512" s="29" t="s">
        <v>26</v>
      </c>
      <c r="D8512" s="31">
        <v>4.42</v>
      </c>
      <c r="F8512" s="3" t="str">
        <f t="shared" si="132"/>
        <v>I2900</v>
      </c>
    </row>
    <row r="8513" spans="1:6" x14ac:dyDescent="0.2">
      <c r="A8513" s="29" t="s">
        <v>20567</v>
      </c>
      <c r="B8513" s="30" t="s">
        <v>20568</v>
      </c>
      <c r="C8513" s="29" t="s">
        <v>26</v>
      </c>
      <c r="D8513" s="31">
        <v>315.35000000000002</v>
      </c>
      <c r="F8513" s="3" t="str">
        <f t="shared" si="132"/>
        <v>I9551</v>
      </c>
    </row>
    <row r="8514" spans="1:6" ht="22.5" x14ac:dyDescent="0.2">
      <c r="A8514" s="29" t="s">
        <v>20569</v>
      </c>
      <c r="B8514" s="30" t="s">
        <v>20570</v>
      </c>
      <c r="C8514" s="29" t="s">
        <v>26</v>
      </c>
      <c r="D8514" s="31">
        <v>30.09</v>
      </c>
      <c r="F8514" s="3" t="str">
        <f t="shared" ref="F8514:F8577" si="133">A8514</f>
        <v>I3078</v>
      </c>
    </row>
    <row r="8515" spans="1:6" ht="22.5" x14ac:dyDescent="0.2">
      <c r="A8515" s="29" t="s">
        <v>20571</v>
      </c>
      <c r="B8515" s="30" t="s">
        <v>20572</v>
      </c>
      <c r="C8515" s="29" t="s">
        <v>26</v>
      </c>
      <c r="D8515" s="31">
        <v>76.86</v>
      </c>
      <c r="F8515" s="3" t="str">
        <f t="shared" si="133"/>
        <v>I3079</v>
      </c>
    </row>
    <row r="8516" spans="1:6" ht="22.5" x14ac:dyDescent="0.2">
      <c r="A8516" s="29" t="s">
        <v>20573</v>
      </c>
      <c r="B8516" s="30" t="s">
        <v>20574</v>
      </c>
      <c r="C8516" s="29" t="s">
        <v>26</v>
      </c>
      <c r="D8516" s="31">
        <v>126.53</v>
      </c>
      <c r="F8516" s="3" t="str">
        <f t="shared" si="133"/>
        <v>I3080</v>
      </c>
    </row>
    <row r="8517" spans="1:6" x14ac:dyDescent="0.2">
      <c r="A8517" s="29" t="s">
        <v>20575</v>
      </c>
      <c r="B8517" s="30" t="s">
        <v>20576</v>
      </c>
      <c r="C8517" s="29" t="s">
        <v>26</v>
      </c>
      <c r="D8517" s="31">
        <v>8.16</v>
      </c>
      <c r="F8517" s="3" t="str">
        <f t="shared" si="133"/>
        <v>I3081</v>
      </c>
    </row>
    <row r="8518" spans="1:6" x14ac:dyDescent="0.2">
      <c r="A8518" s="29" t="s">
        <v>20577</v>
      </c>
      <c r="B8518" s="30" t="s">
        <v>20578</v>
      </c>
      <c r="C8518" s="29" t="s">
        <v>26</v>
      </c>
      <c r="D8518" s="31">
        <v>6</v>
      </c>
      <c r="F8518" s="3" t="str">
        <f t="shared" si="133"/>
        <v>I3082</v>
      </c>
    </row>
    <row r="8519" spans="1:6" ht="22.5" x14ac:dyDescent="0.2">
      <c r="A8519" s="29" t="s">
        <v>20579</v>
      </c>
      <c r="B8519" s="30" t="s">
        <v>20580</v>
      </c>
      <c r="C8519" s="29" t="s">
        <v>26</v>
      </c>
      <c r="D8519" s="31">
        <v>30.09</v>
      </c>
      <c r="F8519" s="3" t="str">
        <f t="shared" si="133"/>
        <v>I3083</v>
      </c>
    </row>
    <row r="8520" spans="1:6" ht="22.5" x14ac:dyDescent="0.2">
      <c r="A8520" s="29" t="s">
        <v>20581</v>
      </c>
      <c r="B8520" s="30" t="s">
        <v>20582</v>
      </c>
      <c r="C8520" s="29" t="s">
        <v>26</v>
      </c>
      <c r="D8520" s="31">
        <v>76.86</v>
      </c>
      <c r="F8520" s="3" t="str">
        <f t="shared" si="133"/>
        <v>I3084</v>
      </c>
    </row>
    <row r="8521" spans="1:6" ht="22.5" x14ac:dyDescent="0.2">
      <c r="A8521" s="29" t="s">
        <v>20583</v>
      </c>
      <c r="B8521" s="30" t="s">
        <v>20584</v>
      </c>
      <c r="C8521" s="29" t="s">
        <v>26</v>
      </c>
      <c r="D8521" s="31">
        <v>126.53</v>
      </c>
      <c r="F8521" s="3" t="str">
        <f t="shared" si="133"/>
        <v>I3085</v>
      </c>
    </row>
    <row r="8522" spans="1:6" ht="22.5" x14ac:dyDescent="0.2">
      <c r="A8522" s="29" t="s">
        <v>20585</v>
      </c>
      <c r="B8522" s="30" t="s">
        <v>20586</v>
      </c>
      <c r="C8522" s="29" t="s">
        <v>26</v>
      </c>
      <c r="D8522" s="31">
        <v>13.06</v>
      </c>
      <c r="F8522" s="3" t="str">
        <f t="shared" si="133"/>
        <v>I3086</v>
      </c>
    </row>
    <row r="8523" spans="1:6" ht="22.5" x14ac:dyDescent="0.2">
      <c r="A8523" s="29" t="s">
        <v>20587</v>
      </c>
      <c r="B8523" s="30" t="s">
        <v>20588</v>
      </c>
      <c r="C8523" s="29" t="s">
        <v>26</v>
      </c>
      <c r="D8523" s="31">
        <v>14.83</v>
      </c>
      <c r="F8523" s="3" t="str">
        <f t="shared" si="133"/>
        <v>I3087</v>
      </c>
    </row>
    <row r="8524" spans="1:6" ht="22.5" x14ac:dyDescent="0.2">
      <c r="A8524" s="29" t="s">
        <v>20589</v>
      </c>
      <c r="B8524" s="30" t="s">
        <v>20590</v>
      </c>
      <c r="C8524" s="29" t="s">
        <v>26</v>
      </c>
      <c r="D8524" s="31">
        <v>21.92</v>
      </c>
      <c r="F8524" s="3" t="str">
        <f t="shared" si="133"/>
        <v>I3088</v>
      </c>
    </row>
    <row r="8525" spans="1:6" x14ac:dyDescent="0.2">
      <c r="A8525" s="29" t="s">
        <v>20591</v>
      </c>
      <c r="B8525" s="30" t="s">
        <v>20592</v>
      </c>
      <c r="C8525" s="29" t="s">
        <v>26</v>
      </c>
      <c r="D8525" s="31">
        <v>146.77000000000001</v>
      </c>
      <c r="F8525" s="3" t="str">
        <f t="shared" si="133"/>
        <v>I6846</v>
      </c>
    </row>
    <row r="8526" spans="1:6" x14ac:dyDescent="0.2">
      <c r="A8526" s="29" t="s">
        <v>20593</v>
      </c>
      <c r="B8526" s="30" t="s">
        <v>20594</v>
      </c>
      <c r="C8526" s="29" t="s">
        <v>26</v>
      </c>
      <c r="D8526" s="31">
        <v>1219.26</v>
      </c>
      <c r="F8526" s="3" t="str">
        <f t="shared" si="133"/>
        <v>I9552</v>
      </c>
    </row>
    <row r="8527" spans="1:6" x14ac:dyDescent="0.2">
      <c r="A8527" s="29" t="s">
        <v>20595</v>
      </c>
      <c r="B8527" s="30" t="s">
        <v>20596</v>
      </c>
      <c r="C8527" s="29" t="s">
        <v>26</v>
      </c>
      <c r="D8527" s="31">
        <v>3.23</v>
      </c>
      <c r="F8527" s="3" t="str">
        <f t="shared" si="133"/>
        <v>I9553</v>
      </c>
    </row>
    <row r="8528" spans="1:6" x14ac:dyDescent="0.2">
      <c r="A8528" s="29" t="s">
        <v>20597</v>
      </c>
      <c r="B8528" s="30" t="s">
        <v>20598</v>
      </c>
      <c r="C8528" s="29" t="s">
        <v>26</v>
      </c>
      <c r="D8528" s="31">
        <v>16.920000000000002</v>
      </c>
      <c r="F8528" s="3" t="str">
        <f t="shared" si="133"/>
        <v>I6267</v>
      </c>
    </row>
    <row r="8529" spans="1:6" x14ac:dyDescent="0.2">
      <c r="A8529" s="29" t="s">
        <v>20599</v>
      </c>
      <c r="B8529" s="30" t="s">
        <v>20600</v>
      </c>
      <c r="C8529" s="29" t="s">
        <v>26</v>
      </c>
      <c r="D8529" s="31">
        <v>0.87</v>
      </c>
      <c r="F8529" s="3" t="str">
        <f t="shared" si="133"/>
        <v>I9556</v>
      </c>
    </row>
    <row r="8530" spans="1:6" x14ac:dyDescent="0.2">
      <c r="A8530" s="29" t="s">
        <v>20601</v>
      </c>
      <c r="B8530" s="30" t="s">
        <v>20602</v>
      </c>
      <c r="C8530" s="29" t="s">
        <v>26</v>
      </c>
      <c r="D8530" s="31">
        <v>11.94</v>
      </c>
      <c r="F8530" s="3" t="str">
        <f t="shared" si="133"/>
        <v>I9554</v>
      </c>
    </row>
    <row r="8531" spans="1:6" x14ac:dyDescent="0.2">
      <c r="A8531" s="29" t="s">
        <v>20603</v>
      </c>
      <c r="B8531" s="30" t="s">
        <v>20604</v>
      </c>
      <c r="C8531" s="29" t="s">
        <v>26</v>
      </c>
      <c r="D8531" s="31">
        <v>22.15</v>
      </c>
      <c r="F8531" s="3" t="str">
        <f t="shared" si="133"/>
        <v>I9555</v>
      </c>
    </row>
    <row r="8532" spans="1:6" ht="22.5" x14ac:dyDescent="0.2">
      <c r="A8532" s="29" t="s">
        <v>20605</v>
      </c>
      <c r="B8532" s="30" t="s">
        <v>20606</v>
      </c>
      <c r="C8532" s="29" t="s">
        <v>255</v>
      </c>
      <c r="D8532" s="31">
        <v>24.92</v>
      </c>
      <c r="F8532" s="3" t="str">
        <f t="shared" si="133"/>
        <v>I9799</v>
      </c>
    </row>
    <row r="8533" spans="1:6" x14ac:dyDescent="0.2">
      <c r="A8533" s="29" t="s">
        <v>20607</v>
      </c>
      <c r="B8533" s="30" t="s">
        <v>20608</v>
      </c>
      <c r="C8533" s="29" t="s">
        <v>26</v>
      </c>
      <c r="D8533" s="31">
        <v>145059.79999999999</v>
      </c>
      <c r="F8533" s="3" t="str">
        <f t="shared" si="133"/>
        <v>I6310</v>
      </c>
    </row>
    <row r="8534" spans="1:6" x14ac:dyDescent="0.2">
      <c r="A8534" s="29" t="s">
        <v>20609</v>
      </c>
      <c r="B8534" s="30" t="s">
        <v>20610</v>
      </c>
      <c r="C8534" s="29" t="s">
        <v>26</v>
      </c>
      <c r="D8534" s="31">
        <v>206408</v>
      </c>
      <c r="F8534" s="3" t="str">
        <f t="shared" si="133"/>
        <v>I6311</v>
      </c>
    </row>
    <row r="8535" spans="1:6" x14ac:dyDescent="0.2">
      <c r="A8535" s="29" t="s">
        <v>20611</v>
      </c>
      <c r="B8535" s="30" t="s">
        <v>20612</v>
      </c>
      <c r="C8535" s="29" t="s">
        <v>26</v>
      </c>
      <c r="D8535" s="31">
        <v>277124.65000000002</v>
      </c>
      <c r="F8535" s="3" t="str">
        <f t="shared" si="133"/>
        <v>I6312</v>
      </c>
    </row>
    <row r="8536" spans="1:6" x14ac:dyDescent="0.2">
      <c r="A8536" s="29" t="s">
        <v>20613</v>
      </c>
      <c r="B8536" s="30" t="s">
        <v>20614</v>
      </c>
      <c r="C8536" s="29" t="s">
        <v>26</v>
      </c>
      <c r="D8536" s="31">
        <v>112119.14</v>
      </c>
      <c r="F8536" s="3" t="str">
        <f t="shared" si="133"/>
        <v>I6309</v>
      </c>
    </row>
    <row r="8537" spans="1:6" x14ac:dyDescent="0.2">
      <c r="A8537" s="29" t="s">
        <v>20615</v>
      </c>
      <c r="B8537" s="30" t="s">
        <v>20616</v>
      </c>
      <c r="C8537" s="29" t="s">
        <v>26</v>
      </c>
      <c r="D8537" s="31">
        <v>330011.03000000003</v>
      </c>
      <c r="F8537" s="3" t="str">
        <f t="shared" si="133"/>
        <v>I6313</v>
      </c>
    </row>
    <row r="8538" spans="1:6" x14ac:dyDescent="0.2">
      <c r="A8538" s="29" t="s">
        <v>20617</v>
      </c>
      <c r="B8538" s="30" t="s">
        <v>20618</v>
      </c>
      <c r="C8538" s="29" t="s">
        <v>26</v>
      </c>
      <c r="D8538" s="31">
        <v>85524.84</v>
      </c>
      <c r="F8538" s="3" t="str">
        <f t="shared" si="133"/>
        <v>I6308</v>
      </c>
    </row>
    <row r="8539" spans="1:6" ht="22.5" x14ac:dyDescent="0.2">
      <c r="A8539" s="29" t="s">
        <v>20619</v>
      </c>
      <c r="B8539" s="30" t="s">
        <v>20620</v>
      </c>
      <c r="C8539" s="29" t="s">
        <v>558</v>
      </c>
      <c r="D8539" s="31">
        <v>0.61</v>
      </c>
      <c r="F8539" s="3" t="str">
        <f t="shared" si="133"/>
        <v>I8973</v>
      </c>
    </row>
    <row r="8540" spans="1:6" x14ac:dyDescent="0.2">
      <c r="A8540" s="29" t="s">
        <v>20621</v>
      </c>
      <c r="B8540" s="30" t="s">
        <v>20622</v>
      </c>
      <c r="C8540" s="29" t="s">
        <v>26</v>
      </c>
      <c r="D8540" s="31">
        <v>5.42</v>
      </c>
      <c r="F8540" s="3" t="str">
        <f t="shared" si="133"/>
        <v>I8212</v>
      </c>
    </row>
    <row r="8541" spans="1:6" x14ac:dyDescent="0.2">
      <c r="A8541" s="29" t="s">
        <v>20623</v>
      </c>
      <c r="B8541" s="30" t="s">
        <v>20624</v>
      </c>
      <c r="C8541" s="29" t="s">
        <v>26</v>
      </c>
      <c r="D8541" s="31">
        <v>29.47</v>
      </c>
      <c r="F8541" s="3" t="str">
        <f t="shared" si="133"/>
        <v>I8213</v>
      </c>
    </row>
    <row r="8542" spans="1:6" x14ac:dyDescent="0.2">
      <c r="A8542" s="29" t="s">
        <v>20625</v>
      </c>
      <c r="B8542" s="30" t="s">
        <v>20626</v>
      </c>
      <c r="C8542" s="29" t="s">
        <v>26</v>
      </c>
      <c r="D8542" s="31">
        <v>67.53</v>
      </c>
      <c r="F8542" s="3" t="str">
        <f t="shared" si="133"/>
        <v>I4159</v>
      </c>
    </row>
    <row r="8543" spans="1:6" x14ac:dyDescent="0.2">
      <c r="A8543" s="29" t="s">
        <v>20627</v>
      </c>
      <c r="B8543" s="30" t="s">
        <v>20628</v>
      </c>
      <c r="C8543" s="29" t="s">
        <v>26</v>
      </c>
      <c r="D8543" s="31">
        <v>61.39</v>
      </c>
      <c r="F8543" s="3" t="str">
        <f t="shared" si="133"/>
        <v>I8216</v>
      </c>
    </row>
    <row r="8544" spans="1:6" x14ac:dyDescent="0.2">
      <c r="A8544" s="29" t="s">
        <v>20629</v>
      </c>
      <c r="B8544" s="30" t="s">
        <v>20630</v>
      </c>
      <c r="C8544" s="29" t="s">
        <v>26</v>
      </c>
      <c r="D8544" s="31">
        <v>3107.36</v>
      </c>
      <c r="F8544" s="3" t="str">
        <f t="shared" si="133"/>
        <v>I4172</v>
      </c>
    </row>
    <row r="8545" spans="1:6" x14ac:dyDescent="0.2">
      <c r="A8545" s="29" t="s">
        <v>20631</v>
      </c>
      <c r="B8545" s="30" t="s">
        <v>20632</v>
      </c>
      <c r="C8545" s="29" t="s">
        <v>26</v>
      </c>
      <c r="D8545" s="31">
        <v>2824.88</v>
      </c>
      <c r="F8545" s="3" t="str">
        <f t="shared" si="133"/>
        <v>I6409</v>
      </c>
    </row>
    <row r="8546" spans="1:6" x14ac:dyDescent="0.2">
      <c r="A8546" s="29" t="s">
        <v>20633</v>
      </c>
      <c r="B8546" s="30" t="s">
        <v>20634</v>
      </c>
      <c r="C8546" s="29" t="s">
        <v>26</v>
      </c>
      <c r="D8546" s="31">
        <v>5051.75</v>
      </c>
      <c r="F8546" s="3" t="str">
        <f t="shared" si="133"/>
        <v>I4173</v>
      </c>
    </row>
    <row r="8547" spans="1:6" x14ac:dyDescent="0.2">
      <c r="A8547" s="29" t="s">
        <v>20635</v>
      </c>
      <c r="B8547" s="30" t="s">
        <v>20636</v>
      </c>
      <c r="C8547" s="29" t="s">
        <v>26</v>
      </c>
      <c r="D8547" s="31">
        <v>4592.5</v>
      </c>
      <c r="F8547" s="3" t="str">
        <f t="shared" si="133"/>
        <v>I6417</v>
      </c>
    </row>
    <row r="8548" spans="1:6" x14ac:dyDescent="0.2">
      <c r="A8548" s="29" t="s">
        <v>20637</v>
      </c>
      <c r="B8548" s="30" t="s">
        <v>20638</v>
      </c>
      <c r="C8548" s="29" t="s">
        <v>26</v>
      </c>
      <c r="D8548" s="31">
        <v>164.17</v>
      </c>
      <c r="F8548" s="3" t="str">
        <f t="shared" si="133"/>
        <v>I4160</v>
      </c>
    </row>
    <row r="8549" spans="1:6" x14ac:dyDescent="0.2">
      <c r="A8549" s="29" t="s">
        <v>20639</v>
      </c>
      <c r="B8549" s="30" t="s">
        <v>20640</v>
      </c>
      <c r="C8549" s="29" t="s">
        <v>26</v>
      </c>
      <c r="D8549" s="31">
        <v>149.24</v>
      </c>
      <c r="F8549" s="3" t="str">
        <f t="shared" si="133"/>
        <v>I8217</v>
      </c>
    </row>
    <row r="8550" spans="1:6" x14ac:dyDescent="0.2">
      <c r="A8550" s="29" t="s">
        <v>20641</v>
      </c>
      <c r="B8550" s="30" t="s">
        <v>20642</v>
      </c>
      <c r="C8550" s="29" t="s">
        <v>26</v>
      </c>
      <c r="D8550" s="31">
        <v>193.08</v>
      </c>
      <c r="F8550" s="3" t="str">
        <f t="shared" si="133"/>
        <v>I4161</v>
      </c>
    </row>
    <row r="8551" spans="1:6" x14ac:dyDescent="0.2">
      <c r="A8551" s="29" t="s">
        <v>20643</v>
      </c>
      <c r="B8551" s="30" t="s">
        <v>20644</v>
      </c>
      <c r="C8551" s="29" t="s">
        <v>26</v>
      </c>
      <c r="D8551" s="31">
        <v>175.52</v>
      </c>
      <c r="F8551" s="3" t="str">
        <f t="shared" si="133"/>
        <v>I8218</v>
      </c>
    </row>
    <row r="8552" spans="1:6" x14ac:dyDescent="0.2">
      <c r="A8552" s="29" t="s">
        <v>20645</v>
      </c>
      <c r="B8552" s="30" t="s">
        <v>20646</v>
      </c>
      <c r="C8552" s="29" t="s">
        <v>26</v>
      </c>
      <c r="D8552" s="31">
        <v>241.33</v>
      </c>
      <c r="F8552" s="3" t="str">
        <f t="shared" si="133"/>
        <v>I4162</v>
      </c>
    </row>
    <row r="8553" spans="1:6" x14ac:dyDescent="0.2">
      <c r="A8553" s="29" t="s">
        <v>20647</v>
      </c>
      <c r="B8553" s="30" t="s">
        <v>20648</v>
      </c>
      <c r="C8553" s="29" t="s">
        <v>26</v>
      </c>
      <c r="D8553" s="31">
        <v>219.39</v>
      </c>
      <c r="F8553" s="3" t="str">
        <f t="shared" si="133"/>
        <v>I8219</v>
      </c>
    </row>
    <row r="8554" spans="1:6" x14ac:dyDescent="0.2">
      <c r="A8554" s="29" t="s">
        <v>20649</v>
      </c>
      <c r="B8554" s="30" t="s">
        <v>20650</v>
      </c>
      <c r="C8554" s="29" t="s">
        <v>26</v>
      </c>
      <c r="D8554" s="31">
        <v>289.72000000000003</v>
      </c>
      <c r="F8554" s="3" t="str">
        <f t="shared" si="133"/>
        <v>I4163</v>
      </c>
    </row>
    <row r="8555" spans="1:6" x14ac:dyDescent="0.2">
      <c r="A8555" s="29" t="s">
        <v>20651</v>
      </c>
      <c r="B8555" s="30" t="s">
        <v>20652</v>
      </c>
      <c r="C8555" s="29" t="s">
        <v>26</v>
      </c>
      <c r="D8555" s="31">
        <v>263.38</v>
      </c>
      <c r="F8555" s="3" t="str">
        <f t="shared" si="133"/>
        <v>I8220</v>
      </c>
    </row>
    <row r="8556" spans="1:6" x14ac:dyDescent="0.2">
      <c r="A8556" s="29" t="s">
        <v>20653</v>
      </c>
      <c r="B8556" s="30" t="s">
        <v>20654</v>
      </c>
      <c r="C8556" s="29" t="s">
        <v>26</v>
      </c>
      <c r="D8556" s="31">
        <v>366.87</v>
      </c>
      <c r="F8556" s="3" t="str">
        <f t="shared" si="133"/>
        <v>I4164</v>
      </c>
    </row>
    <row r="8557" spans="1:6" x14ac:dyDescent="0.2">
      <c r="A8557" s="29" t="s">
        <v>20655</v>
      </c>
      <c r="B8557" s="30" t="s">
        <v>20656</v>
      </c>
      <c r="C8557" s="29" t="s">
        <v>26</v>
      </c>
      <c r="D8557" s="31">
        <v>333.52</v>
      </c>
      <c r="F8557" s="3" t="str">
        <f t="shared" si="133"/>
        <v>I8221</v>
      </c>
    </row>
    <row r="8558" spans="1:6" x14ac:dyDescent="0.2">
      <c r="A8558" s="29" t="s">
        <v>20657</v>
      </c>
      <c r="B8558" s="30" t="s">
        <v>20658</v>
      </c>
      <c r="C8558" s="29" t="s">
        <v>26</v>
      </c>
      <c r="D8558" s="31">
        <v>405.52</v>
      </c>
      <c r="F8558" s="3" t="str">
        <f t="shared" si="133"/>
        <v>I4165</v>
      </c>
    </row>
    <row r="8559" spans="1:6" x14ac:dyDescent="0.2">
      <c r="A8559" s="29" t="s">
        <v>20659</v>
      </c>
      <c r="B8559" s="30" t="s">
        <v>20660</v>
      </c>
      <c r="C8559" s="29" t="s">
        <v>26</v>
      </c>
      <c r="D8559" s="31">
        <v>368.65</v>
      </c>
      <c r="F8559" s="3" t="str">
        <f t="shared" si="133"/>
        <v>I6400</v>
      </c>
    </row>
    <row r="8560" spans="1:6" x14ac:dyDescent="0.2">
      <c r="A8560" s="29" t="s">
        <v>20661</v>
      </c>
      <c r="B8560" s="30" t="s">
        <v>20662</v>
      </c>
      <c r="C8560" s="29" t="s">
        <v>26</v>
      </c>
      <c r="D8560" s="31">
        <v>540.91</v>
      </c>
      <c r="F8560" s="3" t="str">
        <f t="shared" si="133"/>
        <v>I4166</v>
      </c>
    </row>
    <row r="8561" spans="1:6" x14ac:dyDescent="0.2">
      <c r="A8561" s="29" t="s">
        <v>20663</v>
      </c>
      <c r="B8561" s="30" t="s">
        <v>20664</v>
      </c>
      <c r="C8561" s="29" t="s">
        <v>26</v>
      </c>
      <c r="D8561" s="31">
        <v>491.74</v>
      </c>
      <c r="F8561" s="3" t="str">
        <f t="shared" si="133"/>
        <v>I6402</v>
      </c>
    </row>
    <row r="8562" spans="1:6" x14ac:dyDescent="0.2">
      <c r="A8562" s="29" t="s">
        <v>20665</v>
      </c>
      <c r="B8562" s="30" t="s">
        <v>20666</v>
      </c>
      <c r="C8562" s="29" t="s">
        <v>26</v>
      </c>
      <c r="D8562" s="31">
        <v>35.130000000000003</v>
      </c>
      <c r="F8562" s="3" t="str">
        <f t="shared" si="133"/>
        <v>I4157</v>
      </c>
    </row>
    <row r="8563" spans="1:6" x14ac:dyDescent="0.2">
      <c r="A8563" s="29" t="s">
        <v>20667</v>
      </c>
      <c r="B8563" s="30" t="s">
        <v>20668</v>
      </c>
      <c r="C8563" s="29" t="s">
        <v>26</v>
      </c>
      <c r="D8563" s="31">
        <v>598.57000000000005</v>
      </c>
      <c r="F8563" s="3" t="str">
        <f t="shared" si="133"/>
        <v>I4167</v>
      </c>
    </row>
    <row r="8564" spans="1:6" x14ac:dyDescent="0.2">
      <c r="A8564" s="29" t="s">
        <v>20669</v>
      </c>
      <c r="B8564" s="30" t="s">
        <v>20670</v>
      </c>
      <c r="C8564" s="29" t="s">
        <v>26</v>
      </c>
      <c r="D8564" s="31">
        <v>544.16</v>
      </c>
      <c r="F8564" s="3" t="str">
        <f t="shared" si="133"/>
        <v>I6403</v>
      </c>
    </row>
    <row r="8565" spans="1:6" x14ac:dyDescent="0.2">
      <c r="A8565" s="29" t="s">
        <v>20671</v>
      </c>
      <c r="B8565" s="30" t="s">
        <v>20672</v>
      </c>
      <c r="C8565" s="29" t="s">
        <v>26</v>
      </c>
      <c r="D8565" s="31">
        <v>618.07000000000005</v>
      </c>
      <c r="F8565" s="3" t="str">
        <f t="shared" si="133"/>
        <v>I10484</v>
      </c>
    </row>
    <row r="8566" spans="1:6" x14ac:dyDescent="0.2">
      <c r="A8566" s="29" t="s">
        <v>20673</v>
      </c>
      <c r="B8566" s="30" t="s">
        <v>20674</v>
      </c>
      <c r="C8566" s="29" t="s">
        <v>26</v>
      </c>
      <c r="D8566" s="31">
        <v>561.88</v>
      </c>
      <c r="F8566" s="3" t="str">
        <f t="shared" si="133"/>
        <v>I10483</v>
      </c>
    </row>
    <row r="8567" spans="1:6" x14ac:dyDescent="0.2">
      <c r="A8567" s="29" t="s">
        <v>20675</v>
      </c>
      <c r="B8567" s="30" t="s">
        <v>20676</v>
      </c>
      <c r="C8567" s="29" t="s">
        <v>26</v>
      </c>
      <c r="D8567" s="31">
        <v>645.08000000000004</v>
      </c>
      <c r="F8567" s="3" t="str">
        <f t="shared" si="133"/>
        <v>I4168</v>
      </c>
    </row>
    <row r="8568" spans="1:6" x14ac:dyDescent="0.2">
      <c r="A8568" s="29" t="s">
        <v>20677</v>
      </c>
      <c r="B8568" s="30" t="s">
        <v>20678</v>
      </c>
      <c r="C8568" s="29" t="s">
        <v>26</v>
      </c>
      <c r="D8568" s="31">
        <v>586.44000000000005</v>
      </c>
      <c r="F8568" s="3" t="str">
        <f t="shared" si="133"/>
        <v>I6404</v>
      </c>
    </row>
    <row r="8569" spans="1:6" x14ac:dyDescent="0.2">
      <c r="A8569" s="29" t="s">
        <v>20679</v>
      </c>
      <c r="B8569" s="30" t="s">
        <v>20680</v>
      </c>
      <c r="C8569" s="29" t="s">
        <v>26</v>
      </c>
      <c r="D8569" s="31">
        <v>733.86</v>
      </c>
      <c r="F8569" s="3" t="str">
        <f t="shared" si="133"/>
        <v>I4169</v>
      </c>
    </row>
    <row r="8570" spans="1:6" x14ac:dyDescent="0.2">
      <c r="A8570" s="29" t="s">
        <v>20681</v>
      </c>
      <c r="B8570" s="30" t="s">
        <v>20682</v>
      </c>
      <c r="C8570" s="29" t="s">
        <v>26</v>
      </c>
      <c r="D8570" s="31">
        <v>667.14</v>
      </c>
      <c r="F8570" s="3" t="str">
        <f t="shared" si="133"/>
        <v>I6405</v>
      </c>
    </row>
    <row r="8571" spans="1:6" x14ac:dyDescent="0.2">
      <c r="A8571" s="29" t="s">
        <v>20683</v>
      </c>
      <c r="B8571" s="30" t="s">
        <v>20684</v>
      </c>
      <c r="C8571" s="29" t="s">
        <v>26</v>
      </c>
      <c r="D8571" s="31">
        <v>58.01</v>
      </c>
      <c r="F8571" s="3" t="str">
        <f t="shared" si="133"/>
        <v>I7095</v>
      </c>
    </row>
    <row r="8572" spans="1:6" x14ac:dyDescent="0.2">
      <c r="A8572" s="29" t="s">
        <v>20685</v>
      </c>
      <c r="B8572" s="30" t="s">
        <v>20686</v>
      </c>
      <c r="C8572" s="29" t="s">
        <v>26</v>
      </c>
      <c r="D8572" s="31">
        <v>52.73</v>
      </c>
      <c r="F8572" s="3" t="str">
        <f t="shared" si="133"/>
        <v>I8215</v>
      </c>
    </row>
    <row r="8573" spans="1:6" x14ac:dyDescent="0.2">
      <c r="A8573" s="29" t="s">
        <v>20687</v>
      </c>
      <c r="B8573" s="30" t="s">
        <v>20688</v>
      </c>
      <c r="C8573" s="29" t="s">
        <v>26</v>
      </c>
      <c r="D8573" s="31">
        <v>2221.89</v>
      </c>
      <c r="F8573" s="3" t="str">
        <f t="shared" si="133"/>
        <v>I4170</v>
      </c>
    </row>
    <row r="8574" spans="1:6" x14ac:dyDescent="0.2">
      <c r="A8574" s="29" t="s">
        <v>20689</v>
      </c>
      <c r="B8574" s="30" t="s">
        <v>20690</v>
      </c>
      <c r="C8574" s="29" t="s">
        <v>26</v>
      </c>
      <c r="D8574" s="31">
        <v>2019.9</v>
      </c>
      <c r="F8574" s="3" t="str">
        <f t="shared" si="133"/>
        <v>I6406</v>
      </c>
    </row>
    <row r="8575" spans="1:6" x14ac:dyDescent="0.2">
      <c r="A8575" s="29" t="s">
        <v>20691</v>
      </c>
      <c r="B8575" s="30" t="s">
        <v>20692</v>
      </c>
      <c r="C8575" s="29" t="s">
        <v>26</v>
      </c>
      <c r="D8575" s="31">
        <v>2535.6799999999998</v>
      </c>
      <c r="F8575" s="3" t="str">
        <f t="shared" si="133"/>
        <v>I4171</v>
      </c>
    </row>
    <row r="8576" spans="1:6" x14ac:dyDescent="0.2">
      <c r="A8576" s="29" t="s">
        <v>20693</v>
      </c>
      <c r="B8576" s="30" t="s">
        <v>20694</v>
      </c>
      <c r="C8576" s="29" t="s">
        <v>26</v>
      </c>
      <c r="D8576" s="31">
        <v>2305.17</v>
      </c>
      <c r="F8576" s="3" t="str">
        <f t="shared" si="133"/>
        <v>I6407</v>
      </c>
    </row>
    <row r="8577" spans="1:6" x14ac:dyDescent="0.2">
      <c r="A8577" s="29" t="s">
        <v>20695</v>
      </c>
      <c r="B8577" s="30" t="s">
        <v>20696</v>
      </c>
      <c r="C8577" s="29" t="s">
        <v>26</v>
      </c>
      <c r="D8577" s="31">
        <v>4.1500000000000004</v>
      </c>
      <c r="F8577" s="3" t="str">
        <f t="shared" si="133"/>
        <v>I2965</v>
      </c>
    </row>
    <row r="8578" spans="1:6" x14ac:dyDescent="0.2">
      <c r="A8578" s="29" t="s">
        <v>20697</v>
      </c>
      <c r="B8578" s="30" t="s">
        <v>20698</v>
      </c>
      <c r="C8578" s="29" t="s">
        <v>26</v>
      </c>
      <c r="D8578" s="31">
        <v>11.81</v>
      </c>
      <c r="F8578" s="3" t="str">
        <f t="shared" ref="F8578:F8641" si="134">A8578</f>
        <v>I2966</v>
      </c>
    </row>
    <row r="8579" spans="1:6" x14ac:dyDescent="0.2">
      <c r="A8579" s="29" t="s">
        <v>20699</v>
      </c>
      <c r="B8579" s="30" t="s">
        <v>20700</v>
      </c>
      <c r="C8579" s="29" t="s">
        <v>26</v>
      </c>
      <c r="D8579" s="31">
        <v>13.07</v>
      </c>
      <c r="F8579" s="3" t="str">
        <f t="shared" si="134"/>
        <v>I2967</v>
      </c>
    </row>
    <row r="8580" spans="1:6" x14ac:dyDescent="0.2">
      <c r="A8580" s="29" t="s">
        <v>20701</v>
      </c>
      <c r="B8580" s="30" t="s">
        <v>20702</v>
      </c>
      <c r="C8580" s="29" t="s">
        <v>26</v>
      </c>
      <c r="D8580" s="31">
        <v>19.82</v>
      </c>
      <c r="F8580" s="3" t="str">
        <f t="shared" si="134"/>
        <v>I2968</v>
      </c>
    </row>
    <row r="8581" spans="1:6" x14ac:dyDescent="0.2">
      <c r="A8581" s="29" t="s">
        <v>20703</v>
      </c>
      <c r="B8581" s="30" t="s">
        <v>20704</v>
      </c>
      <c r="C8581" s="29" t="s">
        <v>26</v>
      </c>
      <c r="D8581" s="31">
        <v>42.94</v>
      </c>
      <c r="F8581" s="3" t="str">
        <f t="shared" si="134"/>
        <v>I2969</v>
      </c>
    </row>
    <row r="8582" spans="1:6" x14ac:dyDescent="0.2">
      <c r="A8582" s="29" t="s">
        <v>20705</v>
      </c>
      <c r="B8582" s="30" t="s">
        <v>20706</v>
      </c>
      <c r="C8582" s="29" t="s">
        <v>26</v>
      </c>
      <c r="D8582" s="31">
        <v>132.08000000000001</v>
      </c>
      <c r="F8582" s="3" t="str">
        <f t="shared" si="134"/>
        <v>I2970</v>
      </c>
    </row>
    <row r="8583" spans="1:6" x14ac:dyDescent="0.2">
      <c r="A8583" s="29" t="s">
        <v>20707</v>
      </c>
      <c r="B8583" s="30" t="s">
        <v>20708</v>
      </c>
      <c r="C8583" s="29" t="s">
        <v>26</v>
      </c>
      <c r="D8583" s="31">
        <v>118.04</v>
      </c>
      <c r="F8583" s="3" t="str">
        <f t="shared" si="134"/>
        <v>I2971</v>
      </c>
    </row>
    <row r="8584" spans="1:6" x14ac:dyDescent="0.2">
      <c r="A8584" s="29" t="s">
        <v>20709</v>
      </c>
      <c r="B8584" s="30" t="s">
        <v>20710</v>
      </c>
      <c r="C8584" s="29" t="s">
        <v>26</v>
      </c>
      <c r="D8584" s="31">
        <v>128.49</v>
      </c>
      <c r="F8584" s="3" t="str">
        <f t="shared" si="134"/>
        <v>I2972</v>
      </c>
    </row>
    <row r="8585" spans="1:6" x14ac:dyDescent="0.2">
      <c r="A8585" s="29" t="s">
        <v>20711</v>
      </c>
      <c r="B8585" s="30" t="s">
        <v>20712</v>
      </c>
      <c r="C8585" s="29" t="s">
        <v>26</v>
      </c>
      <c r="D8585" s="31">
        <v>8.32</v>
      </c>
      <c r="F8585" s="3" t="str">
        <f t="shared" si="134"/>
        <v>I3094</v>
      </c>
    </row>
    <row r="8586" spans="1:6" x14ac:dyDescent="0.2">
      <c r="A8586" s="29" t="s">
        <v>20713</v>
      </c>
      <c r="B8586" s="30" t="s">
        <v>20714</v>
      </c>
      <c r="C8586" s="29" t="s">
        <v>26</v>
      </c>
      <c r="D8586" s="31">
        <v>11.19</v>
      </c>
      <c r="F8586" s="3" t="str">
        <f t="shared" si="134"/>
        <v>I3095</v>
      </c>
    </row>
    <row r="8587" spans="1:6" x14ac:dyDescent="0.2">
      <c r="A8587" s="29" t="s">
        <v>20715</v>
      </c>
      <c r="B8587" s="30" t="s">
        <v>20716</v>
      </c>
      <c r="C8587" s="29" t="s">
        <v>26</v>
      </c>
      <c r="D8587" s="31">
        <v>21.18</v>
      </c>
      <c r="F8587" s="3" t="str">
        <f t="shared" si="134"/>
        <v>I3096</v>
      </c>
    </row>
    <row r="8588" spans="1:6" x14ac:dyDescent="0.2">
      <c r="A8588" s="29" t="s">
        <v>20717</v>
      </c>
      <c r="B8588" s="30" t="s">
        <v>20718</v>
      </c>
      <c r="C8588" s="29" t="s">
        <v>26</v>
      </c>
      <c r="D8588" s="31">
        <v>67.37</v>
      </c>
      <c r="F8588" s="3" t="str">
        <f t="shared" si="134"/>
        <v>I3097</v>
      </c>
    </row>
    <row r="8589" spans="1:6" x14ac:dyDescent="0.2">
      <c r="A8589" s="29" t="s">
        <v>20719</v>
      </c>
      <c r="B8589" s="30" t="s">
        <v>20720</v>
      </c>
      <c r="C8589" s="29" t="s">
        <v>26</v>
      </c>
      <c r="D8589" s="31">
        <v>88.34</v>
      </c>
      <c r="F8589" s="3" t="str">
        <f t="shared" si="134"/>
        <v>I3098</v>
      </c>
    </row>
    <row r="8590" spans="1:6" x14ac:dyDescent="0.2">
      <c r="A8590" s="29" t="s">
        <v>20721</v>
      </c>
      <c r="B8590" s="30" t="s">
        <v>20722</v>
      </c>
      <c r="C8590" s="29" t="s">
        <v>26</v>
      </c>
      <c r="D8590" s="31">
        <v>12.19</v>
      </c>
      <c r="F8590" s="3" t="str">
        <f t="shared" si="134"/>
        <v>I3091</v>
      </c>
    </row>
    <row r="8591" spans="1:6" x14ac:dyDescent="0.2">
      <c r="A8591" s="29" t="s">
        <v>20723</v>
      </c>
      <c r="B8591" s="30" t="s">
        <v>20724</v>
      </c>
      <c r="C8591" s="29" t="s">
        <v>26</v>
      </c>
      <c r="D8591" s="31">
        <v>2.95</v>
      </c>
      <c r="F8591" s="3" t="str">
        <f t="shared" si="134"/>
        <v>I3089</v>
      </c>
    </row>
    <row r="8592" spans="1:6" x14ac:dyDescent="0.2">
      <c r="A8592" s="29" t="s">
        <v>20725</v>
      </c>
      <c r="B8592" s="30" t="s">
        <v>20726</v>
      </c>
      <c r="C8592" s="29" t="s">
        <v>26</v>
      </c>
      <c r="D8592" s="31">
        <v>8.31</v>
      </c>
      <c r="F8592" s="3" t="str">
        <f t="shared" si="134"/>
        <v>I3090</v>
      </c>
    </row>
    <row r="8593" spans="1:6" x14ac:dyDescent="0.2">
      <c r="A8593" s="29" t="s">
        <v>20727</v>
      </c>
      <c r="B8593" s="30" t="s">
        <v>20728</v>
      </c>
      <c r="C8593" s="29" t="s">
        <v>26</v>
      </c>
      <c r="D8593" s="31">
        <v>14.32</v>
      </c>
      <c r="F8593" s="3" t="str">
        <f t="shared" si="134"/>
        <v>I2964</v>
      </c>
    </row>
    <row r="8594" spans="1:6" x14ac:dyDescent="0.2">
      <c r="A8594" s="29" t="s">
        <v>20729</v>
      </c>
      <c r="B8594" s="30" t="s">
        <v>20730</v>
      </c>
      <c r="C8594" s="29" t="s">
        <v>26</v>
      </c>
      <c r="D8594" s="31">
        <v>49.41</v>
      </c>
      <c r="F8594" s="3" t="str">
        <f t="shared" si="134"/>
        <v>I6847</v>
      </c>
    </row>
    <row r="8595" spans="1:6" x14ac:dyDescent="0.2">
      <c r="A8595" s="29" t="s">
        <v>20731</v>
      </c>
      <c r="B8595" s="30" t="s">
        <v>20732</v>
      </c>
      <c r="C8595" s="29" t="s">
        <v>26</v>
      </c>
      <c r="D8595" s="31">
        <v>150.01</v>
      </c>
      <c r="F8595" s="3" t="str">
        <f t="shared" si="134"/>
        <v>I6848</v>
      </c>
    </row>
    <row r="8596" spans="1:6" x14ac:dyDescent="0.2">
      <c r="A8596" s="29" t="s">
        <v>20733</v>
      </c>
      <c r="B8596" s="30" t="s">
        <v>20734</v>
      </c>
      <c r="C8596" s="29" t="s">
        <v>26</v>
      </c>
      <c r="D8596" s="31">
        <v>0.87</v>
      </c>
      <c r="F8596" s="3" t="str">
        <f t="shared" si="134"/>
        <v>I9557</v>
      </c>
    </row>
    <row r="8597" spans="1:6" x14ac:dyDescent="0.2">
      <c r="A8597" s="29" t="s">
        <v>20735</v>
      </c>
      <c r="B8597" s="30" t="s">
        <v>20736</v>
      </c>
      <c r="C8597" s="29" t="s">
        <v>26</v>
      </c>
      <c r="D8597" s="31">
        <v>2</v>
      </c>
      <c r="F8597" s="3" t="str">
        <f t="shared" si="134"/>
        <v>I9558</v>
      </c>
    </row>
    <row r="8598" spans="1:6" x14ac:dyDescent="0.2">
      <c r="A8598" s="29" t="s">
        <v>20737</v>
      </c>
      <c r="B8598" s="30" t="s">
        <v>20738</v>
      </c>
      <c r="C8598" s="29" t="s">
        <v>26</v>
      </c>
      <c r="D8598" s="31">
        <v>0.65</v>
      </c>
      <c r="F8598" s="3" t="str">
        <f t="shared" si="134"/>
        <v>I5803</v>
      </c>
    </row>
    <row r="8599" spans="1:6" x14ac:dyDescent="0.2">
      <c r="A8599" s="29" t="s">
        <v>20739</v>
      </c>
      <c r="B8599" s="30" t="s">
        <v>20740</v>
      </c>
      <c r="C8599" s="29" t="s">
        <v>26</v>
      </c>
      <c r="D8599" s="31">
        <v>1.2</v>
      </c>
      <c r="F8599" s="3" t="str">
        <f t="shared" si="134"/>
        <v>I5804</v>
      </c>
    </row>
    <row r="8600" spans="1:6" x14ac:dyDescent="0.2">
      <c r="A8600" s="29" t="s">
        <v>20741</v>
      </c>
      <c r="B8600" s="30" t="s">
        <v>20742</v>
      </c>
      <c r="C8600" s="29" t="s">
        <v>26</v>
      </c>
      <c r="D8600" s="31">
        <v>1.94</v>
      </c>
      <c r="F8600" s="3" t="str">
        <f t="shared" si="134"/>
        <v>I5805</v>
      </c>
    </row>
    <row r="8601" spans="1:6" x14ac:dyDescent="0.2">
      <c r="A8601" s="29" t="s">
        <v>20743</v>
      </c>
      <c r="B8601" s="30" t="s">
        <v>20744</v>
      </c>
      <c r="C8601" s="29" t="s">
        <v>26</v>
      </c>
      <c r="D8601" s="31">
        <v>48.7</v>
      </c>
      <c r="F8601" s="3" t="str">
        <f t="shared" si="134"/>
        <v>I6063</v>
      </c>
    </row>
    <row r="8602" spans="1:6" x14ac:dyDescent="0.2">
      <c r="A8602" s="29" t="s">
        <v>20745</v>
      </c>
      <c r="B8602" s="30" t="s">
        <v>20746</v>
      </c>
      <c r="C8602" s="29" t="s">
        <v>26</v>
      </c>
      <c r="D8602" s="31">
        <v>55.98</v>
      </c>
      <c r="F8602" s="3" t="str">
        <f t="shared" si="134"/>
        <v>I6061</v>
      </c>
    </row>
    <row r="8603" spans="1:6" x14ac:dyDescent="0.2">
      <c r="A8603" s="29" t="s">
        <v>20747</v>
      </c>
      <c r="B8603" s="30" t="s">
        <v>20748</v>
      </c>
      <c r="C8603" s="29" t="s">
        <v>26</v>
      </c>
      <c r="D8603" s="31">
        <v>56.44</v>
      </c>
      <c r="F8603" s="3" t="str">
        <f t="shared" si="134"/>
        <v>I6062</v>
      </c>
    </row>
    <row r="8604" spans="1:6" x14ac:dyDescent="0.2">
      <c r="A8604" s="29" t="s">
        <v>20749</v>
      </c>
      <c r="B8604" s="30" t="s">
        <v>20750</v>
      </c>
      <c r="C8604" s="29" t="s">
        <v>26</v>
      </c>
      <c r="D8604" s="31">
        <v>145.97999999999999</v>
      </c>
      <c r="F8604" s="3" t="str">
        <f t="shared" si="134"/>
        <v>I6064</v>
      </c>
    </row>
    <row r="8605" spans="1:6" x14ac:dyDescent="0.2">
      <c r="A8605" s="29" t="s">
        <v>20751</v>
      </c>
      <c r="B8605" s="30" t="s">
        <v>20752</v>
      </c>
      <c r="C8605" s="29" t="s">
        <v>26</v>
      </c>
      <c r="D8605" s="31">
        <v>84.21</v>
      </c>
      <c r="F8605" s="3" t="str">
        <f t="shared" si="134"/>
        <v>I6065</v>
      </c>
    </row>
    <row r="8606" spans="1:6" x14ac:dyDescent="0.2">
      <c r="A8606" s="29" t="s">
        <v>20753</v>
      </c>
      <c r="B8606" s="30" t="s">
        <v>20754</v>
      </c>
      <c r="C8606" s="29" t="s">
        <v>26</v>
      </c>
      <c r="D8606" s="31">
        <v>186.62</v>
      </c>
      <c r="F8606" s="3" t="str">
        <f t="shared" si="134"/>
        <v>I6244</v>
      </c>
    </row>
    <row r="8607" spans="1:6" x14ac:dyDescent="0.2">
      <c r="A8607" s="29" t="s">
        <v>20755</v>
      </c>
      <c r="B8607" s="30" t="s">
        <v>20756</v>
      </c>
      <c r="C8607" s="29" t="s">
        <v>26</v>
      </c>
      <c r="D8607" s="31">
        <v>375.22</v>
      </c>
      <c r="F8607" s="3" t="str">
        <f t="shared" si="134"/>
        <v>I6066</v>
      </c>
    </row>
    <row r="8608" spans="1:6" x14ac:dyDescent="0.2">
      <c r="A8608" s="29" t="s">
        <v>20757</v>
      </c>
      <c r="B8608" s="30" t="s">
        <v>20758</v>
      </c>
      <c r="C8608" s="29" t="s">
        <v>26</v>
      </c>
      <c r="D8608" s="31">
        <v>521.23</v>
      </c>
      <c r="F8608" s="3" t="str">
        <f t="shared" si="134"/>
        <v>I6067</v>
      </c>
    </row>
    <row r="8609" spans="1:6" x14ac:dyDescent="0.2">
      <c r="A8609" s="29" t="s">
        <v>20759</v>
      </c>
      <c r="B8609" s="30" t="s">
        <v>20760</v>
      </c>
      <c r="C8609" s="29" t="s">
        <v>26</v>
      </c>
      <c r="D8609" s="31">
        <v>670.97</v>
      </c>
      <c r="F8609" s="3" t="str">
        <f t="shared" si="134"/>
        <v>I6068</v>
      </c>
    </row>
    <row r="8610" spans="1:6" x14ac:dyDescent="0.2">
      <c r="A8610" s="29" t="s">
        <v>20761</v>
      </c>
      <c r="B8610" s="30" t="s">
        <v>20762</v>
      </c>
      <c r="C8610" s="29" t="s">
        <v>26</v>
      </c>
      <c r="D8610" s="31">
        <v>659.05</v>
      </c>
      <c r="F8610" s="3" t="str">
        <f t="shared" si="134"/>
        <v>I6069</v>
      </c>
    </row>
    <row r="8611" spans="1:6" x14ac:dyDescent="0.2">
      <c r="A8611" s="29" t="s">
        <v>20763</v>
      </c>
      <c r="B8611" s="30" t="s">
        <v>20764</v>
      </c>
      <c r="C8611" s="29" t="s">
        <v>26</v>
      </c>
      <c r="D8611" s="31">
        <v>694.87</v>
      </c>
      <c r="F8611" s="3" t="str">
        <f t="shared" si="134"/>
        <v>I6410</v>
      </c>
    </row>
    <row r="8612" spans="1:6" x14ac:dyDescent="0.2">
      <c r="A8612" s="29" t="s">
        <v>20765</v>
      </c>
      <c r="B8612" s="30" t="s">
        <v>20766</v>
      </c>
      <c r="C8612" s="29" t="s">
        <v>26</v>
      </c>
      <c r="D8612" s="31">
        <v>1086.8699999999999</v>
      </c>
      <c r="F8612" s="3" t="str">
        <f t="shared" si="134"/>
        <v>I6411</v>
      </c>
    </row>
    <row r="8613" spans="1:6" x14ac:dyDescent="0.2">
      <c r="A8613" s="29" t="s">
        <v>20767</v>
      </c>
      <c r="B8613" s="30" t="s">
        <v>20768</v>
      </c>
      <c r="C8613" s="29" t="s">
        <v>26</v>
      </c>
      <c r="D8613" s="31">
        <v>28.5</v>
      </c>
      <c r="F8613" s="3" t="str">
        <f t="shared" si="134"/>
        <v>I9559</v>
      </c>
    </row>
    <row r="8614" spans="1:6" x14ac:dyDescent="0.2">
      <c r="A8614" s="29" t="s">
        <v>20769</v>
      </c>
      <c r="B8614" s="30" t="s">
        <v>20770</v>
      </c>
      <c r="C8614" s="29" t="s">
        <v>26</v>
      </c>
      <c r="D8614" s="31">
        <v>4449.7700000000004</v>
      </c>
      <c r="F8614" s="3" t="str">
        <f t="shared" si="134"/>
        <v>I9560</v>
      </c>
    </row>
    <row r="8615" spans="1:6" x14ac:dyDescent="0.2">
      <c r="A8615" s="29" t="s">
        <v>20771</v>
      </c>
      <c r="B8615" s="30" t="s">
        <v>20772</v>
      </c>
      <c r="C8615" s="29" t="s">
        <v>26</v>
      </c>
      <c r="D8615" s="31">
        <v>4672.26</v>
      </c>
      <c r="F8615" s="3" t="str">
        <f t="shared" si="134"/>
        <v>I9561</v>
      </c>
    </row>
    <row r="8616" spans="1:6" x14ac:dyDescent="0.2">
      <c r="A8616" s="29" t="s">
        <v>20773</v>
      </c>
      <c r="B8616" s="30" t="s">
        <v>20774</v>
      </c>
      <c r="C8616" s="29" t="s">
        <v>26</v>
      </c>
      <c r="D8616" s="31">
        <v>1051.1500000000001</v>
      </c>
      <c r="F8616" s="3" t="str">
        <f t="shared" si="134"/>
        <v>I9562</v>
      </c>
    </row>
    <row r="8617" spans="1:6" x14ac:dyDescent="0.2">
      <c r="A8617" s="29" t="s">
        <v>20775</v>
      </c>
      <c r="B8617" s="30" t="s">
        <v>20776</v>
      </c>
      <c r="C8617" s="29" t="s">
        <v>26</v>
      </c>
      <c r="D8617" s="31">
        <v>715.75</v>
      </c>
      <c r="F8617" s="3" t="str">
        <f t="shared" si="134"/>
        <v>I9563</v>
      </c>
    </row>
    <row r="8618" spans="1:6" ht="33.75" x14ac:dyDescent="0.2">
      <c r="A8618" s="29" t="s">
        <v>20777</v>
      </c>
      <c r="B8618" s="30" t="s">
        <v>20778</v>
      </c>
      <c r="C8618" s="29" t="s">
        <v>20779</v>
      </c>
      <c r="D8618" s="31">
        <v>1219.49</v>
      </c>
      <c r="F8618" s="3" t="str">
        <f t="shared" si="134"/>
        <v>I10467</v>
      </c>
    </row>
    <row r="8619" spans="1:6" ht="33.75" x14ac:dyDescent="0.2">
      <c r="A8619" s="29" t="s">
        <v>20780</v>
      </c>
      <c r="B8619" s="30" t="s">
        <v>20781</v>
      </c>
      <c r="C8619" s="29" t="s">
        <v>20779</v>
      </c>
      <c r="D8619" s="31">
        <v>1219.49</v>
      </c>
      <c r="F8619" s="3" t="str">
        <f t="shared" si="134"/>
        <v>I10464</v>
      </c>
    </row>
    <row r="8620" spans="1:6" ht="33.75" x14ac:dyDescent="0.2">
      <c r="A8620" s="29" t="s">
        <v>20782</v>
      </c>
      <c r="B8620" s="30" t="s">
        <v>20783</v>
      </c>
      <c r="C8620" s="29" t="s">
        <v>20779</v>
      </c>
      <c r="D8620" s="31">
        <v>1219.49</v>
      </c>
      <c r="F8620" s="3" t="str">
        <f t="shared" si="134"/>
        <v>I10465</v>
      </c>
    </row>
    <row r="8621" spans="1:6" ht="33.75" x14ac:dyDescent="0.2">
      <c r="A8621" s="29" t="s">
        <v>20784</v>
      </c>
      <c r="B8621" s="30" t="s">
        <v>20785</v>
      </c>
      <c r="C8621" s="29" t="s">
        <v>20779</v>
      </c>
      <c r="D8621" s="31">
        <v>1219.49</v>
      </c>
      <c r="F8621" s="3" t="str">
        <f t="shared" si="134"/>
        <v>I10466</v>
      </c>
    </row>
    <row r="8622" spans="1:6" ht="22.5" x14ac:dyDescent="0.2">
      <c r="A8622" s="29" t="s">
        <v>20786</v>
      </c>
      <c r="B8622" s="30" t="s">
        <v>20787</v>
      </c>
      <c r="C8622" s="29" t="s">
        <v>271</v>
      </c>
      <c r="D8622" s="31">
        <v>1320.02</v>
      </c>
      <c r="F8622" s="3" t="str">
        <f t="shared" si="134"/>
        <v>I6049</v>
      </c>
    </row>
    <row r="8623" spans="1:6" x14ac:dyDescent="0.2">
      <c r="A8623" s="29" t="s">
        <v>20788</v>
      </c>
      <c r="B8623" s="30" t="s">
        <v>20789</v>
      </c>
      <c r="C8623" s="29" t="s">
        <v>1284</v>
      </c>
      <c r="D8623" s="31">
        <v>2.1800000000000002</v>
      </c>
      <c r="F8623" s="3" t="str">
        <f t="shared" si="134"/>
        <v>I8980</v>
      </c>
    </row>
    <row r="8624" spans="1:6" x14ac:dyDescent="0.2">
      <c r="A8624" s="29" t="s">
        <v>20790</v>
      </c>
      <c r="B8624" s="30" t="s">
        <v>20791</v>
      </c>
      <c r="C8624" s="29" t="s">
        <v>26</v>
      </c>
      <c r="D8624" s="31">
        <v>26.02</v>
      </c>
      <c r="F8624" s="3" t="str">
        <f t="shared" si="134"/>
        <v>I6470</v>
      </c>
    </row>
    <row r="8625" spans="1:6" x14ac:dyDescent="0.2">
      <c r="A8625" s="29" t="s">
        <v>20792</v>
      </c>
      <c r="B8625" s="30" t="s">
        <v>20793</v>
      </c>
      <c r="C8625" s="29" t="s">
        <v>26</v>
      </c>
      <c r="D8625" s="31">
        <v>18.32</v>
      </c>
      <c r="F8625" s="3" t="str">
        <f t="shared" si="134"/>
        <v>I4142</v>
      </c>
    </row>
    <row r="8626" spans="1:6" x14ac:dyDescent="0.2">
      <c r="A8626" s="29" t="s">
        <v>20794</v>
      </c>
      <c r="B8626" s="30" t="s">
        <v>20795</v>
      </c>
      <c r="C8626" s="29" t="s">
        <v>26</v>
      </c>
      <c r="D8626" s="31">
        <v>16.649999999999999</v>
      </c>
      <c r="F8626" s="3" t="str">
        <f t="shared" si="134"/>
        <v>I6428</v>
      </c>
    </row>
    <row r="8627" spans="1:6" x14ac:dyDescent="0.2">
      <c r="A8627" s="29" t="s">
        <v>20796</v>
      </c>
      <c r="B8627" s="30" t="s">
        <v>20797</v>
      </c>
      <c r="C8627" s="29" t="s">
        <v>26</v>
      </c>
      <c r="D8627" s="31">
        <v>2734.85</v>
      </c>
      <c r="F8627" s="3" t="str">
        <f t="shared" si="134"/>
        <v>I4155</v>
      </c>
    </row>
    <row r="8628" spans="1:6" x14ac:dyDescent="0.2">
      <c r="A8628" s="29" t="s">
        <v>20798</v>
      </c>
      <c r="B8628" s="30" t="s">
        <v>20799</v>
      </c>
      <c r="C8628" s="29" t="s">
        <v>26</v>
      </c>
      <c r="D8628" s="31">
        <v>2486.23</v>
      </c>
      <c r="F8628" s="3" t="str">
        <f t="shared" si="134"/>
        <v>I6446</v>
      </c>
    </row>
    <row r="8629" spans="1:6" x14ac:dyDescent="0.2">
      <c r="A8629" s="29" t="s">
        <v>20800</v>
      </c>
      <c r="B8629" s="30" t="s">
        <v>20801</v>
      </c>
      <c r="C8629" s="29" t="s">
        <v>26</v>
      </c>
      <c r="D8629" s="31">
        <v>3241.36</v>
      </c>
      <c r="F8629" s="3" t="str">
        <f t="shared" si="134"/>
        <v>I4156</v>
      </c>
    </row>
    <row r="8630" spans="1:6" x14ac:dyDescent="0.2">
      <c r="A8630" s="29" t="s">
        <v>20802</v>
      </c>
      <c r="B8630" s="30" t="s">
        <v>20803</v>
      </c>
      <c r="C8630" s="29" t="s">
        <v>26</v>
      </c>
      <c r="D8630" s="31">
        <v>2946.69</v>
      </c>
      <c r="F8630" s="3" t="str">
        <f t="shared" si="134"/>
        <v>I6447</v>
      </c>
    </row>
    <row r="8631" spans="1:6" x14ac:dyDescent="0.2">
      <c r="A8631" s="29" t="s">
        <v>20804</v>
      </c>
      <c r="B8631" s="30" t="s">
        <v>20805</v>
      </c>
      <c r="C8631" s="29" t="s">
        <v>26</v>
      </c>
      <c r="D8631" s="31">
        <v>36.76</v>
      </c>
      <c r="F8631" s="3" t="str">
        <f t="shared" si="134"/>
        <v>I4143</v>
      </c>
    </row>
    <row r="8632" spans="1:6" x14ac:dyDescent="0.2">
      <c r="A8632" s="29" t="s">
        <v>20806</v>
      </c>
      <c r="B8632" s="30" t="s">
        <v>20807</v>
      </c>
      <c r="C8632" s="29" t="s">
        <v>26</v>
      </c>
      <c r="D8632" s="31">
        <v>33.409999999999997</v>
      </c>
      <c r="F8632" s="3" t="str">
        <f t="shared" si="134"/>
        <v>I6429</v>
      </c>
    </row>
    <row r="8633" spans="1:6" x14ac:dyDescent="0.2">
      <c r="A8633" s="29" t="s">
        <v>20808</v>
      </c>
      <c r="B8633" s="30" t="s">
        <v>20809</v>
      </c>
      <c r="C8633" s="29" t="s">
        <v>26</v>
      </c>
      <c r="D8633" s="31">
        <v>51.21</v>
      </c>
      <c r="F8633" s="3" t="str">
        <f t="shared" si="134"/>
        <v>I4144</v>
      </c>
    </row>
    <row r="8634" spans="1:6" x14ac:dyDescent="0.2">
      <c r="A8634" s="29" t="s">
        <v>20810</v>
      </c>
      <c r="B8634" s="30" t="s">
        <v>20811</v>
      </c>
      <c r="C8634" s="29" t="s">
        <v>26</v>
      </c>
      <c r="D8634" s="31">
        <v>46.54</v>
      </c>
      <c r="F8634" s="3" t="str">
        <f t="shared" si="134"/>
        <v>I6430</v>
      </c>
    </row>
    <row r="8635" spans="1:6" x14ac:dyDescent="0.2">
      <c r="A8635" s="29" t="s">
        <v>20812</v>
      </c>
      <c r="B8635" s="30" t="s">
        <v>20813</v>
      </c>
      <c r="C8635" s="29" t="s">
        <v>26</v>
      </c>
      <c r="D8635" s="31">
        <v>59.88</v>
      </c>
      <c r="F8635" s="3" t="str">
        <f t="shared" si="134"/>
        <v>I4145</v>
      </c>
    </row>
    <row r="8636" spans="1:6" x14ac:dyDescent="0.2">
      <c r="A8636" s="29" t="s">
        <v>20814</v>
      </c>
      <c r="B8636" s="30" t="s">
        <v>20815</v>
      </c>
      <c r="C8636" s="29" t="s">
        <v>26</v>
      </c>
      <c r="D8636" s="31">
        <v>54.45</v>
      </c>
      <c r="F8636" s="3" t="str">
        <f t="shared" si="134"/>
        <v>I6436</v>
      </c>
    </row>
    <row r="8637" spans="1:6" x14ac:dyDescent="0.2">
      <c r="A8637" s="29" t="s">
        <v>20816</v>
      </c>
      <c r="B8637" s="30" t="s">
        <v>20817</v>
      </c>
      <c r="C8637" s="29" t="s">
        <v>26</v>
      </c>
      <c r="D8637" s="31">
        <v>77.16</v>
      </c>
      <c r="F8637" s="3" t="str">
        <f t="shared" si="134"/>
        <v>I4146</v>
      </c>
    </row>
    <row r="8638" spans="1:6" x14ac:dyDescent="0.2">
      <c r="A8638" s="29" t="s">
        <v>20818</v>
      </c>
      <c r="B8638" s="30" t="s">
        <v>20819</v>
      </c>
      <c r="C8638" s="29" t="s">
        <v>26</v>
      </c>
      <c r="D8638" s="31">
        <v>70.150000000000006</v>
      </c>
      <c r="F8638" s="3" t="str">
        <f t="shared" si="134"/>
        <v>I6437</v>
      </c>
    </row>
    <row r="8639" spans="1:6" x14ac:dyDescent="0.2">
      <c r="A8639" s="29" t="s">
        <v>20820</v>
      </c>
      <c r="B8639" s="30" t="s">
        <v>20821</v>
      </c>
      <c r="C8639" s="29" t="s">
        <v>26</v>
      </c>
      <c r="D8639" s="31">
        <v>86.9</v>
      </c>
      <c r="F8639" s="3" t="str">
        <f t="shared" si="134"/>
        <v>I4147</v>
      </c>
    </row>
    <row r="8640" spans="1:6" x14ac:dyDescent="0.2">
      <c r="A8640" s="29" t="s">
        <v>20822</v>
      </c>
      <c r="B8640" s="30" t="s">
        <v>20823</v>
      </c>
      <c r="C8640" s="29" t="s">
        <v>26</v>
      </c>
      <c r="D8640" s="31">
        <v>79</v>
      </c>
      <c r="F8640" s="3" t="str">
        <f t="shared" si="134"/>
        <v>I6438</v>
      </c>
    </row>
    <row r="8641" spans="1:6" x14ac:dyDescent="0.2">
      <c r="A8641" s="29" t="s">
        <v>20824</v>
      </c>
      <c r="B8641" s="30" t="s">
        <v>20825</v>
      </c>
      <c r="C8641" s="29" t="s">
        <v>26</v>
      </c>
      <c r="D8641" s="31">
        <v>162.54</v>
      </c>
      <c r="F8641" s="3" t="str">
        <f t="shared" si="134"/>
        <v>I4148</v>
      </c>
    </row>
    <row r="8642" spans="1:6" x14ac:dyDescent="0.2">
      <c r="A8642" s="29" t="s">
        <v>20826</v>
      </c>
      <c r="B8642" s="30" t="s">
        <v>20827</v>
      </c>
      <c r="C8642" s="29" t="s">
        <v>26</v>
      </c>
      <c r="D8642" s="31">
        <v>147.76</v>
      </c>
      <c r="F8642" s="3" t="str">
        <f t="shared" ref="F8642:F8705" si="135">A8642</f>
        <v>I6439</v>
      </c>
    </row>
    <row r="8643" spans="1:6" x14ac:dyDescent="0.2">
      <c r="A8643" s="29" t="s">
        <v>20828</v>
      </c>
      <c r="B8643" s="30" t="s">
        <v>20829</v>
      </c>
      <c r="C8643" s="29" t="s">
        <v>26</v>
      </c>
      <c r="D8643" s="31">
        <v>162.54</v>
      </c>
      <c r="F8643" s="3" t="str">
        <f t="shared" si="135"/>
        <v>I9564</v>
      </c>
    </row>
    <row r="8644" spans="1:6" x14ac:dyDescent="0.2">
      <c r="A8644" s="29" t="s">
        <v>20830</v>
      </c>
      <c r="B8644" s="30" t="s">
        <v>20831</v>
      </c>
      <c r="C8644" s="29" t="s">
        <v>26</v>
      </c>
      <c r="D8644" s="31">
        <v>192.13</v>
      </c>
      <c r="F8644" s="3" t="str">
        <f t="shared" si="135"/>
        <v>I4149</v>
      </c>
    </row>
    <row r="8645" spans="1:6" x14ac:dyDescent="0.2">
      <c r="A8645" s="29" t="s">
        <v>20832</v>
      </c>
      <c r="B8645" s="30" t="s">
        <v>20833</v>
      </c>
      <c r="C8645" s="29" t="s">
        <v>26</v>
      </c>
      <c r="D8645" s="31">
        <v>174.66</v>
      </c>
      <c r="F8645" s="3" t="str">
        <f t="shared" si="135"/>
        <v>I6440</v>
      </c>
    </row>
    <row r="8646" spans="1:6" x14ac:dyDescent="0.2">
      <c r="A8646" s="29" t="s">
        <v>20834</v>
      </c>
      <c r="B8646" s="30" t="s">
        <v>20835</v>
      </c>
      <c r="C8646" s="29" t="s">
        <v>26</v>
      </c>
      <c r="D8646" s="31">
        <v>11.63</v>
      </c>
      <c r="F8646" s="3" t="str">
        <f t="shared" si="135"/>
        <v>I4140</v>
      </c>
    </row>
    <row r="8647" spans="1:6" x14ac:dyDescent="0.2">
      <c r="A8647" s="29" t="s">
        <v>20836</v>
      </c>
      <c r="B8647" s="30" t="s">
        <v>20837</v>
      </c>
      <c r="C8647" s="29" t="s">
        <v>26</v>
      </c>
      <c r="D8647" s="31">
        <v>10.57</v>
      </c>
      <c r="F8647" s="3" t="str">
        <f t="shared" si="135"/>
        <v>I6418</v>
      </c>
    </row>
    <row r="8648" spans="1:6" x14ac:dyDescent="0.2">
      <c r="A8648" s="29" t="s">
        <v>20838</v>
      </c>
      <c r="B8648" s="30" t="s">
        <v>20839</v>
      </c>
      <c r="C8648" s="29" t="s">
        <v>26</v>
      </c>
      <c r="D8648" s="31">
        <v>289.72000000000003</v>
      </c>
      <c r="F8648" s="3" t="str">
        <f t="shared" si="135"/>
        <v>I4150</v>
      </c>
    </row>
    <row r="8649" spans="1:6" x14ac:dyDescent="0.2">
      <c r="A8649" s="29" t="s">
        <v>20840</v>
      </c>
      <c r="B8649" s="30" t="s">
        <v>20841</v>
      </c>
      <c r="C8649" s="29" t="s">
        <v>26</v>
      </c>
      <c r="D8649" s="31">
        <v>263.38</v>
      </c>
      <c r="F8649" s="3" t="str">
        <f t="shared" si="135"/>
        <v>I6441</v>
      </c>
    </row>
    <row r="8650" spans="1:6" x14ac:dyDescent="0.2">
      <c r="A8650" s="29" t="s">
        <v>20842</v>
      </c>
      <c r="B8650" s="30" t="s">
        <v>20843</v>
      </c>
      <c r="C8650" s="29" t="s">
        <v>26</v>
      </c>
      <c r="D8650" s="31">
        <v>567.22</v>
      </c>
      <c r="F8650" s="3" t="str">
        <f t="shared" si="135"/>
        <v>I4151</v>
      </c>
    </row>
    <row r="8651" spans="1:6" x14ac:dyDescent="0.2">
      <c r="A8651" s="29" t="s">
        <v>20844</v>
      </c>
      <c r="B8651" s="30" t="s">
        <v>20845</v>
      </c>
      <c r="C8651" s="29" t="s">
        <v>26</v>
      </c>
      <c r="D8651" s="31">
        <v>515.65</v>
      </c>
      <c r="F8651" s="3" t="str">
        <f t="shared" si="135"/>
        <v>I6442</v>
      </c>
    </row>
    <row r="8652" spans="1:6" x14ac:dyDescent="0.2">
      <c r="A8652" s="29" t="s">
        <v>20846</v>
      </c>
      <c r="B8652" s="30" t="s">
        <v>20847</v>
      </c>
      <c r="C8652" s="29" t="s">
        <v>26</v>
      </c>
      <c r="D8652" s="31">
        <v>668.44</v>
      </c>
      <c r="F8652" s="3" t="str">
        <f t="shared" si="135"/>
        <v>I4152</v>
      </c>
    </row>
    <row r="8653" spans="1:6" x14ac:dyDescent="0.2">
      <c r="A8653" s="29" t="s">
        <v>20848</v>
      </c>
      <c r="B8653" s="30" t="s">
        <v>20849</v>
      </c>
      <c r="C8653" s="29" t="s">
        <v>26</v>
      </c>
      <c r="D8653" s="31">
        <v>607.66999999999996</v>
      </c>
      <c r="F8653" s="3" t="str">
        <f t="shared" si="135"/>
        <v>I6443</v>
      </c>
    </row>
    <row r="8654" spans="1:6" x14ac:dyDescent="0.2">
      <c r="A8654" s="29" t="s">
        <v>20850</v>
      </c>
      <c r="B8654" s="30" t="s">
        <v>20851</v>
      </c>
      <c r="C8654" s="29" t="s">
        <v>26</v>
      </c>
      <c r="D8654" s="31">
        <v>14.56</v>
      </c>
      <c r="F8654" s="3" t="str">
        <f t="shared" si="135"/>
        <v>I4141</v>
      </c>
    </row>
    <row r="8655" spans="1:6" x14ac:dyDescent="0.2">
      <c r="A8655" s="29" t="s">
        <v>20852</v>
      </c>
      <c r="B8655" s="30" t="s">
        <v>20853</v>
      </c>
      <c r="C8655" s="29" t="s">
        <v>26</v>
      </c>
      <c r="D8655" s="31">
        <v>13.24</v>
      </c>
      <c r="F8655" s="3" t="str">
        <f t="shared" si="135"/>
        <v>I6419</v>
      </c>
    </row>
    <row r="8656" spans="1:6" x14ac:dyDescent="0.2">
      <c r="A8656" s="29" t="s">
        <v>20854</v>
      </c>
      <c r="B8656" s="30" t="s">
        <v>20855</v>
      </c>
      <c r="C8656" s="29" t="s">
        <v>26</v>
      </c>
      <c r="D8656" s="31">
        <v>15.27</v>
      </c>
      <c r="F8656" s="3" t="str">
        <f t="shared" si="135"/>
        <v>I7096</v>
      </c>
    </row>
    <row r="8657" spans="1:6" x14ac:dyDescent="0.2">
      <c r="A8657" s="29" t="s">
        <v>20856</v>
      </c>
      <c r="B8657" s="30" t="s">
        <v>20857</v>
      </c>
      <c r="C8657" s="29" t="s">
        <v>26</v>
      </c>
      <c r="D8657" s="31">
        <v>13.88</v>
      </c>
      <c r="F8657" s="3" t="str">
        <f t="shared" si="135"/>
        <v>I6420</v>
      </c>
    </row>
    <row r="8658" spans="1:6" x14ac:dyDescent="0.2">
      <c r="A8658" s="29" t="s">
        <v>20858</v>
      </c>
      <c r="B8658" s="30" t="s">
        <v>20859</v>
      </c>
      <c r="C8658" s="29" t="s">
        <v>26</v>
      </c>
      <c r="D8658" s="31">
        <v>1620.73</v>
      </c>
      <c r="F8658" s="3" t="str">
        <f t="shared" si="135"/>
        <v>I4153</v>
      </c>
    </row>
    <row r="8659" spans="1:6" x14ac:dyDescent="0.2">
      <c r="A8659" s="29" t="s">
        <v>20860</v>
      </c>
      <c r="B8659" s="30" t="s">
        <v>20861</v>
      </c>
      <c r="C8659" s="29" t="s">
        <v>26</v>
      </c>
      <c r="D8659" s="31">
        <v>1473.39</v>
      </c>
      <c r="F8659" s="3" t="str">
        <f t="shared" si="135"/>
        <v>I6444</v>
      </c>
    </row>
    <row r="8660" spans="1:6" x14ac:dyDescent="0.2">
      <c r="A8660" s="29" t="s">
        <v>20862</v>
      </c>
      <c r="B8660" s="30" t="s">
        <v>20863</v>
      </c>
      <c r="C8660" s="29" t="s">
        <v>26</v>
      </c>
      <c r="D8660" s="31">
        <v>1823.19</v>
      </c>
      <c r="F8660" s="3" t="str">
        <f t="shared" si="135"/>
        <v>I4154</v>
      </c>
    </row>
    <row r="8661" spans="1:6" x14ac:dyDescent="0.2">
      <c r="A8661" s="29" t="s">
        <v>20864</v>
      </c>
      <c r="B8661" s="30" t="s">
        <v>20865</v>
      </c>
      <c r="C8661" s="29" t="s">
        <v>26</v>
      </c>
      <c r="D8661" s="31">
        <v>1657.44</v>
      </c>
      <c r="F8661" s="3" t="str">
        <f t="shared" si="135"/>
        <v>I6445</v>
      </c>
    </row>
    <row r="8662" spans="1:6" x14ac:dyDescent="0.2">
      <c r="A8662" s="29" t="s">
        <v>20866</v>
      </c>
      <c r="B8662" s="30" t="s">
        <v>20867</v>
      </c>
      <c r="C8662" s="29" t="s">
        <v>26</v>
      </c>
      <c r="D8662" s="31">
        <v>1823.19</v>
      </c>
      <c r="F8662" s="3" t="str">
        <f t="shared" si="135"/>
        <v>I9565</v>
      </c>
    </row>
    <row r="8663" spans="1:6" x14ac:dyDescent="0.2">
      <c r="A8663" s="29" t="s">
        <v>20868</v>
      </c>
      <c r="B8663" s="30" t="s">
        <v>20869</v>
      </c>
      <c r="C8663" s="29" t="s">
        <v>26</v>
      </c>
      <c r="D8663" s="31">
        <v>0.83</v>
      </c>
      <c r="F8663" s="3" t="str">
        <f t="shared" si="135"/>
        <v>I6467</v>
      </c>
    </row>
    <row r="8664" spans="1:6" x14ac:dyDescent="0.2">
      <c r="A8664" s="29" t="s">
        <v>20870</v>
      </c>
      <c r="B8664" s="30" t="s">
        <v>20871</v>
      </c>
      <c r="C8664" s="29" t="s">
        <v>26</v>
      </c>
      <c r="D8664" s="31">
        <v>0.1</v>
      </c>
      <c r="F8664" s="3" t="str">
        <f t="shared" si="135"/>
        <v>I9566</v>
      </c>
    </row>
    <row r="8665" spans="1:6" x14ac:dyDescent="0.2">
      <c r="A8665" s="29" t="s">
        <v>20872</v>
      </c>
      <c r="B8665" s="30" t="s">
        <v>20873</v>
      </c>
      <c r="C8665" s="29" t="s">
        <v>26</v>
      </c>
      <c r="D8665" s="31">
        <v>7.0000000000000007E-2</v>
      </c>
      <c r="F8665" s="3" t="str">
        <f t="shared" si="135"/>
        <v>I9567</v>
      </c>
    </row>
    <row r="8666" spans="1:6" x14ac:dyDescent="0.2">
      <c r="A8666" s="29" t="s">
        <v>20874</v>
      </c>
      <c r="B8666" s="30" t="s">
        <v>20875</v>
      </c>
      <c r="C8666" s="29" t="s">
        <v>26</v>
      </c>
      <c r="D8666" s="31">
        <v>0.99</v>
      </c>
      <c r="F8666" s="3" t="str">
        <f t="shared" si="135"/>
        <v>I8070</v>
      </c>
    </row>
    <row r="8667" spans="1:6" x14ac:dyDescent="0.2">
      <c r="A8667" s="29" t="s">
        <v>20876</v>
      </c>
      <c r="B8667" s="30" t="s">
        <v>20877</v>
      </c>
      <c r="C8667" s="29" t="s">
        <v>26</v>
      </c>
      <c r="D8667" s="31">
        <v>0.68</v>
      </c>
      <c r="F8667" s="3" t="str">
        <f t="shared" si="135"/>
        <v>I8071</v>
      </c>
    </row>
    <row r="8668" spans="1:6" x14ac:dyDescent="0.2">
      <c r="A8668" s="29" t="s">
        <v>20878</v>
      </c>
      <c r="B8668" s="30" t="s">
        <v>20879</v>
      </c>
      <c r="C8668" s="29" t="s">
        <v>1284</v>
      </c>
      <c r="D8668" s="31">
        <v>6.12</v>
      </c>
      <c r="F8668" s="3" t="str">
        <f t="shared" si="135"/>
        <v>I7556</v>
      </c>
    </row>
    <row r="8669" spans="1:6" x14ac:dyDescent="0.2">
      <c r="A8669" s="29" t="s">
        <v>20880</v>
      </c>
      <c r="B8669" s="30" t="s">
        <v>20881</v>
      </c>
      <c r="C8669" s="29" t="s">
        <v>26</v>
      </c>
      <c r="D8669" s="31">
        <v>15.99</v>
      </c>
      <c r="F8669" s="3" t="str">
        <f t="shared" si="135"/>
        <v>I9568</v>
      </c>
    </row>
    <row r="8670" spans="1:6" x14ac:dyDescent="0.2">
      <c r="A8670" s="29" t="s">
        <v>20882</v>
      </c>
      <c r="B8670" s="30" t="s">
        <v>20883</v>
      </c>
      <c r="C8670" s="29" t="s">
        <v>26</v>
      </c>
      <c r="D8670" s="31">
        <v>1610.72</v>
      </c>
      <c r="F8670" s="3" t="str">
        <f t="shared" si="135"/>
        <v>I9569</v>
      </c>
    </row>
    <row r="8671" spans="1:6" x14ac:dyDescent="0.2">
      <c r="A8671" s="29" t="s">
        <v>20884</v>
      </c>
      <c r="B8671" s="30" t="s">
        <v>20885</v>
      </c>
      <c r="C8671" s="29" t="s">
        <v>26</v>
      </c>
      <c r="D8671" s="31">
        <v>3082.85</v>
      </c>
      <c r="F8671" s="3" t="str">
        <f t="shared" si="135"/>
        <v>I9570</v>
      </c>
    </row>
    <row r="8672" spans="1:6" x14ac:dyDescent="0.2">
      <c r="A8672" s="29" t="s">
        <v>20886</v>
      </c>
      <c r="B8672" s="30" t="s">
        <v>20887</v>
      </c>
      <c r="C8672" s="29" t="s">
        <v>26</v>
      </c>
      <c r="D8672" s="31">
        <v>3082.85</v>
      </c>
      <c r="F8672" s="3" t="str">
        <f t="shared" si="135"/>
        <v>I9571</v>
      </c>
    </row>
    <row r="8673" spans="1:6" x14ac:dyDescent="0.2">
      <c r="A8673" s="29" t="s">
        <v>20888</v>
      </c>
      <c r="B8673" s="30" t="s">
        <v>20889</v>
      </c>
      <c r="C8673" s="29" t="s">
        <v>26</v>
      </c>
      <c r="D8673" s="31">
        <v>5075.16</v>
      </c>
      <c r="F8673" s="3" t="str">
        <f t="shared" si="135"/>
        <v>I9572</v>
      </c>
    </row>
    <row r="8674" spans="1:6" x14ac:dyDescent="0.2">
      <c r="A8674" s="29" t="s">
        <v>20890</v>
      </c>
      <c r="B8674" s="30" t="s">
        <v>20891</v>
      </c>
      <c r="C8674" s="29" t="s">
        <v>26</v>
      </c>
      <c r="D8674" s="31">
        <v>18621.05</v>
      </c>
      <c r="F8674" s="3" t="str">
        <f t="shared" si="135"/>
        <v>I9574</v>
      </c>
    </row>
    <row r="8675" spans="1:6" x14ac:dyDescent="0.2">
      <c r="A8675" s="29" t="s">
        <v>20892</v>
      </c>
      <c r="B8675" s="30" t="s">
        <v>20893</v>
      </c>
      <c r="C8675" s="29" t="s">
        <v>26</v>
      </c>
      <c r="D8675" s="31">
        <v>7683.78</v>
      </c>
      <c r="F8675" s="3" t="str">
        <f t="shared" si="135"/>
        <v>I9573</v>
      </c>
    </row>
    <row r="8676" spans="1:6" x14ac:dyDescent="0.2">
      <c r="A8676" s="29" t="s">
        <v>20894</v>
      </c>
      <c r="B8676" s="30" t="s">
        <v>20895</v>
      </c>
      <c r="C8676" s="29" t="s">
        <v>26</v>
      </c>
      <c r="D8676" s="31">
        <v>73.19</v>
      </c>
      <c r="F8676" s="3" t="str">
        <f t="shared" si="135"/>
        <v>I7551</v>
      </c>
    </row>
    <row r="8677" spans="1:6" x14ac:dyDescent="0.2">
      <c r="A8677" s="29" t="s">
        <v>20896</v>
      </c>
      <c r="B8677" s="30" t="s">
        <v>20897</v>
      </c>
      <c r="C8677" s="29" t="s">
        <v>0</v>
      </c>
      <c r="D8677" s="31">
        <v>238.77</v>
      </c>
      <c r="F8677" s="3" t="str">
        <f t="shared" si="135"/>
        <v>I13163</v>
      </c>
    </row>
    <row r="8678" spans="1:6" x14ac:dyDescent="0.2">
      <c r="A8678" s="29" t="s">
        <v>20898</v>
      </c>
      <c r="B8678" s="30" t="s">
        <v>20899</v>
      </c>
      <c r="C8678" s="29" t="s">
        <v>0</v>
      </c>
      <c r="D8678" s="31">
        <v>185.96</v>
      </c>
      <c r="F8678" s="3" t="str">
        <f t="shared" si="135"/>
        <v>I13161</v>
      </c>
    </row>
    <row r="8679" spans="1:6" x14ac:dyDescent="0.2">
      <c r="A8679" s="29" t="s">
        <v>20900</v>
      </c>
      <c r="B8679" s="30" t="s">
        <v>20901</v>
      </c>
      <c r="C8679" s="29" t="s">
        <v>0</v>
      </c>
      <c r="D8679" s="31">
        <v>240.35</v>
      </c>
      <c r="F8679" s="3" t="str">
        <f t="shared" si="135"/>
        <v>I13164</v>
      </c>
    </row>
    <row r="8680" spans="1:6" x14ac:dyDescent="0.2">
      <c r="A8680" s="29" t="s">
        <v>20902</v>
      </c>
      <c r="B8680" s="30" t="s">
        <v>20903</v>
      </c>
      <c r="C8680" s="29" t="s">
        <v>0</v>
      </c>
      <c r="D8680" s="31">
        <v>301.14</v>
      </c>
      <c r="F8680" s="3" t="str">
        <f t="shared" si="135"/>
        <v>I13165</v>
      </c>
    </row>
    <row r="8681" spans="1:6" x14ac:dyDescent="0.2">
      <c r="A8681" s="29" t="s">
        <v>20904</v>
      </c>
      <c r="B8681" s="30" t="s">
        <v>20905</v>
      </c>
      <c r="C8681" s="29" t="s">
        <v>0</v>
      </c>
      <c r="D8681" s="31">
        <v>288.27</v>
      </c>
      <c r="F8681" s="3" t="str">
        <f t="shared" si="135"/>
        <v>I13162</v>
      </c>
    </row>
    <row r="8682" spans="1:6" x14ac:dyDescent="0.2">
      <c r="A8682" s="29" t="s">
        <v>20906</v>
      </c>
      <c r="B8682" s="30" t="s">
        <v>20907</v>
      </c>
      <c r="C8682" s="29" t="s">
        <v>0</v>
      </c>
      <c r="D8682" s="31">
        <v>187.59</v>
      </c>
      <c r="F8682" s="3" t="str">
        <f t="shared" si="135"/>
        <v>I13157</v>
      </c>
    </row>
    <row r="8683" spans="1:6" x14ac:dyDescent="0.2">
      <c r="A8683" s="29" t="s">
        <v>20908</v>
      </c>
      <c r="B8683" s="30" t="s">
        <v>20909</v>
      </c>
      <c r="C8683" s="29" t="s">
        <v>0</v>
      </c>
      <c r="D8683" s="31">
        <v>239.09</v>
      </c>
      <c r="F8683" s="3" t="str">
        <f t="shared" si="135"/>
        <v>I13159</v>
      </c>
    </row>
    <row r="8684" spans="1:6" x14ac:dyDescent="0.2">
      <c r="A8684" s="29" t="s">
        <v>20910</v>
      </c>
      <c r="B8684" s="30" t="s">
        <v>20911</v>
      </c>
      <c r="C8684" s="29" t="s">
        <v>0</v>
      </c>
      <c r="D8684" s="31">
        <v>377.78</v>
      </c>
      <c r="F8684" s="3" t="str">
        <f t="shared" si="135"/>
        <v>I13158</v>
      </c>
    </row>
    <row r="8685" spans="1:6" x14ac:dyDescent="0.2">
      <c r="A8685" s="29" t="s">
        <v>20912</v>
      </c>
      <c r="B8685" s="30" t="s">
        <v>20913</v>
      </c>
      <c r="C8685" s="29" t="s">
        <v>0</v>
      </c>
      <c r="D8685" s="31">
        <v>357.31</v>
      </c>
      <c r="F8685" s="3" t="str">
        <f t="shared" si="135"/>
        <v>I13160</v>
      </c>
    </row>
    <row r="8686" spans="1:6" x14ac:dyDescent="0.2">
      <c r="A8686" s="29" t="s">
        <v>20914</v>
      </c>
      <c r="B8686" s="30" t="s">
        <v>20915</v>
      </c>
      <c r="C8686" s="29" t="s">
        <v>0</v>
      </c>
      <c r="D8686" s="31">
        <v>385.56</v>
      </c>
      <c r="F8686" s="3" t="str">
        <f t="shared" si="135"/>
        <v>I13156</v>
      </c>
    </row>
    <row r="8687" spans="1:6" x14ac:dyDescent="0.2">
      <c r="A8687" s="29" t="s">
        <v>20916</v>
      </c>
      <c r="B8687" s="30" t="s">
        <v>20917</v>
      </c>
      <c r="C8687" s="29" t="s">
        <v>0</v>
      </c>
      <c r="D8687" s="31">
        <v>302.82</v>
      </c>
      <c r="F8687" s="3" t="str">
        <f t="shared" si="135"/>
        <v>I13155</v>
      </c>
    </row>
    <row r="8688" spans="1:6" x14ac:dyDescent="0.2">
      <c r="A8688" s="29" t="s">
        <v>20918</v>
      </c>
      <c r="B8688" s="30" t="s">
        <v>20919</v>
      </c>
      <c r="C8688" s="29" t="s">
        <v>26</v>
      </c>
      <c r="D8688" s="31">
        <v>73.569999999999993</v>
      </c>
      <c r="F8688" s="3" t="str">
        <f t="shared" si="135"/>
        <v>I9575</v>
      </c>
    </row>
    <row r="8689" spans="1:6" x14ac:dyDescent="0.2">
      <c r="A8689" s="29" t="s">
        <v>20920</v>
      </c>
      <c r="B8689" s="30" t="s">
        <v>20921</v>
      </c>
      <c r="C8689" s="29" t="s">
        <v>26</v>
      </c>
      <c r="D8689" s="31">
        <v>447.76</v>
      </c>
      <c r="F8689" s="3" t="str">
        <f t="shared" si="135"/>
        <v>I9576</v>
      </c>
    </row>
    <row r="8690" spans="1:6" x14ac:dyDescent="0.2">
      <c r="A8690" s="29" t="s">
        <v>20922</v>
      </c>
      <c r="B8690" s="30" t="s">
        <v>20923</v>
      </c>
      <c r="C8690" s="29" t="s">
        <v>26</v>
      </c>
      <c r="D8690" s="31">
        <v>41.69</v>
      </c>
      <c r="F8690" s="3" t="str">
        <f t="shared" si="135"/>
        <v>I10474</v>
      </c>
    </row>
    <row r="8691" spans="1:6" x14ac:dyDescent="0.2">
      <c r="A8691" s="29" t="s">
        <v>20924</v>
      </c>
      <c r="B8691" s="30" t="s">
        <v>20925</v>
      </c>
      <c r="C8691" s="29" t="s">
        <v>26</v>
      </c>
      <c r="D8691" s="31">
        <v>7.56</v>
      </c>
      <c r="F8691" s="3" t="str">
        <f t="shared" si="135"/>
        <v>I9346</v>
      </c>
    </row>
    <row r="8692" spans="1:6" ht="22.5" x14ac:dyDescent="0.2">
      <c r="A8692" s="29" t="s">
        <v>20926</v>
      </c>
      <c r="B8692" s="30" t="s">
        <v>20927</v>
      </c>
      <c r="C8692" s="29" t="s">
        <v>26</v>
      </c>
      <c r="D8692" s="31">
        <v>12140.56</v>
      </c>
      <c r="F8692" s="3" t="str">
        <f t="shared" si="135"/>
        <v>I9347</v>
      </c>
    </row>
    <row r="8693" spans="1:6" ht="22.5" x14ac:dyDescent="0.2">
      <c r="A8693" s="29" t="s">
        <v>20928</v>
      </c>
      <c r="B8693" s="30" t="s">
        <v>20929</v>
      </c>
      <c r="C8693" s="29" t="s">
        <v>26</v>
      </c>
      <c r="D8693" s="31">
        <v>17980.740000000002</v>
      </c>
      <c r="F8693" s="3" t="str">
        <f t="shared" si="135"/>
        <v>I9348</v>
      </c>
    </row>
    <row r="8694" spans="1:6" ht="22.5" x14ac:dyDescent="0.2">
      <c r="A8694" s="29" t="s">
        <v>20930</v>
      </c>
      <c r="B8694" s="30" t="s">
        <v>20931</v>
      </c>
      <c r="C8694" s="29" t="s">
        <v>26</v>
      </c>
      <c r="D8694" s="31">
        <v>19479.75</v>
      </c>
      <c r="F8694" s="3" t="str">
        <f t="shared" si="135"/>
        <v>I9349</v>
      </c>
    </row>
    <row r="8695" spans="1:6" x14ac:dyDescent="0.2">
      <c r="A8695" s="29" t="s">
        <v>20932</v>
      </c>
      <c r="B8695" s="30" t="s">
        <v>20933</v>
      </c>
      <c r="C8695" s="29" t="s">
        <v>26</v>
      </c>
      <c r="D8695" s="31">
        <v>3.54</v>
      </c>
      <c r="F8695" s="3" t="str">
        <f t="shared" si="135"/>
        <v>I9577</v>
      </c>
    </row>
    <row r="8696" spans="1:6" x14ac:dyDescent="0.2">
      <c r="A8696" s="29" t="s">
        <v>20934</v>
      </c>
      <c r="B8696" s="30" t="s">
        <v>20935</v>
      </c>
      <c r="C8696" s="29" t="s">
        <v>26</v>
      </c>
      <c r="D8696" s="31">
        <v>3.72</v>
      </c>
      <c r="F8696" s="3" t="str">
        <f t="shared" si="135"/>
        <v>I9578</v>
      </c>
    </row>
    <row r="8697" spans="1:6" x14ac:dyDescent="0.2">
      <c r="A8697" s="29" t="s">
        <v>20936</v>
      </c>
      <c r="B8697" s="30" t="s">
        <v>20937</v>
      </c>
      <c r="C8697" s="29" t="s">
        <v>26</v>
      </c>
      <c r="D8697" s="31">
        <v>35.17</v>
      </c>
      <c r="F8697" s="3" t="str">
        <f t="shared" si="135"/>
        <v>I9579</v>
      </c>
    </row>
    <row r="8698" spans="1:6" x14ac:dyDescent="0.2">
      <c r="A8698" s="29" t="s">
        <v>20938</v>
      </c>
      <c r="B8698" s="30" t="s">
        <v>20939</v>
      </c>
      <c r="C8698" s="29" t="s">
        <v>26</v>
      </c>
      <c r="D8698" s="31">
        <v>7.84</v>
      </c>
      <c r="F8698" s="3" t="str">
        <f t="shared" si="135"/>
        <v>I9580</v>
      </c>
    </row>
    <row r="8699" spans="1:6" x14ac:dyDescent="0.2">
      <c r="A8699" s="29" t="s">
        <v>20940</v>
      </c>
      <c r="B8699" s="30" t="s">
        <v>20941</v>
      </c>
      <c r="C8699" s="29" t="s">
        <v>26</v>
      </c>
      <c r="D8699" s="31">
        <v>9.06</v>
      </c>
      <c r="F8699" s="3" t="str">
        <f t="shared" si="135"/>
        <v>I9581</v>
      </c>
    </row>
    <row r="8700" spans="1:6" x14ac:dyDescent="0.2">
      <c r="A8700" s="29" t="s">
        <v>20942</v>
      </c>
      <c r="B8700" s="30" t="s">
        <v>20943</v>
      </c>
      <c r="C8700" s="29" t="s">
        <v>1284</v>
      </c>
      <c r="D8700" s="31">
        <v>4.01</v>
      </c>
      <c r="F8700" s="3" t="str">
        <f t="shared" si="135"/>
        <v>I7554</v>
      </c>
    </row>
    <row r="8701" spans="1:6" x14ac:dyDescent="0.2">
      <c r="A8701" s="29" t="s">
        <v>20944</v>
      </c>
      <c r="B8701" s="30" t="s">
        <v>20945</v>
      </c>
      <c r="C8701" s="29" t="s">
        <v>26</v>
      </c>
      <c r="D8701" s="31">
        <v>16.05</v>
      </c>
      <c r="F8701" s="3" t="str">
        <f t="shared" si="135"/>
        <v>I9582</v>
      </c>
    </row>
    <row r="8702" spans="1:6" x14ac:dyDescent="0.2">
      <c r="A8702" s="29" t="s">
        <v>20946</v>
      </c>
      <c r="B8702" s="30" t="s">
        <v>20947</v>
      </c>
      <c r="C8702" s="29" t="s">
        <v>26</v>
      </c>
      <c r="D8702" s="31">
        <v>16.05</v>
      </c>
      <c r="F8702" s="3" t="str">
        <f t="shared" si="135"/>
        <v>I9583</v>
      </c>
    </row>
    <row r="8703" spans="1:6" x14ac:dyDescent="0.2">
      <c r="A8703" s="29" t="s">
        <v>20948</v>
      </c>
      <c r="B8703" s="30" t="s">
        <v>20949</v>
      </c>
      <c r="C8703" s="29" t="s">
        <v>26</v>
      </c>
      <c r="D8703" s="31">
        <v>76.78</v>
      </c>
      <c r="F8703" s="3" t="str">
        <f t="shared" si="135"/>
        <v>I9584</v>
      </c>
    </row>
    <row r="8704" spans="1:6" x14ac:dyDescent="0.2">
      <c r="A8704" s="29" t="s">
        <v>20950</v>
      </c>
      <c r="B8704" s="30" t="s">
        <v>20951</v>
      </c>
      <c r="C8704" s="29" t="s">
        <v>26</v>
      </c>
      <c r="D8704" s="31">
        <v>6.76</v>
      </c>
      <c r="F8704" s="3" t="str">
        <f t="shared" si="135"/>
        <v>I6425</v>
      </c>
    </row>
    <row r="8705" spans="1:6" x14ac:dyDescent="0.2">
      <c r="A8705" s="29" t="s">
        <v>20952</v>
      </c>
      <c r="B8705" s="30" t="s">
        <v>20953</v>
      </c>
      <c r="C8705" s="29" t="s">
        <v>26</v>
      </c>
      <c r="D8705" s="31">
        <v>3.21</v>
      </c>
      <c r="F8705" s="3" t="str">
        <f t="shared" si="135"/>
        <v>I6426</v>
      </c>
    </row>
    <row r="8706" spans="1:6" x14ac:dyDescent="0.2">
      <c r="A8706" s="29" t="s">
        <v>20954</v>
      </c>
      <c r="B8706" s="30" t="s">
        <v>20955</v>
      </c>
      <c r="C8706" s="29" t="s">
        <v>26</v>
      </c>
      <c r="D8706" s="31">
        <v>2.88</v>
      </c>
      <c r="F8706" s="3" t="str">
        <f t="shared" ref="F8706:F8769" si="136">A8706</f>
        <v>I6427</v>
      </c>
    </row>
    <row r="8707" spans="1:6" x14ac:dyDescent="0.2">
      <c r="A8707" s="29" t="s">
        <v>20956</v>
      </c>
      <c r="B8707" s="30" t="s">
        <v>20957</v>
      </c>
      <c r="C8707" s="29" t="s">
        <v>26</v>
      </c>
      <c r="D8707" s="31">
        <v>36.340000000000003</v>
      </c>
      <c r="F8707" s="3" t="str">
        <f t="shared" si="136"/>
        <v>I9585</v>
      </c>
    </row>
    <row r="8708" spans="1:6" x14ac:dyDescent="0.2">
      <c r="A8708" s="29" t="s">
        <v>20958</v>
      </c>
      <c r="B8708" s="30" t="s">
        <v>20959</v>
      </c>
      <c r="C8708" s="29" t="s">
        <v>26</v>
      </c>
      <c r="D8708" s="31">
        <v>1.07</v>
      </c>
      <c r="F8708" s="3" t="str">
        <f t="shared" si="136"/>
        <v>I6466</v>
      </c>
    </row>
    <row r="8709" spans="1:6" x14ac:dyDescent="0.2">
      <c r="A8709" s="29" t="s">
        <v>20960</v>
      </c>
      <c r="B8709" s="30" t="s">
        <v>20961</v>
      </c>
      <c r="C8709" s="29" t="s">
        <v>26</v>
      </c>
      <c r="D8709" s="31">
        <v>350.98</v>
      </c>
      <c r="F8709" s="3" t="str">
        <f t="shared" si="136"/>
        <v>I9586</v>
      </c>
    </row>
    <row r="8710" spans="1:6" x14ac:dyDescent="0.2">
      <c r="A8710" s="29" t="s">
        <v>20962</v>
      </c>
      <c r="B8710" s="30" t="s">
        <v>20963</v>
      </c>
      <c r="C8710" s="29" t="s">
        <v>26</v>
      </c>
      <c r="D8710" s="31">
        <v>4.21</v>
      </c>
      <c r="F8710" s="3" t="str">
        <f t="shared" si="136"/>
        <v>I9590</v>
      </c>
    </row>
    <row r="8711" spans="1:6" x14ac:dyDescent="0.2">
      <c r="A8711" s="29" t="s">
        <v>20964</v>
      </c>
      <c r="B8711" s="30" t="s">
        <v>20965</v>
      </c>
      <c r="C8711" s="29" t="s">
        <v>26</v>
      </c>
      <c r="D8711" s="31">
        <v>4.26</v>
      </c>
      <c r="F8711" s="3" t="str">
        <f t="shared" si="136"/>
        <v>I9587</v>
      </c>
    </row>
    <row r="8712" spans="1:6" x14ac:dyDescent="0.2">
      <c r="A8712" s="29" t="s">
        <v>20966</v>
      </c>
      <c r="B8712" s="30" t="s">
        <v>20967</v>
      </c>
      <c r="C8712" s="29" t="s">
        <v>26</v>
      </c>
      <c r="D8712" s="31">
        <v>1.23</v>
      </c>
      <c r="F8712" s="3" t="str">
        <f t="shared" si="136"/>
        <v>I9588</v>
      </c>
    </row>
    <row r="8713" spans="1:6" x14ac:dyDescent="0.2">
      <c r="A8713" s="29" t="s">
        <v>20968</v>
      </c>
      <c r="B8713" s="30" t="s">
        <v>20969</v>
      </c>
      <c r="C8713" s="29" t="s">
        <v>26</v>
      </c>
      <c r="D8713" s="31">
        <v>0.7</v>
      </c>
      <c r="F8713" s="3" t="str">
        <f t="shared" si="136"/>
        <v>I9589</v>
      </c>
    </row>
    <row r="8714" spans="1:6" x14ac:dyDescent="0.2">
      <c r="A8714" s="29" t="s">
        <v>20970</v>
      </c>
      <c r="B8714" s="30" t="s">
        <v>20971</v>
      </c>
      <c r="C8714" s="29" t="s">
        <v>26</v>
      </c>
      <c r="D8714" s="31">
        <v>315.88</v>
      </c>
      <c r="F8714" s="3" t="str">
        <f t="shared" si="136"/>
        <v>I6496</v>
      </c>
    </row>
    <row r="8715" spans="1:6" x14ac:dyDescent="0.2">
      <c r="A8715" s="29" t="s">
        <v>20972</v>
      </c>
      <c r="B8715" s="30" t="s">
        <v>20973</v>
      </c>
      <c r="C8715" s="29" t="s">
        <v>26</v>
      </c>
      <c r="D8715" s="31">
        <v>43.88</v>
      </c>
      <c r="F8715" s="3" t="str">
        <f t="shared" si="136"/>
        <v>I6493</v>
      </c>
    </row>
    <row r="8716" spans="1:6" x14ac:dyDescent="0.2">
      <c r="A8716" s="29" t="s">
        <v>20974</v>
      </c>
      <c r="B8716" s="30" t="s">
        <v>20975</v>
      </c>
      <c r="C8716" s="29" t="s">
        <v>0</v>
      </c>
      <c r="D8716" s="31">
        <v>22.49</v>
      </c>
      <c r="F8716" s="3" t="str">
        <f t="shared" si="136"/>
        <v>I8500</v>
      </c>
    </row>
    <row r="8717" spans="1:6" x14ac:dyDescent="0.2">
      <c r="A8717" s="29" t="s">
        <v>20976</v>
      </c>
      <c r="B8717" s="30" t="s">
        <v>20977</v>
      </c>
      <c r="C8717" s="29" t="s">
        <v>0</v>
      </c>
      <c r="D8717" s="31">
        <v>194.87</v>
      </c>
      <c r="F8717" s="3" t="str">
        <f t="shared" si="136"/>
        <v>I8507</v>
      </c>
    </row>
    <row r="8718" spans="1:6" x14ac:dyDescent="0.2">
      <c r="A8718" s="29" t="s">
        <v>20978</v>
      </c>
      <c r="B8718" s="30" t="s">
        <v>20979</v>
      </c>
      <c r="C8718" s="29" t="s">
        <v>0</v>
      </c>
      <c r="D8718" s="31">
        <v>245.9</v>
      </c>
      <c r="F8718" s="3" t="str">
        <f t="shared" si="136"/>
        <v>I8508</v>
      </c>
    </row>
    <row r="8719" spans="1:6" x14ac:dyDescent="0.2">
      <c r="A8719" s="29" t="s">
        <v>20980</v>
      </c>
      <c r="B8719" s="30" t="s">
        <v>20981</v>
      </c>
      <c r="C8719" s="29" t="s">
        <v>0</v>
      </c>
      <c r="D8719" s="31">
        <v>33.270000000000003</v>
      </c>
      <c r="F8719" s="3" t="str">
        <f t="shared" si="136"/>
        <v>I8501</v>
      </c>
    </row>
    <row r="8720" spans="1:6" x14ac:dyDescent="0.2">
      <c r="A8720" s="29" t="s">
        <v>20982</v>
      </c>
      <c r="B8720" s="30" t="s">
        <v>20983</v>
      </c>
      <c r="C8720" s="29" t="s">
        <v>0</v>
      </c>
      <c r="D8720" s="31">
        <v>284.73</v>
      </c>
      <c r="F8720" s="3" t="str">
        <f t="shared" si="136"/>
        <v>I8509</v>
      </c>
    </row>
    <row r="8721" spans="1:6" x14ac:dyDescent="0.2">
      <c r="A8721" s="29" t="s">
        <v>20984</v>
      </c>
      <c r="B8721" s="30" t="s">
        <v>20985</v>
      </c>
      <c r="C8721" s="29" t="s">
        <v>0</v>
      </c>
      <c r="D8721" s="31">
        <v>4.88</v>
      </c>
      <c r="F8721" s="3" t="str">
        <f t="shared" si="136"/>
        <v>I8497</v>
      </c>
    </row>
    <row r="8722" spans="1:6" x14ac:dyDescent="0.2">
      <c r="A8722" s="29" t="s">
        <v>20986</v>
      </c>
      <c r="B8722" s="30" t="s">
        <v>20987</v>
      </c>
      <c r="C8722" s="29" t="s">
        <v>0</v>
      </c>
      <c r="D8722" s="31">
        <v>346.54</v>
      </c>
      <c r="F8722" s="3" t="str">
        <f t="shared" si="136"/>
        <v>I8510</v>
      </c>
    </row>
    <row r="8723" spans="1:6" x14ac:dyDescent="0.2">
      <c r="A8723" s="29" t="s">
        <v>20988</v>
      </c>
      <c r="B8723" s="30" t="s">
        <v>20989</v>
      </c>
      <c r="C8723" s="29" t="s">
        <v>0</v>
      </c>
      <c r="D8723" s="31">
        <v>45.28</v>
      </c>
      <c r="F8723" s="3" t="str">
        <f t="shared" si="136"/>
        <v>I8502</v>
      </c>
    </row>
    <row r="8724" spans="1:6" x14ac:dyDescent="0.2">
      <c r="A8724" s="29" t="s">
        <v>20990</v>
      </c>
      <c r="B8724" s="30" t="s">
        <v>20991</v>
      </c>
      <c r="C8724" s="29" t="s">
        <v>0</v>
      </c>
      <c r="D8724" s="31">
        <v>58.15</v>
      </c>
      <c r="F8724" s="3" t="str">
        <f t="shared" si="136"/>
        <v>I8503</v>
      </c>
    </row>
    <row r="8725" spans="1:6" x14ac:dyDescent="0.2">
      <c r="A8725" s="29" t="s">
        <v>20992</v>
      </c>
      <c r="B8725" s="30" t="s">
        <v>20993</v>
      </c>
      <c r="C8725" s="29" t="s">
        <v>0</v>
      </c>
      <c r="D8725" s="31">
        <v>11.69</v>
      </c>
      <c r="F8725" s="3" t="str">
        <f t="shared" si="136"/>
        <v>I8498</v>
      </c>
    </row>
    <row r="8726" spans="1:6" x14ac:dyDescent="0.2">
      <c r="A8726" s="29" t="s">
        <v>20994</v>
      </c>
      <c r="B8726" s="30" t="s">
        <v>20995</v>
      </c>
      <c r="C8726" s="29" t="s">
        <v>0</v>
      </c>
      <c r="D8726" s="31">
        <v>83.24</v>
      </c>
      <c r="F8726" s="3" t="str">
        <f t="shared" si="136"/>
        <v>I8504</v>
      </c>
    </row>
    <row r="8727" spans="1:6" x14ac:dyDescent="0.2">
      <c r="A8727" s="29" t="s">
        <v>20996</v>
      </c>
      <c r="B8727" s="30" t="s">
        <v>20997</v>
      </c>
      <c r="C8727" s="29" t="s">
        <v>0</v>
      </c>
      <c r="D8727" s="31">
        <v>15.19</v>
      </c>
      <c r="F8727" s="3" t="str">
        <f t="shared" si="136"/>
        <v>I8499</v>
      </c>
    </row>
    <row r="8728" spans="1:6" x14ac:dyDescent="0.2">
      <c r="A8728" s="29" t="s">
        <v>20998</v>
      </c>
      <c r="B8728" s="30" t="s">
        <v>20999</v>
      </c>
      <c r="C8728" s="29" t="s">
        <v>0</v>
      </c>
      <c r="D8728" s="31">
        <v>119.45</v>
      </c>
      <c r="F8728" s="3" t="str">
        <f t="shared" si="136"/>
        <v>I8505</v>
      </c>
    </row>
    <row r="8729" spans="1:6" x14ac:dyDescent="0.2">
      <c r="A8729" s="29" t="s">
        <v>21000</v>
      </c>
      <c r="B8729" s="30" t="s">
        <v>21001</v>
      </c>
      <c r="C8729" s="29" t="s">
        <v>0</v>
      </c>
      <c r="D8729" s="31">
        <v>152.18</v>
      </c>
      <c r="F8729" s="3" t="str">
        <f t="shared" si="136"/>
        <v>I8506</v>
      </c>
    </row>
    <row r="8730" spans="1:6" x14ac:dyDescent="0.2">
      <c r="A8730" s="29" t="s">
        <v>21002</v>
      </c>
      <c r="B8730" s="30" t="s">
        <v>21003</v>
      </c>
      <c r="C8730" s="29" t="s">
        <v>0</v>
      </c>
      <c r="D8730" s="31">
        <v>2.12</v>
      </c>
      <c r="F8730" s="3" t="str">
        <f t="shared" si="136"/>
        <v>I6139</v>
      </c>
    </row>
    <row r="8731" spans="1:6" x14ac:dyDescent="0.2">
      <c r="A8731" s="29" t="s">
        <v>21004</v>
      </c>
      <c r="B8731" s="30" t="s">
        <v>21005</v>
      </c>
      <c r="C8731" s="29" t="s">
        <v>0</v>
      </c>
      <c r="D8731" s="31">
        <v>2.98</v>
      </c>
      <c r="F8731" s="3" t="str">
        <f t="shared" si="136"/>
        <v>I6138</v>
      </c>
    </row>
    <row r="8732" spans="1:6" x14ac:dyDescent="0.2">
      <c r="A8732" s="29" t="s">
        <v>21006</v>
      </c>
      <c r="B8732" s="30" t="s">
        <v>21007</v>
      </c>
      <c r="C8732" s="29" t="s">
        <v>0</v>
      </c>
      <c r="D8732" s="31">
        <v>4.45</v>
      </c>
      <c r="F8732" s="3" t="str">
        <f t="shared" si="136"/>
        <v>I6141</v>
      </c>
    </row>
    <row r="8733" spans="1:6" x14ac:dyDescent="0.2">
      <c r="A8733" s="29" t="s">
        <v>21008</v>
      </c>
      <c r="B8733" s="30" t="s">
        <v>21009</v>
      </c>
      <c r="C8733" s="29" t="s">
        <v>0</v>
      </c>
      <c r="D8733" s="31">
        <v>21.62</v>
      </c>
      <c r="F8733" s="3" t="str">
        <f t="shared" si="136"/>
        <v>I6143</v>
      </c>
    </row>
    <row r="8734" spans="1:6" x14ac:dyDescent="0.2">
      <c r="A8734" s="29" t="s">
        <v>21010</v>
      </c>
      <c r="B8734" s="30" t="s">
        <v>21011</v>
      </c>
      <c r="C8734" s="29" t="s">
        <v>0</v>
      </c>
      <c r="D8734" s="31">
        <v>33.78</v>
      </c>
      <c r="F8734" s="3" t="str">
        <f t="shared" si="136"/>
        <v>I6144</v>
      </c>
    </row>
    <row r="8735" spans="1:6" x14ac:dyDescent="0.2">
      <c r="A8735" s="29" t="s">
        <v>21012</v>
      </c>
      <c r="B8735" s="30" t="s">
        <v>21013</v>
      </c>
      <c r="C8735" s="29" t="s">
        <v>0</v>
      </c>
      <c r="D8735" s="31">
        <v>5.78</v>
      </c>
      <c r="F8735" s="3" t="str">
        <f t="shared" si="136"/>
        <v>I6140</v>
      </c>
    </row>
    <row r="8736" spans="1:6" x14ac:dyDescent="0.2">
      <c r="A8736" s="29" t="s">
        <v>21014</v>
      </c>
      <c r="B8736" s="30" t="s">
        <v>21015</v>
      </c>
      <c r="C8736" s="29" t="s">
        <v>0</v>
      </c>
      <c r="D8736" s="31">
        <v>50.19</v>
      </c>
      <c r="F8736" s="3" t="str">
        <f t="shared" si="136"/>
        <v>I6145</v>
      </c>
    </row>
    <row r="8737" spans="1:6" x14ac:dyDescent="0.2">
      <c r="A8737" s="29" t="s">
        <v>21016</v>
      </c>
      <c r="B8737" s="30" t="s">
        <v>21017</v>
      </c>
      <c r="C8737" s="29" t="s">
        <v>0</v>
      </c>
      <c r="D8737" s="31">
        <v>71.489999999999995</v>
      </c>
      <c r="F8737" s="3" t="str">
        <f t="shared" si="136"/>
        <v>I6146</v>
      </c>
    </row>
    <row r="8738" spans="1:6" x14ac:dyDescent="0.2">
      <c r="A8738" s="29" t="s">
        <v>21018</v>
      </c>
      <c r="B8738" s="30" t="s">
        <v>21019</v>
      </c>
      <c r="C8738" s="29" t="s">
        <v>0</v>
      </c>
      <c r="D8738" s="31">
        <v>12.84</v>
      </c>
      <c r="F8738" s="3" t="str">
        <f t="shared" si="136"/>
        <v>I6142</v>
      </c>
    </row>
    <row r="8739" spans="1:6" x14ac:dyDescent="0.2">
      <c r="A8739" s="29" t="s">
        <v>21020</v>
      </c>
      <c r="B8739" s="30" t="s">
        <v>21021</v>
      </c>
      <c r="C8739" s="29" t="s">
        <v>0</v>
      </c>
      <c r="D8739" s="31">
        <v>181.86</v>
      </c>
      <c r="F8739" s="3" t="str">
        <f t="shared" si="136"/>
        <v>I6147</v>
      </c>
    </row>
    <row r="8740" spans="1:6" x14ac:dyDescent="0.2">
      <c r="A8740" s="29" t="s">
        <v>21022</v>
      </c>
      <c r="B8740" s="30" t="s">
        <v>21023</v>
      </c>
      <c r="C8740" s="29" t="s">
        <v>0</v>
      </c>
      <c r="D8740" s="31">
        <v>250.42</v>
      </c>
      <c r="F8740" s="3" t="str">
        <f t="shared" si="136"/>
        <v>I6148</v>
      </c>
    </row>
    <row r="8741" spans="1:6" x14ac:dyDescent="0.2">
      <c r="A8741" s="29" t="s">
        <v>21024</v>
      </c>
      <c r="B8741" s="30" t="s">
        <v>21025</v>
      </c>
      <c r="C8741" s="29" t="s">
        <v>0</v>
      </c>
      <c r="D8741" s="31">
        <v>15.79</v>
      </c>
      <c r="F8741" s="3" t="str">
        <f t="shared" si="136"/>
        <v>I9591</v>
      </c>
    </row>
    <row r="8742" spans="1:6" x14ac:dyDescent="0.2">
      <c r="A8742" s="29" t="s">
        <v>21026</v>
      </c>
      <c r="B8742" s="30" t="s">
        <v>21027</v>
      </c>
      <c r="C8742" s="29" t="s">
        <v>0</v>
      </c>
      <c r="D8742" s="31">
        <v>0.79</v>
      </c>
      <c r="F8742" s="3" t="str">
        <f t="shared" si="136"/>
        <v>I9592</v>
      </c>
    </row>
    <row r="8743" spans="1:6" x14ac:dyDescent="0.2">
      <c r="A8743" s="29" t="s">
        <v>21028</v>
      </c>
      <c r="B8743" s="30" t="s">
        <v>21029</v>
      </c>
      <c r="C8743" s="29" t="s">
        <v>0</v>
      </c>
      <c r="D8743" s="31">
        <v>1.95</v>
      </c>
      <c r="F8743" s="3" t="str">
        <f t="shared" si="136"/>
        <v>I8815</v>
      </c>
    </row>
    <row r="8744" spans="1:6" x14ac:dyDescent="0.2">
      <c r="A8744" s="29" t="s">
        <v>21030</v>
      </c>
      <c r="B8744" s="30" t="s">
        <v>21031</v>
      </c>
      <c r="C8744" s="29" t="s">
        <v>0</v>
      </c>
      <c r="D8744" s="31">
        <v>14.53</v>
      </c>
      <c r="F8744" s="3" t="str">
        <f t="shared" si="136"/>
        <v>I8822</v>
      </c>
    </row>
    <row r="8745" spans="1:6" x14ac:dyDescent="0.2">
      <c r="A8745" s="29" t="s">
        <v>21032</v>
      </c>
      <c r="B8745" s="30" t="s">
        <v>21033</v>
      </c>
      <c r="C8745" s="29" t="s">
        <v>0</v>
      </c>
      <c r="D8745" s="31">
        <v>17.3</v>
      </c>
      <c r="F8745" s="3" t="str">
        <f t="shared" si="136"/>
        <v>I8823</v>
      </c>
    </row>
    <row r="8746" spans="1:6" x14ac:dyDescent="0.2">
      <c r="A8746" s="29" t="s">
        <v>21034</v>
      </c>
      <c r="B8746" s="30" t="s">
        <v>21035</v>
      </c>
      <c r="C8746" s="29" t="s">
        <v>0</v>
      </c>
      <c r="D8746" s="31">
        <v>2.5</v>
      </c>
      <c r="F8746" s="3" t="str">
        <f t="shared" si="136"/>
        <v>I8816</v>
      </c>
    </row>
    <row r="8747" spans="1:6" x14ac:dyDescent="0.2">
      <c r="A8747" s="29" t="s">
        <v>21036</v>
      </c>
      <c r="B8747" s="30" t="s">
        <v>21037</v>
      </c>
      <c r="C8747" s="29" t="s">
        <v>0</v>
      </c>
      <c r="D8747" s="31">
        <v>22.38</v>
      </c>
      <c r="F8747" s="3" t="str">
        <f t="shared" si="136"/>
        <v>I8824</v>
      </c>
    </row>
    <row r="8748" spans="1:6" x14ac:dyDescent="0.2">
      <c r="A8748" s="29" t="s">
        <v>21038</v>
      </c>
      <c r="B8748" s="30" t="s">
        <v>21039</v>
      </c>
      <c r="C8748" s="29" t="s">
        <v>0</v>
      </c>
      <c r="D8748" s="31">
        <v>28.59</v>
      </c>
      <c r="F8748" s="3" t="str">
        <f t="shared" si="136"/>
        <v>I8825</v>
      </c>
    </row>
    <row r="8749" spans="1:6" x14ac:dyDescent="0.2">
      <c r="A8749" s="29" t="s">
        <v>21040</v>
      </c>
      <c r="B8749" s="30" t="s">
        <v>21041</v>
      </c>
      <c r="C8749" s="29" t="s">
        <v>0</v>
      </c>
      <c r="D8749" s="31">
        <v>3.72</v>
      </c>
      <c r="F8749" s="3" t="str">
        <f t="shared" si="136"/>
        <v>I8817</v>
      </c>
    </row>
    <row r="8750" spans="1:6" x14ac:dyDescent="0.2">
      <c r="A8750" s="29" t="s">
        <v>21042</v>
      </c>
      <c r="B8750" s="30" t="s">
        <v>21043</v>
      </c>
      <c r="C8750" s="29" t="s">
        <v>0</v>
      </c>
      <c r="D8750" s="31">
        <v>47.71</v>
      </c>
      <c r="F8750" s="3" t="str">
        <f t="shared" si="136"/>
        <v>I8826</v>
      </c>
    </row>
    <row r="8751" spans="1:6" x14ac:dyDescent="0.2">
      <c r="A8751" s="29" t="s">
        <v>21044</v>
      </c>
      <c r="B8751" s="30" t="s">
        <v>21045</v>
      </c>
      <c r="C8751" s="29" t="s">
        <v>0</v>
      </c>
      <c r="D8751" s="31">
        <v>4.54</v>
      </c>
      <c r="F8751" s="3" t="str">
        <f t="shared" si="136"/>
        <v>I8818</v>
      </c>
    </row>
    <row r="8752" spans="1:6" x14ac:dyDescent="0.2">
      <c r="A8752" s="29" t="s">
        <v>21046</v>
      </c>
      <c r="B8752" s="30" t="s">
        <v>21047</v>
      </c>
      <c r="C8752" s="29" t="s">
        <v>0</v>
      </c>
      <c r="D8752" s="31">
        <v>6.27</v>
      </c>
      <c r="F8752" s="3" t="str">
        <f t="shared" si="136"/>
        <v>I8819</v>
      </c>
    </row>
    <row r="8753" spans="1:6" x14ac:dyDescent="0.2">
      <c r="A8753" s="29" t="s">
        <v>21048</v>
      </c>
      <c r="B8753" s="30" t="s">
        <v>21049</v>
      </c>
      <c r="C8753" s="29" t="s">
        <v>0</v>
      </c>
      <c r="D8753" s="31">
        <v>8.73</v>
      </c>
      <c r="F8753" s="3" t="str">
        <f t="shared" si="136"/>
        <v>I8820</v>
      </c>
    </row>
    <row r="8754" spans="1:6" x14ac:dyDescent="0.2">
      <c r="A8754" s="29" t="s">
        <v>21050</v>
      </c>
      <c r="B8754" s="30" t="s">
        <v>21051</v>
      </c>
      <c r="C8754" s="29" t="s">
        <v>0</v>
      </c>
      <c r="D8754" s="31">
        <v>12.45</v>
      </c>
      <c r="F8754" s="3" t="str">
        <f t="shared" si="136"/>
        <v>I8821</v>
      </c>
    </row>
    <row r="8755" spans="1:6" x14ac:dyDescent="0.2">
      <c r="A8755" s="29" t="s">
        <v>21052</v>
      </c>
      <c r="B8755" s="30" t="s">
        <v>21053</v>
      </c>
      <c r="C8755" s="29" t="s">
        <v>0</v>
      </c>
      <c r="D8755" s="31">
        <v>2.57</v>
      </c>
      <c r="F8755" s="3" t="str">
        <f t="shared" si="136"/>
        <v>I8842</v>
      </c>
    </row>
    <row r="8756" spans="1:6" x14ac:dyDescent="0.2">
      <c r="A8756" s="29" t="s">
        <v>21054</v>
      </c>
      <c r="B8756" s="30" t="s">
        <v>21055</v>
      </c>
      <c r="C8756" s="29" t="s">
        <v>0</v>
      </c>
      <c r="D8756" s="31">
        <v>3.6</v>
      </c>
      <c r="F8756" s="3" t="str">
        <f t="shared" si="136"/>
        <v>I8843</v>
      </c>
    </row>
    <row r="8757" spans="1:6" x14ac:dyDescent="0.2">
      <c r="A8757" s="29" t="s">
        <v>21056</v>
      </c>
      <c r="B8757" s="30" t="s">
        <v>21057</v>
      </c>
      <c r="C8757" s="29" t="s">
        <v>0</v>
      </c>
      <c r="D8757" s="31">
        <v>5.51</v>
      </c>
      <c r="F8757" s="3" t="str">
        <f t="shared" si="136"/>
        <v>I8844</v>
      </c>
    </row>
    <row r="8758" spans="1:6" x14ac:dyDescent="0.2">
      <c r="A8758" s="29" t="s">
        <v>21058</v>
      </c>
      <c r="B8758" s="30" t="s">
        <v>21059</v>
      </c>
      <c r="C8758" s="29" t="s">
        <v>0</v>
      </c>
      <c r="D8758" s="31">
        <v>8.6999999999999993</v>
      </c>
      <c r="F8758" s="3" t="str">
        <f t="shared" si="136"/>
        <v>I8845</v>
      </c>
    </row>
    <row r="8759" spans="1:6" x14ac:dyDescent="0.2">
      <c r="A8759" s="29" t="s">
        <v>21060</v>
      </c>
      <c r="B8759" s="30" t="s">
        <v>21061</v>
      </c>
      <c r="C8759" s="29" t="s">
        <v>0</v>
      </c>
      <c r="D8759" s="31">
        <v>4.0599999999999996</v>
      </c>
      <c r="F8759" s="3" t="str">
        <f t="shared" si="136"/>
        <v>I8846</v>
      </c>
    </row>
    <row r="8760" spans="1:6" x14ac:dyDescent="0.2">
      <c r="A8760" s="29" t="s">
        <v>21062</v>
      </c>
      <c r="B8760" s="30" t="s">
        <v>21063</v>
      </c>
      <c r="C8760" s="29" t="s">
        <v>0</v>
      </c>
      <c r="D8760" s="31">
        <v>5.03</v>
      </c>
      <c r="F8760" s="3" t="str">
        <f t="shared" si="136"/>
        <v>I8847</v>
      </c>
    </row>
    <row r="8761" spans="1:6" x14ac:dyDescent="0.2">
      <c r="A8761" s="29" t="s">
        <v>21064</v>
      </c>
      <c r="B8761" s="30" t="s">
        <v>21065</v>
      </c>
      <c r="C8761" s="29" t="s">
        <v>0</v>
      </c>
      <c r="D8761" s="31">
        <v>8.49</v>
      </c>
      <c r="F8761" s="3" t="str">
        <f t="shared" si="136"/>
        <v>I8848</v>
      </c>
    </row>
    <row r="8762" spans="1:6" x14ac:dyDescent="0.2">
      <c r="A8762" s="29" t="s">
        <v>21066</v>
      </c>
      <c r="B8762" s="30" t="s">
        <v>21067</v>
      </c>
      <c r="C8762" s="29" t="s">
        <v>0</v>
      </c>
      <c r="D8762" s="31">
        <v>12.74</v>
      </c>
      <c r="F8762" s="3" t="str">
        <f t="shared" si="136"/>
        <v>I8849</v>
      </c>
    </row>
    <row r="8763" spans="1:6" x14ac:dyDescent="0.2">
      <c r="A8763" s="29" t="s">
        <v>21068</v>
      </c>
      <c r="B8763" s="30" t="s">
        <v>21069</v>
      </c>
      <c r="C8763" s="29" t="s">
        <v>0</v>
      </c>
      <c r="D8763" s="31">
        <v>17.350000000000001</v>
      </c>
      <c r="F8763" s="3" t="str">
        <f t="shared" si="136"/>
        <v>I8850</v>
      </c>
    </row>
    <row r="8764" spans="1:6" x14ac:dyDescent="0.2">
      <c r="A8764" s="29" t="s">
        <v>21070</v>
      </c>
      <c r="B8764" s="30" t="s">
        <v>21071</v>
      </c>
      <c r="C8764" s="29" t="s">
        <v>0</v>
      </c>
      <c r="D8764" s="31">
        <v>24.34</v>
      </c>
      <c r="F8764" s="3" t="str">
        <f t="shared" si="136"/>
        <v>I8851</v>
      </c>
    </row>
    <row r="8765" spans="1:6" x14ac:dyDescent="0.2">
      <c r="A8765" s="29" t="s">
        <v>21072</v>
      </c>
      <c r="B8765" s="30" t="s">
        <v>21073</v>
      </c>
      <c r="C8765" s="29" t="s">
        <v>0</v>
      </c>
      <c r="D8765" s="31">
        <v>5.56</v>
      </c>
      <c r="F8765" s="3" t="str">
        <f t="shared" si="136"/>
        <v>I8852</v>
      </c>
    </row>
    <row r="8766" spans="1:6" x14ac:dyDescent="0.2">
      <c r="A8766" s="29" t="s">
        <v>21074</v>
      </c>
      <c r="B8766" s="30" t="s">
        <v>21075</v>
      </c>
      <c r="C8766" s="29" t="s">
        <v>0</v>
      </c>
      <c r="D8766" s="31">
        <v>48.34</v>
      </c>
      <c r="F8766" s="3" t="str">
        <f t="shared" si="136"/>
        <v>I8859</v>
      </c>
    </row>
    <row r="8767" spans="1:6" x14ac:dyDescent="0.2">
      <c r="A8767" s="29" t="s">
        <v>21076</v>
      </c>
      <c r="B8767" s="30" t="s">
        <v>21077</v>
      </c>
      <c r="C8767" s="29" t="s">
        <v>0</v>
      </c>
      <c r="D8767" s="31">
        <v>8.0299999999999994</v>
      </c>
      <c r="F8767" s="3" t="str">
        <f t="shared" si="136"/>
        <v>I8853</v>
      </c>
    </row>
    <row r="8768" spans="1:6" x14ac:dyDescent="0.2">
      <c r="A8768" s="29" t="s">
        <v>21078</v>
      </c>
      <c r="B8768" s="30" t="s">
        <v>21079</v>
      </c>
      <c r="C8768" s="29" t="s">
        <v>0</v>
      </c>
      <c r="D8768" s="31">
        <v>11.52</v>
      </c>
      <c r="F8768" s="3" t="str">
        <f t="shared" si="136"/>
        <v>I8854</v>
      </c>
    </row>
    <row r="8769" spans="1:6" x14ac:dyDescent="0.2">
      <c r="A8769" s="29" t="s">
        <v>21080</v>
      </c>
      <c r="B8769" s="30" t="s">
        <v>21081</v>
      </c>
      <c r="C8769" s="29" t="s">
        <v>0</v>
      </c>
      <c r="D8769" s="31">
        <v>16.77</v>
      </c>
      <c r="F8769" s="3" t="str">
        <f t="shared" si="136"/>
        <v>I8855</v>
      </c>
    </row>
    <row r="8770" spans="1:6" x14ac:dyDescent="0.2">
      <c r="A8770" s="29" t="s">
        <v>21082</v>
      </c>
      <c r="B8770" s="30" t="s">
        <v>21083</v>
      </c>
      <c r="C8770" s="29" t="s">
        <v>0</v>
      </c>
      <c r="D8770" s="31">
        <v>23.07</v>
      </c>
      <c r="F8770" s="3" t="str">
        <f t="shared" ref="F8770:F8833" si="137">A8770</f>
        <v>I8856</v>
      </c>
    </row>
    <row r="8771" spans="1:6" x14ac:dyDescent="0.2">
      <c r="A8771" s="29" t="s">
        <v>21084</v>
      </c>
      <c r="B8771" s="30" t="s">
        <v>21085</v>
      </c>
      <c r="C8771" s="29" t="s">
        <v>0</v>
      </c>
      <c r="D8771" s="31">
        <v>32.49</v>
      </c>
      <c r="F8771" s="3" t="str">
        <f t="shared" si="137"/>
        <v>I8857</v>
      </c>
    </row>
    <row r="8772" spans="1:6" x14ac:dyDescent="0.2">
      <c r="A8772" s="29" t="s">
        <v>21086</v>
      </c>
      <c r="B8772" s="30" t="s">
        <v>21087</v>
      </c>
      <c r="C8772" s="29" t="s">
        <v>0</v>
      </c>
      <c r="D8772" s="31">
        <v>41.23</v>
      </c>
      <c r="F8772" s="3" t="str">
        <f t="shared" si="137"/>
        <v>I8858</v>
      </c>
    </row>
    <row r="8773" spans="1:6" x14ac:dyDescent="0.2">
      <c r="A8773" s="29" t="s">
        <v>21088</v>
      </c>
      <c r="B8773" s="30" t="s">
        <v>21089</v>
      </c>
      <c r="C8773" s="29" t="s">
        <v>0</v>
      </c>
      <c r="D8773" s="31">
        <v>7.61</v>
      </c>
      <c r="F8773" s="3" t="str">
        <f t="shared" si="137"/>
        <v>I8827</v>
      </c>
    </row>
    <row r="8774" spans="1:6" x14ac:dyDescent="0.2">
      <c r="A8774" s="29" t="s">
        <v>21090</v>
      </c>
      <c r="B8774" s="30" t="s">
        <v>21091</v>
      </c>
      <c r="C8774" s="29" t="s">
        <v>0</v>
      </c>
      <c r="D8774" s="31">
        <v>8.82</v>
      </c>
      <c r="F8774" s="3" t="str">
        <f t="shared" si="137"/>
        <v>I8828</v>
      </c>
    </row>
    <row r="8775" spans="1:6" x14ac:dyDescent="0.2">
      <c r="A8775" s="29" t="s">
        <v>21092</v>
      </c>
      <c r="B8775" s="30" t="s">
        <v>21093</v>
      </c>
      <c r="C8775" s="29" t="s">
        <v>0</v>
      </c>
      <c r="D8775" s="31">
        <v>18.18</v>
      </c>
      <c r="F8775" s="3" t="str">
        <f t="shared" si="137"/>
        <v>I8831</v>
      </c>
    </row>
    <row r="8776" spans="1:6" x14ac:dyDescent="0.2">
      <c r="A8776" s="29" t="s">
        <v>21094</v>
      </c>
      <c r="B8776" s="30" t="s">
        <v>21095</v>
      </c>
      <c r="C8776" s="29" t="s">
        <v>0</v>
      </c>
      <c r="D8776" s="31">
        <v>22.04</v>
      </c>
      <c r="F8776" s="3" t="str">
        <f t="shared" si="137"/>
        <v>I8832</v>
      </c>
    </row>
    <row r="8777" spans="1:6" x14ac:dyDescent="0.2">
      <c r="A8777" s="29" t="s">
        <v>21096</v>
      </c>
      <c r="B8777" s="30" t="s">
        <v>21097</v>
      </c>
      <c r="C8777" s="29" t="s">
        <v>0</v>
      </c>
      <c r="D8777" s="31">
        <v>25.68</v>
      </c>
      <c r="F8777" s="3" t="str">
        <f t="shared" si="137"/>
        <v>I8833</v>
      </c>
    </row>
    <row r="8778" spans="1:6" x14ac:dyDescent="0.2">
      <c r="A8778" s="29" t="s">
        <v>21098</v>
      </c>
      <c r="B8778" s="30" t="s">
        <v>21099</v>
      </c>
      <c r="C8778" s="29" t="s">
        <v>0</v>
      </c>
      <c r="D8778" s="31">
        <v>33.020000000000003</v>
      </c>
      <c r="F8778" s="3" t="str">
        <f t="shared" si="137"/>
        <v>I8834</v>
      </c>
    </row>
    <row r="8779" spans="1:6" x14ac:dyDescent="0.2">
      <c r="A8779" s="29" t="s">
        <v>21100</v>
      </c>
      <c r="B8779" s="30" t="s">
        <v>21101</v>
      </c>
      <c r="C8779" s="29" t="s">
        <v>0</v>
      </c>
      <c r="D8779" s="31">
        <v>51.37</v>
      </c>
      <c r="F8779" s="3" t="str">
        <f t="shared" si="137"/>
        <v>I8835</v>
      </c>
    </row>
    <row r="8780" spans="1:6" x14ac:dyDescent="0.2">
      <c r="A8780" s="29" t="s">
        <v>21102</v>
      </c>
      <c r="B8780" s="30" t="s">
        <v>21103</v>
      </c>
      <c r="C8780" s="29" t="s">
        <v>0</v>
      </c>
      <c r="D8780" s="31">
        <v>11.49</v>
      </c>
      <c r="F8780" s="3" t="str">
        <f t="shared" si="137"/>
        <v>I8829</v>
      </c>
    </row>
    <row r="8781" spans="1:6" x14ac:dyDescent="0.2">
      <c r="A8781" s="29" t="s">
        <v>21104</v>
      </c>
      <c r="B8781" s="30" t="s">
        <v>21105</v>
      </c>
      <c r="C8781" s="29" t="s">
        <v>0</v>
      </c>
      <c r="D8781" s="31">
        <v>14.55</v>
      </c>
      <c r="F8781" s="3" t="str">
        <f t="shared" si="137"/>
        <v>I8830</v>
      </c>
    </row>
    <row r="8782" spans="1:6" x14ac:dyDescent="0.2">
      <c r="A8782" s="29" t="s">
        <v>21106</v>
      </c>
      <c r="B8782" s="30" t="s">
        <v>21107</v>
      </c>
      <c r="C8782" s="29" t="s">
        <v>0</v>
      </c>
      <c r="D8782" s="31">
        <v>22.04</v>
      </c>
      <c r="F8782" s="3" t="str">
        <f t="shared" si="137"/>
        <v>I8840</v>
      </c>
    </row>
    <row r="8783" spans="1:6" x14ac:dyDescent="0.2">
      <c r="A8783" s="29" t="s">
        <v>21108</v>
      </c>
      <c r="B8783" s="30" t="s">
        <v>21109</v>
      </c>
      <c r="C8783" s="29" t="s">
        <v>0</v>
      </c>
      <c r="D8783" s="31">
        <v>25.68</v>
      </c>
      <c r="F8783" s="3" t="str">
        <f t="shared" si="137"/>
        <v>I8841</v>
      </c>
    </row>
    <row r="8784" spans="1:6" x14ac:dyDescent="0.2">
      <c r="A8784" s="29" t="s">
        <v>21110</v>
      </c>
      <c r="B8784" s="30" t="s">
        <v>21111</v>
      </c>
      <c r="C8784" s="29" t="s">
        <v>0</v>
      </c>
      <c r="D8784" s="31">
        <v>11.15</v>
      </c>
      <c r="F8784" s="3" t="str">
        <f t="shared" si="137"/>
        <v>I8836</v>
      </c>
    </row>
    <row r="8785" spans="1:6" x14ac:dyDescent="0.2">
      <c r="A8785" s="29" t="s">
        <v>21112</v>
      </c>
      <c r="B8785" s="30" t="s">
        <v>21113</v>
      </c>
      <c r="C8785" s="29" t="s">
        <v>0</v>
      </c>
      <c r="D8785" s="31">
        <v>13.15</v>
      </c>
      <c r="F8785" s="3" t="str">
        <f t="shared" si="137"/>
        <v>I8837</v>
      </c>
    </row>
    <row r="8786" spans="1:6" x14ac:dyDescent="0.2">
      <c r="A8786" s="29" t="s">
        <v>21114</v>
      </c>
      <c r="B8786" s="30" t="s">
        <v>21115</v>
      </c>
      <c r="C8786" s="29" t="s">
        <v>0</v>
      </c>
      <c r="D8786" s="31">
        <v>17.149999999999999</v>
      </c>
      <c r="F8786" s="3" t="str">
        <f t="shared" si="137"/>
        <v>I8838</v>
      </c>
    </row>
    <row r="8787" spans="1:6" x14ac:dyDescent="0.2">
      <c r="A8787" s="29" t="s">
        <v>21116</v>
      </c>
      <c r="B8787" s="30" t="s">
        <v>21117</v>
      </c>
      <c r="C8787" s="29" t="s">
        <v>0</v>
      </c>
      <c r="D8787" s="31">
        <v>21.12</v>
      </c>
      <c r="F8787" s="3" t="str">
        <f t="shared" si="137"/>
        <v>I8839</v>
      </c>
    </row>
    <row r="8788" spans="1:6" x14ac:dyDescent="0.2">
      <c r="A8788" s="29" t="s">
        <v>21118</v>
      </c>
      <c r="B8788" s="30" t="s">
        <v>21119</v>
      </c>
      <c r="C8788" s="29" t="s">
        <v>0</v>
      </c>
      <c r="D8788" s="31">
        <v>7.23</v>
      </c>
      <c r="F8788" s="3" t="str">
        <f t="shared" si="137"/>
        <v>I6276</v>
      </c>
    </row>
    <row r="8789" spans="1:6" x14ac:dyDescent="0.2">
      <c r="A8789" s="29" t="s">
        <v>21120</v>
      </c>
      <c r="B8789" s="30" t="s">
        <v>21121</v>
      </c>
      <c r="C8789" s="29" t="s">
        <v>0</v>
      </c>
      <c r="D8789" s="31">
        <v>2.29</v>
      </c>
      <c r="F8789" s="3" t="str">
        <f t="shared" si="137"/>
        <v>I6149</v>
      </c>
    </row>
    <row r="8790" spans="1:6" ht="22.5" x14ac:dyDescent="0.2">
      <c r="A8790" s="29" t="s">
        <v>21122</v>
      </c>
      <c r="B8790" s="30" t="s">
        <v>21123</v>
      </c>
      <c r="C8790" s="29" t="s">
        <v>0</v>
      </c>
      <c r="D8790" s="31">
        <v>4.83</v>
      </c>
      <c r="F8790" s="3" t="str">
        <f t="shared" si="137"/>
        <v>I6495</v>
      </c>
    </row>
    <row r="8791" spans="1:6" x14ac:dyDescent="0.2">
      <c r="A8791" s="29" t="s">
        <v>21124</v>
      </c>
      <c r="B8791" s="30" t="s">
        <v>21125</v>
      </c>
      <c r="C8791" s="29" t="s">
        <v>0</v>
      </c>
      <c r="D8791" s="31">
        <v>2.61</v>
      </c>
      <c r="F8791" s="3" t="str">
        <f t="shared" si="137"/>
        <v>I6150</v>
      </c>
    </row>
    <row r="8792" spans="1:6" x14ac:dyDescent="0.2">
      <c r="A8792" s="29" t="s">
        <v>21126</v>
      </c>
      <c r="B8792" s="30" t="s">
        <v>21127</v>
      </c>
      <c r="C8792" s="29" t="s">
        <v>0</v>
      </c>
      <c r="D8792" s="31">
        <v>46.6</v>
      </c>
      <c r="F8792" s="3" t="str">
        <f t="shared" si="137"/>
        <v>I6152</v>
      </c>
    </row>
    <row r="8793" spans="1:6" x14ac:dyDescent="0.2">
      <c r="A8793" s="29" t="s">
        <v>21128</v>
      </c>
      <c r="B8793" s="30" t="s">
        <v>21129</v>
      </c>
      <c r="C8793" s="29" t="s">
        <v>0</v>
      </c>
      <c r="D8793" s="31">
        <v>28.36</v>
      </c>
      <c r="F8793" s="3" t="str">
        <f t="shared" si="137"/>
        <v>I6151</v>
      </c>
    </row>
    <row r="8794" spans="1:6" x14ac:dyDescent="0.2">
      <c r="A8794" s="29" t="s">
        <v>21130</v>
      </c>
      <c r="B8794" s="30" t="s">
        <v>21131</v>
      </c>
      <c r="C8794" s="29" t="s">
        <v>0</v>
      </c>
      <c r="D8794" s="31">
        <v>3.2</v>
      </c>
      <c r="F8794" s="3" t="str">
        <f t="shared" si="137"/>
        <v>I8451</v>
      </c>
    </row>
    <row r="8795" spans="1:6" x14ac:dyDescent="0.2">
      <c r="A8795" s="29" t="s">
        <v>21132</v>
      </c>
      <c r="B8795" s="30" t="s">
        <v>21133</v>
      </c>
      <c r="C8795" s="29" t="s">
        <v>0</v>
      </c>
      <c r="D8795" s="31">
        <v>15.79</v>
      </c>
      <c r="F8795" s="3" t="str">
        <f t="shared" si="137"/>
        <v>I8455</v>
      </c>
    </row>
    <row r="8796" spans="1:6" x14ac:dyDescent="0.2">
      <c r="A8796" s="29" t="s">
        <v>21134</v>
      </c>
      <c r="B8796" s="30" t="s">
        <v>21135</v>
      </c>
      <c r="C8796" s="29" t="s">
        <v>0</v>
      </c>
      <c r="D8796" s="31">
        <v>197.06</v>
      </c>
      <c r="F8796" s="3" t="str">
        <f t="shared" si="137"/>
        <v>I8462</v>
      </c>
    </row>
    <row r="8797" spans="1:6" x14ac:dyDescent="0.2">
      <c r="A8797" s="29" t="s">
        <v>21136</v>
      </c>
      <c r="B8797" s="30" t="s">
        <v>21137</v>
      </c>
      <c r="C8797" s="29" t="s">
        <v>0</v>
      </c>
      <c r="D8797" s="31">
        <v>245.23</v>
      </c>
      <c r="F8797" s="3" t="str">
        <f t="shared" si="137"/>
        <v>I8463</v>
      </c>
    </row>
    <row r="8798" spans="1:6" x14ac:dyDescent="0.2">
      <c r="A8798" s="29" t="s">
        <v>21138</v>
      </c>
      <c r="B8798" s="30" t="s">
        <v>21139</v>
      </c>
      <c r="C8798" s="29" t="s">
        <v>0</v>
      </c>
      <c r="D8798" s="31">
        <v>25.04</v>
      </c>
      <c r="F8798" s="3" t="str">
        <f t="shared" si="137"/>
        <v>I8456</v>
      </c>
    </row>
    <row r="8799" spans="1:6" x14ac:dyDescent="0.2">
      <c r="A8799" s="29" t="s">
        <v>21140</v>
      </c>
      <c r="B8799" s="30" t="s">
        <v>21141</v>
      </c>
      <c r="C8799" s="29" t="s">
        <v>0</v>
      </c>
      <c r="D8799" s="31">
        <v>294.48</v>
      </c>
      <c r="F8799" s="3" t="str">
        <f t="shared" si="137"/>
        <v>I8464</v>
      </c>
    </row>
    <row r="8800" spans="1:6" x14ac:dyDescent="0.2">
      <c r="A8800" s="29" t="s">
        <v>21142</v>
      </c>
      <c r="B8800" s="30" t="s">
        <v>21143</v>
      </c>
      <c r="C8800" s="29" t="s">
        <v>0</v>
      </c>
      <c r="D8800" s="31">
        <v>4.6399999999999997</v>
      </c>
      <c r="F8800" s="3" t="str">
        <f t="shared" si="137"/>
        <v>I8452</v>
      </c>
    </row>
    <row r="8801" spans="1:6" x14ac:dyDescent="0.2">
      <c r="A8801" s="29" t="s">
        <v>21144</v>
      </c>
      <c r="B8801" s="30" t="s">
        <v>21145</v>
      </c>
      <c r="C8801" s="29" t="s">
        <v>0</v>
      </c>
      <c r="D8801" s="31">
        <v>388.8</v>
      </c>
      <c r="F8801" s="3" t="str">
        <f t="shared" si="137"/>
        <v>I8465</v>
      </c>
    </row>
    <row r="8802" spans="1:6" x14ac:dyDescent="0.2">
      <c r="A8802" s="29" t="s">
        <v>21146</v>
      </c>
      <c r="B8802" s="30" t="s">
        <v>21147</v>
      </c>
      <c r="C8802" s="29" t="s">
        <v>0</v>
      </c>
      <c r="D8802" s="31">
        <v>38.630000000000003</v>
      </c>
      <c r="F8802" s="3" t="str">
        <f t="shared" si="137"/>
        <v>I8457</v>
      </c>
    </row>
    <row r="8803" spans="1:6" x14ac:dyDescent="0.2">
      <c r="A8803" s="29" t="s">
        <v>21148</v>
      </c>
      <c r="B8803" s="30" t="s">
        <v>21149</v>
      </c>
      <c r="C8803" s="29" t="s">
        <v>0</v>
      </c>
      <c r="D8803" s="31">
        <v>54.69</v>
      </c>
      <c r="F8803" s="3" t="str">
        <f t="shared" si="137"/>
        <v>I8458</v>
      </c>
    </row>
    <row r="8804" spans="1:6" x14ac:dyDescent="0.2">
      <c r="A8804" s="29" t="s">
        <v>21150</v>
      </c>
      <c r="B8804" s="30" t="s">
        <v>21151</v>
      </c>
      <c r="C8804" s="29" t="s">
        <v>0</v>
      </c>
      <c r="D8804" s="31">
        <v>7.11</v>
      </c>
      <c r="F8804" s="3" t="str">
        <f t="shared" si="137"/>
        <v>I8453</v>
      </c>
    </row>
    <row r="8805" spans="1:6" x14ac:dyDescent="0.2">
      <c r="A8805" s="29" t="s">
        <v>21152</v>
      </c>
      <c r="B8805" s="30" t="s">
        <v>21153</v>
      </c>
      <c r="C8805" s="29" t="s">
        <v>0</v>
      </c>
      <c r="D8805" s="31">
        <v>84.18</v>
      </c>
      <c r="F8805" s="3" t="str">
        <f t="shared" si="137"/>
        <v>I8459</v>
      </c>
    </row>
    <row r="8806" spans="1:6" x14ac:dyDescent="0.2">
      <c r="A8806" s="29" t="s">
        <v>21154</v>
      </c>
      <c r="B8806" s="30" t="s">
        <v>21155</v>
      </c>
      <c r="C8806" s="29" t="s">
        <v>0</v>
      </c>
      <c r="D8806" s="31">
        <v>9.56</v>
      </c>
      <c r="F8806" s="3" t="str">
        <f t="shared" si="137"/>
        <v>I8454</v>
      </c>
    </row>
    <row r="8807" spans="1:6" x14ac:dyDescent="0.2">
      <c r="A8807" s="29" t="s">
        <v>21156</v>
      </c>
      <c r="B8807" s="30" t="s">
        <v>21157</v>
      </c>
      <c r="C8807" s="29" t="s">
        <v>0</v>
      </c>
      <c r="D8807" s="31">
        <v>112.5</v>
      </c>
      <c r="F8807" s="3" t="str">
        <f t="shared" si="137"/>
        <v>I8460</v>
      </c>
    </row>
    <row r="8808" spans="1:6" x14ac:dyDescent="0.2">
      <c r="A8808" s="29" t="s">
        <v>21158</v>
      </c>
      <c r="B8808" s="30" t="s">
        <v>21159</v>
      </c>
      <c r="C8808" s="29" t="s">
        <v>0</v>
      </c>
      <c r="D8808" s="31">
        <v>142.91999999999999</v>
      </c>
      <c r="F8808" s="3" t="str">
        <f t="shared" si="137"/>
        <v>I8461</v>
      </c>
    </row>
    <row r="8809" spans="1:6" x14ac:dyDescent="0.2">
      <c r="A8809" s="29" t="s">
        <v>21160</v>
      </c>
      <c r="B8809" s="30" t="s">
        <v>21161</v>
      </c>
      <c r="C8809" s="29" t="s">
        <v>0</v>
      </c>
      <c r="D8809" s="31">
        <v>8.7100000000000009</v>
      </c>
      <c r="F8809" s="3" t="str">
        <f t="shared" si="137"/>
        <v>I8472</v>
      </c>
    </row>
    <row r="8810" spans="1:6" x14ac:dyDescent="0.2">
      <c r="A8810" s="29" t="s">
        <v>21162</v>
      </c>
      <c r="B8810" s="30" t="s">
        <v>21163</v>
      </c>
      <c r="C8810" s="29" t="s">
        <v>0</v>
      </c>
      <c r="D8810" s="31">
        <v>14.05</v>
      </c>
      <c r="F8810" s="3" t="str">
        <f t="shared" si="137"/>
        <v>I8479</v>
      </c>
    </row>
    <row r="8811" spans="1:6" x14ac:dyDescent="0.2">
      <c r="A8811" s="29" t="s">
        <v>21164</v>
      </c>
      <c r="B8811" s="30" t="s">
        <v>21165</v>
      </c>
      <c r="C8811" s="29" t="s">
        <v>0</v>
      </c>
      <c r="D8811" s="31">
        <v>19.03</v>
      </c>
      <c r="F8811" s="3" t="str">
        <f t="shared" si="137"/>
        <v>I8486</v>
      </c>
    </row>
    <row r="8812" spans="1:6" x14ac:dyDescent="0.2">
      <c r="A8812" s="29" t="s">
        <v>21166</v>
      </c>
      <c r="B8812" s="30" t="s">
        <v>21167</v>
      </c>
      <c r="C8812" s="29" t="s">
        <v>0</v>
      </c>
      <c r="D8812" s="31">
        <v>40.15</v>
      </c>
      <c r="F8812" s="3" t="str">
        <f t="shared" si="137"/>
        <v>I8493</v>
      </c>
    </row>
    <row r="8813" spans="1:6" x14ac:dyDescent="0.2">
      <c r="A8813" s="29" t="s">
        <v>21168</v>
      </c>
      <c r="B8813" s="30" t="s">
        <v>21169</v>
      </c>
      <c r="C8813" s="29" t="s">
        <v>0</v>
      </c>
      <c r="D8813" s="31">
        <v>16.760000000000002</v>
      </c>
      <c r="F8813" s="3" t="str">
        <f t="shared" si="137"/>
        <v>I8473</v>
      </c>
    </row>
    <row r="8814" spans="1:6" x14ac:dyDescent="0.2">
      <c r="A8814" s="29" t="s">
        <v>21170</v>
      </c>
      <c r="B8814" s="30" t="s">
        <v>21171</v>
      </c>
      <c r="C8814" s="29" t="s">
        <v>0</v>
      </c>
      <c r="D8814" s="31">
        <v>22.73</v>
      </c>
      <c r="F8814" s="3" t="str">
        <f t="shared" si="137"/>
        <v>I8480</v>
      </c>
    </row>
    <row r="8815" spans="1:6" x14ac:dyDescent="0.2">
      <c r="A8815" s="29" t="s">
        <v>21172</v>
      </c>
      <c r="B8815" s="30" t="s">
        <v>21173</v>
      </c>
      <c r="C8815" s="29" t="s">
        <v>0</v>
      </c>
      <c r="D8815" s="31">
        <v>33.46</v>
      </c>
      <c r="F8815" s="3" t="str">
        <f t="shared" si="137"/>
        <v>I8487</v>
      </c>
    </row>
    <row r="8816" spans="1:6" x14ac:dyDescent="0.2">
      <c r="A8816" s="29" t="s">
        <v>21174</v>
      </c>
      <c r="B8816" s="30" t="s">
        <v>21175</v>
      </c>
      <c r="C8816" s="29" t="s">
        <v>0</v>
      </c>
      <c r="D8816" s="31">
        <v>49.15</v>
      </c>
      <c r="F8816" s="3" t="str">
        <f t="shared" si="137"/>
        <v>I8494</v>
      </c>
    </row>
    <row r="8817" spans="1:6" x14ac:dyDescent="0.2">
      <c r="A8817" s="29" t="s">
        <v>21176</v>
      </c>
      <c r="B8817" s="30" t="s">
        <v>21177</v>
      </c>
      <c r="C8817" s="29" t="s">
        <v>0</v>
      </c>
      <c r="D8817" s="31">
        <v>5.04</v>
      </c>
      <c r="F8817" s="3" t="str">
        <f t="shared" si="137"/>
        <v>I8466</v>
      </c>
    </row>
    <row r="8818" spans="1:6" x14ac:dyDescent="0.2">
      <c r="A8818" s="29" t="s">
        <v>21178</v>
      </c>
      <c r="B8818" s="30" t="s">
        <v>21179</v>
      </c>
      <c r="C8818" s="29" t="s">
        <v>0</v>
      </c>
      <c r="D8818" s="31">
        <v>20.68</v>
      </c>
      <c r="F8818" s="3" t="str">
        <f t="shared" si="137"/>
        <v>I8474</v>
      </c>
    </row>
    <row r="8819" spans="1:6" x14ac:dyDescent="0.2">
      <c r="A8819" s="29" t="s">
        <v>21180</v>
      </c>
      <c r="B8819" s="30" t="s">
        <v>21181</v>
      </c>
      <c r="C8819" s="29" t="s">
        <v>0</v>
      </c>
      <c r="D8819" s="31">
        <v>21.91</v>
      </c>
      <c r="F8819" s="3" t="str">
        <f t="shared" si="137"/>
        <v>I8481</v>
      </c>
    </row>
    <row r="8820" spans="1:6" x14ac:dyDescent="0.2">
      <c r="A8820" s="29" t="s">
        <v>21182</v>
      </c>
      <c r="B8820" s="30" t="s">
        <v>21183</v>
      </c>
      <c r="C8820" s="29" t="s">
        <v>0</v>
      </c>
      <c r="D8820" s="31">
        <v>30.39</v>
      </c>
      <c r="F8820" s="3" t="str">
        <f t="shared" si="137"/>
        <v>I8488</v>
      </c>
    </row>
    <row r="8821" spans="1:6" x14ac:dyDescent="0.2">
      <c r="A8821" s="29" t="s">
        <v>21184</v>
      </c>
      <c r="B8821" s="30" t="s">
        <v>21185</v>
      </c>
      <c r="C8821" s="29" t="s">
        <v>0</v>
      </c>
      <c r="D8821" s="31">
        <v>62.98</v>
      </c>
      <c r="F8821" s="3" t="str">
        <f t="shared" si="137"/>
        <v>I8495</v>
      </c>
    </row>
    <row r="8822" spans="1:6" x14ac:dyDescent="0.2">
      <c r="A8822" s="29" t="s">
        <v>21186</v>
      </c>
      <c r="B8822" s="30" t="s">
        <v>21187</v>
      </c>
      <c r="C8822" s="29" t="s">
        <v>0</v>
      </c>
      <c r="D8822" s="31">
        <v>24.82</v>
      </c>
      <c r="F8822" s="3" t="str">
        <f t="shared" si="137"/>
        <v>I8475</v>
      </c>
    </row>
    <row r="8823" spans="1:6" x14ac:dyDescent="0.2">
      <c r="A8823" s="29" t="s">
        <v>21188</v>
      </c>
      <c r="B8823" s="30" t="s">
        <v>21189</v>
      </c>
      <c r="C8823" s="29" t="s">
        <v>0</v>
      </c>
      <c r="D8823" s="31">
        <v>34.25</v>
      </c>
      <c r="F8823" s="3" t="str">
        <f t="shared" si="137"/>
        <v>I8482</v>
      </c>
    </row>
    <row r="8824" spans="1:6" x14ac:dyDescent="0.2">
      <c r="A8824" s="29" t="s">
        <v>21190</v>
      </c>
      <c r="B8824" s="30" t="s">
        <v>21191</v>
      </c>
      <c r="C8824" s="29" t="s">
        <v>0</v>
      </c>
      <c r="D8824" s="31">
        <v>37</v>
      </c>
      <c r="F8824" s="3" t="str">
        <f t="shared" si="137"/>
        <v>I8489</v>
      </c>
    </row>
    <row r="8825" spans="1:6" x14ac:dyDescent="0.2">
      <c r="A8825" s="29" t="s">
        <v>21192</v>
      </c>
      <c r="B8825" s="30" t="s">
        <v>21193</v>
      </c>
      <c r="C8825" s="29" t="s">
        <v>0</v>
      </c>
      <c r="D8825" s="31">
        <v>76.91</v>
      </c>
      <c r="F8825" s="3" t="str">
        <f t="shared" si="137"/>
        <v>I8496</v>
      </c>
    </row>
    <row r="8826" spans="1:6" x14ac:dyDescent="0.2">
      <c r="A8826" s="29" t="s">
        <v>21194</v>
      </c>
      <c r="B8826" s="30" t="s">
        <v>21195</v>
      </c>
      <c r="C8826" s="29" t="s">
        <v>0</v>
      </c>
      <c r="D8826" s="31">
        <v>5.81</v>
      </c>
      <c r="F8826" s="3" t="str">
        <f t="shared" si="137"/>
        <v>I8467</v>
      </c>
    </row>
    <row r="8827" spans="1:6" x14ac:dyDescent="0.2">
      <c r="A8827" s="29" t="s">
        <v>21196</v>
      </c>
      <c r="B8827" s="30" t="s">
        <v>21197</v>
      </c>
      <c r="C8827" s="29" t="s">
        <v>0</v>
      </c>
      <c r="D8827" s="31">
        <v>8.58</v>
      </c>
      <c r="F8827" s="3" t="str">
        <f t="shared" si="137"/>
        <v>I8468</v>
      </c>
    </row>
    <row r="8828" spans="1:6" x14ac:dyDescent="0.2">
      <c r="A8828" s="29" t="s">
        <v>21198</v>
      </c>
      <c r="B8828" s="30" t="s">
        <v>21199</v>
      </c>
      <c r="C8828" s="29" t="s">
        <v>0</v>
      </c>
      <c r="D8828" s="31">
        <v>9.19</v>
      </c>
      <c r="F8828" s="3" t="str">
        <f t="shared" si="137"/>
        <v>I8469</v>
      </c>
    </row>
    <row r="8829" spans="1:6" x14ac:dyDescent="0.2">
      <c r="A8829" s="29" t="s">
        <v>21200</v>
      </c>
      <c r="B8829" s="30" t="s">
        <v>21201</v>
      </c>
      <c r="C8829" s="29" t="s">
        <v>0</v>
      </c>
      <c r="D8829" s="31">
        <v>7.7</v>
      </c>
      <c r="F8829" s="3" t="str">
        <f t="shared" si="137"/>
        <v>I8476</v>
      </c>
    </row>
    <row r="8830" spans="1:6" x14ac:dyDescent="0.2">
      <c r="A8830" s="29" t="s">
        <v>21202</v>
      </c>
      <c r="B8830" s="30" t="s">
        <v>21203</v>
      </c>
      <c r="C8830" s="29" t="s">
        <v>0</v>
      </c>
      <c r="D8830" s="31">
        <v>9.48</v>
      </c>
      <c r="F8830" s="3" t="str">
        <f t="shared" si="137"/>
        <v>I8483</v>
      </c>
    </row>
    <row r="8831" spans="1:6" x14ac:dyDescent="0.2">
      <c r="A8831" s="29" t="s">
        <v>21204</v>
      </c>
      <c r="B8831" s="30" t="s">
        <v>21205</v>
      </c>
      <c r="C8831" s="29" t="s">
        <v>0</v>
      </c>
      <c r="D8831" s="31">
        <v>11.48</v>
      </c>
      <c r="F8831" s="3" t="str">
        <f t="shared" si="137"/>
        <v>I8490</v>
      </c>
    </row>
    <row r="8832" spans="1:6" x14ac:dyDescent="0.2">
      <c r="A8832" s="29" t="s">
        <v>21206</v>
      </c>
      <c r="B8832" s="30" t="s">
        <v>21207</v>
      </c>
      <c r="C8832" s="29" t="s">
        <v>0</v>
      </c>
      <c r="D8832" s="31">
        <v>5.61</v>
      </c>
      <c r="F8832" s="3" t="str">
        <f t="shared" si="137"/>
        <v>I8470</v>
      </c>
    </row>
    <row r="8833" spans="1:6" x14ac:dyDescent="0.2">
      <c r="A8833" s="29" t="s">
        <v>21208</v>
      </c>
      <c r="B8833" s="30" t="s">
        <v>21209</v>
      </c>
      <c r="C8833" s="29" t="s">
        <v>0</v>
      </c>
      <c r="D8833" s="31">
        <v>9.2799999999999994</v>
      </c>
      <c r="F8833" s="3" t="str">
        <f t="shared" si="137"/>
        <v>I8477</v>
      </c>
    </row>
    <row r="8834" spans="1:6" x14ac:dyDescent="0.2">
      <c r="A8834" s="29" t="s">
        <v>21210</v>
      </c>
      <c r="B8834" s="30" t="s">
        <v>21211</v>
      </c>
      <c r="C8834" s="29" t="s">
        <v>0</v>
      </c>
      <c r="D8834" s="31">
        <v>12.27</v>
      </c>
      <c r="F8834" s="3" t="str">
        <f t="shared" ref="F8834:F8897" si="138">A8834</f>
        <v>I8484</v>
      </c>
    </row>
    <row r="8835" spans="1:6" x14ac:dyDescent="0.2">
      <c r="A8835" s="29" t="s">
        <v>21212</v>
      </c>
      <c r="B8835" s="30" t="s">
        <v>21213</v>
      </c>
      <c r="C8835" s="29" t="s">
        <v>0</v>
      </c>
      <c r="D8835" s="31">
        <v>15.14</v>
      </c>
      <c r="F8835" s="3" t="str">
        <f t="shared" si="138"/>
        <v>I8491</v>
      </c>
    </row>
    <row r="8836" spans="1:6" x14ac:dyDescent="0.2">
      <c r="A8836" s="29" t="s">
        <v>21214</v>
      </c>
      <c r="B8836" s="30" t="s">
        <v>21215</v>
      </c>
      <c r="C8836" s="29" t="s">
        <v>0</v>
      </c>
      <c r="D8836" s="31">
        <v>6.81</v>
      </c>
      <c r="F8836" s="3" t="str">
        <f t="shared" si="138"/>
        <v>I8471</v>
      </c>
    </row>
    <row r="8837" spans="1:6" x14ac:dyDescent="0.2">
      <c r="A8837" s="272" t="s">
        <v>21216</v>
      </c>
      <c r="B8837" s="265" t="s">
        <v>21217</v>
      </c>
      <c r="C8837" s="272" t="s">
        <v>0</v>
      </c>
      <c r="D8837" s="273">
        <v>11.55</v>
      </c>
      <c r="F8837" s="3" t="str">
        <f t="shared" si="138"/>
        <v>I8478</v>
      </c>
    </row>
    <row r="8838" spans="1:6" x14ac:dyDescent="0.2">
      <c r="A8838" s="29" t="s">
        <v>21218</v>
      </c>
      <c r="B8838" s="30" t="s">
        <v>21219</v>
      </c>
      <c r="C8838" s="29" t="s">
        <v>0</v>
      </c>
      <c r="D8838" s="31">
        <v>15.38</v>
      </c>
      <c r="F8838" s="3" t="str">
        <f t="shared" si="138"/>
        <v>I8485</v>
      </c>
    </row>
    <row r="8839" spans="1:6" x14ac:dyDescent="0.2">
      <c r="A8839" s="29" t="s">
        <v>21220</v>
      </c>
      <c r="B8839" s="30" t="s">
        <v>21221</v>
      </c>
      <c r="C8839" s="29" t="s">
        <v>0</v>
      </c>
      <c r="D8839" s="31">
        <v>33.53</v>
      </c>
      <c r="F8839" s="3" t="str">
        <f t="shared" si="138"/>
        <v>I8492</v>
      </c>
    </row>
    <row r="8840" spans="1:6" x14ac:dyDescent="0.2">
      <c r="A8840" s="29" t="s">
        <v>21222</v>
      </c>
      <c r="B8840" s="30" t="s">
        <v>21223</v>
      </c>
      <c r="C8840" s="29" t="s">
        <v>26</v>
      </c>
      <c r="D8840" s="31">
        <v>121.93</v>
      </c>
      <c r="F8840" s="3" t="str">
        <f t="shared" si="138"/>
        <v>I9593</v>
      </c>
    </row>
    <row r="8841" spans="1:6" x14ac:dyDescent="0.2">
      <c r="A8841" s="29" t="s">
        <v>21224</v>
      </c>
      <c r="B8841" s="30" t="s">
        <v>21225</v>
      </c>
      <c r="C8841" s="29" t="s">
        <v>0</v>
      </c>
      <c r="D8841" s="31">
        <v>4.84</v>
      </c>
      <c r="F8841" s="3" t="str">
        <f t="shared" si="138"/>
        <v>I9594</v>
      </c>
    </row>
    <row r="8842" spans="1:6" x14ac:dyDescent="0.2">
      <c r="A8842" s="29" t="s">
        <v>21226</v>
      </c>
      <c r="B8842" s="30" t="s">
        <v>21227</v>
      </c>
      <c r="C8842" s="29" t="s">
        <v>26</v>
      </c>
      <c r="D8842" s="31">
        <v>1244.3399999999999</v>
      </c>
      <c r="F8842" s="3" t="str">
        <f t="shared" si="138"/>
        <v>I6249</v>
      </c>
    </row>
    <row r="8843" spans="1:6" x14ac:dyDescent="0.2">
      <c r="A8843" s="29" t="s">
        <v>21228</v>
      </c>
      <c r="B8843" s="30" t="s">
        <v>21229</v>
      </c>
      <c r="C8843" s="29" t="s">
        <v>26</v>
      </c>
      <c r="D8843" s="31">
        <v>403.55</v>
      </c>
      <c r="F8843" s="3" t="str">
        <f t="shared" si="138"/>
        <v>I6245</v>
      </c>
    </row>
    <row r="8844" spans="1:6" x14ac:dyDescent="0.2">
      <c r="A8844" s="29" t="s">
        <v>21230</v>
      </c>
      <c r="B8844" s="30" t="s">
        <v>21231</v>
      </c>
      <c r="C8844" s="29" t="s">
        <v>26</v>
      </c>
      <c r="D8844" s="31">
        <v>2652.86</v>
      </c>
      <c r="F8844" s="3" t="str">
        <f t="shared" si="138"/>
        <v>I6250</v>
      </c>
    </row>
    <row r="8845" spans="1:6" x14ac:dyDescent="0.2">
      <c r="A8845" s="29" t="s">
        <v>21232</v>
      </c>
      <c r="B8845" s="30" t="s">
        <v>21233</v>
      </c>
      <c r="C8845" s="29" t="s">
        <v>26</v>
      </c>
      <c r="D8845" s="31">
        <v>532.80999999999995</v>
      </c>
      <c r="F8845" s="3" t="str">
        <f t="shared" si="138"/>
        <v>I8665</v>
      </c>
    </row>
    <row r="8846" spans="1:6" ht="33.75" x14ac:dyDescent="0.2">
      <c r="A8846" s="29" t="s">
        <v>21234</v>
      </c>
      <c r="B8846" s="30" t="s">
        <v>21235</v>
      </c>
      <c r="C8846" s="29" t="s">
        <v>26</v>
      </c>
      <c r="D8846" s="31">
        <v>128022.04</v>
      </c>
      <c r="F8846" s="3" t="str">
        <f t="shared" si="138"/>
        <v>I9595</v>
      </c>
    </row>
    <row r="8847" spans="1:6" ht="33.75" x14ac:dyDescent="0.2">
      <c r="A8847" s="29" t="s">
        <v>21236</v>
      </c>
      <c r="B8847" s="30" t="s">
        <v>21237</v>
      </c>
      <c r="C8847" s="29" t="s">
        <v>26</v>
      </c>
      <c r="D8847" s="31">
        <v>230798.33</v>
      </c>
      <c r="F8847" s="3" t="str">
        <f t="shared" si="138"/>
        <v>I9597</v>
      </c>
    </row>
    <row r="8848" spans="1:6" ht="33.75" x14ac:dyDescent="0.2">
      <c r="A8848" s="29" t="s">
        <v>21238</v>
      </c>
      <c r="B8848" s="30" t="s">
        <v>21239</v>
      </c>
      <c r="C8848" s="29" t="s">
        <v>26</v>
      </c>
      <c r="D8848" s="31">
        <v>188114.01</v>
      </c>
      <c r="F8848" s="3" t="str">
        <f t="shared" si="138"/>
        <v>I9596</v>
      </c>
    </row>
    <row r="8849" spans="1:6" ht="33.75" x14ac:dyDescent="0.2">
      <c r="A8849" s="29" t="s">
        <v>21240</v>
      </c>
      <c r="B8849" s="30" t="s">
        <v>21241</v>
      </c>
      <c r="C8849" s="29" t="s">
        <v>26</v>
      </c>
      <c r="D8849" s="31">
        <v>245344.48</v>
      </c>
      <c r="F8849" s="3" t="str">
        <f t="shared" si="138"/>
        <v>I9598</v>
      </c>
    </row>
    <row r="8850" spans="1:6" x14ac:dyDescent="0.2">
      <c r="A8850" s="272" t="s">
        <v>21242</v>
      </c>
      <c r="B8850" s="265" t="s">
        <v>21243</v>
      </c>
      <c r="C8850" s="272" t="s">
        <v>26</v>
      </c>
      <c r="D8850" s="273">
        <v>260.14999999999998</v>
      </c>
      <c r="F8850" s="3" t="str">
        <f t="shared" si="138"/>
        <v>I8526</v>
      </c>
    </row>
    <row r="8851" spans="1:6" x14ac:dyDescent="0.2">
      <c r="A8851" s="29" t="s">
        <v>21244</v>
      </c>
      <c r="B8851" s="30" t="s">
        <v>21245</v>
      </c>
      <c r="C8851" s="29" t="s">
        <v>26</v>
      </c>
      <c r="D8851" s="31">
        <v>479</v>
      </c>
      <c r="F8851" s="3" t="str">
        <f t="shared" si="138"/>
        <v>I9160</v>
      </c>
    </row>
    <row r="8852" spans="1:6" x14ac:dyDescent="0.2">
      <c r="A8852" s="29" t="s">
        <v>21246</v>
      </c>
      <c r="B8852" s="30" t="s">
        <v>11426</v>
      </c>
      <c r="C8852" s="29" t="s">
        <v>26</v>
      </c>
      <c r="D8852" s="31">
        <v>324.72000000000003</v>
      </c>
      <c r="F8852" s="3" t="str">
        <f t="shared" si="138"/>
        <v>I9535</v>
      </c>
    </row>
    <row r="8853" spans="1:6" x14ac:dyDescent="0.2">
      <c r="A8853" s="29" t="s">
        <v>21247</v>
      </c>
      <c r="B8853" s="30" t="s">
        <v>12143</v>
      </c>
      <c r="C8853" s="29" t="s">
        <v>26</v>
      </c>
      <c r="D8853" s="31">
        <v>27.55</v>
      </c>
      <c r="F8853" s="3" t="str">
        <f t="shared" si="138"/>
        <v>I8524</v>
      </c>
    </row>
    <row r="8854" spans="1:6" ht="22.5" x14ac:dyDescent="0.2">
      <c r="A8854" s="29" t="s">
        <v>21248</v>
      </c>
      <c r="B8854" s="30" t="s">
        <v>21249</v>
      </c>
      <c r="C8854" s="29" t="s">
        <v>26</v>
      </c>
      <c r="D8854" s="31">
        <v>94.89</v>
      </c>
      <c r="F8854" s="3" t="str">
        <f t="shared" si="138"/>
        <v>I6620</v>
      </c>
    </row>
    <row r="8855" spans="1:6" x14ac:dyDescent="0.2">
      <c r="A8855" s="29" t="s">
        <v>21250</v>
      </c>
      <c r="B8855" s="30" t="s">
        <v>21251</v>
      </c>
      <c r="C8855" s="29" t="s">
        <v>26</v>
      </c>
      <c r="D8855" s="31">
        <v>27.34</v>
      </c>
      <c r="F8855" s="3" t="str">
        <f t="shared" si="138"/>
        <v>I9600</v>
      </c>
    </row>
    <row r="8856" spans="1:6" x14ac:dyDescent="0.2">
      <c r="A8856" s="29" t="s">
        <v>21252</v>
      </c>
      <c r="B8856" s="30" t="s">
        <v>21253</v>
      </c>
      <c r="C8856" s="29" t="s">
        <v>26</v>
      </c>
      <c r="D8856" s="31">
        <v>191.87</v>
      </c>
      <c r="F8856" s="3" t="str">
        <f t="shared" si="138"/>
        <v>I6070</v>
      </c>
    </row>
    <row r="8857" spans="1:6" x14ac:dyDescent="0.2">
      <c r="A8857" s="29" t="s">
        <v>21254</v>
      </c>
      <c r="B8857" s="30" t="s">
        <v>21255</v>
      </c>
      <c r="C8857" s="29" t="s">
        <v>26</v>
      </c>
      <c r="D8857" s="31">
        <v>325.02999999999997</v>
      </c>
      <c r="F8857" s="3" t="str">
        <f t="shared" si="138"/>
        <v>I6071</v>
      </c>
    </row>
    <row r="8858" spans="1:6" x14ac:dyDescent="0.2">
      <c r="A8858" s="29" t="s">
        <v>21256</v>
      </c>
      <c r="B8858" s="30" t="s">
        <v>21257</v>
      </c>
      <c r="C8858" s="29" t="s">
        <v>26</v>
      </c>
      <c r="D8858" s="31">
        <v>55.09</v>
      </c>
      <c r="F8858" s="3" t="str">
        <f t="shared" si="138"/>
        <v>I2942</v>
      </c>
    </row>
    <row r="8859" spans="1:6" x14ac:dyDescent="0.2">
      <c r="A8859" s="29" t="s">
        <v>21258</v>
      </c>
      <c r="B8859" s="30" t="s">
        <v>21259</v>
      </c>
      <c r="C8859" s="29" t="s">
        <v>26</v>
      </c>
      <c r="D8859" s="31">
        <v>182.02</v>
      </c>
      <c r="F8859" s="3" t="str">
        <f t="shared" si="138"/>
        <v>I6275</v>
      </c>
    </row>
    <row r="8860" spans="1:6" x14ac:dyDescent="0.2">
      <c r="A8860" s="29" t="s">
        <v>21260</v>
      </c>
      <c r="B8860" s="30" t="s">
        <v>21261</v>
      </c>
      <c r="C8860" s="29" t="s">
        <v>26</v>
      </c>
      <c r="D8860" s="31">
        <v>182.02</v>
      </c>
      <c r="F8860" s="3" t="str">
        <f t="shared" si="138"/>
        <v>I6274</v>
      </c>
    </row>
    <row r="8861" spans="1:6" x14ac:dyDescent="0.2">
      <c r="A8861" s="29" t="s">
        <v>21262</v>
      </c>
      <c r="B8861" s="30" t="s">
        <v>21263</v>
      </c>
      <c r="C8861" s="29" t="s">
        <v>26</v>
      </c>
      <c r="D8861" s="31">
        <v>109.94</v>
      </c>
      <c r="F8861" s="3" t="str">
        <f t="shared" si="138"/>
        <v>I9601</v>
      </c>
    </row>
    <row r="8862" spans="1:6" ht="22.5" x14ac:dyDescent="0.2">
      <c r="A8862" s="29" t="s">
        <v>21264</v>
      </c>
      <c r="B8862" s="30" t="s">
        <v>21265</v>
      </c>
      <c r="C8862" s="29" t="s">
        <v>26</v>
      </c>
      <c r="D8862" s="31">
        <v>3920.6</v>
      </c>
      <c r="F8862" s="3" t="str">
        <f t="shared" si="138"/>
        <v>I9602</v>
      </c>
    </row>
    <row r="8863" spans="1:6" x14ac:dyDescent="0.2">
      <c r="A8863" s="29" t="s">
        <v>21266</v>
      </c>
      <c r="B8863" s="30" t="s">
        <v>21267</v>
      </c>
      <c r="C8863" s="29" t="s">
        <v>26</v>
      </c>
      <c r="D8863" s="31">
        <v>12300</v>
      </c>
      <c r="F8863" s="3" t="str">
        <f t="shared" si="138"/>
        <v>I2976</v>
      </c>
    </row>
    <row r="8864" spans="1:6" x14ac:dyDescent="0.2">
      <c r="A8864" s="29" t="s">
        <v>21268</v>
      </c>
      <c r="B8864" s="30" t="s">
        <v>21269</v>
      </c>
      <c r="C8864" s="29" t="s">
        <v>26</v>
      </c>
      <c r="D8864" s="31">
        <v>23600</v>
      </c>
      <c r="F8864" s="3" t="str">
        <f t="shared" si="138"/>
        <v>I9603</v>
      </c>
    </row>
    <row r="8865" spans="1:6" x14ac:dyDescent="0.2">
      <c r="A8865" s="29" t="s">
        <v>21270</v>
      </c>
      <c r="B8865" s="30" t="s">
        <v>21271</v>
      </c>
      <c r="C8865" s="29" t="s">
        <v>26</v>
      </c>
      <c r="D8865" s="31">
        <v>1340</v>
      </c>
      <c r="F8865" s="3" t="str">
        <f t="shared" si="138"/>
        <v>I2973</v>
      </c>
    </row>
    <row r="8866" spans="1:6" x14ac:dyDescent="0.2">
      <c r="A8866" s="29" t="s">
        <v>21272</v>
      </c>
      <c r="B8866" s="30" t="s">
        <v>21273</v>
      </c>
      <c r="C8866" s="29" t="s">
        <v>26</v>
      </c>
      <c r="D8866" s="31">
        <v>1870</v>
      </c>
      <c r="F8866" s="3" t="str">
        <f t="shared" si="138"/>
        <v>I2974</v>
      </c>
    </row>
    <row r="8867" spans="1:6" x14ac:dyDescent="0.2">
      <c r="A8867" s="29" t="s">
        <v>21274</v>
      </c>
      <c r="B8867" s="30" t="s">
        <v>21275</v>
      </c>
      <c r="C8867" s="29" t="s">
        <v>26</v>
      </c>
      <c r="D8867" s="31">
        <v>2160</v>
      </c>
      <c r="F8867" s="3" t="str">
        <f t="shared" si="138"/>
        <v>I2975</v>
      </c>
    </row>
    <row r="8868" spans="1:6" x14ac:dyDescent="0.2">
      <c r="A8868" s="29" t="s">
        <v>21276</v>
      </c>
      <c r="B8868" s="30" t="s">
        <v>21277</v>
      </c>
      <c r="C8868" s="29" t="s">
        <v>26</v>
      </c>
      <c r="D8868" s="31">
        <v>342.09</v>
      </c>
      <c r="F8868" s="3" t="str">
        <f t="shared" si="138"/>
        <v>I6415</v>
      </c>
    </row>
    <row r="8869" spans="1:6" x14ac:dyDescent="0.2">
      <c r="A8869" s="29" t="s">
        <v>21278</v>
      </c>
      <c r="B8869" s="30" t="s">
        <v>21279</v>
      </c>
      <c r="C8869" s="29" t="s">
        <v>26</v>
      </c>
      <c r="D8869" s="31">
        <v>1175.8900000000001</v>
      </c>
      <c r="F8869" s="3" t="str">
        <f t="shared" si="138"/>
        <v>I13176</v>
      </c>
    </row>
    <row r="8870" spans="1:6" x14ac:dyDescent="0.2">
      <c r="A8870" s="29" t="s">
        <v>21280</v>
      </c>
      <c r="B8870" s="30" t="s">
        <v>21281</v>
      </c>
      <c r="C8870" s="29" t="s">
        <v>26</v>
      </c>
      <c r="D8870" s="31">
        <v>1865.34</v>
      </c>
      <c r="F8870" s="3" t="str">
        <f t="shared" si="138"/>
        <v>I13177</v>
      </c>
    </row>
    <row r="8871" spans="1:6" x14ac:dyDescent="0.2">
      <c r="A8871" s="29" t="s">
        <v>21282</v>
      </c>
      <c r="B8871" s="30" t="s">
        <v>21283</v>
      </c>
      <c r="C8871" s="29" t="s">
        <v>26</v>
      </c>
      <c r="D8871" s="31">
        <v>64.84</v>
      </c>
      <c r="F8871" s="3" t="str">
        <f t="shared" si="138"/>
        <v>I13171</v>
      </c>
    </row>
    <row r="8872" spans="1:6" x14ac:dyDescent="0.2">
      <c r="A8872" s="29" t="s">
        <v>21284</v>
      </c>
      <c r="B8872" s="30" t="s">
        <v>21285</v>
      </c>
      <c r="C8872" s="29" t="s">
        <v>26</v>
      </c>
      <c r="D8872" s="31">
        <v>128.63999999999999</v>
      </c>
      <c r="F8872" s="3" t="str">
        <f t="shared" si="138"/>
        <v>I13172</v>
      </c>
    </row>
    <row r="8873" spans="1:6" x14ac:dyDescent="0.2">
      <c r="A8873" s="29" t="s">
        <v>21286</v>
      </c>
      <c r="B8873" s="30" t="s">
        <v>21287</v>
      </c>
      <c r="C8873" s="29" t="s">
        <v>26</v>
      </c>
      <c r="D8873" s="31">
        <v>205.51</v>
      </c>
      <c r="F8873" s="3" t="str">
        <f t="shared" si="138"/>
        <v>I13173</v>
      </c>
    </row>
    <row r="8874" spans="1:6" x14ac:dyDescent="0.2">
      <c r="A8874" s="29" t="s">
        <v>21288</v>
      </c>
      <c r="B8874" s="30" t="s">
        <v>21289</v>
      </c>
      <c r="C8874" s="29" t="s">
        <v>26</v>
      </c>
      <c r="D8874" s="31">
        <v>439.02</v>
      </c>
      <c r="F8874" s="3" t="str">
        <f t="shared" si="138"/>
        <v>I13174</v>
      </c>
    </row>
    <row r="8875" spans="1:6" x14ac:dyDescent="0.2">
      <c r="A8875" s="29" t="s">
        <v>21290</v>
      </c>
      <c r="B8875" s="30" t="s">
        <v>21291</v>
      </c>
      <c r="C8875" s="29" t="s">
        <v>26</v>
      </c>
      <c r="D8875" s="31">
        <v>800.91</v>
      </c>
      <c r="F8875" s="3" t="str">
        <f t="shared" si="138"/>
        <v>I13175</v>
      </c>
    </row>
    <row r="8876" spans="1:6" x14ac:dyDescent="0.2">
      <c r="A8876" s="29" t="s">
        <v>21292</v>
      </c>
      <c r="B8876" s="30" t="s">
        <v>21293</v>
      </c>
      <c r="C8876" s="29" t="s">
        <v>26</v>
      </c>
      <c r="D8876" s="31">
        <v>15.88</v>
      </c>
      <c r="F8876" s="3" t="str">
        <f t="shared" si="138"/>
        <v>I9605</v>
      </c>
    </row>
    <row r="8877" spans="1:6" x14ac:dyDescent="0.2">
      <c r="A8877" s="29" t="s">
        <v>21294</v>
      </c>
      <c r="B8877" s="30" t="s">
        <v>21295</v>
      </c>
      <c r="C8877" s="29" t="s">
        <v>26</v>
      </c>
      <c r="D8877" s="31">
        <v>334.17</v>
      </c>
      <c r="F8877" s="3" t="str">
        <f t="shared" si="138"/>
        <v>I9606</v>
      </c>
    </row>
    <row r="8878" spans="1:6" x14ac:dyDescent="0.2">
      <c r="A8878" s="29" t="s">
        <v>21296</v>
      </c>
      <c r="B8878" s="30" t="s">
        <v>21297</v>
      </c>
      <c r="C8878" s="29" t="s">
        <v>26</v>
      </c>
      <c r="D8878" s="31">
        <v>3621.57</v>
      </c>
      <c r="F8878" s="3" t="str">
        <f t="shared" si="138"/>
        <v>I7694</v>
      </c>
    </row>
    <row r="8879" spans="1:6" x14ac:dyDescent="0.2">
      <c r="A8879" s="29" t="s">
        <v>21298</v>
      </c>
      <c r="B8879" s="30" t="s">
        <v>21299</v>
      </c>
      <c r="C8879" s="29" t="s">
        <v>26</v>
      </c>
      <c r="D8879" s="31">
        <v>4157.93</v>
      </c>
      <c r="F8879" s="3" t="str">
        <f t="shared" si="138"/>
        <v>I7695</v>
      </c>
    </row>
    <row r="8880" spans="1:6" x14ac:dyDescent="0.2">
      <c r="A8880" s="29" t="s">
        <v>21300</v>
      </c>
      <c r="B8880" s="30" t="s">
        <v>21301</v>
      </c>
      <c r="C8880" s="29" t="s">
        <v>26</v>
      </c>
      <c r="D8880" s="31">
        <v>4694.3</v>
      </c>
      <c r="F8880" s="3" t="str">
        <f t="shared" si="138"/>
        <v>I7696</v>
      </c>
    </row>
    <row r="8881" spans="1:6" x14ac:dyDescent="0.2">
      <c r="A8881" s="29" t="s">
        <v>21302</v>
      </c>
      <c r="B8881" s="30" t="s">
        <v>21303</v>
      </c>
      <c r="C8881" s="29" t="s">
        <v>26</v>
      </c>
      <c r="D8881" s="31">
        <v>6919.7</v>
      </c>
      <c r="F8881" s="3" t="str">
        <f t="shared" si="138"/>
        <v>I7697</v>
      </c>
    </row>
    <row r="8882" spans="1:6" x14ac:dyDescent="0.2">
      <c r="A8882" s="29" t="s">
        <v>21304</v>
      </c>
      <c r="B8882" s="30" t="s">
        <v>21305</v>
      </c>
      <c r="C8882" s="29" t="s">
        <v>26</v>
      </c>
      <c r="D8882" s="31">
        <v>15999.45</v>
      </c>
      <c r="F8882" s="3" t="str">
        <f t="shared" si="138"/>
        <v>I7698</v>
      </c>
    </row>
    <row r="8883" spans="1:6" x14ac:dyDescent="0.2">
      <c r="A8883" s="29" t="s">
        <v>21306</v>
      </c>
      <c r="B8883" s="30" t="s">
        <v>21307</v>
      </c>
      <c r="C8883" s="29" t="s">
        <v>26</v>
      </c>
      <c r="D8883" s="31">
        <v>2944.8</v>
      </c>
      <c r="F8883" s="3" t="str">
        <f t="shared" si="138"/>
        <v>I7097</v>
      </c>
    </row>
    <row r="8884" spans="1:6" x14ac:dyDescent="0.2">
      <c r="A8884" s="29" t="s">
        <v>21308</v>
      </c>
      <c r="B8884" s="30" t="s">
        <v>21309</v>
      </c>
      <c r="C8884" s="29" t="s">
        <v>26</v>
      </c>
      <c r="D8884" s="31">
        <v>119.9</v>
      </c>
      <c r="F8884" s="3" t="str">
        <f t="shared" si="138"/>
        <v>I7098</v>
      </c>
    </row>
    <row r="8885" spans="1:6" x14ac:dyDescent="0.2">
      <c r="A8885" s="29" t="s">
        <v>21310</v>
      </c>
      <c r="B8885" s="30" t="s">
        <v>21311</v>
      </c>
      <c r="C8885" s="29" t="s">
        <v>26</v>
      </c>
      <c r="D8885" s="31">
        <v>240.92</v>
      </c>
      <c r="F8885" s="3" t="str">
        <f t="shared" si="138"/>
        <v>I4176</v>
      </c>
    </row>
    <row r="8886" spans="1:6" x14ac:dyDescent="0.2">
      <c r="A8886" s="29" t="s">
        <v>21312</v>
      </c>
      <c r="B8886" s="30" t="s">
        <v>21313</v>
      </c>
      <c r="C8886" s="29" t="s">
        <v>26</v>
      </c>
      <c r="D8886" s="31">
        <v>371.11</v>
      </c>
      <c r="F8886" s="3" t="str">
        <f t="shared" si="138"/>
        <v>I4177</v>
      </c>
    </row>
    <row r="8887" spans="1:6" x14ac:dyDescent="0.2">
      <c r="A8887" s="29" t="s">
        <v>21314</v>
      </c>
      <c r="B8887" s="30" t="s">
        <v>21315</v>
      </c>
      <c r="C8887" s="29" t="s">
        <v>26</v>
      </c>
      <c r="D8887" s="31">
        <v>571.19000000000005</v>
      </c>
      <c r="F8887" s="3" t="str">
        <f t="shared" si="138"/>
        <v>I4178</v>
      </c>
    </row>
    <row r="8888" spans="1:6" x14ac:dyDescent="0.2">
      <c r="A8888" s="29" t="s">
        <v>21316</v>
      </c>
      <c r="B8888" s="30" t="s">
        <v>21317</v>
      </c>
      <c r="C8888" s="29" t="s">
        <v>26</v>
      </c>
      <c r="D8888" s="31">
        <v>1051.33</v>
      </c>
      <c r="F8888" s="3" t="str">
        <f t="shared" si="138"/>
        <v>I4179</v>
      </c>
    </row>
    <row r="8889" spans="1:6" x14ac:dyDescent="0.2">
      <c r="A8889" s="29" t="s">
        <v>21318</v>
      </c>
      <c r="B8889" s="30" t="s">
        <v>21319</v>
      </c>
      <c r="C8889" s="29" t="s">
        <v>26</v>
      </c>
      <c r="D8889" s="31">
        <v>1562.29</v>
      </c>
      <c r="F8889" s="3" t="str">
        <f t="shared" si="138"/>
        <v>I4180</v>
      </c>
    </row>
    <row r="8890" spans="1:6" x14ac:dyDescent="0.2">
      <c r="A8890" s="29" t="s">
        <v>21320</v>
      </c>
      <c r="B8890" s="30" t="s">
        <v>21321</v>
      </c>
      <c r="C8890" s="29" t="s">
        <v>26</v>
      </c>
      <c r="D8890" s="31">
        <v>1970.86</v>
      </c>
      <c r="F8890" s="3" t="str">
        <f t="shared" si="138"/>
        <v>I4181</v>
      </c>
    </row>
    <row r="8891" spans="1:6" x14ac:dyDescent="0.2">
      <c r="A8891" s="29" t="s">
        <v>21322</v>
      </c>
      <c r="B8891" s="30" t="s">
        <v>21323</v>
      </c>
      <c r="C8891" s="29" t="s">
        <v>26</v>
      </c>
      <c r="D8891" s="31">
        <v>2379.4299999999998</v>
      </c>
      <c r="F8891" s="3" t="str">
        <f t="shared" si="138"/>
        <v>I4182</v>
      </c>
    </row>
    <row r="8892" spans="1:6" x14ac:dyDescent="0.2">
      <c r="A8892" s="29" t="s">
        <v>21324</v>
      </c>
      <c r="B8892" s="30" t="s">
        <v>21325</v>
      </c>
      <c r="C8892" s="29" t="s">
        <v>26</v>
      </c>
      <c r="D8892" s="31">
        <v>3510.17</v>
      </c>
      <c r="F8892" s="3" t="str">
        <f t="shared" si="138"/>
        <v>I4183</v>
      </c>
    </row>
    <row r="8893" spans="1:6" x14ac:dyDescent="0.2">
      <c r="A8893" s="29" t="s">
        <v>21326</v>
      </c>
      <c r="B8893" s="30" t="s">
        <v>21327</v>
      </c>
      <c r="C8893" s="29" t="s">
        <v>26</v>
      </c>
      <c r="D8893" s="31">
        <v>9833.48</v>
      </c>
      <c r="F8893" s="3" t="str">
        <f t="shared" si="138"/>
        <v>I4184</v>
      </c>
    </row>
    <row r="8894" spans="1:6" x14ac:dyDescent="0.2">
      <c r="A8894" s="29" t="s">
        <v>21328</v>
      </c>
      <c r="B8894" s="30" t="s">
        <v>21329</v>
      </c>
      <c r="C8894" s="29" t="s">
        <v>26</v>
      </c>
      <c r="D8894" s="31">
        <v>116.03</v>
      </c>
      <c r="F8894" s="3" t="str">
        <f t="shared" si="138"/>
        <v>I4175</v>
      </c>
    </row>
    <row r="8895" spans="1:6" x14ac:dyDescent="0.2">
      <c r="A8895" s="29" t="s">
        <v>21330</v>
      </c>
      <c r="B8895" s="30" t="s">
        <v>21331</v>
      </c>
      <c r="C8895" s="29" t="s">
        <v>26</v>
      </c>
      <c r="D8895" s="31">
        <v>57.45</v>
      </c>
      <c r="F8895" s="3" t="str">
        <f t="shared" si="138"/>
        <v>I3101</v>
      </c>
    </row>
    <row r="8896" spans="1:6" x14ac:dyDescent="0.2">
      <c r="A8896" s="29" t="s">
        <v>21332</v>
      </c>
      <c r="B8896" s="30" t="s">
        <v>21333</v>
      </c>
      <c r="C8896" s="29" t="s">
        <v>26</v>
      </c>
      <c r="D8896" s="31">
        <v>17.14</v>
      </c>
      <c r="F8896" s="3" t="str">
        <f t="shared" si="138"/>
        <v>I3099</v>
      </c>
    </row>
    <row r="8897" spans="1:6" x14ac:dyDescent="0.2">
      <c r="A8897" s="29" t="s">
        <v>21334</v>
      </c>
      <c r="B8897" s="30" t="s">
        <v>21335</v>
      </c>
      <c r="C8897" s="29" t="s">
        <v>26</v>
      </c>
      <c r="D8897" s="31">
        <v>33.9</v>
      </c>
      <c r="F8897" s="3" t="str">
        <f t="shared" si="138"/>
        <v>I3100</v>
      </c>
    </row>
    <row r="8898" spans="1:6" x14ac:dyDescent="0.2">
      <c r="A8898" s="29" t="s">
        <v>21336</v>
      </c>
      <c r="B8898" s="30" t="s">
        <v>21337</v>
      </c>
      <c r="C8898" s="29" t="s">
        <v>26</v>
      </c>
      <c r="D8898" s="31">
        <v>136.85</v>
      </c>
      <c r="F8898" s="3" t="str">
        <f t="shared" ref="F8898:F8961" si="139">A8898</f>
        <v>I5782</v>
      </c>
    </row>
    <row r="8899" spans="1:6" x14ac:dyDescent="0.2">
      <c r="A8899" s="29" t="s">
        <v>21338</v>
      </c>
      <c r="B8899" s="30" t="s">
        <v>21339</v>
      </c>
      <c r="C8899" s="29" t="s">
        <v>26</v>
      </c>
      <c r="D8899" s="31">
        <v>149.09</v>
      </c>
      <c r="F8899" s="3" t="str">
        <f t="shared" si="139"/>
        <v>I5783</v>
      </c>
    </row>
    <row r="8900" spans="1:6" x14ac:dyDescent="0.2">
      <c r="A8900" s="29" t="s">
        <v>21340</v>
      </c>
      <c r="B8900" s="30" t="s">
        <v>21341</v>
      </c>
      <c r="C8900" s="29" t="s">
        <v>26</v>
      </c>
      <c r="D8900" s="31">
        <v>195.39</v>
      </c>
      <c r="F8900" s="3" t="str">
        <f t="shared" si="139"/>
        <v>I5784</v>
      </c>
    </row>
    <row r="8901" spans="1:6" x14ac:dyDescent="0.2">
      <c r="A8901" s="29" t="s">
        <v>21342</v>
      </c>
      <c r="B8901" s="30" t="s">
        <v>21343</v>
      </c>
      <c r="C8901" s="29" t="s">
        <v>26</v>
      </c>
      <c r="D8901" s="31">
        <v>98.13</v>
      </c>
      <c r="F8901" s="3" t="str">
        <f t="shared" si="139"/>
        <v>I5785</v>
      </c>
    </row>
    <row r="8902" spans="1:6" x14ac:dyDescent="0.2">
      <c r="A8902" s="29" t="s">
        <v>21344</v>
      </c>
      <c r="B8902" s="30" t="s">
        <v>21345</v>
      </c>
      <c r="C8902" s="29" t="s">
        <v>26</v>
      </c>
      <c r="D8902" s="31">
        <v>148.28</v>
      </c>
      <c r="F8902" s="3" t="str">
        <f t="shared" si="139"/>
        <v>I5786</v>
      </c>
    </row>
    <row r="8903" spans="1:6" x14ac:dyDescent="0.2">
      <c r="A8903" s="29" t="s">
        <v>21346</v>
      </c>
      <c r="B8903" s="30" t="s">
        <v>21347</v>
      </c>
      <c r="C8903" s="29" t="s">
        <v>26</v>
      </c>
      <c r="D8903" s="31">
        <v>193.11</v>
      </c>
      <c r="F8903" s="3" t="str">
        <f t="shared" si="139"/>
        <v>I5787</v>
      </c>
    </row>
    <row r="8904" spans="1:6" x14ac:dyDescent="0.2">
      <c r="A8904" s="29" t="s">
        <v>21348</v>
      </c>
      <c r="B8904" s="30" t="s">
        <v>21349</v>
      </c>
      <c r="C8904" s="29" t="s">
        <v>26</v>
      </c>
      <c r="D8904" s="31">
        <v>254.07</v>
      </c>
      <c r="F8904" s="3" t="str">
        <f t="shared" si="139"/>
        <v>I5788</v>
      </c>
    </row>
    <row r="8905" spans="1:6" x14ac:dyDescent="0.2">
      <c r="A8905" s="29" t="s">
        <v>21350</v>
      </c>
      <c r="B8905" s="30" t="s">
        <v>21351</v>
      </c>
      <c r="C8905" s="29" t="s">
        <v>26</v>
      </c>
      <c r="D8905" s="31">
        <v>365.53</v>
      </c>
      <c r="F8905" s="3" t="str">
        <f t="shared" si="139"/>
        <v>I5789</v>
      </c>
    </row>
    <row r="8906" spans="1:6" x14ac:dyDescent="0.2">
      <c r="A8906" s="29" t="s">
        <v>21352</v>
      </c>
      <c r="B8906" s="30" t="s">
        <v>21353</v>
      </c>
      <c r="C8906" s="29" t="s">
        <v>26</v>
      </c>
      <c r="D8906" s="31">
        <v>79.459999999999994</v>
      </c>
      <c r="F8906" s="3" t="str">
        <f t="shared" si="139"/>
        <v>I5790</v>
      </c>
    </row>
    <row r="8907" spans="1:6" x14ac:dyDescent="0.2">
      <c r="A8907" s="29" t="s">
        <v>21354</v>
      </c>
      <c r="B8907" s="30" t="s">
        <v>21355</v>
      </c>
      <c r="C8907" s="29" t="s">
        <v>26</v>
      </c>
      <c r="D8907" s="31">
        <v>88.48</v>
      </c>
      <c r="F8907" s="3" t="str">
        <f t="shared" si="139"/>
        <v>I5791</v>
      </c>
    </row>
    <row r="8908" spans="1:6" x14ac:dyDescent="0.2">
      <c r="A8908" s="29" t="s">
        <v>21356</v>
      </c>
      <c r="B8908" s="30" t="s">
        <v>21357</v>
      </c>
      <c r="C8908" s="29" t="s">
        <v>26</v>
      </c>
      <c r="D8908" s="31">
        <v>151.44999999999999</v>
      </c>
      <c r="F8908" s="3" t="str">
        <f t="shared" si="139"/>
        <v>I5792</v>
      </c>
    </row>
    <row r="8909" spans="1:6" x14ac:dyDescent="0.2">
      <c r="A8909" s="29" t="s">
        <v>21358</v>
      </c>
      <c r="B8909" s="30" t="s">
        <v>21359</v>
      </c>
      <c r="C8909" s="29" t="s">
        <v>26</v>
      </c>
      <c r="D8909" s="31">
        <v>49.36</v>
      </c>
      <c r="F8909" s="3" t="str">
        <f t="shared" si="139"/>
        <v>I5793</v>
      </c>
    </row>
    <row r="8910" spans="1:6" x14ac:dyDescent="0.2">
      <c r="A8910" s="29" t="s">
        <v>21360</v>
      </c>
      <c r="B8910" s="30" t="s">
        <v>21361</v>
      </c>
      <c r="C8910" s="29" t="s">
        <v>26</v>
      </c>
      <c r="D8910" s="31">
        <v>86.72</v>
      </c>
      <c r="F8910" s="3" t="str">
        <f t="shared" si="139"/>
        <v>I5794</v>
      </c>
    </row>
    <row r="8911" spans="1:6" x14ac:dyDescent="0.2">
      <c r="A8911" s="29" t="s">
        <v>21362</v>
      </c>
      <c r="B8911" s="30" t="s">
        <v>21363</v>
      </c>
      <c r="C8911" s="29" t="s">
        <v>26</v>
      </c>
      <c r="D8911" s="31">
        <v>135.72</v>
      </c>
      <c r="F8911" s="3" t="str">
        <f t="shared" si="139"/>
        <v>I5795</v>
      </c>
    </row>
    <row r="8912" spans="1:6" x14ac:dyDescent="0.2">
      <c r="A8912" s="29" t="s">
        <v>21364</v>
      </c>
      <c r="B8912" s="30" t="s">
        <v>21365</v>
      </c>
      <c r="C8912" s="29" t="s">
        <v>26</v>
      </c>
      <c r="D8912" s="31">
        <v>175.46</v>
      </c>
      <c r="F8912" s="3" t="str">
        <f t="shared" si="139"/>
        <v>I5796</v>
      </c>
    </row>
    <row r="8913" spans="1:6" x14ac:dyDescent="0.2">
      <c r="A8913" s="29" t="s">
        <v>21366</v>
      </c>
      <c r="B8913" s="30" t="s">
        <v>21367</v>
      </c>
      <c r="C8913" s="29" t="s">
        <v>26</v>
      </c>
      <c r="D8913" s="31">
        <v>239.74</v>
      </c>
      <c r="F8913" s="3" t="str">
        <f t="shared" si="139"/>
        <v>I5797</v>
      </c>
    </row>
    <row r="8914" spans="1:6" x14ac:dyDescent="0.2">
      <c r="A8914" s="29" t="s">
        <v>21368</v>
      </c>
      <c r="B8914" s="30" t="s">
        <v>21369</v>
      </c>
      <c r="C8914" s="29" t="s">
        <v>26</v>
      </c>
      <c r="D8914" s="31">
        <v>45.28</v>
      </c>
      <c r="F8914" s="3" t="str">
        <f t="shared" si="139"/>
        <v>I9607</v>
      </c>
    </row>
    <row r="8915" spans="1:6" x14ac:dyDescent="0.2">
      <c r="A8915" s="29" t="s">
        <v>21370</v>
      </c>
      <c r="B8915" s="30" t="s">
        <v>21371</v>
      </c>
      <c r="C8915" s="29" t="s">
        <v>26</v>
      </c>
      <c r="D8915" s="31">
        <v>15.47</v>
      </c>
      <c r="F8915" s="3" t="str">
        <f t="shared" si="139"/>
        <v>I9608</v>
      </c>
    </row>
    <row r="8916" spans="1:6" x14ac:dyDescent="0.2">
      <c r="A8916" s="29" t="s">
        <v>21372</v>
      </c>
      <c r="B8916" s="30" t="s">
        <v>21373</v>
      </c>
      <c r="C8916" s="29" t="s">
        <v>26</v>
      </c>
      <c r="D8916" s="31">
        <v>342.21</v>
      </c>
      <c r="F8916" s="3" t="str">
        <f t="shared" si="139"/>
        <v>I6849</v>
      </c>
    </row>
    <row r="8917" spans="1:6" x14ac:dyDescent="0.2">
      <c r="A8917" s="29" t="s">
        <v>21374</v>
      </c>
      <c r="B8917" s="30" t="s">
        <v>21375</v>
      </c>
      <c r="C8917" s="29" t="s">
        <v>26</v>
      </c>
      <c r="D8917" s="31">
        <v>341.49</v>
      </c>
      <c r="F8917" s="3" t="str">
        <f t="shared" si="139"/>
        <v>I6158</v>
      </c>
    </row>
    <row r="8918" spans="1:6" x14ac:dyDescent="0.2">
      <c r="A8918" s="29" t="s">
        <v>21376</v>
      </c>
      <c r="B8918" s="30" t="s">
        <v>21377</v>
      </c>
      <c r="C8918" s="29" t="s">
        <v>26</v>
      </c>
      <c r="D8918" s="31">
        <v>90.73</v>
      </c>
      <c r="F8918" s="3" t="str">
        <f t="shared" si="139"/>
        <v>I8860</v>
      </c>
    </row>
    <row r="8919" spans="1:6" x14ac:dyDescent="0.2">
      <c r="A8919" s="29" t="s">
        <v>21378</v>
      </c>
      <c r="B8919" s="30" t="s">
        <v>21379</v>
      </c>
      <c r="C8919" s="29" t="s">
        <v>26</v>
      </c>
      <c r="D8919" s="31">
        <v>110.47</v>
      </c>
      <c r="F8919" s="3" t="str">
        <f t="shared" si="139"/>
        <v>I6155</v>
      </c>
    </row>
    <row r="8920" spans="1:6" x14ac:dyDescent="0.2">
      <c r="A8920" s="29" t="s">
        <v>21380</v>
      </c>
      <c r="B8920" s="30" t="s">
        <v>21381</v>
      </c>
      <c r="C8920" s="29" t="s">
        <v>26</v>
      </c>
      <c r="D8920" s="31">
        <v>672.42</v>
      </c>
      <c r="F8920" s="3" t="str">
        <f t="shared" si="139"/>
        <v>I6159</v>
      </c>
    </row>
    <row r="8921" spans="1:6" x14ac:dyDescent="0.2">
      <c r="A8921" s="29" t="s">
        <v>21382</v>
      </c>
      <c r="B8921" s="30" t="s">
        <v>21383</v>
      </c>
      <c r="C8921" s="29" t="s">
        <v>26</v>
      </c>
      <c r="D8921" s="31">
        <v>172.89</v>
      </c>
      <c r="F8921" s="3" t="str">
        <f t="shared" si="139"/>
        <v>I6156</v>
      </c>
    </row>
    <row r="8922" spans="1:6" x14ac:dyDescent="0.2">
      <c r="A8922" s="29" t="s">
        <v>21384</v>
      </c>
      <c r="B8922" s="30" t="s">
        <v>21385</v>
      </c>
      <c r="C8922" s="29" t="s">
        <v>26</v>
      </c>
      <c r="D8922" s="31">
        <v>242.49</v>
      </c>
      <c r="F8922" s="3" t="str">
        <f t="shared" si="139"/>
        <v>I6157</v>
      </c>
    </row>
    <row r="8923" spans="1:6" x14ac:dyDescent="0.2">
      <c r="A8923" s="29" t="s">
        <v>21386</v>
      </c>
      <c r="B8923" s="30" t="s">
        <v>21387</v>
      </c>
      <c r="C8923" s="29" t="s">
        <v>26</v>
      </c>
      <c r="D8923" s="31">
        <v>333.05</v>
      </c>
      <c r="F8923" s="3" t="str">
        <f t="shared" si="139"/>
        <v>I8861</v>
      </c>
    </row>
    <row r="8924" spans="1:6" x14ac:dyDescent="0.2">
      <c r="A8924" s="29" t="s">
        <v>21388</v>
      </c>
      <c r="B8924" s="30" t="s">
        <v>21389</v>
      </c>
      <c r="C8924" s="29" t="s">
        <v>26</v>
      </c>
      <c r="D8924" s="31">
        <v>2520.38</v>
      </c>
      <c r="F8924" s="3" t="str">
        <f t="shared" si="139"/>
        <v>I8862</v>
      </c>
    </row>
    <row r="8925" spans="1:6" x14ac:dyDescent="0.2">
      <c r="A8925" s="29" t="s">
        <v>21390</v>
      </c>
      <c r="B8925" s="30" t="s">
        <v>21391</v>
      </c>
      <c r="C8925" s="29" t="s">
        <v>26</v>
      </c>
      <c r="D8925" s="31">
        <v>1059.79</v>
      </c>
      <c r="F8925" s="3" t="str">
        <f t="shared" si="139"/>
        <v>I10487</v>
      </c>
    </row>
    <row r="8926" spans="1:6" x14ac:dyDescent="0.2">
      <c r="A8926" s="29" t="s">
        <v>21392</v>
      </c>
      <c r="B8926" s="30" t="s">
        <v>21393</v>
      </c>
      <c r="C8926" s="29" t="s">
        <v>26</v>
      </c>
      <c r="D8926" s="31">
        <v>1081.6099999999999</v>
      </c>
      <c r="F8926" s="3" t="str">
        <f t="shared" si="139"/>
        <v>I10503</v>
      </c>
    </row>
    <row r="8927" spans="1:6" x14ac:dyDescent="0.2">
      <c r="A8927" s="29" t="s">
        <v>21394</v>
      </c>
      <c r="B8927" s="30" t="s">
        <v>21395</v>
      </c>
      <c r="C8927" s="29" t="s">
        <v>26</v>
      </c>
      <c r="D8927" s="31">
        <v>1059.79</v>
      </c>
      <c r="F8927" s="3" t="str">
        <f t="shared" si="139"/>
        <v>I4187</v>
      </c>
    </row>
    <row r="8928" spans="1:6" x14ac:dyDescent="0.2">
      <c r="A8928" s="29" t="s">
        <v>21396</v>
      </c>
      <c r="B8928" s="30" t="s">
        <v>21397</v>
      </c>
      <c r="C8928" s="29" t="s">
        <v>26</v>
      </c>
      <c r="D8928" s="31">
        <v>82024.479999999996</v>
      </c>
      <c r="F8928" s="3" t="str">
        <f t="shared" si="139"/>
        <v>I10500</v>
      </c>
    </row>
    <row r="8929" spans="1:6" x14ac:dyDescent="0.2">
      <c r="A8929" s="29" t="s">
        <v>21398</v>
      </c>
      <c r="B8929" s="30" t="s">
        <v>21399</v>
      </c>
      <c r="C8929" s="29" t="s">
        <v>26</v>
      </c>
      <c r="D8929" s="31">
        <v>42652.66</v>
      </c>
      <c r="F8929" s="3" t="str">
        <f t="shared" si="139"/>
        <v>I10516</v>
      </c>
    </row>
    <row r="8930" spans="1:6" x14ac:dyDescent="0.2">
      <c r="A8930" s="29" t="s">
        <v>21400</v>
      </c>
      <c r="B8930" s="30" t="s">
        <v>21401</v>
      </c>
      <c r="C8930" s="29" t="s">
        <v>26</v>
      </c>
      <c r="D8930" s="31">
        <v>48157.279999999999</v>
      </c>
      <c r="F8930" s="3" t="str">
        <f t="shared" si="139"/>
        <v>I4199</v>
      </c>
    </row>
    <row r="8931" spans="1:6" x14ac:dyDescent="0.2">
      <c r="A8931" s="29" t="s">
        <v>21402</v>
      </c>
      <c r="B8931" s="30" t="s">
        <v>21403</v>
      </c>
      <c r="C8931" s="29" t="s">
        <v>26</v>
      </c>
      <c r="D8931" s="31">
        <v>63225.16</v>
      </c>
      <c r="F8931" s="3" t="str">
        <f t="shared" si="139"/>
        <v>I10501</v>
      </c>
    </row>
    <row r="8932" spans="1:6" x14ac:dyDescent="0.2">
      <c r="A8932" s="29" t="s">
        <v>21404</v>
      </c>
      <c r="B8932" s="30" t="s">
        <v>21405</v>
      </c>
      <c r="C8932" s="29" t="s">
        <v>26</v>
      </c>
      <c r="D8932" s="31">
        <v>42010.27</v>
      </c>
      <c r="F8932" s="3" t="str">
        <f t="shared" si="139"/>
        <v>I10517</v>
      </c>
    </row>
    <row r="8933" spans="1:6" x14ac:dyDescent="0.2">
      <c r="A8933" s="29" t="s">
        <v>21406</v>
      </c>
      <c r="B8933" s="30" t="s">
        <v>21407</v>
      </c>
      <c r="C8933" s="29" t="s">
        <v>26</v>
      </c>
      <c r="D8933" s="31">
        <v>54600.34</v>
      </c>
      <c r="F8933" s="3" t="str">
        <f t="shared" si="139"/>
        <v>I4200</v>
      </c>
    </row>
    <row r="8934" spans="1:6" x14ac:dyDescent="0.2">
      <c r="A8934" s="29" t="s">
        <v>21408</v>
      </c>
      <c r="B8934" s="30" t="s">
        <v>21409</v>
      </c>
      <c r="C8934" s="29" t="s">
        <v>26</v>
      </c>
      <c r="D8934" s="31">
        <v>1484.74</v>
      </c>
      <c r="F8934" s="3" t="str">
        <f t="shared" si="139"/>
        <v>I10488</v>
      </c>
    </row>
    <row r="8935" spans="1:6" x14ac:dyDescent="0.2">
      <c r="A8935" s="29" t="s">
        <v>21410</v>
      </c>
      <c r="B8935" s="30" t="s">
        <v>21411</v>
      </c>
      <c r="C8935" s="29" t="s">
        <v>26</v>
      </c>
      <c r="D8935" s="31">
        <v>1595.11</v>
      </c>
      <c r="F8935" s="3" t="str">
        <f t="shared" si="139"/>
        <v>I10504</v>
      </c>
    </row>
    <row r="8936" spans="1:6" x14ac:dyDescent="0.2">
      <c r="A8936" s="29" t="s">
        <v>21412</v>
      </c>
      <c r="B8936" s="30" t="s">
        <v>21413</v>
      </c>
      <c r="C8936" s="29" t="s">
        <v>26</v>
      </c>
      <c r="D8936" s="31">
        <v>1484.74</v>
      </c>
      <c r="F8936" s="3" t="str">
        <f t="shared" si="139"/>
        <v>I4188</v>
      </c>
    </row>
    <row r="8937" spans="1:6" x14ac:dyDescent="0.2">
      <c r="A8937" s="29" t="s">
        <v>21414</v>
      </c>
      <c r="B8937" s="30" t="s">
        <v>21415</v>
      </c>
      <c r="C8937" s="29" t="s">
        <v>26</v>
      </c>
      <c r="D8937" s="31">
        <v>2101.9</v>
      </c>
      <c r="F8937" s="3" t="str">
        <f t="shared" si="139"/>
        <v>I10489</v>
      </c>
    </row>
    <row r="8938" spans="1:6" x14ac:dyDescent="0.2">
      <c r="A8938" s="29" t="s">
        <v>21416</v>
      </c>
      <c r="B8938" s="30" t="s">
        <v>21417</v>
      </c>
      <c r="C8938" s="29" t="s">
        <v>26</v>
      </c>
      <c r="D8938" s="31">
        <v>2393.96</v>
      </c>
      <c r="F8938" s="3" t="str">
        <f t="shared" si="139"/>
        <v>I10505</v>
      </c>
    </row>
    <row r="8939" spans="1:6" x14ac:dyDescent="0.2">
      <c r="A8939" s="29" t="s">
        <v>21418</v>
      </c>
      <c r="B8939" s="30" t="s">
        <v>21419</v>
      </c>
      <c r="C8939" s="29" t="s">
        <v>26</v>
      </c>
      <c r="D8939" s="31">
        <v>1867.98</v>
      </c>
      <c r="F8939" s="3" t="str">
        <f t="shared" si="139"/>
        <v>I4189</v>
      </c>
    </row>
    <row r="8940" spans="1:6" x14ac:dyDescent="0.2">
      <c r="A8940" s="29" t="s">
        <v>21420</v>
      </c>
      <c r="B8940" s="30" t="s">
        <v>21421</v>
      </c>
      <c r="C8940" s="29" t="s">
        <v>26</v>
      </c>
      <c r="D8940" s="31">
        <v>3598.97</v>
      </c>
      <c r="F8940" s="3" t="str">
        <f t="shared" si="139"/>
        <v>I10490</v>
      </c>
    </row>
    <row r="8941" spans="1:6" x14ac:dyDescent="0.2">
      <c r="A8941" s="29" t="s">
        <v>21422</v>
      </c>
      <c r="B8941" s="30" t="s">
        <v>21423</v>
      </c>
      <c r="C8941" s="29" t="s">
        <v>26</v>
      </c>
      <c r="D8941" s="31">
        <v>4906.22</v>
      </c>
      <c r="F8941" s="3" t="str">
        <f t="shared" si="139"/>
        <v>I10506</v>
      </c>
    </row>
    <row r="8942" spans="1:6" x14ac:dyDescent="0.2">
      <c r="A8942" s="29" t="s">
        <v>21424</v>
      </c>
      <c r="B8942" s="30" t="s">
        <v>21425</v>
      </c>
      <c r="C8942" s="29" t="s">
        <v>26</v>
      </c>
      <c r="D8942" s="31">
        <v>3306.94</v>
      </c>
      <c r="F8942" s="3" t="str">
        <f t="shared" si="139"/>
        <v>I4190</v>
      </c>
    </row>
    <row r="8943" spans="1:6" x14ac:dyDescent="0.2">
      <c r="A8943" s="29" t="s">
        <v>21426</v>
      </c>
      <c r="B8943" s="30" t="s">
        <v>21427</v>
      </c>
      <c r="C8943" s="29" t="s">
        <v>26</v>
      </c>
      <c r="D8943" s="31">
        <v>3828.48</v>
      </c>
      <c r="F8943" s="3" t="str">
        <f t="shared" si="139"/>
        <v>I10491</v>
      </c>
    </row>
    <row r="8944" spans="1:6" x14ac:dyDescent="0.2">
      <c r="A8944" s="29" t="s">
        <v>21428</v>
      </c>
      <c r="B8944" s="30" t="s">
        <v>21429</v>
      </c>
      <c r="C8944" s="29" t="s">
        <v>26</v>
      </c>
      <c r="D8944" s="31">
        <v>6425.36</v>
      </c>
      <c r="F8944" s="3" t="str">
        <f t="shared" si="139"/>
        <v>I10507</v>
      </c>
    </row>
    <row r="8945" spans="1:6" x14ac:dyDescent="0.2">
      <c r="A8945" s="29" t="s">
        <v>21430</v>
      </c>
      <c r="B8945" s="30" t="s">
        <v>21431</v>
      </c>
      <c r="C8945" s="29" t="s">
        <v>26</v>
      </c>
      <c r="D8945" s="31">
        <v>5767.87</v>
      </c>
      <c r="F8945" s="3" t="str">
        <f t="shared" si="139"/>
        <v>I4191</v>
      </c>
    </row>
    <row r="8946" spans="1:6" x14ac:dyDescent="0.2">
      <c r="A8946" s="29" t="s">
        <v>21432</v>
      </c>
      <c r="B8946" s="30" t="s">
        <v>21433</v>
      </c>
      <c r="C8946" s="29" t="s">
        <v>26</v>
      </c>
      <c r="D8946" s="31">
        <v>5613.52</v>
      </c>
      <c r="F8946" s="3" t="str">
        <f t="shared" si="139"/>
        <v>I10492</v>
      </c>
    </row>
    <row r="8947" spans="1:6" x14ac:dyDescent="0.2">
      <c r="A8947" s="29" t="s">
        <v>21434</v>
      </c>
      <c r="B8947" s="30" t="s">
        <v>21435</v>
      </c>
      <c r="C8947" s="29" t="s">
        <v>26</v>
      </c>
      <c r="D8947" s="31">
        <v>2939.28</v>
      </c>
      <c r="F8947" s="3" t="str">
        <f t="shared" si="139"/>
        <v>I10508</v>
      </c>
    </row>
    <row r="8948" spans="1:6" x14ac:dyDescent="0.2">
      <c r="A8948" s="29" t="s">
        <v>21436</v>
      </c>
      <c r="B8948" s="30" t="s">
        <v>21437</v>
      </c>
      <c r="C8948" s="29" t="s">
        <v>26</v>
      </c>
      <c r="D8948" s="31">
        <v>7949.18</v>
      </c>
      <c r="F8948" s="3" t="str">
        <f t="shared" si="139"/>
        <v>I4192</v>
      </c>
    </row>
    <row r="8949" spans="1:6" x14ac:dyDescent="0.2">
      <c r="A8949" s="29" t="s">
        <v>21438</v>
      </c>
      <c r="B8949" s="30" t="s">
        <v>21439</v>
      </c>
      <c r="C8949" s="29" t="s">
        <v>26</v>
      </c>
      <c r="D8949" s="31">
        <v>7842.18</v>
      </c>
      <c r="F8949" s="3" t="str">
        <f t="shared" si="139"/>
        <v>I10493</v>
      </c>
    </row>
    <row r="8950" spans="1:6" x14ac:dyDescent="0.2">
      <c r="A8950" s="29" t="s">
        <v>21440</v>
      </c>
      <c r="B8950" s="30" t="s">
        <v>21441</v>
      </c>
      <c r="C8950" s="29" t="s">
        <v>26</v>
      </c>
      <c r="D8950" s="31">
        <v>10197.549999999999</v>
      </c>
      <c r="F8950" s="3" t="str">
        <f t="shared" si="139"/>
        <v>I10509</v>
      </c>
    </row>
    <row r="8951" spans="1:6" x14ac:dyDescent="0.2">
      <c r="A8951" s="29" t="s">
        <v>21442</v>
      </c>
      <c r="B8951" s="30" t="s">
        <v>21443</v>
      </c>
      <c r="C8951" s="29" t="s">
        <v>26</v>
      </c>
      <c r="D8951" s="31">
        <v>5764.25</v>
      </c>
      <c r="F8951" s="3" t="str">
        <f t="shared" si="139"/>
        <v>I4193</v>
      </c>
    </row>
    <row r="8952" spans="1:6" x14ac:dyDescent="0.2">
      <c r="A8952" s="29" t="s">
        <v>21444</v>
      </c>
      <c r="B8952" s="30" t="s">
        <v>21445</v>
      </c>
      <c r="C8952" s="29" t="s">
        <v>26</v>
      </c>
      <c r="D8952" s="31">
        <v>8626.17</v>
      </c>
      <c r="F8952" s="3" t="str">
        <f t="shared" si="139"/>
        <v>I10485</v>
      </c>
    </row>
    <row r="8953" spans="1:6" x14ac:dyDescent="0.2">
      <c r="A8953" s="29" t="s">
        <v>21446</v>
      </c>
      <c r="B8953" s="30" t="s">
        <v>21447</v>
      </c>
      <c r="C8953" s="29" t="s">
        <v>26</v>
      </c>
      <c r="D8953" s="31">
        <v>12241.72</v>
      </c>
      <c r="F8953" s="3" t="str">
        <f t="shared" si="139"/>
        <v>I10494</v>
      </c>
    </row>
    <row r="8954" spans="1:6" x14ac:dyDescent="0.2">
      <c r="A8954" s="29" t="s">
        <v>21448</v>
      </c>
      <c r="B8954" s="30" t="s">
        <v>21449</v>
      </c>
      <c r="C8954" s="29" t="s">
        <v>26</v>
      </c>
      <c r="D8954" s="31">
        <v>14589.72</v>
      </c>
      <c r="F8954" s="3" t="str">
        <f t="shared" si="139"/>
        <v>I10510</v>
      </c>
    </row>
    <row r="8955" spans="1:6" x14ac:dyDescent="0.2">
      <c r="A8955" s="29" t="s">
        <v>21450</v>
      </c>
      <c r="B8955" s="30" t="s">
        <v>21451</v>
      </c>
      <c r="C8955" s="29" t="s">
        <v>26</v>
      </c>
      <c r="D8955" s="31">
        <v>5634.27</v>
      </c>
      <c r="F8955" s="3" t="str">
        <f t="shared" si="139"/>
        <v>I10495</v>
      </c>
    </row>
    <row r="8956" spans="1:6" x14ac:dyDescent="0.2">
      <c r="A8956" s="29" t="s">
        <v>21452</v>
      </c>
      <c r="B8956" s="30" t="s">
        <v>21453</v>
      </c>
      <c r="C8956" s="29" t="s">
        <v>26</v>
      </c>
      <c r="D8956" s="31">
        <v>13036.85</v>
      </c>
      <c r="F8956" s="3" t="str">
        <f t="shared" si="139"/>
        <v>I10511</v>
      </c>
    </row>
    <row r="8957" spans="1:6" x14ac:dyDescent="0.2">
      <c r="A8957" s="29" t="s">
        <v>21454</v>
      </c>
      <c r="B8957" s="30" t="s">
        <v>21455</v>
      </c>
      <c r="C8957" s="29" t="s">
        <v>26</v>
      </c>
      <c r="D8957" s="31">
        <v>7289.87</v>
      </c>
      <c r="F8957" s="3" t="str">
        <f t="shared" si="139"/>
        <v>I4194</v>
      </c>
    </row>
    <row r="8958" spans="1:6" x14ac:dyDescent="0.2">
      <c r="A8958" s="29" t="s">
        <v>21456</v>
      </c>
      <c r="B8958" s="30" t="s">
        <v>21457</v>
      </c>
      <c r="C8958" s="29" t="s">
        <v>26</v>
      </c>
      <c r="D8958" s="31">
        <v>21722.36</v>
      </c>
      <c r="F8958" s="3" t="str">
        <f t="shared" si="139"/>
        <v>I10496</v>
      </c>
    </row>
    <row r="8959" spans="1:6" x14ac:dyDescent="0.2">
      <c r="A8959" s="29" t="s">
        <v>21458</v>
      </c>
      <c r="B8959" s="30" t="s">
        <v>21459</v>
      </c>
      <c r="C8959" s="29" t="s">
        <v>26</v>
      </c>
      <c r="D8959" s="31">
        <v>25659.3</v>
      </c>
      <c r="F8959" s="3" t="str">
        <f t="shared" si="139"/>
        <v>I10512</v>
      </c>
    </row>
    <row r="8960" spans="1:6" x14ac:dyDescent="0.2">
      <c r="A8960" s="29" t="s">
        <v>21460</v>
      </c>
      <c r="B8960" s="30" t="s">
        <v>21461</v>
      </c>
      <c r="C8960" s="29" t="s">
        <v>26</v>
      </c>
      <c r="D8960" s="31">
        <v>23030.46</v>
      </c>
      <c r="F8960" s="3" t="str">
        <f t="shared" si="139"/>
        <v>I4195</v>
      </c>
    </row>
    <row r="8961" spans="1:6" x14ac:dyDescent="0.2">
      <c r="A8961" s="29" t="s">
        <v>21462</v>
      </c>
      <c r="B8961" s="30" t="s">
        <v>21463</v>
      </c>
      <c r="C8961" s="29" t="s">
        <v>26</v>
      </c>
      <c r="D8961" s="31">
        <v>22967.91</v>
      </c>
      <c r="F8961" s="3" t="str">
        <f t="shared" si="139"/>
        <v>I10497</v>
      </c>
    </row>
    <row r="8962" spans="1:6" x14ac:dyDescent="0.2">
      <c r="A8962" s="29" t="s">
        <v>21464</v>
      </c>
      <c r="B8962" s="30" t="s">
        <v>21465</v>
      </c>
      <c r="C8962" s="29" t="s">
        <v>26</v>
      </c>
      <c r="D8962" s="31">
        <v>51996.93</v>
      </c>
      <c r="F8962" s="3" t="str">
        <f t="shared" ref="F8962:F9025" si="140">A8962</f>
        <v>I10513</v>
      </c>
    </row>
    <row r="8963" spans="1:6" x14ac:dyDescent="0.2">
      <c r="A8963" s="29" t="s">
        <v>21466</v>
      </c>
      <c r="B8963" s="30" t="s">
        <v>21467</v>
      </c>
      <c r="C8963" s="29" t="s">
        <v>26</v>
      </c>
      <c r="D8963" s="31">
        <v>24537.62</v>
      </c>
      <c r="F8963" s="3" t="str">
        <f t="shared" si="140"/>
        <v>I4196</v>
      </c>
    </row>
    <row r="8964" spans="1:6" x14ac:dyDescent="0.2">
      <c r="A8964" s="29" t="s">
        <v>21468</v>
      </c>
      <c r="B8964" s="30" t="s">
        <v>21469</v>
      </c>
      <c r="C8964" s="29" t="s">
        <v>26</v>
      </c>
      <c r="D8964" s="31">
        <v>959.89</v>
      </c>
      <c r="F8964" s="3" t="str">
        <f t="shared" si="140"/>
        <v>I4186</v>
      </c>
    </row>
    <row r="8965" spans="1:6" x14ac:dyDescent="0.2">
      <c r="A8965" s="29" t="s">
        <v>21470</v>
      </c>
      <c r="B8965" s="30" t="s">
        <v>21471</v>
      </c>
      <c r="C8965" s="29" t="s">
        <v>26</v>
      </c>
      <c r="D8965" s="31">
        <v>959.89</v>
      </c>
      <c r="F8965" s="3" t="str">
        <f t="shared" si="140"/>
        <v>I10486</v>
      </c>
    </row>
    <row r="8966" spans="1:6" x14ac:dyDescent="0.2">
      <c r="A8966" s="29" t="s">
        <v>21472</v>
      </c>
      <c r="B8966" s="30" t="s">
        <v>21473</v>
      </c>
      <c r="C8966" s="29" t="s">
        <v>26</v>
      </c>
      <c r="D8966" s="31">
        <v>959.89</v>
      </c>
      <c r="F8966" s="3" t="str">
        <f t="shared" si="140"/>
        <v>I10502</v>
      </c>
    </row>
    <row r="8967" spans="1:6" x14ac:dyDescent="0.2">
      <c r="A8967" s="29" t="s">
        <v>21474</v>
      </c>
      <c r="B8967" s="30" t="s">
        <v>21475</v>
      </c>
      <c r="C8967" s="29" t="s">
        <v>26</v>
      </c>
      <c r="D8967" s="31">
        <v>959.89</v>
      </c>
      <c r="F8967" s="3" t="str">
        <f t="shared" si="140"/>
        <v>I7100</v>
      </c>
    </row>
    <row r="8968" spans="1:6" x14ac:dyDescent="0.2">
      <c r="A8968" s="29" t="s">
        <v>21476</v>
      </c>
      <c r="B8968" s="30" t="s">
        <v>21477</v>
      </c>
      <c r="C8968" s="29" t="s">
        <v>26</v>
      </c>
      <c r="D8968" s="31">
        <v>33108.78</v>
      </c>
      <c r="F8968" s="3" t="str">
        <f t="shared" si="140"/>
        <v>I10498</v>
      </c>
    </row>
    <row r="8969" spans="1:6" x14ac:dyDescent="0.2">
      <c r="A8969" s="29" t="s">
        <v>21478</v>
      </c>
      <c r="B8969" s="30" t="s">
        <v>21479</v>
      </c>
      <c r="C8969" s="29" t="s">
        <v>26</v>
      </c>
      <c r="D8969" s="31">
        <v>39577.39</v>
      </c>
      <c r="F8969" s="3" t="str">
        <f t="shared" si="140"/>
        <v>I10514</v>
      </c>
    </row>
    <row r="8970" spans="1:6" x14ac:dyDescent="0.2">
      <c r="A8970" s="29" t="s">
        <v>21480</v>
      </c>
      <c r="B8970" s="30" t="s">
        <v>21481</v>
      </c>
      <c r="C8970" s="29" t="s">
        <v>26</v>
      </c>
      <c r="D8970" s="31">
        <v>27947.27</v>
      </c>
      <c r="F8970" s="3" t="str">
        <f t="shared" si="140"/>
        <v>I4197</v>
      </c>
    </row>
    <row r="8971" spans="1:6" x14ac:dyDescent="0.2">
      <c r="A8971" s="29" t="s">
        <v>21482</v>
      </c>
      <c r="B8971" s="30" t="s">
        <v>21483</v>
      </c>
      <c r="C8971" s="29" t="s">
        <v>26</v>
      </c>
      <c r="D8971" s="31">
        <v>35956.230000000003</v>
      </c>
      <c r="F8971" s="3" t="str">
        <f t="shared" si="140"/>
        <v>I10499</v>
      </c>
    </row>
    <row r="8972" spans="1:6" x14ac:dyDescent="0.2">
      <c r="A8972" s="29" t="s">
        <v>21484</v>
      </c>
      <c r="B8972" s="30" t="s">
        <v>21485</v>
      </c>
      <c r="C8972" s="29" t="s">
        <v>26</v>
      </c>
      <c r="D8972" s="31">
        <v>43502.94</v>
      </c>
      <c r="F8972" s="3" t="str">
        <f t="shared" si="140"/>
        <v>I10515</v>
      </c>
    </row>
    <row r="8973" spans="1:6" x14ac:dyDescent="0.2">
      <c r="A8973" s="29" t="s">
        <v>21486</v>
      </c>
      <c r="B8973" s="30" t="s">
        <v>21487</v>
      </c>
      <c r="C8973" s="29" t="s">
        <v>26</v>
      </c>
      <c r="D8973" s="31">
        <v>29934.44</v>
      </c>
      <c r="F8973" s="3" t="str">
        <f t="shared" si="140"/>
        <v>I4198</v>
      </c>
    </row>
    <row r="8974" spans="1:6" x14ac:dyDescent="0.2">
      <c r="A8974" s="29" t="s">
        <v>21488</v>
      </c>
      <c r="B8974" s="30" t="s">
        <v>21489</v>
      </c>
      <c r="C8974" s="29" t="s">
        <v>26</v>
      </c>
      <c r="D8974" s="31">
        <v>849.66</v>
      </c>
      <c r="F8974" s="3" t="str">
        <f t="shared" si="140"/>
        <v>I10520</v>
      </c>
    </row>
    <row r="8975" spans="1:6" x14ac:dyDescent="0.2">
      <c r="A8975" s="29" t="s">
        <v>21490</v>
      </c>
      <c r="B8975" s="30" t="s">
        <v>21491</v>
      </c>
      <c r="C8975" s="29" t="s">
        <v>26</v>
      </c>
      <c r="D8975" s="31">
        <v>849.66</v>
      </c>
      <c r="F8975" s="3" t="str">
        <f t="shared" si="140"/>
        <v>I10536</v>
      </c>
    </row>
    <row r="8976" spans="1:6" x14ac:dyDescent="0.2">
      <c r="A8976" s="29" t="s">
        <v>21492</v>
      </c>
      <c r="B8976" s="30" t="s">
        <v>21493</v>
      </c>
      <c r="C8976" s="29" t="s">
        <v>26</v>
      </c>
      <c r="D8976" s="31">
        <v>548.48</v>
      </c>
      <c r="F8976" s="3" t="str">
        <f t="shared" si="140"/>
        <v>I4203</v>
      </c>
    </row>
    <row r="8977" spans="1:6" x14ac:dyDescent="0.2">
      <c r="A8977" s="29" t="s">
        <v>21494</v>
      </c>
      <c r="B8977" s="30" t="s">
        <v>21495</v>
      </c>
      <c r="C8977" s="29" t="s">
        <v>26</v>
      </c>
      <c r="D8977" s="31">
        <v>29454.15</v>
      </c>
      <c r="F8977" s="3" t="str">
        <f t="shared" si="140"/>
        <v>I10533</v>
      </c>
    </row>
    <row r="8978" spans="1:6" x14ac:dyDescent="0.2">
      <c r="A8978" s="29" t="s">
        <v>21496</v>
      </c>
      <c r="B8978" s="30" t="s">
        <v>21497</v>
      </c>
      <c r="C8978" s="29" t="s">
        <v>26</v>
      </c>
      <c r="D8978" s="31">
        <v>29454.15</v>
      </c>
      <c r="F8978" s="3" t="str">
        <f t="shared" si="140"/>
        <v>I10549</v>
      </c>
    </row>
    <row r="8979" spans="1:6" x14ac:dyDescent="0.2">
      <c r="A8979" s="29" t="s">
        <v>21498</v>
      </c>
      <c r="B8979" s="30" t="s">
        <v>21499</v>
      </c>
      <c r="C8979" s="29" t="s">
        <v>26</v>
      </c>
      <c r="D8979" s="31">
        <v>29515.71</v>
      </c>
      <c r="F8979" s="3" t="str">
        <f t="shared" si="140"/>
        <v>I4215</v>
      </c>
    </row>
    <row r="8980" spans="1:6" x14ac:dyDescent="0.2">
      <c r="A8980" s="29" t="s">
        <v>21500</v>
      </c>
      <c r="B8980" s="30" t="s">
        <v>21501</v>
      </c>
      <c r="C8980" s="29" t="s">
        <v>26</v>
      </c>
      <c r="D8980" s="31">
        <v>40489.769999999997</v>
      </c>
      <c r="F8980" s="3" t="str">
        <f t="shared" si="140"/>
        <v>I10534</v>
      </c>
    </row>
    <row r="8981" spans="1:6" x14ac:dyDescent="0.2">
      <c r="A8981" s="29" t="s">
        <v>21502</v>
      </c>
      <c r="B8981" s="30" t="s">
        <v>21503</v>
      </c>
      <c r="C8981" s="29" t="s">
        <v>26</v>
      </c>
      <c r="D8981" s="31">
        <v>40489.769999999997</v>
      </c>
      <c r="F8981" s="3" t="str">
        <f t="shared" si="140"/>
        <v>I10550</v>
      </c>
    </row>
    <row r="8982" spans="1:6" x14ac:dyDescent="0.2">
      <c r="A8982" s="29" t="s">
        <v>21504</v>
      </c>
      <c r="B8982" s="30" t="s">
        <v>21505</v>
      </c>
      <c r="C8982" s="29" t="s">
        <v>26</v>
      </c>
      <c r="D8982" s="31">
        <v>35595.93</v>
      </c>
      <c r="F8982" s="3" t="str">
        <f t="shared" si="140"/>
        <v>I4216</v>
      </c>
    </row>
    <row r="8983" spans="1:6" x14ac:dyDescent="0.2">
      <c r="A8983" s="29" t="s">
        <v>21506</v>
      </c>
      <c r="B8983" s="30" t="s">
        <v>21507</v>
      </c>
      <c r="C8983" s="29" t="s">
        <v>26</v>
      </c>
      <c r="D8983" s="31">
        <v>1341.55</v>
      </c>
      <c r="F8983" s="3" t="str">
        <f t="shared" si="140"/>
        <v>I10521</v>
      </c>
    </row>
    <row r="8984" spans="1:6" x14ac:dyDescent="0.2">
      <c r="A8984" s="29" t="s">
        <v>21508</v>
      </c>
      <c r="B8984" s="30" t="s">
        <v>21509</v>
      </c>
      <c r="C8984" s="29" t="s">
        <v>26</v>
      </c>
      <c r="D8984" s="31">
        <v>1341.55</v>
      </c>
      <c r="F8984" s="3" t="str">
        <f t="shared" si="140"/>
        <v>I10537</v>
      </c>
    </row>
    <row r="8985" spans="1:6" x14ac:dyDescent="0.2">
      <c r="A8985" s="29" t="s">
        <v>21510</v>
      </c>
      <c r="B8985" s="30" t="s">
        <v>21511</v>
      </c>
      <c r="C8985" s="29" t="s">
        <v>26</v>
      </c>
      <c r="D8985" s="31">
        <v>908.04</v>
      </c>
      <c r="F8985" s="3" t="str">
        <f t="shared" si="140"/>
        <v>I4204</v>
      </c>
    </row>
    <row r="8986" spans="1:6" x14ac:dyDescent="0.2">
      <c r="A8986" s="29" t="s">
        <v>21512</v>
      </c>
      <c r="B8986" s="30" t="s">
        <v>21513</v>
      </c>
      <c r="C8986" s="29" t="s">
        <v>26</v>
      </c>
      <c r="D8986" s="31">
        <v>1878.18</v>
      </c>
      <c r="F8986" s="3" t="str">
        <f t="shared" si="140"/>
        <v>I10522</v>
      </c>
    </row>
    <row r="8987" spans="1:6" x14ac:dyDescent="0.2">
      <c r="A8987" s="29" t="s">
        <v>21514</v>
      </c>
      <c r="B8987" s="30" t="s">
        <v>21515</v>
      </c>
      <c r="C8987" s="29" t="s">
        <v>26</v>
      </c>
      <c r="D8987" s="31">
        <v>1878.18</v>
      </c>
      <c r="F8987" s="3" t="str">
        <f t="shared" si="140"/>
        <v>I10538</v>
      </c>
    </row>
    <row r="8988" spans="1:6" x14ac:dyDescent="0.2">
      <c r="A8988" s="29" t="s">
        <v>21516</v>
      </c>
      <c r="B8988" s="30" t="s">
        <v>21517</v>
      </c>
      <c r="C8988" s="29" t="s">
        <v>26</v>
      </c>
      <c r="D8988" s="31">
        <v>1213.81</v>
      </c>
      <c r="F8988" s="3" t="str">
        <f t="shared" si="140"/>
        <v>I4205</v>
      </c>
    </row>
    <row r="8989" spans="1:6" x14ac:dyDescent="0.2">
      <c r="A8989" s="29" t="s">
        <v>21518</v>
      </c>
      <c r="B8989" s="30" t="s">
        <v>21519</v>
      </c>
      <c r="C8989" s="29" t="s">
        <v>26</v>
      </c>
      <c r="D8989" s="31">
        <v>2592.46</v>
      </c>
      <c r="F8989" s="3" t="str">
        <f t="shared" si="140"/>
        <v>I10523</v>
      </c>
    </row>
    <row r="8990" spans="1:6" x14ac:dyDescent="0.2">
      <c r="A8990" s="29" t="s">
        <v>21520</v>
      </c>
      <c r="B8990" s="30" t="s">
        <v>21521</v>
      </c>
      <c r="C8990" s="29" t="s">
        <v>26</v>
      </c>
      <c r="D8990" s="31">
        <v>2592.46</v>
      </c>
      <c r="F8990" s="3" t="str">
        <f t="shared" si="140"/>
        <v>I10539</v>
      </c>
    </row>
    <row r="8991" spans="1:6" x14ac:dyDescent="0.2">
      <c r="A8991" s="29" t="s">
        <v>21522</v>
      </c>
      <c r="B8991" s="30" t="s">
        <v>21523</v>
      </c>
      <c r="C8991" s="29" t="s">
        <v>26</v>
      </c>
      <c r="D8991" s="31">
        <v>2302.1999999999998</v>
      </c>
      <c r="F8991" s="3" t="str">
        <f t="shared" si="140"/>
        <v>I4206</v>
      </c>
    </row>
    <row r="8992" spans="1:6" x14ac:dyDescent="0.2">
      <c r="A8992" s="29" t="s">
        <v>21524</v>
      </c>
      <c r="B8992" s="30" t="s">
        <v>21525</v>
      </c>
      <c r="C8992" s="29" t="s">
        <v>26</v>
      </c>
      <c r="D8992" s="31">
        <v>2922.41</v>
      </c>
      <c r="F8992" s="3" t="str">
        <f t="shared" si="140"/>
        <v>I10524</v>
      </c>
    </row>
    <row r="8993" spans="1:6" x14ac:dyDescent="0.2">
      <c r="A8993" s="29" t="s">
        <v>21526</v>
      </c>
      <c r="B8993" s="30" t="s">
        <v>21527</v>
      </c>
      <c r="C8993" s="29" t="s">
        <v>26</v>
      </c>
      <c r="D8993" s="31">
        <v>2922.41</v>
      </c>
      <c r="F8993" s="3" t="str">
        <f t="shared" si="140"/>
        <v>I10540</v>
      </c>
    </row>
    <row r="8994" spans="1:6" x14ac:dyDescent="0.2">
      <c r="A8994" s="29" t="s">
        <v>21528</v>
      </c>
      <c r="B8994" s="30" t="s">
        <v>21529</v>
      </c>
      <c r="C8994" s="29" t="s">
        <v>26</v>
      </c>
      <c r="D8994" s="31">
        <v>2773.07</v>
      </c>
      <c r="F8994" s="3" t="str">
        <f t="shared" si="140"/>
        <v>I4207</v>
      </c>
    </row>
    <row r="8995" spans="1:6" x14ac:dyDescent="0.2">
      <c r="A8995" s="29" t="s">
        <v>21530</v>
      </c>
      <c r="B8995" s="30" t="s">
        <v>21531</v>
      </c>
      <c r="C8995" s="29" t="s">
        <v>26</v>
      </c>
      <c r="D8995" s="31">
        <v>4365.47</v>
      </c>
      <c r="F8995" s="3" t="str">
        <f t="shared" si="140"/>
        <v>I10525</v>
      </c>
    </row>
    <row r="8996" spans="1:6" x14ac:dyDescent="0.2">
      <c r="A8996" s="29" t="s">
        <v>21532</v>
      </c>
      <c r="B8996" s="30" t="s">
        <v>21533</v>
      </c>
      <c r="C8996" s="29" t="s">
        <v>26</v>
      </c>
      <c r="D8996" s="31">
        <v>4365.47</v>
      </c>
      <c r="F8996" s="3" t="str">
        <f t="shared" si="140"/>
        <v>I10541</v>
      </c>
    </row>
    <row r="8997" spans="1:6" x14ac:dyDescent="0.2">
      <c r="A8997" s="29" t="s">
        <v>21534</v>
      </c>
      <c r="B8997" s="30" t="s">
        <v>21535</v>
      </c>
      <c r="C8997" s="29" t="s">
        <v>26</v>
      </c>
      <c r="D8997" s="31">
        <v>2854.79</v>
      </c>
      <c r="F8997" s="3" t="str">
        <f t="shared" si="140"/>
        <v>I4208</v>
      </c>
    </row>
    <row r="8998" spans="1:6" x14ac:dyDescent="0.2">
      <c r="A8998" s="29" t="s">
        <v>21536</v>
      </c>
      <c r="B8998" s="30" t="s">
        <v>21537</v>
      </c>
      <c r="C8998" s="29" t="s">
        <v>26</v>
      </c>
      <c r="D8998" s="31">
        <v>4937.1499999999996</v>
      </c>
      <c r="F8998" s="3" t="str">
        <f t="shared" si="140"/>
        <v>I10526</v>
      </c>
    </row>
    <row r="8999" spans="1:6" x14ac:dyDescent="0.2">
      <c r="A8999" s="29" t="s">
        <v>21538</v>
      </c>
      <c r="B8999" s="30" t="s">
        <v>21539</v>
      </c>
      <c r="C8999" s="29" t="s">
        <v>26</v>
      </c>
      <c r="D8999" s="31">
        <v>4937.1499999999996</v>
      </c>
      <c r="F8999" s="3" t="str">
        <f t="shared" si="140"/>
        <v>I10542</v>
      </c>
    </row>
    <row r="9000" spans="1:6" x14ac:dyDescent="0.2">
      <c r="A9000" s="29" t="s">
        <v>21540</v>
      </c>
      <c r="B9000" s="30" t="s">
        <v>21541</v>
      </c>
      <c r="C9000" s="29" t="s">
        <v>26</v>
      </c>
      <c r="D9000" s="31">
        <v>3182.68</v>
      </c>
      <c r="F9000" s="3" t="str">
        <f t="shared" si="140"/>
        <v>I4209</v>
      </c>
    </row>
    <row r="9001" spans="1:6" x14ac:dyDescent="0.2">
      <c r="A9001" s="29" t="s">
        <v>21542</v>
      </c>
      <c r="B9001" s="30" t="s">
        <v>21543</v>
      </c>
      <c r="C9001" s="29" t="s">
        <v>26</v>
      </c>
      <c r="D9001" s="31">
        <v>8896.2099999999991</v>
      </c>
      <c r="F9001" s="3" t="str">
        <f t="shared" si="140"/>
        <v>I10518</v>
      </c>
    </row>
    <row r="9002" spans="1:6" x14ac:dyDescent="0.2">
      <c r="A9002" s="29" t="s">
        <v>21544</v>
      </c>
      <c r="B9002" s="30" t="s">
        <v>21545</v>
      </c>
      <c r="C9002" s="29" t="s">
        <v>26</v>
      </c>
      <c r="D9002" s="31">
        <v>5982.6</v>
      </c>
      <c r="F9002" s="3" t="str">
        <f t="shared" si="140"/>
        <v>I10527</v>
      </c>
    </row>
    <row r="9003" spans="1:6" x14ac:dyDescent="0.2">
      <c r="A9003" s="29" t="s">
        <v>21546</v>
      </c>
      <c r="B9003" s="30" t="s">
        <v>21547</v>
      </c>
      <c r="C9003" s="29" t="s">
        <v>26</v>
      </c>
      <c r="D9003" s="31">
        <v>5982.6</v>
      </c>
      <c r="F9003" s="3" t="str">
        <f t="shared" si="140"/>
        <v>I10543</v>
      </c>
    </row>
    <row r="9004" spans="1:6" x14ac:dyDescent="0.2">
      <c r="A9004" s="29" t="s">
        <v>21548</v>
      </c>
      <c r="B9004" s="30" t="s">
        <v>21549</v>
      </c>
      <c r="C9004" s="29" t="s">
        <v>26</v>
      </c>
      <c r="D9004" s="31">
        <v>8973.89</v>
      </c>
      <c r="F9004" s="3" t="str">
        <f t="shared" si="140"/>
        <v>I10528</v>
      </c>
    </row>
    <row r="9005" spans="1:6" x14ac:dyDescent="0.2">
      <c r="A9005" s="29" t="s">
        <v>21550</v>
      </c>
      <c r="B9005" s="30" t="s">
        <v>21551</v>
      </c>
      <c r="C9005" s="29" t="s">
        <v>26</v>
      </c>
      <c r="D9005" s="31">
        <v>8973.89</v>
      </c>
      <c r="F9005" s="3" t="str">
        <f t="shared" si="140"/>
        <v>I10544</v>
      </c>
    </row>
    <row r="9006" spans="1:6" x14ac:dyDescent="0.2">
      <c r="A9006" s="29" t="s">
        <v>21552</v>
      </c>
      <c r="B9006" s="30" t="s">
        <v>21553</v>
      </c>
      <c r="C9006" s="29" t="s">
        <v>26</v>
      </c>
      <c r="D9006" s="31">
        <v>4274.84</v>
      </c>
      <c r="F9006" s="3" t="str">
        <f t="shared" si="140"/>
        <v>I4210</v>
      </c>
    </row>
    <row r="9007" spans="1:6" x14ac:dyDescent="0.2">
      <c r="A9007" s="29" t="s">
        <v>21554</v>
      </c>
      <c r="B9007" s="30" t="s">
        <v>21555</v>
      </c>
      <c r="C9007" s="29" t="s">
        <v>26</v>
      </c>
      <c r="D9007" s="31">
        <v>10355.34</v>
      </c>
      <c r="F9007" s="3" t="str">
        <f t="shared" si="140"/>
        <v>I10529</v>
      </c>
    </row>
    <row r="9008" spans="1:6" x14ac:dyDescent="0.2">
      <c r="A9008" s="29" t="s">
        <v>21556</v>
      </c>
      <c r="B9008" s="30" t="s">
        <v>21557</v>
      </c>
      <c r="C9008" s="29" t="s">
        <v>26</v>
      </c>
      <c r="D9008" s="31">
        <v>10355.34</v>
      </c>
      <c r="F9008" s="3" t="str">
        <f t="shared" si="140"/>
        <v>I10545</v>
      </c>
    </row>
    <row r="9009" spans="1:6" x14ac:dyDescent="0.2">
      <c r="A9009" s="29" t="s">
        <v>21558</v>
      </c>
      <c r="B9009" s="30" t="s">
        <v>21559</v>
      </c>
      <c r="C9009" s="29" t="s">
        <v>26</v>
      </c>
      <c r="D9009" s="31">
        <v>12717.66</v>
      </c>
      <c r="F9009" s="3" t="str">
        <f t="shared" si="140"/>
        <v>I4211</v>
      </c>
    </row>
    <row r="9010" spans="1:6" x14ac:dyDescent="0.2">
      <c r="A9010" s="29" t="s">
        <v>21560</v>
      </c>
      <c r="B9010" s="30" t="s">
        <v>21561</v>
      </c>
      <c r="C9010" s="29" t="s">
        <v>26</v>
      </c>
      <c r="D9010" s="31">
        <v>13393.13</v>
      </c>
      <c r="F9010" s="3" t="str">
        <f t="shared" si="140"/>
        <v>I10530</v>
      </c>
    </row>
    <row r="9011" spans="1:6" x14ac:dyDescent="0.2">
      <c r="A9011" s="29" t="s">
        <v>21562</v>
      </c>
      <c r="B9011" s="30" t="s">
        <v>21563</v>
      </c>
      <c r="C9011" s="29" t="s">
        <v>26</v>
      </c>
      <c r="D9011" s="31">
        <v>13393.13</v>
      </c>
      <c r="F9011" s="3" t="str">
        <f t="shared" si="140"/>
        <v>I10546</v>
      </c>
    </row>
    <row r="9012" spans="1:6" x14ac:dyDescent="0.2">
      <c r="A9012" s="29" t="s">
        <v>21564</v>
      </c>
      <c r="B9012" s="30" t="s">
        <v>21565</v>
      </c>
      <c r="C9012" s="29" t="s">
        <v>26</v>
      </c>
      <c r="D9012" s="31">
        <v>15758.98</v>
      </c>
      <c r="F9012" s="3" t="str">
        <f t="shared" si="140"/>
        <v>I4212</v>
      </c>
    </row>
    <row r="9013" spans="1:6" x14ac:dyDescent="0.2">
      <c r="A9013" s="29" t="s">
        <v>21566</v>
      </c>
      <c r="B9013" s="30" t="s">
        <v>21567</v>
      </c>
      <c r="C9013" s="29" t="s">
        <v>26</v>
      </c>
      <c r="D9013" s="31">
        <v>453.68</v>
      </c>
      <c r="F9013" s="3" t="str">
        <f t="shared" si="140"/>
        <v>I4202</v>
      </c>
    </row>
    <row r="9014" spans="1:6" x14ac:dyDescent="0.2">
      <c r="A9014" s="29" t="s">
        <v>21568</v>
      </c>
      <c r="B9014" s="30" t="s">
        <v>21569</v>
      </c>
      <c r="C9014" s="29" t="s">
        <v>26</v>
      </c>
      <c r="D9014" s="31">
        <v>655.66</v>
      </c>
      <c r="F9014" s="3" t="str">
        <f t="shared" si="140"/>
        <v>I10519</v>
      </c>
    </row>
    <row r="9015" spans="1:6" x14ac:dyDescent="0.2">
      <c r="A9015" s="29" t="s">
        <v>21570</v>
      </c>
      <c r="B9015" s="30" t="s">
        <v>21571</v>
      </c>
      <c r="C9015" s="29" t="s">
        <v>26</v>
      </c>
      <c r="D9015" s="31">
        <v>655.66</v>
      </c>
      <c r="F9015" s="3" t="str">
        <f t="shared" si="140"/>
        <v>I10535</v>
      </c>
    </row>
    <row r="9016" spans="1:6" x14ac:dyDescent="0.2">
      <c r="A9016" s="29" t="s">
        <v>21572</v>
      </c>
      <c r="B9016" s="30" t="s">
        <v>21573</v>
      </c>
      <c r="C9016" s="29" t="s">
        <v>26</v>
      </c>
      <c r="D9016" s="31">
        <v>453.68</v>
      </c>
      <c r="F9016" s="3" t="str">
        <f t="shared" si="140"/>
        <v>I7102</v>
      </c>
    </row>
    <row r="9017" spans="1:6" x14ac:dyDescent="0.2">
      <c r="A9017" s="29" t="s">
        <v>21574</v>
      </c>
      <c r="B9017" s="30" t="s">
        <v>21575</v>
      </c>
      <c r="C9017" s="29" t="s">
        <v>26</v>
      </c>
      <c r="D9017" s="31">
        <v>17833.64</v>
      </c>
      <c r="F9017" s="3" t="str">
        <f t="shared" si="140"/>
        <v>I10531</v>
      </c>
    </row>
    <row r="9018" spans="1:6" x14ac:dyDescent="0.2">
      <c r="A9018" s="29" t="s">
        <v>21576</v>
      </c>
      <c r="B9018" s="30" t="s">
        <v>21577</v>
      </c>
      <c r="C9018" s="29" t="s">
        <v>26</v>
      </c>
      <c r="D9018" s="31">
        <v>17833.64</v>
      </c>
      <c r="F9018" s="3" t="str">
        <f t="shared" si="140"/>
        <v>I10547</v>
      </c>
    </row>
    <row r="9019" spans="1:6" x14ac:dyDescent="0.2">
      <c r="A9019" s="29" t="s">
        <v>21578</v>
      </c>
      <c r="B9019" s="30" t="s">
        <v>21579</v>
      </c>
      <c r="C9019" s="29" t="s">
        <v>26</v>
      </c>
      <c r="D9019" s="31">
        <v>17458.86</v>
      </c>
      <c r="F9019" s="3" t="str">
        <f t="shared" si="140"/>
        <v>I4213</v>
      </c>
    </row>
    <row r="9020" spans="1:6" x14ac:dyDescent="0.2">
      <c r="A9020" s="29" t="s">
        <v>21580</v>
      </c>
      <c r="B9020" s="30" t="s">
        <v>21581</v>
      </c>
      <c r="C9020" s="29" t="s">
        <v>26</v>
      </c>
      <c r="D9020" s="31">
        <v>21569.87</v>
      </c>
      <c r="F9020" s="3" t="str">
        <f t="shared" si="140"/>
        <v>I10532</v>
      </c>
    </row>
    <row r="9021" spans="1:6" x14ac:dyDescent="0.2">
      <c r="A9021" s="29" t="s">
        <v>21582</v>
      </c>
      <c r="B9021" s="30" t="s">
        <v>21583</v>
      </c>
      <c r="C9021" s="29" t="s">
        <v>26</v>
      </c>
      <c r="D9021" s="31">
        <v>21569.87</v>
      </c>
      <c r="F9021" s="3" t="str">
        <f t="shared" si="140"/>
        <v>I10548</v>
      </c>
    </row>
    <row r="9022" spans="1:6" x14ac:dyDescent="0.2">
      <c r="A9022" s="29" t="s">
        <v>21584</v>
      </c>
      <c r="B9022" s="30" t="s">
        <v>21585</v>
      </c>
      <c r="C9022" s="29" t="s">
        <v>26</v>
      </c>
      <c r="D9022" s="31">
        <v>20845.86</v>
      </c>
      <c r="F9022" s="3" t="str">
        <f t="shared" si="140"/>
        <v>I4214</v>
      </c>
    </row>
    <row r="9023" spans="1:6" x14ac:dyDescent="0.2">
      <c r="A9023" s="29" t="s">
        <v>21586</v>
      </c>
      <c r="B9023" s="30" t="s">
        <v>21587</v>
      </c>
      <c r="C9023" s="29" t="s">
        <v>26</v>
      </c>
      <c r="D9023" s="31">
        <v>13.32</v>
      </c>
      <c r="F9023" s="3" t="str">
        <f t="shared" si="140"/>
        <v>I6154</v>
      </c>
    </row>
    <row r="9024" spans="1:6" x14ac:dyDescent="0.2">
      <c r="A9024" s="29" t="s">
        <v>21588</v>
      </c>
      <c r="B9024" s="30" t="s">
        <v>21589</v>
      </c>
      <c r="C9024" s="29" t="s">
        <v>26</v>
      </c>
      <c r="D9024" s="31">
        <v>10.72</v>
      </c>
      <c r="F9024" s="3" t="str">
        <f t="shared" si="140"/>
        <v>I6153</v>
      </c>
    </row>
    <row r="9025" spans="1:6" x14ac:dyDescent="0.2">
      <c r="A9025" s="29" t="s">
        <v>21590</v>
      </c>
      <c r="B9025" s="30" t="s">
        <v>21591</v>
      </c>
      <c r="C9025" s="29" t="s">
        <v>26</v>
      </c>
      <c r="D9025" s="31">
        <v>2950.82</v>
      </c>
      <c r="F9025" s="3" t="str">
        <f t="shared" si="140"/>
        <v>I9609</v>
      </c>
    </row>
    <row r="9026" spans="1:6" x14ac:dyDescent="0.2">
      <c r="A9026" s="29" t="s">
        <v>21592</v>
      </c>
      <c r="B9026" s="30" t="s">
        <v>21593</v>
      </c>
      <c r="C9026" s="29" t="s">
        <v>26</v>
      </c>
      <c r="D9026" s="31">
        <v>3045.1</v>
      </c>
      <c r="F9026" s="3" t="str">
        <f t="shared" ref="F9026:F9089" si="141">A9026</f>
        <v>I9610</v>
      </c>
    </row>
    <row r="9027" spans="1:6" x14ac:dyDescent="0.2">
      <c r="A9027" s="29" t="s">
        <v>21594</v>
      </c>
      <c r="B9027" s="30" t="s">
        <v>21595</v>
      </c>
      <c r="C9027" s="29" t="s">
        <v>26</v>
      </c>
      <c r="D9027" s="31">
        <v>1350.97</v>
      </c>
      <c r="F9027" s="3" t="str">
        <f t="shared" si="141"/>
        <v>I9611</v>
      </c>
    </row>
    <row r="9028" spans="1:6" x14ac:dyDescent="0.2">
      <c r="A9028" s="29" t="s">
        <v>21596</v>
      </c>
      <c r="B9028" s="30" t="s">
        <v>21597</v>
      </c>
      <c r="C9028" s="29" t="s">
        <v>26</v>
      </c>
      <c r="D9028" s="31">
        <v>1771.36</v>
      </c>
      <c r="F9028" s="3" t="str">
        <f t="shared" si="141"/>
        <v>I9612</v>
      </c>
    </row>
    <row r="9029" spans="1:6" x14ac:dyDescent="0.2">
      <c r="A9029" s="29" t="s">
        <v>21598</v>
      </c>
      <c r="B9029" s="30" t="s">
        <v>21599</v>
      </c>
      <c r="C9029" s="29" t="s">
        <v>271</v>
      </c>
      <c r="D9029" s="31">
        <v>5723.46</v>
      </c>
      <c r="F9029" s="3" t="str">
        <f t="shared" si="141"/>
        <v>I6050</v>
      </c>
    </row>
    <row r="9030" spans="1:6" x14ac:dyDescent="0.2">
      <c r="A9030" s="29" t="s">
        <v>21600</v>
      </c>
      <c r="B9030" s="30" t="s">
        <v>21601</v>
      </c>
      <c r="C9030" s="29" t="s">
        <v>26</v>
      </c>
      <c r="D9030" s="31">
        <v>6882.75</v>
      </c>
      <c r="F9030" s="3" t="str">
        <f t="shared" si="141"/>
        <v>I9445</v>
      </c>
    </row>
    <row r="9031" spans="1:6" x14ac:dyDescent="0.2">
      <c r="A9031" s="29" t="s">
        <v>21602</v>
      </c>
      <c r="B9031" s="30" t="s">
        <v>21603</v>
      </c>
      <c r="C9031" s="29" t="s">
        <v>26</v>
      </c>
      <c r="D9031" s="31">
        <v>450.66</v>
      </c>
      <c r="F9031" s="3" t="str">
        <f t="shared" si="141"/>
        <v>I9613</v>
      </c>
    </row>
    <row r="9032" spans="1:6" x14ac:dyDescent="0.2">
      <c r="A9032" s="29" t="s">
        <v>21604</v>
      </c>
      <c r="B9032" s="30" t="s">
        <v>21605</v>
      </c>
      <c r="C9032" s="29" t="s">
        <v>26</v>
      </c>
      <c r="D9032" s="31">
        <v>7596.22</v>
      </c>
      <c r="F9032" s="3" t="str">
        <f t="shared" si="141"/>
        <v>I5980</v>
      </c>
    </row>
    <row r="9033" spans="1:6" x14ac:dyDescent="0.2">
      <c r="A9033" s="29" t="s">
        <v>21606</v>
      </c>
      <c r="B9033" s="30" t="s">
        <v>21607</v>
      </c>
      <c r="C9033" s="29" t="s">
        <v>26</v>
      </c>
      <c r="D9033" s="31">
        <v>8545.75</v>
      </c>
      <c r="F9033" s="3" t="str">
        <f t="shared" si="141"/>
        <v>I5981</v>
      </c>
    </row>
    <row r="9034" spans="1:6" ht="33.75" x14ac:dyDescent="0.2">
      <c r="A9034" s="29" t="s">
        <v>21608</v>
      </c>
      <c r="B9034" s="30" t="s">
        <v>21609</v>
      </c>
      <c r="C9034" s="29" t="s">
        <v>26</v>
      </c>
      <c r="D9034" s="31">
        <v>54526.17</v>
      </c>
      <c r="F9034" s="3" t="str">
        <f t="shared" si="141"/>
        <v>I8864</v>
      </c>
    </row>
    <row r="9035" spans="1:6" ht="33.75" x14ac:dyDescent="0.2">
      <c r="A9035" s="29" t="s">
        <v>21610</v>
      </c>
      <c r="B9035" s="30" t="s">
        <v>21611</v>
      </c>
      <c r="C9035" s="29" t="s">
        <v>26</v>
      </c>
      <c r="D9035" s="31">
        <v>30732.720000000001</v>
      </c>
      <c r="F9035" s="3" t="str">
        <f t="shared" si="141"/>
        <v>I8863</v>
      </c>
    </row>
    <row r="9036" spans="1:6" ht="22.5" x14ac:dyDescent="0.2">
      <c r="A9036" s="29" t="s">
        <v>21612</v>
      </c>
      <c r="B9036" s="30" t="s">
        <v>21613</v>
      </c>
      <c r="C9036" s="29" t="s">
        <v>26</v>
      </c>
      <c r="D9036" s="31">
        <v>48792.89</v>
      </c>
      <c r="F9036" s="3" t="str">
        <f t="shared" si="141"/>
        <v>I8865</v>
      </c>
    </row>
    <row r="9037" spans="1:6" x14ac:dyDescent="0.2">
      <c r="A9037" s="29" t="s">
        <v>21614</v>
      </c>
      <c r="B9037" s="30" t="s">
        <v>21615</v>
      </c>
      <c r="C9037" s="29" t="s">
        <v>26</v>
      </c>
      <c r="D9037" s="31">
        <v>48.77</v>
      </c>
      <c r="F9037" s="3" t="str">
        <f t="shared" si="141"/>
        <v>I9614</v>
      </c>
    </row>
    <row r="9038" spans="1:6" x14ac:dyDescent="0.2">
      <c r="A9038" s="29" t="s">
        <v>21616</v>
      </c>
      <c r="B9038" s="30" t="s">
        <v>21617</v>
      </c>
      <c r="C9038" s="29" t="s">
        <v>26</v>
      </c>
      <c r="D9038" s="31">
        <v>89.15</v>
      </c>
      <c r="F9038" s="3" t="str">
        <f t="shared" si="141"/>
        <v>I9615</v>
      </c>
    </row>
    <row r="9039" spans="1:6" x14ac:dyDescent="0.2">
      <c r="A9039" s="29" t="s">
        <v>21618</v>
      </c>
      <c r="B9039" s="30" t="s">
        <v>21619</v>
      </c>
      <c r="C9039" s="29" t="s">
        <v>26</v>
      </c>
      <c r="D9039" s="31">
        <v>147.12</v>
      </c>
      <c r="F9039" s="3" t="str">
        <f t="shared" si="141"/>
        <v>I9616</v>
      </c>
    </row>
    <row r="9040" spans="1:6" x14ac:dyDescent="0.2">
      <c r="A9040" s="29" t="s">
        <v>21620</v>
      </c>
      <c r="B9040" s="30" t="s">
        <v>21621</v>
      </c>
      <c r="C9040" s="29" t="s">
        <v>26</v>
      </c>
      <c r="D9040" s="31">
        <v>219.41</v>
      </c>
      <c r="F9040" s="3" t="str">
        <f t="shared" si="141"/>
        <v>I8211</v>
      </c>
    </row>
    <row r="9041" spans="1:6" x14ac:dyDescent="0.2">
      <c r="A9041" s="29" t="s">
        <v>21622</v>
      </c>
      <c r="B9041" s="30" t="s">
        <v>21623</v>
      </c>
      <c r="C9041" s="29" t="s">
        <v>26</v>
      </c>
      <c r="D9041" s="31">
        <v>82.3</v>
      </c>
      <c r="F9041" s="3" t="str">
        <f t="shared" si="141"/>
        <v>I9617</v>
      </c>
    </row>
    <row r="9042" spans="1:6" x14ac:dyDescent="0.2">
      <c r="A9042" s="29" t="s">
        <v>21624</v>
      </c>
      <c r="B9042" s="30" t="s">
        <v>21625</v>
      </c>
      <c r="C9042" s="29" t="s">
        <v>26</v>
      </c>
      <c r="D9042" s="31">
        <v>1.37</v>
      </c>
      <c r="F9042" s="3" t="str">
        <f t="shared" si="141"/>
        <v>I7552</v>
      </c>
    </row>
    <row r="9043" spans="1:6" x14ac:dyDescent="0.2">
      <c r="A9043" s="29" t="s">
        <v>21626</v>
      </c>
      <c r="B9043" s="30" t="s">
        <v>21627</v>
      </c>
      <c r="C9043" s="29" t="s">
        <v>26</v>
      </c>
      <c r="D9043" s="31">
        <v>14.58</v>
      </c>
      <c r="F9043" s="3" t="str">
        <f t="shared" si="141"/>
        <v>I9618</v>
      </c>
    </row>
    <row r="9044" spans="1:6" x14ac:dyDescent="0.2">
      <c r="A9044" s="29" t="s">
        <v>21628</v>
      </c>
      <c r="B9044" s="30" t="s">
        <v>21629</v>
      </c>
      <c r="C9044" s="29" t="s">
        <v>26</v>
      </c>
      <c r="D9044" s="31">
        <v>48764.7</v>
      </c>
      <c r="F9044" s="3" t="str">
        <f t="shared" si="141"/>
        <v>I10477</v>
      </c>
    </row>
    <row r="9045" spans="1:6" x14ac:dyDescent="0.2">
      <c r="A9045" s="29" t="s">
        <v>21630</v>
      </c>
      <c r="B9045" s="30" t="s">
        <v>21631</v>
      </c>
      <c r="C9045" s="29" t="s">
        <v>26</v>
      </c>
      <c r="D9045" s="31">
        <v>268193.11</v>
      </c>
      <c r="F9045" s="3" t="str">
        <f t="shared" si="141"/>
        <v>I9619</v>
      </c>
    </row>
    <row r="9046" spans="1:6" ht="22.5" x14ac:dyDescent="0.2">
      <c r="A9046" s="29" t="s">
        <v>21632</v>
      </c>
      <c r="B9046" s="30" t="s">
        <v>21633</v>
      </c>
      <c r="C9046" s="29" t="s">
        <v>26</v>
      </c>
      <c r="D9046" s="31">
        <v>3631.99</v>
      </c>
      <c r="F9046" s="3" t="str">
        <f t="shared" si="141"/>
        <v>I8698</v>
      </c>
    </row>
    <row r="9047" spans="1:6" x14ac:dyDescent="0.2">
      <c r="A9047" s="29" t="s">
        <v>21634</v>
      </c>
      <c r="B9047" s="30" t="s">
        <v>21635</v>
      </c>
      <c r="C9047" s="29" t="s">
        <v>26</v>
      </c>
      <c r="D9047" s="31">
        <v>2441.1799999999998</v>
      </c>
      <c r="F9047" s="3" t="str">
        <f t="shared" si="141"/>
        <v>I6622</v>
      </c>
    </row>
    <row r="9048" spans="1:6" x14ac:dyDescent="0.2">
      <c r="A9048" s="29" t="s">
        <v>21636</v>
      </c>
      <c r="B9048" s="30" t="s">
        <v>21637</v>
      </c>
      <c r="C9048" s="29" t="s">
        <v>26</v>
      </c>
      <c r="D9048" s="31">
        <v>3072.04</v>
      </c>
      <c r="F9048" s="3" t="str">
        <f t="shared" si="141"/>
        <v>I6628</v>
      </c>
    </row>
    <row r="9049" spans="1:6" x14ac:dyDescent="0.2">
      <c r="A9049" s="29" t="s">
        <v>21638</v>
      </c>
      <c r="B9049" s="30" t="s">
        <v>21639</v>
      </c>
      <c r="C9049" s="29" t="s">
        <v>26</v>
      </c>
      <c r="D9049" s="31">
        <v>2633.18</v>
      </c>
      <c r="F9049" s="3" t="str">
        <f t="shared" si="141"/>
        <v>I6627</v>
      </c>
    </row>
    <row r="9050" spans="1:6" x14ac:dyDescent="0.2">
      <c r="A9050" s="29" t="s">
        <v>21640</v>
      </c>
      <c r="B9050" s="30" t="s">
        <v>21641</v>
      </c>
      <c r="C9050" s="29" t="s">
        <v>26</v>
      </c>
      <c r="D9050" s="31">
        <v>4609.41</v>
      </c>
      <c r="F9050" s="3" t="str">
        <f t="shared" si="141"/>
        <v>I9620</v>
      </c>
    </row>
    <row r="9051" spans="1:6" x14ac:dyDescent="0.2">
      <c r="A9051" s="29" t="s">
        <v>21642</v>
      </c>
      <c r="B9051" s="30" t="s">
        <v>21643</v>
      </c>
      <c r="C9051" s="29" t="s">
        <v>26</v>
      </c>
      <c r="D9051" s="31">
        <v>4609.41</v>
      </c>
      <c r="F9051" s="3" t="str">
        <f t="shared" si="141"/>
        <v>I9621</v>
      </c>
    </row>
    <row r="9052" spans="1:6" x14ac:dyDescent="0.2">
      <c r="A9052" s="29" t="s">
        <v>21644</v>
      </c>
      <c r="B9052" s="30" t="s">
        <v>21645</v>
      </c>
      <c r="C9052" s="29" t="s">
        <v>255</v>
      </c>
      <c r="D9052" s="31">
        <v>5.3</v>
      </c>
      <c r="F9052" s="3" t="str">
        <f t="shared" si="141"/>
        <v>I9622</v>
      </c>
    </row>
    <row r="9053" spans="1:6" x14ac:dyDescent="0.2">
      <c r="A9053" s="29" t="s">
        <v>21646</v>
      </c>
      <c r="B9053" s="30" t="s">
        <v>21647</v>
      </c>
      <c r="C9053" s="29" t="s">
        <v>26</v>
      </c>
      <c r="D9053" s="31">
        <v>33.43</v>
      </c>
      <c r="F9053" s="3" t="str">
        <f t="shared" si="141"/>
        <v>I2911</v>
      </c>
    </row>
    <row r="9054" spans="1:6" x14ac:dyDescent="0.2">
      <c r="A9054" s="29" t="s">
        <v>21648</v>
      </c>
      <c r="B9054" s="30" t="s">
        <v>21649</v>
      </c>
      <c r="C9054" s="29" t="s">
        <v>26</v>
      </c>
      <c r="D9054" s="31">
        <v>37.770000000000003</v>
      </c>
      <c r="F9054" s="3" t="str">
        <f t="shared" si="141"/>
        <v>I2915</v>
      </c>
    </row>
    <row r="9055" spans="1:6" x14ac:dyDescent="0.2">
      <c r="A9055" s="29" t="s">
        <v>21650</v>
      </c>
      <c r="B9055" s="30" t="s">
        <v>21651</v>
      </c>
      <c r="C9055" s="29" t="s">
        <v>26</v>
      </c>
      <c r="D9055" s="31">
        <v>41.85</v>
      </c>
      <c r="F9055" s="3" t="str">
        <f t="shared" si="141"/>
        <v>I2916</v>
      </c>
    </row>
    <row r="9056" spans="1:6" x14ac:dyDescent="0.2">
      <c r="A9056" s="29" t="s">
        <v>21652</v>
      </c>
      <c r="B9056" s="30" t="s">
        <v>21653</v>
      </c>
      <c r="C9056" s="29" t="s">
        <v>26</v>
      </c>
      <c r="D9056" s="31">
        <v>28.46</v>
      </c>
      <c r="F9056" s="3" t="str">
        <f t="shared" si="141"/>
        <v>I2927</v>
      </c>
    </row>
    <row r="9057" spans="1:6" x14ac:dyDescent="0.2">
      <c r="A9057" s="29" t="s">
        <v>21654</v>
      </c>
      <c r="B9057" s="30" t="s">
        <v>21655</v>
      </c>
      <c r="C9057" s="29" t="s">
        <v>26</v>
      </c>
      <c r="D9057" s="31">
        <v>28.46</v>
      </c>
      <c r="F9057" s="3" t="str">
        <f t="shared" si="141"/>
        <v>I2926</v>
      </c>
    </row>
    <row r="9058" spans="1:6" x14ac:dyDescent="0.2">
      <c r="A9058" s="29" t="s">
        <v>21656</v>
      </c>
      <c r="B9058" s="30" t="s">
        <v>21657</v>
      </c>
      <c r="C9058" s="29" t="s">
        <v>26</v>
      </c>
      <c r="D9058" s="31">
        <v>35.46</v>
      </c>
      <c r="F9058" s="3" t="str">
        <f t="shared" si="141"/>
        <v>I2929</v>
      </c>
    </row>
    <row r="9059" spans="1:6" x14ac:dyDescent="0.2">
      <c r="A9059" s="29" t="s">
        <v>21658</v>
      </c>
      <c r="B9059" s="30" t="s">
        <v>21659</v>
      </c>
      <c r="C9059" s="29" t="s">
        <v>26</v>
      </c>
      <c r="D9059" s="31">
        <v>30.85</v>
      </c>
      <c r="F9059" s="3" t="str">
        <f t="shared" si="141"/>
        <v>I2928</v>
      </c>
    </row>
    <row r="9060" spans="1:6" x14ac:dyDescent="0.2">
      <c r="A9060" s="29" t="s">
        <v>21660</v>
      </c>
      <c r="B9060" s="30" t="s">
        <v>21661</v>
      </c>
      <c r="C9060" s="29" t="s">
        <v>26</v>
      </c>
      <c r="D9060" s="31">
        <v>55.72</v>
      </c>
      <c r="F9060" s="3" t="str">
        <f t="shared" si="141"/>
        <v>I2931</v>
      </c>
    </row>
    <row r="9061" spans="1:6" x14ac:dyDescent="0.2">
      <c r="A9061" s="29" t="s">
        <v>21662</v>
      </c>
      <c r="B9061" s="30" t="s">
        <v>21663</v>
      </c>
      <c r="C9061" s="29" t="s">
        <v>26</v>
      </c>
      <c r="D9061" s="31">
        <v>55.72</v>
      </c>
      <c r="F9061" s="3" t="str">
        <f t="shared" si="141"/>
        <v>I2930</v>
      </c>
    </row>
    <row r="9062" spans="1:6" x14ac:dyDescent="0.2">
      <c r="A9062" s="29" t="s">
        <v>21664</v>
      </c>
      <c r="B9062" s="30" t="s">
        <v>21665</v>
      </c>
      <c r="C9062" s="29" t="s">
        <v>26</v>
      </c>
      <c r="D9062" s="31">
        <v>61.21</v>
      </c>
      <c r="F9062" s="3" t="str">
        <f t="shared" si="141"/>
        <v>I2933</v>
      </c>
    </row>
    <row r="9063" spans="1:6" x14ac:dyDescent="0.2">
      <c r="A9063" s="29" t="s">
        <v>21666</v>
      </c>
      <c r="B9063" s="30" t="s">
        <v>21667</v>
      </c>
      <c r="C9063" s="29" t="s">
        <v>26</v>
      </c>
      <c r="D9063" s="31">
        <v>62.7</v>
      </c>
      <c r="F9063" s="3" t="str">
        <f t="shared" si="141"/>
        <v>I2932</v>
      </c>
    </row>
    <row r="9064" spans="1:6" x14ac:dyDescent="0.2">
      <c r="A9064" s="29" t="s">
        <v>21668</v>
      </c>
      <c r="B9064" s="30" t="s">
        <v>21669</v>
      </c>
      <c r="C9064" s="29" t="s">
        <v>26</v>
      </c>
      <c r="D9064" s="31">
        <v>69.23</v>
      </c>
      <c r="F9064" s="3" t="str">
        <f t="shared" si="141"/>
        <v>I2935</v>
      </c>
    </row>
    <row r="9065" spans="1:6" x14ac:dyDescent="0.2">
      <c r="A9065" s="29" t="s">
        <v>21670</v>
      </c>
      <c r="B9065" s="30" t="s">
        <v>21671</v>
      </c>
      <c r="C9065" s="29" t="s">
        <v>26</v>
      </c>
      <c r="D9065" s="31">
        <v>78.63</v>
      </c>
      <c r="F9065" s="3" t="str">
        <f t="shared" si="141"/>
        <v>I2934</v>
      </c>
    </row>
    <row r="9066" spans="1:6" x14ac:dyDescent="0.2">
      <c r="A9066" s="29" t="s">
        <v>21672</v>
      </c>
      <c r="B9066" s="30" t="s">
        <v>21673</v>
      </c>
      <c r="C9066" s="29" t="s">
        <v>26</v>
      </c>
      <c r="D9066" s="31">
        <v>9.8699999999999992</v>
      </c>
      <c r="F9066" s="3" t="str">
        <f t="shared" si="141"/>
        <v>I8392</v>
      </c>
    </row>
    <row r="9067" spans="1:6" x14ac:dyDescent="0.2">
      <c r="A9067" s="29" t="s">
        <v>21674</v>
      </c>
      <c r="B9067" s="30" t="s">
        <v>21675</v>
      </c>
      <c r="C9067" s="29" t="s">
        <v>26</v>
      </c>
      <c r="D9067" s="31">
        <v>9.7200000000000006</v>
      </c>
      <c r="F9067" s="3" t="str">
        <f t="shared" si="141"/>
        <v>I8393</v>
      </c>
    </row>
    <row r="9068" spans="1:6" x14ac:dyDescent="0.2">
      <c r="A9068" s="29" t="s">
        <v>21676</v>
      </c>
      <c r="B9068" s="30" t="s">
        <v>21677</v>
      </c>
      <c r="C9068" s="29" t="s">
        <v>26</v>
      </c>
      <c r="D9068" s="31">
        <v>6.81</v>
      </c>
      <c r="F9068" s="3" t="str">
        <f t="shared" si="141"/>
        <v>I8386</v>
      </c>
    </row>
    <row r="9069" spans="1:6" x14ac:dyDescent="0.2">
      <c r="A9069" s="29" t="s">
        <v>21678</v>
      </c>
      <c r="B9069" s="30" t="s">
        <v>21679</v>
      </c>
      <c r="C9069" s="29" t="s">
        <v>26</v>
      </c>
      <c r="D9069" s="31">
        <v>6.56</v>
      </c>
      <c r="F9069" s="3" t="str">
        <f t="shared" si="141"/>
        <v>I8387</v>
      </c>
    </row>
    <row r="9070" spans="1:6" x14ac:dyDescent="0.2">
      <c r="A9070" s="29" t="s">
        <v>21680</v>
      </c>
      <c r="B9070" s="30" t="s">
        <v>21681</v>
      </c>
      <c r="C9070" s="29" t="s">
        <v>26</v>
      </c>
      <c r="D9070" s="31">
        <v>4.6399999999999997</v>
      </c>
      <c r="F9070" s="3" t="str">
        <f t="shared" si="141"/>
        <v>I8388</v>
      </c>
    </row>
    <row r="9071" spans="1:6" x14ac:dyDescent="0.2">
      <c r="A9071" s="29" t="s">
        <v>21682</v>
      </c>
      <c r="B9071" s="30" t="s">
        <v>21683</v>
      </c>
      <c r="C9071" s="29" t="s">
        <v>26</v>
      </c>
      <c r="D9071" s="31">
        <v>4.34</v>
      </c>
      <c r="F9071" s="3" t="str">
        <f t="shared" si="141"/>
        <v>I8389</v>
      </c>
    </row>
    <row r="9072" spans="1:6" x14ac:dyDescent="0.2">
      <c r="A9072" s="29" t="s">
        <v>21684</v>
      </c>
      <c r="B9072" s="30" t="s">
        <v>21685</v>
      </c>
      <c r="C9072" s="29" t="s">
        <v>26</v>
      </c>
      <c r="D9072" s="31">
        <v>9.02</v>
      </c>
      <c r="F9072" s="3" t="str">
        <f t="shared" si="141"/>
        <v>I8390</v>
      </c>
    </row>
    <row r="9073" spans="1:6" x14ac:dyDescent="0.2">
      <c r="A9073" s="29" t="s">
        <v>21686</v>
      </c>
      <c r="B9073" s="30" t="s">
        <v>21687</v>
      </c>
      <c r="C9073" s="29" t="s">
        <v>26</v>
      </c>
      <c r="D9073" s="31">
        <v>8.84</v>
      </c>
      <c r="F9073" s="3" t="str">
        <f t="shared" si="141"/>
        <v>I8391</v>
      </c>
    </row>
    <row r="9074" spans="1:6" x14ac:dyDescent="0.2">
      <c r="A9074" s="29" t="s">
        <v>21688</v>
      </c>
      <c r="B9074" s="30" t="s">
        <v>21689</v>
      </c>
      <c r="C9074" s="29" t="s">
        <v>26</v>
      </c>
      <c r="D9074" s="31">
        <v>21.71</v>
      </c>
      <c r="F9074" s="3" t="str">
        <f t="shared" si="141"/>
        <v>I2907</v>
      </c>
    </row>
    <row r="9075" spans="1:6" x14ac:dyDescent="0.2">
      <c r="A9075" s="29" t="s">
        <v>21690</v>
      </c>
      <c r="B9075" s="30" t="s">
        <v>21691</v>
      </c>
      <c r="C9075" s="29" t="s">
        <v>26</v>
      </c>
      <c r="D9075" s="31">
        <v>21.71</v>
      </c>
      <c r="F9075" s="3" t="str">
        <f t="shared" si="141"/>
        <v>I2908</v>
      </c>
    </row>
    <row r="9076" spans="1:6" x14ac:dyDescent="0.2">
      <c r="A9076" s="29" t="s">
        <v>21692</v>
      </c>
      <c r="B9076" s="30" t="s">
        <v>21693</v>
      </c>
      <c r="C9076" s="29" t="s">
        <v>26</v>
      </c>
      <c r="D9076" s="31">
        <v>11.1</v>
      </c>
      <c r="F9076" s="3" t="str">
        <f t="shared" si="141"/>
        <v>I2901</v>
      </c>
    </row>
    <row r="9077" spans="1:6" x14ac:dyDescent="0.2">
      <c r="A9077" s="29" t="s">
        <v>21694</v>
      </c>
      <c r="B9077" s="30" t="s">
        <v>21695</v>
      </c>
      <c r="C9077" s="29" t="s">
        <v>26</v>
      </c>
      <c r="D9077" s="31">
        <v>11.1</v>
      </c>
      <c r="F9077" s="3" t="str">
        <f t="shared" si="141"/>
        <v>I2902</v>
      </c>
    </row>
    <row r="9078" spans="1:6" x14ac:dyDescent="0.2">
      <c r="A9078" s="29" t="s">
        <v>21696</v>
      </c>
      <c r="B9078" s="30" t="s">
        <v>21697</v>
      </c>
      <c r="C9078" s="29" t="s">
        <v>26</v>
      </c>
      <c r="D9078" s="31">
        <v>12.95</v>
      </c>
      <c r="F9078" s="3" t="str">
        <f t="shared" si="141"/>
        <v>I2903</v>
      </c>
    </row>
    <row r="9079" spans="1:6" x14ac:dyDescent="0.2">
      <c r="A9079" s="29" t="s">
        <v>21698</v>
      </c>
      <c r="B9079" s="30" t="s">
        <v>21699</v>
      </c>
      <c r="C9079" s="29" t="s">
        <v>26</v>
      </c>
      <c r="D9079" s="31">
        <v>12.95</v>
      </c>
      <c r="F9079" s="3" t="str">
        <f t="shared" si="141"/>
        <v>I2904</v>
      </c>
    </row>
    <row r="9080" spans="1:6" x14ac:dyDescent="0.2">
      <c r="A9080" s="29" t="s">
        <v>21700</v>
      </c>
      <c r="B9080" s="30" t="s">
        <v>21701</v>
      </c>
      <c r="C9080" s="29" t="s">
        <v>26</v>
      </c>
      <c r="D9080" s="31">
        <v>17.39</v>
      </c>
      <c r="F9080" s="3" t="str">
        <f t="shared" si="141"/>
        <v>I2905</v>
      </c>
    </row>
    <row r="9081" spans="1:6" x14ac:dyDescent="0.2">
      <c r="A9081" s="29" t="s">
        <v>21702</v>
      </c>
      <c r="B9081" s="30" t="s">
        <v>21703</v>
      </c>
      <c r="C9081" s="29" t="s">
        <v>26</v>
      </c>
      <c r="D9081" s="31">
        <v>17.71</v>
      </c>
      <c r="F9081" s="3" t="str">
        <f t="shared" si="141"/>
        <v>I2906</v>
      </c>
    </row>
    <row r="9082" spans="1:6" x14ac:dyDescent="0.2">
      <c r="A9082" s="29" t="s">
        <v>21704</v>
      </c>
      <c r="B9082" s="30" t="s">
        <v>21705</v>
      </c>
      <c r="C9082" s="29" t="s">
        <v>26</v>
      </c>
      <c r="D9082" s="31">
        <v>40.479999999999997</v>
      </c>
      <c r="F9082" s="3" t="str">
        <f t="shared" si="141"/>
        <v>I2913</v>
      </c>
    </row>
    <row r="9083" spans="1:6" x14ac:dyDescent="0.2">
      <c r="A9083" s="29" t="s">
        <v>21706</v>
      </c>
      <c r="B9083" s="30" t="s">
        <v>21707</v>
      </c>
      <c r="C9083" s="29" t="s">
        <v>26</v>
      </c>
      <c r="D9083" s="31">
        <v>40.479999999999997</v>
      </c>
      <c r="F9083" s="3" t="str">
        <f t="shared" si="141"/>
        <v>I2914</v>
      </c>
    </row>
    <row r="9084" spans="1:6" x14ac:dyDescent="0.2">
      <c r="A9084" s="29" t="s">
        <v>21708</v>
      </c>
      <c r="B9084" s="30" t="s">
        <v>21709</v>
      </c>
      <c r="C9084" s="29" t="s">
        <v>26</v>
      </c>
      <c r="D9084" s="31">
        <v>15.85</v>
      </c>
      <c r="F9084" s="3" t="str">
        <f t="shared" si="141"/>
        <v>I2909</v>
      </c>
    </row>
    <row r="9085" spans="1:6" x14ac:dyDescent="0.2">
      <c r="A9085" s="29" t="s">
        <v>21710</v>
      </c>
      <c r="B9085" s="30" t="s">
        <v>21711</v>
      </c>
      <c r="C9085" s="29" t="s">
        <v>26</v>
      </c>
      <c r="D9085" s="31">
        <v>15.85</v>
      </c>
      <c r="F9085" s="3" t="str">
        <f t="shared" si="141"/>
        <v>I2910</v>
      </c>
    </row>
    <row r="9086" spans="1:6" x14ac:dyDescent="0.2">
      <c r="A9086" s="29" t="s">
        <v>21712</v>
      </c>
      <c r="B9086" s="30" t="s">
        <v>21713</v>
      </c>
      <c r="C9086" s="29" t="s">
        <v>26</v>
      </c>
      <c r="D9086" s="31">
        <v>33.43</v>
      </c>
      <c r="F9086" s="3" t="str">
        <f t="shared" si="141"/>
        <v>I2912</v>
      </c>
    </row>
    <row r="9087" spans="1:6" x14ac:dyDescent="0.2">
      <c r="A9087" s="29" t="s">
        <v>21714</v>
      </c>
      <c r="B9087" s="30" t="s">
        <v>21715</v>
      </c>
      <c r="C9087" s="29" t="s">
        <v>26</v>
      </c>
      <c r="D9087" s="31">
        <v>1647.24</v>
      </c>
      <c r="F9087" s="3" t="str">
        <f t="shared" si="141"/>
        <v>I9623</v>
      </c>
    </row>
    <row r="9088" spans="1:6" x14ac:dyDescent="0.2">
      <c r="A9088" s="29" t="s">
        <v>21716</v>
      </c>
      <c r="B9088" s="30" t="s">
        <v>21717</v>
      </c>
      <c r="C9088" s="29" t="s">
        <v>26</v>
      </c>
      <c r="D9088" s="31">
        <v>327.76</v>
      </c>
      <c r="F9088" s="3" t="str">
        <f t="shared" si="141"/>
        <v>I9624</v>
      </c>
    </row>
    <row r="9089" spans="1:6" x14ac:dyDescent="0.2">
      <c r="A9089" s="29" t="s">
        <v>21718</v>
      </c>
      <c r="B9089" s="30" t="s">
        <v>21719</v>
      </c>
      <c r="C9089" s="29" t="s">
        <v>26</v>
      </c>
      <c r="D9089" s="31">
        <v>1974.42</v>
      </c>
      <c r="F9089" s="3" t="str">
        <f t="shared" si="141"/>
        <v>I9625</v>
      </c>
    </row>
    <row r="9090" spans="1:6" x14ac:dyDescent="0.2">
      <c r="A9090" s="29" t="s">
        <v>21720</v>
      </c>
      <c r="B9090" s="30" t="s">
        <v>21721</v>
      </c>
      <c r="C9090" s="29" t="s">
        <v>26</v>
      </c>
      <c r="D9090" s="31">
        <v>6554.08</v>
      </c>
      <c r="F9090" s="3" t="str">
        <f t="shared" ref="F9090:F9153" si="142">A9090</f>
        <v>I9626</v>
      </c>
    </row>
    <row r="9091" spans="1:6" ht="22.5" x14ac:dyDescent="0.2">
      <c r="A9091" s="29" t="s">
        <v>21722</v>
      </c>
      <c r="B9091" s="30" t="s">
        <v>21723</v>
      </c>
      <c r="C9091" s="29" t="s">
        <v>26</v>
      </c>
      <c r="D9091" s="31">
        <v>228</v>
      </c>
      <c r="F9091" s="3" t="str">
        <f t="shared" si="142"/>
        <v>I6850</v>
      </c>
    </row>
    <row r="9092" spans="1:6" ht="22.5" x14ac:dyDescent="0.2">
      <c r="A9092" s="29" t="s">
        <v>21724</v>
      </c>
      <c r="B9092" s="30" t="s">
        <v>21725</v>
      </c>
      <c r="C9092" s="29" t="s">
        <v>26</v>
      </c>
      <c r="D9092" s="31">
        <v>380</v>
      </c>
      <c r="F9092" s="3" t="str">
        <f t="shared" si="142"/>
        <v>I6851</v>
      </c>
    </row>
    <row r="9093" spans="1:6" x14ac:dyDescent="0.2">
      <c r="A9093" s="29" t="s">
        <v>21726</v>
      </c>
      <c r="B9093" s="30" t="s">
        <v>21727</v>
      </c>
      <c r="C9093" s="29" t="s">
        <v>26</v>
      </c>
      <c r="D9093" s="31">
        <v>662</v>
      </c>
      <c r="F9093" s="3" t="str">
        <f t="shared" si="142"/>
        <v>I10274</v>
      </c>
    </row>
    <row r="9094" spans="1:6" x14ac:dyDescent="0.2">
      <c r="A9094" s="29" t="s">
        <v>21728</v>
      </c>
      <c r="B9094" s="30" t="s">
        <v>21729</v>
      </c>
      <c r="C9094" s="29" t="s">
        <v>26</v>
      </c>
      <c r="D9094" s="31">
        <v>812</v>
      </c>
      <c r="F9094" s="3" t="str">
        <f t="shared" si="142"/>
        <v>I10275</v>
      </c>
    </row>
    <row r="9095" spans="1:6" x14ac:dyDescent="0.2">
      <c r="A9095" s="29" t="s">
        <v>21730</v>
      </c>
      <c r="B9095" s="30" t="s">
        <v>21731</v>
      </c>
      <c r="C9095" s="29" t="s">
        <v>26</v>
      </c>
      <c r="D9095" s="31">
        <v>835</v>
      </c>
      <c r="F9095" s="3" t="str">
        <f t="shared" si="142"/>
        <v>I10276</v>
      </c>
    </row>
    <row r="9096" spans="1:6" x14ac:dyDescent="0.2">
      <c r="A9096" s="29" t="s">
        <v>21732</v>
      </c>
      <c r="B9096" s="30" t="s">
        <v>21733</v>
      </c>
      <c r="C9096" s="29" t="s">
        <v>26</v>
      </c>
      <c r="D9096" s="31">
        <v>1064</v>
      </c>
      <c r="F9096" s="3" t="str">
        <f t="shared" si="142"/>
        <v>I10277</v>
      </c>
    </row>
    <row r="9097" spans="1:6" x14ac:dyDescent="0.2">
      <c r="A9097" s="29" t="s">
        <v>21734</v>
      </c>
      <c r="B9097" s="30" t="s">
        <v>21735</v>
      </c>
      <c r="C9097" s="29" t="s">
        <v>26</v>
      </c>
      <c r="D9097" s="31">
        <v>1446</v>
      </c>
      <c r="F9097" s="3" t="str">
        <f t="shared" si="142"/>
        <v>I10278</v>
      </c>
    </row>
    <row r="9098" spans="1:6" x14ac:dyDescent="0.2">
      <c r="A9098" s="29" t="s">
        <v>21736</v>
      </c>
      <c r="B9098" s="30" t="s">
        <v>21737</v>
      </c>
      <c r="C9098" s="29" t="s">
        <v>26</v>
      </c>
      <c r="D9098" s="31">
        <v>1844</v>
      </c>
      <c r="F9098" s="3" t="str">
        <f t="shared" si="142"/>
        <v>I10279</v>
      </c>
    </row>
    <row r="9099" spans="1:6" x14ac:dyDescent="0.2">
      <c r="A9099" s="29" t="s">
        <v>21738</v>
      </c>
      <c r="B9099" s="30" t="s">
        <v>21739</v>
      </c>
      <c r="C9099" s="29" t="s">
        <v>26</v>
      </c>
      <c r="D9099" s="31">
        <v>3472</v>
      </c>
      <c r="F9099" s="3" t="str">
        <f t="shared" si="142"/>
        <v>I10280</v>
      </c>
    </row>
    <row r="9100" spans="1:6" x14ac:dyDescent="0.2">
      <c r="A9100" s="29" t="s">
        <v>21740</v>
      </c>
      <c r="B9100" s="30" t="s">
        <v>21741</v>
      </c>
      <c r="C9100" s="29" t="s">
        <v>26</v>
      </c>
      <c r="D9100" s="31">
        <v>6487</v>
      </c>
      <c r="F9100" s="3" t="str">
        <f t="shared" si="142"/>
        <v>I10281</v>
      </c>
    </row>
    <row r="9101" spans="1:6" x14ac:dyDescent="0.2">
      <c r="A9101" s="29" t="s">
        <v>21742</v>
      </c>
      <c r="B9101" s="30" t="s">
        <v>21743</v>
      </c>
      <c r="C9101" s="29" t="s">
        <v>26</v>
      </c>
      <c r="D9101" s="31">
        <v>16988</v>
      </c>
      <c r="F9101" s="3" t="str">
        <f t="shared" si="142"/>
        <v>I10282</v>
      </c>
    </row>
    <row r="9102" spans="1:6" x14ac:dyDescent="0.2">
      <c r="A9102" s="29" t="s">
        <v>21744</v>
      </c>
      <c r="B9102" s="30" t="s">
        <v>21745</v>
      </c>
      <c r="C9102" s="29" t="s">
        <v>26</v>
      </c>
      <c r="D9102" s="31">
        <v>18032</v>
      </c>
      <c r="F9102" s="3" t="str">
        <f t="shared" si="142"/>
        <v>I10283</v>
      </c>
    </row>
    <row r="9103" spans="1:6" x14ac:dyDescent="0.2">
      <c r="A9103" s="29" t="s">
        <v>21746</v>
      </c>
      <c r="B9103" s="30" t="s">
        <v>21747</v>
      </c>
      <c r="C9103" s="29" t="s">
        <v>26</v>
      </c>
      <c r="D9103" s="31">
        <v>20142</v>
      </c>
      <c r="F9103" s="3" t="str">
        <f t="shared" si="142"/>
        <v>I10284</v>
      </c>
    </row>
    <row r="9104" spans="1:6" ht="22.5" x14ac:dyDescent="0.2">
      <c r="A9104" s="29" t="s">
        <v>21748</v>
      </c>
      <c r="B9104" s="30" t="s">
        <v>21749</v>
      </c>
      <c r="C9104" s="29" t="s">
        <v>26</v>
      </c>
      <c r="D9104" s="31">
        <v>98</v>
      </c>
      <c r="F9104" s="3" t="str">
        <f t="shared" si="142"/>
        <v>I6852</v>
      </c>
    </row>
    <row r="9105" spans="1:6" x14ac:dyDescent="0.2">
      <c r="A9105" s="29" t="s">
        <v>21750</v>
      </c>
      <c r="B9105" s="30" t="s">
        <v>21751</v>
      </c>
      <c r="C9105" s="29" t="s">
        <v>26</v>
      </c>
      <c r="D9105" s="31">
        <v>29628</v>
      </c>
      <c r="F9105" s="3" t="str">
        <f t="shared" si="142"/>
        <v>I10285</v>
      </c>
    </row>
    <row r="9106" spans="1:6" x14ac:dyDescent="0.2">
      <c r="A9106" s="29" t="s">
        <v>21752</v>
      </c>
      <c r="B9106" s="30" t="s">
        <v>21753</v>
      </c>
      <c r="C9106" s="29" t="s">
        <v>26</v>
      </c>
      <c r="D9106" s="31">
        <v>37900</v>
      </c>
      <c r="F9106" s="3" t="str">
        <f t="shared" si="142"/>
        <v>I10286</v>
      </c>
    </row>
    <row r="9107" spans="1:6" ht="22.5" x14ac:dyDescent="0.2">
      <c r="A9107" s="29" t="s">
        <v>21754</v>
      </c>
      <c r="B9107" s="30" t="s">
        <v>21755</v>
      </c>
      <c r="C9107" s="29" t="s">
        <v>26</v>
      </c>
      <c r="D9107" s="31">
        <v>185</v>
      </c>
      <c r="F9107" s="3" t="str">
        <f t="shared" si="142"/>
        <v>I6853</v>
      </c>
    </row>
    <row r="9108" spans="1:6" x14ac:dyDescent="0.2">
      <c r="A9108" s="29" t="s">
        <v>21756</v>
      </c>
      <c r="B9108" s="30" t="s">
        <v>21757</v>
      </c>
      <c r="C9108" s="29" t="s">
        <v>26</v>
      </c>
      <c r="D9108" s="31">
        <v>327.76</v>
      </c>
      <c r="F9108" s="3" t="str">
        <f t="shared" si="142"/>
        <v>I9627</v>
      </c>
    </row>
    <row r="9109" spans="1:6" x14ac:dyDescent="0.2">
      <c r="A9109" s="29" t="s">
        <v>21758</v>
      </c>
      <c r="B9109" s="30" t="s">
        <v>21759</v>
      </c>
      <c r="C9109" s="29" t="s">
        <v>26</v>
      </c>
      <c r="D9109" s="31">
        <v>1734.03</v>
      </c>
      <c r="F9109" s="3" t="str">
        <f t="shared" si="142"/>
        <v>I9628</v>
      </c>
    </row>
    <row r="9110" spans="1:6" x14ac:dyDescent="0.2">
      <c r="A9110" s="29" t="s">
        <v>21760</v>
      </c>
      <c r="B9110" s="30" t="s">
        <v>21761</v>
      </c>
      <c r="C9110" s="29" t="s">
        <v>26</v>
      </c>
      <c r="D9110" s="31">
        <v>7886.54</v>
      </c>
      <c r="F9110" s="3" t="str">
        <f t="shared" si="142"/>
        <v>I9629</v>
      </c>
    </row>
    <row r="9111" spans="1:6" x14ac:dyDescent="0.2">
      <c r="A9111" s="29" t="s">
        <v>21762</v>
      </c>
      <c r="B9111" s="30" t="s">
        <v>21763</v>
      </c>
      <c r="C9111" s="29" t="s">
        <v>26</v>
      </c>
      <c r="D9111" s="31">
        <v>14335.87</v>
      </c>
      <c r="F9111" s="3" t="str">
        <f t="shared" si="142"/>
        <v>I9630</v>
      </c>
    </row>
    <row r="9112" spans="1:6" x14ac:dyDescent="0.2">
      <c r="A9112" s="29" t="s">
        <v>21764</v>
      </c>
      <c r="B9112" s="30" t="s">
        <v>21765</v>
      </c>
      <c r="C9112" s="29" t="s">
        <v>26</v>
      </c>
      <c r="D9112" s="31">
        <v>11912.39</v>
      </c>
      <c r="F9112" s="3" t="str">
        <f t="shared" si="142"/>
        <v>I9631</v>
      </c>
    </row>
    <row r="9113" spans="1:6" x14ac:dyDescent="0.2">
      <c r="A9113" s="29" t="s">
        <v>21766</v>
      </c>
      <c r="B9113" s="30" t="s">
        <v>21767</v>
      </c>
      <c r="C9113" s="29" t="s">
        <v>26</v>
      </c>
      <c r="D9113" s="31">
        <v>12829.78</v>
      </c>
      <c r="F9113" s="3" t="str">
        <f t="shared" si="142"/>
        <v>I9632</v>
      </c>
    </row>
    <row r="9114" spans="1:6" x14ac:dyDescent="0.2">
      <c r="A9114" s="29" t="s">
        <v>21768</v>
      </c>
      <c r="B9114" s="30" t="s">
        <v>21769</v>
      </c>
      <c r="C9114" s="29" t="s">
        <v>26</v>
      </c>
      <c r="D9114" s="31">
        <v>13745.64</v>
      </c>
      <c r="F9114" s="3" t="str">
        <f t="shared" si="142"/>
        <v>I9633</v>
      </c>
    </row>
    <row r="9115" spans="1:6" x14ac:dyDescent="0.2">
      <c r="A9115" s="29" t="s">
        <v>21770</v>
      </c>
      <c r="B9115" s="30" t="s">
        <v>21771</v>
      </c>
      <c r="C9115" s="29" t="s">
        <v>26</v>
      </c>
      <c r="D9115" s="31">
        <v>14915.35</v>
      </c>
      <c r="F9115" s="3" t="str">
        <f t="shared" si="142"/>
        <v>I9634</v>
      </c>
    </row>
    <row r="9116" spans="1:6" x14ac:dyDescent="0.2">
      <c r="A9116" s="29" t="s">
        <v>21772</v>
      </c>
      <c r="B9116" s="30" t="s">
        <v>21773</v>
      </c>
      <c r="C9116" s="29" t="s">
        <v>26</v>
      </c>
      <c r="D9116" s="31">
        <v>17196.21</v>
      </c>
      <c r="F9116" s="3" t="str">
        <f t="shared" si="142"/>
        <v>I9635</v>
      </c>
    </row>
    <row r="9117" spans="1:6" x14ac:dyDescent="0.2">
      <c r="A9117" s="29" t="s">
        <v>21774</v>
      </c>
      <c r="B9117" s="30" t="s">
        <v>21775</v>
      </c>
      <c r="C9117" s="29" t="s">
        <v>26</v>
      </c>
      <c r="D9117" s="31">
        <v>94472.13</v>
      </c>
      <c r="F9117" s="3" t="str">
        <f t="shared" si="142"/>
        <v>I4865</v>
      </c>
    </row>
    <row r="9118" spans="1:6" x14ac:dyDescent="0.2">
      <c r="A9118" s="29" t="s">
        <v>21776</v>
      </c>
      <c r="B9118" s="30" t="s">
        <v>21777</v>
      </c>
      <c r="C9118" s="29" t="s">
        <v>26</v>
      </c>
      <c r="D9118" s="31">
        <v>97794.05</v>
      </c>
      <c r="F9118" s="3" t="str">
        <f t="shared" si="142"/>
        <v>I4866</v>
      </c>
    </row>
    <row r="9119" spans="1:6" x14ac:dyDescent="0.2">
      <c r="A9119" s="29" t="s">
        <v>21778</v>
      </c>
      <c r="B9119" s="30" t="s">
        <v>21779</v>
      </c>
      <c r="C9119" s="29" t="s">
        <v>26</v>
      </c>
      <c r="D9119" s="31">
        <v>116849.97</v>
      </c>
      <c r="F9119" s="3" t="str">
        <f t="shared" si="142"/>
        <v>I4867</v>
      </c>
    </row>
    <row r="9120" spans="1:6" x14ac:dyDescent="0.2">
      <c r="A9120" s="29" t="s">
        <v>21780</v>
      </c>
      <c r="B9120" s="30" t="s">
        <v>21781</v>
      </c>
      <c r="C9120" s="29" t="s">
        <v>26</v>
      </c>
      <c r="D9120" s="31">
        <v>121119.02</v>
      </c>
      <c r="F9120" s="3" t="str">
        <f t="shared" si="142"/>
        <v>I4868</v>
      </c>
    </row>
    <row r="9121" spans="1:6" x14ac:dyDescent="0.2">
      <c r="A9121" s="29" t="s">
        <v>21782</v>
      </c>
      <c r="B9121" s="30" t="s">
        <v>21783</v>
      </c>
      <c r="C9121" s="29" t="s">
        <v>26</v>
      </c>
      <c r="D9121" s="31">
        <v>15698.78</v>
      </c>
      <c r="F9121" s="3" t="str">
        <f t="shared" si="142"/>
        <v>I4857</v>
      </c>
    </row>
    <row r="9122" spans="1:6" x14ac:dyDescent="0.2">
      <c r="A9122" s="29" t="s">
        <v>21784</v>
      </c>
      <c r="B9122" s="30" t="s">
        <v>21785</v>
      </c>
      <c r="C9122" s="29" t="s">
        <v>26</v>
      </c>
      <c r="D9122" s="31">
        <v>20457.7</v>
      </c>
      <c r="F9122" s="3" t="str">
        <f t="shared" si="142"/>
        <v>I10551</v>
      </c>
    </row>
    <row r="9123" spans="1:6" x14ac:dyDescent="0.2">
      <c r="A9123" s="29" t="s">
        <v>21786</v>
      </c>
      <c r="B9123" s="30" t="s">
        <v>21787</v>
      </c>
      <c r="C9123" s="29" t="s">
        <v>26</v>
      </c>
      <c r="D9123" s="31">
        <v>25216.62</v>
      </c>
      <c r="F9123" s="3" t="str">
        <f t="shared" si="142"/>
        <v>I4858</v>
      </c>
    </row>
    <row r="9124" spans="1:6" x14ac:dyDescent="0.2">
      <c r="A9124" s="29" t="s">
        <v>21788</v>
      </c>
      <c r="B9124" s="30" t="s">
        <v>21789</v>
      </c>
      <c r="C9124" s="29" t="s">
        <v>26</v>
      </c>
      <c r="D9124" s="31">
        <v>24310.42</v>
      </c>
      <c r="F9124" s="3" t="str">
        <f t="shared" si="142"/>
        <v>I10552</v>
      </c>
    </row>
    <row r="9125" spans="1:6" x14ac:dyDescent="0.2">
      <c r="A9125" s="29" t="s">
        <v>21790</v>
      </c>
      <c r="B9125" s="30" t="s">
        <v>21791</v>
      </c>
      <c r="C9125" s="29" t="s">
        <v>26</v>
      </c>
      <c r="D9125" s="31">
        <v>23404.22</v>
      </c>
      <c r="F9125" s="3" t="str">
        <f t="shared" si="142"/>
        <v>I4859</v>
      </c>
    </row>
    <row r="9126" spans="1:6" x14ac:dyDescent="0.2">
      <c r="A9126" s="29" t="s">
        <v>21792</v>
      </c>
      <c r="B9126" s="30" t="s">
        <v>21793</v>
      </c>
      <c r="C9126" s="29" t="s">
        <v>26</v>
      </c>
      <c r="D9126" s="31">
        <v>30783.03</v>
      </c>
      <c r="F9126" s="3" t="str">
        <f t="shared" si="142"/>
        <v>I4860</v>
      </c>
    </row>
    <row r="9127" spans="1:6" x14ac:dyDescent="0.2">
      <c r="A9127" s="29" t="s">
        <v>21794</v>
      </c>
      <c r="B9127" s="30" t="s">
        <v>21795</v>
      </c>
      <c r="C9127" s="29" t="s">
        <v>26</v>
      </c>
      <c r="D9127" s="31">
        <v>35195.46</v>
      </c>
      <c r="F9127" s="3" t="str">
        <f t="shared" si="142"/>
        <v>I4861</v>
      </c>
    </row>
    <row r="9128" spans="1:6" x14ac:dyDescent="0.2">
      <c r="A9128" s="29" t="s">
        <v>21796</v>
      </c>
      <c r="B9128" s="30" t="s">
        <v>21797</v>
      </c>
      <c r="C9128" s="29" t="s">
        <v>26</v>
      </c>
      <c r="D9128" s="31">
        <v>52643.5</v>
      </c>
      <c r="F9128" s="3" t="str">
        <f t="shared" si="142"/>
        <v>I4862</v>
      </c>
    </row>
    <row r="9129" spans="1:6" x14ac:dyDescent="0.2">
      <c r="A9129" s="29" t="s">
        <v>21798</v>
      </c>
      <c r="B9129" s="30" t="s">
        <v>21799</v>
      </c>
      <c r="C9129" s="29" t="s">
        <v>26</v>
      </c>
      <c r="D9129" s="31">
        <v>65535.22</v>
      </c>
      <c r="F9129" s="3" t="str">
        <f t="shared" si="142"/>
        <v>I4863</v>
      </c>
    </row>
    <row r="9130" spans="1:6" x14ac:dyDescent="0.2">
      <c r="A9130" s="29" t="s">
        <v>21800</v>
      </c>
      <c r="B9130" s="30" t="s">
        <v>21801</v>
      </c>
      <c r="C9130" s="29" t="s">
        <v>26</v>
      </c>
      <c r="D9130" s="31">
        <v>73798.210000000006</v>
      </c>
      <c r="F9130" s="3" t="str">
        <f t="shared" si="142"/>
        <v>I4864</v>
      </c>
    </row>
    <row r="9131" spans="1:6" x14ac:dyDescent="0.2">
      <c r="A9131" s="29" t="s">
        <v>21802</v>
      </c>
      <c r="B9131" s="30" t="s">
        <v>21803</v>
      </c>
      <c r="C9131" s="29" t="s">
        <v>26</v>
      </c>
      <c r="D9131" s="31">
        <v>93419.33</v>
      </c>
      <c r="F9131" s="3" t="str">
        <f t="shared" si="142"/>
        <v>I4877</v>
      </c>
    </row>
    <row r="9132" spans="1:6" x14ac:dyDescent="0.2">
      <c r="A9132" s="29" t="s">
        <v>21804</v>
      </c>
      <c r="B9132" s="30" t="s">
        <v>21805</v>
      </c>
      <c r="C9132" s="29" t="s">
        <v>26</v>
      </c>
      <c r="D9132" s="31">
        <v>97659.1</v>
      </c>
      <c r="F9132" s="3" t="str">
        <f t="shared" si="142"/>
        <v>I4878</v>
      </c>
    </row>
    <row r="9133" spans="1:6" x14ac:dyDescent="0.2">
      <c r="A9133" s="29" t="s">
        <v>21806</v>
      </c>
      <c r="B9133" s="30" t="s">
        <v>21807</v>
      </c>
      <c r="C9133" s="29" t="s">
        <v>26</v>
      </c>
      <c r="D9133" s="31">
        <v>116382.01</v>
      </c>
      <c r="F9133" s="3" t="str">
        <f t="shared" si="142"/>
        <v>I4879</v>
      </c>
    </row>
    <row r="9134" spans="1:6" x14ac:dyDescent="0.2">
      <c r="A9134" s="29" t="s">
        <v>21808</v>
      </c>
      <c r="B9134" s="30" t="s">
        <v>21809</v>
      </c>
      <c r="C9134" s="29" t="s">
        <v>26</v>
      </c>
      <c r="D9134" s="31">
        <v>15920.75</v>
      </c>
      <c r="F9134" s="3" t="str">
        <f t="shared" si="142"/>
        <v>I10553</v>
      </c>
    </row>
    <row r="9135" spans="1:6" x14ac:dyDescent="0.2">
      <c r="A9135" s="29" t="s">
        <v>21810</v>
      </c>
      <c r="B9135" s="30" t="s">
        <v>21811</v>
      </c>
      <c r="C9135" s="29" t="s">
        <v>26</v>
      </c>
      <c r="D9135" s="31">
        <v>121055.03999999999</v>
      </c>
      <c r="F9135" s="3" t="str">
        <f t="shared" si="142"/>
        <v>I4880</v>
      </c>
    </row>
    <row r="9136" spans="1:6" x14ac:dyDescent="0.2">
      <c r="A9136" s="29" t="s">
        <v>21812</v>
      </c>
      <c r="B9136" s="30" t="s">
        <v>21813</v>
      </c>
      <c r="C9136" s="29" t="s">
        <v>26</v>
      </c>
      <c r="D9136" s="31">
        <v>15920.75</v>
      </c>
      <c r="F9136" s="3" t="str">
        <f t="shared" si="142"/>
        <v>I4869</v>
      </c>
    </row>
    <row r="9137" spans="1:6" x14ac:dyDescent="0.2">
      <c r="A9137" s="29" t="s">
        <v>21814</v>
      </c>
      <c r="B9137" s="30" t="s">
        <v>21815</v>
      </c>
      <c r="C9137" s="29" t="s">
        <v>26</v>
      </c>
      <c r="D9137" s="31">
        <v>20568.689999999999</v>
      </c>
      <c r="F9137" s="3" t="str">
        <f t="shared" si="142"/>
        <v>I10554</v>
      </c>
    </row>
    <row r="9138" spans="1:6" x14ac:dyDescent="0.2">
      <c r="A9138" s="29" t="s">
        <v>21816</v>
      </c>
      <c r="B9138" s="30" t="s">
        <v>21817</v>
      </c>
      <c r="C9138" s="29" t="s">
        <v>26</v>
      </c>
      <c r="D9138" s="31">
        <v>25216.62</v>
      </c>
      <c r="F9138" s="3" t="str">
        <f t="shared" si="142"/>
        <v>I4870</v>
      </c>
    </row>
    <row r="9139" spans="1:6" x14ac:dyDescent="0.2">
      <c r="A9139" s="29" t="s">
        <v>21818</v>
      </c>
      <c r="B9139" s="30" t="s">
        <v>21819</v>
      </c>
      <c r="C9139" s="29" t="s">
        <v>26</v>
      </c>
      <c r="D9139" s="31">
        <v>23916.26</v>
      </c>
      <c r="F9139" s="3" t="str">
        <f t="shared" si="142"/>
        <v>I10555</v>
      </c>
    </row>
    <row r="9140" spans="1:6" x14ac:dyDescent="0.2">
      <c r="A9140" s="29" t="s">
        <v>21820</v>
      </c>
      <c r="B9140" s="30" t="s">
        <v>21821</v>
      </c>
      <c r="C9140" s="29" t="s">
        <v>26</v>
      </c>
      <c r="D9140" s="31">
        <v>22615.9</v>
      </c>
      <c r="F9140" s="3" t="str">
        <f t="shared" si="142"/>
        <v>I4871</v>
      </c>
    </row>
    <row r="9141" spans="1:6" x14ac:dyDescent="0.2">
      <c r="A9141" s="29" t="s">
        <v>21822</v>
      </c>
      <c r="B9141" s="30" t="s">
        <v>21823</v>
      </c>
      <c r="C9141" s="29" t="s">
        <v>26</v>
      </c>
      <c r="D9141" s="31">
        <v>30823.32</v>
      </c>
      <c r="F9141" s="3" t="str">
        <f t="shared" si="142"/>
        <v>I4872</v>
      </c>
    </row>
    <row r="9142" spans="1:6" x14ac:dyDescent="0.2">
      <c r="A9142" s="29" t="s">
        <v>21824</v>
      </c>
      <c r="B9142" s="30" t="s">
        <v>21825</v>
      </c>
      <c r="C9142" s="29" t="s">
        <v>26</v>
      </c>
      <c r="D9142" s="31">
        <v>34439.910000000003</v>
      </c>
      <c r="F9142" s="3" t="str">
        <f t="shared" si="142"/>
        <v>I4873</v>
      </c>
    </row>
    <row r="9143" spans="1:6" x14ac:dyDescent="0.2">
      <c r="A9143" s="29" t="s">
        <v>21826</v>
      </c>
      <c r="B9143" s="30" t="s">
        <v>21827</v>
      </c>
      <c r="C9143" s="29" t="s">
        <v>26</v>
      </c>
      <c r="D9143" s="31">
        <v>50450.68</v>
      </c>
      <c r="F9143" s="3" t="str">
        <f t="shared" si="142"/>
        <v>I4874</v>
      </c>
    </row>
    <row r="9144" spans="1:6" x14ac:dyDescent="0.2">
      <c r="A9144" s="29" t="s">
        <v>21828</v>
      </c>
      <c r="B9144" s="30" t="s">
        <v>21829</v>
      </c>
      <c r="C9144" s="29" t="s">
        <v>26</v>
      </c>
      <c r="D9144" s="31">
        <v>63638.89</v>
      </c>
      <c r="F9144" s="3" t="str">
        <f t="shared" si="142"/>
        <v>I4875</v>
      </c>
    </row>
    <row r="9145" spans="1:6" x14ac:dyDescent="0.2">
      <c r="A9145" s="29" t="s">
        <v>21830</v>
      </c>
      <c r="B9145" s="30" t="s">
        <v>21831</v>
      </c>
      <c r="C9145" s="29" t="s">
        <v>26</v>
      </c>
      <c r="D9145" s="31">
        <v>73798.210000000006</v>
      </c>
      <c r="F9145" s="3" t="str">
        <f t="shared" si="142"/>
        <v>I4876</v>
      </c>
    </row>
    <row r="9146" spans="1:6" ht="22.5" x14ac:dyDescent="0.2">
      <c r="A9146" s="29" t="s">
        <v>21832</v>
      </c>
      <c r="B9146" s="30" t="s">
        <v>21833</v>
      </c>
      <c r="C9146" s="29" t="s">
        <v>26</v>
      </c>
      <c r="D9146" s="31">
        <v>65116.959999999999</v>
      </c>
      <c r="F9146" s="3" t="str">
        <f t="shared" si="142"/>
        <v>I9636</v>
      </c>
    </row>
    <row r="9147" spans="1:6" ht="22.5" x14ac:dyDescent="0.2">
      <c r="A9147" s="29" t="s">
        <v>21834</v>
      </c>
      <c r="B9147" s="30" t="s">
        <v>21835</v>
      </c>
      <c r="C9147" s="29" t="s">
        <v>26</v>
      </c>
      <c r="D9147" s="31">
        <v>75023.520000000004</v>
      </c>
      <c r="F9147" s="3" t="str">
        <f t="shared" si="142"/>
        <v>I9637</v>
      </c>
    </row>
    <row r="9148" spans="1:6" ht="33.75" x14ac:dyDescent="0.2">
      <c r="A9148" s="29" t="s">
        <v>21836</v>
      </c>
      <c r="B9148" s="30" t="s">
        <v>21837</v>
      </c>
      <c r="C9148" s="29" t="s">
        <v>26</v>
      </c>
      <c r="D9148" s="31">
        <v>2573.4299999999998</v>
      </c>
      <c r="F9148" s="3" t="str">
        <f t="shared" si="142"/>
        <v>I9638</v>
      </c>
    </row>
    <row r="9149" spans="1:6" ht="33.75" x14ac:dyDescent="0.2">
      <c r="A9149" s="29" t="s">
        <v>21838</v>
      </c>
      <c r="B9149" s="30" t="s">
        <v>21839</v>
      </c>
      <c r="C9149" s="29" t="s">
        <v>26</v>
      </c>
      <c r="D9149" s="31">
        <v>665.15</v>
      </c>
      <c r="F9149" s="3" t="str">
        <f t="shared" si="142"/>
        <v>I8866</v>
      </c>
    </row>
    <row r="9150" spans="1:6" ht="22.5" x14ac:dyDescent="0.2">
      <c r="A9150" s="29" t="s">
        <v>21840</v>
      </c>
      <c r="B9150" s="30" t="s">
        <v>21841</v>
      </c>
      <c r="C9150" s="29" t="s">
        <v>26</v>
      </c>
      <c r="D9150" s="31">
        <v>587.29</v>
      </c>
      <c r="F9150" s="3" t="str">
        <f t="shared" si="142"/>
        <v>I8867</v>
      </c>
    </row>
    <row r="9151" spans="1:6" ht="22.5" x14ac:dyDescent="0.2">
      <c r="A9151" s="29" t="s">
        <v>21842</v>
      </c>
      <c r="B9151" s="30" t="s">
        <v>21843</v>
      </c>
      <c r="C9151" s="29" t="s">
        <v>0</v>
      </c>
      <c r="D9151" s="31">
        <v>22.87</v>
      </c>
      <c r="F9151" s="3" t="str">
        <f t="shared" si="142"/>
        <v>I9168</v>
      </c>
    </row>
    <row r="9152" spans="1:6" x14ac:dyDescent="0.2">
      <c r="A9152" s="29" t="s">
        <v>21844</v>
      </c>
      <c r="B9152" s="30" t="s">
        <v>21845</v>
      </c>
      <c r="C9152" s="29" t="s">
        <v>26</v>
      </c>
      <c r="D9152" s="31">
        <v>21.42</v>
      </c>
      <c r="F9152" s="3" t="str">
        <f t="shared" si="142"/>
        <v>I8518</v>
      </c>
    </row>
    <row r="9153" spans="1:6" x14ac:dyDescent="0.2">
      <c r="A9153" s="29" t="s">
        <v>21846</v>
      </c>
      <c r="B9153" s="30" t="s">
        <v>21847</v>
      </c>
      <c r="C9153" s="29" t="s">
        <v>26</v>
      </c>
      <c r="D9153" s="31">
        <v>20.78</v>
      </c>
      <c r="F9153" s="3" t="str">
        <f t="shared" si="142"/>
        <v>I8084</v>
      </c>
    </row>
    <row r="9154" spans="1:6" x14ac:dyDescent="0.2">
      <c r="A9154" s="29" t="s">
        <v>21848</v>
      </c>
      <c r="B9154" s="30" t="s">
        <v>21849</v>
      </c>
      <c r="C9154" s="29" t="s">
        <v>26</v>
      </c>
      <c r="D9154" s="31">
        <v>29.8</v>
      </c>
      <c r="F9154" s="3" t="str">
        <f t="shared" ref="F9154:F9217" si="143">A9154</f>
        <v>I9641</v>
      </c>
    </row>
    <row r="9155" spans="1:6" x14ac:dyDescent="0.2">
      <c r="A9155" s="29" t="s">
        <v>21850</v>
      </c>
      <c r="B9155" s="30" t="s">
        <v>21851</v>
      </c>
      <c r="C9155" s="29" t="s">
        <v>26</v>
      </c>
      <c r="D9155" s="31">
        <v>12180.13</v>
      </c>
      <c r="F9155" s="3" t="str">
        <f t="shared" si="143"/>
        <v>I9644</v>
      </c>
    </row>
    <row r="9156" spans="1:6" x14ac:dyDescent="0.2">
      <c r="A9156" s="29" t="s">
        <v>21852</v>
      </c>
      <c r="B9156" s="30" t="s">
        <v>21853</v>
      </c>
      <c r="C9156" s="29" t="s">
        <v>26</v>
      </c>
      <c r="D9156" s="31">
        <v>14231.16</v>
      </c>
      <c r="F9156" s="3" t="str">
        <f t="shared" si="143"/>
        <v>I9645</v>
      </c>
    </row>
    <row r="9157" spans="1:6" x14ac:dyDescent="0.2">
      <c r="A9157" s="29" t="s">
        <v>21854</v>
      </c>
      <c r="B9157" s="30" t="s">
        <v>21855</v>
      </c>
      <c r="C9157" s="29" t="s">
        <v>26</v>
      </c>
      <c r="D9157" s="31">
        <v>17139.46</v>
      </c>
      <c r="F9157" s="3" t="str">
        <f t="shared" si="143"/>
        <v>I9646</v>
      </c>
    </row>
    <row r="9158" spans="1:6" x14ac:dyDescent="0.2">
      <c r="A9158" s="29" t="s">
        <v>21856</v>
      </c>
      <c r="B9158" s="30" t="s">
        <v>21857</v>
      </c>
      <c r="C9158" s="29" t="s">
        <v>26</v>
      </c>
      <c r="D9158" s="31">
        <v>26587.3</v>
      </c>
      <c r="F9158" s="3" t="str">
        <f t="shared" si="143"/>
        <v>I9647</v>
      </c>
    </row>
    <row r="9159" spans="1:6" ht="22.5" x14ac:dyDescent="0.2">
      <c r="A9159" s="29" t="s">
        <v>21858</v>
      </c>
      <c r="B9159" s="30" t="s">
        <v>21859</v>
      </c>
      <c r="C9159" s="29" t="s">
        <v>26</v>
      </c>
      <c r="D9159" s="31">
        <v>35793.35</v>
      </c>
      <c r="F9159" s="3" t="str">
        <f t="shared" si="143"/>
        <v>I9648</v>
      </c>
    </row>
    <row r="9160" spans="1:6" ht="22.5" x14ac:dyDescent="0.2">
      <c r="A9160" s="29" t="s">
        <v>21860</v>
      </c>
      <c r="B9160" s="30" t="s">
        <v>21861</v>
      </c>
      <c r="C9160" s="29" t="s">
        <v>26</v>
      </c>
      <c r="D9160" s="31">
        <v>6209.1</v>
      </c>
      <c r="F9160" s="3" t="str">
        <f t="shared" si="143"/>
        <v>I9642</v>
      </c>
    </row>
    <row r="9161" spans="1:6" ht="22.5" x14ac:dyDescent="0.2">
      <c r="A9161" s="29" t="s">
        <v>21862</v>
      </c>
      <c r="B9161" s="30" t="s">
        <v>21863</v>
      </c>
      <c r="C9161" s="29" t="s">
        <v>26</v>
      </c>
      <c r="D9161" s="31">
        <v>63417.99</v>
      </c>
      <c r="F9161" s="3" t="str">
        <f t="shared" si="143"/>
        <v>I9649</v>
      </c>
    </row>
    <row r="9162" spans="1:6" x14ac:dyDescent="0.2">
      <c r="A9162" s="29" t="s">
        <v>21864</v>
      </c>
      <c r="B9162" s="30" t="s">
        <v>21865</v>
      </c>
      <c r="C9162" s="29" t="s">
        <v>26</v>
      </c>
      <c r="D9162" s="31">
        <v>6857.71</v>
      </c>
      <c r="F9162" s="3" t="str">
        <f t="shared" si="143"/>
        <v>I9643</v>
      </c>
    </row>
    <row r="9163" spans="1:6" x14ac:dyDescent="0.2">
      <c r="A9163" s="29" t="s">
        <v>21866</v>
      </c>
      <c r="B9163" s="30" t="s">
        <v>21867</v>
      </c>
      <c r="C9163" s="29" t="s">
        <v>26</v>
      </c>
      <c r="D9163" s="31">
        <v>2122.5</v>
      </c>
      <c r="F9163" s="3" t="str">
        <f t="shared" si="143"/>
        <v>I9650</v>
      </c>
    </row>
    <row r="9164" spans="1:6" x14ac:dyDescent="0.2">
      <c r="A9164" s="29" t="s">
        <v>21868</v>
      </c>
      <c r="B9164" s="30" t="s">
        <v>21869</v>
      </c>
      <c r="C9164" s="29" t="s">
        <v>26</v>
      </c>
      <c r="D9164" s="31">
        <v>3236.01</v>
      </c>
      <c r="F9164" s="3" t="str">
        <f t="shared" si="143"/>
        <v>I9651</v>
      </c>
    </row>
    <row r="9165" spans="1:6" x14ac:dyDescent="0.2">
      <c r="A9165" s="29" t="s">
        <v>21870</v>
      </c>
      <c r="B9165" s="30" t="s">
        <v>21871</v>
      </c>
      <c r="C9165" s="29" t="s">
        <v>26</v>
      </c>
      <c r="D9165" s="31">
        <v>3530.87</v>
      </c>
      <c r="F9165" s="3" t="str">
        <f t="shared" si="143"/>
        <v>I9652</v>
      </c>
    </row>
    <row r="9166" spans="1:6" x14ac:dyDescent="0.2">
      <c r="A9166" s="29" t="s">
        <v>21872</v>
      </c>
      <c r="B9166" s="30" t="s">
        <v>21873</v>
      </c>
      <c r="C9166" s="29" t="s">
        <v>26</v>
      </c>
      <c r="D9166" s="31">
        <v>4142.47</v>
      </c>
      <c r="F9166" s="3" t="str">
        <f t="shared" si="143"/>
        <v>I9653</v>
      </c>
    </row>
    <row r="9167" spans="1:6" x14ac:dyDescent="0.2">
      <c r="A9167" s="29" t="s">
        <v>21874</v>
      </c>
      <c r="B9167" s="30" t="s">
        <v>21875</v>
      </c>
      <c r="C9167" s="29" t="s">
        <v>26</v>
      </c>
      <c r="D9167" s="31">
        <v>4534.8900000000003</v>
      </c>
      <c r="F9167" s="3" t="str">
        <f t="shared" si="143"/>
        <v>I9654</v>
      </c>
    </row>
    <row r="9168" spans="1:6" x14ac:dyDescent="0.2">
      <c r="A9168" s="29" t="s">
        <v>21876</v>
      </c>
      <c r="B9168" s="30" t="s">
        <v>21877</v>
      </c>
      <c r="C9168" s="29" t="s">
        <v>26</v>
      </c>
      <c r="D9168" s="31">
        <v>5379.37</v>
      </c>
      <c r="F9168" s="3" t="str">
        <f t="shared" si="143"/>
        <v>I9655</v>
      </c>
    </row>
    <row r="9169" spans="1:6" x14ac:dyDescent="0.2">
      <c r="A9169" s="29" t="s">
        <v>21878</v>
      </c>
      <c r="B9169" s="30" t="s">
        <v>21879</v>
      </c>
      <c r="C9169" s="29" t="s">
        <v>26</v>
      </c>
      <c r="D9169" s="31">
        <v>6131.12</v>
      </c>
      <c r="F9169" s="3" t="str">
        <f t="shared" si="143"/>
        <v>I9656</v>
      </c>
    </row>
    <row r="9170" spans="1:6" x14ac:dyDescent="0.2">
      <c r="A9170" s="29" t="s">
        <v>21880</v>
      </c>
      <c r="B9170" s="30" t="s">
        <v>21881</v>
      </c>
      <c r="C9170" s="29" t="s">
        <v>26</v>
      </c>
      <c r="D9170" s="31">
        <v>6616.27</v>
      </c>
      <c r="F9170" s="3" t="str">
        <f t="shared" si="143"/>
        <v>I9657</v>
      </c>
    </row>
    <row r="9171" spans="1:6" x14ac:dyDescent="0.2">
      <c r="A9171" s="29" t="s">
        <v>21882</v>
      </c>
      <c r="B9171" s="30" t="s">
        <v>21883</v>
      </c>
      <c r="C9171" s="29" t="s">
        <v>26</v>
      </c>
      <c r="D9171" s="31">
        <v>7234.71</v>
      </c>
      <c r="F9171" s="3" t="str">
        <f t="shared" si="143"/>
        <v>I9658</v>
      </c>
    </row>
    <row r="9172" spans="1:6" x14ac:dyDescent="0.2">
      <c r="A9172" s="29" t="s">
        <v>21884</v>
      </c>
      <c r="B9172" s="30" t="s">
        <v>21885</v>
      </c>
      <c r="C9172" s="29" t="s">
        <v>26</v>
      </c>
      <c r="D9172" s="31">
        <v>13130.32</v>
      </c>
      <c r="F9172" s="3" t="str">
        <f t="shared" si="143"/>
        <v>I9659</v>
      </c>
    </row>
    <row r="9173" spans="1:6" x14ac:dyDescent="0.2">
      <c r="A9173" s="29" t="s">
        <v>21886</v>
      </c>
      <c r="B9173" s="30" t="s">
        <v>21887</v>
      </c>
      <c r="C9173" s="29" t="s">
        <v>26</v>
      </c>
      <c r="D9173" s="31">
        <v>16866.650000000001</v>
      </c>
      <c r="F9173" s="3" t="str">
        <f t="shared" si="143"/>
        <v>I9660</v>
      </c>
    </row>
    <row r="9174" spans="1:6" x14ac:dyDescent="0.2">
      <c r="A9174" s="29" t="s">
        <v>21888</v>
      </c>
      <c r="B9174" s="30" t="s">
        <v>21889</v>
      </c>
      <c r="C9174" s="29" t="s">
        <v>26</v>
      </c>
      <c r="D9174" s="31">
        <v>20602.96</v>
      </c>
      <c r="F9174" s="3" t="str">
        <f t="shared" si="143"/>
        <v>I9661</v>
      </c>
    </row>
    <row r="9175" spans="1:6" x14ac:dyDescent="0.2">
      <c r="A9175" s="29" t="s">
        <v>21890</v>
      </c>
      <c r="B9175" s="30" t="s">
        <v>21891</v>
      </c>
      <c r="C9175" s="29" t="s">
        <v>26</v>
      </c>
      <c r="D9175" s="31">
        <v>21249.91</v>
      </c>
      <c r="F9175" s="3" t="str">
        <f t="shared" si="143"/>
        <v>I9662</v>
      </c>
    </row>
    <row r="9176" spans="1:6" x14ac:dyDescent="0.2">
      <c r="A9176" s="29" t="s">
        <v>21892</v>
      </c>
      <c r="B9176" s="30" t="s">
        <v>21893</v>
      </c>
      <c r="C9176" s="29" t="s">
        <v>26</v>
      </c>
      <c r="D9176" s="31">
        <v>21896.87</v>
      </c>
      <c r="F9176" s="3" t="str">
        <f t="shared" si="143"/>
        <v>I9663</v>
      </c>
    </row>
    <row r="9177" spans="1:6" x14ac:dyDescent="0.2">
      <c r="A9177" s="29" t="s">
        <v>21894</v>
      </c>
      <c r="B9177" s="30" t="s">
        <v>21895</v>
      </c>
      <c r="C9177" s="29" t="s">
        <v>26</v>
      </c>
      <c r="D9177" s="31">
        <v>22543.82</v>
      </c>
      <c r="F9177" s="3" t="str">
        <f t="shared" si="143"/>
        <v>I9664</v>
      </c>
    </row>
    <row r="9178" spans="1:6" x14ac:dyDescent="0.2">
      <c r="A9178" s="29" t="s">
        <v>21896</v>
      </c>
      <c r="B9178" s="30" t="s">
        <v>21897</v>
      </c>
      <c r="C9178" s="29" t="s">
        <v>26</v>
      </c>
      <c r="D9178" s="31">
        <v>23085.02</v>
      </c>
      <c r="F9178" s="3" t="str">
        <f t="shared" si="143"/>
        <v>I9665</v>
      </c>
    </row>
    <row r="9179" spans="1:6" x14ac:dyDescent="0.2">
      <c r="A9179" s="29" t="s">
        <v>21898</v>
      </c>
      <c r="B9179" s="30" t="s">
        <v>21899</v>
      </c>
      <c r="C9179" s="29" t="s">
        <v>26</v>
      </c>
      <c r="D9179" s="31">
        <v>23626.22</v>
      </c>
      <c r="F9179" s="3" t="str">
        <f t="shared" si="143"/>
        <v>I9666</v>
      </c>
    </row>
    <row r="9180" spans="1:6" x14ac:dyDescent="0.2">
      <c r="A9180" s="29" t="s">
        <v>21900</v>
      </c>
      <c r="B9180" s="30" t="s">
        <v>21901</v>
      </c>
      <c r="C9180" s="29" t="s">
        <v>26</v>
      </c>
      <c r="D9180" s="31">
        <v>25986.98</v>
      </c>
      <c r="F9180" s="3" t="str">
        <f t="shared" si="143"/>
        <v>I9667</v>
      </c>
    </row>
    <row r="9181" spans="1:6" x14ac:dyDescent="0.2">
      <c r="A9181" s="29" t="s">
        <v>21902</v>
      </c>
      <c r="B9181" s="30" t="s">
        <v>21903</v>
      </c>
      <c r="C9181" s="29" t="s">
        <v>26</v>
      </c>
      <c r="D9181" s="31">
        <v>27167.360000000001</v>
      </c>
      <c r="F9181" s="3" t="str">
        <f t="shared" si="143"/>
        <v>I9668</v>
      </c>
    </row>
    <row r="9182" spans="1:6" x14ac:dyDescent="0.2">
      <c r="A9182" s="29" t="s">
        <v>21904</v>
      </c>
      <c r="B9182" s="30" t="s">
        <v>21905</v>
      </c>
      <c r="C9182" s="29" t="s">
        <v>26</v>
      </c>
      <c r="D9182" s="31">
        <v>28347.74</v>
      </c>
      <c r="F9182" s="3" t="str">
        <f t="shared" si="143"/>
        <v>I9669</v>
      </c>
    </row>
    <row r="9183" spans="1:6" x14ac:dyDescent="0.2">
      <c r="A9183" s="29" t="s">
        <v>21906</v>
      </c>
      <c r="B9183" s="30" t="s">
        <v>21907</v>
      </c>
      <c r="C9183" s="29" t="s">
        <v>26</v>
      </c>
      <c r="D9183" s="31">
        <v>35577.440000000002</v>
      </c>
      <c r="F9183" s="3" t="str">
        <f t="shared" si="143"/>
        <v>I9670</v>
      </c>
    </row>
    <row r="9184" spans="1:6" x14ac:dyDescent="0.2">
      <c r="A9184" s="29" t="s">
        <v>21908</v>
      </c>
      <c r="B9184" s="30" t="s">
        <v>21909</v>
      </c>
      <c r="C9184" s="29" t="s">
        <v>26</v>
      </c>
      <c r="D9184" s="31">
        <v>36513.86</v>
      </c>
      <c r="F9184" s="3" t="str">
        <f t="shared" si="143"/>
        <v>I9671</v>
      </c>
    </row>
    <row r="9185" spans="1:6" x14ac:dyDescent="0.2">
      <c r="A9185" s="29" t="s">
        <v>21910</v>
      </c>
      <c r="B9185" s="30" t="s">
        <v>21911</v>
      </c>
      <c r="C9185" s="29" t="s">
        <v>26</v>
      </c>
      <c r="D9185" s="31">
        <v>37450.28</v>
      </c>
      <c r="F9185" s="3" t="str">
        <f t="shared" si="143"/>
        <v>I9672</v>
      </c>
    </row>
    <row r="9186" spans="1:6" x14ac:dyDescent="0.2">
      <c r="A9186" s="29" t="s">
        <v>21912</v>
      </c>
      <c r="B9186" s="30" t="s">
        <v>21913</v>
      </c>
      <c r="C9186" s="29" t="s">
        <v>26</v>
      </c>
      <c r="D9186" s="31">
        <v>38386.71</v>
      </c>
      <c r="F9186" s="3" t="str">
        <f t="shared" si="143"/>
        <v>I9673</v>
      </c>
    </row>
    <row r="9187" spans="1:6" x14ac:dyDescent="0.2">
      <c r="A9187" s="29" t="s">
        <v>21914</v>
      </c>
      <c r="B9187" s="30" t="s">
        <v>21915</v>
      </c>
      <c r="C9187" s="29" t="s">
        <v>26</v>
      </c>
      <c r="D9187" s="31">
        <v>44183.14</v>
      </c>
      <c r="F9187" s="3" t="str">
        <f t="shared" si="143"/>
        <v>I9674</v>
      </c>
    </row>
    <row r="9188" spans="1:6" x14ac:dyDescent="0.2">
      <c r="A9188" s="29" t="s">
        <v>21916</v>
      </c>
      <c r="B9188" s="30" t="s">
        <v>21917</v>
      </c>
      <c r="C9188" s="29" t="s">
        <v>26</v>
      </c>
      <c r="D9188" s="31">
        <v>50079.26</v>
      </c>
      <c r="F9188" s="3" t="str">
        <f t="shared" si="143"/>
        <v>I9675</v>
      </c>
    </row>
    <row r="9189" spans="1:6" x14ac:dyDescent="0.2">
      <c r="A9189" s="29" t="s">
        <v>21918</v>
      </c>
      <c r="B9189" s="30" t="s">
        <v>21919</v>
      </c>
      <c r="C9189" s="29" t="s">
        <v>26</v>
      </c>
      <c r="D9189" s="31">
        <v>54802.68</v>
      </c>
      <c r="F9189" s="3" t="str">
        <f t="shared" si="143"/>
        <v>I9676</v>
      </c>
    </row>
    <row r="9190" spans="1:6" x14ac:dyDescent="0.2">
      <c r="A9190" s="29" t="s">
        <v>21920</v>
      </c>
      <c r="B9190" s="30" t="s">
        <v>21921</v>
      </c>
      <c r="C9190" s="29" t="s">
        <v>26</v>
      </c>
      <c r="D9190" s="31">
        <v>59526.080000000002</v>
      </c>
      <c r="F9190" s="3" t="str">
        <f t="shared" si="143"/>
        <v>I9677</v>
      </c>
    </row>
    <row r="9191" spans="1:6" x14ac:dyDescent="0.2">
      <c r="A9191" s="29" t="s">
        <v>21922</v>
      </c>
      <c r="B9191" s="30" t="s">
        <v>21923</v>
      </c>
      <c r="C9191" s="29" t="s">
        <v>26</v>
      </c>
      <c r="D9191" s="31">
        <v>68685.88</v>
      </c>
      <c r="F9191" s="3" t="str">
        <f t="shared" si="143"/>
        <v>I9678</v>
      </c>
    </row>
    <row r="9192" spans="1:6" x14ac:dyDescent="0.2">
      <c r="A9192" s="29" t="s">
        <v>21924</v>
      </c>
      <c r="B9192" s="30" t="s">
        <v>21925</v>
      </c>
      <c r="C9192" s="29" t="s">
        <v>26</v>
      </c>
      <c r="D9192" s="31">
        <v>83337.09</v>
      </c>
      <c r="F9192" s="3" t="str">
        <f t="shared" si="143"/>
        <v>I9679</v>
      </c>
    </row>
    <row r="9193" spans="1:6" x14ac:dyDescent="0.2">
      <c r="A9193" s="29" t="s">
        <v>21926</v>
      </c>
      <c r="B9193" s="30" t="s">
        <v>21927</v>
      </c>
      <c r="C9193" s="29" t="s">
        <v>26</v>
      </c>
      <c r="D9193" s="31">
        <v>97988.28</v>
      </c>
      <c r="F9193" s="3" t="str">
        <f t="shared" si="143"/>
        <v>I9680</v>
      </c>
    </row>
    <row r="9194" spans="1:6" x14ac:dyDescent="0.2">
      <c r="A9194" s="29" t="s">
        <v>21928</v>
      </c>
      <c r="B9194" s="30" t="s">
        <v>21929</v>
      </c>
      <c r="C9194" s="29" t="s">
        <v>26</v>
      </c>
      <c r="D9194" s="31">
        <v>112639.49</v>
      </c>
      <c r="F9194" s="3" t="str">
        <f t="shared" si="143"/>
        <v>I9681</v>
      </c>
    </row>
    <row r="9195" spans="1:6" x14ac:dyDescent="0.2">
      <c r="A9195" s="29" t="s">
        <v>21930</v>
      </c>
      <c r="B9195" s="30" t="s">
        <v>21931</v>
      </c>
      <c r="C9195" s="29" t="s">
        <v>26</v>
      </c>
      <c r="D9195" s="31">
        <v>84.18</v>
      </c>
      <c r="F9195" s="3" t="str">
        <f t="shared" si="143"/>
        <v>I8516</v>
      </c>
    </row>
    <row r="9196" spans="1:6" x14ac:dyDescent="0.2">
      <c r="A9196" s="29" t="s">
        <v>21932</v>
      </c>
      <c r="B9196" s="30" t="s">
        <v>21933</v>
      </c>
      <c r="C9196" s="29" t="s">
        <v>26</v>
      </c>
      <c r="D9196" s="31">
        <v>11.08</v>
      </c>
      <c r="F9196" s="3" t="str">
        <f t="shared" si="143"/>
        <v>I9682</v>
      </c>
    </row>
    <row r="9197" spans="1:6" x14ac:dyDescent="0.2">
      <c r="A9197" s="29" t="s">
        <v>21934</v>
      </c>
      <c r="B9197" s="30" t="s">
        <v>21935</v>
      </c>
      <c r="C9197" s="29" t="s">
        <v>26</v>
      </c>
      <c r="D9197" s="31">
        <v>22.29</v>
      </c>
      <c r="F9197" s="3" t="str">
        <f t="shared" si="143"/>
        <v>I9683</v>
      </c>
    </row>
    <row r="9198" spans="1:6" ht="33.75" x14ac:dyDescent="0.2">
      <c r="A9198" s="29" t="s">
        <v>21936</v>
      </c>
      <c r="B9198" s="30" t="s">
        <v>21937</v>
      </c>
      <c r="C9198" s="29" t="s">
        <v>26</v>
      </c>
      <c r="D9198" s="31">
        <v>2203.13</v>
      </c>
      <c r="F9198" s="3" t="str">
        <f t="shared" si="143"/>
        <v>I9685</v>
      </c>
    </row>
    <row r="9199" spans="1:6" ht="22.5" x14ac:dyDescent="0.2">
      <c r="A9199" s="29" t="s">
        <v>21938</v>
      </c>
      <c r="B9199" s="30" t="s">
        <v>21939</v>
      </c>
      <c r="C9199" s="29" t="s">
        <v>26</v>
      </c>
      <c r="D9199" s="31">
        <v>17777.59</v>
      </c>
      <c r="F9199" s="3" t="str">
        <f t="shared" si="143"/>
        <v>I8868</v>
      </c>
    </row>
    <row r="9200" spans="1:6" ht="22.5" x14ac:dyDescent="0.2">
      <c r="A9200" s="29" t="s">
        <v>21940</v>
      </c>
      <c r="B9200" s="30" t="s">
        <v>21941</v>
      </c>
      <c r="C9200" s="29" t="s">
        <v>26</v>
      </c>
      <c r="D9200" s="31">
        <v>1795.72</v>
      </c>
      <c r="F9200" s="3" t="str">
        <f t="shared" si="143"/>
        <v>I9688</v>
      </c>
    </row>
    <row r="9201" spans="1:6" x14ac:dyDescent="0.2">
      <c r="A9201" s="29" t="s">
        <v>21942</v>
      </c>
      <c r="B9201" s="30" t="s">
        <v>21943</v>
      </c>
      <c r="C9201" s="29" t="s">
        <v>26</v>
      </c>
      <c r="D9201" s="31">
        <v>16.07</v>
      </c>
      <c r="F9201" s="3" t="str">
        <f t="shared" si="143"/>
        <v>I8519</v>
      </c>
    </row>
    <row r="9202" spans="1:6" x14ac:dyDescent="0.2">
      <c r="A9202" s="29" t="s">
        <v>21944</v>
      </c>
      <c r="B9202" s="30" t="s">
        <v>21945</v>
      </c>
      <c r="C9202" s="29" t="s">
        <v>26</v>
      </c>
      <c r="D9202" s="31">
        <v>26.03</v>
      </c>
      <c r="F9202" s="3" t="str">
        <f t="shared" si="143"/>
        <v>I8520</v>
      </c>
    </row>
    <row r="9203" spans="1:6" x14ac:dyDescent="0.2">
      <c r="A9203" s="29" t="s">
        <v>21946</v>
      </c>
      <c r="B9203" s="30" t="s">
        <v>21947</v>
      </c>
      <c r="C9203" s="29" t="s">
        <v>26</v>
      </c>
      <c r="D9203" s="31">
        <v>90.54</v>
      </c>
      <c r="F9203" s="3" t="str">
        <f t="shared" si="143"/>
        <v>I9689</v>
      </c>
    </row>
    <row r="9204" spans="1:6" x14ac:dyDescent="0.2">
      <c r="A9204" s="29" t="s">
        <v>21948</v>
      </c>
      <c r="B9204" s="30" t="s">
        <v>21949</v>
      </c>
      <c r="C9204" s="29" t="s">
        <v>26</v>
      </c>
      <c r="D9204" s="31">
        <v>322.33999999999997</v>
      </c>
      <c r="F9204" s="3" t="str">
        <f t="shared" si="143"/>
        <v>I9690</v>
      </c>
    </row>
    <row r="9205" spans="1:6" x14ac:dyDescent="0.2">
      <c r="A9205" s="29" t="s">
        <v>21950</v>
      </c>
      <c r="B9205" s="30" t="s">
        <v>21951</v>
      </c>
      <c r="C9205" s="29" t="s">
        <v>26</v>
      </c>
      <c r="D9205" s="31">
        <v>102.69</v>
      </c>
      <c r="F9205" s="3" t="str">
        <f t="shared" si="143"/>
        <v>I9691</v>
      </c>
    </row>
    <row r="9206" spans="1:6" x14ac:dyDescent="0.2">
      <c r="A9206" s="29" t="s">
        <v>21952</v>
      </c>
      <c r="B9206" s="30" t="s">
        <v>21953</v>
      </c>
      <c r="C9206" s="29" t="s">
        <v>26</v>
      </c>
      <c r="D9206" s="31">
        <v>267.8</v>
      </c>
      <c r="F9206" s="3" t="str">
        <f t="shared" si="143"/>
        <v>I9692</v>
      </c>
    </row>
    <row r="9207" spans="1:6" x14ac:dyDescent="0.2">
      <c r="A9207" s="29" t="s">
        <v>21954</v>
      </c>
      <c r="B9207" s="30" t="s">
        <v>21955</v>
      </c>
      <c r="C9207" s="29" t="s">
        <v>26</v>
      </c>
      <c r="D9207" s="31">
        <v>62.27</v>
      </c>
      <c r="F9207" s="3" t="str">
        <f t="shared" si="143"/>
        <v>I9693</v>
      </c>
    </row>
    <row r="9208" spans="1:6" x14ac:dyDescent="0.2">
      <c r="A9208" s="29" t="s">
        <v>21956</v>
      </c>
      <c r="B9208" s="30" t="s">
        <v>21957</v>
      </c>
      <c r="C9208" s="29" t="s">
        <v>26</v>
      </c>
      <c r="D9208" s="31">
        <v>703.04</v>
      </c>
      <c r="F9208" s="3" t="str">
        <f t="shared" si="143"/>
        <v>I4882</v>
      </c>
    </row>
    <row r="9209" spans="1:6" x14ac:dyDescent="0.2">
      <c r="A9209" s="29" t="s">
        <v>21958</v>
      </c>
      <c r="B9209" s="30" t="s">
        <v>21959</v>
      </c>
      <c r="C9209" s="29" t="s">
        <v>26</v>
      </c>
      <c r="D9209" s="31">
        <v>862.68</v>
      </c>
      <c r="F9209" s="3" t="str">
        <f t="shared" si="143"/>
        <v>I4883</v>
      </c>
    </row>
    <row r="9210" spans="1:6" x14ac:dyDescent="0.2">
      <c r="A9210" s="29" t="s">
        <v>21960</v>
      </c>
      <c r="B9210" s="30" t="s">
        <v>21961</v>
      </c>
      <c r="C9210" s="29" t="s">
        <v>26</v>
      </c>
      <c r="D9210" s="31">
        <v>1018.53</v>
      </c>
      <c r="F9210" s="3" t="str">
        <f t="shared" si="143"/>
        <v>I4884</v>
      </c>
    </row>
    <row r="9211" spans="1:6" x14ac:dyDescent="0.2">
      <c r="A9211" s="29" t="s">
        <v>21962</v>
      </c>
      <c r="B9211" s="30" t="s">
        <v>21963</v>
      </c>
      <c r="C9211" s="29" t="s">
        <v>26</v>
      </c>
      <c r="D9211" s="31">
        <v>1836.68</v>
      </c>
      <c r="F9211" s="3" t="str">
        <f t="shared" si="143"/>
        <v>I4885</v>
      </c>
    </row>
    <row r="9212" spans="1:6" x14ac:dyDescent="0.2">
      <c r="A9212" s="29" t="s">
        <v>21964</v>
      </c>
      <c r="B9212" s="30" t="s">
        <v>21965</v>
      </c>
      <c r="C9212" s="29" t="s">
        <v>26</v>
      </c>
      <c r="D9212" s="31">
        <v>2448.9</v>
      </c>
      <c r="F9212" s="3" t="str">
        <f t="shared" si="143"/>
        <v>I4886</v>
      </c>
    </row>
    <row r="9213" spans="1:6" x14ac:dyDescent="0.2">
      <c r="A9213" s="29" t="s">
        <v>21966</v>
      </c>
      <c r="B9213" s="30" t="s">
        <v>21967</v>
      </c>
      <c r="C9213" s="29" t="s">
        <v>26</v>
      </c>
      <c r="D9213" s="31">
        <v>3061.14</v>
      </c>
      <c r="F9213" s="3" t="str">
        <f t="shared" si="143"/>
        <v>I4887</v>
      </c>
    </row>
    <row r="9214" spans="1:6" x14ac:dyDescent="0.2">
      <c r="A9214" s="29" t="s">
        <v>21968</v>
      </c>
      <c r="B9214" s="30" t="s">
        <v>21969</v>
      </c>
      <c r="C9214" s="29" t="s">
        <v>26</v>
      </c>
      <c r="D9214" s="31">
        <v>3673.36</v>
      </c>
      <c r="F9214" s="3" t="str">
        <f t="shared" si="143"/>
        <v>I4888</v>
      </c>
    </row>
    <row r="9215" spans="1:6" x14ac:dyDescent="0.2">
      <c r="A9215" s="29" t="s">
        <v>21970</v>
      </c>
      <c r="B9215" s="30" t="s">
        <v>21971</v>
      </c>
      <c r="C9215" s="29" t="s">
        <v>26</v>
      </c>
      <c r="D9215" s="31">
        <v>4821.3</v>
      </c>
      <c r="F9215" s="3" t="str">
        <f t="shared" si="143"/>
        <v>I4889</v>
      </c>
    </row>
    <row r="9216" spans="1:6" x14ac:dyDescent="0.2">
      <c r="A9216" s="29" t="s">
        <v>21972</v>
      </c>
      <c r="B9216" s="30" t="s">
        <v>21973</v>
      </c>
      <c r="C9216" s="29" t="s">
        <v>26</v>
      </c>
      <c r="D9216" s="31">
        <v>5217.84</v>
      </c>
      <c r="F9216" s="3" t="str">
        <f t="shared" si="143"/>
        <v>I4890</v>
      </c>
    </row>
    <row r="9217" spans="1:6" x14ac:dyDescent="0.2">
      <c r="A9217" s="29" t="s">
        <v>21974</v>
      </c>
      <c r="B9217" s="30" t="s">
        <v>21975</v>
      </c>
      <c r="C9217" s="29" t="s">
        <v>26</v>
      </c>
      <c r="D9217" s="31">
        <v>7402.37</v>
      </c>
      <c r="F9217" s="3" t="str">
        <f t="shared" si="143"/>
        <v>I4891</v>
      </c>
    </row>
    <row r="9218" spans="1:6" x14ac:dyDescent="0.2">
      <c r="A9218" s="29" t="s">
        <v>21976</v>
      </c>
      <c r="B9218" s="30" t="s">
        <v>21977</v>
      </c>
      <c r="C9218" s="29" t="s">
        <v>26</v>
      </c>
      <c r="D9218" s="31">
        <v>534.30999999999995</v>
      </c>
      <c r="F9218" s="3" t="str">
        <f t="shared" ref="F9218:F9281" si="144">A9218</f>
        <v>I4881</v>
      </c>
    </row>
    <row r="9219" spans="1:6" x14ac:dyDescent="0.2">
      <c r="A9219" s="29" t="s">
        <v>21978</v>
      </c>
      <c r="B9219" s="30" t="s">
        <v>21979</v>
      </c>
      <c r="C9219" s="29" t="s">
        <v>26</v>
      </c>
      <c r="D9219" s="31">
        <v>534.30999999999995</v>
      </c>
      <c r="F9219" s="3" t="str">
        <f t="shared" si="144"/>
        <v>I10329</v>
      </c>
    </row>
    <row r="9220" spans="1:6" x14ac:dyDescent="0.2">
      <c r="A9220" s="29" t="s">
        <v>21980</v>
      </c>
      <c r="B9220" s="30" t="s">
        <v>21981</v>
      </c>
      <c r="C9220" s="29" t="s">
        <v>26</v>
      </c>
      <c r="D9220" s="31">
        <v>11387.61</v>
      </c>
      <c r="F9220" s="3" t="str">
        <f t="shared" si="144"/>
        <v>I13197</v>
      </c>
    </row>
    <row r="9221" spans="1:6" x14ac:dyDescent="0.2">
      <c r="A9221" s="29" t="s">
        <v>21982</v>
      </c>
      <c r="B9221" s="30" t="s">
        <v>21983</v>
      </c>
      <c r="C9221" s="29" t="s">
        <v>26</v>
      </c>
      <c r="D9221" s="31">
        <v>17143.3</v>
      </c>
      <c r="F9221" s="3" t="str">
        <f t="shared" si="144"/>
        <v>I13198</v>
      </c>
    </row>
    <row r="9222" spans="1:6" x14ac:dyDescent="0.2">
      <c r="A9222" s="29" t="s">
        <v>21984</v>
      </c>
      <c r="B9222" s="30" t="s">
        <v>21985</v>
      </c>
      <c r="C9222" s="29" t="s">
        <v>26</v>
      </c>
      <c r="D9222" s="31">
        <v>202.03</v>
      </c>
      <c r="F9222" s="3" t="str">
        <f t="shared" si="144"/>
        <v>I13192</v>
      </c>
    </row>
    <row r="9223" spans="1:6" x14ac:dyDescent="0.2">
      <c r="A9223" s="29" t="s">
        <v>21986</v>
      </c>
      <c r="B9223" s="30" t="s">
        <v>21987</v>
      </c>
      <c r="C9223" s="29" t="s">
        <v>26</v>
      </c>
      <c r="D9223" s="31">
        <v>575.36</v>
      </c>
      <c r="F9223" s="3" t="str">
        <f t="shared" si="144"/>
        <v>I13193</v>
      </c>
    </row>
    <row r="9224" spans="1:6" x14ac:dyDescent="0.2">
      <c r="A9224" s="29" t="s">
        <v>21988</v>
      </c>
      <c r="B9224" s="30" t="s">
        <v>21989</v>
      </c>
      <c r="C9224" s="29" t="s">
        <v>26</v>
      </c>
      <c r="D9224" s="31">
        <v>980.3</v>
      </c>
      <c r="F9224" s="3" t="str">
        <f t="shared" si="144"/>
        <v>I13194</v>
      </c>
    </row>
    <row r="9225" spans="1:6" x14ac:dyDescent="0.2">
      <c r="A9225" s="29" t="s">
        <v>21990</v>
      </c>
      <c r="B9225" s="30" t="s">
        <v>21991</v>
      </c>
      <c r="C9225" s="29" t="s">
        <v>26</v>
      </c>
      <c r="D9225" s="31">
        <v>2281.34</v>
      </c>
      <c r="F9225" s="3" t="str">
        <f t="shared" si="144"/>
        <v>I13195</v>
      </c>
    </row>
    <row r="9226" spans="1:6" x14ac:dyDescent="0.2">
      <c r="A9226" s="29" t="s">
        <v>21992</v>
      </c>
      <c r="B9226" s="30" t="s">
        <v>21993</v>
      </c>
      <c r="C9226" s="29" t="s">
        <v>26</v>
      </c>
      <c r="D9226" s="31">
        <v>6745.92</v>
      </c>
      <c r="F9226" s="3" t="str">
        <f t="shared" si="144"/>
        <v>I13196</v>
      </c>
    </row>
    <row r="9227" spans="1:6" x14ac:dyDescent="0.2">
      <c r="A9227" s="29" t="s">
        <v>21994</v>
      </c>
      <c r="B9227" s="30" t="s">
        <v>21995</v>
      </c>
      <c r="C9227" s="29" t="s">
        <v>26</v>
      </c>
      <c r="D9227" s="31">
        <v>114.96</v>
      </c>
      <c r="F9227" s="3" t="str">
        <f t="shared" si="144"/>
        <v>I9695</v>
      </c>
    </row>
    <row r="9228" spans="1:6" x14ac:dyDescent="0.2">
      <c r="A9228" s="29" t="s">
        <v>21996</v>
      </c>
      <c r="B9228" s="30" t="s">
        <v>21997</v>
      </c>
      <c r="C9228" s="29" t="s">
        <v>26</v>
      </c>
      <c r="D9228" s="31">
        <v>703.76</v>
      </c>
      <c r="F9228" s="3" t="str">
        <f t="shared" si="144"/>
        <v>I9696</v>
      </c>
    </row>
    <row r="9229" spans="1:6" x14ac:dyDescent="0.2">
      <c r="A9229" s="29" t="s">
        <v>21998</v>
      </c>
      <c r="B9229" s="30" t="s">
        <v>21999</v>
      </c>
      <c r="C9229" s="29" t="s">
        <v>26</v>
      </c>
      <c r="D9229" s="31">
        <v>52.88</v>
      </c>
      <c r="F9229" s="3" t="str">
        <f t="shared" si="144"/>
        <v>I8073</v>
      </c>
    </row>
    <row r="9230" spans="1:6" x14ac:dyDescent="0.2">
      <c r="A9230" s="29" t="s">
        <v>22000</v>
      </c>
      <c r="B9230" s="30" t="s">
        <v>22001</v>
      </c>
      <c r="C9230" s="29" t="s">
        <v>26</v>
      </c>
      <c r="D9230" s="31">
        <v>43.38</v>
      </c>
      <c r="F9230" s="3" t="str">
        <f t="shared" si="144"/>
        <v>I3106</v>
      </c>
    </row>
    <row r="9231" spans="1:6" x14ac:dyDescent="0.2">
      <c r="A9231" s="29" t="s">
        <v>22002</v>
      </c>
      <c r="B9231" s="30" t="s">
        <v>22003</v>
      </c>
      <c r="C9231" s="29" t="s">
        <v>26</v>
      </c>
      <c r="D9231" s="31">
        <v>51.95</v>
      </c>
      <c r="F9231" s="3" t="str">
        <f t="shared" si="144"/>
        <v>I8026</v>
      </c>
    </row>
    <row r="9232" spans="1:6" x14ac:dyDescent="0.2">
      <c r="A9232" s="29" t="s">
        <v>22004</v>
      </c>
      <c r="B9232" s="30" t="s">
        <v>22005</v>
      </c>
      <c r="C9232" s="29" t="s">
        <v>26</v>
      </c>
      <c r="D9232" s="31">
        <v>26.5</v>
      </c>
      <c r="F9232" s="3" t="str">
        <f t="shared" si="144"/>
        <v>I3105</v>
      </c>
    </row>
    <row r="9233" spans="1:6" x14ac:dyDescent="0.2">
      <c r="A9233" s="29" t="s">
        <v>22006</v>
      </c>
      <c r="B9233" s="30" t="s">
        <v>22007</v>
      </c>
      <c r="C9233" s="29" t="s">
        <v>26</v>
      </c>
      <c r="D9233" s="31">
        <v>861.81</v>
      </c>
      <c r="F9233" s="3" t="str">
        <f t="shared" si="144"/>
        <v>I9697</v>
      </c>
    </row>
    <row r="9234" spans="1:6" x14ac:dyDescent="0.2">
      <c r="A9234" s="29" t="s">
        <v>22008</v>
      </c>
      <c r="B9234" s="30" t="s">
        <v>22009</v>
      </c>
      <c r="C9234" s="29" t="s">
        <v>26</v>
      </c>
      <c r="D9234" s="31">
        <v>7428.12</v>
      </c>
      <c r="F9234" s="3" t="str">
        <f t="shared" si="144"/>
        <v>I10557</v>
      </c>
    </row>
    <row r="9235" spans="1:6" x14ac:dyDescent="0.2">
      <c r="A9235" s="29" t="s">
        <v>22010</v>
      </c>
      <c r="B9235" s="30" t="s">
        <v>22011</v>
      </c>
      <c r="C9235" s="29" t="s">
        <v>26</v>
      </c>
      <c r="D9235" s="31">
        <v>9903.19</v>
      </c>
      <c r="F9235" s="3" t="str">
        <f t="shared" si="144"/>
        <v>I10558</v>
      </c>
    </row>
    <row r="9236" spans="1:6" x14ac:dyDescent="0.2">
      <c r="A9236" s="29" t="s">
        <v>22012</v>
      </c>
      <c r="B9236" s="30" t="s">
        <v>22013</v>
      </c>
      <c r="C9236" s="29" t="s">
        <v>26</v>
      </c>
      <c r="D9236" s="31">
        <v>13046.86</v>
      </c>
      <c r="F9236" s="3" t="str">
        <f t="shared" si="144"/>
        <v>I10559</v>
      </c>
    </row>
    <row r="9237" spans="1:6" x14ac:dyDescent="0.2">
      <c r="A9237" s="29" t="s">
        <v>22014</v>
      </c>
      <c r="B9237" s="30" t="s">
        <v>22015</v>
      </c>
      <c r="C9237" s="29" t="s">
        <v>26</v>
      </c>
      <c r="D9237" s="31">
        <v>6611.46</v>
      </c>
      <c r="F9237" s="3" t="str">
        <f t="shared" si="144"/>
        <v>I10556</v>
      </c>
    </row>
    <row r="9238" spans="1:6" x14ac:dyDescent="0.2">
      <c r="A9238" s="29" t="s">
        <v>22016</v>
      </c>
      <c r="B9238" s="30" t="s">
        <v>22017</v>
      </c>
      <c r="C9238" s="29" t="s">
        <v>26</v>
      </c>
      <c r="D9238" s="31">
        <v>9476.82</v>
      </c>
      <c r="F9238" s="3" t="str">
        <f t="shared" si="144"/>
        <v>I10561</v>
      </c>
    </row>
    <row r="9239" spans="1:6" x14ac:dyDescent="0.2">
      <c r="A9239" s="29" t="s">
        <v>22018</v>
      </c>
      <c r="B9239" s="30" t="s">
        <v>22019</v>
      </c>
      <c r="C9239" s="29" t="s">
        <v>26</v>
      </c>
      <c r="D9239" s="31">
        <v>11646.65</v>
      </c>
      <c r="F9239" s="3" t="str">
        <f t="shared" si="144"/>
        <v>I10562</v>
      </c>
    </row>
    <row r="9240" spans="1:6" x14ac:dyDescent="0.2">
      <c r="A9240" s="29" t="s">
        <v>22020</v>
      </c>
      <c r="B9240" s="30" t="s">
        <v>22021</v>
      </c>
      <c r="C9240" s="29" t="s">
        <v>26</v>
      </c>
      <c r="D9240" s="31">
        <v>27470.83</v>
      </c>
      <c r="F9240" s="3" t="str">
        <f t="shared" si="144"/>
        <v>I7869</v>
      </c>
    </row>
    <row r="9241" spans="1:6" x14ac:dyDescent="0.2">
      <c r="A9241" s="29" t="s">
        <v>22022</v>
      </c>
      <c r="B9241" s="30" t="s">
        <v>22023</v>
      </c>
      <c r="C9241" s="29" t="s">
        <v>26</v>
      </c>
      <c r="D9241" s="31">
        <v>9355.1200000000008</v>
      </c>
      <c r="F9241" s="3" t="str">
        <f t="shared" si="144"/>
        <v>I10560</v>
      </c>
    </row>
    <row r="9242" spans="1:6" x14ac:dyDescent="0.2">
      <c r="A9242" s="29" t="s">
        <v>22024</v>
      </c>
      <c r="B9242" s="30" t="s">
        <v>22025</v>
      </c>
      <c r="C9242" s="29" t="s">
        <v>26</v>
      </c>
      <c r="D9242" s="31">
        <v>12774.93</v>
      </c>
      <c r="F9242" s="3" t="str">
        <f t="shared" si="144"/>
        <v>I10564</v>
      </c>
    </row>
    <row r="9243" spans="1:6" x14ac:dyDescent="0.2">
      <c r="A9243" s="29" t="s">
        <v>22026</v>
      </c>
      <c r="B9243" s="30" t="s">
        <v>22027</v>
      </c>
      <c r="C9243" s="29" t="s">
        <v>26</v>
      </c>
      <c r="D9243" s="31">
        <v>24542.92</v>
      </c>
      <c r="F9243" s="3" t="str">
        <f t="shared" si="144"/>
        <v>I10565</v>
      </c>
    </row>
    <row r="9244" spans="1:6" x14ac:dyDescent="0.2">
      <c r="A9244" s="29" t="s">
        <v>22028</v>
      </c>
      <c r="B9244" s="30" t="s">
        <v>22029</v>
      </c>
      <c r="C9244" s="29" t="s">
        <v>26</v>
      </c>
      <c r="D9244" s="31">
        <v>31151.09</v>
      </c>
      <c r="F9244" s="3" t="str">
        <f t="shared" si="144"/>
        <v>I7870</v>
      </c>
    </row>
    <row r="9245" spans="1:6" x14ac:dyDescent="0.2">
      <c r="A9245" s="29" t="s">
        <v>22030</v>
      </c>
      <c r="B9245" s="30" t="s">
        <v>22031</v>
      </c>
      <c r="C9245" s="29" t="s">
        <v>26</v>
      </c>
      <c r="D9245" s="31">
        <v>38127.160000000003</v>
      </c>
      <c r="F9245" s="3" t="str">
        <f t="shared" si="144"/>
        <v>I7871</v>
      </c>
    </row>
    <row r="9246" spans="1:6" x14ac:dyDescent="0.2">
      <c r="A9246" s="29" t="s">
        <v>22032</v>
      </c>
      <c r="B9246" s="30" t="s">
        <v>22033</v>
      </c>
      <c r="C9246" s="29" t="s">
        <v>26</v>
      </c>
      <c r="D9246" s="31">
        <v>12606.98</v>
      </c>
      <c r="F9246" s="3" t="str">
        <f t="shared" si="144"/>
        <v>I10563</v>
      </c>
    </row>
    <row r="9247" spans="1:6" x14ac:dyDescent="0.2">
      <c r="A9247" s="29" t="s">
        <v>22034</v>
      </c>
      <c r="B9247" s="30" t="s">
        <v>22035</v>
      </c>
      <c r="C9247" s="29" t="s">
        <v>26</v>
      </c>
      <c r="D9247" s="31">
        <v>27512.73</v>
      </c>
      <c r="F9247" s="3" t="str">
        <f t="shared" si="144"/>
        <v>I10566</v>
      </c>
    </row>
    <row r="9248" spans="1:6" x14ac:dyDescent="0.2">
      <c r="A9248" s="29" t="s">
        <v>22036</v>
      </c>
      <c r="B9248" s="30" t="s">
        <v>22037</v>
      </c>
      <c r="C9248" s="29" t="s">
        <v>26</v>
      </c>
      <c r="D9248" s="31">
        <v>30952.25</v>
      </c>
      <c r="F9248" s="3" t="str">
        <f t="shared" si="144"/>
        <v>I10567</v>
      </c>
    </row>
    <row r="9249" spans="1:6" x14ac:dyDescent="0.2">
      <c r="A9249" s="29" t="s">
        <v>22038</v>
      </c>
      <c r="B9249" s="30" t="s">
        <v>22039</v>
      </c>
      <c r="C9249" s="29" t="s">
        <v>26</v>
      </c>
      <c r="D9249" s="31">
        <v>36641.97</v>
      </c>
      <c r="F9249" s="3" t="str">
        <f t="shared" si="144"/>
        <v>I7872</v>
      </c>
    </row>
    <row r="9250" spans="1:6" x14ac:dyDescent="0.2">
      <c r="A9250" s="29" t="s">
        <v>22040</v>
      </c>
      <c r="B9250" s="30" t="s">
        <v>22041</v>
      </c>
      <c r="C9250" s="29" t="s">
        <v>26</v>
      </c>
      <c r="D9250" s="31">
        <v>41703.61</v>
      </c>
      <c r="F9250" s="3" t="str">
        <f t="shared" si="144"/>
        <v>I7873</v>
      </c>
    </row>
    <row r="9251" spans="1:6" x14ac:dyDescent="0.2">
      <c r="A9251" s="29" t="s">
        <v>22042</v>
      </c>
      <c r="B9251" s="30" t="s">
        <v>22043</v>
      </c>
      <c r="C9251" s="29" t="s">
        <v>26</v>
      </c>
      <c r="D9251" s="31">
        <v>51783.24</v>
      </c>
      <c r="F9251" s="3" t="str">
        <f t="shared" si="144"/>
        <v>I7874</v>
      </c>
    </row>
    <row r="9252" spans="1:6" x14ac:dyDescent="0.2">
      <c r="A9252" s="29" t="s">
        <v>22044</v>
      </c>
      <c r="B9252" s="30" t="s">
        <v>22045</v>
      </c>
      <c r="C9252" s="29" t="s">
        <v>26</v>
      </c>
      <c r="D9252" s="31">
        <v>1037.56</v>
      </c>
      <c r="F9252" s="3" t="str">
        <f t="shared" si="144"/>
        <v>I7103</v>
      </c>
    </row>
    <row r="9253" spans="1:6" x14ac:dyDescent="0.2">
      <c r="A9253" s="29" t="s">
        <v>22046</v>
      </c>
      <c r="B9253" s="30" t="s">
        <v>22047</v>
      </c>
      <c r="C9253" s="29" t="s">
        <v>26</v>
      </c>
      <c r="D9253" s="31">
        <v>945.13</v>
      </c>
      <c r="F9253" s="3" t="str">
        <f t="shared" si="144"/>
        <v>I7104</v>
      </c>
    </row>
    <row r="9254" spans="1:6" x14ac:dyDescent="0.2">
      <c r="A9254" s="29" t="s">
        <v>22048</v>
      </c>
      <c r="B9254" s="30" t="s">
        <v>22049</v>
      </c>
      <c r="C9254" s="29" t="s">
        <v>26</v>
      </c>
      <c r="D9254" s="31">
        <v>2553.48</v>
      </c>
      <c r="F9254" s="3" t="str">
        <f t="shared" si="144"/>
        <v>I7105</v>
      </c>
    </row>
    <row r="9255" spans="1:6" x14ac:dyDescent="0.2">
      <c r="A9255" s="29" t="s">
        <v>22050</v>
      </c>
      <c r="B9255" s="30" t="s">
        <v>22051</v>
      </c>
      <c r="C9255" s="29" t="s">
        <v>26</v>
      </c>
      <c r="D9255" s="31">
        <v>1191.68</v>
      </c>
      <c r="F9255" s="3" t="str">
        <f t="shared" si="144"/>
        <v>I10570</v>
      </c>
    </row>
    <row r="9256" spans="1:6" x14ac:dyDescent="0.2">
      <c r="A9256" s="29" t="s">
        <v>22052</v>
      </c>
      <c r="B9256" s="30" t="s">
        <v>22053</v>
      </c>
      <c r="C9256" s="29" t="s">
        <v>26</v>
      </c>
      <c r="D9256" s="31">
        <v>1191.68</v>
      </c>
      <c r="F9256" s="3" t="str">
        <f t="shared" si="144"/>
        <v>I7106</v>
      </c>
    </row>
    <row r="9257" spans="1:6" x14ac:dyDescent="0.2">
      <c r="A9257" s="29" t="s">
        <v>22054</v>
      </c>
      <c r="B9257" s="30" t="s">
        <v>22055</v>
      </c>
      <c r="C9257" s="29" t="s">
        <v>26</v>
      </c>
      <c r="D9257" s="31">
        <v>1870.92</v>
      </c>
      <c r="F9257" s="3" t="str">
        <f t="shared" si="144"/>
        <v>I10571</v>
      </c>
    </row>
    <row r="9258" spans="1:6" x14ac:dyDescent="0.2">
      <c r="A9258" s="29" t="s">
        <v>22056</v>
      </c>
      <c r="B9258" s="30" t="s">
        <v>22057</v>
      </c>
      <c r="C9258" s="29" t="s">
        <v>26</v>
      </c>
      <c r="D9258" s="31">
        <v>1870.92</v>
      </c>
      <c r="F9258" s="3" t="str">
        <f t="shared" si="144"/>
        <v>I7107</v>
      </c>
    </row>
    <row r="9259" spans="1:6" x14ac:dyDescent="0.2">
      <c r="A9259" s="29" t="s">
        <v>22058</v>
      </c>
      <c r="B9259" s="30" t="s">
        <v>22059</v>
      </c>
      <c r="C9259" s="29" t="s">
        <v>26</v>
      </c>
      <c r="D9259" s="31">
        <v>2044.97</v>
      </c>
      <c r="F9259" s="3" t="str">
        <f t="shared" si="144"/>
        <v>I10574</v>
      </c>
    </row>
    <row r="9260" spans="1:6" x14ac:dyDescent="0.2">
      <c r="A9260" s="29" t="s">
        <v>22060</v>
      </c>
      <c r="B9260" s="30" t="s">
        <v>22061</v>
      </c>
      <c r="C9260" s="29" t="s">
        <v>26</v>
      </c>
      <c r="D9260" s="31">
        <v>2523.56</v>
      </c>
      <c r="F9260" s="3" t="str">
        <f t="shared" si="144"/>
        <v>I7108</v>
      </c>
    </row>
    <row r="9261" spans="1:6" x14ac:dyDescent="0.2">
      <c r="A9261" s="29" t="s">
        <v>22062</v>
      </c>
      <c r="B9261" s="30" t="s">
        <v>22063</v>
      </c>
      <c r="C9261" s="29" t="s">
        <v>26</v>
      </c>
      <c r="D9261" s="31">
        <v>3239.06</v>
      </c>
      <c r="F9261" s="3" t="str">
        <f t="shared" si="144"/>
        <v>I7109</v>
      </c>
    </row>
    <row r="9262" spans="1:6" x14ac:dyDescent="0.2">
      <c r="A9262" s="29" t="s">
        <v>22064</v>
      </c>
      <c r="B9262" s="30" t="s">
        <v>22065</v>
      </c>
      <c r="C9262" s="29" t="s">
        <v>26</v>
      </c>
      <c r="D9262" s="31">
        <v>524.36</v>
      </c>
      <c r="F9262" s="3" t="str">
        <f t="shared" si="144"/>
        <v>I7110</v>
      </c>
    </row>
    <row r="9263" spans="1:6" x14ac:dyDescent="0.2">
      <c r="A9263" s="29" t="s">
        <v>22066</v>
      </c>
      <c r="B9263" s="30" t="s">
        <v>22067</v>
      </c>
      <c r="C9263" s="29" t="s">
        <v>26</v>
      </c>
      <c r="D9263" s="31">
        <v>1120.06</v>
      </c>
      <c r="F9263" s="3" t="str">
        <f t="shared" si="144"/>
        <v>I3491</v>
      </c>
    </row>
    <row r="9264" spans="1:6" x14ac:dyDescent="0.2">
      <c r="A9264" s="29" t="s">
        <v>22068</v>
      </c>
      <c r="B9264" s="30" t="s">
        <v>22069</v>
      </c>
      <c r="C9264" s="29" t="s">
        <v>26</v>
      </c>
      <c r="D9264" s="31">
        <v>1037.56</v>
      </c>
      <c r="F9264" s="3" t="str">
        <f t="shared" si="144"/>
        <v>I3490</v>
      </c>
    </row>
    <row r="9265" spans="1:6" x14ac:dyDescent="0.2">
      <c r="A9265" s="29" t="s">
        <v>22070</v>
      </c>
      <c r="B9265" s="30" t="s">
        <v>22071</v>
      </c>
      <c r="C9265" s="29" t="s">
        <v>26</v>
      </c>
      <c r="D9265" s="31">
        <v>2177.91</v>
      </c>
      <c r="F9265" s="3" t="str">
        <f t="shared" si="144"/>
        <v>I10568</v>
      </c>
    </row>
    <row r="9266" spans="1:6" x14ac:dyDescent="0.2">
      <c r="A9266" s="29" t="s">
        <v>22072</v>
      </c>
      <c r="B9266" s="30" t="s">
        <v>22073</v>
      </c>
      <c r="C9266" s="29" t="s">
        <v>26</v>
      </c>
      <c r="D9266" s="31">
        <v>1519.97</v>
      </c>
      <c r="F9266" s="3" t="str">
        <f t="shared" si="144"/>
        <v>I3494</v>
      </c>
    </row>
    <row r="9267" spans="1:6" x14ac:dyDescent="0.2">
      <c r="A9267" s="29" t="s">
        <v>22074</v>
      </c>
      <c r="B9267" s="30" t="s">
        <v>22075</v>
      </c>
      <c r="C9267" s="29" t="s">
        <v>26</v>
      </c>
      <c r="D9267" s="31">
        <v>1524.07</v>
      </c>
      <c r="F9267" s="3" t="str">
        <f t="shared" si="144"/>
        <v>I3495</v>
      </c>
    </row>
    <row r="9268" spans="1:6" x14ac:dyDescent="0.2">
      <c r="A9268" s="29" t="s">
        <v>22076</v>
      </c>
      <c r="B9268" s="30" t="s">
        <v>22077</v>
      </c>
      <c r="C9268" s="29" t="s">
        <v>26</v>
      </c>
      <c r="D9268" s="31">
        <v>945.13</v>
      </c>
      <c r="F9268" s="3" t="str">
        <f t="shared" si="144"/>
        <v>I10569</v>
      </c>
    </row>
    <row r="9269" spans="1:6" x14ac:dyDescent="0.2">
      <c r="A9269" s="29" t="s">
        <v>22078</v>
      </c>
      <c r="B9269" s="30" t="s">
        <v>22079</v>
      </c>
      <c r="C9269" s="29" t="s">
        <v>26</v>
      </c>
      <c r="D9269" s="31">
        <v>945.13</v>
      </c>
      <c r="F9269" s="3" t="str">
        <f t="shared" si="144"/>
        <v>I3493</v>
      </c>
    </row>
    <row r="9270" spans="1:6" x14ac:dyDescent="0.2">
      <c r="A9270" s="29" t="s">
        <v>22080</v>
      </c>
      <c r="B9270" s="30" t="s">
        <v>22081</v>
      </c>
      <c r="C9270" s="29" t="s">
        <v>26</v>
      </c>
      <c r="D9270" s="31">
        <v>2218.0700000000002</v>
      </c>
      <c r="F9270" s="3" t="str">
        <f t="shared" si="144"/>
        <v>I3498</v>
      </c>
    </row>
    <row r="9271" spans="1:6" x14ac:dyDescent="0.2">
      <c r="A9271" s="29" t="s">
        <v>22082</v>
      </c>
      <c r="B9271" s="30" t="s">
        <v>22083</v>
      </c>
      <c r="C9271" s="29" t="s">
        <v>26</v>
      </c>
      <c r="D9271" s="31">
        <v>2877.01</v>
      </c>
      <c r="F9271" s="3" t="str">
        <f t="shared" si="144"/>
        <v>I3499</v>
      </c>
    </row>
    <row r="9272" spans="1:6" x14ac:dyDescent="0.2">
      <c r="A9272" s="29" t="s">
        <v>22084</v>
      </c>
      <c r="B9272" s="30" t="s">
        <v>22085</v>
      </c>
      <c r="C9272" s="29" t="s">
        <v>26</v>
      </c>
      <c r="D9272" s="31">
        <v>1191.68</v>
      </c>
      <c r="F9272" s="3" t="str">
        <f t="shared" si="144"/>
        <v>I3497</v>
      </c>
    </row>
    <row r="9273" spans="1:6" x14ac:dyDescent="0.2">
      <c r="A9273" s="29" t="s">
        <v>22086</v>
      </c>
      <c r="B9273" s="30" t="s">
        <v>22087</v>
      </c>
      <c r="C9273" s="29" t="s">
        <v>26</v>
      </c>
      <c r="D9273" s="31">
        <v>1805.65</v>
      </c>
      <c r="F9273" s="3" t="str">
        <f t="shared" si="144"/>
        <v>I3502</v>
      </c>
    </row>
    <row r="9274" spans="1:6" x14ac:dyDescent="0.2">
      <c r="A9274" s="29" t="s">
        <v>22088</v>
      </c>
      <c r="B9274" s="30" t="s">
        <v>22089</v>
      </c>
      <c r="C9274" s="29" t="s">
        <v>26</v>
      </c>
      <c r="D9274" s="31">
        <v>2044.97</v>
      </c>
      <c r="F9274" s="3" t="str">
        <f t="shared" si="144"/>
        <v>I10572</v>
      </c>
    </row>
    <row r="9275" spans="1:6" x14ac:dyDescent="0.2">
      <c r="A9275" s="29" t="s">
        <v>22090</v>
      </c>
      <c r="B9275" s="30" t="s">
        <v>22091</v>
      </c>
      <c r="C9275" s="29" t="s">
        <v>26</v>
      </c>
      <c r="D9275" s="31">
        <v>2371.29</v>
      </c>
      <c r="F9275" s="3" t="str">
        <f t="shared" si="144"/>
        <v>I10573</v>
      </c>
    </row>
    <row r="9276" spans="1:6" x14ac:dyDescent="0.2">
      <c r="A9276" s="29" t="s">
        <v>22092</v>
      </c>
      <c r="B9276" s="30" t="s">
        <v>22093</v>
      </c>
      <c r="C9276" s="29" t="s">
        <v>26</v>
      </c>
      <c r="D9276" s="31">
        <v>3791</v>
      </c>
      <c r="F9276" s="3" t="str">
        <f t="shared" si="144"/>
        <v>I3503</v>
      </c>
    </row>
    <row r="9277" spans="1:6" x14ac:dyDescent="0.2">
      <c r="A9277" s="29" t="s">
        <v>22094</v>
      </c>
      <c r="B9277" s="30" t="s">
        <v>22095</v>
      </c>
      <c r="C9277" s="29" t="s">
        <v>26</v>
      </c>
      <c r="D9277" s="31">
        <v>1870.92</v>
      </c>
      <c r="F9277" s="3" t="str">
        <f t="shared" si="144"/>
        <v>I3501</v>
      </c>
    </row>
    <row r="9278" spans="1:6" x14ac:dyDescent="0.2">
      <c r="A9278" s="29" t="s">
        <v>22096</v>
      </c>
      <c r="B9278" s="30" t="s">
        <v>22097</v>
      </c>
      <c r="C9278" s="29" t="s">
        <v>26</v>
      </c>
      <c r="D9278" s="31">
        <v>2798.9</v>
      </c>
      <c r="F9278" s="3" t="str">
        <f t="shared" si="144"/>
        <v>I3505</v>
      </c>
    </row>
    <row r="9279" spans="1:6" x14ac:dyDescent="0.2">
      <c r="A9279" s="29" t="s">
        <v>22098</v>
      </c>
      <c r="B9279" s="30" t="s">
        <v>22099</v>
      </c>
      <c r="C9279" s="29" t="s">
        <v>26</v>
      </c>
      <c r="D9279" s="31">
        <v>3322.45</v>
      </c>
      <c r="F9279" s="3" t="str">
        <f t="shared" si="144"/>
        <v>I10575</v>
      </c>
    </row>
    <row r="9280" spans="1:6" x14ac:dyDescent="0.2">
      <c r="A9280" s="29" t="s">
        <v>22100</v>
      </c>
      <c r="B9280" s="30" t="s">
        <v>22101</v>
      </c>
      <c r="C9280" s="29" t="s">
        <v>26</v>
      </c>
      <c r="D9280" s="31">
        <v>3846</v>
      </c>
      <c r="F9280" s="3" t="str">
        <f t="shared" si="144"/>
        <v>I3506</v>
      </c>
    </row>
    <row r="9281" spans="1:6" x14ac:dyDescent="0.2">
      <c r="A9281" s="29" t="s">
        <v>22102</v>
      </c>
      <c r="B9281" s="30" t="s">
        <v>22103</v>
      </c>
      <c r="C9281" s="29" t="s">
        <v>26</v>
      </c>
      <c r="D9281" s="31">
        <v>3546.05</v>
      </c>
      <c r="F9281" s="3" t="str">
        <f t="shared" si="144"/>
        <v>I10576</v>
      </c>
    </row>
    <row r="9282" spans="1:6" x14ac:dyDescent="0.2">
      <c r="A9282" s="29" t="s">
        <v>22104</v>
      </c>
      <c r="B9282" s="30" t="s">
        <v>22105</v>
      </c>
      <c r="C9282" s="29" t="s">
        <v>26</v>
      </c>
      <c r="D9282" s="31">
        <v>3676.57</v>
      </c>
      <c r="F9282" s="3" t="str">
        <f t="shared" ref="F9282:F9345" si="145">A9282</f>
        <v>I3507</v>
      </c>
    </row>
    <row r="9283" spans="1:6" x14ac:dyDescent="0.2">
      <c r="A9283" s="29" t="s">
        <v>22106</v>
      </c>
      <c r="B9283" s="30" t="s">
        <v>22107</v>
      </c>
      <c r="C9283" s="29" t="s">
        <v>26</v>
      </c>
      <c r="D9283" s="31">
        <v>2044.97</v>
      </c>
      <c r="F9283" s="3" t="str">
        <f t="shared" si="145"/>
        <v>I3504</v>
      </c>
    </row>
    <row r="9284" spans="1:6" x14ac:dyDescent="0.2">
      <c r="A9284" s="29" t="s">
        <v>22108</v>
      </c>
      <c r="B9284" s="30" t="s">
        <v>22109</v>
      </c>
      <c r="C9284" s="29" t="s">
        <v>26</v>
      </c>
      <c r="D9284" s="31">
        <v>2900.66</v>
      </c>
      <c r="F9284" s="3" t="str">
        <f t="shared" si="145"/>
        <v>I7611</v>
      </c>
    </row>
    <row r="9285" spans="1:6" x14ac:dyDescent="0.2">
      <c r="A9285" s="29" t="s">
        <v>22110</v>
      </c>
      <c r="B9285" s="30" t="s">
        <v>22111</v>
      </c>
      <c r="C9285" s="29" t="s">
        <v>26</v>
      </c>
      <c r="D9285" s="31">
        <v>3384.1</v>
      </c>
      <c r="F9285" s="3" t="str">
        <f t="shared" si="145"/>
        <v>I10577</v>
      </c>
    </row>
    <row r="9286" spans="1:6" x14ac:dyDescent="0.2">
      <c r="A9286" s="29" t="s">
        <v>22112</v>
      </c>
      <c r="B9286" s="30" t="s">
        <v>22113</v>
      </c>
      <c r="C9286" s="29" t="s">
        <v>26</v>
      </c>
      <c r="D9286" s="31">
        <v>4205.9399999999996</v>
      </c>
      <c r="F9286" s="3" t="str">
        <f t="shared" si="145"/>
        <v>I7612</v>
      </c>
    </row>
    <row r="9287" spans="1:6" x14ac:dyDescent="0.2">
      <c r="A9287" s="29" t="s">
        <v>22114</v>
      </c>
      <c r="B9287" s="30" t="s">
        <v>22115</v>
      </c>
      <c r="C9287" s="29" t="s">
        <v>26</v>
      </c>
      <c r="D9287" s="31">
        <v>4496.0200000000004</v>
      </c>
      <c r="F9287" s="3" t="str">
        <f t="shared" si="145"/>
        <v>I7613</v>
      </c>
    </row>
    <row r="9288" spans="1:6" x14ac:dyDescent="0.2">
      <c r="A9288" s="29" t="s">
        <v>22116</v>
      </c>
      <c r="B9288" s="30" t="s">
        <v>22117</v>
      </c>
      <c r="C9288" s="29" t="s">
        <v>26</v>
      </c>
      <c r="D9288" s="31">
        <v>5849.65</v>
      </c>
      <c r="F9288" s="3" t="str">
        <f t="shared" si="145"/>
        <v>I10578</v>
      </c>
    </row>
    <row r="9289" spans="1:6" x14ac:dyDescent="0.2">
      <c r="A9289" s="29" t="s">
        <v>22118</v>
      </c>
      <c r="B9289" s="30" t="s">
        <v>22119</v>
      </c>
      <c r="C9289" s="29" t="s">
        <v>26</v>
      </c>
      <c r="D9289" s="31">
        <v>3287.41</v>
      </c>
      <c r="F9289" s="3" t="str">
        <f t="shared" si="145"/>
        <v>I3509</v>
      </c>
    </row>
    <row r="9290" spans="1:6" x14ac:dyDescent="0.2">
      <c r="A9290" s="29" t="s">
        <v>22120</v>
      </c>
      <c r="B9290" s="30" t="s">
        <v>22121</v>
      </c>
      <c r="C9290" s="29" t="s">
        <v>26</v>
      </c>
      <c r="D9290" s="31">
        <v>4157.6000000000004</v>
      </c>
      <c r="F9290" s="3" t="str">
        <f t="shared" si="145"/>
        <v>I10579</v>
      </c>
    </row>
    <row r="9291" spans="1:6" x14ac:dyDescent="0.2">
      <c r="A9291" s="29" t="s">
        <v>22122</v>
      </c>
      <c r="B9291" s="30" t="s">
        <v>22123</v>
      </c>
      <c r="C9291" s="29" t="s">
        <v>26</v>
      </c>
      <c r="D9291" s="31">
        <v>4350.9799999999996</v>
      </c>
      <c r="F9291" s="3" t="str">
        <f t="shared" si="145"/>
        <v>I3510</v>
      </c>
    </row>
    <row r="9292" spans="1:6" x14ac:dyDescent="0.2">
      <c r="A9292" s="29" t="s">
        <v>22124</v>
      </c>
      <c r="B9292" s="30" t="s">
        <v>22125</v>
      </c>
      <c r="C9292" s="29" t="s">
        <v>26</v>
      </c>
      <c r="D9292" s="31">
        <v>4592.6899999999996</v>
      </c>
      <c r="F9292" s="3" t="str">
        <f t="shared" si="145"/>
        <v>I10580</v>
      </c>
    </row>
    <row r="9293" spans="1:6" x14ac:dyDescent="0.2">
      <c r="A9293" s="29" t="s">
        <v>22126</v>
      </c>
      <c r="B9293" s="30" t="s">
        <v>22127</v>
      </c>
      <c r="C9293" s="29" t="s">
        <v>26</v>
      </c>
      <c r="D9293" s="31">
        <v>5704.61</v>
      </c>
      <c r="F9293" s="3" t="str">
        <f t="shared" si="145"/>
        <v>I3511</v>
      </c>
    </row>
    <row r="9294" spans="1:6" x14ac:dyDescent="0.2">
      <c r="A9294" s="29" t="s">
        <v>22128</v>
      </c>
      <c r="B9294" s="30" t="s">
        <v>22129</v>
      </c>
      <c r="C9294" s="29" t="s">
        <v>26</v>
      </c>
      <c r="D9294" s="31">
        <v>13742.61</v>
      </c>
      <c r="F9294" s="3" t="str">
        <f t="shared" si="145"/>
        <v>I3512</v>
      </c>
    </row>
    <row r="9295" spans="1:6" x14ac:dyDescent="0.2">
      <c r="A9295" s="29" t="s">
        <v>22130</v>
      </c>
      <c r="B9295" s="30" t="s">
        <v>22131</v>
      </c>
      <c r="C9295" s="29" t="s">
        <v>26</v>
      </c>
      <c r="D9295" s="31">
        <v>3239.06</v>
      </c>
      <c r="F9295" s="3" t="str">
        <f t="shared" si="145"/>
        <v>I3508</v>
      </c>
    </row>
    <row r="9296" spans="1:6" x14ac:dyDescent="0.2">
      <c r="A9296" s="29" t="s">
        <v>22132</v>
      </c>
      <c r="B9296" s="30" t="s">
        <v>22133</v>
      </c>
      <c r="C9296" s="29" t="s">
        <v>26</v>
      </c>
      <c r="D9296" s="31">
        <v>5025.38</v>
      </c>
      <c r="F9296" s="3" t="str">
        <f t="shared" si="145"/>
        <v>I10582</v>
      </c>
    </row>
    <row r="9297" spans="1:6" x14ac:dyDescent="0.2">
      <c r="A9297" s="29" t="s">
        <v>22134</v>
      </c>
      <c r="B9297" s="30" t="s">
        <v>22135</v>
      </c>
      <c r="C9297" s="29" t="s">
        <v>26</v>
      </c>
      <c r="D9297" s="31">
        <v>4314.72</v>
      </c>
      <c r="F9297" s="3" t="str">
        <f t="shared" si="145"/>
        <v>I10583</v>
      </c>
    </row>
    <row r="9298" spans="1:6" x14ac:dyDescent="0.2">
      <c r="A9298" s="29" t="s">
        <v>22136</v>
      </c>
      <c r="B9298" s="30" t="s">
        <v>22137</v>
      </c>
      <c r="C9298" s="29" t="s">
        <v>26</v>
      </c>
      <c r="D9298" s="31">
        <v>5888.33</v>
      </c>
      <c r="F9298" s="3" t="str">
        <f t="shared" si="145"/>
        <v>I10584</v>
      </c>
    </row>
    <row r="9299" spans="1:6" x14ac:dyDescent="0.2">
      <c r="A9299" s="29" t="s">
        <v>22138</v>
      </c>
      <c r="B9299" s="30" t="s">
        <v>22139</v>
      </c>
      <c r="C9299" s="29" t="s">
        <v>26</v>
      </c>
      <c r="D9299" s="31">
        <v>8121.83</v>
      </c>
      <c r="F9299" s="3" t="str">
        <f t="shared" si="145"/>
        <v>I10585</v>
      </c>
    </row>
    <row r="9300" spans="1:6" x14ac:dyDescent="0.2">
      <c r="A9300" s="29" t="s">
        <v>22140</v>
      </c>
      <c r="B9300" s="30" t="s">
        <v>22141</v>
      </c>
      <c r="C9300" s="29" t="s">
        <v>26</v>
      </c>
      <c r="D9300" s="31">
        <v>4568.53</v>
      </c>
      <c r="F9300" s="3" t="str">
        <f t="shared" si="145"/>
        <v>I10581</v>
      </c>
    </row>
    <row r="9301" spans="1:6" x14ac:dyDescent="0.2">
      <c r="A9301" s="29" t="s">
        <v>22142</v>
      </c>
      <c r="B9301" s="30" t="s">
        <v>22143</v>
      </c>
      <c r="C9301" s="29" t="s">
        <v>26</v>
      </c>
      <c r="D9301" s="31">
        <v>4873.1000000000004</v>
      </c>
      <c r="F9301" s="3" t="str">
        <f t="shared" si="145"/>
        <v>I3514</v>
      </c>
    </row>
    <row r="9302" spans="1:6" x14ac:dyDescent="0.2">
      <c r="A9302" s="29" t="s">
        <v>22144</v>
      </c>
      <c r="B9302" s="30" t="s">
        <v>22145</v>
      </c>
      <c r="C9302" s="29" t="s">
        <v>26</v>
      </c>
      <c r="D9302" s="31">
        <v>11743.85</v>
      </c>
      <c r="F9302" s="3" t="str">
        <f t="shared" si="145"/>
        <v>I3515</v>
      </c>
    </row>
    <row r="9303" spans="1:6" x14ac:dyDescent="0.2">
      <c r="A9303" s="29" t="s">
        <v>22146</v>
      </c>
      <c r="B9303" s="30" t="s">
        <v>22147</v>
      </c>
      <c r="C9303" s="29" t="s">
        <v>26</v>
      </c>
      <c r="D9303" s="31">
        <v>14928.9</v>
      </c>
      <c r="F9303" s="3" t="str">
        <f t="shared" si="145"/>
        <v>I3516</v>
      </c>
    </row>
    <row r="9304" spans="1:6" x14ac:dyDescent="0.2">
      <c r="A9304" s="29" t="s">
        <v>22148</v>
      </c>
      <c r="B9304" s="30" t="s">
        <v>22149</v>
      </c>
      <c r="C9304" s="29" t="s">
        <v>26</v>
      </c>
      <c r="D9304" s="31">
        <v>17865.88</v>
      </c>
      <c r="F9304" s="3" t="str">
        <f t="shared" si="145"/>
        <v>I3517</v>
      </c>
    </row>
    <row r="9305" spans="1:6" x14ac:dyDescent="0.2">
      <c r="A9305" s="29" t="s">
        <v>22150</v>
      </c>
      <c r="B9305" s="30" t="s">
        <v>22151</v>
      </c>
      <c r="C9305" s="29" t="s">
        <v>26</v>
      </c>
      <c r="D9305" s="31">
        <v>4720.8100000000004</v>
      </c>
      <c r="F9305" s="3" t="str">
        <f t="shared" si="145"/>
        <v>I10586</v>
      </c>
    </row>
    <row r="9306" spans="1:6" x14ac:dyDescent="0.2">
      <c r="A9306" s="29" t="s">
        <v>22152</v>
      </c>
      <c r="B9306" s="30" t="s">
        <v>22153</v>
      </c>
      <c r="C9306" s="29" t="s">
        <v>26</v>
      </c>
      <c r="D9306" s="31">
        <v>4717.6099999999997</v>
      </c>
      <c r="F9306" s="3" t="str">
        <f t="shared" si="145"/>
        <v>I7614</v>
      </c>
    </row>
    <row r="9307" spans="1:6" x14ac:dyDescent="0.2">
      <c r="A9307" s="29" t="s">
        <v>22154</v>
      </c>
      <c r="B9307" s="30" t="s">
        <v>22155</v>
      </c>
      <c r="C9307" s="29" t="s">
        <v>26</v>
      </c>
      <c r="D9307" s="31">
        <v>14437.69</v>
      </c>
      <c r="F9307" s="3" t="str">
        <f t="shared" si="145"/>
        <v>I3519</v>
      </c>
    </row>
    <row r="9308" spans="1:6" x14ac:dyDescent="0.2">
      <c r="A9308" s="29" t="s">
        <v>22156</v>
      </c>
      <c r="B9308" s="30" t="s">
        <v>22157</v>
      </c>
      <c r="C9308" s="29" t="s">
        <v>26</v>
      </c>
      <c r="D9308" s="31">
        <v>15951.83</v>
      </c>
      <c r="F9308" s="3" t="str">
        <f t="shared" si="145"/>
        <v>I3520</v>
      </c>
    </row>
    <row r="9309" spans="1:6" x14ac:dyDescent="0.2">
      <c r="A9309" s="29" t="s">
        <v>22158</v>
      </c>
      <c r="B9309" s="30" t="s">
        <v>22159</v>
      </c>
      <c r="C9309" s="29" t="s">
        <v>26</v>
      </c>
      <c r="D9309" s="31">
        <v>18218.439999999999</v>
      </c>
      <c r="F9309" s="3" t="str">
        <f t="shared" si="145"/>
        <v>I3521</v>
      </c>
    </row>
    <row r="9310" spans="1:6" x14ac:dyDescent="0.2">
      <c r="A9310" s="29" t="s">
        <v>22160</v>
      </c>
      <c r="B9310" s="30" t="s">
        <v>22161</v>
      </c>
      <c r="C9310" s="29" t="s">
        <v>26</v>
      </c>
      <c r="D9310" s="31">
        <v>22507.51</v>
      </c>
      <c r="F9310" s="3" t="str">
        <f t="shared" si="145"/>
        <v>I3522</v>
      </c>
    </row>
    <row r="9311" spans="1:6" x14ac:dyDescent="0.2">
      <c r="A9311" s="29" t="s">
        <v>22162</v>
      </c>
      <c r="B9311" s="30" t="s">
        <v>22163</v>
      </c>
      <c r="C9311" s="29" t="s">
        <v>26</v>
      </c>
      <c r="D9311" s="31">
        <v>27119.31</v>
      </c>
      <c r="F9311" s="3" t="str">
        <f t="shared" si="145"/>
        <v>I3523</v>
      </c>
    </row>
    <row r="9312" spans="1:6" x14ac:dyDescent="0.2">
      <c r="A9312" s="29" t="s">
        <v>22164</v>
      </c>
      <c r="B9312" s="30" t="s">
        <v>22165</v>
      </c>
      <c r="C9312" s="29" t="s">
        <v>26</v>
      </c>
      <c r="D9312" s="31">
        <v>524.36</v>
      </c>
      <c r="F9312" s="3" t="str">
        <f t="shared" si="145"/>
        <v>I3488</v>
      </c>
    </row>
    <row r="9313" spans="1:6" x14ac:dyDescent="0.2">
      <c r="A9313" s="29" t="s">
        <v>22166</v>
      </c>
      <c r="B9313" s="30" t="s">
        <v>22167</v>
      </c>
      <c r="C9313" s="29" t="s">
        <v>26</v>
      </c>
      <c r="D9313" s="31">
        <v>27072.75</v>
      </c>
      <c r="F9313" s="3" t="str">
        <f t="shared" si="145"/>
        <v>I10587</v>
      </c>
    </row>
    <row r="9314" spans="1:6" x14ac:dyDescent="0.2">
      <c r="A9314" s="29" t="s">
        <v>22168</v>
      </c>
      <c r="B9314" s="30" t="s">
        <v>22169</v>
      </c>
      <c r="C9314" s="29" t="s">
        <v>26</v>
      </c>
      <c r="D9314" s="31">
        <v>349.28</v>
      </c>
      <c r="F9314" s="3" t="str">
        <f t="shared" si="145"/>
        <v>I10589</v>
      </c>
    </row>
    <row r="9315" spans="1:6" x14ac:dyDescent="0.2">
      <c r="A9315" s="29" t="s">
        <v>22170</v>
      </c>
      <c r="B9315" s="30" t="s">
        <v>22171</v>
      </c>
      <c r="C9315" s="29" t="s">
        <v>26</v>
      </c>
      <c r="D9315" s="31">
        <v>419.15</v>
      </c>
      <c r="F9315" s="3" t="str">
        <f t="shared" si="145"/>
        <v>I3524</v>
      </c>
    </row>
    <row r="9316" spans="1:6" x14ac:dyDescent="0.2">
      <c r="A9316" s="29" t="s">
        <v>22172</v>
      </c>
      <c r="B9316" s="30" t="s">
        <v>22173</v>
      </c>
      <c r="C9316" s="29" t="s">
        <v>26</v>
      </c>
      <c r="D9316" s="31">
        <v>509.56</v>
      </c>
      <c r="F9316" s="3" t="str">
        <f t="shared" si="145"/>
        <v>I3525</v>
      </c>
    </row>
    <row r="9317" spans="1:6" x14ac:dyDescent="0.2">
      <c r="A9317" s="29" t="s">
        <v>22174</v>
      </c>
      <c r="B9317" s="30" t="s">
        <v>22175</v>
      </c>
      <c r="C9317" s="29" t="s">
        <v>26</v>
      </c>
      <c r="D9317" s="31">
        <v>871.17</v>
      </c>
      <c r="F9317" s="3" t="str">
        <f t="shared" si="145"/>
        <v>I3528</v>
      </c>
    </row>
    <row r="9318" spans="1:6" x14ac:dyDescent="0.2">
      <c r="A9318" s="29" t="s">
        <v>22176</v>
      </c>
      <c r="B9318" s="30" t="s">
        <v>22177</v>
      </c>
      <c r="C9318" s="29" t="s">
        <v>26</v>
      </c>
      <c r="D9318" s="31">
        <v>1561.52</v>
      </c>
      <c r="F9318" s="3" t="str">
        <f t="shared" si="145"/>
        <v>I10590</v>
      </c>
    </row>
    <row r="9319" spans="1:6" x14ac:dyDescent="0.2">
      <c r="A9319" s="29" t="s">
        <v>22178</v>
      </c>
      <c r="B9319" s="30" t="s">
        <v>22179</v>
      </c>
      <c r="C9319" s="29" t="s">
        <v>26</v>
      </c>
      <c r="D9319" s="31">
        <v>690.36</v>
      </c>
      <c r="F9319" s="3" t="str">
        <f t="shared" si="145"/>
        <v>I3526</v>
      </c>
    </row>
    <row r="9320" spans="1:6" x14ac:dyDescent="0.2">
      <c r="A9320" s="29" t="s">
        <v>22180</v>
      </c>
      <c r="B9320" s="30" t="s">
        <v>22181</v>
      </c>
      <c r="C9320" s="29" t="s">
        <v>26</v>
      </c>
      <c r="D9320" s="31">
        <v>731.45</v>
      </c>
      <c r="F9320" s="3" t="str">
        <f t="shared" si="145"/>
        <v>I3527</v>
      </c>
    </row>
    <row r="9321" spans="1:6" x14ac:dyDescent="0.2">
      <c r="A9321" s="29" t="s">
        <v>22182</v>
      </c>
      <c r="B9321" s="30" t="s">
        <v>22183</v>
      </c>
      <c r="C9321" s="29" t="s">
        <v>26</v>
      </c>
      <c r="D9321" s="31">
        <v>1130.04</v>
      </c>
      <c r="F9321" s="3" t="str">
        <f t="shared" si="145"/>
        <v>I3531</v>
      </c>
    </row>
    <row r="9322" spans="1:6" x14ac:dyDescent="0.2">
      <c r="A9322" s="29" t="s">
        <v>22184</v>
      </c>
      <c r="B9322" s="30" t="s">
        <v>22185</v>
      </c>
      <c r="C9322" s="29" t="s">
        <v>26</v>
      </c>
      <c r="D9322" s="31">
        <v>1808.08</v>
      </c>
      <c r="F9322" s="3" t="str">
        <f t="shared" si="145"/>
        <v>I10591</v>
      </c>
    </row>
    <row r="9323" spans="1:6" x14ac:dyDescent="0.2">
      <c r="A9323" s="29" t="s">
        <v>22186</v>
      </c>
      <c r="B9323" s="30" t="s">
        <v>22187</v>
      </c>
      <c r="C9323" s="29" t="s">
        <v>26</v>
      </c>
      <c r="D9323" s="31">
        <v>821.84</v>
      </c>
      <c r="F9323" s="3" t="str">
        <f t="shared" si="145"/>
        <v>I3529</v>
      </c>
    </row>
    <row r="9324" spans="1:6" x14ac:dyDescent="0.2">
      <c r="A9324" s="29" t="s">
        <v>22188</v>
      </c>
      <c r="B9324" s="30" t="s">
        <v>22189</v>
      </c>
      <c r="C9324" s="29" t="s">
        <v>26</v>
      </c>
      <c r="D9324" s="31">
        <v>986.22</v>
      </c>
      <c r="F9324" s="3" t="str">
        <f t="shared" si="145"/>
        <v>I3530</v>
      </c>
    </row>
    <row r="9325" spans="1:6" x14ac:dyDescent="0.2">
      <c r="A9325" s="29" t="s">
        <v>22190</v>
      </c>
      <c r="B9325" s="30" t="s">
        <v>22191</v>
      </c>
      <c r="C9325" s="29" t="s">
        <v>26</v>
      </c>
      <c r="D9325" s="31">
        <v>1696.88</v>
      </c>
      <c r="F9325" s="3" t="str">
        <f t="shared" si="145"/>
        <v>I3534</v>
      </c>
    </row>
    <row r="9326" spans="1:6" x14ac:dyDescent="0.2">
      <c r="A9326" s="29" t="s">
        <v>22192</v>
      </c>
      <c r="B9326" s="30" t="s">
        <v>22193</v>
      </c>
      <c r="C9326" s="29" t="s">
        <v>26</v>
      </c>
      <c r="D9326" s="31">
        <v>1392.31</v>
      </c>
      <c r="F9326" s="3" t="str">
        <f t="shared" si="145"/>
        <v>I3532</v>
      </c>
    </row>
    <row r="9327" spans="1:6" x14ac:dyDescent="0.2">
      <c r="A9327" s="29" t="s">
        <v>22194</v>
      </c>
      <c r="B9327" s="30" t="s">
        <v>22195</v>
      </c>
      <c r="C9327" s="29" t="s">
        <v>26</v>
      </c>
      <c r="D9327" s="31">
        <v>1414.07</v>
      </c>
      <c r="F9327" s="3" t="str">
        <f t="shared" si="145"/>
        <v>I3533</v>
      </c>
    </row>
    <row r="9328" spans="1:6" x14ac:dyDescent="0.2">
      <c r="A9328" s="29" t="s">
        <v>22196</v>
      </c>
      <c r="B9328" s="30" t="s">
        <v>22197</v>
      </c>
      <c r="C9328" s="29" t="s">
        <v>26</v>
      </c>
      <c r="D9328" s="31">
        <v>2001.45</v>
      </c>
      <c r="F9328" s="3" t="str">
        <f t="shared" si="145"/>
        <v>I10592</v>
      </c>
    </row>
    <row r="9329" spans="1:6" x14ac:dyDescent="0.2">
      <c r="A9329" s="29" t="s">
        <v>22198</v>
      </c>
      <c r="B9329" s="30" t="s">
        <v>22199</v>
      </c>
      <c r="C9329" s="29" t="s">
        <v>26</v>
      </c>
      <c r="D9329" s="31">
        <v>232.06</v>
      </c>
      <c r="F9329" s="3" t="str">
        <f t="shared" si="145"/>
        <v>I10588</v>
      </c>
    </row>
    <row r="9330" spans="1:6" x14ac:dyDescent="0.2">
      <c r="A9330" s="29" t="s">
        <v>22200</v>
      </c>
      <c r="B9330" s="30" t="s">
        <v>22201</v>
      </c>
      <c r="C9330" s="29" t="s">
        <v>26</v>
      </c>
      <c r="D9330" s="31">
        <v>86.71</v>
      </c>
      <c r="F9330" s="3" t="str">
        <f t="shared" si="145"/>
        <v>I3104</v>
      </c>
    </row>
    <row r="9331" spans="1:6" x14ac:dyDescent="0.2">
      <c r="A9331" s="29" t="s">
        <v>22202</v>
      </c>
      <c r="B9331" s="30" t="s">
        <v>22203</v>
      </c>
      <c r="C9331" s="29" t="s">
        <v>26</v>
      </c>
      <c r="D9331" s="31">
        <v>18.87</v>
      </c>
      <c r="F9331" s="3" t="str">
        <f t="shared" si="145"/>
        <v>I3102</v>
      </c>
    </row>
    <row r="9332" spans="1:6" x14ac:dyDescent="0.2">
      <c r="A9332" s="29" t="s">
        <v>22204</v>
      </c>
      <c r="B9332" s="30" t="s">
        <v>22205</v>
      </c>
      <c r="C9332" s="29" t="s">
        <v>26</v>
      </c>
      <c r="D9332" s="31">
        <v>47.31</v>
      </c>
      <c r="F9332" s="3" t="str">
        <f t="shared" si="145"/>
        <v>I3103</v>
      </c>
    </row>
    <row r="9333" spans="1:6" x14ac:dyDescent="0.2">
      <c r="A9333" s="29" t="s">
        <v>22206</v>
      </c>
      <c r="B9333" s="30" t="s">
        <v>22207</v>
      </c>
      <c r="C9333" s="29" t="s">
        <v>26</v>
      </c>
      <c r="D9333" s="31">
        <v>2743.21</v>
      </c>
      <c r="F9333" s="3" t="str">
        <f t="shared" si="145"/>
        <v>I9698</v>
      </c>
    </row>
    <row r="9334" spans="1:6" x14ac:dyDescent="0.2">
      <c r="A9334" s="29" t="s">
        <v>22208</v>
      </c>
      <c r="B9334" s="30" t="s">
        <v>22209</v>
      </c>
      <c r="C9334" s="29" t="s">
        <v>26</v>
      </c>
      <c r="D9334" s="31">
        <v>2788.01</v>
      </c>
      <c r="F9334" s="3" t="str">
        <f t="shared" si="145"/>
        <v>I9699</v>
      </c>
    </row>
    <row r="9335" spans="1:6" x14ac:dyDescent="0.2">
      <c r="A9335" s="29" t="s">
        <v>22210</v>
      </c>
      <c r="B9335" s="30" t="s">
        <v>22211</v>
      </c>
      <c r="C9335" s="29" t="s">
        <v>26</v>
      </c>
      <c r="D9335" s="31">
        <v>480.97</v>
      </c>
      <c r="F9335" s="3" t="str">
        <f t="shared" si="145"/>
        <v>I9700</v>
      </c>
    </row>
    <row r="9336" spans="1:6" x14ac:dyDescent="0.2">
      <c r="A9336" s="29" t="s">
        <v>22212</v>
      </c>
      <c r="B9336" s="30" t="s">
        <v>22213</v>
      </c>
      <c r="C9336" s="29" t="s">
        <v>26</v>
      </c>
      <c r="D9336" s="31">
        <v>3864.14</v>
      </c>
      <c r="F9336" s="3" t="str">
        <f t="shared" si="145"/>
        <v>I9178</v>
      </c>
    </row>
    <row r="9337" spans="1:6" x14ac:dyDescent="0.2">
      <c r="A9337" s="29" t="s">
        <v>22214</v>
      </c>
      <c r="B9337" s="30" t="s">
        <v>22215</v>
      </c>
      <c r="C9337" s="29" t="s">
        <v>26</v>
      </c>
      <c r="D9337" s="31">
        <v>3172.59</v>
      </c>
      <c r="F9337" s="3" t="str">
        <f t="shared" si="145"/>
        <v>I7599</v>
      </c>
    </row>
    <row r="9338" spans="1:6" x14ac:dyDescent="0.2">
      <c r="A9338" s="29" t="s">
        <v>22216</v>
      </c>
      <c r="B9338" s="30" t="s">
        <v>22217</v>
      </c>
      <c r="C9338" s="29" t="s">
        <v>26</v>
      </c>
      <c r="D9338" s="31">
        <v>341.97</v>
      </c>
      <c r="F9338" s="3" t="str">
        <f t="shared" si="145"/>
        <v>I9170</v>
      </c>
    </row>
    <row r="9339" spans="1:6" x14ac:dyDescent="0.2">
      <c r="A9339" s="29" t="s">
        <v>22218</v>
      </c>
      <c r="B9339" s="30" t="s">
        <v>22219</v>
      </c>
      <c r="C9339" s="29" t="s">
        <v>26</v>
      </c>
      <c r="D9339" s="31">
        <v>309.39999999999998</v>
      </c>
      <c r="F9339" s="3" t="str">
        <f t="shared" si="145"/>
        <v>I7111</v>
      </c>
    </row>
    <row r="9340" spans="1:6" x14ac:dyDescent="0.2">
      <c r="A9340" s="29" t="s">
        <v>22220</v>
      </c>
      <c r="B9340" s="30" t="s">
        <v>22221</v>
      </c>
      <c r="C9340" s="29" t="s">
        <v>26</v>
      </c>
      <c r="D9340" s="31">
        <v>341.97</v>
      </c>
      <c r="F9340" s="3" t="str">
        <f t="shared" si="145"/>
        <v>I9169</v>
      </c>
    </row>
    <row r="9341" spans="1:6" x14ac:dyDescent="0.2">
      <c r="A9341" s="29" t="s">
        <v>22222</v>
      </c>
      <c r="B9341" s="30" t="s">
        <v>22223</v>
      </c>
      <c r="C9341" s="29" t="s">
        <v>26</v>
      </c>
      <c r="D9341" s="31">
        <v>423.01</v>
      </c>
      <c r="F9341" s="3" t="str">
        <f t="shared" si="145"/>
        <v>I9171</v>
      </c>
    </row>
    <row r="9342" spans="1:6" x14ac:dyDescent="0.2">
      <c r="A9342" s="29" t="s">
        <v>22224</v>
      </c>
      <c r="B9342" s="30" t="s">
        <v>22225</v>
      </c>
      <c r="C9342" s="29" t="s">
        <v>26</v>
      </c>
      <c r="D9342" s="31">
        <v>646.70000000000005</v>
      </c>
      <c r="F9342" s="3" t="str">
        <f t="shared" si="145"/>
        <v>I9172</v>
      </c>
    </row>
    <row r="9343" spans="1:6" x14ac:dyDescent="0.2">
      <c r="A9343" s="29" t="s">
        <v>22226</v>
      </c>
      <c r="B9343" s="30" t="s">
        <v>22227</v>
      </c>
      <c r="C9343" s="29" t="s">
        <v>26</v>
      </c>
      <c r="D9343" s="31">
        <v>881.2</v>
      </c>
      <c r="F9343" s="3" t="str">
        <f t="shared" si="145"/>
        <v>I9173</v>
      </c>
    </row>
    <row r="9344" spans="1:6" x14ac:dyDescent="0.2">
      <c r="A9344" s="29" t="s">
        <v>22228</v>
      </c>
      <c r="B9344" s="30" t="s">
        <v>22229</v>
      </c>
      <c r="C9344" s="29" t="s">
        <v>26</v>
      </c>
      <c r="D9344" s="31">
        <v>1274.8900000000001</v>
      </c>
      <c r="F9344" s="3" t="str">
        <f t="shared" si="145"/>
        <v>I9174</v>
      </c>
    </row>
    <row r="9345" spans="1:6" x14ac:dyDescent="0.2">
      <c r="A9345" s="29" t="s">
        <v>22230</v>
      </c>
      <c r="B9345" s="30" t="s">
        <v>22231</v>
      </c>
      <c r="C9345" s="29" t="s">
        <v>26</v>
      </c>
      <c r="D9345" s="31">
        <v>1200.95</v>
      </c>
      <c r="F9345" s="3" t="str">
        <f t="shared" si="145"/>
        <v>I9175</v>
      </c>
    </row>
    <row r="9346" spans="1:6" x14ac:dyDescent="0.2">
      <c r="A9346" s="29" t="s">
        <v>22232</v>
      </c>
      <c r="B9346" s="30" t="s">
        <v>22233</v>
      </c>
      <c r="C9346" s="29" t="s">
        <v>26</v>
      </c>
      <c r="D9346" s="31">
        <v>2702.14</v>
      </c>
      <c r="F9346" s="3" t="str">
        <f t="shared" ref="F9346:F9409" si="146">A9346</f>
        <v>I9176</v>
      </c>
    </row>
    <row r="9347" spans="1:6" x14ac:dyDescent="0.2">
      <c r="A9347" s="29" t="s">
        <v>22234</v>
      </c>
      <c r="B9347" s="30" t="s">
        <v>22235</v>
      </c>
      <c r="C9347" s="29" t="s">
        <v>26</v>
      </c>
      <c r="D9347" s="31">
        <v>2608.89</v>
      </c>
      <c r="F9347" s="3" t="str">
        <f t="shared" si="146"/>
        <v>I9177</v>
      </c>
    </row>
    <row r="9348" spans="1:6" x14ac:dyDescent="0.2">
      <c r="A9348" s="29" t="s">
        <v>22236</v>
      </c>
      <c r="B9348" s="30" t="s">
        <v>22237</v>
      </c>
      <c r="C9348" s="29" t="s">
        <v>26</v>
      </c>
      <c r="D9348" s="31">
        <v>3703.47</v>
      </c>
      <c r="F9348" s="3" t="str">
        <f t="shared" si="146"/>
        <v>I9179</v>
      </c>
    </row>
    <row r="9349" spans="1:6" x14ac:dyDescent="0.2">
      <c r="A9349" s="29" t="s">
        <v>22238</v>
      </c>
      <c r="B9349" s="30" t="s">
        <v>22239</v>
      </c>
      <c r="C9349" s="29" t="s">
        <v>26</v>
      </c>
      <c r="D9349" s="31">
        <v>9211.0499999999993</v>
      </c>
      <c r="F9349" s="3" t="str">
        <f t="shared" si="146"/>
        <v>I9180</v>
      </c>
    </row>
    <row r="9350" spans="1:6" x14ac:dyDescent="0.2">
      <c r="A9350" s="29" t="s">
        <v>22240</v>
      </c>
      <c r="B9350" s="30" t="s">
        <v>22241</v>
      </c>
      <c r="C9350" s="29" t="s">
        <v>26</v>
      </c>
      <c r="D9350" s="31">
        <v>15632.21</v>
      </c>
      <c r="F9350" s="3" t="str">
        <f t="shared" si="146"/>
        <v>I9181</v>
      </c>
    </row>
    <row r="9351" spans="1:6" x14ac:dyDescent="0.2">
      <c r="A9351" s="29" t="s">
        <v>22242</v>
      </c>
      <c r="B9351" s="30" t="s">
        <v>22243</v>
      </c>
      <c r="C9351" s="29" t="s">
        <v>26</v>
      </c>
      <c r="D9351" s="31">
        <v>21141.53</v>
      </c>
      <c r="F9351" s="3" t="str">
        <f t="shared" si="146"/>
        <v>I9182</v>
      </c>
    </row>
    <row r="9352" spans="1:6" x14ac:dyDescent="0.2">
      <c r="A9352" s="29" t="s">
        <v>22244</v>
      </c>
      <c r="B9352" s="30" t="s">
        <v>22245</v>
      </c>
      <c r="C9352" s="29" t="s">
        <v>26</v>
      </c>
      <c r="D9352" s="31">
        <v>23960.76</v>
      </c>
      <c r="F9352" s="3" t="str">
        <f t="shared" si="146"/>
        <v>I9183</v>
      </c>
    </row>
    <row r="9353" spans="1:6" x14ac:dyDescent="0.2">
      <c r="A9353" s="29" t="s">
        <v>22246</v>
      </c>
      <c r="B9353" s="30" t="s">
        <v>22247</v>
      </c>
      <c r="C9353" s="29" t="s">
        <v>26</v>
      </c>
      <c r="D9353" s="31">
        <v>28212.09</v>
      </c>
      <c r="F9353" s="3" t="str">
        <f t="shared" si="146"/>
        <v>I9184</v>
      </c>
    </row>
    <row r="9354" spans="1:6" x14ac:dyDescent="0.2">
      <c r="A9354" s="29" t="s">
        <v>22248</v>
      </c>
      <c r="B9354" s="30" t="s">
        <v>22249</v>
      </c>
      <c r="C9354" s="29" t="s">
        <v>26</v>
      </c>
      <c r="D9354" s="31">
        <v>36706.54</v>
      </c>
      <c r="F9354" s="3" t="str">
        <f t="shared" si="146"/>
        <v>I9185</v>
      </c>
    </row>
    <row r="9355" spans="1:6" x14ac:dyDescent="0.2">
      <c r="A9355" s="29" t="s">
        <v>22250</v>
      </c>
      <c r="B9355" s="30" t="s">
        <v>22251</v>
      </c>
      <c r="C9355" s="29" t="s">
        <v>26</v>
      </c>
      <c r="D9355" s="31">
        <v>226.26</v>
      </c>
      <c r="F9355" s="3" t="str">
        <f t="shared" si="146"/>
        <v>I3313</v>
      </c>
    </row>
    <row r="9356" spans="1:6" x14ac:dyDescent="0.2">
      <c r="A9356" s="29" t="s">
        <v>22252</v>
      </c>
      <c r="B9356" s="30" t="s">
        <v>22253</v>
      </c>
      <c r="C9356" s="29" t="s">
        <v>26</v>
      </c>
      <c r="D9356" s="31">
        <v>299.98</v>
      </c>
      <c r="F9356" s="3" t="str">
        <f t="shared" si="146"/>
        <v>I3314</v>
      </c>
    </row>
    <row r="9357" spans="1:6" x14ac:dyDescent="0.2">
      <c r="A9357" s="29" t="s">
        <v>22254</v>
      </c>
      <c r="B9357" s="30" t="s">
        <v>22255</v>
      </c>
      <c r="C9357" s="29" t="s">
        <v>26</v>
      </c>
      <c r="D9357" s="31">
        <v>525.98</v>
      </c>
      <c r="F9357" s="3" t="str">
        <f t="shared" si="146"/>
        <v>I3315</v>
      </c>
    </row>
    <row r="9358" spans="1:6" x14ac:dyDescent="0.2">
      <c r="A9358" s="29" t="s">
        <v>22256</v>
      </c>
      <c r="B9358" s="30" t="s">
        <v>22257</v>
      </c>
      <c r="C9358" s="29" t="s">
        <v>26</v>
      </c>
      <c r="D9358" s="31">
        <v>602.83000000000004</v>
      </c>
      <c r="F9358" s="3" t="str">
        <f t="shared" si="146"/>
        <v>I3316</v>
      </c>
    </row>
    <row r="9359" spans="1:6" x14ac:dyDescent="0.2">
      <c r="A9359" s="29" t="s">
        <v>22258</v>
      </c>
      <c r="B9359" s="30" t="s">
        <v>22259</v>
      </c>
      <c r="C9359" s="29" t="s">
        <v>26</v>
      </c>
      <c r="D9359" s="31">
        <v>1022.48</v>
      </c>
      <c r="F9359" s="3" t="str">
        <f t="shared" si="146"/>
        <v>I3317</v>
      </c>
    </row>
    <row r="9360" spans="1:6" x14ac:dyDescent="0.2">
      <c r="A9360" s="29" t="s">
        <v>22260</v>
      </c>
      <c r="B9360" s="30" t="s">
        <v>22261</v>
      </c>
      <c r="C9360" s="29" t="s">
        <v>26</v>
      </c>
      <c r="D9360" s="31">
        <v>1153.01</v>
      </c>
      <c r="F9360" s="3" t="str">
        <f t="shared" si="146"/>
        <v>I3318</v>
      </c>
    </row>
    <row r="9361" spans="1:6" x14ac:dyDescent="0.2">
      <c r="A9361" s="29" t="s">
        <v>22262</v>
      </c>
      <c r="B9361" s="30" t="s">
        <v>22263</v>
      </c>
      <c r="C9361" s="29" t="s">
        <v>26</v>
      </c>
      <c r="D9361" s="31">
        <v>2078.8000000000002</v>
      </c>
      <c r="F9361" s="3" t="str">
        <f t="shared" si="146"/>
        <v>I3319</v>
      </c>
    </row>
    <row r="9362" spans="1:6" x14ac:dyDescent="0.2">
      <c r="A9362" s="29" t="s">
        <v>22264</v>
      </c>
      <c r="B9362" s="30" t="s">
        <v>22265</v>
      </c>
      <c r="C9362" s="29" t="s">
        <v>26</v>
      </c>
      <c r="D9362" s="31">
        <v>2127.15</v>
      </c>
      <c r="F9362" s="3" t="str">
        <f t="shared" si="146"/>
        <v>I3320</v>
      </c>
    </row>
    <row r="9363" spans="1:6" x14ac:dyDescent="0.2">
      <c r="A9363" s="29" t="s">
        <v>22266</v>
      </c>
      <c r="B9363" s="30" t="s">
        <v>22267</v>
      </c>
      <c r="C9363" s="29" t="s">
        <v>26</v>
      </c>
      <c r="D9363" s="31">
        <v>3705.58</v>
      </c>
      <c r="F9363" s="3" t="str">
        <f t="shared" si="146"/>
        <v>I3321</v>
      </c>
    </row>
    <row r="9364" spans="1:6" x14ac:dyDescent="0.2">
      <c r="A9364" s="29" t="s">
        <v>22268</v>
      </c>
      <c r="B9364" s="30" t="s">
        <v>22269</v>
      </c>
      <c r="C9364" s="29" t="s">
        <v>26</v>
      </c>
      <c r="D9364" s="31">
        <v>6265.4</v>
      </c>
      <c r="F9364" s="3" t="str">
        <f t="shared" si="146"/>
        <v>I3322</v>
      </c>
    </row>
    <row r="9365" spans="1:6" x14ac:dyDescent="0.2">
      <c r="A9365" s="29" t="s">
        <v>22270</v>
      </c>
      <c r="B9365" s="30" t="s">
        <v>22271</v>
      </c>
      <c r="C9365" s="29" t="s">
        <v>26</v>
      </c>
      <c r="D9365" s="31">
        <v>9395.7000000000007</v>
      </c>
      <c r="F9365" s="3" t="str">
        <f t="shared" si="146"/>
        <v>I3323</v>
      </c>
    </row>
    <row r="9366" spans="1:6" x14ac:dyDescent="0.2">
      <c r="A9366" s="29" t="s">
        <v>22272</v>
      </c>
      <c r="B9366" s="30" t="s">
        <v>22273</v>
      </c>
      <c r="C9366" s="29" t="s">
        <v>26</v>
      </c>
      <c r="D9366" s="31">
        <v>13536.38</v>
      </c>
      <c r="F9366" s="3" t="str">
        <f t="shared" si="146"/>
        <v>I3324</v>
      </c>
    </row>
    <row r="9367" spans="1:6" x14ac:dyDescent="0.2">
      <c r="A9367" s="29" t="s">
        <v>22274</v>
      </c>
      <c r="B9367" s="30" t="s">
        <v>22275</v>
      </c>
      <c r="C9367" s="29" t="s">
        <v>26</v>
      </c>
      <c r="D9367" s="31">
        <v>17947.79</v>
      </c>
      <c r="F9367" s="3" t="str">
        <f t="shared" si="146"/>
        <v>I3325</v>
      </c>
    </row>
    <row r="9368" spans="1:6" x14ac:dyDescent="0.2">
      <c r="A9368" s="29" t="s">
        <v>22276</v>
      </c>
      <c r="B9368" s="30" t="s">
        <v>22277</v>
      </c>
      <c r="C9368" s="29" t="s">
        <v>26</v>
      </c>
      <c r="D9368" s="31">
        <v>24597.54</v>
      </c>
      <c r="F9368" s="3" t="str">
        <f t="shared" si="146"/>
        <v>I3326</v>
      </c>
    </row>
    <row r="9369" spans="1:6" x14ac:dyDescent="0.2">
      <c r="A9369" s="29" t="s">
        <v>22278</v>
      </c>
      <c r="B9369" s="30" t="s">
        <v>22279</v>
      </c>
      <c r="C9369" s="29" t="s">
        <v>26</v>
      </c>
      <c r="D9369" s="31">
        <v>38810.730000000003</v>
      </c>
      <c r="F9369" s="3" t="str">
        <f t="shared" si="146"/>
        <v>I3327</v>
      </c>
    </row>
    <row r="9370" spans="1:6" x14ac:dyDescent="0.2">
      <c r="A9370" s="29" t="s">
        <v>22280</v>
      </c>
      <c r="B9370" s="30" t="s">
        <v>22281</v>
      </c>
      <c r="C9370" s="29" t="s">
        <v>26</v>
      </c>
      <c r="D9370" s="31">
        <v>357.34</v>
      </c>
      <c r="F9370" s="3" t="str">
        <f t="shared" si="146"/>
        <v>I9187</v>
      </c>
    </row>
    <row r="9371" spans="1:6" x14ac:dyDescent="0.2">
      <c r="A9371" s="29" t="s">
        <v>22282</v>
      </c>
      <c r="B9371" s="30" t="s">
        <v>22283</v>
      </c>
      <c r="C9371" s="29" t="s">
        <v>26</v>
      </c>
      <c r="D9371" s="31">
        <v>183.71</v>
      </c>
      <c r="F9371" s="3" t="str">
        <f t="shared" si="146"/>
        <v>I7112</v>
      </c>
    </row>
    <row r="9372" spans="1:6" x14ac:dyDescent="0.2">
      <c r="A9372" s="29" t="s">
        <v>22284</v>
      </c>
      <c r="B9372" s="30" t="s">
        <v>22285</v>
      </c>
      <c r="C9372" s="29" t="s">
        <v>26</v>
      </c>
      <c r="D9372" s="31">
        <v>357.34</v>
      </c>
      <c r="F9372" s="3" t="str">
        <f t="shared" si="146"/>
        <v>I9186</v>
      </c>
    </row>
    <row r="9373" spans="1:6" x14ac:dyDescent="0.2">
      <c r="A9373" s="29" t="s">
        <v>22286</v>
      </c>
      <c r="B9373" s="30" t="s">
        <v>22287</v>
      </c>
      <c r="C9373" s="29" t="s">
        <v>26</v>
      </c>
      <c r="D9373" s="31">
        <v>420.96</v>
      </c>
      <c r="F9373" s="3" t="str">
        <f t="shared" si="146"/>
        <v>I9188</v>
      </c>
    </row>
    <row r="9374" spans="1:6" x14ac:dyDescent="0.2">
      <c r="A9374" s="29" t="s">
        <v>22288</v>
      </c>
      <c r="B9374" s="30" t="s">
        <v>22289</v>
      </c>
      <c r="C9374" s="29" t="s">
        <v>26</v>
      </c>
      <c r="D9374" s="31">
        <v>490.07</v>
      </c>
      <c r="F9374" s="3" t="str">
        <f t="shared" si="146"/>
        <v>I9189</v>
      </c>
    </row>
    <row r="9375" spans="1:6" x14ac:dyDescent="0.2">
      <c r="A9375" s="29" t="s">
        <v>22290</v>
      </c>
      <c r="B9375" s="30" t="s">
        <v>22291</v>
      </c>
      <c r="C9375" s="29" t="s">
        <v>26</v>
      </c>
      <c r="D9375" s="31">
        <v>841.06</v>
      </c>
      <c r="F9375" s="3" t="str">
        <f t="shared" si="146"/>
        <v>I9190</v>
      </c>
    </row>
    <row r="9376" spans="1:6" x14ac:dyDescent="0.2">
      <c r="A9376" s="29" t="s">
        <v>22292</v>
      </c>
      <c r="B9376" s="30" t="s">
        <v>22293</v>
      </c>
      <c r="C9376" s="29" t="s">
        <v>26</v>
      </c>
      <c r="D9376" s="31">
        <v>1318.4</v>
      </c>
      <c r="F9376" s="3" t="str">
        <f t="shared" si="146"/>
        <v>I9191</v>
      </c>
    </row>
    <row r="9377" spans="1:6" x14ac:dyDescent="0.2">
      <c r="A9377" s="29" t="s">
        <v>22294</v>
      </c>
      <c r="B9377" s="30" t="s">
        <v>22295</v>
      </c>
      <c r="C9377" s="29" t="s">
        <v>26</v>
      </c>
      <c r="D9377" s="31">
        <v>1316.56</v>
      </c>
      <c r="F9377" s="3" t="str">
        <f t="shared" si="146"/>
        <v>I9192</v>
      </c>
    </row>
    <row r="9378" spans="1:6" x14ac:dyDescent="0.2">
      <c r="A9378" s="29" t="s">
        <v>22296</v>
      </c>
      <c r="B9378" s="30" t="s">
        <v>22297</v>
      </c>
      <c r="C9378" s="29" t="s">
        <v>26</v>
      </c>
      <c r="D9378" s="31">
        <v>2388.73</v>
      </c>
      <c r="F9378" s="3" t="str">
        <f t="shared" si="146"/>
        <v>I9193</v>
      </c>
    </row>
    <row r="9379" spans="1:6" x14ac:dyDescent="0.2">
      <c r="A9379" s="29" t="s">
        <v>22298</v>
      </c>
      <c r="B9379" s="30" t="s">
        <v>22299</v>
      </c>
      <c r="C9379" s="29" t="s">
        <v>26</v>
      </c>
      <c r="D9379" s="31">
        <v>3460.89</v>
      </c>
      <c r="F9379" s="3" t="str">
        <f t="shared" si="146"/>
        <v>I9194</v>
      </c>
    </row>
    <row r="9380" spans="1:6" x14ac:dyDescent="0.2">
      <c r="A9380" s="29" t="s">
        <v>22300</v>
      </c>
      <c r="B9380" s="30" t="s">
        <v>22301</v>
      </c>
      <c r="C9380" s="29" t="s">
        <v>26</v>
      </c>
      <c r="D9380" s="31">
        <v>4300.22</v>
      </c>
      <c r="F9380" s="3" t="str">
        <f t="shared" si="146"/>
        <v>I9195</v>
      </c>
    </row>
    <row r="9381" spans="1:6" x14ac:dyDescent="0.2">
      <c r="A9381" s="29" t="s">
        <v>22302</v>
      </c>
      <c r="B9381" s="30" t="s">
        <v>22303</v>
      </c>
      <c r="C9381" s="29" t="s">
        <v>26</v>
      </c>
      <c r="D9381" s="31">
        <v>4203.6000000000004</v>
      </c>
      <c r="F9381" s="3" t="str">
        <f t="shared" si="146"/>
        <v>I9196</v>
      </c>
    </row>
    <row r="9382" spans="1:6" x14ac:dyDescent="0.2">
      <c r="A9382" s="29" t="s">
        <v>22304</v>
      </c>
      <c r="B9382" s="30" t="s">
        <v>22305</v>
      </c>
      <c r="C9382" s="29" t="s">
        <v>26</v>
      </c>
      <c r="D9382" s="31">
        <v>11520.38</v>
      </c>
      <c r="F9382" s="3" t="str">
        <f t="shared" si="146"/>
        <v>I9197</v>
      </c>
    </row>
    <row r="9383" spans="1:6" x14ac:dyDescent="0.2">
      <c r="A9383" s="29" t="s">
        <v>22306</v>
      </c>
      <c r="B9383" s="30" t="s">
        <v>22307</v>
      </c>
      <c r="C9383" s="29" t="s">
        <v>26</v>
      </c>
      <c r="D9383" s="31">
        <v>20259.47</v>
      </c>
      <c r="F9383" s="3" t="str">
        <f t="shared" si="146"/>
        <v>I9198</v>
      </c>
    </row>
    <row r="9384" spans="1:6" x14ac:dyDescent="0.2">
      <c r="A9384" s="29" t="s">
        <v>22308</v>
      </c>
      <c r="B9384" s="30" t="s">
        <v>22309</v>
      </c>
      <c r="C9384" s="29" t="s">
        <v>26</v>
      </c>
      <c r="D9384" s="31">
        <v>24032.13</v>
      </c>
      <c r="F9384" s="3" t="str">
        <f t="shared" si="146"/>
        <v>I9199</v>
      </c>
    </row>
    <row r="9385" spans="1:6" x14ac:dyDescent="0.2">
      <c r="A9385" s="29" t="s">
        <v>22310</v>
      </c>
      <c r="B9385" s="30" t="s">
        <v>22311</v>
      </c>
      <c r="C9385" s="29" t="s">
        <v>26</v>
      </c>
      <c r="D9385" s="31">
        <v>28371.15</v>
      </c>
      <c r="F9385" s="3" t="str">
        <f t="shared" si="146"/>
        <v>I9200</v>
      </c>
    </row>
    <row r="9386" spans="1:6" x14ac:dyDescent="0.2">
      <c r="A9386" s="29" t="s">
        <v>22312</v>
      </c>
      <c r="B9386" s="30" t="s">
        <v>22313</v>
      </c>
      <c r="C9386" s="29" t="s">
        <v>26</v>
      </c>
      <c r="D9386" s="31">
        <v>38376.31</v>
      </c>
      <c r="F9386" s="3" t="str">
        <f t="shared" si="146"/>
        <v>I9201</v>
      </c>
    </row>
    <row r="9387" spans="1:6" x14ac:dyDescent="0.2">
      <c r="A9387" s="29" t="s">
        <v>22314</v>
      </c>
      <c r="B9387" s="30" t="s">
        <v>22315</v>
      </c>
      <c r="C9387" s="29" t="s">
        <v>26</v>
      </c>
      <c r="D9387" s="31">
        <v>45312.14</v>
      </c>
      <c r="F9387" s="3" t="str">
        <f t="shared" si="146"/>
        <v>I9202</v>
      </c>
    </row>
    <row r="9388" spans="1:6" x14ac:dyDescent="0.2">
      <c r="A9388" s="29" t="s">
        <v>22316</v>
      </c>
      <c r="B9388" s="30" t="s">
        <v>22317</v>
      </c>
      <c r="C9388" s="29" t="s">
        <v>26</v>
      </c>
      <c r="D9388" s="31">
        <v>131.5</v>
      </c>
      <c r="F9388" s="3" t="str">
        <f t="shared" si="146"/>
        <v>I10593</v>
      </c>
    </row>
    <row r="9389" spans="1:6" x14ac:dyDescent="0.2">
      <c r="A9389" s="29" t="s">
        <v>22318</v>
      </c>
      <c r="B9389" s="30" t="s">
        <v>22319</v>
      </c>
      <c r="C9389" s="29" t="s">
        <v>26</v>
      </c>
      <c r="D9389" s="31">
        <v>181.77</v>
      </c>
      <c r="F9389" s="3" t="str">
        <f t="shared" si="146"/>
        <v>I3329</v>
      </c>
    </row>
    <row r="9390" spans="1:6" x14ac:dyDescent="0.2">
      <c r="A9390" s="29" t="s">
        <v>22320</v>
      </c>
      <c r="B9390" s="30" t="s">
        <v>22321</v>
      </c>
      <c r="C9390" s="29" t="s">
        <v>26</v>
      </c>
      <c r="D9390" s="31">
        <v>299.98</v>
      </c>
      <c r="F9390" s="3" t="str">
        <f t="shared" si="146"/>
        <v>I3330</v>
      </c>
    </row>
    <row r="9391" spans="1:6" x14ac:dyDescent="0.2">
      <c r="A9391" s="29" t="s">
        <v>22322</v>
      </c>
      <c r="B9391" s="30" t="s">
        <v>22323</v>
      </c>
      <c r="C9391" s="29" t="s">
        <v>26</v>
      </c>
      <c r="D9391" s="31">
        <v>583.52</v>
      </c>
      <c r="F9391" s="3" t="str">
        <f t="shared" si="146"/>
        <v>I3331</v>
      </c>
    </row>
    <row r="9392" spans="1:6" x14ac:dyDescent="0.2">
      <c r="A9392" s="29" t="s">
        <v>22324</v>
      </c>
      <c r="B9392" s="30" t="s">
        <v>22325</v>
      </c>
      <c r="C9392" s="29" t="s">
        <v>26</v>
      </c>
      <c r="D9392" s="31">
        <v>777.63</v>
      </c>
      <c r="F9392" s="3" t="str">
        <f t="shared" si="146"/>
        <v>I3332</v>
      </c>
    </row>
    <row r="9393" spans="1:6" x14ac:dyDescent="0.2">
      <c r="A9393" s="29" t="s">
        <v>22326</v>
      </c>
      <c r="B9393" s="30" t="s">
        <v>22327</v>
      </c>
      <c r="C9393" s="29" t="s">
        <v>26</v>
      </c>
      <c r="D9393" s="31">
        <v>1000.73</v>
      </c>
      <c r="F9393" s="3" t="str">
        <f t="shared" si="146"/>
        <v>I3333</v>
      </c>
    </row>
    <row r="9394" spans="1:6" x14ac:dyDescent="0.2">
      <c r="A9394" s="29" t="s">
        <v>22328</v>
      </c>
      <c r="B9394" s="30" t="s">
        <v>22329</v>
      </c>
      <c r="C9394" s="29" t="s">
        <v>26</v>
      </c>
      <c r="D9394" s="31">
        <v>1348.81</v>
      </c>
      <c r="F9394" s="3" t="str">
        <f t="shared" si="146"/>
        <v>I3334</v>
      </c>
    </row>
    <row r="9395" spans="1:6" x14ac:dyDescent="0.2">
      <c r="A9395" s="29" t="s">
        <v>22330</v>
      </c>
      <c r="B9395" s="30" t="s">
        <v>22331</v>
      </c>
      <c r="C9395" s="29" t="s">
        <v>26</v>
      </c>
      <c r="D9395" s="31">
        <v>2127.15</v>
      </c>
      <c r="F9395" s="3" t="str">
        <f t="shared" si="146"/>
        <v>I3335</v>
      </c>
    </row>
    <row r="9396" spans="1:6" x14ac:dyDescent="0.2">
      <c r="A9396" s="29" t="s">
        <v>22332</v>
      </c>
      <c r="B9396" s="30" t="s">
        <v>22333</v>
      </c>
      <c r="C9396" s="29" t="s">
        <v>26</v>
      </c>
      <c r="D9396" s="31">
        <v>2465.56</v>
      </c>
      <c r="F9396" s="3" t="str">
        <f t="shared" si="146"/>
        <v>I3336</v>
      </c>
    </row>
    <row r="9397" spans="1:6" x14ac:dyDescent="0.2">
      <c r="A9397" s="29" t="s">
        <v>22334</v>
      </c>
      <c r="B9397" s="30" t="s">
        <v>22335</v>
      </c>
      <c r="C9397" s="29" t="s">
        <v>26</v>
      </c>
      <c r="D9397" s="31">
        <v>3705.58</v>
      </c>
      <c r="F9397" s="3" t="str">
        <f t="shared" si="146"/>
        <v>I3337</v>
      </c>
    </row>
    <row r="9398" spans="1:6" x14ac:dyDescent="0.2">
      <c r="A9398" s="29" t="s">
        <v>22336</v>
      </c>
      <c r="B9398" s="30" t="s">
        <v>22337</v>
      </c>
      <c r="C9398" s="29" t="s">
        <v>26</v>
      </c>
      <c r="D9398" s="31">
        <v>4213.2</v>
      </c>
      <c r="F9398" s="3" t="str">
        <f t="shared" si="146"/>
        <v>I3338</v>
      </c>
    </row>
    <row r="9399" spans="1:6" x14ac:dyDescent="0.2">
      <c r="A9399" s="29" t="s">
        <v>22338</v>
      </c>
      <c r="B9399" s="30" t="s">
        <v>22339</v>
      </c>
      <c r="C9399" s="29" t="s">
        <v>26</v>
      </c>
      <c r="D9399" s="31">
        <v>7367.66</v>
      </c>
      <c r="F9399" s="3" t="str">
        <f t="shared" si="146"/>
        <v>I3339</v>
      </c>
    </row>
    <row r="9400" spans="1:6" x14ac:dyDescent="0.2">
      <c r="A9400" s="29" t="s">
        <v>22340</v>
      </c>
      <c r="B9400" s="30" t="s">
        <v>22341</v>
      </c>
      <c r="C9400" s="29" t="s">
        <v>26</v>
      </c>
      <c r="D9400" s="31">
        <v>12468.94</v>
      </c>
      <c r="F9400" s="3" t="str">
        <f t="shared" si="146"/>
        <v>I3340</v>
      </c>
    </row>
    <row r="9401" spans="1:6" x14ac:dyDescent="0.2">
      <c r="A9401" s="29" t="s">
        <v>22342</v>
      </c>
      <c r="B9401" s="30" t="s">
        <v>22343</v>
      </c>
      <c r="C9401" s="29" t="s">
        <v>26</v>
      </c>
      <c r="D9401" s="31">
        <v>19319.79</v>
      </c>
      <c r="F9401" s="3" t="str">
        <f t="shared" si="146"/>
        <v>I3341</v>
      </c>
    </row>
    <row r="9402" spans="1:6" x14ac:dyDescent="0.2">
      <c r="A9402" s="29" t="s">
        <v>22344</v>
      </c>
      <c r="B9402" s="30" t="s">
        <v>22345</v>
      </c>
      <c r="C9402" s="29" t="s">
        <v>26</v>
      </c>
      <c r="D9402" s="31">
        <v>23060.19</v>
      </c>
      <c r="F9402" s="3" t="str">
        <f t="shared" si="146"/>
        <v>I3342</v>
      </c>
    </row>
    <row r="9403" spans="1:6" x14ac:dyDescent="0.2">
      <c r="A9403" s="29" t="s">
        <v>22346</v>
      </c>
      <c r="B9403" s="30" t="s">
        <v>22347</v>
      </c>
      <c r="C9403" s="29" t="s">
        <v>26</v>
      </c>
      <c r="D9403" s="31">
        <v>30940.29</v>
      </c>
      <c r="F9403" s="3" t="str">
        <f t="shared" si="146"/>
        <v>I3343</v>
      </c>
    </row>
    <row r="9404" spans="1:6" x14ac:dyDescent="0.2">
      <c r="A9404" s="29" t="s">
        <v>22348</v>
      </c>
      <c r="B9404" s="30" t="s">
        <v>22349</v>
      </c>
      <c r="C9404" s="29" t="s">
        <v>26</v>
      </c>
      <c r="D9404" s="31">
        <v>51167.5</v>
      </c>
      <c r="F9404" s="3" t="str">
        <f t="shared" si="146"/>
        <v>I3344</v>
      </c>
    </row>
    <row r="9405" spans="1:6" x14ac:dyDescent="0.2">
      <c r="A9405" s="29" t="s">
        <v>22350</v>
      </c>
      <c r="B9405" s="30" t="s">
        <v>22351</v>
      </c>
      <c r="C9405" s="29" t="s">
        <v>26</v>
      </c>
      <c r="D9405" s="31">
        <v>94.99</v>
      </c>
      <c r="F9405" s="3" t="str">
        <f t="shared" si="146"/>
        <v>I3107</v>
      </c>
    </row>
    <row r="9406" spans="1:6" x14ac:dyDescent="0.2">
      <c r="A9406" s="29" t="s">
        <v>22352</v>
      </c>
      <c r="B9406" s="30" t="s">
        <v>22353</v>
      </c>
      <c r="C9406" s="29" t="s">
        <v>26</v>
      </c>
      <c r="D9406" s="31">
        <v>178.73</v>
      </c>
      <c r="F9406" s="3" t="str">
        <f t="shared" si="146"/>
        <v>I3108</v>
      </c>
    </row>
    <row r="9407" spans="1:6" x14ac:dyDescent="0.2">
      <c r="A9407" s="29" t="s">
        <v>22354</v>
      </c>
      <c r="B9407" s="30" t="s">
        <v>22355</v>
      </c>
      <c r="C9407" s="29" t="s">
        <v>26</v>
      </c>
      <c r="D9407" s="31">
        <v>346.09</v>
      </c>
      <c r="F9407" s="3" t="str">
        <f t="shared" si="146"/>
        <v>I3109</v>
      </c>
    </row>
    <row r="9408" spans="1:6" x14ac:dyDescent="0.2">
      <c r="A9408" s="29" t="s">
        <v>22356</v>
      </c>
      <c r="B9408" s="30" t="s">
        <v>22357</v>
      </c>
      <c r="C9408" s="29" t="s">
        <v>26</v>
      </c>
      <c r="D9408" s="31">
        <v>12302.06</v>
      </c>
      <c r="F9408" s="3" t="str">
        <f t="shared" si="146"/>
        <v>I9701</v>
      </c>
    </row>
    <row r="9409" spans="1:6" x14ac:dyDescent="0.2">
      <c r="A9409" s="29" t="s">
        <v>22358</v>
      </c>
      <c r="B9409" s="30" t="s">
        <v>22359</v>
      </c>
      <c r="C9409" s="29" t="s">
        <v>26</v>
      </c>
      <c r="D9409" s="31">
        <v>27775.87</v>
      </c>
      <c r="F9409" s="3" t="str">
        <f t="shared" si="146"/>
        <v>I9702</v>
      </c>
    </row>
    <row r="9410" spans="1:6" x14ac:dyDescent="0.2">
      <c r="A9410" s="29" t="s">
        <v>22360</v>
      </c>
      <c r="B9410" s="30" t="s">
        <v>22361</v>
      </c>
      <c r="C9410" s="29" t="s">
        <v>26</v>
      </c>
      <c r="D9410" s="31">
        <v>7673.32</v>
      </c>
      <c r="F9410" s="3" t="str">
        <f t="shared" ref="F9410:F9473" si="147">A9410</f>
        <v>I9703</v>
      </c>
    </row>
    <row r="9411" spans="1:6" x14ac:dyDescent="0.2">
      <c r="A9411" s="29" t="s">
        <v>22362</v>
      </c>
      <c r="B9411" s="30" t="s">
        <v>22363</v>
      </c>
      <c r="C9411" s="29" t="s">
        <v>26</v>
      </c>
      <c r="D9411" s="31">
        <v>1096.9000000000001</v>
      </c>
      <c r="F9411" s="3" t="str">
        <f t="shared" si="147"/>
        <v>I13257</v>
      </c>
    </row>
    <row r="9412" spans="1:6" x14ac:dyDescent="0.2">
      <c r="A9412" s="29" t="s">
        <v>22364</v>
      </c>
      <c r="B9412" s="30" t="s">
        <v>22365</v>
      </c>
      <c r="C9412" s="29" t="s">
        <v>26</v>
      </c>
      <c r="D9412" s="31">
        <v>1584.41</v>
      </c>
      <c r="F9412" s="3" t="str">
        <f t="shared" si="147"/>
        <v>I13258</v>
      </c>
    </row>
    <row r="9413" spans="1:6" x14ac:dyDescent="0.2">
      <c r="A9413" s="29" t="s">
        <v>22366</v>
      </c>
      <c r="B9413" s="30" t="s">
        <v>22367</v>
      </c>
      <c r="C9413" s="29" t="s">
        <v>26</v>
      </c>
      <c r="D9413" s="31">
        <v>31.34</v>
      </c>
      <c r="F9413" s="3" t="str">
        <f t="shared" si="147"/>
        <v>I13251</v>
      </c>
    </row>
    <row r="9414" spans="1:6" x14ac:dyDescent="0.2">
      <c r="A9414" s="29" t="s">
        <v>22368</v>
      </c>
      <c r="B9414" s="30" t="s">
        <v>22369</v>
      </c>
      <c r="C9414" s="29" t="s">
        <v>26</v>
      </c>
      <c r="D9414" s="31">
        <v>78.349999999999994</v>
      </c>
      <c r="F9414" s="3" t="str">
        <f t="shared" si="147"/>
        <v>I13252</v>
      </c>
    </row>
    <row r="9415" spans="1:6" x14ac:dyDescent="0.2">
      <c r="A9415" s="29" t="s">
        <v>22370</v>
      </c>
      <c r="B9415" s="30" t="s">
        <v>22371</v>
      </c>
      <c r="C9415" s="29" t="s">
        <v>26</v>
      </c>
      <c r="D9415" s="31">
        <v>130.59</v>
      </c>
      <c r="F9415" s="3" t="str">
        <f t="shared" si="147"/>
        <v>I13253</v>
      </c>
    </row>
    <row r="9416" spans="1:6" x14ac:dyDescent="0.2">
      <c r="A9416" s="29" t="s">
        <v>22372</v>
      </c>
      <c r="B9416" s="30" t="s">
        <v>22373</v>
      </c>
      <c r="C9416" s="29" t="s">
        <v>26</v>
      </c>
      <c r="D9416" s="31">
        <v>212.41</v>
      </c>
      <c r="F9416" s="3" t="str">
        <f t="shared" si="147"/>
        <v>I13254</v>
      </c>
    </row>
    <row r="9417" spans="1:6" x14ac:dyDescent="0.2">
      <c r="A9417" s="29" t="s">
        <v>22374</v>
      </c>
      <c r="B9417" s="30" t="s">
        <v>22375</v>
      </c>
      <c r="C9417" s="29" t="s">
        <v>26</v>
      </c>
      <c r="D9417" s="31">
        <v>315.14</v>
      </c>
      <c r="F9417" s="3" t="str">
        <f t="shared" si="147"/>
        <v>I13255</v>
      </c>
    </row>
    <row r="9418" spans="1:6" x14ac:dyDescent="0.2">
      <c r="A9418" s="29" t="s">
        <v>22376</v>
      </c>
      <c r="B9418" s="30" t="s">
        <v>22377</v>
      </c>
      <c r="C9418" s="29" t="s">
        <v>26</v>
      </c>
      <c r="D9418" s="31">
        <v>609.39</v>
      </c>
      <c r="F9418" s="3" t="str">
        <f t="shared" si="147"/>
        <v>I13256</v>
      </c>
    </row>
    <row r="9419" spans="1:6" x14ac:dyDescent="0.2">
      <c r="A9419" s="29" t="s">
        <v>22378</v>
      </c>
      <c r="B9419" s="30" t="s">
        <v>22379</v>
      </c>
      <c r="C9419" s="29" t="s">
        <v>26</v>
      </c>
      <c r="D9419" s="31">
        <v>3849.51</v>
      </c>
      <c r="F9419" s="3" t="str">
        <f t="shared" si="147"/>
        <v>I13183</v>
      </c>
    </row>
    <row r="9420" spans="1:6" x14ac:dyDescent="0.2">
      <c r="A9420" s="29" t="s">
        <v>22380</v>
      </c>
      <c r="B9420" s="30" t="s">
        <v>22381</v>
      </c>
      <c r="C9420" s="29" t="s">
        <v>26</v>
      </c>
      <c r="D9420" s="31">
        <v>13429.95</v>
      </c>
      <c r="F9420" s="3" t="str">
        <f t="shared" si="147"/>
        <v>I13184</v>
      </c>
    </row>
    <row r="9421" spans="1:6" x14ac:dyDescent="0.2">
      <c r="A9421" s="29" t="s">
        <v>22382</v>
      </c>
      <c r="B9421" s="30" t="s">
        <v>22383</v>
      </c>
      <c r="C9421" s="29" t="s">
        <v>26</v>
      </c>
      <c r="D9421" s="31">
        <v>81.569999999999993</v>
      </c>
      <c r="F9421" s="3" t="str">
        <f t="shared" si="147"/>
        <v>I13178</v>
      </c>
    </row>
    <row r="9422" spans="1:6" x14ac:dyDescent="0.2">
      <c r="A9422" s="29" t="s">
        <v>22384</v>
      </c>
      <c r="B9422" s="30" t="s">
        <v>22385</v>
      </c>
      <c r="C9422" s="29" t="s">
        <v>26</v>
      </c>
      <c r="D9422" s="31">
        <v>219.6</v>
      </c>
      <c r="F9422" s="3" t="str">
        <f t="shared" si="147"/>
        <v>I13179</v>
      </c>
    </row>
    <row r="9423" spans="1:6" x14ac:dyDescent="0.2">
      <c r="A9423" s="29" t="s">
        <v>22386</v>
      </c>
      <c r="B9423" s="30" t="s">
        <v>22387</v>
      </c>
      <c r="C9423" s="29" t="s">
        <v>26</v>
      </c>
      <c r="D9423" s="31">
        <v>321.08</v>
      </c>
      <c r="F9423" s="3" t="str">
        <f t="shared" si="147"/>
        <v>I13180</v>
      </c>
    </row>
    <row r="9424" spans="1:6" x14ac:dyDescent="0.2">
      <c r="A9424" s="29" t="s">
        <v>22388</v>
      </c>
      <c r="B9424" s="30" t="s">
        <v>22389</v>
      </c>
      <c r="C9424" s="29" t="s">
        <v>26</v>
      </c>
      <c r="D9424" s="31">
        <v>1044.6500000000001</v>
      </c>
      <c r="F9424" s="3" t="str">
        <f t="shared" si="147"/>
        <v>I13181</v>
      </c>
    </row>
    <row r="9425" spans="1:6" x14ac:dyDescent="0.2">
      <c r="A9425" s="29" t="s">
        <v>22390</v>
      </c>
      <c r="B9425" s="30" t="s">
        <v>22391</v>
      </c>
      <c r="C9425" s="29" t="s">
        <v>26</v>
      </c>
      <c r="D9425" s="31">
        <v>2166.12</v>
      </c>
      <c r="F9425" s="3" t="str">
        <f t="shared" si="147"/>
        <v>I13182</v>
      </c>
    </row>
    <row r="9426" spans="1:6" x14ac:dyDescent="0.2">
      <c r="A9426" s="29" t="s">
        <v>22392</v>
      </c>
      <c r="B9426" s="30" t="s">
        <v>22393</v>
      </c>
      <c r="C9426" s="29" t="s">
        <v>26</v>
      </c>
      <c r="D9426" s="31">
        <v>373.38</v>
      </c>
      <c r="F9426" s="3" t="str">
        <f t="shared" si="147"/>
        <v>I9204</v>
      </c>
    </row>
    <row r="9427" spans="1:6" x14ac:dyDescent="0.2">
      <c r="A9427" s="29" t="s">
        <v>22394</v>
      </c>
      <c r="B9427" s="30" t="s">
        <v>22395</v>
      </c>
      <c r="C9427" s="29" t="s">
        <v>26</v>
      </c>
      <c r="D9427" s="31">
        <v>11888.29</v>
      </c>
      <c r="F9427" s="3" t="str">
        <f t="shared" si="147"/>
        <v>I9212</v>
      </c>
    </row>
    <row r="9428" spans="1:6" x14ac:dyDescent="0.2">
      <c r="A9428" s="29" t="s">
        <v>22396</v>
      </c>
      <c r="B9428" s="30" t="s">
        <v>22397</v>
      </c>
      <c r="C9428" s="29" t="s">
        <v>26</v>
      </c>
      <c r="D9428" s="31">
        <v>247.53</v>
      </c>
      <c r="F9428" s="3" t="str">
        <f t="shared" si="147"/>
        <v>I7114</v>
      </c>
    </row>
    <row r="9429" spans="1:6" x14ac:dyDescent="0.2">
      <c r="A9429" s="29" t="s">
        <v>22398</v>
      </c>
      <c r="B9429" s="30" t="s">
        <v>22399</v>
      </c>
      <c r="C9429" s="29" t="s">
        <v>26</v>
      </c>
      <c r="D9429" s="31">
        <v>4771.58</v>
      </c>
      <c r="F9429" s="3" t="str">
        <f t="shared" si="147"/>
        <v>I7113</v>
      </c>
    </row>
    <row r="9430" spans="1:6" x14ac:dyDescent="0.2">
      <c r="A9430" s="29" t="s">
        <v>22400</v>
      </c>
      <c r="B9430" s="30" t="s">
        <v>22401</v>
      </c>
      <c r="C9430" s="29" t="s">
        <v>26</v>
      </c>
      <c r="D9430" s="31">
        <v>373.38</v>
      </c>
      <c r="F9430" s="3" t="str">
        <f t="shared" si="147"/>
        <v>I9203</v>
      </c>
    </row>
    <row r="9431" spans="1:6" x14ac:dyDescent="0.2">
      <c r="A9431" s="29" t="s">
        <v>22402</v>
      </c>
      <c r="B9431" s="30" t="s">
        <v>22403</v>
      </c>
      <c r="C9431" s="29" t="s">
        <v>26</v>
      </c>
      <c r="D9431" s="31">
        <v>406.56</v>
      </c>
      <c r="F9431" s="3" t="str">
        <f t="shared" si="147"/>
        <v>I9205</v>
      </c>
    </row>
    <row r="9432" spans="1:6" x14ac:dyDescent="0.2">
      <c r="A9432" s="29" t="s">
        <v>22404</v>
      </c>
      <c r="B9432" s="30" t="s">
        <v>22405</v>
      </c>
      <c r="C9432" s="29" t="s">
        <v>26</v>
      </c>
      <c r="D9432" s="31">
        <v>563.89</v>
      </c>
      <c r="F9432" s="3" t="str">
        <f t="shared" si="147"/>
        <v>I9206</v>
      </c>
    </row>
    <row r="9433" spans="1:6" x14ac:dyDescent="0.2">
      <c r="A9433" s="29" t="s">
        <v>22406</v>
      </c>
      <c r="B9433" s="30" t="s">
        <v>22407</v>
      </c>
      <c r="C9433" s="29" t="s">
        <v>26</v>
      </c>
      <c r="D9433" s="31">
        <v>854.65</v>
      </c>
      <c r="F9433" s="3" t="str">
        <f t="shared" si="147"/>
        <v>I9207</v>
      </c>
    </row>
    <row r="9434" spans="1:6" x14ac:dyDescent="0.2">
      <c r="A9434" s="29" t="s">
        <v>22408</v>
      </c>
      <c r="B9434" s="30" t="s">
        <v>22409</v>
      </c>
      <c r="C9434" s="29" t="s">
        <v>26</v>
      </c>
      <c r="D9434" s="31">
        <v>1146.04</v>
      </c>
      <c r="F9434" s="3" t="str">
        <f t="shared" si="147"/>
        <v>I9208</v>
      </c>
    </row>
    <row r="9435" spans="1:6" x14ac:dyDescent="0.2">
      <c r="A9435" s="29" t="s">
        <v>22410</v>
      </c>
      <c r="B9435" s="30" t="s">
        <v>22411</v>
      </c>
      <c r="C9435" s="29" t="s">
        <v>26</v>
      </c>
      <c r="D9435" s="31">
        <v>1602.49</v>
      </c>
      <c r="F9435" s="3" t="str">
        <f t="shared" si="147"/>
        <v>I9209</v>
      </c>
    </row>
    <row r="9436" spans="1:6" x14ac:dyDescent="0.2">
      <c r="A9436" s="29" t="s">
        <v>22412</v>
      </c>
      <c r="B9436" s="30" t="s">
        <v>22413</v>
      </c>
      <c r="C9436" s="29" t="s">
        <v>26</v>
      </c>
      <c r="D9436" s="31">
        <v>3336.39</v>
      </c>
      <c r="F9436" s="3" t="str">
        <f t="shared" si="147"/>
        <v>I9210</v>
      </c>
    </row>
    <row r="9437" spans="1:6" x14ac:dyDescent="0.2">
      <c r="A9437" s="29" t="s">
        <v>22414</v>
      </c>
      <c r="B9437" s="30" t="s">
        <v>22415</v>
      </c>
      <c r="C9437" s="29" t="s">
        <v>26</v>
      </c>
      <c r="D9437" s="31">
        <v>3791.82</v>
      </c>
      <c r="F9437" s="3" t="str">
        <f t="shared" si="147"/>
        <v>I9211</v>
      </c>
    </row>
    <row r="9438" spans="1:6" x14ac:dyDescent="0.2">
      <c r="A9438" s="29" t="s">
        <v>22416</v>
      </c>
      <c r="B9438" s="30" t="s">
        <v>22417</v>
      </c>
      <c r="C9438" s="29" t="s">
        <v>26</v>
      </c>
      <c r="D9438" s="31">
        <v>5122.5</v>
      </c>
      <c r="F9438" s="3" t="str">
        <f t="shared" si="147"/>
        <v>I9213</v>
      </c>
    </row>
    <row r="9439" spans="1:6" x14ac:dyDescent="0.2">
      <c r="A9439" s="29" t="s">
        <v>22418</v>
      </c>
      <c r="B9439" s="30" t="s">
        <v>22419</v>
      </c>
      <c r="C9439" s="29" t="s">
        <v>26</v>
      </c>
      <c r="D9439" s="31">
        <v>16151.74</v>
      </c>
      <c r="F9439" s="3" t="str">
        <f t="shared" si="147"/>
        <v>I9214</v>
      </c>
    </row>
    <row r="9440" spans="1:6" x14ac:dyDescent="0.2">
      <c r="A9440" s="29" t="s">
        <v>22420</v>
      </c>
      <c r="B9440" s="30" t="s">
        <v>22421</v>
      </c>
      <c r="C9440" s="29" t="s">
        <v>26</v>
      </c>
      <c r="D9440" s="31">
        <v>25613.68</v>
      </c>
      <c r="F9440" s="3" t="str">
        <f t="shared" si="147"/>
        <v>I9215</v>
      </c>
    </row>
    <row r="9441" spans="1:6" x14ac:dyDescent="0.2">
      <c r="A9441" s="29" t="s">
        <v>22422</v>
      </c>
      <c r="B9441" s="30" t="s">
        <v>22423</v>
      </c>
      <c r="C9441" s="29" t="s">
        <v>26</v>
      </c>
      <c r="D9441" s="31">
        <v>27641.57</v>
      </c>
      <c r="F9441" s="3" t="str">
        <f t="shared" si="147"/>
        <v>I9216</v>
      </c>
    </row>
    <row r="9442" spans="1:6" x14ac:dyDescent="0.2">
      <c r="A9442" s="29" t="s">
        <v>22424</v>
      </c>
      <c r="B9442" s="30" t="s">
        <v>22425</v>
      </c>
      <c r="C9442" s="29" t="s">
        <v>26</v>
      </c>
      <c r="D9442" s="31">
        <v>38892.67</v>
      </c>
      <c r="F9442" s="3" t="str">
        <f t="shared" si="147"/>
        <v>I9217</v>
      </c>
    </row>
    <row r="9443" spans="1:6" x14ac:dyDescent="0.2">
      <c r="A9443" s="29" t="s">
        <v>22426</v>
      </c>
      <c r="B9443" s="30" t="s">
        <v>22427</v>
      </c>
      <c r="C9443" s="29" t="s">
        <v>26</v>
      </c>
      <c r="D9443" s="31">
        <v>45192.53</v>
      </c>
      <c r="F9443" s="3" t="str">
        <f t="shared" si="147"/>
        <v>I9218</v>
      </c>
    </row>
    <row r="9444" spans="1:6" x14ac:dyDescent="0.2">
      <c r="A9444" s="29" t="s">
        <v>22428</v>
      </c>
      <c r="B9444" s="30" t="s">
        <v>22429</v>
      </c>
      <c r="C9444" s="29" t="s">
        <v>26</v>
      </c>
      <c r="D9444" s="31">
        <v>70716.59</v>
      </c>
      <c r="F9444" s="3" t="str">
        <f t="shared" si="147"/>
        <v>I9219</v>
      </c>
    </row>
    <row r="9445" spans="1:6" x14ac:dyDescent="0.2">
      <c r="A9445" s="29" t="s">
        <v>22430</v>
      </c>
      <c r="B9445" s="30" t="s">
        <v>22431</v>
      </c>
      <c r="C9445" s="29" t="s">
        <v>26</v>
      </c>
      <c r="D9445" s="31">
        <v>154.69999999999999</v>
      </c>
      <c r="F9445" s="3" t="str">
        <f t="shared" si="147"/>
        <v>I10594</v>
      </c>
    </row>
    <row r="9446" spans="1:6" x14ac:dyDescent="0.2">
      <c r="A9446" s="29" t="s">
        <v>22432</v>
      </c>
      <c r="B9446" s="30" t="s">
        <v>22433</v>
      </c>
      <c r="C9446" s="29" t="s">
        <v>26</v>
      </c>
      <c r="D9446" s="31">
        <v>251.4</v>
      </c>
      <c r="F9446" s="3" t="str">
        <f t="shared" si="147"/>
        <v>I3346</v>
      </c>
    </row>
    <row r="9447" spans="1:6" x14ac:dyDescent="0.2">
      <c r="A9447" s="29" t="s">
        <v>22434</v>
      </c>
      <c r="B9447" s="30" t="s">
        <v>22435</v>
      </c>
      <c r="C9447" s="29" t="s">
        <v>26</v>
      </c>
      <c r="D9447" s="31">
        <v>313.54000000000002</v>
      </c>
      <c r="F9447" s="3" t="str">
        <f t="shared" si="147"/>
        <v>I3347</v>
      </c>
    </row>
    <row r="9448" spans="1:6" x14ac:dyDescent="0.2">
      <c r="A9448" s="29" t="s">
        <v>22436</v>
      </c>
      <c r="B9448" s="30" t="s">
        <v>22437</v>
      </c>
      <c r="C9448" s="29" t="s">
        <v>26</v>
      </c>
      <c r="D9448" s="31">
        <v>473.39</v>
      </c>
      <c r="F9448" s="3" t="str">
        <f t="shared" si="147"/>
        <v>I3348</v>
      </c>
    </row>
    <row r="9449" spans="1:6" x14ac:dyDescent="0.2">
      <c r="A9449" s="29" t="s">
        <v>22438</v>
      </c>
      <c r="B9449" s="30" t="s">
        <v>22439</v>
      </c>
      <c r="C9449" s="29" t="s">
        <v>26</v>
      </c>
      <c r="D9449" s="31">
        <v>657.48</v>
      </c>
      <c r="F9449" s="3" t="str">
        <f t="shared" si="147"/>
        <v>I3349</v>
      </c>
    </row>
    <row r="9450" spans="1:6" x14ac:dyDescent="0.2">
      <c r="A9450" s="29" t="s">
        <v>22440</v>
      </c>
      <c r="B9450" s="30" t="s">
        <v>22441</v>
      </c>
      <c r="C9450" s="29" t="s">
        <v>26</v>
      </c>
      <c r="D9450" s="31">
        <v>1392.31</v>
      </c>
      <c r="F9450" s="3" t="str">
        <f t="shared" si="147"/>
        <v>I3350</v>
      </c>
    </row>
    <row r="9451" spans="1:6" x14ac:dyDescent="0.2">
      <c r="A9451" s="29" t="s">
        <v>22442</v>
      </c>
      <c r="B9451" s="30" t="s">
        <v>22443</v>
      </c>
      <c r="C9451" s="29" t="s">
        <v>26</v>
      </c>
      <c r="D9451" s="31">
        <v>1871.76</v>
      </c>
      <c r="F9451" s="3" t="str">
        <f t="shared" si="147"/>
        <v>I3351</v>
      </c>
    </row>
    <row r="9452" spans="1:6" x14ac:dyDescent="0.2">
      <c r="A9452" s="29" t="s">
        <v>22444</v>
      </c>
      <c r="B9452" s="30" t="s">
        <v>22445</v>
      </c>
      <c r="C9452" s="29" t="s">
        <v>26</v>
      </c>
      <c r="D9452" s="31">
        <v>2707.28</v>
      </c>
      <c r="F9452" s="3" t="str">
        <f t="shared" si="147"/>
        <v>I3352</v>
      </c>
    </row>
    <row r="9453" spans="1:6" x14ac:dyDescent="0.2">
      <c r="A9453" s="29" t="s">
        <v>22446</v>
      </c>
      <c r="B9453" s="30" t="s">
        <v>22447</v>
      </c>
      <c r="C9453" s="29" t="s">
        <v>26</v>
      </c>
      <c r="D9453" s="31">
        <v>3432.44</v>
      </c>
      <c r="F9453" s="3" t="str">
        <f t="shared" si="147"/>
        <v>I3353</v>
      </c>
    </row>
    <row r="9454" spans="1:6" x14ac:dyDescent="0.2">
      <c r="A9454" s="29" t="s">
        <v>22448</v>
      </c>
      <c r="B9454" s="30" t="s">
        <v>22449</v>
      </c>
      <c r="C9454" s="29" t="s">
        <v>26</v>
      </c>
      <c r="D9454" s="31">
        <v>5944.17</v>
      </c>
      <c r="F9454" s="3" t="str">
        <f t="shared" si="147"/>
        <v>I3354</v>
      </c>
    </row>
    <row r="9455" spans="1:6" x14ac:dyDescent="0.2">
      <c r="A9455" s="29" t="s">
        <v>22450</v>
      </c>
      <c r="B9455" s="30" t="s">
        <v>22451</v>
      </c>
      <c r="C9455" s="29" t="s">
        <v>26</v>
      </c>
      <c r="D9455" s="31">
        <v>10326.33</v>
      </c>
      <c r="F9455" s="3" t="str">
        <f t="shared" si="147"/>
        <v>I3355</v>
      </c>
    </row>
    <row r="9456" spans="1:6" x14ac:dyDescent="0.2">
      <c r="A9456" s="29" t="s">
        <v>22452</v>
      </c>
      <c r="B9456" s="30" t="s">
        <v>22453</v>
      </c>
      <c r="C9456" s="29" t="s">
        <v>26</v>
      </c>
      <c r="D9456" s="31">
        <v>17974.37</v>
      </c>
      <c r="F9456" s="3" t="str">
        <f t="shared" si="147"/>
        <v>I3356</v>
      </c>
    </row>
    <row r="9457" spans="1:6" x14ac:dyDescent="0.2">
      <c r="A9457" s="29" t="s">
        <v>22454</v>
      </c>
      <c r="B9457" s="30" t="s">
        <v>22455</v>
      </c>
      <c r="C9457" s="29" t="s">
        <v>26</v>
      </c>
      <c r="D9457" s="31">
        <v>26125.21</v>
      </c>
      <c r="F9457" s="3" t="str">
        <f t="shared" si="147"/>
        <v>I3357</v>
      </c>
    </row>
    <row r="9458" spans="1:6" x14ac:dyDescent="0.2">
      <c r="A9458" s="29" t="s">
        <v>22456</v>
      </c>
      <c r="B9458" s="30" t="s">
        <v>22457</v>
      </c>
      <c r="C9458" s="29" t="s">
        <v>26</v>
      </c>
      <c r="D9458" s="31">
        <v>30456.85</v>
      </c>
      <c r="F9458" s="3" t="str">
        <f t="shared" si="147"/>
        <v>I3358</v>
      </c>
    </row>
    <row r="9459" spans="1:6" x14ac:dyDescent="0.2">
      <c r="A9459" s="29" t="s">
        <v>22458</v>
      </c>
      <c r="B9459" s="30" t="s">
        <v>22459</v>
      </c>
      <c r="C9459" s="29" t="s">
        <v>26</v>
      </c>
      <c r="D9459" s="31">
        <v>45636.93</v>
      </c>
      <c r="F9459" s="3" t="str">
        <f t="shared" si="147"/>
        <v>I3359</v>
      </c>
    </row>
    <row r="9460" spans="1:6" x14ac:dyDescent="0.2">
      <c r="A9460" s="29" t="s">
        <v>22460</v>
      </c>
      <c r="B9460" s="30" t="s">
        <v>22461</v>
      </c>
      <c r="C9460" s="29" t="s">
        <v>26</v>
      </c>
      <c r="D9460" s="31">
        <v>87628.7</v>
      </c>
      <c r="F9460" s="3" t="str">
        <f t="shared" si="147"/>
        <v>I3360</v>
      </c>
    </row>
    <row r="9461" spans="1:6" x14ac:dyDescent="0.2">
      <c r="A9461" s="29" t="s">
        <v>22462</v>
      </c>
      <c r="B9461" s="30" t="s">
        <v>22463</v>
      </c>
      <c r="C9461" s="29" t="s">
        <v>26</v>
      </c>
      <c r="D9461" s="31">
        <v>21.71</v>
      </c>
      <c r="F9461" s="3" t="str">
        <f t="shared" si="147"/>
        <v>I2985</v>
      </c>
    </row>
    <row r="9462" spans="1:6" x14ac:dyDescent="0.2">
      <c r="A9462" s="29" t="s">
        <v>22464</v>
      </c>
      <c r="B9462" s="30" t="s">
        <v>22465</v>
      </c>
      <c r="C9462" s="29" t="s">
        <v>26</v>
      </c>
      <c r="D9462" s="31">
        <v>182.57</v>
      </c>
      <c r="F9462" s="3" t="str">
        <f t="shared" si="147"/>
        <v>I2977</v>
      </c>
    </row>
    <row r="9463" spans="1:6" x14ac:dyDescent="0.2">
      <c r="A9463" s="29" t="s">
        <v>22466</v>
      </c>
      <c r="B9463" s="30" t="s">
        <v>22467</v>
      </c>
      <c r="C9463" s="29" t="s">
        <v>26</v>
      </c>
      <c r="D9463" s="31">
        <v>182.57</v>
      </c>
      <c r="F9463" s="3" t="str">
        <f t="shared" si="147"/>
        <v>I2978</v>
      </c>
    </row>
    <row r="9464" spans="1:6" x14ac:dyDescent="0.2">
      <c r="A9464" s="29" t="s">
        <v>22468</v>
      </c>
      <c r="B9464" s="30" t="s">
        <v>22469</v>
      </c>
      <c r="C9464" s="29" t="s">
        <v>26</v>
      </c>
      <c r="D9464" s="31">
        <v>182.57</v>
      </c>
      <c r="F9464" s="3" t="str">
        <f t="shared" si="147"/>
        <v>I2979</v>
      </c>
    </row>
    <row r="9465" spans="1:6" x14ac:dyDescent="0.2">
      <c r="A9465" s="29" t="s">
        <v>22470</v>
      </c>
      <c r="B9465" s="30" t="s">
        <v>22471</v>
      </c>
      <c r="C9465" s="29" t="s">
        <v>26</v>
      </c>
      <c r="D9465" s="31">
        <v>312.12</v>
      </c>
      <c r="F9465" s="3" t="str">
        <f t="shared" si="147"/>
        <v>I2980</v>
      </c>
    </row>
    <row r="9466" spans="1:6" x14ac:dyDescent="0.2">
      <c r="A9466" s="29" t="s">
        <v>22472</v>
      </c>
      <c r="B9466" s="30" t="s">
        <v>22473</v>
      </c>
      <c r="C9466" s="29" t="s">
        <v>26</v>
      </c>
      <c r="D9466" s="31">
        <v>483.01</v>
      </c>
      <c r="F9466" s="3" t="str">
        <f t="shared" si="147"/>
        <v>I2981</v>
      </c>
    </row>
    <row r="9467" spans="1:6" x14ac:dyDescent="0.2">
      <c r="A9467" s="29" t="s">
        <v>22474</v>
      </c>
      <c r="B9467" s="30" t="s">
        <v>22475</v>
      </c>
      <c r="C9467" s="29" t="s">
        <v>26</v>
      </c>
      <c r="D9467" s="31">
        <v>1197.33</v>
      </c>
      <c r="F9467" s="3" t="str">
        <f t="shared" si="147"/>
        <v>I2982</v>
      </c>
    </row>
    <row r="9468" spans="1:6" x14ac:dyDescent="0.2">
      <c r="A9468" s="29" t="s">
        <v>22476</v>
      </c>
      <c r="B9468" s="30" t="s">
        <v>22477</v>
      </c>
      <c r="C9468" s="29" t="s">
        <v>26</v>
      </c>
      <c r="D9468" s="31">
        <v>1197.33</v>
      </c>
      <c r="F9468" s="3" t="str">
        <f t="shared" si="147"/>
        <v>I2983</v>
      </c>
    </row>
    <row r="9469" spans="1:6" x14ac:dyDescent="0.2">
      <c r="A9469" s="29" t="s">
        <v>22478</v>
      </c>
      <c r="B9469" s="30" t="s">
        <v>22479</v>
      </c>
      <c r="C9469" s="29" t="s">
        <v>26</v>
      </c>
      <c r="D9469" s="31">
        <v>1733.55</v>
      </c>
      <c r="F9469" s="3" t="str">
        <f t="shared" si="147"/>
        <v>I2984</v>
      </c>
    </row>
    <row r="9470" spans="1:6" x14ac:dyDescent="0.2">
      <c r="A9470" s="29" t="s">
        <v>22480</v>
      </c>
      <c r="B9470" s="30" t="s">
        <v>22481</v>
      </c>
      <c r="C9470" s="29" t="s">
        <v>26</v>
      </c>
      <c r="D9470" s="31">
        <v>182.57</v>
      </c>
      <c r="F9470" s="3" t="str">
        <f t="shared" si="147"/>
        <v>I7549</v>
      </c>
    </row>
    <row r="9471" spans="1:6" x14ac:dyDescent="0.2">
      <c r="A9471" s="29" t="s">
        <v>22482</v>
      </c>
      <c r="B9471" s="30" t="s">
        <v>22483</v>
      </c>
      <c r="C9471" s="29" t="s">
        <v>26</v>
      </c>
      <c r="D9471" s="31">
        <v>93.83</v>
      </c>
      <c r="F9471" s="3" t="str">
        <f t="shared" si="147"/>
        <v>I3110</v>
      </c>
    </row>
    <row r="9472" spans="1:6" x14ac:dyDescent="0.2">
      <c r="A9472" s="29" t="s">
        <v>22484</v>
      </c>
      <c r="B9472" s="30" t="s">
        <v>22485</v>
      </c>
      <c r="C9472" s="29" t="s">
        <v>26</v>
      </c>
      <c r="D9472" s="31">
        <v>191.68</v>
      </c>
      <c r="F9472" s="3" t="str">
        <f t="shared" si="147"/>
        <v>I3111</v>
      </c>
    </row>
    <row r="9473" spans="1:6" x14ac:dyDescent="0.2">
      <c r="A9473" s="29" t="s">
        <v>22486</v>
      </c>
      <c r="B9473" s="30" t="s">
        <v>22487</v>
      </c>
      <c r="C9473" s="29" t="s">
        <v>26</v>
      </c>
      <c r="D9473" s="31">
        <v>384.8</v>
      </c>
      <c r="F9473" s="3" t="str">
        <f t="shared" si="147"/>
        <v>I3112</v>
      </c>
    </row>
    <row r="9474" spans="1:6" x14ac:dyDescent="0.2">
      <c r="A9474" s="29" t="s">
        <v>22488</v>
      </c>
      <c r="B9474" s="30" t="s">
        <v>22489</v>
      </c>
      <c r="C9474" s="29" t="s">
        <v>26</v>
      </c>
      <c r="D9474" s="31">
        <v>221.28</v>
      </c>
      <c r="F9474" s="3" t="str">
        <f t="shared" ref="F9474:F9537" si="148">A9474</f>
        <v>I6855</v>
      </c>
    </row>
    <row r="9475" spans="1:6" x14ac:dyDescent="0.2">
      <c r="A9475" s="29" t="s">
        <v>22490</v>
      </c>
      <c r="B9475" s="30" t="s">
        <v>22491</v>
      </c>
      <c r="C9475" s="29" t="s">
        <v>26</v>
      </c>
      <c r="D9475" s="31">
        <v>21.71</v>
      </c>
      <c r="F9475" s="3" t="str">
        <f t="shared" si="148"/>
        <v>I6862</v>
      </c>
    </row>
    <row r="9476" spans="1:6" x14ac:dyDescent="0.2">
      <c r="A9476" s="29" t="s">
        <v>22492</v>
      </c>
      <c r="B9476" s="30" t="s">
        <v>22493</v>
      </c>
      <c r="C9476" s="29" t="s">
        <v>26</v>
      </c>
      <c r="D9476" s="31">
        <v>182.57</v>
      </c>
      <c r="F9476" s="3" t="str">
        <f t="shared" si="148"/>
        <v>I6856</v>
      </c>
    </row>
    <row r="9477" spans="1:6" x14ac:dyDescent="0.2">
      <c r="A9477" s="29" t="s">
        <v>22494</v>
      </c>
      <c r="B9477" s="30" t="s">
        <v>22495</v>
      </c>
      <c r="C9477" s="29" t="s">
        <v>26</v>
      </c>
      <c r="D9477" s="31">
        <v>312.12</v>
      </c>
      <c r="F9477" s="3" t="str">
        <f t="shared" si="148"/>
        <v>I6857</v>
      </c>
    </row>
    <row r="9478" spans="1:6" x14ac:dyDescent="0.2">
      <c r="A9478" s="29" t="s">
        <v>22496</v>
      </c>
      <c r="B9478" s="30" t="s">
        <v>22497</v>
      </c>
      <c r="C9478" s="29" t="s">
        <v>26</v>
      </c>
      <c r="D9478" s="31">
        <v>483.01</v>
      </c>
      <c r="F9478" s="3" t="str">
        <f t="shared" si="148"/>
        <v>I6858</v>
      </c>
    </row>
    <row r="9479" spans="1:6" x14ac:dyDescent="0.2">
      <c r="A9479" s="29" t="s">
        <v>22498</v>
      </c>
      <c r="B9479" s="30" t="s">
        <v>22499</v>
      </c>
      <c r="C9479" s="29" t="s">
        <v>26</v>
      </c>
      <c r="D9479" s="31">
        <v>1197.33</v>
      </c>
      <c r="F9479" s="3" t="str">
        <f t="shared" si="148"/>
        <v>I6859</v>
      </c>
    </row>
    <row r="9480" spans="1:6" x14ac:dyDescent="0.2">
      <c r="A9480" s="29" t="s">
        <v>22500</v>
      </c>
      <c r="B9480" s="30" t="s">
        <v>22501</v>
      </c>
      <c r="C9480" s="29" t="s">
        <v>26</v>
      </c>
      <c r="D9480" s="31">
        <v>1197.33</v>
      </c>
      <c r="F9480" s="3" t="str">
        <f t="shared" si="148"/>
        <v>I6860</v>
      </c>
    </row>
    <row r="9481" spans="1:6" x14ac:dyDescent="0.2">
      <c r="A9481" s="29" t="s">
        <v>22502</v>
      </c>
      <c r="B9481" s="30" t="s">
        <v>22503</v>
      </c>
      <c r="C9481" s="29" t="s">
        <v>26</v>
      </c>
      <c r="D9481" s="31">
        <v>1197.33</v>
      </c>
      <c r="F9481" s="3" t="str">
        <f t="shared" si="148"/>
        <v>I6861</v>
      </c>
    </row>
    <row r="9482" spans="1:6" x14ac:dyDescent="0.2">
      <c r="A9482" s="29" t="s">
        <v>22504</v>
      </c>
      <c r="B9482" s="30" t="s">
        <v>22505</v>
      </c>
      <c r="C9482" s="29" t="s">
        <v>26</v>
      </c>
      <c r="D9482" s="31">
        <v>637.80999999999995</v>
      </c>
      <c r="F9482" s="3" t="str">
        <f t="shared" si="148"/>
        <v>I6978</v>
      </c>
    </row>
    <row r="9483" spans="1:6" x14ac:dyDescent="0.2">
      <c r="A9483" s="29" t="s">
        <v>22506</v>
      </c>
      <c r="B9483" s="30" t="s">
        <v>22507</v>
      </c>
      <c r="C9483" s="29" t="s">
        <v>26</v>
      </c>
      <c r="D9483" s="31">
        <v>1076.77</v>
      </c>
      <c r="F9483" s="3" t="str">
        <f t="shared" si="148"/>
        <v>I6979</v>
      </c>
    </row>
    <row r="9484" spans="1:6" x14ac:dyDescent="0.2">
      <c r="A9484" s="29" t="s">
        <v>22508</v>
      </c>
      <c r="B9484" s="30" t="s">
        <v>22509</v>
      </c>
      <c r="C9484" s="29" t="s">
        <v>26</v>
      </c>
      <c r="D9484" s="31">
        <v>1384.46</v>
      </c>
      <c r="F9484" s="3" t="str">
        <f t="shared" si="148"/>
        <v>I6980</v>
      </c>
    </row>
    <row r="9485" spans="1:6" x14ac:dyDescent="0.2">
      <c r="A9485" s="29" t="s">
        <v>22510</v>
      </c>
      <c r="B9485" s="30" t="s">
        <v>22511</v>
      </c>
      <c r="C9485" s="29" t="s">
        <v>26</v>
      </c>
      <c r="D9485" s="31">
        <v>2236.7800000000002</v>
      </c>
      <c r="F9485" s="3" t="str">
        <f t="shared" si="148"/>
        <v>I6981</v>
      </c>
    </row>
    <row r="9486" spans="1:6" x14ac:dyDescent="0.2">
      <c r="A9486" s="29" t="s">
        <v>22512</v>
      </c>
      <c r="B9486" s="30" t="s">
        <v>22513</v>
      </c>
      <c r="C9486" s="29" t="s">
        <v>26</v>
      </c>
      <c r="D9486" s="31">
        <v>1557.67</v>
      </c>
      <c r="F9486" s="3" t="str">
        <f t="shared" si="148"/>
        <v>I9704</v>
      </c>
    </row>
    <row r="9487" spans="1:6" x14ac:dyDescent="0.2">
      <c r="A9487" s="29" t="s">
        <v>22514</v>
      </c>
      <c r="B9487" s="30" t="s">
        <v>22515</v>
      </c>
      <c r="C9487" s="29" t="s">
        <v>26</v>
      </c>
      <c r="D9487" s="31">
        <v>39.94</v>
      </c>
      <c r="F9487" s="3" t="str">
        <f t="shared" si="148"/>
        <v>I9705</v>
      </c>
    </row>
    <row r="9488" spans="1:6" x14ac:dyDescent="0.2">
      <c r="A9488" s="29" t="s">
        <v>22516</v>
      </c>
      <c r="B9488" s="30" t="s">
        <v>22517</v>
      </c>
      <c r="C9488" s="29" t="s">
        <v>26</v>
      </c>
      <c r="D9488" s="31">
        <v>109.16</v>
      </c>
      <c r="F9488" s="3" t="str">
        <f t="shared" si="148"/>
        <v>I9706</v>
      </c>
    </row>
    <row r="9489" spans="1:6" x14ac:dyDescent="0.2">
      <c r="A9489" s="29" t="s">
        <v>22518</v>
      </c>
      <c r="B9489" s="30" t="s">
        <v>22519</v>
      </c>
      <c r="C9489" s="29" t="s">
        <v>26</v>
      </c>
      <c r="D9489" s="31">
        <v>218.36</v>
      </c>
      <c r="F9489" s="3" t="str">
        <f t="shared" si="148"/>
        <v>I9707</v>
      </c>
    </row>
    <row r="9490" spans="1:6" x14ac:dyDescent="0.2">
      <c r="A9490" s="29" t="s">
        <v>22520</v>
      </c>
      <c r="B9490" s="30" t="s">
        <v>22521</v>
      </c>
      <c r="C9490" s="29" t="s">
        <v>26</v>
      </c>
      <c r="D9490" s="31">
        <v>18687.29</v>
      </c>
      <c r="F9490" s="3" t="str">
        <f t="shared" si="148"/>
        <v>I9708</v>
      </c>
    </row>
    <row r="9491" spans="1:6" x14ac:dyDescent="0.2">
      <c r="A9491" s="29" t="s">
        <v>22522</v>
      </c>
      <c r="B9491" s="30" t="s">
        <v>22523</v>
      </c>
      <c r="C9491" s="29" t="s">
        <v>26</v>
      </c>
      <c r="D9491" s="31">
        <v>26858.5</v>
      </c>
      <c r="F9491" s="3" t="str">
        <f t="shared" si="148"/>
        <v>I9709</v>
      </c>
    </row>
    <row r="9492" spans="1:6" x14ac:dyDescent="0.2">
      <c r="A9492" s="29" t="s">
        <v>22524</v>
      </c>
      <c r="B9492" s="30" t="s">
        <v>22525</v>
      </c>
      <c r="C9492" s="29" t="s">
        <v>26</v>
      </c>
      <c r="D9492" s="31">
        <v>224.96</v>
      </c>
      <c r="F9492" s="3" t="str">
        <f t="shared" si="148"/>
        <v>I9710</v>
      </c>
    </row>
    <row r="9493" spans="1:6" x14ac:dyDescent="0.2">
      <c r="A9493" s="29" t="s">
        <v>22526</v>
      </c>
      <c r="B9493" s="30" t="s">
        <v>22527</v>
      </c>
      <c r="C9493" s="29" t="s">
        <v>26</v>
      </c>
      <c r="D9493" s="31">
        <v>145.85</v>
      </c>
      <c r="F9493" s="3" t="str">
        <f t="shared" si="148"/>
        <v>I9713</v>
      </c>
    </row>
    <row r="9494" spans="1:6" x14ac:dyDescent="0.2">
      <c r="A9494" s="29" t="s">
        <v>22528</v>
      </c>
      <c r="B9494" s="30" t="s">
        <v>22529</v>
      </c>
      <c r="C9494" s="29" t="s">
        <v>26</v>
      </c>
      <c r="D9494" s="31">
        <v>156.44999999999999</v>
      </c>
      <c r="F9494" s="3" t="str">
        <f t="shared" si="148"/>
        <v>I9712</v>
      </c>
    </row>
    <row r="9495" spans="1:6" x14ac:dyDescent="0.2">
      <c r="A9495" s="29" t="s">
        <v>22530</v>
      </c>
      <c r="B9495" s="30" t="s">
        <v>22531</v>
      </c>
      <c r="C9495" s="29" t="s">
        <v>26</v>
      </c>
      <c r="D9495" s="31">
        <v>99.53</v>
      </c>
      <c r="F9495" s="3" t="str">
        <f t="shared" si="148"/>
        <v>I9711</v>
      </c>
    </row>
    <row r="9496" spans="1:6" x14ac:dyDescent="0.2">
      <c r="A9496" s="29" t="s">
        <v>22532</v>
      </c>
      <c r="B9496" s="30" t="s">
        <v>22533</v>
      </c>
      <c r="C9496" s="29" t="s">
        <v>26</v>
      </c>
      <c r="D9496" s="31">
        <v>94.55</v>
      </c>
      <c r="F9496" s="3" t="str">
        <f t="shared" si="148"/>
        <v>I9714</v>
      </c>
    </row>
    <row r="9497" spans="1:6" x14ac:dyDescent="0.2">
      <c r="A9497" s="29" t="s">
        <v>22534</v>
      </c>
      <c r="B9497" s="30" t="s">
        <v>22535</v>
      </c>
      <c r="C9497" s="29" t="s">
        <v>26</v>
      </c>
      <c r="D9497" s="31">
        <v>24636.04</v>
      </c>
      <c r="F9497" s="3" t="str">
        <f t="shared" si="148"/>
        <v>I9715</v>
      </c>
    </row>
    <row r="9498" spans="1:6" x14ac:dyDescent="0.2">
      <c r="A9498" s="29" t="s">
        <v>22536</v>
      </c>
      <c r="B9498" s="30" t="s">
        <v>22537</v>
      </c>
      <c r="C9498" s="29" t="s">
        <v>26</v>
      </c>
      <c r="D9498" s="31">
        <v>11596.5</v>
      </c>
      <c r="F9498" s="3" t="str">
        <f t="shared" si="148"/>
        <v>I9716</v>
      </c>
    </row>
    <row r="9499" spans="1:6" x14ac:dyDescent="0.2">
      <c r="A9499" s="29" t="s">
        <v>22538</v>
      </c>
      <c r="B9499" s="30" t="s">
        <v>22539</v>
      </c>
      <c r="C9499" s="29" t="s">
        <v>26</v>
      </c>
      <c r="D9499" s="31">
        <v>283.58</v>
      </c>
      <c r="F9499" s="3" t="str">
        <f t="shared" si="148"/>
        <v>I9717</v>
      </c>
    </row>
    <row r="9500" spans="1:6" x14ac:dyDescent="0.2">
      <c r="A9500" s="29" t="s">
        <v>22540</v>
      </c>
      <c r="B9500" s="30" t="s">
        <v>22541</v>
      </c>
      <c r="C9500" s="29" t="s">
        <v>26</v>
      </c>
      <c r="D9500" s="31">
        <v>1777.67</v>
      </c>
      <c r="F9500" s="3" t="str">
        <f t="shared" si="148"/>
        <v>I13249</v>
      </c>
    </row>
    <row r="9501" spans="1:6" x14ac:dyDescent="0.2">
      <c r="A9501" s="29" t="s">
        <v>22542</v>
      </c>
      <c r="B9501" s="30" t="s">
        <v>22543</v>
      </c>
      <c r="C9501" s="29" t="s">
        <v>26</v>
      </c>
      <c r="D9501" s="31">
        <v>2646.49</v>
      </c>
      <c r="F9501" s="3" t="str">
        <f t="shared" si="148"/>
        <v>I13250</v>
      </c>
    </row>
    <row r="9502" spans="1:6" x14ac:dyDescent="0.2">
      <c r="A9502" s="29" t="s">
        <v>22544</v>
      </c>
      <c r="B9502" s="30" t="s">
        <v>22545</v>
      </c>
      <c r="C9502" s="29" t="s">
        <v>26</v>
      </c>
      <c r="D9502" s="31">
        <v>43.53</v>
      </c>
      <c r="F9502" s="3" t="str">
        <f t="shared" si="148"/>
        <v>I13243</v>
      </c>
    </row>
    <row r="9503" spans="1:6" x14ac:dyDescent="0.2">
      <c r="A9503" s="29" t="s">
        <v>22546</v>
      </c>
      <c r="B9503" s="30" t="s">
        <v>22547</v>
      </c>
      <c r="C9503" s="29" t="s">
        <v>26</v>
      </c>
      <c r="D9503" s="31">
        <v>130.59</v>
      </c>
      <c r="F9503" s="3" t="str">
        <f t="shared" si="148"/>
        <v>I13244</v>
      </c>
    </row>
    <row r="9504" spans="1:6" x14ac:dyDescent="0.2">
      <c r="A9504" s="29" t="s">
        <v>22548</v>
      </c>
      <c r="B9504" s="30" t="s">
        <v>22549</v>
      </c>
      <c r="C9504" s="29" t="s">
        <v>26</v>
      </c>
      <c r="D9504" s="31">
        <v>226.35</v>
      </c>
      <c r="F9504" s="3" t="str">
        <f t="shared" si="148"/>
        <v>I13245</v>
      </c>
    </row>
    <row r="9505" spans="1:6" x14ac:dyDescent="0.2">
      <c r="A9505" s="29" t="s">
        <v>22550</v>
      </c>
      <c r="B9505" s="30" t="s">
        <v>22551</v>
      </c>
      <c r="C9505" s="29" t="s">
        <v>26</v>
      </c>
      <c r="D9505" s="31">
        <v>383.04</v>
      </c>
      <c r="F9505" s="3" t="str">
        <f t="shared" si="148"/>
        <v>I13246</v>
      </c>
    </row>
    <row r="9506" spans="1:6" x14ac:dyDescent="0.2">
      <c r="A9506" s="29" t="s">
        <v>22552</v>
      </c>
      <c r="B9506" s="30" t="s">
        <v>22553</v>
      </c>
      <c r="C9506" s="29" t="s">
        <v>26</v>
      </c>
      <c r="D9506" s="31">
        <v>557.15</v>
      </c>
      <c r="F9506" s="3" t="str">
        <f t="shared" si="148"/>
        <v>I13247</v>
      </c>
    </row>
    <row r="9507" spans="1:6" x14ac:dyDescent="0.2">
      <c r="A9507" s="29" t="s">
        <v>22554</v>
      </c>
      <c r="B9507" s="30" t="s">
        <v>22555</v>
      </c>
      <c r="C9507" s="29" t="s">
        <v>26</v>
      </c>
      <c r="D9507" s="31">
        <v>957.62</v>
      </c>
      <c r="F9507" s="3" t="str">
        <f t="shared" si="148"/>
        <v>I13248</v>
      </c>
    </row>
    <row r="9508" spans="1:6" x14ac:dyDescent="0.2">
      <c r="A9508" s="29" t="s">
        <v>22556</v>
      </c>
      <c r="B9508" s="30" t="s">
        <v>22557</v>
      </c>
      <c r="C9508" s="29" t="s">
        <v>26</v>
      </c>
      <c r="D9508" s="31">
        <v>6312.69</v>
      </c>
      <c r="F9508" s="3" t="str">
        <f t="shared" si="148"/>
        <v>I13190</v>
      </c>
    </row>
    <row r="9509" spans="1:6" x14ac:dyDescent="0.2">
      <c r="A9509" s="29" t="s">
        <v>22558</v>
      </c>
      <c r="B9509" s="30" t="s">
        <v>22559</v>
      </c>
      <c r="C9509" s="29" t="s">
        <v>26</v>
      </c>
      <c r="D9509" s="31">
        <v>13429.95</v>
      </c>
      <c r="F9509" s="3" t="str">
        <f t="shared" si="148"/>
        <v>I13191</v>
      </c>
    </row>
    <row r="9510" spans="1:6" x14ac:dyDescent="0.2">
      <c r="A9510" s="29" t="s">
        <v>22560</v>
      </c>
      <c r="B9510" s="30" t="s">
        <v>22561</v>
      </c>
      <c r="C9510" s="29" t="s">
        <v>26</v>
      </c>
      <c r="D9510" s="31">
        <v>117.64</v>
      </c>
      <c r="F9510" s="3" t="str">
        <f t="shared" si="148"/>
        <v>I13185</v>
      </c>
    </row>
    <row r="9511" spans="1:6" x14ac:dyDescent="0.2">
      <c r="A9511" s="29" t="s">
        <v>22562</v>
      </c>
      <c r="B9511" s="30" t="s">
        <v>22563</v>
      </c>
      <c r="C9511" s="29" t="s">
        <v>26</v>
      </c>
      <c r="D9511" s="31">
        <v>345.09</v>
      </c>
      <c r="F9511" s="3" t="str">
        <f t="shared" si="148"/>
        <v>I13186</v>
      </c>
    </row>
    <row r="9512" spans="1:6" x14ac:dyDescent="0.2">
      <c r="A9512" s="29" t="s">
        <v>22564</v>
      </c>
      <c r="B9512" s="30" t="s">
        <v>22565</v>
      </c>
      <c r="C9512" s="29" t="s">
        <v>26</v>
      </c>
      <c r="D9512" s="31">
        <v>643.12</v>
      </c>
      <c r="F9512" s="3" t="str">
        <f t="shared" si="148"/>
        <v>I13187</v>
      </c>
    </row>
    <row r="9513" spans="1:6" x14ac:dyDescent="0.2">
      <c r="A9513" s="29" t="s">
        <v>22566</v>
      </c>
      <c r="B9513" s="30" t="s">
        <v>22567</v>
      </c>
      <c r="C9513" s="29" t="s">
        <v>26</v>
      </c>
      <c r="D9513" s="31">
        <v>1662.47</v>
      </c>
      <c r="F9513" s="3" t="str">
        <f t="shared" si="148"/>
        <v>I13188</v>
      </c>
    </row>
    <row r="9514" spans="1:6" x14ac:dyDescent="0.2">
      <c r="A9514" s="29" t="s">
        <v>22568</v>
      </c>
      <c r="B9514" s="30" t="s">
        <v>22569</v>
      </c>
      <c r="C9514" s="29" t="s">
        <v>26</v>
      </c>
      <c r="D9514" s="31">
        <v>4208.46</v>
      </c>
      <c r="F9514" s="3" t="str">
        <f t="shared" si="148"/>
        <v>I13189</v>
      </c>
    </row>
    <row r="9515" spans="1:6" x14ac:dyDescent="0.2">
      <c r="A9515" s="29" t="s">
        <v>22570</v>
      </c>
      <c r="B9515" s="30" t="s">
        <v>22571</v>
      </c>
      <c r="C9515" s="29" t="s">
        <v>26</v>
      </c>
      <c r="D9515" s="31">
        <v>3.17</v>
      </c>
      <c r="F9515" s="3" t="str">
        <f t="shared" si="148"/>
        <v>I6571</v>
      </c>
    </row>
    <row r="9516" spans="1:6" x14ac:dyDescent="0.2">
      <c r="A9516" s="29" t="s">
        <v>22572</v>
      </c>
      <c r="B9516" s="30" t="s">
        <v>22573</v>
      </c>
      <c r="C9516" s="29" t="s">
        <v>26</v>
      </c>
      <c r="D9516" s="31">
        <v>313.69</v>
      </c>
      <c r="F9516" s="3" t="str">
        <f t="shared" si="148"/>
        <v>I9221</v>
      </c>
    </row>
    <row r="9517" spans="1:6" x14ac:dyDescent="0.2">
      <c r="A9517" s="29" t="s">
        <v>22574</v>
      </c>
      <c r="B9517" s="30" t="s">
        <v>22575</v>
      </c>
      <c r="C9517" s="29" t="s">
        <v>26</v>
      </c>
      <c r="D9517" s="31">
        <v>245.2</v>
      </c>
      <c r="F9517" s="3" t="str">
        <f t="shared" si="148"/>
        <v>I7115</v>
      </c>
    </row>
    <row r="9518" spans="1:6" x14ac:dyDescent="0.2">
      <c r="A9518" s="29" t="s">
        <v>22576</v>
      </c>
      <c r="B9518" s="30" t="s">
        <v>22577</v>
      </c>
      <c r="C9518" s="29" t="s">
        <v>26</v>
      </c>
      <c r="D9518" s="31">
        <v>313.69</v>
      </c>
      <c r="F9518" s="3" t="str">
        <f t="shared" si="148"/>
        <v>I9220</v>
      </c>
    </row>
    <row r="9519" spans="1:6" x14ac:dyDescent="0.2">
      <c r="A9519" s="29" t="s">
        <v>22578</v>
      </c>
      <c r="B9519" s="30" t="s">
        <v>22579</v>
      </c>
      <c r="C9519" s="29" t="s">
        <v>26</v>
      </c>
      <c r="D9519" s="31">
        <v>441.57</v>
      </c>
      <c r="F9519" s="3" t="str">
        <f t="shared" si="148"/>
        <v>I9222</v>
      </c>
    </row>
    <row r="9520" spans="1:6" x14ac:dyDescent="0.2">
      <c r="A9520" s="29" t="s">
        <v>22580</v>
      </c>
      <c r="B9520" s="30" t="s">
        <v>22581</v>
      </c>
      <c r="C9520" s="29" t="s">
        <v>26</v>
      </c>
      <c r="D9520" s="31">
        <v>73483.19</v>
      </c>
      <c r="F9520" s="3" t="str">
        <f t="shared" si="148"/>
        <v>I10599</v>
      </c>
    </row>
    <row r="9521" spans="1:6" x14ac:dyDescent="0.2">
      <c r="A9521" s="29" t="s">
        <v>22582</v>
      </c>
      <c r="B9521" s="30" t="s">
        <v>22583</v>
      </c>
      <c r="C9521" s="29" t="s">
        <v>26</v>
      </c>
      <c r="D9521" s="31">
        <v>128788.95</v>
      </c>
      <c r="F9521" s="3" t="str">
        <f t="shared" si="148"/>
        <v>I10600</v>
      </c>
    </row>
    <row r="9522" spans="1:6" x14ac:dyDescent="0.2">
      <c r="A9522" s="29" t="s">
        <v>22584</v>
      </c>
      <c r="B9522" s="30" t="s">
        <v>22585</v>
      </c>
      <c r="C9522" s="29" t="s">
        <v>26</v>
      </c>
      <c r="D9522" s="31">
        <v>718.78</v>
      </c>
      <c r="F9522" s="3" t="str">
        <f t="shared" si="148"/>
        <v>I9223</v>
      </c>
    </row>
    <row r="9523" spans="1:6" x14ac:dyDescent="0.2">
      <c r="A9523" s="29" t="s">
        <v>22586</v>
      </c>
      <c r="B9523" s="30" t="s">
        <v>22587</v>
      </c>
      <c r="C9523" s="29" t="s">
        <v>26</v>
      </c>
      <c r="D9523" s="31">
        <v>1008.23</v>
      </c>
      <c r="F9523" s="3" t="str">
        <f t="shared" si="148"/>
        <v>I9224</v>
      </c>
    </row>
    <row r="9524" spans="1:6" x14ac:dyDescent="0.2">
      <c r="A9524" s="29" t="s">
        <v>22588</v>
      </c>
      <c r="B9524" s="30" t="s">
        <v>22589</v>
      </c>
      <c r="C9524" s="29" t="s">
        <v>26</v>
      </c>
      <c r="D9524" s="31">
        <v>1606.79</v>
      </c>
      <c r="F9524" s="3" t="str">
        <f t="shared" si="148"/>
        <v>I9225</v>
      </c>
    </row>
    <row r="9525" spans="1:6" x14ac:dyDescent="0.2">
      <c r="A9525" s="29" t="s">
        <v>22590</v>
      </c>
      <c r="B9525" s="30" t="s">
        <v>22591</v>
      </c>
      <c r="C9525" s="29" t="s">
        <v>26</v>
      </c>
      <c r="D9525" s="31">
        <v>2292.87</v>
      </c>
      <c r="F9525" s="3" t="str">
        <f t="shared" si="148"/>
        <v>I9226</v>
      </c>
    </row>
    <row r="9526" spans="1:6" x14ac:dyDescent="0.2">
      <c r="A9526" s="29" t="s">
        <v>22592</v>
      </c>
      <c r="B9526" s="30" t="s">
        <v>22593</v>
      </c>
      <c r="C9526" s="29" t="s">
        <v>26</v>
      </c>
      <c r="D9526" s="31">
        <v>9104.59</v>
      </c>
      <c r="F9526" s="3" t="str">
        <f t="shared" si="148"/>
        <v>I9227</v>
      </c>
    </row>
    <row r="9527" spans="1:6" x14ac:dyDescent="0.2">
      <c r="A9527" s="29" t="s">
        <v>22594</v>
      </c>
      <c r="B9527" s="30" t="s">
        <v>22595</v>
      </c>
      <c r="C9527" s="29" t="s">
        <v>26</v>
      </c>
      <c r="D9527" s="31">
        <v>10795.45</v>
      </c>
      <c r="F9527" s="3" t="str">
        <f t="shared" si="148"/>
        <v>I9228</v>
      </c>
    </row>
    <row r="9528" spans="1:6" x14ac:dyDescent="0.2">
      <c r="A9528" s="29" t="s">
        <v>22596</v>
      </c>
      <c r="B9528" s="30" t="s">
        <v>22597</v>
      </c>
      <c r="C9528" s="29" t="s">
        <v>26</v>
      </c>
      <c r="D9528" s="31">
        <v>13908.4</v>
      </c>
      <c r="F9528" s="3" t="str">
        <f t="shared" si="148"/>
        <v>I9229</v>
      </c>
    </row>
    <row r="9529" spans="1:6" x14ac:dyDescent="0.2">
      <c r="A9529" s="29" t="s">
        <v>22598</v>
      </c>
      <c r="B9529" s="30" t="s">
        <v>22599</v>
      </c>
      <c r="C9529" s="29" t="s">
        <v>26</v>
      </c>
      <c r="D9529" s="31">
        <v>181.77</v>
      </c>
      <c r="F9529" s="3" t="str">
        <f t="shared" si="148"/>
        <v>I10595</v>
      </c>
    </row>
    <row r="9530" spans="1:6" x14ac:dyDescent="0.2">
      <c r="A9530" s="29" t="s">
        <v>22600</v>
      </c>
      <c r="B9530" s="30" t="s">
        <v>22601</v>
      </c>
      <c r="C9530" s="29" t="s">
        <v>26</v>
      </c>
      <c r="D9530" s="31">
        <v>16423.009999999998</v>
      </c>
      <c r="F9530" s="3" t="str">
        <f t="shared" si="148"/>
        <v>I9230</v>
      </c>
    </row>
    <row r="9531" spans="1:6" x14ac:dyDescent="0.2">
      <c r="A9531" s="29" t="s">
        <v>22602</v>
      </c>
      <c r="B9531" s="30" t="s">
        <v>22603</v>
      </c>
      <c r="C9531" s="29" t="s">
        <v>26</v>
      </c>
      <c r="D9531" s="31">
        <v>22953.65</v>
      </c>
      <c r="F9531" s="3" t="str">
        <f t="shared" si="148"/>
        <v>I9231</v>
      </c>
    </row>
    <row r="9532" spans="1:6" x14ac:dyDescent="0.2">
      <c r="A9532" s="29" t="s">
        <v>22604</v>
      </c>
      <c r="B9532" s="30" t="s">
        <v>22605</v>
      </c>
      <c r="C9532" s="29" t="s">
        <v>26</v>
      </c>
      <c r="D9532" s="31">
        <v>24699.05</v>
      </c>
      <c r="F9532" s="3" t="str">
        <f t="shared" si="148"/>
        <v>I10596</v>
      </c>
    </row>
    <row r="9533" spans="1:6" x14ac:dyDescent="0.2">
      <c r="A9533" s="29" t="s">
        <v>22606</v>
      </c>
      <c r="B9533" s="30" t="s">
        <v>22607</v>
      </c>
      <c r="C9533" s="29" t="s">
        <v>26</v>
      </c>
      <c r="D9533" s="31">
        <v>35871.4</v>
      </c>
      <c r="F9533" s="3" t="str">
        <f t="shared" si="148"/>
        <v>I10597</v>
      </c>
    </row>
    <row r="9534" spans="1:6" x14ac:dyDescent="0.2">
      <c r="A9534" s="29" t="s">
        <v>22608</v>
      </c>
      <c r="B9534" s="30" t="s">
        <v>22609</v>
      </c>
      <c r="C9534" s="29" t="s">
        <v>26</v>
      </c>
      <c r="D9534" s="31">
        <v>52211.74</v>
      </c>
      <c r="F9534" s="3" t="str">
        <f t="shared" si="148"/>
        <v>I10598</v>
      </c>
    </row>
    <row r="9535" spans="1:6" x14ac:dyDescent="0.2">
      <c r="A9535" s="29" t="s">
        <v>22610</v>
      </c>
      <c r="B9535" s="30" t="s">
        <v>22611</v>
      </c>
      <c r="C9535" s="29" t="s">
        <v>26</v>
      </c>
      <c r="D9535" s="31">
        <v>270.72000000000003</v>
      </c>
      <c r="F9535" s="3" t="str">
        <f t="shared" si="148"/>
        <v>I3362</v>
      </c>
    </row>
    <row r="9536" spans="1:6" x14ac:dyDescent="0.2">
      <c r="A9536" s="29" t="s">
        <v>22612</v>
      </c>
      <c r="B9536" s="30" t="s">
        <v>22613</v>
      </c>
      <c r="C9536" s="29" t="s">
        <v>26</v>
      </c>
      <c r="D9536" s="31">
        <v>324.63</v>
      </c>
      <c r="F9536" s="3" t="str">
        <f t="shared" si="148"/>
        <v>I3363</v>
      </c>
    </row>
    <row r="9537" spans="1:6" x14ac:dyDescent="0.2">
      <c r="A9537" s="29" t="s">
        <v>22614</v>
      </c>
      <c r="B9537" s="30" t="s">
        <v>22615</v>
      </c>
      <c r="C9537" s="29" t="s">
        <v>26</v>
      </c>
      <c r="D9537" s="31">
        <v>614.27</v>
      </c>
      <c r="F9537" s="3" t="str">
        <f t="shared" si="148"/>
        <v>I3364</v>
      </c>
    </row>
    <row r="9538" spans="1:6" x14ac:dyDescent="0.2">
      <c r="A9538" s="29" t="s">
        <v>22616</v>
      </c>
      <c r="B9538" s="30" t="s">
        <v>22617</v>
      </c>
      <c r="C9538" s="29" t="s">
        <v>26</v>
      </c>
      <c r="D9538" s="31">
        <v>947.78</v>
      </c>
      <c r="F9538" s="3" t="str">
        <f t="shared" ref="F9538:F9601" si="149">A9538</f>
        <v>I3365</v>
      </c>
    </row>
    <row r="9539" spans="1:6" x14ac:dyDescent="0.2">
      <c r="A9539" s="29" t="s">
        <v>22618</v>
      </c>
      <c r="B9539" s="30" t="s">
        <v>22619</v>
      </c>
      <c r="C9539" s="29" t="s">
        <v>26</v>
      </c>
      <c r="D9539" s="31">
        <v>1601.25</v>
      </c>
      <c r="F9539" s="3" t="str">
        <f t="shared" si="149"/>
        <v>I3366</v>
      </c>
    </row>
    <row r="9540" spans="1:6" x14ac:dyDescent="0.2">
      <c r="A9540" s="29" t="s">
        <v>22620</v>
      </c>
      <c r="B9540" s="30" t="s">
        <v>22621</v>
      </c>
      <c r="C9540" s="29" t="s">
        <v>26</v>
      </c>
      <c r="D9540" s="31">
        <v>2436.5500000000002</v>
      </c>
      <c r="F9540" s="3" t="str">
        <f t="shared" si="149"/>
        <v>I3367</v>
      </c>
    </row>
    <row r="9541" spans="1:6" x14ac:dyDescent="0.2">
      <c r="A9541" s="29" t="s">
        <v>22622</v>
      </c>
      <c r="B9541" s="30" t="s">
        <v>22623</v>
      </c>
      <c r="C9541" s="29" t="s">
        <v>26</v>
      </c>
      <c r="D9541" s="31">
        <v>4544.3500000000004</v>
      </c>
      <c r="F9541" s="3" t="str">
        <f t="shared" si="149"/>
        <v>I3368</v>
      </c>
    </row>
    <row r="9542" spans="1:6" x14ac:dyDescent="0.2">
      <c r="A9542" s="29" t="s">
        <v>22624</v>
      </c>
      <c r="B9542" s="30" t="s">
        <v>22625</v>
      </c>
      <c r="C9542" s="29" t="s">
        <v>26</v>
      </c>
      <c r="D9542" s="31">
        <v>4829.58</v>
      </c>
      <c r="F9542" s="3" t="str">
        <f t="shared" si="149"/>
        <v>I3369</v>
      </c>
    </row>
    <row r="9543" spans="1:6" x14ac:dyDescent="0.2">
      <c r="A9543" s="29" t="s">
        <v>22626</v>
      </c>
      <c r="B9543" s="30" t="s">
        <v>22627</v>
      </c>
      <c r="C9543" s="29" t="s">
        <v>26</v>
      </c>
      <c r="D9543" s="31">
        <v>6497.46</v>
      </c>
      <c r="F9543" s="3" t="str">
        <f t="shared" si="149"/>
        <v>I7600</v>
      </c>
    </row>
    <row r="9544" spans="1:6" x14ac:dyDescent="0.2">
      <c r="A9544" s="29" t="s">
        <v>22628</v>
      </c>
      <c r="B9544" s="30" t="s">
        <v>22629</v>
      </c>
      <c r="C9544" s="29" t="s">
        <v>26</v>
      </c>
      <c r="D9544" s="31">
        <v>8984.77</v>
      </c>
      <c r="F9544" s="3" t="str">
        <f t="shared" si="149"/>
        <v>I3370</v>
      </c>
    </row>
    <row r="9545" spans="1:6" x14ac:dyDescent="0.2">
      <c r="A9545" s="29" t="s">
        <v>22630</v>
      </c>
      <c r="B9545" s="30" t="s">
        <v>22631</v>
      </c>
      <c r="C9545" s="29" t="s">
        <v>26</v>
      </c>
      <c r="D9545" s="31">
        <v>13749.09</v>
      </c>
      <c r="F9545" s="3" t="str">
        <f t="shared" si="149"/>
        <v>I3371</v>
      </c>
    </row>
    <row r="9546" spans="1:6" x14ac:dyDescent="0.2">
      <c r="A9546" s="29" t="s">
        <v>22632</v>
      </c>
      <c r="B9546" s="30" t="s">
        <v>22633</v>
      </c>
      <c r="C9546" s="29" t="s">
        <v>26</v>
      </c>
      <c r="D9546" s="31">
        <v>65.37</v>
      </c>
      <c r="F9546" s="3" t="str">
        <f t="shared" si="149"/>
        <v>I6264</v>
      </c>
    </row>
    <row r="9547" spans="1:6" x14ac:dyDescent="0.2">
      <c r="A9547" s="29" t="s">
        <v>22634</v>
      </c>
      <c r="B9547" s="30" t="s">
        <v>22635</v>
      </c>
      <c r="C9547" s="29" t="s">
        <v>26</v>
      </c>
      <c r="D9547" s="31">
        <v>119.88</v>
      </c>
      <c r="F9547" s="3" t="str">
        <f t="shared" si="149"/>
        <v>I8660</v>
      </c>
    </row>
    <row r="9548" spans="1:6" x14ac:dyDescent="0.2">
      <c r="A9548" s="29" t="s">
        <v>22636</v>
      </c>
      <c r="B9548" s="30" t="s">
        <v>22637</v>
      </c>
      <c r="C9548" s="29" t="s">
        <v>26</v>
      </c>
      <c r="D9548" s="31">
        <v>32.299999999999997</v>
      </c>
      <c r="F9548" s="3" t="str">
        <f t="shared" si="149"/>
        <v>I2994</v>
      </c>
    </row>
    <row r="9549" spans="1:6" x14ac:dyDescent="0.2">
      <c r="A9549" s="29" t="s">
        <v>22638</v>
      </c>
      <c r="B9549" s="30" t="s">
        <v>22639</v>
      </c>
      <c r="C9549" s="29" t="s">
        <v>26</v>
      </c>
      <c r="D9549" s="31">
        <v>150.33000000000001</v>
      </c>
      <c r="F9549" s="3" t="str">
        <f t="shared" si="149"/>
        <v>I2986</v>
      </c>
    </row>
    <row r="9550" spans="1:6" x14ac:dyDescent="0.2">
      <c r="A9550" s="29" t="s">
        <v>22640</v>
      </c>
      <c r="B9550" s="30" t="s">
        <v>22641</v>
      </c>
      <c r="C9550" s="29" t="s">
        <v>26</v>
      </c>
      <c r="D9550" s="31">
        <v>150.33000000000001</v>
      </c>
      <c r="F9550" s="3" t="str">
        <f t="shared" si="149"/>
        <v>I2987</v>
      </c>
    </row>
    <row r="9551" spans="1:6" x14ac:dyDescent="0.2">
      <c r="A9551" s="29" t="s">
        <v>22642</v>
      </c>
      <c r="B9551" s="30" t="s">
        <v>22643</v>
      </c>
      <c r="C9551" s="29" t="s">
        <v>26</v>
      </c>
      <c r="D9551" s="31">
        <v>219.22</v>
      </c>
      <c r="F9551" s="3" t="str">
        <f t="shared" si="149"/>
        <v>I2988</v>
      </c>
    </row>
    <row r="9552" spans="1:6" x14ac:dyDescent="0.2">
      <c r="A9552" s="29" t="s">
        <v>22644</v>
      </c>
      <c r="B9552" s="30" t="s">
        <v>22645</v>
      </c>
      <c r="C9552" s="29" t="s">
        <v>26</v>
      </c>
      <c r="D9552" s="31">
        <v>339.56</v>
      </c>
      <c r="F9552" s="3" t="str">
        <f t="shared" si="149"/>
        <v>I2989</v>
      </c>
    </row>
    <row r="9553" spans="1:6" x14ac:dyDescent="0.2">
      <c r="A9553" s="29" t="s">
        <v>22646</v>
      </c>
      <c r="B9553" s="30" t="s">
        <v>22647</v>
      </c>
      <c r="C9553" s="29" t="s">
        <v>26</v>
      </c>
      <c r="D9553" s="31">
        <v>646.96</v>
      </c>
      <c r="F9553" s="3" t="str">
        <f t="shared" si="149"/>
        <v>I2990</v>
      </c>
    </row>
    <row r="9554" spans="1:6" x14ac:dyDescent="0.2">
      <c r="A9554" s="29" t="s">
        <v>22648</v>
      </c>
      <c r="B9554" s="30" t="s">
        <v>22649</v>
      </c>
      <c r="C9554" s="29" t="s">
        <v>26</v>
      </c>
      <c r="D9554" s="31">
        <v>1452.63</v>
      </c>
      <c r="F9554" s="3" t="str">
        <f t="shared" si="149"/>
        <v>I2991</v>
      </c>
    </row>
    <row r="9555" spans="1:6" x14ac:dyDescent="0.2">
      <c r="A9555" s="29" t="s">
        <v>22650</v>
      </c>
      <c r="B9555" s="30" t="s">
        <v>22651</v>
      </c>
      <c r="C9555" s="29" t="s">
        <v>26</v>
      </c>
      <c r="D9555" s="31">
        <v>1452.63</v>
      </c>
      <c r="F9555" s="3" t="str">
        <f t="shared" si="149"/>
        <v>I2992</v>
      </c>
    </row>
    <row r="9556" spans="1:6" x14ac:dyDescent="0.2">
      <c r="A9556" s="29" t="s">
        <v>22652</v>
      </c>
      <c r="B9556" s="30" t="s">
        <v>22653</v>
      </c>
      <c r="C9556" s="29" t="s">
        <v>26</v>
      </c>
      <c r="D9556" s="31">
        <v>1452.63</v>
      </c>
      <c r="F9556" s="3" t="str">
        <f t="shared" si="149"/>
        <v>I2993</v>
      </c>
    </row>
    <row r="9557" spans="1:6" x14ac:dyDescent="0.2">
      <c r="A9557" s="29" t="s">
        <v>22654</v>
      </c>
      <c r="B9557" s="30" t="s">
        <v>22655</v>
      </c>
      <c r="C9557" s="29" t="s">
        <v>26</v>
      </c>
      <c r="D9557" s="31">
        <v>150.33000000000001</v>
      </c>
      <c r="F9557" s="3" t="str">
        <f t="shared" si="149"/>
        <v>I7550</v>
      </c>
    </row>
    <row r="9558" spans="1:6" x14ac:dyDescent="0.2">
      <c r="A9558" s="29" t="s">
        <v>22656</v>
      </c>
      <c r="B9558" s="30" t="s">
        <v>22657</v>
      </c>
      <c r="C9558" s="29" t="s">
        <v>26</v>
      </c>
      <c r="D9558" s="31">
        <v>103.29</v>
      </c>
      <c r="F9558" s="3" t="str">
        <f t="shared" si="149"/>
        <v>I3113</v>
      </c>
    </row>
    <row r="9559" spans="1:6" x14ac:dyDescent="0.2">
      <c r="A9559" s="29" t="s">
        <v>22658</v>
      </c>
      <c r="B9559" s="30" t="s">
        <v>22659</v>
      </c>
      <c r="C9559" s="29" t="s">
        <v>26</v>
      </c>
      <c r="D9559" s="31">
        <v>232.48</v>
      </c>
      <c r="F9559" s="3" t="str">
        <f t="shared" si="149"/>
        <v>I3114</v>
      </c>
    </row>
    <row r="9560" spans="1:6" x14ac:dyDescent="0.2">
      <c r="A9560" s="29" t="s">
        <v>22660</v>
      </c>
      <c r="B9560" s="30" t="s">
        <v>22661</v>
      </c>
      <c r="C9560" s="29" t="s">
        <v>26</v>
      </c>
      <c r="D9560" s="31">
        <v>469.78</v>
      </c>
      <c r="F9560" s="3" t="str">
        <f t="shared" si="149"/>
        <v>I3115</v>
      </c>
    </row>
    <row r="9561" spans="1:6" x14ac:dyDescent="0.2">
      <c r="A9561" s="29" t="s">
        <v>22662</v>
      </c>
      <c r="B9561" s="30" t="s">
        <v>22663</v>
      </c>
      <c r="C9561" s="29" t="s">
        <v>26</v>
      </c>
      <c r="D9561" s="31">
        <v>32.299999999999997</v>
      </c>
      <c r="F9561" s="3" t="str">
        <f t="shared" si="149"/>
        <v>I6864</v>
      </c>
    </row>
    <row r="9562" spans="1:6" x14ac:dyDescent="0.2">
      <c r="A9562" s="29" t="s">
        <v>22664</v>
      </c>
      <c r="B9562" s="30" t="s">
        <v>22665</v>
      </c>
      <c r="C9562" s="29" t="s">
        <v>26</v>
      </c>
      <c r="D9562" s="31">
        <v>219.22</v>
      </c>
      <c r="F9562" s="3" t="str">
        <f t="shared" si="149"/>
        <v>I6865</v>
      </c>
    </row>
    <row r="9563" spans="1:6" x14ac:dyDescent="0.2">
      <c r="A9563" s="29" t="s">
        <v>22666</v>
      </c>
      <c r="B9563" s="30" t="s">
        <v>22667</v>
      </c>
      <c r="C9563" s="29" t="s">
        <v>26</v>
      </c>
      <c r="D9563" s="31">
        <v>339.56</v>
      </c>
      <c r="F9563" s="3" t="str">
        <f t="shared" si="149"/>
        <v>I6866</v>
      </c>
    </row>
    <row r="9564" spans="1:6" x14ac:dyDescent="0.2">
      <c r="A9564" s="29" t="s">
        <v>22668</v>
      </c>
      <c r="B9564" s="30" t="s">
        <v>22669</v>
      </c>
      <c r="C9564" s="29" t="s">
        <v>26</v>
      </c>
      <c r="D9564" s="31">
        <v>646.96</v>
      </c>
      <c r="F9564" s="3" t="str">
        <f t="shared" si="149"/>
        <v>I6867</v>
      </c>
    </row>
    <row r="9565" spans="1:6" x14ac:dyDescent="0.2">
      <c r="A9565" s="29" t="s">
        <v>22670</v>
      </c>
      <c r="B9565" s="30" t="s">
        <v>22671</v>
      </c>
      <c r="C9565" s="29" t="s">
        <v>26</v>
      </c>
      <c r="D9565" s="31">
        <v>1452.63</v>
      </c>
      <c r="F9565" s="3" t="str">
        <f t="shared" si="149"/>
        <v>I6868</v>
      </c>
    </row>
    <row r="9566" spans="1:6" x14ac:dyDescent="0.2">
      <c r="A9566" s="29" t="s">
        <v>22672</v>
      </c>
      <c r="B9566" s="30" t="s">
        <v>22673</v>
      </c>
      <c r="C9566" s="29" t="s">
        <v>26</v>
      </c>
      <c r="D9566" s="31">
        <v>1452.63</v>
      </c>
      <c r="F9566" s="3" t="str">
        <f t="shared" si="149"/>
        <v>I6869</v>
      </c>
    </row>
    <row r="9567" spans="1:6" x14ac:dyDescent="0.2">
      <c r="A9567" s="29" t="s">
        <v>22674</v>
      </c>
      <c r="B9567" s="30" t="s">
        <v>22675</v>
      </c>
      <c r="C9567" s="29" t="s">
        <v>26</v>
      </c>
      <c r="D9567" s="31">
        <v>1452.63</v>
      </c>
      <c r="F9567" s="3" t="str">
        <f t="shared" si="149"/>
        <v>I6870</v>
      </c>
    </row>
    <row r="9568" spans="1:6" x14ac:dyDescent="0.2">
      <c r="A9568" s="29" t="s">
        <v>22676</v>
      </c>
      <c r="B9568" s="30" t="s">
        <v>22677</v>
      </c>
      <c r="C9568" s="29" t="s">
        <v>26</v>
      </c>
      <c r="D9568" s="31">
        <v>694.98</v>
      </c>
      <c r="F9568" s="3" t="str">
        <f t="shared" si="149"/>
        <v>I6982</v>
      </c>
    </row>
    <row r="9569" spans="1:6" x14ac:dyDescent="0.2">
      <c r="A9569" s="29" t="s">
        <v>22678</v>
      </c>
      <c r="B9569" s="30" t="s">
        <v>22679</v>
      </c>
      <c r="C9569" s="29" t="s">
        <v>26</v>
      </c>
      <c r="D9569" s="31">
        <v>1197.47</v>
      </c>
      <c r="F9569" s="3" t="str">
        <f t="shared" si="149"/>
        <v>I6983</v>
      </c>
    </row>
    <row r="9570" spans="1:6" x14ac:dyDescent="0.2">
      <c r="A9570" s="29" t="s">
        <v>22680</v>
      </c>
      <c r="B9570" s="30" t="s">
        <v>22681</v>
      </c>
      <c r="C9570" s="29" t="s">
        <v>26</v>
      </c>
      <c r="D9570" s="31">
        <v>1843.91</v>
      </c>
      <c r="F9570" s="3" t="str">
        <f t="shared" si="149"/>
        <v>I6984</v>
      </c>
    </row>
    <row r="9571" spans="1:6" x14ac:dyDescent="0.2">
      <c r="A9571" s="29" t="s">
        <v>22682</v>
      </c>
      <c r="B9571" s="30" t="s">
        <v>22683</v>
      </c>
      <c r="C9571" s="29" t="s">
        <v>26</v>
      </c>
      <c r="D9571" s="31">
        <v>2596.6</v>
      </c>
      <c r="F9571" s="3" t="str">
        <f t="shared" si="149"/>
        <v>I6985</v>
      </c>
    </row>
    <row r="9572" spans="1:6" x14ac:dyDescent="0.2">
      <c r="A9572" s="29" t="s">
        <v>22684</v>
      </c>
      <c r="B9572" s="30" t="s">
        <v>22685</v>
      </c>
      <c r="C9572" s="29" t="s">
        <v>26</v>
      </c>
      <c r="D9572" s="31">
        <v>446.27</v>
      </c>
      <c r="F9572" s="3" t="str">
        <f t="shared" si="149"/>
        <v>I6863</v>
      </c>
    </row>
    <row r="9573" spans="1:6" x14ac:dyDescent="0.2">
      <c r="A9573" s="29" t="s">
        <v>22686</v>
      </c>
      <c r="B9573" s="30" t="s">
        <v>22687</v>
      </c>
      <c r="C9573" s="29" t="s">
        <v>26</v>
      </c>
      <c r="D9573" s="31">
        <v>3380.33</v>
      </c>
      <c r="F9573" s="3" t="str">
        <f t="shared" si="149"/>
        <v>I9718</v>
      </c>
    </row>
    <row r="9574" spans="1:6" x14ac:dyDescent="0.2">
      <c r="A9574" s="29" t="s">
        <v>22688</v>
      </c>
      <c r="B9574" s="30" t="s">
        <v>22689</v>
      </c>
      <c r="C9574" s="29" t="s">
        <v>26</v>
      </c>
      <c r="D9574" s="31">
        <v>24725.24</v>
      </c>
      <c r="F9574" s="3" t="str">
        <f t="shared" si="149"/>
        <v>I9719</v>
      </c>
    </row>
    <row r="9575" spans="1:6" x14ac:dyDescent="0.2">
      <c r="A9575" s="29" t="s">
        <v>22690</v>
      </c>
      <c r="B9575" s="30" t="s">
        <v>22691</v>
      </c>
      <c r="C9575" s="29" t="s">
        <v>26</v>
      </c>
      <c r="D9575" s="31">
        <v>72.67</v>
      </c>
      <c r="F9575" s="3" t="str">
        <f t="shared" si="149"/>
        <v>I9720</v>
      </c>
    </row>
    <row r="9576" spans="1:6" x14ac:dyDescent="0.2">
      <c r="A9576" s="29" t="s">
        <v>22692</v>
      </c>
      <c r="B9576" s="30" t="s">
        <v>22693</v>
      </c>
      <c r="C9576" s="29" t="s">
        <v>26</v>
      </c>
      <c r="D9576" s="31">
        <v>163.79</v>
      </c>
      <c r="F9576" s="3" t="str">
        <f t="shared" si="149"/>
        <v>I9721</v>
      </c>
    </row>
    <row r="9577" spans="1:6" x14ac:dyDescent="0.2">
      <c r="A9577" s="29" t="s">
        <v>22694</v>
      </c>
      <c r="B9577" s="30" t="s">
        <v>22695</v>
      </c>
      <c r="C9577" s="29" t="s">
        <v>26</v>
      </c>
      <c r="D9577" s="31">
        <v>3104.13</v>
      </c>
      <c r="F9577" s="3" t="str">
        <f t="shared" si="149"/>
        <v>I9722</v>
      </c>
    </row>
    <row r="9578" spans="1:6" x14ac:dyDescent="0.2">
      <c r="A9578" s="29" t="s">
        <v>22696</v>
      </c>
      <c r="B9578" s="30" t="s">
        <v>22697</v>
      </c>
      <c r="C9578" s="29" t="s">
        <v>26</v>
      </c>
      <c r="D9578" s="31">
        <v>94.05</v>
      </c>
      <c r="F9578" s="3" t="str">
        <f t="shared" si="149"/>
        <v>I9723</v>
      </c>
    </row>
    <row r="9579" spans="1:6" x14ac:dyDescent="0.2">
      <c r="A9579" s="29" t="s">
        <v>22698</v>
      </c>
      <c r="B9579" s="30" t="s">
        <v>22699</v>
      </c>
      <c r="C9579" s="29" t="s">
        <v>26</v>
      </c>
      <c r="D9579" s="31">
        <v>113.22</v>
      </c>
      <c r="F9579" s="3" t="str">
        <f t="shared" si="149"/>
        <v>I9724</v>
      </c>
    </row>
    <row r="9580" spans="1:6" x14ac:dyDescent="0.2">
      <c r="A9580" s="29" t="s">
        <v>22700</v>
      </c>
      <c r="B9580" s="30" t="s">
        <v>22701</v>
      </c>
      <c r="C9580" s="29" t="s">
        <v>26</v>
      </c>
      <c r="D9580" s="31">
        <v>248.83</v>
      </c>
      <c r="F9580" s="3" t="str">
        <f t="shared" si="149"/>
        <v>I9725</v>
      </c>
    </row>
    <row r="9581" spans="1:6" x14ac:dyDescent="0.2">
      <c r="A9581" s="29" t="s">
        <v>22702</v>
      </c>
      <c r="B9581" s="30" t="s">
        <v>22703</v>
      </c>
      <c r="C9581" s="29" t="s">
        <v>26</v>
      </c>
      <c r="D9581" s="31">
        <v>2743.33</v>
      </c>
      <c r="F9581" s="3" t="str">
        <f t="shared" si="149"/>
        <v>I9726</v>
      </c>
    </row>
    <row r="9582" spans="1:6" x14ac:dyDescent="0.2">
      <c r="A9582" s="29" t="s">
        <v>22704</v>
      </c>
      <c r="B9582" s="30" t="s">
        <v>22705</v>
      </c>
      <c r="C9582" s="29" t="s">
        <v>26</v>
      </c>
      <c r="D9582" s="31">
        <v>72.66</v>
      </c>
      <c r="F9582" s="3" t="str">
        <f t="shared" si="149"/>
        <v>I9728</v>
      </c>
    </row>
    <row r="9583" spans="1:6" x14ac:dyDescent="0.2">
      <c r="A9583" s="29" t="s">
        <v>22706</v>
      </c>
      <c r="B9583" s="30" t="s">
        <v>22707</v>
      </c>
      <c r="C9583" s="29" t="s">
        <v>26</v>
      </c>
      <c r="D9583" s="31">
        <v>150.22999999999999</v>
      </c>
      <c r="F9583" s="3" t="str">
        <f t="shared" si="149"/>
        <v>I9729</v>
      </c>
    </row>
    <row r="9584" spans="1:6" x14ac:dyDescent="0.2">
      <c r="A9584" s="29" t="s">
        <v>22708</v>
      </c>
      <c r="B9584" s="30" t="s">
        <v>22709</v>
      </c>
      <c r="C9584" s="29" t="s">
        <v>26</v>
      </c>
      <c r="D9584" s="31">
        <v>297.08999999999997</v>
      </c>
      <c r="F9584" s="3" t="str">
        <f t="shared" si="149"/>
        <v>I9730</v>
      </c>
    </row>
    <row r="9585" spans="1:6" x14ac:dyDescent="0.2">
      <c r="A9585" s="29" t="s">
        <v>22710</v>
      </c>
      <c r="B9585" s="30" t="s">
        <v>22711</v>
      </c>
      <c r="C9585" s="29" t="s">
        <v>26</v>
      </c>
      <c r="D9585" s="31">
        <v>31.83</v>
      </c>
      <c r="F9585" s="3" t="str">
        <f t="shared" si="149"/>
        <v>I9727</v>
      </c>
    </row>
    <row r="9586" spans="1:6" x14ac:dyDescent="0.2">
      <c r="A9586" s="29" t="s">
        <v>22712</v>
      </c>
      <c r="B9586" s="30" t="s">
        <v>22713</v>
      </c>
      <c r="C9586" s="29" t="s">
        <v>26</v>
      </c>
      <c r="D9586" s="31">
        <v>48.14</v>
      </c>
      <c r="F9586" s="3" t="str">
        <f t="shared" si="149"/>
        <v>I9731</v>
      </c>
    </row>
    <row r="9587" spans="1:6" x14ac:dyDescent="0.2">
      <c r="A9587" s="29" t="s">
        <v>22714</v>
      </c>
      <c r="B9587" s="30" t="s">
        <v>22715</v>
      </c>
      <c r="C9587" s="29" t="s">
        <v>26</v>
      </c>
      <c r="D9587" s="31">
        <v>120.42</v>
      </c>
      <c r="F9587" s="3" t="str">
        <f t="shared" si="149"/>
        <v>I9732</v>
      </c>
    </row>
    <row r="9588" spans="1:6" x14ac:dyDescent="0.2">
      <c r="A9588" s="29" t="s">
        <v>22716</v>
      </c>
      <c r="B9588" s="30" t="s">
        <v>22717</v>
      </c>
      <c r="C9588" s="29" t="s">
        <v>26</v>
      </c>
      <c r="D9588" s="31">
        <v>234.38</v>
      </c>
      <c r="F9588" s="3" t="str">
        <f t="shared" si="149"/>
        <v>I9733</v>
      </c>
    </row>
    <row r="9589" spans="1:6" x14ac:dyDescent="0.2">
      <c r="A9589" s="29" t="s">
        <v>22718</v>
      </c>
      <c r="B9589" s="30" t="s">
        <v>22719</v>
      </c>
      <c r="C9589" s="29" t="s">
        <v>26</v>
      </c>
      <c r="D9589" s="31">
        <v>1039.73</v>
      </c>
      <c r="F9589" s="3" t="str">
        <f t="shared" si="149"/>
        <v>I9734</v>
      </c>
    </row>
    <row r="9590" spans="1:6" x14ac:dyDescent="0.2">
      <c r="A9590" s="29" t="s">
        <v>22720</v>
      </c>
      <c r="B9590" s="30" t="s">
        <v>22721</v>
      </c>
      <c r="C9590" s="29" t="s">
        <v>26</v>
      </c>
      <c r="D9590" s="31">
        <v>1309.4100000000001</v>
      </c>
      <c r="F9590" s="3" t="str">
        <f t="shared" si="149"/>
        <v>I9736</v>
      </c>
    </row>
    <row r="9591" spans="1:6" x14ac:dyDescent="0.2">
      <c r="A9591" s="29" t="s">
        <v>22722</v>
      </c>
      <c r="B9591" s="30" t="s">
        <v>22723</v>
      </c>
      <c r="C9591" s="29" t="s">
        <v>26</v>
      </c>
      <c r="D9591" s="31">
        <v>302.8</v>
      </c>
      <c r="F9591" s="3" t="str">
        <f t="shared" si="149"/>
        <v>I9735</v>
      </c>
    </row>
    <row r="9592" spans="1:6" x14ac:dyDescent="0.2">
      <c r="A9592" s="29" t="s">
        <v>22724</v>
      </c>
      <c r="B9592" s="30" t="s">
        <v>22725</v>
      </c>
      <c r="C9592" s="29" t="s">
        <v>26</v>
      </c>
      <c r="D9592" s="31">
        <v>145.78</v>
      </c>
      <c r="F9592" s="3" t="str">
        <f t="shared" si="149"/>
        <v>I9737</v>
      </c>
    </row>
    <row r="9593" spans="1:6" x14ac:dyDescent="0.2">
      <c r="A9593" s="29" t="s">
        <v>22726</v>
      </c>
      <c r="B9593" s="30" t="s">
        <v>22727</v>
      </c>
      <c r="C9593" s="29" t="s">
        <v>26</v>
      </c>
      <c r="D9593" s="31">
        <v>56.6</v>
      </c>
      <c r="F9593" s="3" t="str">
        <f t="shared" si="149"/>
        <v>I9738</v>
      </c>
    </row>
    <row r="9594" spans="1:6" x14ac:dyDescent="0.2">
      <c r="A9594" s="29" t="s">
        <v>22728</v>
      </c>
      <c r="B9594" s="30" t="s">
        <v>22729</v>
      </c>
      <c r="C9594" s="29" t="s">
        <v>26</v>
      </c>
      <c r="D9594" s="31">
        <v>111.97</v>
      </c>
      <c r="F9594" s="3" t="str">
        <f t="shared" si="149"/>
        <v>I9739</v>
      </c>
    </row>
    <row r="9595" spans="1:6" x14ac:dyDescent="0.2">
      <c r="A9595" s="29" t="s">
        <v>22730</v>
      </c>
      <c r="B9595" s="30" t="s">
        <v>22731</v>
      </c>
      <c r="C9595" s="29" t="s">
        <v>26</v>
      </c>
      <c r="D9595" s="31">
        <v>56.6</v>
      </c>
      <c r="F9595" s="3" t="str">
        <f t="shared" si="149"/>
        <v>I9740</v>
      </c>
    </row>
    <row r="9596" spans="1:6" x14ac:dyDescent="0.2">
      <c r="A9596" s="29" t="s">
        <v>22732</v>
      </c>
      <c r="B9596" s="30" t="s">
        <v>22733</v>
      </c>
      <c r="C9596" s="29" t="s">
        <v>26</v>
      </c>
      <c r="D9596" s="31">
        <v>111.97</v>
      </c>
      <c r="F9596" s="3" t="str">
        <f t="shared" si="149"/>
        <v>I9741</v>
      </c>
    </row>
    <row r="9597" spans="1:6" x14ac:dyDescent="0.2">
      <c r="A9597" s="29" t="s">
        <v>22734</v>
      </c>
      <c r="B9597" s="30" t="s">
        <v>22735</v>
      </c>
      <c r="C9597" s="29" t="s">
        <v>26</v>
      </c>
      <c r="D9597" s="31">
        <v>30130.27</v>
      </c>
      <c r="F9597" s="3" t="str">
        <f t="shared" si="149"/>
        <v>I9743</v>
      </c>
    </row>
    <row r="9598" spans="1:6" x14ac:dyDescent="0.2">
      <c r="A9598" s="29" t="s">
        <v>22736</v>
      </c>
      <c r="B9598" s="30" t="s">
        <v>22737</v>
      </c>
      <c r="C9598" s="29" t="s">
        <v>26</v>
      </c>
      <c r="D9598" s="31">
        <v>16304.9</v>
      </c>
      <c r="F9598" s="3" t="str">
        <f t="shared" si="149"/>
        <v>I9742</v>
      </c>
    </row>
    <row r="9599" spans="1:6" x14ac:dyDescent="0.2">
      <c r="A9599" s="29" t="s">
        <v>22738</v>
      </c>
      <c r="B9599" s="30" t="s">
        <v>22739</v>
      </c>
      <c r="C9599" s="29" t="s">
        <v>26</v>
      </c>
      <c r="D9599" s="31">
        <v>434.26</v>
      </c>
      <c r="F9599" s="3" t="str">
        <f t="shared" si="149"/>
        <v>I9744</v>
      </c>
    </row>
    <row r="9600" spans="1:6" x14ac:dyDescent="0.2">
      <c r="A9600" s="29" t="s">
        <v>22740</v>
      </c>
      <c r="B9600" s="30" t="s">
        <v>22741</v>
      </c>
      <c r="C9600" s="29" t="s">
        <v>26</v>
      </c>
      <c r="D9600" s="31">
        <v>2750.99</v>
      </c>
      <c r="F9600" s="3" t="str">
        <f t="shared" si="149"/>
        <v>I9745</v>
      </c>
    </row>
    <row r="9601" spans="1:6" x14ac:dyDescent="0.2">
      <c r="A9601" s="29" t="s">
        <v>22742</v>
      </c>
      <c r="B9601" s="30" t="s">
        <v>22743</v>
      </c>
      <c r="C9601" s="29" t="s">
        <v>26</v>
      </c>
      <c r="D9601" s="31">
        <v>409.01</v>
      </c>
      <c r="F9601" s="3" t="str">
        <f t="shared" si="149"/>
        <v>I9747</v>
      </c>
    </row>
    <row r="9602" spans="1:6" x14ac:dyDescent="0.2">
      <c r="A9602" s="29" t="s">
        <v>22744</v>
      </c>
      <c r="B9602" s="30" t="s">
        <v>22745</v>
      </c>
      <c r="C9602" s="29" t="s">
        <v>26</v>
      </c>
      <c r="D9602" s="31">
        <v>627.67999999999995</v>
      </c>
      <c r="F9602" s="3" t="str">
        <f t="shared" ref="F9602:F9665" si="150">A9602</f>
        <v>I9746</v>
      </c>
    </row>
    <row r="9603" spans="1:6" x14ac:dyDescent="0.2">
      <c r="A9603" s="29" t="s">
        <v>22746</v>
      </c>
      <c r="B9603" s="30" t="s">
        <v>22747</v>
      </c>
      <c r="C9603" s="29" t="s">
        <v>26</v>
      </c>
      <c r="D9603" s="31">
        <v>36.57</v>
      </c>
      <c r="F9603" s="3" t="str">
        <f t="shared" si="150"/>
        <v>I9748</v>
      </c>
    </row>
    <row r="9604" spans="1:6" x14ac:dyDescent="0.2">
      <c r="A9604" s="29" t="s">
        <v>22748</v>
      </c>
      <c r="B9604" s="30" t="s">
        <v>22749</v>
      </c>
      <c r="C9604" s="29" t="s">
        <v>26</v>
      </c>
      <c r="D9604" s="31">
        <v>207.45</v>
      </c>
      <c r="F9604" s="3" t="str">
        <f t="shared" si="150"/>
        <v>I9749</v>
      </c>
    </row>
    <row r="9605" spans="1:6" x14ac:dyDescent="0.2">
      <c r="A9605" s="29" t="s">
        <v>22750</v>
      </c>
      <c r="B9605" s="30" t="s">
        <v>22751</v>
      </c>
      <c r="C9605" s="29" t="s">
        <v>26</v>
      </c>
      <c r="D9605" s="31">
        <v>406.01</v>
      </c>
      <c r="F9605" s="3" t="str">
        <f t="shared" si="150"/>
        <v>I9750</v>
      </c>
    </row>
    <row r="9606" spans="1:6" x14ac:dyDescent="0.2">
      <c r="A9606" s="29" t="s">
        <v>22752</v>
      </c>
      <c r="B9606" s="30" t="s">
        <v>22753</v>
      </c>
      <c r="C9606" s="29" t="s">
        <v>26</v>
      </c>
      <c r="D9606" s="31">
        <v>562.48</v>
      </c>
      <c r="F9606" s="3" t="str">
        <f t="shared" si="150"/>
        <v>I9232</v>
      </c>
    </row>
    <row r="9607" spans="1:6" x14ac:dyDescent="0.2">
      <c r="A9607" s="29" t="s">
        <v>22754</v>
      </c>
      <c r="B9607" s="30" t="s">
        <v>22755</v>
      </c>
      <c r="C9607" s="29" t="s">
        <v>26</v>
      </c>
      <c r="D9607" s="31">
        <v>562.48</v>
      </c>
      <c r="F9607" s="3" t="str">
        <f t="shared" si="150"/>
        <v>I9233</v>
      </c>
    </row>
    <row r="9608" spans="1:6" x14ac:dyDescent="0.2">
      <c r="A9608" s="29" t="s">
        <v>22756</v>
      </c>
      <c r="B9608" s="30" t="s">
        <v>22757</v>
      </c>
      <c r="C9608" s="29" t="s">
        <v>26</v>
      </c>
      <c r="D9608" s="31">
        <v>647.99</v>
      </c>
      <c r="F9608" s="3" t="str">
        <f t="shared" si="150"/>
        <v>I9234</v>
      </c>
    </row>
    <row r="9609" spans="1:6" x14ac:dyDescent="0.2">
      <c r="A9609" s="29" t="s">
        <v>22758</v>
      </c>
      <c r="B9609" s="30" t="s">
        <v>22759</v>
      </c>
      <c r="C9609" s="29" t="s">
        <v>26</v>
      </c>
      <c r="D9609" s="31">
        <v>650.63</v>
      </c>
      <c r="F9609" s="3" t="str">
        <f t="shared" si="150"/>
        <v>I12985</v>
      </c>
    </row>
    <row r="9610" spans="1:6" x14ac:dyDescent="0.2">
      <c r="A9610" s="29" t="s">
        <v>22760</v>
      </c>
      <c r="B9610" s="30" t="s">
        <v>22761</v>
      </c>
      <c r="C9610" s="29" t="s">
        <v>26</v>
      </c>
      <c r="D9610" s="31">
        <v>527.62</v>
      </c>
      <c r="F9610" s="3" t="str">
        <f t="shared" si="150"/>
        <v>I10609</v>
      </c>
    </row>
    <row r="9611" spans="1:6" x14ac:dyDescent="0.2">
      <c r="A9611" s="29" t="s">
        <v>22762</v>
      </c>
      <c r="B9611" s="30" t="s">
        <v>22763</v>
      </c>
      <c r="C9611" s="29" t="s">
        <v>26</v>
      </c>
      <c r="D9611" s="31">
        <v>1167.1500000000001</v>
      </c>
      <c r="F9611" s="3" t="str">
        <f t="shared" si="150"/>
        <v>I9235</v>
      </c>
    </row>
    <row r="9612" spans="1:6" x14ac:dyDescent="0.2">
      <c r="A9612" s="29" t="s">
        <v>22764</v>
      </c>
      <c r="B9612" s="30" t="s">
        <v>22765</v>
      </c>
      <c r="C9612" s="29" t="s">
        <v>26</v>
      </c>
      <c r="D9612" s="31">
        <v>1212.92</v>
      </c>
      <c r="F9612" s="3" t="str">
        <f t="shared" si="150"/>
        <v>I12986</v>
      </c>
    </row>
    <row r="9613" spans="1:6" x14ac:dyDescent="0.2">
      <c r="A9613" s="29" t="s">
        <v>22766</v>
      </c>
      <c r="B9613" s="30" t="s">
        <v>22767</v>
      </c>
      <c r="C9613" s="29" t="s">
        <v>26</v>
      </c>
      <c r="D9613" s="31">
        <v>960.86</v>
      </c>
      <c r="F9613" s="3" t="str">
        <f t="shared" si="150"/>
        <v>I10610</v>
      </c>
    </row>
    <row r="9614" spans="1:6" x14ac:dyDescent="0.2">
      <c r="A9614" s="29" t="s">
        <v>22768</v>
      </c>
      <c r="B9614" s="30" t="s">
        <v>22769</v>
      </c>
      <c r="C9614" s="29" t="s">
        <v>26</v>
      </c>
      <c r="D9614" s="31">
        <v>1678.51</v>
      </c>
      <c r="F9614" s="3" t="str">
        <f t="shared" si="150"/>
        <v>I9236</v>
      </c>
    </row>
    <row r="9615" spans="1:6" x14ac:dyDescent="0.2">
      <c r="A9615" s="29" t="s">
        <v>22770</v>
      </c>
      <c r="B9615" s="30" t="s">
        <v>22771</v>
      </c>
      <c r="C9615" s="29" t="s">
        <v>26</v>
      </c>
      <c r="D9615" s="31">
        <v>1679.69</v>
      </c>
      <c r="F9615" s="3" t="str">
        <f t="shared" si="150"/>
        <v>I12977</v>
      </c>
    </row>
    <row r="9616" spans="1:6" x14ac:dyDescent="0.2">
      <c r="A9616" s="29" t="s">
        <v>22772</v>
      </c>
      <c r="B9616" s="30" t="s">
        <v>22773</v>
      </c>
      <c r="C9616" s="29" t="s">
        <v>26</v>
      </c>
      <c r="D9616" s="31">
        <v>1349.14</v>
      </c>
      <c r="F9616" s="3" t="str">
        <f t="shared" si="150"/>
        <v>I10601</v>
      </c>
    </row>
    <row r="9617" spans="1:6" x14ac:dyDescent="0.2">
      <c r="A9617" s="29" t="s">
        <v>22774</v>
      </c>
      <c r="B9617" s="30" t="s">
        <v>22775</v>
      </c>
      <c r="C9617" s="29" t="s">
        <v>26</v>
      </c>
      <c r="D9617" s="31">
        <v>2036.55</v>
      </c>
      <c r="F9617" s="3" t="str">
        <f t="shared" si="150"/>
        <v>I12987</v>
      </c>
    </row>
    <row r="9618" spans="1:6" x14ac:dyDescent="0.2">
      <c r="A9618" s="29" t="s">
        <v>22776</v>
      </c>
      <c r="B9618" s="30" t="s">
        <v>22777</v>
      </c>
      <c r="C9618" s="29" t="s">
        <v>26</v>
      </c>
      <c r="D9618" s="31">
        <v>1679.39</v>
      </c>
      <c r="F9618" s="3" t="str">
        <f t="shared" si="150"/>
        <v>I10611</v>
      </c>
    </row>
    <row r="9619" spans="1:6" x14ac:dyDescent="0.2">
      <c r="A9619" s="29" t="s">
        <v>22778</v>
      </c>
      <c r="B9619" s="30" t="s">
        <v>22779</v>
      </c>
      <c r="C9619" s="29" t="s">
        <v>26</v>
      </c>
      <c r="D9619" s="31">
        <v>3025.65</v>
      </c>
      <c r="F9619" s="3" t="str">
        <f t="shared" si="150"/>
        <v>I9237</v>
      </c>
    </row>
    <row r="9620" spans="1:6" x14ac:dyDescent="0.2">
      <c r="A9620" s="29" t="s">
        <v>22780</v>
      </c>
      <c r="B9620" s="30" t="s">
        <v>22781</v>
      </c>
      <c r="C9620" s="29" t="s">
        <v>26</v>
      </c>
      <c r="D9620" s="31">
        <v>2849.92</v>
      </c>
      <c r="F9620" s="3" t="str">
        <f t="shared" si="150"/>
        <v>I12978</v>
      </c>
    </row>
    <row r="9621" spans="1:6" x14ac:dyDescent="0.2">
      <c r="A9621" s="29" t="s">
        <v>22782</v>
      </c>
      <c r="B9621" s="30" t="s">
        <v>22783</v>
      </c>
      <c r="C9621" s="29" t="s">
        <v>26</v>
      </c>
      <c r="D9621" s="31">
        <v>2304.63</v>
      </c>
      <c r="F9621" s="3" t="str">
        <f t="shared" si="150"/>
        <v>I10602</v>
      </c>
    </row>
    <row r="9622" spans="1:6" x14ac:dyDescent="0.2">
      <c r="A9622" s="29" t="s">
        <v>22784</v>
      </c>
      <c r="B9622" s="30" t="s">
        <v>22785</v>
      </c>
      <c r="C9622" s="29" t="s">
        <v>26</v>
      </c>
      <c r="D9622" s="31">
        <v>3213.89</v>
      </c>
      <c r="F9622" s="3" t="str">
        <f t="shared" si="150"/>
        <v>I12988</v>
      </c>
    </row>
    <row r="9623" spans="1:6" x14ac:dyDescent="0.2">
      <c r="A9623" s="29" t="s">
        <v>22786</v>
      </c>
      <c r="B9623" s="30" t="s">
        <v>22787</v>
      </c>
      <c r="C9623" s="29" t="s">
        <v>26</v>
      </c>
      <c r="D9623" s="31">
        <v>2610.65</v>
      </c>
      <c r="F9623" s="3" t="str">
        <f t="shared" si="150"/>
        <v>I10612</v>
      </c>
    </row>
    <row r="9624" spans="1:6" x14ac:dyDescent="0.2">
      <c r="A9624" s="29" t="s">
        <v>22788</v>
      </c>
      <c r="B9624" s="30" t="s">
        <v>22789</v>
      </c>
      <c r="C9624" s="29" t="s">
        <v>26</v>
      </c>
      <c r="D9624" s="31">
        <v>3454.24</v>
      </c>
      <c r="F9624" s="3" t="str">
        <f t="shared" si="150"/>
        <v>I9238</v>
      </c>
    </row>
    <row r="9625" spans="1:6" x14ac:dyDescent="0.2">
      <c r="A9625" s="29" t="s">
        <v>22790</v>
      </c>
      <c r="B9625" s="30" t="s">
        <v>22791</v>
      </c>
      <c r="C9625" s="29" t="s">
        <v>26</v>
      </c>
      <c r="D9625" s="31">
        <v>3427.42</v>
      </c>
      <c r="F9625" s="3" t="str">
        <f t="shared" si="150"/>
        <v>I12979</v>
      </c>
    </row>
    <row r="9626" spans="1:6" x14ac:dyDescent="0.2">
      <c r="A9626" s="29" t="s">
        <v>22792</v>
      </c>
      <c r="B9626" s="30" t="s">
        <v>22793</v>
      </c>
      <c r="C9626" s="29" t="s">
        <v>26</v>
      </c>
      <c r="D9626" s="31">
        <v>2764.22</v>
      </c>
      <c r="F9626" s="3" t="str">
        <f t="shared" si="150"/>
        <v>I10603</v>
      </c>
    </row>
    <row r="9627" spans="1:6" x14ac:dyDescent="0.2">
      <c r="A9627" s="29" t="s">
        <v>22794</v>
      </c>
      <c r="B9627" s="30" t="s">
        <v>22795</v>
      </c>
      <c r="C9627" s="29" t="s">
        <v>26</v>
      </c>
      <c r="D9627" s="31">
        <v>3842.82</v>
      </c>
      <c r="F9627" s="3" t="str">
        <f t="shared" si="150"/>
        <v>I12989</v>
      </c>
    </row>
    <row r="9628" spans="1:6" x14ac:dyDescent="0.2">
      <c r="A9628" s="29" t="s">
        <v>22796</v>
      </c>
      <c r="B9628" s="30" t="s">
        <v>22797</v>
      </c>
      <c r="C9628" s="29" t="s">
        <v>26</v>
      </c>
      <c r="D9628" s="31">
        <v>3131.78</v>
      </c>
      <c r="F9628" s="3" t="str">
        <f t="shared" si="150"/>
        <v>I10613</v>
      </c>
    </row>
    <row r="9629" spans="1:6" x14ac:dyDescent="0.2">
      <c r="A9629" s="29" t="s">
        <v>22798</v>
      </c>
      <c r="B9629" s="30" t="s">
        <v>22799</v>
      </c>
      <c r="C9629" s="29" t="s">
        <v>26</v>
      </c>
      <c r="D9629" s="31">
        <v>6104.21</v>
      </c>
      <c r="F9629" s="3" t="str">
        <f t="shared" si="150"/>
        <v>I9239</v>
      </c>
    </row>
    <row r="9630" spans="1:6" x14ac:dyDescent="0.2">
      <c r="A9630" s="29" t="s">
        <v>22800</v>
      </c>
      <c r="B9630" s="30" t="s">
        <v>22801</v>
      </c>
      <c r="C9630" s="29" t="s">
        <v>26</v>
      </c>
      <c r="D9630" s="31">
        <v>6170.67</v>
      </c>
      <c r="F9630" s="3" t="str">
        <f t="shared" si="150"/>
        <v>I12980</v>
      </c>
    </row>
    <row r="9631" spans="1:6" x14ac:dyDescent="0.2">
      <c r="A9631" s="29" t="s">
        <v>22802</v>
      </c>
      <c r="B9631" s="30" t="s">
        <v>22803</v>
      </c>
      <c r="C9631" s="29" t="s">
        <v>26</v>
      </c>
      <c r="D9631" s="31">
        <v>5179.88</v>
      </c>
      <c r="F9631" s="3" t="str">
        <f t="shared" si="150"/>
        <v>I10604</v>
      </c>
    </row>
    <row r="9632" spans="1:6" x14ac:dyDescent="0.2">
      <c r="A9632" s="29" t="s">
        <v>22804</v>
      </c>
      <c r="B9632" s="30" t="s">
        <v>22805</v>
      </c>
      <c r="C9632" s="29" t="s">
        <v>26</v>
      </c>
      <c r="D9632" s="31">
        <v>6460.55</v>
      </c>
      <c r="F9632" s="3" t="str">
        <f t="shared" si="150"/>
        <v>I12990</v>
      </c>
    </row>
    <row r="9633" spans="1:6" x14ac:dyDescent="0.2">
      <c r="A9633" s="29" t="s">
        <v>22806</v>
      </c>
      <c r="B9633" s="30" t="s">
        <v>22807</v>
      </c>
      <c r="C9633" s="29" t="s">
        <v>26</v>
      </c>
      <c r="D9633" s="31">
        <v>5384.82</v>
      </c>
      <c r="F9633" s="3" t="str">
        <f t="shared" si="150"/>
        <v>I10614</v>
      </c>
    </row>
    <row r="9634" spans="1:6" x14ac:dyDescent="0.2">
      <c r="A9634" s="29" t="s">
        <v>22808</v>
      </c>
      <c r="B9634" s="30" t="s">
        <v>22809</v>
      </c>
      <c r="C9634" s="29" t="s">
        <v>26</v>
      </c>
      <c r="D9634" s="31">
        <v>16365.86</v>
      </c>
      <c r="F9634" s="3" t="str">
        <f t="shared" si="150"/>
        <v>I9240</v>
      </c>
    </row>
    <row r="9635" spans="1:6" x14ac:dyDescent="0.2">
      <c r="A9635" s="29" t="s">
        <v>22810</v>
      </c>
      <c r="B9635" s="30" t="s">
        <v>22811</v>
      </c>
      <c r="C9635" s="29" t="s">
        <v>26</v>
      </c>
      <c r="D9635" s="31">
        <v>17148.52</v>
      </c>
      <c r="F9635" s="3" t="str">
        <f t="shared" si="150"/>
        <v>I12981</v>
      </c>
    </row>
    <row r="9636" spans="1:6" x14ac:dyDescent="0.2">
      <c r="A9636" s="29" t="s">
        <v>22812</v>
      </c>
      <c r="B9636" s="30" t="s">
        <v>22813</v>
      </c>
      <c r="C9636" s="29" t="s">
        <v>26</v>
      </c>
      <c r="D9636" s="31">
        <v>16483.61</v>
      </c>
      <c r="F9636" s="3" t="str">
        <f t="shared" si="150"/>
        <v>I10605</v>
      </c>
    </row>
    <row r="9637" spans="1:6" x14ac:dyDescent="0.2">
      <c r="A9637" s="29" t="s">
        <v>22814</v>
      </c>
      <c r="B9637" s="30" t="s">
        <v>22815</v>
      </c>
      <c r="C9637" s="29" t="s">
        <v>26</v>
      </c>
      <c r="D9637" s="31">
        <v>18636.43</v>
      </c>
      <c r="F9637" s="3" t="str">
        <f t="shared" si="150"/>
        <v>I12991</v>
      </c>
    </row>
    <row r="9638" spans="1:6" x14ac:dyDescent="0.2">
      <c r="A9638" s="29" t="s">
        <v>22816</v>
      </c>
      <c r="B9638" s="30" t="s">
        <v>22817</v>
      </c>
      <c r="C9638" s="29" t="s">
        <v>26</v>
      </c>
      <c r="D9638" s="31">
        <v>17912.02</v>
      </c>
      <c r="F9638" s="3" t="str">
        <f t="shared" si="150"/>
        <v>I10615</v>
      </c>
    </row>
    <row r="9639" spans="1:6" x14ac:dyDescent="0.2">
      <c r="A9639" s="29" t="s">
        <v>22818</v>
      </c>
      <c r="B9639" s="30" t="s">
        <v>22819</v>
      </c>
      <c r="C9639" s="29" t="s">
        <v>26</v>
      </c>
      <c r="D9639" s="31">
        <v>23085.48</v>
      </c>
      <c r="F9639" s="3" t="str">
        <f t="shared" si="150"/>
        <v>I12976</v>
      </c>
    </row>
    <row r="9640" spans="1:6" x14ac:dyDescent="0.2">
      <c r="A9640" s="29" t="s">
        <v>22820</v>
      </c>
      <c r="B9640" s="30" t="s">
        <v>22821</v>
      </c>
      <c r="C9640" s="29" t="s">
        <v>26</v>
      </c>
      <c r="D9640" s="31">
        <v>26579.54</v>
      </c>
      <c r="F9640" s="3" t="str">
        <f t="shared" si="150"/>
        <v>I12982</v>
      </c>
    </row>
    <row r="9641" spans="1:6" x14ac:dyDescent="0.2">
      <c r="A9641" s="29" t="s">
        <v>22822</v>
      </c>
      <c r="B9641" s="30" t="s">
        <v>22823</v>
      </c>
      <c r="C9641" s="29" t="s">
        <v>26</v>
      </c>
      <c r="D9641" s="31">
        <v>22859.43</v>
      </c>
      <c r="F9641" s="3" t="str">
        <f t="shared" si="150"/>
        <v>I10606</v>
      </c>
    </row>
    <row r="9642" spans="1:6" x14ac:dyDescent="0.2">
      <c r="A9642" s="29" t="s">
        <v>22824</v>
      </c>
      <c r="B9642" s="30" t="s">
        <v>22825</v>
      </c>
      <c r="C9642" s="29" t="s">
        <v>26</v>
      </c>
      <c r="D9642" s="31">
        <v>25241.040000000001</v>
      </c>
      <c r="F9642" s="3" t="str">
        <f t="shared" si="150"/>
        <v>I10616</v>
      </c>
    </row>
    <row r="9643" spans="1:6" x14ac:dyDescent="0.2">
      <c r="A9643" s="29" t="s">
        <v>22826</v>
      </c>
      <c r="B9643" s="30" t="s">
        <v>22827</v>
      </c>
      <c r="C9643" s="29" t="s">
        <v>26</v>
      </c>
      <c r="D9643" s="31">
        <v>29805.1</v>
      </c>
      <c r="F9643" s="3" t="str">
        <f t="shared" si="150"/>
        <v>I9241</v>
      </c>
    </row>
    <row r="9644" spans="1:6" x14ac:dyDescent="0.2">
      <c r="A9644" s="29" t="s">
        <v>22828</v>
      </c>
      <c r="B9644" s="30" t="s">
        <v>22829</v>
      </c>
      <c r="C9644" s="29" t="s">
        <v>26</v>
      </c>
      <c r="D9644" s="31">
        <v>32763.74</v>
      </c>
      <c r="F9644" s="3" t="str">
        <f t="shared" si="150"/>
        <v>I12983</v>
      </c>
    </row>
    <row r="9645" spans="1:6" x14ac:dyDescent="0.2">
      <c r="A9645" s="29" t="s">
        <v>22830</v>
      </c>
      <c r="B9645" s="30" t="s">
        <v>22831</v>
      </c>
      <c r="C9645" s="29" t="s">
        <v>26</v>
      </c>
      <c r="D9645" s="31">
        <v>29235.25</v>
      </c>
      <c r="F9645" s="3" t="str">
        <f t="shared" si="150"/>
        <v>I10607</v>
      </c>
    </row>
    <row r="9646" spans="1:6" x14ac:dyDescent="0.2">
      <c r="A9646" s="29" t="s">
        <v>22832</v>
      </c>
      <c r="B9646" s="30" t="s">
        <v>22833</v>
      </c>
      <c r="C9646" s="29" t="s">
        <v>26</v>
      </c>
      <c r="D9646" s="31">
        <v>33874.589999999997</v>
      </c>
      <c r="F9646" s="3" t="str">
        <f t="shared" si="150"/>
        <v>I12992</v>
      </c>
    </row>
    <row r="9647" spans="1:6" x14ac:dyDescent="0.2">
      <c r="A9647" s="29" t="s">
        <v>22834</v>
      </c>
      <c r="B9647" s="30" t="s">
        <v>22835</v>
      </c>
      <c r="C9647" s="29" t="s">
        <v>26</v>
      </c>
      <c r="D9647" s="31">
        <v>32570.05</v>
      </c>
      <c r="F9647" s="3" t="str">
        <f t="shared" si="150"/>
        <v>I10617</v>
      </c>
    </row>
    <row r="9648" spans="1:6" x14ac:dyDescent="0.2">
      <c r="A9648" s="29" t="s">
        <v>22836</v>
      </c>
      <c r="B9648" s="30" t="s">
        <v>22837</v>
      </c>
      <c r="C9648" s="29" t="s">
        <v>26</v>
      </c>
      <c r="D9648" s="31">
        <v>41346.33</v>
      </c>
      <c r="F9648" s="3" t="str">
        <f t="shared" si="150"/>
        <v>I9242</v>
      </c>
    </row>
    <row r="9649" spans="1:6" x14ac:dyDescent="0.2">
      <c r="A9649" s="29" t="s">
        <v>22838</v>
      </c>
      <c r="B9649" s="30" t="s">
        <v>22839</v>
      </c>
      <c r="C9649" s="29" t="s">
        <v>26</v>
      </c>
      <c r="D9649" s="31">
        <v>38947.94</v>
      </c>
      <c r="F9649" s="3" t="str">
        <f t="shared" si="150"/>
        <v>I12984</v>
      </c>
    </row>
    <row r="9650" spans="1:6" x14ac:dyDescent="0.2">
      <c r="A9650" s="29" t="s">
        <v>22840</v>
      </c>
      <c r="B9650" s="30" t="s">
        <v>22841</v>
      </c>
      <c r="C9650" s="29" t="s">
        <v>26</v>
      </c>
      <c r="D9650" s="31">
        <v>37439.49</v>
      </c>
      <c r="F9650" s="3" t="str">
        <f t="shared" si="150"/>
        <v>I10608</v>
      </c>
    </row>
    <row r="9651" spans="1:6" x14ac:dyDescent="0.2">
      <c r="A9651" s="29" t="s">
        <v>22842</v>
      </c>
      <c r="B9651" s="30" t="s">
        <v>22843</v>
      </c>
      <c r="C9651" s="29" t="s">
        <v>26</v>
      </c>
      <c r="D9651" s="31">
        <v>40580.620000000003</v>
      </c>
      <c r="F9651" s="3" t="str">
        <f t="shared" si="150"/>
        <v>I12993</v>
      </c>
    </row>
    <row r="9652" spans="1:6" x14ac:dyDescent="0.2">
      <c r="A9652" s="29" t="s">
        <v>22844</v>
      </c>
      <c r="B9652" s="30" t="s">
        <v>22845</v>
      </c>
      <c r="C9652" s="29" t="s">
        <v>26</v>
      </c>
      <c r="D9652" s="31">
        <v>39003.550000000003</v>
      </c>
      <c r="F9652" s="3" t="str">
        <f t="shared" si="150"/>
        <v>I10618</v>
      </c>
    </row>
    <row r="9653" spans="1:6" x14ac:dyDescent="0.2">
      <c r="A9653" s="29" t="s">
        <v>22846</v>
      </c>
      <c r="B9653" s="30" t="s">
        <v>22847</v>
      </c>
      <c r="C9653" s="29" t="s">
        <v>26</v>
      </c>
      <c r="D9653" s="31">
        <v>468.61</v>
      </c>
      <c r="F9653" s="3" t="str">
        <f t="shared" si="150"/>
        <v>I3475</v>
      </c>
    </row>
    <row r="9654" spans="1:6" x14ac:dyDescent="0.2">
      <c r="A9654" s="29" t="s">
        <v>22848</v>
      </c>
      <c r="B9654" s="30" t="s">
        <v>22849</v>
      </c>
      <c r="C9654" s="29" t="s">
        <v>26</v>
      </c>
      <c r="D9654" s="31">
        <v>468.61</v>
      </c>
      <c r="F9654" s="3" t="str">
        <f t="shared" si="150"/>
        <v>I7548</v>
      </c>
    </row>
    <row r="9655" spans="1:6" x14ac:dyDescent="0.2">
      <c r="A9655" s="29" t="s">
        <v>22850</v>
      </c>
      <c r="B9655" s="30" t="s">
        <v>22851</v>
      </c>
      <c r="C9655" s="29" t="s">
        <v>26</v>
      </c>
      <c r="D9655" s="31">
        <v>535.9</v>
      </c>
      <c r="F9655" s="3" t="str">
        <f t="shared" si="150"/>
        <v>I3476</v>
      </c>
    </row>
    <row r="9656" spans="1:6" x14ac:dyDescent="0.2">
      <c r="A9656" s="29" t="s">
        <v>22852</v>
      </c>
      <c r="B9656" s="30" t="s">
        <v>22853</v>
      </c>
      <c r="C9656" s="29" t="s">
        <v>26</v>
      </c>
      <c r="D9656" s="31">
        <v>921.77</v>
      </c>
      <c r="F9656" s="3" t="str">
        <f t="shared" si="150"/>
        <v>I3477</v>
      </c>
    </row>
    <row r="9657" spans="1:6" x14ac:dyDescent="0.2">
      <c r="A9657" s="29" t="s">
        <v>22854</v>
      </c>
      <c r="B9657" s="30" t="s">
        <v>22855</v>
      </c>
      <c r="C9657" s="29" t="s">
        <v>26</v>
      </c>
      <c r="D9657" s="31">
        <v>1347.91</v>
      </c>
      <c r="F9657" s="3" t="str">
        <f t="shared" si="150"/>
        <v>I3478</v>
      </c>
    </row>
    <row r="9658" spans="1:6" x14ac:dyDescent="0.2">
      <c r="A9658" s="29" t="s">
        <v>22856</v>
      </c>
      <c r="B9658" s="30" t="s">
        <v>22857</v>
      </c>
      <c r="C9658" s="29" t="s">
        <v>26</v>
      </c>
      <c r="D9658" s="31">
        <v>2432.4699999999998</v>
      </c>
      <c r="F9658" s="3" t="str">
        <f t="shared" si="150"/>
        <v>I3479</v>
      </c>
    </row>
    <row r="9659" spans="1:6" x14ac:dyDescent="0.2">
      <c r="A9659" s="29" t="s">
        <v>22858</v>
      </c>
      <c r="B9659" s="30" t="s">
        <v>22859</v>
      </c>
      <c r="C9659" s="29" t="s">
        <v>26</v>
      </c>
      <c r="D9659" s="31">
        <v>2780.31</v>
      </c>
      <c r="F9659" s="3" t="str">
        <f t="shared" si="150"/>
        <v>I3480</v>
      </c>
    </row>
    <row r="9660" spans="1:6" x14ac:dyDescent="0.2">
      <c r="A9660" s="29" t="s">
        <v>22860</v>
      </c>
      <c r="B9660" s="30" t="s">
        <v>22861</v>
      </c>
      <c r="C9660" s="29" t="s">
        <v>26</v>
      </c>
      <c r="D9660" s="31">
        <v>5130.74</v>
      </c>
      <c r="F9660" s="3" t="str">
        <f t="shared" si="150"/>
        <v>I3481</v>
      </c>
    </row>
    <row r="9661" spans="1:6" x14ac:dyDescent="0.2">
      <c r="A9661" s="29" t="s">
        <v>22862</v>
      </c>
      <c r="B9661" s="30" t="s">
        <v>22863</v>
      </c>
      <c r="C9661" s="29" t="s">
        <v>26</v>
      </c>
      <c r="D9661" s="31">
        <v>15731.21</v>
      </c>
      <c r="F9661" s="3" t="str">
        <f t="shared" si="150"/>
        <v>I3482</v>
      </c>
    </row>
    <row r="9662" spans="1:6" x14ac:dyDescent="0.2">
      <c r="A9662" s="29" t="s">
        <v>22864</v>
      </c>
      <c r="B9662" s="30" t="s">
        <v>22865</v>
      </c>
      <c r="C9662" s="29" t="s">
        <v>26</v>
      </c>
      <c r="D9662" s="31">
        <v>22206.49</v>
      </c>
      <c r="F9662" s="3" t="str">
        <f t="shared" si="150"/>
        <v>I3483</v>
      </c>
    </row>
    <row r="9663" spans="1:6" x14ac:dyDescent="0.2">
      <c r="A9663" s="29" t="s">
        <v>22866</v>
      </c>
      <c r="B9663" s="30" t="s">
        <v>22867</v>
      </c>
      <c r="C9663" s="29" t="s">
        <v>26</v>
      </c>
      <c r="D9663" s="31">
        <v>28681.77</v>
      </c>
      <c r="F9663" s="3" t="str">
        <f t="shared" si="150"/>
        <v>I3484</v>
      </c>
    </row>
    <row r="9664" spans="1:6" x14ac:dyDescent="0.2">
      <c r="A9664" s="29" t="s">
        <v>22868</v>
      </c>
      <c r="B9664" s="30" t="s">
        <v>22869</v>
      </c>
      <c r="C9664" s="29" t="s">
        <v>26</v>
      </c>
      <c r="D9664" s="31">
        <v>39713.449999999997</v>
      </c>
      <c r="F9664" s="3" t="str">
        <f t="shared" si="150"/>
        <v>I3485</v>
      </c>
    </row>
    <row r="9665" spans="1:6" ht="45" x14ac:dyDescent="0.2">
      <c r="A9665" s="29" t="s">
        <v>22870</v>
      </c>
      <c r="B9665" s="30" t="s">
        <v>22871</v>
      </c>
      <c r="C9665" s="29" t="s">
        <v>26</v>
      </c>
      <c r="D9665" s="31">
        <v>21174.02</v>
      </c>
      <c r="F9665" s="3" t="str">
        <f t="shared" si="150"/>
        <v>I9751</v>
      </c>
    </row>
    <row r="9666" spans="1:6" ht="22.5" x14ac:dyDescent="0.2">
      <c r="A9666" s="29" t="s">
        <v>22872</v>
      </c>
      <c r="B9666" s="30" t="s">
        <v>22873</v>
      </c>
      <c r="C9666" s="29" t="s">
        <v>26</v>
      </c>
      <c r="D9666" s="31">
        <v>26858.5</v>
      </c>
      <c r="F9666" s="3" t="str">
        <f t="shared" ref="F9666:F9729" si="151">A9666</f>
        <v>I9752</v>
      </c>
    </row>
    <row r="9667" spans="1:6" x14ac:dyDescent="0.2">
      <c r="A9667" s="29" t="s">
        <v>22874</v>
      </c>
      <c r="B9667" s="30" t="s">
        <v>9719</v>
      </c>
      <c r="C9667" s="29" t="s">
        <v>26</v>
      </c>
      <c r="D9667" s="31">
        <v>36.590000000000003</v>
      </c>
      <c r="F9667" s="3" t="str">
        <f t="shared" si="151"/>
        <v>I6471</v>
      </c>
    </row>
    <row r="9668" spans="1:6" x14ac:dyDescent="0.2">
      <c r="A9668" s="29" t="s">
        <v>22875</v>
      </c>
      <c r="B9668" s="30" t="s">
        <v>22876</v>
      </c>
      <c r="C9668" s="29" t="s">
        <v>26</v>
      </c>
      <c r="D9668" s="31">
        <v>5051.9399999999996</v>
      </c>
      <c r="F9668" s="3" t="str">
        <f t="shared" si="151"/>
        <v>I9259</v>
      </c>
    </row>
    <row r="9669" spans="1:6" x14ac:dyDescent="0.2">
      <c r="A9669" s="29" t="s">
        <v>22877</v>
      </c>
      <c r="B9669" s="30" t="s">
        <v>22878</v>
      </c>
      <c r="C9669" s="29" t="s">
        <v>26</v>
      </c>
      <c r="D9669" s="31">
        <v>6145.29</v>
      </c>
      <c r="F9669" s="3" t="str">
        <f t="shared" si="151"/>
        <v>I9260</v>
      </c>
    </row>
    <row r="9670" spans="1:6" x14ac:dyDescent="0.2">
      <c r="A9670" s="29" t="s">
        <v>22879</v>
      </c>
      <c r="B9670" s="30" t="s">
        <v>22880</v>
      </c>
      <c r="C9670" s="29" t="s">
        <v>26</v>
      </c>
      <c r="D9670" s="31">
        <v>7238.63</v>
      </c>
      <c r="F9670" s="3" t="str">
        <f t="shared" si="151"/>
        <v>I9261</v>
      </c>
    </row>
    <row r="9671" spans="1:6" x14ac:dyDescent="0.2">
      <c r="A9671" s="29" t="s">
        <v>22881</v>
      </c>
      <c r="B9671" s="30" t="s">
        <v>22882</v>
      </c>
      <c r="C9671" s="29" t="s">
        <v>26</v>
      </c>
      <c r="D9671" s="31">
        <v>10971.73</v>
      </c>
      <c r="F9671" s="3" t="str">
        <f t="shared" si="151"/>
        <v>I9262</v>
      </c>
    </row>
    <row r="9672" spans="1:6" x14ac:dyDescent="0.2">
      <c r="A9672" s="29" t="s">
        <v>22883</v>
      </c>
      <c r="B9672" s="30" t="s">
        <v>22884</v>
      </c>
      <c r="C9672" s="29" t="s">
        <v>26</v>
      </c>
      <c r="D9672" s="31">
        <v>21543.02</v>
      </c>
      <c r="F9672" s="3" t="str">
        <f t="shared" si="151"/>
        <v>I9263</v>
      </c>
    </row>
    <row r="9673" spans="1:6" x14ac:dyDescent="0.2">
      <c r="A9673" s="29" t="s">
        <v>22885</v>
      </c>
      <c r="B9673" s="30" t="s">
        <v>22886</v>
      </c>
      <c r="C9673" s="29" t="s">
        <v>26</v>
      </c>
      <c r="D9673" s="31">
        <v>41811.870000000003</v>
      </c>
      <c r="F9673" s="3" t="str">
        <f t="shared" si="151"/>
        <v>I9264</v>
      </c>
    </row>
    <row r="9674" spans="1:6" x14ac:dyDescent="0.2">
      <c r="A9674" s="29" t="s">
        <v>22887</v>
      </c>
      <c r="B9674" s="30" t="s">
        <v>22888</v>
      </c>
      <c r="C9674" s="29" t="s">
        <v>26</v>
      </c>
      <c r="D9674" s="31">
        <v>52525.77</v>
      </c>
      <c r="F9674" s="3" t="str">
        <f t="shared" si="151"/>
        <v>I9265</v>
      </c>
    </row>
    <row r="9675" spans="1:6" x14ac:dyDescent="0.2">
      <c r="A9675" s="29" t="s">
        <v>22889</v>
      </c>
      <c r="B9675" s="30" t="s">
        <v>22890</v>
      </c>
      <c r="C9675" s="29" t="s">
        <v>26</v>
      </c>
      <c r="D9675" s="31">
        <v>64311.1</v>
      </c>
      <c r="F9675" s="3" t="str">
        <f t="shared" si="151"/>
        <v>I9266</v>
      </c>
    </row>
    <row r="9676" spans="1:6" x14ac:dyDescent="0.2">
      <c r="A9676" s="29" t="s">
        <v>22891</v>
      </c>
      <c r="B9676" s="30" t="s">
        <v>22892</v>
      </c>
      <c r="C9676" s="29" t="s">
        <v>26</v>
      </c>
      <c r="D9676" s="31">
        <v>76096.429999999993</v>
      </c>
      <c r="F9676" s="3" t="str">
        <f t="shared" si="151"/>
        <v>I9267</v>
      </c>
    </row>
    <row r="9677" spans="1:6" x14ac:dyDescent="0.2">
      <c r="A9677" s="29" t="s">
        <v>22893</v>
      </c>
      <c r="B9677" s="30" t="s">
        <v>22894</v>
      </c>
      <c r="C9677" s="29" t="s">
        <v>26</v>
      </c>
      <c r="D9677" s="31">
        <v>89067.83</v>
      </c>
      <c r="F9677" s="3" t="str">
        <f t="shared" si="151"/>
        <v>I9268</v>
      </c>
    </row>
    <row r="9678" spans="1:6" x14ac:dyDescent="0.2">
      <c r="A9678" s="29" t="s">
        <v>22895</v>
      </c>
      <c r="B9678" s="30" t="s">
        <v>22896</v>
      </c>
      <c r="C9678" s="29" t="s">
        <v>26</v>
      </c>
      <c r="D9678" s="31">
        <v>9105.18</v>
      </c>
      <c r="F9678" s="3" t="str">
        <f t="shared" si="151"/>
        <v>I13023</v>
      </c>
    </row>
    <row r="9679" spans="1:6" x14ac:dyDescent="0.2">
      <c r="A9679" s="29" t="s">
        <v>22897</v>
      </c>
      <c r="B9679" s="30" t="s">
        <v>22898</v>
      </c>
      <c r="C9679" s="29" t="s">
        <v>26</v>
      </c>
      <c r="D9679" s="31">
        <v>5308.2</v>
      </c>
      <c r="F9679" s="3" t="str">
        <f t="shared" si="151"/>
        <v>I7628</v>
      </c>
    </row>
    <row r="9680" spans="1:6" x14ac:dyDescent="0.2">
      <c r="A9680" s="29" t="s">
        <v>22899</v>
      </c>
      <c r="B9680" s="30" t="s">
        <v>22900</v>
      </c>
      <c r="C9680" s="29" t="s">
        <v>26</v>
      </c>
      <c r="D9680" s="31">
        <v>6478.13</v>
      </c>
      <c r="F9680" s="3" t="str">
        <f t="shared" si="151"/>
        <v>I7629</v>
      </c>
    </row>
    <row r="9681" spans="1:6" x14ac:dyDescent="0.2">
      <c r="A9681" s="29" t="s">
        <v>22901</v>
      </c>
      <c r="B9681" s="30" t="s">
        <v>22902</v>
      </c>
      <c r="C9681" s="29" t="s">
        <v>26</v>
      </c>
      <c r="D9681" s="31">
        <v>7880.1</v>
      </c>
      <c r="F9681" s="3" t="str">
        <f t="shared" si="151"/>
        <v>I7630</v>
      </c>
    </row>
    <row r="9682" spans="1:6" x14ac:dyDescent="0.2">
      <c r="A9682" s="29" t="s">
        <v>22903</v>
      </c>
      <c r="B9682" s="30" t="s">
        <v>22904</v>
      </c>
      <c r="C9682" s="29" t="s">
        <v>26</v>
      </c>
      <c r="D9682" s="31">
        <v>12129.57</v>
      </c>
      <c r="F9682" s="3" t="str">
        <f t="shared" si="151"/>
        <v>I10647</v>
      </c>
    </row>
    <row r="9683" spans="1:6" x14ac:dyDescent="0.2">
      <c r="A9683" s="29" t="s">
        <v>22905</v>
      </c>
      <c r="B9683" s="30" t="s">
        <v>22906</v>
      </c>
      <c r="C9683" s="29" t="s">
        <v>26</v>
      </c>
      <c r="D9683" s="31">
        <v>12741.12</v>
      </c>
      <c r="F9683" s="3" t="str">
        <f t="shared" si="151"/>
        <v>I7631</v>
      </c>
    </row>
    <row r="9684" spans="1:6" x14ac:dyDescent="0.2">
      <c r="A9684" s="29" t="s">
        <v>22907</v>
      </c>
      <c r="B9684" s="30" t="s">
        <v>22908</v>
      </c>
      <c r="C9684" s="29" t="s">
        <v>26</v>
      </c>
      <c r="D9684" s="31">
        <v>18100.07</v>
      </c>
      <c r="F9684" s="3" t="str">
        <f t="shared" si="151"/>
        <v>I7632</v>
      </c>
    </row>
    <row r="9685" spans="1:6" x14ac:dyDescent="0.2">
      <c r="A9685" s="29" t="s">
        <v>22909</v>
      </c>
      <c r="B9685" s="30" t="s">
        <v>22910</v>
      </c>
      <c r="C9685" s="29" t="s">
        <v>26</v>
      </c>
      <c r="D9685" s="31">
        <v>35022.69</v>
      </c>
      <c r="F9685" s="3" t="str">
        <f t="shared" si="151"/>
        <v>I7633</v>
      </c>
    </row>
    <row r="9686" spans="1:6" x14ac:dyDescent="0.2">
      <c r="A9686" s="29" t="s">
        <v>22911</v>
      </c>
      <c r="B9686" s="30" t="s">
        <v>22912</v>
      </c>
      <c r="C9686" s="29" t="s">
        <v>26</v>
      </c>
      <c r="D9686" s="31">
        <v>48747.07</v>
      </c>
      <c r="F9686" s="3" t="str">
        <f t="shared" si="151"/>
        <v>I7634</v>
      </c>
    </row>
    <row r="9687" spans="1:6" x14ac:dyDescent="0.2">
      <c r="A9687" s="29" t="s">
        <v>22913</v>
      </c>
      <c r="B9687" s="30" t="s">
        <v>22914</v>
      </c>
      <c r="C9687" s="29" t="s">
        <v>26</v>
      </c>
      <c r="D9687" s="31">
        <v>69561.94</v>
      </c>
      <c r="F9687" s="3" t="str">
        <f t="shared" si="151"/>
        <v>I7635</v>
      </c>
    </row>
    <row r="9688" spans="1:6" x14ac:dyDescent="0.2">
      <c r="A9688" s="29" t="s">
        <v>22915</v>
      </c>
      <c r="B9688" s="30" t="s">
        <v>22916</v>
      </c>
      <c r="C9688" s="29" t="s">
        <v>26</v>
      </c>
      <c r="D9688" s="31">
        <v>77350.73</v>
      </c>
      <c r="F9688" s="3" t="str">
        <f t="shared" si="151"/>
        <v>I7636</v>
      </c>
    </row>
    <row r="9689" spans="1:6" x14ac:dyDescent="0.2">
      <c r="A9689" s="29" t="s">
        <v>22917</v>
      </c>
      <c r="B9689" s="30" t="s">
        <v>22918</v>
      </c>
      <c r="C9689" s="29" t="s">
        <v>26</v>
      </c>
      <c r="D9689" s="31">
        <v>113638.71</v>
      </c>
      <c r="F9689" s="3" t="str">
        <f t="shared" si="151"/>
        <v>I7637</v>
      </c>
    </row>
    <row r="9690" spans="1:6" x14ac:dyDescent="0.2">
      <c r="A9690" s="29" t="s">
        <v>22919</v>
      </c>
      <c r="B9690" s="30" t="s">
        <v>22920</v>
      </c>
      <c r="C9690" s="29" t="s">
        <v>26</v>
      </c>
      <c r="D9690" s="31">
        <v>4178.51</v>
      </c>
      <c r="F9690" s="3" t="str">
        <f t="shared" si="151"/>
        <v>I13025</v>
      </c>
    </row>
    <row r="9691" spans="1:6" x14ac:dyDescent="0.2">
      <c r="A9691" s="29" t="s">
        <v>22921</v>
      </c>
      <c r="B9691" s="30" t="s">
        <v>22922</v>
      </c>
      <c r="C9691" s="29" t="s">
        <v>26</v>
      </c>
      <c r="D9691" s="31">
        <v>741.22</v>
      </c>
      <c r="F9691" s="3" t="str">
        <f t="shared" si="151"/>
        <v>I13024</v>
      </c>
    </row>
    <row r="9692" spans="1:6" x14ac:dyDescent="0.2">
      <c r="A9692" s="29" t="s">
        <v>22923</v>
      </c>
      <c r="B9692" s="30" t="s">
        <v>22924</v>
      </c>
      <c r="C9692" s="29" t="s">
        <v>26</v>
      </c>
      <c r="D9692" s="31">
        <v>435.89</v>
      </c>
      <c r="F9692" s="3" t="str">
        <f t="shared" si="151"/>
        <v>I9243</v>
      </c>
    </row>
    <row r="9693" spans="1:6" x14ac:dyDescent="0.2">
      <c r="A9693" s="29" t="s">
        <v>22925</v>
      </c>
      <c r="B9693" s="30" t="s">
        <v>22926</v>
      </c>
      <c r="C9693" s="29" t="s">
        <v>26</v>
      </c>
      <c r="D9693" s="31">
        <v>435.89</v>
      </c>
      <c r="F9693" s="3" t="str">
        <f t="shared" si="151"/>
        <v>I9244</v>
      </c>
    </row>
    <row r="9694" spans="1:6" x14ac:dyDescent="0.2">
      <c r="A9694" s="29" t="s">
        <v>22927</v>
      </c>
      <c r="B9694" s="30" t="s">
        <v>22928</v>
      </c>
      <c r="C9694" s="29" t="s">
        <v>26</v>
      </c>
      <c r="D9694" s="31">
        <v>480.57</v>
      </c>
      <c r="F9694" s="3" t="str">
        <f t="shared" si="151"/>
        <v>I9245</v>
      </c>
    </row>
    <row r="9695" spans="1:6" x14ac:dyDescent="0.2">
      <c r="A9695" s="29" t="s">
        <v>22929</v>
      </c>
      <c r="B9695" s="30" t="s">
        <v>22930</v>
      </c>
      <c r="C9695" s="29" t="s">
        <v>26</v>
      </c>
      <c r="D9695" s="31">
        <v>747.75</v>
      </c>
      <c r="F9695" s="3" t="str">
        <f t="shared" si="151"/>
        <v>I9246</v>
      </c>
    </row>
    <row r="9696" spans="1:6" x14ac:dyDescent="0.2">
      <c r="A9696" s="29" t="s">
        <v>22931</v>
      </c>
      <c r="B9696" s="30" t="s">
        <v>22932</v>
      </c>
      <c r="C9696" s="29" t="s">
        <v>26</v>
      </c>
      <c r="D9696" s="31">
        <v>1060.4000000000001</v>
      </c>
      <c r="F9696" s="3" t="str">
        <f t="shared" si="151"/>
        <v>I9247</v>
      </c>
    </row>
    <row r="9697" spans="1:6" x14ac:dyDescent="0.2">
      <c r="A9697" s="29" t="s">
        <v>22933</v>
      </c>
      <c r="B9697" s="30" t="s">
        <v>22934</v>
      </c>
      <c r="C9697" s="29" t="s">
        <v>26</v>
      </c>
      <c r="D9697" s="31">
        <v>1398.43</v>
      </c>
      <c r="F9697" s="3" t="str">
        <f t="shared" si="151"/>
        <v>I9248</v>
      </c>
    </row>
    <row r="9698" spans="1:6" x14ac:dyDescent="0.2">
      <c r="A9698" s="29" t="s">
        <v>22935</v>
      </c>
      <c r="B9698" s="30" t="s">
        <v>22936</v>
      </c>
      <c r="C9698" s="29" t="s">
        <v>26</v>
      </c>
      <c r="D9698" s="31">
        <v>2068.1999999999998</v>
      </c>
      <c r="F9698" s="3" t="str">
        <f t="shared" si="151"/>
        <v>I9249</v>
      </c>
    </row>
    <row r="9699" spans="1:6" x14ac:dyDescent="0.2">
      <c r="A9699" s="29" t="s">
        <v>22937</v>
      </c>
      <c r="B9699" s="30" t="s">
        <v>22938</v>
      </c>
      <c r="C9699" s="29" t="s">
        <v>26</v>
      </c>
      <c r="D9699" s="31">
        <v>4039.85</v>
      </c>
      <c r="F9699" s="3" t="str">
        <f t="shared" si="151"/>
        <v>I9250</v>
      </c>
    </row>
    <row r="9700" spans="1:6" x14ac:dyDescent="0.2">
      <c r="A9700" s="29" t="s">
        <v>22939</v>
      </c>
      <c r="B9700" s="30" t="s">
        <v>22940</v>
      </c>
      <c r="C9700" s="29" t="s">
        <v>26</v>
      </c>
      <c r="D9700" s="31">
        <v>12423.22</v>
      </c>
      <c r="F9700" s="3" t="str">
        <f t="shared" si="151"/>
        <v>I9251</v>
      </c>
    </row>
    <row r="9701" spans="1:6" x14ac:dyDescent="0.2">
      <c r="A9701" s="29" t="s">
        <v>22941</v>
      </c>
      <c r="B9701" s="30" t="s">
        <v>22942</v>
      </c>
      <c r="C9701" s="29" t="s">
        <v>26</v>
      </c>
      <c r="D9701" s="31">
        <v>14663.56</v>
      </c>
      <c r="F9701" s="3" t="str">
        <f t="shared" si="151"/>
        <v>I9252</v>
      </c>
    </row>
    <row r="9702" spans="1:6" x14ac:dyDescent="0.2">
      <c r="A9702" s="29" t="s">
        <v>22943</v>
      </c>
      <c r="B9702" s="30" t="s">
        <v>22944</v>
      </c>
      <c r="C9702" s="29" t="s">
        <v>26</v>
      </c>
      <c r="D9702" s="31">
        <v>16963.560000000001</v>
      </c>
      <c r="F9702" s="3" t="str">
        <f t="shared" si="151"/>
        <v>I9253</v>
      </c>
    </row>
    <row r="9703" spans="1:6" x14ac:dyDescent="0.2">
      <c r="A9703" s="29" t="s">
        <v>22945</v>
      </c>
      <c r="B9703" s="30" t="s">
        <v>22946</v>
      </c>
      <c r="C9703" s="29" t="s">
        <v>26</v>
      </c>
      <c r="D9703" s="31">
        <v>22740.36</v>
      </c>
      <c r="F9703" s="3" t="str">
        <f t="shared" si="151"/>
        <v>I9254</v>
      </c>
    </row>
    <row r="9704" spans="1:6" x14ac:dyDescent="0.2">
      <c r="A9704" s="29" t="s">
        <v>22947</v>
      </c>
      <c r="B9704" s="30" t="s">
        <v>22948</v>
      </c>
      <c r="C9704" s="29" t="s">
        <v>26</v>
      </c>
      <c r="D9704" s="31">
        <v>24589.95</v>
      </c>
      <c r="F9704" s="3" t="str">
        <f t="shared" si="151"/>
        <v>I9255</v>
      </c>
    </row>
    <row r="9705" spans="1:6" x14ac:dyDescent="0.2">
      <c r="A9705" s="29" t="s">
        <v>22949</v>
      </c>
      <c r="B9705" s="30" t="s">
        <v>22950</v>
      </c>
      <c r="C9705" s="29" t="s">
        <v>26</v>
      </c>
      <c r="D9705" s="31">
        <v>38534.21</v>
      </c>
      <c r="F9705" s="3" t="str">
        <f t="shared" si="151"/>
        <v>I9256</v>
      </c>
    </row>
    <row r="9706" spans="1:6" x14ac:dyDescent="0.2">
      <c r="A9706" s="29" t="s">
        <v>22951</v>
      </c>
      <c r="B9706" s="30" t="s">
        <v>22952</v>
      </c>
      <c r="C9706" s="29" t="s">
        <v>26</v>
      </c>
      <c r="D9706" s="31">
        <v>649.86</v>
      </c>
      <c r="F9706" s="3" t="str">
        <f t="shared" si="151"/>
        <v>I13008</v>
      </c>
    </row>
    <row r="9707" spans="1:6" x14ac:dyDescent="0.2">
      <c r="A9707" s="29" t="s">
        <v>22953</v>
      </c>
      <c r="B9707" s="30" t="s">
        <v>22954</v>
      </c>
      <c r="C9707" s="29" t="s">
        <v>26</v>
      </c>
      <c r="D9707" s="31">
        <v>532.54999999999995</v>
      </c>
      <c r="F9707" s="3" t="str">
        <f t="shared" si="151"/>
        <v>I10632</v>
      </c>
    </row>
    <row r="9708" spans="1:6" x14ac:dyDescent="0.2">
      <c r="A9708" s="29" t="s">
        <v>22955</v>
      </c>
      <c r="B9708" s="30" t="s">
        <v>22956</v>
      </c>
      <c r="C9708" s="29" t="s">
        <v>26</v>
      </c>
      <c r="D9708" s="31">
        <v>53460.08</v>
      </c>
      <c r="F9708" s="3" t="str">
        <f t="shared" si="151"/>
        <v>I9257</v>
      </c>
    </row>
    <row r="9709" spans="1:6" x14ac:dyDescent="0.2">
      <c r="A9709" s="29" t="s">
        <v>22957</v>
      </c>
      <c r="B9709" s="30" t="s">
        <v>22958</v>
      </c>
      <c r="C9709" s="29" t="s">
        <v>26</v>
      </c>
      <c r="D9709" s="31">
        <v>58546.54</v>
      </c>
      <c r="F9709" s="3" t="str">
        <f t="shared" si="151"/>
        <v>I13006</v>
      </c>
    </row>
    <row r="9710" spans="1:6" x14ac:dyDescent="0.2">
      <c r="A9710" s="29" t="s">
        <v>22959</v>
      </c>
      <c r="B9710" s="30" t="s">
        <v>22960</v>
      </c>
      <c r="C9710" s="29" t="s">
        <v>26</v>
      </c>
      <c r="D9710" s="31">
        <v>56004.95</v>
      </c>
      <c r="F9710" s="3" t="str">
        <f t="shared" si="151"/>
        <v>I10630</v>
      </c>
    </row>
    <row r="9711" spans="1:6" x14ac:dyDescent="0.2">
      <c r="A9711" s="29" t="s">
        <v>22961</v>
      </c>
      <c r="B9711" s="30" t="s">
        <v>22962</v>
      </c>
      <c r="C9711" s="29" t="s">
        <v>26</v>
      </c>
      <c r="D9711" s="31">
        <v>67184.100000000006</v>
      </c>
      <c r="F9711" s="3" t="str">
        <f t="shared" si="151"/>
        <v>I13021</v>
      </c>
    </row>
    <row r="9712" spans="1:6" x14ac:dyDescent="0.2">
      <c r="A9712" s="29" t="s">
        <v>22963</v>
      </c>
      <c r="B9712" s="30" t="s">
        <v>22964</v>
      </c>
      <c r="C9712" s="29" t="s">
        <v>26</v>
      </c>
      <c r="D9712" s="31">
        <v>64200.42</v>
      </c>
      <c r="F9712" s="3" t="str">
        <f t="shared" si="151"/>
        <v>I10645</v>
      </c>
    </row>
    <row r="9713" spans="1:6" x14ac:dyDescent="0.2">
      <c r="A9713" s="29" t="s">
        <v>22965</v>
      </c>
      <c r="B9713" s="30" t="s">
        <v>22966</v>
      </c>
      <c r="C9713" s="29" t="s">
        <v>26</v>
      </c>
      <c r="D9713" s="31">
        <v>61070</v>
      </c>
      <c r="F9713" s="3" t="str">
        <f t="shared" si="151"/>
        <v>I9258</v>
      </c>
    </row>
    <row r="9714" spans="1:6" x14ac:dyDescent="0.2">
      <c r="A9714" s="29" t="s">
        <v>22967</v>
      </c>
      <c r="B9714" s="30" t="s">
        <v>22968</v>
      </c>
      <c r="C9714" s="29" t="s">
        <v>26</v>
      </c>
      <c r="D9714" s="31">
        <v>80321.710000000006</v>
      </c>
      <c r="F9714" s="3" t="str">
        <f t="shared" si="151"/>
        <v>I13007</v>
      </c>
    </row>
    <row r="9715" spans="1:6" x14ac:dyDescent="0.2">
      <c r="A9715" s="29" t="s">
        <v>22969</v>
      </c>
      <c r="B9715" s="30" t="s">
        <v>22970</v>
      </c>
      <c r="C9715" s="29" t="s">
        <v>26</v>
      </c>
      <c r="D9715" s="31">
        <v>76808.37</v>
      </c>
      <c r="F9715" s="3" t="str">
        <f t="shared" si="151"/>
        <v>I10631</v>
      </c>
    </row>
    <row r="9716" spans="1:6" x14ac:dyDescent="0.2">
      <c r="A9716" s="29" t="s">
        <v>22971</v>
      </c>
      <c r="B9716" s="30" t="s">
        <v>22972</v>
      </c>
      <c r="C9716" s="29" t="s">
        <v>26</v>
      </c>
      <c r="D9716" s="31">
        <v>91197.08</v>
      </c>
      <c r="F9716" s="3" t="str">
        <f t="shared" si="151"/>
        <v>I13022</v>
      </c>
    </row>
    <row r="9717" spans="1:6" x14ac:dyDescent="0.2">
      <c r="A9717" s="29" t="s">
        <v>22973</v>
      </c>
      <c r="B9717" s="30" t="s">
        <v>22974</v>
      </c>
      <c r="C9717" s="29" t="s">
        <v>26</v>
      </c>
      <c r="D9717" s="31">
        <v>87211.89</v>
      </c>
      <c r="F9717" s="3" t="str">
        <f t="shared" si="151"/>
        <v>I10646</v>
      </c>
    </row>
    <row r="9718" spans="1:6" x14ac:dyDescent="0.2">
      <c r="A9718" s="29" t="s">
        <v>22975</v>
      </c>
      <c r="B9718" s="30" t="s">
        <v>22976</v>
      </c>
      <c r="C9718" s="29" t="s">
        <v>26</v>
      </c>
      <c r="D9718" s="31">
        <v>898.67</v>
      </c>
      <c r="F9718" s="3" t="str">
        <f t="shared" si="151"/>
        <v>I13009</v>
      </c>
    </row>
    <row r="9719" spans="1:6" x14ac:dyDescent="0.2">
      <c r="A9719" s="29" t="s">
        <v>22977</v>
      </c>
      <c r="B9719" s="30" t="s">
        <v>22978</v>
      </c>
      <c r="C9719" s="29" t="s">
        <v>26</v>
      </c>
      <c r="D9719" s="31">
        <v>763.07</v>
      </c>
      <c r="F9719" s="3" t="str">
        <f t="shared" si="151"/>
        <v>I10633</v>
      </c>
    </row>
    <row r="9720" spans="1:6" x14ac:dyDescent="0.2">
      <c r="A9720" s="29" t="s">
        <v>22979</v>
      </c>
      <c r="B9720" s="30" t="s">
        <v>22980</v>
      </c>
      <c r="C9720" s="29" t="s">
        <v>26</v>
      </c>
      <c r="D9720" s="31">
        <v>1064.6099999999999</v>
      </c>
      <c r="F9720" s="3" t="str">
        <f t="shared" si="151"/>
        <v>I12995</v>
      </c>
    </row>
    <row r="9721" spans="1:6" x14ac:dyDescent="0.2">
      <c r="A9721" s="29" t="s">
        <v>22981</v>
      </c>
      <c r="B9721" s="30" t="s">
        <v>22982</v>
      </c>
      <c r="C9721" s="29" t="s">
        <v>26</v>
      </c>
      <c r="D9721" s="31">
        <v>840.39</v>
      </c>
      <c r="F9721" s="3" t="str">
        <f t="shared" si="151"/>
        <v>I10619</v>
      </c>
    </row>
    <row r="9722" spans="1:6" x14ac:dyDescent="0.2">
      <c r="A9722" s="29" t="s">
        <v>22983</v>
      </c>
      <c r="B9722" s="30" t="s">
        <v>22984</v>
      </c>
      <c r="C9722" s="29" t="s">
        <v>26</v>
      </c>
      <c r="D9722" s="31">
        <v>1210.56</v>
      </c>
      <c r="F9722" s="3" t="str">
        <f t="shared" si="151"/>
        <v>I13010</v>
      </c>
    </row>
    <row r="9723" spans="1:6" x14ac:dyDescent="0.2">
      <c r="A9723" s="29" t="s">
        <v>22985</v>
      </c>
      <c r="B9723" s="30" t="s">
        <v>22986</v>
      </c>
      <c r="C9723" s="29" t="s">
        <v>26</v>
      </c>
      <c r="D9723" s="31">
        <v>959.58</v>
      </c>
      <c r="F9723" s="3" t="str">
        <f t="shared" si="151"/>
        <v>I10634</v>
      </c>
    </row>
    <row r="9724" spans="1:6" x14ac:dyDescent="0.2">
      <c r="A9724" s="29" t="s">
        <v>22987</v>
      </c>
      <c r="B9724" s="30" t="s">
        <v>22988</v>
      </c>
      <c r="C9724" s="29" t="s">
        <v>26</v>
      </c>
      <c r="D9724" s="31">
        <v>1400.21</v>
      </c>
      <c r="F9724" s="3" t="str">
        <f t="shared" si="151"/>
        <v>I12996</v>
      </c>
    </row>
    <row r="9725" spans="1:6" x14ac:dyDescent="0.2">
      <c r="A9725" s="29" t="s">
        <v>22989</v>
      </c>
      <c r="B9725" s="30" t="s">
        <v>22990</v>
      </c>
      <c r="C9725" s="29" t="s">
        <v>26</v>
      </c>
      <c r="D9725" s="31">
        <v>1114.57</v>
      </c>
      <c r="F9725" s="3" t="str">
        <f t="shared" si="151"/>
        <v>I10620</v>
      </c>
    </row>
    <row r="9726" spans="1:6" x14ac:dyDescent="0.2">
      <c r="A9726" s="29" t="s">
        <v>22991</v>
      </c>
      <c r="B9726" s="30" t="s">
        <v>22992</v>
      </c>
      <c r="C9726" s="29" t="s">
        <v>26</v>
      </c>
      <c r="D9726" s="31">
        <v>1523.13</v>
      </c>
      <c r="F9726" s="3" t="str">
        <f t="shared" si="151"/>
        <v>I13011</v>
      </c>
    </row>
    <row r="9727" spans="1:6" x14ac:dyDescent="0.2">
      <c r="A9727" s="29" t="s">
        <v>22993</v>
      </c>
      <c r="B9727" s="30" t="s">
        <v>22994</v>
      </c>
      <c r="C9727" s="29" t="s">
        <v>26</v>
      </c>
      <c r="D9727" s="31">
        <v>1209.52</v>
      </c>
      <c r="F9727" s="3" t="str">
        <f t="shared" si="151"/>
        <v>I10635</v>
      </c>
    </row>
    <row r="9728" spans="1:6" x14ac:dyDescent="0.2">
      <c r="A9728" s="29" t="s">
        <v>22995</v>
      </c>
      <c r="B9728" s="30" t="s">
        <v>22996</v>
      </c>
      <c r="C9728" s="29" t="s">
        <v>26</v>
      </c>
      <c r="D9728" s="31">
        <v>2068.29</v>
      </c>
      <c r="F9728" s="3" t="str">
        <f t="shared" si="151"/>
        <v>I12997</v>
      </c>
    </row>
    <row r="9729" spans="1:6" x14ac:dyDescent="0.2">
      <c r="A9729" s="29" t="s">
        <v>22997</v>
      </c>
      <c r="B9729" s="30" t="s">
        <v>22998</v>
      </c>
      <c r="C9729" s="29" t="s">
        <v>26</v>
      </c>
      <c r="D9729" s="31">
        <v>1669.84</v>
      </c>
      <c r="F9729" s="3" t="str">
        <f t="shared" si="151"/>
        <v>I10621</v>
      </c>
    </row>
    <row r="9730" spans="1:6" x14ac:dyDescent="0.2">
      <c r="A9730" s="29" t="s">
        <v>22999</v>
      </c>
      <c r="B9730" s="30" t="s">
        <v>23000</v>
      </c>
      <c r="C9730" s="29" t="s">
        <v>26</v>
      </c>
      <c r="D9730" s="31">
        <v>2487.8000000000002</v>
      </c>
      <c r="F9730" s="3" t="str">
        <f t="shared" ref="F9730:F9793" si="152">A9730</f>
        <v>I13012</v>
      </c>
    </row>
    <row r="9731" spans="1:6" x14ac:dyDescent="0.2">
      <c r="A9731" s="29" t="s">
        <v>23001</v>
      </c>
      <c r="B9731" s="30" t="s">
        <v>23002</v>
      </c>
      <c r="C9731" s="29" t="s">
        <v>26</v>
      </c>
      <c r="D9731" s="31">
        <v>2037.65</v>
      </c>
      <c r="F9731" s="3" t="str">
        <f t="shared" si="152"/>
        <v>I10636</v>
      </c>
    </row>
    <row r="9732" spans="1:6" x14ac:dyDescent="0.2">
      <c r="A9732" s="29" t="s">
        <v>23003</v>
      </c>
      <c r="B9732" s="30" t="s">
        <v>23004</v>
      </c>
      <c r="C9732" s="29" t="s">
        <v>26</v>
      </c>
      <c r="D9732" s="31">
        <v>3054.03</v>
      </c>
      <c r="F9732" s="3" t="str">
        <f t="shared" si="152"/>
        <v>I12994</v>
      </c>
    </row>
    <row r="9733" spans="1:6" x14ac:dyDescent="0.2">
      <c r="A9733" s="29" t="s">
        <v>23005</v>
      </c>
      <c r="B9733" s="30" t="s">
        <v>23006</v>
      </c>
      <c r="C9733" s="29" t="s">
        <v>26</v>
      </c>
      <c r="D9733" s="31">
        <v>3130.72</v>
      </c>
      <c r="F9733" s="3" t="str">
        <f t="shared" si="152"/>
        <v>I12998</v>
      </c>
    </row>
    <row r="9734" spans="1:6" x14ac:dyDescent="0.2">
      <c r="A9734" s="29" t="s">
        <v>23007</v>
      </c>
      <c r="B9734" s="30" t="s">
        <v>23008</v>
      </c>
      <c r="C9734" s="29" t="s">
        <v>26</v>
      </c>
      <c r="D9734" s="31">
        <v>2616.6799999999998</v>
      </c>
      <c r="F9734" s="3" t="str">
        <f t="shared" si="152"/>
        <v>I10622</v>
      </c>
    </row>
    <row r="9735" spans="1:6" x14ac:dyDescent="0.2">
      <c r="A9735" s="29" t="s">
        <v>23009</v>
      </c>
      <c r="B9735" s="30" t="s">
        <v>23010</v>
      </c>
      <c r="C9735" s="29" t="s">
        <v>26</v>
      </c>
      <c r="D9735" s="31">
        <v>3692.93</v>
      </c>
      <c r="F9735" s="3" t="str">
        <f t="shared" si="152"/>
        <v>I13013</v>
      </c>
    </row>
    <row r="9736" spans="1:6" x14ac:dyDescent="0.2">
      <c r="A9736" s="29" t="s">
        <v>23011</v>
      </c>
      <c r="B9736" s="30" t="s">
        <v>23012</v>
      </c>
      <c r="C9736" s="29" t="s">
        <v>26</v>
      </c>
      <c r="D9736" s="31">
        <v>3071.95</v>
      </c>
      <c r="F9736" s="3" t="str">
        <f t="shared" si="152"/>
        <v>I10637</v>
      </c>
    </row>
    <row r="9737" spans="1:6" x14ac:dyDescent="0.2">
      <c r="A9737" s="29" t="s">
        <v>23013</v>
      </c>
      <c r="B9737" s="30" t="s">
        <v>23014</v>
      </c>
      <c r="C9737" s="29" t="s">
        <v>26</v>
      </c>
      <c r="D9737" s="31">
        <v>4193.1499999999996</v>
      </c>
      <c r="F9737" s="3" t="str">
        <f t="shared" si="152"/>
        <v>I12999</v>
      </c>
    </row>
    <row r="9738" spans="1:6" x14ac:dyDescent="0.2">
      <c r="A9738" s="29" t="s">
        <v>23015</v>
      </c>
      <c r="B9738" s="30" t="s">
        <v>23016</v>
      </c>
      <c r="C9738" s="29" t="s">
        <v>26</v>
      </c>
      <c r="D9738" s="31">
        <v>3563.51</v>
      </c>
      <c r="F9738" s="3" t="str">
        <f t="shared" si="152"/>
        <v>I10623</v>
      </c>
    </row>
    <row r="9739" spans="1:6" x14ac:dyDescent="0.2">
      <c r="A9739" s="29" t="s">
        <v>23017</v>
      </c>
      <c r="B9739" s="30" t="s">
        <v>23018</v>
      </c>
      <c r="C9739" s="29" t="s">
        <v>26</v>
      </c>
      <c r="D9739" s="31">
        <v>4898.05</v>
      </c>
      <c r="F9739" s="3" t="str">
        <f t="shared" si="152"/>
        <v>I13014</v>
      </c>
    </row>
    <row r="9740" spans="1:6" x14ac:dyDescent="0.2">
      <c r="A9740" s="29" t="s">
        <v>23019</v>
      </c>
      <c r="B9740" s="30" t="s">
        <v>23020</v>
      </c>
      <c r="C9740" s="29" t="s">
        <v>26</v>
      </c>
      <c r="D9740" s="31">
        <v>4106.26</v>
      </c>
      <c r="F9740" s="3" t="str">
        <f t="shared" si="152"/>
        <v>I10638</v>
      </c>
    </row>
    <row r="9741" spans="1:6" x14ac:dyDescent="0.2">
      <c r="A9741" s="29" t="s">
        <v>23021</v>
      </c>
      <c r="B9741" s="30" t="s">
        <v>23022</v>
      </c>
      <c r="C9741" s="29" t="s">
        <v>26</v>
      </c>
      <c r="D9741" s="31">
        <v>13255.44</v>
      </c>
      <c r="F9741" s="3" t="str">
        <f t="shared" si="152"/>
        <v>I13000</v>
      </c>
    </row>
    <row r="9742" spans="1:6" x14ac:dyDescent="0.2">
      <c r="A9742" s="29" t="s">
        <v>23023</v>
      </c>
      <c r="B9742" s="30" t="s">
        <v>23024</v>
      </c>
      <c r="C9742" s="29" t="s">
        <v>26</v>
      </c>
      <c r="D9742" s="31">
        <v>12716.91</v>
      </c>
      <c r="F9742" s="3" t="str">
        <f t="shared" si="152"/>
        <v>I10624</v>
      </c>
    </row>
    <row r="9743" spans="1:6" x14ac:dyDescent="0.2">
      <c r="A9743" s="29" t="s">
        <v>23025</v>
      </c>
      <c r="B9743" s="30" t="s">
        <v>23026</v>
      </c>
      <c r="C9743" s="29" t="s">
        <v>26</v>
      </c>
      <c r="D9743" s="31">
        <v>15000.26</v>
      </c>
      <c r="F9743" s="3" t="str">
        <f t="shared" si="152"/>
        <v>I13015</v>
      </c>
    </row>
    <row r="9744" spans="1:6" x14ac:dyDescent="0.2">
      <c r="A9744" s="29" t="s">
        <v>23027</v>
      </c>
      <c r="B9744" s="30" t="s">
        <v>23028</v>
      </c>
      <c r="C9744" s="29" t="s">
        <v>26</v>
      </c>
      <c r="D9744" s="31">
        <v>14392.88</v>
      </c>
      <c r="F9744" s="3" t="str">
        <f t="shared" si="152"/>
        <v>I10639</v>
      </c>
    </row>
    <row r="9745" spans="1:6" x14ac:dyDescent="0.2">
      <c r="A9745" s="29" t="s">
        <v>23029</v>
      </c>
      <c r="B9745" s="30" t="s">
        <v>23030</v>
      </c>
      <c r="C9745" s="29" t="s">
        <v>26</v>
      </c>
      <c r="D9745" s="31">
        <v>15678.2</v>
      </c>
      <c r="F9745" s="3" t="str">
        <f t="shared" si="152"/>
        <v>I13001</v>
      </c>
    </row>
    <row r="9746" spans="1:6" x14ac:dyDescent="0.2">
      <c r="A9746" s="29" t="s">
        <v>23031</v>
      </c>
      <c r="B9746" s="30" t="s">
        <v>23032</v>
      </c>
      <c r="C9746" s="29" t="s">
        <v>26</v>
      </c>
      <c r="D9746" s="31">
        <v>15058.24</v>
      </c>
      <c r="F9746" s="3" t="str">
        <f t="shared" si="152"/>
        <v>I10625</v>
      </c>
    </row>
    <row r="9747" spans="1:6" x14ac:dyDescent="0.2">
      <c r="A9747" s="29" t="s">
        <v>23033</v>
      </c>
      <c r="B9747" s="30" t="s">
        <v>23034</v>
      </c>
      <c r="C9747" s="29" t="s">
        <v>26</v>
      </c>
      <c r="D9747" s="31">
        <v>18249.439999999999</v>
      </c>
      <c r="F9747" s="3" t="str">
        <f t="shared" si="152"/>
        <v>I13016</v>
      </c>
    </row>
    <row r="9748" spans="1:6" x14ac:dyDescent="0.2">
      <c r="A9748" s="29" t="s">
        <v>23035</v>
      </c>
      <c r="B9748" s="30" t="s">
        <v>23036</v>
      </c>
      <c r="C9748" s="29" t="s">
        <v>26</v>
      </c>
      <c r="D9748" s="31">
        <v>17517.05</v>
      </c>
      <c r="F9748" s="3" t="str">
        <f t="shared" si="152"/>
        <v>I10640</v>
      </c>
    </row>
    <row r="9749" spans="1:6" x14ac:dyDescent="0.2">
      <c r="A9749" s="29" t="s">
        <v>23037</v>
      </c>
      <c r="B9749" s="30" t="s">
        <v>23038</v>
      </c>
      <c r="C9749" s="29" t="s">
        <v>26</v>
      </c>
      <c r="D9749" s="31">
        <v>22258.11</v>
      </c>
      <c r="F9749" s="3" t="str">
        <f t="shared" si="152"/>
        <v>I13002</v>
      </c>
    </row>
    <row r="9750" spans="1:6" x14ac:dyDescent="0.2">
      <c r="A9750" s="29" t="s">
        <v>23039</v>
      </c>
      <c r="B9750" s="30" t="s">
        <v>23040</v>
      </c>
      <c r="C9750" s="29" t="s">
        <v>26</v>
      </c>
      <c r="D9750" s="31">
        <v>21371.87</v>
      </c>
      <c r="F9750" s="3" t="str">
        <f t="shared" si="152"/>
        <v>I10626</v>
      </c>
    </row>
    <row r="9751" spans="1:6" x14ac:dyDescent="0.2">
      <c r="A9751" s="29" t="s">
        <v>23041</v>
      </c>
      <c r="B9751" s="30" t="s">
        <v>23042</v>
      </c>
      <c r="C9751" s="29" t="s">
        <v>26</v>
      </c>
      <c r="D9751" s="31">
        <v>23787.24</v>
      </c>
      <c r="F9751" s="3" t="str">
        <f t="shared" si="152"/>
        <v>I13017</v>
      </c>
    </row>
    <row r="9752" spans="1:6" x14ac:dyDescent="0.2">
      <c r="A9752" s="29" t="s">
        <v>23043</v>
      </c>
      <c r="B9752" s="30" t="s">
        <v>23044</v>
      </c>
      <c r="C9752" s="29" t="s">
        <v>26</v>
      </c>
      <c r="D9752" s="31">
        <v>22834.83</v>
      </c>
      <c r="F9752" s="3" t="str">
        <f t="shared" si="152"/>
        <v>I10641</v>
      </c>
    </row>
    <row r="9753" spans="1:6" x14ac:dyDescent="0.2">
      <c r="A9753" s="29" t="s">
        <v>23045</v>
      </c>
      <c r="B9753" s="30" t="s">
        <v>23046</v>
      </c>
      <c r="C9753" s="29" t="s">
        <v>26</v>
      </c>
      <c r="D9753" s="31">
        <v>27964.560000000001</v>
      </c>
      <c r="F9753" s="3" t="str">
        <f t="shared" si="152"/>
        <v>I13003</v>
      </c>
    </row>
    <row r="9754" spans="1:6" x14ac:dyDescent="0.2">
      <c r="A9754" s="29" t="s">
        <v>23047</v>
      </c>
      <c r="B9754" s="30" t="s">
        <v>23048</v>
      </c>
      <c r="C9754" s="29" t="s">
        <v>26</v>
      </c>
      <c r="D9754" s="31">
        <v>26707.35</v>
      </c>
      <c r="F9754" s="3" t="str">
        <f t="shared" si="152"/>
        <v>I10627</v>
      </c>
    </row>
    <row r="9755" spans="1:6" x14ac:dyDescent="0.2">
      <c r="A9755" s="29" t="s">
        <v>23049</v>
      </c>
      <c r="B9755" s="30" t="s">
        <v>23050</v>
      </c>
      <c r="C9755" s="29" t="s">
        <v>26</v>
      </c>
      <c r="D9755" s="31">
        <v>31830.45</v>
      </c>
      <c r="F9755" s="3" t="str">
        <f t="shared" si="152"/>
        <v>I13018</v>
      </c>
    </row>
    <row r="9756" spans="1:6" x14ac:dyDescent="0.2">
      <c r="A9756" s="29" t="s">
        <v>23051</v>
      </c>
      <c r="B9756" s="30" t="s">
        <v>23052</v>
      </c>
      <c r="C9756" s="29" t="s">
        <v>26</v>
      </c>
      <c r="D9756" s="31">
        <v>30336.560000000001</v>
      </c>
      <c r="F9756" s="3" t="str">
        <f t="shared" si="152"/>
        <v>I10642</v>
      </c>
    </row>
    <row r="9757" spans="1:6" x14ac:dyDescent="0.2">
      <c r="A9757" s="29" t="s">
        <v>23053</v>
      </c>
      <c r="B9757" s="30" t="s">
        <v>23054</v>
      </c>
      <c r="C9757" s="29" t="s">
        <v>26</v>
      </c>
      <c r="D9757" s="31">
        <v>32768.230000000003</v>
      </c>
      <c r="F9757" s="3" t="str">
        <f t="shared" si="152"/>
        <v>I13004</v>
      </c>
    </row>
    <row r="9758" spans="1:6" x14ac:dyDescent="0.2">
      <c r="A9758" s="29" t="s">
        <v>23055</v>
      </c>
      <c r="B9758" s="30" t="s">
        <v>23056</v>
      </c>
      <c r="C9758" s="29" t="s">
        <v>26</v>
      </c>
      <c r="D9758" s="31">
        <v>31210.21</v>
      </c>
      <c r="F9758" s="3" t="str">
        <f t="shared" si="152"/>
        <v>I10628</v>
      </c>
    </row>
    <row r="9759" spans="1:6" x14ac:dyDescent="0.2">
      <c r="A9759" s="29" t="s">
        <v>23057</v>
      </c>
      <c r="B9759" s="30" t="s">
        <v>23058</v>
      </c>
      <c r="C9759" s="29" t="s">
        <v>26</v>
      </c>
      <c r="D9759" s="31">
        <v>38221.01</v>
      </c>
      <c r="F9759" s="3" t="str">
        <f t="shared" si="152"/>
        <v>I13019</v>
      </c>
    </row>
    <row r="9760" spans="1:6" x14ac:dyDescent="0.2">
      <c r="A9760" s="29" t="s">
        <v>23059</v>
      </c>
      <c r="B9760" s="30" t="s">
        <v>23060</v>
      </c>
      <c r="C9760" s="29" t="s">
        <v>26</v>
      </c>
      <c r="D9760" s="31">
        <v>36345.31</v>
      </c>
      <c r="F9760" s="3" t="str">
        <f t="shared" si="152"/>
        <v>I10643</v>
      </c>
    </row>
    <row r="9761" spans="1:6" x14ac:dyDescent="0.2">
      <c r="A9761" s="29" t="s">
        <v>23061</v>
      </c>
      <c r="B9761" s="30" t="s">
        <v>23062</v>
      </c>
      <c r="C9761" s="29" t="s">
        <v>26</v>
      </c>
      <c r="D9761" s="31">
        <v>39026.11</v>
      </c>
      <c r="F9761" s="3" t="str">
        <f t="shared" si="152"/>
        <v>I13005</v>
      </c>
    </row>
    <row r="9762" spans="1:6" x14ac:dyDescent="0.2">
      <c r="A9762" s="29" t="s">
        <v>23063</v>
      </c>
      <c r="B9762" s="30" t="s">
        <v>23064</v>
      </c>
      <c r="C9762" s="29" t="s">
        <v>26</v>
      </c>
      <c r="D9762" s="31">
        <v>37263.43</v>
      </c>
      <c r="F9762" s="3" t="str">
        <f t="shared" si="152"/>
        <v>I10629</v>
      </c>
    </row>
    <row r="9763" spans="1:6" x14ac:dyDescent="0.2">
      <c r="A9763" s="29" t="s">
        <v>23065</v>
      </c>
      <c r="B9763" s="30" t="s">
        <v>23066</v>
      </c>
      <c r="C9763" s="29" t="s">
        <v>26</v>
      </c>
      <c r="D9763" s="31">
        <v>48340.51</v>
      </c>
      <c r="F9763" s="3" t="str">
        <f t="shared" si="152"/>
        <v>I13020</v>
      </c>
    </row>
    <row r="9764" spans="1:6" x14ac:dyDescent="0.2">
      <c r="A9764" s="29" t="s">
        <v>23067</v>
      </c>
      <c r="B9764" s="30" t="s">
        <v>23068</v>
      </c>
      <c r="C9764" s="29" t="s">
        <v>26</v>
      </c>
      <c r="D9764" s="31">
        <v>46088.12</v>
      </c>
      <c r="F9764" s="3" t="str">
        <f t="shared" si="152"/>
        <v>I10644</v>
      </c>
    </row>
    <row r="9765" spans="1:6" x14ac:dyDescent="0.2">
      <c r="A9765" s="29" t="s">
        <v>23069</v>
      </c>
      <c r="B9765" s="30" t="s">
        <v>23070</v>
      </c>
      <c r="C9765" s="29" t="s">
        <v>26</v>
      </c>
      <c r="D9765" s="31">
        <v>359.74</v>
      </c>
      <c r="F9765" s="3" t="str">
        <f t="shared" si="152"/>
        <v>I3373</v>
      </c>
    </row>
    <row r="9766" spans="1:6" x14ac:dyDescent="0.2">
      <c r="A9766" s="29" t="s">
        <v>23071</v>
      </c>
      <c r="B9766" s="30" t="s">
        <v>23072</v>
      </c>
      <c r="C9766" s="29" t="s">
        <v>26</v>
      </c>
      <c r="D9766" s="31">
        <v>359.74</v>
      </c>
      <c r="F9766" s="3" t="str">
        <f t="shared" si="152"/>
        <v>I7116</v>
      </c>
    </row>
    <row r="9767" spans="1:6" x14ac:dyDescent="0.2">
      <c r="A9767" s="29" t="s">
        <v>23073</v>
      </c>
      <c r="B9767" s="30" t="s">
        <v>23074</v>
      </c>
      <c r="C9767" s="29" t="s">
        <v>26</v>
      </c>
      <c r="D9767" s="31">
        <v>625.94000000000005</v>
      </c>
      <c r="F9767" s="3" t="str">
        <f t="shared" si="152"/>
        <v>I3375</v>
      </c>
    </row>
    <row r="9768" spans="1:6" x14ac:dyDescent="0.2">
      <c r="A9768" s="29" t="s">
        <v>23075</v>
      </c>
      <c r="B9768" s="30" t="s">
        <v>23076</v>
      </c>
      <c r="C9768" s="29" t="s">
        <v>26</v>
      </c>
      <c r="D9768" s="31">
        <v>836.3</v>
      </c>
      <c r="F9768" s="3" t="str">
        <f t="shared" si="152"/>
        <v>I3376</v>
      </c>
    </row>
    <row r="9769" spans="1:6" x14ac:dyDescent="0.2">
      <c r="A9769" s="29" t="s">
        <v>23077</v>
      </c>
      <c r="B9769" s="30" t="s">
        <v>23078</v>
      </c>
      <c r="C9769" s="29" t="s">
        <v>26</v>
      </c>
      <c r="D9769" s="31">
        <v>1112.82</v>
      </c>
      <c r="F9769" s="3" t="str">
        <f t="shared" si="152"/>
        <v>I3377</v>
      </c>
    </row>
    <row r="9770" spans="1:6" x14ac:dyDescent="0.2">
      <c r="A9770" s="29" t="s">
        <v>23079</v>
      </c>
      <c r="B9770" s="30" t="s">
        <v>23080</v>
      </c>
      <c r="C9770" s="29" t="s">
        <v>26</v>
      </c>
      <c r="D9770" s="31">
        <v>1669.22</v>
      </c>
      <c r="F9770" s="3" t="str">
        <f t="shared" si="152"/>
        <v>I3378</v>
      </c>
    </row>
    <row r="9771" spans="1:6" x14ac:dyDescent="0.2">
      <c r="A9771" s="29" t="s">
        <v>23081</v>
      </c>
      <c r="B9771" s="30" t="s">
        <v>23082</v>
      </c>
      <c r="C9771" s="29" t="s">
        <v>26</v>
      </c>
      <c r="D9771" s="31">
        <v>2556.4</v>
      </c>
      <c r="F9771" s="3" t="str">
        <f t="shared" si="152"/>
        <v>I3379</v>
      </c>
    </row>
    <row r="9772" spans="1:6" x14ac:dyDescent="0.2">
      <c r="A9772" s="29" t="s">
        <v>23083</v>
      </c>
      <c r="B9772" s="30" t="s">
        <v>23084</v>
      </c>
      <c r="C9772" s="29" t="s">
        <v>26</v>
      </c>
      <c r="D9772" s="31">
        <v>3443.58</v>
      </c>
      <c r="F9772" s="3" t="str">
        <f t="shared" si="152"/>
        <v>I3380</v>
      </c>
    </row>
    <row r="9773" spans="1:6" x14ac:dyDescent="0.2">
      <c r="A9773" s="29" t="s">
        <v>23085</v>
      </c>
      <c r="B9773" s="30" t="s">
        <v>23086</v>
      </c>
      <c r="C9773" s="29" t="s">
        <v>26</v>
      </c>
      <c r="D9773" s="31">
        <v>11912.5</v>
      </c>
      <c r="F9773" s="3" t="str">
        <f t="shared" si="152"/>
        <v>I3381</v>
      </c>
    </row>
    <row r="9774" spans="1:6" x14ac:dyDescent="0.2">
      <c r="A9774" s="29" t="s">
        <v>23087</v>
      </c>
      <c r="B9774" s="30" t="s">
        <v>23088</v>
      </c>
      <c r="C9774" s="29" t="s">
        <v>26</v>
      </c>
      <c r="D9774" s="31">
        <v>14090.22</v>
      </c>
      <c r="F9774" s="3" t="str">
        <f t="shared" si="152"/>
        <v>I3382</v>
      </c>
    </row>
    <row r="9775" spans="1:6" x14ac:dyDescent="0.2">
      <c r="A9775" s="29" t="s">
        <v>23089</v>
      </c>
      <c r="B9775" s="30" t="s">
        <v>23090</v>
      </c>
      <c r="C9775" s="29" t="s">
        <v>26</v>
      </c>
      <c r="D9775" s="31">
        <v>16304.37</v>
      </c>
      <c r="F9775" s="3" t="str">
        <f t="shared" si="152"/>
        <v>I3383</v>
      </c>
    </row>
    <row r="9776" spans="1:6" x14ac:dyDescent="0.2">
      <c r="A9776" s="29" t="s">
        <v>23091</v>
      </c>
      <c r="B9776" s="30" t="s">
        <v>23092</v>
      </c>
      <c r="C9776" s="29" t="s">
        <v>26</v>
      </c>
      <c r="D9776" s="31">
        <v>21709.66</v>
      </c>
      <c r="F9776" s="3" t="str">
        <f t="shared" si="152"/>
        <v>I3384</v>
      </c>
    </row>
    <row r="9777" spans="1:6" x14ac:dyDescent="0.2">
      <c r="A9777" s="29" t="s">
        <v>23093</v>
      </c>
      <c r="B9777" s="30" t="s">
        <v>23094</v>
      </c>
      <c r="C9777" s="29" t="s">
        <v>26</v>
      </c>
      <c r="D9777" s="31">
        <v>23861.43</v>
      </c>
      <c r="F9777" s="3" t="str">
        <f t="shared" si="152"/>
        <v>I3385</v>
      </c>
    </row>
    <row r="9778" spans="1:6" x14ac:dyDescent="0.2">
      <c r="A9778" s="29" t="s">
        <v>23095</v>
      </c>
      <c r="B9778" s="30" t="s">
        <v>23096</v>
      </c>
      <c r="C9778" s="29" t="s">
        <v>26</v>
      </c>
      <c r="D9778" s="31">
        <v>36776.949999999997</v>
      </c>
      <c r="F9778" s="3" t="str">
        <f t="shared" si="152"/>
        <v>I3386</v>
      </c>
    </row>
    <row r="9779" spans="1:6" x14ac:dyDescent="0.2">
      <c r="A9779" s="29" t="s">
        <v>23097</v>
      </c>
      <c r="B9779" s="30" t="s">
        <v>23098</v>
      </c>
      <c r="C9779" s="29" t="s">
        <v>26</v>
      </c>
      <c r="D9779" s="31">
        <v>51128.4</v>
      </c>
      <c r="F9779" s="3" t="str">
        <f t="shared" si="152"/>
        <v>I3387</v>
      </c>
    </row>
    <row r="9780" spans="1:6" x14ac:dyDescent="0.2">
      <c r="A9780" s="29" t="s">
        <v>23099</v>
      </c>
      <c r="B9780" s="30" t="s">
        <v>23100</v>
      </c>
      <c r="C9780" s="29" t="s">
        <v>26</v>
      </c>
      <c r="D9780" s="31">
        <v>58486.29</v>
      </c>
      <c r="F9780" s="3" t="str">
        <f t="shared" si="152"/>
        <v>I3388</v>
      </c>
    </row>
    <row r="9781" spans="1:6" x14ac:dyDescent="0.2">
      <c r="A9781" s="29" t="s">
        <v>23101</v>
      </c>
      <c r="B9781" s="30" t="s">
        <v>23102</v>
      </c>
      <c r="C9781" s="29" t="s">
        <v>26</v>
      </c>
      <c r="D9781" s="31">
        <v>396.14</v>
      </c>
      <c r="F9781" s="3" t="str">
        <f t="shared" si="152"/>
        <v>I3374</v>
      </c>
    </row>
    <row r="9782" spans="1:6" x14ac:dyDescent="0.2">
      <c r="A9782" s="29" t="s">
        <v>23103</v>
      </c>
      <c r="B9782" s="30" t="s">
        <v>23104</v>
      </c>
      <c r="C9782" s="29" t="s">
        <v>26</v>
      </c>
      <c r="D9782" s="31">
        <v>5982.59</v>
      </c>
      <c r="F9782" s="3" t="str">
        <f t="shared" si="152"/>
        <v>I9286</v>
      </c>
    </row>
    <row r="9783" spans="1:6" x14ac:dyDescent="0.2">
      <c r="A9783" s="29" t="s">
        <v>23105</v>
      </c>
      <c r="B9783" s="30" t="s">
        <v>23106</v>
      </c>
      <c r="C9783" s="29" t="s">
        <v>26</v>
      </c>
      <c r="D9783" s="31">
        <v>7391.83</v>
      </c>
      <c r="F9783" s="3" t="str">
        <f t="shared" si="152"/>
        <v>I9287</v>
      </c>
    </row>
    <row r="9784" spans="1:6" x14ac:dyDescent="0.2">
      <c r="A9784" s="29" t="s">
        <v>23107</v>
      </c>
      <c r="B9784" s="30" t="s">
        <v>23108</v>
      </c>
      <c r="C9784" s="29" t="s">
        <v>26</v>
      </c>
      <c r="D9784" s="31">
        <v>9199.9</v>
      </c>
      <c r="F9784" s="3" t="str">
        <f t="shared" si="152"/>
        <v>I9288</v>
      </c>
    </row>
    <row r="9785" spans="1:6" x14ac:dyDescent="0.2">
      <c r="A9785" s="29" t="s">
        <v>23109</v>
      </c>
      <c r="B9785" s="30" t="s">
        <v>23110</v>
      </c>
      <c r="C9785" s="29" t="s">
        <v>26</v>
      </c>
      <c r="D9785" s="31">
        <v>11613.24</v>
      </c>
      <c r="F9785" s="3" t="str">
        <f t="shared" si="152"/>
        <v>I9289</v>
      </c>
    </row>
    <row r="9786" spans="1:6" x14ac:dyDescent="0.2">
      <c r="A9786" s="29" t="s">
        <v>23111</v>
      </c>
      <c r="B9786" s="30" t="s">
        <v>23112</v>
      </c>
      <c r="C9786" s="29" t="s">
        <v>26</v>
      </c>
      <c r="D9786" s="31">
        <v>23852.35</v>
      </c>
      <c r="F9786" s="3" t="str">
        <f t="shared" si="152"/>
        <v>I9290</v>
      </c>
    </row>
    <row r="9787" spans="1:6" x14ac:dyDescent="0.2">
      <c r="A9787" s="29" t="s">
        <v>23113</v>
      </c>
      <c r="B9787" s="30" t="s">
        <v>23114</v>
      </c>
      <c r="C9787" s="29" t="s">
        <v>26</v>
      </c>
      <c r="D9787" s="31">
        <v>46439.14</v>
      </c>
      <c r="F9787" s="3" t="str">
        <f t="shared" si="152"/>
        <v>I9291</v>
      </c>
    </row>
    <row r="9788" spans="1:6" x14ac:dyDescent="0.2">
      <c r="A9788" s="29" t="s">
        <v>23115</v>
      </c>
      <c r="B9788" s="30" t="s">
        <v>23116</v>
      </c>
      <c r="C9788" s="29" t="s">
        <v>26</v>
      </c>
      <c r="D9788" s="31">
        <v>55416.38</v>
      </c>
      <c r="F9788" s="3" t="str">
        <f t="shared" si="152"/>
        <v>I9292</v>
      </c>
    </row>
    <row r="9789" spans="1:6" x14ac:dyDescent="0.2">
      <c r="A9789" s="29" t="s">
        <v>23117</v>
      </c>
      <c r="B9789" s="30" t="s">
        <v>23118</v>
      </c>
      <c r="C9789" s="29" t="s">
        <v>26</v>
      </c>
      <c r="D9789" s="31">
        <v>70838.52</v>
      </c>
      <c r="F9789" s="3" t="str">
        <f t="shared" si="152"/>
        <v>I9293</v>
      </c>
    </row>
    <row r="9790" spans="1:6" x14ac:dyDescent="0.2">
      <c r="A9790" s="29" t="s">
        <v>23119</v>
      </c>
      <c r="B9790" s="30" t="s">
        <v>23120</v>
      </c>
      <c r="C9790" s="29" t="s">
        <v>26</v>
      </c>
      <c r="D9790" s="31">
        <v>86260.65</v>
      </c>
      <c r="F9790" s="3" t="str">
        <f t="shared" si="152"/>
        <v>I9294</v>
      </c>
    </row>
    <row r="9791" spans="1:6" x14ac:dyDescent="0.2">
      <c r="A9791" s="29" t="s">
        <v>23121</v>
      </c>
      <c r="B9791" s="30" t="s">
        <v>23122</v>
      </c>
      <c r="C9791" s="29" t="s">
        <v>26</v>
      </c>
      <c r="D9791" s="31">
        <v>97673.43</v>
      </c>
      <c r="F9791" s="3" t="str">
        <f t="shared" si="152"/>
        <v>I9295</v>
      </c>
    </row>
    <row r="9792" spans="1:6" x14ac:dyDescent="0.2">
      <c r="A9792" s="29" t="s">
        <v>23123</v>
      </c>
      <c r="B9792" s="30" t="s">
        <v>23124</v>
      </c>
      <c r="C9792" s="29" t="s">
        <v>26</v>
      </c>
      <c r="D9792" s="31">
        <v>14033.85</v>
      </c>
      <c r="F9792" s="3" t="str">
        <f t="shared" si="152"/>
        <v>I13054</v>
      </c>
    </row>
    <row r="9793" spans="1:6" x14ac:dyDescent="0.2">
      <c r="A9793" s="29" t="s">
        <v>23125</v>
      </c>
      <c r="B9793" s="30" t="s">
        <v>23126</v>
      </c>
      <c r="C9793" s="29" t="s">
        <v>26</v>
      </c>
      <c r="D9793" s="31">
        <v>5438.72</v>
      </c>
      <c r="F9793" s="3" t="str">
        <f t="shared" si="152"/>
        <v>I7638</v>
      </c>
    </row>
    <row r="9794" spans="1:6" x14ac:dyDescent="0.2">
      <c r="A9794" s="29" t="s">
        <v>23127</v>
      </c>
      <c r="B9794" s="30" t="s">
        <v>23128</v>
      </c>
      <c r="C9794" s="29" t="s">
        <v>26</v>
      </c>
      <c r="D9794" s="31">
        <v>6719.84</v>
      </c>
      <c r="F9794" s="3" t="str">
        <f t="shared" ref="F9794:F9857" si="153">A9794</f>
        <v>I7639</v>
      </c>
    </row>
    <row r="9795" spans="1:6" x14ac:dyDescent="0.2">
      <c r="A9795" s="29" t="s">
        <v>23129</v>
      </c>
      <c r="B9795" s="30" t="s">
        <v>23130</v>
      </c>
      <c r="C9795" s="29" t="s">
        <v>26</v>
      </c>
      <c r="D9795" s="31">
        <v>8363.5400000000009</v>
      </c>
      <c r="F9795" s="3" t="str">
        <f t="shared" si="153"/>
        <v>I7640</v>
      </c>
    </row>
    <row r="9796" spans="1:6" x14ac:dyDescent="0.2">
      <c r="A9796" s="29" t="s">
        <v>23131</v>
      </c>
      <c r="B9796" s="30" t="s">
        <v>23132</v>
      </c>
      <c r="C9796" s="29" t="s">
        <v>26</v>
      </c>
      <c r="D9796" s="31">
        <v>12758.04</v>
      </c>
      <c r="F9796" s="3" t="str">
        <f t="shared" si="153"/>
        <v>I10676</v>
      </c>
    </row>
    <row r="9797" spans="1:6" x14ac:dyDescent="0.2">
      <c r="A9797" s="29" t="s">
        <v>23133</v>
      </c>
      <c r="B9797" s="30" t="s">
        <v>23134</v>
      </c>
      <c r="C9797" s="29" t="s">
        <v>26</v>
      </c>
      <c r="D9797" s="31">
        <v>13502.54</v>
      </c>
      <c r="F9797" s="3" t="str">
        <f t="shared" si="153"/>
        <v>I7641</v>
      </c>
    </row>
    <row r="9798" spans="1:6" x14ac:dyDescent="0.2">
      <c r="A9798" s="29" t="s">
        <v>23135</v>
      </c>
      <c r="B9798" s="30" t="s">
        <v>23136</v>
      </c>
      <c r="C9798" s="29" t="s">
        <v>26</v>
      </c>
      <c r="D9798" s="31">
        <v>19434.37</v>
      </c>
      <c r="F9798" s="3" t="str">
        <f t="shared" si="153"/>
        <v>I7642</v>
      </c>
    </row>
    <row r="9799" spans="1:6" x14ac:dyDescent="0.2">
      <c r="A9799" s="29" t="s">
        <v>23137</v>
      </c>
      <c r="B9799" s="30" t="s">
        <v>23138</v>
      </c>
      <c r="C9799" s="29" t="s">
        <v>26</v>
      </c>
      <c r="D9799" s="31">
        <v>37744.29</v>
      </c>
      <c r="F9799" s="3" t="str">
        <f t="shared" si="153"/>
        <v>I7643</v>
      </c>
    </row>
    <row r="9800" spans="1:6" x14ac:dyDescent="0.2">
      <c r="A9800" s="29" t="s">
        <v>23139</v>
      </c>
      <c r="B9800" s="30" t="s">
        <v>23140</v>
      </c>
      <c r="C9800" s="29" t="s">
        <v>26</v>
      </c>
      <c r="D9800" s="31">
        <v>68971.06</v>
      </c>
      <c r="F9800" s="3" t="str">
        <f t="shared" si="153"/>
        <v>I7644</v>
      </c>
    </row>
    <row r="9801" spans="1:6" x14ac:dyDescent="0.2">
      <c r="A9801" s="29" t="s">
        <v>23141</v>
      </c>
      <c r="B9801" s="30" t="s">
        <v>23142</v>
      </c>
      <c r="C9801" s="29" t="s">
        <v>26</v>
      </c>
      <c r="D9801" s="31">
        <v>70457.2</v>
      </c>
      <c r="F9801" s="3" t="str">
        <f t="shared" si="153"/>
        <v>I7645</v>
      </c>
    </row>
    <row r="9802" spans="1:6" x14ac:dyDescent="0.2">
      <c r="A9802" s="29" t="s">
        <v>23143</v>
      </c>
      <c r="B9802" s="30" t="s">
        <v>23144</v>
      </c>
      <c r="C9802" s="29" t="s">
        <v>26</v>
      </c>
      <c r="D9802" s="31">
        <v>89478.55</v>
      </c>
      <c r="F9802" s="3" t="str">
        <f t="shared" si="153"/>
        <v>I7646</v>
      </c>
    </row>
    <row r="9803" spans="1:6" x14ac:dyDescent="0.2">
      <c r="A9803" s="29" t="s">
        <v>23145</v>
      </c>
      <c r="B9803" s="30" t="s">
        <v>23146</v>
      </c>
      <c r="C9803" s="29" t="s">
        <v>26</v>
      </c>
      <c r="D9803" s="31">
        <v>138294.25</v>
      </c>
      <c r="F9803" s="3" t="str">
        <f t="shared" si="153"/>
        <v>I7647</v>
      </c>
    </row>
    <row r="9804" spans="1:6" x14ac:dyDescent="0.2">
      <c r="A9804" s="29" t="s">
        <v>23147</v>
      </c>
      <c r="B9804" s="30" t="s">
        <v>23148</v>
      </c>
      <c r="C9804" s="29" t="s">
        <v>26</v>
      </c>
      <c r="D9804" s="31">
        <v>931.66</v>
      </c>
      <c r="F9804" s="3" t="str">
        <f t="shared" si="153"/>
        <v>I13055</v>
      </c>
    </row>
    <row r="9805" spans="1:6" x14ac:dyDescent="0.2">
      <c r="A9805" s="29" t="s">
        <v>23149</v>
      </c>
      <c r="B9805" s="30" t="s">
        <v>23150</v>
      </c>
      <c r="C9805" s="29" t="s">
        <v>26</v>
      </c>
      <c r="D9805" s="31">
        <v>2779.74</v>
      </c>
      <c r="F9805" s="3" t="str">
        <f t="shared" si="153"/>
        <v>I13056</v>
      </c>
    </row>
    <row r="9806" spans="1:6" x14ac:dyDescent="0.2">
      <c r="A9806" s="29" t="s">
        <v>23151</v>
      </c>
      <c r="B9806" s="30" t="s">
        <v>23152</v>
      </c>
      <c r="C9806" s="29" t="s">
        <v>26</v>
      </c>
      <c r="D9806" s="31">
        <v>3088.32</v>
      </c>
      <c r="F9806" s="3" t="str">
        <f t="shared" si="153"/>
        <v>I13057</v>
      </c>
    </row>
    <row r="9807" spans="1:6" x14ac:dyDescent="0.2">
      <c r="A9807" s="29" t="s">
        <v>23153</v>
      </c>
      <c r="B9807" s="30" t="s">
        <v>23154</v>
      </c>
      <c r="C9807" s="29" t="s">
        <v>26</v>
      </c>
      <c r="D9807" s="31">
        <v>403.43</v>
      </c>
      <c r="F9807" s="3" t="str">
        <f t="shared" si="153"/>
        <v>I9269</v>
      </c>
    </row>
    <row r="9808" spans="1:6" x14ac:dyDescent="0.2">
      <c r="A9808" s="29" t="s">
        <v>23155</v>
      </c>
      <c r="B9808" s="30" t="s">
        <v>23156</v>
      </c>
      <c r="C9808" s="29" t="s">
        <v>26</v>
      </c>
      <c r="D9808" s="31">
        <v>403.43</v>
      </c>
      <c r="F9808" s="3" t="str">
        <f t="shared" si="153"/>
        <v>I9270</v>
      </c>
    </row>
    <row r="9809" spans="1:6" x14ac:dyDescent="0.2">
      <c r="A9809" s="29" t="s">
        <v>23157</v>
      </c>
      <c r="B9809" s="30" t="s">
        <v>23158</v>
      </c>
      <c r="C9809" s="29" t="s">
        <v>26</v>
      </c>
      <c r="D9809" s="31">
        <v>474.43</v>
      </c>
      <c r="F9809" s="3" t="str">
        <f t="shared" si="153"/>
        <v>I9271</v>
      </c>
    </row>
    <row r="9810" spans="1:6" x14ac:dyDescent="0.2">
      <c r="A9810" s="29" t="s">
        <v>23159</v>
      </c>
      <c r="B9810" s="30" t="s">
        <v>23160</v>
      </c>
      <c r="C9810" s="29" t="s">
        <v>26</v>
      </c>
      <c r="D9810" s="31">
        <v>757.67</v>
      </c>
      <c r="F9810" s="3" t="str">
        <f t="shared" si="153"/>
        <v>I9272</v>
      </c>
    </row>
    <row r="9811" spans="1:6" x14ac:dyDescent="0.2">
      <c r="A9811" s="29" t="s">
        <v>23161</v>
      </c>
      <c r="B9811" s="30" t="s">
        <v>23162</v>
      </c>
      <c r="C9811" s="29" t="s">
        <v>26</v>
      </c>
      <c r="D9811" s="31">
        <v>1039</v>
      </c>
      <c r="F9811" s="3" t="str">
        <f t="shared" si="153"/>
        <v>I9273</v>
      </c>
    </row>
    <row r="9812" spans="1:6" x14ac:dyDescent="0.2">
      <c r="A9812" s="29" t="s">
        <v>23163</v>
      </c>
      <c r="B9812" s="30" t="s">
        <v>23164</v>
      </c>
      <c r="C9812" s="29" t="s">
        <v>26</v>
      </c>
      <c r="D9812" s="31">
        <v>1715.96</v>
      </c>
      <c r="F9812" s="3" t="str">
        <f t="shared" si="153"/>
        <v>I9274</v>
      </c>
    </row>
    <row r="9813" spans="1:6" x14ac:dyDescent="0.2">
      <c r="A9813" s="29" t="s">
        <v>23165</v>
      </c>
      <c r="B9813" s="30" t="s">
        <v>23166</v>
      </c>
      <c r="C9813" s="29" t="s">
        <v>26</v>
      </c>
      <c r="D9813" s="31">
        <v>2420.56</v>
      </c>
      <c r="F9813" s="3" t="str">
        <f t="shared" si="153"/>
        <v>I9275</v>
      </c>
    </row>
    <row r="9814" spans="1:6" x14ac:dyDescent="0.2">
      <c r="A9814" s="29" t="s">
        <v>23167</v>
      </c>
      <c r="B9814" s="30" t="s">
        <v>23168</v>
      </c>
      <c r="C9814" s="29" t="s">
        <v>26</v>
      </c>
      <c r="D9814" s="31">
        <v>4185.79</v>
      </c>
      <c r="F9814" s="3" t="str">
        <f t="shared" si="153"/>
        <v>I9276</v>
      </c>
    </row>
    <row r="9815" spans="1:6" x14ac:dyDescent="0.2">
      <c r="A9815" s="29" t="s">
        <v>23169</v>
      </c>
      <c r="B9815" s="30" t="s">
        <v>23170</v>
      </c>
      <c r="C9815" s="29" t="s">
        <v>26</v>
      </c>
      <c r="D9815" s="31">
        <v>4549.75</v>
      </c>
      <c r="F9815" s="3" t="str">
        <f t="shared" si="153"/>
        <v>I9277</v>
      </c>
    </row>
    <row r="9816" spans="1:6" x14ac:dyDescent="0.2">
      <c r="A9816" s="29" t="s">
        <v>23171</v>
      </c>
      <c r="B9816" s="30" t="s">
        <v>23172</v>
      </c>
      <c r="C9816" s="29" t="s">
        <v>26</v>
      </c>
      <c r="D9816" s="31">
        <v>15436.83</v>
      </c>
      <c r="F9816" s="3" t="str">
        <f t="shared" si="153"/>
        <v>I9278</v>
      </c>
    </row>
    <row r="9817" spans="1:6" x14ac:dyDescent="0.2">
      <c r="A9817" s="29" t="s">
        <v>23173</v>
      </c>
      <c r="B9817" s="30" t="s">
        <v>23174</v>
      </c>
      <c r="C9817" s="29" t="s">
        <v>26</v>
      </c>
      <c r="D9817" s="31">
        <v>16886.88</v>
      </c>
      <c r="F9817" s="3" t="str">
        <f t="shared" si="153"/>
        <v>I9279</v>
      </c>
    </row>
    <row r="9818" spans="1:6" x14ac:dyDescent="0.2">
      <c r="A9818" s="29" t="s">
        <v>23175</v>
      </c>
      <c r="B9818" s="30" t="s">
        <v>23176</v>
      </c>
      <c r="C9818" s="29" t="s">
        <v>26</v>
      </c>
      <c r="D9818" s="31">
        <v>26270.34</v>
      </c>
      <c r="F9818" s="3" t="str">
        <f t="shared" si="153"/>
        <v>I9280</v>
      </c>
    </row>
    <row r="9819" spans="1:6" x14ac:dyDescent="0.2">
      <c r="A9819" s="29" t="s">
        <v>23177</v>
      </c>
      <c r="B9819" s="30" t="s">
        <v>23178</v>
      </c>
      <c r="C9819" s="29" t="s">
        <v>26</v>
      </c>
      <c r="D9819" s="31">
        <v>30686.82</v>
      </c>
      <c r="F9819" s="3" t="str">
        <f t="shared" si="153"/>
        <v>I9281</v>
      </c>
    </row>
    <row r="9820" spans="1:6" x14ac:dyDescent="0.2">
      <c r="A9820" s="29" t="s">
        <v>23179</v>
      </c>
      <c r="B9820" s="30" t="s">
        <v>23180</v>
      </c>
      <c r="C9820" s="29" t="s">
        <v>26</v>
      </c>
      <c r="D9820" s="31">
        <v>35937.629999999997</v>
      </c>
      <c r="F9820" s="3" t="str">
        <f t="shared" si="153"/>
        <v>I9282</v>
      </c>
    </row>
    <row r="9821" spans="1:6" x14ac:dyDescent="0.2">
      <c r="A9821" s="29" t="s">
        <v>23181</v>
      </c>
      <c r="B9821" s="30" t="s">
        <v>23182</v>
      </c>
      <c r="C9821" s="29" t="s">
        <v>26</v>
      </c>
      <c r="D9821" s="31">
        <v>50206.96</v>
      </c>
      <c r="F9821" s="3" t="str">
        <f t="shared" si="153"/>
        <v>I9283</v>
      </c>
    </row>
    <row r="9822" spans="1:6" x14ac:dyDescent="0.2">
      <c r="A9822" s="29" t="s">
        <v>23183</v>
      </c>
      <c r="B9822" s="30" t="s">
        <v>23184</v>
      </c>
      <c r="C9822" s="29" t="s">
        <v>26</v>
      </c>
      <c r="D9822" s="31">
        <v>731.61</v>
      </c>
      <c r="F9822" s="3" t="str">
        <f t="shared" si="153"/>
        <v>I13039</v>
      </c>
    </row>
    <row r="9823" spans="1:6" x14ac:dyDescent="0.2">
      <c r="A9823" s="29" t="s">
        <v>23185</v>
      </c>
      <c r="B9823" s="30" t="s">
        <v>23186</v>
      </c>
      <c r="C9823" s="29" t="s">
        <v>26</v>
      </c>
      <c r="D9823" s="31">
        <v>607.38</v>
      </c>
      <c r="F9823" s="3" t="str">
        <f t="shared" si="153"/>
        <v>I10661</v>
      </c>
    </row>
    <row r="9824" spans="1:6" x14ac:dyDescent="0.2">
      <c r="A9824" s="29" t="s">
        <v>23187</v>
      </c>
      <c r="B9824" s="30" t="s">
        <v>23188</v>
      </c>
      <c r="C9824" s="29" t="s">
        <v>26</v>
      </c>
      <c r="D9824" s="31">
        <v>62072.959999999999</v>
      </c>
      <c r="F9824" s="3" t="str">
        <f t="shared" si="153"/>
        <v>I9284</v>
      </c>
    </row>
    <row r="9825" spans="1:6" x14ac:dyDescent="0.2">
      <c r="A9825" s="29" t="s">
        <v>23189</v>
      </c>
      <c r="B9825" s="30" t="s">
        <v>23190</v>
      </c>
      <c r="C9825" s="29" t="s">
        <v>26</v>
      </c>
      <c r="D9825" s="31">
        <v>67132.39</v>
      </c>
      <c r="F9825" s="3" t="str">
        <f t="shared" si="153"/>
        <v>I13037</v>
      </c>
    </row>
    <row r="9826" spans="1:6" x14ac:dyDescent="0.2">
      <c r="A9826" s="29" t="s">
        <v>23191</v>
      </c>
      <c r="B9826" s="30" t="s">
        <v>23192</v>
      </c>
      <c r="C9826" s="29" t="s">
        <v>26</v>
      </c>
      <c r="D9826" s="31">
        <v>64131.7</v>
      </c>
      <c r="F9826" s="3" t="str">
        <f t="shared" si="153"/>
        <v>I10659</v>
      </c>
    </row>
    <row r="9827" spans="1:6" x14ac:dyDescent="0.2">
      <c r="A9827" s="29" t="s">
        <v>23193</v>
      </c>
      <c r="B9827" s="30" t="s">
        <v>23194</v>
      </c>
      <c r="C9827" s="29" t="s">
        <v>26</v>
      </c>
      <c r="D9827" s="31">
        <v>75426.240000000005</v>
      </c>
      <c r="F9827" s="3" t="str">
        <f t="shared" si="153"/>
        <v>I13052</v>
      </c>
    </row>
    <row r="9828" spans="1:6" x14ac:dyDescent="0.2">
      <c r="A9828" s="29" t="s">
        <v>23195</v>
      </c>
      <c r="B9828" s="30" t="s">
        <v>23196</v>
      </c>
      <c r="C9828" s="29" t="s">
        <v>26</v>
      </c>
      <c r="D9828" s="31">
        <v>72061.88</v>
      </c>
      <c r="F9828" s="3" t="str">
        <f t="shared" si="153"/>
        <v>I10674</v>
      </c>
    </row>
    <row r="9829" spans="1:6" x14ac:dyDescent="0.2">
      <c r="A9829" s="29" t="s">
        <v>23197</v>
      </c>
      <c r="B9829" s="30" t="s">
        <v>23198</v>
      </c>
      <c r="C9829" s="29" t="s">
        <v>26</v>
      </c>
      <c r="D9829" s="31">
        <v>82082.37</v>
      </c>
      <c r="F9829" s="3" t="str">
        <f t="shared" si="153"/>
        <v>I9285</v>
      </c>
    </row>
    <row r="9830" spans="1:6" x14ac:dyDescent="0.2">
      <c r="A9830" s="29" t="s">
        <v>23199</v>
      </c>
      <c r="B9830" s="30" t="s">
        <v>23200</v>
      </c>
      <c r="C9830" s="29" t="s">
        <v>26</v>
      </c>
      <c r="D9830" s="31">
        <v>88986.880000000005</v>
      </c>
      <c r="F9830" s="3" t="str">
        <f t="shared" si="153"/>
        <v>I13038</v>
      </c>
    </row>
    <row r="9831" spans="1:6" x14ac:dyDescent="0.2">
      <c r="A9831" s="29" t="s">
        <v>23201</v>
      </c>
      <c r="B9831" s="30" t="s">
        <v>23202</v>
      </c>
      <c r="C9831" s="29" t="s">
        <v>26</v>
      </c>
      <c r="D9831" s="31">
        <v>85070.8</v>
      </c>
      <c r="F9831" s="3" t="str">
        <f t="shared" si="153"/>
        <v>I10660</v>
      </c>
    </row>
    <row r="9832" spans="1:6" x14ac:dyDescent="0.2">
      <c r="A9832" s="29" t="s">
        <v>23203</v>
      </c>
      <c r="B9832" s="30" t="s">
        <v>23204</v>
      </c>
      <c r="C9832" s="29" t="s">
        <v>26</v>
      </c>
      <c r="D9832" s="31">
        <v>99807.82</v>
      </c>
      <c r="F9832" s="3" t="str">
        <f t="shared" si="153"/>
        <v>I13053</v>
      </c>
    </row>
    <row r="9833" spans="1:6" x14ac:dyDescent="0.2">
      <c r="A9833" s="29" t="s">
        <v>23205</v>
      </c>
      <c r="B9833" s="30" t="s">
        <v>23206</v>
      </c>
      <c r="C9833" s="29" t="s">
        <v>26</v>
      </c>
      <c r="D9833" s="31">
        <v>95421.11</v>
      </c>
      <c r="F9833" s="3" t="str">
        <f t="shared" si="153"/>
        <v>I10675</v>
      </c>
    </row>
    <row r="9834" spans="1:6" x14ac:dyDescent="0.2">
      <c r="A9834" s="29" t="s">
        <v>23207</v>
      </c>
      <c r="B9834" s="30" t="s">
        <v>23208</v>
      </c>
      <c r="C9834" s="29" t="s">
        <v>26</v>
      </c>
      <c r="D9834" s="31">
        <v>1191.55</v>
      </c>
      <c r="F9834" s="3" t="str">
        <f t="shared" si="153"/>
        <v>I13040</v>
      </c>
    </row>
    <row r="9835" spans="1:6" x14ac:dyDescent="0.2">
      <c r="A9835" s="29" t="s">
        <v>23209</v>
      </c>
      <c r="B9835" s="30" t="s">
        <v>23210</v>
      </c>
      <c r="C9835" s="29" t="s">
        <v>26</v>
      </c>
      <c r="D9835" s="31">
        <v>939.87</v>
      </c>
      <c r="F9835" s="3" t="str">
        <f t="shared" si="153"/>
        <v>I10662</v>
      </c>
    </row>
    <row r="9836" spans="1:6" x14ac:dyDescent="0.2">
      <c r="A9836" s="29" t="s">
        <v>23211</v>
      </c>
      <c r="B9836" s="30" t="s">
        <v>23212</v>
      </c>
      <c r="C9836" s="29" t="s">
        <v>26</v>
      </c>
      <c r="D9836" s="31">
        <v>1054.06</v>
      </c>
      <c r="F9836" s="3" t="str">
        <f t="shared" si="153"/>
        <v>I13026</v>
      </c>
    </row>
    <row r="9837" spans="1:6" x14ac:dyDescent="0.2">
      <c r="A9837" s="29" t="s">
        <v>23213</v>
      </c>
      <c r="B9837" s="30" t="s">
        <v>23214</v>
      </c>
      <c r="C9837" s="29" t="s">
        <v>26</v>
      </c>
      <c r="D9837" s="31">
        <v>835.48</v>
      </c>
      <c r="F9837" s="3" t="str">
        <f t="shared" si="153"/>
        <v>I10648</v>
      </c>
    </row>
    <row r="9838" spans="1:6" x14ac:dyDescent="0.2">
      <c r="A9838" s="29" t="s">
        <v>23215</v>
      </c>
      <c r="B9838" s="30" t="s">
        <v>23216</v>
      </c>
      <c r="C9838" s="29" t="s">
        <v>26</v>
      </c>
      <c r="D9838" s="31">
        <v>1238.23</v>
      </c>
      <c r="F9838" s="3" t="str">
        <f t="shared" si="153"/>
        <v>I13041</v>
      </c>
    </row>
    <row r="9839" spans="1:6" x14ac:dyDescent="0.2">
      <c r="A9839" s="29" t="s">
        <v>23217</v>
      </c>
      <c r="B9839" s="30" t="s">
        <v>23218</v>
      </c>
      <c r="C9839" s="29" t="s">
        <v>26</v>
      </c>
      <c r="D9839" s="31">
        <v>995</v>
      </c>
      <c r="F9839" s="3" t="str">
        <f t="shared" si="153"/>
        <v>I10663</v>
      </c>
    </row>
    <row r="9840" spans="1:6" x14ac:dyDescent="0.2">
      <c r="A9840" s="29" t="s">
        <v>23219</v>
      </c>
      <c r="B9840" s="30" t="s">
        <v>23220</v>
      </c>
      <c r="C9840" s="29" t="s">
        <v>26</v>
      </c>
      <c r="D9840" s="31">
        <v>1717.75</v>
      </c>
      <c r="F9840" s="3" t="str">
        <f t="shared" si="153"/>
        <v>I13027</v>
      </c>
    </row>
    <row r="9841" spans="1:6" x14ac:dyDescent="0.2">
      <c r="A9841" s="29" t="s">
        <v>23221</v>
      </c>
      <c r="B9841" s="30" t="s">
        <v>23222</v>
      </c>
      <c r="C9841" s="29" t="s">
        <v>26</v>
      </c>
      <c r="D9841" s="31">
        <v>1368.46</v>
      </c>
      <c r="F9841" s="3" t="str">
        <f t="shared" si="153"/>
        <v>I10649</v>
      </c>
    </row>
    <row r="9842" spans="1:6" x14ac:dyDescent="0.2">
      <c r="A9842" s="29" t="s">
        <v>23223</v>
      </c>
      <c r="B9842" s="30" t="s">
        <v>23224</v>
      </c>
      <c r="C9842" s="29" t="s">
        <v>26</v>
      </c>
      <c r="D9842" s="31">
        <v>2301.5100000000002</v>
      </c>
      <c r="F9842" s="3" t="str">
        <f t="shared" si="153"/>
        <v>I13042</v>
      </c>
    </row>
    <row r="9843" spans="1:6" x14ac:dyDescent="0.2">
      <c r="A9843" s="29" t="s">
        <v>23225</v>
      </c>
      <c r="B9843" s="30" t="s">
        <v>23226</v>
      </c>
      <c r="C9843" s="29" t="s">
        <v>26</v>
      </c>
      <c r="D9843" s="31">
        <v>1840.87</v>
      </c>
      <c r="F9843" s="3" t="str">
        <f t="shared" si="153"/>
        <v>I10664</v>
      </c>
    </row>
    <row r="9844" spans="1:6" x14ac:dyDescent="0.2">
      <c r="A9844" s="29" t="s">
        <v>23227</v>
      </c>
      <c r="B9844" s="30" t="s">
        <v>23228</v>
      </c>
      <c r="C9844" s="29" t="s">
        <v>26</v>
      </c>
      <c r="D9844" s="31">
        <v>2437.81</v>
      </c>
      <c r="F9844" s="3" t="str">
        <f t="shared" si="153"/>
        <v>I13028</v>
      </c>
    </row>
    <row r="9845" spans="1:6" x14ac:dyDescent="0.2">
      <c r="A9845" s="29" t="s">
        <v>23229</v>
      </c>
      <c r="B9845" s="30" t="s">
        <v>23230</v>
      </c>
      <c r="C9845" s="29" t="s">
        <v>26</v>
      </c>
      <c r="D9845" s="31">
        <v>2024.86</v>
      </c>
      <c r="F9845" s="3" t="str">
        <f t="shared" si="153"/>
        <v>I10650</v>
      </c>
    </row>
    <row r="9846" spans="1:6" x14ac:dyDescent="0.2">
      <c r="A9846" s="29" t="s">
        <v>23231</v>
      </c>
      <c r="B9846" s="30" t="s">
        <v>23232</v>
      </c>
      <c r="C9846" s="29" t="s">
        <v>26</v>
      </c>
      <c r="D9846" s="31">
        <v>2913.91</v>
      </c>
      <c r="F9846" s="3" t="str">
        <f t="shared" si="153"/>
        <v>I13043</v>
      </c>
    </row>
    <row r="9847" spans="1:6" x14ac:dyDescent="0.2">
      <c r="A9847" s="29" t="s">
        <v>23233</v>
      </c>
      <c r="B9847" s="30" t="s">
        <v>23234</v>
      </c>
      <c r="C9847" s="29" t="s">
        <v>26</v>
      </c>
      <c r="D9847" s="31">
        <v>2447.86</v>
      </c>
      <c r="F9847" s="3" t="str">
        <f t="shared" si="153"/>
        <v>I10665</v>
      </c>
    </row>
    <row r="9848" spans="1:6" x14ac:dyDescent="0.2">
      <c r="A9848" s="29" t="s">
        <v>23235</v>
      </c>
      <c r="B9848" s="30" t="s">
        <v>23236</v>
      </c>
      <c r="C9848" s="29" t="s">
        <v>26</v>
      </c>
      <c r="D9848" s="31">
        <v>4748.21</v>
      </c>
      <c r="F9848" s="3" t="str">
        <f t="shared" si="153"/>
        <v>I13029</v>
      </c>
    </row>
    <row r="9849" spans="1:6" x14ac:dyDescent="0.2">
      <c r="A9849" s="29" t="s">
        <v>23237</v>
      </c>
      <c r="B9849" s="30" t="s">
        <v>23238</v>
      </c>
      <c r="C9849" s="29" t="s">
        <v>26</v>
      </c>
      <c r="D9849" s="31">
        <v>4012.54</v>
      </c>
      <c r="F9849" s="3" t="str">
        <f t="shared" si="153"/>
        <v>I10651</v>
      </c>
    </row>
    <row r="9850" spans="1:6" x14ac:dyDescent="0.2">
      <c r="A9850" s="29" t="s">
        <v>23239</v>
      </c>
      <c r="B9850" s="30" t="s">
        <v>23240</v>
      </c>
      <c r="C9850" s="29" t="s">
        <v>26</v>
      </c>
      <c r="D9850" s="31">
        <v>5236.1099999999997</v>
      </c>
      <c r="F9850" s="3" t="str">
        <f t="shared" si="153"/>
        <v>I13044</v>
      </c>
    </row>
    <row r="9851" spans="1:6" x14ac:dyDescent="0.2">
      <c r="A9851" s="29" t="s">
        <v>23241</v>
      </c>
      <c r="B9851" s="30" t="s">
        <v>23242</v>
      </c>
      <c r="C9851" s="29" t="s">
        <v>26</v>
      </c>
      <c r="D9851" s="31">
        <v>4405.83</v>
      </c>
      <c r="F9851" s="3" t="str">
        <f t="shared" si="153"/>
        <v>I10666</v>
      </c>
    </row>
    <row r="9852" spans="1:6" x14ac:dyDescent="0.2">
      <c r="A9852" s="29" t="s">
        <v>23243</v>
      </c>
      <c r="B9852" s="30" t="s">
        <v>23244</v>
      </c>
      <c r="C9852" s="29" t="s">
        <v>26</v>
      </c>
      <c r="D9852" s="31">
        <v>4805.95</v>
      </c>
      <c r="F9852" s="3" t="str">
        <f t="shared" si="153"/>
        <v>I13030</v>
      </c>
    </row>
    <row r="9853" spans="1:6" x14ac:dyDescent="0.2">
      <c r="A9853" s="29" t="s">
        <v>23245</v>
      </c>
      <c r="B9853" s="30" t="s">
        <v>23246</v>
      </c>
      <c r="C9853" s="29" t="s">
        <v>26</v>
      </c>
      <c r="D9853" s="31">
        <v>4136.8</v>
      </c>
      <c r="F9853" s="3" t="str">
        <f t="shared" si="153"/>
        <v>I10652</v>
      </c>
    </row>
    <row r="9854" spans="1:6" x14ac:dyDescent="0.2">
      <c r="A9854" s="29" t="s">
        <v>23247</v>
      </c>
      <c r="B9854" s="30" t="s">
        <v>23248</v>
      </c>
      <c r="C9854" s="29" t="s">
        <v>26</v>
      </c>
      <c r="D9854" s="31">
        <v>5429.9</v>
      </c>
      <c r="F9854" s="3" t="str">
        <f t="shared" si="153"/>
        <v>I13045</v>
      </c>
    </row>
    <row r="9855" spans="1:6" x14ac:dyDescent="0.2">
      <c r="A9855" s="29" t="s">
        <v>23249</v>
      </c>
      <c r="B9855" s="30" t="s">
        <v>23250</v>
      </c>
      <c r="C9855" s="29" t="s">
        <v>26</v>
      </c>
      <c r="D9855" s="31">
        <v>4631.42</v>
      </c>
      <c r="F9855" s="3" t="str">
        <f t="shared" si="153"/>
        <v>I10667</v>
      </c>
    </row>
    <row r="9856" spans="1:6" x14ac:dyDescent="0.2">
      <c r="A9856" s="29" t="s">
        <v>23251</v>
      </c>
      <c r="B9856" s="30" t="s">
        <v>23252</v>
      </c>
      <c r="C9856" s="29" t="s">
        <v>26</v>
      </c>
      <c r="D9856" s="31">
        <v>16800.669999999998</v>
      </c>
      <c r="F9856" s="3" t="str">
        <f t="shared" si="153"/>
        <v>I13031</v>
      </c>
    </row>
    <row r="9857" spans="1:6" x14ac:dyDescent="0.2">
      <c r="A9857" s="29" t="s">
        <v>23253</v>
      </c>
      <c r="B9857" s="30" t="s">
        <v>23254</v>
      </c>
      <c r="C9857" s="29" t="s">
        <v>26</v>
      </c>
      <c r="D9857" s="31">
        <v>16152.66</v>
      </c>
      <c r="F9857" s="3" t="str">
        <f t="shared" si="153"/>
        <v>I10653</v>
      </c>
    </row>
    <row r="9858" spans="1:6" x14ac:dyDescent="0.2">
      <c r="A9858" s="29" t="s">
        <v>23255</v>
      </c>
      <c r="B9858" s="30" t="s">
        <v>23256</v>
      </c>
      <c r="C9858" s="29" t="s">
        <v>26</v>
      </c>
      <c r="D9858" s="31">
        <v>18207.64</v>
      </c>
      <c r="F9858" s="3" t="str">
        <f t="shared" ref="F9858:F9921" si="154">A9858</f>
        <v>I13046</v>
      </c>
    </row>
    <row r="9859" spans="1:6" x14ac:dyDescent="0.2">
      <c r="A9859" s="29" t="s">
        <v>23257</v>
      </c>
      <c r="B9859" s="30" t="s">
        <v>23258</v>
      </c>
      <c r="C9859" s="29" t="s">
        <v>26</v>
      </c>
      <c r="D9859" s="31">
        <v>17506.43</v>
      </c>
      <c r="F9859" s="3" t="str">
        <f t="shared" si="154"/>
        <v>I10668</v>
      </c>
    </row>
    <row r="9860" spans="1:6" x14ac:dyDescent="0.2">
      <c r="A9860" s="29" t="s">
        <v>23259</v>
      </c>
      <c r="B9860" s="30" t="s">
        <v>23260</v>
      </c>
      <c r="C9860" s="29" t="s">
        <v>26</v>
      </c>
      <c r="D9860" s="31">
        <v>17417.93</v>
      </c>
      <c r="F9860" s="3" t="str">
        <f t="shared" si="154"/>
        <v>I13032</v>
      </c>
    </row>
    <row r="9861" spans="1:6" x14ac:dyDescent="0.2">
      <c r="A9861" s="29" t="s">
        <v>23261</v>
      </c>
      <c r="B9861" s="30" t="s">
        <v>23262</v>
      </c>
      <c r="C9861" s="29" t="s">
        <v>26</v>
      </c>
      <c r="D9861" s="31">
        <v>16717.91</v>
      </c>
      <c r="F9861" s="3" t="str">
        <f t="shared" si="154"/>
        <v>I10654</v>
      </c>
    </row>
    <row r="9862" spans="1:6" x14ac:dyDescent="0.2">
      <c r="A9862" s="29" t="s">
        <v>23263</v>
      </c>
      <c r="B9862" s="30" t="s">
        <v>23264</v>
      </c>
      <c r="C9862" s="29" t="s">
        <v>26</v>
      </c>
      <c r="D9862" s="31">
        <v>20154.63</v>
      </c>
      <c r="F9862" s="3" t="str">
        <f t="shared" si="154"/>
        <v>I13047</v>
      </c>
    </row>
    <row r="9863" spans="1:6" x14ac:dyDescent="0.2">
      <c r="A9863" s="29" t="s">
        <v>23265</v>
      </c>
      <c r="B9863" s="30" t="s">
        <v>23266</v>
      </c>
      <c r="C9863" s="29" t="s">
        <v>26</v>
      </c>
      <c r="D9863" s="31">
        <v>19344.16</v>
      </c>
      <c r="F9863" s="3" t="str">
        <f t="shared" si="154"/>
        <v>I10669</v>
      </c>
    </row>
    <row r="9864" spans="1:6" x14ac:dyDescent="0.2">
      <c r="A9864" s="29" t="s">
        <v>23267</v>
      </c>
      <c r="B9864" s="30" t="s">
        <v>23268</v>
      </c>
      <c r="C9864" s="29" t="s">
        <v>26</v>
      </c>
      <c r="D9864" s="31">
        <v>28222.240000000002</v>
      </c>
      <c r="F9864" s="3" t="str">
        <f t="shared" si="154"/>
        <v>I13033</v>
      </c>
    </row>
    <row r="9865" spans="1:6" x14ac:dyDescent="0.2">
      <c r="A9865" s="29" t="s">
        <v>23269</v>
      </c>
      <c r="B9865" s="30" t="s">
        <v>23270</v>
      </c>
      <c r="C9865" s="29" t="s">
        <v>26</v>
      </c>
      <c r="D9865" s="31">
        <v>27117.62</v>
      </c>
      <c r="F9865" s="3" t="str">
        <f t="shared" si="154"/>
        <v>I10655</v>
      </c>
    </row>
    <row r="9866" spans="1:6" x14ac:dyDescent="0.2">
      <c r="A9866" s="29" t="s">
        <v>23271</v>
      </c>
      <c r="B9866" s="30" t="s">
        <v>23272</v>
      </c>
      <c r="C9866" s="29" t="s">
        <v>26</v>
      </c>
      <c r="D9866" s="31">
        <v>32368.62</v>
      </c>
      <c r="F9866" s="3" t="str">
        <f t="shared" si="154"/>
        <v>I13048</v>
      </c>
    </row>
    <row r="9867" spans="1:6" x14ac:dyDescent="0.2">
      <c r="A9867" s="29" t="s">
        <v>23273</v>
      </c>
      <c r="B9867" s="30" t="s">
        <v>23274</v>
      </c>
      <c r="C9867" s="29" t="s">
        <v>26</v>
      </c>
      <c r="D9867" s="31">
        <v>31079.86</v>
      </c>
      <c r="F9867" s="3" t="str">
        <f t="shared" si="154"/>
        <v>I10670</v>
      </c>
    </row>
    <row r="9868" spans="1:6" x14ac:dyDescent="0.2">
      <c r="A9868" s="29" t="s">
        <v>23275</v>
      </c>
      <c r="B9868" s="30" t="s">
        <v>23276</v>
      </c>
      <c r="C9868" s="29" t="s">
        <v>26</v>
      </c>
      <c r="D9868" s="31">
        <v>32956.5</v>
      </c>
      <c r="F9868" s="3" t="str">
        <f t="shared" si="154"/>
        <v>I13034</v>
      </c>
    </row>
    <row r="9869" spans="1:6" x14ac:dyDescent="0.2">
      <c r="A9869" s="29" t="s">
        <v>23277</v>
      </c>
      <c r="B9869" s="30" t="s">
        <v>23278</v>
      </c>
      <c r="C9869" s="29" t="s">
        <v>26</v>
      </c>
      <c r="D9869" s="31">
        <v>31437.18</v>
      </c>
      <c r="F9869" s="3" t="str">
        <f t="shared" si="154"/>
        <v>I10656</v>
      </c>
    </row>
    <row r="9870" spans="1:6" x14ac:dyDescent="0.2">
      <c r="A9870" s="29" t="s">
        <v>23279</v>
      </c>
      <c r="B9870" s="30" t="s">
        <v>23280</v>
      </c>
      <c r="C9870" s="29" t="s">
        <v>26</v>
      </c>
      <c r="D9870" s="31">
        <v>36785.360000000001</v>
      </c>
      <c r="F9870" s="3" t="str">
        <f t="shared" si="154"/>
        <v>I13049</v>
      </c>
    </row>
    <row r="9871" spans="1:6" x14ac:dyDescent="0.2">
      <c r="A9871" s="29" t="s">
        <v>23281</v>
      </c>
      <c r="B9871" s="30" t="s">
        <v>23282</v>
      </c>
      <c r="C9871" s="29" t="s">
        <v>26</v>
      </c>
      <c r="D9871" s="31">
        <v>35100.47</v>
      </c>
      <c r="F9871" s="3" t="str">
        <f t="shared" si="154"/>
        <v>I10671</v>
      </c>
    </row>
    <row r="9872" spans="1:6" x14ac:dyDescent="0.2">
      <c r="A9872" s="29" t="s">
        <v>23283</v>
      </c>
      <c r="B9872" s="30" t="s">
        <v>23284</v>
      </c>
      <c r="C9872" s="29" t="s">
        <v>26</v>
      </c>
      <c r="D9872" s="31">
        <v>42792.800000000003</v>
      </c>
      <c r="F9872" s="3" t="str">
        <f t="shared" si="154"/>
        <v>I13035</v>
      </c>
    </row>
    <row r="9873" spans="1:6" x14ac:dyDescent="0.2">
      <c r="A9873" s="29" t="s">
        <v>23285</v>
      </c>
      <c r="B9873" s="30" t="s">
        <v>23286</v>
      </c>
      <c r="C9873" s="29" t="s">
        <v>26</v>
      </c>
      <c r="D9873" s="31">
        <v>40813.94</v>
      </c>
      <c r="F9873" s="3" t="str">
        <f t="shared" si="154"/>
        <v>I10657</v>
      </c>
    </row>
    <row r="9874" spans="1:6" x14ac:dyDescent="0.2">
      <c r="A9874" s="29" t="s">
        <v>23287</v>
      </c>
      <c r="B9874" s="30" t="s">
        <v>23288</v>
      </c>
      <c r="C9874" s="29" t="s">
        <v>26</v>
      </c>
      <c r="D9874" s="31">
        <v>47753.35</v>
      </c>
      <c r="F9874" s="3" t="str">
        <f t="shared" si="154"/>
        <v>I13050</v>
      </c>
    </row>
    <row r="9875" spans="1:6" x14ac:dyDescent="0.2">
      <c r="A9875" s="29" t="s">
        <v>23289</v>
      </c>
      <c r="B9875" s="30" t="s">
        <v>23290</v>
      </c>
      <c r="C9875" s="29" t="s">
        <v>26</v>
      </c>
      <c r="D9875" s="31">
        <v>45551.55</v>
      </c>
      <c r="F9875" s="3" t="str">
        <f t="shared" si="154"/>
        <v>I10672</v>
      </c>
    </row>
    <row r="9876" spans="1:6" x14ac:dyDescent="0.2">
      <c r="A9876" s="29" t="s">
        <v>23291</v>
      </c>
      <c r="B9876" s="30" t="s">
        <v>23292</v>
      </c>
      <c r="C9876" s="29" t="s">
        <v>26</v>
      </c>
      <c r="D9876" s="31">
        <v>52917.63</v>
      </c>
      <c r="F9876" s="3" t="str">
        <f t="shared" si="154"/>
        <v>I13036</v>
      </c>
    </row>
    <row r="9877" spans="1:6" x14ac:dyDescent="0.2">
      <c r="A9877" s="29" t="s">
        <v>23293</v>
      </c>
      <c r="B9877" s="30" t="s">
        <v>23294</v>
      </c>
      <c r="C9877" s="29" t="s">
        <v>26</v>
      </c>
      <c r="D9877" s="31">
        <v>50548.36</v>
      </c>
      <c r="F9877" s="3" t="str">
        <f t="shared" si="154"/>
        <v>I10658</v>
      </c>
    </row>
    <row r="9878" spans="1:6" x14ac:dyDescent="0.2">
      <c r="A9878" s="29" t="s">
        <v>23295</v>
      </c>
      <c r="B9878" s="30" t="s">
        <v>23296</v>
      </c>
      <c r="C9878" s="29" t="s">
        <v>26</v>
      </c>
      <c r="D9878" s="31">
        <v>59620.41</v>
      </c>
      <c r="F9878" s="3" t="str">
        <f t="shared" si="154"/>
        <v>I13051</v>
      </c>
    </row>
    <row r="9879" spans="1:6" x14ac:dyDescent="0.2">
      <c r="A9879" s="29" t="s">
        <v>23297</v>
      </c>
      <c r="B9879" s="30" t="s">
        <v>23298</v>
      </c>
      <c r="C9879" s="29" t="s">
        <v>26</v>
      </c>
      <c r="D9879" s="31">
        <v>56893.36</v>
      </c>
      <c r="F9879" s="3" t="str">
        <f t="shared" si="154"/>
        <v>I10673</v>
      </c>
    </row>
    <row r="9880" spans="1:6" x14ac:dyDescent="0.2">
      <c r="A9880" s="29" t="s">
        <v>23299</v>
      </c>
      <c r="B9880" s="30" t="s">
        <v>23300</v>
      </c>
      <c r="C9880" s="29" t="s">
        <v>26</v>
      </c>
      <c r="D9880" s="31">
        <v>335.36</v>
      </c>
      <c r="F9880" s="3" t="str">
        <f t="shared" si="154"/>
        <v>I3390</v>
      </c>
    </row>
    <row r="9881" spans="1:6" x14ac:dyDescent="0.2">
      <c r="A9881" s="29" t="s">
        <v>23301</v>
      </c>
      <c r="B9881" s="30" t="s">
        <v>23302</v>
      </c>
      <c r="C9881" s="29" t="s">
        <v>26</v>
      </c>
      <c r="D9881" s="31">
        <v>335.36</v>
      </c>
      <c r="F9881" s="3" t="str">
        <f t="shared" si="154"/>
        <v>I7117</v>
      </c>
    </row>
    <row r="9882" spans="1:6" x14ac:dyDescent="0.2">
      <c r="A9882" s="29" t="s">
        <v>23303</v>
      </c>
      <c r="B9882" s="30" t="s">
        <v>23304</v>
      </c>
      <c r="C9882" s="29" t="s">
        <v>26</v>
      </c>
      <c r="D9882" s="31">
        <v>391.69</v>
      </c>
      <c r="F9882" s="3" t="str">
        <f t="shared" si="154"/>
        <v>I3391</v>
      </c>
    </row>
    <row r="9883" spans="1:6" x14ac:dyDescent="0.2">
      <c r="A9883" s="29" t="s">
        <v>23305</v>
      </c>
      <c r="B9883" s="30" t="s">
        <v>23306</v>
      </c>
      <c r="C9883" s="29" t="s">
        <v>26</v>
      </c>
      <c r="D9883" s="31">
        <v>638.66999999999996</v>
      </c>
      <c r="F9883" s="3" t="str">
        <f t="shared" si="154"/>
        <v>I3392</v>
      </c>
    </row>
    <row r="9884" spans="1:6" x14ac:dyDescent="0.2">
      <c r="A9884" s="29" t="s">
        <v>23307</v>
      </c>
      <c r="B9884" s="30" t="s">
        <v>23308</v>
      </c>
      <c r="C9884" s="29" t="s">
        <v>26</v>
      </c>
      <c r="D9884" s="31">
        <v>820.63</v>
      </c>
      <c r="F9884" s="3" t="str">
        <f t="shared" si="154"/>
        <v>I3393</v>
      </c>
    </row>
    <row r="9885" spans="1:6" x14ac:dyDescent="0.2">
      <c r="A9885" s="29" t="s">
        <v>23309</v>
      </c>
      <c r="B9885" s="30" t="s">
        <v>23310</v>
      </c>
      <c r="C9885" s="29" t="s">
        <v>26</v>
      </c>
      <c r="D9885" s="31">
        <v>1366.69</v>
      </c>
      <c r="F9885" s="3" t="str">
        <f t="shared" si="154"/>
        <v>I3394</v>
      </c>
    </row>
    <row r="9886" spans="1:6" x14ac:dyDescent="0.2">
      <c r="A9886" s="29" t="s">
        <v>23311</v>
      </c>
      <c r="B9886" s="30" t="s">
        <v>23312</v>
      </c>
      <c r="C9886" s="29" t="s">
        <v>26</v>
      </c>
      <c r="D9886" s="31">
        <v>2007.85</v>
      </c>
      <c r="F9886" s="3" t="str">
        <f t="shared" si="154"/>
        <v>I3395</v>
      </c>
    </row>
    <row r="9887" spans="1:6" x14ac:dyDescent="0.2">
      <c r="A9887" s="29" t="s">
        <v>23313</v>
      </c>
      <c r="B9887" s="30" t="s">
        <v>23314</v>
      </c>
      <c r="C9887" s="29" t="s">
        <v>26</v>
      </c>
      <c r="D9887" s="31">
        <v>3572.82</v>
      </c>
      <c r="F9887" s="3" t="str">
        <f t="shared" si="154"/>
        <v>I3396</v>
      </c>
    </row>
    <row r="9888" spans="1:6" x14ac:dyDescent="0.2">
      <c r="A9888" s="29" t="s">
        <v>23315</v>
      </c>
      <c r="B9888" s="30" t="s">
        <v>23316</v>
      </c>
      <c r="C9888" s="29" t="s">
        <v>26</v>
      </c>
      <c r="D9888" s="31">
        <v>3933.01</v>
      </c>
      <c r="F9888" s="3" t="str">
        <f t="shared" si="154"/>
        <v>I3397</v>
      </c>
    </row>
    <row r="9889" spans="1:6" x14ac:dyDescent="0.2">
      <c r="A9889" s="29" t="s">
        <v>23317</v>
      </c>
      <c r="B9889" s="30" t="s">
        <v>23318</v>
      </c>
      <c r="C9889" s="29" t="s">
        <v>26</v>
      </c>
      <c r="D9889" s="31">
        <v>14841.21</v>
      </c>
      <c r="F9889" s="3" t="str">
        <f t="shared" si="154"/>
        <v>I3398</v>
      </c>
    </row>
    <row r="9890" spans="1:6" x14ac:dyDescent="0.2">
      <c r="A9890" s="29" t="s">
        <v>23319</v>
      </c>
      <c r="B9890" s="30" t="s">
        <v>23320</v>
      </c>
      <c r="C9890" s="29" t="s">
        <v>26</v>
      </c>
      <c r="D9890" s="31">
        <v>16211.3</v>
      </c>
      <c r="F9890" s="3" t="str">
        <f t="shared" si="154"/>
        <v>I3399</v>
      </c>
    </row>
    <row r="9891" spans="1:6" x14ac:dyDescent="0.2">
      <c r="A9891" s="29" t="s">
        <v>23321</v>
      </c>
      <c r="B9891" s="30" t="s">
        <v>23322</v>
      </c>
      <c r="C9891" s="29" t="s">
        <v>26</v>
      </c>
      <c r="D9891" s="31">
        <v>25241.5</v>
      </c>
      <c r="F9891" s="3" t="str">
        <f t="shared" si="154"/>
        <v>I3400</v>
      </c>
    </row>
    <row r="9892" spans="1:6" x14ac:dyDescent="0.2">
      <c r="A9892" s="29" t="s">
        <v>23323</v>
      </c>
      <c r="B9892" s="30" t="s">
        <v>23324</v>
      </c>
      <c r="C9892" s="29" t="s">
        <v>26</v>
      </c>
      <c r="D9892" s="31">
        <v>29322.86</v>
      </c>
      <c r="F9892" s="3" t="str">
        <f t="shared" si="154"/>
        <v>I3401</v>
      </c>
    </row>
    <row r="9893" spans="1:6" x14ac:dyDescent="0.2">
      <c r="A9893" s="29" t="s">
        <v>23325</v>
      </c>
      <c r="B9893" s="30" t="s">
        <v>23326</v>
      </c>
      <c r="C9893" s="29" t="s">
        <v>26</v>
      </c>
      <c r="D9893" s="31">
        <v>33674.54</v>
      </c>
      <c r="F9893" s="3" t="str">
        <f t="shared" si="154"/>
        <v>I3402</v>
      </c>
    </row>
    <row r="9894" spans="1:6" x14ac:dyDescent="0.2">
      <c r="A9894" s="29" t="s">
        <v>23327</v>
      </c>
      <c r="B9894" s="30" t="s">
        <v>23328</v>
      </c>
      <c r="C9894" s="29" t="s">
        <v>26</v>
      </c>
      <c r="D9894" s="31">
        <v>47953.22</v>
      </c>
      <c r="F9894" s="3" t="str">
        <f t="shared" si="154"/>
        <v>I3403</v>
      </c>
    </row>
    <row r="9895" spans="1:6" x14ac:dyDescent="0.2">
      <c r="A9895" s="29" t="s">
        <v>23329</v>
      </c>
      <c r="B9895" s="30" t="s">
        <v>23330</v>
      </c>
      <c r="C9895" s="29" t="s">
        <v>26</v>
      </c>
      <c r="D9895" s="31">
        <v>59281.64</v>
      </c>
      <c r="F9895" s="3" t="str">
        <f t="shared" si="154"/>
        <v>I3404</v>
      </c>
    </row>
    <row r="9896" spans="1:6" x14ac:dyDescent="0.2">
      <c r="A9896" s="29" t="s">
        <v>23331</v>
      </c>
      <c r="B9896" s="30" t="s">
        <v>23332</v>
      </c>
      <c r="C9896" s="29" t="s">
        <v>26</v>
      </c>
      <c r="D9896" s="31">
        <v>78467.03</v>
      </c>
      <c r="F9896" s="3" t="str">
        <f t="shared" si="154"/>
        <v>I3405</v>
      </c>
    </row>
    <row r="9897" spans="1:6" x14ac:dyDescent="0.2">
      <c r="A9897" s="29" t="s">
        <v>23333</v>
      </c>
      <c r="B9897" s="30" t="s">
        <v>23334</v>
      </c>
      <c r="C9897" s="29" t="s">
        <v>26</v>
      </c>
      <c r="D9897" s="31">
        <v>442.06</v>
      </c>
      <c r="F9897" s="3" t="str">
        <f t="shared" si="154"/>
        <v>I9296</v>
      </c>
    </row>
    <row r="9898" spans="1:6" x14ac:dyDescent="0.2">
      <c r="A9898" s="29" t="s">
        <v>23335</v>
      </c>
      <c r="B9898" s="30" t="s">
        <v>23336</v>
      </c>
      <c r="C9898" s="29" t="s">
        <v>26</v>
      </c>
      <c r="D9898" s="31">
        <v>442.06</v>
      </c>
      <c r="F9898" s="3" t="str">
        <f t="shared" si="154"/>
        <v>I9297</v>
      </c>
    </row>
    <row r="9899" spans="1:6" x14ac:dyDescent="0.2">
      <c r="A9899" s="29" t="s">
        <v>23337</v>
      </c>
      <c r="B9899" s="30" t="s">
        <v>23338</v>
      </c>
      <c r="C9899" s="29" t="s">
        <v>26</v>
      </c>
      <c r="D9899" s="31">
        <v>587.54999999999995</v>
      </c>
      <c r="F9899" s="3" t="str">
        <f t="shared" si="154"/>
        <v>I9298</v>
      </c>
    </row>
    <row r="9900" spans="1:6" x14ac:dyDescent="0.2">
      <c r="A9900" s="29" t="s">
        <v>23339</v>
      </c>
      <c r="B9900" s="30" t="s">
        <v>23340</v>
      </c>
      <c r="C9900" s="29" t="s">
        <v>26</v>
      </c>
      <c r="D9900" s="31">
        <v>838.38</v>
      </c>
      <c r="F9900" s="3" t="str">
        <f t="shared" si="154"/>
        <v>I9299</v>
      </c>
    </row>
    <row r="9901" spans="1:6" x14ac:dyDescent="0.2">
      <c r="A9901" s="29" t="s">
        <v>23341</v>
      </c>
      <c r="B9901" s="30" t="s">
        <v>23342</v>
      </c>
      <c r="C9901" s="29" t="s">
        <v>26</v>
      </c>
      <c r="D9901" s="31">
        <v>1132.6099999999999</v>
      </c>
      <c r="F9901" s="3" t="str">
        <f t="shared" si="154"/>
        <v>I9300</v>
      </c>
    </row>
    <row r="9902" spans="1:6" x14ac:dyDescent="0.2">
      <c r="A9902" s="29" t="s">
        <v>23343</v>
      </c>
      <c r="B9902" s="30" t="s">
        <v>23344</v>
      </c>
      <c r="C9902" s="29" t="s">
        <v>26</v>
      </c>
      <c r="D9902" s="31">
        <v>3219.94</v>
      </c>
      <c r="F9902" s="3" t="str">
        <f t="shared" si="154"/>
        <v>I9301</v>
      </c>
    </row>
    <row r="9903" spans="1:6" x14ac:dyDescent="0.2">
      <c r="A9903" s="29" t="s">
        <v>23345</v>
      </c>
      <c r="B9903" s="30" t="s">
        <v>23346</v>
      </c>
      <c r="C9903" s="29" t="s">
        <v>26</v>
      </c>
      <c r="D9903" s="31">
        <v>3882.48</v>
      </c>
      <c r="F9903" s="3" t="str">
        <f t="shared" si="154"/>
        <v>I9302</v>
      </c>
    </row>
    <row r="9904" spans="1:6" x14ac:dyDescent="0.2">
      <c r="A9904" s="29" t="s">
        <v>23347</v>
      </c>
      <c r="B9904" s="30" t="s">
        <v>23348</v>
      </c>
      <c r="C9904" s="29" t="s">
        <v>26</v>
      </c>
      <c r="D9904" s="31">
        <v>5114.05</v>
      </c>
      <c r="F9904" s="3" t="str">
        <f t="shared" si="154"/>
        <v>I9303</v>
      </c>
    </row>
    <row r="9905" spans="1:6" x14ac:dyDescent="0.2">
      <c r="A9905" s="29" t="s">
        <v>23349</v>
      </c>
      <c r="B9905" s="30" t="s">
        <v>23350</v>
      </c>
      <c r="C9905" s="29" t="s">
        <v>26</v>
      </c>
      <c r="D9905" s="31">
        <v>4974.29</v>
      </c>
      <c r="F9905" s="3" t="str">
        <f t="shared" si="154"/>
        <v>I9304</v>
      </c>
    </row>
    <row r="9906" spans="1:6" x14ac:dyDescent="0.2">
      <c r="A9906" s="29" t="s">
        <v>23351</v>
      </c>
      <c r="B9906" s="30" t="s">
        <v>23352</v>
      </c>
      <c r="C9906" s="29" t="s">
        <v>26</v>
      </c>
      <c r="D9906" s="31">
        <v>7113.94</v>
      </c>
      <c r="F9906" s="3" t="str">
        <f t="shared" si="154"/>
        <v>I9305</v>
      </c>
    </row>
    <row r="9907" spans="1:6" x14ac:dyDescent="0.2">
      <c r="A9907" s="29" t="s">
        <v>23353</v>
      </c>
      <c r="B9907" s="30" t="s">
        <v>23354</v>
      </c>
      <c r="C9907" s="29" t="s">
        <v>26</v>
      </c>
      <c r="D9907" s="31">
        <v>16369.68</v>
      </c>
      <c r="F9907" s="3" t="str">
        <f t="shared" si="154"/>
        <v>I9306</v>
      </c>
    </row>
    <row r="9908" spans="1:6" x14ac:dyDescent="0.2">
      <c r="A9908" s="29" t="s">
        <v>23355</v>
      </c>
      <c r="B9908" s="30" t="s">
        <v>23356</v>
      </c>
      <c r="C9908" s="29" t="s">
        <v>26</v>
      </c>
      <c r="D9908" s="31">
        <v>26119.16</v>
      </c>
      <c r="F9908" s="3" t="str">
        <f t="shared" si="154"/>
        <v>I9307</v>
      </c>
    </row>
    <row r="9909" spans="1:6" x14ac:dyDescent="0.2">
      <c r="A9909" s="29" t="s">
        <v>23357</v>
      </c>
      <c r="B9909" s="30" t="s">
        <v>23358</v>
      </c>
      <c r="C9909" s="29" t="s">
        <v>26</v>
      </c>
      <c r="D9909" s="31">
        <v>35385.47</v>
      </c>
      <c r="F9909" s="3" t="str">
        <f t="shared" si="154"/>
        <v>I9308</v>
      </c>
    </row>
    <row r="9910" spans="1:6" x14ac:dyDescent="0.2">
      <c r="A9910" s="29" t="s">
        <v>23359</v>
      </c>
      <c r="B9910" s="30" t="s">
        <v>23360</v>
      </c>
      <c r="C9910" s="29" t="s">
        <v>26</v>
      </c>
      <c r="D9910" s="31">
        <v>37392.730000000003</v>
      </c>
      <c r="F9910" s="3" t="str">
        <f t="shared" si="154"/>
        <v>I9309</v>
      </c>
    </row>
    <row r="9911" spans="1:6" x14ac:dyDescent="0.2">
      <c r="A9911" s="29" t="s">
        <v>23361</v>
      </c>
      <c r="B9911" s="30" t="s">
        <v>23362</v>
      </c>
      <c r="C9911" s="29" t="s">
        <v>26</v>
      </c>
      <c r="D9911" s="31">
        <v>49782.66</v>
      </c>
      <c r="F9911" s="3" t="str">
        <f t="shared" si="154"/>
        <v>I9310</v>
      </c>
    </row>
    <row r="9912" spans="1:6" x14ac:dyDescent="0.2">
      <c r="A9912" s="29" t="s">
        <v>23363</v>
      </c>
      <c r="B9912" s="30" t="s">
        <v>23364</v>
      </c>
      <c r="C9912" s="29" t="s">
        <v>26</v>
      </c>
      <c r="D9912" s="31">
        <v>651.85</v>
      </c>
      <c r="F9912" s="3" t="str">
        <f t="shared" si="154"/>
        <v>I13071</v>
      </c>
    </row>
    <row r="9913" spans="1:6" x14ac:dyDescent="0.2">
      <c r="A9913" s="29" t="s">
        <v>23365</v>
      </c>
      <c r="B9913" s="30" t="s">
        <v>23366</v>
      </c>
      <c r="C9913" s="29" t="s">
        <v>26</v>
      </c>
      <c r="D9913" s="31">
        <v>557.11</v>
      </c>
      <c r="F9913" s="3" t="str">
        <f t="shared" si="154"/>
        <v>I10690</v>
      </c>
    </row>
    <row r="9914" spans="1:6" x14ac:dyDescent="0.2">
      <c r="A9914" s="29" t="s">
        <v>23367</v>
      </c>
      <c r="B9914" s="30" t="s">
        <v>23368</v>
      </c>
      <c r="C9914" s="29" t="s">
        <v>26</v>
      </c>
      <c r="D9914" s="31">
        <v>66908.73</v>
      </c>
      <c r="F9914" s="3" t="str">
        <f t="shared" si="154"/>
        <v>I9311</v>
      </c>
    </row>
    <row r="9915" spans="1:6" x14ac:dyDescent="0.2">
      <c r="A9915" s="29" t="s">
        <v>23369</v>
      </c>
      <c r="B9915" s="30" t="s">
        <v>23370</v>
      </c>
      <c r="C9915" s="29" t="s">
        <v>26</v>
      </c>
      <c r="D9915" s="31">
        <v>70817.55</v>
      </c>
      <c r="F9915" s="3" t="str">
        <f t="shared" si="154"/>
        <v>I13069</v>
      </c>
    </row>
    <row r="9916" spans="1:6" x14ac:dyDescent="0.2">
      <c r="A9916" s="29" t="s">
        <v>23371</v>
      </c>
      <c r="B9916" s="30" t="s">
        <v>23372</v>
      </c>
      <c r="C9916" s="29" t="s">
        <v>26</v>
      </c>
      <c r="D9916" s="31">
        <v>67796.009999999995</v>
      </c>
      <c r="F9916" s="3" t="str">
        <f t="shared" si="154"/>
        <v>I10688</v>
      </c>
    </row>
    <row r="9917" spans="1:6" x14ac:dyDescent="0.2">
      <c r="A9917" s="29" t="s">
        <v>23373</v>
      </c>
      <c r="B9917" s="30" t="s">
        <v>23374</v>
      </c>
      <c r="C9917" s="29" t="s">
        <v>26</v>
      </c>
      <c r="D9917" s="31">
        <v>75912.240000000005</v>
      </c>
      <c r="F9917" s="3" t="str">
        <f t="shared" si="154"/>
        <v>I13084</v>
      </c>
    </row>
    <row r="9918" spans="1:6" x14ac:dyDescent="0.2">
      <c r="A9918" s="29" t="s">
        <v>23375</v>
      </c>
      <c r="B9918" s="30" t="s">
        <v>23376</v>
      </c>
      <c r="C9918" s="29" t="s">
        <v>26</v>
      </c>
      <c r="D9918" s="31">
        <v>72670.44</v>
      </c>
      <c r="F9918" s="3" t="str">
        <f t="shared" si="154"/>
        <v>I10703</v>
      </c>
    </row>
    <row r="9919" spans="1:6" x14ac:dyDescent="0.2">
      <c r="A9919" s="29" t="s">
        <v>23377</v>
      </c>
      <c r="B9919" s="30" t="s">
        <v>23378</v>
      </c>
      <c r="C9919" s="29" t="s">
        <v>26</v>
      </c>
      <c r="D9919" s="31">
        <v>86986.76</v>
      </c>
      <c r="F9919" s="3" t="str">
        <f t="shared" si="154"/>
        <v>I9312</v>
      </c>
    </row>
    <row r="9920" spans="1:6" x14ac:dyDescent="0.2">
      <c r="A9920" s="29" t="s">
        <v>23379</v>
      </c>
      <c r="B9920" s="30" t="s">
        <v>23380</v>
      </c>
      <c r="C9920" s="29" t="s">
        <v>26</v>
      </c>
      <c r="D9920" s="31">
        <v>92592.56</v>
      </c>
      <c r="F9920" s="3" t="str">
        <f t="shared" si="154"/>
        <v>I13070</v>
      </c>
    </row>
    <row r="9921" spans="1:6" x14ac:dyDescent="0.2">
      <c r="A9921" s="29" t="s">
        <v>23381</v>
      </c>
      <c r="B9921" s="30" t="s">
        <v>23382</v>
      </c>
      <c r="C9921" s="29" t="s">
        <v>26</v>
      </c>
      <c r="D9921" s="31">
        <v>88670.98</v>
      </c>
      <c r="F9921" s="3" t="str">
        <f t="shared" si="154"/>
        <v>I10689</v>
      </c>
    </row>
    <row r="9922" spans="1:6" x14ac:dyDescent="0.2">
      <c r="A9922" s="29" t="s">
        <v>23383</v>
      </c>
      <c r="B9922" s="30" t="s">
        <v>23384</v>
      </c>
      <c r="C9922" s="29" t="s">
        <v>26</v>
      </c>
      <c r="D9922" s="31">
        <v>103305.43</v>
      </c>
      <c r="F9922" s="3" t="str">
        <f t="shared" ref="F9922:F9985" si="155">A9922</f>
        <v>I13085</v>
      </c>
    </row>
    <row r="9923" spans="1:6" x14ac:dyDescent="0.2">
      <c r="A9923" s="29" t="s">
        <v>23385</v>
      </c>
      <c r="B9923" s="30" t="s">
        <v>23386</v>
      </c>
      <c r="C9923" s="29" t="s">
        <v>26</v>
      </c>
      <c r="D9923" s="31">
        <v>98915.64</v>
      </c>
      <c r="F9923" s="3" t="str">
        <f t="shared" si="155"/>
        <v>I10704</v>
      </c>
    </row>
    <row r="9924" spans="1:6" x14ac:dyDescent="0.2">
      <c r="A9924" s="29" t="s">
        <v>23387</v>
      </c>
      <c r="B9924" s="30" t="s">
        <v>23388</v>
      </c>
      <c r="C9924" s="29" t="s">
        <v>26</v>
      </c>
      <c r="D9924" s="31">
        <v>926.36</v>
      </c>
      <c r="F9924" s="3" t="str">
        <f t="shared" si="155"/>
        <v>I13072</v>
      </c>
    </row>
    <row r="9925" spans="1:6" x14ac:dyDescent="0.2">
      <c r="A9925" s="29" t="s">
        <v>23389</v>
      </c>
      <c r="B9925" s="30" t="s">
        <v>23390</v>
      </c>
      <c r="C9925" s="29" t="s">
        <v>26</v>
      </c>
      <c r="D9925" s="31">
        <v>751.11</v>
      </c>
      <c r="F9925" s="3" t="str">
        <f t="shared" si="155"/>
        <v>I10691</v>
      </c>
    </row>
    <row r="9926" spans="1:6" x14ac:dyDescent="0.2">
      <c r="A9926" s="29" t="s">
        <v>23391</v>
      </c>
      <c r="B9926" s="30" t="s">
        <v>23392</v>
      </c>
      <c r="C9926" s="29" t="s">
        <v>26</v>
      </c>
      <c r="D9926" s="31">
        <v>1174.43</v>
      </c>
      <c r="F9926" s="3" t="str">
        <f t="shared" si="155"/>
        <v>I13058</v>
      </c>
    </row>
    <row r="9927" spans="1:6" x14ac:dyDescent="0.2">
      <c r="A9927" s="29" t="s">
        <v>23393</v>
      </c>
      <c r="B9927" s="30" t="s">
        <v>23394</v>
      </c>
      <c r="C9927" s="29" t="s">
        <v>26</v>
      </c>
      <c r="D9927" s="31">
        <v>924.07</v>
      </c>
      <c r="F9927" s="3" t="str">
        <f t="shared" si="155"/>
        <v>I10677</v>
      </c>
    </row>
    <row r="9928" spans="1:6" x14ac:dyDescent="0.2">
      <c r="A9928" s="29" t="s">
        <v>23395</v>
      </c>
      <c r="B9928" s="30" t="s">
        <v>23396</v>
      </c>
      <c r="C9928" s="29" t="s">
        <v>26</v>
      </c>
      <c r="D9928" s="31">
        <v>1274.94</v>
      </c>
      <c r="F9928" s="3" t="str">
        <f t="shared" si="155"/>
        <v>I13073</v>
      </c>
    </row>
    <row r="9929" spans="1:6" x14ac:dyDescent="0.2">
      <c r="A9929" s="29" t="s">
        <v>23397</v>
      </c>
      <c r="B9929" s="30" t="s">
        <v>23398</v>
      </c>
      <c r="C9929" s="29" t="s">
        <v>26</v>
      </c>
      <c r="D9929" s="31">
        <v>1021.93</v>
      </c>
      <c r="F9929" s="3" t="str">
        <f t="shared" si="155"/>
        <v>I10692</v>
      </c>
    </row>
    <row r="9930" spans="1:6" x14ac:dyDescent="0.2">
      <c r="A9930" s="29" t="s">
        <v>23399</v>
      </c>
      <c r="B9930" s="30" t="s">
        <v>23400</v>
      </c>
      <c r="C9930" s="29" t="s">
        <v>26</v>
      </c>
      <c r="D9930" s="31">
        <v>3222.15</v>
      </c>
      <c r="F9930" s="3" t="str">
        <f t="shared" si="155"/>
        <v>I13059</v>
      </c>
    </row>
    <row r="9931" spans="1:6" x14ac:dyDescent="0.2">
      <c r="A9931" s="29" t="s">
        <v>23401</v>
      </c>
      <c r="B9931" s="30" t="s">
        <v>23402</v>
      </c>
      <c r="C9931" s="29" t="s">
        <v>26</v>
      </c>
      <c r="D9931" s="31">
        <v>2765.54</v>
      </c>
      <c r="F9931" s="3" t="str">
        <f t="shared" si="155"/>
        <v>I10678</v>
      </c>
    </row>
    <row r="9932" spans="1:6" x14ac:dyDescent="0.2">
      <c r="A9932" s="29" t="s">
        <v>23403</v>
      </c>
      <c r="B9932" s="30" t="s">
        <v>23404</v>
      </c>
      <c r="C9932" s="29" t="s">
        <v>26</v>
      </c>
      <c r="D9932" s="31">
        <v>3552.43</v>
      </c>
      <c r="F9932" s="3" t="str">
        <f t="shared" si="155"/>
        <v>I13074</v>
      </c>
    </row>
    <row r="9933" spans="1:6" x14ac:dyDescent="0.2">
      <c r="A9933" s="29" t="s">
        <v>23405</v>
      </c>
      <c r="B9933" s="30" t="s">
        <v>23406</v>
      </c>
      <c r="C9933" s="29" t="s">
        <v>26</v>
      </c>
      <c r="D9933" s="31">
        <v>3056.09</v>
      </c>
      <c r="F9933" s="3" t="str">
        <f t="shared" si="155"/>
        <v>I10693</v>
      </c>
    </row>
    <row r="9934" spans="1:6" x14ac:dyDescent="0.2">
      <c r="A9934" s="29" t="s">
        <v>23407</v>
      </c>
      <c r="B9934" s="30" t="s">
        <v>23408</v>
      </c>
      <c r="C9934" s="29" t="s">
        <v>26</v>
      </c>
      <c r="D9934" s="31">
        <v>4034.36</v>
      </c>
      <c r="F9934" s="3" t="str">
        <f t="shared" si="155"/>
        <v>I13060</v>
      </c>
    </row>
    <row r="9935" spans="1:6" x14ac:dyDescent="0.2">
      <c r="A9935" s="29" t="s">
        <v>23409</v>
      </c>
      <c r="B9935" s="30" t="s">
        <v>23410</v>
      </c>
      <c r="C9935" s="29" t="s">
        <v>26</v>
      </c>
      <c r="D9935" s="31">
        <v>3442.55</v>
      </c>
      <c r="F9935" s="3" t="str">
        <f t="shared" si="155"/>
        <v>I10679</v>
      </c>
    </row>
    <row r="9936" spans="1:6" x14ac:dyDescent="0.2">
      <c r="A9936" s="29" t="s">
        <v>23411</v>
      </c>
      <c r="B9936" s="30" t="s">
        <v>23412</v>
      </c>
      <c r="C9936" s="29" t="s">
        <v>26</v>
      </c>
      <c r="D9936" s="31">
        <v>4109.62</v>
      </c>
      <c r="F9936" s="3" t="str">
        <f t="shared" si="155"/>
        <v>I13075</v>
      </c>
    </row>
    <row r="9937" spans="1:6" x14ac:dyDescent="0.2">
      <c r="A9937" s="29" t="s">
        <v>23413</v>
      </c>
      <c r="B9937" s="30" t="s">
        <v>23414</v>
      </c>
      <c r="C9937" s="29" t="s">
        <v>26</v>
      </c>
      <c r="D9937" s="31">
        <v>3503.61</v>
      </c>
      <c r="F9937" s="3" t="str">
        <f t="shared" si="155"/>
        <v>I10694</v>
      </c>
    </row>
    <row r="9938" spans="1:6" x14ac:dyDescent="0.2">
      <c r="A9938" s="29" t="s">
        <v>23415</v>
      </c>
      <c r="B9938" s="30" t="s">
        <v>23416</v>
      </c>
      <c r="C9938" s="29" t="s">
        <v>26</v>
      </c>
      <c r="D9938" s="31">
        <v>5320.08</v>
      </c>
      <c r="F9938" s="3" t="str">
        <f t="shared" si="155"/>
        <v>I13061</v>
      </c>
    </row>
    <row r="9939" spans="1:6" x14ac:dyDescent="0.2">
      <c r="A9939" s="29" t="s">
        <v>23417</v>
      </c>
      <c r="B9939" s="30" t="s">
        <v>23418</v>
      </c>
      <c r="C9939" s="29" t="s">
        <v>26</v>
      </c>
      <c r="D9939" s="31">
        <v>4542.3900000000003</v>
      </c>
      <c r="F9939" s="3" t="str">
        <f t="shared" si="155"/>
        <v>I10680</v>
      </c>
    </row>
    <row r="9940" spans="1:6" x14ac:dyDescent="0.2">
      <c r="A9940" s="29" t="s">
        <v>23419</v>
      </c>
      <c r="B9940" s="30" t="s">
        <v>23420</v>
      </c>
      <c r="C9940" s="29" t="s">
        <v>26</v>
      </c>
      <c r="D9940" s="31">
        <v>5806.44</v>
      </c>
      <c r="F9940" s="3" t="str">
        <f t="shared" si="155"/>
        <v>I13076</v>
      </c>
    </row>
    <row r="9941" spans="1:6" x14ac:dyDescent="0.2">
      <c r="A9941" s="29" t="s">
        <v>23421</v>
      </c>
      <c r="B9941" s="30" t="s">
        <v>23422</v>
      </c>
      <c r="C9941" s="29" t="s">
        <v>26</v>
      </c>
      <c r="D9941" s="31">
        <v>4911.63</v>
      </c>
      <c r="F9941" s="3" t="str">
        <f t="shared" si="155"/>
        <v>I10695</v>
      </c>
    </row>
    <row r="9942" spans="1:6" x14ac:dyDescent="0.2">
      <c r="A9942" s="29" t="s">
        <v>23423</v>
      </c>
      <c r="B9942" s="30" t="s">
        <v>23424</v>
      </c>
      <c r="C9942" s="29" t="s">
        <v>26</v>
      </c>
      <c r="D9942" s="31">
        <v>5203.16</v>
      </c>
      <c r="F9942" s="3" t="str">
        <f t="shared" si="155"/>
        <v>I13062</v>
      </c>
    </row>
    <row r="9943" spans="1:6" x14ac:dyDescent="0.2">
      <c r="A9943" s="29" t="s">
        <v>23425</v>
      </c>
      <c r="B9943" s="30" t="s">
        <v>23426</v>
      </c>
      <c r="C9943" s="29" t="s">
        <v>26</v>
      </c>
      <c r="D9943" s="31">
        <v>4477.79</v>
      </c>
      <c r="F9943" s="3" t="str">
        <f t="shared" si="155"/>
        <v>I10681</v>
      </c>
    </row>
    <row r="9944" spans="1:6" x14ac:dyDescent="0.2">
      <c r="A9944" s="29" t="s">
        <v>23427</v>
      </c>
      <c r="B9944" s="30" t="s">
        <v>23428</v>
      </c>
      <c r="C9944" s="29" t="s">
        <v>26</v>
      </c>
      <c r="D9944" s="31">
        <v>5871.58</v>
      </c>
      <c r="F9944" s="3" t="str">
        <f t="shared" si="155"/>
        <v>I13077</v>
      </c>
    </row>
    <row r="9945" spans="1:6" x14ac:dyDescent="0.2">
      <c r="A9945" s="29" t="s">
        <v>23429</v>
      </c>
      <c r="B9945" s="30" t="s">
        <v>23430</v>
      </c>
      <c r="C9945" s="29" t="s">
        <v>26</v>
      </c>
      <c r="D9945" s="31">
        <v>5013.6899999999996</v>
      </c>
      <c r="F9945" s="3" t="str">
        <f t="shared" si="155"/>
        <v>I10696</v>
      </c>
    </row>
    <row r="9946" spans="1:6" x14ac:dyDescent="0.2">
      <c r="A9946" s="29" t="s">
        <v>23431</v>
      </c>
      <c r="B9946" s="30" t="s">
        <v>23432</v>
      </c>
      <c r="C9946" s="29" t="s">
        <v>26</v>
      </c>
      <c r="D9946" s="31">
        <v>7650.86</v>
      </c>
      <c r="F9946" s="3" t="str">
        <f t="shared" si="155"/>
        <v>I13063</v>
      </c>
    </row>
    <row r="9947" spans="1:6" x14ac:dyDescent="0.2">
      <c r="A9947" s="29" t="s">
        <v>23433</v>
      </c>
      <c r="B9947" s="30" t="s">
        <v>23434</v>
      </c>
      <c r="C9947" s="29" t="s">
        <v>26</v>
      </c>
      <c r="D9947" s="31">
        <v>6505.21</v>
      </c>
      <c r="F9947" s="3" t="str">
        <f t="shared" si="155"/>
        <v>I10682</v>
      </c>
    </row>
    <row r="9948" spans="1:6" x14ac:dyDescent="0.2">
      <c r="A9948" s="29" t="s">
        <v>23435</v>
      </c>
      <c r="B9948" s="30" t="s">
        <v>23436</v>
      </c>
      <c r="C9948" s="29" t="s">
        <v>26</v>
      </c>
      <c r="D9948" s="31">
        <v>8303.3700000000008</v>
      </c>
      <c r="F9948" s="3" t="str">
        <f t="shared" si="155"/>
        <v>I13078</v>
      </c>
    </row>
    <row r="9949" spans="1:6" x14ac:dyDescent="0.2">
      <c r="A9949" s="29" t="s">
        <v>23437</v>
      </c>
      <c r="B9949" s="30" t="s">
        <v>23438</v>
      </c>
      <c r="C9949" s="29" t="s">
        <v>26</v>
      </c>
      <c r="D9949" s="31">
        <v>7022.27</v>
      </c>
      <c r="F9949" s="3" t="str">
        <f t="shared" si="155"/>
        <v>I10697</v>
      </c>
    </row>
    <row r="9950" spans="1:6" x14ac:dyDescent="0.2">
      <c r="A9950" s="29" t="s">
        <v>23439</v>
      </c>
      <c r="B9950" s="30" t="s">
        <v>23440</v>
      </c>
      <c r="C9950" s="29" t="s">
        <v>26</v>
      </c>
      <c r="D9950" s="31">
        <v>16998.259999999998</v>
      </c>
      <c r="F9950" s="3" t="str">
        <f t="shared" si="155"/>
        <v>I13064</v>
      </c>
    </row>
    <row r="9951" spans="1:6" x14ac:dyDescent="0.2">
      <c r="A9951" s="29" t="s">
        <v>23441</v>
      </c>
      <c r="B9951" s="30" t="s">
        <v>23442</v>
      </c>
      <c r="C9951" s="29" t="s">
        <v>26</v>
      </c>
      <c r="D9951" s="31">
        <v>17772.849999999999</v>
      </c>
      <c r="F9951" s="3" t="str">
        <f t="shared" si="155"/>
        <v>I10683</v>
      </c>
    </row>
    <row r="9952" spans="1:6" x14ac:dyDescent="0.2">
      <c r="A9952" s="29" t="s">
        <v>23443</v>
      </c>
      <c r="B9952" s="30" t="s">
        <v>23444</v>
      </c>
      <c r="C9952" s="29" t="s">
        <v>26</v>
      </c>
      <c r="D9952" s="31">
        <v>20584.34</v>
      </c>
      <c r="F9952" s="3" t="str">
        <f t="shared" si="155"/>
        <v>I13079</v>
      </c>
    </row>
    <row r="9953" spans="1:6" x14ac:dyDescent="0.2">
      <c r="A9953" s="29" t="s">
        <v>23445</v>
      </c>
      <c r="B9953" s="30" t="s">
        <v>23446</v>
      </c>
      <c r="C9953" s="29" t="s">
        <v>26</v>
      </c>
      <c r="D9953" s="31">
        <v>19732.53</v>
      </c>
      <c r="F9953" s="3" t="str">
        <f t="shared" si="155"/>
        <v>I10698</v>
      </c>
    </row>
    <row r="9954" spans="1:6" x14ac:dyDescent="0.2">
      <c r="A9954" s="29" t="s">
        <v>23447</v>
      </c>
      <c r="B9954" s="30" t="s">
        <v>23448</v>
      </c>
      <c r="C9954" s="29" t="s">
        <v>26</v>
      </c>
      <c r="D9954" s="31">
        <v>26910.87</v>
      </c>
      <c r="F9954" s="3" t="str">
        <f t="shared" si="155"/>
        <v>I13065</v>
      </c>
    </row>
    <row r="9955" spans="1:6" x14ac:dyDescent="0.2">
      <c r="A9955" s="29" t="s">
        <v>23449</v>
      </c>
      <c r="B9955" s="30" t="s">
        <v>23450</v>
      </c>
      <c r="C9955" s="29" t="s">
        <v>26</v>
      </c>
      <c r="D9955" s="31">
        <v>25884.48</v>
      </c>
      <c r="F9955" s="3" t="str">
        <f t="shared" si="155"/>
        <v>I10684</v>
      </c>
    </row>
    <row r="9956" spans="1:6" x14ac:dyDescent="0.2">
      <c r="A9956" s="29" t="s">
        <v>23451</v>
      </c>
      <c r="B9956" s="30" t="s">
        <v>23452</v>
      </c>
      <c r="C9956" s="29" t="s">
        <v>26</v>
      </c>
      <c r="D9956" s="31">
        <v>30477.35</v>
      </c>
      <c r="F9956" s="3" t="str">
        <f t="shared" si="155"/>
        <v>I13080</v>
      </c>
    </row>
    <row r="9957" spans="1:6" x14ac:dyDescent="0.2">
      <c r="A9957" s="29" t="s">
        <v>23453</v>
      </c>
      <c r="B9957" s="30" t="s">
        <v>23454</v>
      </c>
      <c r="C9957" s="29" t="s">
        <v>26</v>
      </c>
      <c r="D9957" s="31">
        <v>29293.48</v>
      </c>
      <c r="F9957" s="3" t="str">
        <f t="shared" si="155"/>
        <v>I10699</v>
      </c>
    </row>
    <row r="9958" spans="1:6" x14ac:dyDescent="0.2">
      <c r="A9958" s="29" t="s">
        <v>23455</v>
      </c>
      <c r="B9958" s="30" t="s">
        <v>23456</v>
      </c>
      <c r="C9958" s="29" t="s">
        <v>26</v>
      </c>
      <c r="D9958" s="31">
        <v>39841.06</v>
      </c>
      <c r="F9958" s="3" t="str">
        <f t="shared" si="155"/>
        <v>I13066</v>
      </c>
    </row>
    <row r="9959" spans="1:6" x14ac:dyDescent="0.2">
      <c r="A9959" s="29" t="s">
        <v>23457</v>
      </c>
      <c r="B9959" s="30" t="s">
        <v>23458</v>
      </c>
      <c r="C9959" s="29" t="s">
        <v>26</v>
      </c>
      <c r="D9959" s="31">
        <v>38103.06</v>
      </c>
      <c r="F9959" s="3" t="str">
        <f t="shared" si="155"/>
        <v>I10685</v>
      </c>
    </row>
    <row r="9960" spans="1:6" x14ac:dyDescent="0.2">
      <c r="A9960" s="29" t="s">
        <v>23459</v>
      </c>
      <c r="B9960" s="30" t="s">
        <v>23460</v>
      </c>
      <c r="C9960" s="29" t="s">
        <v>26</v>
      </c>
      <c r="D9960" s="31">
        <v>38413.39</v>
      </c>
      <c r="F9960" s="3" t="str">
        <f t="shared" si="155"/>
        <v>I13081</v>
      </c>
    </row>
    <row r="9961" spans="1:6" x14ac:dyDescent="0.2">
      <c r="A9961" s="29" t="s">
        <v>23461</v>
      </c>
      <c r="B9961" s="30" t="s">
        <v>23462</v>
      </c>
      <c r="C9961" s="29" t="s">
        <v>26</v>
      </c>
      <c r="D9961" s="31">
        <v>36747.22</v>
      </c>
      <c r="F9961" s="3" t="str">
        <f t="shared" si="155"/>
        <v>I10700</v>
      </c>
    </row>
    <row r="9962" spans="1:6" x14ac:dyDescent="0.2">
      <c r="A9962" s="29" t="s">
        <v>23463</v>
      </c>
      <c r="B9962" s="30" t="s">
        <v>23464</v>
      </c>
      <c r="C9962" s="29" t="s">
        <v>26</v>
      </c>
      <c r="D9962" s="31">
        <v>39321.54</v>
      </c>
      <c r="F9962" s="3" t="str">
        <f t="shared" si="155"/>
        <v>I13067</v>
      </c>
    </row>
    <row r="9963" spans="1:6" x14ac:dyDescent="0.2">
      <c r="A9963" s="29" t="s">
        <v>23465</v>
      </c>
      <c r="B9963" s="30" t="s">
        <v>23466</v>
      </c>
      <c r="C9963" s="29" t="s">
        <v>26</v>
      </c>
      <c r="D9963" s="31">
        <v>37586.089999999997</v>
      </c>
      <c r="F9963" s="3" t="str">
        <f t="shared" si="155"/>
        <v>I10686</v>
      </c>
    </row>
    <row r="9964" spans="1:6" x14ac:dyDescent="0.2">
      <c r="A9964" s="29" t="s">
        <v>23467</v>
      </c>
      <c r="B9964" s="30" t="s">
        <v>23468</v>
      </c>
      <c r="C9964" s="29" t="s">
        <v>26</v>
      </c>
      <c r="D9964" s="31">
        <v>44901.27</v>
      </c>
      <c r="F9964" s="3" t="str">
        <f t="shared" si="155"/>
        <v>I13082</v>
      </c>
    </row>
    <row r="9965" spans="1:6" x14ac:dyDescent="0.2">
      <c r="A9965" s="29" t="s">
        <v>23469</v>
      </c>
      <c r="B9965" s="30" t="s">
        <v>23470</v>
      </c>
      <c r="C9965" s="29" t="s">
        <v>26</v>
      </c>
      <c r="D9965" s="31">
        <v>42845.35</v>
      </c>
      <c r="F9965" s="3" t="str">
        <f t="shared" si="155"/>
        <v>I10701</v>
      </c>
    </row>
    <row r="9966" spans="1:6" x14ac:dyDescent="0.2">
      <c r="A9966" s="29" t="s">
        <v>23471</v>
      </c>
      <c r="B9966" s="30" t="s">
        <v>23472</v>
      </c>
      <c r="C9966" s="29" t="s">
        <v>26</v>
      </c>
      <c r="D9966" s="31">
        <v>51725.27</v>
      </c>
      <c r="F9966" s="3" t="str">
        <f t="shared" si="155"/>
        <v>I13068</v>
      </c>
    </row>
    <row r="9967" spans="1:6" x14ac:dyDescent="0.2">
      <c r="A9967" s="29" t="s">
        <v>23473</v>
      </c>
      <c r="B9967" s="30" t="s">
        <v>23474</v>
      </c>
      <c r="C9967" s="29" t="s">
        <v>26</v>
      </c>
      <c r="D9967" s="31">
        <v>49483.66</v>
      </c>
      <c r="F9967" s="3" t="str">
        <f t="shared" si="155"/>
        <v>I10687</v>
      </c>
    </row>
    <row r="9968" spans="1:6" x14ac:dyDescent="0.2">
      <c r="A9968" s="29" t="s">
        <v>23475</v>
      </c>
      <c r="B9968" s="30" t="s">
        <v>23476</v>
      </c>
      <c r="C9968" s="29" t="s">
        <v>26</v>
      </c>
      <c r="D9968" s="31">
        <v>60005.599999999999</v>
      </c>
      <c r="F9968" s="3" t="str">
        <f t="shared" si="155"/>
        <v>I13083</v>
      </c>
    </row>
    <row r="9969" spans="1:6" x14ac:dyDescent="0.2">
      <c r="A9969" s="29" t="s">
        <v>23477</v>
      </c>
      <c r="B9969" s="30" t="s">
        <v>23478</v>
      </c>
      <c r="C9969" s="29" t="s">
        <v>26</v>
      </c>
      <c r="D9969" s="31">
        <v>57333.36</v>
      </c>
      <c r="F9969" s="3" t="str">
        <f t="shared" si="155"/>
        <v>I10702</v>
      </c>
    </row>
    <row r="9970" spans="1:6" x14ac:dyDescent="0.2">
      <c r="A9970" s="29" t="s">
        <v>23479</v>
      </c>
      <c r="B9970" s="30" t="s">
        <v>23480</v>
      </c>
      <c r="C9970" s="29" t="s">
        <v>26</v>
      </c>
      <c r="D9970" s="31">
        <v>347.28</v>
      </c>
      <c r="F9970" s="3" t="str">
        <f t="shared" si="155"/>
        <v>I3407</v>
      </c>
    </row>
    <row r="9971" spans="1:6" x14ac:dyDescent="0.2">
      <c r="A9971" s="29" t="s">
        <v>23481</v>
      </c>
      <c r="B9971" s="30" t="s">
        <v>23482</v>
      </c>
      <c r="C9971" s="29" t="s">
        <v>26</v>
      </c>
      <c r="D9971" s="31">
        <v>347.28</v>
      </c>
      <c r="F9971" s="3" t="str">
        <f t="shared" si="155"/>
        <v>I7118</v>
      </c>
    </row>
    <row r="9972" spans="1:6" x14ac:dyDescent="0.2">
      <c r="A9972" s="29" t="s">
        <v>23483</v>
      </c>
      <c r="B9972" s="30" t="s">
        <v>23484</v>
      </c>
      <c r="C9972" s="29" t="s">
        <v>26</v>
      </c>
      <c r="D9972" s="31">
        <v>493.78</v>
      </c>
      <c r="F9972" s="3" t="str">
        <f t="shared" si="155"/>
        <v>I3408</v>
      </c>
    </row>
    <row r="9973" spans="1:6" x14ac:dyDescent="0.2">
      <c r="A9973" s="29" t="s">
        <v>23485</v>
      </c>
      <c r="B9973" s="30" t="s">
        <v>23486</v>
      </c>
      <c r="C9973" s="29" t="s">
        <v>26</v>
      </c>
      <c r="D9973" s="31">
        <v>667.39</v>
      </c>
      <c r="F9973" s="3" t="str">
        <f t="shared" si="155"/>
        <v>I3409</v>
      </c>
    </row>
    <row r="9974" spans="1:6" x14ac:dyDescent="0.2">
      <c r="A9974" s="29" t="s">
        <v>23487</v>
      </c>
      <c r="B9974" s="30" t="s">
        <v>23488</v>
      </c>
      <c r="C9974" s="29" t="s">
        <v>26</v>
      </c>
      <c r="D9974" s="31">
        <v>892.68</v>
      </c>
      <c r="F9974" s="3" t="str">
        <f t="shared" si="155"/>
        <v>I3410</v>
      </c>
    </row>
    <row r="9975" spans="1:6" x14ac:dyDescent="0.2">
      <c r="A9975" s="29" t="s">
        <v>23489</v>
      </c>
      <c r="B9975" s="30" t="s">
        <v>23490</v>
      </c>
      <c r="C9975" s="29" t="s">
        <v>26</v>
      </c>
      <c r="D9975" s="31">
        <v>2761</v>
      </c>
      <c r="F9975" s="3" t="str">
        <f t="shared" si="155"/>
        <v>I3411</v>
      </c>
    </row>
    <row r="9976" spans="1:6" x14ac:dyDescent="0.2">
      <c r="A9976" s="29" t="s">
        <v>23491</v>
      </c>
      <c r="B9976" s="30" t="s">
        <v>23492</v>
      </c>
      <c r="C9976" s="29" t="s">
        <v>26</v>
      </c>
      <c r="D9976" s="31">
        <v>3314.82</v>
      </c>
      <c r="F9976" s="3" t="str">
        <f t="shared" si="155"/>
        <v>I3412</v>
      </c>
    </row>
    <row r="9977" spans="1:6" x14ac:dyDescent="0.2">
      <c r="A9977" s="29" t="s">
        <v>23493</v>
      </c>
      <c r="B9977" s="30" t="s">
        <v>23494</v>
      </c>
      <c r="C9977" s="29" t="s">
        <v>26</v>
      </c>
      <c r="D9977" s="31">
        <v>4361.74</v>
      </c>
      <c r="F9977" s="3" t="str">
        <f t="shared" si="155"/>
        <v>I3413</v>
      </c>
    </row>
    <row r="9978" spans="1:6" x14ac:dyDescent="0.2">
      <c r="A9978" s="29" t="s">
        <v>23495</v>
      </c>
      <c r="B9978" s="30" t="s">
        <v>23496</v>
      </c>
      <c r="C9978" s="29" t="s">
        <v>26</v>
      </c>
      <c r="D9978" s="31">
        <v>4279.71</v>
      </c>
      <c r="F9978" s="3" t="str">
        <f t="shared" si="155"/>
        <v>I3414</v>
      </c>
    </row>
    <row r="9979" spans="1:6" x14ac:dyDescent="0.2">
      <c r="A9979" s="29" t="s">
        <v>23497</v>
      </c>
      <c r="B9979" s="30" t="s">
        <v>23498</v>
      </c>
      <c r="C9979" s="29" t="s">
        <v>26</v>
      </c>
      <c r="D9979" s="31">
        <v>5959.04</v>
      </c>
      <c r="F9979" s="3" t="str">
        <f t="shared" si="155"/>
        <v>I3415</v>
      </c>
    </row>
    <row r="9980" spans="1:6" x14ac:dyDescent="0.2">
      <c r="A9980" s="29" t="s">
        <v>23499</v>
      </c>
      <c r="B9980" s="30" t="s">
        <v>23500</v>
      </c>
      <c r="C9980" s="29" t="s">
        <v>26</v>
      </c>
      <c r="D9980" s="31">
        <v>15705.79</v>
      </c>
      <c r="F9980" s="3" t="str">
        <f t="shared" si="155"/>
        <v>I3416</v>
      </c>
    </row>
    <row r="9981" spans="1:6" x14ac:dyDescent="0.2">
      <c r="A9981" s="29" t="s">
        <v>23501</v>
      </c>
      <c r="B9981" s="30" t="s">
        <v>23502</v>
      </c>
      <c r="C9981" s="29" t="s">
        <v>26</v>
      </c>
      <c r="D9981" s="31">
        <v>25115.200000000001</v>
      </c>
      <c r="F9981" s="3" t="str">
        <f t="shared" si="155"/>
        <v>I3417</v>
      </c>
    </row>
    <row r="9982" spans="1:6" x14ac:dyDescent="0.2">
      <c r="A9982" s="29" t="s">
        <v>23503</v>
      </c>
      <c r="B9982" s="30" t="s">
        <v>23504</v>
      </c>
      <c r="C9982" s="29" t="s">
        <v>26</v>
      </c>
      <c r="D9982" s="31">
        <v>33909.839999999997</v>
      </c>
      <c r="F9982" s="3" t="str">
        <f t="shared" si="155"/>
        <v>I3418</v>
      </c>
    </row>
    <row r="9983" spans="1:6" x14ac:dyDescent="0.2">
      <c r="A9983" s="29" t="s">
        <v>23505</v>
      </c>
      <c r="B9983" s="30" t="s">
        <v>23506</v>
      </c>
      <c r="C9983" s="29" t="s">
        <v>26</v>
      </c>
      <c r="D9983" s="31">
        <v>36137.629999999997</v>
      </c>
      <c r="F9983" s="3" t="str">
        <f t="shared" si="155"/>
        <v>I3419</v>
      </c>
    </row>
    <row r="9984" spans="1:6" x14ac:dyDescent="0.2">
      <c r="A9984" s="29" t="s">
        <v>23507</v>
      </c>
      <c r="B9984" s="30" t="s">
        <v>23508</v>
      </c>
      <c r="C9984" s="29" t="s">
        <v>26</v>
      </c>
      <c r="D9984" s="31">
        <v>47616.59</v>
      </c>
      <c r="F9984" s="3" t="str">
        <f t="shared" si="155"/>
        <v>I3420</v>
      </c>
    </row>
    <row r="9985" spans="1:6" x14ac:dyDescent="0.2">
      <c r="A9985" s="29" t="s">
        <v>23509</v>
      </c>
      <c r="B9985" s="30" t="s">
        <v>23510</v>
      </c>
      <c r="C9985" s="29" t="s">
        <v>26</v>
      </c>
      <c r="D9985" s="31">
        <v>64046.7</v>
      </c>
      <c r="F9985" s="3" t="str">
        <f t="shared" si="155"/>
        <v>I3421</v>
      </c>
    </row>
    <row r="9986" spans="1:6" x14ac:dyDescent="0.2">
      <c r="A9986" s="29" t="s">
        <v>23511</v>
      </c>
      <c r="B9986" s="30" t="s">
        <v>23512</v>
      </c>
      <c r="C9986" s="29" t="s">
        <v>26</v>
      </c>
      <c r="D9986" s="31">
        <v>83308.289999999994</v>
      </c>
      <c r="F9986" s="3" t="str">
        <f t="shared" ref="F9986:F10049" si="156">A9986</f>
        <v>I3422</v>
      </c>
    </row>
    <row r="9987" spans="1:6" x14ac:dyDescent="0.2">
      <c r="A9987" s="29" t="s">
        <v>23513</v>
      </c>
      <c r="B9987" s="30" t="s">
        <v>23514</v>
      </c>
      <c r="C9987" s="29" t="s">
        <v>26</v>
      </c>
      <c r="D9987" s="31">
        <v>6413.34</v>
      </c>
      <c r="F9987" s="3" t="str">
        <f t="shared" si="156"/>
        <v>I9313</v>
      </c>
    </row>
    <row r="9988" spans="1:6" x14ac:dyDescent="0.2">
      <c r="A9988" s="29" t="s">
        <v>23515</v>
      </c>
      <c r="B9988" s="30" t="s">
        <v>23516</v>
      </c>
      <c r="C9988" s="29" t="s">
        <v>26</v>
      </c>
      <c r="D9988" s="31">
        <v>8083.15</v>
      </c>
      <c r="F9988" s="3" t="str">
        <f t="shared" si="156"/>
        <v>I9314</v>
      </c>
    </row>
    <row r="9989" spans="1:6" x14ac:dyDescent="0.2">
      <c r="A9989" s="29" t="s">
        <v>23517</v>
      </c>
      <c r="B9989" s="30" t="s">
        <v>23518</v>
      </c>
      <c r="C9989" s="29" t="s">
        <v>26</v>
      </c>
      <c r="D9989" s="31">
        <v>9997.58</v>
      </c>
      <c r="F9989" s="3" t="str">
        <f t="shared" si="156"/>
        <v>I9315</v>
      </c>
    </row>
    <row r="9990" spans="1:6" x14ac:dyDescent="0.2">
      <c r="A9990" s="29" t="s">
        <v>23519</v>
      </c>
      <c r="B9990" s="30" t="s">
        <v>23520</v>
      </c>
      <c r="C9990" s="29" t="s">
        <v>26</v>
      </c>
      <c r="D9990" s="31">
        <v>12792.49</v>
      </c>
      <c r="F9990" s="3" t="str">
        <f t="shared" si="156"/>
        <v>I9316</v>
      </c>
    </row>
    <row r="9991" spans="1:6" x14ac:dyDescent="0.2">
      <c r="A9991" s="29" t="s">
        <v>23521</v>
      </c>
      <c r="B9991" s="30" t="s">
        <v>23522</v>
      </c>
      <c r="C9991" s="29" t="s">
        <v>26</v>
      </c>
      <c r="D9991" s="31">
        <v>28483.7</v>
      </c>
      <c r="F9991" s="3" t="str">
        <f t="shared" si="156"/>
        <v>I9317</v>
      </c>
    </row>
    <row r="9992" spans="1:6" x14ac:dyDescent="0.2">
      <c r="A9992" s="29" t="s">
        <v>23523</v>
      </c>
      <c r="B9992" s="30" t="s">
        <v>23524</v>
      </c>
      <c r="C9992" s="29" t="s">
        <v>26</v>
      </c>
      <c r="D9992" s="31">
        <v>51793.35</v>
      </c>
      <c r="F9992" s="3" t="str">
        <f t="shared" si="156"/>
        <v>I9318</v>
      </c>
    </row>
    <row r="9993" spans="1:6" x14ac:dyDescent="0.2">
      <c r="A9993" s="29" t="s">
        <v>23525</v>
      </c>
      <c r="B9993" s="30" t="s">
        <v>23526</v>
      </c>
      <c r="C9993" s="29" t="s">
        <v>26</v>
      </c>
      <c r="D9993" s="31">
        <v>59025.82</v>
      </c>
      <c r="F9993" s="3" t="str">
        <f t="shared" si="156"/>
        <v>I9319</v>
      </c>
    </row>
    <row r="9994" spans="1:6" x14ac:dyDescent="0.2">
      <c r="A9994" s="29" t="s">
        <v>23527</v>
      </c>
      <c r="B9994" s="30" t="s">
        <v>23528</v>
      </c>
      <c r="C9994" s="29" t="s">
        <v>26</v>
      </c>
      <c r="D9994" s="31">
        <v>76051.350000000006</v>
      </c>
      <c r="F9994" s="3" t="str">
        <f t="shared" si="156"/>
        <v>I9320</v>
      </c>
    </row>
    <row r="9995" spans="1:6" x14ac:dyDescent="0.2">
      <c r="A9995" s="29" t="s">
        <v>23529</v>
      </c>
      <c r="B9995" s="30" t="s">
        <v>23530</v>
      </c>
      <c r="C9995" s="29" t="s">
        <v>26</v>
      </c>
      <c r="D9995" s="31">
        <v>93076.89</v>
      </c>
      <c r="F9995" s="3" t="str">
        <f t="shared" si="156"/>
        <v>I9321</v>
      </c>
    </row>
    <row r="9996" spans="1:6" x14ac:dyDescent="0.2">
      <c r="A9996" s="29" t="s">
        <v>23531</v>
      </c>
      <c r="B9996" s="30" t="s">
        <v>23532</v>
      </c>
      <c r="C9996" s="29" t="s">
        <v>26</v>
      </c>
      <c r="D9996" s="31">
        <v>123077.87</v>
      </c>
      <c r="F9996" s="3" t="str">
        <f t="shared" si="156"/>
        <v>I9322</v>
      </c>
    </row>
    <row r="9997" spans="1:6" x14ac:dyDescent="0.2">
      <c r="A9997" s="29" t="s">
        <v>23533</v>
      </c>
      <c r="B9997" s="30" t="s">
        <v>23534</v>
      </c>
      <c r="C9997" s="29" t="s">
        <v>26</v>
      </c>
      <c r="D9997" s="31">
        <v>15416.48</v>
      </c>
      <c r="F9997" s="3" t="str">
        <f t="shared" si="156"/>
        <v>I13086</v>
      </c>
    </row>
    <row r="9998" spans="1:6" x14ac:dyDescent="0.2">
      <c r="A9998" s="29" t="s">
        <v>23535</v>
      </c>
      <c r="B9998" s="30" t="s">
        <v>23536</v>
      </c>
      <c r="C9998" s="29" t="s">
        <v>26</v>
      </c>
      <c r="D9998" s="31">
        <v>5830.31</v>
      </c>
      <c r="F9998" s="3" t="str">
        <f t="shared" si="156"/>
        <v>I7648</v>
      </c>
    </row>
    <row r="9999" spans="1:6" x14ac:dyDescent="0.2">
      <c r="A9999" s="29" t="s">
        <v>23537</v>
      </c>
      <c r="B9999" s="30" t="s">
        <v>23538</v>
      </c>
      <c r="C9999" s="29" t="s">
        <v>26</v>
      </c>
      <c r="D9999" s="31">
        <v>7348.31</v>
      </c>
      <c r="F9999" s="3" t="str">
        <f t="shared" si="156"/>
        <v>I7649</v>
      </c>
    </row>
    <row r="10000" spans="1:6" x14ac:dyDescent="0.2">
      <c r="A10000" s="29" t="s">
        <v>23539</v>
      </c>
      <c r="B10000" s="30" t="s">
        <v>23540</v>
      </c>
      <c r="C10000" s="29" t="s">
        <v>26</v>
      </c>
      <c r="D10000" s="31">
        <v>9088.7099999999991</v>
      </c>
      <c r="F10000" s="3" t="str">
        <f t="shared" si="156"/>
        <v>I7650</v>
      </c>
    </row>
    <row r="10001" spans="1:6" x14ac:dyDescent="0.2">
      <c r="A10001" s="29" t="s">
        <v>23541</v>
      </c>
      <c r="B10001" s="30" t="s">
        <v>23542</v>
      </c>
      <c r="C10001" s="29" t="s">
        <v>26</v>
      </c>
      <c r="D10001" s="31">
        <v>14014.98</v>
      </c>
      <c r="F10001" s="3" t="str">
        <f t="shared" si="156"/>
        <v>I10705</v>
      </c>
    </row>
    <row r="10002" spans="1:6" x14ac:dyDescent="0.2">
      <c r="A10002" s="29" t="s">
        <v>23543</v>
      </c>
      <c r="B10002" s="30" t="s">
        <v>23544</v>
      </c>
      <c r="C10002" s="29" t="s">
        <v>26</v>
      </c>
      <c r="D10002" s="31">
        <v>12792.49</v>
      </c>
      <c r="F10002" s="3" t="str">
        <f t="shared" si="156"/>
        <v>I7651</v>
      </c>
    </row>
    <row r="10003" spans="1:6" x14ac:dyDescent="0.2">
      <c r="A10003" s="29" t="s">
        <v>23545</v>
      </c>
      <c r="B10003" s="30" t="s">
        <v>23546</v>
      </c>
      <c r="C10003" s="29" t="s">
        <v>26</v>
      </c>
      <c r="D10003" s="31">
        <v>28483.7</v>
      </c>
      <c r="F10003" s="3" t="str">
        <f t="shared" si="156"/>
        <v>I7652</v>
      </c>
    </row>
    <row r="10004" spans="1:6" x14ac:dyDescent="0.2">
      <c r="A10004" s="29" t="s">
        <v>23547</v>
      </c>
      <c r="B10004" s="30" t="s">
        <v>23548</v>
      </c>
      <c r="C10004" s="29" t="s">
        <v>26</v>
      </c>
      <c r="D10004" s="31">
        <v>51793.35</v>
      </c>
      <c r="F10004" s="3" t="str">
        <f t="shared" si="156"/>
        <v>I7653</v>
      </c>
    </row>
    <row r="10005" spans="1:6" x14ac:dyDescent="0.2">
      <c r="A10005" s="29" t="s">
        <v>23549</v>
      </c>
      <c r="B10005" s="30" t="s">
        <v>23550</v>
      </c>
      <c r="C10005" s="29" t="s">
        <v>26</v>
      </c>
      <c r="D10005" s="31">
        <v>59025.82</v>
      </c>
      <c r="F10005" s="3" t="str">
        <f t="shared" si="156"/>
        <v>I7654</v>
      </c>
    </row>
    <row r="10006" spans="1:6" x14ac:dyDescent="0.2">
      <c r="A10006" s="29" t="s">
        <v>23551</v>
      </c>
      <c r="B10006" s="30" t="s">
        <v>23552</v>
      </c>
      <c r="C10006" s="29" t="s">
        <v>26</v>
      </c>
      <c r="D10006" s="31">
        <v>76051.350000000006</v>
      </c>
      <c r="F10006" s="3" t="str">
        <f t="shared" si="156"/>
        <v>I7655</v>
      </c>
    </row>
    <row r="10007" spans="1:6" x14ac:dyDescent="0.2">
      <c r="A10007" s="29" t="s">
        <v>23553</v>
      </c>
      <c r="B10007" s="30" t="s">
        <v>23554</v>
      </c>
      <c r="C10007" s="29" t="s">
        <v>26</v>
      </c>
      <c r="D10007" s="31">
        <v>93076.89</v>
      </c>
      <c r="F10007" s="3" t="str">
        <f t="shared" si="156"/>
        <v>I7656</v>
      </c>
    </row>
    <row r="10008" spans="1:6" x14ac:dyDescent="0.2">
      <c r="A10008" s="29" t="s">
        <v>23555</v>
      </c>
      <c r="B10008" s="30" t="s">
        <v>23556</v>
      </c>
      <c r="C10008" s="29" t="s">
        <v>26</v>
      </c>
      <c r="D10008" s="31">
        <v>123077.87</v>
      </c>
      <c r="F10008" s="3" t="str">
        <f t="shared" si="156"/>
        <v>I7657</v>
      </c>
    </row>
    <row r="10009" spans="1:6" x14ac:dyDescent="0.2">
      <c r="A10009" s="29" t="s">
        <v>23557</v>
      </c>
      <c r="B10009" s="30" t="s">
        <v>23558</v>
      </c>
      <c r="C10009" s="29" t="s">
        <v>26</v>
      </c>
      <c r="D10009" s="31">
        <v>917.25</v>
      </c>
      <c r="F10009" s="3" t="str">
        <f t="shared" si="156"/>
        <v>I13088</v>
      </c>
    </row>
    <row r="10010" spans="1:6" x14ac:dyDescent="0.2">
      <c r="A10010" s="29" t="s">
        <v>23559</v>
      </c>
      <c r="B10010" s="30" t="s">
        <v>23560</v>
      </c>
      <c r="C10010" s="29" t="s">
        <v>26</v>
      </c>
      <c r="D10010" s="31">
        <v>1720.84</v>
      </c>
      <c r="F10010" s="3" t="str">
        <f t="shared" si="156"/>
        <v>I13089</v>
      </c>
    </row>
    <row r="10011" spans="1:6" x14ac:dyDescent="0.2">
      <c r="A10011" s="29" t="s">
        <v>23561</v>
      </c>
      <c r="B10011" s="30" t="s">
        <v>23562</v>
      </c>
      <c r="C10011" s="29" t="s">
        <v>26</v>
      </c>
      <c r="D10011" s="31">
        <v>2793.32</v>
      </c>
      <c r="F10011" s="3" t="str">
        <f t="shared" si="156"/>
        <v>I13090</v>
      </c>
    </row>
    <row r="10012" spans="1:6" x14ac:dyDescent="0.2">
      <c r="A10012" s="29" t="s">
        <v>23563</v>
      </c>
      <c r="B10012" s="30" t="s">
        <v>23564</v>
      </c>
      <c r="C10012" s="29" t="s">
        <v>26</v>
      </c>
      <c r="D10012" s="31">
        <v>2915.97</v>
      </c>
      <c r="F10012" s="3" t="str">
        <f t="shared" si="156"/>
        <v>I13091</v>
      </c>
    </row>
    <row r="10013" spans="1:6" x14ac:dyDescent="0.2">
      <c r="A10013" s="29" t="s">
        <v>23565</v>
      </c>
      <c r="B10013" s="30" t="s">
        <v>23566</v>
      </c>
      <c r="C10013" s="29" t="s">
        <v>26</v>
      </c>
      <c r="D10013" s="31">
        <v>4580.08</v>
      </c>
      <c r="F10013" s="3" t="str">
        <f t="shared" si="156"/>
        <v>I13092</v>
      </c>
    </row>
    <row r="10014" spans="1:6" x14ac:dyDescent="0.2">
      <c r="A10014" s="29" t="s">
        <v>23567</v>
      </c>
      <c r="B10014" s="30" t="s">
        <v>23568</v>
      </c>
      <c r="C10014" s="29" t="s">
        <v>26</v>
      </c>
      <c r="D10014" s="31">
        <v>772.66</v>
      </c>
      <c r="F10014" s="3" t="str">
        <f t="shared" si="156"/>
        <v>I13087</v>
      </c>
    </row>
    <row r="10015" spans="1:6" x14ac:dyDescent="0.2">
      <c r="A10015" s="29" t="s">
        <v>23569</v>
      </c>
      <c r="B10015" s="30" t="s">
        <v>23570</v>
      </c>
      <c r="C10015" s="29" t="s">
        <v>26</v>
      </c>
      <c r="D10015" s="31">
        <v>262.62</v>
      </c>
      <c r="F10015" s="3" t="str">
        <f t="shared" si="156"/>
        <v>I9323</v>
      </c>
    </row>
    <row r="10016" spans="1:6" x14ac:dyDescent="0.2">
      <c r="A10016" s="29" t="s">
        <v>23571</v>
      </c>
      <c r="B10016" s="30" t="s">
        <v>23572</v>
      </c>
      <c r="C10016" s="29" t="s">
        <v>26</v>
      </c>
      <c r="D10016" s="31">
        <v>354.95</v>
      </c>
      <c r="F10016" s="3" t="str">
        <f t="shared" si="156"/>
        <v>I9324</v>
      </c>
    </row>
    <row r="10017" spans="1:6" x14ac:dyDescent="0.2">
      <c r="A10017" s="29" t="s">
        <v>23573</v>
      </c>
      <c r="B10017" s="30" t="s">
        <v>23574</v>
      </c>
      <c r="C10017" s="29" t="s">
        <v>26</v>
      </c>
      <c r="D10017" s="31">
        <v>354.95</v>
      </c>
      <c r="F10017" s="3" t="str">
        <f t="shared" si="156"/>
        <v>I9325</v>
      </c>
    </row>
    <row r="10018" spans="1:6" x14ac:dyDescent="0.2">
      <c r="A10018" s="29" t="s">
        <v>23575</v>
      </c>
      <c r="B10018" s="30" t="s">
        <v>23576</v>
      </c>
      <c r="C10018" s="29" t="s">
        <v>26</v>
      </c>
      <c r="D10018" s="31">
        <v>486.15</v>
      </c>
      <c r="F10018" s="3" t="str">
        <f t="shared" si="156"/>
        <v>I9326</v>
      </c>
    </row>
    <row r="10019" spans="1:6" x14ac:dyDescent="0.2">
      <c r="A10019" s="29" t="s">
        <v>23577</v>
      </c>
      <c r="B10019" s="30" t="s">
        <v>23578</v>
      </c>
      <c r="C10019" s="29" t="s">
        <v>26</v>
      </c>
      <c r="D10019" s="31">
        <v>780.04</v>
      </c>
      <c r="F10019" s="3" t="str">
        <f t="shared" si="156"/>
        <v>I9327</v>
      </c>
    </row>
    <row r="10020" spans="1:6" x14ac:dyDescent="0.2">
      <c r="A10020" s="29" t="s">
        <v>23579</v>
      </c>
      <c r="B10020" s="30" t="s">
        <v>23580</v>
      </c>
      <c r="C10020" s="29" t="s">
        <v>26</v>
      </c>
      <c r="D10020" s="31">
        <v>1152.96</v>
      </c>
      <c r="F10020" s="3" t="str">
        <f t="shared" si="156"/>
        <v>I9328</v>
      </c>
    </row>
    <row r="10021" spans="1:6" x14ac:dyDescent="0.2">
      <c r="A10021" s="29" t="s">
        <v>23581</v>
      </c>
      <c r="B10021" s="30" t="s">
        <v>23582</v>
      </c>
      <c r="C10021" s="29" t="s">
        <v>26</v>
      </c>
      <c r="D10021" s="31">
        <v>1973.24</v>
      </c>
      <c r="F10021" s="3" t="str">
        <f t="shared" si="156"/>
        <v>I9329</v>
      </c>
    </row>
    <row r="10022" spans="1:6" x14ac:dyDescent="0.2">
      <c r="A10022" s="29" t="s">
        <v>23583</v>
      </c>
      <c r="B10022" s="30" t="s">
        <v>23584</v>
      </c>
      <c r="C10022" s="29" t="s">
        <v>26</v>
      </c>
      <c r="D10022" s="31">
        <v>2855.78</v>
      </c>
      <c r="F10022" s="3" t="str">
        <f t="shared" si="156"/>
        <v>I9330</v>
      </c>
    </row>
    <row r="10023" spans="1:6" x14ac:dyDescent="0.2">
      <c r="A10023" s="29" t="s">
        <v>23585</v>
      </c>
      <c r="B10023" s="30" t="s">
        <v>23586</v>
      </c>
      <c r="C10023" s="29" t="s">
        <v>26</v>
      </c>
      <c r="D10023" s="31">
        <v>4380.5600000000004</v>
      </c>
      <c r="F10023" s="3" t="str">
        <f t="shared" si="156"/>
        <v>I9331</v>
      </c>
    </row>
    <row r="10024" spans="1:6" x14ac:dyDescent="0.2">
      <c r="A10024" s="29" t="s">
        <v>23587</v>
      </c>
      <c r="B10024" s="30" t="s">
        <v>23588</v>
      </c>
      <c r="C10024" s="29" t="s">
        <v>26</v>
      </c>
      <c r="D10024" s="31">
        <v>13969.88</v>
      </c>
      <c r="F10024" s="3" t="str">
        <f t="shared" si="156"/>
        <v>I9332</v>
      </c>
    </row>
    <row r="10025" spans="1:6" x14ac:dyDescent="0.2">
      <c r="A10025" s="29" t="s">
        <v>23589</v>
      </c>
      <c r="B10025" s="30" t="s">
        <v>23590</v>
      </c>
      <c r="C10025" s="29" t="s">
        <v>26</v>
      </c>
      <c r="D10025" s="31">
        <v>17819.03</v>
      </c>
      <c r="F10025" s="3" t="str">
        <f t="shared" si="156"/>
        <v>I9333</v>
      </c>
    </row>
    <row r="10026" spans="1:6" x14ac:dyDescent="0.2">
      <c r="A10026" s="29" t="s">
        <v>23591</v>
      </c>
      <c r="B10026" s="30" t="s">
        <v>23592</v>
      </c>
      <c r="C10026" s="29" t="s">
        <v>26</v>
      </c>
      <c r="D10026" s="31">
        <v>19519.53</v>
      </c>
      <c r="F10026" s="3" t="str">
        <f t="shared" si="156"/>
        <v>I9334</v>
      </c>
    </row>
    <row r="10027" spans="1:6" x14ac:dyDescent="0.2">
      <c r="A10027" s="29" t="s">
        <v>23593</v>
      </c>
      <c r="B10027" s="30" t="s">
        <v>23594</v>
      </c>
      <c r="C10027" s="29" t="s">
        <v>26</v>
      </c>
      <c r="D10027" s="31">
        <v>31362.240000000002</v>
      </c>
      <c r="F10027" s="3" t="str">
        <f t="shared" si="156"/>
        <v>I9335</v>
      </c>
    </row>
    <row r="10028" spans="1:6" x14ac:dyDescent="0.2">
      <c r="A10028" s="29" t="s">
        <v>23595</v>
      </c>
      <c r="B10028" s="30" t="s">
        <v>23596</v>
      </c>
      <c r="C10028" s="29" t="s">
        <v>26</v>
      </c>
      <c r="D10028" s="31">
        <v>43845.26</v>
      </c>
      <c r="F10028" s="3" t="str">
        <f t="shared" si="156"/>
        <v>I9336</v>
      </c>
    </row>
    <row r="10029" spans="1:6" x14ac:dyDescent="0.2">
      <c r="A10029" s="29" t="s">
        <v>23597</v>
      </c>
      <c r="B10029" s="30" t="s">
        <v>23598</v>
      </c>
      <c r="C10029" s="29" t="s">
        <v>26</v>
      </c>
      <c r="D10029" s="31">
        <v>52157.7</v>
      </c>
      <c r="F10029" s="3" t="str">
        <f t="shared" si="156"/>
        <v>I9337</v>
      </c>
    </row>
    <row r="10030" spans="1:6" x14ac:dyDescent="0.2">
      <c r="A10030" s="29" t="s">
        <v>23599</v>
      </c>
      <c r="B10030" s="30" t="s">
        <v>23600</v>
      </c>
      <c r="C10030" s="29" t="s">
        <v>26</v>
      </c>
      <c r="D10030" s="31">
        <v>68441.429999999993</v>
      </c>
      <c r="F10030" s="3" t="str">
        <f t="shared" si="156"/>
        <v>I9338</v>
      </c>
    </row>
    <row r="10031" spans="1:6" x14ac:dyDescent="0.2">
      <c r="A10031" s="29" t="s">
        <v>23601</v>
      </c>
      <c r="B10031" s="30" t="s">
        <v>23602</v>
      </c>
      <c r="C10031" s="29" t="s">
        <v>26</v>
      </c>
      <c r="D10031" s="31">
        <v>575.55999999999995</v>
      </c>
      <c r="F10031" s="3" t="str">
        <f t="shared" si="156"/>
        <v>I13106</v>
      </c>
    </row>
    <row r="10032" spans="1:6" x14ac:dyDescent="0.2">
      <c r="A10032" s="29" t="s">
        <v>23603</v>
      </c>
      <c r="B10032" s="30" t="s">
        <v>23604</v>
      </c>
      <c r="C10032" s="29" t="s">
        <v>26</v>
      </c>
      <c r="D10032" s="31">
        <v>482.54</v>
      </c>
      <c r="F10032" s="3" t="str">
        <f t="shared" si="156"/>
        <v>I10719</v>
      </c>
    </row>
    <row r="10033" spans="1:6" x14ac:dyDescent="0.2">
      <c r="A10033" s="29" t="s">
        <v>23605</v>
      </c>
      <c r="B10033" s="30" t="s">
        <v>23606</v>
      </c>
      <c r="C10033" s="29" t="s">
        <v>26</v>
      </c>
      <c r="D10033" s="31">
        <v>93248</v>
      </c>
      <c r="F10033" s="3" t="str">
        <f t="shared" si="156"/>
        <v>I9339</v>
      </c>
    </row>
    <row r="10034" spans="1:6" x14ac:dyDescent="0.2">
      <c r="A10034" s="29" t="s">
        <v>23607</v>
      </c>
      <c r="B10034" s="30" t="s">
        <v>23608</v>
      </c>
      <c r="C10034" s="29" t="s">
        <v>26</v>
      </c>
      <c r="D10034" s="31">
        <v>96727.61</v>
      </c>
      <c r="F10034" s="3" t="str">
        <f t="shared" si="156"/>
        <v>I13104</v>
      </c>
    </row>
    <row r="10035" spans="1:6" x14ac:dyDescent="0.2">
      <c r="A10035" s="29" t="s">
        <v>23609</v>
      </c>
      <c r="B10035" s="30" t="s">
        <v>23610</v>
      </c>
      <c r="C10035" s="29" t="s">
        <v>26</v>
      </c>
      <c r="D10035" s="31">
        <v>92854.27</v>
      </c>
      <c r="F10035" s="3" t="str">
        <f t="shared" si="156"/>
        <v>I10717</v>
      </c>
    </row>
    <row r="10036" spans="1:6" x14ac:dyDescent="0.2">
      <c r="A10036" s="29" t="s">
        <v>23611</v>
      </c>
      <c r="B10036" s="30" t="s">
        <v>23612</v>
      </c>
      <c r="C10036" s="29" t="s">
        <v>26</v>
      </c>
      <c r="D10036" s="31">
        <v>101483.68</v>
      </c>
      <c r="F10036" s="3" t="str">
        <f t="shared" si="156"/>
        <v>I13119</v>
      </c>
    </row>
    <row r="10037" spans="1:6" x14ac:dyDescent="0.2">
      <c r="A10037" s="29" t="s">
        <v>23613</v>
      </c>
      <c r="B10037" s="30" t="s">
        <v>23614</v>
      </c>
      <c r="C10037" s="29" t="s">
        <v>26</v>
      </c>
      <c r="D10037" s="31">
        <v>97405.58</v>
      </c>
      <c r="F10037" s="3" t="str">
        <f t="shared" si="156"/>
        <v>I10732</v>
      </c>
    </row>
    <row r="10038" spans="1:6" x14ac:dyDescent="0.2">
      <c r="A10038" s="29" t="s">
        <v>23615</v>
      </c>
      <c r="B10038" s="30" t="s">
        <v>23616</v>
      </c>
      <c r="C10038" s="29" t="s">
        <v>26</v>
      </c>
      <c r="D10038" s="31">
        <v>146158.82</v>
      </c>
      <c r="F10038" s="3" t="str">
        <f t="shared" si="156"/>
        <v>I9340</v>
      </c>
    </row>
    <row r="10039" spans="1:6" x14ac:dyDescent="0.2">
      <c r="A10039" s="29" t="s">
        <v>23617</v>
      </c>
      <c r="B10039" s="30" t="s">
        <v>23618</v>
      </c>
      <c r="C10039" s="29" t="s">
        <v>26</v>
      </c>
      <c r="D10039" s="31">
        <v>137456.54999999999</v>
      </c>
      <c r="F10039" s="3" t="str">
        <f t="shared" si="156"/>
        <v>I13105</v>
      </c>
    </row>
    <row r="10040" spans="1:6" x14ac:dyDescent="0.2">
      <c r="A10040" s="29" t="s">
        <v>23619</v>
      </c>
      <c r="B10040" s="30" t="s">
        <v>23620</v>
      </c>
      <c r="C10040" s="29" t="s">
        <v>26</v>
      </c>
      <c r="D10040" s="31">
        <v>131983.76</v>
      </c>
      <c r="F10040" s="3" t="str">
        <f t="shared" si="156"/>
        <v>I10718</v>
      </c>
    </row>
    <row r="10041" spans="1:6" x14ac:dyDescent="0.2">
      <c r="A10041" s="29" t="s">
        <v>23621</v>
      </c>
      <c r="B10041" s="30" t="s">
        <v>23622</v>
      </c>
      <c r="C10041" s="29" t="s">
        <v>26</v>
      </c>
      <c r="D10041" s="31">
        <v>150801.35999999999</v>
      </c>
      <c r="F10041" s="3" t="str">
        <f t="shared" si="156"/>
        <v>I13120</v>
      </c>
    </row>
    <row r="10042" spans="1:6" x14ac:dyDescent="0.2">
      <c r="A10042" s="29" t="s">
        <v>23623</v>
      </c>
      <c r="B10042" s="30" t="s">
        <v>23624</v>
      </c>
      <c r="C10042" s="29" t="s">
        <v>26</v>
      </c>
      <c r="D10042" s="31">
        <v>144911.93</v>
      </c>
      <c r="F10042" s="3" t="str">
        <f t="shared" si="156"/>
        <v>I10733</v>
      </c>
    </row>
    <row r="10043" spans="1:6" x14ac:dyDescent="0.2">
      <c r="A10043" s="29" t="s">
        <v>23625</v>
      </c>
      <c r="B10043" s="30" t="s">
        <v>23626</v>
      </c>
      <c r="C10043" s="29" t="s">
        <v>26</v>
      </c>
      <c r="D10043" s="31">
        <v>1035.1500000000001</v>
      </c>
      <c r="F10043" s="3" t="str">
        <f t="shared" si="156"/>
        <v>I13107</v>
      </c>
    </row>
    <row r="10044" spans="1:6" x14ac:dyDescent="0.2">
      <c r="A10044" s="29" t="s">
        <v>23627</v>
      </c>
      <c r="B10044" s="30" t="s">
        <v>23628</v>
      </c>
      <c r="C10044" s="29" t="s">
        <v>26</v>
      </c>
      <c r="D10044" s="31">
        <v>831.15</v>
      </c>
      <c r="F10044" s="3" t="str">
        <f t="shared" si="156"/>
        <v>I10720</v>
      </c>
    </row>
    <row r="10045" spans="1:6" x14ac:dyDescent="0.2">
      <c r="A10045" s="29" t="s">
        <v>23629</v>
      </c>
      <c r="B10045" s="30" t="s">
        <v>23630</v>
      </c>
      <c r="C10045" s="29" t="s">
        <v>26</v>
      </c>
      <c r="D10045" s="31">
        <v>1269.82</v>
      </c>
      <c r="F10045" s="3" t="str">
        <f t="shared" si="156"/>
        <v>I13093</v>
      </c>
    </row>
    <row r="10046" spans="1:6" x14ac:dyDescent="0.2">
      <c r="A10046" s="29" t="s">
        <v>23631</v>
      </c>
      <c r="B10046" s="30" t="s">
        <v>23632</v>
      </c>
      <c r="C10046" s="29" t="s">
        <v>26</v>
      </c>
      <c r="D10046" s="31">
        <v>1012.51</v>
      </c>
      <c r="F10046" s="3" t="str">
        <f t="shared" si="156"/>
        <v>I10706</v>
      </c>
    </row>
    <row r="10047" spans="1:6" x14ac:dyDescent="0.2">
      <c r="A10047" s="29" t="s">
        <v>23633</v>
      </c>
      <c r="B10047" s="30" t="s">
        <v>23634</v>
      </c>
      <c r="C10047" s="29" t="s">
        <v>26</v>
      </c>
      <c r="D10047" s="31">
        <v>1451.29</v>
      </c>
      <c r="F10047" s="3" t="str">
        <f t="shared" si="156"/>
        <v>I13108</v>
      </c>
    </row>
    <row r="10048" spans="1:6" x14ac:dyDescent="0.2">
      <c r="A10048" s="29" t="s">
        <v>23635</v>
      </c>
      <c r="B10048" s="30" t="s">
        <v>23636</v>
      </c>
      <c r="C10048" s="29" t="s">
        <v>26</v>
      </c>
      <c r="D10048" s="31">
        <v>1164.56</v>
      </c>
      <c r="F10048" s="3" t="str">
        <f t="shared" si="156"/>
        <v>I10721</v>
      </c>
    </row>
    <row r="10049" spans="1:6" x14ac:dyDescent="0.2">
      <c r="A10049" s="29" t="s">
        <v>23637</v>
      </c>
      <c r="B10049" s="30" t="s">
        <v>23638</v>
      </c>
      <c r="C10049" s="29" t="s">
        <v>26</v>
      </c>
      <c r="D10049" s="31">
        <v>2337.94</v>
      </c>
      <c r="F10049" s="3" t="str">
        <f t="shared" si="156"/>
        <v>I13094</v>
      </c>
    </row>
    <row r="10050" spans="1:6" x14ac:dyDescent="0.2">
      <c r="A10050" s="29" t="s">
        <v>23639</v>
      </c>
      <c r="B10050" s="30" t="s">
        <v>23640</v>
      </c>
      <c r="C10050" s="29" t="s">
        <v>26</v>
      </c>
      <c r="D10050" s="31">
        <v>1904.1</v>
      </c>
      <c r="F10050" s="3" t="str">
        <f t="shared" ref="F10050:F10113" si="157">A10050</f>
        <v>I10707</v>
      </c>
    </row>
    <row r="10051" spans="1:6" x14ac:dyDescent="0.2">
      <c r="A10051" s="29" t="s">
        <v>23641</v>
      </c>
      <c r="B10051" s="30" t="s">
        <v>23642</v>
      </c>
      <c r="C10051" s="29" t="s">
        <v>26</v>
      </c>
      <c r="D10051" s="31">
        <v>2652.11</v>
      </c>
      <c r="F10051" s="3" t="str">
        <f t="shared" si="157"/>
        <v>I13109</v>
      </c>
    </row>
    <row r="10052" spans="1:6" x14ac:dyDescent="0.2">
      <c r="A10052" s="29" t="s">
        <v>23643</v>
      </c>
      <c r="B10052" s="30" t="s">
        <v>23644</v>
      </c>
      <c r="C10052" s="29" t="s">
        <v>26</v>
      </c>
      <c r="D10052" s="31">
        <v>2171.3200000000002</v>
      </c>
      <c r="F10052" s="3" t="str">
        <f t="shared" si="157"/>
        <v>I10722</v>
      </c>
    </row>
    <row r="10053" spans="1:6" x14ac:dyDescent="0.2">
      <c r="A10053" s="29" t="s">
        <v>23645</v>
      </c>
      <c r="B10053" s="30" t="s">
        <v>23646</v>
      </c>
      <c r="C10053" s="29" t="s">
        <v>26</v>
      </c>
      <c r="D10053" s="31">
        <v>2753.84</v>
      </c>
      <c r="F10053" s="3" t="str">
        <f t="shared" si="157"/>
        <v>I13095</v>
      </c>
    </row>
    <row r="10054" spans="1:6" x14ac:dyDescent="0.2">
      <c r="A10054" s="29" t="s">
        <v>23647</v>
      </c>
      <c r="B10054" s="30" t="s">
        <v>23648</v>
      </c>
      <c r="C10054" s="29" t="s">
        <v>26</v>
      </c>
      <c r="D10054" s="31">
        <v>2259.33</v>
      </c>
      <c r="F10054" s="3" t="str">
        <f t="shared" si="157"/>
        <v>I10708</v>
      </c>
    </row>
    <row r="10055" spans="1:6" x14ac:dyDescent="0.2">
      <c r="A10055" s="29" t="s">
        <v>23649</v>
      </c>
      <c r="B10055" s="30" t="s">
        <v>23650</v>
      </c>
      <c r="C10055" s="29" t="s">
        <v>26</v>
      </c>
      <c r="D10055" s="31">
        <v>3291.99</v>
      </c>
      <c r="F10055" s="3" t="str">
        <f t="shared" si="157"/>
        <v>I13110</v>
      </c>
    </row>
    <row r="10056" spans="1:6" x14ac:dyDescent="0.2">
      <c r="A10056" s="29" t="s">
        <v>23651</v>
      </c>
      <c r="B10056" s="30" t="s">
        <v>23652</v>
      </c>
      <c r="C10056" s="29" t="s">
        <v>26</v>
      </c>
      <c r="D10056" s="31">
        <v>2707.57</v>
      </c>
      <c r="F10056" s="3" t="str">
        <f t="shared" si="157"/>
        <v>I10723</v>
      </c>
    </row>
    <row r="10057" spans="1:6" x14ac:dyDescent="0.2">
      <c r="A10057" s="29" t="s">
        <v>23653</v>
      </c>
      <c r="B10057" s="30" t="s">
        <v>23654</v>
      </c>
      <c r="C10057" s="29" t="s">
        <v>26</v>
      </c>
      <c r="D10057" s="31">
        <v>4762.21</v>
      </c>
      <c r="F10057" s="3" t="str">
        <f t="shared" si="157"/>
        <v>I13096</v>
      </c>
    </row>
    <row r="10058" spans="1:6" x14ac:dyDescent="0.2">
      <c r="A10058" s="29" t="s">
        <v>23655</v>
      </c>
      <c r="B10058" s="30" t="s">
        <v>23656</v>
      </c>
      <c r="C10058" s="29" t="s">
        <v>26</v>
      </c>
      <c r="D10058" s="31">
        <v>4046.4</v>
      </c>
      <c r="F10058" s="3" t="str">
        <f t="shared" si="157"/>
        <v>I10709</v>
      </c>
    </row>
    <row r="10059" spans="1:6" x14ac:dyDescent="0.2">
      <c r="A10059" s="29" t="s">
        <v>23657</v>
      </c>
      <c r="B10059" s="30" t="s">
        <v>23658</v>
      </c>
      <c r="C10059" s="29" t="s">
        <v>26</v>
      </c>
      <c r="D10059" s="31">
        <v>5182.54</v>
      </c>
      <c r="F10059" s="3" t="str">
        <f t="shared" si="157"/>
        <v>I13111</v>
      </c>
    </row>
    <row r="10060" spans="1:6" x14ac:dyDescent="0.2">
      <c r="A10060" s="29" t="s">
        <v>23659</v>
      </c>
      <c r="B10060" s="30" t="s">
        <v>23660</v>
      </c>
      <c r="C10060" s="29" t="s">
        <v>26</v>
      </c>
      <c r="D10060" s="31">
        <v>4370.49</v>
      </c>
      <c r="F10060" s="3" t="str">
        <f t="shared" si="157"/>
        <v>I10724</v>
      </c>
    </row>
    <row r="10061" spans="1:6" x14ac:dyDescent="0.2">
      <c r="A10061" s="29" t="s">
        <v>23661</v>
      </c>
      <c r="B10061" s="30" t="s">
        <v>23662</v>
      </c>
      <c r="C10061" s="29" t="s">
        <v>26</v>
      </c>
      <c r="D10061" s="31">
        <v>14867.14</v>
      </c>
      <c r="F10061" s="3" t="str">
        <f t="shared" si="157"/>
        <v>I13097</v>
      </c>
    </row>
    <row r="10062" spans="1:6" x14ac:dyDescent="0.2">
      <c r="A10062" s="29" t="s">
        <v>23663</v>
      </c>
      <c r="B10062" s="30" t="s">
        <v>23664</v>
      </c>
      <c r="C10062" s="29" t="s">
        <v>26</v>
      </c>
      <c r="D10062" s="31">
        <v>14285.53</v>
      </c>
      <c r="F10062" s="3" t="str">
        <f t="shared" si="157"/>
        <v>I10710</v>
      </c>
    </row>
    <row r="10063" spans="1:6" x14ac:dyDescent="0.2">
      <c r="A10063" s="29" t="s">
        <v>23665</v>
      </c>
      <c r="B10063" s="30" t="s">
        <v>23666</v>
      </c>
      <c r="C10063" s="29" t="s">
        <v>26</v>
      </c>
      <c r="D10063" s="31">
        <v>17032.29</v>
      </c>
      <c r="F10063" s="3" t="str">
        <f t="shared" si="157"/>
        <v>I13112</v>
      </c>
    </row>
    <row r="10064" spans="1:6" x14ac:dyDescent="0.2">
      <c r="A10064" s="29" t="s">
        <v>23667</v>
      </c>
      <c r="B10064" s="30" t="s">
        <v>23668</v>
      </c>
      <c r="C10064" s="29" t="s">
        <v>26</v>
      </c>
      <c r="D10064" s="31">
        <v>16359.88</v>
      </c>
      <c r="F10064" s="3" t="str">
        <f t="shared" si="157"/>
        <v>I10725</v>
      </c>
    </row>
    <row r="10065" spans="1:6" x14ac:dyDescent="0.2">
      <c r="A10065" s="29" t="s">
        <v>23669</v>
      </c>
      <c r="B10065" s="30" t="s">
        <v>23670</v>
      </c>
      <c r="C10065" s="29" t="s">
        <v>26</v>
      </c>
      <c r="D10065" s="31">
        <v>18139.75</v>
      </c>
      <c r="F10065" s="3" t="str">
        <f t="shared" si="157"/>
        <v>I13098</v>
      </c>
    </row>
    <row r="10066" spans="1:6" x14ac:dyDescent="0.2">
      <c r="A10066" s="29" t="s">
        <v>23671</v>
      </c>
      <c r="B10066" s="30" t="s">
        <v>23672</v>
      </c>
      <c r="C10066" s="29" t="s">
        <v>26</v>
      </c>
      <c r="D10066" s="31">
        <v>17435.52</v>
      </c>
      <c r="F10066" s="3" t="str">
        <f t="shared" si="157"/>
        <v>I10711</v>
      </c>
    </row>
    <row r="10067" spans="1:6" x14ac:dyDescent="0.2">
      <c r="A10067" s="29" t="s">
        <v>23673</v>
      </c>
      <c r="B10067" s="30" t="s">
        <v>23674</v>
      </c>
      <c r="C10067" s="29" t="s">
        <v>26</v>
      </c>
      <c r="D10067" s="31">
        <v>20269.45</v>
      </c>
      <c r="F10067" s="3" t="str">
        <f t="shared" si="157"/>
        <v>I13113</v>
      </c>
    </row>
    <row r="10068" spans="1:6" x14ac:dyDescent="0.2">
      <c r="A10068" s="29" t="s">
        <v>23675</v>
      </c>
      <c r="B10068" s="30" t="s">
        <v>23676</v>
      </c>
      <c r="C10068" s="29" t="s">
        <v>26</v>
      </c>
      <c r="D10068" s="31">
        <v>19477.509999999998</v>
      </c>
      <c r="F10068" s="3" t="str">
        <f t="shared" si="157"/>
        <v>I10726</v>
      </c>
    </row>
    <row r="10069" spans="1:6" x14ac:dyDescent="0.2">
      <c r="A10069" s="29" t="s">
        <v>23677</v>
      </c>
      <c r="B10069" s="30" t="s">
        <v>23678</v>
      </c>
      <c r="C10069" s="29" t="s">
        <v>26</v>
      </c>
      <c r="D10069" s="31">
        <v>21452.86</v>
      </c>
      <c r="F10069" s="3" t="str">
        <f t="shared" si="157"/>
        <v>I13099</v>
      </c>
    </row>
    <row r="10070" spans="1:6" x14ac:dyDescent="0.2">
      <c r="A10070" s="29" t="s">
        <v>23679</v>
      </c>
      <c r="B10070" s="30" t="s">
        <v>23680</v>
      </c>
      <c r="C10070" s="29" t="s">
        <v>26</v>
      </c>
      <c r="D10070" s="31">
        <v>20595</v>
      </c>
      <c r="F10070" s="3" t="str">
        <f t="shared" si="157"/>
        <v>I10712</v>
      </c>
    </row>
    <row r="10071" spans="1:6" x14ac:dyDescent="0.2">
      <c r="A10071" s="29" t="s">
        <v>23681</v>
      </c>
      <c r="B10071" s="30" t="s">
        <v>23682</v>
      </c>
      <c r="C10071" s="29" t="s">
        <v>26</v>
      </c>
      <c r="D10071" s="31">
        <v>28809.59</v>
      </c>
      <c r="F10071" s="3" t="str">
        <f t="shared" si="157"/>
        <v>I13114</v>
      </c>
    </row>
    <row r="10072" spans="1:6" x14ac:dyDescent="0.2">
      <c r="A10072" s="29" t="s">
        <v>23683</v>
      </c>
      <c r="B10072" s="30" t="s">
        <v>23684</v>
      </c>
      <c r="C10072" s="29" t="s">
        <v>26</v>
      </c>
      <c r="D10072" s="31">
        <v>28164.34</v>
      </c>
      <c r="F10072" s="3" t="str">
        <f t="shared" si="157"/>
        <v>I10727</v>
      </c>
    </row>
    <row r="10073" spans="1:6" x14ac:dyDescent="0.2">
      <c r="A10073" s="29" t="s">
        <v>23685</v>
      </c>
      <c r="B10073" s="30" t="s">
        <v>23686</v>
      </c>
      <c r="C10073" s="29" t="s">
        <v>26</v>
      </c>
      <c r="D10073" s="31">
        <v>33603.96</v>
      </c>
      <c r="F10073" s="3" t="str">
        <f t="shared" si="157"/>
        <v>I13100</v>
      </c>
    </row>
    <row r="10074" spans="1:6" x14ac:dyDescent="0.2">
      <c r="A10074" s="29" t="s">
        <v>23687</v>
      </c>
      <c r="B10074" s="30" t="s">
        <v>23688</v>
      </c>
      <c r="C10074" s="29" t="s">
        <v>26</v>
      </c>
      <c r="D10074" s="31">
        <v>32291.98</v>
      </c>
      <c r="F10074" s="3" t="str">
        <f t="shared" si="157"/>
        <v>I10713</v>
      </c>
    </row>
    <row r="10075" spans="1:6" x14ac:dyDescent="0.2">
      <c r="A10075" s="29" t="s">
        <v>23689</v>
      </c>
      <c r="B10075" s="30" t="s">
        <v>23690</v>
      </c>
      <c r="C10075" s="29" t="s">
        <v>26</v>
      </c>
      <c r="D10075" s="31">
        <v>35969.589999999997</v>
      </c>
      <c r="F10075" s="3" t="str">
        <f t="shared" si="157"/>
        <v>I13115</v>
      </c>
    </row>
    <row r="10076" spans="1:6" x14ac:dyDescent="0.2">
      <c r="A10076" s="29" t="s">
        <v>23691</v>
      </c>
      <c r="B10076" s="30" t="s">
        <v>23692</v>
      </c>
      <c r="C10076" s="29" t="s">
        <v>26</v>
      </c>
      <c r="D10076" s="31">
        <v>34553.18</v>
      </c>
      <c r="F10076" s="3" t="str">
        <f t="shared" si="157"/>
        <v>I10728</v>
      </c>
    </row>
    <row r="10077" spans="1:6" x14ac:dyDescent="0.2">
      <c r="A10077" s="29" t="s">
        <v>23693</v>
      </c>
      <c r="B10077" s="30" t="s">
        <v>23694</v>
      </c>
      <c r="C10077" s="29" t="s">
        <v>26</v>
      </c>
      <c r="D10077" s="31">
        <v>45761.91</v>
      </c>
      <c r="F10077" s="3" t="str">
        <f t="shared" si="157"/>
        <v>I13101</v>
      </c>
    </row>
    <row r="10078" spans="1:6" x14ac:dyDescent="0.2">
      <c r="A10078" s="29" t="s">
        <v>23695</v>
      </c>
      <c r="B10078" s="30" t="s">
        <v>23696</v>
      </c>
      <c r="C10078" s="29" t="s">
        <v>26</v>
      </c>
      <c r="D10078" s="31">
        <v>43670.75</v>
      </c>
      <c r="F10078" s="3" t="str">
        <f t="shared" si="157"/>
        <v>I10714</v>
      </c>
    </row>
    <row r="10079" spans="1:6" x14ac:dyDescent="0.2">
      <c r="A10079" s="29" t="s">
        <v>23697</v>
      </c>
      <c r="B10079" s="30" t="s">
        <v>23698</v>
      </c>
      <c r="C10079" s="29" t="s">
        <v>26</v>
      </c>
      <c r="D10079" s="31">
        <v>48068.32</v>
      </c>
      <c r="F10079" s="3" t="str">
        <f t="shared" si="157"/>
        <v>I13116</v>
      </c>
    </row>
    <row r="10080" spans="1:6" x14ac:dyDescent="0.2">
      <c r="A10080" s="29" t="s">
        <v>23699</v>
      </c>
      <c r="B10080" s="30" t="s">
        <v>23700</v>
      </c>
      <c r="C10080" s="29" t="s">
        <v>26</v>
      </c>
      <c r="D10080" s="31">
        <v>45879.83</v>
      </c>
      <c r="F10080" s="3" t="str">
        <f t="shared" si="157"/>
        <v>I10729</v>
      </c>
    </row>
    <row r="10081" spans="1:6" x14ac:dyDescent="0.2">
      <c r="A10081" s="29" t="s">
        <v>23701</v>
      </c>
      <c r="B10081" s="30" t="s">
        <v>23702</v>
      </c>
      <c r="C10081" s="29" t="s">
        <v>26</v>
      </c>
      <c r="D10081" s="31">
        <v>54752.14</v>
      </c>
      <c r="F10081" s="3" t="str">
        <f t="shared" si="157"/>
        <v>I13102</v>
      </c>
    </row>
    <row r="10082" spans="1:6" x14ac:dyDescent="0.2">
      <c r="A10082" s="29" t="s">
        <v>23703</v>
      </c>
      <c r="B10082" s="30" t="s">
        <v>23704</v>
      </c>
      <c r="C10082" s="29" t="s">
        <v>26</v>
      </c>
      <c r="D10082" s="31">
        <v>52376.71</v>
      </c>
      <c r="F10082" s="3" t="str">
        <f t="shared" si="157"/>
        <v>I10715</v>
      </c>
    </row>
    <row r="10083" spans="1:6" x14ac:dyDescent="0.2">
      <c r="A10083" s="29" t="s">
        <v>23705</v>
      </c>
      <c r="B10083" s="30" t="s">
        <v>23706</v>
      </c>
      <c r="C10083" s="29" t="s">
        <v>26</v>
      </c>
      <c r="D10083" s="31">
        <v>58307.37</v>
      </c>
      <c r="F10083" s="3" t="str">
        <f t="shared" si="157"/>
        <v>I13117</v>
      </c>
    </row>
    <row r="10084" spans="1:6" x14ac:dyDescent="0.2">
      <c r="A10084" s="29" t="s">
        <v>23707</v>
      </c>
      <c r="B10084" s="30" t="s">
        <v>23708</v>
      </c>
      <c r="C10084" s="29" t="s">
        <v>26</v>
      </c>
      <c r="D10084" s="31">
        <v>55774.65</v>
      </c>
      <c r="F10084" s="3" t="str">
        <f t="shared" si="157"/>
        <v>I10730</v>
      </c>
    </row>
    <row r="10085" spans="1:6" x14ac:dyDescent="0.2">
      <c r="A10085" s="29" t="s">
        <v>23709</v>
      </c>
      <c r="B10085" s="30" t="s">
        <v>23710</v>
      </c>
      <c r="C10085" s="29" t="s">
        <v>26</v>
      </c>
      <c r="D10085" s="31">
        <v>68922.259999999995</v>
      </c>
      <c r="F10085" s="3" t="str">
        <f t="shared" si="157"/>
        <v>I13103</v>
      </c>
    </row>
    <row r="10086" spans="1:6" x14ac:dyDescent="0.2">
      <c r="A10086" s="29" t="s">
        <v>23711</v>
      </c>
      <c r="B10086" s="30" t="s">
        <v>23712</v>
      </c>
      <c r="C10086" s="29" t="s">
        <v>26</v>
      </c>
      <c r="D10086" s="31">
        <v>65977.38</v>
      </c>
      <c r="F10086" s="3" t="str">
        <f t="shared" si="157"/>
        <v>I10716</v>
      </c>
    </row>
    <row r="10087" spans="1:6" x14ac:dyDescent="0.2">
      <c r="A10087" s="29" t="s">
        <v>23713</v>
      </c>
      <c r="B10087" s="30" t="s">
        <v>23714</v>
      </c>
      <c r="C10087" s="29" t="s">
        <v>26</v>
      </c>
      <c r="D10087" s="31">
        <v>73115.820000000007</v>
      </c>
      <c r="F10087" s="3" t="str">
        <f t="shared" si="157"/>
        <v>I13118</v>
      </c>
    </row>
    <row r="10088" spans="1:6" x14ac:dyDescent="0.2">
      <c r="A10088" s="29" t="s">
        <v>23715</v>
      </c>
      <c r="B10088" s="30" t="s">
        <v>23716</v>
      </c>
      <c r="C10088" s="29" t="s">
        <v>26</v>
      </c>
      <c r="D10088" s="31">
        <v>69988</v>
      </c>
      <c r="F10088" s="3" t="str">
        <f t="shared" si="157"/>
        <v>I10731</v>
      </c>
    </row>
    <row r="10089" spans="1:6" x14ac:dyDescent="0.2">
      <c r="A10089" s="29" t="s">
        <v>23717</v>
      </c>
      <c r="B10089" s="30" t="s">
        <v>23718</v>
      </c>
      <c r="C10089" s="29" t="s">
        <v>26</v>
      </c>
      <c r="D10089" s="31">
        <v>210.93</v>
      </c>
      <c r="F10089" s="3" t="str">
        <f t="shared" si="157"/>
        <v>I3423</v>
      </c>
    </row>
    <row r="10090" spans="1:6" x14ac:dyDescent="0.2">
      <c r="A10090" s="29" t="s">
        <v>23719</v>
      </c>
      <c r="B10090" s="30" t="s">
        <v>23720</v>
      </c>
      <c r="C10090" s="29" t="s">
        <v>26</v>
      </c>
      <c r="D10090" s="31">
        <v>417.87</v>
      </c>
      <c r="F10090" s="3" t="str">
        <f t="shared" si="157"/>
        <v>I3424</v>
      </c>
    </row>
    <row r="10091" spans="1:6" x14ac:dyDescent="0.2">
      <c r="A10091" s="29" t="s">
        <v>23721</v>
      </c>
      <c r="B10091" s="30" t="s">
        <v>23722</v>
      </c>
      <c r="C10091" s="29" t="s">
        <v>26</v>
      </c>
      <c r="D10091" s="31">
        <v>417.87</v>
      </c>
      <c r="F10091" s="3" t="str">
        <f t="shared" si="157"/>
        <v>I7119</v>
      </c>
    </row>
    <row r="10092" spans="1:6" x14ac:dyDescent="0.2">
      <c r="A10092" s="29" t="s">
        <v>23723</v>
      </c>
      <c r="B10092" s="30" t="s">
        <v>23724</v>
      </c>
      <c r="C10092" s="29" t="s">
        <v>26</v>
      </c>
      <c r="D10092" s="31">
        <v>487.4</v>
      </c>
      <c r="F10092" s="3" t="str">
        <f t="shared" si="157"/>
        <v>I3425</v>
      </c>
    </row>
    <row r="10093" spans="1:6" x14ac:dyDescent="0.2">
      <c r="A10093" s="29" t="s">
        <v>23725</v>
      </c>
      <c r="B10093" s="30" t="s">
        <v>23726</v>
      </c>
      <c r="C10093" s="29" t="s">
        <v>26</v>
      </c>
      <c r="D10093" s="31">
        <v>809.33</v>
      </c>
      <c r="F10093" s="3" t="str">
        <f t="shared" si="157"/>
        <v>I3426</v>
      </c>
    </row>
    <row r="10094" spans="1:6" x14ac:dyDescent="0.2">
      <c r="A10094" s="29" t="s">
        <v>23727</v>
      </c>
      <c r="B10094" s="30" t="s">
        <v>23728</v>
      </c>
      <c r="C10094" s="29" t="s">
        <v>26</v>
      </c>
      <c r="D10094" s="31">
        <v>998.18</v>
      </c>
      <c r="F10094" s="3" t="str">
        <f t="shared" si="157"/>
        <v>I3427</v>
      </c>
    </row>
    <row r="10095" spans="1:6" x14ac:dyDescent="0.2">
      <c r="A10095" s="29" t="s">
        <v>23729</v>
      </c>
      <c r="B10095" s="30" t="s">
        <v>23730</v>
      </c>
      <c r="C10095" s="29" t="s">
        <v>26</v>
      </c>
      <c r="D10095" s="31">
        <v>1904.82</v>
      </c>
      <c r="F10095" s="3" t="str">
        <f t="shared" si="157"/>
        <v>I3428</v>
      </c>
    </row>
    <row r="10096" spans="1:6" x14ac:dyDescent="0.2">
      <c r="A10096" s="29" t="s">
        <v>23731</v>
      </c>
      <c r="B10096" s="30" t="s">
        <v>23732</v>
      </c>
      <c r="C10096" s="29" t="s">
        <v>26</v>
      </c>
      <c r="D10096" s="31">
        <v>2334.6799999999998</v>
      </c>
      <c r="F10096" s="3" t="str">
        <f t="shared" si="157"/>
        <v>I3429</v>
      </c>
    </row>
    <row r="10097" spans="1:6" x14ac:dyDescent="0.2">
      <c r="A10097" s="29" t="s">
        <v>23733</v>
      </c>
      <c r="B10097" s="30" t="s">
        <v>23734</v>
      </c>
      <c r="C10097" s="29" t="s">
        <v>26</v>
      </c>
      <c r="D10097" s="31">
        <v>3693.11</v>
      </c>
      <c r="F10097" s="3" t="str">
        <f t="shared" si="157"/>
        <v>I3430</v>
      </c>
    </row>
    <row r="10098" spans="1:6" x14ac:dyDescent="0.2">
      <c r="A10098" s="29" t="s">
        <v>23735</v>
      </c>
      <c r="B10098" s="30" t="s">
        <v>23736</v>
      </c>
      <c r="C10098" s="29" t="s">
        <v>26</v>
      </c>
      <c r="D10098" s="31">
        <v>13423.19</v>
      </c>
      <c r="F10098" s="3" t="str">
        <f t="shared" si="157"/>
        <v>I3431</v>
      </c>
    </row>
    <row r="10099" spans="1:6" x14ac:dyDescent="0.2">
      <c r="A10099" s="29" t="s">
        <v>23737</v>
      </c>
      <c r="B10099" s="30" t="s">
        <v>23738</v>
      </c>
      <c r="C10099" s="29" t="s">
        <v>26</v>
      </c>
      <c r="D10099" s="31">
        <v>17115.259999999998</v>
      </c>
      <c r="F10099" s="3" t="str">
        <f t="shared" si="157"/>
        <v>I3432</v>
      </c>
    </row>
    <row r="10100" spans="1:6" x14ac:dyDescent="0.2">
      <c r="A10100" s="29" t="s">
        <v>23739</v>
      </c>
      <c r="B10100" s="30" t="s">
        <v>23740</v>
      </c>
      <c r="C10100" s="29" t="s">
        <v>26</v>
      </c>
      <c r="D10100" s="31">
        <v>18750.580000000002</v>
      </c>
      <c r="F10100" s="3" t="str">
        <f t="shared" si="157"/>
        <v>I3433</v>
      </c>
    </row>
    <row r="10101" spans="1:6" x14ac:dyDescent="0.2">
      <c r="A10101" s="29" t="s">
        <v>23741</v>
      </c>
      <c r="B10101" s="30" t="s">
        <v>23742</v>
      </c>
      <c r="C10101" s="29" t="s">
        <v>26</v>
      </c>
      <c r="D10101" s="31">
        <v>30139.200000000001</v>
      </c>
      <c r="F10101" s="3" t="str">
        <f t="shared" si="157"/>
        <v>I3434</v>
      </c>
    </row>
    <row r="10102" spans="1:6" x14ac:dyDescent="0.2">
      <c r="A10102" s="29" t="s">
        <v>23743</v>
      </c>
      <c r="B10102" s="30" t="s">
        <v>23744</v>
      </c>
      <c r="C10102" s="29" t="s">
        <v>26</v>
      </c>
      <c r="D10102" s="31">
        <v>41831.31</v>
      </c>
      <c r="F10102" s="3" t="str">
        <f t="shared" si="157"/>
        <v>I3435</v>
      </c>
    </row>
    <row r="10103" spans="1:6" x14ac:dyDescent="0.2">
      <c r="A10103" s="29" t="s">
        <v>23745</v>
      </c>
      <c r="B10103" s="30" t="s">
        <v>23746</v>
      </c>
      <c r="C10103" s="29" t="s">
        <v>26</v>
      </c>
      <c r="D10103" s="31">
        <v>50296.49</v>
      </c>
      <c r="F10103" s="3" t="str">
        <f t="shared" si="157"/>
        <v>I3436</v>
      </c>
    </row>
    <row r="10104" spans="1:6" x14ac:dyDescent="0.2">
      <c r="A10104" s="29" t="s">
        <v>23747</v>
      </c>
      <c r="B10104" s="30" t="s">
        <v>23748</v>
      </c>
      <c r="C10104" s="29" t="s">
        <v>26</v>
      </c>
      <c r="D10104" s="31">
        <v>65507.41</v>
      </c>
      <c r="F10104" s="3" t="str">
        <f t="shared" si="157"/>
        <v>I3437</v>
      </c>
    </row>
    <row r="10105" spans="1:6" x14ac:dyDescent="0.2">
      <c r="A10105" s="29" t="s">
        <v>23749</v>
      </c>
      <c r="B10105" s="30" t="s">
        <v>23750</v>
      </c>
      <c r="C10105" s="29" t="s">
        <v>26</v>
      </c>
      <c r="D10105" s="31">
        <v>89509.64</v>
      </c>
      <c r="F10105" s="3" t="str">
        <f t="shared" si="157"/>
        <v>I3438</v>
      </c>
    </row>
    <row r="10106" spans="1:6" x14ac:dyDescent="0.2">
      <c r="A10106" s="29" t="s">
        <v>23751</v>
      </c>
      <c r="B10106" s="30" t="s">
        <v>23752</v>
      </c>
      <c r="C10106" s="29" t="s">
        <v>26</v>
      </c>
      <c r="D10106" s="31">
        <v>140271.18</v>
      </c>
      <c r="F10106" s="3" t="str">
        <f t="shared" si="157"/>
        <v>I3439</v>
      </c>
    </row>
    <row r="10107" spans="1:6" x14ac:dyDescent="0.2">
      <c r="A10107" s="29" t="s">
        <v>23753</v>
      </c>
      <c r="B10107" s="30" t="s">
        <v>23754</v>
      </c>
      <c r="C10107" s="29" t="s">
        <v>26</v>
      </c>
      <c r="D10107" s="31">
        <v>99791.99</v>
      </c>
      <c r="F10107" s="3" t="str">
        <f t="shared" si="157"/>
        <v>I13122</v>
      </c>
    </row>
    <row r="10108" spans="1:6" x14ac:dyDescent="0.2">
      <c r="A10108" s="29" t="s">
        <v>23755</v>
      </c>
      <c r="B10108" s="30" t="s">
        <v>23756</v>
      </c>
      <c r="C10108" s="29" t="s">
        <v>26</v>
      </c>
      <c r="D10108" s="31">
        <v>165181.99</v>
      </c>
      <c r="F10108" s="3" t="str">
        <f t="shared" si="157"/>
        <v>I13123</v>
      </c>
    </row>
    <row r="10109" spans="1:6" x14ac:dyDescent="0.2">
      <c r="A10109" s="29" t="s">
        <v>23757</v>
      </c>
      <c r="B10109" s="30" t="s">
        <v>23758</v>
      </c>
      <c r="C10109" s="29" t="s">
        <v>26</v>
      </c>
      <c r="D10109" s="31">
        <v>6411.38</v>
      </c>
      <c r="F10109" s="3" t="str">
        <f t="shared" si="157"/>
        <v>I9341</v>
      </c>
    </row>
    <row r="10110" spans="1:6" x14ac:dyDescent="0.2">
      <c r="A10110" s="29" t="s">
        <v>23759</v>
      </c>
      <c r="B10110" s="30" t="s">
        <v>23760</v>
      </c>
      <c r="C10110" s="29" t="s">
        <v>26</v>
      </c>
      <c r="D10110" s="31">
        <v>15468.47</v>
      </c>
      <c r="F10110" s="3" t="str">
        <f t="shared" si="157"/>
        <v>I9342</v>
      </c>
    </row>
    <row r="10111" spans="1:6" x14ac:dyDescent="0.2">
      <c r="A10111" s="29" t="s">
        <v>23761</v>
      </c>
      <c r="B10111" s="30" t="s">
        <v>23762</v>
      </c>
      <c r="C10111" s="29" t="s">
        <v>26</v>
      </c>
      <c r="D10111" s="31">
        <v>22106.6</v>
      </c>
      <c r="F10111" s="3" t="str">
        <f t="shared" si="157"/>
        <v>I13121</v>
      </c>
    </row>
    <row r="10112" spans="1:6" x14ac:dyDescent="0.2">
      <c r="A10112" s="29" t="s">
        <v>23763</v>
      </c>
      <c r="B10112" s="30" t="s">
        <v>23764</v>
      </c>
      <c r="C10112" s="29" t="s">
        <v>26</v>
      </c>
      <c r="D10112" s="31">
        <v>26553.65</v>
      </c>
      <c r="F10112" s="3" t="str">
        <f t="shared" si="157"/>
        <v>I9344</v>
      </c>
    </row>
    <row r="10113" spans="1:6" x14ac:dyDescent="0.2">
      <c r="A10113" s="29" t="s">
        <v>23765</v>
      </c>
      <c r="B10113" s="30" t="s">
        <v>23766</v>
      </c>
      <c r="C10113" s="29" t="s">
        <v>26</v>
      </c>
      <c r="D10113" s="31">
        <v>35285.629999999997</v>
      </c>
      <c r="F10113" s="3" t="str">
        <f t="shared" si="157"/>
        <v>I9345</v>
      </c>
    </row>
    <row r="10114" spans="1:6" x14ac:dyDescent="0.2">
      <c r="A10114" s="29" t="s">
        <v>23767</v>
      </c>
      <c r="B10114" s="30" t="s">
        <v>23768</v>
      </c>
      <c r="C10114" s="29" t="s">
        <v>26</v>
      </c>
      <c r="D10114" s="31">
        <v>90719.98</v>
      </c>
      <c r="F10114" s="3" t="str">
        <f t="shared" ref="F10114:F10177" si="158">A10114</f>
        <v>I10735</v>
      </c>
    </row>
    <row r="10115" spans="1:6" x14ac:dyDescent="0.2">
      <c r="A10115" s="29" t="s">
        <v>23769</v>
      </c>
      <c r="B10115" s="30" t="s">
        <v>23770</v>
      </c>
      <c r="C10115" s="29" t="s">
        <v>26</v>
      </c>
      <c r="D10115" s="31">
        <v>150165.45000000001</v>
      </c>
      <c r="F10115" s="3" t="str">
        <f t="shared" si="158"/>
        <v>I10736</v>
      </c>
    </row>
    <row r="10116" spans="1:6" x14ac:dyDescent="0.2">
      <c r="A10116" s="29" t="s">
        <v>23771</v>
      </c>
      <c r="B10116" s="30" t="s">
        <v>23772</v>
      </c>
      <c r="C10116" s="29" t="s">
        <v>26</v>
      </c>
      <c r="D10116" s="31">
        <v>6411.38</v>
      </c>
      <c r="F10116" s="3" t="str">
        <f t="shared" si="158"/>
        <v>I7658</v>
      </c>
    </row>
    <row r="10117" spans="1:6" x14ac:dyDescent="0.2">
      <c r="A10117" s="29" t="s">
        <v>23773</v>
      </c>
      <c r="B10117" s="30" t="s">
        <v>23774</v>
      </c>
      <c r="C10117" s="29" t="s">
        <v>26</v>
      </c>
      <c r="D10117" s="31">
        <v>15468.47</v>
      </c>
      <c r="F10117" s="3" t="str">
        <f t="shared" si="158"/>
        <v>I7659</v>
      </c>
    </row>
    <row r="10118" spans="1:6" x14ac:dyDescent="0.2">
      <c r="A10118" s="29" t="s">
        <v>23775</v>
      </c>
      <c r="B10118" s="30" t="s">
        <v>23776</v>
      </c>
      <c r="C10118" s="29" t="s">
        <v>26</v>
      </c>
      <c r="D10118" s="31">
        <v>17659.560000000001</v>
      </c>
      <c r="F10118" s="3" t="str">
        <f t="shared" si="158"/>
        <v>I7660</v>
      </c>
    </row>
    <row r="10119" spans="1:6" x14ac:dyDescent="0.2">
      <c r="A10119" s="29" t="s">
        <v>23777</v>
      </c>
      <c r="B10119" s="30" t="s">
        <v>23778</v>
      </c>
      <c r="C10119" s="29" t="s">
        <v>26</v>
      </c>
      <c r="D10119" s="31">
        <v>22106.6</v>
      </c>
      <c r="F10119" s="3" t="str">
        <f t="shared" si="158"/>
        <v>I10734</v>
      </c>
    </row>
    <row r="10120" spans="1:6" x14ac:dyDescent="0.2">
      <c r="A10120" s="29" t="s">
        <v>23779</v>
      </c>
      <c r="B10120" s="30" t="s">
        <v>23780</v>
      </c>
      <c r="C10120" s="29" t="s">
        <v>26</v>
      </c>
      <c r="D10120" s="31">
        <v>26553.65</v>
      </c>
      <c r="F10120" s="3" t="str">
        <f t="shared" si="158"/>
        <v>I7661</v>
      </c>
    </row>
    <row r="10121" spans="1:6" x14ac:dyDescent="0.2">
      <c r="A10121" s="29" t="s">
        <v>23781</v>
      </c>
      <c r="B10121" s="30" t="s">
        <v>23782</v>
      </c>
      <c r="C10121" s="29" t="s">
        <v>26</v>
      </c>
      <c r="D10121" s="31">
        <v>35285.629999999997</v>
      </c>
      <c r="F10121" s="3" t="str">
        <f t="shared" si="158"/>
        <v>I7662</v>
      </c>
    </row>
    <row r="10122" spans="1:6" x14ac:dyDescent="0.2">
      <c r="A10122" s="29" t="s">
        <v>23783</v>
      </c>
      <c r="B10122" s="30" t="s">
        <v>23784</v>
      </c>
      <c r="C10122" s="29" t="s">
        <v>26</v>
      </c>
      <c r="D10122" s="31">
        <v>952.26</v>
      </c>
      <c r="F10122" s="3" t="str">
        <f t="shared" si="158"/>
        <v>I13125</v>
      </c>
    </row>
    <row r="10123" spans="1:6" x14ac:dyDescent="0.2">
      <c r="A10123" s="29" t="s">
        <v>23785</v>
      </c>
      <c r="B10123" s="30" t="s">
        <v>23786</v>
      </c>
      <c r="C10123" s="29" t="s">
        <v>26</v>
      </c>
      <c r="D10123" s="31">
        <v>1875.72</v>
      </c>
      <c r="F10123" s="3" t="str">
        <f t="shared" si="158"/>
        <v>I13126</v>
      </c>
    </row>
    <row r="10124" spans="1:6" x14ac:dyDescent="0.2">
      <c r="A10124" s="29" t="s">
        <v>23787</v>
      </c>
      <c r="B10124" s="30" t="s">
        <v>23788</v>
      </c>
      <c r="C10124" s="29" t="s">
        <v>26</v>
      </c>
      <c r="D10124" s="31">
        <v>2946.9</v>
      </c>
      <c r="F10124" s="3" t="str">
        <f t="shared" si="158"/>
        <v>I13127</v>
      </c>
    </row>
    <row r="10125" spans="1:6" x14ac:dyDescent="0.2">
      <c r="A10125" s="29" t="s">
        <v>23789</v>
      </c>
      <c r="B10125" s="30" t="s">
        <v>23790</v>
      </c>
      <c r="C10125" s="29" t="s">
        <v>26</v>
      </c>
      <c r="D10125" s="31">
        <v>3376.71</v>
      </c>
      <c r="F10125" s="3" t="str">
        <f t="shared" si="158"/>
        <v>I13128</v>
      </c>
    </row>
    <row r="10126" spans="1:6" x14ac:dyDescent="0.2">
      <c r="A10126" s="29" t="s">
        <v>23791</v>
      </c>
      <c r="B10126" s="30" t="s">
        <v>23792</v>
      </c>
      <c r="C10126" s="29" t="s">
        <v>26</v>
      </c>
      <c r="D10126" s="31">
        <v>5270.46</v>
      </c>
      <c r="F10126" s="3" t="str">
        <f t="shared" si="158"/>
        <v>I13129</v>
      </c>
    </row>
    <row r="10127" spans="1:6" x14ac:dyDescent="0.2">
      <c r="A10127" s="29" t="s">
        <v>23793</v>
      </c>
      <c r="B10127" s="30" t="s">
        <v>23794</v>
      </c>
      <c r="C10127" s="29" t="s">
        <v>26</v>
      </c>
      <c r="D10127" s="31">
        <v>712.95</v>
      </c>
      <c r="F10127" s="3" t="str">
        <f t="shared" si="158"/>
        <v>I13124</v>
      </c>
    </row>
    <row r="10128" spans="1:6" x14ac:dyDescent="0.2">
      <c r="A10128" s="29" t="s">
        <v>23795</v>
      </c>
      <c r="B10128" s="30" t="s">
        <v>23796</v>
      </c>
      <c r="C10128" s="29" t="s">
        <v>26</v>
      </c>
      <c r="D10128" s="31">
        <v>9.16</v>
      </c>
      <c r="F10128" s="3" t="str">
        <f t="shared" si="158"/>
        <v>I9753</v>
      </c>
    </row>
    <row r="10129" spans="1:6" x14ac:dyDescent="0.2">
      <c r="A10129" s="29" t="s">
        <v>23797</v>
      </c>
      <c r="B10129" s="30" t="s">
        <v>23798</v>
      </c>
      <c r="C10129" s="29" t="s">
        <v>26</v>
      </c>
      <c r="D10129" s="31">
        <v>23572.22</v>
      </c>
      <c r="F10129" s="3" t="str">
        <f t="shared" si="158"/>
        <v>I7066</v>
      </c>
    </row>
    <row r="10130" spans="1:6" x14ac:dyDescent="0.2">
      <c r="A10130" s="29" t="s">
        <v>23799</v>
      </c>
      <c r="B10130" s="30" t="s">
        <v>23800</v>
      </c>
      <c r="C10130" s="29" t="s">
        <v>26</v>
      </c>
      <c r="D10130" s="31">
        <v>39287.03</v>
      </c>
      <c r="F10130" s="3" t="str">
        <f t="shared" si="158"/>
        <v>I6296</v>
      </c>
    </row>
    <row r="10131" spans="1:6" x14ac:dyDescent="0.2">
      <c r="A10131" s="29" t="s">
        <v>23801</v>
      </c>
      <c r="B10131" s="30" t="s">
        <v>23802</v>
      </c>
      <c r="C10131" s="29" t="s">
        <v>26</v>
      </c>
      <c r="D10131" s="31">
        <v>46237.82</v>
      </c>
      <c r="F10131" s="3" t="str">
        <f t="shared" si="158"/>
        <v>I6297</v>
      </c>
    </row>
    <row r="10132" spans="1:6" x14ac:dyDescent="0.2">
      <c r="A10132" s="29" t="s">
        <v>23803</v>
      </c>
      <c r="B10132" s="30" t="s">
        <v>23804</v>
      </c>
      <c r="C10132" s="29" t="s">
        <v>26</v>
      </c>
      <c r="D10132" s="31">
        <v>94893.28</v>
      </c>
      <c r="F10132" s="3" t="str">
        <f t="shared" si="158"/>
        <v>I6298</v>
      </c>
    </row>
    <row r="10133" spans="1:6" x14ac:dyDescent="0.2">
      <c r="A10133" s="29" t="s">
        <v>23805</v>
      </c>
      <c r="B10133" s="30" t="s">
        <v>23806</v>
      </c>
      <c r="C10133" s="29" t="s">
        <v>26</v>
      </c>
      <c r="D10133" s="31">
        <v>129042.78</v>
      </c>
      <c r="F10133" s="3" t="str">
        <f t="shared" si="158"/>
        <v>I6299</v>
      </c>
    </row>
    <row r="10134" spans="1:6" x14ac:dyDescent="0.2">
      <c r="A10134" s="29" t="s">
        <v>23807</v>
      </c>
      <c r="B10134" s="30" t="s">
        <v>23808</v>
      </c>
      <c r="C10134" s="29" t="s">
        <v>26</v>
      </c>
      <c r="D10134" s="31">
        <v>971.96</v>
      </c>
      <c r="F10134" s="3" t="str">
        <f t="shared" si="158"/>
        <v>I6072</v>
      </c>
    </row>
    <row r="10135" spans="1:6" x14ac:dyDescent="0.2">
      <c r="A10135" s="29" t="s">
        <v>23809</v>
      </c>
      <c r="B10135" s="30" t="s">
        <v>23810</v>
      </c>
      <c r="C10135" s="29" t="s">
        <v>26</v>
      </c>
      <c r="D10135" s="31">
        <v>1420.43</v>
      </c>
      <c r="F10135" s="3" t="str">
        <f t="shared" si="158"/>
        <v>I6073</v>
      </c>
    </row>
    <row r="10136" spans="1:6" x14ac:dyDescent="0.2">
      <c r="A10136" s="29" t="s">
        <v>23811</v>
      </c>
      <c r="B10136" s="30" t="s">
        <v>23812</v>
      </c>
      <c r="C10136" s="29" t="s">
        <v>26</v>
      </c>
      <c r="D10136" s="31">
        <v>1607.34</v>
      </c>
      <c r="F10136" s="3" t="str">
        <f t="shared" si="158"/>
        <v>I6074</v>
      </c>
    </row>
    <row r="10137" spans="1:6" x14ac:dyDescent="0.2">
      <c r="A10137" s="29" t="s">
        <v>23813</v>
      </c>
      <c r="B10137" s="30" t="s">
        <v>23814</v>
      </c>
      <c r="C10137" s="29" t="s">
        <v>26</v>
      </c>
      <c r="D10137" s="31">
        <v>1756.52</v>
      </c>
      <c r="F10137" s="3" t="str">
        <f t="shared" si="158"/>
        <v>I6075</v>
      </c>
    </row>
    <row r="10138" spans="1:6" x14ac:dyDescent="0.2">
      <c r="A10138" s="29" t="s">
        <v>23815</v>
      </c>
      <c r="B10138" s="30" t="s">
        <v>23816</v>
      </c>
      <c r="C10138" s="29" t="s">
        <v>26</v>
      </c>
      <c r="D10138" s="31">
        <v>2394.1999999999998</v>
      </c>
      <c r="F10138" s="3" t="str">
        <f t="shared" si="158"/>
        <v>I6414</v>
      </c>
    </row>
    <row r="10139" spans="1:6" ht="33.75" x14ac:dyDescent="0.2">
      <c r="A10139" s="29" t="s">
        <v>23817</v>
      </c>
      <c r="B10139" s="30" t="s">
        <v>23818</v>
      </c>
      <c r="C10139" s="29" t="s">
        <v>26</v>
      </c>
      <c r="D10139" s="31">
        <v>161987.07</v>
      </c>
      <c r="F10139" s="3" t="str">
        <f t="shared" si="158"/>
        <v>I9604</v>
      </c>
    </row>
    <row r="10140" spans="1:6" ht="22.5" x14ac:dyDescent="0.2">
      <c r="A10140" s="29" t="s">
        <v>23819</v>
      </c>
      <c r="B10140" s="30" t="s">
        <v>23820</v>
      </c>
      <c r="C10140" s="29" t="s">
        <v>1284</v>
      </c>
      <c r="D10140" s="31">
        <v>19.760000000000002</v>
      </c>
      <c r="F10140" s="3" t="str">
        <f t="shared" si="158"/>
        <v>I9167</v>
      </c>
    </row>
    <row r="10141" spans="1:6" x14ac:dyDescent="0.2">
      <c r="A10141" s="29" t="s">
        <v>23821</v>
      </c>
      <c r="B10141" s="30" t="s">
        <v>23822</v>
      </c>
      <c r="C10141" s="29" t="s">
        <v>26</v>
      </c>
      <c r="D10141" s="31">
        <v>5430.63</v>
      </c>
      <c r="F10141" s="3" t="str">
        <f t="shared" si="158"/>
        <v>I8874</v>
      </c>
    </row>
    <row r="10142" spans="1:6" x14ac:dyDescent="0.2">
      <c r="A10142" s="29" t="s">
        <v>23823</v>
      </c>
      <c r="B10142" s="30" t="s">
        <v>23824</v>
      </c>
      <c r="C10142" s="29" t="s">
        <v>26</v>
      </c>
      <c r="D10142" s="31">
        <v>198.17</v>
      </c>
      <c r="F10142" s="3" t="str">
        <f t="shared" si="158"/>
        <v>I9754</v>
      </c>
    </row>
    <row r="10143" spans="1:6" x14ac:dyDescent="0.2">
      <c r="A10143" s="29" t="s">
        <v>23825</v>
      </c>
      <c r="B10143" s="30" t="s">
        <v>23826</v>
      </c>
      <c r="C10143" s="29" t="s">
        <v>26</v>
      </c>
      <c r="D10143" s="31">
        <v>39</v>
      </c>
      <c r="F10143" s="3" t="str">
        <f t="shared" si="158"/>
        <v>I6489</v>
      </c>
    </row>
    <row r="10144" spans="1:6" x14ac:dyDescent="0.2">
      <c r="A10144" s="29" t="s">
        <v>23827</v>
      </c>
      <c r="B10144" s="30" t="s">
        <v>23828</v>
      </c>
      <c r="C10144" s="29" t="s">
        <v>26</v>
      </c>
      <c r="D10144" s="31">
        <v>39</v>
      </c>
      <c r="F10144" s="3" t="str">
        <f t="shared" si="158"/>
        <v>I6490</v>
      </c>
    </row>
    <row r="10145" spans="1:6" x14ac:dyDescent="0.2">
      <c r="A10145" s="29" t="s">
        <v>23829</v>
      </c>
      <c r="B10145" s="30" t="s">
        <v>23830</v>
      </c>
      <c r="C10145" s="29" t="s">
        <v>26</v>
      </c>
      <c r="D10145" s="31">
        <v>29.26</v>
      </c>
      <c r="F10145" s="3" t="str">
        <f t="shared" si="158"/>
        <v>I6491</v>
      </c>
    </row>
    <row r="10146" spans="1:6" x14ac:dyDescent="0.2">
      <c r="A10146" s="29" t="s">
        <v>23831</v>
      </c>
      <c r="B10146" s="30" t="s">
        <v>23832</v>
      </c>
      <c r="C10146" s="29" t="s">
        <v>26</v>
      </c>
      <c r="D10146" s="31">
        <v>283.60000000000002</v>
      </c>
      <c r="F10146" s="3" t="str">
        <f t="shared" si="158"/>
        <v>I9755</v>
      </c>
    </row>
    <row r="10147" spans="1:6" x14ac:dyDescent="0.2">
      <c r="A10147" s="29" t="s">
        <v>23833</v>
      </c>
      <c r="B10147" s="30" t="s">
        <v>23834</v>
      </c>
      <c r="C10147" s="29" t="s">
        <v>26</v>
      </c>
      <c r="D10147" s="31">
        <v>1134.4100000000001</v>
      </c>
      <c r="F10147" s="3" t="str">
        <f t="shared" si="158"/>
        <v>I9756</v>
      </c>
    </row>
    <row r="10148" spans="1:6" x14ac:dyDescent="0.2">
      <c r="A10148" s="29" t="s">
        <v>23835</v>
      </c>
      <c r="B10148" s="30" t="s">
        <v>23836</v>
      </c>
      <c r="C10148" s="29" t="s">
        <v>26</v>
      </c>
      <c r="D10148" s="31">
        <v>720.05</v>
      </c>
      <c r="F10148" s="3" t="str">
        <f t="shared" si="158"/>
        <v>I9757</v>
      </c>
    </row>
    <row r="10149" spans="1:6" x14ac:dyDescent="0.2">
      <c r="A10149" s="29" t="s">
        <v>23837</v>
      </c>
      <c r="B10149" s="30" t="s">
        <v>23838</v>
      </c>
      <c r="C10149" s="29" t="s">
        <v>26</v>
      </c>
      <c r="D10149" s="31">
        <v>195.62</v>
      </c>
      <c r="F10149" s="3" t="str">
        <f t="shared" si="158"/>
        <v>I8875</v>
      </c>
    </row>
    <row r="10150" spans="1:6" x14ac:dyDescent="0.2">
      <c r="A10150" s="29" t="s">
        <v>23839</v>
      </c>
      <c r="B10150" s="30" t="s">
        <v>23840</v>
      </c>
      <c r="C10150" s="29" t="s">
        <v>26</v>
      </c>
      <c r="D10150" s="31">
        <v>3369.34</v>
      </c>
      <c r="F10150" s="3" t="str">
        <f t="shared" si="158"/>
        <v>I8876</v>
      </c>
    </row>
    <row r="10151" spans="1:6" x14ac:dyDescent="0.2">
      <c r="A10151" s="29" t="s">
        <v>23841</v>
      </c>
      <c r="B10151" s="30" t="s">
        <v>23842</v>
      </c>
      <c r="C10151" s="29" t="s">
        <v>26</v>
      </c>
      <c r="D10151" s="31">
        <v>90.26</v>
      </c>
      <c r="F10151" s="3" t="str">
        <f t="shared" si="158"/>
        <v>I8877</v>
      </c>
    </row>
    <row r="10152" spans="1:6" x14ac:dyDescent="0.2">
      <c r="A10152" s="29" t="s">
        <v>23843</v>
      </c>
      <c r="B10152" s="30" t="s">
        <v>23844</v>
      </c>
      <c r="C10152" s="29" t="s">
        <v>26</v>
      </c>
      <c r="D10152" s="31">
        <v>869.92</v>
      </c>
      <c r="F10152" s="3" t="str">
        <f t="shared" si="158"/>
        <v>I8878</v>
      </c>
    </row>
    <row r="10153" spans="1:6" x14ac:dyDescent="0.2">
      <c r="A10153" s="29" t="s">
        <v>23845</v>
      </c>
      <c r="B10153" s="30" t="s">
        <v>23846</v>
      </c>
      <c r="C10153" s="29" t="s">
        <v>26</v>
      </c>
      <c r="D10153" s="31">
        <v>5020.76</v>
      </c>
      <c r="F10153" s="3" t="str">
        <f t="shared" si="158"/>
        <v>I8879</v>
      </c>
    </row>
    <row r="10154" spans="1:6" x14ac:dyDescent="0.2">
      <c r="A10154" s="29" t="s">
        <v>23847</v>
      </c>
      <c r="B10154" s="30" t="s">
        <v>23848</v>
      </c>
      <c r="C10154" s="29" t="s">
        <v>26</v>
      </c>
      <c r="D10154" s="31">
        <v>519.23</v>
      </c>
      <c r="F10154" s="3" t="str">
        <f t="shared" si="158"/>
        <v>I9758</v>
      </c>
    </row>
    <row r="10155" spans="1:6" x14ac:dyDescent="0.2">
      <c r="A10155" s="29" t="s">
        <v>23849</v>
      </c>
      <c r="B10155" s="30" t="s">
        <v>23850</v>
      </c>
      <c r="C10155" s="29" t="s">
        <v>26</v>
      </c>
      <c r="D10155" s="31">
        <v>17.22</v>
      </c>
      <c r="F10155" s="3" t="str">
        <f t="shared" si="158"/>
        <v>I8954</v>
      </c>
    </row>
    <row r="10156" spans="1:6" x14ac:dyDescent="0.2">
      <c r="A10156" s="29" t="s">
        <v>23851</v>
      </c>
      <c r="B10156" s="30" t="s">
        <v>23852</v>
      </c>
      <c r="C10156" s="29" t="s">
        <v>0</v>
      </c>
      <c r="D10156" s="31">
        <v>9.26</v>
      </c>
      <c r="F10156" s="3" t="str">
        <f t="shared" si="158"/>
        <v>I6277</v>
      </c>
    </row>
    <row r="10157" spans="1:6" x14ac:dyDescent="0.2">
      <c r="A10157" s="29" t="s">
        <v>23853</v>
      </c>
      <c r="B10157" s="30" t="s">
        <v>23854</v>
      </c>
      <c r="C10157" s="29" t="s">
        <v>0</v>
      </c>
      <c r="D10157" s="31">
        <v>7.14</v>
      </c>
      <c r="F10157" s="3" t="str">
        <f t="shared" si="158"/>
        <v>I6279</v>
      </c>
    </row>
    <row r="10158" spans="1:6" x14ac:dyDescent="0.2">
      <c r="A10158" s="29" t="s">
        <v>23855</v>
      </c>
      <c r="B10158" s="30" t="s">
        <v>23856</v>
      </c>
      <c r="C10158" s="29" t="s">
        <v>26</v>
      </c>
      <c r="D10158" s="31">
        <v>1129.51</v>
      </c>
      <c r="F10158" s="3" t="str">
        <f t="shared" si="158"/>
        <v>I6242</v>
      </c>
    </row>
    <row r="10159" spans="1:6" x14ac:dyDescent="0.2">
      <c r="A10159" s="29" t="s">
        <v>23857</v>
      </c>
      <c r="B10159" s="30" t="s">
        <v>23858</v>
      </c>
      <c r="C10159" s="29" t="s">
        <v>1284</v>
      </c>
      <c r="D10159" s="31">
        <v>44.78</v>
      </c>
      <c r="F10159" s="3" t="str">
        <f t="shared" si="158"/>
        <v>I7433</v>
      </c>
    </row>
    <row r="10160" spans="1:6" x14ac:dyDescent="0.2">
      <c r="A10160" s="29" t="s">
        <v>23859</v>
      </c>
      <c r="B10160" s="30" t="s">
        <v>14575</v>
      </c>
      <c r="C10160" s="29" t="s">
        <v>0</v>
      </c>
      <c r="D10160" s="31">
        <v>2313.8000000000002</v>
      </c>
      <c r="F10160" s="3" t="str">
        <f t="shared" si="158"/>
        <v>I13149</v>
      </c>
    </row>
    <row r="10161" spans="1:6" x14ac:dyDescent="0.2">
      <c r="A10161" s="29" t="s">
        <v>23860</v>
      </c>
      <c r="B10161" s="30" t="s">
        <v>14577</v>
      </c>
      <c r="C10161" s="29" t="s">
        <v>0</v>
      </c>
      <c r="D10161" s="31">
        <v>1811.25</v>
      </c>
      <c r="F10161" s="3" t="str">
        <f t="shared" si="158"/>
        <v>I13148</v>
      </c>
    </row>
    <row r="10162" spans="1:6" x14ac:dyDescent="0.2">
      <c r="A10162" s="29" t="s">
        <v>23861</v>
      </c>
      <c r="B10162" s="30" t="s">
        <v>14579</v>
      </c>
      <c r="C10162" s="29" t="s">
        <v>0</v>
      </c>
      <c r="D10162" s="31">
        <v>2941.18</v>
      </c>
      <c r="F10162" s="3" t="str">
        <f t="shared" si="158"/>
        <v>I13147</v>
      </c>
    </row>
    <row r="10163" spans="1:6" x14ac:dyDescent="0.2">
      <c r="A10163" s="29" t="s">
        <v>23862</v>
      </c>
      <c r="B10163" s="30" t="s">
        <v>14581</v>
      </c>
      <c r="C10163" s="29" t="s">
        <v>0</v>
      </c>
      <c r="D10163" s="31">
        <v>5223.75</v>
      </c>
      <c r="F10163" s="3" t="str">
        <f t="shared" si="158"/>
        <v>I13146</v>
      </c>
    </row>
    <row r="10164" spans="1:6" ht="22.5" x14ac:dyDescent="0.2">
      <c r="A10164" s="29" t="s">
        <v>23863</v>
      </c>
      <c r="B10164" s="30" t="s">
        <v>14589</v>
      </c>
      <c r="C10164" s="29" t="s">
        <v>0</v>
      </c>
      <c r="D10164" s="31">
        <v>2086.63</v>
      </c>
      <c r="F10164" s="3" t="str">
        <f t="shared" si="158"/>
        <v>I9061</v>
      </c>
    </row>
    <row r="10165" spans="1:6" ht="22.5" x14ac:dyDescent="0.2">
      <c r="A10165" s="29" t="s">
        <v>23864</v>
      </c>
      <c r="B10165" s="30" t="s">
        <v>14591</v>
      </c>
      <c r="C10165" s="29" t="s">
        <v>0</v>
      </c>
      <c r="D10165" s="31">
        <v>1632.02</v>
      </c>
      <c r="F10165" s="3" t="str">
        <f t="shared" si="158"/>
        <v>I9062</v>
      </c>
    </row>
    <row r="10166" spans="1:6" ht="78.75" x14ac:dyDescent="0.2">
      <c r="A10166" s="29" t="s">
        <v>23865</v>
      </c>
      <c r="B10166" s="30" t="s">
        <v>23866</v>
      </c>
      <c r="C10166" s="29" t="s">
        <v>26</v>
      </c>
      <c r="D10166" s="31">
        <v>206055.74</v>
      </c>
      <c r="F10166" s="3" t="str">
        <f t="shared" si="158"/>
        <v>I9146</v>
      </c>
    </row>
    <row r="10167" spans="1:6" ht="78.75" x14ac:dyDescent="0.2">
      <c r="A10167" s="29" t="s">
        <v>23867</v>
      </c>
      <c r="B10167" s="30" t="s">
        <v>23868</v>
      </c>
      <c r="C10167" s="29" t="s">
        <v>26</v>
      </c>
      <c r="D10167" s="31">
        <v>246694.77</v>
      </c>
      <c r="F10167" s="3" t="str">
        <f t="shared" si="158"/>
        <v>I9147</v>
      </c>
    </row>
    <row r="10168" spans="1:6" ht="78.75" x14ac:dyDescent="0.2">
      <c r="A10168" s="29" t="s">
        <v>23869</v>
      </c>
      <c r="B10168" s="30" t="s">
        <v>23870</v>
      </c>
      <c r="C10168" s="29" t="s">
        <v>26</v>
      </c>
      <c r="D10168" s="31">
        <v>264223.02</v>
      </c>
      <c r="F10168" s="3" t="str">
        <f t="shared" si="158"/>
        <v>I9148</v>
      </c>
    </row>
    <row r="10169" spans="1:6" ht="78.75" x14ac:dyDescent="0.2">
      <c r="A10169" s="29" t="s">
        <v>23871</v>
      </c>
      <c r="B10169" s="30" t="s">
        <v>23872</v>
      </c>
      <c r="C10169" s="29" t="s">
        <v>26</v>
      </c>
      <c r="D10169" s="31">
        <v>206055.74</v>
      </c>
      <c r="F10169" s="3" t="str">
        <f t="shared" si="158"/>
        <v>I13298</v>
      </c>
    </row>
    <row r="10170" spans="1:6" ht="22.5" x14ac:dyDescent="0.2">
      <c r="A10170" s="29" t="s">
        <v>23873</v>
      </c>
      <c r="B10170" s="30" t="s">
        <v>23874</v>
      </c>
      <c r="C10170" s="29" t="s">
        <v>26</v>
      </c>
      <c r="D10170" s="31">
        <v>73684.210000000006</v>
      </c>
      <c r="F10170" s="3" t="str">
        <f t="shared" si="158"/>
        <v>I9760</v>
      </c>
    </row>
    <row r="10171" spans="1:6" x14ac:dyDescent="0.2">
      <c r="A10171" s="29" t="s">
        <v>23875</v>
      </c>
      <c r="B10171" s="30" t="s">
        <v>23876</v>
      </c>
      <c r="C10171" s="29" t="s">
        <v>255</v>
      </c>
      <c r="D10171" s="31">
        <v>243.35</v>
      </c>
      <c r="F10171" s="3" t="str">
        <f t="shared" si="158"/>
        <v>I9761</v>
      </c>
    </row>
    <row r="10172" spans="1:6" x14ac:dyDescent="0.2">
      <c r="A10172" s="29" t="s">
        <v>23877</v>
      </c>
      <c r="B10172" s="30" t="s">
        <v>23878</v>
      </c>
      <c r="C10172" s="29" t="s">
        <v>26</v>
      </c>
      <c r="D10172" s="31">
        <v>188.39</v>
      </c>
      <c r="F10172" s="3" t="str">
        <f t="shared" si="158"/>
        <v>I10473</v>
      </c>
    </row>
    <row r="10173" spans="1:6" x14ac:dyDescent="0.2">
      <c r="A10173" s="29" t="s">
        <v>23879</v>
      </c>
      <c r="B10173" s="30" t="s">
        <v>23880</v>
      </c>
      <c r="C10173" s="29" t="s">
        <v>26</v>
      </c>
      <c r="D10173" s="31">
        <v>222.08</v>
      </c>
      <c r="F10173" s="3" t="str">
        <f t="shared" si="158"/>
        <v>I9762</v>
      </c>
    </row>
    <row r="10174" spans="1:6" ht="22.5" x14ac:dyDescent="0.2">
      <c r="A10174" s="29" t="s">
        <v>23881</v>
      </c>
      <c r="B10174" s="30" t="s">
        <v>23882</v>
      </c>
      <c r="C10174" s="29" t="s">
        <v>26</v>
      </c>
      <c r="D10174" s="31">
        <v>3095.59</v>
      </c>
      <c r="F10174" s="3" t="str">
        <f t="shared" si="158"/>
        <v>I9763</v>
      </c>
    </row>
    <row r="10175" spans="1:6" x14ac:dyDescent="0.2">
      <c r="A10175" s="29" t="s">
        <v>23883</v>
      </c>
      <c r="B10175" s="30" t="s">
        <v>23884</v>
      </c>
      <c r="C10175" s="29" t="s">
        <v>26</v>
      </c>
      <c r="D10175" s="31">
        <v>162.22999999999999</v>
      </c>
      <c r="F10175" s="3" t="str">
        <f t="shared" si="158"/>
        <v>I6217</v>
      </c>
    </row>
    <row r="10176" spans="1:6" x14ac:dyDescent="0.2">
      <c r="A10176" s="29" t="s">
        <v>23885</v>
      </c>
      <c r="B10176" s="30" t="s">
        <v>23886</v>
      </c>
      <c r="C10176" s="29" t="s">
        <v>26</v>
      </c>
      <c r="D10176" s="31">
        <v>195.02</v>
      </c>
      <c r="F10176" s="3" t="str">
        <f t="shared" si="158"/>
        <v>I6218</v>
      </c>
    </row>
    <row r="10177" spans="1:6" x14ac:dyDescent="0.2">
      <c r="A10177" s="29" t="s">
        <v>23887</v>
      </c>
      <c r="B10177" s="30" t="s">
        <v>23888</v>
      </c>
      <c r="C10177" s="29" t="s">
        <v>26</v>
      </c>
      <c r="D10177" s="31">
        <v>280.12</v>
      </c>
      <c r="F10177" s="3" t="str">
        <f t="shared" si="158"/>
        <v>I3760</v>
      </c>
    </row>
    <row r="10178" spans="1:6" x14ac:dyDescent="0.2">
      <c r="A10178" s="29" t="s">
        <v>23889</v>
      </c>
      <c r="B10178" s="30" t="s">
        <v>23890</v>
      </c>
      <c r="C10178" s="29" t="s">
        <v>26</v>
      </c>
      <c r="D10178" s="31">
        <v>280.12</v>
      </c>
      <c r="F10178" s="3" t="str">
        <f t="shared" ref="F10178:F10241" si="159">A10178</f>
        <v>I7120</v>
      </c>
    </row>
    <row r="10179" spans="1:6" x14ac:dyDescent="0.2">
      <c r="A10179" s="29" t="s">
        <v>23891</v>
      </c>
      <c r="B10179" s="30" t="s">
        <v>23892</v>
      </c>
      <c r="C10179" s="29" t="s">
        <v>26</v>
      </c>
      <c r="D10179" s="31">
        <v>344.74</v>
      </c>
      <c r="F10179" s="3" t="str">
        <f t="shared" si="159"/>
        <v>I3761</v>
      </c>
    </row>
    <row r="10180" spans="1:6" x14ac:dyDescent="0.2">
      <c r="A10180" s="29" t="s">
        <v>23893</v>
      </c>
      <c r="B10180" s="30" t="s">
        <v>23894</v>
      </c>
      <c r="C10180" s="29" t="s">
        <v>26</v>
      </c>
      <c r="D10180" s="31">
        <v>474.64</v>
      </c>
      <c r="F10180" s="3" t="str">
        <f t="shared" si="159"/>
        <v>I3762</v>
      </c>
    </row>
    <row r="10181" spans="1:6" x14ac:dyDescent="0.2">
      <c r="A10181" s="29" t="s">
        <v>23895</v>
      </c>
      <c r="B10181" s="30" t="s">
        <v>23896</v>
      </c>
      <c r="C10181" s="29" t="s">
        <v>26</v>
      </c>
      <c r="D10181" s="31">
        <v>637.42999999999995</v>
      </c>
      <c r="F10181" s="3" t="str">
        <f t="shared" si="159"/>
        <v>I3763</v>
      </c>
    </row>
    <row r="10182" spans="1:6" x14ac:dyDescent="0.2">
      <c r="A10182" s="29" t="s">
        <v>23897</v>
      </c>
      <c r="B10182" s="30" t="s">
        <v>23898</v>
      </c>
      <c r="C10182" s="29" t="s">
        <v>26</v>
      </c>
      <c r="D10182" s="31">
        <v>924.38</v>
      </c>
      <c r="F10182" s="3" t="str">
        <f t="shared" si="159"/>
        <v>I3764</v>
      </c>
    </row>
    <row r="10183" spans="1:6" x14ac:dyDescent="0.2">
      <c r="A10183" s="29" t="s">
        <v>23899</v>
      </c>
      <c r="B10183" s="30" t="s">
        <v>23900</v>
      </c>
      <c r="C10183" s="29" t="s">
        <v>26</v>
      </c>
      <c r="D10183" s="31">
        <v>1168.78</v>
      </c>
      <c r="F10183" s="3" t="str">
        <f t="shared" si="159"/>
        <v>I3765</v>
      </c>
    </row>
    <row r="10184" spans="1:6" x14ac:dyDescent="0.2">
      <c r="A10184" s="29" t="s">
        <v>23901</v>
      </c>
      <c r="B10184" s="30" t="s">
        <v>23902</v>
      </c>
      <c r="C10184" s="29" t="s">
        <v>26</v>
      </c>
      <c r="D10184" s="31">
        <v>2203.9299999999998</v>
      </c>
      <c r="F10184" s="3" t="str">
        <f t="shared" si="159"/>
        <v>I3766</v>
      </c>
    </row>
    <row r="10185" spans="1:6" x14ac:dyDescent="0.2">
      <c r="A10185" s="29" t="s">
        <v>23903</v>
      </c>
      <c r="B10185" s="30" t="s">
        <v>23904</v>
      </c>
      <c r="C10185" s="29" t="s">
        <v>26</v>
      </c>
      <c r="D10185" s="31">
        <v>2503.06</v>
      </c>
      <c r="F10185" s="3" t="str">
        <f t="shared" si="159"/>
        <v>I3767</v>
      </c>
    </row>
    <row r="10186" spans="1:6" x14ac:dyDescent="0.2">
      <c r="A10186" s="29" t="s">
        <v>23905</v>
      </c>
      <c r="B10186" s="30" t="s">
        <v>23906</v>
      </c>
      <c r="C10186" s="29" t="s">
        <v>26</v>
      </c>
      <c r="D10186" s="31">
        <v>2923.79</v>
      </c>
      <c r="F10186" s="3" t="str">
        <f t="shared" si="159"/>
        <v>I3768</v>
      </c>
    </row>
    <row r="10187" spans="1:6" x14ac:dyDescent="0.2">
      <c r="A10187" s="29" t="s">
        <v>23907</v>
      </c>
      <c r="B10187" s="30" t="s">
        <v>23908</v>
      </c>
      <c r="C10187" s="29" t="s">
        <v>26</v>
      </c>
      <c r="D10187" s="31">
        <v>3441.99</v>
      </c>
      <c r="F10187" s="3" t="str">
        <f t="shared" si="159"/>
        <v>I3769</v>
      </c>
    </row>
    <row r="10188" spans="1:6" x14ac:dyDescent="0.2">
      <c r="A10188" s="29" t="s">
        <v>23909</v>
      </c>
      <c r="B10188" s="30" t="s">
        <v>23910</v>
      </c>
      <c r="C10188" s="29" t="s">
        <v>26</v>
      </c>
      <c r="D10188" s="31">
        <v>11070.72</v>
      </c>
      <c r="F10188" s="3" t="str">
        <f t="shared" si="159"/>
        <v>I3770</v>
      </c>
    </row>
    <row r="10189" spans="1:6" x14ac:dyDescent="0.2">
      <c r="A10189" s="29" t="s">
        <v>23911</v>
      </c>
      <c r="B10189" s="30" t="s">
        <v>23912</v>
      </c>
      <c r="C10189" s="29" t="s">
        <v>26</v>
      </c>
      <c r="D10189" s="31">
        <v>17045.060000000001</v>
      </c>
      <c r="F10189" s="3" t="str">
        <f t="shared" si="159"/>
        <v>I3771</v>
      </c>
    </row>
    <row r="10190" spans="1:6" x14ac:dyDescent="0.2">
      <c r="A10190" s="29" t="s">
        <v>23913</v>
      </c>
      <c r="B10190" s="30" t="s">
        <v>23914</v>
      </c>
      <c r="C10190" s="29" t="s">
        <v>26</v>
      </c>
      <c r="D10190" s="31">
        <v>18821.75</v>
      </c>
      <c r="F10190" s="3" t="str">
        <f t="shared" si="159"/>
        <v>I3772</v>
      </c>
    </row>
    <row r="10191" spans="1:6" x14ac:dyDescent="0.2">
      <c r="A10191" s="29" t="s">
        <v>23915</v>
      </c>
      <c r="B10191" s="30" t="s">
        <v>23916</v>
      </c>
      <c r="C10191" s="29" t="s">
        <v>26</v>
      </c>
      <c r="D10191" s="31">
        <v>22717.3</v>
      </c>
      <c r="F10191" s="3" t="str">
        <f t="shared" si="159"/>
        <v>I3773</v>
      </c>
    </row>
    <row r="10192" spans="1:6" x14ac:dyDescent="0.2">
      <c r="A10192" s="29" t="s">
        <v>23917</v>
      </c>
      <c r="B10192" s="30" t="s">
        <v>23918</v>
      </c>
      <c r="C10192" s="29" t="s">
        <v>26</v>
      </c>
      <c r="D10192" s="31">
        <v>396.8</v>
      </c>
      <c r="F10192" s="3" t="str">
        <f t="shared" si="159"/>
        <v>I10750</v>
      </c>
    </row>
    <row r="10193" spans="1:6" x14ac:dyDescent="0.2">
      <c r="A10193" s="29" t="s">
        <v>23919</v>
      </c>
      <c r="B10193" s="30" t="s">
        <v>23920</v>
      </c>
      <c r="C10193" s="29" t="s">
        <v>26</v>
      </c>
      <c r="D10193" s="31">
        <v>26792.17</v>
      </c>
      <c r="F10193" s="3" t="str">
        <f t="shared" si="159"/>
        <v>I3774</v>
      </c>
    </row>
    <row r="10194" spans="1:6" x14ac:dyDescent="0.2">
      <c r="A10194" s="29" t="s">
        <v>23921</v>
      </c>
      <c r="B10194" s="30" t="s">
        <v>23922</v>
      </c>
      <c r="C10194" s="29" t="s">
        <v>26</v>
      </c>
      <c r="D10194" s="31">
        <v>28575.81</v>
      </c>
      <c r="F10194" s="3" t="str">
        <f t="shared" si="159"/>
        <v>I10748</v>
      </c>
    </row>
    <row r="10195" spans="1:6" x14ac:dyDescent="0.2">
      <c r="A10195" s="29" t="s">
        <v>23923</v>
      </c>
      <c r="B10195" s="30" t="s">
        <v>23924</v>
      </c>
      <c r="C10195" s="29" t="s">
        <v>26</v>
      </c>
      <c r="D10195" s="31">
        <v>29827.37</v>
      </c>
      <c r="F10195" s="3" t="str">
        <f t="shared" si="159"/>
        <v>I10763</v>
      </c>
    </row>
    <row r="10196" spans="1:6" x14ac:dyDescent="0.2">
      <c r="A10196" s="29" t="s">
        <v>23925</v>
      </c>
      <c r="B10196" s="30" t="s">
        <v>23926</v>
      </c>
      <c r="C10196" s="29" t="s">
        <v>26</v>
      </c>
      <c r="D10196" s="31">
        <v>36219.5</v>
      </c>
      <c r="F10196" s="3" t="str">
        <f t="shared" si="159"/>
        <v>I3776</v>
      </c>
    </row>
    <row r="10197" spans="1:6" x14ac:dyDescent="0.2">
      <c r="A10197" s="29" t="s">
        <v>23927</v>
      </c>
      <c r="B10197" s="30" t="s">
        <v>23928</v>
      </c>
      <c r="C10197" s="29" t="s">
        <v>26</v>
      </c>
      <c r="D10197" s="31">
        <v>35815.67</v>
      </c>
      <c r="F10197" s="3" t="str">
        <f t="shared" si="159"/>
        <v>I10749</v>
      </c>
    </row>
    <row r="10198" spans="1:6" x14ac:dyDescent="0.2">
      <c r="A10198" s="29" t="s">
        <v>23929</v>
      </c>
      <c r="B10198" s="30" t="s">
        <v>23930</v>
      </c>
      <c r="C10198" s="29" t="s">
        <v>26</v>
      </c>
      <c r="D10198" s="31">
        <v>38392.199999999997</v>
      </c>
      <c r="F10198" s="3" t="str">
        <f t="shared" si="159"/>
        <v>I10764</v>
      </c>
    </row>
    <row r="10199" spans="1:6" x14ac:dyDescent="0.2">
      <c r="A10199" s="29" t="s">
        <v>23931</v>
      </c>
      <c r="B10199" s="30" t="s">
        <v>23932</v>
      </c>
      <c r="C10199" s="29" t="s">
        <v>26</v>
      </c>
      <c r="D10199" s="31">
        <v>580.65</v>
      </c>
      <c r="F10199" s="3" t="str">
        <f t="shared" si="159"/>
        <v>I10751</v>
      </c>
    </row>
    <row r="10200" spans="1:6" x14ac:dyDescent="0.2">
      <c r="A10200" s="29" t="s">
        <v>23933</v>
      </c>
      <c r="B10200" s="30" t="s">
        <v>23934</v>
      </c>
      <c r="C10200" s="29" t="s">
        <v>26</v>
      </c>
      <c r="D10200" s="31">
        <v>634.97</v>
      </c>
      <c r="F10200" s="3" t="str">
        <f t="shared" si="159"/>
        <v>I10737</v>
      </c>
    </row>
    <row r="10201" spans="1:6" x14ac:dyDescent="0.2">
      <c r="A10201" s="29" t="s">
        <v>23935</v>
      </c>
      <c r="B10201" s="30" t="s">
        <v>23936</v>
      </c>
      <c r="C10201" s="29" t="s">
        <v>26</v>
      </c>
      <c r="D10201" s="31">
        <v>730.85</v>
      </c>
      <c r="F10201" s="3" t="str">
        <f t="shared" si="159"/>
        <v>I10752</v>
      </c>
    </row>
    <row r="10202" spans="1:6" x14ac:dyDescent="0.2">
      <c r="A10202" s="29" t="s">
        <v>23937</v>
      </c>
      <c r="B10202" s="30" t="s">
        <v>23938</v>
      </c>
      <c r="C10202" s="29" t="s">
        <v>26</v>
      </c>
      <c r="D10202" s="31">
        <v>995.71</v>
      </c>
      <c r="F10202" s="3" t="str">
        <f t="shared" si="159"/>
        <v>I10738</v>
      </c>
    </row>
    <row r="10203" spans="1:6" x14ac:dyDescent="0.2">
      <c r="A10203" s="29" t="s">
        <v>23939</v>
      </c>
      <c r="B10203" s="30" t="s">
        <v>23940</v>
      </c>
      <c r="C10203" s="29" t="s">
        <v>26</v>
      </c>
      <c r="D10203" s="31">
        <v>1069.73</v>
      </c>
      <c r="F10203" s="3" t="str">
        <f t="shared" si="159"/>
        <v>I10753</v>
      </c>
    </row>
    <row r="10204" spans="1:6" x14ac:dyDescent="0.2">
      <c r="A10204" s="29" t="s">
        <v>23941</v>
      </c>
      <c r="B10204" s="30" t="s">
        <v>23942</v>
      </c>
      <c r="C10204" s="29" t="s">
        <v>26</v>
      </c>
      <c r="D10204" s="31">
        <v>1201.97</v>
      </c>
      <c r="F10204" s="3" t="str">
        <f t="shared" si="159"/>
        <v>I10739</v>
      </c>
    </row>
    <row r="10205" spans="1:6" x14ac:dyDescent="0.2">
      <c r="A10205" s="29" t="s">
        <v>23943</v>
      </c>
      <c r="B10205" s="30" t="s">
        <v>23944</v>
      </c>
      <c r="C10205" s="29" t="s">
        <v>26</v>
      </c>
      <c r="D10205" s="31">
        <v>1365.95</v>
      </c>
      <c r="F10205" s="3" t="str">
        <f t="shared" si="159"/>
        <v>I10754</v>
      </c>
    </row>
    <row r="10206" spans="1:6" x14ac:dyDescent="0.2">
      <c r="A10206" s="29" t="s">
        <v>23945</v>
      </c>
      <c r="B10206" s="30" t="s">
        <v>23946</v>
      </c>
      <c r="C10206" s="29" t="s">
        <v>26</v>
      </c>
      <c r="D10206" s="31">
        <v>2254.67</v>
      </c>
      <c r="F10206" s="3" t="str">
        <f t="shared" si="159"/>
        <v>I10740</v>
      </c>
    </row>
    <row r="10207" spans="1:6" x14ac:dyDescent="0.2">
      <c r="A10207" s="29" t="s">
        <v>23947</v>
      </c>
      <c r="B10207" s="30" t="s">
        <v>23948</v>
      </c>
      <c r="C10207" s="29" t="s">
        <v>26</v>
      </c>
      <c r="D10207" s="31">
        <v>2496.4899999999998</v>
      </c>
      <c r="F10207" s="3" t="str">
        <f t="shared" si="159"/>
        <v>I10755</v>
      </c>
    </row>
    <row r="10208" spans="1:6" x14ac:dyDescent="0.2">
      <c r="A10208" s="29" t="s">
        <v>23949</v>
      </c>
      <c r="B10208" s="30" t="s">
        <v>23950</v>
      </c>
      <c r="C10208" s="29" t="s">
        <v>26</v>
      </c>
      <c r="D10208" s="31">
        <v>2798.18</v>
      </c>
      <c r="F10208" s="3" t="str">
        <f t="shared" si="159"/>
        <v>I10741</v>
      </c>
    </row>
    <row r="10209" spans="1:6" x14ac:dyDescent="0.2">
      <c r="A10209" s="29" t="s">
        <v>23951</v>
      </c>
      <c r="B10209" s="30" t="s">
        <v>23952</v>
      </c>
      <c r="C10209" s="29" t="s">
        <v>26</v>
      </c>
      <c r="D10209" s="31">
        <v>3348.96</v>
      </c>
      <c r="F10209" s="3" t="str">
        <f t="shared" si="159"/>
        <v>I10756</v>
      </c>
    </row>
    <row r="10210" spans="1:6" x14ac:dyDescent="0.2">
      <c r="A10210" s="29" t="s">
        <v>23953</v>
      </c>
      <c r="B10210" s="30" t="s">
        <v>23954</v>
      </c>
      <c r="C10210" s="29" t="s">
        <v>26</v>
      </c>
      <c r="D10210" s="31">
        <v>3265.06</v>
      </c>
      <c r="F10210" s="3" t="str">
        <f t="shared" si="159"/>
        <v>I10742</v>
      </c>
    </row>
    <row r="10211" spans="1:6" x14ac:dyDescent="0.2">
      <c r="A10211" s="29" t="s">
        <v>23955</v>
      </c>
      <c r="B10211" s="30" t="s">
        <v>23956</v>
      </c>
      <c r="C10211" s="29" t="s">
        <v>26</v>
      </c>
      <c r="D10211" s="31">
        <v>3475.87</v>
      </c>
      <c r="F10211" s="3" t="str">
        <f t="shared" si="159"/>
        <v>I10757</v>
      </c>
    </row>
    <row r="10212" spans="1:6" x14ac:dyDescent="0.2">
      <c r="A10212" s="29" t="s">
        <v>23957</v>
      </c>
      <c r="B10212" s="30" t="s">
        <v>23958</v>
      </c>
      <c r="C10212" s="29" t="s">
        <v>26</v>
      </c>
      <c r="D10212" s="31">
        <v>4096.01</v>
      </c>
      <c r="F10212" s="3" t="str">
        <f t="shared" si="159"/>
        <v>I10743</v>
      </c>
    </row>
    <row r="10213" spans="1:6" x14ac:dyDescent="0.2">
      <c r="A10213" s="29" t="s">
        <v>23959</v>
      </c>
      <c r="B10213" s="30" t="s">
        <v>23960</v>
      </c>
      <c r="C10213" s="29" t="s">
        <v>26</v>
      </c>
      <c r="D10213" s="31">
        <v>4817.33</v>
      </c>
      <c r="F10213" s="3" t="str">
        <f t="shared" si="159"/>
        <v>I10758</v>
      </c>
    </row>
    <row r="10214" spans="1:6" x14ac:dyDescent="0.2">
      <c r="A10214" s="29" t="s">
        <v>23961</v>
      </c>
      <c r="B10214" s="30" t="s">
        <v>23962</v>
      </c>
      <c r="C10214" s="29" t="s">
        <v>26</v>
      </c>
      <c r="D10214" s="31">
        <v>12804.45</v>
      </c>
      <c r="F10214" s="3" t="str">
        <f t="shared" si="159"/>
        <v>I10744</v>
      </c>
    </row>
    <row r="10215" spans="1:6" x14ac:dyDescent="0.2">
      <c r="A10215" s="29" t="s">
        <v>23963</v>
      </c>
      <c r="B10215" s="30" t="s">
        <v>23964</v>
      </c>
      <c r="C10215" s="29" t="s">
        <v>26</v>
      </c>
      <c r="D10215" s="31">
        <v>13901.83</v>
      </c>
      <c r="F10215" s="3" t="str">
        <f t="shared" si="159"/>
        <v>I10759</v>
      </c>
    </row>
    <row r="10216" spans="1:6" x14ac:dyDescent="0.2">
      <c r="A10216" s="29" t="s">
        <v>23965</v>
      </c>
      <c r="B10216" s="30" t="s">
        <v>23966</v>
      </c>
      <c r="C10216" s="29" t="s">
        <v>26</v>
      </c>
      <c r="D10216" s="31">
        <v>20887.29</v>
      </c>
      <c r="F10216" s="3" t="str">
        <f t="shared" si="159"/>
        <v>I10745</v>
      </c>
    </row>
    <row r="10217" spans="1:6" x14ac:dyDescent="0.2">
      <c r="A10217" s="29" t="s">
        <v>23967</v>
      </c>
      <c r="B10217" s="30" t="s">
        <v>23968</v>
      </c>
      <c r="C10217" s="29" t="s">
        <v>26</v>
      </c>
      <c r="D10217" s="31">
        <v>21293.07</v>
      </c>
      <c r="F10217" s="3" t="str">
        <f t="shared" si="159"/>
        <v>I10760</v>
      </c>
    </row>
    <row r="10218" spans="1:6" x14ac:dyDescent="0.2">
      <c r="A10218" s="29" t="s">
        <v>23969</v>
      </c>
      <c r="B10218" s="30" t="s">
        <v>23970</v>
      </c>
      <c r="C10218" s="29" t="s">
        <v>26</v>
      </c>
      <c r="D10218" s="31">
        <v>19060.46</v>
      </c>
      <c r="F10218" s="3" t="str">
        <f t="shared" si="159"/>
        <v>I10746</v>
      </c>
    </row>
    <row r="10219" spans="1:6" x14ac:dyDescent="0.2">
      <c r="A10219" s="29" t="s">
        <v>23971</v>
      </c>
      <c r="B10219" s="30" t="s">
        <v>23972</v>
      </c>
      <c r="C10219" s="29" t="s">
        <v>26</v>
      </c>
      <c r="D10219" s="31">
        <v>19740.55</v>
      </c>
      <c r="F10219" s="3" t="str">
        <f t="shared" si="159"/>
        <v>I10761</v>
      </c>
    </row>
    <row r="10220" spans="1:6" x14ac:dyDescent="0.2">
      <c r="A10220" s="29" t="s">
        <v>23973</v>
      </c>
      <c r="B10220" s="30" t="s">
        <v>23974</v>
      </c>
      <c r="C10220" s="29" t="s">
        <v>26</v>
      </c>
      <c r="D10220" s="31">
        <v>24849.59</v>
      </c>
      <c r="F10220" s="3" t="str">
        <f t="shared" si="159"/>
        <v>I10747</v>
      </c>
    </row>
    <row r="10221" spans="1:6" x14ac:dyDescent="0.2">
      <c r="A10221" s="29" t="s">
        <v>23975</v>
      </c>
      <c r="B10221" s="30" t="s">
        <v>23976</v>
      </c>
      <c r="C10221" s="29" t="s">
        <v>26</v>
      </c>
      <c r="D10221" s="31">
        <v>25560.12</v>
      </c>
      <c r="F10221" s="3" t="str">
        <f t="shared" si="159"/>
        <v>I10762</v>
      </c>
    </row>
    <row r="10222" spans="1:6" x14ac:dyDescent="0.2">
      <c r="A10222" s="29" t="s">
        <v>23977</v>
      </c>
      <c r="B10222" s="30" t="s">
        <v>23978</v>
      </c>
      <c r="C10222" s="29" t="s">
        <v>26</v>
      </c>
      <c r="D10222" s="31">
        <v>2890.99</v>
      </c>
      <c r="F10222" s="3" t="str">
        <f t="shared" si="159"/>
        <v>I7663</v>
      </c>
    </row>
    <row r="10223" spans="1:6" x14ac:dyDescent="0.2">
      <c r="A10223" s="29" t="s">
        <v>23979</v>
      </c>
      <c r="B10223" s="30" t="s">
        <v>23980</v>
      </c>
      <c r="C10223" s="29" t="s">
        <v>26</v>
      </c>
      <c r="D10223" s="31">
        <v>2924.18</v>
      </c>
      <c r="F10223" s="3" t="str">
        <f t="shared" si="159"/>
        <v>I7674</v>
      </c>
    </row>
    <row r="10224" spans="1:6" x14ac:dyDescent="0.2">
      <c r="A10224" s="29" t="s">
        <v>23981</v>
      </c>
      <c r="B10224" s="30" t="s">
        <v>23982</v>
      </c>
      <c r="C10224" s="29" t="s">
        <v>26</v>
      </c>
      <c r="D10224" s="31">
        <v>3074.53</v>
      </c>
      <c r="F10224" s="3" t="str">
        <f t="shared" si="159"/>
        <v>I7684</v>
      </c>
    </row>
    <row r="10225" spans="1:6" x14ac:dyDescent="0.2">
      <c r="A10225" s="29" t="s">
        <v>23983</v>
      </c>
      <c r="B10225" s="30" t="s">
        <v>23984</v>
      </c>
      <c r="C10225" s="29" t="s">
        <v>26</v>
      </c>
      <c r="D10225" s="31">
        <v>4010.24</v>
      </c>
      <c r="F10225" s="3" t="str">
        <f t="shared" si="159"/>
        <v>I7664</v>
      </c>
    </row>
    <row r="10226" spans="1:6" x14ac:dyDescent="0.2">
      <c r="A10226" s="29" t="s">
        <v>23985</v>
      </c>
      <c r="B10226" s="30" t="s">
        <v>23986</v>
      </c>
      <c r="C10226" s="29" t="s">
        <v>26</v>
      </c>
      <c r="D10226" s="31">
        <v>4060.98</v>
      </c>
      <c r="F10226" s="3" t="str">
        <f t="shared" si="159"/>
        <v>I7675</v>
      </c>
    </row>
    <row r="10227" spans="1:6" x14ac:dyDescent="0.2">
      <c r="A10227" s="29" t="s">
        <v>23987</v>
      </c>
      <c r="B10227" s="30" t="s">
        <v>23988</v>
      </c>
      <c r="C10227" s="29" t="s">
        <v>26</v>
      </c>
      <c r="D10227" s="31">
        <v>4302.8</v>
      </c>
      <c r="F10227" s="3" t="str">
        <f t="shared" si="159"/>
        <v>I7685</v>
      </c>
    </row>
    <row r="10228" spans="1:6" x14ac:dyDescent="0.2">
      <c r="A10228" s="29" t="s">
        <v>23989</v>
      </c>
      <c r="B10228" s="30" t="s">
        <v>23990</v>
      </c>
      <c r="C10228" s="29" t="s">
        <v>26</v>
      </c>
      <c r="D10228" s="31">
        <v>4444.26</v>
      </c>
      <c r="F10228" s="3" t="str">
        <f t="shared" si="159"/>
        <v>I7665</v>
      </c>
    </row>
    <row r="10229" spans="1:6" x14ac:dyDescent="0.2">
      <c r="A10229" s="29" t="s">
        <v>23991</v>
      </c>
      <c r="B10229" s="30" t="s">
        <v>23992</v>
      </c>
      <c r="C10229" s="29" t="s">
        <v>26</v>
      </c>
      <c r="D10229" s="31">
        <v>4739.37</v>
      </c>
      <c r="F10229" s="3" t="str">
        <f t="shared" si="159"/>
        <v>I7676</v>
      </c>
    </row>
    <row r="10230" spans="1:6" x14ac:dyDescent="0.2">
      <c r="A10230" s="29" t="s">
        <v>23993</v>
      </c>
      <c r="B10230" s="30" t="s">
        <v>23994</v>
      </c>
      <c r="C10230" s="29" t="s">
        <v>26</v>
      </c>
      <c r="D10230" s="31">
        <v>5290.16</v>
      </c>
      <c r="F10230" s="3" t="str">
        <f t="shared" si="159"/>
        <v>I7686</v>
      </c>
    </row>
    <row r="10231" spans="1:6" x14ac:dyDescent="0.2">
      <c r="A10231" s="29" t="s">
        <v>23995</v>
      </c>
      <c r="B10231" s="30" t="s">
        <v>23996</v>
      </c>
      <c r="C10231" s="29" t="s">
        <v>26</v>
      </c>
      <c r="D10231" s="31">
        <v>5975.09</v>
      </c>
      <c r="F10231" s="3" t="str">
        <f t="shared" si="159"/>
        <v>I7666</v>
      </c>
    </row>
    <row r="10232" spans="1:6" x14ac:dyDescent="0.2">
      <c r="A10232" s="29" t="s">
        <v>23997</v>
      </c>
      <c r="B10232" s="30" t="s">
        <v>23998</v>
      </c>
      <c r="C10232" s="29" t="s">
        <v>26</v>
      </c>
      <c r="D10232" s="31">
        <v>6291.93</v>
      </c>
      <c r="F10232" s="3" t="str">
        <f t="shared" si="159"/>
        <v>I7667</v>
      </c>
    </row>
    <row r="10233" spans="1:6" x14ac:dyDescent="0.2">
      <c r="A10233" s="29" t="s">
        <v>23999</v>
      </c>
      <c r="B10233" s="30" t="s">
        <v>24000</v>
      </c>
      <c r="C10233" s="29" t="s">
        <v>26</v>
      </c>
      <c r="D10233" s="31">
        <v>6945.94</v>
      </c>
      <c r="F10233" s="3" t="str">
        <f t="shared" si="159"/>
        <v>I7677</v>
      </c>
    </row>
    <row r="10234" spans="1:6" x14ac:dyDescent="0.2">
      <c r="A10234" s="29" t="s">
        <v>24001</v>
      </c>
      <c r="B10234" s="30" t="s">
        <v>24002</v>
      </c>
      <c r="C10234" s="29" t="s">
        <v>26</v>
      </c>
      <c r="D10234" s="31">
        <v>7667.25</v>
      </c>
      <c r="F10234" s="3" t="str">
        <f t="shared" si="159"/>
        <v>I7687</v>
      </c>
    </row>
    <row r="10235" spans="1:6" x14ac:dyDescent="0.2">
      <c r="A10235" s="29" t="s">
        <v>24003</v>
      </c>
      <c r="B10235" s="30" t="s">
        <v>24004</v>
      </c>
      <c r="C10235" s="29" t="s">
        <v>26</v>
      </c>
      <c r="D10235" s="31">
        <v>16228.26</v>
      </c>
      <c r="F10235" s="3" t="str">
        <f t="shared" si="159"/>
        <v>I7668</v>
      </c>
    </row>
    <row r="10236" spans="1:6" x14ac:dyDescent="0.2">
      <c r="A10236" s="29" t="s">
        <v>24005</v>
      </c>
      <c r="B10236" s="30" t="s">
        <v>24006</v>
      </c>
      <c r="C10236" s="29" t="s">
        <v>26</v>
      </c>
      <c r="D10236" s="31">
        <v>17961.98</v>
      </c>
      <c r="F10236" s="3" t="str">
        <f t="shared" si="159"/>
        <v>I7678</v>
      </c>
    </row>
    <row r="10237" spans="1:6" x14ac:dyDescent="0.2">
      <c r="A10237" s="29" t="s">
        <v>24007</v>
      </c>
      <c r="B10237" s="30" t="s">
        <v>24008</v>
      </c>
      <c r="C10237" s="29" t="s">
        <v>26</v>
      </c>
      <c r="D10237" s="31">
        <v>19059.39</v>
      </c>
      <c r="F10237" s="3" t="str">
        <f t="shared" si="159"/>
        <v>I7688</v>
      </c>
    </row>
    <row r="10238" spans="1:6" x14ac:dyDescent="0.2">
      <c r="A10238" s="29" t="s">
        <v>24009</v>
      </c>
      <c r="B10238" s="30" t="s">
        <v>24010</v>
      </c>
      <c r="C10238" s="29" t="s">
        <v>26</v>
      </c>
      <c r="D10238" s="31">
        <v>29313.74</v>
      </c>
      <c r="F10238" s="3" t="str">
        <f t="shared" si="159"/>
        <v>I7669</v>
      </c>
    </row>
    <row r="10239" spans="1:6" x14ac:dyDescent="0.2">
      <c r="A10239" s="29" t="s">
        <v>24011</v>
      </c>
      <c r="B10239" s="30" t="s">
        <v>24012</v>
      </c>
      <c r="C10239" s="29" t="s">
        <v>26</v>
      </c>
      <c r="D10239" s="31">
        <v>33155.96</v>
      </c>
      <c r="F10239" s="3" t="str">
        <f t="shared" si="159"/>
        <v>I7679</v>
      </c>
    </row>
    <row r="10240" spans="1:6" x14ac:dyDescent="0.2">
      <c r="A10240" s="29" t="s">
        <v>24013</v>
      </c>
      <c r="B10240" s="30" t="s">
        <v>24014</v>
      </c>
      <c r="C10240" s="29" t="s">
        <v>26</v>
      </c>
      <c r="D10240" s="31">
        <v>33561.74</v>
      </c>
      <c r="F10240" s="3" t="str">
        <f t="shared" si="159"/>
        <v>I7689</v>
      </c>
    </row>
    <row r="10241" spans="1:6" x14ac:dyDescent="0.2">
      <c r="A10241" s="29" t="s">
        <v>24015</v>
      </c>
      <c r="B10241" s="30" t="s">
        <v>24016</v>
      </c>
      <c r="C10241" s="29" t="s">
        <v>26</v>
      </c>
      <c r="D10241" s="31">
        <v>33513.67</v>
      </c>
      <c r="F10241" s="3" t="str">
        <f t="shared" si="159"/>
        <v>I7670</v>
      </c>
    </row>
    <row r="10242" spans="1:6" x14ac:dyDescent="0.2">
      <c r="A10242" s="29" t="s">
        <v>24017</v>
      </c>
      <c r="B10242" s="30" t="s">
        <v>24018</v>
      </c>
      <c r="C10242" s="29" t="s">
        <v>26</v>
      </c>
      <c r="D10242" s="31">
        <v>33752.400000000001</v>
      </c>
      <c r="F10242" s="3" t="str">
        <f t="shared" ref="F10242:F10305" si="160">A10242</f>
        <v>I7680</v>
      </c>
    </row>
    <row r="10243" spans="1:6" x14ac:dyDescent="0.2">
      <c r="A10243" s="29" t="s">
        <v>24019</v>
      </c>
      <c r="B10243" s="30" t="s">
        <v>24020</v>
      </c>
      <c r="C10243" s="29" t="s">
        <v>26</v>
      </c>
      <c r="D10243" s="31">
        <v>34432.49</v>
      </c>
      <c r="F10243" s="3" t="str">
        <f t="shared" si="160"/>
        <v>I7690</v>
      </c>
    </row>
    <row r="10244" spans="1:6" x14ac:dyDescent="0.2">
      <c r="A10244" s="29" t="s">
        <v>24021</v>
      </c>
      <c r="B10244" s="30" t="s">
        <v>24022</v>
      </c>
      <c r="C10244" s="29" t="s">
        <v>26</v>
      </c>
      <c r="D10244" s="31">
        <v>40495.730000000003</v>
      </c>
      <c r="F10244" s="3" t="str">
        <f t="shared" si="160"/>
        <v>I7671</v>
      </c>
    </row>
    <row r="10245" spans="1:6" x14ac:dyDescent="0.2">
      <c r="A10245" s="29" t="s">
        <v>24023</v>
      </c>
      <c r="B10245" s="30" t="s">
        <v>24024</v>
      </c>
      <c r="C10245" s="29" t="s">
        <v>26</v>
      </c>
      <c r="D10245" s="31">
        <v>42628.01</v>
      </c>
      <c r="F10245" s="3" t="str">
        <f t="shared" si="160"/>
        <v>I7681</v>
      </c>
    </row>
    <row r="10246" spans="1:6" x14ac:dyDescent="0.2">
      <c r="A10246" s="29" t="s">
        <v>24025</v>
      </c>
      <c r="B10246" s="30" t="s">
        <v>24026</v>
      </c>
      <c r="C10246" s="29" t="s">
        <v>26</v>
      </c>
      <c r="D10246" s="31">
        <v>43338.53</v>
      </c>
      <c r="F10246" s="3" t="str">
        <f t="shared" si="160"/>
        <v>I7691</v>
      </c>
    </row>
    <row r="10247" spans="1:6" x14ac:dyDescent="0.2">
      <c r="A10247" s="29" t="s">
        <v>24027</v>
      </c>
      <c r="B10247" s="30" t="s">
        <v>24028</v>
      </c>
      <c r="C10247" s="29" t="s">
        <v>26</v>
      </c>
      <c r="D10247" s="31">
        <v>49501.05</v>
      </c>
      <c r="F10247" s="3" t="str">
        <f t="shared" si="160"/>
        <v>I7672</v>
      </c>
    </row>
    <row r="10248" spans="1:6" x14ac:dyDescent="0.2">
      <c r="A10248" s="29" t="s">
        <v>24029</v>
      </c>
      <c r="B10248" s="30" t="s">
        <v>24030</v>
      </c>
      <c r="C10248" s="29" t="s">
        <v>26</v>
      </c>
      <c r="D10248" s="31">
        <v>51284.7</v>
      </c>
      <c r="F10248" s="3" t="str">
        <f t="shared" si="160"/>
        <v>I7682</v>
      </c>
    </row>
    <row r="10249" spans="1:6" x14ac:dyDescent="0.2">
      <c r="A10249" s="29" t="s">
        <v>24031</v>
      </c>
      <c r="B10249" s="30" t="s">
        <v>24032</v>
      </c>
      <c r="C10249" s="29" t="s">
        <v>26</v>
      </c>
      <c r="D10249" s="31">
        <v>52536.23</v>
      </c>
      <c r="F10249" s="3" t="str">
        <f t="shared" si="160"/>
        <v>I7692</v>
      </c>
    </row>
    <row r="10250" spans="1:6" x14ac:dyDescent="0.2">
      <c r="A10250" s="29" t="s">
        <v>24033</v>
      </c>
      <c r="B10250" s="30" t="s">
        <v>24034</v>
      </c>
      <c r="C10250" s="29" t="s">
        <v>26</v>
      </c>
      <c r="D10250" s="31">
        <v>61362.2</v>
      </c>
      <c r="F10250" s="3" t="str">
        <f t="shared" si="160"/>
        <v>I7673</v>
      </c>
    </row>
    <row r="10251" spans="1:6" x14ac:dyDescent="0.2">
      <c r="A10251" s="29" t="s">
        <v>24035</v>
      </c>
      <c r="B10251" s="30" t="s">
        <v>24036</v>
      </c>
      <c r="C10251" s="29" t="s">
        <v>26</v>
      </c>
      <c r="D10251" s="31">
        <v>60958.38</v>
      </c>
      <c r="F10251" s="3" t="str">
        <f t="shared" si="160"/>
        <v>I7683</v>
      </c>
    </row>
    <row r="10252" spans="1:6" x14ac:dyDescent="0.2">
      <c r="A10252" s="29" t="s">
        <v>24037</v>
      </c>
      <c r="B10252" s="30" t="s">
        <v>24038</v>
      </c>
      <c r="C10252" s="29" t="s">
        <v>26</v>
      </c>
      <c r="D10252" s="31">
        <v>63534.9</v>
      </c>
      <c r="F10252" s="3" t="str">
        <f t="shared" si="160"/>
        <v>I7693</v>
      </c>
    </row>
    <row r="10253" spans="1:6" x14ac:dyDescent="0.2">
      <c r="A10253" s="29" t="s">
        <v>24039</v>
      </c>
      <c r="B10253" s="30" t="s">
        <v>24040</v>
      </c>
      <c r="C10253" s="29" t="s">
        <v>26</v>
      </c>
      <c r="D10253" s="31">
        <v>6316.39</v>
      </c>
      <c r="F10253" s="3" t="str">
        <f t="shared" si="160"/>
        <v>I10765</v>
      </c>
    </row>
    <row r="10254" spans="1:6" x14ac:dyDescent="0.2">
      <c r="A10254" s="29" t="s">
        <v>24041</v>
      </c>
      <c r="B10254" s="30" t="s">
        <v>24042</v>
      </c>
      <c r="C10254" s="29" t="s">
        <v>26</v>
      </c>
      <c r="D10254" s="31">
        <v>6654.84</v>
      </c>
      <c r="F10254" s="3" t="str">
        <f t="shared" si="160"/>
        <v>I10766</v>
      </c>
    </row>
    <row r="10255" spans="1:6" x14ac:dyDescent="0.2">
      <c r="A10255" s="29" t="s">
        <v>24043</v>
      </c>
      <c r="B10255" s="30" t="s">
        <v>24044</v>
      </c>
      <c r="C10255" s="29" t="s">
        <v>26</v>
      </c>
      <c r="D10255" s="31">
        <v>1114.72</v>
      </c>
      <c r="F10255" s="3" t="str">
        <f t="shared" si="160"/>
        <v>I3826</v>
      </c>
    </row>
    <row r="10256" spans="1:6" x14ac:dyDescent="0.2">
      <c r="A10256" s="29" t="s">
        <v>24045</v>
      </c>
      <c r="B10256" s="30" t="s">
        <v>24046</v>
      </c>
      <c r="C10256" s="29" t="s">
        <v>26</v>
      </c>
      <c r="D10256" s="31">
        <v>1426.18</v>
      </c>
      <c r="F10256" s="3" t="str">
        <f t="shared" si="160"/>
        <v>I3827</v>
      </c>
    </row>
    <row r="10257" spans="1:6" x14ac:dyDescent="0.2">
      <c r="A10257" s="29" t="s">
        <v>24047</v>
      </c>
      <c r="B10257" s="30" t="s">
        <v>24048</v>
      </c>
      <c r="C10257" s="29" t="s">
        <v>26</v>
      </c>
      <c r="D10257" s="31">
        <v>1619.47</v>
      </c>
      <c r="F10257" s="3" t="str">
        <f t="shared" si="160"/>
        <v>I3828</v>
      </c>
    </row>
    <row r="10258" spans="1:6" x14ac:dyDescent="0.2">
      <c r="A10258" s="29" t="s">
        <v>24049</v>
      </c>
      <c r="B10258" s="30" t="s">
        <v>24050</v>
      </c>
      <c r="C10258" s="29" t="s">
        <v>26</v>
      </c>
      <c r="D10258" s="31">
        <v>2576.94</v>
      </c>
      <c r="F10258" s="3" t="str">
        <f t="shared" si="160"/>
        <v>I3829</v>
      </c>
    </row>
    <row r="10259" spans="1:6" x14ac:dyDescent="0.2">
      <c r="A10259" s="29" t="s">
        <v>24051</v>
      </c>
      <c r="B10259" s="30" t="s">
        <v>24052</v>
      </c>
      <c r="C10259" s="29" t="s">
        <v>26</v>
      </c>
      <c r="D10259" s="31">
        <v>4638.97</v>
      </c>
      <c r="F10259" s="3" t="str">
        <f t="shared" si="160"/>
        <v>I3830</v>
      </c>
    </row>
    <row r="10260" spans="1:6" x14ac:dyDescent="0.2">
      <c r="A10260" s="29" t="s">
        <v>24053</v>
      </c>
      <c r="B10260" s="30" t="s">
        <v>24054</v>
      </c>
      <c r="C10260" s="29" t="s">
        <v>26</v>
      </c>
      <c r="D10260" s="31">
        <v>5191.9799999999996</v>
      </c>
      <c r="F10260" s="3" t="str">
        <f t="shared" si="160"/>
        <v>I3831</v>
      </c>
    </row>
    <row r="10261" spans="1:6" x14ac:dyDescent="0.2">
      <c r="A10261" s="29" t="s">
        <v>24055</v>
      </c>
      <c r="B10261" s="30" t="s">
        <v>24056</v>
      </c>
      <c r="C10261" s="29" t="s">
        <v>26</v>
      </c>
      <c r="D10261" s="31">
        <v>6327.29</v>
      </c>
      <c r="F10261" s="3" t="str">
        <f t="shared" si="160"/>
        <v>I3832</v>
      </c>
    </row>
    <row r="10262" spans="1:6" x14ac:dyDescent="0.2">
      <c r="A10262" s="29" t="s">
        <v>24057</v>
      </c>
      <c r="B10262" s="30" t="s">
        <v>24058</v>
      </c>
      <c r="C10262" s="29" t="s">
        <v>26</v>
      </c>
      <c r="D10262" s="31">
        <v>6801.74</v>
      </c>
      <c r="F10262" s="3" t="str">
        <f t="shared" si="160"/>
        <v>I3833</v>
      </c>
    </row>
    <row r="10263" spans="1:6" x14ac:dyDescent="0.2">
      <c r="A10263" s="29" t="s">
        <v>24059</v>
      </c>
      <c r="B10263" s="30" t="s">
        <v>24060</v>
      </c>
      <c r="C10263" s="29" t="s">
        <v>26</v>
      </c>
      <c r="D10263" s="31">
        <v>8074.12</v>
      </c>
      <c r="F10263" s="3" t="str">
        <f t="shared" si="160"/>
        <v>I3834</v>
      </c>
    </row>
    <row r="10264" spans="1:6" x14ac:dyDescent="0.2">
      <c r="A10264" s="29" t="s">
        <v>24061</v>
      </c>
      <c r="B10264" s="30" t="s">
        <v>24062</v>
      </c>
      <c r="C10264" s="29" t="s">
        <v>26</v>
      </c>
      <c r="D10264" s="31">
        <v>9247.73</v>
      </c>
      <c r="F10264" s="3" t="str">
        <f t="shared" si="160"/>
        <v>I3835</v>
      </c>
    </row>
    <row r="10265" spans="1:6" x14ac:dyDescent="0.2">
      <c r="A10265" s="29" t="s">
        <v>24063</v>
      </c>
      <c r="B10265" s="30" t="s">
        <v>24064</v>
      </c>
      <c r="C10265" s="29" t="s">
        <v>26</v>
      </c>
      <c r="D10265" s="31">
        <v>10221.14</v>
      </c>
      <c r="F10265" s="3" t="str">
        <f t="shared" si="160"/>
        <v>I3836</v>
      </c>
    </row>
    <row r="10266" spans="1:6" x14ac:dyDescent="0.2">
      <c r="A10266" s="29" t="s">
        <v>24065</v>
      </c>
      <c r="B10266" s="30" t="s">
        <v>24066</v>
      </c>
      <c r="C10266" s="29" t="s">
        <v>26</v>
      </c>
      <c r="D10266" s="31">
        <v>424.55</v>
      </c>
      <c r="F10266" s="3" t="str">
        <f t="shared" si="160"/>
        <v>I3794</v>
      </c>
    </row>
    <row r="10267" spans="1:6" x14ac:dyDescent="0.2">
      <c r="A10267" s="29" t="s">
        <v>24067</v>
      </c>
      <c r="B10267" s="30" t="s">
        <v>24068</v>
      </c>
      <c r="C10267" s="29" t="s">
        <v>26</v>
      </c>
      <c r="D10267" s="31">
        <v>424.55</v>
      </c>
      <c r="F10267" s="3" t="str">
        <f t="shared" si="160"/>
        <v>I7121</v>
      </c>
    </row>
    <row r="10268" spans="1:6" x14ac:dyDescent="0.2">
      <c r="A10268" s="29" t="s">
        <v>24069</v>
      </c>
      <c r="B10268" s="30" t="s">
        <v>24070</v>
      </c>
      <c r="C10268" s="29" t="s">
        <v>26</v>
      </c>
      <c r="D10268" s="31">
        <v>271.7</v>
      </c>
      <c r="F10268" s="3" t="str">
        <f t="shared" si="160"/>
        <v>I3793</v>
      </c>
    </row>
    <row r="10269" spans="1:6" x14ac:dyDescent="0.2">
      <c r="A10269" s="29" t="s">
        <v>24071</v>
      </c>
      <c r="B10269" s="30" t="s">
        <v>24072</v>
      </c>
      <c r="C10269" s="29" t="s">
        <v>26</v>
      </c>
      <c r="D10269" s="31">
        <v>512.1</v>
      </c>
      <c r="F10269" s="3" t="str">
        <f t="shared" si="160"/>
        <v>I3795</v>
      </c>
    </row>
    <row r="10270" spans="1:6" x14ac:dyDescent="0.2">
      <c r="A10270" s="29" t="s">
        <v>24073</v>
      </c>
      <c r="B10270" s="30" t="s">
        <v>24074</v>
      </c>
      <c r="C10270" s="29" t="s">
        <v>26</v>
      </c>
      <c r="D10270" s="31">
        <v>687.24</v>
      </c>
      <c r="F10270" s="3" t="str">
        <f t="shared" si="160"/>
        <v>I3796</v>
      </c>
    </row>
    <row r="10271" spans="1:6" x14ac:dyDescent="0.2">
      <c r="A10271" s="29" t="s">
        <v>24075</v>
      </c>
      <c r="B10271" s="30" t="s">
        <v>24076</v>
      </c>
      <c r="C10271" s="29" t="s">
        <v>26</v>
      </c>
      <c r="D10271" s="31">
        <v>869.57</v>
      </c>
      <c r="F10271" s="3" t="str">
        <f t="shared" si="160"/>
        <v>I3797</v>
      </c>
    </row>
    <row r="10272" spans="1:6" x14ac:dyDescent="0.2">
      <c r="A10272" s="29" t="s">
        <v>24077</v>
      </c>
      <c r="B10272" s="30" t="s">
        <v>24078</v>
      </c>
      <c r="C10272" s="29" t="s">
        <v>26</v>
      </c>
      <c r="D10272" s="31">
        <v>1234.9000000000001</v>
      </c>
      <c r="F10272" s="3" t="str">
        <f t="shared" si="160"/>
        <v>I3798</v>
      </c>
    </row>
    <row r="10273" spans="1:6" x14ac:dyDescent="0.2">
      <c r="A10273" s="29" t="s">
        <v>24079</v>
      </c>
      <c r="B10273" s="30" t="s">
        <v>24080</v>
      </c>
      <c r="C10273" s="29" t="s">
        <v>26</v>
      </c>
      <c r="D10273" s="31">
        <v>1559.11</v>
      </c>
      <c r="F10273" s="3" t="str">
        <f t="shared" si="160"/>
        <v>I3799</v>
      </c>
    </row>
    <row r="10274" spans="1:6" x14ac:dyDescent="0.2">
      <c r="A10274" s="29" t="s">
        <v>24081</v>
      </c>
      <c r="B10274" s="30" t="s">
        <v>24082</v>
      </c>
      <c r="C10274" s="29" t="s">
        <v>26</v>
      </c>
      <c r="D10274" s="31">
        <v>2980.39</v>
      </c>
      <c r="F10274" s="3" t="str">
        <f t="shared" si="160"/>
        <v>I3800</v>
      </c>
    </row>
    <row r="10275" spans="1:6" x14ac:dyDescent="0.2">
      <c r="A10275" s="29" t="s">
        <v>24083</v>
      </c>
      <c r="B10275" s="30" t="s">
        <v>24084</v>
      </c>
      <c r="C10275" s="29" t="s">
        <v>26</v>
      </c>
      <c r="D10275" s="31">
        <v>3654.86</v>
      </c>
      <c r="F10275" s="3" t="str">
        <f t="shared" si="160"/>
        <v>I3801</v>
      </c>
    </row>
    <row r="10276" spans="1:6" x14ac:dyDescent="0.2">
      <c r="A10276" s="29" t="s">
        <v>24085</v>
      </c>
      <c r="B10276" s="30" t="s">
        <v>24086</v>
      </c>
      <c r="C10276" s="29" t="s">
        <v>26</v>
      </c>
      <c r="D10276" s="31">
        <v>8377.86</v>
      </c>
      <c r="F10276" s="3" t="str">
        <f t="shared" si="160"/>
        <v>I3802</v>
      </c>
    </row>
    <row r="10277" spans="1:6" x14ac:dyDescent="0.2">
      <c r="A10277" s="29" t="s">
        <v>24087</v>
      </c>
      <c r="B10277" s="30" t="s">
        <v>24088</v>
      </c>
      <c r="C10277" s="29" t="s">
        <v>26</v>
      </c>
      <c r="D10277" s="31">
        <v>4823.22</v>
      </c>
      <c r="F10277" s="3" t="str">
        <f t="shared" si="160"/>
        <v>I3803</v>
      </c>
    </row>
    <row r="10278" spans="1:6" x14ac:dyDescent="0.2">
      <c r="A10278" s="29" t="s">
        <v>24089</v>
      </c>
      <c r="B10278" s="30" t="s">
        <v>24090</v>
      </c>
      <c r="C10278" s="29" t="s">
        <v>26</v>
      </c>
      <c r="D10278" s="31">
        <v>16865.849999999999</v>
      </c>
      <c r="F10278" s="3" t="str">
        <f t="shared" si="160"/>
        <v>I3804</v>
      </c>
    </row>
    <row r="10279" spans="1:6" x14ac:dyDescent="0.2">
      <c r="A10279" s="29" t="s">
        <v>24091</v>
      </c>
      <c r="B10279" s="30" t="s">
        <v>24092</v>
      </c>
      <c r="C10279" s="29" t="s">
        <v>26</v>
      </c>
      <c r="D10279" s="31">
        <v>20081.88</v>
      </c>
      <c r="F10279" s="3" t="str">
        <f t="shared" si="160"/>
        <v>I3805</v>
      </c>
    </row>
    <row r="10280" spans="1:6" x14ac:dyDescent="0.2">
      <c r="A10280" s="29" t="s">
        <v>24093</v>
      </c>
      <c r="B10280" s="30" t="s">
        <v>24094</v>
      </c>
      <c r="C10280" s="29" t="s">
        <v>26</v>
      </c>
      <c r="D10280" s="31">
        <v>21484.85</v>
      </c>
      <c r="F10280" s="3" t="str">
        <f t="shared" si="160"/>
        <v>I3806</v>
      </c>
    </row>
    <row r="10281" spans="1:6" x14ac:dyDescent="0.2">
      <c r="A10281" s="29" t="s">
        <v>24095</v>
      </c>
      <c r="B10281" s="30" t="s">
        <v>24096</v>
      </c>
      <c r="C10281" s="29" t="s">
        <v>26</v>
      </c>
      <c r="D10281" s="31">
        <v>27169.99</v>
      </c>
      <c r="F10281" s="3" t="str">
        <f t="shared" si="160"/>
        <v>I3807</v>
      </c>
    </row>
    <row r="10282" spans="1:6" x14ac:dyDescent="0.2">
      <c r="A10282" s="29" t="s">
        <v>24097</v>
      </c>
      <c r="B10282" s="30" t="s">
        <v>24098</v>
      </c>
      <c r="C10282" s="29" t="s">
        <v>26</v>
      </c>
      <c r="D10282" s="31">
        <v>539.77</v>
      </c>
      <c r="F10282" s="3" t="str">
        <f t="shared" si="160"/>
        <v>I10782</v>
      </c>
    </row>
    <row r="10283" spans="1:6" x14ac:dyDescent="0.2">
      <c r="A10283" s="29" t="s">
        <v>24099</v>
      </c>
      <c r="B10283" s="30" t="s">
        <v>24100</v>
      </c>
      <c r="C10283" s="29" t="s">
        <v>26</v>
      </c>
      <c r="D10283" s="31">
        <v>29423.56</v>
      </c>
      <c r="F10283" s="3" t="str">
        <f t="shared" si="160"/>
        <v>I3808</v>
      </c>
    </row>
    <row r="10284" spans="1:6" x14ac:dyDescent="0.2">
      <c r="A10284" s="29" t="s">
        <v>24101</v>
      </c>
      <c r="B10284" s="30" t="s">
        <v>24102</v>
      </c>
      <c r="C10284" s="29" t="s">
        <v>26</v>
      </c>
      <c r="D10284" s="31">
        <v>30675.97</v>
      </c>
      <c r="F10284" s="3" t="str">
        <f t="shared" si="160"/>
        <v>I10780</v>
      </c>
    </row>
    <row r="10285" spans="1:6" x14ac:dyDescent="0.2">
      <c r="A10285" s="29" t="s">
        <v>24103</v>
      </c>
      <c r="B10285" s="30" t="s">
        <v>24104</v>
      </c>
      <c r="C10285" s="29" t="s">
        <v>26</v>
      </c>
      <c r="D10285" s="31">
        <v>34203.660000000003</v>
      </c>
      <c r="F10285" s="3" t="str">
        <f t="shared" si="160"/>
        <v>I10796</v>
      </c>
    </row>
    <row r="10286" spans="1:6" x14ac:dyDescent="0.2">
      <c r="A10286" s="29" t="s">
        <v>24105</v>
      </c>
      <c r="B10286" s="30" t="s">
        <v>24106</v>
      </c>
      <c r="C10286" s="29" t="s">
        <v>26</v>
      </c>
      <c r="D10286" s="31">
        <v>41861.68</v>
      </c>
      <c r="F10286" s="3" t="str">
        <f t="shared" si="160"/>
        <v>I3809</v>
      </c>
    </row>
    <row r="10287" spans="1:6" x14ac:dyDescent="0.2">
      <c r="A10287" s="29" t="s">
        <v>24107</v>
      </c>
      <c r="B10287" s="30" t="s">
        <v>24108</v>
      </c>
      <c r="C10287" s="29" t="s">
        <v>26</v>
      </c>
      <c r="D10287" s="31">
        <v>42661.02</v>
      </c>
      <c r="F10287" s="3" t="str">
        <f t="shared" si="160"/>
        <v>I10781</v>
      </c>
    </row>
    <row r="10288" spans="1:6" x14ac:dyDescent="0.2">
      <c r="A10288" s="29" t="s">
        <v>24109</v>
      </c>
      <c r="B10288" s="30" t="s">
        <v>24110</v>
      </c>
      <c r="C10288" s="29" t="s">
        <v>26</v>
      </c>
      <c r="D10288" s="31">
        <v>48316.05</v>
      </c>
      <c r="F10288" s="3" t="str">
        <f t="shared" si="160"/>
        <v>I10797</v>
      </c>
    </row>
    <row r="10289" spans="1:6" x14ac:dyDescent="0.2">
      <c r="A10289" s="29" t="s">
        <v>24111</v>
      </c>
      <c r="B10289" s="30" t="s">
        <v>24112</v>
      </c>
      <c r="C10289" s="29" t="s">
        <v>26</v>
      </c>
      <c r="D10289" s="31">
        <v>743.98</v>
      </c>
      <c r="F10289" s="3" t="str">
        <f t="shared" si="160"/>
        <v>I10783</v>
      </c>
    </row>
    <row r="10290" spans="1:6" x14ac:dyDescent="0.2">
      <c r="A10290" s="29" t="s">
        <v>24113</v>
      </c>
      <c r="B10290" s="30" t="s">
        <v>24114</v>
      </c>
      <c r="C10290" s="29" t="s">
        <v>26</v>
      </c>
      <c r="D10290" s="31">
        <v>873.41</v>
      </c>
      <c r="F10290" s="3" t="str">
        <f t="shared" si="160"/>
        <v>I10768</v>
      </c>
    </row>
    <row r="10291" spans="1:6" x14ac:dyDescent="0.2">
      <c r="A10291" s="29" t="s">
        <v>24115</v>
      </c>
      <c r="B10291" s="30" t="s">
        <v>24116</v>
      </c>
      <c r="C10291" s="29" t="s">
        <v>26</v>
      </c>
      <c r="D10291" s="31">
        <v>916.31</v>
      </c>
      <c r="F10291" s="3" t="str">
        <f t="shared" si="160"/>
        <v>I10784</v>
      </c>
    </row>
    <row r="10292" spans="1:6" x14ac:dyDescent="0.2">
      <c r="A10292" s="29" t="s">
        <v>24117</v>
      </c>
      <c r="B10292" s="30" t="s">
        <v>24118</v>
      </c>
      <c r="C10292" s="29" t="s">
        <v>26</v>
      </c>
      <c r="D10292" s="31">
        <v>1275.17</v>
      </c>
      <c r="F10292" s="3" t="str">
        <f t="shared" si="160"/>
        <v>I10769</v>
      </c>
    </row>
    <row r="10293" spans="1:6" x14ac:dyDescent="0.2">
      <c r="A10293" s="29" t="s">
        <v>24119</v>
      </c>
      <c r="B10293" s="30" t="s">
        <v>24120</v>
      </c>
      <c r="C10293" s="29" t="s">
        <v>26</v>
      </c>
      <c r="D10293" s="31">
        <v>1268.25</v>
      </c>
      <c r="F10293" s="3" t="str">
        <f t="shared" si="160"/>
        <v>I10785</v>
      </c>
    </row>
    <row r="10294" spans="1:6" x14ac:dyDescent="0.2">
      <c r="A10294" s="29" t="s">
        <v>24121</v>
      </c>
      <c r="B10294" s="30" t="s">
        <v>24122</v>
      </c>
      <c r="C10294" s="29" t="s">
        <v>26</v>
      </c>
      <c r="D10294" s="31">
        <v>1579.44</v>
      </c>
      <c r="F10294" s="3" t="str">
        <f t="shared" si="160"/>
        <v>I10770</v>
      </c>
    </row>
    <row r="10295" spans="1:6" x14ac:dyDescent="0.2">
      <c r="A10295" s="29" t="s">
        <v>24123</v>
      </c>
      <c r="B10295" s="30" t="s">
        <v>24124</v>
      </c>
      <c r="C10295" s="29" t="s">
        <v>26</v>
      </c>
      <c r="D10295" s="31">
        <v>1730.38</v>
      </c>
      <c r="F10295" s="3" t="str">
        <f t="shared" si="160"/>
        <v>I10786</v>
      </c>
    </row>
    <row r="10296" spans="1:6" x14ac:dyDescent="0.2">
      <c r="A10296" s="29" t="s">
        <v>24125</v>
      </c>
      <c r="B10296" s="30" t="s">
        <v>24126</v>
      </c>
      <c r="C10296" s="29" t="s">
        <v>26</v>
      </c>
      <c r="D10296" s="31">
        <v>2976.77</v>
      </c>
      <c r="F10296" s="3" t="str">
        <f t="shared" si="160"/>
        <v>I10771</v>
      </c>
    </row>
    <row r="10297" spans="1:6" x14ac:dyDescent="0.2">
      <c r="A10297" s="29" t="s">
        <v>24127</v>
      </c>
      <c r="B10297" s="30" t="s">
        <v>24128</v>
      </c>
      <c r="C10297" s="29" t="s">
        <v>26</v>
      </c>
      <c r="D10297" s="31">
        <v>3073.55</v>
      </c>
      <c r="F10297" s="3" t="str">
        <f t="shared" si="160"/>
        <v>I10787</v>
      </c>
    </row>
    <row r="10298" spans="1:6" x14ac:dyDescent="0.2">
      <c r="A10298" s="29" t="s">
        <v>24129</v>
      </c>
      <c r="B10298" s="30" t="s">
        <v>24130</v>
      </c>
      <c r="C10298" s="29" t="s">
        <v>26</v>
      </c>
      <c r="D10298" s="31">
        <v>3842.61</v>
      </c>
      <c r="F10298" s="3" t="str">
        <f t="shared" si="160"/>
        <v>I10772</v>
      </c>
    </row>
    <row r="10299" spans="1:6" x14ac:dyDescent="0.2">
      <c r="A10299" s="29" t="s">
        <v>24131</v>
      </c>
      <c r="B10299" s="30" t="s">
        <v>24132</v>
      </c>
      <c r="C10299" s="29" t="s">
        <v>26</v>
      </c>
      <c r="D10299" s="31">
        <v>4061.41</v>
      </c>
      <c r="F10299" s="3" t="str">
        <f t="shared" si="160"/>
        <v>I10788</v>
      </c>
    </row>
    <row r="10300" spans="1:6" x14ac:dyDescent="0.2">
      <c r="A10300" s="29" t="s">
        <v>24133</v>
      </c>
      <c r="B10300" s="30" t="s">
        <v>24134</v>
      </c>
      <c r="C10300" s="29" t="s">
        <v>26</v>
      </c>
      <c r="D10300" s="31">
        <v>8377.86</v>
      </c>
      <c r="F10300" s="3" t="str">
        <f t="shared" si="160"/>
        <v>I10773</v>
      </c>
    </row>
    <row r="10301" spans="1:6" x14ac:dyDescent="0.2">
      <c r="A10301" s="29" t="s">
        <v>24135</v>
      </c>
      <c r="B10301" s="30" t="s">
        <v>24136</v>
      </c>
      <c r="C10301" s="29" t="s">
        <v>26</v>
      </c>
      <c r="D10301" s="31">
        <v>8377.86</v>
      </c>
      <c r="F10301" s="3" t="str">
        <f t="shared" si="160"/>
        <v>I10789</v>
      </c>
    </row>
    <row r="10302" spans="1:6" x14ac:dyDescent="0.2">
      <c r="A10302" s="29" t="s">
        <v>24137</v>
      </c>
      <c r="B10302" s="30" t="s">
        <v>24138</v>
      </c>
      <c r="C10302" s="29" t="s">
        <v>26</v>
      </c>
      <c r="D10302" s="31">
        <v>5450.64</v>
      </c>
      <c r="F10302" s="3" t="str">
        <f t="shared" si="160"/>
        <v>I10774</v>
      </c>
    </row>
    <row r="10303" spans="1:6" x14ac:dyDescent="0.2">
      <c r="A10303" s="29" t="s">
        <v>24139</v>
      </c>
      <c r="B10303" s="30" t="s">
        <v>24140</v>
      </c>
      <c r="C10303" s="29" t="s">
        <v>26</v>
      </c>
      <c r="D10303" s="31">
        <v>5503.99</v>
      </c>
      <c r="F10303" s="3" t="str">
        <f t="shared" si="160"/>
        <v>I10790</v>
      </c>
    </row>
    <row r="10304" spans="1:6" x14ac:dyDescent="0.2">
      <c r="A10304" s="29" t="s">
        <v>24141</v>
      </c>
      <c r="B10304" s="30" t="s">
        <v>24142</v>
      </c>
      <c r="C10304" s="29" t="s">
        <v>26</v>
      </c>
      <c r="D10304" s="31">
        <v>10844.54</v>
      </c>
      <c r="F10304" s="3" t="str">
        <f t="shared" si="160"/>
        <v>I10767</v>
      </c>
    </row>
    <row r="10305" spans="1:6" x14ac:dyDescent="0.2">
      <c r="A10305" s="29" t="s">
        <v>24143</v>
      </c>
      <c r="B10305" s="30" t="s">
        <v>24144</v>
      </c>
      <c r="C10305" s="29" t="s">
        <v>26</v>
      </c>
      <c r="D10305" s="31">
        <v>11623.42</v>
      </c>
      <c r="F10305" s="3" t="str">
        <f t="shared" si="160"/>
        <v>I10775</v>
      </c>
    </row>
    <row r="10306" spans="1:6" x14ac:dyDescent="0.2">
      <c r="A10306" s="29" t="s">
        <v>24145</v>
      </c>
      <c r="B10306" s="30" t="s">
        <v>24146</v>
      </c>
      <c r="C10306" s="29" t="s">
        <v>26</v>
      </c>
      <c r="D10306" s="31">
        <v>12674.82</v>
      </c>
      <c r="F10306" s="3" t="str">
        <f t="shared" ref="F10306:F10369" si="161">A10306</f>
        <v>I10791</v>
      </c>
    </row>
    <row r="10307" spans="1:6" x14ac:dyDescent="0.2">
      <c r="A10307" s="29" t="s">
        <v>24147</v>
      </c>
      <c r="B10307" s="30" t="s">
        <v>24148</v>
      </c>
      <c r="C10307" s="29" t="s">
        <v>26</v>
      </c>
      <c r="D10307" s="31">
        <v>17796.2</v>
      </c>
      <c r="F10307" s="3" t="str">
        <f t="shared" si="161"/>
        <v>I10776</v>
      </c>
    </row>
    <row r="10308" spans="1:6" x14ac:dyDescent="0.2">
      <c r="A10308" s="29" t="s">
        <v>24149</v>
      </c>
      <c r="B10308" s="30" t="s">
        <v>24150</v>
      </c>
      <c r="C10308" s="29" t="s">
        <v>26</v>
      </c>
      <c r="D10308" s="31">
        <v>19845.64</v>
      </c>
      <c r="F10308" s="3" t="str">
        <f t="shared" si="161"/>
        <v>I10792</v>
      </c>
    </row>
    <row r="10309" spans="1:6" x14ac:dyDescent="0.2">
      <c r="A10309" s="29" t="s">
        <v>24151</v>
      </c>
      <c r="B10309" s="30" t="s">
        <v>24152</v>
      </c>
      <c r="C10309" s="29" t="s">
        <v>26</v>
      </c>
      <c r="D10309" s="31">
        <v>20982.17</v>
      </c>
      <c r="F10309" s="3" t="str">
        <f t="shared" si="161"/>
        <v>I10777</v>
      </c>
    </row>
    <row r="10310" spans="1:6" x14ac:dyDescent="0.2">
      <c r="A10310" s="29" t="s">
        <v>24153</v>
      </c>
      <c r="B10310" s="30" t="s">
        <v>24154</v>
      </c>
      <c r="C10310" s="29" t="s">
        <v>26</v>
      </c>
      <c r="D10310" s="31">
        <v>21406.87</v>
      </c>
      <c r="F10310" s="3" t="str">
        <f t="shared" si="161"/>
        <v>I10793</v>
      </c>
    </row>
    <row r="10311" spans="1:6" x14ac:dyDescent="0.2">
      <c r="A10311" s="29" t="s">
        <v>24155</v>
      </c>
      <c r="B10311" s="30" t="s">
        <v>24156</v>
      </c>
      <c r="C10311" s="29" t="s">
        <v>26</v>
      </c>
      <c r="D10311" s="31">
        <v>22086.02</v>
      </c>
      <c r="F10311" s="3" t="str">
        <f t="shared" si="161"/>
        <v>I10778</v>
      </c>
    </row>
    <row r="10312" spans="1:6" x14ac:dyDescent="0.2">
      <c r="A10312" s="29" t="s">
        <v>24157</v>
      </c>
      <c r="B10312" s="30" t="s">
        <v>24158</v>
      </c>
      <c r="C10312" s="29" t="s">
        <v>26</v>
      </c>
      <c r="D10312" s="31">
        <v>24153.85</v>
      </c>
      <c r="F10312" s="3" t="str">
        <f t="shared" si="161"/>
        <v>I10794</v>
      </c>
    </row>
    <row r="10313" spans="1:6" x14ac:dyDescent="0.2">
      <c r="A10313" s="29" t="s">
        <v>24159</v>
      </c>
      <c r="B10313" s="30" t="s">
        <v>24160</v>
      </c>
      <c r="C10313" s="29" t="s">
        <v>26</v>
      </c>
      <c r="D10313" s="31">
        <v>27420.48</v>
      </c>
      <c r="F10313" s="3" t="str">
        <f t="shared" si="161"/>
        <v>I10779</v>
      </c>
    </row>
    <row r="10314" spans="1:6" x14ac:dyDescent="0.2">
      <c r="A10314" s="29" t="s">
        <v>24161</v>
      </c>
      <c r="B10314" s="30" t="s">
        <v>24162</v>
      </c>
      <c r="C10314" s="29" t="s">
        <v>26</v>
      </c>
      <c r="D10314" s="31">
        <v>28968.69</v>
      </c>
      <c r="F10314" s="3" t="str">
        <f t="shared" si="161"/>
        <v>I10795</v>
      </c>
    </row>
    <row r="10315" spans="1:6" x14ac:dyDescent="0.2">
      <c r="A10315" s="29" t="s">
        <v>24163</v>
      </c>
      <c r="B10315" s="30" t="s">
        <v>24164</v>
      </c>
      <c r="C10315" s="29" t="s">
        <v>26</v>
      </c>
      <c r="D10315" s="31">
        <v>62.31</v>
      </c>
      <c r="F10315" s="3" t="str">
        <f t="shared" si="161"/>
        <v>I3116</v>
      </c>
    </row>
    <row r="10316" spans="1:6" x14ac:dyDescent="0.2">
      <c r="A10316" s="29" t="s">
        <v>24165</v>
      </c>
      <c r="B10316" s="30" t="s">
        <v>24166</v>
      </c>
      <c r="C10316" s="29" t="s">
        <v>26</v>
      </c>
      <c r="D10316" s="31">
        <v>110.83</v>
      </c>
      <c r="F10316" s="3" t="str">
        <f t="shared" si="161"/>
        <v>I3117</v>
      </c>
    </row>
    <row r="10317" spans="1:6" x14ac:dyDescent="0.2">
      <c r="A10317" s="29" t="s">
        <v>24167</v>
      </c>
      <c r="B10317" s="30" t="s">
        <v>24168</v>
      </c>
      <c r="C10317" s="29" t="s">
        <v>26</v>
      </c>
      <c r="D10317" s="31">
        <v>155.93</v>
      </c>
      <c r="F10317" s="3" t="str">
        <f t="shared" si="161"/>
        <v>I3118</v>
      </c>
    </row>
    <row r="10318" spans="1:6" x14ac:dyDescent="0.2">
      <c r="A10318" s="29" t="s">
        <v>24169</v>
      </c>
      <c r="B10318" s="30" t="s">
        <v>24170</v>
      </c>
      <c r="C10318" s="29" t="s">
        <v>26</v>
      </c>
      <c r="D10318" s="31">
        <v>65.37</v>
      </c>
      <c r="F10318" s="3" t="str">
        <f t="shared" si="161"/>
        <v>I3119</v>
      </c>
    </row>
    <row r="10319" spans="1:6" x14ac:dyDescent="0.2">
      <c r="A10319" s="29" t="s">
        <v>24171</v>
      </c>
      <c r="B10319" s="30" t="s">
        <v>24172</v>
      </c>
      <c r="C10319" s="29" t="s">
        <v>26</v>
      </c>
      <c r="D10319" s="31">
        <v>93.6</v>
      </c>
      <c r="F10319" s="3" t="str">
        <f t="shared" si="161"/>
        <v>I3120</v>
      </c>
    </row>
    <row r="10320" spans="1:6" x14ac:dyDescent="0.2">
      <c r="A10320" s="29" t="s">
        <v>24173</v>
      </c>
      <c r="B10320" s="30" t="s">
        <v>24174</v>
      </c>
      <c r="C10320" s="29" t="s">
        <v>26</v>
      </c>
      <c r="D10320" s="31">
        <v>129.6</v>
      </c>
      <c r="F10320" s="3" t="str">
        <f t="shared" si="161"/>
        <v>I3121</v>
      </c>
    </row>
    <row r="10321" spans="1:6" x14ac:dyDescent="0.2">
      <c r="A10321" s="29" t="s">
        <v>24175</v>
      </c>
      <c r="B10321" s="30" t="s">
        <v>24176</v>
      </c>
      <c r="C10321" s="29" t="s">
        <v>26</v>
      </c>
      <c r="D10321" s="31">
        <v>631.30999999999995</v>
      </c>
      <c r="F10321" s="3" t="str">
        <f t="shared" si="161"/>
        <v>I3811</v>
      </c>
    </row>
    <row r="10322" spans="1:6" x14ac:dyDescent="0.2">
      <c r="A10322" s="29" t="s">
        <v>24177</v>
      </c>
      <c r="B10322" s="30" t="s">
        <v>24178</v>
      </c>
      <c r="C10322" s="29" t="s">
        <v>26</v>
      </c>
      <c r="D10322" s="31">
        <v>631.30999999999995</v>
      </c>
      <c r="F10322" s="3" t="str">
        <f t="shared" si="161"/>
        <v>I7123</v>
      </c>
    </row>
    <row r="10323" spans="1:6" x14ac:dyDescent="0.2">
      <c r="A10323" s="29" t="s">
        <v>24179</v>
      </c>
      <c r="B10323" s="30" t="s">
        <v>24180</v>
      </c>
      <c r="C10323" s="29" t="s">
        <v>26</v>
      </c>
      <c r="D10323" s="31">
        <v>708.14</v>
      </c>
      <c r="F10323" s="3" t="str">
        <f t="shared" si="161"/>
        <v>I3812</v>
      </c>
    </row>
    <row r="10324" spans="1:6" x14ac:dyDescent="0.2">
      <c r="A10324" s="29" t="s">
        <v>24181</v>
      </c>
      <c r="B10324" s="30" t="s">
        <v>24182</v>
      </c>
      <c r="C10324" s="29" t="s">
        <v>26</v>
      </c>
      <c r="D10324" s="31">
        <v>885.86</v>
      </c>
      <c r="F10324" s="3" t="str">
        <f t="shared" si="161"/>
        <v>I3813</v>
      </c>
    </row>
    <row r="10325" spans="1:6" x14ac:dyDescent="0.2">
      <c r="A10325" s="29" t="s">
        <v>24183</v>
      </c>
      <c r="B10325" s="30" t="s">
        <v>24184</v>
      </c>
      <c r="C10325" s="29" t="s">
        <v>26</v>
      </c>
      <c r="D10325" s="31">
        <v>1296.25</v>
      </c>
      <c r="F10325" s="3" t="str">
        <f t="shared" si="161"/>
        <v>I3814</v>
      </c>
    </row>
    <row r="10326" spans="1:6" x14ac:dyDescent="0.2">
      <c r="A10326" s="29" t="s">
        <v>24185</v>
      </c>
      <c r="B10326" s="30" t="s">
        <v>24186</v>
      </c>
      <c r="C10326" s="29" t="s">
        <v>26</v>
      </c>
      <c r="D10326" s="31">
        <v>2004.19</v>
      </c>
      <c r="F10326" s="3" t="str">
        <f t="shared" si="161"/>
        <v>I3815</v>
      </c>
    </row>
    <row r="10327" spans="1:6" x14ac:dyDescent="0.2">
      <c r="A10327" s="29" t="s">
        <v>24187</v>
      </c>
      <c r="B10327" s="30" t="s">
        <v>24188</v>
      </c>
      <c r="C10327" s="29" t="s">
        <v>26</v>
      </c>
      <c r="D10327" s="31">
        <v>3273.08</v>
      </c>
      <c r="F10327" s="3" t="str">
        <f t="shared" si="161"/>
        <v>I3816</v>
      </c>
    </row>
    <row r="10328" spans="1:6" x14ac:dyDescent="0.2">
      <c r="A10328" s="29" t="s">
        <v>24189</v>
      </c>
      <c r="B10328" s="30" t="s">
        <v>24190</v>
      </c>
      <c r="C10328" s="29" t="s">
        <v>26</v>
      </c>
      <c r="D10328" s="31">
        <v>3756.79</v>
      </c>
      <c r="F10328" s="3" t="str">
        <f t="shared" si="161"/>
        <v>I3817</v>
      </c>
    </row>
    <row r="10329" spans="1:6" x14ac:dyDescent="0.2">
      <c r="A10329" s="29" t="s">
        <v>24191</v>
      </c>
      <c r="B10329" s="30" t="s">
        <v>24192</v>
      </c>
      <c r="C10329" s="29" t="s">
        <v>26</v>
      </c>
      <c r="D10329" s="31">
        <v>4645.8100000000004</v>
      </c>
      <c r="F10329" s="3" t="str">
        <f t="shared" si="161"/>
        <v>I3818</v>
      </c>
    </row>
    <row r="10330" spans="1:6" x14ac:dyDescent="0.2">
      <c r="A10330" s="29" t="s">
        <v>24193</v>
      </c>
      <c r="B10330" s="30" t="s">
        <v>24194</v>
      </c>
      <c r="C10330" s="29" t="s">
        <v>26</v>
      </c>
      <c r="D10330" s="31">
        <v>13540.79</v>
      </c>
      <c r="F10330" s="3" t="str">
        <f t="shared" si="161"/>
        <v>I7122</v>
      </c>
    </row>
    <row r="10331" spans="1:6" x14ac:dyDescent="0.2">
      <c r="A10331" s="29" t="s">
        <v>24195</v>
      </c>
      <c r="B10331" s="30" t="s">
        <v>24196</v>
      </c>
      <c r="C10331" s="29" t="s">
        <v>26</v>
      </c>
      <c r="D10331" s="31">
        <v>15415.25</v>
      </c>
      <c r="F10331" s="3" t="str">
        <f t="shared" si="161"/>
        <v>I3819</v>
      </c>
    </row>
    <row r="10332" spans="1:6" x14ac:dyDescent="0.2">
      <c r="A10332" s="29" t="s">
        <v>24197</v>
      </c>
      <c r="B10332" s="30" t="s">
        <v>24198</v>
      </c>
      <c r="C10332" s="29" t="s">
        <v>26</v>
      </c>
      <c r="D10332" s="31">
        <v>18915.73</v>
      </c>
      <c r="F10332" s="3" t="str">
        <f t="shared" si="161"/>
        <v>I3820</v>
      </c>
    </row>
    <row r="10333" spans="1:6" x14ac:dyDescent="0.2">
      <c r="A10333" s="29" t="s">
        <v>24199</v>
      </c>
      <c r="B10333" s="30" t="s">
        <v>24200</v>
      </c>
      <c r="C10333" s="29" t="s">
        <v>26</v>
      </c>
      <c r="D10333" s="31">
        <v>21402.19</v>
      </c>
      <c r="F10333" s="3" t="str">
        <f t="shared" si="161"/>
        <v>I3821</v>
      </c>
    </row>
    <row r="10334" spans="1:6" x14ac:dyDescent="0.2">
      <c r="A10334" s="29" t="s">
        <v>24201</v>
      </c>
      <c r="B10334" s="30" t="s">
        <v>24202</v>
      </c>
      <c r="C10334" s="29" t="s">
        <v>26</v>
      </c>
      <c r="D10334" s="31">
        <v>24906.76</v>
      </c>
      <c r="F10334" s="3" t="str">
        <f t="shared" si="161"/>
        <v>I3822</v>
      </c>
    </row>
    <row r="10335" spans="1:6" x14ac:dyDescent="0.2">
      <c r="A10335" s="29" t="s">
        <v>24203</v>
      </c>
      <c r="B10335" s="30" t="s">
        <v>24204</v>
      </c>
      <c r="C10335" s="29" t="s">
        <v>26</v>
      </c>
      <c r="D10335" s="31">
        <v>29845.88</v>
      </c>
      <c r="F10335" s="3" t="str">
        <f t="shared" si="161"/>
        <v>I3823</v>
      </c>
    </row>
    <row r="10336" spans="1:6" x14ac:dyDescent="0.2">
      <c r="A10336" s="29" t="s">
        <v>24205</v>
      </c>
      <c r="B10336" s="30" t="s">
        <v>24206</v>
      </c>
      <c r="C10336" s="29" t="s">
        <v>26</v>
      </c>
      <c r="D10336" s="31">
        <v>883.88</v>
      </c>
      <c r="F10336" s="3" t="str">
        <f t="shared" si="161"/>
        <v>I10811</v>
      </c>
    </row>
    <row r="10337" spans="1:6" x14ac:dyDescent="0.2">
      <c r="A10337" s="29" t="s">
        <v>24207</v>
      </c>
      <c r="B10337" s="30" t="s">
        <v>24208</v>
      </c>
      <c r="C10337" s="29" t="s">
        <v>26</v>
      </c>
      <c r="D10337" s="31">
        <v>38977.800000000003</v>
      </c>
      <c r="F10337" s="3" t="str">
        <f t="shared" si="161"/>
        <v>I3824</v>
      </c>
    </row>
    <row r="10338" spans="1:6" x14ac:dyDescent="0.2">
      <c r="A10338" s="29" t="s">
        <v>24209</v>
      </c>
      <c r="B10338" s="30" t="s">
        <v>24210</v>
      </c>
      <c r="C10338" s="29" t="s">
        <v>26</v>
      </c>
      <c r="D10338" s="31">
        <v>39757.47</v>
      </c>
      <c r="F10338" s="3" t="str">
        <f t="shared" si="161"/>
        <v>I10809</v>
      </c>
    </row>
    <row r="10339" spans="1:6" x14ac:dyDescent="0.2">
      <c r="A10339" s="29" t="s">
        <v>24211</v>
      </c>
      <c r="B10339" s="30" t="s">
        <v>24212</v>
      </c>
      <c r="C10339" s="29" t="s">
        <v>26</v>
      </c>
      <c r="D10339" s="31">
        <v>45920.89</v>
      </c>
      <c r="F10339" s="3" t="str">
        <f t="shared" si="161"/>
        <v>I10824</v>
      </c>
    </row>
    <row r="10340" spans="1:6" x14ac:dyDescent="0.2">
      <c r="A10340" s="29" t="s">
        <v>24213</v>
      </c>
      <c r="B10340" s="30" t="s">
        <v>24214</v>
      </c>
      <c r="C10340" s="29" t="s">
        <v>26</v>
      </c>
      <c r="D10340" s="31">
        <v>48645.35</v>
      </c>
      <c r="F10340" s="3" t="str">
        <f t="shared" si="161"/>
        <v>I3825</v>
      </c>
    </row>
    <row r="10341" spans="1:6" x14ac:dyDescent="0.2">
      <c r="A10341" s="29" t="s">
        <v>24215</v>
      </c>
      <c r="B10341" s="30" t="s">
        <v>24216</v>
      </c>
      <c r="C10341" s="29" t="s">
        <v>26</v>
      </c>
      <c r="D10341" s="31">
        <v>51063.11</v>
      </c>
      <c r="F10341" s="3" t="str">
        <f t="shared" si="161"/>
        <v>I10810</v>
      </c>
    </row>
    <row r="10342" spans="1:6" x14ac:dyDescent="0.2">
      <c r="A10342" s="29" t="s">
        <v>24217</v>
      </c>
      <c r="B10342" s="30" t="s">
        <v>24218</v>
      </c>
      <c r="C10342" s="29" t="s">
        <v>26</v>
      </c>
      <c r="D10342" s="31">
        <v>57477.08</v>
      </c>
      <c r="F10342" s="3" t="str">
        <f t="shared" si="161"/>
        <v>I10825</v>
      </c>
    </row>
    <row r="10343" spans="1:6" x14ac:dyDescent="0.2">
      <c r="A10343" s="29" t="s">
        <v>24219</v>
      </c>
      <c r="B10343" s="30" t="s">
        <v>24220</v>
      </c>
      <c r="C10343" s="29" t="s">
        <v>26</v>
      </c>
      <c r="D10343" s="31">
        <v>927.28</v>
      </c>
      <c r="F10343" s="3" t="str">
        <f t="shared" si="161"/>
        <v>I10812</v>
      </c>
    </row>
    <row r="10344" spans="1:6" x14ac:dyDescent="0.2">
      <c r="A10344" s="29" t="s">
        <v>24221</v>
      </c>
      <c r="B10344" s="30" t="s">
        <v>24222</v>
      </c>
      <c r="C10344" s="29" t="s">
        <v>26</v>
      </c>
      <c r="D10344" s="31">
        <v>1345.83</v>
      </c>
      <c r="F10344" s="3" t="str">
        <f t="shared" si="161"/>
        <v>I10798</v>
      </c>
    </row>
    <row r="10345" spans="1:6" x14ac:dyDescent="0.2">
      <c r="A10345" s="29" t="s">
        <v>24223</v>
      </c>
      <c r="B10345" s="30" t="s">
        <v>24224</v>
      </c>
      <c r="C10345" s="29" t="s">
        <v>26</v>
      </c>
      <c r="D10345" s="31">
        <v>1426.64</v>
      </c>
      <c r="F10345" s="3" t="str">
        <f t="shared" si="161"/>
        <v>I10813</v>
      </c>
    </row>
    <row r="10346" spans="1:6" x14ac:dyDescent="0.2">
      <c r="A10346" s="29" t="s">
        <v>24225</v>
      </c>
      <c r="B10346" s="30" t="s">
        <v>24226</v>
      </c>
      <c r="C10346" s="29" t="s">
        <v>26</v>
      </c>
      <c r="D10346" s="31">
        <v>1861.24</v>
      </c>
      <c r="F10346" s="3" t="str">
        <f t="shared" si="161"/>
        <v>I10799</v>
      </c>
    </row>
    <row r="10347" spans="1:6" x14ac:dyDescent="0.2">
      <c r="A10347" s="29" t="s">
        <v>24227</v>
      </c>
      <c r="B10347" s="30" t="s">
        <v>24228</v>
      </c>
      <c r="C10347" s="29" t="s">
        <v>26</v>
      </c>
      <c r="D10347" s="31">
        <v>1937.11</v>
      </c>
      <c r="F10347" s="3" t="str">
        <f t="shared" si="161"/>
        <v>I10814</v>
      </c>
    </row>
    <row r="10348" spans="1:6" x14ac:dyDescent="0.2">
      <c r="A10348" s="29" t="s">
        <v>24229</v>
      </c>
      <c r="B10348" s="30" t="s">
        <v>24230</v>
      </c>
      <c r="C10348" s="29" t="s">
        <v>26</v>
      </c>
      <c r="D10348" s="31">
        <v>3270.26</v>
      </c>
      <c r="F10348" s="3" t="str">
        <f t="shared" si="161"/>
        <v>I10800</v>
      </c>
    </row>
    <row r="10349" spans="1:6" x14ac:dyDescent="0.2">
      <c r="A10349" s="29" t="s">
        <v>24231</v>
      </c>
      <c r="B10349" s="30" t="s">
        <v>24232</v>
      </c>
      <c r="C10349" s="29" t="s">
        <v>26</v>
      </c>
      <c r="D10349" s="31">
        <v>3175.03</v>
      </c>
      <c r="F10349" s="3" t="str">
        <f t="shared" si="161"/>
        <v>I10815</v>
      </c>
    </row>
    <row r="10350" spans="1:6" x14ac:dyDescent="0.2">
      <c r="A10350" s="29" t="s">
        <v>24233</v>
      </c>
      <c r="B10350" s="30" t="s">
        <v>24234</v>
      </c>
      <c r="C10350" s="29" t="s">
        <v>26</v>
      </c>
      <c r="D10350" s="31">
        <v>3891.85</v>
      </c>
      <c r="F10350" s="3" t="str">
        <f t="shared" si="161"/>
        <v>I10801</v>
      </c>
    </row>
    <row r="10351" spans="1:6" x14ac:dyDescent="0.2">
      <c r="A10351" s="29" t="s">
        <v>24235</v>
      </c>
      <c r="B10351" s="30" t="s">
        <v>24236</v>
      </c>
      <c r="C10351" s="29" t="s">
        <v>26</v>
      </c>
      <c r="D10351" s="31">
        <v>3834.47</v>
      </c>
      <c r="F10351" s="3" t="str">
        <f t="shared" si="161"/>
        <v>I10816</v>
      </c>
    </row>
    <row r="10352" spans="1:6" x14ac:dyDescent="0.2">
      <c r="A10352" s="29" t="s">
        <v>24237</v>
      </c>
      <c r="B10352" s="30" t="s">
        <v>24238</v>
      </c>
      <c r="C10352" s="29" t="s">
        <v>26</v>
      </c>
      <c r="D10352" s="31">
        <v>4913.84</v>
      </c>
      <c r="F10352" s="3" t="str">
        <f t="shared" si="161"/>
        <v>I10802</v>
      </c>
    </row>
    <row r="10353" spans="1:6" x14ac:dyDescent="0.2">
      <c r="A10353" s="29" t="s">
        <v>24239</v>
      </c>
      <c r="B10353" s="30" t="s">
        <v>24240</v>
      </c>
      <c r="C10353" s="29" t="s">
        <v>26</v>
      </c>
      <c r="D10353" s="31">
        <v>4997.55</v>
      </c>
      <c r="F10353" s="3" t="str">
        <f t="shared" si="161"/>
        <v>I10817</v>
      </c>
    </row>
    <row r="10354" spans="1:6" x14ac:dyDescent="0.2">
      <c r="A10354" s="29" t="s">
        <v>24241</v>
      </c>
      <c r="B10354" s="30" t="s">
        <v>24242</v>
      </c>
      <c r="C10354" s="29" t="s">
        <v>26</v>
      </c>
      <c r="D10354" s="31">
        <v>13989.19</v>
      </c>
      <c r="F10354" s="3" t="str">
        <f t="shared" si="161"/>
        <v>I10803</v>
      </c>
    </row>
    <row r="10355" spans="1:6" x14ac:dyDescent="0.2">
      <c r="A10355" s="29" t="s">
        <v>24243</v>
      </c>
      <c r="B10355" s="30" t="s">
        <v>24244</v>
      </c>
      <c r="C10355" s="29" t="s">
        <v>26</v>
      </c>
      <c r="D10355" s="31">
        <v>14713.32</v>
      </c>
      <c r="F10355" s="3" t="str">
        <f t="shared" si="161"/>
        <v>I10818</v>
      </c>
    </row>
    <row r="10356" spans="1:6" x14ac:dyDescent="0.2">
      <c r="A10356" s="29" t="s">
        <v>24245</v>
      </c>
      <c r="B10356" s="30" t="s">
        <v>24246</v>
      </c>
      <c r="C10356" s="29" t="s">
        <v>26</v>
      </c>
      <c r="D10356" s="31">
        <v>15856</v>
      </c>
      <c r="F10356" s="3" t="str">
        <f t="shared" si="161"/>
        <v>I10804</v>
      </c>
    </row>
    <row r="10357" spans="1:6" x14ac:dyDescent="0.2">
      <c r="A10357" s="29" t="s">
        <v>24247</v>
      </c>
      <c r="B10357" s="30" t="s">
        <v>24248</v>
      </c>
      <c r="C10357" s="29" t="s">
        <v>26</v>
      </c>
      <c r="D10357" s="31">
        <v>16511.88</v>
      </c>
      <c r="F10357" s="3" t="str">
        <f t="shared" si="161"/>
        <v>I10819</v>
      </c>
    </row>
    <row r="10358" spans="1:6" x14ac:dyDescent="0.2">
      <c r="A10358" s="29" t="s">
        <v>24249</v>
      </c>
      <c r="B10358" s="30" t="s">
        <v>24250</v>
      </c>
      <c r="C10358" s="29" t="s">
        <v>26</v>
      </c>
      <c r="D10358" s="31">
        <v>19380.009999999998</v>
      </c>
      <c r="F10358" s="3" t="str">
        <f t="shared" si="161"/>
        <v>I10805</v>
      </c>
    </row>
    <row r="10359" spans="1:6" x14ac:dyDescent="0.2">
      <c r="A10359" s="29" t="s">
        <v>24251</v>
      </c>
      <c r="B10359" s="30" t="s">
        <v>24252</v>
      </c>
      <c r="C10359" s="29" t="s">
        <v>26</v>
      </c>
      <c r="D10359" s="31">
        <v>20149.88</v>
      </c>
      <c r="F10359" s="3" t="str">
        <f t="shared" si="161"/>
        <v>I10820</v>
      </c>
    </row>
    <row r="10360" spans="1:6" x14ac:dyDescent="0.2">
      <c r="A10360" s="29" t="s">
        <v>24253</v>
      </c>
      <c r="B10360" s="30" t="s">
        <v>24254</v>
      </c>
      <c r="C10360" s="29" t="s">
        <v>26</v>
      </c>
      <c r="D10360" s="31">
        <v>21918.02</v>
      </c>
      <c r="F10360" s="3" t="str">
        <f t="shared" si="161"/>
        <v>I10806</v>
      </c>
    </row>
    <row r="10361" spans="1:6" x14ac:dyDescent="0.2">
      <c r="A10361" s="29" t="s">
        <v>24255</v>
      </c>
      <c r="B10361" s="30" t="s">
        <v>24256</v>
      </c>
      <c r="C10361" s="29" t="s">
        <v>26</v>
      </c>
      <c r="D10361" s="31">
        <v>23315.74</v>
      </c>
      <c r="F10361" s="3" t="str">
        <f t="shared" si="161"/>
        <v>I10821</v>
      </c>
    </row>
    <row r="10362" spans="1:6" x14ac:dyDescent="0.2">
      <c r="A10362" s="29" t="s">
        <v>24257</v>
      </c>
      <c r="B10362" s="30" t="s">
        <v>24258</v>
      </c>
      <c r="C10362" s="29" t="s">
        <v>26</v>
      </c>
      <c r="D10362" s="31">
        <v>28521.73</v>
      </c>
      <c r="F10362" s="3" t="str">
        <f t="shared" si="161"/>
        <v>I10807</v>
      </c>
    </row>
    <row r="10363" spans="1:6" x14ac:dyDescent="0.2">
      <c r="A10363" s="29" t="s">
        <v>24259</v>
      </c>
      <c r="B10363" s="30" t="s">
        <v>24260</v>
      </c>
      <c r="C10363" s="29" t="s">
        <v>26</v>
      </c>
      <c r="D10363" s="31">
        <v>28878.87</v>
      </c>
      <c r="F10363" s="3" t="str">
        <f t="shared" si="161"/>
        <v>I10822</v>
      </c>
    </row>
    <row r="10364" spans="1:6" x14ac:dyDescent="0.2">
      <c r="A10364" s="29" t="s">
        <v>24261</v>
      </c>
      <c r="B10364" s="30" t="s">
        <v>24262</v>
      </c>
      <c r="C10364" s="29" t="s">
        <v>26</v>
      </c>
      <c r="D10364" s="31">
        <v>30543.38</v>
      </c>
      <c r="F10364" s="3" t="str">
        <f t="shared" si="161"/>
        <v>I10808</v>
      </c>
    </row>
    <row r="10365" spans="1:6" x14ac:dyDescent="0.2">
      <c r="A10365" s="29" t="s">
        <v>24263</v>
      </c>
      <c r="B10365" s="30" t="s">
        <v>24264</v>
      </c>
      <c r="C10365" s="29" t="s">
        <v>26</v>
      </c>
      <c r="D10365" s="31">
        <v>33861.4</v>
      </c>
      <c r="F10365" s="3" t="str">
        <f t="shared" si="161"/>
        <v>I10823</v>
      </c>
    </row>
    <row r="10366" spans="1:6" x14ac:dyDescent="0.2">
      <c r="A10366" s="29" t="s">
        <v>24265</v>
      </c>
      <c r="B10366" s="30" t="s">
        <v>24266</v>
      </c>
      <c r="C10366" s="29" t="s">
        <v>26</v>
      </c>
      <c r="D10366" s="31">
        <v>4147.2</v>
      </c>
      <c r="F10366" s="3" t="str">
        <f t="shared" si="161"/>
        <v>I9764</v>
      </c>
    </row>
    <row r="10367" spans="1:6" x14ac:dyDescent="0.2">
      <c r="A10367" s="29" t="s">
        <v>24267</v>
      </c>
      <c r="B10367" s="30" t="s">
        <v>24268</v>
      </c>
      <c r="C10367" s="29" t="s">
        <v>255</v>
      </c>
      <c r="D10367" s="31">
        <v>5.73</v>
      </c>
      <c r="F10367" s="3" t="str">
        <f t="shared" si="161"/>
        <v>I9765</v>
      </c>
    </row>
    <row r="10368" spans="1:6" x14ac:dyDescent="0.2">
      <c r="A10368" s="29" t="s">
        <v>24269</v>
      </c>
      <c r="B10368" s="30" t="s">
        <v>24270</v>
      </c>
      <c r="C10368" s="29" t="s">
        <v>26</v>
      </c>
      <c r="D10368" s="31">
        <v>110</v>
      </c>
      <c r="F10368" s="3" t="str">
        <f t="shared" si="161"/>
        <v>I2937</v>
      </c>
    </row>
    <row r="10369" spans="1:6" x14ac:dyDescent="0.2">
      <c r="A10369" s="29" t="s">
        <v>24271</v>
      </c>
      <c r="B10369" s="30" t="s">
        <v>24272</v>
      </c>
      <c r="C10369" s="29" t="s">
        <v>26</v>
      </c>
      <c r="D10369" s="31">
        <v>85</v>
      </c>
      <c r="F10369" s="3" t="str">
        <f t="shared" si="161"/>
        <v>I2936</v>
      </c>
    </row>
    <row r="10370" spans="1:6" x14ac:dyDescent="0.2">
      <c r="A10370" s="29" t="s">
        <v>24273</v>
      </c>
      <c r="B10370" s="30" t="s">
        <v>24274</v>
      </c>
      <c r="C10370" s="29" t="s">
        <v>26</v>
      </c>
      <c r="D10370" s="31">
        <v>32358.57</v>
      </c>
      <c r="F10370" s="3" t="str">
        <f t="shared" ref="F10370:F10433" si="162">A10370</f>
        <v>I8948</v>
      </c>
    </row>
    <row r="10371" spans="1:6" x14ac:dyDescent="0.2">
      <c r="A10371" s="29" t="s">
        <v>24275</v>
      </c>
      <c r="B10371" s="30" t="s">
        <v>24276</v>
      </c>
      <c r="C10371" s="29" t="s">
        <v>26</v>
      </c>
      <c r="D10371" s="31">
        <v>62995.18</v>
      </c>
      <c r="F10371" s="3" t="str">
        <f t="shared" si="162"/>
        <v>I8952</v>
      </c>
    </row>
    <row r="10372" spans="1:6" x14ac:dyDescent="0.2">
      <c r="A10372" s="29" t="s">
        <v>24277</v>
      </c>
      <c r="B10372" s="30" t="s">
        <v>24278</v>
      </c>
      <c r="C10372" s="29" t="s">
        <v>26</v>
      </c>
      <c r="D10372" s="31">
        <v>137763.39000000001</v>
      </c>
      <c r="F10372" s="3" t="str">
        <f t="shared" si="162"/>
        <v>I8947</v>
      </c>
    </row>
    <row r="10373" spans="1:6" x14ac:dyDescent="0.2">
      <c r="A10373" s="29" t="s">
        <v>24279</v>
      </c>
      <c r="B10373" s="30" t="s">
        <v>24280</v>
      </c>
      <c r="C10373" s="29" t="s">
        <v>26</v>
      </c>
      <c r="D10373" s="31">
        <v>57.07</v>
      </c>
      <c r="F10373" s="3" t="str">
        <f t="shared" si="162"/>
        <v>I9766</v>
      </c>
    </row>
    <row r="10374" spans="1:6" x14ac:dyDescent="0.2">
      <c r="A10374" s="29" t="s">
        <v>24281</v>
      </c>
      <c r="B10374" s="30" t="s">
        <v>24282</v>
      </c>
      <c r="C10374" s="29" t="s">
        <v>26</v>
      </c>
      <c r="D10374" s="31">
        <v>333.43</v>
      </c>
      <c r="F10374" s="3" t="str">
        <f t="shared" si="162"/>
        <v>I9767</v>
      </c>
    </row>
    <row r="10375" spans="1:6" ht="22.5" x14ac:dyDescent="0.2">
      <c r="A10375" s="29" t="s">
        <v>24283</v>
      </c>
      <c r="B10375" s="30" t="s">
        <v>24284</v>
      </c>
      <c r="C10375" s="29" t="s">
        <v>26</v>
      </c>
      <c r="D10375" s="31">
        <v>586780.81999999995</v>
      </c>
      <c r="F10375" s="3" t="str">
        <f t="shared" si="162"/>
        <v>I7076</v>
      </c>
    </row>
    <row r="10376" spans="1:6" ht="22.5" x14ac:dyDescent="0.2">
      <c r="A10376" s="29" t="s">
        <v>24285</v>
      </c>
      <c r="B10376" s="30" t="s">
        <v>24286</v>
      </c>
      <c r="C10376" s="29" t="s">
        <v>26</v>
      </c>
      <c r="D10376" s="31">
        <v>103387.65</v>
      </c>
      <c r="F10376" s="3" t="str">
        <f t="shared" si="162"/>
        <v>I7070</v>
      </c>
    </row>
    <row r="10377" spans="1:6" ht="22.5" x14ac:dyDescent="0.2">
      <c r="A10377" s="29" t="s">
        <v>24287</v>
      </c>
      <c r="B10377" s="30" t="s">
        <v>24288</v>
      </c>
      <c r="C10377" s="29" t="s">
        <v>26</v>
      </c>
      <c r="D10377" s="31">
        <v>132492.6</v>
      </c>
      <c r="F10377" s="3" t="str">
        <f t="shared" si="162"/>
        <v>I7071</v>
      </c>
    </row>
    <row r="10378" spans="1:6" ht="22.5" x14ac:dyDescent="0.2">
      <c r="A10378" s="29" t="s">
        <v>24289</v>
      </c>
      <c r="B10378" s="30" t="s">
        <v>24290</v>
      </c>
      <c r="C10378" s="29" t="s">
        <v>26</v>
      </c>
      <c r="D10378" s="31">
        <v>30548.57</v>
      </c>
      <c r="F10378" s="3" t="str">
        <f t="shared" si="162"/>
        <v>I7067</v>
      </c>
    </row>
    <row r="10379" spans="1:6" ht="22.5" x14ac:dyDescent="0.2">
      <c r="A10379" s="29" t="s">
        <v>24291</v>
      </c>
      <c r="B10379" s="30" t="s">
        <v>24292</v>
      </c>
      <c r="C10379" s="29" t="s">
        <v>26</v>
      </c>
      <c r="D10379" s="31">
        <v>41088.65</v>
      </c>
      <c r="F10379" s="3" t="str">
        <f t="shared" si="162"/>
        <v>I7068</v>
      </c>
    </row>
    <row r="10380" spans="1:6" ht="22.5" x14ac:dyDescent="0.2">
      <c r="A10380" s="29" t="s">
        <v>24293</v>
      </c>
      <c r="B10380" s="30" t="s">
        <v>24294</v>
      </c>
      <c r="C10380" s="29" t="s">
        <v>26</v>
      </c>
      <c r="D10380" s="31">
        <v>174869.12</v>
      </c>
      <c r="F10380" s="3" t="str">
        <f t="shared" si="162"/>
        <v>I7072</v>
      </c>
    </row>
    <row r="10381" spans="1:6" ht="22.5" x14ac:dyDescent="0.2">
      <c r="A10381" s="29" t="s">
        <v>24295</v>
      </c>
      <c r="B10381" s="30" t="s">
        <v>24296</v>
      </c>
      <c r="C10381" s="29" t="s">
        <v>26</v>
      </c>
      <c r="D10381" s="31">
        <v>74968.479999999996</v>
      </c>
      <c r="F10381" s="3" t="str">
        <f t="shared" si="162"/>
        <v>I7069</v>
      </c>
    </row>
    <row r="10382" spans="1:6" ht="22.5" x14ac:dyDescent="0.2">
      <c r="A10382" s="29" t="s">
        <v>24297</v>
      </c>
      <c r="B10382" s="30" t="s">
        <v>24298</v>
      </c>
      <c r="C10382" s="29" t="s">
        <v>26</v>
      </c>
      <c r="D10382" s="31">
        <v>238402.51</v>
      </c>
      <c r="F10382" s="3" t="str">
        <f t="shared" si="162"/>
        <v>I7073</v>
      </c>
    </row>
    <row r="10383" spans="1:6" ht="22.5" x14ac:dyDescent="0.2">
      <c r="A10383" s="29" t="s">
        <v>24299</v>
      </c>
      <c r="B10383" s="30" t="s">
        <v>24300</v>
      </c>
      <c r="C10383" s="29" t="s">
        <v>26</v>
      </c>
      <c r="D10383" s="31">
        <v>296335.77</v>
      </c>
      <c r="F10383" s="3" t="str">
        <f t="shared" si="162"/>
        <v>I7074</v>
      </c>
    </row>
    <row r="10384" spans="1:6" ht="22.5" x14ac:dyDescent="0.2">
      <c r="A10384" s="29" t="s">
        <v>24301</v>
      </c>
      <c r="B10384" s="30" t="s">
        <v>24302</v>
      </c>
      <c r="C10384" s="29" t="s">
        <v>26</v>
      </c>
      <c r="D10384" s="31">
        <v>376564.99</v>
      </c>
      <c r="F10384" s="3" t="str">
        <f t="shared" si="162"/>
        <v>I7075</v>
      </c>
    </row>
    <row r="10385" spans="1:6" x14ac:dyDescent="0.2">
      <c r="A10385" s="29" t="s">
        <v>24303</v>
      </c>
      <c r="B10385" s="30" t="s">
        <v>24304</v>
      </c>
      <c r="C10385" s="29" t="s">
        <v>26</v>
      </c>
      <c r="D10385" s="31">
        <v>32358.57</v>
      </c>
      <c r="F10385" s="3" t="str">
        <f t="shared" si="162"/>
        <v>I8950</v>
      </c>
    </row>
    <row r="10386" spans="1:6" x14ac:dyDescent="0.2">
      <c r="A10386" s="29" t="s">
        <v>24305</v>
      </c>
      <c r="B10386" s="30" t="s">
        <v>24306</v>
      </c>
      <c r="C10386" s="29" t="s">
        <v>26</v>
      </c>
      <c r="D10386" s="31">
        <v>120361.7</v>
      </c>
      <c r="F10386" s="3" t="str">
        <f t="shared" si="162"/>
        <v>I8949</v>
      </c>
    </row>
    <row r="10387" spans="1:6" x14ac:dyDescent="0.2">
      <c r="A10387" s="29" t="s">
        <v>24307</v>
      </c>
      <c r="B10387" s="30" t="s">
        <v>24308</v>
      </c>
      <c r="C10387" s="29" t="s">
        <v>26</v>
      </c>
      <c r="D10387" s="31">
        <v>17016.97</v>
      </c>
      <c r="F10387" s="3" t="str">
        <f t="shared" si="162"/>
        <v>I8951</v>
      </c>
    </row>
    <row r="10388" spans="1:6" x14ac:dyDescent="0.2">
      <c r="A10388" s="29" t="s">
        <v>24309</v>
      </c>
      <c r="B10388" s="30" t="s">
        <v>24310</v>
      </c>
      <c r="C10388" s="29" t="s">
        <v>26</v>
      </c>
      <c r="D10388" s="31">
        <v>559.57000000000005</v>
      </c>
      <c r="F10388" s="3" t="str">
        <f t="shared" si="162"/>
        <v>I7582</v>
      </c>
    </row>
    <row r="10389" spans="1:6" x14ac:dyDescent="0.2">
      <c r="A10389" s="29" t="s">
        <v>24311</v>
      </c>
      <c r="B10389" s="30" t="s">
        <v>24312</v>
      </c>
      <c r="C10389" s="29" t="s">
        <v>26</v>
      </c>
      <c r="D10389" s="31">
        <v>559.57000000000005</v>
      </c>
      <c r="F10389" s="3" t="str">
        <f t="shared" si="162"/>
        <v>I7583</v>
      </c>
    </row>
    <row r="10390" spans="1:6" x14ac:dyDescent="0.2">
      <c r="A10390" s="29" t="s">
        <v>24313</v>
      </c>
      <c r="B10390" s="30" t="s">
        <v>24314</v>
      </c>
      <c r="C10390" s="29" t="s">
        <v>26</v>
      </c>
      <c r="D10390" s="31">
        <v>700.68</v>
      </c>
      <c r="F10390" s="3" t="str">
        <f t="shared" si="162"/>
        <v>I7584</v>
      </c>
    </row>
    <row r="10391" spans="1:6" x14ac:dyDescent="0.2">
      <c r="A10391" s="29" t="s">
        <v>24315</v>
      </c>
      <c r="B10391" s="30" t="s">
        <v>24316</v>
      </c>
      <c r="C10391" s="29" t="s">
        <v>26</v>
      </c>
      <c r="D10391" s="31">
        <v>700.68</v>
      </c>
      <c r="F10391" s="3" t="str">
        <f t="shared" si="162"/>
        <v>I7585</v>
      </c>
    </row>
    <row r="10392" spans="1:6" x14ac:dyDescent="0.2">
      <c r="A10392" s="29" t="s">
        <v>24317</v>
      </c>
      <c r="B10392" s="30" t="s">
        <v>24318</v>
      </c>
      <c r="C10392" s="29" t="s">
        <v>26</v>
      </c>
      <c r="D10392" s="31">
        <v>1406.3</v>
      </c>
      <c r="F10392" s="3" t="str">
        <f t="shared" si="162"/>
        <v>I7586</v>
      </c>
    </row>
    <row r="10393" spans="1:6" x14ac:dyDescent="0.2">
      <c r="A10393" s="29" t="s">
        <v>24319</v>
      </c>
      <c r="B10393" s="30" t="s">
        <v>24320</v>
      </c>
      <c r="C10393" s="29" t="s">
        <v>26</v>
      </c>
      <c r="D10393" s="31">
        <v>1119.1400000000001</v>
      </c>
      <c r="F10393" s="3" t="str">
        <f t="shared" si="162"/>
        <v>I7587</v>
      </c>
    </row>
    <row r="10394" spans="1:6" x14ac:dyDescent="0.2">
      <c r="A10394" s="29" t="s">
        <v>24321</v>
      </c>
      <c r="B10394" s="30" t="s">
        <v>24322</v>
      </c>
      <c r="C10394" s="29" t="s">
        <v>26</v>
      </c>
      <c r="D10394" s="31">
        <v>1343.48</v>
      </c>
      <c r="F10394" s="3" t="str">
        <f t="shared" si="162"/>
        <v>I7588</v>
      </c>
    </row>
    <row r="10395" spans="1:6" x14ac:dyDescent="0.2">
      <c r="A10395" s="29" t="s">
        <v>24323</v>
      </c>
      <c r="B10395" s="30" t="s">
        <v>24324</v>
      </c>
      <c r="C10395" s="29" t="s">
        <v>26</v>
      </c>
      <c r="D10395" s="31">
        <v>1343.48</v>
      </c>
      <c r="F10395" s="3" t="str">
        <f t="shared" si="162"/>
        <v>I7589</v>
      </c>
    </row>
    <row r="10396" spans="1:6" x14ac:dyDescent="0.2">
      <c r="A10396" s="29" t="s">
        <v>24325</v>
      </c>
      <c r="B10396" s="30" t="s">
        <v>24326</v>
      </c>
      <c r="C10396" s="29" t="s">
        <v>26</v>
      </c>
      <c r="D10396" s="31">
        <v>261.12</v>
      </c>
      <c r="F10396" s="3" t="str">
        <f t="shared" si="162"/>
        <v>I7566</v>
      </c>
    </row>
    <row r="10397" spans="1:6" x14ac:dyDescent="0.2">
      <c r="A10397" s="29" t="s">
        <v>24327</v>
      </c>
      <c r="B10397" s="30" t="s">
        <v>24328</v>
      </c>
      <c r="C10397" s="29" t="s">
        <v>26</v>
      </c>
      <c r="D10397" s="31">
        <v>261.12</v>
      </c>
      <c r="F10397" s="3" t="str">
        <f t="shared" si="162"/>
        <v>I7567</v>
      </c>
    </row>
    <row r="10398" spans="1:6" x14ac:dyDescent="0.2">
      <c r="A10398" s="29" t="s">
        <v>24329</v>
      </c>
      <c r="B10398" s="30" t="s">
        <v>24330</v>
      </c>
      <c r="C10398" s="29" t="s">
        <v>26</v>
      </c>
      <c r="D10398" s="31">
        <v>260.75</v>
      </c>
      <c r="F10398" s="3" t="str">
        <f t="shared" si="162"/>
        <v>I7568</v>
      </c>
    </row>
    <row r="10399" spans="1:6" x14ac:dyDescent="0.2">
      <c r="A10399" s="29" t="s">
        <v>24331</v>
      </c>
      <c r="B10399" s="30" t="s">
        <v>24332</v>
      </c>
      <c r="C10399" s="29" t="s">
        <v>26</v>
      </c>
      <c r="D10399" s="31">
        <v>312.33999999999997</v>
      </c>
      <c r="F10399" s="3" t="str">
        <f t="shared" si="162"/>
        <v>I7569</v>
      </c>
    </row>
    <row r="10400" spans="1:6" x14ac:dyDescent="0.2">
      <c r="A10400" s="29" t="s">
        <v>24333</v>
      </c>
      <c r="B10400" s="30" t="s">
        <v>24334</v>
      </c>
      <c r="C10400" s="29" t="s">
        <v>26</v>
      </c>
      <c r="D10400" s="31">
        <v>522.44000000000005</v>
      </c>
      <c r="F10400" s="3" t="str">
        <f t="shared" si="162"/>
        <v>I7570</v>
      </c>
    </row>
    <row r="10401" spans="1:6" x14ac:dyDescent="0.2">
      <c r="A10401" s="29" t="s">
        <v>24335</v>
      </c>
      <c r="B10401" s="30" t="s">
        <v>24336</v>
      </c>
      <c r="C10401" s="29" t="s">
        <v>26</v>
      </c>
      <c r="D10401" s="31">
        <v>522.44000000000005</v>
      </c>
      <c r="F10401" s="3" t="str">
        <f t="shared" si="162"/>
        <v>I7571</v>
      </c>
    </row>
    <row r="10402" spans="1:6" x14ac:dyDescent="0.2">
      <c r="A10402" s="29" t="s">
        <v>24337</v>
      </c>
      <c r="B10402" s="30" t="s">
        <v>24338</v>
      </c>
      <c r="C10402" s="29" t="s">
        <v>26</v>
      </c>
      <c r="D10402" s="31">
        <v>524.48</v>
      </c>
      <c r="F10402" s="3" t="str">
        <f t="shared" si="162"/>
        <v>I7572</v>
      </c>
    </row>
    <row r="10403" spans="1:6" x14ac:dyDescent="0.2">
      <c r="A10403" s="29" t="s">
        <v>24339</v>
      </c>
      <c r="B10403" s="30" t="s">
        <v>24340</v>
      </c>
      <c r="C10403" s="29" t="s">
        <v>26</v>
      </c>
      <c r="D10403" s="31">
        <v>636.84</v>
      </c>
      <c r="F10403" s="3" t="str">
        <f t="shared" si="162"/>
        <v>I7573</v>
      </c>
    </row>
    <row r="10404" spans="1:6" x14ac:dyDescent="0.2">
      <c r="A10404" s="29" t="s">
        <v>24341</v>
      </c>
      <c r="B10404" s="30" t="s">
        <v>24342</v>
      </c>
      <c r="C10404" s="29" t="s">
        <v>26</v>
      </c>
      <c r="D10404" s="31">
        <v>508.03</v>
      </c>
      <c r="F10404" s="3" t="str">
        <f t="shared" si="162"/>
        <v>I7574</v>
      </c>
    </row>
    <row r="10405" spans="1:6" x14ac:dyDescent="0.2">
      <c r="A10405" s="29" t="s">
        <v>24343</v>
      </c>
      <c r="B10405" s="30" t="s">
        <v>24344</v>
      </c>
      <c r="C10405" s="29" t="s">
        <v>26</v>
      </c>
      <c r="D10405" s="31">
        <v>508.04</v>
      </c>
      <c r="F10405" s="3" t="str">
        <f t="shared" si="162"/>
        <v>I7575</v>
      </c>
    </row>
    <row r="10406" spans="1:6" x14ac:dyDescent="0.2">
      <c r="A10406" s="29" t="s">
        <v>24345</v>
      </c>
      <c r="B10406" s="30" t="s">
        <v>24346</v>
      </c>
      <c r="C10406" s="29" t="s">
        <v>26</v>
      </c>
      <c r="D10406" s="31">
        <v>508.04</v>
      </c>
      <c r="F10406" s="3" t="str">
        <f t="shared" si="162"/>
        <v>I7576</v>
      </c>
    </row>
    <row r="10407" spans="1:6" x14ac:dyDescent="0.2">
      <c r="A10407" s="29" t="s">
        <v>24347</v>
      </c>
      <c r="B10407" s="30" t="s">
        <v>24348</v>
      </c>
      <c r="C10407" s="29" t="s">
        <v>26</v>
      </c>
      <c r="D10407" s="31">
        <v>647.04</v>
      </c>
      <c r="F10407" s="3" t="str">
        <f t="shared" si="162"/>
        <v>I7577</v>
      </c>
    </row>
    <row r="10408" spans="1:6" x14ac:dyDescent="0.2">
      <c r="A10408" s="29" t="s">
        <v>24349</v>
      </c>
      <c r="B10408" s="30" t="s">
        <v>24350</v>
      </c>
      <c r="C10408" s="29" t="s">
        <v>26</v>
      </c>
      <c r="D10408" s="31">
        <v>1016.05</v>
      </c>
      <c r="F10408" s="3" t="str">
        <f t="shared" si="162"/>
        <v>I7578</v>
      </c>
    </row>
    <row r="10409" spans="1:6" x14ac:dyDescent="0.2">
      <c r="A10409" s="29" t="s">
        <v>24351</v>
      </c>
      <c r="B10409" s="30" t="s">
        <v>24352</v>
      </c>
      <c r="C10409" s="29" t="s">
        <v>26</v>
      </c>
      <c r="D10409" s="31">
        <v>1016.11</v>
      </c>
      <c r="F10409" s="3" t="str">
        <f t="shared" si="162"/>
        <v>I7579</v>
      </c>
    </row>
    <row r="10410" spans="1:6" x14ac:dyDescent="0.2">
      <c r="A10410" s="29" t="s">
        <v>24353</v>
      </c>
      <c r="B10410" s="30" t="s">
        <v>24354</v>
      </c>
      <c r="C10410" s="29" t="s">
        <v>26</v>
      </c>
      <c r="D10410" s="31">
        <v>895.78</v>
      </c>
      <c r="F10410" s="3" t="str">
        <f t="shared" si="162"/>
        <v>I9768</v>
      </c>
    </row>
    <row r="10411" spans="1:6" x14ac:dyDescent="0.2">
      <c r="A10411" s="29" t="s">
        <v>24355</v>
      </c>
      <c r="B10411" s="30" t="s">
        <v>24356</v>
      </c>
      <c r="C10411" s="29" t="s">
        <v>26</v>
      </c>
      <c r="D10411" s="31">
        <v>1107.29</v>
      </c>
      <c r="F10411" s="3" t="str">
        <f t="shared" si="162"/>
        <v>I9769</v>
      </c>
    </row>
    <row r="10412" spans="1:6" x14ac:dyDescent="0.2">
      <c r="A10412" s="29" t="s">
        <v>24357</v>
      </c>
      <c r="B10412" s="30" t="s">
        <v>24358</v>
      </c>
      <c r="C10412" s="29" t="s">
        <v>26</v>
      </c>
      <c r="D10412" s="31">
        <v>1058.54</v>
      </c>
      <c r="F10412" s="3" t="str">
        <f t="shared" si="162"/>
        <v>I9770</v>
      </c>
    </row>
    <row r="10413" spans="1:6" x14ac:dyDescent="0.2">
      <c r="A10413" s="29" t="s">
        <v>24359</v>
      </c>
      <c r="B10413" s="30" t="s">
        <v>24360</v>
      </c>
      <c r="C10413" s="29" t="s">
        <v>26</v>
      </c>
      <c r="D10413" s="31">
        <v>2552.08</v>
      </c>
      <c r="F10413" s="3" t="str">
        <f t="shared" si="162"/>
        <v>I9771</v>
      </c>
    </row>
    <row r="10414" spans="1:6" x14ac:dyDescent="0.2">
      <c r="A10414" s="29" t="s">
        <v>24361</v>
      </c>
      <c r="B10414" s="30" t="s">
        <v>24362</v>
      </c>
      <c r="C10414" s="29" t="s">
        <v>26</v>
      </c>
      <c r="D10414" s="31">
        <v>5408.68</v>
      </c>
      <c r="F10414" s="3" t="str">
        <f t="shared" si="162"/>
        <v>I9772</v>
      </c>
    </row>
    <row r="10415" spans="1:6" x14ac:dyDescent="0.2">
      <c r="A10415" s="29" t="s">
        <v>24363</v>
      </c>
      <c r="B10415" s="30" t="s">
        <v>24364</v>
      </c>
      <c r="C10415" s="29" t="s">
        <v>26</v>
      </c>
      <c r="D10415" s="31">
        <v>9163.43</v>
      </c>
      <c r="F10415" s="3" t="str">
        <f t="shared" si="162"/>
        <v>I9773</v>
      </c>
    </row>
    <row r="10416" spans="1:6" x14ac:dyDescent="0.2">
      <c r="A10416" s="29" t="s">
        <v>24365</v>
      </c>
      <c r="B10416" s="30" t="s">
        <v>24366</v>
      </c>
      <c r="C10416" s="29" t="s">
        <v>26</v>
      </c>
      <c r="D10416" s="31">
        <v>14935.47</v>
      </c>
      <c r="F10416" s="3" t="str">
        <f t="shared" si="162"/>
        <v>I9774</v>
      </c>
    </row>
    <row r="10417" spans="1:6" x14ac:dyDescent="0.2">
      <c r="A10417" s="29" t="s">
        <v>24367</v>
      </c>
      <c r="B10417" s="30" t="s">
        <v>24368</v>
      </c>
      <c r="C10417" s="29" t="s">
        <v>26</v>
      </c>
      <c r="D10417" s="31">
        <v>1.01</v>
      </c>
      <c r="F10417" s="3" t="str">
        <f t="shared" si="162"/>
        <v>I9775</v>
      </c>
    </row>
    <row r="10418" spans="1:6" x14ac:dyDescent="0.2">
      <c r="A10418" s="29" t="s">
        <v>24369</v>
      </c>
      <c r="B10418" s="30" t="s">
        <v>24370</v>
      </c>
      <c r="C10418" s="29" t="s">
        <v>26</v>
      </c>
      <c r="D10418" s="31">
        <v>0.45</v>
      </c>
      <c r="F10418" s="3" t="str">
        <f t="shared" si="162"/>
        <v>I9776</v>
      </c>
    </row>
    <row r="10419" spans="1:6" x14ac:dyDescent="0.2">
      <c r="A10419" s="29" t="s">
        <v>24371</v>
      </c>
      <c r="B10419" s="30" t="s">
        <v>24372</v>
      </c>
      <c r="C10419" s="29" t="s">
        <v>26</v>
      </c>
      <c r="D10419" s="31">
        <v>1.79</v>
      </c>
      <c r="F10419" s="3" t="str">
        <f t="shared" si="162"/>
        <v>I9777</v>
      </c>
    </row>
    <row r="10420" spans="1:6" x14ac:dyDescent="0.2">
      <c r="A10420" s="29" t="s">
        <v>24373</v>
      </c>
      <c r="B10420" s="30" t="s">
        <v>24374</v>
      </c>
      <c r="C10420" s="29" t="s">
        <v>1284</v>
      </c>
      <c r="D10420" s="31">
        <v>66.62</v>
      </c>
      <c r="F10420" s="3" t="str">
        <f t="shared" si="162"/>
        <v>I8075</v>
      </c>
    </row>
    <row r="10421" spans="1:6" x14ac:dyDescent="0.2">
      <c r="A10421" s="29" t="s">
        <v>24375</v>
      </c>
      <c r="B10421" s="30" t="s">
        <v>24376</v>
      </c>
      <c r="C10421" s="29" t="s">
        <v>26</v>
      </c>
      <c r="D10421" s="31">
        <v>11.17</v>
      </c>
      <c r="F10421" s="3" t="str">
        <f t="shared" si="162"/>
        <v>I6278</v>
      </c>
    </row>
    <row r="10422" spans="1:6" x14ac:dyDescent="0.2">
      <c r="A10422" s="29" t="s">
        <v>24377</v>
      </c>
      <c r="B10422" s="30" t="s">
        <v>24378</v>
      </c>
      <c r="C10422" s="29" t="s">
        <v>0</v>
      </c>
      <c r="D10422" s="31">
        <v>3.42</v>
      </c>
      <c r="F10422" s="3" t="str">
        <f t="shared" si="162"/>
        <v>I6422</v>
      </c>
    </row>
    <row r="10423" spans="1:6" x14ac:dyDescent="0.2">
      <c r="A10423" s="29" t="s">
        <v>24379</v>
      </c>
      <c r="B10423" s="30" t="s">
        <v>24380</v>
      </c>
      <c r="C10423" s="29" t="s">
        <v>0</v>
      </c>
      <c r="D10423" s="31">
        <v>0.51</v>
      </c>
      <c r="F10423" s="3" t="str">
        <f t="shared" si="162"/>
        <v>I9778</v>
      </c>
    </row>
    <row r="10424" spans="1:6" x14ac:dyDescent="0.2">
      <c r="A10424" s="29" t="s">
        <v>24381</v>
      </c>
      <c r="B10424" s="30" t="s">
        <v>24382</v>
      </c>
      <c r="C10424" s="29" t="s">
        <v>26</v>
      </c>
      <c r="D10424" s="31">
        <v>10605.05</v>
      </c>
      <c r="F10424" s="3" t="str">
        <f t="shared" si="162"/>
        <v>I9779</v>
      </c>
    </row>
    <row r="10425" spans="1:6" x14ac:dyDescent="0.2">
      <c r="A10425" s="29" t="s">
        <v>24383</v>
      </c>
      <c r="B10425" s="30" t="s">
        <v>24384</v>
      </c>
      <c r="C10425" s="29" t="s">
        <v>26</v>
      </c>
      <c r="D10425" s="31">
        <v>11783.25</v>
      </c>
      <c r="F10425" s="3" t="str">
        <f t="shared" si="162"/>
        <v>I9780</v>
      </c>
    </row>
    <row r="10426" spans="1:6" x14ac:dyDescent="0.2">
      <c r="A10426" s="29" t="s">
        <v>24385</v>
      </c>
      <c r="B10426" s="30" t="s">
        <v>24386</v>
      </c>
      <c r="C10426" s="29" t="s">
        <v>26</v>
      </c>
      <c r="D10426" s="31">
        <v>414.56</v>
      </c>
      <c r="F10426" s="3" t="str">
        <f t="shared" si="162"/>
        <v>I13293</v>
      </c>
    </row>
    <row r="10427" spans="1:6" x14ac:dyDescent="0.2">
      <c r="A10427" s="29" t="s">
        <v>24387</v>
      </c>
      <c r="B10427" s="30" t="s">
        <v>24388</v>
      </c>
      <c r="C10427" s="29" t="s">
        <v>26</v>
      </c>
      <c r="D10427" s="31">
        <v>602.99</v>
      </c>
      <c r="F10427" s="3" t="str">
        <f t="shared" si="162"/>
        <v>I13294</v>
      </c>
    </row>
    <row r="10428" spans="1:6" x14ac:dyDescent="0.2">
      <c r="A10428" s="29" t="s">
        <v>24389</v>
      </c>
      <c r="B10428" s="30" t="s">
        <v>24390</v>
      </c>
      <c r="C10428" s="29" t="s">
        <v>26</v>
      </c>
      <c r="D10428" s="31">
        <v>65.319999999999993</v>
      </c>
      <c r="F10428" s="3" t="str">
        <f t="shared" si="162"/>
        <v>I13287</v>
      </c>
    </row>
    <row r="10429" spans="1:6" x14ac:dyDescent="0.2">
      <c r="A10429" s="29" t="s">
        <v>24391</v>
      </c>
      <c r="B10429" s="30" t="s">
        <v>24392</v>
      </c>
      <c r="C10429" s="29" t="s">
        <v>26</v>
      </c>
      <c r="D10429" s="31">
        <v>101.66</v>
      </c>
      <c r="F10429" s="3" t="str">
        <f t="shared" si="162"/>
        <v>I13288</v>
      </c>
    </row>
    <row r="10430" spans="1:6" x14ac:dyDescent="0.2">
      <c r="A10430" s="29" t="s">
        <v>24393</v>
      </c>
      <c r="B10430" s="30" t="s">
        <v>24394</v>
      </c>
      <c r="C10430" s="29" t="s">
        <v>26</v>
      </c>
      <c r="D10430" s="31">
        <v>141.01</v>
      </c>
      <c r="F10430" s="3" t="str">
        <f t="shared" si="162"/>
        <v>I13289</v>
      </c>
    </row>
    <row r="10431" spans="1:6" x14ac:dyDescent="0.2">
      <c r="A10431" s="29" t="s">
        <v>24395</v>
      </c>
      <c r="B10431" s="30" t="s">
        <v>24396</v>
      </c>
      <c r="C10431" s="29" t="s">
        <v>26</v>
      </c>
      <c r="D10431" s="31">
        <v>141.77000000000001</v>
      </c>
      <c r="F10431" s="3" t="str">
        <f t="shared" si="162"/>
        <v>I13290</v>
      </c>
    </row>
    <row r="10432" spans="1:6" x14ac:dyDescent="0.2">
      <c r="A10432" s="29" t="s">
        <v>24397</v>
      </c>
      <c r="B10432" s="30" t="s">
        <v>24398</v>
      </c>
      <c r="C10432" s="29" t="s">
        <v>26</v>
      </c>
      <c r="D10432" s="31">
        <v>174.5</v>
      </c>
      <c r="F10432" s="3" t="str">
        <f t="shared" si="162"/>
        <v>I13291</v>
      </c>
    </row>
    <row r="10433" spans="1:6" x14ac:dyDescent="0.2">
      <c r="A10433" s="29" t="s">
        <v>24399</v>
      </c>
      <c r="B10433" s="30" t="s">
        <v>24400</v>
      </c>
      <c r="C10433" s="29" t="s">
        <v>26</v>
      </c>
      <c r="D10433" s="31">
        <v>290.73</v>
      </c>
      <c r="F10433" s="3" t="str">
        <f t="shared" si="162"/>
        <v>I13292</v>
      </c>
    </row>
    <row r="10434" spans="1:6" x14ac:dyDescent="0.2">
      <c r="A10434" s="29" t="s">
        <v>24401</v>
      </c>
      <c r="B10434" s="30" t="s">
        <v>24402</v>
      </c>
      <c r="C10434" s="29" t="s">
        <v>26</v>
      </c>
      <c r="D10434" s="31">
        <v>525.15</v>
      </c>
      <c r="F10434" s="3" t="str">
        <f t="shared" ref="F10434:F10497" si="163">A10434</f>
        <v>I9781</v>
      </c>
    </row>
    <row r="10435" spans="1:6" x14ac:dyDescent="0.2">
      <c r="A10435" s="29" t="s">
        <v>24403</v>
      </c>
      <c r="B10435" s="30" t="s">
        <v>24404</v>
      </c>
      <c r="C10435" s="29" t="s">
        <v>26</v>
      </c>
      <c r="D10435" s="31">
        <v>4728.33</v>
      </c>
      <c r="F10435" s="3" t="str">
        <f t="shared" si="163"/>
        <v>I13204</v>
      </c>
    </row>
    <row r="10436" spans="1:6" x14ac:dyDescent="0.2">
      <c r="A10436" s="29" t="s">
        <v>24405</v>
      </c>
      <c r="B10436" s="30" t="s">
        <v>24406</v>
      </c>
      <c r="C10436" s="29" t="s">
        <v>26</v>
      </c>
      <c r="D10436" s="31">
        <v>6560.25</v>
      </c>
      <c r="F10436" s="3" t="str">
        <f t="shared" si="163"/>
        <v>I13205</v>
      </c>
    </row>
    <row r="10437" spans="1:6" x14ac:dyDescent="0.2">
      <c r="A10437" s="29" t="s">
        <v>24407</v>
      </c>
      <c r="B10437" s="30" t="s">
        <v>24408</v>
      </c>
      <c r="C10437" s="29" t="s">
        <v>26</v>
      </c>
      <c r="D10437" s="31">
        <v>202.83</v>
      </c>
      <c r="F10437" s="3" t="str">
        <f t="shared" si="163"/>
        <v>I13199</v>
      </c>
    </row>
    <row r="10438" spans="1:6" x14ac:dyDescent="0.2">
      <c r="A10438" s="29" t="s">
        <v>24409</v>
      </c>
      <c r="B10438" s="30" t="s">
        <v>24410</v>
      </c>
      <c r="C10438" s="29" t="s">
        <v>26</v>
      </c>
      <c r="D10438" s="31">
        <v>416.15</v>
      </c>
      <c r="F10438" s="3" t="str">
        <f t="shared" si="163"/>
        <v>I13200</v>
      </c>
    </row>
    <row r="10439" spans="1:6" x14ac:dyDescent="0.2">
      <c r="A10439" s="29" t="s">
        <v>24411</v>
      </c>
      <c r="B10439" s="30" t="s">
        <v>24412</v>
      </c>
      <c r="C10439" s="29" t="s">
        <v>26</v>
      </c>
      <c r="D10439" s="31">
        <v>576.21</v>
      </c>
      <c r="F10439" s="3" t="str">
        <f t="shared" si="163"/>
        <v>I13201</v>
      </c>
    </row>
    <row r="10440" spans="1:6" x14ac:dyDescent="0.2">
      <c r="A10440" s="29" t="s">
        <v>24413</v>
      </c>
      <c r="B10440" s="30" t="s">
        <v>24414</v>
      </c>
      <c r="C10440" s="29" t="s">
        <v>26</v>
      </c>
      <c r="D10440" s="31">
        <v>864.31</v>
      </c>
      <c r="F10440" s="3" t="str">
        <f t="shared" si="163"/>
        <v>I13202</v>
      </c>
    </row>
    <row r="10441" spans="1:6" x14ac:dyDescent="0.2">
      <c r="A10441" s="29" t="s">
        <v>24415</v>
      </c>
      <c r="B10441" s="30" t="s">
        <v>24416</v>
      </c>
      <c r="C10441" s="29" t="s">
        <v>26</v>
      </c>
      <c r="D10441" s="31">
        <v>4369.37</v>
      </c>
      <c r="F10441" s="3" t="str">
        <f t="shared" si="163"/>
        <v>I13203</v>
      </c>
    </row>
    <row r="10442" spans="1:6" x14ac:dyDescent="0.2">
      <c r="A10442" s="29" t="s">
        <v>24417</v>
      </c>
      <c r="B10442" s="30" t="s">
        <v>24418</v>
      </c>
      <c r="C10442" s="29" t="s">
        <v>26</v>
      </c>
      <c r="D10442" s="31">
        <v>3876.5</v>
      </c>
      <c r="F10442" s="3" t="str">
        <f t="shared" si="163"/>
        <v>I13234</v>
      </c>
    </row>
    <row r="10443" spans="1:6" x14ac:dyDescent="0.2">
      <c r="A10443" s="29" t="s">
        <v>24419</v>
      </c>
      <c r="B10443" s="30" t="s">
        <v>24420</v>
      </c>
      <c r="C10443" s="29" t="s">
        <v>26</v>
      </c>
      <c r="D10443" s="31">
        <v>5001.76</v>
      </c>
      <c r="F10443" s="3" t="str">
        <f t="shared" si="163"/>
        <v>I13235</v>
      </c>
    </row>
    <row r="10444" spans="1:6" x14ac:dyDescent="0.2">
      <c r="A10444" s="29" t="s">
        <v>24421</v>
      </c>
      <c r="B10444" s="30" t="s">
        <v>24422</v>
      </c>
      <c r="C10444" s="29" t="s">
        <v>26</v>
      </c>
      <c r="D10444" s="31">
        <v>597.76</v>
      </c>
      <c r="F10444" s="3" t="str">
        <f t="shared" si="163"/>
        <v>I13229</v>
      </c>
    </row>
    <row r="10445" spans="1:6" x14ac:dyDescent="0.2">
      <c r="A10445" s="29" t="s">
        <v>24423</v>
      </c>
      <c r="B10445" s="30" t="s">
        <v>24424</v>
      </c>
      <c r="C10445" s="29" t="s">
        <v>26</v>
      </c>
      <c r="D10445" s="31">
        <v>868.54</v>
      </c>
      <c r="F10445" s="3" t="str">
        <f t="shared" si="163"/>
        <v>I13230</v>
      </c>
    </row>
    <row r="10446" spans="1:6" x14ac:dyDescent="0.2">
      <c r="A10446" s="29" t="s">
        <v>24425</v>
      </c>
      <c r="B10446" s="30" t="s">
        <v>24426</v>
      </c>
      <c r="C10446" s="29" t="s">
        <v>26</v>
      </c>
      <c r="D10446" s="31">
        <v>1046.08</v>
      </c>
      <c r="F10446" s="3" t="str">
        <f t="shared" si="163"/>
        <v>I13231</v>
      </c>
    </row>
    <row r="10447" spans="1:6" x14ac:dyDescent="0.2">
      <c r="A10447" s="29" t="s">
        <v>24427</v>
      </c>
      <c r="B10447" s="30" t="s">
        <v>24428</v>
      </c>
      <c r="C10447" s="29" t="s">
        <v>26</v>
      </c>
      <c r="D10447" s="31">
        <v>1737.08</v>
      </c>
      <c r="F10447" s="3" t="str">
        <f t="shared" si="163"/>
        <v>I13232</v>
      </c>
    </row>
    <row r="10448" spans="1:6" x14ac:dyDescent="0.2">
      <c r="A10448" s="29" t="s">
        <v>24429</v>
      </c>
      <c r="B10448" s="30" t="s">
        <v>24430</v>
      </c>
      <c r="C10448" s="29" t="s">
        <v>26</v>
      </c>
      <c r="D10448" s="31">
        <v>2458.7399999999998</v>
      </c>
      <c r="F10448" s="3" t="str">
        <f t="shared" si="163"/>
        <v>I13233</v>
      </c>
    </row>
    <row r="10449" spans="1:6" x14ac:dyDescent="0.2">
      <c r="A10449" s="29" t="s">
        <v>24431</v>
      </c>
      <c r="B10449" s="30" t="s">
        <v>24432</v>
      </c>
      <c r="C10449" s="29" t="s">
        <v>26</v>
      </c>
      <c r="D10449" s="31">
        <v>92.98</v>
      </c>
      <c r="F10449" s="3" t="str">
        <f t="shared" si="163"/>
        <v>I9782</v>
      </c>
    </row>
    <row r="10450" spans="1:6" x14ac:dyDescent="0.2">
      <c r="A10450" s="29" t="s">
        <v>24433</v>
      </c>
      <c r="B10450" s="30" t="s">
        <v>24434</v>
      </c>
      <c r="C10450" s="29" t="s">
        <v>26</v>
      </c>
      <c r="D10450" s="31">
        <v>207.94</v>
      </c>
      <c r="F10450" s="3" t="str">
        <f t="shared" si="163"/>
        <v>I3856</v>
      </c>
    </row>
    <row r="10451" spans="1:6" x14ac:dyDescent="0.2">
      <c r="A10451" s="29" t="s">
        <v>24435</v>
      </c>
      <c r="B10451" s="30" t="s">
        <v>24436</v>
      </c>
      <c r="C10451" s="29" t="s">
        <v>26</v>
      </c>
      <c r="D10451" s="31">
        <v>249.53</v>
      </c>
      <c r="F10451" s="3" t="str">
        <f t="shared" si="163"/>
        <v>I10841</v>
      </c>
    </row>
    <row r="10452" spans="1:6" x14ac:dyDescent="0.2">
      <c r="A10452" s="29" t="s">
        <v>24437</v>
      </c>
      <c r="B10452" s="30" t="s">
        <v>24438</v>
      </c>
      <c r="C10452" s="29" t="s">
        <v>26</v>
      </c>
      <c r="D10452" s="31">
        <v>13685.03</v>
      </c>
      <c r="F10452" s="3" t="str">
        <f t="shared" si="163"/>
        <v>I3869</v>
      </c>
    </row>
    <row r="10453" spans="1:6" x14ac:dyDescent="0.2">
      <c r="A10453" s="29" t="s">
        <v>24439</v>
      </c>
      <c r="B10453" s="30" t="s">
        <v>24440</v>
      </c>
      <c r="C10453" s="29" t="s">
        <v>26</v>
      </c>
      <c r="D10453" s="31">
        <v>15053.54</v>
      </c>
      <c r="F10453" s="3" t="str">
        <f t="shared" si="163"/>
        <v>I10839</v>
      </c>
    </row>
    <row r="10454" spans="1:6" x14ac:dyDescent="0.2">
      <c r="A10454" s="29" t="s">
        <v>24441</v>
      </c>
      <c r="B10454" s="30" t="s">
        <v>24442</v>
      </c>
      <c r="C10454" s="29" t="s">
        <v>26</v>
      </c>
      <c r="D10454" s="31">
        <v>16422.04</v>
      </c>
      <c r="F10454" s="3" t="str">
        <f t="shared" si="163"/>
        <v>I10855</v>
      </c>
    </row>
    <row r="10455" spans="1:6" x14ac:dyDescent="0.2">
      <c r="A10455" s="29" t="s">
        <v>24443</v>
      </c>
      <c r="B10455" s="30" t="s">
        <v>24444</v>
      </c>
      <c r="C10455" s="29" t="s">
        <v>26</v>
      </c>
      <c r="D10455" s="31">
        <v>18582.29</v>
      </c>
      <c r="F10455" s="3" t="str">
        <f t="shared" si="163"/>
        <v>I3871</v>
      </c>
    </row>
    <row r="10456" spans="1:6" x14ac:dyDescent="0.2">
      <c r="A10456" s="29" t="s">
        <v>24445</v>
      </c>
      <c r="B10456" s="30" t="s">
        <v>24446</v>
      </c>
      <c r="C10456" s="29" t="s">
        <v>26</v>
      </c>
      <c r="D10456" s="31">
        <v>20440.53</v>
      </c>
      <c r="F10456" s="3" t="str">
        <f t="shared" si="163"/>
        <v>I10840</v>
      </c>
    </row>
    <row r="10457" spans="1:6" x14ac:dyDescent="0.2">
      <c r="A10457" s="29" t="s">
        <v>24447</v>
      </c>
      <c r="B10457" s="30" t="s">
        <v>24448</v>
      </c>
      <c r="C10457" s="29" t="s">
        <v>26</v>
      </c>
      <c r="D10457" s="31">
        <v>22298.76</v>
      </c>
      <c r="F10457" s="3" t="str">
        <f t="shared" si="163"/>
        <v>I10856</v>
      </c>
    </row>
    <row r="10458" spans="1:6" x14ac:dyDescent="0.2">
      <c r="A10458" s="29" t="s">
        <v>24449</v>
      </c>
      <c r="B10458" s="30" t="s">
        <v>24450</v>
      </c>
      <c r="C10458" s="29" t="s">
        <v>26</v>
      </c>
      <c r="D10458" s="31">
        <v>313.02999999999997</v>
      </c>
      <c r="F10458" s="3" t="str">
        <f t="shared" si="163"/>
        <v>I3857</v>
      </c>
    </row>
    <row r="10459" spans="1:6" x14ac:dyDescent="0.2">
      <c r="A10459" s="29" t="s">
        <v>24451</v>
      </c>
      <c r="B10459" s="30" t="s">
        <v>24452</v>
      </c>
      <c r="C10459" s="29" t="s">
        <v>26</v>
      </c>
      <c r="D10459" s="31">
        <v>375.64</v>
      </c>
      <c r="F10459" s="3" t="str">
        <f t="shared" si="163"/>
        <v>I10842</v>
      </c>
    </row>
    <row r="10460" spans="1:6" x14ac:dyDescent="0.2">
      <c r="A10460" s="29" t="s">
        <v>24453</v>
      </c>
      <c r="B10460" s="30" t="s">
        <v>24454</v>
      </c>
      <c r="C10460" s="29" t="s">
        <v>26</v>
      </c>
      <c r="D10460" s="31">
        <v>456.13</v>
      </c>
      <c r="F10460" s="3" t="str">
        <f t="shared" si="163"/>
        <v>I3858</v>
      </c>
    </row>
    <row r="10461" spans="1:6" x14ac:dyDescent="0.2">
      <c r="A10461" s="29" t="s">
        <v>24455</v>
      </c>
      <c r="B10461" s="30" t="s">
        <v>24456</v>
      </c>
      <c r="C10461" s="29" t="s">
        <v>26</v>
      </c>
      <c r="D10461" s="31">
        <v>447.18</v>
      </c>
      <c r="F10461" s="3" t="str">
        <f t="shared" si="163"/>
        <v>I10827</v>
      </c>
    </row>
    <row r="10462" spans="1:6" x14ac:dyDescent="0.2">
      <c r="A10462" s="29" t="s">
        <v>24457</v>
      </c>
      <c r="B10462" s="30" t="s">
        <v>24458</v>
      </c>
      <c r="C10462" s="29" t="s">
        <v>26</v>
      </c>
      <c r="D10462" s="31">
        <v>547.35</v>
      </c>
      <c r="F10462" s="3" t="str">
        <f t="shared" si="163"/>
        <v>I10843</v>
      </c>
    </row>
    <row r="10463" spans="1:6" x14ac:dyDescent="0.2">
      <c r="A10463" s="29" t="s">
        <v>24459</v>
      </c>
      <c r="B10463" s="30" t="s">
        <v>24460</v>
      </c>
      <c r="C10463" s="29" t="s">
        <v>26</v>
      </c>
      <c r="D10463" s="31">
        <v>669.33</v>
      </c>
      <c r="F10463" s="3" t="str">
        <f t="shared" si="163"/>
        <v>I3859</v>
      </c>
    </row>
    <row r="10464" spans="1:6" x14ac:dyDescent="0.2">
      <c r="A10464" s="29" t="s">
        <v>24461</v>
      </c>
      <c r="B10464" s="30" t="s">
        <v>24462</v>
      </c>
      <c r="C10464" s="29" t="s">
        <v>26</v>
      </c>
      <c r="D10464" s="31">
        <v>736.26</v>
      </c>
      <c r="F10464" s="3" t="str">
        <f t="shared" si="163"/>
        <v>I10828</v>
      </c>
    </row>
    <row r="10465" spans="1:6" x14ac:dyDescent="0.2">
      <c r="A10465" s="29" t="s">
        <v>24463</v>
      </c>
      <c r="B10465" s="30" t="s">
        <v>24464</v>
      </c>
      <c r="C10465" s="29" t="s">
        <v>26</v>
      </c>
      <c r="D10465" s="31">
        <v>803.19</v>
      </c>
      <c r="F10465" s="3" t="str">
        <f t="shared" si="163"/>
        <v>I10844</v>
      </c>
    </row>
    <row r="10466" spans="1:6" x14ac:dyDescent="0.2">
      <c r="A10466" s="29" t="s">
        <v>24465</v>
      </c>
      <c r="B10466" s="30" t="s">
        <v>24466</v>
      </c>
      <c r="C10466" s="29" t="s">
        <v>26</v>
      </c>
      <c r="D10466" s="31">
        <v>989.84</v>
      </c>
      <c r="F10466" s="3" t="str">
        <f t="shared" si="163"/>
        <v>I3860</v>
      </c>
    </row>
    <row r="10467" spans="1:6" x14ac:dyDescent="0.2">
      <c r="A10467" s="29" t="s">
        <v>24467</v>
      </c>
      <c r="B10467" s="30" t="s">
        <v>24468</v>
      </c>
      <c r="C10467" s="29" t="s">
        <v>26</v>
      </c>
      <c r="D10467" s="31">
        <v>1088.83</v>
      </c>
      <c r="F10467" s="3" t="str">
        <f t="shared" si="163"/>
        <v>I10829</v>
      </c>
    </row>
    <row r="10468" spans="1:6" x14ac:dyDescent="0.2">
      <c r="A10468" s="29" t="s">
        <v>24469</v>
      </c>
      <c r="B10468" s="30" t="s">
        <v>24470</v>
      </c>
      <c r="C10468" s="29" t="s">
        <v>26</v>
      </c>
      <c r="D10468" s="31">
        <v>1178.3900000000001</v>
      </c>
      <c r="F10468" s="3" t="str">
        <f t="shared" si="163"/>
        <v>I10845</v>
      </c>
    </row>
    <row r="10469" spans="1:6" x14ac:dyDescent="0.2">
      <c r="A10469" s="29" t="s">
        <v>24471</v>
      </c>
      <c r="B10469" s="30" t="s">
        <v>24472</v>
      </c>
      <c r="C10469" s="29" t="s">
        <v>26</v>
      </c>
      <c r="D10469" s="31">
        <v>1247.28</v>
      </c>
      <c r="F10469" s="3" t="str">
        <f t="shared" si="163"/>
        <v>I3861</v>
      </c>
    </row>
    <row r="10470" spans="1:6" x14ac:dyDescent="0.2">
      <c r="A10470" s="29" t="s">
        <v>24473</v>
      </c>
      <c r="B10470" s="30" t="s">
        <v>24474</v>
      </c>
      <c r="C10470" s="29" t="s">
        <v>26</v>
      </c>
      <c r="D10470" s="31">
        <v>1372.01</v>
      </c>
      <c r="F10470" s="3" t="str">
        <f t="shared" si="163"/>
        <v>I10830</v>
      </c>
    </row>
    <row r="10471" spans="1:6" x14ac:dyDescent="0.2">
      <c r="A10471" s="29" t="s">
        <v>24475</v>
      </c>
      <c r="B10471" s="30" t="s">
        <v>24476</v>
      </c>
      <c r="C10471" s="29" t="s">
        <v>26</v>
      </c>
      <c r="D10471" s="31">
        <v>1559.1</v>
      </c>
      <c r="F10471" s="3" t="str">
        <f t="shared" si="163"/>
        <v>I10846</v>
      </c>
    </row>
    <row r="10472" spans="1:6" x14ac:dyDescent="0.2">
      <c r="A10472" s="29" t="s">
        <v>24477</v>
      </c>
      <c r="B10472" s="30" t="s">
        <v>24478</v>
      </c>
      <c r="C10472" s="29" t="s">
        <v>26</v>
      </c>
      <c r="D10472" s="31">
        <v>1663.04</v>
      </c>
      <c r="F10472" s="3" t="str">
        <f t="shared" si="163"/>
        <v>I3862</v>
      </c>
    </row>
    <row r="10473" spans="1:6" x14ac:dyDescent="0.2">
      <c r="A10473" s="29" t="s">
        <v>24479</v>
      </c>
      <c r="B10473" s="30" t="s">
        <v>24480</v>
      </c>
      <c r="C10473" s="29" t="s">
        <v>26</v>
      </c>
      <c r="D10473" s="31">
        <v>1870.92</v>
      </c>
      <c r="F10473" s="3" t="str">
        <f t="shared" si="163"/>
        <v>I10831</v>
      </c>
    </row>
    <row r="10474" spans="1:6" x14ac:dyDescent="0.2">
      <c r="A10474" s="29" t="s">
        <v>24481</v>
      </c>
      <c r="B10474" s="30" t="s">
        <v>24482</v>
      </c>
      <c r="C10474" s="29" t="s">
        <v>26</v>
      </c>
      <c r="D10474" s="31">
        <v>2338.65</v>
      </c>
      <c r="F10474" s="3" t="str">
        <f t="shared" si="163"/>
        <v>I10847</v>
      </c>
    </row>
    <row r="10475" spans="1:6" x14ac:dyDescent="0.2">
      <c r="A10475" s="29" t="s">
        <v>24483</v>
      </c>
      <c r="B10475" s="30" t="s">
        <v>24484</v>
      </c>
      <c r="C10475" s="29" t="s">
        <v>26</v>
      </c>
      <c r="D10475" s="31">
        <v>1957.94</v>
      </c>
      <c r="F10475" s="3" t="str">
        <f t="shared" si="163"/>
        <v>I3863</v>
      </c>
    </row>
    <row r="10476" spans="1:6" x14ac:dyDescent="0.2">
      <c r="A10476" s="29" t="s">
        <v>24485</v>
      </c>
      <c r="B10476" s="30" t="s">
        <v>24486</v>
      </c>
      <c r="C10476" s="29" t="s">
        <v>26</v>
      </c>
      <c r="D10476" s="31">
        <v>2153.7399999999998</v>
      </c>
      <c r="F10476" s="3" t="str">
        <f t="shared" si="163"/>
        <v>I10832</v>
      </c>
    </row>
    <row r="10477" spans="1:6" x14ac:dyDescent="0.2">
      <c r="A10477" s="29" t="s">
        <v>24487</v>
      </c>
      <c r="B10477" s="30" t="s">
        <v>24488</v>
      </c>
      <c r="C10477" s="29" t="s">
        <v>26</v>
      </c>
      <c r="D10477" s="31">
        <v>2349.5300000000002</v>
      </c>
      <c r="F10477" s="3" t="str">
        <f t="shared" si="163"/>
        <v>I10848</v>
      </c>
    </row>
    <row r="10478" spans="1:6" x14ac:dyDescent="0.2">
      <c r="A10478" s="29" t="s">
        <v>24489</v>
      </c>
      <c r="B10478" s="30" t="s">
        <v>24490</v>
      </c>
      <c r="C10478" s="29" t="s">
        <v>26</v>
      </c>
      <c r="D10478" s="31">
        <v>2284.2600000000002</v>
      </c>
      <c r="F10478" s="3" t="str">
        <f t="shared" si="163"/>
        <v>I3864</v>
      </c>
    </row>
    <row r="10479" spans="1:6" x14ac:dyDescent="0.2">
      <c r="A10479" s="29" t="s">
        <v>24491</v>
      </c>
      <c r="B10479" s="30" t="s">
        <v>24492</v>
      </c>
      <c r="C10479" s="29" t="s">
        <v>26</v>
      </c>
      <c r="D10479" s="31">
        <v>2936.91</v>
      </c>
      <c r="F10479" s="3" t="str">
        <f t="shared" si="163"/>
        <v>I10833</v>
      </c>
    </row>
    <row r="10480" spans="1:6" x14ac:dyDescent="0.2">
      <c r="A10480" s="29" t="s">
        <v>24493</v>
      </c>
      <c r="B10480" s="30" t="s">
        <v>24494</v>
      </c>
      <c r="C10480" s="29" t="s">
        <v>26</v>
      </c>
      <c r="D10480" s="31">
        <v>3154.46</v>
      </c>
      <c r="F10480" s="3" t="str">
        <f t="shared" si="163"/>
        <v>I10849</v>
      </c>
    </row>
    <row r="10481" spans="1:6" x14ac:dyDescent="0.2">
      <c r="A10481" s="29" t="s">
        <v>24495</v>
      </c>
      <c r="B10481" s="30" t="s">
        <v>24496</v>
      </c>
      <c r="C10481" s="29" t="s">
        <v>26</v>
      </c>
      <c r="D10481" s="31">
        <v>2773.74</v>
      </c>
      <c r="F10481" s="3" t="str">
        <f t="shared" si="163"/>
        <v>I10826</v>
      </c>
    </row>
    <row r="10482" spans="1:6" x14ac:dyDescent="0.2">
      <c r="A10482" s="29" t="s">
        <v>24497</v>
      </c>
      <c r="B10482" s="30" t="s">
        <v>24498</v>
      </c>
      <c r="C10482" s="29" t="s">
        <v>26</v>
      </c>
      <c r="D10482" s="31">
        <v>3051.13</v>
      </c>
      <c r="F10482" s="3" t="str">
        <f t="shared" si="163"/>
        <v>I10834</v>
      </c>
    </row>
    <row r="10483" spans="1:6" x14ac:dyDescent="0.2">
      <c r="A10483" s="29" t="s">
        <v>24499</v>
      </c>
      <c r="B10483" s="30" t="s">
        <v>24500</v>
      </c>
      <c r="C10483" s="29" t="s">
        <v>26</v>
      </c>
      <c r="D10483" s="31">
        <v>3328.5</v>
      </c>
      <c r="F10483" s="3" t="str">
        <f t="shared" si="163"/>
        <v>I10850</v>
      </c>
    </row>
    <row r="10484" spans="1:6" x14ac:dyDescent="0.2">
      <c r="A10484" s="29" t="s">
        <v>24501</v>
      </c>
      <c r="B10484" s="30" t="s">
        <v>24502</v>
      </c>
      <c r="C10484" s="29" t="s">
        <v>26</v>
      </c>
      <c r="D10484" s="31">
        <v>2995.64</v>
      </c>
      <c r="F10484" s="3" t="str">
        <f t="shared" si="163"/>
        <v>I3865</v>
      </c>
    </row>
    <row r="10485" spans="1:6" x14ac:dyDescent="0.2">
      <c r="A10485" s="29" t="s">
        <v>24503</v>
      </c>
      <c r="B10485" s="30" t="s">
        <v>24504</v>
      </c>
      <c r="C10485" s="29" t="s">
        <v>26</v>
      </c>
      <c r="D10485" s="31">
        <v>3295.2</v>
      </c>
      <c r="F10485" s="3" t="str">
        <f t="shared" si="163"/>
        <v>I10835</v>
      </c>
    </row>
    <row r="10486" spans="1:6" x14ac:dyDescent="0.2">
      <c r="A10486" s="29" t="s">
        <v>24505</v>
      </c>
      <c r="B10486" s="30" t="s">
        <v>24506</v>
      </c>
      <c r="C10486" s="29" t="s">
        <v>26</v>
      </c>
      <c r="D10486" s="31">
        <v>5054.3900000000003</v>
      </c>
      <c r="F10486" s="3" t="str">
        <f t="shared" si="163"/>
        <v>I10851</v>
      </c>
    </row>
    <row r="10487" spans="1:6" x14ac:dyDescent="0.2">
      <c r="A10487" s="29" t="s">
        <v>24507</v>
      </c>
      <c r="B10487" s="30" t="s">
        <v>24508</v>
      </c>
      <c r="C10487" s="29" t="s">
        <v>26</v>
      </c>
      <c r="D10487" s="31">
        <v>4706.3100000000004</v>
      </c>
      <c r="F10487" s="3" t="str">
        <f t="shared" si="163"/>
        <v>I3866</v>
      </c>
    </row>
    <row r="10488" spans="1:6" x14ac:dyDescent="0.2">
      <c r="A10488" s="29" t="s">
        <v>24509</v>
      </c>
      <c r="B10488" s="30" t="s">
        <v>24510</v>
      </c>
      <c r="C10488" s="29" t="s">
        <v>26</v>
      </c>
      <c r="D10488" s="31">
        <v>5176.9399999999996</v>
      </c>
      <c r="F10488" s="3" t="str">
        <f t="shared" si="163"/>
        <v>I10836</v>
      </c>
    </row>
    <row r="10489" spans="1:6" x14ac:dyDescent="0.2">
      <c r="A10489" s="29" t="s">
        <v>24511</v>
      </c>
      <c r="B10489" s="30" t="s">
        <v>24512</v>
      </c>
      <c r="C10489" s="29" t="s">
        <v>26</v>
      </c>
      <c r="D10489" s="31">
        <v>7877.08</v>
      </c>
      <c r="F10489" s="3" t="str">
        <f t="shared" si="163"/>
        <v>I10852</v>
      </c>
    </row>
    <row r="10490" spans="1:6" x14ac:dyDescent="0.2">
      <c r="A10490" s="29" t="s">
        <v>24513</v>
      </c>
      <c r="B10490" s="30" t="s">
        <v>24514</v>
      </c>
      <c r="C10490" s="29" t="s">
        <v>26</v>
      </c>
      <c r="D10490" s="31">
        <v>160.74</v>
      </c>
      <c r="F10490" s="3" t="str">
        <f t="shared" si="163"/>
        <v>I3855</v>
      </c>
    </row>
    <row r="10491" spans="1:6" x14ac:dyDescent="0.2">
      <c r="A10491" s="29" t="s">
        <v>24515</v>
      </c>
      <c r="B10491" s="30" t="s">
        <v>24516</v>
      </c>
      <c r="C10491" s="29" t="s">
        <v>26</v>
      </c>
      <c r="D10491" s="31">
        <v>169.2</v>
      </c>
      <c r="F10491" s="3" t="str">
        <f t="shared" si="163"/>
        <v>I7124</v>
      </c>
    </row>
    <row r="10492" spans="1:6" x14ac:dyDescent="0.2">
      <c r="A10492" s="29" t="s">
        <v>24517</v>
      </c>
      <c r="B10492" s="30" t="s">
        <v>24518</v>
      </c>
      <c r="C10492" s="29" t="s">
        <v>26</v>
      </c>
      <c r="D10492" s="31">
        <v>7344.68</v>
      </c>
      <c r="F10492" s="3" t="str">
        <f t="shared" si="163"/>
        <v>I3867</v>
      </c>
    </row>
    <row r="10493" spans="1:6" x14ac:dyDescent="0.2">
      <c r="A10493" s="29" t="s">
        <v>24519</v>
      </c>
      <c r="B10493" s="30" t="s">
        <v>24520</v>
      </c>
      <c r="C10493" s="29" t="s">
        <v>26</v>
      </c>
      <c r="D10493" s="31">
        <v>8079.16</v>
      </c>
      <c r="F10493" s="3" t="str">
        <f t="shared" si="163"/>
        <v>I10837</v>
      </c>
    </row>
    <row r="10494" spans="1:6" x14ac:dyDescent="0.2">
      <c r="A10494" s="29" t="s">
        <v>24521</v>
      </c>
      <c r="B10494" s="30" t="s">
        <v>24522</v>
      </c>
      <c r="C10494" s="29" t="s">
        <v>26</v>
      </c>
      <c r="D10494" s="31">
        <v>11623.16</v>
      </c>
      <c r="F10494" s="3" t="str">
        <f t="shared" si="163"/>
        <v>I10853</v>
      </c>
    </row>
    <row r="10495" spans="1:6" x14ac:dyDescent="0.2">
      <c r="A10495" s="29" t="s">
        <v>24523</v>
      </c>
      <c r="B10495" s="30" t="s">
        <v>24524</v>
      </c>
      <c r="C10495" s="29" t="s">
        <v>26</v>
      </c>
      <c r="D10495" s="31">
        <v>10659.9</v>
      </c>
      <c r="F10495" s="3" t="str">
        <f t="shared" si="163"/>
        <v>I3868</v>
      </c>
    </row>
    <row r="10496" spans="1:6" x14ac:dyDescent="0.2">
      <c r="A10496" s="29" t="s">
        <v>24525</v>
      </c>
      <c r="B10496" s="30" t="s">
        <v>24526</v>
      </c>
      <c r="C10496" s="29" t="s">
        <v>26</v>
      </c>
      <c r="D10496" s="31">
        <v>11725.88</v>
      </c>
      <c r="F10496" s="3" t="str">
        <f t="shared" si="163"/>
        <v>I10838</v>
      </c>
    </row>
    <row r="10497" spans="1:6" x14ac:dyDescent="0.2">
      <c r="A10497" s="29" t="s">
        <v>24527</v>
      </c>
      <c r="B10497" s="30" t="s">
        <v>24528</v>
      </c>
      <c r="C10497" s="29" t="s">
        <v>26</v>
      </c>
      <c r="D10497" s="31">
        <v>12791.87</v>
      </c>
      <c r="F10497" s="3" t="str">
        <f t="shared" si="163"/>
        <v>I10854</v>
      </c>
    </row>
    <row r="10498" spans="1:6" x14ac:dyDescent="0.2">
      <c r="A10498" s="29" t="s">
        <v>24529</v>
      </c>
      <c r="B10498" s="30" t="s">
        <v>24530</v>
      </c>
      <c r="C10498" s="29" t="s">
        <v>26</v>
      </c>
      <c r="D10498" s="31">
        <v>152.44</v>
      </c>
      <c r="F10498" s="3" t="str">
        <f t="shared" ref="F10498:F10561" si="164">A10498</f>
        <v>I9783</v>
      </c>
    </row>
    <row r="10499" spans="1:6" ht="22.5" x14ac:dyDescent="0.2">
      <c r="A10499" s="29" t="s">
        <v>24531</v>
      </c>
      <c r="B10499" s="30" t="s">
        <v>24532</v>
      </c>
      <c r="C10499" s="29" t="s">
        <v>26</v>
      </c>
      <c r="D10499" s="31">
        <v>7113.7</v>
      </c>
      <c r="F10499" s="3" t="str">
        <f t="shared" si="164"/>
        <v>I9785</v>
      </c>
    </row>
    <row r="10500" spans="1:6" x14ac:dyDescent="0.2">
      <c r="A10500" s="29" t="s">
        <v>24533</v>
      </c>
      <c r="B10500" s="30" t="s">
        <v>24534</v>
      </c>
      <c r="C10500" s="29" t="s">
        <v>26</v>
      </c>
      <c r="D10500" s="31">
        <v>223.57</v>
      </c>
      <c r="F10500" s="3" t="str">
        <f t="shared" si="164"/>
        <v>I9784</v>
      </c>
    </row>
    <row r="10501" spans="1:6" x14ac:dyDescent="0.2">
      <c r="A10501" s="29" t="s">
        <v>24535</v>
      </c>
      <c r="B10501" s="30" t="s">
        <v>24536</v>
      </c>
      <c r="C10501" s="29" t="s">
        <v>26</v>
      </c>
      <c r="D10501" s="31">
        <v>6098.56</v>
      </c>
      <c r="F10501" s="3" t="str">
        <f t="shared" si="164"/>
        <v>I9786</v>
      </c>
    </row>
    <row r="10502" spans="1:6" x14ac:dyDescent="0.2">
      <c r="A10502" s="29" t="s">
        <v>24537</v>
      </c>
      <c r="B10502" s="30" t="s">
        <v>24538</v>
      </c>
      <c r="C10502" s="29" t="s">
        <v>26</v>
      </c>
      <c r="D10502" s="31">
        <v>7655.19</v>
      </c>
      <c r="F10502" s="3" t="str">
        <f t="shared" si="164"/>
        <v>I9787</v>
      </c>
    </row>
    <row r="10503" spans="1:6" x14ac:dyDescent="0.2">
      <c r="A10503" s="29" t="s">
        <v>24539</v>
      </c>
      <c r="B10503" s="30" t="s">
        <v>24540</v>
      </c>
      <c r="C10503" s="29" t="s">
        <v>26</v>
      </c>
      <c r="D10503" s="31">
        <v>15139.26</v>
      </c>
      <c r="F10503" s="3" t="str">
        <f t="shared" si="164"/>
        <v>I9788</v>
      </c>
    </row>
    <row r="10504" spans="1:6" x14ac:dyDescent="0.2">
      <c r="A10504" s="29" t="s">
        <v>24541</v>
      </c>
      <c r="B10504" s="30" t="s">
        <v>24542</v>
      </c>
      <c r="C10504" s="29" t="s">
        <v>26</v>
      </c>
      <c r="D10504" s="31">
        <v>23566.51</v>
      </c>
      <c r="F10504" s="3" t="str">
        <f t="shared" si="164"/>
        <v>I9789</v>
      </c>
    </row>
    <row r="10505" spans="1:6" x14ac:dyDescent="0.2">
      <c r="A10505" s="29" t="s">
        <v>24543</v>
      </c>
      <c r="B10505" s="30" t="s">
        <v>24544</v>
      </c>
      <c r="C10505" s="29" t="s">
        <v>26</v>
      </c>
      <c r="D10505" s="31">
        <v>35982.03</v>
      </c>
      <c r="F10505" s="3" t="str">
        <f t="shared" si="164"/>
        <v>I9790</v>
      </c>
    </row>
    <row r="10506" spans="1:6" x14ac:dyDescent="0.2">
      <c r="A10506" s="29" t="s">
        <v>24545</v>
      </c>
      <c r="B10506" s="30" t="s">
        <v>24546</v>
      </c>
      <c r="C10506" s="29" t="s">
        <v>26</v>
      </c>
      <c r="D10506" s="31">
        <v>3981.25</v>
      </c>
      <c r="F10506" s="3" t="str">
        <f t="shared" si="164"/>
        <v>I9791</v>
      </c>
    </row>
    <row r="10507" spans="1:6" x14ac:dyDescent="0.2">
      <c r="A10507" s="29" t="s">
        <v>24547</v>
      </c>
      <c r="B10507" s="30" t="s">
        <v>24548</v>
      </c>
      <c r="C10507" s="29" t="s">
        <v>26</v>
      </c>
      <c r="D10507" s="31">
        <v>6096.29</v>
      </c>
      <c r="F10507" s="3" t="str">
        <f t="shared" si="164"/>
        <v>I9792</v>
      </c>
    </row>
    <row r="10508" spans="1:6" x14ac:dyDescent="0.2">
      <c r="A10508" s="29" t="s">
        <v>24549</v>
      </c>
      <c r="B10508" s="30" t="s">
        <v>24550</v>
      </c>
      <c r="C10508" s="29" t="s">
        <v>26</v>
      </c>
      <c r="D10508" s="31">
        <v>301.81</v>
      </c>
      <c r="F10508" s="3" t="str">
        <f t="shared" si="164"/>
        <v>I9793</v>
      </c>
    </row>
    <row r="10509" spans="1:6" x14ac:dyDescent="0.2">
      <c r="A10509" s="29" t="s">
        <v>24551</v>
      </c>
      <c r="B10509" s="30" t="s">
        <v>24552</v>
      </c>
      <c r="C10509" s="29" t="s">
        <v>26</v>
      </c>
      <c r="D10509" s="31">
        <v>184.72</v>
      </c>
      <c r="F10509" s="3" t="str">
        <f t="shared" si="164"/>
        <v>I7125</v>
      </c>
    </row>
    <row r="10510" spans="1:6" x14ac:dyDescent="0.2">
      <c r="A10510" s="29" t="s">
        <v>24553</v>
      </c>
      <c r="B10510" s="30" t="s">
        <v>24554</v>
      </c>
      <c r="C10510" s="29" t="s">
        <v>26</v>
      </c>
      <c r="D10510" s="31">
        <v>4520.6400000000003</v>
      </c>
      <c r="F10510" s="3" t="str">
        <f t="shared" si="164"/>
        <v>I9794</v>
      </c>
    </row>
    <row r="10511" spans="1:6" x14ac:dyDescent="0.2">
      <c r="A10511" s="29" t="s">
        <v>24555</v>
      </c>
      <c r="B10511" s="30" t="s">
        <v>24556</v>
      </c>
      <c r="C10511" s="29" t="s">
        <v>26</v>
      </c>
      <c r="D10511" s="31">
        <v>5109.59</v>
      </c>
      <c r="F10511" s="3" t="str">
        <f t="shared" si="164"/>
        <v>I9795</v>
      </c>
    </row>
    <row r="10512" spans="1:6" x14ac:dyDescent="0.2">
      <c r="A10512" s="29" t="s">
        <v>24557</v>
      </c>
      <c r="B10512" s="30" t="s">
        <v>24558</v>
      </c>
      <c r="C10512" s="29" t="s">
        <v>26</v>
      </c>
      <c r="D10512" s="31">
        <v>263.66000000000003</v>
      </c>
      <c r="F10512" s="3" t="str">
        <f t="shared" si="164"/>
        <v>I3839</v>
      </c>
    </row>
    <row r="10513" spans="1:6" x14ac:dyDescent="0.2">
      <c r="A10513" s="29" t="s">
        <v>24559</v>
      </c>
      <c r="B10513" s="30" t="s">
        <v>24560</v>
      </c>
      <c r="C10513" s="29" t="s">
        <v>26</v>
      </c>
      <c r="D10513" s="31">
        <v>386.09</v>
      </c>
      <c r="F10513" s="3" t="str">
        <f t="shared" si="164"/>
        <v>I10870</v>
      </c>
    </row>
    <row r="10514" spans="1:6" x14ac:dyDescent="0.2">
      <c r="A10514" s="29" t="s">
        <v>24561</v>
      </c>
      <c r="B10514" s="30" t="s">
        <v>24562</v>
      </c>
      <c r="C10514" s="29" t="s">
        <v>26</v>
      </c>
      <c r="D10514" s="31">
        <v>27896.97</v>
      </c>
      <c r="F10514" s="3" t="str">
        <f t="shared" si="164"/>
        <v>I3852</v>
      </c>
    </row>
    <row r="10515" spans="1:6" x14ac:dyDescent="0.2">
      <c r="A10515" s="29" t="s">
        <v>24563</v>
      </c>
      <c r="B10515" s="30" t="s">
        <v>24564</v>
      </c>
      <c r="C10515" s="29" t="s">
        <v>26</v>
      </c>
      <c r="D10515" s="31">
        <v>26574.959999999999</v>
      </c>
      <c r="F10515" s="3" t="str">
        <f t="shared" si="164"/>
        <v>I10868</v>
      </c>
    </row>
    <row r="10516" spans="1:6" x14ac:dyDescent="0.2">
      <c r="A10516" s="29" t="s">
        <v>24565</v>
      </c>
      <c r="B10516" s="30" t="s">
        <v>24566</v>
      </c>
      <c r="C10516" s="29" t="s">
        <v>26</v>
      </c>
      <c r="D10516" s="31">
        <v>32029.05</v>
      </c>
      <c r="F10516" s="3" t="str">
        <f t="shared" si="164"/>
        <v>I10883</v>
      </c>
    </row>
    <row r="10517" spans="1:6" x14ac:dyDescent="0.2">
      <c r="A10517" s="29" t="s">
        <v>24567</v>
      </c>
      <c r="B10517" s="30" t="s">
        <v>24568</v>
      </c>
      <c r="C10517" s="29" t="s">
        <v>26</v>
      </c>
      <c r="D10517" s="31">
        <v>34068.870000000003</v>
      </c>
      <c r="F10517" s="3" t="str">
        <f t="shared" si="164"/>
        <v>I3853</v>
      </c>
    </row>
    <row r="10518" spans="1:6" x14ac:dyDescent="0.2">
      <c r="A10518" s="29" t="s">
        <v>24569</v>
      </c>
      <c r="B10518" s="30" t="s">
        <v>24570</v>
      </c>
      <c r="C10518" s="29" t="s">
        <v>26</v>
      </c>
      <c r="D10518" s="31">
        <v>39021.519999999997</v>
      </c>
      <c r="F10518" s="3" t="str">
        <f t="shared" si="164"/>
        <v>I10869</v>
      </c>
    </row>
    <row r="10519" spans="1:6" x14ac:dyDescent="0.2">
      <c r="A10519" s="29" t="s">
        <v>24571</v>
      </c>
      <c r="B10519" s="30" t="s">
        <v>24572</v>
      </c>
      <c r="C10519" s="29" t="s">
        <v>26</v>
      </c>
      <c r="D10519" s="31">
        <v>47148.51</v>
      </c>
      <c r="F10519" s="3" t="str">
        <f t="shared" si="164"/>
        <v>I10884</v>
      </c>
    </row>
    <row r="10520" spans="1:6" x14ac:dyDescent="0.2">
      <c r="A10520" s="29" t="s">
        <v>24573</v>
      </c>
      <c r="B10520" s="30" t="s">
        <v>24574</v>
      </c>
      <c r="C10520" s="29" t="s">
        <v>26</v>
      </c>
      <c r="D10520" s="31">
        <v>338.49</v>
      </c>
      <c r="F10520" s="3" t="str">
        <f t="shared" si="164"/>
        <v>I3840</v>
      </c>
    </row>
    <row r="10521" spans="1:6" x14ac:dyDescent="0.2">
      <c r="A10521" s="29" t="s">
        <v>24575</v>
      </c>
      <c r="B10521" s="30" t="s">
        <v>24576</v>
      </c>
      <c r="C10521" s="29" t="s">
        <v>26</v>
      </c>
      <c r="D10521" s="31">
        <v>431.38</v>
      </c>
      <c r="F10521" s="3" t="str">
        <f t="shared" si="164"/>
        <v>I10871</v>
      </c>
    </row>
    <row r="10522" spans="1:6" x14ac:dyDescent="0.2">
      <c r="A10522" s="29" t="s">
        <v>24577</v>
      </c>
      <c r="B10522" s="30" t="s">
        <v>24578</v>
      </c>
      <c r="C10522" s="29" t="s">
        <v>26</v>
      </c>
      <c r="D10522" s="31">
        <v>392.67</v>
      </c>
      <c r="F10522" s="3" t="str">
        <f t="shared" si="164"/>
        <v>I3841</v>
      </c>
    </row>
    <row r="10523" spans="1:6" x14ac:dyDescent="0.2">
      <c r="A10523" s="29" t="s">
        <v>24579</v>
      </c>
      <c r="B10523" s="30" t="s">
        <v>24580</v>
      </c>
      <c r="C10523" s="29" t="s">
        <v>26</v>
      </c>
      <c r="D10523" s="31">
        <v>422.33</v>
      </c>
      <c r="F10523" s="3" t="str">
        <f t="shared" si="164"/>
        <v>I10857</v>
      </c>
    </row>
    <row r="10524" spans="1:6" x14ac:dyDescent="0.2">
      <c r="A10524" s="29" t="s">
        <v>24581</v>
      </c>
      <c r="B10524" s="30" t="s">
        <v>24582</v>
      </c>
      <c r="C10524" s="29" t="s">
        <v>26</v>
      </c>
      <c r="D10524" s="31">
        <v>441.95</v>
      </c>
      <c r="F10524" s="3" t="str">
        <f t="shared" si="164"/>
        <v>I10872</v>
      </c>
    </row>
    <row r="10525" spans="1:6" x14ac:dyDescent="0.2">
      <c r="A10525" s="29" t="s">
        <v>24583</v>
      </c>
      <c r="B10525" s="30" t="s">
        <v>24584</v>
      </c>
      <c r="C10525" s="29" t="s">
        <v>26</v>
      </c>
      <c r="D10525" s="31">
        <v>503.02</v>
      </c>
      <c r="F10525" s="3" t="str">
        <f t="shared" si="164"/>
        <v>I3842</v>
      </c>
    </row>
    <row r="10526" spans="1:6" x14ac:dyDescent="0.2">
      <c r="A10526" s="29" t="s">
        <v>24585</v>
      </c>
      <c r="B10526" s="30" t="s">
        <v>24586</v>
      </c>
      <c r="C10526" s="29" t="s">
        <v>26</v>
      </c>
      <c r="D10526" s="31">
        <v>603.20000000000005</v>
      </c>
      <c r="F10526" s="3" t="str">
        <f t="shared" si="164"/>
        <v>I10858</v>
      </c>
    </row>
    <row r="10527" spans="1:6" x14ac:dyDescent="0.2">
      <c r="A10527" s="29" t="s">
        <v>24587</v>
      </c>
      <c r="B10527" s="30" t="s">
        <v>24588</v>
      </c>
      <c r="C10527" s="29" t="s">
        <v>26</v>
      </c>
      <c r="D10527" s="31">
        <v>633.66</v>
      </c>
      <c r="F10527" s="3" t="str">
        <f t="shared" si="164"/>
        <v>I10873</v>
      </c>
    </row>
    <row r="10528" spans="1:6" x14ac:dyDescent="0.2">
      <c r="A10528" s="29" t="s">
        <v>24589</v>
      </c>
      <c r="B10528" s="30" t="s">
        <v>24590</v>
      </c>
      <c r="C10528" s="29" t="s">
        <v>26</v>
      </c>
      <c r="D10528" s="31">
        <v>911.53</v>
      </c>
      <c r="F10528" s="3" t="str">
        <f t="shared" si="164"/>
        <v>I3843</v>
      </c>
    </row>
    <row r="10529" spans="1:6" x14ac:dyDescent="0.2">
      <c r="A10529" s="29" t="s">
        <v>24591</v>
      </c>
      <c r="B10529" s="30" t="s">
        <v>24592</v>
      </c>
      <c r="C10529" s="29" t="s">
        <v>26</v>
      </c>
      <c r="D10529" s="31">
        <v>1011.69</v>
      </c>
      <c r="F10529" s="3" t="str">
        <f t="shared" si="164"/>
        <v>I10859</v>
      </c>
    </row>
    <row r="10530" spans="1:6" x14ac:dyDescent="0.2">
      <c r="A10530" s="29" t="s">
        <v>24593</v>
      </c>
      <c r="B10530" s="30" t="s">
        <v>24594</v>
      </c>
      <c r="C10530" s="29" t="s">
        <v>26</v>
      </c>
      <c r="D10530" s="31">
        <v>1052.17</v>
      </c>
      <c r="F10530" s="3" t="str">
        <f t="shared" si="164"/>
        <v>I10874</v>
      </c>
    </row>
    <row r="10531" spans="1:6" x14ac:dyDescent="0.2">
      <c r="A10531" s="29" t="s">
        <v>24595</v>
      </c>
      <c r="B10531" s="30" t="s">
        <v>24596</v>
      </c>
      <c r="C10531" s="29" t="s">
        <v>26</v>
      </c>
      <c r="D10531" s="31">
        <v>1269.4000000000001</v>
      </c>
      <c r="F10531" s="3" t="str">
        <f t="shared" si="164"/>
        <v>I3844</v>
      </c>
    </row>
    <row r="10532" spans="1:6" x14ac:dyDescent="0.2">
      <c r="A10532" s="29" t="s">
        <v>24597</v>
      </c>
      <c r="B10532" s="30" t="s">
        <v>24598</v>
      </c>
      <c r="C10532" s="29" t="s">
        <v>26</v>
      </c>
      <c r="D10532" s="31">
        <v>1388.36</v>
      </c>
      <c r="F10532" s="3" t="str">
        <f t="shared" si="164"/>
        <v>I10860</v>
      </c>
    </row>
    <row r="10533" spans="1:6" x14ac:dyDescent="0.2">
      <c r="A10533" s="29" t="s">
        <v>24599</v>
      </c>
      <c r="B10533" s="30" t="s">
        <v>24600</v>
      </c>
      <c r="C10533" s="29" t="s">
        <v>26</v>
      </c>
      <c r="D10533" s="31">
        <v>1684.58</v>
      </c>
      <c r="F10533" s="3" t="str">
        <f t="shared" si="164"/>
        <v>I10875</v>
      </c>
    </row>
    <row r="10534" spans="1:6" x14ac:dyDescent="0.2">
      <c r="A10534" s="29" t="s">
        <v>24601</v>
      </c>
      <c r="B10534" s="30" t="s">
        <v>24602</v>
      </c>
      <c r="C10534" s="29" t="s">
        <v>26</v>
      </c>
      <c r="D10534" s="31">
        <v>1271.2</v>
      </c>
      <c r="F10534" s="3" t="str">
        <f t="shared" si="164"/>
        <v>I3845</v>
      </c>
    </row>
    <row r="10535" spans="1:6" x14ac:dyDescent="0.2">
      <c r="A10535" s="29" t="s">
        <v>24603</v>
      </c>
      <c r="B10535" s="30" t="s">
        <v>24604</v>
      </c>
      <c r="C10535" s="29" t="s">
        <v>26</v>
      </c>
      <c r="D10535" s="31">
        <v>1416.57</v>
      </c>
      <c r="F10535" s="3" t="str">
        <f t="shared" si="164"/>
        <v>I10861</v>
      </c>
    </row>
    <row r="10536" spans="1:6" x14ac:dyDescent="0.2">
      <c r="A10536" s="29" t="s">
        <v>24605</v>
      </c>
      <c r="B10536" s="30" t="s">
        <v>24606</v>
      </c>
      <c r="C10536" s="29" t="s">
        <v>26</v>
      </c>
      <c r="D10536" s="31">
        <v>1766.52</v>
      </c>
      <c r="F10536" s="3" t="str">
        <f t="shared" si="164"/>
        <v>I10876</v>
      </c>
    </row>
    <row r="10537" spans="1:6" x14ac:dyDescent="0.2">
      <c r="A10537" s="29" t="s">
        <v>24607</v>
      </c>
      <c r="B10537" s="30" t="s">
        <v>24608</v>
      </c>
      <c r="C10537" s="29" t="s">
        <v>26</v>
      </c>
      <c r="D10537" s="31">
        <v>2213.5300000000002</v>
      </c>
      <c r="F10537" s="3" t="str">
        <f t="shared" si="164"/>
        <v>I3846</v>
      </c>
    </row>
    <row r="10538" spans="1:6" x14ac:dyDescent="0.2">
      <c r="A10538" s="29" t="s">
        <v>24609</v>
      </c>
      <c r="B10538" s="30" t="s">
        <v>24610</v>
      </c>
      <c r="C10538" s="29" t="s">
        <v>26</v>
      </c>
      <c r="D10538" s="31">
        <v>2361.39</v>
      </c>
      <c r="F10538" s="3" t="str">
        <f t="shared" si="164"/>
        <v>I10862</v>
      </c>
    </row>
    <row r="10539" spans="1:6" x14ac:dyDescent="0.2">
      <c r="A10539" s="29" t="s">
        <v>24611</v>
      </c>
      <c r="B10539" s="30" t="s">
        <v>24612</v>
      </c>
      <c r="C10539" s="29" t="s">
        <v>26</v>
      </c>
      <c r="D10539" s="31">
        <v>3049.57</v>
      </c>
      <c r="F10539" s="3" t="str">
        <f t="shared" si="164"/>
        <v>I10877</v>
      </c>
    </row>
    <row r="10540" spans="1:6" x14ac:dyDescent="0.2">
      <c r="A10540" s="29" t="s">
        <v>24613</v>
      </c>
      <c r="B10540" s="30" t="s">
        <v>24614</v>
      </c>
      <c r="C10540" s="29" t="s">
        <v>26</v>
      </c>
      <c r="D10540" s="31">
        <v>124.13</v>
      </c>
      <c r="F10540" s="3" t="str">
        <f t="shared" si="164"/>
        <v>I3837</v>
      </c>
    </row>
    <row r="10541" spans="1:6" x14ac:dyDescent="0.2">
      <c r="A10541" s="29" t="s">
        <v>24615</v>
      </c>
      <c r="B10541" s="30" t="s">
        <v>24616</v>
      </c>
      <c r="C10541" s="29" t="s">
        <v>26</v>
      </c>
      <c r="D10541" s="31">
        <v>2615.63</v>
      </c>
      <c r="F10541" s="3" t="str">
        <f t="shared" si="164"/>
        <v>I3847</v>
      </c>
    </row>
    <row r="10542" spans="1:6" x14ac:dyDescent="0.2">
      <c r="A10542" s="29" t="s">
        <v>24617</v>
      </c>
      <c r="B10542" s="30" t="s">
        <v>24618</v>
      </c>
      <c r="C10542" s="29" t="s">
        <v>26</v>
      </c>
      <c r="D10542" s="31">
        <v>2675.21</v>
      </c>
      <c r="F10542" s="3" t="str">
        <f t="shared" si="164"/>
        <v>I10863</v>
      </c>
    </row>
    <row r="10543" spans="1:6" x14ac:dyDescent="0.2">
      <c r="A10543" s="29" t="s">
        <v>24619</v>
      </c>
      <c r="B10543" s="30" t="s">
        <v>24620</v>
      </c>
      <c r="C10543" s="29" t="s">
        <v>26</v>
      </c>
      <c r="D10543" s="31">
        <v>3425.88</v>
      </c>
      <c r="F10543" s="3" t="str">
        <f t="shared" si="164"/>
        <v>I10878</v>
      </c>
    </row>
    <row r="10544" spans="1:6" x14ac:dyDescent="0.2">
      <c r="A10544" s="29" t="s">
        <v>24621</v>
      </c>
      <c r="B10544" s="30" t="s">
        <v>24622</v>
      </c>
      <c r="C10544" s="29" t="s">
        <v>26</v>
      </c>
      <c r="D10544" s="31">
        <v>3437.77</v>
      </c>
      <c r="F10544" s="3" t="str">
        <f t="shared" si="164"/>
        <v>I3848</v>
      </c>
    </row>
    <row r="10545" spans="1:6" x14ac:dyDescent="0.2">
      <c r="A10545" s="29" t="s">
        <v>24623</v>
      </c>
      <c r="B10545" s="30" t="s">
        <v>24624</v>
      </c>
      <c r="C10545" s="29" t="s">
        <v>26</v>
      </c>
      <c r="D10545" s="31">
        <v>3946.07</v>
      </c>
      <c r="F10545" s="3" t="str">
        <f t="shared" si="164"/>
        <v>I10864</v>
      </c>
    </row>
    <row r="10546" spans="1:6" x14ac:dyDescent="0.2">
      <c r="A10546" s="29" t="s">
        <v>24625</v>
      </c>
      <c r="B10546" s="30" t="s">
        <v>24626</v>
      </c>
      <c r="C10546" s="29" t="s">
        <v>26</v>
      </c>
      <c r="D10546" s="31">
        <v>4367.09</v>
      </c>
      <c r="F10546" s="3" t="str">
        <f t="shared" si="164"/>
        <v>I10879</v>
      </c>
    </row>
    <row r="10547" spans="1:6" x14ac:dyDescent="0.2">
      <c r="A10547" s="29" t="s">
        <v>24627</v>
      </c>
      <c r="B10547" s="30" t="s">
        <v>24628</v>
      </c>
      <c r="C10547" s="29" t="s">
        <v>26</v>
      </c>
      <c r="D10547" s="31">
        <v>12121.74</v>
      </c>
      <c r="F10547" s="3" t="str">
        <f t="shared" si="164"/>
        <v>I3849</v>
      </c>
    </row>
    <row r="10548" spans="1:6" x14ac:dyDescent="0.2">
      <c r="A10548" s="29" t="s">
        <v>24629</v>
      </c>
      <c r="B10548" s="30" t="s">
        <v>24630</v>
      </c>
      <c r="C10548" s="29" t="s">
        <v>26</v>
      </c>
      <c r="D10548" s="31">
        <v>12352.24</v>
      </c>
      <c r="F10548" s="3" t="str">
        <f t="shared" si="164"/>
        <v>I10865</v>
      </c>
    </row>
    <row r="10549" spans="1:6" x14ac:dyDescent="0.2">
      <c r="A10549" s="29" t="s">
        <v>24631</v>
      </c>
      <c r="B10549" s="30" t="s">
        <v>24632</v>
      </c>
      <c r="C10549" s="29" t="s">
        <v>26</v>
      </c>
      <c r="D10549" s="31">
        <v>14572.27</v>
      </c>
      <c r="F10549" s="3" t="str">
        <f t="shared" si="164"/>
        <v>I10880</v>
      </c>
    </row>
    <row r="10550" spans="1:6" x14ac:dyDescent="0.2">
      <c r="A10550" s="29" t="s">
        <v>24633</v>
      </c>
      <c r="B10550" s="30" t="s">
        <v>24634</v>
      </c>
      <c r="C10550" s="29" t="s">
        <v>26</v>
      </c>
      <c r="D10550" s="31">
        <v>184.72</v>
      </c>
      <c r="F10550" s="3" t="str">
        <f t="shared" si="164"/>
        <v>I3838</v>
      </c>
    </row>
    <row r="10551" spans="1:6" x14ac:dyDescent="0.2">
      <c r="A10551" s="29" t="s">
        <v>24635</v>
      </c>
      <c r="B10551" s="30" t="s">
        <v>24636</v>
      </c>
      <c r="C10551" s="29" t="s">
        <v>26</v>
      </c>
      <c r="D10551" s="31">
        <v>16431.68</v>
      </c>
      <c r="F10551" s="3" t="str">
        <f t="shared" si="164"/>
        <v>I3850</v>
      </c>
    </row>
    <row r="10552" spans="1:6" x14ac:dyDescent="0.2">
      <c r="A10552" s="29" t="s">
        <v>24637</v>
      </c>
      <c r="B10552" s="30" t="s">
        <v>24638</v>
      </c>
      <c r="C10552" s="29" t="s">
        <v>26</v>
      </c>
      <c r="D10552" s="31">
        <v>16800.509999999998</v>
      </c>
      <c r="F10552" s="3" t="str">
        <f t="shared" si="164"/>
        <v>I10866</v>
      </c>
    </row>
    <row r="10553" spans="1:6" x14ac:dyDescent="0.2">
      <c r="A10553" s="29" t="s">
        <v>24639</v>
      </c>
      <c r="B10553" s="30" t="s">
        <v>24640</v>
      </c>
      <c r="C10553" s="29" t="s">
        <v>26</v>
      </c>
      <c r="D10553" s="31">
        <v>19975.740000000002</v>
      </c>
      <c r="F10553" s="3" t="str">
        <f t="shared" si="164"/>
        <v>I10881</v>
      </c>
    </row>
    <row r="10554" spans="1:6" x14ac:dyDescent="0.2">
      <c r="A10554" s="29" t="s">
        <v>24641</v>
      </c>
      <c r="B10554" s="30" t="s">
        <v>24642</v>
      </c>
      <c r="C10554" s="29" t="s">
        <v>26</v>
      </c>
      <c r="D10554" s="31">
        <v>19833.79</v>
      </c>
      <c r="F10554" s="3" t="str">
        <f t="shared" si="164"/>
        <v>I3851</v>
      </c>
    </row>
    <row r="10555" spans="1:6" x14ac:dyDescent="0.2">
      <c r="A10555" s="29" t="s">
        <v>24643</v>
      </c>
      <c r="B10555" s="30" t="s">
        <v>24644</v>
      </c>
      <c r="C10555" s="29" t="s">
        <v>26</v>
      </c>
      <c r="D10555" s="31">
        <v>20018.310000000001</v>
      </c>
      <c r="F10555" s="3" t="str">
        <f t="shared" si="164"/>
        <v>I10867</v>
      </c>
    </row>
    <row r="10556" spans="1:6" x14ac:dyDescent="0.2">
      <c r="A10556" s="29" t="s">
        <v>24645</v>
      </c>
      <c r="B10556" s="30" t="s">
        <v>24646</v>
      </c>
      <c r="C10556" s="29" t="s">
        <v>26</v>
      </c>
      <c r="D10556" s="31">
        <v>25220.560000000001</v>
      </c>
      <c r="F10556" s="3" t="str">
        <f t="shared" si="164"/>
        <v>I10882</v>
      </c>
    </row>
    <row r="10557" spans="1:6" x14ac:dyDescent="0.2">
      <c r="A10557" s="29" t="s">
        <v>24647</v>
      </c>
      <c r="B10557" s="30" t="s">
        <v>24648</v>
      </c>
      <c r="C10557" s="29" t="s">
        <v>26</v>
      </c>
      <c r="D10557" s="31">
        <v>148.99</v>
      </c>
      <c r="F10557" s="3" t="str">
        <f t="shared" si="164"/>
        <v>I6871</v>
      </c>
    </row>
    <row r="10558" spans="1:6" x14ac:dyDescent="0.2">
      <c r="A10558" s="29" t="s">
        <v>24649</v>
      </c>
      <c r="B10558" s="30" t="s">
        <v>24650</v>
      </c>
      <c r="C10558" s="29" t="s">
        <v>26</v>
      </c>
      <c r="D10558" s="31">
        <v>88.8</v>
      </c>
      <c r="F10558" s="3" t="str">
        <f t="shared" si="164"/>
        <v>I6872</v>
      </c>
    </row>
    <row r="10559" spans="1:6" x14ac:dyDescent="0.2">
      <c r="A10559" s="29" t="s">
        <v>24651</v>
      </c>
      <c r="B10559" s="30" t="s">
        <v>24652</v>
      </c>
      <c r="C10559" s="29" t="s">
        <v>26</v>
      </c>
      <c r="D10559" s="31">
        <v>114.71</v>
      </c>
      <c r="F10559" s="3" t="str">
        <f t="shared" si="164"/>
        <v>I6873</v>
      </c>
    </row>
    <row r="10560" spans="1:6" x14ac:dyDescent="0.2">
      <c r="A10560" s="29" t="s">
        <v>24653</v>
      </c>
      <c r="B10560" s="30" t="s">
        <v>24654</v>
      </c>
      <c r="C10560" s="29" t="s">
        <v>26</v>
      </c>
      <c r="D10560" s="31">
        <v>148.99</v>
      </c>
      <c r="F10560" s="3" t="str">
        <f t="shared" si="164"/>
        <v>I6874</v>
      </c>
    </row>
    <row r="10561" spans="1:6" x14ac:dyDescent="0.2">
      <c r="A10561" s="29" t="s">
        <v>24655</v>
      </c>
      <c r="B10561" s="30" t="s">
        <v>24656</v>
      </c>
      <c r="C10561" s="29" t="s">
        <v>26</v>
      </c>
      <c r="D10561" s="31">
        <v>264.10000000000002</v>
      </c>
      <c r="F10561" s="3" t="str">
        <f t="shared" si="164"/>
        <v>I6875</v>
      </c>
    </row>
    <row r="10562" spans="1:6" x14ac:dyDescent="0.2">
      <c r="A10562" s="29" t="s">
        <v>24657</v>
      </c>
      <c r="B10562" s="30" t="s">
        <v>24658</v>
      </c>
      <c r="C10562" s="29" t="s">
        <v>26</v>
      </c>
      <c r="D10562" s="31">
        <v>88.8</v>
      </c>
      <c r="F10562" s="3" t="str">
        <f t="shared" ref="F10562:F10625" si="165">A10562</f>
        <v>I6876</v>
      </c>
    </row>
    <row r="10563" spans="1:6" x14ac:dyDescent="0.2">
      <c r="A10563" s="29" t="s">
        <v>24659</v>
      </c>
      <c r="B10563" s="30" t="s">
        <v>24660</v>
      </c>
      <c r="C10563" s="29" t="s">
        <v>26</v>
      </c>
      <c r="D10563" s="31">
        <v>114.71</v>
      </c>
      <c r="F10563" s="3" t="str">
        <f t="shared" si="165"/>
        <v>I6877</v>
      </c>
    </row>
    <row r="10564" spans="1:6" x14ac:dyDescent="0.2">
      <c r="A10564" s="29" t="s">
        <v>24661</v>
      </c>
      <c r="B10564" s="30" t="s">
        <v>24662</v>
      </c>
      <c r="C10564" s="29" t="s">
        <v>26</v>
      </c>
      <c r="D10564" s="31">
        <v>168.48</v>
      </c>
      <c r="F10564" s="3" t="str">
        <f t="shared" si="165"/>
        <v>I6878</v>
      </c>
    </row>
    <row r="10565" spans="1:6" x14ac:dyDescent="0.2">
      <c r="A10565" s="29" t="s">
        <v>24663</v>
      </c>
      <c r="B10565" s="30" t="s">
        <v>24664</v>
      </c>
      <c r="C10565" s="29" t="s">
        <v>26</v>
      </c>
      <c r="D10565" s="31">
        <v>148.24</v>
      </c>
      <c r="F10565" s="3" t="str">
        <f t="shared" si="165"/>
        <v>I6879</v>
      </c>
    </row>
    <row r="10566" spans="1:6" x14ac:dyDescent="0.2">
      <c r="A10566" s="29" t="s">
        <v>24665</v>
      </c>
      <c r="B10566" s="30" t="s">
        <v>24666</v>
      </c>
      <c r="C10566" s="29" t="s">
        <v>26</v>
      </c>
      <c r="D10566" s="31">
        <v>110.98</v>
      </c>
      <c r="F10566" s="3" t="str">
        <f t="shared" si="165"/>
        <v>I6880</v>
      </c>
    </row>
    <row r="10567" spans="1:6" x14ac:dyDescent="0.2">
      <c r="A10567" s="29" t="s">
        <v>24667</v>
      </c>
      <c r="B10567" s="30" t="s">
        <v>24668</v>
      </c>
      <c r="C10567" s="29" t="s">
        <v>26</v>
      </c>
      <c r="D10567" s="31">
        <v>82.45</v>
      </c>
      <c r="F10567" s="3" t="str">
        <f t="shared" si="165"/>
        <v>I6881</v>
      </c>
    </row>
    <row r="10568" spans="1:6" x14ac:dyDescent="0.2">
      <c r="A10568" s="29" t="s">
        <v>24669</v>
      </c>
      <c r="B10568" s="30" t="s">
        <v>24670</v>
      </c>
      <c r="C10568" s="29" t="s">
        <v>26</v>
      </c>
      <c r="D10568" s="31">
        <v>125.89</v>
      </c>
      <c r="F10568" s="3" t="str">
        <f t="shared" si="165"/>
        <v>I6882</v>
      </c>
    </row>
    <row r="10569" spans="1:6" x14ac:dyDescent="0.2">
      <c r="A10569" s="29" t="s">
        <v>24671</v>
      </c>
      <c r="B10569" s="30" t="s">
        <v>24672</v>
      </c>
      <c r="C10569" s="29" t="s">
        <v>26</v>
      </c>
      <c r="D10569" s="31">
        <v>372.31</v>
      </c>
      <c r="F10569" s="3" t="str">
        <f t="shared" si="165"/>
        <v>I9796</v>
      </c>
    </row>
    <row r="10570" spans="1:6" x14ac:dyDescent="0.2">
      <c r="A10570" s="29" t="s">
        <v>24673</v>
      </c>
      <c r="B10570" s="30" t="s">
        <v>24674</v>
      </c>
      <c r="C10570" s="29" t="s">
        <v>26</v>
      </c>
      <c r="D10570" s="31">
        <v>1248.7</v>
      </c>
      <c r="F10570" s="3" t="str">
        <f t="shared" si="165"/>
        <v>I7333</v>
      </c>
    </row>
    <row r="10571" spans="1:6" x14ac:dyDescent="0.2">
      <c r="A10571" s="29" t="s">
        <v>24675</v>
      </c>
      <c r="B10571" s="30" t="s">
        <v>24676</v>
      </c>
      <c r="C10571" s="29" t="s">
        <v>26</v>
      </c>
      <c r="D10571" s="31">
        <v>15628.86</v>
      </c>
      <c r="F10571" s="3" t="str">
        <f t="shared" si="165"/>
        <v>I7470</v>
      </c>
    </row>
    <row r="10572" spans="1:6" x14ac:dyDescent="0.2">
      <c r="A10572" s="29" t="s">
        <v>24677</v>
      </c>
      <c r="B10572" s="30" t="s">
        <v>24678</v>
      </c>
      <c r="C10572" s="29" t="s">
        <v>26</v>
      </c>
      <c r="D10572" s="31">
        <v>516.07000000000005</v>
      </c>
      <c r="F10572" s="3" t="str">
        <f t="shared" si="165"/>
        <v>I9797</v>
      </c>
    </row>
    <row r="10573" spans="1:6" x14ac:dyDescent="0.2">
      <c r="A10573" s="29" t="s">
        <v>24679</v>
      </c>
      <c r="B10573" s="30" t="s">
        <v>24680</v>
      </c>
      <c r="C10573" s="29" t="s">
        <v>26</v>
      </c>
      <c r="D10573" s="31">
        <v>1286.54</v>
      </c>
      <c r="F10573" s="3" t="str">
        <f t="shared" si="165"/>
        <v>I9798</v>
      </c>
    </row>
    <row r="10574" spans="1:6" x14ac:dyDescent="0.2">
      <c r="A10574" s="29" t="s">
        <v>24681</v>
      </c>
      <c r="B10574" s="30" t="s">
        <v>24682</v>
      </c>
      <c r="C10574" s="29" t="s">
        <v>255</v>
      </c>
      <c r="D10574" s="31">
        <v>1430</v>
      </c>
      <c r="F10574" s="3" t="str">
        <f t="shared" si="165"/>
        <v>I9800</v>
      </c>
    </row>
    <row r="10575" spans="1:6" x14ac:dyDescent="0.2">
      <c r="A10575" s="29" t="s">
        <v>24683</v>
      </c>
      <c r="B10575" s="30" t="s">
        <v>24684</v>
      </c>
      <c r="C10575" s="29" t="s">
        <v>255</v>
      </c>
      <c r="D10575" s="31">
        <v>1430</v>
      </c>
      <c r="F10575" s="3" t="str">
        <f t="shared" si="165"/>
        <v>I9801</v>
      </c>
    </row>
    <row r="10576" spans="1:6" x14ac:dyDescent="0.2">
      <c r="A10576" s="29" t="s">
        <v>24685</v>
      </c>
      <c r="B10576" s="30" t="s">
        <v>24686</v>
      </c>
      <c r="C10576" s="29" t="s">
        <v>26</v>
      </c>
      <c r="D10576" s="31">
        <v>880</v>
      </c>
      <c r="F10576" s="3" t="str">
        <f t="shared" si="165"/>
        <v>I9802</v>
      </c>
    </row>
    <row r="10577" spans="1:6" x14ac:dyDescent="0.2">
      <c r="A10577" s="29" t="s">
        <v>24687</v>
      </c>
      <c r="B10577" s="30" t="s">
        <v>24688</v>
      </c>
      <c r="C10577" s="29" t="s">
        <v>26</v>
      </c>
      <c r="D10577" s="31">
        <v>67.28</v>
      </c>
      <c r="F10577" s="3" t="str">
        <f t="shared" si="165"/>
        <v>I9803</v>
      </c>
    </row>
    <row r="10578" spans="1:6" ht="33.75" x14ac:dyDescent="0.2">
      <c r="A10578" s="29" t="s">
        <v>24689</v>
      </c>
      <c r="B10578" s="30" t="s">
        <v>24690</v>
      </c>
      <c r="C10578" s="29" t="s">
        <v>26</v>
      </c>
      <c r="D10578" s="31">
        <v>58412.75</v>
      </c>
      <c r="F10578" s="3" t="str">
        <f t="shared" si="165"/>
        <v>I6393</v>
      </c>
    </row>
    <row r="10579" spans="1:6" ht="33.75" x14ac:dyDescent="0.2">
      <c r="A10579" s="29" t="s">
        <v>24691</v>
      </c>
      <c r="B10579" s="30" t="s">
        <v>24692</v>
      </c>
      <c r="C10579" s="29" t="s">
        <v>26</v>
      </c>
      <c r="D10579" s="31">
        <v>89247.64</v>
      </c>
      <c r="F10579" s="3" t="str">
        <f t="shared" si="165"/>
        <v>I6392</v>
      </c>
    </row>
    <row r="10580" spans="1:6" ht="22.5" x14ac:dyDescent="0.2">
      <c r="A10580" s="29" t="s">
        <v>24693</v>
      </c>
      <c r="B10580" s="30" t="s">
        <v>24694</v>
      </c>
      <c r="C10580" s="29" t="s">
        <v>26</v>
      </c>
      <c r="D10580" s="31">
        <v>33804.97</v>
      </c>
      <c r="F10580" s="3" t="str">
        <f t="shared" si="165"/>
        <v>I6583</v>
      </c>
    </row>
    <row r="10581" spans="1:6" ht="22.5" x14ac:dyDescent="0.2">
      <c r="A10581" s="29" t="s">
        <v>24695</v>
      </c>
      <c r="B10581" s="30" t="s">
        <v>24694</v>
      </c>
      <c r="C10581" s="29" t="s">
        <v>26</v>
      </c>
      <c r="D10581" s="31">
        <v>33804.97</v>
      </c>
      <c r="F10581" s="3" t="str">
        <f t="shared" si="165"/>
        <v>I6585</v>
      </c>
    </row>
    <row r="10582" spans="1:6" x14ac:dyDescent="0.2">
      <c r="A10582" s="29" t="s">
        <v>24696</v>
      </c>
      <c r="B10582" s="30" t="s">
        <v>19181</v>
      </c>
      <c r="C10582" s="29" t="s">
        <v>26</v>
      </c>
      <c r="D10582" s="31">
        <v>10.39</v>
      </c>
      <c r="F10582" s="3" t="str">
        <f t="shared" si="165"/>
        <v>I8076</v>
      </c>
    </row>
    <row r="10583" spans="1:6" x14ac:dyDescent="0.2">
      <c r="A10583" s="29" t="s">
        <v>24697</v>
      </c>
      <c r="B10583" s="30" t="s">
        <v>24698</v>
      </c>
      <c r="C10583" s="29" t="s">
        <v>26</v>
      </c>
      <c r="D10583" s="31">
        <v>0.93</v>
      </c>
      <c r="F10583" s="3" t="str">
        <f t="shared" si="165"/>
        <v>I9804</v>
      </c>
    </row>
    <row r="10584" spans="1:6" x14ac:dyDescent="0.2">
      <c r="A10584" s="29" t="s">
        <v>24699</v>
      </c>
      <c r="B10584" s="30" t="s">
        <v>24700</v>
      </c>
      <c r="C10584" s="29" t="s">
        <v>255</v>
      </c>
      <c r="D10584" s="31">
        <v>860</v>
      </c>
      <c r="F10584" s="3" t="str">
        <f t="shared" si="165"/>
        <v>I9805</v>
      </c>
    </row>
    <row r="10585" spans="1:6" x14ac:dyDescent="0.2">
      <c r="A10585" s="29" t="s">
        <v>24701</v>
      </c>
      <c r="B10585" s="30" t="s">
        <v>24702</v>
      </c>
      <c r="C10585" s="29" t="s">
        <v>24703</v>
      </c>
      <c r="D10585" s="31">
        <v>1120</v>
      </c>
      <c r="F10585" s="3" t="str">
        <f t="shared" si="165"/>
        <v>I13130</v>
      </c>
    </row>
    <row r="10586" spans="1:6" x14ac:dyDescent="0.2">
      <c r="A10586" s="29" t="s">
        <v>24704</v>
      </c>
      <c r="B10586" s="30" t="s">
        <v>24705</v>
      </c>
      <c r="C10586" s="29" t="s">
        <v>26</v>
      </c>
      <c r="D10586" s="31">
        <v>1.06</v>
      </c>
      <c r="F10586" s="3" t="str">
        <f t="shared" si="165"/>
        <v>I6423</v>
      </c>
    </row>
    <row r="10587" spans="1:6" ht="22.5" x14ac:dyDescent="0.2">
      <c r="A10587" s="29" t="s">
        <v>24706</v>
      </c>
      <c r="B10587" s="30" t="s">
        <v>24707</v>
      </c>
      <c r="C10587" s="29" t="s">
        <v>26</v>
      </c>
      <c r="D10587" s="31">
        <v>151927.35</v>
      </c>
      <c r="F10587" s="3" t="str">
        <f t="shared" si="165"/>
        <v>I7003</v>
      </c>
    </row>
    <row r="10588" spans="1:6" ht="22.5" x14ac:dyDescent="0.2">
      <c r="A10588" s="29" t="s">
        <v>24708</v>
      </c>
      <c r="B10588" s="30" t="s">
        <v>24709</v>
      </c>
      <c r="C10588" s="29" t="s">
        <v>26</v>
      </c>
      <c r="D10588" s="31">
        <v>62428.2</v>
      </c>
      <c r="F10588" s="3" t="str">
        <f t="shared" si="165"/>
        <v>I6997</v>
      </c>
    </row>
    <row r="10589" spans="1:6" ht="22.5" x14ac:dyDescent="0.2">
      <c r="A10589" s="29" t="s">
        <v>24710</v>
      </c>
      <c r="B10589" s="30" t="s">
        <v>24711</v>
      </c>
      <c r="C10589" s="29" t="s">
        <v>26</v>
      </c>
      <c r="D10589" s="31">
        <v>35756.339999999997</v>
      </c>
      <c r="F10589" s="3" t="str">
        <f t="shared" si="165"/>
        <v>I6994</v>
      </c>
    </row>
    <row r="10590" spans="1:6" ht="22.5" x14ac:dyDescent="0.2">
      <c r="A10590" s="29" t="s">
        <v>24712</v>
      </c>
      <c r="B10590" s="30" t="s">
        <v>24713</v>
      </c>
      <c r="C10590" s="29" t="s">
        <v>26</v>
      </c>
      <c r="D10590" s="31">
        <v>69669.429999999993</v>
      </c>
      <c r="F10590" s="3" t="str">
        <f t="shared" si="165"/>
        <v>I6998</v>
      </c>
    </row>
    <row r="10591" spans="1:6" ht="22.5" x14ac:dyDescent="0.2">
      <c r="A10591" s="29" t="s">
        <v>24714</v>
      </c>
      <c r="B10591" s="30" t="s">
        <v>24715</v>
      </c>
      <c r="C10591" s="29" t="s">
        <v>26</v>
      </c>
      <c r="D10591" s="31">
        <v>69744.87</v>
      </c>
      <c r="F10591" s="3" t="str">
        <f t="shared" si="165"/>
        <v>I6999</v>
      </c>
    </row>
    <row r="10592" spans="1:6" ht="22.5" x14ac:dyDescent="0.2">
      <c r="A10592" s="29" t="s">
        <v>24716</v>
      </c>
      <c r="B10592" s="30" t="s">
        <v>24717</v>
      </c>
      <c r="C10592" s="29" t="s">
        <v>26</v>
      </c>
      <c r="D10592" s="31">
        <v>63611.75</v>
      </c>
      <c r="F10592" s="3" t="str">
        <f t="shared" si="165"/>
        <v>I6995</v>
      </c>
    </row>
    <row r="10593" spans="1:6" ht="22.5" x14ac:dyDescent="0.2">
      <c r="A10593" s="29" t="s">
        <v>24718</v>
      </c>
      <c r="B10593" s="30" t="s">
        <v>24719</v>
      </c>
      <c r="C10593" s="29" t="s">
        <v>26</v>
      </c>
      <c r="D10593" s="31">
        <v>90173.91</v>
      </c>
      <c r="F10593" s="3" t="str">
        <f t="shared" si="165"/>
        <v>I7000</v>
      </c>
    </row>
    <row r="10594" spans="1:6" ht="22.5" x14ac:dyDescent="0.2">
      <c r="A10594" s="29" t="s">
        <v>24720</v>
      </c>
      <c r="B10594" s="30" t="s">
        <v>24721</v>
      </c>
      <c r="C10594" s="29" t="s">
        <v>26</v>
      </c>
      <c r="D10594" s="31">
        <v>96152.04</v>
      </c>
      <c r="F10594" s="3" t="str">
        <f t="shared" si="165"/>
        <v>I7001</v>
      </c>
    </row>
    <row r="10595" spans="1:6" ht="22.5" x14ac:dyDescent="0.2">
      <c r="A10595" s="29" t="s">
        <v>24722</v>
      </c>
      <c r="B10595" s="30" t="s">
        <v>24723</v>
      </c>
      <c r="C10595" s="29" t="s">
        <v>26</v>
      </c>
      <c r="D10595" s="31">
        <v>58599.12</v>
      </c>
      <c r="F10595" s="3" t="str">
        <f t="shared" si="165"/>
        <v>I6996</v>
      </c>
    </row>
    <row r="10596" spans="1:6" ht="22.5" x14ac:dyDescent="0.2">
      <c r="A10596" s="29" t="s">
        <v>24724</v>
      </c>
      <c r="B10596" s="30" t="s">
        <v>24725</v>
      </c>
      <c r="C10596" s="29" t="s">
        <v>26</v>
      </c>
      <c r="D10596" s="31">
        <v>109088.88</v>
      </c>
      <c r="F10596" s="3" t="str">
        <f t="shared" si="165"/>
        <v>I7002</v>
      </c>
    </row>
    <row r="10597" spans="1:6" x14ac:dyDescent="0.2">
      <c r="A10597" s="29" t="s">
        <v>24726</v>
      </c>
      <c r="B10597" s="30" t="s">
        <v>24727</v>
      </c>
      <c r="C10597" s="29" t="s">
        <v>0</v>
      </c>
      <c r="D10597" s="31">
        <v>1680</v>
      </c>
      <c r="F10597" s="3" t="str">
        <f t="shared" si="165"/>
        <v>I13170</v>
      </c>
    </row>
    <row r="10598" spans="1:6" ht="22.5" x14ac:dyDescent="0.2">
      <c r="A10598" s="29" t="s">
        <v>24728</v>
      </c>
      <c r="B10598" s="30" t="s">
        <v>14613</v>
      </c>
      <c r="C10598" s="29" t="s">
        <v>0</v>
      </c>
      <c r="D10598" s="31">
        <v>599.46</v>
      </c>
      <c r="F10598" s="3" t="str">
        <f t="shared" si="165"/>
        <v>I9060</v>
      </c>
    </row>
    <row r="10599" spans="1:6" x14ac:dyDescent="0.2">
      <c r="A10599" s="29" t="s">
        <v>24729</v>
      </c>
      <c r="B10599" s="30" t="s">
        <v>24730</v>
      </c>
      <c r="C10599" s="29" t="s">
        <v>26</v>
      </c>
      <c r="D10599" s="31">
        <v>0.32</v>
      </c>
      <c r="F10599" s="3" t="str">
        <f t="shared" si="165"/>
        <v>I9374</v>
      </c>
    </row>
    <row r="10600" spans="1:6" x14ac:dyDescent="0.2">
      <c r="A10600" s="29" t="s">
        <v>24731</v>
      </c>
      <c r="B10600" s="30" t="s">
        <v>24732</v>
      </c>
      <c r="C10600" s="29" t="s">
        <v>5</v>
      </c>
      <c r="D10600" s="31">
        <v>122082.03</v>
      </c>
      <c r="F10600" s="3" t="str">
        <f t="shared" si="165"/>
        <v>I10468</v>
      </c>
    </row>
    <row r="10601" spans="1:6" x14ac:dyDescent="0.2">
      <c r="A10601" s="29" t="s">
        <v>24733</v>
      </c>
      <c r="B10601" s="30" t="s">
        <v>24734</v>
      </c>
      <c r="C10601" s="29" t="s">
        <v>5</v>
      </c>
      <c r="D10601" s="31">
        <v>124426.86</v>
      </c>
      <c r="F10601" s="3" t="str">
        <f t="shared" si="165"/>
        <v>I10469</v>
      </c>
    </row>
    <row r="10602" spans="1:6" x14ac:dyDescent="0.2">
      <c r="A10602" s="29" t="s">
        <v>24735</v>
      </c>
      <c r="B10602" s="30" t="s">
        <v>24736</v>
      </c>
      <c r="C10602" s="29" t="s">
        <v>5</v>
      </c>
      <c r="D10602" s="31">
        <v>129514.93</v>
      </c>
      <c r="F10602" s="3" t="str">
        <f t="shared" si="165"/>
        <v>I10470</v>
      </c>
    </row>
    <row r="10603" spans="1:6" x14ac:dyDescent="0.2">
      <c r="A10603" s="29" t="s">
        <v>24737</v>
      </c>
      <c r="B10603" s="30" t="s">
        <v>24738</v>
      </c>
      <c r="C10603" s="29" t="s">
        <v>0</v>
      </c>
      <c r="D10603" s="31">
        <v>388.14</v>
      </c>
      <c r="F10603" s="3" t="str">
        <f t="shared" si="165"/>
        <v>I9806</v>
      </c>
    </row>
    <row r="10604" spans="1:6" x14ac:dyDescent="0.2">
      <c r="A10604" s="29" t="s">
        <v>24739</v>
      </c>
      <c r="B10604" s="30" t="s">
        <v>24740</v>
      </c>
      <c r="C10604" s="29" t="s">
        <v>26</v>
      </c>
      <c r="D10604" s="31">
        <v>28.44</v>
      </c>
      <c r="F10604" s="3" t="str">
        <f t="shared" si="165"/>
        <v>I8083</v>
      </c>
    </row>
    <row r="10605" spans="1:6" x14ac:dyDescent="0.2">
      <c r="A10605" s="29" t="s">
        <v>24741</v>
      </c>
      <c r="B10605" s="30" t="s">
        <v>24742</v>
      </c>
      <c r="C10605" s="29" t="s">
        <v>26</v>
      </c>
      <c r="D10605" s="31">
        <v>447.64</v>
      </c>
      <c r="F10605" s="3" t="str">
        <f t="shared" si="165"/>
        <v>I4900</v>
      </c>
    </row>
    <row r="10606" spans="1:6" x14ac:dyDescent="0.2">
      <c r="A10606" s="29" t="s">
        <v>24743</v>
      </c>
      <c r="B10606" s="30" t="s">
        <v>24744</v>
      </c>
      <c r="C10606" s="29" t="s">
        <v>26</v>
      </c>
      <c r="D10606" s="31">
        <v>1074.31</v>
      </c>
      <c r="F10606" s="3" t="str">
        <f t="shared" si="165"/>
        <v>I4901</v>
      </c>
    </row>
    <row r="10607" spans="1:6" x14ac:dyDescent="0.2">
      <c r="A10607" s="29" t="s">
        <v>24745</v>
      </c>
      <c r="B10607" s="30" t="s">
        <v>24746</v>
      </c>
      <c r="C10607" s="29" t="s">
        <v>26</v>
      </c>
      <c r="D10607" s="31">
        <v>1432.41</v>
      </c>
      <c r="F10607" s="3" t="str">
        <f t="shared" si="165"/>
        <v>I4902</v>
      </c>
    </row>
    <row r="10608" spans="1:6" x14ac:dyDescent="0.2">
      <c r="A10608" s="29" t="s">
        <v>24747</v>
      </c>
      <c r="B10608" s="30" t="s">
        <v>24748</v>
      </c>
      <c r="C10608" s="29" t="s">
        <v>26</v>
      </c>
      <c r="D10608" s="31">
        <v>2238.16</v>
      </c>
      <c r="F10608" s="3" t="str">
        <f t="shared" si="165"/>
        <v>I4903</v>
      </c>
    </row>
    <row r="10609" spans="1:6" x14ac:dyDescent="0.2">
      <c r="A10609" s="29" t="s">
        <v>24749</v>
      </c>
      <c r="B10609" s="30" t="s">
        <v>24750</v>
      </c>
      <c r="C10609" s="29" t="s">
        <v>26</v>
      </c>
      <c r="D10609" s="31">
        <v>447.64</v>
      </c>
      <c r="F10609" s="3" t="str">
        <f t="shared" si="165"/>
        <v>I4896</v>
      </c>
    </row>
    <row r="10610" spans="1:6" x14ac:dyDescent="0.2">
      <c r="A10610" s="29" t="s">
        <v>24751</v>
      </c>
      <c r="B10610" s="30" t="s">
        <v>24752</v>
      </c>
      <c r="C10610" s="29" t="s">
        <v>26</v>
      </c>
      <c r="D10610" s="31">
        <v>1074.31</v>
      </c>
      <c r="F10610" s="3" t="str">
        <f t="shared" si="165"/>
        <v>I4897</v>
      </c>
    </row>
    <row r="10611" spans="1:6" x14ac:dyDescent="0.2">
      <c r="A10611" s="29" t="s">
        <v>24753</v>
      </c>
      <c r="B10611" s="30" t="s">
        <v>24754</v>
      </c>
      <c r="C10611" s="29" t="s">
        <v>26</v>
      </c>
      <c r="D10611" s="31">
        <v>1432.41</v>
      </c>
      <c r="F10611" s="3" t="str">
        <f t="shared" si="165"/>
        <v>I4898</v>
      </c>
    </row>
    <row r="10612" spans="1:6" x14ac:dyDescent="0.2">
      <c r="A10612" s="29" t="s">
        <v>24755</v>
      </c>
      <c r="B10612" s="30" t="s">
        <v>24756</v>
      </c>
      <c r="C10612" s="29" t="s">
        <v>26</v>
      </c>
      <c r="D10612" s="31">
        <v>2238.16</v>
      </c>
      <c r="F10612" s="3" t="str">
        <f t="shared" si="165"/>
        <v>I4899</v>
      </c>
    </row>
    <row r="10613" spans="1:6" x14ac:dyDescent="0.2">
      <c r="A10613" s="29" t="s">
        <v>24757</v>
      </c>
      <c r="B10613" s="30" t="s">
        <v>24758</v>
      </c>
      <c r="C10613" s="29" t="s">
        <v>26</v>
      </c>
      <c r="D10613" s="31">
        <v>4324.72</v>
      </c>
      <c r="F10613" s="3" t="str">
        <f t="shared" si="165"/>
        <v>I4892</v>
      </c>
    </row>
    <row r="10614" spans="1:6" x14ac:dyDescent="0.2">
      <c r="A10614" s="29" t="s">
        <v>24759</v>
      </c>
      <c r="B10614" s="30" t="s">
        <v>24760</v>
      </c>
      <c r="C10614" s="29" t="s">
        <v>26</v>
      </c>
      <c r="D10614" s="31">
        <v>4863.54</v>
      </c>
      <c r="F10614" s="3" t="str">
        <f t="shared" si="165"/>
        <v>I4893</v>
      </c>
    </row>
    <row r="10615" spans="1:6" x14ac:dyDescent="0.2">
      <c r="A10615" s="29" t="s">
        <v>24761</v>
      </c>
      <c r="B10615" s="30" t="s">
        <v>24762</v>
      </c>
      <c r="C10615" s="29" t="s">
        <v>26</v>
      </c>
      <c r="D10615" s="31">
        <v>5217.84</v>
      </c>
      <c r="F10615" s="3" t="str">
        <f t="shared" si="165"/>
        <v>I4894</v>
      </c>
    </row>
    <row r="10616" spans="1:6" x14ac:dyDescent="0.2">
      <c r="A10616" s="29" t="s">
        <v>24763</v>
      </c>
      <c r="B10616" s="30" t="s">
        <v>24764</v>
      </c>
      <c r="C10616" s="29" t="s">
        <v>26</v>
      </c>
      <c r="D10616" s="31">
        <v>5701.15</v>
      </c>
      <c r="F10616" s="3" t="str">
        <f t="shared" si="165"/>
        <v>I4895</v>
      </c>
    </row>
    <row r="10617" spans="1:6" x14ac:dyDescent="0.2">
      <c r="A10617" s="29" t="s">
        <v>24765</v>
      </c>
      <c r="B10617" s="30" t="s">
        <v>24766</v>
      </c>
      <c r="C10617" s="29" t="s">
        <v>26</v>
      </c>
      <c r="D10617" s="31">
        <v>6502.09</v>
      </c>
      <c r="F10617" s="3" t="str">
        <f t="shared" si="165"/>
        <v>I4905</v>
      </c>
    </row>
    <row r="10618" spans="1:6" x14ac:dyDescent="0.2">
      <c r="A10618" s="29" t="s">
        <v>24767</v>
      </c>
      <c r="B10618" s="30" t="s">
        <v>24768</v>
      </c>
      <c r="C10618" s="29" t="s">
        <v>26</v>
      </c>
      <c r="D10618" s="31">
        <v>6476.43</v>
      </c>
      <c r="F10618" s="3" t="str">
        <f t="shared" si="165"/>
        <v>I4904</v>
      </c>
    </row>
    <row r="10619" spans="1:6" x14ac:dyDescent="0.2">
      <c r="A10619" s="29" t="s">
        <v>24769</v>
      </c>
      <c r="B10619" s="30" t="s">
        <v>24770</v>
      </c>
      <c r="C10619" s="29" t="s">
        <v>26</v>
      </c>
      <c r="D10619" s="31">
        <v>6476.43</v>
      </c>
      <c r="F10619" s="3" t="str">
        <f t="shared" si="165"/>
        <v>I7127</v>
      </c>
    </row>
    <row r="10620" spans="1:6" x14ac:dyDescent="0.2">
      <c r="A10620" s="29" t="s">
        <v>24771</v>
      </c>
      <c r="B10620" s="30" t="s">
        <v>24772</v>
      </c>
      <c r="C10620" s="29" t="s">
        <v>26</v>
      </c>
      <c r="D10620" s="31">
        <v>10364.24</v>
      </c>
      <c r="F10620" s="3" t="str">
        <f t="shared" si="165"/>
        <v>I4907</v>
      </c>
    </row>
    <row r="10621" spans="1:6" x14ac:dyDescent="0.2">
      <c r="A10621" s="29" t="s">
        <v>24773</v>
      </c>
      <c r="B10621" s="30" t="s">
        <v>24774</v>
      </c>
      <c r="C10621" s="29" t="s">
        <v>26</v>
      </c>
      <c r="D10621" s="31">
        <v>10183.879999999999</v>
      </c>
      <c r="F10621" s="3" t="str">
        <f t="shared" si="165"/>
        <v>I4906</v>
      </c>
    </row>
    <row r="10622" spans="1:6" x14ac:dyDescent="0.2">
      <c r="A10622" s="29" t="s">
        <v>24775</v>
      </c>
      <c r="B10622" s="30" t="s">
        <v>24776</v>
      </c>
      <c r="C10622" s="29" t="s">
        <v>26</v>
      </c>
      <c r="D10622" s="31">
        <v>14778.2</v>
      </c>
      <c r="F10622" s="3" t="str">
        <f t="shared" si="165"/>
        <v>I7126</v>
      </c>
    </row>
    <row r="10623" spans="1:6" x14ac:dyDescent="0.2">
      <c r="A10623" s="29" t="s">
        <v>24777</v>
      </c>
      <c r="B10623" s="30" t="s">
        <v>24778</v>
      </c>
      <c r="C10623" s="29" t="s">
        <v>26</v>
      </c>
      <c r="D10623" s="31">
        <v>5183.2</v>
      </c>
      <c r="F10623" s="3" t="str">
        <f t="shared" si="165"/>
        <v>I4908</v>
      </c>
    </row>
    <row r="10624" spans="1:6" x14ac:dyDescent="0.2">
      <c r="A10624" s="29" t="s">
        <v>24779</v>
      </c>
      <c r="B10624" s="30" t="s">
        <v>24780</v>
      </c>
      <c r="C10624" s="29" t="s">
        <v>26</v>
      </c>
      <c r="D10624" s="31">
        <v>3111.97</v>
      </c>
      <c r="F10624" s="3" t="str">
        <f t="shared" si="165"/>
        <v>I4909</v>
      </c>
    </row>
    <row r="10625" spans="1:6" x14ac:dyDescent="0.2">
      <c r="A10625" s="29" t="s">
        <v>24781</v>
      </c>
      <c r="B10625" s="30" t="s">
        <v>24782</v>
      </c>
      <c r="C10625" s="29" t="s">
        <v>26</v>
      </c>
      <c r="D10625" s="31">
        <v>3565.81</v>
      </c>
      <c r="F10625" s="3" t="str">
        <f t="shared" si="165"/>
        <v>I4910</v>
      </c>
    </row>
    <row r="10626" spans="1:6" x14ac:dyDescent="0.2">
      <c r="A10626" s="29" t="s">
        <v>24783</v>
      </c>
      <c r="B10626" s="30" t="s">
        <v>24784</v>
      </c>
      <c r="C10626" s="29" t="s">
        <v>26</v>
      </c>
      <c r="D10626" s="31">
        <v>4214.12</v>
      </c>
      <c r="F10626" s="3" t="str">
        <f t="shared" ref="F10626:F10689" si="166">A10626</f>
        <v>I4911</v>
      </c>
    </row>
    <row r="10627" spans="1:6" x14ac:dyDescent="0.2">
      <c r="A10627" s="29" t="s">
        <v>24785</v>
      </c>
      <c r="B10627" s="30" t="s">
        <v>24786</v>
      </c>
      <c r="C10627" s="29" t="s">
        <v>26</v>
      </c>
      <c r="D10627" s="31">
        <v>4473.47</v>
      </c>
      <c r="F10627" s="3" t="str">
        <f t="shared" si="166"/>
        <v>I4912</v>
      </c>
    </row>
    <row r="10628" spans="1:6" x14ac:dyDescent="0.2">
      <c r="A10628" s="29" t="s">
        <v>24787</v>
      </c>
      <c r="B10628" s="30" t="s">
        <v>24788</v>
      </c>
      <c r="C10628" s="29" t="s">
        <v>26</v>
      </c>
      <c r="D10628" s="31">
        <v>722.51</v>
      </c>
      <c r="F10628" s="3" t="str">
        <f t="shared" si="166"/>
        <v>I2948</v>
      </c>
    </row>
    <row r="10629" spans="1:6" x14ac:dyDescent="0.2">
      <c r="A10629" s="29" t="s">
        <v>24789</v>
      </c>
      <c r="B10629" s="30" t="s">
        <v>24790</v>
      </c>
      <c r="C10629" s="29" t="s">
        <v>26</v>
      </c>
      <c r="D10629" s="31">
        <v>288</v>
      </c>
      <c r="F10629" s="3" t="str">
        <f t="shared" si="166"/>
        <v>I2946</v>
      </c>
    </row>
    <row r="10630" spans="1:6" x14ac:dyDescent="0.2">
      <c r="A10630" s="29" t="s">
        <v>24791</v>
      </c>
      <c r="B10630" s="30" t="s">
        <v>24792</v>
      </c>
      <c r="C10630" s="29" t="s">
        <v>26</v>
      </c>
      <c r="D10630" s="31">
        <v>510.17</v>
      </c>
      <c r="F10630" s="3" t="str">
        <f t="shared" si="166"/>
        <v>I2947</v>
      </c>
    </row>
    <row r="10631" spans="1:6" x14ac:dyDescent="0.2">
      <c r="A10631" s="29" t="s">
        <v>24793</v>
      </c>
      <c r="B10631" s="30" t="s">
        <v>24794</v>
      </c>
      <c r="C10631" s="29" t="s">
        <v>26</v>
      </c>
      <c r="D10631" s="31">
        <v>260.57</v>
      </c>
      <c r="F10631" s="3" t="str">
        <f t="shared" si="166"/>
        <v>I2945</v>
      </c>
    </row>
    <row r="10632" spans="1:6" x14ac:dyDescent="0.2">
      <c r="A10632" s="29" t="s">
        <v>24795</v>
      </c>
      <c r="B10632" s="30" t="s">
        <v>24796</v>
      </c>
      <c r="C10632" s="29" t="s">
        <v>26</v>
      </c>
      <c r="D10632" s="31">
        <v>93.67</v>
      </c>
      <c r="F10632" s="3" t="str">
        <f t="shared" si="166"/>
        <v>I2943</v>
      </c>
    </row>
    <row r="10633" spans="1:6" x14ac:dyDescent="0.2">
      <c r="A10633" s="29" t="s">
        <v>24797</v>
      </c>
      <c r="B10633" s="30" t="s">
        <v>24798</v>
      </c>
      <c r="C10633" s="29" t="s">
        <v>26</v>
      </c>
      <c r="D10633" s="31">
        <v>108.18</v>
      </c>
      <c r="F10633" s="3" t="str">
        <f t="shared" si="166"/>
        <v>I2944</v>
      </c>
    </row>
    <row r="10634" spans="1:6" x14ac:dyDescent="0.2">
      <c r="A10634" s="29" t="s">
        <v>24799</v>
      </c>
      <c r="B10634" s="30" t="s">
        <v>24800</v>
      </c>
      <c r="C10634" s="29" t="s">
        <v>26</v>
      </c>
      <c r="D10634" s="31">
        <v>7803.52</v>
      </c>
      <c r="F10634" s="3" t="str">
        <f t="shared" si="166"/>
        <v>I8668</v>
      </c>
    </row>
    <row r="10635" spans="1:6" x14ac:dyDescent="0.2">
      <c r="A10635" s="29" t="s">
        <v>24801</v>
      </c>
      <c r="B10635" s="30" t="s">
        <v>24802</v>
      </c>
      <c r="C10635" s="29" t="s">
        <v>26</v>
      </c>
      <c r="D10635" s="31">
        <v>3757.76</v>
      </c>
      <c r="F10635" s="3" t="str">
        <f t="shared" si="166"/>
        <v>I8666</v>
      </c>
    </row>
    <row r="10636" spans="1:6" x14ac:dyDescent="0.2">
      <c r="A10636" s="29" t="s">
        <v>24803</v>
      </c>
      <c r="B10636" s="30" t="s">
        <v>24804</v>
      </c>
      <c r="C10636" s="29" t="s">
        <v>26</v>
      </c>
      <c r="D10636" s="31">
        <v>4196.62</v>
      </c>
      <c r="F10636" s="3" t="str">
        <f t="shared" si="166"/>
        <v>I8667</v>
      </c>
    </row>
    <row r="10637" spans="1:6" x14ac:dyDescent="0.2">
      <c r="A10637" s="29" t="s">
        <v>24805</v>
      </c>
      <c r="B10637" s="30" t="s">
        <v>24806</v>
      </c>
      <c r="C10637" s="29" t="s">
        <v>26</v>
      </c>
      <c r="D10637" s="31">
        <v>6120.06</v>
      </c>
      <c r="F10637" s="3" t="str">
        <f t="shared" si="166"/>
        <v>I9807</v>
      </c>
    </row>
    <row r="10638" spans="1:6" x14ac:dyDescent="0.2">
      <c r="A10638" s="29" t="s">
        <v>24807</v>
      </c>
      <c r="B10638" s="30" t="s">
        <v>24808</v>
      </c>
      <c r="C10638" s="29" t="s">
        <v>26</v>
      </c>
      <c r="D10638" s="31">
        <v>3697.04</v>
      </c>
      <c r="F10638" s="3" t="str">
        <f t="shared" si="166"/>
        <v>I9808</v>
      </c>
    </row>
    <row r="10639" spans="1:6" x14ac:dyDescent="0.2">
      <c r="A10639" s="29" t="s">
        <v>24809</v>
      </c>
      <c r="B10639" s="30" t="s">
        <v>24810</v>
      </c>
      <c r="C10639" s="29" t="s">
        <v>26</v>
      </c>
      <c r="D10639" s="31">
        <v>3347.48</v>
      </c>
      <c r="F10639" s="3" t="str">
        <f t="shared" si="166"/>
        <v>I9809</v>
      </c>
    </row>
    <row r="10640" spans="1:6" ht="22.5" x14ac:dyDescent="0.2">
      <c r="A10640" s="29" t="s">
        <v>24811</v>
      </c>
      <c r="B10640" s="30" t="s">
        <v>24812</v>
      </c>
      <c r="C10640" s="29" t="s">
        <v>26</v>
      </c>
      <c r="D10640" s="31">
        <v>1696.67</v>
      </c>
      <c r="F10640" s="3" t="str">
        <f t="shared" si="166"/>
        <v>I9810</v>
      </c>
    </row>
    <row r="10641" spans="1:6" x14ac:dyDescent="0.2">
      <c r="A10641" s="29" t="s">
        <v>24813</v>
      </c>
      <c r="B10641" s="30" t="s">
        <v>24814</v>
      </c>
      <c r="C10641" s="29" t="s">
        <v>26</v>
      </c>
      <c r="D10641" s="31">
        <v>99.53</v>
      </c>
      <c r="F10641" s="3" t="str">
        <f t="shared" si="166"/>
        <v>I9813</v>
      </c>
    </row>
    <row r="10642" spans="1:6" ht="22.5" x14ac:dyDescent="0.2">
      <c r="A10642" s="29" t="s">
        <v>24815</v>
      </c>
      <c r="B10642" s="30" t="s">
        <v>24816</v>
      </c>
      <c r="C10642" s="29" t="s">
        <v>26</v>
      </c>
      <c r="D10642" s="31">
        <v>57467.59</v>
      </c>
      <c r="F10642" s="3" t="str">
        <f t="shared" si="166"/>
        <v>I9814</v>
      </c>
    </row>
    <row r="10643" spans="1:6" ht="22.5" x14ac:dyDescent="0.2">
      <c r="A10643" s="29" t="s">
        <v>24817</v>
      </c>
      <c r="B10643" s="30" t="s">
        <v>24818</v>
      </c>
      <c r="C10643" s="29" t="s">
        <v>26</v>
      </c>
      <c r="D10643" s="31">
        <v>72170.960000000006</v>
      </c>
      <c r="F10643" s="3" t="str">
        <f t="shared" si="166"/>
        <v>I9815</v>
      </c>
    </row>
    <row r="10644" spans="1:6" ht="22.5" x14ac:dyDescent="0.2">
      <c r="A10644" s="29" t="s">
        <v>24819</v>
      </c>
      <c r="B10644" s="30" t="s">
        <v>24820</v>
      </c>
      <c r="C10644" s="29" t="s">
        <v>26</v>
      </c>
      <c r="D10644" s="31">
        <v>45009.36</v>
      </c>
      <c r="F10644" s="3" t="str">
        <f t="shared" si="166"/>
        <v>I9816</v>
      </c>
    </row>
    <row r="10645" spans="1:6" ht="22.5" x14ac:dyDescent="0.2">
      <c r="A10645" s="29" t="s">
        <v>24821</v>
      </c>
      <c r="B10645" s="30" t="s">
        <v>24822</v>
      </c>
      <c r="C10645" s="29" t="s">
        <v>26</v>
      </c>
      <c r="D10645" s="31">
        <v>31901.01</v>
      </c>
      <c r="F10645" s="3" t="str">
        <f t="shared" si="166"/>
        <v>I9817</v>
      </c>
    </row>
    <row r="10646" spans="1:6" x14ac:dyDescent="0.2">
      <c r="A10646" s="29" t="s">
        <v>24823</v>
      </c>
      <c r="B10646" s="30" t="s">
        <v>24824</v>
      </c>
      <c r="C10646" s="29" t="s">
        <v>26</v>
      </c>
      <c r="D10646" s="31">
        <v>3527.13</v>
      </c>
      <c r="F10646" s="3" t="str">
        <f t="shared" si="166"/>
        <v>I9818</v>
      </c>
    </row>
    <row r="10647" spans="1:6" x14ac:dyDescent="0.2">
      <c r="A10647" s="29" t="s">
        <v>24825</v>
      </c>
      <c r="B10647" s="30" t="s">
        <v>24826</v>
      </c>
      <c r="C10647" s="29" t="s">
        <v>26</v>
      </c>
      <c r="D10647" s="31">
        <v>0.85</v>
      </c>
      <c r="F10647" s="3" t="str">
        <f t="shared" si="166"/>
        <v>I9811</v>
      </c>
    </row>
    <row r="10648" spans="1:6" x14ac:dyDescent="0.2">
      <c r="A10648" s="29" t="s">
        <v>24827</v>
      </c>
      <c r="B10648" s="30" t="s">
        <v>24828</v>
      </c>
      <c r="C10648" s="29" t="s">
        <v>26</v>
      </c>
      <c r="D10648" s="31">
        <v>1.1200000000000001</v>
      </c>
      <c r="F10648" s="3" t="str">
        <f t="shared" si="166"/>
        <v>I9812</v>
      </c>
    </row>
    <row r="10649" spans="1:6" x14ac:dyDescent="0.2">
      <c r="A10649" s="29" t="s">
        <v>24829</v>
      </c>
      <c r="B10649" s="30" t="s">
        <v>24830</v>
      </c>
      <c r="C10649" s="29" t="s">
        <v>26</v>
      </c>
      <c r="D10649" s="31">
        <v>2353.5300000000002</v>
      </c>
      <c r="F10649" s="3" t="str">
        <f t="shared" si="166"/>
        <v>I8958</v>
      </c>
    </row>
    <row r="10650" spans="1:6" x14ac:dyDescent="0.2">
      <c r="A10650" s="29" t="s">
        <v>24831</v>
      </c>
      <c r="B10650" s="30" t="s">
        <v>24832</v>
      </c>
      <c r="C10650" s="29" t="s">
        <v>26</v>
      </c>
      <c r="D10650" s="31">
        <v>71.989999999999995</v>
      </c>
      <c r="F10650" s="3" t="str">
        <f t="shared" si="166"/>
        <v>I8081</v>
      </c>
    </row>
    <row r="10651" spans="1:6" x14ac:dyDescent="0.2">
      <c r="A10651" s="29" t="s">
        <v>24833</v>
      </c>
      <c r="B10651" s="30" t="s">
        <v>24834</v>
      </c>
      <c r="C10651" s="29" t="s">
        <v>26</v>
      </c>
      <c r="D10651" s="31">
        <v>3.67</v>
      </c>
      <c r="F10651" s="3" t="str">
        <f t="shared" si="166"/>
        <v>I8515</v>
      </c>
    </row>
    <row r="10652" spans="1:6" x14ac:dyDescent="0.2">
      <c r="A10652" s="29" t="s">
        <v>24835</v>
      </c>
      <c r="B10652" s="30" t="s">
        <v>24836</v>
      </c>
      <c r="C10652" s="29" t="s">
        <v>26</v>
      </c>
      <c r="D10652" s="31">
        <v>2.46</v>
      </c>
      <c r="F10652" s="3" t="str">
        <f t="shared" si="166"/>
        <v>I8514</v>
      </c>
    </row>
    <row r="10653" spans="1:6" x14ac:dyDescent="0.2">
      <c r="A10653" s="29" t="s">
        <v>24837</v>
      </c>
      <c r="B10653" s="30" t="s">
        <v>24838</v>
      </c>
      <c r="C10653" s="29" t="s">
        <v>26</v>
      </c>
      <c r="D10653" s="31">
        <v>5.05</v>
      </c>
      <c r="F10653" s="3" t="str">
        <f t="shared" si="166"/>
        <v>I8522</v>
      </c>
    </row>
    <row r="10654" spans="1:6" x14ac:dyDescent="0.2">
      <c r="A10654" s="29" t="s">
        <v>24839</v>
      </c>
      <c r="B10654" s="30" t="s">
        <v>24840</v>
      </c>
      <c r="C10654" s="29" t="s">
        <v>26</v>
      </c>
      <c r="D10654" s="31">
        <v>8.7200000000000006</v>
      </c>
      <c r="F10654" s="3" t="str">
        <f t="shared" si="166"/>
        <v>I8523</v>
      </c>
    </row>
    <row r="10655" spans="1:6" x14ac:dyDescent="0.2">
      <c r="A10655" s="29" t="s">
        <v>24841</v>
      </c>
      <c r="B10655" s="30" t="s">
        <v>24842</v>
      </c>
      <c r="C10655" s="29" t="s">
        <v>26</v>
      </c>
      <c r="D10655" s="31">
        <v>5.23</v>
      </c>
      <c r="F10655" s="3" t="str">
        <f t="shared" si="166"/>
        <v>I9819</v>
      </c>
    </row>
    <row r="10656" spans="1:6" x14ac:dyDescent="0.2">
      <c r="A10656" s="29" t="s">
        <v>24843</v>
      </c>
      <c r="B10656" s="30" t="s">
        <v>24844</v>
      </c>
      <c r="C10656" s="29" t="s">
        <v>26</v>
      </c>
      <c r="D10656" s="31">
        <v>325.95999999999998</v>
      </c>
      <c r="F10656" s="3" t="str">
        <f t="shared" si="166"/>
        <v>I6883</v>
      </c>
    </row>
    <row r="10657" spans="1:6" x14ac:dyDescent="0.2">
      <c r="A10657" s="29" t="s">
        <v>24845</v>
      </c>
      <c r="B10657" s="30" t="s">
        <v>24846</v>
      </c>
      <c r="C10657" s="29" t="s">
        <v>26</v>
      </c>
      <c r="D10657" s="31">
        <v>1500.54</v>
      </c>
      <c r="F10657" s="3" t="str">
        <f t="shared" si="166"/>
        <v>I9820</v>
      </c>
    </row>
    <row r="10658" spans="1:6" x14ac:dyDescent="0.2">
      <c r="A10658" s="29" t="s">
        <v>24847</v>
      </c>
      <c r="B10658" s="30" t="s">
        <v>24848</v>
      </c>
      <c r="C10658" s="29" t="s">
        <v>26</v>
      </c>
      <c r="D10658" s="31">
        <v>5.6</v>
      </c>
      <c r="F10658" s="3" t="str">
        <f t="shared" si="166"/>
        <v>I9821</v>
      </c>
    </row>
    <row r="10659" spans="1:6" x14ac:dyDescent="0.2">
      <c r="A10659" s="29" t="s">
        <v>24849</v>
      </c>
      <c r="B10659" s="30" t="s">
        <v>24850</v>
      </c>
      <c r="C10659" s="29" t="s">
        <v>26</v>
      </c>
      <c r="D10659" s="31">
        <v>57.48</v>
      </c>
      <c r="F10659" s="3" t="str">
        <f t="shared" si="166"/>
        <v>I9822</v>
      </c>
    </row>
    <row r="10660" spans="1:6" x14ac:dyDescent="0.2">
      <c r="A10660" s="29" t="s">
        <v>24851</v>
      </c>
      <c r="B10660" s="30" t="s">
        <v>24852</v>
      </c>
      <c r="C10660" s="29" t="s">
        <v>26</v>
      </c>
      <c r="D10660" s="31">
        <v>463.76</v>
      </c>
      <c r="F10660" s="3" t="str">
        <f t="shared" si="166"/>
        <v>I6884</v>
      </c>
    </row>
    <row r="10661" spans="1:6" x14ac:dyDescent="0.2">
      <c r="A10661" s="29" t="s">
        <v>24853</v>
      </c>
      <c r="B10661" s="30" t="s">
        <v>24854</v>
      </c>
      <c r="C10661" s="29" t="s">
        <v>26</v>
      </c>
      <c r="D10661" s="31">
        <v>6.32</v>
      </c>
      <c r="F10661" s="3" t="str">
        <f t="shared" si="166"/>
        <v>I7885</v>
      </c>
    </row>
    <row r="10662" spans="1:6" x14ac:dyDescent="0.2">
      <c r="A10662" s="29" t="s">
        <v>24855</v>
      </c>
      <c r="B10662" s="30" t="s">
        <v>24856</v>
      </c>
      <c r="C10662" s="29" t="s">
        <v>26</v>
      </c>
      <c r="D10662" s="31">
        <v>109.73</v>
      </c>
      <c r="F10662" s="3" t="str">
        <f t="shared" si="166"/>
        <v>I9823</v>
      </c>
    </row>
    <row r="10663" spans="1:6" x14ac:dyDescent="0.2">
      <c r="A10663" s="29" t="s">
        <v>24857</v>
      </c>
      <c r="B10663" s="30" t="s">
        <v>24858</v>
      </c>
      <c r="C10663" s="29" t="s">
        <v>26</v>
      </c>
      <c r="D10663" s="31">
        <v>2452.0100000000002</v>
      </c>
      <c r="F10663" s="3" t="str">
        <f t="shared" si="166"/>
        <v>I9824</v>
      </c>
    </row>
    <row r="10664" spans="1:6" x14ac:dyDescent="0.2">
      <c r="A10664" s="29" t="s">
        <v>24859</v>
      </c>
      <c r="B10664" s="30" t="s">
        <v>24860</v>
      </c>
      <c r="C10664" s="29" t="s">
        <v>26</v>
      </c>
      <c r="D10664" s="31">
        <v>3026.81</v>
      </c>
      <c r="F10664" s="3" t="str">
        <f t="shared" si="166"/>
        <v>I9825</v>
      </c>
    </row>
    <row r="10665" spans="1:6" x14ac:dyDescent="0.2">
      <c r="A10665" s="29" t="s">
        <v>24861</v>
      </c>
      <c r="B10665" s="30" t="s">
        <v>24862</v>
      </c>
      <c r="C10665" s="29" t="s">
        <v>26</v>
      </c>
      <c r="D10665" s="31">
        <v>1885.87</v>
      </c>
      <c r="F10665" s="3" t="str">
        <f t="shared" si="166"/>
        <v>I9826</v>
      </c>
    </row>
    <row r="10666" spans="1:6" x14ac:dyDescent="0.2">
      <c r="A10666" s="29" t="s">
        <v>24863</v>
      </c>
      <c r="B10666" s="30" t="s">
        <v>24864</v>
      </c>
      <c r="C10666" s="29" t="s">
        <v>26</v>
      </c>
      <c r="D10666" s="31">
        <v>2545.92</v>
      </c>
      <c r="F10666" s="3" t="str">
        <f t="shared" si="166"/>
        <v>I9827</v>
      </c>
    </row>
    <row r="10667" spans="1:6" x14ac:dyDescent="0.2">
      <c r="A10667" s="29" t="s">
        <v>24865</v>
      </c>
      <c r="B10667" s="30" t="s">
        <v>24866</v>
      </c>
      <c r="C10667" s="29" t="s">
        <v>26</v>
      </c>
      <c r="D10667" s="31">
        <v>3396.78</v>
      </c>
      <c r="F10667" s="3" t="str">
        <f t="shared" si="166"/>
        <v>I9828</v>
      </c>
    </row>
    <row r="10668" spans="1:6" x14ac:dyDescent="0.2">
      <c r="A10668" s="29" t="s">
        <v>24867</v>
      </c>
      <c r="B10668" s="30" t="s">
        <v>24868</v>
      </c>
      <c r="C10668" s="29" t="s">
        <v>26</v>
      </c>
      <c r="D10668" s="31">
        <v>46966.39</v>
      </c>
      <c r="F10668" s="3" t="str">
        <f t="shared" si="166"/>
        <v>I10949</v>
      </c>
    </row>
    <row r="10669" spans="1:6" x14ac:dyDescent="0.2">
      <c r="A10669" s="29" t="s">
        <v>24869</v>
      </c>
      <c r="B10669" s="30" t="s">
        <v>24870</v>
      </c>
      <c r="C10669" s="29" t="s">
        <v>26</v>
      </c>
      <c r="D10669" s="31">
        <v>73422.759999999995</v>
      </c>
      <c r="F10669" s="3" t="str">
        <f t="shared" si="166"/>
        <v>I10950</v>
      </c>
    </row>
    <row r="10670" spans="1:6" x14ac:dyDescent="0.2">
      <c r="A10670" s="29" t="s">
        <v>24871</v>
      </c>
      <c r="B10670" s="30" t="s">
        <v>24872</v>
      </c>
      <c r="C10670" s="29" t="s">
        <v>26</v>
      </c>
      <c r="D10670" s="31">
        <v>164128.56</v>
      </c>
      <c r="F10670" s="3" t="str">
        <f t="shared" si="166"/>
        <v>I10951</v>
      </c>
    </row>
    <row r="10671" spans="1:6" x14ac:dyDescent="0.2">
      <c r="A10671" s="29" t="s">
        <v>24873</v>
      </c>
      <c r="B10671" s="30" t="s">
        <v>24874</v>
      </c>
      <c r="C10671" s="29" t="s">
        <v>26</v>
      </c>
      <c r="D10671" s="31">
        <v>1522.2</v>
      </c>
      <c r="F10671" s="3" t="str">
        <f t="shared" si="166"/>
        <v>I4006</v>
      </c>
    </row>
    <row r="10672" spans="1:6" x14ac:dyDescent="0.2">
      <c r="A10672" s="29" t="s">
        <v>24875</v>
      </c>
      <c r="B10672" s="30" t="s">
        <v>24876</v>
      </c>
      <c r="C10672" s="29" t="s">
        <v>26</v>
      </c>
      <c r="D10672" s="31">
        <v>1808.99</v>
      </c>
      <c r="F10672" s="3" t="str">
        <f t="shared" si="166"/>
        <v>I7616</v>
      </c>
    </row>
    <row r="10673" spans="1:6" x14ac:dyDescent="0.2">
      <c r="A10673" s="29" t="s">
        <v>24877</v>
      </c>
      <c r="B10673" s="30" t="s">
        <v>24878</v>
      </c>
      <c r="C10673" s="29" t="s">
        <v>26</v>
      </c>
      <c r="D10673" s="31">
        <v>2604.15</v>
      </c>
      <c r="F10673" s="3" t="str">
        <f t="shared" si="166"/>
        <v>I4007</v>
      </c>
    </row>
    <row r="10674" spans="1:6" x14ac:dyDescent="0.2">
      <c r="A10674" s="29" t="s">
        <v>24879</v>
      </c>
      <c r="B10674" s="30" t="s">
        <v>24880</v>
      </c>
      <c r="C10674" s="29" t="s">
        <v>26</v>
      </c>
      <c r="D10674" s="31">
        <v>4189.3999999999996</v>
      </c>
      <c r="F10674" s="3" t="str">
        <f t="shared" si="166"/>
        <v>I4008</v>
      </c>
    </row>
    <row r="10675" spans="1:6" x14ac:dyDescent="0.2">
      <c r="A10675" s="29" t="s">
        <v>24881</v>
      </c>
      <c r="B10675" s="30" t="s">
        <v>24882</v>
      </c>
      <c r="C10675" s="29" t="s">
        <v>26</v>
      </c>
      <c r="D10675" s="31">
        <v>5848.05</v>
      </c>
      <c r="F10675" s="3" t="str">
        <f t="shared" si="166"/>
        <v>I4009</v>
      </c>
    </row>
    <row r="10676" spans="1:6" x14ac:dyDescent="0.2">
      <c r="A10676" s="29" t="s">
        <v>24883</v>
      </c>
      <c r="B10676" s="30" t="s">
        <v>24884</v>
      </c>
      <c r="C10676" s="29" t="s">
        <v>26</v>
      </c>
      <c r="D10676" s="31">
        <v>15964.47</v>
      </c>
      <c r="F10676" s="3" t="str">
        <f t="shared" si="166"/>
        <v>I10945</v>
      </c>
    </row>
    <row r="10677" spans="1:6" x14ac:dyDescent="0.2">
      <c r="A10677" s="29" t="s">
        <v>24885</v>
      </c>
      <c r="B10677" s="30" t="s">
        <v>24886</v>
      </c>
      <c r="C10677" s="29" t="s">
        <v>26</v>
      </c>
      <c r="D10677" s="31">
        <v>21537.34</v>
      </c>
      <c r="F10677" s="3" t="str">
        <f t="shared" si="166"/>
        <v>I10946</v>
      </c>
    </row>
    <row r="10678" spans="1:6" x14ac:dyDescent="0.2">
      <c r="A10678" s="29" t="s">
        <v>24887</v>
      </c>
      <c r="B10678" s="30" t="s">
        <v>24888</v>
      </c>
      <c r="C10678" s="29" t="s">
        <v>26</v>
      </c>
      <c r="D10678" s="31">
        <v>31589.31</v>
      </c>
      <c r="F10678" s="3" t="str">
        <f t="shared" si="166"/>
        <v>I10947</v>
      </c>
    </row>
    <row r="10679" spans="1:6" x14ac:dyDescent="0.2">
      <c r="A10679" s="29" t="s">
        <v>24889</v>
      </c>
      <c r="B10679" s="30" t="s">
        <v>24890</v>
      </c>
      <c r="C10679" s="29" t="s">
        <v>26</v>
      </c>
      <c r="D10679" s="31">
        <v>38756.33</v>
      </c>
      <c r="F10679" s="3" t="str">
        <f t="shared" si="166"/>
        <v>I10948</v>
      </c>
    </row>
    <row r="10680" spans="1:6" x14ac:dyDescent="0.2">
      <c r="A10680" s="29" t="s">
        <v>24891</v>
      </c>
      <c r="B10680" s="30" t="s">
        <v>24892</v>
      </c>
      <c r="C10680" s="29" t="s">
        <v>26</v>
      </c>
      <c r="D10680" s="31">
        <v>72797.91</v>
      </c>
      <c r="F10680" s="3" t="str">
        <f t="shared" si="166"/>
        <v>I10955</v>
      </c>
    </row>
    <row r="10681" spans="1:6" x14ac:dyDescent="0.2">
      <c r="A10681" s="29" t="s">
        <v>24893</v>
      </c>
      <c r="B10681" s="30" t="s">
        <v>24894</v>
      </c>
      <c r="C10681" s="29" t="s">
        <v>26</v>
      </c>
      <c r="D10681" s="31">
        <v>107686.7</v>
      </c>
      <c r="F10681" s="3" t="str">
        <f t="shared" si="166"/>
        <v>I10956</v>
      </c>
    </row>
    <row r="10682" spans="1:6" x14ac:dyDescent="0.2">
      <c r="A10682" s="29" t="s">
        <v>24895</v>
      </c>
      <c r="B10682" s="30" t="s">
        <v>24896</v>
      </c>
      <c r="C10682" s="29" t="s">
        <v>26</v>
      </c>
      <c r="D10682" s="31">
        <v>188747.85</v>
      </c>
      <c r="F10682" s="3" t="str">
        <f t="shared" si="166"/>
        <v>I10957</v>
      </c>
    </row>
    <row r="10683" spans="1:6" x14ac:dyDescent="0.2">
      <c r="A10683" s="29" t="s">
        <v>24897</v>
      </c>
      <c r="B10683" s="30" t="s">
        <v>24898</v>
      </c>
      <c r="C10683" s="29" t="s">
        <v>26</v>
      </c>
      <c r="D10683" s="31">
        <v>25580.12</v>
      </c>
      <c r="F10683" s="3" t="str">
        <f t="shared" si="166"/>
        <v>I9829</v>
      </c>
    </row>
    <row r="10684" spans="1:6" x14ac:dyDescent="0.2">
      <c r="A10684" s="29" t="s">
        <v>24899</v>
      </c>
      <c r="B10684" s="30" t="s">
        <v>24900</v>
      </c>
      <c r="C10684" s="29" t="s">
        <v>26</v>
      </c>
      <c r="D10684" s="31">
        <v>42784.62</v>
      </c>
      <c r="F10684" s="3" t="str">
        <f t="shared" si="166"/>
        <v>I10953</v>
      </c>
    </row>
    <row r="10685" spans="1:6" x14ac:dyDescent="0.2">
      <c r="A10685" s="29" t="s">
        <v>24901</v>
      </c>
      <c r="B10685" s="30" t="s">
        <v>24900</v>
      </c>
      <c r="C10685" s="29" t="s">
        <v>26</v>
      </c>
      <c r="D10685" s="31">
        <v>30577.71</v>
      </c>
      <c r="F10685" s="3" t="str">
        <f t="shared" si="166"/>
        <v>I9830</v>
      </c>
    </row>
    <row r="10686" spans="1:6" x14ac:dyDescent="0.2">
      <c r="A10686" s="29" t="s">
        <v>24902</v>
      </c>
      <c r="B10686" s="30" t="s">
        <v>24903</v>
      </c>
      <c r="C10686" s="29" t="s">
        <v>26</v>
      </c>
      <c r="D10686" s="31">
        <v>52157.35</v>
      </c>
      <c r="F10686" s="3" t="str">
        <f t="shared" si="166"/>
        <v>I10954</v>
      </c>
    </row>
    <row r="10687" spans="1:6" x14ac:dyDescent="0.2">
      <c r="A10687" s="29" t="s">
        <v>24904</v>
      </c>
      <c r="B10687" s="30" t="s">
        <v>24905</v>
      </c>
      <c r="C10687" s="29" t="s">
        <v>26</v>
      </c>
      <c r="D10687" s="31">
        <v>1885.87</v>
      </c>
      <c r="F10687" s="3" t="str">
        <f t="shared" si="166"/>
        <v>I4010</v>
      </c>
    </row>
    <row r="10688" spans="1:6" x14ac:dyDescent="0.2">
      <c r="A10688" s="29" t="s">
        <v>24906</v>
      </c>
      <c r="B10688" s="30" t="s">
        <v>24907</v>
      </c>
      <c r="C10688" s="29" t="s">
        <v>26</v>
      </c>
      <c r="D10688" s="31">
        <v>2545.92</v>
      </c>
      <c r="F10688" s="3" t="str">
        <f t="shared" si="166"/>
        <v>I7617</v>
      </c>
    </row>
    <row r="10689" spans="1:6" x14ac:dyDescent="0.2">
      <c r="A10689" s="29" t="s">
        <v>24908</v>
      </c>
      <c r="B10689" s="30" t="s">
        <v>24909</v>
      </c>
      <c r="C10689" s="29" t="s">
        <v>26</v>
      </c>
      <c r="D10689" s="31">
        <v>1748.98</v>
      </c>
      <c r="F10689" s="3" t="str">
        <f t="shared" si="166"/>
        <v>I4011</v>
      </c>
    </row>
    <row r="10690" spans="1:6" x14ac:dyDescent="0.2">
      <c r="A10690" s="29" t="s">
        <v>24910</v>
      </c>
      <c r="B10690" s="30" t="s">
        <v>24911</v>
      </c>
      <c r="C10690" s="29" t="s">
        <v>26</v>
      </c>
      <c r="D10690" s="31">
        <v>2500.9899999999998</v>
      </c>
      <c r="F10690" s="3" t="str">
        <f t="shared" ref="F10690:F10753" si="167">A10690</f>
        <v>I7618</v>
      </c>
    </row>
    <row r="10691" spans="1:6" x14ac:dyDescent="0.2">
      <c r="A10691" s="29" t="s">
        <v>24912</v>
      </c>
      <c r="B10691" s="30" t="s">
        <v>24913</v>
      </c>
      <c r="C10691" s="29" t="s">
        <v>26</v>
      </c>
      <c r="D10691" s="31">
        <v>3387.35</v>
      </c>
      <c r="F10691" s="3" t="str">
        <f t="shared" si="167"/>
        <v>I4012</v>
      </c>
    </row>
    <row r="10692" spans="1:6" x14ac:dyDescent="0.2">
      <c r="A10692" s="29" t="s">
        <v>24914</v>
      </c>
      <c r="B10692" s="30" t="s">
        <v>24915</v>
      </c>
      <c r="C10692" s="29" t="s">
        <v>26</v>
      </c>
      <c r="D10692" s="31">
        <v>3819.95</v>
      </c>
      <c r="F10692" s="3" t="str">
        <f t="shared" si="167"/>
        <v>I10952</v>
      </c>
    </row>
    <row r="10693" spans="1:6" x14ac:dyDescent="0.2">
      <c r="A10693" s="29" t="s">
        <v>24916</v>
      </c>
      <c r="B10693" s="30" t="s">
        <v>24917</v>
      </c>
      <c r="C10693" s="29" t="s">
        <v>26</v>
      </c>
      <c r="D10693" s="31">
        <v>4252.5600000000004</v>
      </c>
      <c r="F10693" s="3" t="str">
        <f t="shared" si="167"/>
        <v>I4013</v>
      </c>
    </row>
    <row r="10694" spans="1:6" x14ac:dyDescent="0.2">
      <c r="A10694" s="29" t="s">
        <v>24918</v>
      </c>
      <c r="B10694" s="30" t="s">
        <v>24919</v>
      </c>
      <c r="C10694" s="29" t="s">
        <v>26</v>
      </c>
      <c r="D10694" s="31">
        <v>7157.49</v>
      </c>
      <c r="F10694" s="3" t="str">
        <f t="shared" si="167"/>
        <v>I4014</v>
      </c>
    </row>
    <row r="10695" spans="1:6" x14ac:dyDescent="0.2">
      <c r="A10695" s="29" t="s">
        <v>24920</v>
      </c>
      <c r="B10695" s="30" t="s">
        <v>24921</v>
      </c>
      <c r="C10695" s="29" t="s">
        <v>26</v>
      </c>
      <c r="D10695" s="31">
        <v>128752.69</v>
      </c>
      <c r="F10695" s="3" t="str">
        <f t="shared" si="167"/>
        <v>I10970</v>
      </c>
    </row>
    <row r="10696" spans="1:6" x14ac:dyDescent="0.2">
      <c r="A10696" s="29" t="s">
        <v>24922</v>
      </c>
      <c r="B10696" s="30" t="s">
        <v>24923</v>
      </c>
      <c r="C10696" s="29" t="s">
        <v>26</v>
      </c>
      <c r="D10696" s="31">
        <v>155910.04999999999</v>
      </c>
      <c r="F10696" s="3" t="str">
        <f t="shared" si="167"/>
        <v>I10971</v>
      </c>
    </row>
    <row r="10697" spans="1:6" x14ac:dyDescent="0.2">
      <c r="A10697" s="29" t="s">
        <v>24924</v>
      </c>
      <c r="B10697" s="30" t="s">
        <v>24925</v>
      </c>
      <c r="C10697" s="29" t="s">
        <v>26</v>
      </c>
      <c r="D10697" s="31">
        <v>258278.9</v>
      </c>
      <c r="F10697" s="3" t="str">
        <f t="shared" si="167"/>
        <v>I10972</v>
      </c>
    </row>
    <row r="10698" spans="1:6" x14ac:dyDescent="0.2">
      <c r="A10698" s="29" t="s">
        <v>24926</v>
      </c>
      <c r="B10698" s="30" t="s">
        <v>24927</v>
      </c>
      <c r="C10698" s="29" t="s">
        <v>26</v>
      </c>
      <c r="D10698" s="31">
        <v>33593.18</v>
      </c>
      <c r="F10698" s="3" t="str">
        <f t="shared" si="167"/>
        <v>I10966</v>
      </c>
    </row>
    <row r="10699" spans="1:6" x14ac:dyDescent="0.2">
      <c r="A10699" s="29" t="s">
        <v>24928</v>
      </c>
      <c r="B10699" s="30" t="s">
        <v>24929</v>
      </c>
      <c r="C10699" s="29" t="s">
        <v>26</v>
      </c>
      <c r="D10699" s="31">
        <v>47661.34</v>
      </c>
      <c r="F10699" s="3" t="str">
        <f t="shared" si="167"/>
        <v>I10967</v>
      </c>
    </row>
    <row r="10700" spans="1:6" x14ac:dyDescent="0.2">
      <c r="A10700" s="29" t="s">
        <v>24930</v>
      </c>
      <c r="B10700" s="30" t="s">
        <v>24931</v>
      </c>
      <c r="C10700" s="29" t="s">
        <v>26</v>
      </c>
      <c r="D10700" s="31">
        <v>71307.7</v>
      </c>
      <c r="F10700" s="3" t="str">
        <f t="shared" si="167"/>
        <v>I10968</v>
      </c>
    </row>
    <row r="10701" spans="1:6" x14ac:dyDescent="0.2">
      <c r="A10701" s="29" t="s">
        <v>24932</v>
      </c>
      <c r="B10701" s="30" t="s">
        <v>24933</v>
      </c>
      <c r="C10701" s="29" t="s">
        <v>26</v>
      </c>
      <c r="D10701" s="31">
        <v>84517.75</v>
      </c>
      <c r="F10701" s="3" t="str">
        <f t="shared" si="167"/>
        <v>I10969</v>
      </c>
    </row>
    <row r="10702" spans="1:6" x14ac:dyDescent="0.2">
      <c r="A10702" s="29" t="s">
        <v>24934</v>
      </c>
      <c r="B10702" s="30" t="s">
        <v>24935</v>
      </c>
      <c r="C10702" s="29" t="s">
        <v>26</v>
      </c>
      <c r="D10702" s="31">
        <v>1475.7</v>
      </c>
      <c r="F10702" s="3" t="str">
        <f t="shared" si="167"/>
        <v>I10958</v>
      </c>
    </row>
    <row r="10703" spans="1:6" x14ac:dyDescent="0.2">
      <c r="A10703" s="29" t="s">
        <v>24936</v>
      </c>
      <c r="B10703" s="30" t="s">
        <v>24937</v>
      </c>
      <c r="C10703" s="29" t="s">
        <v>26</v>
      </c>
      <c r="D10703" s="31">
        <v>2414.79</v>
      </c>
      <c r="F10703" s="3" t="str">
        <f t="shared" si="167"/>
        <v>I10959</v>
      </c>
    </row>
    <row r="10704" spans="1:6" x14ac:dyDescent="0.2">
      <c r="A10704" s="29" t="s">
        <v>24938</v>
      </c>
      <c r="B10704" s="30" t="s">
        <v>24939</v>
      </c>
      <c r="C10704" s="29" t="s">
        <v>26</v>
      </c>
      <c r="D10704" s="31">
        <v>3488.03</v>
      </c>
      <c r="F10704" s="3" t="str">
        <f t="shared" si="167"/>
        <v>I10960</v>
      </c>
    </row>
    <row r="10705" spans="1:6" x14ac:dyDescent="0.2">
      <c r="A10705" s="29" t="s">
        <v>24940</v>
      </c>
      <c r="B10705" s="30" t="s">
        <v>24941</v>
      </c>
      <c r="C10705" s="29" t="s">
        <v>26</v>
      </c>
      <c r="D10705" s="31">
        <v>4949.2299999999996</v>
      </c>
      <c r="F10705" s="3" t="str">
        <f t="shared" si="167"/>
        <v>I10961</v>
      </c>
    </row>
    <row r="10706" spans="1:6" x14ac:dyDescent="0.2">
      <c r="A10706" s="29" t="s">
        <v>24942</v>
      </c>
      <c r="B10706" s="30" t="s">
        <v>24943</v>
      </c>
      <c r="C10706" s="29" t="s">
        <v>26</v>
      </c>
      <c r="D10706" s="31">
        <v>7918.78</v>
      </c>
      <c r="F10706" s="3" t="str">
        <f t="shared" si="167"/>
        <v>I10962</v>
      </c>
    </row>
    <row r="10707" spans="1:6" x14ac:dyDescent="0.2">
      <c r="A10707" s="29" t="s">
        <v>24944</v>
      </c>
      <c r="B10707" s="30" t="s">
        <v>24945</v>
      </c>
      <c r="C10707" s="29" t="s">
        <v>26</v>
      </c>
      <c r="D10707" s="31">
        <v>15071.3</v>
      </c>
      <c r="F10707" s="3" t="str">
        <f t="shared" si="167"/>
        <v>I10963</v>
      </c>
    </row>
    <row r="10708" spans="1:6" x14ac:dyDescent="0.2">
      <c r="A10708" s="29" t="s">
        <v>24946</v>
      </c>
      <c r="B10708" s="30" t="s">
        <v>24947</v>
      </c>
      <c r="C10708" s="29" t="s">
        <v>26</v>
      </c>
      <c r="D10708" s="31">
        <v>16110.71</v>
      </c>
      <c r="F10708" s="3" t="str">
        <f t="shared" si="167"/>
        <v>I10964</v>
      </c>
    </row>
    <row r="10709" spans="1:6" x14ac:dyDescent="0.2">
      <c r="A10709" s="29" t="s">
        <v>24948</v>
      </c>
      <c r="B10709" s="30" t="s">
        <v>24949</v>
      </c>
      <c r="C10709" s="29" t="s">
        <v>26</v>
      </c>
      <c r="D10709" s="31">
        <v>22244.37</v>
      </c>
      <c r="F10709" s="3" t="str">
        <f t="shared" si="167"/>
        <v>I10965</v>
      </c>
    </row>
    <row r="10710" spans="1:6" x14ac:dyDescent="0.2">
      <c r="A10710" s="29" t="s">
        <v>24950</v>
      </c>
      <c r="B10710" s="30" t="s">
        <v>24951</v>
      </c>
      <c r="C10710" s="29" t="s">
        <v>26</v>
      </c>
      <c r="D10710" s="31">
        <v>659.4</v>
      </c>
      <c r="F10710" s="3" t="str">
        <f t="shared" si="167"/>
        <v>I9831</v>
      </c>
    </row>
    <row r="10711" spans="1:6" x14ac:dyDescent="0.2">
      <c r="A10711" s="29" t="s">
        <v>24952</v>
      </c>
      <c r="B10711" s="30" t="s">
        <v>24953</v>
      </c>
      <c r="C10711" s="29" t="s">
        <v>26</v>
      </c>
      <c r="D10711" s="31">
        <v>1892.89</v>
      </c>
      <c r="F10711" s="3" t="str">
        <f t="shared" si="167"/>
        <v>I9832</v>
      </c>
    </row>
    <row r="10712" spans="1:6" x14ac:dyDescent="0.2">
      <c r="A10712" s="29" t="s">
        <v>24954</v>
      </c>
      <c r="B10712" s="30" t="s">
        <v>24955</v>
      </c>
      <c r="C10712" s="29" t="s">
        <v>26</v>
      </c>
      <c r="D10712" s="31">
        <v>829.53</v>
      </c>
      <c r="F10712" s="3" t="str">
        <f t="shared" si="167"/>
        <v>I9833</v>
      </c>
    </row>
    <row r="10713" spans="1:6" x14ac:dyDescent="0.2">
      <c r="A10713" s="29" t="s">
        <v>24956</v>
      </c>
      <c r="B10713" s="30" t="s">
        <v>24957</v>
      </c>
      <c r="C10713" s="29" t="s">
        <v>26</v>
      </c>
      <c r="D10713" s="31">
        <v>1209.6099999999999</v>
      </c>
      <c r="F10713" s="3" t="str">
        <f t="shared" si="167"/>
        <v>I9834</v>
      </c>
    </row>
    <row r="10714" spans="1:6" x14ac:dyDescent="0.2">
      <c r="A10714" s="29" t="s">
        <v>24958</v>
      </c>
      <c r="B10714" s="30" t="s">
        <v>24959</v>
      </c>
      <c r="C10714" s="29" t="s">
        <v>26</v>
      </c>
      <c r="D10714" s="31">
        <v>1802.76</v>
      </c>
      <c r="F10714" s="3" t="str">
        <f t="shared" si="167"/>
        <v>I9835</v>
      </c>
    </row>
    <row r="10715" spans="1:6" x14ac:dyDescent="0.2">
      <c r="A10715" s="29" t="s">
        <v>24960</v>
      </c>
      <c r="B10715" s="30" t="s">
        <v>24961</v>
      </c>
      <c r="C10715" s="29" t="s">
        <v>26</v>
      </c>
      <c r="D10715" s="31">
        <v>2793.96</v>
      </c>
      <c r="F10715" s="3" t="str">
        <f t="shared" si="167"/>
        <v>I9836</v>
      </c>
    </row>
    <row r="10716" spans="1:6" x14ac:dyDescent="0.2">
      <c r="A10716" s="29" t="s">
        <v>24962</v>
      </c>
      <c r="B10716" s="30" t="s">
        <v>24963</v>
      </c>
      <c r="C10716" s="29" t="s">
        <v>26</v>
      </c>
      <c r="D10716" s="31">
        <v>3048.15</v>
      </c>
      <c r="F10716" s="3" t="str">
        <f t="shared" si="167"/>
        <v>I9837</v>
      </c>
    </row>
    <row r="10717" spans="1:6" ht="33.75" x14ac:dyDescent="0.2">
      <c r="A10717" s="29" t="s">
        <v>24964</v>
      </c>
      <c r="B10717" s="30" t="s">
        <v>24965</v>
      </c>
      <c r="C10717" s="29" t="s">
        <v>26</v>
      </c>
      <c r="D10717" s="31">
        <v>4028.9</v>
      </c>
      <c r="F10717" s="3" t="str">
        <f t="shared" si="167"/>
        <v>I6448</v>
      </c>
    </row>
    <row r="10718" spans="1:6" ht="33.75" x14ac:dyDescent="0.2">
      <c r="A10718" s="29" t="s">
        <v>24966</v>
      </c>
      <c r="B10718" s="30" t="s">
        <v>24967</v>
      </c>
      <c r="C10718" s="29" t="s">
        <v>26</v>
      </c>
      <c r="D10718" s="31">
        <v>4240.46</v>
      </c>
      <c r="F10718" s="3" t="str">
        <f t="shared" si="167"/>
        <v>I6449</v>
      </c>
    </row>
    <row r="10719" spans="1:6" ht="33.75" x14ac:dyDescent="0.2">
      <c r="A10719" s="29" t="s">
        <v>24968</v>
      </c>
      <c r="B10719" s="30" t="s">
        <v>24969</v>
      </c>
      <c r="C10719" s="29" t="s">
        <v>26</v>
      </c>
      <c r="D10719" s="31">
        <v>5187.91</v>
      </c>
      <c r="F10719" s="3" t="str">
        <f t="shared" si="167"/>
        <v>I6463</v>
      </c>
    </row>
    <row r="10720" spans="1:6" ht="33.75" x14ac:dyDescent="0.2">
      <c r="A10720" s="29" t="s">
        <v>24970</v>
      </c>
      <c r="B10720" s="30" t="s">
        <v>24971</v>
      </c>
      <c r="C10720" s="29" t="s">
        <v>26</v>
      </c>
      <c r="D10720" s="31">
        <v>5988.17</v>
      </c>
      <c r="F10720" s="3" t="str">
        <f t="shared" si="167"/>
        <v>I6484</v>
      </c>
    </row>
    <row r="10721" spans="1:6" ht="33.75" x14ac:dyDescent="0.2">
      <c r="A10721" s="29" t="s">
        <v>24972</v>
      </c>
      <c r="B10721" s="30" t="s">
        <v>24973</v>
      </c>
      <c r="C10721" s="29" t="s">
        <v>26</v>
      </c>
      <c r="D10721" s="31">
        <v>6374.49</v>
      </c>
      <c r="F10721" s="3" t="str">
        <f t="shared" si="167"/>
        <v>I6485</v>
      </c>
    </row>
    <row r="10722" spans="1:6" ht="33.75" x14ac:dyDescent="0.2">
      <c r="A10722" s="29" t="s">
        <v>24974</v>
      </c>
      <c r="B10722" s="30" t="s">
        <v>24975</v>
      </c>
      <c r="C10722" s="29" t="s">
        <v>26</v>
      </c>
      <c r="D10722" s="31">
        <v>6576.87</v>
      </c>
      <c r="F10722" s="3" t="str">
        <f t="shared" si="167"/>
        <v>I6486</v>
      </c>
    </row>
    <row r="10723" spans="1:6" ht="33.75" x14ac:dyDescent="0.2">
      <c r="A10723" s="29" t="s">
        <v>24976</v>
      </c>
      <c r="B10723" s="30" t="s">
        <v>24977</v>
      </c>
      <c r="C10723" s="29" t="s">
        <v>26</v>
      </c>
      <c r="D10723" s="31">
        <v>8986.8700000000008</v>
      </c>
      <c r="F10723" s="3" t="str">
        <f t="shared" si="167"/>
        <v>I6487</v>
      </c>
    </row>
    <row r="10724" spans="1:6" ht="33.75" x14ac:dyDescent="0.2">
      <c r="A10724" s="29" t="s">
        <v>24978</v>
      </c>
      <c r="B10724" s="30" t="s">
        <v>24979</v>
      </c>
      <c r="C10724" s="29" t="s">
        <v>26</v>
      </c>
      <c r="D10724" s="31">
        <v>13503.26</v>
      </c>
      <c r="F10724" s="3" t="str">
        <f t="shared" si="167"/>
        <v>I6488</v>
      </c>
    </row>
    <row r="10725" spans="1:6" x14ac:dyDescent="0.2">
      <c r="A10725" s="29" t="s">
        <v>24980</v>
      </c>
      <c r="B10725" s="30" t="s">
        <v>24981</v>
      </c>
      <c r="C10725" s="29" t="s">
        <v>26</v>
      </c>
      <c r="D10725" s="31">
        <v>514.27</v>
      </c>
      <c r="F10725" s="3" t="str">
        <f t="shared" si="167"/>
        <v>I3892</v>
      </c>
    </row>
    <row r="10726" spans="1:6" x14ac:dyDescent="0.2">
      <c r="A10726" s="29" t="s">
        <v>24982</v>
      </c>
      <c r="B10726" s="30" t="s">
        <v>24983</v>
      </c>
      <c r="C10726" s="29" t="s">
        <v>26</v>
      </c>
      <c r="D10726" s="31">
        <v>850.99</v>
      </c>
      <c r="F10726" s="3" t="str">
        <f t="shared" si="167"/>
        <v>I3893</v>
      </c>
    </row>
    <row r="10727" spans="1:6" x14ac:dyDescent="0.2">
      <c r="A10727" s="29" t="s">
        <v>24984</v>
      </c>
      <c r="B10727" s="30" t="s">
        <v>24985</v>
      </c>
      <c r="C10727" s="29" t="s">
        <v>26</v>
      </c>
      <c r="D10727" s="31">
        <v>1195.1199999999999</v>
      </c>
      <c r="F10727" s="3" t="str">
        <f t="shared" si="167"/>
        <v>I3894</v>
      </c>
    </row>
    <row r="10728" spans="1:6" x14ac:dyDescent="0.2">
      <c r="A10728" s="29" t="s">
        <v>24986</v>
      </c>
      <c r="B10728" s="30" t="s">
        <v>24987</v>
      </c>
      <c r="C10728" s="29" t="s">
        <v>26</v>
      </c>
      <c r="D10728" s="31">
        <v>1534.62</v>
      </c>
      <c r="F10728" s="3" t="str">
        <f t="shared" si="167"/>
        <v>I3895</v>
      </c>
    </row>
    <row r="10729" spans="1:6" x14ac:dyDescent="0.2">
      <c r="A10729" s="29" t="s">
        <v>24988</v>
      </c>
      <c r="B10729" s="30" t="s">
        <v>24989</v>
      </c>
      <c r="C10729" s="29" t="s">
        <v>26</v>
      </c>
      <c r="D10729" s="31">
        <v>1658.34</v>
      </c>
      <c r="F10729" s="3" t="str">
        <f t="shared" si="167"/>
        <v>I3896</v>
      </c>
    </row>
    <row r="10730" spans="1:6" x14ac:dyDescent="0.2">
      <c r="A10730" s="29" t="s">
        <v>24990</v>
      </c>
      <c r="B10730" s="30" t="s">
        <v>24991</v>
      </c>
      <c r="C10730" s="29" t="s">
        <v>26</v>
      </c>
      <c r="D10730" s="31">
        <v>2510.0700000000002</v>
      </c>
      <c r="F10730" s="3" t="str">
        <f t="shared" si="167"/>
        <v>I3897</v>
      </c>
    </row>
    <row r="10731" spans="1:6" x14ac:dyDescent="0.2">
      <c r="A10731" s="29" t="s">
        <v>24992</v>
      </c>
      <c r="B10731" s="30" t="s">
        <v>24993</v>
      </c>
      <c r="C10731" s="29" t="s">
        <v>26</v>
      </c>
      <c r="D10731" s="31">
        <v>3471.72</v>
      </c>
      <c r="F10731" s="3" t="str">
        <f t="shared" si="167"/>
        <v>I3898</v>
      </c>
    </row>
    <row r="10732" spans="1:6" x14ac:dyDescent="0.2">
      <c r="A10732" s="29" t="s">
        <v>24994</v>
      </c>
      <c r="B10732" s="30" t="s">
        <v>24995</v>
      </c>
      <c r="C10732" s="29" t="s">
        <v>26</v>
      </c>
      <c r="D10732" s="31">
        <v>5211.0200000000004</v>
      </c>
      <c r="F10732" s="3" t="str">
        <f t="shared" si="167"/>
        <v>I3899</v>
      </c>
    </row>
    <row r="10733" spans="1:6" x14ac:dyDescent="0.2">
      <c r="A10733" s="29" t="s">
        <v>24996</v>
      </c>
      <c r="B10733" s="30" t="s">
        <v>24997</v>
      </c>
      <c r="C10733" s="29" t="s">
        <v>26</v>
      </c>
      <c r="D10733" s="31">
        <v>425.66</v>
      </c>
      <c r="F10733" s="3" t="str">
        <f t="shared" si="167"/>
        <v>I3890</v>
      </c>
    </row>
    <row r="10734" spans="1:6" x14ac:dyDescent="0.2">
      <c r="A10734" s="29" t="s">
        <v>24998</v>
      </c>
      <c r="B10734" s="30" t="s">
        <v>24999</v>
      </c>
      <c r="C10734" s="29" t="s">
        <v>26</v>
      </c>
      <c r="D10734" s="31">
        <v>5780.74</v>
      </c>
      <c r="F10734" s="3" t="str">
        <f t="shared" si="167"/>
        <v>I3900</v>
      </c>
    </row>
    <row r="10735" spans="1:6" x14ac:dyDescent="0.2">
      <c r="A10735" s="29" t="s">
        <v>25000</v>
      </c>
      <c r="B10735" s="30" t="s">
        <v>25001</v>
      </c>
      <c r="C10735" s="29" t="s">
        <v>26</v>
      </c>
      <c r="D10735" s="31">
        <v>7260.63</v>
      </c>
      <c r="F10735" s="3" t="str">
        <f t="shared" si="167"/>
        <v>I3901</v>
      </c>
    </row>
    <row r="10736" spans="1:6" x14ac:dyDescent="0.2">
      <c r="A10736" s="29" t="s">
        <v>25002</v>
      </c>
      <c r="B10736" s="30" t="s">
        <v>25003</v>
      </c>
      <c r="C10736" s="29" t="s">
        <v>26</v>
      </c>
      <c r="D10736" s="31">
        <v>448</v>
      </c>
      <c r="F10736" s="3" t="str">
        <f t="shared" si="167"/>
        <v>I3891</v>
      </c>
    </row>
    <row r="10737" spans="1:6" x14ac:dyDescent="0.2">
      <c r="A10737" s="29" t="s">
        <v>25004</v>
      </c>
      <c r="B10737" s="30" t="s">
        <v>25005</v>
      </c>
      <c r="C10737" s="29" t="s">
        <v>26</v>
      </c>
      <c r="D10737" s="31">
        <v>522.79999999999995</v>
      </c>
      <c r="F10737" s="3" t="str">
        <f t="shared" si="167"/>
        <v>I7131</v>
      </c>
    </row>
    <row r="10738" spans="1:6" x14ac:dyDescent="0.2">
      <c r="A10738" s="29" t="s">
        <v>25006</v>
      </c>
      <c r="B10738" s="30" t="s">
        <v>25007</v>
      </c>
      <c r="C10738" s="29" t="s">
        <v>26</v>
      </c>
      <c r="D10738" s="31">
        <v>56772.76</v>
      </c>
      <c r="F10738" s="3" t="str">
        <f t="shared" si="167"/>
        <v>I9838</v>
      </c>
    </row>
    <row r="10739" spans="1:6" ht="22.5" x14ac:dyDescent="0.2">
      <c r="A10739" s="29" t="s">
        <v>25008</v>
      </c>
      <c r="B10739" s="30" t="s">
        <v>25009</v>
      </c>
      <c r="C10739" s="29" t="s">
        <v>26</v>
      </c>
      <c r="D10739" s="31">
        <v>61958.18</v>
      </c>
      <c r="F10739" s="3" t="str">
        <f t="shared" si="167"/>
        <v>I9839</v>
      </c>
    </row>
    <row r="10740" spans="1:6" ht="22.5" x14ac:dyDescent="0.2">
      <c r="A10740" s="29" t="s">
        <v>25010</v>
      </c>
      <c r="B10740" s="30" t="s">
        <v>25011</v>
      </c>
      <c r="C10740" s="29" t="s">
        <v>26</v>
      </c>
      <c r="D10740" s="31">
        <v>61844.45</v>
      </c>
      <c r="F10740" s="3" t="str">
        <f t="shared" si="167"/>
        <v>I9840</v>
      </c>
    </row>
    <row r="10741" spans="1:6" ht="22.5" x14ac:dyDescent="0.2">
      <c r="A10741" s="29" t="s">
        <v>25012</v>
      </c>
      <c r="B10741" s="30" t="s">
        <v>25013</v>
      </c>
      <c r="C10741" s="29" t="s">
        <v>26</v>
      </c>
      <c r="D10741" s="31">
        <v>76514.63</v>
      </c>
      <c r="F10741" s="3" t="str">
        <f t="shared" si="167"/>
        <v>I9841</v>
      </c>
    </row>
    <row r="10742" spans="1:6" x14ac:dyDescent="0.2">
      <c r="A10742" s="29" t="s">
        <v>25014</v>
      </c>
      <c r="B10742" s="30" t="s">
        <v>25015</v>
      </c>
      <c r="C10742" s="29" t="s">
        <v>26</v>
      </c>
      <c r="D10742" s="31">
        <v>620.84</v>
      </c>
      <c r="F10742" s="3" t="str">
        <f t="shared" si="167"/>
        <v>I3875</v>
      </c>
    </row>
    <row r="10743" spans="1:6" x14ac:dyDescent="0.2">
      <c r="A10743" s="29" t="s">
        <v>25016</v>
      </c>
      <c r="B10743" s="30" t="s">
        <v>25017</v>
      </c>
      <c r="C10743" s="29" t="s">
        <v>26</v>
      </c>
      <c r="D10743" s="31">
        <v>661.16</v>
      </c>
      <c r="F10743" s="3" t="str">
        <f t="shared" si="167"/>
        <v>I10919</v>
      </c>
    </row>
    <row r="10744" spans="1:6" x14ac:dyDescent="0.2">
      <c r="A10744" s="29" t="s">
        <v>25018</v>
      </c>
      <c r="B10744" s="30" t="s">
        <v>25019</v>
      </c>
      <c r="C10744" s="29" t="s">
        <v>26</v>
      </c>
      <c r="D10744" s="31">
        <v>779.47</v>
      </c>
      <c r="F10744" s="3" t="str">
        <f t="shared" si="167"/>
        <v>I3874</v>
      </c>
    </row>
    <row r="10745" spans="1:6" x14ac:dyDescent="0.2">
      <c r="A10745" s="29" t="s">
        <v>25020</v>
      </c>
      <c r="B10745" s="30" t="s">
        <v>25021</v>
      </c>
      <c r="C10745" s="29" t="s">
        <v>26</v>
      </c>
      <c r="D10745" s="31">
        <v>779.47</v>
      </c>
      <c r="F10745" s="3" t="str">
        <f t="shared" si="167"/>
        <v>I7128</v>
      </c>
    </row>
    <row r="10746" spans="1:6" x14ac:dyDescent="0.2">
      <c r="A10746" s="29" t="s">
        <v>25022</v>
      </c>
      <c r="B10746" s="30" t="s">
        <v>25023</v>
      </c>
      <c r="C10746" s="29" t="s">
        <v>26</v>
      </c>
      <c r="D10746" s="31">
        <v>833.89</v>
      </c>
      <c r="F10746" s="3" t="str">
        <f t="shared" si="167"/>
        <v>I10918</v>
      </c>
    </row>
    <row r="10747" spans="1:6" x14ac:dyDescent="0.2">
      <c r="A10747" s="29" t="s">
        <v>25024</v>
      </c>
      <c r="B10747" s="30" t="s">
        <v>25025</v>
      </c>
      <c r="C10747" s="29" t="s">
        <v>26</v>
      </c>
      <c r="D10747" s="31">
        <v>1266.8499999999999</v>
      </c>
      <c r="F10747" s="3" t="str">
        <f t="shared" si="167"/>
        <v>I3876</v>
      </c>
    </row>
    <row r="10748" spans="1:6" x14ac:dyDescent="0.2">
      <c r="A10748" s="29" t="s">
        <v>25026</v>
      </c>
      <c r="B10748" s="30" t="s">
        <v>25027</v>
      </c>
      <c r="C10748" s="29" t="s">
        <v>26</v>
      </c>
      <c r="D10748" s="31">
        <v>1791.04</v>
      </c>
      <c r="F10748" s="3" t="str">
        <f t="shared" si="167"/>
        <v>I10922</v>
      </c>
    </row>
    <row r="10749" spans="1:6" x14ac:dyDescent="0.2">
      <c r="A10749" s="29" t="s">
        <v>25028</v>
      </c>
      <c r="B10749" s="30" t="s">
        <v>25029</v>
      </c>
      <c r="C10749" s="29" t="s">
        <v>26</v>
      </c>
      <c r="D10749" s="31">
        <v>1079.54</v>
      </c>
      <c r="F10749" s="3" t="str">
        <f t="shared" si="167"/>
        <v>I3877</v>
      </c>
    </row>
    <row r="10750" spans="1:6" x14ac:dyDescent="0.2">
      <c r="A10750" s="29" t="s">
        <v>25030</v>
      </c>
      <c r="B10750" s="30" t="s">
        <v>25031</v>
      </c>
      <c r="C10750" s="29" t="s">
        <v>26</v>
      </c>
      <c r="D10750" s="31">
        <v>1258.7</v>
      </c>
      <c r="F10750" s="3" t="str">
        <f t="shared" si="167"/>
        <v>I10923</v>
      </c>
    </row>
    <row r="10751" spans="1:6" x14ac:dyDescent="0.2">
      <c r="A10751" s="29" t="s">
        <v>25032</v>
      </c>
      <c r="B10751" s="30" t="s">
        <v>25033</v>
      </c>
      <c r="C10751" s="29" t="s">
        <v>26</v>
      </c>
      <c r="D10751" s="31">
        <v>1475.7</v>
      </c>
      <c r="F10751" s="3" t="str">
        <f t="shared" si="167"/>
        <v>I10885</v>
      </c>
    </row>
    <row r="10752" spans="1:6" x14ac:dyDescent="0.2">
      <c r="A10752" s="29" t="s">
        <v>25034</v>
      </c>
      <c r="B10752" s="30" t="s">
        <v>25035</v>
      </c>
      <c r="C10752" s="29" t="s">
        <v>26</v>
      </c>
      <c r="D10752" s="31">
        <v>1770.84</v>
      </c>
      <c r="F10752" s="3" t="str">
        <f t="shared" si="167"/>
        <v>I10920</v>
      </c>
    </row>
    <row r="10753" spans="1:6" x14ac:dyDescent="0.2">
      <c r="A10753" s="29" t="s">
        <v>25036</v>
      </c>
      <c r="B10753" s="30" t="s">
        <v>25037</v>
      </c>
      <c r="C10753" s="29" t="s">
        <v>26</v>
      </c>
      <c r="D10753" s="31">
        <v>1565.14</v>
      </c>
      <c r="F10753" s="3" t="str">
        <f t="shared" si="167"/>
        <v>I10886</v>
      </c>
    </row>
    <row r="10754" spans="1:6" x14ac:dyDescent="0.2">
      <c r="A10754" s="29" t="s">
        <v>25038</v>
      </c>
      <c r="B10754" s="30" t="s">
        <v>25039</v>
      </c>
      <c r="C10754" s="29" t="s">
        <v>26</v>
      </c>
      <c r="D10754" s="31">
        <v>1878.17</v>
      </c>
      <c r="F10754" s="3" t="str">
        <f t="shared" ref="F10754:F10817" si="168">A10754</f>
        <v>I10921</v>
      </c>
    </row>
    <row r="10755" spans="1:6" x14ac:dyDescent="0.2">
      <c r="A10755" s="29" t="s">
        <v>25040</v>
      </c>
      <c r="B10755" s="30" t="s">
        <v>25041</v>
      </c>
      <c r="C10755" s="29" t="s">
        <v>26</v>
      </c>
      <c r="D10755" s="31">
        <v>1648.44</v>
      </c>
      <c r="F10755" s="3" t="str">
        <f t="shared" si="168"/>
        <v>I3878</v>
      </c>
    </row>
    <row r="10756" spans="1:6" x14ac:dyDescent="0.2">
      <c r="A10756" s="29" t="s">
        <v>25042</v>
      </c>
      <c r="B10756" s="30" t="s">
        <v>25043</v>
      </c>
      <c r="C10756" s="29" t="s">
        <v>26</v>
      </c>
      <c r="D10756" s="31">
        <v>2221.63</v>
      </c>
      <c r="F10756" s="3" t="str">
        <f t="shared" si="168"/>
        <v>I10898</v>
      </c>
    </row>
    <row r="10757" spans="1:6" x14ac:dyDescent="0.2">
      <c r="A10757" s="29" t="s">
        <v>25044</v>
      </c>
      <c r="B10757" s="30" t="s">
        <v>25045</v>
      </c>
      <c r="C10757" s="29" t="s">
        <v>26</v>
      </c>
      <c r="D10757" s="31">
        <v>2334.2399999999998</v>
      </c>
      <c r="F10757" s="3" t="str">
        <f t="shared" si="168"/>
        <v>I10925</v>
      </c>
    </row>
    <row r="10758" spans="1:6" x14ac:dyDescent="0.2">
      <c r="A10758" s="29" t="s">
        <v>25046</v>
      </c>
      <c r="B10758" s="30" t="s">
        <v>25047</v>
      </c>
      <c r="C10758" s="29" t="s">
        <v>26</v>
      </c>
      <c r="D10758" s="31">
        <v>1832.64</v>
      </c>
      <c r="F10758" s="3" t="str">
        <f t="shared" si="168"/>
        <v>I3879</v>
      </c>
    </row>
    <row r="10759" spans="1:6" x14ac:dyDescent="0.2">
      <c r="A10759" s="29" t="s">
        <v>25048</v>
      </c>
      <c r="B10759" s="30" t="s">
        <v>25049</v>
      </c>
      <c r="C10759" s="29" t="s">
        <v>26</v>
      </c>
      <c r="D10759" s="31">
        <v>2451.2600000000002</v>
      </c>
      <c r="F10759" s="3" t="str">
        <f t="shared" si="168"/>
        <v>I10899</v>
      </c>
    </row>
    <row r="10760" spans="1:6" x14ac:dyDescent="0.2">
      <c r="A10760" s="29" t="s">
        <v>25050</v>
      </c>
      <c r="B10760" s="30" t="s">
        <v>25051</v>
      </c>
      <c r="C10760" s="29" t="s">
        <v>26</v>
      </c>
      <c r="D10760" s="31">
        <v>2578.54</v>
      </c>
      <c r="F10760" s="3" t="str">
        <f t="shared" si="168"/>
        <v>I10926</v>
      </c>
    </row>
    <row r="10761" spans="1:6" x14ac:dyDescent="0.2">
      <c r="A10761" s="29" t="s">
        <v>25052</v>
      </c>
      <c r="B10761" s="30" t="s">
        <v>25053</v>
      </c>
      <c r="C10761" s="29" t="s">
        <v>26</v>
      </c>
      <c r="D10761" s="31">
        <v>1787.95</v>
      </c>
      <c r="F10761" s="3" t="str">
        <f t="shared" si="168"/>
        <v>I3880</v>
      </c>
    </row>
    <row r="10762" spans="1:6" x14ac:dyDescent="0.2">
      <c r="A10762" s="29" t="s">
        <v>25054</v>
      </c>
      <c r="B10762" s="30" t="s">
        <v>25055</v>
      </c>
      <c r="C10762" s="29" t="s">
        <v>26</v>
      </c>
      <c r="D10762" s="31">
        <v>1751.2</v>
      </c>
      <c r="F10762" s="3" t="str">
        <f t="shared" si="168"/>
        <v>I10900</v>
      </c>
    </row>
    <row r="10763" spans="1:6" x14ac:dyDescent="0.2">
      <c r="A10763" s="29" t="s">
        <v>25056</v>
      </c>
      <c r="B10763" s="30" t="s">
        <v>25057</v>
      </c>
      <c r="C10763" s="29" t="s">
        <v>26</v>
      </c>
      <c r="D10763" s="31">
        <v>2013.19</v>
      </c>
      <c r="F10763" s="3" t="str">
        <f t="shared" si="168"/>
        <v>I10927</v>
      </c>
    </row>
    <row r="10764" spans="1:6" x14ac:dyDescent="0.2">
      <c r="A10764" s="29" t="s">
        <v>25058</v>
      </c>
      <c r="B10764" s="30" t="s">
        <v>25059</v>
      </c>
      <c r="C10764" s="29" t="s">
        <v>26</v>
      </c>
      <c r="D10764" s="31">
        <v>1648.44</v>
      </c>
      <c r="F10764" s="3" t="str">
        <f t="shared" si="168"/>
        <v>I10887</v>
      </c>
    </row>
    <row r="10765" spans="1:6" x14ac:dyDescent="0.2">
      <c r="A10765" s="29" t="s">
        <v>25060</v>
      </c>
      <c r="B10765" s="30" t="s">
        <v>25061</v>
      </c>
      <c r="C10765" s="29" t="s">
        <v>26</v>
      </c>
      <c r="D10765" s="31">
        <v>2557.89</v>
      </c>
      <c r="F10765" s="3" t="str">
        <f t="shared" si="168"/>
        <v>I10897</v>
      </c>
    </row>
    <row r="10766" spans="1:6" x14ac:dyDescent="0.2">
      <c r="A10766" s="29" t="s">
        <v>25062</v>
      </c>
      <c r="B10766" s="30" t="s">
        <v>25063</v>
      </c>
      <c r="C10766" s="29" t="s">
        <v>26</v>
      </c>
      <c r="D10766" s="31">
        <v>2334.2399999999998</v>
      </c>
      <c r="F10766" s="3" t="str">
        <f t="shared" si="168"/>
        <v>I10924</v>
      </c>
    </row>
    <row r="10767" spans="1:6" x14ac:dyDescent="0.2">
      <c r="A10767" s="29" t="s">
        <v>25064</v>
      </c>
      <c r="B10767" s="30" t="s">
        <v>25065</v>
      </c>
      <c r="C10767" s="29" t="s">
        <v>26</v>
      </c>
      <c r="D10767" s="31">
        <v>3628.15</v>
      </c>
      <c r="F10767" s="3" t="str">
        <f t="shared" si="168"/>
        <v>I3881</v>
      </c>
    </row>
    <row r="10768" spans="1:6" x14ac:dyDescent="0.2">
      <c r="A10768" s="29" t="s">
        <v>25066</v>
      </c>
      <c r="B10768" s="30" t="s">
        <v>25067</v>
      </c>
      <c r="C10768" s="29" t="s">
        <v>26</v>
      </c>
      <c r="D10768" s="31">
        <v>3237.88</v>
      </c>
      <c r="F10768" s="3" t="str">
        <f t="shared" si="168"/>
        <v>I10901</v>
      </c>
    </row>
    <row r="10769" spans="1:6" x14ac:dyDescent="0.2">
      <c r="A10769" s="29" t="s">
        <v>25068</v>
      </c>
      <c r="B10769" s="30" t="s">
        <v>25069</v>
      </c>
      <c r="C10769" s="29" t="s">
        <v>26</v>
      </c>
      <c r="D10769" s="31">
        <v>3869.19</v>
      </c>
      <c r="F10769" s="3" t="str">
        <f t="shared" si="168"/>
        <v>I10928</v>
      </c>
    </row>
    <row r="10770" spans="1:6" x14ac:dyDescent="0.2">
      <c r="A10770" s="29" t="s">
        <v>25070</v>
      </c>
      <c r="B10770" s="30" t="s">
        <v>25071</v>
      </c>
      <c r="C10770" s="29" t="s">
        <v>26</v>
      </c>
      <c r="D10770" s="31">
        <v>3372.71</v>
      </c>
      <c r="F10770" s="3" t="str">
        <f t="shared" si="168"/>
        <v>I3882</v>
      </c>
    </row>
    <row r="10771" spans="1:6" x14ac:dyDescent="0.2">
      <c r="A10771" s="29" t="s">
        <v>25072</v>
      </c>
      <c r="B10771" s="30" t="s">
        <v>25073</v>
      </c>
      <c r="C10771" s="29" t="s">
        <v>26</v>
      </c>
      <c r="D10771" s="31">
        <v>3393.27</v>
      </c>
      <c r="F10771" s="3" t="str">
        <f t="shared" si="168"/>
        <v>I10902</v>
      </c>
    </row>
    <row r="10772" spans="1:6" x14ac:dyDescent="0.2">
      <c r="A10772" s="29" t="s">
        <v>25074</v>
      </c>
      <c r="B10772" s="30" t="s">
        <v>25075</v>
      </c>
      <c r="C10772" s="29" t="s">
        <v>26</v>
      </c>
      <c r="D10772" s="31">
        <v>3600.16</v>
      </c>
      <c r="F10772" s="3" t="str">
        <f t="shared" si="168"/>
        <v>I10929</v>
      </c>
    </row>
    <row r="10773" spans="1:6" x14ac:dyDescent="0.2">
      <c r="A10773" s="29" t="s">
        <v>25076</v>
      </c>
      <c r="B10773" s="30" t="s">
        <v>25077</v>
      </c>
      <c r="C10773" s="29" t="s">
        <v>26</v>
      </c>
      <c r="D10773" s="31">
        <v>3804.24</v>
      </c>
      <c r="F10773" s="3" t="str">
        <f t="shared" si="168"/>
        <v>I3883</v>
      </c>
    </row>
    <row r="10774" spans="1:6" x14ac:dyDescent="0.2">
      <c r="A10774" s="29" t="s">
        <v>25078</v>
      </c>
      <c r="B10774" s="30" t="s">
        <v>25079</v>
      </c>
      <c r="C10774" s="29" t="s">
        <v>26</v>
      </c>
      <c r="D10774" s="31">
        <v>3844.6</v>
      </c>
      <c r="F10774" s="3" t="str">
        <f t="shared" si="168"/>
        <v>I10903</v>
      </c>
    </row>
    <row r="10775" spans="1:6" x14ac:dyDescent="0.2">
      <c r="A10775" s="29" t="s">
        <v>25080</v>
      </c>
      <c r="B10775" s="30" t="s">
        <v>25081</v>
      </c>
      <c r="C10775" s="29" t="s">
        <v>26</v>
      </c>
      <c r="D10775" s="31">
        <v>4533.99</v>
      </c>
      <c r="F10775" s="3" t="str">
        <f t="shared" si="168"/>
        <v>I10930</v>
      </c>
    </row>
    <row r="10776" spans="1:6" x14ac:dyDescent="0.2">
      <c r="A10776" s="29" t="s">
        <v>25082</v>
      </c>
      <c r="B10776" s="30" t="s">
        <v>25083</v>
      </c>
      <c r="C10776" s="29" t="s">
        <v>26</v>
      </c>
      <c r="D10776" s="31">
        <v>4951.9399999999996</v>
      </c>
      <c r="F10776" s="3" t="str">
        <f t="shared" si="168"/>
        <v>I10888</v>
      </c>
    </row>
    <row r="10777" spans="1:6" x14ac:dyDescent="0.2">
      <c r="A10777" s="29" t="s">
        <v>25084</v>
      </c>
      <c r="B10777" s="30" t="s">
        <v>25085</v>
      </c>
      <c r="C10777" s="29" t="s">
        <v>26</v>
      </c>
      <c r="D10777" s="31">
        <v>4916.6499999999996</v>
      </c>
      <c r="F10777" s="3" t="str">
        <f t="shared" si="168"/>
        <v>I10904</v>
      </c>
    </row>
    <row r="10778" spans="1:6" x14ac:dyDescent="0.2">
      <c r="A10778" s="29" t="s">
        <v>25086</v>
      </c>
      <c r="B10778" s="30" t="s">
        <v>25087</v>
      </c>
      <c r="C10778" s="29" t="s">
        <v>26</v>
      </c>
      <c r="D10778" s="31">
        <v>4618.1099999999997</v>
      </c>
      <c r="F10778" s="3" t="str">
        <f t="shared" si="168"/>
        <v>I10931</v>
      </c>
    </row>
    <row r="10779" spans="1:6" x14ac:dyDescent="0.2">
      <c r="A10779" s="29" t="s">
        <v>25088</v>
      </c>
      <c r="B10779" s="30" t="s">
        <v>25089</v>
      </c>
      <c r="C10779" s="29" t="s">
        <v>26</v>
      </c>
      <c r="D10779" s="31">
        <v>4951.9399999999996</v>
      </c>
      <c r="F10779" s="3" t="str">
        <f t="shared" si="168"/>
        <v>I3884</v>
      </c>
    </row>
    <row r="10780" spans="1:6" x14ac:dyDescent="0.2">
      <c r="A10780" s="29" t="s">
        <v>25090</v>
      </c>
      <c r="B10780" s="30" t="s">
        <v>25091</v>
      </c>
      <c r="C10780" s="29" t="s">
        <v>26</v>
      </c>
      <c r="D10780" s="31">
        <v>4916.6499999999996</v>
      </c>
      <c r="F10780" s="3" t="str">
        <f t="shared" si="168"/>
        <v>I10905</v>
      </c>
    </row>
    <row r="10781" spans="1:6" x14ac:dyDescent="0.2">
      <c r="A10781" s="29" t="s">
        <v>25092</v>
      </c>
      <c r="B10781" s="30" t="s">
        <v>25093</v>
      </c>
      <c r="C10781" s="29" t="s">
        <v>26</v>
      </c>
      <c r="D10781" s="31">
        <v>4991.8100000000004</v>
      </c>
      <c r="F10781" s="3" t="str">
        <f t="shared" si="168"/>
        <v>I10932</v>
      </c>
    </row>
    <row r="10782" spans="1:6" x14ac:dyDescent="0.2">
      <c r="A10782" s="29" t="s">
        <v>25094</v>
      </c>
      <c r="B10782" s="30" t="s">
        <v>25095</v>
      </c>
      <c r="C10782" s="29" t="s">
        <v>26</v>
      </c>
      <c r="D10782" s="31">
        <v>5589.54</v>
      </c>
      <c r="F10782" s="3" t="str">
        <f t="shared" si="168"/>
        <v>I3885</v>
      </c>
    </row>
    <row r="10783" spans="1:6" x14ac:dyDescent="0.2">
      <c r="A10783" s="29" t="s">
        <v>25096</v>
      </c>
      <c r="B10783" s="30" t="s">
        <v>25097</v>
      </c>
      <c r="C10783" s="29" t="s">
        <v>26</v>
      </c>
      <c r="D10783" s="31">
        <v>5572.96</v>
      </c>
      <c r="F10783" s="3" t="str">
        <f t="shared" si="168"/>
        <v>I10906</v>
      </c>
    </row>
    <row r="10784" spans="1:6" x14ac:dyDescent="0.2">
      <c r="A10784" s="29" t="s">
        <v>25098</v>
      </c>
      <c r="B10784" s="30" t="s">
        <v>25099</v>
      </c>
      <c r="C10784" s="29" t="s">
        <v>26</v>
      </c>
      <c r="D10784" s="31">
        <v>6125.79</v>
      </c>
      <c r="F10784" s="3" t="str">
        <f t="shared" si="168"/>
        <v>I10933</v>
      </c>
    </row>
    <row r="10785" spans="1:6" x14ac:dyDescent="0.2">
      <c r="A10785" s="29" t="s">
        <v>25100</v>
      </c>
      <c r="B10785" s="30" t="s">
        <v>25101</v>
      </c>
      <c r="C10785" s="29" t="s">
        <v>26</v>
      </c>
      <c r="D10785" s="31">
        <v>5271.31</v>
      </c>
      <c r="F10785" s="3" t="str">
        <f t="shared" si="168"/>
        <v>I3886</v>
      </c>
    </row>
    <row r="10786" spans="1:6" x14ac:dyDescent="0.2">
      <c r="A10786" s="29" t="s">
        <v>25102</v>
      </c>
      <c r="B10786" s="30" t="s">
        <v>25103</v>
      </c>
      <c r="C10786" s="29" t="s">
        <v>26</v>
      </c>
      <c r="D10786" s="31">
        <v>5233.37</v>
      </c>
      <c r="F10786" s="3" t="str">
        <f t="shared" si="168"/>
        <v>I10907</v>
      </c>
    </row>
    <row r="10787" spans="1:6" x14ac:dyDescent="0.2">
      <c r="A10787" s="29" t="s">
        <v>25104</v>
      </c>
      <c r="B10787" s="30" t="s">
        <v>25105</v>
      </c>
      <c r="C10787" s="29" t="s">
        <v>26</v>
      </c>
      <c r="D10787" s="31">
        <v>5081.91</v>
      </c>
      <c r="F10787" s="3" t="str">
        <f t="shared" si="168"/>
        <v>I10934</v>
      </c>
    </row>
    <row r="10788" spans="1:6" x14ac:dyDescent="0.2">
      <c r="A10788" s="29" t="s">
        <v>25106</v>
      </c>
      <c r="B10788" s="30" t="s">
        <v>25107</v>
      </c>
      <c r="C10788" s="29" t="s">
        <v>26</v>
      </c>
      <c r="D10788" s="31">
        <v>8938.84</v>
      </c>
      <c r="F10788" s="3" t="str">
        <f t="shared" si="168"/>
        <v>I10889</v>
      </c>
    </row>
    <row r="10789" spans="1:6" x14ac:dyDescent="0.2">
      <c r="A10789" s="29" t="s">
        <v>25108</v>
      </c>
      <c r="B10789" s="30" t="s">
        <v>25109</v>
      </c>
      <c r="C10789" s="29" t="s">
        <v>26</v>
      </c>
      <c r="D10789" s="31">
        <v>9832.73</v>
      </c>
      <c r="F10789" s="3" t="str">
        <f t="shared" si="168"/>
        <v>I10908</v>
      </c>
    </row>
    <row r="10790" spans="1:6" x14ac:dyDescent="0.2">
      <c r="A10790" s="29" t="s">
        <v>25110</v>
      </c>
      <c r="B10790" s="30" t="s">
        <v>25111</v>
      </c>
      <c r="C10790" s="29" t="s">
        <v>26</v>
      </c>
      <c r="D10790" s="31">
        <v>10726.61</v>
      </c>
      <c r="F10790" s="3" t="str">
        <f t="shared" si="168"/>
        <v>I10935</v>
      </c>
    </row>
    <row r="10791" spans="1:6" x14ac:dyDescent="0.2">
      <c r="A10791" s="29" t="s">
        <v>25112</v>
      </c>
      <c r="B10791" s="30" t="s">
        <v>25113</v>
      </c>
      <c r="C10791" s="29" t="s">
        <v>26</v>
      </c>
      <c r="D10791" s="31">
        <v>10030.209999999999</v>
      </c>
      <c r="F10791" s="3" t="str">
        <f t="shared" si="168"/>
        <v>I10890</v>
      </c>
    </row>
    <row r="10792" spans="1:6" x14ac:dyDescent="0.2">
      <c r="A10792" s="29" t="s">
        <v>25114</v>
      </c>
      <c r="B10792" s="30" t="s">
        <v>25115</v>
      </c>
      <c r="C10792" s="29" t="s">
        <v>26</v>
      </c>
      <c r="D10792" s="31">
        <v>11033.23</v>
      </c>
      <c r="F10792" s="3" t="str">
        <f t="shared" si="168"/>
        <v>I10909</v>
      </c>
    </row>
    <row r="10793" spans="1:6" x14ac:dyDescent="0.2">
      <c r="A10793" s="29" t="s">
        <v>25116</v>
      </c>
      <c r="B10793" s="30" t="s">
        <v>25117</v>
      </c>
      <c r="C10793" s="29" t="s">
        <v>26</v>
      </c>
      <c r="D10793" s="31">
        <v>12036.25</v>
      </c>
      <c r="F10793" s="3" t="str">
        <f t="shared" si="168"/>
        <v>I10936</v>
      </c>
    </row>
    <row r="10794" spans="1:6" x14ac:dyDescent="0.2">
      <c r="A10794" s="29" t="s">
        <v>25118</v>
      </c>
      <c r="B10794" s="30" t="s">
        <v>25119</v>
      </c>
      <c r="C10794" s="29" t="s">
        <v>26</v>
      </c>
      <c r="D10794" s="31">
        <v>22398.49</v>
      </c>
      <c r="F10794" s="3" t="str">
        <f t="shared" si="168"/>
        <v>I3887</v>
      </c>
    </row>
    <row r="10795" spans="1:6" x14ac:dyDescent="0.2">
      <c r="A10795" s="29" t="s">
        <v>25120</v>
      </c>
      <c r="B10795" s="30" t="s">
        <v>25121</v>
      </c>
      <c r="C10795" s="29" t="s">
        <v>26</v>
      </c>
      <c r="D10795" s="31">
        <v>23084.67</v>
      </c>
      <c r="F10795" s="3" t="str">
        <f t="shared" si="168"/>
        <v>I10910</v>
      </c>
    </row>
    <row r="10796" spans="1:6" x14ac:dyDescent="0.2">
      <c r="A10796" s="29" t="s">
        <v>25122</v>
      </c>
      <c r="B10796" s="30" t="s">
        <v>25123</v>
      </c>
      <c r="C10796" s="29" t="s">
        <v>26</v>
      </c>
      <c r="D10796" s="31">
        <v>24438.23</v>
      </c>
      <c r="F10796" s="3" t="str">
        <f t="shared" si="168"/>
        <v>I10937</v>
      </c>
    </row>
    <row r="10797" spans="1:6" x14ac:dyDescent="0.2">
      <c r="A10797" s="29" t="s">
        <v>25124</v>
      </c>
      <c r="B10797" s="30" t="s">
        <v>25125</v>
      </c>
      <c r="C10797" s="29" t="s">
        <v>26</v>
      </c>
      <c r="D10797" s="31">
        <v>21866.97</v>
      </c>
      <c r="F10797" s="3" t="str">
        <f t="shared" si="168"/>
        <v>I3888</v>
      </c>
    </row>
    <row r="10798" spans="1:6" x14ac:dyDescent="0.2">
      <c r="A10798" s="29" t="s">
        <v>25126</v>
      </c>
      <c r="B10798" s="30" t="s">
        <v>25127</v>
      </c>
      <c r="C10798" s="29" t="s">
        <v>26</v>
      </c>
      <c r="D10798" s="31">
        <v>21335.45</v>
      </c>
      <c r="F10798" s="3" t="str">
        <f t="shared" si="168"/>
        <v>I3889</v>
      </c>
    </row>
    <row r="10799" spans="1:6" x14ac:dyDescent="0.2">
      <c r="A10799" s="29" t="s">
        <v>25128</v>
      </c>
      <c r="B10799" s="30" t="s">
        <v>25129</v>
      </c>
      <c r="C10799" s="29" t="s">
        <v>26</v>
      </c>
      <c r="D10799" s="31">
        <v>24090.799999999999</v>
      </c>
      <c r="F10799" s="3" t="str">
        <f t="shared" si="168"/>
        <v>I10911</v>
      </c>
    </row>
    <row r="10800" spans="1:6" x14ac:dyDescent="0.2">
      <c r="A10800" s="29" t="s">
        <v>25130</v>
      </c>
      <c r="B10800" s="30" t="s">
        <v>25131</v>
      </c>
      <c r="C10800" s="29" t="s">
        <v>26</v>
      </c>
      <c r="D10800" s="31">
        <v>25206.39</v>
      </c>
      <c r="F10800" s="3" t="str">
        <f t="shared" si="168"/>
        <v>I10938</v>
      </c>
    </row>
    <row r="10801" spans="1:6" x14ac:dyDescent="0.2">
      <c r="A10801" s="29" t="s">
        <v>25132</v>
      </c>
      <c r="B10801" s="30" t="s">
        <v>25133</v>
      </c>
      <c r="C10801" s="29" t="s">
        <v>26</v>
      </c>
      <c r="D10801" s="31">
        <v>13488.04</v>
      </c>
      <c r="F10801" s="3" t="str">
        <f t="shared" si="168"/>
        <v>I10891</v>
      </c>
    </row>
    <row r="10802" spans="1:6" x14ac:dyDescent="0.2">
      <c r="A10802" s="29" t="s">
        <v>25134</v>
      </c>
      <c r="B10802" s="30" t="s">
        <v>25135</v>
      </c>
      <c r="C10802" s="29" t="s">
        <v>26</v>
      </c>
      <c r="D10802" s="31">
        <v>15010.87</v>
      </c>
      <c r="F10802" s="3" t="str">
        <f t="shared" si="168"/>
        <v>I10912</v>
      </c>
    </row>
    <row r="10803" spans="1:6" x14ac:dyDescent="0.2">
      <c r="A10803" s="29" t="s">
        <v>25136</v>
      </c>
      <c r="B10803" s="30" t="s">
        <v>25137</v>
      </c>
      <c r="C10803" s="29" t="s">
        <v>26</v>
      </c>
      <c r="D10803" s="31">
        <v>16185.64</v>
      </c>
      <c r="F10803" s="3" t="str">
        <f t="shared" si="168"/>
        <v>I10939</v>
      </c>
    </row>
    <row r="10804" spans="1:6" x14ac:dyDescent="0.2">
      <c r="A10804" s="29" t="s">
        <v>25138</v>
      </c>
      <c r="B10804" s="30" t="s">
        <v>25139</v>
      </c>
      <c r="C10804" s="29" t="s">
        <v>26</v>
      </c>
      <c r="D10804" s="31">
        <v>15225.35</v>
      </c>
      <c r="F10804" s="3" t="str">
        <f t="shared" si="168"/>
        <v>I10892</v>
      </c>
    </row>
    <row r="10805" spans="1:6" x14ac:dyDescent="0.2">
      <c r="A10805" s="29" t="s">
        <v>25140</v>
      </c>
      <c r="B10805" s="30" t="s">
        <v>25141</v>
      </c>
      <c r="C10805" s="29" t="s">
        <v>26</v>
      </c>
      <c r="D10805" s="31">
        <v>16747.89</v>
      </c>
      <c r="F10805" s="3" t="str">
        <f t="shared" si="168"/>
        <v>I10913</v>
      </c>
    </row>
    <row r="10806" spans="1:6" x14ac:dyDescent="0.2">
      <c r="A10806" s="29" t="s">
        <v>25142</v>
      </c>
      <c r="B10806" s="30" t="s">
        <v>25143</v>
      </c>
      <c r="C10806" s="29" t="s">
        <v>26</v>
      </c>
      <c r="D10806" s="31">
        <v>18270.419999999998</v>
      </c>
      <c r="F10806" s="3" t="str">
        <f t="shared" si="168"/>
        <v>I10940</v>
      </c>
    </row>
    <row r="10807" spans="1:6" x14ac:dyDescent="0.2">
      <c r="A10807" s="29" t="s">
        <v>25144</v>
      </c>
      <c r="B10807" s="30" t="s">
        <v>25145</v>
      </c>
      <c r="C10807" s="29" t="s">
        <v>26</v>
      </c>
      <c r="D10807" s="31">
        <v>25271.93</v>
      </c>
      <c r="F10807" s="3" t="str">
        <f t="shared" si="168"/>
        <v>I10893</v>
      </c>
    </row>
    <row r="10808" spans="1:6" x14ac:dyDescent="0.2">
      <c r="A10808" s="29" t="s">
        <v>25146</v>
      </c>
      <c r="B10808" s="30" t="s">
        <v>25147</v>
      </c>
      <c r="C10808" s="29" t="s">
        <v>26</v>
      </c>
      <c r="D10808" s="31">
        <v>27799.13</v>
      </c>
      <c r="F10808" s="3" t="str">
        <f t="shared" si="168"/>
        <v>I10914</v>
      </c>
    </row>
    <row r="10809" spans="1:6" x14ac:dyDescent="0.2">
      <c r="A10809" s="29" t="s">
        <v>25148</v>
      </c>
      <c r="B10809" s="30" t="s">
        <v>25149</v>
      </c>
      <c r="C10809" s="29" t="s">
        <v>26</v>
      </c>
      <c r="D10809" s="31">
        <v>30326.31</v>
      </c>
      <c r="F10809" s="3" t="str">
        <f t="shared" si="168"/>
        <v>I10941</v>
      </c>
    </row>
    <row r="10810" spans="1:6" x14ac:dyDescent="0.2">
      <c r="A10810" s="29" t="s">
        <v>25150</v>
      </c>
      <c r="B10810" s="30" t="s">
        <v>25151</v>
      </c>
      <c r="C10810" s="29" t="s">
        <v>26</v>
      </c>
      <c r="D10810" s="31">
        <v>41878.17</v>
      </c>
      <c r="F10810" s="3" t="str">
        <f t="shared" si="168"/>
        <v>I10894</v>
      </c>
    </row>
    <row r="10811" spans="1:6" x14ac:dyDescent="0.2">
      <c r="A10811" s="29" t="s">
        <v>25152</v>
      </c>
      <c r="B10811" s="30" t="s">
        <v>25153</v>
      </c>
      <c r="C10811" s="29" t="s">
        <v>26</v>
      </c>
      <c r="D10811" s="31">
        <v>46065.98</v>
      </c>
      <c r="F10811" s="3" t="str">
        <f t="shared" si="168"/>
        <v>I10915</v>
      </c>
    </row>
    <row r="10812" spans="1:6" x14ac:dyDescent="0.2">
      <c r="A10812" s="29" t="s">
        <v>25154</v>
      </c>
      <c r="B10812" s="30" t="s">
        <v>25155</v>
      </c>
      <c r="C10812" s="29" t="s">
        <v>26</v>
      </c>
      <c r="D10812" s="31">
        <v>50253.8</v>
      </c>
      <c r="F10812" s="3" t="str">
        <f t="shared" si="168"/>
        <v>I10942</v>
      </c>
    </row>
    <row r="10813" spans="1:6" x14ac:dyDescent="0.2">
      <c r="A10813" s="29" t="s">
        <v>25156</v>
      </c>
      <c r="B10813" s="30" t="s">
        <v>25157</v>
      </c>
      <c r="C10813" s="29" t="s">
        <v>26</v>
      </c>
      <c r="D10813" s="31">
        <v>564.66999999999996</v>
      </c>
      <c r="F10813" s="3" t="str">
        <f t="shared" si="168"/>
        <v>I3873</v>
      </c>
    </row>
    <row r="10814" spans="1:6" x14ac:dyDescent="0.2">
      <c r="A10814" s="29" t="s">
        <v>25158</v>
      </c>
      <c r="B10814" s="30" t="s">
        <v>25159</v>
      </c>
      <c r="C10814" s="29" t="s">
        <v>26</v>
      </c>
      <c r="D10814" s="31">
        <v>564.66999999999996</v>
      </c>
      <c r="F10814" s="3" t="str">
        <f t="shared" si="168"/>
        <v>I7130</v>
      </c>
    </row>
    <row r="10815" spans="1:6" x14ac:dyDescent="0.2">
      <c r="A10815" s="29" t="s">
        <v>25160</v>
      </c>
      <c r="B10815" s="30" t="s">
        <v>25161</v>
      </c>
      <c r="C10815" s="29" t="s">
        <v>26</v>
      </c>
      <c r="D10815" s="31">
        <v>45636.93</v>
      </c>
      <c r="F10815" s="3" t="str">
        <f t="shared" si="168"/>
        <v>I10895</v>
      </c>
    </row>
    <row r="10816" spans="1:6" x14ac:dyDescent="0.2">
      <c r="A10816" s="29" t="s">
        <v>25162</v>
      </c>
      <c r="B10816" s="30" t="s">
        <v>25163</v>
      </c>
      <c r="C10816" s="29" t="s">
        <v>26</v>
      </c>
      <c r="D10816" s="31">
        <v>50200.62</v>
      </c>
      <c r="F10816" s="3" t="str">
        <f t="shared" si="168"/>
        <v>I10916</v>
      </c>
    </row>
    <row r="10817" spans="1:6" x14ac:dyDescent="0.2">
      <c r="A10817" s="29" t="s">
        <v>25164</v>
      </c>
      <c r="B10817" s="30" t="s">
        <v>25165</v>
      </c>
      <c r="C10817" s="29" t="s">
        <v>26</v>
      </c>
      <c r="D10817" s="31">
        <v>54764.31</v>
      </c>
      <c r="F10817" s="3" t="str">
        <f t="shared" si="168"/>
        <v>I10943</v>
      </c>
    </row>
    <row r="10818" spans="1:6" x14ac:dyDescent="0.2">
      <c r="A10818" s="29" t="s">
        <v>25166</v>
      </c>
      <c r="B10818" s="30" t="s">
        <v>25167</v>
      </c>
      <c r="C10818" s="29" t="s">
        <v>26</v>
      </c>
      <c r="D10818" s="31">
        <v>59898.46</v>
      </c>
      <c r="F10818" s="3" t="str">
        <f t="shared" ref="F10818:F10881" si="169">A10818</f>
        <v>I10896</v>
      </c>
    </row>
    <row r="10819" spans="1:6" x14ac:dyDescent="0.2">
      <c r="A10819" s="29" t="s">
        <v>25168</v>
      </c>
      <c r="B10819" s="30" t="s">
        <v>25169</v>
      </c>
      <c r="C10819" s="29" t="s">
        <v>26</v>
      </c>
      <c r="D10819" s="31">
        <v>65888.31</v>
      </c>
      <c r="F10819" s="3" t="str">
        <f t="shared" si="169"/>
        <v>I10917</v>
      </c>
    </row>
    <row r="10820" spans="1:6" x14ac:dyDescent="0.2">
      <c r="A10820" s="29" t="s">
        <v>25170</v>
      </c>
      <c r="B10820" s="30" t="s">
        <v>25171</v>
      </c>
      <c r="C10820" s="29" t="s">
        <v>26</v>
      </c>
      <c r="D10820" s="31">
        <v>71878.149999999994</v>
      </c>
      <c r="F10820" s="3" t="str">
        <f t="shared" si="169"/>
        <v>I10944</v>
      </c>
    </row>
    <row r="10821" spans="1:6" x14ac:dyDescent="0.2">
      <c r="A10821" s="29" t="s">
        <v>25172</v>
      </c>
      <c r="B10821" s="30" t="s">
        <v>25173</v>
      </c>
      <c r="C10821" s="29" t="s">
        <v>26</v>
      </c>
      <c r="D10821" s="31">
        <v>586.13</v>
      </c>
      <c r="F10821" s="3" t="str">
        <f t="shared" si="169"/>
        <v>I2995</v>
      </c>
    </row>
    <row r="10822" spans="1:6" x14ac:dyDescent="0.2">
      <c r="A10822" s="29" t="s">
        <v>25174</v>
      </c>
      <c r="B10822" s="30" t="s">
        <v>25175</v>
      </c>
      <c r="C10822" s="29" t="s">
        <v>26</v>
      </c>
      <c r="D10822" s="31">
        <v>1268.25</v>
      </c>
      <c r="F10822" s="3" t="str">
        <f t="shared" si="169"/>
        <v>I2996</v>
      </c>
    </row>
    <row r="10823" spans="1:6" x14ac:dyDescent="0.2">
      <c r="A10823" s="29" t="s">
        <v>25176</v>
      </c>
      <c r="B10823" s="30" t="s">
        <v>25177</v>
      </c>
      <c r="C10823" s="29" t="s">
        <v>26</v>
      </c>
      <c r="D10823" s="31">
        <v>930.24</v>
      </c>
      <c r="F10823" s="3" t="str">
        <f t="shared" si="169"/>
        <v>I2997</v>
      </c>
    </row>
    <row r="10824" spans="1:6" x14ac:dyDescent="0.2">
      <c r="A10824" s="29" t="s">
        <v>25178</v>
      </c>
      <c r="B10824" s="30" t="s">
        <v>25179</v>
      </c>
      <c r="C10824" s="29" t="s">
        <v>26</v>
      </c>
      <c r="D10824" s="31">
        <v>930.24</v>
      </c>
      <c r="F10824" s="3" t="str">
        <f t="shared" si="169"/>
        <v>I2998</v>
      </c>
    </row>
    <row r="10825" spans="1:6" x14ac:dyDescent="0.2">
      <c r="A10825" s="29" t="s">
        <v>25180</v>
      </c>
      <c r="B10825" s="30" t="s">
        <v>25181</v>
      </c>
      <c r="C10825" s="29" t="s">
        <v>26</v>
      </c>
      <c r="D10825" s="31">
        <v>4527.99</v>
      </c>
      <c r="F10825" s="3" t="str">
        <f t="shared" si="169"/>
        <v>I2999</v>
      </c>
    </row>
    <row r="10826" spans="1:6" x14ac:dyDescent="0.2">
      <c r="A10826" s="29" t="s">
        <v>25182</v>
      </c>
      <c r="B10826" s="30" t="s">
        <v>25183</v>
      </c>
      <c r="C10826" s="29" t="s">
        <v>26</v>
      </c>
      <c r="D10826" s="31">
        <v>4527.99</v>
      </c>
      <c r="F10826" s="3" t="str">
        <f t="shared" si="169"/>
        <v>I3000</v>
      </c>
    </row>
    <row r="10827" spans="1:6" x14ac:dyDescent="0.2">
      <c r="A10827" s="29" t="s">
        <v>25184</v>
      </c>
      <c r="B10827" s="30" t="s">
        <v>25185</v>
      </c>
      <c r="C10827" s="29" t="s">
        <v>26</v>
      </c>
      <c r="D10827" s="31">
        <v>5117.66</v>
      </c>
      <c r="F10827" s="3" t="str">
        <f t="shared" si="169"/>
        <v>I3001</v>
      </c>
    </row>
    <row r="10828" spans="1:6" x14ac:dyDescent="0.2">
      <c r="A10828" s="29" t="s">
        <v>25186</v>
      </c>
      <c r="B10828" s="30" t="s">
        <v>25187</v>
      </c>
      <c r="C10828" s="29" t="s">
        <v>26</v>
      </c>
      <c r="D10828" s="31">
        <v>39.119999999999997</v>
      </c>
      <c r="F10828" s="3" t="str">
        <f t="shared" si="169"/>
        <v>I3122</v>
      </c>
    </row>
    <row r="10829" spans="1:6" x14ac:dyDescent="0.2">
      <c r="A10829" s="29" t="s">
        <v>25188</v>
      </c>
      <c r="B10829" s="30" t="s">
        <v>25189</v>
      </c>
      <c r="C10829" s="29" t="s">
        <v>26</v>
      </c>
      <c r="D10829" s="31">
        <v>586.13</v>
      </c>
      <c r="F10829" s="3" t="str">
        <f t="shared" si="169"/>
        <v>I6885</v>
      </c>
    </row>
    <row r="10830" spans="1:6" x14ac:dyDescent="0.2">
      <c r="A10830" s="29" t="s">
        <v>25190</v>
      </c>
      <c r="B10830" s="30" t="s">
        <v>25191</v>
      </c>
      <c r="C10830" s="29" t="s">
        <v>26</v>
      </c>
      <c r="D10830" s="31">
        <v>1268.25</v>
      </c>
      <c r="F10830" s="3" t="str">
        <f t="shared" si="169"/>
        <v>I6886</v>
      </c>
    </row>
    <row r="10831" spans="1:6" x14ac:dyDescent="0.2">
      <c r="A10831" s="29" t="s">
        <v>25192</v>
      </c>
      <c r="B10831" s="30" t="s">
        <v>25193</v>
      </c>
      <c r="C10831" s="29" t="s">
        <v>26</v>
      </c>
      <c r="D10831" s="31">
        <v>930.24</v>
      </c>
      <c r="F10831" s="3" t="str">
        <f t="shared" si="169"/>
        <v>I6887</v>
      </c>
    </row>
    <row r="10832" spans="1:6" x14ac:dyDescent="0.2">
      <c r="A10832" s="29" t="s">
        <v>25194</v>
      </c>
      <c r="B10832" s="30" t="s">
        <v>25195</v>
      </c>
      <c r="C10832" s="29" t="s">
        <v>26</v>
      </c>
      <c r="D10832" s="31">
        <v>930.24</v>
      </c>
      <c r="F10832" s="3" t="str">
        <f t="shared" si="169"/>
        <v>I6888</v>
      </c>
    </row>
    <row r="10833" spans="1:6" x14ac:dyDescent="0.2">
      <c r="A10833" s="29" t="s">
        <v>25196</v>
      </c>
      <c r="B10833" s="30" t="s">
        <v>25197</v>
      </c>
      <c r="C10833" s="29" t="s">
        <v>26</v>
      </c>
      <c r="D10833" s="31">
        <v>4527.99</v>
      </c>
      <c r="F10833" s="3" t="str">
        <f t="shared" si="169"/>
        <v>I6889</v>
      </c>
    </row>
    <row r="10834" spans="1:6" x14ac:dyDescent="0.2">
      <c r="A10834" s="29" t="s">
        <v>25198</v>
      </c>
      <c r="B10834" s="30" t="s">
        <v>25199</v>
      </c>
      <c r="C10834" s="29" t="s">
        <v>26</v>
      </c>
      <c r="D10834" s="31">
        <v>4527.99</v>
      </c>
      <c r="F10834" s="3" t="str">
        <f t="shared" si="169"/>
        <v>I6890</v>
      </c>
    </row>
    <row r="10835" spans="1:6" x14ac:dyDescent="0.2">
      <c r="A10835" s="29" t="s">
        <v>25200</v>
      </c>
      <c r="B10835" s="30" t="s">
        <v>25201</v>
      </c>
      <c r="C10835" s="29" t="s">
        <v>26</v>
      </c>
      <c r="D10835" s="31">
        <v>5117.66</v>
      </c>
      <c r="F10835" s="3" t="str">
        <f t="shared" si="169"/>
        <v>I6891</v>
      </c>
    </row>
    <row r="10836" spans="1:6" ht="22.5" x14ac:dyDescent="0.2">
      <c r="A10836" s="29" t="s">
        <v>25202</v>
      </c>
      <c r="B10836" s="30" t="s">
        <v>25203</v>
      </c>
      <c r="C10836" s="29" t="s">
        <v>26</v>
      </c>
      <c r="D10836" s="31">
        <v>16841</v>
      </c>
      <c r="F10836" s="3" t="str">
        <f t="shared" si="169"/>
        <v>I8915</v>
      </c>
    </row>
    <row r="10837" spans="1:6" ht="22.5" x14ac:dyDescent="0.2">
      <c r="A10837" s="29" t="s">
        <v>25204</v>
      </c>
      <c r="B10837" s="30" t="s">
        <v>25205</v>
      </c>
      <c r="C10837" s="29" t="s">
        <v>26</v>
      </c>
      <c r="D10837" s="31">
        <v>11464.13</v>
      </c>
      <c r="F10837" s="3" t="str">
        <f t="shared" si="169"/>
        <v>I9842</v>
      </c>
    </row>
    <row r="10838" spans="1:6" ht="22.5" x14ac:dyDescent="0.2">
      <c r="A10838" s="29" t="s">
        <v>25206</v>
      </c>
      <c r="B10838" s="30" t="s">
        <v>25207</v>
      </c>
      <c r="C10838" s="29" t="s">
        <v>26</v>
      </c>
      <c r="D10838" s="31">
        <v>33131.449999999997</v>
      </c>
      <c r="F10838" s="3" t="str">
        <f t="shared" si="169"/>
        <v>I9843</v>
      </c>
    </row>
    <row r="10839" spans="1:6" x14ac:dyDescent="0.2">
      <c r="A10839" s="29" t="s">
        <v>25208</v>
      </c>
      <c r="B10839" s="30" t="s">
        <v>25209</v>
      </c>
      <c r="C10839" s="29" t="s">
        <v>26</v>
      </c>
      <c r="D10839" s="31">
        <v>41.22</v>
      </c>
      <c r="F10839" s="3" t="str">
        <f t="shared" si="169"/>
        <v>I8383</v>
      </c>
    </row>
    <row r="10840" spans="1:6" x14ac:dyDescent="0.2">
      <c r="A10840" s="29" t="s">
        <v>25210</v>
      </c>
      <c r="B10840" s="30" t="s">
        <v>25211</v>
      </c>
      <c r="C10840" s="29" t="s">
        <v>26</v>
      </c>
      <c r="D10840" s="31">
        <v>53.17</v>
      </c>
      <c r="F10840" s="3" t="str">
        <f t="shared" si="169"/>
        <v>I8384</v>
      </c>
    </row>
    <row r="10841" spans="1:6" x14ac:dyDescent="0.2">
      <c r="A10841" s="29" t="s">
        <v>25212</v>
      </c>
      <c r="B10841" s="30" t="s">
        <v>25213</v>
      </c>
      <c r="C10841" s="29" t="s">
        <v>26</v>
      </c>
      <c r="D10841" s="31">
        <v>63.5</v>
      </c>
      <c r="F10841" s="3" t="str">
        <f t="shared" si="169"/>
        <v>I8385</v>
      </c>
    </row>
    <row r="10842" spans="1:6" x14ac:dyDescent="0.2">
      <c r="A10842" s="29" t="s">
        <v>25214</v>
      </c>
      <c r="B10842" s="30" t="s">
        <v>25215</v>
      </c>
      <c r="C10842" s="29" t="s">
        <v>26</v>
      </c>
      <c r="D10842" s="31">
        <v>17.02</v>
      </c>
      <c r="F10842" s="3" t="str">
        <f t="shared" si="169"/>
        <v>I2938</v>
      </c>
    </row>
    <row r="10843" spans="1:6" x14ac:dyDescent="0.2">
      <c r="A10843" s="29" t="s">
        <v>25216</v>
      </c>
      <c r="B10843" s="30" t="s">
        <v>25217</v>
      </c>
      <c r="C10843" s="29" t="s">
        <v>26</v>
      </c>
      <c r="D10843" s="31">
        <v>22.86</v>
      </c>
      <c r="F10843" s="3" t="str">
        <f t="shared" si="169"/>
        <v>I2939</v>
      </c>
    </row>
    <row r="10844" spans="1:6" x14ac:dyDescent="0.2">
      <c r="A10844" s="29" t="s">
        <v>25218</v>
      </c>
      <c r="B10844" s="30" t="s">
        <v>25219</v>
      </c>
      <c r="C10844" s="29" t="s">
        <v>26</v>
      </c>
      <c r="D10844" s="31">
        <v>33.93</v>
      </c>
      <c r="F10844" s="3" t="str">
        <f t="shared" si="169"/>
        <v>I2940</v>
      </c>
    </row>
    <row r="10845" spans="1:6" x14ac:dyDescent="0.2">
      <c r="A10845" s="29" t="s">
        <v>25220</v>
      </c>
      <c r="B10845" s="30" t="s">
        <v>25221</v>
      </c>
      <c r="C10845" s="29" t="s">
        <v>26</v>
      </c>
      <c r="D10845" s="31">
        <v>28314.560000000001</v>
      </c>
      <c r="F10845" s="3" t="str">
        <f t="shared" si="169"/>
        <v>I7995</v>
      </c>
    </row>
    <row r="10846" spans="1:6" x14ac:dyDescent="0.2">
      <c r="A10846" s="29" t="s">
        <v>25222</v>
      </c>
      <c r="B10846" s="30" t="s">
        <v>25223</v>
      </c>
      <c r="C10846" s="29" t="s">
        <v>26</v>
      </c>
      <c r="D10846" s="31">
        <v>33196.379999999997</v>
      </c>
      <c r="F10846" s="3" t="str">
        <f t="shared" si="169"/>
        <v>I7997</v>
      </c>
    </row>
    <row r="10847" spans="1:6" x14ac:dyDescent="0.2">
      <c r="A10847" s="29" t="s">
        <v>25224</v>
      </c>
      <c r="B10847" s="30" t="s">
        <v>25225</v>
      </c>
      <c r="C10847" s="29" t="s">
        <v>26</v>
      </c>
      <c r="D10847" s="31">
        <v>36776.379999999997</v>
      </c>
      <c r="F10847" s="3" t="str">
        <f t="shared" si="169"/>
        <v>I7998</v>
      </c>
    </row>
    <row r="10848" spans="1:6" x14ac:dyDescent="0.2">
      <c r="A10848" s="29" t="s">
        <v>25226</v>
      </c>
      <c r="B10848" s="30" t="s">
        <v>25227</v>
      </c>
      <c r="C10848" s="29" t="s">
        <v>26</v>
      </c>
      <c r="D10848" s="31">
        <v>17574.55</v>
      </c>
      <c r="F10848" s="3" t="str">
        <f t="shared" si="169"/>
        <v>I7993</v>
      </c>
    </row>
    <row r="10849" spans="1:6" x14ac:dyDescent="0.2">
      <c r="A10849" s="29" t="s">
        <v>25228</v>
      </c>
      <c r="B10849" s="30" t="s">
        <v>25229</v>
      </c>
      <c r="C10849" s="29" t="s">
        <v>26</v>
      </c>
      <c r="D10849" s="31">
        <v>48167.29</v>
      </c>
      <c r="F10849" s="3" t="str">
        <f t="shared" si="169"/>
        <v>I7999</v>
      </c>
    </row>
    <row r="10850" spans="1:6" x14ac:dyDescent="0.2">
      <c r="A10850" s="29" t="s">
        <v>25230</v>
      </c>
      <c r="B10850" s="30" t="s">
        <v>25231</v>
      </c>
      <c r="C10850" s="29" t="s">
        <v>26</v>
      </c>
      <c r="D10850" s="31">
        <v>17574.55</v>
      </c>
      <c r="F10850" s="3" t="str">
        <f t="shared" si="169"/>
        <v>I7994</v>
      </c>
    </row>
    <row r="10851" spans="1:6" x14ac:dyDescent="0.2">
      <c r="A10851" s="29" t="s">
        <v>25232</v>
      </c>
      <c r="B10851" s="30" t="s">
        <v>25233</v>
      </c>
      <c r="C10851" s="29" t="s">
        <v>26</v>
      </c>
      <c r="D10851" s="31">
        <v>71925.48</v>
      </c>
      <c r="F10851" s="3" t="str">
        <f t="shared" si="169"/>
        <v>I8000</v>
      </c>
    </row>
    <row r="10852" spans="1:6" x14ac:dyDescent="0.2">
      <c r="A10852" s="29" t="s">
        <v>25234</v>
      </c>
      <c r="B10852" s="30" t="s">
        <v>25235</v>
      </c>
      <c r="C10852" s="29" t="s">
        <v>26</v>
      </c>
      <c r="D10852" s="31">
        <v>12367.27</v>
      </c>
      <c r="F10852" s="3" t="str">
        <f t="shared" si="169"/>
        <v>I7992</v>
      </c>
    </row>
    <row r="10853" spans="1:6" x14ac:dyDescent="0.2">
      <c r="A10853" s="29" t="s">
        <v>25236</v>
      </c>
      <c r="B10853" s="30" t="s">
        <v>25237</v>
      </c>
      <c r="C10853" s="29" t="s">
        <v>26</v>
      </c>
      <c r="D10853" s="31">
        <v>32220.02</v>
      </c>
      <c r="F10853" s="3" t="str">
        <f t="shared" si="169"/>
        <v>I7996</v>
      </c>
    </row>
    <row r="10854" spans="1:6" ht="22.5" x14ac:dyDescent="0.2">
      <c r="A10854" s="29" t="s">
        <v>25238</v>
      </c>
      <c r="B10854" s="30" t="s">
        <v>25239</v>
      </c>
      <c r="C10854" s="29" t="s">
        <v>26</v>
      </c>
      <c r="D10854" s="31">
        <v>26059.63</v>
      </c>
      <c r="F10854" s="3" t="str">
        <f t="shared" si="169"/>
        <v>I6302</v>
      </c>
    </row>
    <row r="10855" spans="1:6" ht="22.5" x14ac:dyDescent="0.2">
      <c r="A10855" s="29" t="s">
        <v>25240</v>
      </c>
      <c r="B10855" s="30" t="s">
        <v>25241</v>
      </c>
      <c r="C10855" s="29" t="s">
        <v>26</v>
      </c>
      <c r="D10855" s="31">
        <v>30825.200000000001</v>
      </c>
      <c r="F10855" s="3" t="str">
        <f t="shared" si="169"/>
        <v>I6304</v>
      </c>
    </row>
    <row r="10856" spans="1:6" ht="22.5" x14ac:dyDescent="0.2">
      <c r="A10856" s="29" t="s">
        <v>25242</v>
      </c>
      <c r="B10856" s="30" t="s">
        <v>25243</v>
      </c>
      <c r="C10856" s="29" t="s">
        <v>26</v>
      </c>
      <c r="D10856" s="31">
        <v>34149.5</v>
      </c>
      <c r="F10856" s="3" t="str">
        <f t="shared" si="169"/>
        <v>I6305</v>
      </c>
    </row>
    <row r="10857" spans="1:6" ht="22.5" x14ac:dyDescent="0.2">
      <c r="A10857" s="29" t="s">
        <v>25244</v>
      </c>
      <c r="B10857" s="30" t="s">
        <v>25245</v>
      </c>
      <c r="C10857" s="29" t="s">
        <v>26</v>
      </c>
      <c r="D10857" s="31">
        <v>16319.23</v>
      </c>
      <c r="F10857" s="3" t="str">
        <f t="shared" si="169"/>
        <v>I7991</v>
      </c>
    </row>
    <row r="10858" spans="1:6" ht="22.5" x14ac:dyDescent="0.2">
      <c r="A10858" s="29" t="s">
        <v>25246</v>
      </c>
      <c r="B10858" s="30" t="s">
        <v>25247</v>
      </c>
      <c r="C10858" s="29" t="s">
        <v>26</v>
      </c>
      <c r="D10858" s="31">
        <v>44726.77</v>
      </c>
      <c r="F10858" s="3" t="str">
        <f t="shared" si="169"/>
        <v>I6306</v>
      </c>
    </row>
    <row r="10859" spans="1:6" ht="22.5" x14ac:dyDescent="0.2">
      <c r="A10859" s="29" t="s">
        <v>25248</v>
      </c>
      <c r="B10859" s="30" t="s">
        <v>25249</v>
      </c>
      <c r="C10859" s="29" t="s">
        <v>26</v>
      </c>
      <c r="D10859" s="31">
        <v>16319.23</v>
      </c>
      <c r="F10859" s="3" t="str">
        <f t="shared" si="169"/>
        <v>I6301</v>
      </c>
    </row>
    <row r="10860" spans="1:6" ht="22.5" x14ac:dyDescent="0.2">
      <c r="A10860" s="29" t="s">
        <v>25250</v>
      </c>
      <c r="B10860" s="30" t="s">
        <v>25251</v>
      </c>
      <c r="C10860" s="29" t="s">
        <v>26</v>
      </c>
      <c r="D10860" s="31">
        <v>66787.960000000006</v>
      </c>
      <c r="F10860" s="3" t="str">
        <f t="shared" si="169"/>
        <v>I6307</v>
      </c>
    </row>
    <row r="10861" spans="1:6" ht="22.5" x14ac:dyDescent="0.2">
      <c r="A10861" s="29" t="s">
        <v>25252</v>
      </c>
      <c r="B10861" s="30" t="s">
        <v>25253</v>
      </c>
      <c r="C10861" s="29" t="s">
        <v>26</v>
      </c>
      <c r="D10861" s="31">
        <v>11483.9</v>
      </c>
      <c r="F10861" s="3" t="str">
        <f t="shared" si="169"/>
        <v>I7990</v>
      </c>
    </row>
    <row r="10862" spans="1:6" ht="22.5" x14ac:dyDescent="0.2">
      <c r="A10862" s="29" t="s">
        <v>25254</v>
      </c>
      <c r="B10862" s="30" t="s">
        <v>25255</v>
      </c>
      <c r="C10862" s="29" t="s">
        <v>26</v>
      </c>
      <c r="D10862" s="31">
        <v>29918.59</v>
      </c>
      <c r="F10862" s="3" t="str">
        <f t="shared" si="169"/>
        <v>I6303</v>
      </c>
    </row>
    <row r="10863" spans="1:6" x14ac:dyDescent="0.2">
      <c r="A10863" s="29" t="s">
        <v>25256</v>
      </c>
      <c r="B10863" s="30" t="s">
        <v>25257</v>
      </c>
      <c r="C10863" s="29" t="s">
        <v>26</v>
      </c>
      <c r="D10863" s="31">
        <v>3.36</v>
      </c>
      <c r="F10863" s="3" t="str">
        <f t="shared" si="169"/>
        <v>I8578</v>
      </c>
    </row>
    <row r="10864" spans="1:6" x14ac:dyDescent="0.2">
      <c r="A10864" s="29" t="s">
        <v>25258</v>
      </c>
      <c r="B10864" s="30" t="s">
        <v>25259</v>
      </c>
      <c r="C10864" s="29" t="s">
        <v>26</v>
      </c>
      <c r="D10864" s="31">
        <v>7.22</v>
      </c>
      <c r="F10864" s="3" t="str">
        <f t="shared" si="169"/>
        <v>I6042</v>
      </c>
    </row>
    <row r="10865" spans="1:6" x14ac:dyDescent="0.2">
      <c r="A10865" s="29" t="s">
        <v>25260</v>
      </c>
      <c r="B10865" s="30" t="s">
        <v>25261</v>
      </c>
      <c r="C10865" s="29" t="s">
        <v>26</v>
      </c>
      <c r="D10865" s="31">
        <v>68.22</v>
      </c>
      <c r="F10865" s="3" t="str">
        <f t="shared" si="169"/>
        <v>I8959</v>
      </c>
    </row>
    <row r="10866" spans="1:6" x14ac:dyDescent="0.2">
      <c r="A10866" s="29" t="s">
        <v>25262</v>
      </c>
      <c r="B10866" s="30" t="s">
        <v>25263</v>
      </c>
      <c r="C10866" s="29" t="s">
        <v>25264</v>
      </c>
      <c r="D10866" s="31">
        <v>255.98</v>
      </c>
      <c r="F10866" s="3" t="str">
        <f t="shared" si="169"/>
        <v>I2953</v>
      </c>
    </row>
    <row r="10867" spans="1:6" x14ac:dyDescent="0.2">
      <c r="A10867" s="29" t="s">
        <v>25265</v>
      </c>
      <c r="B10867" s="30" t="s">
        <v>25266</v>
      </c>
      <c r="C10867" s="29" t="s">
        <v>6040</v>
      </c>
      <c r="D10867" s="31">
        <v>950</v>
      </c>
      <c r="F10867" s="3" t="str">
        <f t="shared" si="169"/>
        <v>I9846</v>
      </c>
    </row>
    <row r="10868" spans="1:6" x14ac:dyDescent="0.2">
      <c r="A10868" s="29" t="s">
        <v>25267</v>
      </c>
      <c r="B10868" s="30" t="s">
        <v>25268</v>
      </c>
      <c r="C10868" s="29" t="s">
        <v>26</v>
      </c>
      <c r="D10868" s="31">
        <v>3124.38</v>
      </c>
      <c r="F10868" s="3" t="str">
        <f t="shared" si="169"/>
        <v>I9848</v>
      </c>
    </row>
    <row r="10869" spans="1:6" x14ac:dyDescent="0.2">
      <c r="A10869" s="29" t="s">
        <v>25269</v>
      </c>
      <c r="B10869" s="30" t="s">
        <v>25270</v>
      </c>
      <c r="C10869" s="29" t="s">
        <v>26</v>
      </c>
      <c r="D10869" s="31">
        <v>4032.47</v>
      </c>
      <c r="F10869" s="3" t="str">
        <f t="shared" si="169"/>
        <v>I9849</v>
      </c>
    </row>
    <row r="10870" spans="1:6" x14ac:dyDescent="0.2">
      <c r="A10870" s="29" t="s">
        <v>25271</v>
      </c>
      <c r="B10870" s="30" t="s">
        <v>25272</v>
      </c>
      <c r="C10870" s="29" t="s">
        <v>26</v>
      </c>
      <c r="D10870" s="31">
        <v>4982.2700000000004</v>
      </c>
      <c r="F10870" s="3" t="str">
        <f t="shared" si="169"/>
        <v>I9850</v>
      </c>
    </row>
    <row r="10871" spans="1:6" x14ac:dyDescent="0.2">
      <c r="A10871" s="29" t="s">
        <v>25273</v>
      </c>
      <c r="B10871" s="30" t="s">
        <v>25274</v>
      </c>
      <c r="C10871" s="29" t="s">
        <v>26</v>
      </c>
      <c r="D10871" s="31">
        <v>6169.19</v>
      </c>
      <c r="F10871" s="3" t="str">
        <f t="shared" si="169"/>
        <v>I9851</v>
      </c>
    </row>
    <row r="10872" spans="1:6" x14ac:dyDescent="0.2">
      <c r="A10872" s="29" t="s">
        <v>25275</v>
      </c>
      <c r="B10872" s="30" t="s">
        <v>25276</v>
      </c>
      <c r="C10872" s="29" t="s">
        <v>26</v>
      </c>
      <c r="D10872" s="31">
        <v>6971.63</v>
      </c>
      <c r="F10872" s="3" t="str">
        <f t="shared" si="169"/>
        <v>I9852</v>
      </c>
    </row>
    <row r="10873" spans="1:6" x14ac:dyDescent="0.2">
      <c r="A10873" s="29" t="s">
        <v>25277</v>
      </c>
      <c r="B10873" s="30" t="s">
        <v>25278</v>
      </c>
      <c r="C10873" s="29" t="s">
        <v>26</v>
      </c>
      <c r="D10873" s="31">
        <v>8655.61</v>
      </c>
      <c r="F10873" s="3" t="str">
        <f t="shared" si="169"/>
        <v>I9853</v>
      </c>
    </row>
    <row r="10874" spans="1:6" x14ac:dyDescent="0.2">
      <c r="A10874" s="29" t="s">
        <v>25279</v>
      </c>
      <c r="B10874" s="30" t="s">
        <v>25280</v>
      </c>
      <c r="C10874" s="29" t="s">
        <v>26</v>
      </c>
      <c r="D10874" s="31">
        <v>788.83</v>
      </c>
      <c r="F10874" s="3" t="str">
        <f t="shared" si="169"/>
        <v>I3921</v>
      </c>
    </row>
    <row r="10875" spans="1:6" x14ac:dyDescent="0.2">
      <c r="A10875" s="29" t="s">
        <v>25281</v>
      </c>
      <c r="B10875" s="30" t="s">
        <v>25282</v>
      </c>
      <c r="C10875" s="29" t="s">
        <v>26</v>
      </c>
      <c r="D10875" s="31">
        <v>64705.35</v>
      </c>
      <c r="F10875" s="3" t="str">
        <f t="shared" si="169"/>
        <v>I3934</v>
      </c>
    </row>
    <row r="10876" spans="1:6" x14ac:dyDescent="0.2">
      <c r="A10876" s="29" t="s">
        <v>25283</v>
      </c>
      <c r="B10876" s="30" t="s">
        <v>25284</v>
      </c>
      <c r="C10876" s="29" t="s">
        <v>26</v>
      </c>
      <c r="D10876" s="31">
        <v>85815.09</v>
      </c>
      <c r="F10876" s="3" t="str">
        <f t="shared" si="169"/>
        <v>I3935</v>
      </c>
    </row>
    <row r="10877" spans="1:6" x14ac:dyDescent="0.2">
      <c r="A10877" s="29" t="s">
        <v>25285</v>
      </c>
      <c r="B10877" s="30" t="s">
        <v>25286</v>
      </c>
      <c r="C10877" s="29" t="s">
        <v>26</v>
      </c>
      <c r="D10877" s="31">
        <v>1168.06</v>
      </c>
      <c r="F10877" s="3" t="str">
        <f t="shared" si="169"/>
        <v>I3922</v>
      </c>
    </row>
    <row r="10878" spans="1:6" x14ac:dyDescent="0.2">
      <c r="A10878" s="29" t="s">
        <v>25287</v>
      </c>
      <c r="B10878" s="30" t="s">
        <v>25288</v>
      </c>
      <c r="C10878" s="29" t="s">
        <v>26</v>
      </c>
      <c r="D10878" s="31">
        <v>1685.74</v>
      </c>
      <c r="F10878" s="3" t="str">
        <f t="shared" si="169"/>
        <v>I3923</v>
      </c>
    </row>
    <row r="10879" spans="1:6" x14ac:dyDescent="0.2">
      <c r="A10879" s="29" t="s">
        <v>25289</v>
      </c>
      <c r="B10879" s="30" t="s">
        <v>25290</v>
      </c>
      <c r="C10879" s="29" t="s">
        <v>26</v>
      </c>
      <c r="D10879" s="31">
        <v>2337.08</v>
      </c>
      <c r="F10879" s="3" t="str">
        <f t="shared" si="169"/>
        <v>I3924</v>
      </c>
    </row>
    <row r="10880" spans="1:6" x14ac:dyDescent="0.2">
      <c r="A10880" s="29" t="s">
        <v>25291</v>
      </c>
      <c r="B10880" s="30" t="s">
        <v>25292</v>
      </c>
      <c r="C10880" s="29" t="s">
        <v>26</v>
      </c>
      <c r="D10880" s="31">
        <v>2962.23</v>
      </c>
      <c r="F10880" s="3" t="str">
        <f t="shared" si="169"/>
        <v>I3925</v>
      </c>
    </row>
    <row r="10881" spans="1:6" x14ac:dyDescent="0.2">
      <c r="A10881" s="29" t="s">
        <v>25293</v>
      </c>
      <c r="B10881" s="30" t="s">
        <v>25294</v>
      </c>
      <c r="C10881" s="29" t="s">
        <v>26</v>
      </c>
      <c r="D10881" s="31">
        <v>5568.99</v>
      </c>
      <c r="F10881" s="3" t="str">
        <f t="shared" si="169"/>
        <v>I3926</v>
      </c>
    </row>
    <row r="10882" spans="1:6" x14ac:dyDescent="0.2">
      <c r="A10882" s="29" t="s">
        <v>25295</v>
      </c>
      <c r="B10882" s="30" t="s">
        <v>25296</v>
      </c>
      <c r="C10882" s="29" t="s">
        <v>26</v>
      </c>
      <c r="D10882" s="31">
        <v>4792.67</v>
      </c>
      <c r="F10882" s="3" t="str">
        <f t="shared" ref="F10882:F10945" si="170">A10882</f>
        <v>I3927</v>
      </c>
    </row>
    <row r="10883" spans="1:6" x14ac:dyDescent="0.2">
      <c r="A10883" s="29" t="s">
        <v>25297</v>
      </c>
      <c r="B10883" s="30" t="s">
        <v>25298</v>
      </c>
      <c r="C10883" s="29" t="s">
        <v>26</v>
      </c>
      <c r="D10883" s="31">
        <v>7668.18</v>
      </c>
      <c r="F10883" s="3" t="str">
        <f t="shared" si="170"/>
        <v>I3928</v>
      </c>
    </row>
    <row r="10884" spans="1:6" x14ac:dyDescent="0.2">
      <c r="A10884" s="29" t="s">
        <v>25299</v>
      </c>
      <c r="B10884" s="30" t="s">
        <v>25300</v>
      </c>
      <c r="C10884" s="29" t="s">
        <v>26</v>
      </c>
      <c r="D10884" s="31">
        <v>499.15</v>
      </c>
      <c r="F10884" s="3" t="str">
        <f t="shared" si="170"/>
        <v>I3919</v>
      </c>
    </row>
    <row r="10885" spans="1:6" x14ac:dyDescent="0.2">
      <c r="A10885" s="29" t="s">
        <v>25301</v>
      </c>
      <c r="B10885" s="30" t="s">
        <v>25302</v>
      </c>
      <c r="C10885" s="29" t="s">
        <v>26</v>
      </c>
      <c r="D10885" s="31">
        <v>6927.74</v>
      </c>
      <c r="F10885" s="3" t="str">
        <f t="shared" si="170"/>
        <v>I3929</v>
      </c>
    </row>
    <row r="10886" spans="1:6" x14ac:dyDescent="0.2">
      <c r="A10886" s="29" t="s">
        <v>25303</v>
      </c>
      <c r="B10886" s="30" t="s">
        <v>25304</v>
      </c>
      <c r="C10886" s="29" t="s">
        <v>26</v>
      </c>
      <c r="D10886" s="31">
        <v>19624.830000000002</v>
      </c>
      <c r="F10886" s="3" t="str">
        <f t="shared" si="170"/>
        <v>I3930</v>
      </c>
    </row>
    <row r="10887" spans="1:6" x14ac:dyDescent="0.2">
      <c r="A10887" s="29" t="s">
        <v>25305</v>
      </c>
      <c r="B10887" s="30" t="s">
        <v>25306</v>
      </c>
      <c r="C10887" s="29" t="s">
        <v>26</v>
      </c>
      <c r="D10887" s="31">
        <v>34495.07</v>
      </c>
      <c r="F10887" s="3" t="str">
        <f t="shared" si="170"/>
        <v>I3931</v>
      </c>
    </row>
    <row r="10888" spans="1:6" x14ac:dyDescent="0.2">
      <c r="A10888" s="29" t="s">
        <v>25307</v>
      </c>
      <c r="B10888" s="30" t="s">
        <v>25308</v>
      </c>
      <c r="C10888" s="29" t="s">
        <v>26</v>
      </c>
      <c r="D10888" s="31">
        <v>714.88</v>
      </c>
      <c r="F10888" s="3" t="str">
        <f t="shared" si="170"/>
        <v>I3920</v>
      </c>
    </row>
    <row r="10889" spans="1:6" x14ac:dyDescent="0.2">
      <c r="A10889" s="29" t="s">
        <v>25309</v>
      </c>
      <c r="B10889" s="30" t="s">
        <v>25310</v>
      </c>
      <c r="C10889" s="29" t="s">
        <v>26</v>
      </c>
      <c r="D10889" s="31">
        <v>714.88</v>
      </c>
      <c r="F10889" s="3" t="str">
        <f t="shared" si="170"/>
        <v>I7132</v>
      </c>
    </row>
    <row r="10890" spans="1:6" x14ac:dyDescent="0.2">
      <c r="A10890" s="29" t="s">
        <v>25311</v>
      </c>
      <c r="B10890" s="30" t="s">
        <v>25312</v>
      </c>
      <c r="C10890" s="29" t="s">
        <v>26</v>
      </c>
      <c r="D10890" s="31">
        <v>34642.31</v>
      </c>
      <c r="F10890" s="3" t="str">
        <f t="shared" si="170"/>
        <v>I3932</v>
      </c>
    </row>
    <row r="10891" spans="1:6" x14ac:dyDescent="0.2">
      <c r="A10891" s="29" t="s">
        <v>25313</v>
      </c>
      <c r="B10891" s="30" t="s">
        <v>25314</v>
      </c>
      <c r="C10891" s="29" t="s">
        <v>26</v>
      </c>
      <c r="D10891" s="31">
        <v>45533.52</v>
      </c>
      <c r="F10891" s="3" t="str">
        <f t="shared" si="170"/>
        <v>I3933</v>
      </c>
    </row>
    <row r="10892" spans="1:6" x14ac:dyDescent="0.2">
      <c r="A10892" s="29" t="s">
        <v>25315</v>
      </c>
      <c r="B10892" s="30" t="s">
        <v>25316</v>
      </c>
      <c r="C10892" s="29" t="s">
        <v>26</v>
      </c>
      <c r="D10892" s="31">
        <v>143.24</v>
      </c>
      <c r="F10892" s="3" t="str">
        <f t="shared" si="170"/>
        <v>I4938</v>
      </c>
    </row>
    <row r="10893" spans="1:6" x14ac:dyDescent="0.2">
      <c r="A10893" s="29" t="s">
        <v>25317</v>
      </c>
      <c r="B10893" s="30" t="s">
        <v>25318</v>
      </c>
      <c r="C10893" s="29" t="s">
        <v>26</v>
      </c>
      <c r="D10893" s="31">
        <v>259.62</v>
      </c>
      <c r="F10893" s="3" t="str">
        <f t="shared" si="170"/>
        <v>I4939</v>
      </c>
    </row>
    <row r="10894" spans="1:6" x14ac:dyDescent="0.2">
      <c r="A10894" s="29" t="s">
        <v>25319</v>
      </c>
      <c r="B10894" s="30" t="s">
        <v>25320</v>
      </c>
      <c r="C10894" s="29" t="s">
        <v>26</v>
      </c>
      <c r="D10894" s="31">
        <v>626.67999999999995</v>
      </c>
      <c r="F10894" s="3" t="str">
        <f t="shared" si="170"/>
        <v>I4940</v>
      </c>
    </row>
    <row r="10895" spans="1:6" x14ac:dyDescent="0.2">
      <c r="A10895" s="29" t="s">
        <v>25321</v>
      </c>
      <c r="B10895" s="30" t="s">
        <v>25322</v>
      </c>
      <c r="C10895" s="29" t="s">
        <v>26</v>
      </c>
      <c r="D10895" s="31">
        <v>671.44</v>
      </c>
      <c r="F10895" s="3" t="str">
        <f t="shared" si="170"/>
        <v>I4941</v>
      </c>
    </row>
    <row r="10896" spans="1:6" x14ac:dyDescent="0.2">
      <c r="A10896" s="29" t="s">
        <v>25323</v>
      </c>
      <c r="B10896" s="30" t="s">
        <v>25324</v>
      </c>
      <c r="C10896" s="29" t="s">
        <v>26</v>
      </c>
      <c r="D10896" s="31">
        <v>44.94</v>
      </c>
      <c r="F10896" s="3" t="str">
        <f t="shared" si="170"/>
        <v>I8661</v>
      </c>
    </row>
    <row r="10897" spans="1:6" x14ac:dyDescent="0.2">
      <c r="A10897" s="29" t="s">
        <v>25325</v>
      </c>
      <c r="B10897" s="30" t="s">
        <v>25326</v>
      </c>
      <c r="C10897" s="29" t="s">
        <v>26</v>
      </c>
      <c r="D10897" s="31">
        <v>1395.91</v>
      </c>
      <c r="F10897" s="3" t="str">
        <f t="shared" si="170"/>
        <v>I7620</v>
      </c>
    </row>
    <row r="10898" spans="1:6" x14ac:dyDescent="0.2">
      <c r="A10898" s="29" t="s">
        <v>25327</v>
      </c>
      <c r="B10898" s="30" t="s">
        <v>25328</v>
      </c>
      <c r="C10898" s="29" t="s">
        <v>26</v>
      </c>
      <c r="D10898" s="31">
        <v>3373.33</v>
      </c>
      <c r="F10898" s="3" t="str">
        <f t="shared" si="170"/>
        <v>I7621</v>
      </c>
    </row>
    <row r="10899" spans="1:6" x14ac:dyDescent="0.2">
      <c r="A10899" s="29" t="s">
        <v>25329</v>
      </c>
      <c r="B10899" s="30" t="s">
        <v>25330</v>
      </c>
      <c r="C10899" s="29" t="s">
        <v>26</v>
      </c>
      <c r="D10899" s="31">
        <v>4592.03</v>
      </c>
      <c r="F10899" s="3" t="str">
        <f t="shared" si="170"/>
        <v>I7622</v>
      </c>
    </row>
    <row r="10900" spans="1:6" x14ac:dyDescent="0.2">
      <c r="A10900" s="29" t="s">
        <v>25331</v>
      </c>
      <c r="B10900" s="30" t="s">
        <v>25332</v>
      </c>
      <c r="C10900" s="29" t="s">
        <v>26</v>
      </c>
      <c r="D10900" s="31">
        <v>5330.76</v>
      </c>
      <c r="F10900" s="3" t="str">
        <f t="shared" si="170"/>
        <v>I7623</v>
      </c>
    </row>
    <row r="10901" spans="1:6" x14ac:dyDescent="0.2">
      <c r="A10901" s="29" t="s">
        <v>25333</v>
      </c>
      <c r="B10901" s="30" t="s">
        <v>25334</v>
      </c>
      <c r="C10901" s="29" t="s">
        <v>26</v>
      </c>
      <c r="D10901" s="31">
        <v>6891.91</v>
      </c>
      <c r="F10901" s="3" t="str">
        <f t="shared" si="170"/>
        <v>I7624</v>
      </c>
    </row>
    <row r="10902" spans="1:6" x14ac:dyDescent="0.2">
      <c r="A10902" s="29" t="s">
        <v>25335</v>
      </c>
      <c r="B10902" s="30" t="s">
        <v>25336</v>
      </c>
      <c r="C10902" s="29" t="s">
        <v>26</v>
      </c>
      <c r="D10902" s="31">
        <v>7218.33</v>
      </c>
      <c r="F10902" s="3" t="str">
        <f t="shared" si="170"/>
        <v>I7625</v>
      </c>
    </row>
    <row r="10903" spans="1:6" x14ac:dyDescent="0.2">
      <c r="A10903" s="29" t="s">
        <v>25337</v>
      </c>
      <c r="B10903" s="30" t="s">
        <v>25338</v>
      </c>
      <c r="C10903" s="29" t="s">
        <v>26</v>
      </c>
      <c r="D10903" s="31">
        <v>7237.55</v>
      </c>
      <c r="F10903" s="3" t="str">
        <f t="shared" si="170"/>
        <v>I7626</v>
      </c>
    </row>
    <row r="10904" spans="1:6" x14ac:dyDescent="0.2">
      <c r="A10904" s="29" t="s">
        <v>25339</v>
      </c>
      <c r="B10904" s="30" t="s">
        <v>25340</v>
      </c>
      <c r="C10904" s="29" t="s">
        <v>26</v>
      </c>
      <c r="D10904" s="31">
        <v>9200.74</v>
      </c>
      <c r="F10904" s="3" t="str">
        <f t="shared" si="170"/>
        <v>I7627</v>
      </c>
    </row>
    <row r="10905" spans="1:6" x14ac:dyDescent="0.2">
      <c r="A10905" s="29" t="s">
        <v>25341</v>
      </c>
      <c r="B10905" s="30" t="s">
        <v>25342</v>
      </c>
      <c r="C10905" s="29" t="s">
        <v>26</v>
      </c>
      <c r="D10905" s="31">
        <v>9774.69</v>
      </c>
      <c r="F10905" s="3" t="str">
        <f t="shared" si="170"/>
        <v>I10973</v>
      </c>
    </row>
    <row r="10906" spans="1:6" x14ac:dyDescent="0.2">
      <c r="A10906" s="29" t="s">
        <v>25343</v>
      </c>
      <c r="B10906" s="30" t="s">
        <v>25344</v>
      </c>
      <c r="C10906" s="29" t="s">
        <v>26</v>
      </c>
      <c r="D10906" s="31">
        <v>496.41</v>
      </c>
      <c r="F10906" s="3" t="str">
        <f t="shared" si="170"/>
        <v>I9854</v>
      </c>
    </row>
    <row r="10907" spans="1:6" x14ac:dyDescent="0.2">
      <c r="A10907" s="29" t="s">
        <v>25345</v>
      </c>
      <c r="B10907" s="30" t="s">
        <v>25346</v>
      </c>
      <c r="C10907" s="29" t="s">
        <v>26</v>
      </c>
      <c r="D10907" s="31">
        <v>16.63</v>
      </c>
      <c r="F10907" s="3" t="str">
        <f t="shared" si="170"/>
        <v>I3002</v>
      </c>
    </row>
    <row r="10908" spans="1:6" x14ac:dyDescent="0.2">
      <c r="A10908" s="29" t="s">
        <v>25347</v>
      </c>
      <c r="B10908" s="30" t="s">
        <v>25348</v>
      </c>
      <c r="C10908" s="29" t="s">
        <v>26</v>
      </c>
      <c r="D10908" s="31">
        <v>54.34</v>
      </c>
      <c r="F10908" s="3" t="str">
        <f t="shared" si="170"/>
        <v>I3003</v>
      </c>
    </row>
    <row r="10909" spans="1:6" x14ac:dyDescent="0.2">
      <c r="A10909" s="29" t="s">
        <v>25349</v>
      </c>
      <c r="B10909" s="30" t="s">
        <v>25350</v>
      </c>
      <c r="C10909" s="29" t="s">
        <v>26</v>
      </c>
      <c r="D10909" s="31">
        <v>59</v>
      </c>
      <c r="F10909" s="3" t="str">
        <f t="shared" si="170"/>
        <v>I3004</v>
      </c>
    </row>
    <row r="10910" spans="1:6" x14ac:dyDescent="0.2">
      <c r="A10910" s="29" t="s">
        <v>25351</v>
      </c>
      <c r="B10910" s="30" t="s">
        <v>25352</v>
      </c>
      <c r="C10910" s="29" t="s">
        <v>26</v>
      </c>
      <c r="D10910" s="31">
        <v>94.38</v>
      </c>
      <c r="F10910" s="3" t="str">
        <f t="shared" si="170"/>
        <v>I3005</v>
      </c>
    </row>
    <row r="10911" spans="1:6" x14ac:dyDescent="0.2">
      <c r="A10911" s="29" t="s">
        <v>25353</v>
      </c>
      <c r="B10911" s="30" t="s">
        <v>25354</v>
      </c>
      <c r="C10911" s="29" t="s">
        <v>26</v>
      </c>
      <c r="D10911" s="31">
        <v>256.31</v>
      </c>
      <c r="F10911" s="3" t="str">
        <f t="shared" si="170"/>
        <v>I3006</v>
      </c>
    </row>
    <row r="10912" spans="1:6" x14ac:dyDescent="0.2">
      <c r="A10912" s="29" t="s">
        <v>25355</v>
      </c>
      <c r="B10912" s="30" t="s">
        <v>25356</v>
      </c>
      <c r="C10912" s="29" t="s">
        <v>26</v>
      </c>
      <c r="D10912" s="31">
        <v>440.94</v>
      </c>
      <c r="F10912" s="3" t="str">
        <f t="shared" si="170"/>
        <v>I3007</v>
      </c>
    </row>
    <row r="10913" spans="1:6" x14ac:dyDescent="0.2">
      <c r="A10913" s="29" t="s">
        <v>25357</v>
      </c>
      <c r="B10913" s="30" t="s">
        <v>25358</v>
      </c>
      <c r="C10913" s="29" t="s">
        <v>26</v>
      </c>
      <c r="D10913" s="31">
        <v>440.94</v>
      </c>
      <c r="F10913" s="3" t="str">
        <f t="shared" si="170"/>
        <v>I3008</v>
      </c>
    </row>
    <row r="10914" spans="1:6" x14ac:dyDescent="0.2">
      <c r="A10914" s="29" t="s">
        <v>25359</v>
      </c>
      <c r="B10914" s="30" t="s">
        <v>25360</v>
      </c>
      <c r="C10914" s="29" t="s">
        <v>26</v>
      </c>
      <c r="D10914" s="31">
        <v>594.12</v>
      </c>
      <c r="F10914" s="3" t="str">
        <f t="shared" si="170"/>
        <v>I3009</v>
      </c>
    </row>
    <row r="10915" spans="1:6" x14ac:dyDescent="0.2">
      <c r="A10915" s="29" t="s">
        <v>25361</v>
      </c>
      <c r="B10915" s="30" t="s">
        <v>25362</v>
      </c>
      <c r="C10915" s="29" t="s">
        <v>26</v>
      </c>
      <c r="D10915" s="31">
        <v>16.63</v>
      </c>
      <c r="F10915" s="3" t="str">
        <f t="shared" si="170"/>
        <v>I6892</v>
      </c>
    </row>
    <row r="10916" spans="1:6" x14ac:dyDescent="0.2">
      <c r="A10916" s="29" t="s">
        <v>25363</v>
      </c>
      <c r="B10916" s="30" t="s">
        <v>25364</v>
      </c>
      <c r="C10916" s="29" t="s">
        <v>26</v>
      </c>
      <c r="D10916" s="31">
        <v>59</v>
      </c>
      <c r="F10916" s="3" t="str">
        <f t="shared" si="170"/>
        <v>I6893</v>
      </c>
    </row>
    <row r="10917" spans="1:6" x14ac:dyDescent="0.2">
      <c r="A10917" s="29" t="s">
        <v>25365</v>
      </c>
      <c r="B10917" s="30" t="s">
        <v>25366</v>
      </c>
      <c r="C10917" s="29" t="s">
        <v>26</v>
      </c>
      <c r="D10917" s="31">
        <v>94.38</v>
      </c>
      <c r="F10917" s="3" t="str">
        <f t="shared" si="170"/>
        <v>I6894</v>
      </c>
    </row>
    <row r="10918" spans="1:6" x14ac:dyDescent="0.2">
      <c r="A10918" s="29" t="s">
        <v>25367</v>
      </c>
      <c r="B10918" s="30" t="s">
        <v>25368</v>
      </c>
      <c r="C10918" s="29" t="s">
        <v>26</v>
      </c>
      <c r="D10918" s="31">
        <v>256.31</v>
      </c>
      <c r="F10918" s="3" t="str">
        <f t="shared" si="170"/>
        <v>I6895</v>
      </c>
    </row>
    <row r="10919" spans="1:6" x14ac:dyDescent="0.2">
      <c r="A10919" s="29" t="s">
        <v>25369</v>
      </c>
      <c r="B10919" s="30" t="s">
        <v>25370</v>
      </c>
      <c r="C10919" s="29" t="s">
        <v>26</v>
      </c>
      <c r="D10919" s="31">
        <v>440.94</v>
      </c>
      <c r="F10919" s="3" t="str">
        <f t="shared" si="170"/>
        <v>I6896</v>
      </c>
    </row>
    <row r="10920" spans="1:6" x14ac:dyDescent="0.2">
      <c r="A10920" s="29" t="s">
        <v>25371</v>
      </c>
      <c r="B10920" s="30" t="s">
        <v>25372</v>
      </c>
      <c r="C10920" s="29" t="s">
        <v>26</v>
      </c>
      <c r="D10920" s="31">
        <v>440.94</v>
      </c>
      <c r="F10920" s="3" t="str">
        <f t="shared" si="170"/>
        <v>I6897</v>
      </c>
    </row>
    <row r="10921" spans="1:6" x14ac:dyDescent="0.2">
      <c r="A10921" s="29" t="s">
        <v>25373</v>
      </c>
      <c r="B10921" s="30" t="s">
        <v>25374</v>
      </c>
      <c r="C10921" s="29" t="s">
        <v>26</v>
      </c>
      <c r="D10921" s="31">
        <v>594.12</v>
      </c>
      <c r="F10921" s="3" t="str">
        <f t="shared" si="170"/>
        <v>I6898</v>
      </c>
    </row>
    <row r="10922" spans="1:6" x14ac:dyDescent="0.2">
      <c r="A10922" s="29" t="s">
        <v>25375</v>
      </c>
      <c r="B10922" s="30" t="s">
        <v>25376</v>
      </c>
      <c r="C10922" s="29" t="s">
        <v>26</v>
      </c>
      <c r="D10922" s="31">
        <v>105.97</v>
      </c>
      <c r="F10922" s="3" t="str">
        <f t="shared" si="170"/>
        <v>I3125</v>
      </c>
    </row>
    <row r="10923" spans="1:6" x14ac:dyDescent="0.2">
      <c r="A10923" s="29" t="s">
        <v>25377</v>
      </c>
      <c r="B10923" s="30" t="s">
        <v>25378</v>
      </c>
      <c r="C10923" s="29" t="s">
        <v>26</v>
      </c>
      <c r="D10923" s="31">
        <v>24.15</v>
      </c>
      <c r="F10923" s="3" t="str">
        <f t="shared" si="170"/>
        <v>I3123</v>
      </c>
    </row>
    <row r="10924" spans="1:6" x14ac:dyDescent="0.2">
      <c r="A10924" s="29" t="s">
        <v>25379</v>
      </c>
      <c r="B10924" s="30" t="s">
        <v>25380</v>
      </c>
      <c r="C10924" s="29" t="s">
        <v>26</v>
      </c>
      <c r="D10924" s="31">
        <v>97.1</v>
      </c>
      <c r="F10924" s="3" t="str">
        <f t="shared" si="170"/>
        <v>I3124</v>
      </c>
    </row>
    <row r="10925" spans="1:6" x14ac:dyDescent="0.2">
      <c r="A10925" s="29" t="s">
        <v>25381</v>
      </c>
      <c r="B10925" s="30" t="s">
        <v>25382</v>
      </c>
      <c r="C10925" s="29" t="s">
        <v>26</v>
      </c>
      <c r="D10925" s="31">
        <v>179.05</v>
      </c>
      <c r="F10925" s="3" t="str">
        <f t="shared" si="170"/>
        <v>I3127</v>
      </c>
    </row>
    <row r="10926" spans="1:6" x14ac:dyDescent="0.2">
      <c r="A10926" s="29" t="s">
        <v>25383</v>
      </c>
      <c r="B10926" s="30" t="s">
        <v>25384</v>
      </c>
      <c r="C10926" s="29" t="s">
        <v>26</v>
      </c>
      <c r="D10926" s="31">
        <v>274.48</v>
      </c>
      <c r="F10926" s="3" t="str">
        <f t="shared" si="170"/>
        <v>I3128</v>
      </c>
    </row>
    <row r="10927" spans="1:6" x14ac:dyDescent="0.2">
      <c r="A10927" s="29" t="s">
        <v>25385</v>
      </c>
      <c r="B10927" s="30" t="s">
        <v>25386</v>
      </c>
      <c r="C10927" s="29" t="s">
        <v>26</v>
      </c>
      <c r="D10927" s="31">
        <v>428.01</v>
      </c>
      <c r="F10927" s="3" t="str">
        <f t="shared" si="170"/>
        <v>I3129</v>
      </c>
    </row>
    <row r="10928" spans="1:6" x14ac:dyDescent="0.2">
      <c r="A10928" s="29" t="s">
        <v>25387</v>
      </c>
      <c r="B10928" s="30" t="s">
        <v>25388</v>
      </c>
      <c r="C10928" s="29" t="s">
        <v>26</v>
      </c>
      <c r="D10928" s="31">
        <v>637.58000000000004</v>
      </c>
      <c r="F10928" s="3" t="str">
        <f t="shared" si="170"/>
        <v>I3130</v>
      </c>
    </row>
    <row r="10929" spans="1:6" x14ac:dyDescent="0.2">
      <c r="A10929" s="29" t="s">
        <v>25389</v>
      </c>
      <c r="B10929" s="30" t="s">
        <v>25390</v>
      </c>
      <c r="C10929" s="29" t="s">
        <v>26</v>
      </c>
      <c r="D10929" s="31">
        <v>1185.3900000000001</v>
      </c>
      <c r="F10929" s="3" t="str">
        <f t="shared" si="170"/>
        <v>I3131</v>
      </c>
    </row>
    <row r="10930" spans="1:6" x14ac:dyDescent="0.2">
      <c r="A10930" s="29" t="s">
        <v>25391</v>
      </c>
      <c r="B10930" s="30" t="s">
        <v>25392</v>
      </c>
      <c r="C10930" s="29" t="s">
        <v>26</v>
      </c>
      <c r="D10930" s="31">
        <v>47.28</v>
      </c>
      <c r="F10930" s="3" t="str">
        <f t="shared" si="170"/>
        <v>I6357</v>
      </c>
    </row>
    <row r="10931" spans="1:6" x14ac:dyDescent="0.2">
      <c r="A10931" s="29" t="s">
        <v>25393</v>
      </c>
      <c r="B10931" s="30" t="s">
        <v>25394</v>
      </c>
      <c r="C10931" s="29" t="s">
        <v>26</v>
      </c>
      <c r="D10931" s="31">
        <v>10.28</v>
      </c>
      <c r="F10931" s="3" t="str">
        <f t="shared" si="170"/>
        <v>I8664</v>
      </c>
    </row>
    <row r="10932" spans="1:6" x14ac:dyDescent="0.2">
      <c r="A10932" s="29" t="s">
        <v>25395</v>
      </c>
      <c r="B10932" s="30" t="s">
        <v>25396</v>
      </c>
      <c r="C10932" s="29" t="s">
        <v>26</v>
      </c>
      <c r="D10932" s="31">
        <v>51.03</v>
      </c>
      <c r="F10932" s="3" t="str">
        <f t="shared" si="170"/>
        <v>I6265</v>
      </c>
    </row>
    <row r="10933" spans="1:6" x14ac:dyDescent="0.2">
      <c r="A10933" s="29" t="s">
        <v>25397</v>
      </c>
      <c r="B10933" s="30" t="s">
        <v>25398</v>
      </c>
      <c r="C10933" s="29" t="s">
        <v>26</v>
      </c>
      <c r="D10933" s="31">
        <v>54.47</v>
      </c>
      <c r="F10933" s="3" t="str">
        <f t="shared" si="170"/>
        <v>I7384</v>
      </c>
    </row>
    <row r="10934" spans="1:6" x14ac:dyDescent="0.2">
      <c r="A10934" s="29" t="s">
        <v>25399</v>
      </c>
      <c r="B10934" s="30" t="s">
        <v>25400</v>
      </c>
      <c r="C10934" s="29" t="s">
        <v>26</v>
      </c>
      <c r="D10934" s="31">
        <v>13.53</v>
      </c>
      <c r="F10934" s="3" t="str">
        <f t="shared" si="170"/>
        <v>I9858</v>
      </c>
    </row>
    <row r="10935" spans="1:6" x14ac:dyDescent="0.2">
      <c r="A10935" s="29" t="s">
        <v>25401</v>
      </c>
      <c r="B10935" s="30" t="s">
        <v>25402</v>
      </c>
      <c r="C10935" s="29" t="s">
        <v>26</v>
      </c>
      <c r="D10935" s="31">
        <v>45.14</v>
      </c>
      <c r="F10935" s="3" t="str">
        <f t="shared" si="170"/>
        <v>I9859</v>
      </c>
    </row>
    <row r="10936" spans="1:6" x14ac:dyDescent="0.2">
      <c r="A10936" s="29" t="s">
        <v>25403</v>
      </c>
      <c r="B10936" s="30" t="s">
        <v>25404</v>
      </c>
      <c r="C10936" s="29" t="s">
        <v>26</v>
      </c>
      <c r="D10936" s="31">
        <v>255.71</v>
      </c>
      <c r="F10936" s="3" t="str">
        <f t="shared" si="170"/>
        <v>I9860</v>
      </c>
    </row>
    <row r="10937" spans="1:6" x14ac:dyDescent="0.2">
      <c r="A10937" s="29" t="s">
        <v>25405</v>
      </c>
      <c r="B10937" s="30" t="s">
        <v>25406</v>
      </c>
      <c r="C10937" s="29" t="s">
        <v>26</v>
      </c>
      <c r="D10937" s="31">
        <v>110.56</v>
      </c>
      <c r="F10937" s="3" t="str">
        <f t="shared" si="170"/>
        <v>I5806</v>
      </c>
    </row>
    <row r="10938" spans="1:6" x14ac:dyDescent="0.2">
      <c r="A10938" s="29" t="s">
        <v>25407</v>
      </c>
      <c r="B10938" s="30" t="s">
        <v>25408</v>
      </c>
      <c r="C10938" s="29" t="s">
        <v>26</v>
      </c>
      <c r="D10938" s="31">
        <v>140.62</v>
      </c>
      <c r="F10938" s="3" t="str">
        <f t="shared" si="170"/>
        <v>I5807</v>
      </c>
    </row>
    <row r="10939" spans="1:6" x14ac:dyDescent="0.2">
      <c r="A10939" s="29" t="s">
        <v>25409</v>
      </c>
      <c r="B10939" s="30" t="s">
        <v>25410</v>
      </c>
      <c r="C10939" s="29" t="s">
        <v>26</v>
      </c>
      <c r="D10939" s="31">
        <v>72.209999999999994</v>
      </c>
      <c r="F10939" s="3" t="str">
        <f t="shared" si="170"/>
        <v>I6899</v>
      </c>
    </row>
    <row r="10940" spans="1:6" x14ac:dyDescent="0.2">
      <c r="A10940" s="29" t="s">
        <v>25411</v>
      </c>
      <c r="B10940" s="30" t="s">
        <v>25412</v>
      </c>
      <c r="C10940" s="29" t="s">
        <v>26</v>
      </c>
      <c r="D10940" s="31">
        <v>145.25</v>
      </c>
      <c r="F10940" s="3" t="str">
        <f t="shared" si="170"/>
        <v>I6900</v>
      </c>
    </row>
    <row r="10941" spans="1:6" x14ac:dyDescent="0.2">
      <c r="A10941" s="29" t="s">
        <v>25413</v>
      </c>
      <c r="B10941" s="30" t="s">
        <v>25414</v>
      </c>
      <c r="C10941" s="29" t="s">
        <v>26</v>
      </c>
      <c r="D10941" s="31">
        <v>5.7</v>
      </c>
      <c r="F10941" s="3" t="str">
        <f t="shared" si="170"/>
        <v>I6469</v>
      </c>
    </row>
    <row r="10942" spans="1:6" x14ac:dyDescent="0.2">
      <c r="A10942" s="29" t="s">
        <v>25415</v>
      </c>
      <c r="B10942" s="30" t="s">
        <v>25416</v>
      </c>
      <c r="C10942" s="29" t="s">
        <v>26</v>
      </c>
      <c r="D10942" s="31">
        <v>1.79</v>
      </c>
      <c r="F10942" s="3" t="str">
        <f t="shared" si="170"/>
        <v>I6468</v>
      </c>
    </row>
    <row r="10943" spans="1:6" x14ac:dyDescent="0.2">
      <c r="A10943" s="29" t="s">
        <v>25417</v>
      </c>
      <c r="B10943" s="30" t="s">
        <v>25418</v>
      </c>
      <c r="C10943" s="29" t="s">
        <v>26</v>
      </c>
      <c r="D10943" s="31">
        <v>73905.27</v>
      </c>
      <c r="F10943" s="3" t="str">
        <f t="shared" si="170"/>
        <v>I7706</v>
      </c>
    </row>
    <row r="10944" spans="1:6" x14ac:dyDescent="0.2">
      <c r="A10944" s="29" t="s">
        <v>25419</v>
      </c>
      <c r="B10944" s="30" t="s">
        <v>25420</v>
      </c>
      <c r="C10944" s="29" t="s">
        <v>26</v>
      </c>
      <c r="D10944" s="31">
        <v>88998.92</v>
      </c>
      <c r="F10944" s="3" t="str">
        <f t="shared" si="170"/>
        <v>I7707</v>
      </c>
    </row>
    <row r="10945" spans="1:6" x14ac:dyDescent="0.2">
      <c r="A10945" s="29" t="s">
        <v>25421</v>
      </c>
      <c r="B10945" s="30" t="s">
        <v>25422</v>
      </c>
      <c r="C10945" s="29" t="s">
        <v>26</v>
      </c>
      <c r="D10945" s="31">
        <v>5757.85</v>
      </c>
      <c r="F10945" s="3" t="str">
        <f t="shared" si="170"/>
        <v>I7699</v>
      </c>
    </row>
    <row r="10946" spans="1:6" x14ac:dyDescent="0.2">
      <c r="A10946" s="29" t="s">
        <v>25423</v>
      </c>
      <c r="B10946" s="30" t="s">
        <v>25424</v>
      </c>
      <c r="C10946" s="29" t="s">
        <v>26</v>
      </c>
      <c r="D10946" s="31">
        <v>6875.67</v>
      </c>
      <c r="F10946" s="3" t="str">
        <f t="shared" ref="F10946:F11009" si="171">A10946</f>
        <v>I7700</v>
      </c>
    </row>
    <row r="10947" spans="1:6" x14ac:dyDescent="0.2">
      <c r="A10947" s="29" t="s">
        <v>25425</v>
      </c>
      <c r="B10947" s="30" t="s">
        <v>25426</v>
      </c>
      <c r="C10947" s="29" t="s">
        <v>26</v>
      </c>
      <c r="D10947" s="31">
        <v>7993.48</v>
      </c>
      <c r="F10947" s="3" t="str">
        <f t="shared" si="171"/>
        <v>I7701</v>
      </c>
    </row>
    <row r="10948" spans="1:6" x14ac:dyDescent="0.2">
      <c r="A10948" s="29" t="s">
        <v>25427</v>
      </c>
      <c r="B10948" s="30" t="s">
        <v>25428</v>
      </c>
      <c r="C10948" s="29" t="s">
        <v>26</v>
      </c>
      <c r="D10948" s="31">
        <v>15284.96</v>
      </c>
      <c r="F10948" s="3" t="str">
        <f t="shared" si="171"/>
        <v>I7702</v>
      </c>
    </row>
    <row r="10949" spans="1:6" x14ac:dyDescent="0.2">
      <c r="A10949" s="29" t="s">
        <v>25429</v>
      </c>
      <c r="B10949" s="30" t="s">
        <v>25430</v>
      </c>
      <c r="C10949" s="29" t="s">
        <v>26</v>
      </c>
      <c r="D10949" s="31">
        <v>22576.44</v>
      </c>
      <c r="F10949" s="3" t="str">
        <f t="shared" si="171"/>
        <v>I7703</v>
      </c>
    </row>
    <row r="10950" spans="1:6" x14ac:dyDescent="0.2">
      <c r="A10950" s="29" t="s">
        <v>25431</v>
      </c>
      <c r="B10950" s="30" t="s">
        <v>25432</v>
      </c>
      <c r="C10950" s="29" t="s">
        <v>26</v>
      </c>
      <c r="D10950" s="31">
        <v>42674</v>
      </c>
      <c r="F10950" s="3" t="str">
        <f t="shared" si="171"/>
        <v>I7704</v>
      </c>
    </row>
    <row r="10951" spans="1:6" x14ac:dyDescent="0.2">
      <c r="A10951" s="29" t="s">
        <v>25433</v>
      </c>
      <c r="B10951" s="30" t="s">
        <v>25434</v>
      </c>
      <c r="C10951" s="29" t="s">
        <v>26</v>
      </c>
      <c r="D10951" s="31">
        <v>54525.13</v>
      </c>
      <c r="F10951" s="3" t="str">
        <f t="shared" si="171"/>
        <v>I7705</v>
      </c>
    </row>
    <row r="10952" spans="1:6" x14ac:dyDescent="0.2">
      <c r="A10952" s="29" t="s">
        <v>25435</v>
      </c>
      <c r="B10952" s="30" t="s">
        <v>25436</v>
      </c>
      <c r="C10952" s="29" t="s">
        <v>26</v>
      </c>
      <c r="D10952" s="31">
        <v>415.41</v>
      </c>
      <c r="F10952" s="3" t="str">
        <f t="shared" si="171"/>
        <v>I3904</v>
      </c>
    </row>
    <row r="10953" spans="1:6" x14ac:dyDescent="0.2">
      <c r="A10953" s="29" t="s">
        <v>25437</v>
      </c>
      <c r="B10953" s="30" t="s">
        <v>25438</v>
      </c>
      <c r="C10953" s="29" t="s">
        <v>26</v>
      </c>
      <c r="D10953" s="31">
        <v>26020.93</v>
      </c>
      <c r="F10953" s="3" t="str">
        <f t="shared" si="171"/>
        <v>I3916</v>
      </c>
    </row>
    <row r="10954" spans="1:6" x14ac:dyDescent="0.2">
      <c r="A10954" s="29" t="s">
        <v>25439</v>
      </c>
      <c r="B10954" s="30" t="s">
        <v>25440</v>
      </c>
      <c r="C10954" s="29" t="s">
        <v>26</v>
      </c>
      <c r="D10954" s="31">
        <v>40029</v>
      </c>
      <c r="F10954" s="3" t="str">
        <f t="shared" si="171"/>
        <v>I3918</v>
      </c>
    </row>
    <row r="10955" spans="1:6" x14ac:dyDescent="0.2">
      <c r="A10955" s="29" t="s">
        <v>25441</v>
      </c>
      <c r="B10955" s="30" t="s">
        <v>25442</v>
      </c>
      <c r="C10955" s="29" t="s">
        <v>26</v>
      </c>
      <c r="D10955" s="31">
        <v>616.78</v>
      </c>
      <c r="F10955" s="3" t="str">
        <f t="shared" si="171"/>
        <v>I3905</v>
      </c>
    </row>
    <row r="10956" spans="1:6" x14ac:dyDescent="0.2">
      <c r="A10956" s="29" t="s">
        <v>25443</v>
      </c>
      <c r="B10956" s="30" t="s">
        <v>25444</v>
      </c>
      <c r="C10956" s="29" t="s">
        <v>26</v>
      </c>
      <c r="D10956" s="31">
        <v>803.19</v>
      </c>
      <c r="F10956" s="3" t="str">
        <f t="shared" si="171"/>
        <v>I3906</v>
      </c>
    </row>
    <row r="10957" spans="1:6" x14ac:dyDescent="0.2">
      <c r="A10957" s="29" t="s">
        <v>25445</v>
      </c>
      <c r="B10957" s="30" t="s">
        <v>25446</v>
      </c>
      <c r="C10957" s="29" t="s">
        <v>26</v>
      </c>
      <c r="D10957" s="31">
        <v>1347.78</v>
      </c>
      <c r="F10957" s="3" t="str">
        <f t="shared" si="171"/>
        <v>I3907</v>
      </c>
    </row>
    <row r="10958" spans="1:6" x14ac:dyDescent="0.2">
      <c r="A10958" s="29" t="s">
        <v>25447</v>
      </c>
      <c r="B10958" s="30" t="s">
        <v>25448</v>
      </c>
      <c r="C10958" s="29" t="s">
        <v>26</v>
      </c>
      <c r="D10958" s="31">
        <v>1639.32</v>
      </c>
      <c r="F10958" s="3" t="str">
        <f t="shared" si="171"/>
        <v>I3908</v>
      </c>
    </row>
    <row r="10959" spans="1:6" x14ac:dyDescent="0.2">
      <c r="A10959" s="29" t="s">
        <v>25449</v>
      </c>
      <c r="B10959" s="30" t="s">
        <v>25450</v>
      </c>
      <c r="C10959" s="29" t="s">
        <v>26</v>
      </c>
      <c r="D10959" s="31">
        <v>2735.73</v>
      </c>
      <c r="F10959" s="3" t="str">
        <f t="shared" si="171"/>
        <v>I3909</v>
      </c>
    </row>
    <row r="10960" spans="1:6" x14ac:dyDescent="0.2">
      <c r="A10960" s="29" t="s">
        <v>25451</v>
      </c>
      <c r="B10960" s="30" t="s">
        <v>25452</v>
      </c>
      <c r="C10960" s="29" t="s">
        <v>26</v>
      </c>
      <c r="D10960" s="31">
        <v>3363.73</v>
      </c>
      <c r="F10960" s="3" t="str">
        <f t="shared" si="171"/>
        <v>I3910</v>
      </c>
    </row>
    <row r="10961" spans="1:6" x14ac:dyDescent="0.2">
      <c r="A10961" s="29" t="s">
        <v>25453</v>
      </c>
      <c r="B10961" s="30" t="s">
        <v>25454</v>
      </c>
      <c r="C10961" s="29" t="s">
        <v>26</v>
      </c>
      <c r="D10961" s="31">
        <v>146.93</v>
      </c>
      <c r="F10961" s="3" t="str">
        <f t="shared" si="171"/>
        <v>I3902</v>
      </c>
    </row>
    <row r="10962" spans="1:6" x14ac:dyDescent="0.2">
      <c r="A10962" s="29" t="s">
        <v>25455</v>
      </c>
      <c r="B10962" s="30" t="s">
        <v>25456</v>
      </c>
      <c r="C10962" s="29" t="s">
        <v>26</v>
      </c>
      <c r="D10962" s="31">
        <v>4222.0200000000004</v>
      </c>
      <c r="F10962" s="3" t="str">
        <f t="shared" si="171"/>
        <v>I3911</v>
      </c>
    </row>
    <row r="10963" spans="1:6" x14ac:dyDescent="0.2">
      <c r="A10963" s="29" t="s">
        <v>25457</v>
      </c>
      <c r="B10963" s="30" t="s">
        <v>25458</v>
      </c>
      <c r="C10963" s="29" t="s">
        <v>26</v>
      </c>
      <c r="D10963" s="31">
        <v>10244.48</v>
      </c>
      <c r="F10963" s="3" t="str">
        <f t="shared" si="171"/>
        <v>I3912</v>
      </c>
    </row>
    <row r="10964" spans="1:6" x14ac:dyDescent="0.2">
      <c r="A10964" s="29" t="s">
        <v>25459</v>
      </c>
      <c r="B10964" s="30" t="s">
        <v>25460</v>
      </c>
      <c r="C10964" s="29" t="s">
        <v>26</v>
      </c>
      <c r="D10964" s="31">
        <v>16692.68</v>
      </c>
      <c r="F10964" s="3" t="str">
        <f t="shared" si="171"/>
        <v>I3913</v>
      </c>
    </row>
    <row r="10965" spans="1:6" x14ac:dyDescent="0.2">
      <c r="A10965" s="29" t="s">
        <v>25461</v>
      </c>
      <c r="B10965" s="30" t="s">
        <v>25462</v>
      </c>
      <c r="C10965" s="29" t="s">
        <v>26</v>
      </c>
      <c r="D10965" s="31">
        <v>306.01</v>
      </c>
      <c r="F10965" s="3" t="str">
        <f t="shared" si="171"/>
        <v>I3903</v>
      </c>
    </row>
    <row r="10966" spans="1:6" x14ac:dyDescent="0.2">
      <c r="A10966" s="29" t="s">
        <v>25463</v>
      </c>
      <c r="B10966" s="30" t="s">
        <v>25464</v>
      </c>
      <c r="C10966" s="29" t="s">
        <v>26</v>
      </c>
      <c r="D10966" s="31">
        <v>306.01</v>
      </c>
      <c r="F10966" s="3" t="str">
        <f t="shared" si="171"/>
        <v>I7133</v>
      </c>
    </row>
    <row r="10967" spans="1:6" x14ac:dyDescent="0.2">
      <c r="A10967" s="29" t="s">
        <v>25465</v>
      </c>
      <c r="B10967" s="30" t="s">
        <v>25466</v>
      </c>
      <c r="C10967" s="29" t="s">
        <v>26</v>
      </c>
      <c r="D10967" s="31">
        <v>23140.880000000001</v>
      </c>
      <c r="F10967" s="3" t="str">
        <f t="shared" si="171"/>
        <v>I3914</v>
      </c>
    </row>
    <row r="10968" spans="1:6" x14ac:dyDescent="0.2">
      <c r="A10968" s="29" t="s">
        <v>25467</v>
      </c>
      <c r="B10968" s="30" t="s">
        <v>25468</v>
      </c>
      <c r="C10968" s="29" t="s">
        <v>26</v>
      </c>
      <c r="D10968" s="31">
        <v>21841.47</v>
      </c>
      <c r="F10968" s="3" t="str">
        <f t="shared" si="171"/>
        <v>I3915</v>
      </c>
    </row>
    <row r="10969" spans="1:6" x14ac:dyDescent="0.2">
      <c r="A10969" s="29" t="s">
        <v>25469</v>
      </c>
      <c r="B10969" s="30" t="s">
        <v>25470</v>
      </c>
      <c r="C10969" s="29" t="s">
        <v>26</v>
      </c>
      <c r="D10969" s="31">
        <v>3792.87</v>
      </c>
      <c r="F10969" s="3" t="str">
        <f t="shared" si="171"/>
        <v>I7604</v>
      </c>
    </row>
    <row r="10970" spans="1:6" x14ac:dyDescent="0.2">
      <c r="A10970" s="29" t="s">
        <v>25471</v>
      </c>
      <c r="B10970" s="30" t="s">
        <v>25472</v>
      </c>
      <c r="C10970" s="29" t="s">
        <v>26</v>
      </c>
      <c r="D10970" s="31">
        <v>100.15</v>
      </c>
      <c r="F10970" s="3" t="str">
        <f t="shared" si="171"/>
        <v>I3134</v>
      </c>
    </row>
    <row r="10971" spans="1:6" x14ac:dyDescent="0.2">
      <c r="A10971" s="29" t="s">
        <v>25473</v>
      </c>
      <c r="B10971" s="30" t="s">
        <v>25474</v>
      </c>
      <c r="C10971" s="29" t="s">
        <v>26</v>
      </c>
      <c r="D10971" s="31">
        <v>41.22</v>
      </c>
      <c r="F10971" s="3" t="str">
        <f t="shared" si="171"/>
        <v>I3132</v>
      </c>
    </row>
    <row r="10972" spans="1:6" x14ac:dyDescent="0.2">
      <c r="A10972" s="29" t="s">
        <v>25475</v>
      </c>
      <c r="B10972" s="30" t="s">
        <v>25476</v>
      </c>
      <c r="C10972" s="29" t="s">
        <v>26</v>
      </c>
      <c r="D10972" s="31">
        <v>61.92</v>
      </c>
      <c r="F10972" s="3" t="str">
        <f t="shared" si="171"/>
        <v>I3133</v>
      </c>
    </row>
    <row r="10973" spans="1:6" x14ac:dyDescent="0.2">
      <c r="A10973" s="29" t="s">
        <v>25477</v>
      </c>
      <c r="B10973" s="30" t="s">
        <v>25478</v>
      </c>
      <c r="C10973" s="29" t="s">
        <v>26</v>
      </c>
      <c r="D10973" s="31">
        <v>11.43</v>
      </c>
      <c r="F10973" s="3" t="str">
        <f t="shared" si="171"/>
        <v>I8916</v>
      </c>
    </row>
    <row r="10974" spans="1:6" x14ac:dyDescent="0.2">
      <c r="A10974" s="29" t="s">
        <v>25479</v>
      </c>
      <c r="B10974" s="30" t="s">
        <v>25480</v>
      </c>
      <c r="C10974" s="29" t="s">
        <v>26</v>
      </c>
      <c r="D10974" s="31">
        <v>811.71</v>
      </c>
      <c r="F10974" s="3" t="str">
        <f t="shared" si="171"/>
        <v>I4942</v>
      </c>
    </row>
    <row r="10975" spans="1:6" x14ac:dyDescent="0.2">
      <c r="A10975" s="29" t="s">
        <v>25481</v>
      </c>
      <c r="B10975" s="30" t="s">
        <v>25482</v>
      </c>
      <c r="C10975" s="29" t="s">
        <v>26</v>
      </c>
      <c r="D10975" s="31">
        <v>913.17</v>
      </c>
      <c r="F10975" s="3" t="str">
        <f t="shared" si="171"/>
        <v>I4943</v>
      </c>
    </row>
    <row r="10976" spans="1:6" x14ac:dyDescent="0.2">
      <c r="A10976" s="29" t="s">
        <v>25483</v>
      </c>
      <c r="B10976" s="30" t="s">
        <v>25484</v>
      </c>
      <c r="C10976" s="29" t="s">
        <v>26</v>
      </c>
      <c r="D10976" s="31">
        <v>1014.64</v>
      </c>
      <c r="F10976" s="3" t="str">
        <f t="shared" si="171"/>
        <v>I4944</v>
      </c>
    </row>
    <row r="10977" spans="1:6" x14ac:dyDescent="0.2">
      <c r="A10977" s="29" t="s">
        <v>25485</v>
      </c>
      <c r="B10977" s="30" t="s">
        <v>25486</v>
      </c>
      <c r="C10977" s="29" t="s">
        <v>26</v>
      </c>
      <c r="D10977" s="31">
        <v>1014.64</v>
      </c>
      <c r="F10977" s="3" t="str">
        <f t="shared" si="171"/>
        <v>I4945</v>
      </c>
    </row>
    <row r="10978" spans="1:6" x14ac:dyDescent="0.2">
      <c r="A10978" s="29" t="s">
        <v>25487</v>
      </c>
      <c r="B10978" s="30" t="s">
        <v>25488</v>
      </c>
      <c r="C10978" s="29" t="s">
        <v>26</v>
      </c>
      <c r="D10978" s="31">
        <v>1047.6500000000001</v>
      </c>
      <c r="F10978" s="3" t="str">
        <f t="shared" si="171"/>
        <v>I9861</v>
      </c>
    </row>
    <row r="10979" spans="1:6" x14ac:dyDescent="0.2">
      <c r="A10979" s="29" t="s">
        <v>25489</v>
      </c>
      <c r="B10979" s="30" t="s">
        <v>25490</v>
      </c>
      <c r="C10979" s="29" t="s">
        <v>26</v>
      </c>
      <c r="D10979" s="31">
        <v>40.81</v>
      </c>
      <c r="F10979" s="3" t="str">
        <f t="shared" si="171"/>
        <v>I9862</v>
      </c>
    </row>
    <row r="10980" spans="1:6" ht="22.5" x14ac:dyDescent="0.2">
      <c r="A10980" s="29" t="s">
        <v>25491</v>
      </c>
      <c r="B10980" s="30" t="s">
        <v>25492</v>
      </c>
      <c r="C10980" s="29" t="s">
        <v>26</v>
      </c>
      <c r="D10980" s="31">
        <v>11943.74</v>
      </c>
      <c r="F10980" s="3" t="str">
        <f t="shared" si="171"/>
        <v>I9863</v>
      </c>
    </row>
    <row r="10981" spans="1:6" x14ac:dyDescent="0.2">
      <c r="A10981" s="29" t="s">
        <v>25493</v>
      </c>
      <c r="B10981" s="30" t="s">
        <v>25494</v>
      </c>
      <c r="C10981" s="29" t="s">
        <v>26</v>
      </c>
      <c r="D10981" s="31">
        <v>10.039999999999999</v>
      </c>
      <c r="F10981" s="3" t="str">
        <f t="shared" si="171"/>
        <v>I8077</v>
      </c>
    </row>
    <row r="10982" spans="1:6" x14ac:dyDescent="0.2">
      <c r="A10982" s="29" t="s">
        <v>25495</v>
      </c>
      <c r="B10982" s="30" t="s">
        <v>25496</v>
      </c>
      <c r="C10982" s="29" t="s">
        <v>255</v>
      </c>
      <c r="D10982" s="31">
        <v>3.38</v>
      </c>
      <c r="F10982" s="3" t="str">
        <f t="shared" si="171"/>
        <v>I9865</v>
      </c>
    </row>
    <row r="10983" spans="1:6" ht="22.5" x14ac:dyDescent="0.2">
      <c r="A10983" s="29" t="s">
        <v>25497</v>
      </c>
      <c r="B10983" s="30" t="s">
        <v>25498</v>
      </c>
      <c r="C10983" s="29" t="s">
        <v>255</v>
      </c>
      <c r="D10983" s="31">
        <v>8.83</v>
      </c>
      <c r="F10983" s="3" t="str">
        <f t="shared" si="171"/>
        <v>I9064</v>
      </c>
    </row>
    <row r="10984" spans="1:6" x14ac:dyDescent="0.2">
      <c r="A10984" s="29" t="s">
        <v>25499</v>
      </c>
      <c r="B10984" s="30" t="s">
        <v>25500</v>
      </c>
      <c r="C10984" s="29" t="s">
        <v>255</v>
      </c>
      <c r="D10984" s="31">
        <v>31.44</v>
      </c>
      <c r="F10984" s="3" t="str">
        <f t="shared" si="171"/>
        <v>I9866</v>
      </c>
    </row>
    <row r="10985" spans="1:6" x14ac:dyDescent="0.2">
      <c r="A10985" s="29" t="s">
        <v>25501</v>
      </c>
      <c r="B10985" s="30" t="s">
        <v>25502</v>
      </c>
      <c r="C10985" s="29" t="s">
        <v>26</v>
      </c>
      <c r="D10985" s="31">
        <v>203.16</v>
      </c>
      <c r="F10985" s="3" t="str">
        <f t="shared" si="171"/>
        <v>I6375</v>
      </c>
    </row>
    <row r="10986" spans="1:6" x14ac:dyDescent="0.2">
      <c r="A10986" s="29" t="s">
        <v>25503</v>
      </c>
      <c r="B10986" s="30" t="s">
        <v>25504</v>
      </c>
      <c r="C10986" s="29" t="s">
        <v>26</v>
      </c>
      <c r="D10986" s="31">
        <v>152.27000000000001</v>
      </c>
      <c r="F10986" s="3" t="str">
        <f t="shared" si="171"/>
        <v>I8917</v>
      </c>
    </row>
    <row r="10987" spans="1:6" x14ac:dyDescent="0.2">
      <c r="A10987" s="29" t="s">
        <v>25505</v>
      </c>
      <c r="B10987" s="30" t="s">
        <v>25506</v>
      </c>
      <c r="C10987" s="29" t="s">
        <v>26</v>
      </c>
      <c r="D10987" s="31">
        <v>2861.53</v>
      </c>
      <c r="F10987" s="3" t="str">
        <f t="shared" si="171"/>
        <v>I9864</v>
      </c>
    </row>
    <row r="10988" spans="1:6" x14ac:dyDescent="0.2">
      <c r="A10988" s="29" t="s">
        <v>25507</v>
      </c>
      <c r="B10988" s="30" t="s">
        <v>25508</v>
      </c>
      <c r="C10988" s="29" t="s">
        <v>26</v>
      </c>
      <c r="D10988" s="31">
        <v>27.68</v>
      </c>
      <c r="F10988" s="3" t="str">
        <f t="shared" si="171"/>
        <v>I8918</v>
      </c>
    </row>
    <row r="10989" spans="1:6" x14ac:dyDescent="0.2">
      <c r="A10989" s="29" t="s">
        <v>25509</v>
      </c>
      <c r="B10989" s="30" t="s">
        <v>25510</v>
      </c>
      <c r="C10989" s="29" t="s">
        <v>26</v>
      </c>
      <c r="D10989" s="31">
        <v>62.74</v>
      </c>
      <c r="F10989" s="3" t="str">
        <f t="shared" si="171"/>
        <v>I8517</v>
      </c>
    </row>
    <row r="10990" spans="1:6" ht="22.5" x14ac:dyDescent="0.2">
      <c r="A10990" s="29" t="s">
        <v>25511</v>
      </c>
      <c r="B10990" s="30" t="s">
        <v>25512</v>
      </c>
      <c r="C10990" s="29" t="s">
        <v>0</v>
      </c>
      <c r="D10990" s="31">
        <v>44.82</v>
      </c>
      <c r="F10990" s="3" t="str">
        <f t="shared" si="171"/>
        <v>I10476</v>
      </c>
    </row>
    <row r="10991" spans="1:6" x14ac:dyDescent="0.2">
      <c r="A10991" s="29" t="s">
        <v>25513</v>
      </c>
      <c r="B10991" s="30" t="s">
        <v>25514</v>
      </c>
      <c r="C10991" s="29" t="s">
        <v>26</v>
      </c>
      <c r="D10991" s="31">
        <v>142335.79</v>
      </c>
      <c r="F10991" s="3" t="str">
        <f t="shared" si="171"/>
        <v>I8919</v>
      </c>
    </row>
    <row r="10992" spans="1:6" x14ac:dyDescent="0.2">
      <c r="A10992" s="29" t="s">
        <v>25515</v>
      </c>
      <c r="B10992" s="30" t="s">
        <v>25516</v>
      </c>
      <c r="C10992" s="29" t="s">
        <v>26</v>
      </c>
      <c r="D10992" s="31">
        <v>211471.96</v>
      </c>
      <c r="F10992" s="3" t="str">
        <f t="shared" si="171"/>
        <v>I10482</v>
      </c>
    </row>
    <row r="10993" spans="1:6" x14ac:dyDescent="0.2">
      <c r="A10993" s="29" t="s">
        <v>25517</v>
      </c>
      <c r="B10993" s="30" t="s">
        <v>25518</v>
      </c>
      <c r="C10993" s="29" t="s">
        <v>26</v>
      </c>
      <c r="D10993" s="31">
        <v>76916.240000000005</v>
      </c>
      <c r="F10993" s="3" t="str">
        <f t="shared" si="171"/>
        <v>I10478</v>
      </c>
    </row>
    <row r="10994" spans="1:6" x14ac:dyDescent="0.2">
      <c r="A10994" s="29" t="s">
        <v>25519</v>
      </c>
      <c r="B10994" s="30" t="s">
        <v>25520</v>
      </c>
      <c r="C10994" s="29" t="s">
        <v>26</v>
      </c>
      <c r="D10994" s="31">
        <v>98711.7</v>
      </c>
      <c r="F10994" s="3" t="str">
        <f t="shared" si="171"/>
        <v>I10479</v>
      </c>
    </row>
    <row r="10995" spans="1:6" x14ac:dyDescent="0.2">
      <c r="A10995" s="29" t="s">
        <v>25521</v>
      </c>
      <c r="B10995" s="30" t="s">
        <v>25522</v>
      </c>
      <c r="C10995" s="29" t="s">
        <v>26</v>
      </c>
      <c r="D10995" s="31">
        <v>113691.59</v>
      </c>
      <c r="F10995" s="3" t="str">
        <f t="shared" si="171"/>
        <v>I10480</v>
      </c>
    </row>
    <row r="10996" spans="1:6" x14ac:dyDescent="0.2">
      <c r="A10996" s="29" t="s">
        <v>25523</v>
      </c>
      <c r="B10996" s="30" t="s">
        <v>25524</v>
      </c>
      <c r="C10996" s="29" t="s">
        <v>26</v>
      </c>
      <c r="D10996" s="31">
        <v>177389.27</v>
      </c>
      <c r="F10996" s="3" t="str">
        <f t="shared" si="171"/>
        <v>I10481</v>
      </c>
    </row>
    <row r="10997" spans="1:6" x14ac:dyDescent="0.2">
      <c r="A10997" s="29" t="s">
        <v>25525</v>
      </c>
      <c r="B10997" s="30" t="s">
        <v>25526</v>
      </c>
      <c r="C10997" s="29" t="s">
        <v>26</v>
      </c>
      <c r="D10997" s="31">
        <v>45972.99</v>
      </c>
      <c r="F10997" s="3" t="str">
        <f t="shared" si="171"/>
        <v>I8880</v>
      </c>
    </row>
    <row r="10998" spans="1:6" x14ac:dyDescent="0.2">
      <c r="A10998" s="29" t="s">
        <v>25527</v>
      </c>
      <c r="B10998" s="30" t="s">
        <v>25528</v>
      </c>
      <c r="C10998" s="29" t="s">
        <v>26</v>
      </c>
      <c r="D10998" s="31">
        <v>85349.82</v>
      </c>
      <c r="F10998" s="3" t="str">
        <f t="shared" si="171"/>
        <v>I8882</v>
      </c>
    </row>
    <row r="10999" spans="1:6" x14ac:dyDescent="0.2">
      <c r="A10999" s="29" t="s">
        <v>25529</v>
      </c>
      <c r="B10999" s="30" t="s">
        <v>25530</v>
      </c>
      <c r="C10999" s="29" t="s">
        <v>26</v>
      </c>
      <c r="D10999" s="31">
        <v>27158.76</v>
      </c>
      <c r="F10999" s="3" t="str">
        <f t="shared" si="171"/>
        <v>I8883</v>
      </c>
    </row>
    <row r="11000" spans="1:6" x14ac:dyDescent="0.2">
      <c r="A11000" s="29" t="s">
        <v>25531</v>
      </c>
      <c r="B11000" s="30" t="s">
        <v>25532</v>
      </c>
      <c r="C11000" s="29" t="s">
        <v>26</v>
      </c>
      <c r="D11000" s="31">
        <v>28550.560000000001</v>
      </c>
      <c r="F11000" s="3" t="str">
        <f t="shared" si="171"/>
        <v>I2956</v>
      </c>
    </row>
    <row r="11001" spans="1:6" x14ac:dyDescent="0.2">
      <c r="A11001" s="29" t="s">
        <v>25533</v>
      </c>
      <c r="B11001" s="30" t="s">
        <v>25534</v>
      </c>
      <c r="C11001" s="29" t="s">
        <v>26</v>
      </c>
      <c r="D11001" s="31">
        <v>30870.57</v>
      </c>
      <c r="F11001" s="3" t="str">
        <f t="shared" si="171"/>
        <v>I2957</v>
      </c>
    </row>
    <row r="11002" spans="1:6" x14ac:dyDescent="0.2">
      <c r="A11002" s="29" t="s">
        <v>25535</v>
      </c>
      <c r="B11002" s="30" t="s">
        <v>25536</v>
      </c>
      <c r="C11002" s="29" t="s">
        <v>26</v>
      </c>
      <c r="D11002" s="31">
        <v>34277.300000000003</v>
      </c>
      <c r="F11002" s="3" t="str">
        <f t="shared" si="171"/>
        <v>I2958</v>
      </c>
    </row>
    <row r="11003" spans="1:6" x14ac:dyDescent="0.2">
      <c r="A11003" s="29" t="s">
        <v>25537</v>
      </c>
      <c r="B11003" s="30" t="s">
        <v>25538</v>
      </c>
      <c r="C11003" s="29" t="s">
        <v>26</v>
      </c>
      <c r="D11003" s="31">
        <v>38603.72</v>
      </c>
      <c r="F11003" s="3" t="str">
        <f t="shared" si="171"/>
        <v>I2959</v>
      </c>
    </row>
    <row r="11004" spans="1:6" x14ac:dyDescent="0.2">
      <c r="A11004" s="29" t="s">
        <v>25539</v>
      </c>
      <c r="B11004" s="30" t="s">
        <v>25540</v>
      </c>
      <c r="C11004" s="29" t="s">
        <v>26</v>
      </c>
      <c r="D11004" s="31">
        <v>60350.76</v>
      </c>
      <c r="F11004" s="3" t="str">
        <f t="shared" si="171"/>
        <v>I2960</v>
      </c>
    </row>
    <row r="11005" spans="1:6" x14ac:dyDescent="0.2">
      <c r="A11005" s="29" t="s">
        <v>25541</v>
      </c>
      <c r="B11005" s="30" t="s">
        <v>25542</v>
      </c>
      <c r="C11005" s="29" t="s">
        <v>26</v>
      </c>
      <c r="D11005" s="31">
        <v>26794.17</v>
      </c>
      <c r="F11005" s="3" t="str">
        <f t="shared" si="171"/>
        <v>I2954</v>
      </c>
    </row>
    <row r="11006" spans="1:6" x14ac:dyDescent="0.2">
      <c r="A11006" s="29" t="s">
        <v>25543</v>
      </c>
      <c r="B11006" s="30" t="s">
        <v>25544</v>
      </c>
      <c r="C11006" s="29" t="s">
        <v>26</v>
      </c>
      <c r="D11006" s="31">
        <v>13017.44</v>
      </c>
      <c r="F11006" s="3" t="str">
        <f t="shared" si="171"/>
        <v>I9867</v>
      </c>
    </row>
    <row r="11007" spans="1:6" x14ac:dyDescent="0.2">
      <c r="A11007" s="29" t="s">
        <v>25545</v>
      </c>
      <c r="B11007" s="30" t="s">
        <v>25546</v>
      </c>
      <c r="C11007" s="29" t="s">
        <v>26</v>
      </c>
      <c r="D11007" s="31">
        <v>70400.92</v>
      </c>
      <c r="F11007" s="3" t="str">
        <f t="shared" si="171"/>
        <v>I9869</v>
      </c>
    </row>
    <row r="11008" spans="1:6" x14ac:dyDescent="0.2">
      <c r="A11008" s="29" t="s">
        <v>25547</v>
      </c>
      <c r="B11008" s="30" t="s">
        <v>25548</v>
      </c>
      <c r="C11008" s="29" t="s">
        <v>26</v>
      </c>
      <c r="D11008" s="31">
        <v>146986.73000000001</v>
      </c>
      <c r="F11008" s="3" t="str">
        <f t="shared" si="171"/>
        <v>I9870</v>
      </c>
    </row>
    <row r="11009" spans="1:6" x14ac:dyDescent="0.2">
      <c r="A11009" s="29" t="s">
        <v>25549</v>
      </c>
      <c r="B11009" s="30" t="s">
        <v>25550</v>
      </c>
      <c r="C11009" s="29" t="s">
        <v>26</v>
      </c>
      <c r="D11009" s="31">
        <v>13436.72</v>
      </c>
      <c r="F11009" s="3" t="str">
        <f t="shared" si="171"/>
        <v>I9871</v>
      </c>
    </row>
    <row r="11010" spans="1:6" x14ac:dyDescent="0.2">
      <c r="A11010" s="29" t="s">
        <v>25551</v>
      </c>
      <c r="B11010" s="30" t="s">
        <v>25552</v>
      </c>
      <c r="C11010" s="29" t="s">
        <v>271</v>
      </c>
      <c r="D11010" s="31">
        <v>2130</v>
      </c>
      <c r="F11010" s="3" t="str">
        <f t="shared" ref="F11010:F11073" si="172">A11010</f>
        <v>I9872</v>
      </c>
    </row>
    <row r="11011" spans="1:6" x14ac:dyDescent="0.2">
      <c r="A11011" s="29" t="s">
        <v>25553</v>
      </c>
      <c r="B11011" s="30" t="s">
        <v>25554</v>
      </c>
      <c r="C11011" s="29" t="s">
        <v>271</v>
      </c>
      <c r="D11011" s="31">
        <v>2130</v>
      </c>
      <c r="F11011" s="3" t="str">
        <f t="shared" si="172"/>
        <v>I9873</v>
      </c>
    </row>
    <row r="11012" spans="1:6" x14ac:dyDescent="0.2">
      <c r="A11012" s="29" t="s">
        <v>25555</v>
      </c>
      <c r="B11012" s="30" t="s">
        <v>25556</v>
      </c>
      <c r="C11012" s="29" t="s">
        <v>20779</v>
      </c>
      <c r="D11012" s="31">
        <v>2440</v>
      </c>
      <c r="F11012" s="3" t="str">
        <f t="shared" si="172"/>
        <v>I13131</v>
      </c>
    </row>
    <row r="11013" spans="1:6" x14ac:dyDescent="0.2">
      <c r="A11013" s="29" t="s">
        <v>25557</v>
      </c>
      <c r="B11013" s="30" t="s">
        <v>25558</v>
      </c>
      <c r="C11013" s="29" t="s">
        <v>20779</v>
      </c>
      <c r="D11013" s="31">
        <v>2890</v>
      </c>
      <c r="F11013" s="3" t="str">
        <f t="shared" si="172"/>
        <v>I13132</v>
      </c>
    </row>
    <row r="11014" spans="1:6" x14ac:dyDescent="0.2">
      <c r="A11014" s="29" t="s">
        <v>25559</v>
      </c>
      <c r="B11014" s="30" t="s">
        <v>25560</v>
      </c>
      <c r="C11014" s="29" t="s">
        <v>26</v>
      </c>
      <c r="D11014" s="31">
        <v>19977.89</v>
      </c>
      <c r="F11014" s="3" t="str">
        <f t="shared" si="172"/>
        <v>I8920</v>
      </c>
    </row>
    <row r="11015" spans="1:6" x14ac:dyDescent="0.2">
      <c r="A11015" s="29" t="s">
        <v>25561</v>
      </c>
      <c r="B11015" s="30" t="s">
        <v>25562</v>
      </c>
      <c r="C11015" s="29" t="s">
        <v>26</v>
      </c>
      <c r="D11015" s="31">
        <v>100.84</v>
      </c>
      <c r="F11015" s="3" t="str">
        <f t="shared" si="172"/>
        <v>I8921</v>
      </c>
    </row>
    <row r="11016" spans="1:6" x14ac:dyDescent="0.2">
      <c r="A11016" s="29" t="s">
        <v>25563</v>
      </c>
      <c r="B11016" s="30" t="s">
        <v>25564</v>
      </c>
      <c r="C11016" s="29" t="s">
        <v>26</v>
      </c>
      <c r="D11016" s="31">
        <v>8958.69</v>
      </c>
      <c r="F11016" s="3" t="str">
        <f t="shared" si="172"/>
        <v>I8922</v>
      </c>
    </row>
    <row r="11017" spans="1:6" x14ac:dyDescent="0.2">
      <c r="A11017" s="29" t="s">
        <v>25565</v>
      </c>
      <c r="B11017" s="30" t="s">
        <v>25566</v>
      </c>
      <c r="C11017" s="29" t="s">
        <v>26</v>
      </c>
      <c r="D11017" s="31">
        <v>66878.850000000006</v>
      </c>
      <c r="F11017" s="3" t="str">
        <f t="shared" si="172"/>
        <v>I8929</v>
      </c>
    </row>
    <row r="11018" spans="1:6" x14ac:dyDescent="0.2">
      <c r="A11018" s="29" t="s">
        <v>25567</v>
      </c>
      <c r="B11018" s="30" t="s">
        <v>25568</v>
      </c>
      <c r="C11018" s="29" t="s">
        <v>26</v>
      </c>
      <c r="D11018" s="31">
        <v>9890.92</v>
      </c>
      <c r="F11018" s="3" t="str">
        <f t="shared" si="172"/>
        <v>I9885</v>
      </c>
    </row>
    <row r="11019" spans="1:6" x14ac:dyDescent="0.2">
      <c r="A11019" s="29" t="s">
        <v>25569</v>
      </c>
      <c r="B11019" s="30" t="s">
        <v>25570</v>
      </c>
      <c r="C11019" s="29" t="s">
        <v>26</v>
      </c>
      <c r="D11019" s="31">
        <v>21687.88</v>
      </c>
      <c r="F11019" s="3" t="str">
        <f t="shared" si="172"/>
        <v>I8886</v>
      </c>
    </row>
    <row r="11020" spans="1:6" x14ac:dyDescent="0.2">
      <c r="A11020" s="29" t="s">
        <v>25571</v>
      </c>
      <c r="B11020" s="30" t="s">
        <v>25572</v>
      </c>
      <c r="C11020" s="29" t="s">
        <v>26</v>
      </c>
      <c r="D11020" s="31">
        <v>18753.32</v>
      </c>
      <c r="F11020" s="3" t="str">
        <f t="shared" si="172"/>
        <v>I8887</v>
      </c>
    </row>
    <row r="11021" spans="1:6" x14ac:dyDescent="0.2">
      <c r="A11021" s="29" t="s">
        <v>25573</v>
      </c>
      <c r="B11021" s="30" t="s">
        <v>25574</v>
      </c>
      <c r="C11021" s="29" t="s">
        <v>26</v>
      </c>
      <c r="D11021" s="31">
        <v>22972.82</v>
      </c>
      <c r="F11021" s="3" t="str">
        <f t="shared" si="172"/>
        <v>I8888</v>
      </c>
    </row>
    <row r="11022" spans="1:6" x14ac:dyDescent="0.2">
      <c r="A11022" s="29" t="s">
        <v>25575</v>
      </c>
      <c r="B11022" s="30" t="s">
        <v>25576</v>
      </c>
      <c r="C11022" s="29" t="s">
        <v>26</v>
      </c>
      <c r="D11022" s="31">
        <v>22972.82</v>
      </c>
      <c r="F11022" s="3" t="str">
        <f t="shared" si="172"/>
        <v>I8889</v>
      </c>
    </row>
    <row r="11023" spans="1:6" x14ac:dyDescent="0.2">
      <c r="A11023" s="29" t="s">
        <v>25577</v>
      </c>
      <c r="B11023" s="30" t="s">
        <v>25578</v>
      </c>
      <c r="C11023" s="29" t="s">
        <v>26</v>
      </c>
      <c r="D11023" s="31">
        <v>18.66</v>
      </c>
      <c r="F11023" s="3" t="str">
        <f t="shared" si="172"/>
        <v>I9890</v>
      </c>
    </row>
    <row r="11024" spans="1:6" x14ac:dyDescent="0.2">
      <c r="A11024" s="29" t="s">
        <v>25579</v>
      </c>
      <c r="B11024" s="30" t="s">
        <v>25580</v>
      </c>
      <c r="C11024" s="29" t="s">
        <v>26</v>
      </c>
      <c r="D11024" s="31">
        <v>18.66</v>
      </c>
      <c r="F11024" s="3" t="str">
        <f t="shared" si="172"/>
        <v>I9891</v>
      </c>
    </row>
    <row r="11025" spans="1:6" x14ac:dyDescent="0.2">
      <c r="A11025" s="29" t="s">
        <v>25581</v>
      </c>
      <c r="B11025" s="30" t="s">
        <v>25582</v>
      </c>
      <c r="C11025" s="29" t="s">
        <v>26</v>
      </c>
      <c r="D11025" s="31">
        <v>18.66</v>
      </c>
      <c r="F11025" s="3" t="str">
        <f t="shared" si="172"/>
        <v>I9892</v>
      </c>
    </row>
    <row r="11026" spans="1:6" x14ac:dyDescent="0.2">
      <c r="A11026" s="29" t="s">
        <v>25583</v>
      </c>
      <c r="B11026" s="30" t="s">
        <v>25584</v>
      </c>
      <c r="C11026" s="29" t="s">
        <v>26</v>
      </c>
      <c r="D11026" s="31">
        <v>4.9800000000000004</v>
      </c>
      <c r="F11026" s="3" t="str">
        <f t="shared" si="172"/>
        <v>I9893</v>
      </c>
    </row>
    <row r="11027" spans="1:6" x14ac:dyDescent="0.2">
      <c r="A11027" s="29" t="s">
        <v>25585</v>
      </c>
      <c r="B11027" s="30" t="s">
        <v>25586</v>
      </c>
      <c r="C11027" s="29" t="s">
        <v>26</v>
      </c>
      <c r="D11027" s="31">
        <v>7.47</v>
      </c>
      <c r="F11027" s="3" t="str">
        <f t="shared" si="172"/>
        <v>I9894</v>
      </c>
    </row>
    <row r="11028" spans="1:6" x14ac:dyDescent="0.2">
      <c r="A11028" s="29" t="s">
        <v>25587</v>
      </c>
      <c r="B11028" s="30" t="s">
        <v>25588</v>
      </c>
      <c r="C11028" s="29" t="s">
        <v>26</v>
      </c>
      <c r="D11028" s="31">
        <v>6.22</v>
      </c>
      <c r="F11028" s="3" t="str">
        <f t="shared" si="172"/>
        <v>I9895</v>
      </c>
    </row>
    <row r="11029" spans="1:6" x14ac:dyDescent="0.2">
      <c r="A11029" s="29" t="s">
        <v>25589</v>
      </c>
      <c r="B11029" s="30" t="s">
        <v>25590</v>
      </c>
      <c r="C11029" s="29" t="s">
        <v>26</v>
      </c>
      <c r="D11029" s="31">
        <v>7.47</v>
      </c>
      <c r="F11029" s="3" t="str">
        <f t="shared" si="172"/>
        <v>I9896</v>
      </c>
    </row>
    <row r="11030" spans="1:6" x14ac:dyDescent="0.2">
      <c r="A11030" s="29" t="s">
        <v>25591</v>
      </c>
      <c r="B11030" s="30" t="s">
        <v>25592</v>
      </c>
      <c r="C11030" s="29" t="s">
        <v>26</v>
      </c>
      <c r="D11030" s="31">
        <v>3.11</v>
      </c>
      <c r="F11030" s="3" t="str">
        <f t="shared" si="172"/>
        <v>I9897</v>
      </c>
    </row>
    <row r="11031" spans="1:6" x14ac:dyDescent="0.2">
      <c r="A11031" s="29" t="s">
        <v>25593</v>
      </c>
      <c r="B11031" s="30" t="s">
        <v>25594</v>
      </c>
      <c r="C11031" s="29" t="s">
        <v>26</v>
      </c>
      <c r="D11031" s="31">
        <v>7.47</v>
      </c>
      <c r="F11031" s="3" t="str">
        <f t="shared" si="172"/>
        <v>I9898</v>
      </c>
    </row>
    <row r="11032" spans="1:6" ht="33.75" x14ac:dyDescent="0.2">
      <c r="A11032" s="29" t="s">
        <v>25595</v>
      </c>
      <c r="B11032" s="30" t="s">
        <v>25596</v>
      </c>
      <c r="C11032" s="29" t="s">
        <v>26</v>
      </c>
      <c r="D11032" s="31">
        <v>2788.15</v>
      </c>
      <c r="F11032" s="3" t="str">
        <f t="shared" si="172"/>
        <v>I8930</v>
      </c>
    </row>
    <row r="11033" spans="1:6" x14ac:dyDescent="0.2">
      <c r="A11033" s="29" t="s">
        <v>25597</v>
      </c>
      <c r="B11033" s="30" t="s">
        <v>25598</v>
      </c>
      <c r="C11033" s="29" t="s">
        <v>26</v>
      </c>
      <c r="D11033" s="31">
        <v>2552.08</v>
      </c>
      <c r="F11033" s="3" t="str">
        <f t="shared" si="172"/>
        <v>I9876</v>
      </c>
    </row>
    <row r="11034" spans="1:6" x14ac:dyDescent="0.2">
      <c r="A11034" s="29" t="s">
        <v>25599</v>
      </c>
      <c r="B11034" s="30" t="s">
        <v>25600</v>
      </c>
      <c r="C11034" s="29" t="s">
        <v>26</v>
      </c>
      <c r="D11034" s="31">
        <v>1604.94</v>
      </c>
      <c r="F11034" s="3" t="str">
        <f t="shared" si="172"/>
        <v>I9877</v>
      </c>
    </row>
    <row r="11035" spans="1:6" x14ac:dyDescent="0.2">
      <c r="A11035" s="29" t="s">
        <v>25601</v>
      </c>
      <c r="B11035" s="30" t="s">
        <v>25602</v>
      </c>
      <c r="C11035" s="29" t="s">
        <v>26</v>
      </c>
      <c r="D11035" s="31">
        <v>2153.29</v>
      </c>
      <c r="F11035" s="3" t="str">
        <f t="shared" si="172"/>
        <v>I9879</v>
      </c>
    </row>
    <row r="11036" spans="1:6" ht="22.5" x14ac:dyDescent="0.2">
      <c r="A11036" s="29" t="s">
        <v>25603</v>
      </c>
      <c r="B11036" s="30" t="s">
        <v>25604</v>
      </c>
      <c r="C11036" s="29" t="s">
        <v>26</v>
      </c>
      <c r="D11036" s="31">
        <v>1392.63</v>
      </c>
      <c r="F11036" s="3" t="str">
        <f t="shared" si="172"/>
        <v>I9878</v>
      </c>
    </row>
    <row r="11037" spans="1:6" x14ac:dyDescent="0.2">
      <c r="A11037" s="29" t="s">
        <v>25605</v>
      </c>
      <c r="B11037" s="30" t="s">
        <v>25606</v>
      </c>
      <c r="C11037" s="29" t="s">
        <v>26</v>
      </c>
      <c r="D11037" s="31">
        <v>8169.78</v>
      </c>
      <c r="F11037" s="3" t="str">
        <f t="shared" si="172"/>
        <v>I8955</v>
      </c>
    </row>
    <row r="11038" spans="1:6" ht="22.5" x14ac:dyDescent="0.2">
      <c r="A11038" s="29" t="s">
        <v>25607</v>
      </c>
      <c r="B11038" s="30" t="s">
        <v>25608</v>
      </c>
      <c r="C11038" s="29" t="s">
        <v>26</v>
      </c>
      <c r="D11038" s="31">
        <v>72.03</v>
      </c>
      <c r="F11038" s="3" t="str">
        <f t="shared" si="172"/>
        <v>I8923</v>
      </c>
    </row>
    <row r="11039" spans="1:6" ht="22.5" x14ac:dyDescent="0.2">
      <c r="A11039" s="29" t="s">
        <v>25609</v>
      </c>
      <c r="B11039" s="30" t="s">
        <v>25610</v>
      </c>
      <c r="C11039" s="29" t="s">
        <v>26</v>
      </c>
      <c r="D11039" s="31">
        <v>176.86</v>
      </c>
      <c r="F11039" s="3" t="str">
        <f t="shared" si="172"/>
        <v>I8924</v>
      </c>
    </row>
    <row r="11040" spans="1:6" ht="22.5" x14ac:dyDescent="0.2">
      <c r="A11040" s="29" t="s">
        <v>25611</v>
      </c>
      <c r="B11040" s="30" t="s">
        <v>25612</v>
      </c>
      <c r="C11040" s="29" t="s">
        <v>26</v>
      </c>
      <c r="D11040" s="31">
        <v>89.82</v>
      </c>
      <c r="F11040" s="3" t="str">
        <f t="shared" si="172"/>
        <v>I8925</v>
      </c>
    </row>
    <row r="11041" spans="1:6" ht="22.5" x14ac:dyDescent="0.2">
      <c r="A11041" s="29" t="s">
        <v>25613</v>
      </c>
      <c r="B11041" s="30" t="s">
        <v>25614</v>
      </c>
      <c r="C11041" s="29" t="s">
        <v>26</v>
      </c>
      <c r="D11041" s="31">
        <v>93.67</v>
      </c>
      <c r="F11041" s="3" t="str">
        <f t="shared" si="172"/>
        <v>I8926</v>
      </c>
    </row>
    <row r="11042" spans="1:6" ht="22.5" x14ac:dyDescent="0.2">
      <c r="A11042" s="29" t="s">
        <v>25615</v>
      </c>
      <c r="B11042" s="30" t="s">
        <v>25616</v>
      </c>
      <c r="C11042" s="29" t="s">
        <v>26</v>
      </c>
      <c r="D11042" s="31">
        <v>5469.2</v>
      </c>
      <c r="F11042" s="3" t="str">
        <f t="shared" si="172"/>
        <v>I8884</v>
      </c>
    </row>
    <row r="11043" spans="1:6" x14ac:dyDescent="0.2">
      <c r="A11043" s="29" t="s">
        <v>25617</v>
      </c>
      <c r="B11043" s="30" t="s">
        <v>25618</v>
      </c>
      <c r="C11043" s="29" t="s">
        <v>26</v>
      </c>
      <c r="D11043" s="31">
        <v>2873.96</v>
      </c>
      <c r="F11043" s="3" t="str">
        <f t="shared" si="172"/>
        <v>I9880</v>
      </c>
    </row>
    <row r="11044" spans="1:6" x14ac:dyDescent="0.2">
      <c r="A11044" s="29" t="s">
        <v>25619</v>
      </c>
      <c r="B11044" s="30" t="s">
        <v>25620</v>
      </c>
      <c r="C11044" s="29" t="s">
        <v>26</v>
      </c>
      <c r="D11044" s="31">
        <v>3269.79</v>
      </c>
      <c r="F11044" s="3" t="str">
        <f t="shared" si="172"/>
        <v>I9881</v>
      </c>
    </row>
    <row r="11045" spans="1:6" x14ac:dyDescent="0.2">
      <c r="A11045" s="29" t="s">
        <v>25621</v>
      </c>
      <c r="B11045" s="30" t="s">
        <v>25622</v>
      </c>
      <c r="C11045" s="29" t="s">
        <v>26</v>
      </c>
      <c r="D11045" s="31">
        <v>1134.94</v>
      </c>
      <c r="F11045" s="3" t="str">
        <f t="shared" si="172"/>
        <v>I8927</v>
      </c>
    </row>
    <row r="11046" spans="1:6" x14ac:dyDescent="0.2">
      <c r="A11046" s="29" t="s">
        <v>25623</v>
      </c>
      <c r="B11046" s="30" t="s">
        <v>25624</v>
      </c>
      <c r="C11046" s="29" t="s">
        <v>26</v>
      </c>
      <c r="D11046" s="31">
        <v>3864.99</v>
      </c>
      <c r="F11046" s="3" t="str">
        <f t="shared" si="172"/>
        <v>I8885</v>
      </c>
    </row>
    <row r="11047" spans="1:6" x14ac:dyDescent="0.2">
      <c r="A11047" s="29" t="s">
        <v>25625</v>
      </c>
      <c r="B11047" s="30" t="s">
        <v>25626</v>
      </c>
      <c r="C11047" s="29" t="s">
        <v>26</v>
      </c>
      <c r="D11047" s="31">
        <v>1940.48</v>
      </c>
      <c r="F11047" s="3" t="str">
        <f t="shared" si="172"/>
        <v>I9882</v>
      </c>
    </row>
    <row r="11048" spans="1:6" x14ac:dyDescent="0.2">
      <c r="A11048" s="29" t="s">
        <v>25627</v>
      </c>
      <c r="B11048" s="30" t="s">
        <v>25628</v>
      </c>
      <c r="C11048" s="29" t="s">
        <v>26</v>
      </c>
      <c r="D11048" s="31">
        <v>1787.06</v>
      </c>
      <c r="F11048" s="3" t="str">
        <f t="shared" si="172"/>
        <v>I9884</v>
      </c>
    </row>
    <row r="11049" spans="1:6" x14ac:dyDescent="0.2">
      <c r="A11049" s="29" t="s">
        <v>25629</v>
      </c>
      <c r="B11049" s="30" t="s">
        <v>25630</v>
      </c>
      <c r="C11049" s="29" t="s">
        <v>26</v>
      </c>
      <c r="D11049" s="31">
        <v>1168.99</v>
      </c>
      <c r="F11049" s="3" t="str">
        <f t="shared" si="172"/>
        <v>I8928</v>
      </c>
    </row>
    <row r="11050" spans="1:6" x14ac:dyDescent="0.2">
      <c r="A11050" s="29" t="s">
        <v>25631</v>
      </c>
      <c r="B11050" s="30" t="s">
        <v>25632</v>
      </c>
      <c r="C11050" s="29" t="s">
        <v>26</v>
      </c>
      <c r="D11050" s="31">
        <v>6.04</v>
      </c>
      <c r="F11050" s="3" t="str">
        <f t="shared" si="172"/>
        <v>I6358</v>
      </c>
    </row>
    <row r="11051" spans="1:6" x14ac:dyDescent="0.2">
      <c r="A11051" s="29" t="s">
        <v>25633</v>
      </c>
      <c r="B11051" s="30" t="s">
        <v>25634</v>
      </c>
      <c r="C11051" s="29" t="s">
        <v>26</v>
      </c>
      <c r="D11051" s="31">
        <v>18.84</v>
      </c>
      <c r="F11051" s="3" t="str">
        <f t="shared" si="172"/>
        <v>I6355</v>
      </c>
    </row>
    <row r="11052" spans="1:6" x14ac:dyDescent="0.2">
      <c r="A11052" s="29" t="s">
        <v>25635</v>
      </c>
      <c r="B11052" s="30" t="s">
        <v>25636</v>
      </c>
      <c r="C11052" s="29" t="s">
        <v>26</v>
      </c>
      <c r="D11052" s="31">
        <v>33.58</v>
      </c>
      <c r="F11052" s="3" t="str">
        <f t="shared" si="172"/>
        <v>I8662</v>
      </c>
    </row>
    <row r="11053" spans="1:6" x14ac:dyDescent="0.2">
      <c r="A11053" s="29" t="s">
        <v>25637</v>
      </c>
      <c r="B11053" s="30" t="s">
        <v>25638</v>
      </c>
      <c r="C11053" s="29" t="s">
        <v>26</v>
      </c>
      <c r="D11053" s="31">
        <v>11.82</v>
      </c>
      <c r="F11053" s="3" t="str">
        <f t="shared" si="172"/>
        <v>I9900</v>
      </c>
    </row>
    <row r="11054" spans="1:6" x14ac:dyDescent="0.2">
      <c r="A11054" s="29" t="s">
        <v>25639</v>
      </c>
      <c r="B11054" s="30" t="s">
        <v>25640</v>
      </c>
      <c r="C11054" s="29" t="s">
        <v>26</v>
      </c>
      <c r="D11054" s="31">
        <v>36.69</v>
      </c>
      <c r="F11054" s="3" t="str">
        <f t="shared" si="172"/>
        <v>I9902</v>
      </c>
    </row>
    <row r="11055" spans="1:6" x14ac:dyDescent="0.2">
      <c r="A11055" s="29" t="s">
        <v>25641</v>
      </c>
      <c r="B11055" s="30" t="s">
        <v>25642</v>
      </c>
      <c r="C11055" s="29" t="s">
        <v>26</v>
      </c>
      <c r="D11055" s="31">
        <v>28.62</v>
      </c>
      <c r="F11055" s="3" t="str">
        <f t="shared" si="172"/>
        <v>I9901</v>
      </c>
    </row>
    <row r="11056" spans="1:6" x14ac:dyDescent="0.2">
      <c r="A11056" s="29" t="s">
        <v>25643</v>
      </c>
      <c r="B11056" s="30" t="s">
        <v>25644</v>
      </c>
      <c r="C11056" s="29" t="s">
        <v>26</v>
      </c>
      <c r="D11056" s="31">
        <v>5.1100000000000003</v>
      </c>
      <c r="F11056" s="3" t="str">
        <f t="shared" si="172"/>
        <v>I9899</v>
      </c>
    </row>
    <row r="11057" spans="1:6" x14ac:dyDescent="0.2">
      <c r="A11057" s="29" t="s">
        <v>25645</v>
      </c>
      <c r="B11057" s="30" t="s">
        <v>25646</v>
      </c>
      <c r="C11057" s="29" t="s">
        <v>26</v>
      </c>
      <c r="D11057" s="31">
        <v>13.82</v>
      </c>
      <c r="F11057" s="3" t="str">
        <f t="shared" si="172"/>
        <v>I9903</v>
      </c>
    </row>
    <row r="11058" spans="1:6" x14ac:dyDescent="0.2">
      <c r="A11058" s="29" t="s">
        <v>25647</v>
      </c>
      <c r="B11058" s="30" t="s">
        <v>25648</v>
      </c>
      <c r="C11058" s="29" t="s">
        <v>26</v>
      </c>
      <c r="D11058" s="31">
        <v>576.44000000000005</v>
      </c>
      <c r="F11058" s="3" t="str">
        <f t="shared" si="172"/>
        <v>I9904</v>
      </c>
    </row>
    <row r="11059" spans="1:6" x14ac:dyDescent="0.2">
      <c r="A11059" s="29" t="s">
        <v>25649</v>
      </c>
      <c r="B11059" s="30" t="s">
        <v>25650</v>
      </c>
      <c r="C11059" s="29" t="s">
        <v>26</v>
      </c>
      <c r="D11059" s="31">
        <v>634.97</v>
      </c>
      <c r="F11059" s="3" t="str">
        <f t="shared" si="172"/>
        <v>I9905</v>
      </c>
    </row>
    <row r="11060" spans="1:6" x14ac:dyDescent="0.2">
      <c r="A11060" s="29" t="s">
        <v>25651</v>
      </c>
      <c r="B11060" s="30" t="s">
        <v>25652</v>
      </c>
      <c r="C11060" s="29" t="s">
        <v>26</v>
      </c>
      <c r="D11060" s="31">
        <v>11.6</v>
      </c>
      <c r="F11060" s="3" t="str">
        <f t="shared" si="172"/>
        <v>I8078</v>
      </c>
    </row>
    <row r="11061" spans="1:6" ht="45" x14ac:dyDescent="0.2">
      <c r="A11061" s="29" t="s">
        <v>25653</v>
      </c>
      <c r="B11061" s="30" t="s">
        <v>25654</v>
      </c>
      <c r="C11061" s="29" t="s">
        <v>26</v>
      </c>
      <c r="D11061" s="31">
        <v>12348.14</v>
      </c>
      <c r="F11061" s="3" t="str">
        <f t="shared" si="172"/>
        <v>I8934</v>
      </c>
    </row>
    <row r="11062" spans="1:6" ht="33.75" x14ac:dyDescent="0.2">
      <c r="A11062" s="29" t="s">
        <v>25655</v>
      </c>
      <c r="B11062" s="30" t="s">
        <v>25656</v>
      </c>
      <c r="C11062" s="29" t="s">
        <v>26</v>
      </c>
      <c r="D11062" s="31">
        <v>577.09</v>
      </c>
      <c r="F11062" s="3" t="str">
        <f t="shared" si="172"/>
        <v>I8935</v>
      </c>
    </row>
    <row r="11063" spans="1:6" x14ac:dyDescent="0.2">
      <c r="A11063" s="29" t="s">
        <v>25657</v>
      </c>
      <c r="B11063" s="30" t="s">
        <v>25658</v>
      </c>
      <c r="C11063" s="29" t="s">
        <v>26</v>
      </c>
      <c r="D11063" s="31">
        <v>921.76</v>
      </c>
      <c r="F11063" s="3" t="str">
        <f t="shared" si="172"/>
        <v>I9906</v>
      </c>
    </row>
    <row r="11064" spans="1:6" x14ac:dyDescent="0.2">
      <c r="A11064" s="29" t="s">
        <v>25659</v>
      </c>
      <c r="B11064" s="30" t="s">
        <v>25660</v>
      </c>
      <c r="C11064" s="29" t="s">
        <v>26</v>
      </c>
      <c r="D11064" s="31">
        <v>22910.98</v>
      </c>
      <c r="F11064" s="3" t="str">
        <f t="shared" si="172"/>
        <v>I9907</v>
      </c>
    </row>
    <row r="11065" spans="1:6" x14ac:dyDescent="0.2">
      <c r="A11065" s="29" t="s">
        <v>25661</v>
      </c>
      <c r="B11065" s="30" t="s">
        <v>25662</v>
      </c>
      <c r="C11065" s="29" t="s">
        <v>26</v>
      </c>
      <c r="D11065" s="31">
        <v>32818.980000000003</v>
      </c>
      <c r="F11065" s="3" t="str">
        <f t="shared" si="172"/>
        <v>I9908</v>
      </c>
    </row>
    <row r="11066" spans="1:6" x14ac:dyDescent="0.2">
      <c r="A11066" s="29" t="s">
        <v>25663</v>
      </c>
      <c r="B11066" s="30" t="s">
        <v>25664</v>
      </c>
      <c r="C11066" s="29" t="s">
        <v>26</v>
      </c>
      <c r="D11066" s="31">
        <v>19049.46</v>
      </c>
      <c r="F11066" s="3" t="str">
        <f t="shared" si="172"/>
        <v>I9909</v>
      </c>
    </row>
    <row r="11067" spans="1:6" x14ac:dyDescent="0.2">
      <c r="A11067" s="29" t="s">
        <v>25665</v>
      </c>
      <c r="B11067" s="30" t="s">
        <v>25666</v>
      </c>
      <c r="C11067" s="29" t="s">
        <v>26</v>
      </c>
      <c r="D11067" s="31">
        <v>172920.45</v>
      </c>
      <c r="F11067" s="3" t="str">
        <f t="shared" si="172"/>
        <v>I9910</v>
      </c>
    </row>
    <row r="11068" spans="1:6" x14ac:dyDescent="0.2">
      <c r="A11068" s="29" t="s">
        <v>25667</v>
      </c>
      <c r="B11068" s="30" t="s">
        <v>25668</v>
      </c>
      <c r="C11068" s="29" t="s">
        <v>26</v>
      </c>
      <c r="D11068" s="31">
        <v>215950.38</v>
      </c>
      <c r="F11068" s="3" t="str">
        <f t="shared" si="172"/>
        <v>I9911</v>
      </c>
    </row>
    <row r="11069" spans="1:6" x14ac:dyDescent="0.2">
      <c r="A11069" s="29" t="s">
        <v>25669</v>
      </c>
      <c r="B11069" s="30" t="s">
        <v>25670</v>
      </c>
      <c r="C11069" s="29" t="s">
        <v>26</v>
      </c>
      <c r="D11069" s="31">
        <v>50827.58</v>
      </c>
      <c r="F11069" s="3" t="str">
        <f t="shared" si="172"/>
        <v>I9914</v>
      </c>
    </row>
    <row r="11070" spans="1:6" x14ac:dyDescent="0.2">
      <c r="A11070" s="29" t="s">
        <v>25671</v>
      </c>
      <c r="B11070" s="30" t="s">
        <v>25672</v>
      </c>
      <c r="C11070" s="29" t="s">
        <v>26</v>
      </c>
      <c r="D11070" s="31">
        <v>24293.05</v>
      </c>
      <c r="F11070" s="3" t="str">
        <f t="shared" si="172"/>
        <v>I8940</v>
      </c>
    </row>
    <row r="11071" spans="1:6" x14ac:dyDescent="0.2">
      <c r="A11071" s="29" t="s">
        <v>25673</v>
      </c>
      <c r="B11071" s="30" t="s">
        <v>25674</v>
      </c>
      <c r="C11071" s="29" t="s">
        <v>26</v>
      </c>
      <c r="D11071" s="31">
        <v>29435.37</v>
      </c>
      <c r="F11071" s="3" t="str">
        <f t="shared" si="172"/>
        <v>I6004</v>
      </c>
    </row>
    <row r="11072" spans="1:6" x14ac:dyDescent="0.2">
      <c r="A11072" s="29" t="s">
        <v>25675</v>
      </c>
      <c r="B11072" s="30" t="s">
        <v>25676</v>
      </c>
      <c r="C11072" s="29" t="s">
        <v>26</v>
      </c>
      <c r="D11072" s="31">
        <v>88403.58</v>
      </c>
      <c r="F11072" s="3" t="str">
        <f t="shared" si="172"/>
        <v>I9912</v>
      </c>
    </row>
    <row r="11073" spans="1:6" x14ac:dyDescent="0.2">
      <c r="A11073" s="29" t="s">
        <v>25677</v>
      </c>
      <c r="B11073" s="30" t="s">
        <v>25678</v>
      </c>
      <c r="C11073" s="29" t="s">
        <v>26</v>
      </c>
      <c r="D11073" s="31">
        <v>236382.93</v>
      </c>
      <c r="F11073" s="3" t="str">
        <f t="shared" si="172"/>
        <v>I9913</v>
      </c>
    </row>
    <row r="11074" spans="1:6" x14ac:dyDescent="0.2">
      <c r="A11074" s="29" t="s">
        <v>25679</v>
      </c>
      <c r="B11074" s="30" t="s">
        <v>25680</v>
      </c>
      <c r="C11074" s="29" t="s">
        <v>26</v>
      </c>
      <c r="D11074" s="31">
        <v>73894.78</v>
      </c>
      <c r="F11074" s="3" t="str">
        <f t="shared" ref="F11074:F11137" si="173">A11074</f>
        <v>I9915</v>
      </c>
    </row>
    <row r="11075" spans="1:6" x14ac:dyDescent="0.2">
      <c r="A11075" s="29" t="s">
        <v>25681</v>
      </c>
      <c r="B11075" s="30" t="s">
        <v>25682</v>
      </c>
      <c r="C11075" s="29" t="s">
        <v>26</v>
      </c>
      <c r="D11075" s="31">
        <v>18560.63</v>
      </c>
      <c r="F11075" s="3" t="str">
        <f t="shared" si="173"/>
        <v>I6010</v>
      </c>
    </row>
    <row r="11076" spans="1:6" x14ac:dyDescent="0.2">
      <c r="A11076" s="29" t="s">
        <v>25683</v>
      </c>
      <c r="B11076" s="30" t="s">
        <v>25684</v>
      </c>
      <c r="C11076" s="29" t="s">
        <v>26</v>
      </c>
      <c r="D11076" s="31">
        <v>19544.439999999999</v>
      </c>
      <c r="F11076" s="3" t="str">
        <f t="shared" si="173"/>
        <v>I6011</v>
      </c>
    </row>
    <row r="11077" spans="1:6" x14ac:dyDescent="0.2">
      <c r="A11077" s="29" t="s">
        <v>25685</v>
      </c>
      <c r="B11077" s="30" t="s">
        <v>25686</v>
      </c>
      <c r="C11077" s="29" t="s">
        <v>26</v>
      </c>
      <c r="D11077" s="31">
        <v>18800.66</v>
      </c>
      <c r="F11077" s="3" t="str">
        <f t="shared" si="173"/>
        <v>I6013</v>
      </c>
    </row>
    <row r="11078" spans="1:6" x14ac:dyDescent="0.2">
      <c r="A11078" s="29" t="s">
        <v>25687</v>
      </c>
      <c r="B11078" s="30" t="s">
        <v>25688</v>
      </c>
      <c r="C11078" s="29" t="s">
        <v>26</v>
      </c>
      <c r="D11078" s="31">
        <v>19433.669999999998</v>
      </c>
      <c r="F11078" s="3" t="str">
        <f t="shared" si="173"/>
        <v>I6014</v>
      </c>
    </row>
    <row r="11079" spans="1:6" x14ac:dyDescent="0.2">
      <c r="A11079" s="29" t="s">
        <v>25689</v>
      </c>
      <c r="B11079" s="30" t="s">
        <v>25690</v>
      </c>
      <c r="C11079" s="29" t="s">
        <v>26</v>
      </c>
      <c r="D11079" s="31">
        <v>20446.5</v>
      </c>
      <c r="F11079" s="3" t="str">
        <f t="shared" si="173"/>
        <v>I6015</v>
      </c>
    </row>
    <row r="11080" spans="1:6" x14ac:dyDescent="0.2">
      <c r="A11080" s="29" t="s">
        <v>25691</v>
      </c>
      <c r="B11080" s="30" t="s">
        <v>25692</v>
      </c>
      <c r="C11080" s="29" t="s">
        <v>26</v>
      </c>
      <c r="D11080" s="31">
        <v>21158.639999999999</v>
      </c>
      <c r="F11080" s="3" t="str">
        <f t="shared" si="173"/>
        <v>I6016</v>
      </c>
    </row>
    <row r="11081" spans="1:6" x14ac:dyDescent="0.2">
      <c r="A11081" s="29" t="s">
        <v>25693</v>
      </c>
      <c r="B11081" s="30" t="s">
        <v>25694</v>
      </c>
      <c r="C11081" s="29" t="s">
        <v>26</v>
      </c>
      <c r="D11081" s="31">
        <v>21427.68</v>
      </c>
      <c r="F11081" s="3" t="str">
        <f t="shared" si="173"/>
        <v>I6017</v>
      </c>
    </row>
    <row r="11082" spans="1:6" x14ac:dyDescent="0.2">
      <c r="A11082" s="29" t="s">
        <v>25695</v>
      </c>
      <c r="B11082" s="30" t="s">
        <v>25696</v>
      </c>
      <c r="C11082" s="29" t="s">
        <v>26</v>
      </c>
      <c r="D11082" s="31">
        <v>18262.59</v>
      </c>
      <c r="F11082" s="3" t="str">
        <f t="shared" si="173"/>
        <v>I6009</v>
      </c>
    </row>
    <row r="11083" spans="1:6" x14ac:dyDescent="0.2">
      <c r="A11083" s="29" t="s">
        <v>25697</v>
      </c>
      <c r="B11083" s="30" t="s">
        <v>25698</v>
      </c>
      <c r="C11083" s="29" t="s">
        <v>26</v>
      </c>
      <c r="D11083" s="31">
        <v>21585.93</v>
      </c>
      <c r="F11083" s="3" t="str">
        <f t="shared" si="173"/>
        <v>I5996</v>
      </c>
    </row>
    <row r="11084" spans="1:6" x14ac:dyDescent="0.2">
      <c r="A11084" s="29" t="s">
        <v>25699</v>
      </c>
      <c r="B11084" s="30" t="s">
        <v>25700</v>
      </c>
      <c r="C11084" s="29" t="s">
        <v>26</v>
      </c>
      <c r="D11084" s="31">
        <v>22044.87</v>
      </c>
      <c r="F11084" s="3" t="str">
        <f t="shared" si="173"/>
        <v>I5997</v>
      </c>
    </row>
    <row r="11085" spans="1:6" x14ac:dyDescent="0.2">
      <c r="A11085" s="29" t="s">
        <v>25701</v>
      </c>
      <c r="B11085" s="30" t="s">
        <v>25702</v>
      </c>
      <c r="C11085" s="29" t="s">
        <v>26</v>
      </c>
      <c r="D11085" s="31">
        <v>22662.06</v>
      </c>
      <c r="F11085" s="3" t="str">
        <f t="shared" si="173"/>
        <v>I5998</v>
      </c>
    </row>
    <row r="11086" spans="1:6" x14ac:dyDescent="0.2">
      <c r="A11086" s="29" t="s">
        <v>25703</v>
      </c>
      <c r="B11086" s="30" t="s">
        <v>25704</v>
      </c>
      <c r="C11086" s="29" t="s">
        <v>26</v>
      </c>
      <c r="D11086" s="31">
        <v>23184.31</v>
      </c>
      <c r="F11086" s="3" t="str">
        <f t="shared" si="173"/>
        <v>I5999</v>
      </c>
    </row>
    <row r="11087" spans="1:6" x14ac:dyDescent="0.2">
      <c r="A11087" s="29" t="s">
        <v>25705</v>
      </c>
      <c r="B11087" s="30" t="s">
        <v>25706</v>
      </c>
      <c r="C11087" s="29" t="s">
        <v>26</v>
      </c>
      <c r="D11087" s="31">
        <v>23437.52</v>
      </c>
      <c r="F11087" s="3" t="str">
        <f t="shared" si="173"/>
        <v>I6000</v>
      </c>
    </row>
    <row r="11088" spans="1:6" x14ac:dyDescent="0.2">
      <c r="A11088" s="29" t="s">
        <v>25707</v>
      </c>
      <c r="B11088" s="30" t="s">
        <v>25708</v>
      </c>
      <c r="C11088" s="29" t="s">
        <v>26</v>
      </c>
      <c r="D11088" s="31">
        <v>23579.94</v>
      </c>
      <c r="F11088" s="3" t="str">
        <f t="shared" si="173"/>
        <v>I6001</v>
      </c>
    </row>
    <row r="11089" spans="1:6" x14ac:dyDescent="0.2">
      <c r="A11089" s="29" t="s">
        <v>25709</v>
      </c>
      <c r="B11089" s="30" t="s">
        <v>25710</v>
      </c>
      <c r="C11089" s="29" t="s">
        <v>26</v>
      </c>
      <c r="D11089" s="31">
        <v>24703.55</v>
      </c>
      <c r="F11089" s="3" t="str">
        <f t="shared" si="173"/>
        <v>I6002</v>
      </c>
    </row>
    <row r="11090" spans="1:6" x14ac:dyDescent="0.2">
      <c r="A11090" s="29" t="s">
        <v>25711</v>
      </c>
      <c r="B11090" s="30" t="s">
        <v>25712</v>
      </c>
      <c r="C11090" s="29" t="s">
        <v>26</v>
      </c>
      <c r="D11090" s="31">
        <v>27504.66</v>
      </c>
      <c r="F11090" s="3" t="str">
        <f t="shared" si="173"/>
        <v>I6003</v>
      </c>
    </row>
    <row r="11091" spans="1:6" x14ac:dyDescent="0.2">
      <c r="A11091" s="29" t="s">
        <v>25713</v>
      </c>
      <c r="B11091" s="30" t="s">
        <v>25714</v>
      </c>
      <c r="C11091" s="29" t="s">
        <v>26</v>
      </c>
      <c r="D11091" s="31">
        <v>21206.12</v>
      </c>
      <c r="F11091" s="3" t="str">
        <f t="shared" si="173"/>
        <v>I5995</v>
      </c>
    </row>
    <row r="11092" spans="1:6" x14ac:dyDescent="0.2">
      <c r="A11092" s="29" t="s">
        <v>25715</v>
      </c>
      <c r="B11092" s="30" t="s">
        <v>25716</v>
      </c>
      <c r="C11092" s="29" t="s">
        <v>26</v>
      </c>
      <c r="D11092" s="31">
        <v>34547.300000000003</v>
      </c>
      <c r="F11092" s="3" t="str">
        <f t="shared" si="173"/>
        <v>I8936</v>
      </c>
    </row>
    <row r="11093" spans="1:6" x14ac:dyDescent="0.2">
      <c r="A11093" s="29" t="s">
        <v>25717</v>
      </c>
      <c r="B11093" s="30" t="s">
        <v>25718</v>
      </c>
      <c r="C11093" s="29" t="s">
        <v>26</v>
      </c>
      <c r="D11093" s="31">
        <v>29213.81</v>
      </c>
      <c r="F11093" s="3" t="str">
        <f t="shared" si="173"/>
        <v>I8528</v>
      </c>
    </row>
    <row r="11094" spans="1:6" x14ac:dyDescent="0.2">
      <c r="A11094" s="29" t="s">
        <v>25719</v>
      </c>
      <c r="B11094" s="30" t="s">
        <v>25720</v>
      </c>
      <c r="C11094" s="29" t="s">
        <v>26</v>
      </c>
      <c r="D11094" s="31">
        <v>34531.160000000003</v>
      </c>
      <c r="F11094" s="3" t="str">
        <f t="shared" si="173"/>
        <v>I8529</v>
      </c>
    </row>
    <row r="11095" spans="1:6" x14ac:dyDescent="0.2">
      <c r="A11095" s="29" t="s">
        <v>25721</v>
      </c>
      <c r="B11095" s="30" t="s">
        <v>25722</v>
      </c>
      <c r="C11095" s="29" t="s">
        <v>26</v>
      </c>
      <c r="D11095" s="31">
        <v>42902.84</v>
      </c>
      <c r="F11095" s="3" t="str">
        <f t="shared" si="173"/>
        <v>I8530</v>
      </c>
    </row>
    <row r="11096" spans="1:6" x14ac:dyDescent="0.2">
      <c r="A11096" s="29" t="s">
        <v>25723</v>
      </c>
      <c r="B11096" s="30" t="s">
        <v>25724</v>
      </c>
      <c r="C11096" s="29" t="s">
        <v>26</v>
      </c>
      <c r="D11096" s="31">
        <v>110319.63</v>
      </c>
      <c r="F11096" s="3" t="str">
        <f t="shared" si="173"/>
        <v>I8938</v>
      </c>
    </row>
    <row r="11097" spans="1:6" x14ac:dyDescent="0.2">
      <c r="A11097" s="29" t="s">
        <v>25725</v>
      </c>
      <c r="B11097" s="30" t="s">
        <v>25726</v>
      </c>
      <c r="C11097" s="29" t="s">
        <v>26</v>
      </c>
      <c r="D11097" s="31">
        <v>48710.78</v>
      </c>
      <c r="F11097" s="3" t="str">
        <f t="shared" si="173"/>
        <v>I8531</v>
      </c>
    </row>
    <row r="11098" spans="1:6" x14ac:dyDescent="0.2">
      <c r="A11098" s="29" t="s">
        <v>25727</v>
      </c>
      <c r="B11098" s="30" t="s">
        <v>25728</v>
      </c>
      <c r="C11098" s="29" t="s">
        <v>26</v>
      </c>
      <c r="D11098" s="31">
        <v>52825.41</v>
      </c>
      <c r="F11098" s="3" t="str">
        <f t="shared" si="173"/>
        <v>I8532</v>
      </c>
    </row>
    <row r="11099" spans="1:6" x14ac:dyDescent="0.2">
      <c r="A11099" s="29" t="s">
        <v>25729</v>
      </c>
      <c r="B11099" s="30" t="s">
        <v>25730</v>
      </c>
      <c r="C11099" s="29" t="s">
        <v>26</v>
      </c>
      <c r="D11099" s="31">
        <v>56401.96</v>
      </c>
      <c r="F11099" s="3" t="str">
        <f t="shared" si="173"/>
        <v>I8533</v>
      </c>
    </row>
    <row r="11100" spans="1:6" x14ac:dyDescent="0.2">
      <c r="A11100" s="29" t="s">
        <v>25731</v>
      </c>
      <c r="B11100" s="30" t="s">
        <v>25732</v>
      </c>
      <c r="C11100" s="29" t="s">
        <v>26</v>
      </c>
      <c r="D11100" s="31">
        <v>61196.83</v>
      </c>
      <c r="F11100" s="3" t="str">
        <f t="shared" si="173"/>
        <v>I8534</v>
      </c>
    </row>
    <row r="11101" spans="1:6" x14ac:dyDescent="0.2">
      <c r="A11101" s="29" t="s">
        <v>25733</v>
      </c>
      <c r="B11101" s="30" t="s">
        <v>25734</v>
      </c>
      <c r="C11101" s="29" t="s">
        <v>26</v>
      </c>
      <c r="D11101" s="31">
        <v>27045.72</v>
      </c>
      <c r="F11101" s="3" t="str">
        <f t="shared" si="173"/>
        <v>I8527</v>
      </c>
    </row>
    <row r="11102" spans="1:6" x14ac:dyDescent="0.2">
      <c r="A11102" s="29" t="s">
        <v>25735</v>
      </c>
      <c r="B11102" s="30" t="s">
        <v>25736</v>
      </c>
      <c r="C11102" s="29" t="s">
        <v>26</v>
      </c>
      <c r="D11102" s="31">
        <v>67685.509999999995</v>
      </c>
      <c r="F11102" s="3" t="str">
        <f t="shared" si="173"/>
        <v>I8535</v>
      </c>
    </row>
    <row r="11103" spans="1:6" x14ac:dyDescent="0.2">
      <c r="A11103" s="29" t="s">
        <v>25737</v>
      </c>
      <c r="B11103" s="30" t="s">
        <v>25738</v>
      </c>
      <c r="C11103" s="29" t="s">
        <v>26</v>
      </c>
      <c r="D11103" s="31">
        <v>88709.54</v>
      </c>
      <c r="F11103" s="3" t="str">
        <f t="shared" si="173"/>
        <v>I8939</v>
      </c>
    </row>
    <row r="11104" spans="1:6" x14ac:dyDescent="0.2">
      <c r="A11104" s="29" t="s">
        <v>25739</v>
      </c>
      <c r="B11104" s="30" t="s">
        <v>25740</v>
      </c>
      <c r="C11104" s="29" t="s">
        <v>26</v>
      </c>
      <c r="D11104" s="31">
        <v>90702.86</v>
      </c>
      <c r="F11104" s="3" t="str">
        <f t="shared" si="173"/>
        <v>I8937</v>
      </c>
    </row>
    <row r="11105" spans="1:6" x14ac:dyDescent="0.2">
      <c r="A11105" s="29" t="s">
        <v>25741</v>
      </c>
      <c r="B11105" s="30" t="s">
        <v>25742</v>
      </c>
      <c r="C11105" s="29" t="s">
        <v>26</v>
      </c>
      <c r="D11105" s="31">
        <v>11.72</v>
      </c>
      <c r="F11105" s="3" t="str">
        <f t="shared" si="173"/>
        <v>I4241</v>
      </c>
    </row>
    <row r="11106" spans="1:6" x14ac:dyDescent="0.2">
      <c r="A11106" s="29" t="s">
        <v>25743</v>
      </c>
      <c r="B11106" s="30" t="s">
        <v>25744</v>
      </c>
      <c r="C11106" s="29" t="s">
        <v>26</v>
      </c>
      <c r="D11106" s="31">
        <v>27.72</v>
      </c>
      <c r="F11106" s="3" t="str">
        <f t="shared" si="173"/>
        <v>I4242</v>
      </c>
    </row>
    <row r="11107" spans="1:6" x14ac:dyDescent="0.2">
      <c r="A11107" s="29" t="s">
        <v>25745</v>
      </c>
      <c r="B11107" s="30" t="s">
        <v>25746</v>
      </c>
      <c r="C11107" s="29" t="s">
        <v>26</v>
      </c>
      <c r="D11107" s="31">
        <v>39.61</v>
      </c>
      <c r="F11107" s="3" t="str">
        <f t="shared" si="173"/>
        <v>I4243</v>
      </c>
    </row>
    <row r="11108" spans="1:6" x14ac:dyDescent="0.2">
      <c r="A11108" s="29" t="s">
        <v>25747</v>
      </c>
      <c r="B11108" s="30" t="s">
        <v>25748</v>
      </c>
      <c r="C11108" s="29" t="s">
        <v>26</v>
      </c>
      <c r="D11108" s="31">
        <v>45.26</v>
      </c>
      <c r="F11108" s="3" t="str">
        <f t="shared" si="173"/>
        <v>I4244</v>
      </c>
    </row>
    <row r="11109" spans="1:6" x14ac:dyDescent="0.2">
      <c r="A11109" s="29" t="s">
        <v>25749</v>
      </c>
      <c r="B11109" s="30" t="s">
        <v>25750</v>
      </c>
      <c r="C11109" s="29" t="s">
        <v>26</v>
      </c>
      <c r="D11109" s="31">
        <v>131.07</v>
      </c>
      <c r="F11109" s="3" t="str">
        <f t="shared" si="173"/>
        <v>I4245</v>
      </c>
    </row>
    <row r="11110" spans="1:6" x14ac:dyDescent="0.2">
      <c r="A11110" s="29" t="s">
        <v>25751</v>
      </c>
      <c r="B11110" s="30" t="s">
        <v>25752</v>
      </c>
      <c r="C11110" s="29" t="s">
        <v>26</v>
      </c>
      <c r="D11110" s="31">
        <v>101.31</v>
      </c>
      <c r="F11110" s="3" t="str">
        <f t="shared" si="173"/>
        <v>I4246</v>
      </c>
    </row>
    <row r="11111" spans="1:6" x14ac:dyDescent="0.2">
      <c r="A11111" s="29" t="s">
        <v>25753</v>
      </c>
      <c r="B11111" s="30" t="s">
        <v>25754</v>
      </c>
      <c r="C11111" s="29" t="s">
        <v>26</v>
      </c>
      <c r="D11111" s="31">
        <v>206.37</v>
      </c>
      <c r="F11111" s="3" t="str">
        <f t="shared" si="173"/>
        <v>I4247</v>
      </c>
    </row>
    <row r="11112" spans="1:6" x14ac:dyDescent="0.2">
      <c r="A11112" s="29" t="s">
        <v>25755</v>
      </c>
      <c r="B11112" s="30" t="s">
        <v>25756</v>
      </c>
      <c r="C11112" s="29" t="s">
        <v>26</v>
      </c>
      <c r="D11112" s="31">
        <v>312.07</v>
      </c>
      <c r="F11112" s="3" t="str">
        <f t="shared" si="173"/>
        <v>I4248</v>
      </c>
    </row>
    <row r="11113" spans="1:6" x14ac:dyDescent="0.2">
      <c r="A11113" s="29" t="s">
        <v>25757</v>
      </c>
      <c r="B11113" s="30" t="s">
        <v>25758</v>
      </c>
      <c r="C11113" s="29" t="s">
        <v>26</v>
      </c>
      <c r="D11113" s="31">
        <v>28.78</v>
      </c>
      <c r="F11113" s="3" t="str">
        <f t="shared" si="173"/>
        <v>I4249</v>
      </c>
    </row>
    <row r="11114" spans="1:6" x14ac:dyDescent="0.2">
      <c r="A11114" s="29" t="s">
        <v>25759</v>
      </c>
      <c r="B11114" s="30" t="s">
        <v>25760</v>
      </c>
      <c r="C11114" s="29" t="s">
        <v>26</v>
      </c>
      <c r="D11114" s="31">
        <v>38.89</v>
      </c>
      <c r="F11114" s="3" t="str">
        <f t="shared" si="173"/>
        <v>I4250</v>
      </c>
    </row>
    <row r="11115" spans="1:6" x14ac:dyDescent="0.2">
      <c r="A11115" s="29" t="s">
        <v>25761</v>
      </c>
      <c r="B11115" s="30" t="s">
        <v>25762</v>
      </c>
      <c r="C11115" s="29" t="s">
        <v>26</v>
      </c>
      <c r="D11115" s="31">
        <v>0.13</v>
      </c>
      <c r="F11115" s="3" t="str">
        <f t="shared" si="173"/>
        <v>I9919</v>
      </c>
    </row>
    <row r="11116" spans="1:6" x14ac:dyDescent="0.2">
      <c r="A11116" s="29" t="s">
        <v>25763</v>
      </c>
      <c r="B11116" s="30" t="s">
        <v>25764</v>
      </c>
      <c r="C11116" s="29" t="s">
        <v>26</v>
      </c>
      <c r="D11116" s="31">
        <v>0.18</v>
      </c>
      <c r="F11116" s="3" t="str">
        <f t="shared" si="173"/>
        <v>I9918</v>
      </c>
    </row>
    <row r="11117" spans="1:6" x14ac:dyDescent="0.2">
      <c r="A11117" s="29" t="s">
        <v>25765</v>
      </c>
      <c r="B11117" s="30" t="s">
        <v>25766</v>
      </c>
      <c r="C11117" s="29" t="s">
        <v>26</v>
      </c>
      <c r="D11117" s="31">
        <v>9.3000000000000007</v>
      </c>
      <c r="F11117" s="3" t="str">
        <f t="shared" si="173"/>
        <v>I8079</v>
      </c>
    </row>
    <row r="11118" spans="1:6" x14ac:dyDescent="0.2">
      <c r="A11118" s="29" t="s">
        <v>25767</v>
      </c>
      <c r="B11118" s="30" t="s">
        <v>25768</v>
      </c>
      <c r="C11118" s="29" t="s">
        <v>26</v>
      </c>
      <c r="D11118" s="31">
        <v>10.43</v>
      </c>
      <c r="F11118" s="3" t="str">
        <f t="shared" si="173"/>
        <v>I8080</v>
      </c>
    </row>
    <row r="11119" spans="1:6" x14ac:dyDescent="0.2">
      <c r="A11119" s="29" t="s">
        <v>25769</v>
      </c>
      <c r="B11119" s="30" t="s">
        <v>25770</v>
      </c>
      <c r="C11119" s="29" t="s">
        <v>26</v>
      </c>
      <c r="D11119" s="31">
        <v>37.86</v>
      </c>
      <c r="F11119" s="3" t="str">
        <f t="shared" si="173"/>
        <v>I4234</v>
      </c>
    </row>
    <row r="11120" spans="1:6" x14ac:dyDescent="0.2">
      <c r="A11120" s="29" t="s">
        <v>25771</v>
      </c>
      <c r="B11120" s="30" t="s">
        <v>25772</v>
      </c>
      <c r="C11120" s="29" t="s">
        <v>26</v>
      </c>
      <c r="D11120" s="31">
        <v>40.159999999999997</v>
      </c>
      <c r="F11120" s="3" t="str">
        <f t="shared" si="173"/>
        <v>I4236</v>
      </c>
    </row>
    <row r="11121" spans="1:6" x14ac:dyDescent="0.2">
      <c r="A11121" s="29" t="s">
        <v>25773</v>
      </c>
      <c r="B11121" s="30" t="s">
        <v>25774</v>
      </c>
      <c r="C11121" s="29" t="s">
        <v>26</v>
      </c>
      <c r="D11121" s="31">
        <v>39.82</v>
      </c>
      <c r="F11121" s="3" t="str">
        <f t="shared" si="173"/>
        <v>I4237</v>
      </c>
    </row>
    <row r="11122" spans="1:6" x14ac:dyDescent="0.2">
      <c r="A11122" s="29" t="s">
        <v>25775</v>
      </c>
      <c r="B11122" s="30" t="s">
        <v>25776</v>
      </c>
      <c r="C11122" s="29" t="s">
        <v>26</v>
      </c>
      <c r="D11122" s="31">
        <v>40.14</v>
      </c>
      <c r="F11122" s="3" t="str">
        <f t="shared" si="173"/>
        <v>I4235</v>
      </c>
    </row>
    <row r="11123" spans="1:6" x14ac:dyDescent="0.2">
      <c r="A11123" s="29" t="s">
        <v>25777</v>
      </c>
      <c r="B11123" s="30" t="s">
        <v>25778</v>
      </c>
      <c r="C11123" s="29" t="s">
        <v>26</v>
      </c>
      <c r="D11123" s="31">
        <v>80.56</v>
      </c>
      <c r="F11123" s="3" t="str">
        <f t="shared" si="173"/>
        <v>I4238</v>
      </c>
    </row>
    <row r="11124" spans="1:6" x14ac:dyDescent="0.2">
      <c r="A11124" s="29" t="s">
        <v>25779</v>
      </c>
      <c r="B11124" s="30" t="s">
        <v>25780</v>
      </c>
      <c r="C11124" s="29" t="s">
        <v>26</v>
      </c>
      <c r="D11124" s="31">
        <v>48.31</v>
      </c>
      <c r="F11124" s="3" t="str">
        <f t="shared" si="173"/>
        <v>I4239</v>
      </c>
    </row>
    <row r="11125" spans="1:6" x14ac:dyDescent="0.2">
      <c r="A11125" s="29" t="s">
        <v>25781</v>
      </c>
      <c r="B11125" s="30" t="s">
        <v>25782</v>
      </c>
      <c r="C11125" s="29" t="s">
        <v>26</v>
      </c>
      <c r="D11125" s="31">
        <v>57.57</v>
      </c>
      <c r="F11125" s="3" t="str">
        <f t="shared" si="173"/>
        <v>I4240</v>
      </c>
    </row>
    <row r="11126" spans="1:6" x14ac:dyDescent="0.2">
      <c r="A11126" s="29" t="s">
        <v>25783</v>
      </c>
      <c r="B11126" s="30" t="s">
        <v>25784</v>
      </c>
      <c r="C11126" s="29" t="s">
        <v>26</v>
      </c>
      <c r="D11126" s="31">
        <v>0.63</v>
      </c>
      <c r="F11126" s="3" t="str">
        <f t="shared" si="173"/>
        <v>I7553</v>
      </c>
    </row>
    <row r="11127" spans="1:6" x14ac:dyDescent="0.2">
      <c r="A11127" s="29" t="s">
        <v>25785</v>
      </c>
      <c r="B11127" s="30" t="s">
        <v>25786</v>
      </c>
      <c r="C11127" s="29" t="s">
        <v>255</v>
      </c>
      <c r="D11127" s="31">
        <v>2131.9499999999998</v>
      </c>
      <c r="F11127" s="3" t="str">
        <f t="shared" si="173"/>
        <v>I9917</v>
      </c>
    </row>
    <row r="11128" spans="1:6" x14ac:dyDescent="0.2">
      <c r="A11128" s="29" t="s">
        <v>25787</v>
      </c>
      <c r="B11128" s="30" t="s">
        <v>25788</v>
      </c>
      <c r="C11128" s="29" t="s">
        <v>26</v>
      </c>
      <c r="D11128" s="31">
        <v>16.41</v>
      </c>
      <c r="F11128" s="3" t="str">
        <f t="shared" si="173"/>
        <v>I7475</v>
      </c>
    </row>
    <row r="11129" spans="1:6" x14ac:dyDescent="0.2">
      <c r="A11129" s="29" t="s">
        <v>25789</v>
      </c>
      <c r="B11129" s="30" t="s">
        <v>25790</v>
      </c>
      <c r="C11129" s="29" t="s">
        <v>26</v>
      </c>
      <c r="D11129" s="31">
        <v>32.72</v>
      </c>
      <c r="F11129" s="3" t="str">
        <f t="shared" si="173"/>
        <v>I7476</v>
      </c>
    </row>
    <row r="11130" spans="1:6" x14ac:dyDescent="0.2">
      <c r="A11130" s="29" t="s">
        <v>25791</v>
      </c>
      <c r="B11130" s="30" t="s">
        <v>25792</v>
      </c>
      <c r="C11130" s="29" t="s">
        <v>26</v>
      </c>
      <c r="D11130" s="31">
        <v>66.72</v>
      </c>
      <c r="F11130" s="3" t="str">
        <f t="shared" si="173"/>
        <v>I7500</v>
      </c>
    </row>
    <row r="11131" spans="1:6" x14ac:dyDescent="0.2">
      <c r="A11131" s="29" t="s">
        <v>25793</v>
      </c>
      <c r="B11131" s="30" t="s">
        <v>25794</v>
      </c>
      <c r="C11131" s="29" t="s">
        <v>26</v>
      </c>
      <c r="D11131" s="31">
        <v>92.31</v>
      </c>
      <c r="F11131" s="3" t="str">
        <f t="shared" si="173"/>
        <v>I7474</v>
      </c>
    </row>
    <row r="11132" spans="1:6" x14ac:dyDescent="0.2">
      <c r="A11132" s="29" t="s">
        <v>25795</v>
      </c>
      <c r="B11132" s="30" t="s">
        <v>25796</v>
      </c>
      <c r="C11132" s="29" t="s">
        <v>1284</v>
      </c>
      <c r="D11132" s="31">
        <v>43.59</v>
      </c>
      <c r="F11132" s="3" t="str">
        <f t="shared" si="173"/>
        <v>I8699</v>
      </c>
    </row>
    <row r="11133" spans="1:6" x14ac:dyDescent="0.2">
      <c r="A11133" s="29" t="s">
        <v>25797</v>
      </c>
      <c r="B11133" s="30" t="s">
        <v>25798</v>
      </c>
      <c r="C11133" s="29" t="s">
        <v>26</v>
      </c>
      <c r="D11133" s="31">
        <v>11674.23</v>
      </c>
      <c r="F11133" s="3" t="str">
        <f t="shared" si="173"/>
        <v>I4974</v>
      </c>
    </row>
    <row r="11134" spans="1:6" x14ac:dyDescent="0.2">
      <c r="A11134" s="29" t="s">
        <v>25799</v>
      </c>
      <c r="B11134" s="30" t="s">
        <v>25800</v>
      </c>
      <c r="C11134" s="29" t="s">
        <v>26</v>
      </c>
      <c r="D11134" s="31">
        <v>13643.8</v>
      </c>
      <c r="F11134" s="3" t="str">
        <f t="shared" si="173"/>
        <v>I4975</v>
      </c>
    </row>
    <row r="11135" spans="1:6" x14ac:dyDescent="0.2">
      <c r="A11135" s="29" t="s">
        <v>25801</v>
      </c>
      <c r="B11135" s="30" t="s">
        <v>25802</v>
      </c>
      <c r="C11135" s="29" t="s">
        <v>26</v>
      </c>
      <c r="D11135" s="31">
        <v>24988.85</v>
      </c>
      <c r="F11135" s="3" t="str">
        <f t="shared" si="173"/>
        <v>I4976</v>
      </c>
    </row>
    <row r="11136" spans="1:6" x14ac:dyDescent="0.2">
      <c r="A11136" s="29" t="s">
        <v>25803</v>
      </c>
      <c r="B11136" s="30" t="s">
        <v>25804</v>
      </c>
      <c r="C11136" s="29" t="s">
        <v>26</v>
      </c>
      <c r="D11136" s="31">
        <v>25018.46</v>
      </c>
      <c r="F11136" s="3" t="str">
        <f t="shared" si="173"/>
        <v>I4977</v>
      </c>
    </row>
    <row r="11137" spans="1:6" x14ac:dyDescent="0.2">
      <c r="A11137" s="29" t="s">
        <v>25805</v>
      </c>
      <c r="B11137" s="30" t="s">
        <v>25806</v>
      </c>
      <c r="C11137" s="29" t="s">
        <v>26</v>
      </c>
      <c r="D11137" s="31">
        <v>25027.84</v>
      </c>
      <c r="F11137" s="3" t="str">
        <f t="shared" si="173"/>
        <v>I4978</v>
      </c>
    </row>
    <row r="11138" spans="1:6" x14ac:dyDescent="0.2">
      <c r="A11138" s="29" t="s">
        <v>25807</v>
      </c>
      <c r="B11138" s="30" t="s">
        <v>25808</v>
      </c>
      <c r="C11138" s="29" t="s">
        <v>26</v>
      </c>
      <c r="D11138" s="31">
        <v>24903.7</v>
      </c>
      <c r="F11138" s="3" t="str">
        <f t="shared" ref="F11138:F11201" si="174">A11138</f>
        <v>I4979</v>
      </c>
    </row>
    <row r="11139" spans="1:6" x14ac:dyDescent="0.2">
      <c r="A11139" s="29" t="s">
        <v>25809</v>
      </c>
      <c r="B11139" s="30" t="s">
        <v>25810</v>
      </c>
      <c r="C11139" s="29" t="s">
        <v>26</v>
      </c>
      <c r="D11139" s="31">
        <v>25068.28</v>
      </c>
      <c r="F11139" s="3" t="str">
        <f t="shared" si="174"/>
        <v>I4980</v>
      </c>
    </row>
    <row r="11140" spans="1:6" x14ac:dyDescent="0.2">
      <c r="A11140" s="29" t="s">
        <v>25811</v>
      </c>
      <c r="B11140" s="30" t="s">
        <v>25812</v>
      </c>
      <c r="C11140" s="29" t="s">
        <v>26</v>
      </c>
      <c r="D11140" s="31">
        <v>25499.05</v>
      </c>
      <c r="F11140" s="3" t="str">
        <f t="shared" si="174"/>
        <v>I4981</v>
      </c>
    </row>
    <row r="11141" spans="1:6" x14ac:dyDescent="0.2">
      <c r="A11141" s="29" t="s">
        <v>25813</v>
      </c>
      <c r="B11141" s="30" t="s">
        <v>25814</v>
      </c>
      <c r="C11141" s="29" t="s">
        <v>26</v>
      </c>
      <c r="D11141" s="31">
        <v>25519.53</v>
      </c>
      <c r="F11141" s="3" t="str">
        <f t="shared" si="174"/>
        <v>I4982</v>
      </c>
    </row>
    <row r="11142" spans="1:6" x14ac:dyDescent="0.2">
      <c r="A11142" s="29" t="s">
        <v>25815</v>
      </c>
      <c r="B11142" s="30" t="s">
        <v>25816</v>
      </c>
      <c r="C11142" s="29" t="s">
        <v>26</v>
      </c>
      <c r="D11142" s="31">
        <v>25613.16</v>
      </c>
      <c r="F11142" s="3" t="str">
        <f t="shared" si="174"/>
        <v>I4983</v>
      </c>
    </row>
    <row r="11143" spans="1:6" x14ac:dyDescent="0.2">
      <c r="A11143" s="29" t="s">
        <v>25817</v>
      </c>
      <c r="B11143" s="30" t="s">
        <v>25818</v>
      </c>
      <c r="C11143" s="29" t="s">
        <v>26</v>
      </c>
      <c r="D11143" s="31">
        <v>25482.9</v>
      </c>
      <c r="F11143" s="3" t="str">
        <f t="shared" si="174"/>
        <v>I4984</v>
      </c>
    </row>
    <row r="11144" spans="1:6" x14ac:dyDescent="0.2">
      <c r="A11144" s="29" t="s">
        <v>25819</v>
      </c>
      <c r="B11144" s="30" t="s">
        <v>25820</v>
      </c>
      <c r="C11144" s="29" t="s">
        <v>26</v>
      </c>
      <c r="D11144" s="31">
        <v>25499</v>
      </c>
      <c r="F11144" s="3" t="str">
        <f t="shared" si="174"/>
        <v>I4985</v>
      </c>
    </row>
    <row r="11145" spans="1:6" x14ac:dyDescent="0.2">
      <c r="A11145" s="29" t="s">
        <v>25821</v>
      </c>
      <c r="B11145" s="30" t="s">
        <v>25822</v>
      </c>
      <c r="C11145" s="29" t="s">
        <v>26</v>
      </c>
      <c r="D11145" s="31">
        <v>25377.99</v>
      </c>
      <c r="F11145" s="3" t="str">
        <f t="shared" si="174"/>
        <v>I4986</v>
      </c>
    </row>
    <row r="11146" spans="1:6" x14ac:dyDescent="0.2">
      <c r="A11146" s="29" t="s">
        <v>25823</v>
      </c>
      <c r="B11146" s="30" t="s">
        <v>25824</v>
      </c>
      <c r="C11146" s="29" t="s">
        <v>26</v>
      </c>
      <c r="D11146" s="31">
        <v>5103</v>
      </c>
      <c r="F11146" s="3" t="str">
        <f t="shared" si="174"/>
        <v>I4987</v>
      </c>
    </row>
    <row r="11147" spans="1:6" x14ac:dyDescent="0.2">
      <c r="A11147" s="29" t="s">
        <v>25825</v>
      </c>
      <c r="B11147" s="30" t="s">
        <v>25826</v>
      </c>
      <c r="C11147" s="29" t="s">
        <v>26</v>
      </c>
      <c r="D11147" s="31">
        <v>6535.42</v>
      </c>
      <c r="F11147" s="3" t="str">
        <f t="shared" si="174"/>
        <v>I4988</v>
      </c>
    </row>
    <row r="11148" spans="1:6" x14ac:dyDescent="0.2">
      <c r="A11148" s="29" t="s">
        <v>25827</v>
      </c>
      <c r="B11148" s="30" t="s">
        <v>25828</v>
      </c>
      <c r="C11148" s="29" t="s">
        <v>26</v>
      </c>
      <c r="D11148" s="31">
        <v>8093.97</v>
      </c>
      <c r="F11148" s="3" t="str">
        <f t="shared" si="174"/>
        <v>I4989</v>
      </c>
    </row>
    <row r="11149" spans="1:6" x14ac:dyDescent="0.2">
      <c r="A11149" s="29" t="s">
        <v>25829</v>
      </c>
      <c r="B11149" s="30" t="s">
        <v>25830</v>
      </c>
      <c r="C11149" s="29" t="s">
        <v>26</v>
      </c>
      <c r="D11149" s="31">
        <v>8142.34</v>
      </c>
      <c r="F11149" s="3" t="str">
        <f t="shared" si="174"/>
        <v>I4990</v>
      </c>
    </row>
    <row r="11150" spans="1:6" x14ac:dyDescent="0.2">
      <c r="A11150" s="29" t="s">
        <v>25831</v>
      </c>
      <c r="B11150" s="30" t="s">
        <v>25832</v>
      </c>
      <c r="C11150" s="29" t="s">
        <v>26</v>
      </c>
      <c r="D11150" s="31">
        <v>10379.129999999999</v>
      </c>
      <c r="F11150" s="3" t="str">
        <f t="shared" si="174"/>
        <v>I4992</v>
      </c>
    </row>
    <row r="11151" spans="1:6" x14ac:dyDescent="0.2">
      <c r="A11151" s="29" t="s">
        <v>25833</v>
      </c>
      <c r="B11151" s="30" t="s">
        <v>25834</v>
      </c>
      <c r="C11151" s="29" t="s">
        <v>26</v>
      </c>
      <c r="D11151" s="31">
        <v>10379.16</v>
      </c>
      <c r="F11151" s="3" t="str">
        <f t="shared" si="174"/>
        <v>I4993</v>
      </c>
    </row>
    <row r="11152" spans="1:6" x14ac:dyDescent="0.2">
      <c r="A11152" s="29" t="s">
        <v>25835</v>
      </c>
      <c r="B11152" s="30" t="s">
        <v>25836</v>
      </c>
      <c r="C11152" s="29" t="s">
        <v>26</v>
      </c>
      <c r="D11152" s="31">
        <v>10418.07</v>
      </c>
      <c r="F11152" s="3" t="str">
        <f t="shared" si="174"/>
        <v>I4994</v>
      </c>
    </row>
    <row r="11153" spans="1:6" x14ac:dyDescent="0.2">
      <c r="A11153" s="29" t="s">
        <v>25837</v>
      </c>
      <c r="B11153" s="30" t="s">
        <v>25838</v>
      </c>
      <c r="C11153" s="29" t="s">
        <v>26</v>
      </c>
      <c r="D11153" s="31">
        <v>10344.17</v>
      </c>
      <c r="F11153" s="3" t="str">
        <f t="shared" si="174"/>
        <v>I4995</v>
      </c>
    </row>
    <row r="11154" spans="1:6" x14ac:dyDescent="0.2">
      <c r="A11154" s="29" t="s">
        <v>25839</v>
      </c>
      <c r="B11154" s="30" t="s">
        <v>25840</v>
      </c>
      <c r="C11154" s="29" t="s">
        <v>26</v>
      </c>
      <c r="D11154" s="31">
        <v>10869.08</v>
      </c>
      <c r="F11154" s="3" t="str">
        <f t="shared" si="174"/>
        <v>I4996</v>
      </c>
    </row>
    <row r="11155" spans="1:6" x14ac:dyDescent="0.2">
      <c r="A11155" s="29" t="s">
        <v>25841</v>
      </c>
      <c r="B11155" s="30" t="s">
        <v>25842</v>
      </c>
      <c r="C11155" s="29" t="s">
        <v>26</v>
      </c>
      <c r="D11155" s="31">
        <v>10396.07</v>
      </c>
      <c r="F11155" s="3" t="str">
        <f t="shared" si="174"/>
        <v>I4997</v>
      </c>
    </row>
    <row r="11156" spans="1:6" x14ac:dyDescent="0.2">
      <c r="A11156" s="29" t="s">
        <v>25843</v>
      </c>
      <c r="B11156" s="30" t="s">
        <v>25844</v>
      </c>
      <c r="C11156" s="29" t="s">
        <v>26</v>
      </c>
      <c r="D11156" s="31">
        <v>10415.4</v>
      </c>
      <c r="F11156" s="3" t="str">
        <f t="shared" si="174"/>
        <v>I4998</v>
      </c>
    </row>
    <row r="11157" spans="1:6" x14ac:dyDescent="0.2">
      <c r="A11157" s="29" t="s">
        <v>25845</v>
      </c>
      <c r="B11157" s="30" t="s">
        <v>25846</v>
      </c>
      <c r="C11157" s="29" t="s">
        <v>26</v>
      </c>
      <c r="D11157" s="31">
        <v>10414.82</v>
      </c>
      <c r="F11157" s="3" t="str">
        <f t="shared" si="174"/>
        <v>I4999</v>
      </c>
    </row>
    <row r="11158" spans="1:6" x14ac:dyDescent="0.2">
      <c r="A11158" s="29" t="s">
        <v>25847</v>
      </c>
      <c r="B11158" s="30" t="s">
        <v>25848</v>
      </c>
      <c r="C11158" s="29" t="s">
        <v>26</v>
      </c>
      <c r="D11158" s="31">
        <v>10873.78</v>
      </c>
      <c r="F11158" s="3" t="str">
        <f t="shared" si="174"/>
        <v>I5000</v>
      </c>
    </row>
    <row r="11159" spans="1:6" x14ac:dyDescent="0.2">
      <c r="A11159" s="29" t="s">
        <v>25849</v>
      </c>
      <c r="B11159" s="30" t="s">
        <v>25850</v>
      </c>
      <c r="C11159" s="29" t="s">
        <v>26</v>
      </c>
      <c r="D11159" s="31">
        <v>10714.94</v>
      </c>
      <c r="F11159" s="3" t="str">
        <f t="shared" si="174"/>
        <v>I5001</v>
      </c>
    </row>
    <row r="11160" spans="1:6" x14ac:dyDescent="0.2">
      <c r="A11160" s="29" t="s">
        <v>25851</v>
      </c>
      <c r="B11160" s="30" t="s">
        <v>25852</v>
      </c>
      <c r="C11160" s="29" t="s">
        <v>26</v>
      </c>
      <c r="D11160" s="31">
        <v>10763.48</v>
      </c>
      <c r="F11160" s="3" t="str">
        <f t="shared" si="174"/>
        <v>I5002</v>
      </c>
    </row>
    <row r="11161" spans="1:6" x14ac:dyDescent="0.2">
      <c r="A11161" s="29" t="s">
        <v>25853</v>
      </c>
      <c r="B11161" s="30" t="s">
        <v>25854</v>
      </c>
      <c r="C11161" s="29" t="s">
        <v>26</v>
      </c>
      <c r="D11161" s="31">
        <v>10810.86</v>
      </c>
      <c r="F11161" s="3" t="str">
        <f t="shared" si="174"/>
        <v>I5003</v>
      </c>
    </row>
    <row r="11162" spans="1:6" x14ac:dyDescent="0.2">
      <c r="A11162" s="29" t="s">
        <v>25855</v>
      </c>
      <c r="B11162" s="30" t="s">
        <v>25856</v>
      </c>
      <c r="C11162" s="29" t="s">
        <v>26</v>
      </c>
      <c r="D11162" s="31">
        <v>10833.12</v>
      </c>
      <c r="F11162" s="3" t="str">
        <f t="shared" si="174"/>
        <v>I5004</v>
      </c>
    </row>
    <row r="11163" spans="1:6" x14ac:dyDescent="0.2">
      <c r="A11163" s="29" t="s">
        <v>25857</v>
      </c>
      <c r="B11163" s="30" t="s">
        <v>25858</v>
      </c>
      <c r="C11163" s="29" t="s">
        <v>26</v>
      </c>
      <c r="D11163" s="31">
        <v>10780.76</v>
      </c>
      <c r="F11163" s="3" t="str">
        <f t="shared" si="174"/>
        <v>I5005</v>
      </c>
    </row>
    <row r="11164" spans="1:6" x14ac:dyDescent="0.2">
      <c r="A11164" s="29" t="s">
        <v>25859</v>
      </c>
      <c r="B11164" s="30" t="s">
        <v>25860</v>
      </c>
      <c r="C11164" s="29" t="s">
        <v>26</v>
      </c>
      <c r="D11164" s="31">
        <v>10842.8</v>
      </c>
      <c r="F11164" s="3" t="str">
        <f t="shared" si="174"/>
        <v>I5006</v>
      </c>
    </row>
    <row r="11165" spans="1:6" x14ac:dyDescent="0.2">
      <c r="A11165" s="29" t="s">
        <v>25861</v>
      </c>
      <c r="B11165" s="30" t="s">
        <v>25862</v>
      </c>
      <c r="C11165" s="29" t="s">
        <v>26</v>
      </c>
      <c r="D11165" s="31">
        <v>10842.8</v>
      </c>
      <c r="F11165" s="3" t="str">
        <f t="shared" si="174"/>
        <v>I5007</v>
      </c>
    </row>
    <row r="11166" spans="1:6" x14ac:dyDescent="0.2">
      <c r="A11166" s="29" t="s">
        <v>25863</v>
      </c>
      <c r="B11166" s="30" t="s">
        <v>25864</v>
      </c>
      <c r="C11166" s="29" t="s">
        <v>26</v>
      </c>
      <c r="D11166" s="31">
        <v>15855.79</v>
      </c>
      <c r="F11166" s="3" t="str">
        <f t="shared" si="174"/>
        <v>I5008</v>
      </c>
    </row>
    <row r="11167" spans="1:6" x14ac:dyDescent="0.2">
      <c r="A11167" s="29" t="s">
        <v>25865</v>
      </c>
      <c r="B11167" s="30" t="s">
        <v>25866</v>
      </c>
      <c r="C11167" s="29" t="s">
        <v>26</v>
      </c>
      <c r="D11167" s="31">
        <v>15676.25</v>
      </c>
      <c r="F11167" s="3" t="str">
        <f t="shared" si="174"/>
        <v>I5009</v>
      </c>
    </row>
    <row r="11168" spans="1:6" x14ac:dyDescent="0.2">
      <c r="A11168" s="29" t="s">
        <v>25867</v>
      </c>
      <c r="B11168" s="30" t="s">
        <v>25868</v>
      </c>
      <c r="C11168" s="29" t="s">
        <v>26</v>
      </c>
      <c r="D11168" s="31">
        <v>15694.89</v>
      </c>
      <c r="F11168" s="3" t="str">
        <f t="shared" si="174"/>
        <v>I5010</v>
      </c>
    </row>
    <row r="11169" spans="1:6" x14ac:dyDescent="0.2">
      <c r="A11169" s="29" t="s">
        <v>25869</v>
      </c>
      <c r="B11169" s="30" t="s">
        <v>25870</v>
      </c>
      <c r="C11169" s="29" t="s">
        <v>26</v>
      </c>
      <c r="D11169" s="31">
        <v>15673.3</v>
      </c>
      <c r="F11169" s="3" t="str">
        <f t="shared" si="174"/>
        <v>I5011</v>
      </c>
    </row>
    <row r="11170" spans="1:6" x14ac:dyDescent="0.2">
      <c r="A11170" s="29" t="s">
        <v>25871</v>
      </c>
      <c r="B11170" s="30" t="s">
        <v>25872</v>
      </c>
      <c r="C11170" s="29" t="s">
        <v>26</v>
      </c>
      <c r="D11170" s="31">
        <v>15790.21</v>
      </c>
      <c r="F11170" s="3" t="str">
        <f t="shared" si="174"/>
        <v>I5012</v>
      </c>
    </row>
    <row r="11171" spans="1:6" x14ac:dyDescent="0.2">
      <c r="A11171" s="29" t="s">
        <v>25873</v>
      </c>
      <c r="B11171" s="30" t="s">
        <v>25874</v>
      </c>
      <c r="C11171" s="29" t="s">
        <v>26</v>
      </c>
      <c r="D11171" s="31">
        <v>15820.1</v>
      </c>
      <c r="F11171" s="3" t="str">
        <f t="shared" si="174"/>
        <v>I5013</v>
      </c>
    </row>
    <row r="11172" spans="1:6" x14ac:dyDescent="0.2">
      <c r="A11172" s="29" t="s">
        <v>25875</v>
      </c>
      <c r="B11172" s="30" t="s">
        <v>25876</v>
      </c>
      <c r="C11172" s="29" t="s">
        <v>26</v>
      </c>
      <c r="D11172" s="31">
        <v>16318.2</v>
      </c>
      <c r="F11172" s="3" t="str">
        <f t="shared" si="174"/>
        <v>I5014</v>
      </c>
    </row>
    <row r="11173" spans="1:6" x14ac:dyDescent="0.2">
      <c r="A11173" s="29" t="s">
        <v>25877</v>
      </c>
      <c r="B11173" s="30" t="s">
        <v>25878</v>
      </c>
      <c r="C11173" s="29" t="s">
        <v>26</v>
      </c>
      <c r="D11173" s="31">
        <v>16361.37</v>
      </c>
      <c r="F11173" s="3" t="str">
        <f t="shared" si="174"/>
        <v>I5015</v>
      </c>
    </row>
    <row r="11174" spans="1:6" x14ac:dyDescent="0.2">
      <c r="A11174" s="29" t="s">
        <v>25879</v>
      </c>
      <c r="B11174" s="30" t="s">
        <v>25880</v>
      </c>
      <c r="C11174" s="29" t="s">
        <v>26</v>
      </c>
      <c r="D11174" s="31">
        <v>16385.09</v>
      </c>
      <c r="F11174" s="3" t="str">
        <f t="shared" si="174"/>
        <v>I5016</v>
      </c>
    </row>
    <row r="11175" spans="1:6" x14ac:dyDescent="0.2">
      <c r="A11175" s="29" t="s">
        <v>25881</v>
      </c>
      <c r="B11175" s="30" t="s">
        <v>25882</v>
      </c>
      <c r="C11175" s="29" t="s">
        <v>26</v>
      </c>
      <c r="D11175" s="31">
        <v>16382.93</v>
      </c>
      <c r="F11175" s="3" t="str">
        <f t="shared" si="174"/>
        <v>I5017</v>
      </c>
    </row>
    <row r="11176" spans="1:6" x14ac:dyDescent="0.2">
      <c r="A11176" s="29" t="s">
        <v>25883</v>
      </c>
      <c r="B11176" s="30" t="s">
        <v>25884</v>
      </c>
      <c r="C11176" s="29" t="s">
        <v>26</v>
      </c>
      <c r="D11176" s="31">
        <v>16405.16</v>
      </c>
      <c r="F11176" s="3" t="str">
        <f t="shared" si="174"/>
        <v>I5018</v>
      </c>
    </row>
    <row r="11177" spans="1:6" x14ac:dyDescent="0.2">
      <c r="A11177" s="29" t="s">
        <v>25885</v>
      </c>
      <c r="B11177" s="30" t="s">
        <v>25886</v>
      </c>
      <c r="C11177" s="29" t="s">
        <v>26</v>
      </c>
      <c r="D11177" s="31">
        <v>21017.439999999999</v>
      </c>
      <c r="F11177" s="3" t="str">
        <f t="shared" si="174"/>
        <v>I4953</v>
      </c>
    </row>
    <row r="11178" spans="1:6" x14ac:dyDescent="0.2">
      <c r="A11178" s="29" t="s">
        <v>25887</v>
      </c>
      <c r="B11178" s="30" t="s">
        <v>25888</v>
      </c>
      <c r="C11178" s="29" t="s">
        <v>26</v>
      </c>
      <c r="D11178" s="31">
        <v>22033.93</v>
      </c>
      <c r="F11178" s="3" t="str">
        <f t="shared" si="174"/>
        <v>I4954</v>
      </c>
    </row>
    <row r="11179" spans="1:6" x14ac:dyDescent="0.2">
      <c r="A11179" s="29" t="s">
        <v>25889</v>
      </c>
      <c r="B11179" s="30" t="s">
        <v>25890</v>
      </c>
      <c r="C11179" s="29" t="s">
        <v>26</v>
      </c>
      <c r="D11179" s="31">
        <v>22081.01</v>
      </c>
      <c r="F11179" s="3" t="str">
        <f t="shared" si="174"/>
        <v>I4955</v>
      </c>
    </row>
    <row r="11180" spans="1:6" x14ac:dyDescent="0.2">
      <c r="A11180" s="29" t="s">
        <v>25891</v>
      </c>
      <c r="B11180" s="30" t="s">
        <v>25892</v>
      </c>
      <c r="C11180" s="29" t="s">
        <v>26</v>
      </c>
      <c r="D11180" s="31">
        <v>22099.8</v>
      </c>
      <c r="F11180" s="3" t="str">
        <f t="shared" si="174"/>
        <v>I4956</v>
      </c>
    </row>
    <row r="11181" spans="1:6" x14ac:dyDescent="0.2">
      <c r="A11181" s="29" t="s">
        <v>25893</v>
      </c>
      <c r="B11181" s="30" t="s">
        <v>25894</v>
      </c>
      <c r="C11181" s="29" t="s">
        <v>26</v>
      </c>
      <c r="D11181" s="31">
        <v>22890.44</v>
      </c>
      <c r="F11181" s="3" t="str">
        <f t="shared" si="174"/>
        <v>I4957</v>
      </c>
    </row>
    <row r="11182" spans="1:6" x14ac:dyDescent="0.2">
      <c r="A11182" s="29" t="s">
        <v>25895</v>
      </c>
      <c r="B11182" s="30" t="s">
        <v>25896</v>
      </c>
      <c r="C11182" s="29" t="s">
        <v>26</v>
      </c>
      <c r="D11182" s="31">
        <v>22928.07</v>
      </c>
      <c r="F11182" s="3" t="str">
        <f t="shared" si="174"/>
        <v>I4958</v>
      </c>
    </row>
    <row r="11183" spans="1:6" x14ac:dyDescent="0.2">
      <c r="A11183" s="29" t="s">
        <v>25897</v>
      </c>
      <c r="B11183" s="30" t="s">
        <v>25898</v>
      </c>
      <c r="C11183" s="29" t="s">
        <v>26</v>
      </c>
      <c r="D11183" s="31">
        <v>23502.2</v>
      </c>
      <c r="F11183" s="3" t="str">
        <f t="shared" si="174"/>
        <v>I4959</v>
      </c>
    </row>
    <row r="11184" spans="1:6" x14ac:dyDescent="0.2">
      <c r="A11184" s="29" t="s">
        <v>25899</v>
      </c>
      <c r="B11184" s="30" t="s">
        <v>25900</v>
      </c>
      <c r="C11184" s="29" t="s">
        <v>26</v>
      </c>
      <c r="D11184" s="31">
        <v>32120.44</v>
      </c>
      <c r="F11184" s="3" t="str">
        <f t="shared" si="174"/>
        <v>I4967</v>
      </c>
    </row>
    <row r="11185" spans="1:6" x14ac:dyDescent="0.2">
      <c r="A11185" s="29" t="s">
        <v>25901</v>
      </c>
      <c r="B11185" s="30" t="s">
        <v>25902</v>
      </c>
      <c r="C11185" s="29" t="s">
        <v>26</v>
      </c>
      <c r="D11185" s="31">
        <v>31571.79</v>
      </c>
      <c r="F11185" s="3" t="str">
        <f t="shared" si="174"/>
        <v>I4968</v>
      </c>
    </row>
    <row r="11186" spans="1:6" x14ac:dyDescent="0.2">
      <c r="A11186" s="29" t="s">
        <v>25903</v>
      </c>
      <c r="B11186" s="30" t="s">
        <v>25904</v>
      </c>
      <c r="C11186" s="29" t="s">
        <v>26</v>
      </c>
      <c r="D11186" s="31">
        <v>31168.99</v>
      </c>
      <c r="F11186" s="3" t="str">
        <f t="shared" si="174"/>
        <v>I4969</v>
      </c>
    </row>
    <row r="11187" spans="1:6" x14ac:dyDescent="0.2">
      <c r="A11187" s="29" t="s">
        <v>25905</v>
      </c>
      <c r="B11187" s="30" t="s">
        <v>25906</v>
      </c>
      <c r="C11187" s="29" t="s">
        <v>26</v>
      </c>
      <c r="D11187" s="31">
        <v>31442.27</v>
      </c>
      <c r="F11187" s="3" t="str">
        <f t="shared" si="174"/>
        <v>I4970</v>
      </c>
    </row>
    <row r="11188" spans="1:6" x14ac:dyDescent="0.2">
      <c r="A11188" s="29" t="s">
        <v>25907</v>
      </c>
      <c r="B11188" s="30" t="s">
        <v>25908</v>
      </c>
      <c r="C11188" s="29" t="s">
        <v>26</v>
      </c>
      <c r="D11188" s="31">
        <v>31850.83</v>
      </c>
      <c r="F11188" s="3" t="str">
        <f t="shared" si="174"/>
        <v>I4971</v>
      </c>
    </row>
    <row r="11189" spans="1:6" x14ac:dyDescent="0.2">
      <c r="A11189" s="29" t="s">
        <v>25909</v>
      </c>
      <c r="B11189" s="30" t="s">
        <v>25910</v>
      </c>
      <c r="C11189" s="29" t="s">
        <v>26</v>
      </c>
      <c r="D11189" s="31">
        <v>31925.759999999998</v>
      </c>
      <c r="F11189" s="3" t="str">
        <f t="shared" si="174"/>
        <v>I4972</v>
      </c>
    </row>
    <row r="11190" spans="1:6" x14ac:dyDescent="0.2">
      <c r="A11190" s="29" t="s">
        <v>25911</v>
      </c>
      <c r="B11190" s="30" t="s">
        <v>25912</v>
      </c>
      <c r="C11190" s="29" t="s">
        <v>26</v>
      </c>
      <c r="D11190" s="31">
        <v>35029.79</v>
      </c>
      <c r="F11190" s="3" t="str">
        <f t="shared" si="174"/>
        <v>I4973</v>
      </c>
    </row>
    <row r="11191" spans="1:6" x14ac:dyDescent="0.2">
      <c r="A11191" s="29" t="s">
        <v>25913</v>
      </c>
      <c r="B11191" s="30" t="s">
        <v>25914</v>
      </c>
      <c r="C11191" s="29" t="s">
        <v>26</v>
      </c>
      <c r="D11191" s="31">
        <v>14269.06</v>
      </c>
      <c r="F11191" s="3" t="str">
        <f t="shared" si="174"/>
        <v>I5045</v>
      </c>
    </row>
    <row r="11192" spans="1:6" x14ac:dyDescent="0.2">
      <c r="A11192" s="29" t="s">
        <v>25915</v>
      </c>
      <c r="B11192" s="30" t="s">
        <v>25916</v>
      </c>
      <c r="C11192" s="29" t="s">
        <v>26</v>
      </c>
      <c r="D11192" s="31">
        <v>14726.86</v>
      </c>
      <c r="F11192" s="3" t="str">
        <f t="shared" si="174"/>
        <v>I5046</v>
      </c>
    </row>
    <row r="11193" spans="1:6" x14ac:dyDescent="0.2">
      <c r="A11193" s="29" t="s">
        <v>25917</v>
      </c>
      <c r="B11193" s="30" t="s">
        <v>25918</v>
      </c>
      <c r="C11193" s="29" t="s">
        <v>26</v>
      </c>
      <c r="D11193" s="31">
        <v>15154.5</v>
      </c>
      <c r="F11193" s="3" t="str">
        <f t="shared" si="174"/>
        <v>I5047</v>
      </c>
    </row>
    <row r="11194" spans="1:6" x14ac:dyDescent="0.2">
      <c r="A11194" s="29" t="s">
        <v>25919</v>
      </c>
      <c r="B11194" s="30" t="s">
        <v>25920</v>
      </c>
      <c r="C11194" s="29" t="s">
        <v>26</v>
      </c>
      <c r="D11194" s="31">
        <v>6016.16</v>
      </c>
      <c r="F11194" s="3" t="str">
        <f t="shared" si="174"/>
        <v>I5026</v>
      </c>
    </row>
    <row r="11195" spans="1:6" x14ac:dyDescent="0.2">
      <c r="A11195" s="29" t="s">
        <v>25921</v>
      </c>
      <c r="B11195" s="30" t="s">
        <v>25922</v>
      </c>
      <c r="C11195" s="29" t="s">
        <v>271</v>
      </c>
      <c r="D11195" s="31">
        <v>1219.49</v>
      </c>
      <c r="F11195" s="3" t="str">
        <f t="shared" si="174"/>
        <v>I6046</v>
      </c>
    </row>
    <row r="11196" spans="1:6" x14ac:dyDescent="0.2">
      <c r="A11196" s="29" t="s">
        <v>25923</v>
      </c>
      <c r="B11196" s="30" t="s">
        <v>25924</v>
      </c>
      <c r="C11196" s="29" t="s">
        <v>271</v>
      </c>
      <c r="D11196" s="31">
        <v>1219.49</v>
      </c>
      <c r="F11196" s="3" t="str">
        <f t="shared" si="174"/>
        <v>I6045</v>
      </c>
    </row>
    <row r="11197" spans="1:6" x14ac:dyDescent="0.2">
      <c r="A11197" s="29" t="s">
        <v>25925</v>
      </c>
      <c r="B11197" s="30" t="s">
        <v>25926</v>
      </c>
      <c r="C11197" s="29" t="s">
        <v>271</v>
      </c>
      <c r="D11197" s="31">
        <v>1219.49</v>
      </c>
      <c r="F11197" s="3" t="str">
        <f t="shared" si="174"/>
        <v>I6044</v>
      </c>
    </row>
    <row r="11198" spans="1:6" x14ac:dyDescent="0.2">
      <c r="A11198" s="29" t="s">
        <v>25927</v>
      </c>
      <c r="B11198" s="30" t="s">
        <v>25928</v>
      </c>
      <c r="C11198" s="29" t="s">
        <v>271</v>
      </c>
      <c r="D11198" s="31">
        <v>1219.49</v>
      </c>
      <c r="F11198" s="3" t="str">
        <f t="shared" si="174"/>
        <v>I6048</v>
      </c>
    </row>
    <row r="11199" spans="1:6" x14ac:dyDescent="0.2">
      <c r="A11199" s="29" t="s">
        <v>25929</v>
      </c>
      <c r="B11199" s="30" t="s">
        <v>25930</v>
      </c>
      <c r="C11199" s="29" t="s">
        <v>20779</v>
      </c>
      <c r="D11199" s="31">
        <v>1219.49</v>
      </c>
      <c r="F11199" s="3" t="str">
        <f t="shared" si="174"/>
        <v>I10462</v>
      </c>
    </row>
    <row r="11200" spans="1:6" x14ac:dyDescent="0.2">
      <c r="A11200" s="29" t="s">
        <v>25931</v>
      </c>
      <c r="B11200" s="30" t="s">
        <v>25932</v>
      </c>
      <c r="C11200" s="29" t="s">
        <v>20779</v>
      </c>
      <c r="D11200" s="31">
        <v>1219.49</v>
      </c>
      <c r="F11200" s="3" t="str">
        <f t="shared" si="174"/>
        <v>I10461</v>
      </c>
    </row>
    <row r="11201" spans="1:6" x14ac:dyDescent="0.2">
      <c r="A11201" s="29" t="s">
        <v>25933</v>
      </c>
      <c r="B11201" s="30" t="s">
        <v>25934</v>
      </c>
      <c r="C11201" s="29" t="s">
        <v>271</v>
      </c>
      <c r="D11201" s="31">
        <v>1219.49</v>
      </c>
      <c r="F11201" s="3" t="str">
        <f t="shared" si="174"/>
        <v>I6047</v>
      </c>
    </row>
    <row r="11202" spans="1:6" x14ac:dyDescent="0.2">
      <c r="A11202" s="29" t="s">
        <v>25935</v>
      </c>
      <c r="B11202" s="30" t="s">
        <v>25936</v>
      </c>
      <c r="C11202" s="29" t="s">
        <v>20779</v>
      </c>
      <c r="D11202" s="31">
        <v>1219.49</v>
      </c>
      <c r="F11202" s="3" t="str">
        <f t="shared" ref="F11202:F11265" si="175">A11202</f>
        <v>I10463</v>
      </c>
    </row>
    <row r="11203" spans="1:6" x14ac:dyDescent="0.2">
      <c r="A11203" s="29" t="s">
        <v>25937</v>
      </c>
      <c r="B11203" s="30" t="s">
        <v>25938</v>
      </c>
      <c r="C11203" s="29" t="s">
        <v>1284</v>
      </c>
      <c r="D11203" s="31">
        <v>8.3800000000000008</v>
      </c>
      <c r="F11203" s="3" t="str">
        <f t="shared" si="175"/>
        <v>I10261</v>
      </c>
    </row>
    <row r="11204" spans="1:6" ht="22.5" x14ac:dyDescent="0.2">
      <c r="A11204" s="29" t="s">
        <v>25939</v>
      </c>
      <c r="B11204" s="30" t="s">
        <v>25940</v>
      </c>
      <c r="C11204" s="29" t="s">
        <v>558</v>
      </c>
      <c r="D11204" s="31">
        <v>11.94</v>
      </c>
      <c r="F11204" s="3" t="str">
        <f t="shared" si="175"/>
        <v>I9422</v>
      </c>
    </row>
    <row r="11205" spans="1:6" ht="22.5" x14ac:dyDescent="0.2">
      <c r="A11205" s="29" t="s">
        <v>25941</v>
      </c>
      <c r="B11205" s="30" t="s">
        <v>25942</v>
      </c>
      <c r="C11205" s="29" t="s">
        <v>26</v>
      </c>
      <c r="D11205" s="31">
        <v>10077.540000000001</v>
      </c>
      <c r="F11205" s="3" t="str">
        <f t="shared" si="175"/>
        <v>I9921</v>
      </c>
    </row>
    <row r="11206" spans="1:6" x14ac:dyDescent="0.2">
      <c r="A11206" s="29" t="s">
        <v>25943</v>
      </c>
      <c r="B11206" s="30" t="s">
        <v>25944</v>
      </c>
      <c r="C11206" s="29" t="s">
        <v>255</v>
      </c>
      <c r="D11206" s="31">
        <v>36.08</v>
      </c>
      <c r="F11206" s="3" t="str">
        <f t="shared" si="175"/>
        <v>I9922</v>
      </c>
    </row>
    <row r="11207" spans="1:6" x14ac:dyDescent="0.2">
      <c r="A11207" s="29" t="s">
        <v>25945</v>
      </c>
      <c r="B11207" s="30" t="s">
        <v>25946</v>
      </c>
      <c r="C11207" s="29" t="s">
        <v>26</v>
      </c>
      <c r="D11207" s="31">
        <v>295.31</v>
      </c>
      <c r="F11207" s="3" t="str">
        <f t="shared" si="175"/>
        <v>I4015</v>
      </c>
    </row>
    <row r="11208" spans="1:6" x14ac:dyDescent="0.2">
      <c r="A11208" s="29" t="s">
        <v>25947</v>
      </c>
      <c r="B11208" s="30" t="s">
        <v>25948</v>
      </c>
      <c r="C11208" s="29" t="s">
        <v>26</v>
      </c>
      <c r="D11208" s="31">
        <v>26496.91</v>
      </c>
      <c r="F11208" s="3" t="str">
        <f t="shared" si="175"/>
        <v>I4032</v>
      </c>
    </row>
    <row r="11209" spans="1:6" x14ac:dyDescent="0.2">
      <c r="A11209" s="29" t="s">
        <v>25949</v>
      </c>
      <c r="B11209" s="30" t="s">
        <v>25950</v>
      </c>
      <c r="C11209" s="29" t="s">
        <v>26</v>
      </c>
      <c r="D11209" s="31">
        <v>30718.42</v>
      </c>
      <c r="F11209" s="3" t="str">
        <f t="shared" si="175"/>
        <v>I4033</v>
      </c>
    </row>
    <row r="11210" spans="1:6" x14ac:dyDescent="0.2">
      <c r="A11210" s="29" t="s">
        <v>25951</v>
      </c>
      <c r="B11210" s="30" t="s">
        <v>25952</v>
      </c>
      <c r="C11210" s="29" t="s">
        <v>26</v>
      </c>
      <c r="D11210" s="31">
        <v>645.21</v>
      </c>
      <c r="F11210" s="3" t="str">
        <f t="shared" si="175"/>
        <v>I4017</v>
      </c>
    </row>
    <row r="11211" spans="1:6" x14ac:dyDescent="0.2">
      <c r="A11211" s="29" t="s">
        <v>25953</v>
      </c>
      <c r="B11211" s="30" t="s">
        <v>25954</v>
      </c>
      <c r="C11211" s="29" t="s">
        <v>26</v>
      </c>
      <c r="D11211" s="31">
        <v>627.23</v>
      </c>
      <c r="F11211" s="3" t="str">
        <f t="shared" si="175"/>
        <v>I4016</v>
      </c>
    </row>
    <row r="11212" spans="1:6" x14ac:dyDescent="0.2">
      <c r="A11212" s="29" t="s">
        <v>25955</v>
      </c>
      <c r="B11212" s="30" t="s">
        <v>25956</v>
      </c>
      <c r="C11212" s="29" t="s">
        <v>26</v>
      </c>
      <c r="D11212" s="31">
        <v>627.23</v>
      </c>
      <c r="F11212" s="3" t="str">
        <f t="shared" si="175"/>
        <v>I7135</v>
      </c>
    </row>
    <row r="11213" spans="1:6" x14ac:dyDescent="0.2">
      <c r="A11213" s="29" t="s">
        <v>25957</v>
      </c>
      <c r="B11213" s="30" t="s">
        <v>25958</v>
      </c>
      <c r="C11213" s="29" t="s">
        <v>26</v>
      </c>
      <c r="D11213" s="31">
        <v>1696.19</v>
      </c>
      <c r="F11213" s="3" t="str">
        <f t="shared" si="175"/>
        <v>I4018</v>
      </c>
    </row>
    <row r="11214" spans="1:6" x14ac:dyDescent="0.2">
      <c r="A11214" s="29" t="s">
        <v>25959</v>
      </c>
      <c r="B11214" s="30" t="s">
        <v>25960</v>
      </c>
      <c r="C11214" s="29" t="s">
        <v>26</v>
      </c>
      <c r="D11214" s="31">
        <v>1585.74</v>
      </c>
      <c r="F11214" s="3" t="str">
        <f t="shared" si="175"/>
        <v>I4019</v>
      </c>
    </row>
    <row r="11215" spans="1:6" x14ac:dyDescent="0.2">
      <c r="A11215" s="29" t="s">
        <v>25961</v>
      </c>
      <c r="B11215" s="30" t="s">
        <v>25962</v>
      </c>
      <c r="C11215" s="29" t="s">
        <v>26</v>
      </c>
      <c r="D11215" s="31">
        <v>1876.23</v>
      </c>
      <c r="F11215" s="3" t="str">
        <f t="shared" si="175"/>
        <v>I4020</v>
      </c>
    </row>
    <row r="11216" spans="1:6" x14ac:dyDescent="0.2">
      <c r="A11216" s="29" t="s">
        <v>25963</v>
      </c>
      <c r="B11216" s="30" t="s">
        <v>25964</v>
      </c>
      <c r="C11216" s="29" t="s">
        <v>26</v>
      </c>
      <c r="D11216" s="31">
        <v>2151.86</v>
      </c>
      <c r="F11216" s="3" t="str">
        <f t="shared" si="175"/>
        <v>I4021</v>
      </c>
    </row>
    <row r="11217" spans="1:6" x14ac:dyDescent="0.2">
      <c r="A11217" s="29" t="s">
        <v>25965</v>
      </c>
      <c r="B11217" s="30" t="s">
        <v>25966</v>
      </c>
      <c r="C11217" s="29" t="s">
        <v>26</v>
      </c>
      <c r="D11217" s="31">
        <v>1887.11</v>
      </c>
      <c r="F11217" s="3" t="str">
        <f t="shared" si="175"/>
        <v>I4022</v>
      </c>
    </row>
    <row r="11218" spans="1:6" x14ac:dyDescent="0.2">
      <c r="A11218" s="29" t="s">
        <v>25967</v>
      </c>
      <c r="B11218" s="30" t="s">
        <v>25968</v>
      </c>
      <c r="C11218" s="29" t="s">
        <v>26</v>
      </c>
      <c r="D11218" s="31">
        <v>2357.04</v>
      </c>
      <c r="F11218" s="3" t="str">
        <f t="shared" si="175"/>
        <v>I4023</v>
      </c>
    </row>
    <row r="11219" spans="1:6" x14ac:dyDescent="0.2">
      <c r="A11219" s="29" t="s">
        <v>25969</v>
      </c>
      <c r="B11219" s="30" t="s">
        <v>25970</v>
      </c>
      <c r="C11219" s="29" t="s">
        <v>26</v>
      </c>
      <c r="D11219" s="31">
        <v>2392.87</v>
      </c>
      <c r="F11219" s="3" t="str">
        <f t="shared" si="175"/>
        <v>I4024</v>
      </c>
    </row>
    <row r="11220" spans="1:6" x14ac:dyDescent="0.2">
      <c r="A11220" s="29" t="s">
        <v>25971</v>
      </c>
      <c r="B11220" s="30" t="s">
        <v>25972</v>
      </c>
      <c r="C11220" s="29" t="s">
        <v>26</v>
      </c>
      <c r="D11220" s="31">
        <v>2556.67</v>
      </c>
      <c r="F11220" s="3" t="str">
        <f t="shared" si="175"/>
        <v>I4025</v>
      </c>
    </row>
    <row r="11221" spans="1:6" x14ac:dyDescent="0.2">
      <c r="A11221" s="29" t="s">
        <v>25973</v>
      </c>
      <c r="B11221" s="30" t="s">
        <v>25974</v>
      </c>
      <c r="C11221" s="29" t="s">
        <v>26</v>
      </c>
      <c r="D11221" s="31">
        <v>10606.38</v>
      </c>
      <c r="F11221" s="3" t="str">
        <f t="shared" si="175"/>
        <v>I4026</v>
      </c>
    </row>
    <row r="11222" spans="1:6" x14ac:dyDescent="0.2">
      <c r="A11222" s="29" t="s">
        <v>25975</v>
      </c>
      <c r="B11222" s="30" t="s">
        <v>25976</v>
      </c>
      <c r="C11222" s="29" t="s">
        <v>26</v>
      </c>
      <c r="D11222" s="31">
        <v>4179.58</v>
      </c>
      <c r="F11222" s="3" t="str">
        <f t="shared" si="175"/>
        <v>I4027</v>
      </c>
    </row>
    <row r="11223" spans="1:6" x14ac:dyDescent="0.2">
      <c r="A11223" s="29" t="s">
        <v>25977</v>
      </c>
      <c r="B11223" s="30" t="s">
        <v>25978</v>
      </c>
      <c r="C11223" s="29" t="s">
        <v>26</v>
      </c>
      <c r="D11223" s="31">
        <v>5795.64</v>
      </c>
      <c r="F11223" s="3" t="str">
        <f t="shared" si="175"/>
        <v>I4029</v>
      </c>
    </row>
    <row r="11224" spans="1:6" x14ac:dyDescent="0.2">
      <c r="A11224" s="29" t="s">
        <v>25979</v>
      </c>
      <c r="B11224" s="30" t="s">
        <v>25980</v>
      </c>
      <c r="C11224" s="29" t="s">
        <v>26</v>
      </c>
      <c r="D11224" s="31">
        <v>18912.62</v>
      </c>
      <c r="F11224" s="3" t="str">
        <f t="shared" si="175"/>
        <v>I4030</v>
      </c>
    </row>
    <row r="11225" spans="1:6" x14ac:dyDescent="0.2">
      <c r="A11225" s="29" t="s">
        <v>25981</v>
      </c>
      <c r="B11225" s="30" t="s">
        <v>25982</v>
      </c>
      <c r="C11225" s="29" t="s">
        <v>26</v>
      </c>
      <c r="D11225" s="31">
        <v>20960.990000000002</v>
      </c>
      <c r="F11225" s="3" t="str">
        <f t="shared" si="175"/>
        <v>I4031</v>
      </c>
    </row>
    <row r="11226" spans="1:6" x14ac:dyDescent="0.2">
      <c r="A11226" s="29" t="s">
        <v>25983</v>
      </c>
      <c r="B11226" s="30" t="s">
        <v>25984</v>
      </c>
      <c r="C11226" s="29" t="s">
        <v>26</v>
      </c>
      <c r="D11226" s="31">
        <v>16.68</v>
      </c>
      <c r="F11226" s="3" t="str">
        <f t="shared" si="175"/>
        <v>I9923</v>
      </c>
    </row>
    <row r="11227" spans="1:6" x14ac:dyDescent="0.2">
      <c r="A11227" s="29" t="s">
        <v>25985</v>
      </c>
      <c r="B11227" s="30" t="s">
        <v>25986</v>
      </c>
      <c r="C11227" s="29" t="s">
        <v>26</v>
      </c>
      <c r="D11227" s="31">
        <v>1859.32</v>
      </c>
      <c r="F11227" s="3" t="str">
        <f t="shared" si="175"/>
        <v>I8890</v>
      </c>
    </row>
    <row r="11228" spans="1:6" x14ac:dyDescent="0.2">
      <c r="A11228" s="29" t="s">
        <v>25987</v>
      </c>
      <c r="B11228" s="30" t="s">
        <v>25988</v>
      </c>
      <c r="C11228" s="29" t="s">
        <v>26</v>
      </c>
      <c r="D11228" s="31">
        <v>299.55</v>
      </c>
      <c r="F11228" s="3" t="str">
        <f t="shared" si="175"/>
        <v>I8891</v>
      </c>
    </row>
    <row r="11229" spans="1:6" x14ac:dyDescent="0.2">
      <c r="A11229" s="29" t="s">
        <v>25989</v>
      </c>
      <c r="B11229" s="30" t="s">
        <v>25990</v>
      </c>
      <c r="C11229" s="29" t="s">
        <v>26</v>
      </c>
      <c r="D11229" s="31">
        <v>321.39</v>
      </c>
      <c r="F11229" s="3" t="str">
        <f t="shared" si="175"/>
        <v>I8892</v>
      </c>
    </row>
    <row r="11230" spans="1:6" x14ac:dyDescent="0.2">
      <c r="A11230" s="29" t="s">
        <v>25991</v>
      </c>
      <c r="B11230" s="30" t="s">
        <v>25992</v>
      </c>
      <c r="C11230" s="29" t="s">
        <v>26</v>
      </c>
      <c r="D11230" s="31">
        <v>339.58</v>
      </c>
      <c r="F11230" s="3" t="str">
        <f t="shared" si="175"/>
        <v>I8893</v>
      </c>
    </row>
    <row r="11231" spans="1:6" x14ac:dyDescent="0.2">
      <c r="A11231" s="29" t="s">
        <v>25993</v>
      </c>
      <c r="B11231" s="30" t="s">
        <v>25994</v>
      </c>
      <c r="C11231" s="29" t="s">
        <v>26</v>
      </c>
      <c r="D11231" s="31">
        <v>354.13</v>
      </c>
      <c r="F11231" s="3" t="str">
        <f t="shared" si="175"/>
        <v>I8894</v>
      </c>
    </row>
    <row r="11232" spans="1:6" x14ac:dyDescent="0.2">
      <c r="A11232" s="29" t="s">
        <v>25995</v>
      </c>
      <c r="B11232" s="30" t="s">
        <v>25996</v>
      </c>
      <c r="C11232" s="29" t="s">
        <v>26</v>
      </c>
      <c r="D11232" s="31">
        <v>1980.21</v>
      </c>
      <c r="F11232" s="3" t="str">
        <f t="shared" si="175"/>
        <v>I8895</v>
      </c>
    </row>
    <row r="11233" spans="1:6" x14ac:dyDescent="0.2">
      <c r="A11233" s="29" t="s">
        <v>25997</v>
      </c>
      <c r="B11233" s="30" t="s">
        <v>25998</v>
      </c>
      <c r="C11233" s="29" t="s">
        <v>255</v>
      </c>
      <c r="D11233" s="31">
        <v>1212</v>
      </c>
      <c r="F11233" s="3" t="str">
        <f t="shared" si="175"/>
        <v>I9924</v>
      </c>
    </row>
    <row r="11234" spans="1:6" x14ac:dyDescent="0.2">
      <c r="A11234" s="29" t="s">
        <v>25999</v>
      </c>
      <c r="B11234" s="30" t="s">
        <v>26000</v>
      </c>
      <c r="C11234" s="29" t="s">
        <v>255</v>
      </c>
      <c r="D11234" s="31">
        <v>1540</v>
      </c>
      <c r="F11234" s="3" t="str">
        <f t="shared" si="175"/>
        <v>I13297</v>
      </c>
    </row>
    <row r="11235" spans="1:6" x14ac:dyDescent="0.2">
      <c r="A11235" s="29" t="s">
        <v>26001</v>
      </c>
      <c r="B11235" s="30" t="s">
        <v>26002</v>
      </c>
      <c r="C11235" s="29" t="s">
        <v>24703</v>
      </c>
      <c r="D11235" s="31">
        <v>930</v>
      </c>
      <c r="F11235" s="3" t="str">
        <f t="shared" si="175"/>
        <v>I13133</v>
      </c>
    </row>
    <row r="11236" spans="1:6" x14ac:dyDescent="0.2">
      <c r="A11236" s="29" t="s">
        <v>26003</v>
      </c>
      <c r="B11236" s="30" t="s">
        <v>26004</v>
      </c>
      <c r="C11236" s="29" t="s">
        <v>24703</v>
      </c>
      <c r="D11236" s="31">
        <v>1112</v>
      </c>
      <c r="F11236" s="3" t="str">
        <f t="shared" si="175"/>
        <v>I13134</v>
      </c>
    </row>
    <row r="11237" spans="1:6" x14ac:dyDescent="0.2">
      <c r="A11237" s="29" t="s">
        <v>26005</v>
      </c>
      <c r="B11237" s="30" t="s">
        <v>26006</v>
      </c>
      <c r="C11237" s="29" t="s">
        <v>255</v>
      </c>
      <c r="D11237" s="31">
        <v>760</v>
      </c>
      <c r="F11237" s="3" t="str">
        <f t="shared" si="175"/>
        <v>I9927</v>
      </c>
    </row>
    <row r="11238" spans="1:6" x14ac:dyDescent="0.2">
      <c r="A11238" s="29" t="s">
        <v>26007</v>
      </c>
      <c r="B11238" s="30" t="s">
        <v>26008</v>
      </c>
      <c r="C11238" s="29" t="s">
        <v>26</v>
      </c>
      <c r="D11238" s="31">
        <v>279.05</v>
      </c>
      <c r="F11238" s="3" t="str">
        <f t="shared" si="175"/>
        <v>I10995</v>
      </c>
    </row>
    <row r="11239" spans="1:6" x14ac:dyDescent="0.2">
      <c r="A11239" s="29" t="s">
        <v>26009</v>
      </c>
      <c r="B11239" s="30" t="s">
        <v>26010</v>
      </c>
      <c r="C11239" s="29" t="s">
        <v>26</v>
      </c>
      <c r="D11239" s="31">
        <v>272.77999999999997</v>
      </c>
      <c r="F11239" s="3" t="str">
        <f t="shared" si="175"/>
        <v>I10974</v>
      </c>
    </row>
    <row r="11240" spans="1:6" x14ac:dyDescent="0.2">
      <c r="A11240" s="29" t="s">
        <v>26011</v>
      </c>
      <c r="B11240" s="30" t="s">
        <v>26012</v>
      </c>
      <c r="C11240" s="29" t="s">
        <v>26</v>
      </c>
      <c r="D11240" s="31">
        <v>327.33999999999997</v>
      </c>
      <c r="F11240" s="3" t="str">
        <f t="shared" si="175"/>
        <v>I10996</v>
      </c>
    </row>
    <row r="11241" spans="1:6" x14ac:dyDescent="0.2">
      <c r="A11241" s="29" t="s">
        <v>26013</v>
      </c>
      <c r="B11241" s="30" t="s">
        <v>26014</v>
      </c>
      <c r="C11241" s="29" t="s">
        <v>26</v>
      </c>
      <c r="D11241" s="31">
        <v>18171.13</v>
      </c>
      <c r="F11241" s="3" t="str">
        <f t="shared" si="175"/>
        <v>I10994</v>
      </c>
    </row>
    <row r="11242" spans="1:6" x14ac:dyDescent="0.2">
      <c r="A11242" s="29" t="s">
        <v>26015</v>
      </c>
      <c r="B11242" s="30" t="s">
        <v>26016</v>
      </c>
      <c r="C11242" s="29" t="s">
        <v>26</v>
      </c>
      <c r="D11242" s="31">
        <v>19823.05</v>
      </c>
      <c r="F11242" s="3" t="str">
        <f t="shared" si="175"/>
        <v>I11014</v>
      </c>
    </row>
    <row r="11243" spans="1:6" x14ac:dyDescent="0.2">
      <c r="A11243" s="29" t="s">
        <v>26017</v>
      </c>
      <c r="B11243" s="30" t="s">
        <v>26018</v>
      </c>
      <c r="C11243" s="29" t="s">
        <v>26</v>
      </c>
      <c r="D11243" s="31">
        <v>523.20000000000005</v>
      </c>
      <c r="F11243" s="3" t="str">
        <f t="shared" si="175"/>
        <v>I10976</v>
      </c>
    </row>
    <row r="11244" spans="1:6" x14ac:dyDescent="0.2">
      <c r="A11244" s="29" t="s">
        <v>26019</v>
      </c>
      <c r="B11244" s="30" t="s">
        <v>26020</v>
      </c>
      <c r="C11244" s="29" t="s">
        <v>26</v>
      </c>
      <c r="D11244" s="31">
        <v>627.84</v>
      </c>
      <c r="F11244" s="3" t="str">
        <f t="shared" si="175"/>
        <v>I10998</v>
      </c>
    </row>
    <row r="11245" spans="1:6" x14ac:dyDescent="0.2">
      <c r="A11245" s="29" t="s">
        <v>26021</v>
      </c>
      <c r="B11245" s="30" t="s">
        <v>26022</v>
      </c>
      <c r="C11245" s="29" t="s">
        <v>26</v>
      </c>
      <c r="D11245" s="31">
        <v>505.32</v>
      </c>
      <c r="F11245" s="3" t="str">
        <f t="shared" si="175"/>
        <v>I10975</v>
      </c>
    </row>
    <row r="11246" spans="1:6" x14ac:dyDescent="0.2">
      <c r="A11246" s="29" t="s">
        <v>26023</v>
      </c>
      <c r="B11246" s="30" t="s">
        <v>26024</v>
      </c>
      <c r="C11246" s="29" t="s">
        <v>26</v>
      </c>
      <c r="D11246" s="31">
        <v>594.76</v>
      </c>
      <c r="F11246" s="3" t="str">
        <f t="shared" si="175"/>
        <v>I10997</v>
      </c>
    </row>
    <row r="11247" spans="1:6" x14ac:dyDescent="0.2">
      <c r="A11247" s="29" t="s">
        <v>26025</v>
      </c>
      <c r="B11247" s="30" t="s">
        <v>26026</v>
      </c>
      <c r="C11247" s="29" t="s">
        <v>26</v>
      </c>
      <c r="D11247" s="31">
        <v>595.19000000000005</v>
      </c>
      <c r="F11247" s="3" t="str">
        <f t="shared" si="175"/>
        <v>I10980</v>
      </c>
    </row>
    <row r="11248" spans="1:6" x14ac:dyDescent="0.2">
      <c r="A11248" s="29" t="s">
        <v>26027</v>
      </c>
      <c r="B11248" s="30" t="s">
        <v>26028</v>
      </c>
      <c r="C11248" s="29" t="s">
        <v>26</v>
      </c>
      <c r="D11248" s="31">
        <v>649.30999999999995</v>
      </c>
      <c r="F11248" s="3" t="str">
        <f t="shared" si="175"/>
        <v>I11000</v>
      </c>
    </row>
    <row r="11249" spans="1:6" x14ac:dyDescent="0.2">
      <c r="A11249" s="29" t="s">
        <v>26029</v>
      </c>
      <c r="B11249" s="30" t="s">
        <v>26030</v>
      </c>
      <c r="C11249" s="29" t="s">
        <v>26</v>
      </c>
      <c r="D11249" s="31">
        <v>558.99</v>
      </c>
      <c r="F11249" s="3" t="str">
        <f t="shared" si="175"/>
        <v>I10977</v>
      </c>
    </row>
    <row r="11250" spans="1:6" x14ac:dyDescent="0.2">
      <c r="A11250" s="29" t="s">
        <v>26031</v>
      </c>
      <c r="B11250" s="30" t="s">
        <v>26032</v>
      </c>
      <c r="C11250" s="29" t="s">
        <v>26</v>
      </c>
      <c r="D11250" s="31">
        <v>614.88</v>
      </c>
      <c r="F11250" s="3" t="str">
        <f t="shared" si="175"/>
        <v>I10979</v>
      </c>
    </row>
    <row r="11251" spans="1:6" x14ac:dyDescent="0.2">
      <c r="A11251" s="29" t="s">
        <v>26033</v>
      </c>
      <c r="B11251" s="30" t="s">
        <v>26034</v>
      </c>
      <c r="C11251" s="29" t="s">
        <v>26</v>
      </c>
      <c r="D11251" s="31">
        <v>670.78</v>
      </c>
      <c r="F11251" s="3" t="str">
        <f t="shared" si="175"/>
        <v>I10999</v>
      </c>
    </row>
    <row r="11252" spans="1:6" x14ac:dyDescent="0.2">
      <c r="A11252" s="29" t="s">
        <v>26035</v>
      </c>
      <c r="B11252" s="30" t="s">
        <v>26036</v>
      </c>
      <c r="C11252" s="29" t="s">
        <v>26</v>
      </c>
      <c r="D11252" s="31">
        <v>644.39</v>
      </c>
      <c r="F11252" s="3" t="str">
        <f t="shared" si="175"/>
        <v>I10981</v>
      </c>
    </row>
    <row r="11253" spans="1:6" x14ac:dyDescent="0.2">
      <c r="A11253" s="29" t="s">
        <v>26037</v>
      </c>
      <c r="B11253" s="30" t="s">
        <v>26038</v>
      </c>
      <c r="C11253" s="29" t="s">
        <v>26</v>
      </c>
      <c r="D11253" s="31">
        <v>702.97</v>
      </c>
      <c r="F11253" s="3" t="str">
        <f t="shared" si="175"/>
        <v>I11001</v>
      </c>
    </row>
    <row r="11254" spans="1:6" x14ac:dyDescent="0.2">
      <c r="A11254" s="29" t="s">
        <v>26039</v>
      </c>
      <c r="B11254" s="30" t="s">
        <v>26040</v>
      </c>
      <c r="C11254" s="29" t="s">
        <v>26</v>
      </c>
      <c r="D11254" s="31">
        <v>644.39</v>
      </c>
      <c r="F11254" s="3" t="str">
        <f t="shared" si="175"/>
        <v>I10982</v>
      </c>
    </row>
    <row r="11255" spans="1:6" x14ac:dyDescent="0.2">
      <c r="A11255" s="29" t="s">
        <v>26041</v>
      </c>
      <c r="B11255" s="30" t="s">
        <v>26042</v>
      </c>
      <c r="C11255" s="29" t="s">
        <v>26</v>
      </c>
      <c r="D11255" s="31">
        <v>702.97</v>
      </c>
      <c r="F11255" s="3" t="str">
        <f t="shared" si="175"/>
        <v>I11002</v>
      </c>
    </row>
    <row r="11256" spans="1:6" x14ac:dyDescent="0.2">
      <c r="A11256" s="29" t="s">
        <v>26043</v>
      </c>
      <c r="B11256" s="30" t="s">
        <v>26044</v>
      </c>
      <c r="C11256" s="29" t="s">
        <v>26</v>
      </c>
      <c r="D11256" s="31">
        <v>814.03</v>
      </c>
      <c r="F11256" s="3" t="str">
        <f t="shared" si="175"/>
        <v>I10983</v>
      </c>
    </row>
    <row r="11257" spans="1:6" x14ac:dyDescent="0.2">
      <c r="A11257" s="29" t="s">
        <v>26045</v>
      </c>
      <c r="B11257" s="30" t="s">
        <v>26046</v>
      </c>
      <c r="C11257" s="29" t="s">
        <v>26</v>
      </c>
      <c r="D11257" s="31">
        <v>888.04</v>
      </c>
      <c r="F11257" s="3" t="str">
        <f t="shared" si="175"/>
        <v>I11003</v>
      </c>
    </row>
    <row r="11258" spans="1:6" x14ac:dyDescent="0.2">
      <c r="A11258" s="29" t="s">
        <v>26047</v>
      </c>
      <c r="B11258" s="30" t="s">
        <v>26048</v>
      </c>
      <c r="C11258" s="29" t="s">
        <v>26</v>
      </c>
      <c r="D11258" s="31">
        <v>2058.0100000000002</v>
      </c>
      <c r="F11258" s="3" t="str">
        <f t="shared" si="175"/>
        <v>I10984</v>
      </c>
    </row>
    <row r="11259" spans="1:6" x14ac:dyDescent="0.2">
      <c r="A11259" s="29" t="s">
        <v>26049</v>
      </c>
      <c r="B11259" s="30" t="s">
        <v>26050</v>
      </c>
      <c r="C11259" s="29" t="s">
        <v>26</v>
      </c>
      <c r="D11259" s="31">
        <v>2245.1</v>
      </c>
      <c r="F11259" s="3" t="str">
        <f t="shared" si="175"/>
        <v>I11004</v>
      </c>
    </row>
    <row r="11260" spans="1:6" x14ac:dyDescent="0.2">
      <c r="A11260" s="29" t="s">
        <v>26051</v>
      </c>
      <c r="B11260" s="30" t="s">
        <v>26052</v>
      </c>
      <c r="C11260" s="29" t="s">
        <v>26</v>
      </c>
      <c r="D11260" s="31">
        <v>1772.17</v>
      </c>
      <c r="F11260" s="3" t="str">
        <f t="shared" si="175"/>
        <v>I10985</v>
      </c>
    </row>
    <row r="11261" spans="1:6" x14ac:dyDescent="0.2">
      <c r="A11261" s="29" t="s">
        <v>26053</v>
      </c>
      <c r="B11261" s="30" t="s">
        <v>26054</v>
      </c>
      <c r="C11261" s="29" t="s">
        <v>26</v>
      </c>
      <c r="D11261" s="31">
        <v>1933.29</v>
      </c>
      <c r="F11261" s="3" t="str">
        <f t="shared" si="175"/>
        <v>I11005</v>
      </c>
    </row>
    <row r="11262" spans="1:6" x14ac:dyDescent="0.2">
      <c r="A11262" s="29" t="s">
        <v>26055</v>
      </c>
      <c r="B11262" s="30" t="s">
        <v>26056</v>
      </c>
      <c r="C11262" s="29" t="s">
        <v>26</v>
      </c>
      <c r="D11262" s="31">
        <v>2229.5100000000002</v>
      </c>
      <c r="F11262" s="3" t="str">
        <f t="shared" si="175"/>
        <v>I10986</v>
      </c>
    </row>
    <row r="11263" spans="1:6" x14ac:dyDescent="0.2">
      <c r="A11263" s="29" t="s">
        <v>26057</v>
      </c>
      <c r="B11263" s="30" t="s">
        <v>26058</v>
      </c>
      <c r="C11263" s="29" t="s">
        <v>26</v>
      </c>
      <c r="D11263" s="31">
        <v>2432.1999999999998</v>
      </c>
      <c r="F11263" s="3" t="str">
        <f t="shared" si="175"/>
        <v>I11006</v>
      </c>
    </row>
    <row r="11264" spans="1:6" x14ac:dyDescent="0.2">
      <c r="A11264" s="29" t="s">
        <v>26059</v>
      </c>
      <c r="B11264" s="30" t="s">
        <v>26060</v>
      </c>
      <c r="C11264" s="29" t="s">
        <v>26</v>
      </c>
      <c r="D11264" s="31">
        <v>2401.02</v>
      </c>
      <c r="F11264" s="3" t="str">
        <f t="shared" si="175"/>
        <v>I10987</v>
      </c>
    </row>
    <row r="11265" spans="1:6" x14ac:dyDescent="0.2">
      <c r="A11265" s="29" t="s">
        <v>26061</v>
      </c>
      <c r="B11265" s="30" t="s">
        <v>26062</v>
      </c>
      <c r="C11265" s="29" t="s">
        <v>26</v>
      </c>
      <c r="D11265" s="31">
        <v>2619.29</v>
      </c>
      <c r="F11265" s="3" t="str">
        <f t="shared" si="175"/>
        <v>I11007</v>
      </c>
    </row>
    <row r="11266" spans="1:6" x14ac:dyDescent="0.2">
      <c r="A11266" s="29" t="s">
        <v>26063</v>
      </c>
      <c r="B11266" s="30" t="s">
        <v>26064</v>
      </c>
      <c r="C11266" s="29" t="s">
        <v>26</v>
      </c>
      <c r="D11266" s="31">
        <v>2172.35</v>
      </c>
      <c r="F11266" s="3" t="str">
        <f t="shared" ref="F11266:F11329" si="176">A11266</f>
        <v>I10988</v>
      </c>
    </row>
    <row r="11267" spans="1:6" x14ac:dyDescent="0.2">
      <c r="A11267" s="29" t="s">
        <v>26065</v>
      </c>
      <c r="B11267" s="30" t="s">
        <v>26066</v>
      </c>
      <c r="C11267" s="29" t="s">
        <v>26</v>
      </c>
      <c r="D11267" s="31">
        <v>2369.84</v>
      </c>
      <c r="F11267" s="3" t="str">
        <f t="shared" si="176"/>
        <v>I11008</v>
      </c>
    </row>
    <row r="11268" spans="1:6" x14ac:dyDescent="0.2">
      <c r="A11268" s="29" t="s">
        <v>26067</v>
      </c>
      <c r="B11268" s="30" t="s">
        <v>26068</v>
      </c>
      <c r="C11268" s="29" t="s">
        <v>26</v>
      </c>
      <c r="D11268" s="31">
        <v>2315.2600000000002</v>
      </c>
      <c r="F11268" s="3" t="str">
        <f t="shared" si="176"/>
        <v>I10989</v>
      </c>
    </row>
    <row r="11269" spans="1:6" x14ac:dyDescent="0.2">
      <c r="A11269" s="29" t="s">
        <v>26069</v>
      </c>
      <c r="B11269" s="30" t="s">
        <v>26070</v>
      </c>
      <c r="C11269" s="29" t="s">
        <v>26</v>
      </c>
      <c r="D11269" s="31">
        <v>2525.7399999999998</v>
      </c>
      <c r="F11269" s="3" t="str">
        <f t="shared" si="176"/>
        <v>I11009</v>
      </c>
    </row>
    <row r="11270" spans="1:6" x14ac:dyDescent="0.2">
      <c r="A11270" s="29" t="s">
        <v>26071</v>
      </c>
      <c r="B11270" s="30" t="s">
        <v>26072</v>
      </c>
      <c r="C11270" s="29" t="s">
        <v>26</v>
      </c>
      <c r="D11270" s="31">
        <v>3168.96</v>
      </c>
      <c r="F11270" s="3" t="str">
        <f t="shared" si="176"/>
        <v>I10978</v>
      </c>
    </row>
    <row r="11271" spans="1:6" x14ac:dyDescent="0.2">
      <c r="A11271" s="29" t="s">
        <v>26073</v>
      </c>
      <c r="B11271" s="30" t="s">
        <v>26074</v>
      </c>
      <c r="C11271" s="29" t="s">
        <v>26</v>
      </c>
      <c r="D11271" s="31">
        <v>2722.09</v>
      </c>
      <c r="F11271" s="3" t="str">
        <f t="shared" si="176"/>
        <v>I10990</v>
      </c>
    </row>
    <row r="11272" spans="1:6" x14ac:dyDescent="0.2">
      <c r="A11272" s="29" t="s">
        <v>26075</v>
      </c>
      <c r="B11272" s="30" t="s">
        <v>26076</v>
      </c>
      <c r="C11272" s="29" t="s">
        <v>26</v>
      </c>
      <c r="D11272" s="31">
        <v>2969.54</v>
      </c>
      <c r="F11272" s="3" t="str">
        <f t="shared" si="176"/>
        <v>I11010</v>
      </c>
    </row>
    <row r="11273" spans="1:6" x14ac:dyDescent="0.2">
      <c r="A11273" s="29" t="s">
        <v>26077</v>
      </c>
      <c r="B11273" s="30" t="s">
        <v>26078</v>
      </c>
      <c r="C11273" s="29" t="s">
        <v>26</v>
      </c>
      <c r="D11273" s="31">
        <v>2751.99</v>
      </c>
      <c r="F11273" s="3" t="str">
        <f t="shared" si="176"/>
        <v>I10991</v>
      </c>
    </row>
    <row r="11274" spans="1:6" x14ac:dyDescent="0.2">
      <c r="A11274" s="29" t="s">
        <v>26079</v>
      </c>
      <c r="B11274" s="30" t="s">
        <v>26080</v>
      </c>
      <c r="C11274" s="29" t="s">
        <v>26</v>
      </c>
      <c r="D11274" s="31">
        <v>3002.17</v>
      </c>
      <c r="F11274" s="3" t="str">
        <f t="shared" si="176"/>
        <v>I11011</v>
      </c>
    </row>
    <row r="11275" spans="1:6" x14ac:dyDescent="0.2">
      <c r="A11275" s="29" t="s">
        <v>26081</v>
      </c>
      <c r="B11275" s="30" t="s">
        <v>26082</v>
      </c>
      <c r="C11275" s="29" t="s">
        <v>26</v>
      </c>
      <c r="D11275" s="31">
        <v>3777.51</v>
      </c>
      <c r="F11275" s="3" t="str">
        <f t="shared" si="176"/>
        <v>I4028</v>
      </c>
    </row>
    <row r="11276" spans="1:6" x14ac:dyDescent="0.2">
      <c r="A11276" s="29" t="s">
        <v>26083</v>
      </c>
      <c r="B11276" s="30" t="s">
        <v>26084</v>
      </c>
      <c r="C11276" s="29" t="s">
        <v>26</v>
      </c>
      <c r="D11276" s="31">
        <v>6678.57</v>
      </c>
      <c r="F11276" s="3" t="str">
        <f t="shared" si="176"/>
        <v>I10992</v>
      </c>
    </row>
    <row r="11277" spans="1:6" x14ac:dyDescent="0.2">
      <c r="A11277" s="29" t="s">
        <v>26085</v>
      </c>
      <c r="B11277" s="30" t="s">
        <v>26086</v>
      </c>
      <c r="C11277" s="29" t="s">
        <v>26</v>
      </c>
      <c r="D11277" s="31">
        <v>7285.72</v>
      </c>
      <c r="F11277" s="3" t="str">
        <f t="shared" si="176"/>
        <v>I11012</v>
      </c>
    </row>
    <row r="11278" spans="1:6" x14ac:dyDescent="0.2">
      <c r="A11278" s="29" t="s">
        <v>26087</v>
      </c>
      <c r="B11278" s="30" t="s">
        <v>26088</v>
      </c>
      <c r="C11278" s="29" t="s">
        <v>26</v>
      </c>
      <c r="D11278" s="31">
        <v>7458.3</v>
      </c>
      <c r="F11278" s="3" t="str">
        <f t="shared" si="176"/>
        <v>I10993</v>
      </c>
    </row>
    <row r="11279" spans="1:6" x14ac:dyDescent="0.2">
      <c r="A11279" s="29" t="s">
        <v>26089</v>
      </c>
      <c r="B11279" s="30" t="s">
        <v>26090</v>
      </c>
      <c r="C11279" s="29" t="s">
        <v>26</v>
      </c>
      <c r="D11279" s="31">
        <v>8136.33</v>
      </c>
      <c r="F11279" s="3" t="str">
        <f t="shared" si="176"/>
        <v>I11013</v>
      </c>
    </row>
    <row r="11280" spans="1:6" x14ac:dyDescent="0.2">
      <c r="A11280" s="29" t="s">
        <v>26091</v>
      </c>
      <c r="B11280" s="30" t="s">
        <v>26092</v>
      </c>
      <c r="C11280" s="29" t="s">
        <v>558</v>
      </c>
      <c r="D11280" s="31">
        <v>0.33</v>
      </c>
      <c r="F11280" s="3" t="str">
        <f t="shared" si="176"/>
        <v>I8974</v>
      </c>
    </row>
    <row r="11281" spans="1:6" x14ac:dyDescent="0.2">
      <c r="A11281" s="29" t="s">
        <v>26093</v>
      </c>
      <c r="B11281" s="30" t="s">
        <v>26094</v>
      </c>
      <c r="C11281" s="29" t="s">
        <v>26</v>
      </c>
      <c r="D11281" s="31">
        <v>12.66</v>
      </c>
      <c r="F11281" s="3" t="str">
        <f t="shared" si="176"/>
        <v>I6577</v>
      </c>
    </row>
    <row r="11282" spans="1:6" x14ac:dyDescent="0.2">
      <c r="A11282" s="29" t="s">
        <v>26095</v>
      </c>
      <c r="B11282" s="30" t="s">
        <v>26096</v>
      </c>
      <c r="C11282" s="29" t="s">
        <v>26</v>
      </c>
      <c r="D11282" s="31">
        <v>2.61</v>
      </c>
      <c r="F11282" s="3" t="str">
        <f t="shared" si="176"/>
        <v>I9928</v>
      </c>
    </row>
    <row r="11283" spans="1:6" x14ac:dyDescent="0.2">
      <c r="A11283" s="29" t="s">
        <v>26097</v>
      </c>
      <c r="B11283" s="30" t="s">
        <v>26098</v>
      </c>
      <c r="C11283" s="29" t="s">
        <v>26</v>
      </c>
      <c r="D11283" s="31">
        <v>30.55</v>
      </c>
      <c r="F11283" s="3" t="str">
        <f t="shared" si="176"/>
        <v>I9929</v>
      </c>
    </row>
    <row r="11284" spans="1:6" x14ac:dyDescent="0.2">
      <c r="A11284" s="29" t="s">
        <v>26099</v>
      </c>
      <c r="B11284" s="30" t="s">
        <v>26100</v>
      </c>
      <c r="C11284" s="29" t="s">
        <v>26</v>
      </c>
      <c r="D11284" s="31">
        <v>36.770000000000003</v>
      </c>
      <c r="F11284" s="3" t="str">
        <f t="shared" si="176"/>
        <v>I9930</v>
      </c>
    </row>
    <row r="11285" spans="1:6" x14ac:dyDescent="0.2">
      <c r="A11285" s="29" t="s">
        <v>26101</v>
      </c>
      <c r="B11285" s="30" t="s">
        <v>26102</v>
      </c>
      <c r="C11285" s="29" t="s">
        <v>26</v>
      </c>
      <c r="D11285" s="31">
        <v>40.85</v>
      </c>
      <c r="F11285" s="3" t="str">
        <f t="shared" si="176"/>
        <v>I9931</v>
      </c>
    </row>
    <row r="11286" spans="1:6" x14ac:dyDescent="0.2">
      <c r="A11286" s="29" t="s">
        <v>26103</v>
      </c>
      <c r="B11286" s="30" t="s">
        <v>26104</v>
      </c>
      <c r="C11286" s="29" t="s">
        <v>26</v>
      </c>
      <c r="D11286" s="31">
        <v>12.5</v>
      </c>
      <c r="F11286" s="3" t="str">
        <f t="shared" si="176"/>
        <v>I3010</v>
      </c>
    </row>
    <row r="11287" spans="1:6" x14ac:dyDescent="0.2">
      <c r="A11287" s="29" t="s">
        <v>26105</v>
      </c>
      <c r="B11287" s="30" t="s">
        <v>26106</v>
      </c>
      <c r="C11287" s="29" t="s">
        <v>26</v>
      </c>
      <c r="D11287" s="31">
        <v>71.36</v>
      </c>
      <c r="F11287" s="3" t="str">
        <f t="shared" si="176"/>
        <v>I3011</v>
      </c>
    </row>
    <row r="11288" spans="1:6" x14ac:dyDescent="0.2">
      <c r="A11288" s="29" t="s">
        <v>26107</v>
      </c>
      <c r="B11288" s="30" t="s">
        <v>26108</v>
      </c>
      <c r="C11288" s="29" t="s">
        <v>26</v>
      </c>
      <c r="D11288" s="31">
        <v>66.959999999999994</v>
      </c>
      <c r="F11288" s="3" t="str">
        <f t="shared" si="176"/>
        <v>I3012</v>
      </c>
    </row>
    <row r="11289" spans="1:6" x14ac:dyDescent="0.2">
      <c r="A11289" s="29" t="s">
        <v>26109</v>
      </c>
      <c r="B11289" s="30" t="s">
        <v>26110</v>
      </c>
      <c r="C11289" s="29" t="s">
        <v>26</v>
      </c>
      <c r="D11289" s="31">
        <v>96.37</v>
      </c>
      <c r="F11289" s="3" t="str">
        <f t="shared" si="176"/>
        <v>I3013</v>
      </c>
    </row>
    <row r="11290" spans="1:6" x14ac:dyDescent="0.2">
      <c r="A11290" s="29" t="s">
        <v>26111</v>
      </c>
      <c r="B11290" s="30" t="s">
        <v>26112</v>
      </c>
      <c r="C11290" s="29" t="s">
        <v>26</v>
      </c>
      <c r="D11290" s="31">
        <v>176.63</v>
      </c>
      <c r="F11290" s="3" t="str">
        <f t="shared" si="176"/>
        <v>I3014</v>
      </c>
    </row>
    <row r="11291" spans="1:6" x14ac:dyDescent="0.2">
      <c r="A11291" s="29" t="s">
        <v>26113</v>
      </c>
      <c r="B11291" s="30" t="s">
        <v>26114</v>
      </c>
      <c r="C11291" s="29" t="s">
        <v>26</v>
      </c>
      <c r="D11291" s="31">
        <v>238.71</v>
      </c>
      <c r="F11291" s="3" t="str">
        <f t="shared" si="176"/>
        <v>I3015</v>
      </c>
    </row>
    <row r="11292" spans="1:6" x14ac:dyDescent="0.2">
      <c r="A11292" s="29" t="s">
        <v>26115</v>
      </c>
      <c r="B11292" s="30" t="s">
        <v>26116</v>
      </c>
      <c r="C11292" s="29" t="s">
        <v>26</v>
      </c>
      <c r="D11292" s="31">
        <v>347.41</v>
      </c>
      <c r="F11292" s="3" t="str">
        <f t="shared" si="176"/>
        <v>I3016</v>
      </c>
    </row>
    <row r="11293" spans="1:6" x14ac:dyDescent="0.2">
      <c r="A11293" s="29" t="s">
        <v>26117</v>
      </c>
      <c r="B11293" s="30" t="s">
        <v>26118</v>
      </c>
      <c r="C11293" s="29" t="s">
        <v>26</v>
      </c>
      <c r="D11293" s="31">
        <v>389.3</v>
      </c>
      <c r="F11293" s="3" t="str">
        <f t="shared" si="176"/>
        <v>I3017</v>
      </c>
    </row>
    <row r="11294" spans="1:6" x14ac:dyDescent="0.2">
      <c r="A11294" s="29" t="s">
        <v>26119</v>
      </c>
      <c r="B11294" s="30" t="s">
        <v>26120</v>
      </c>
      <c r="C11294" s="29" t="s">
        <v>9</v>
      </c>
      <c r="D11294" s="31">
        <v>21.68</v>
      </c>
      <c r="F11294" s="3" t="str">
        <f t="shared" si="176"/>
        <v>I8941</v>
      </c>
    </row>
    <row r="11295" spans="1:6" x14ac:dyDescent="0.2">
      <c r="A11295" s="29" t="s">
        <v>26121</v>
      </c>
      <c r="B11295" s="30" t="s">
        <v>26122</v>
      </c>
      <c r="C11295" s="29" t="s">
        <v>26</v>
      </c>
      <c r="D11295" s="31">
        <v>221919.5</v>
      </c>
      <c r="F11295" s="3" t="str">
        <f t="shared" si="176"/>
        <v>I9934</v>
      </c>
    </row>
    <row r="11296" spans="1:6" x14ac:dyDescent="0.2">
      <c r="A11296" s="29" t="s">
        <v>26123</v>
      </c>
      <c r="B11296" s="30" t="s">
        <v>26124</v>
      </c>
      <c r="C11296" s="29" t="s">
        <v>26</v>
      </c>
      <c r="D11296" s="31">
        <v>1.1200000000000001</v>
      </c>
      <c r="F11296" s="3" t="str">
        <f t="shared" si="176"/>
        <v>I9933</v>
      </c>
    </row>
    <row r="11297" spans="1:6" x14ac:dyDescent="0.2">
      <c r="A11297" s="29" t="s">
        <v>26125</v>
      </c>
      <c r="B11297" s="30" t="s">
        <v>26126</v>
      </c>
      <c r="C11297" s="29" t="s">
        <v>26</v>
      </c>
      <c r="D11297" s="31">
        <v>1.01</v>
      </c>
      <c r="F11297" s="3" t="str">
        <f t="shared" si="176"/>
        <v>I8072</v>
      </c>
    </row>
    <row r="11298" spans="1:6" x14ac:dyDescent="0.2">
      <c r="A11298" s="29" t="s">
        <v>26127</v>
      </c>
      <c r="B11298" s="30" t="s">
        <v>26128</v>
      </c>
      <c r="C11298" s="29" t="s">
        <v>26</v>
      </c>
      <c r="D11298" s="31">
        <v>5421.34</v>
      </c>
      <c r="F11298" s="3" t="str">
        <f t="shared" si="176"/>
        <v>I9936</v>
      </c>
    </row>
    <row r="11299" spans="1:6" x14ac:dyDescent="0.2">
      <c r="A11299" s="29" t="s">
        <v>26129</v>
      </c>
      <c r="B11299" s="30" t="s">
        <v>26130</v>
      </c>
      <c r="C11299" s="29" t="s">
        <v>26</v>
      </c>
      <c r="D11299" s="31">
        <v>2873.96</v>
      </c>
      <c r="F11299" s="3" t="str">
        <f t="shared" si="176"/>
        <v>I9935</v>
      </c>
    </row>
    <row r="11300" spans="1:6" x14ac:dyDescent="0.2">
      <c r="A11300" s="29" t="s">
        <v>26131</v>
      </c>
      <c r="B11300" s="30" t="s">
        <v>26132</v>
      </c>
      <c r="C11300" s="29" t="s">
        <v>26</v>
      </c>
      <c r="D11300" s="31">
        <v>5726.95</v>
      </c>
      <c r="F11300" s="3" t="str">
        <f t="shared" si="176"/>
        <v>I6518</v>
      </c>
    </row>
    <row r="11301" spans="1:6" x14ac:dyDescent="0.2">
      <c r="A11301" s="29" t="s">
        <v>26133</v>
      </c>
      <c r="B11301" s="30" t="s">
        <v>26134</v>
      </c>
      <c r="C11301" s="29" t="s">
        <v>26</v>
      </c>
      <c r="D11301" s="31">
        <v>2.5499999999999998</v>
      </c>
      <c r="F11301" s="3" t="str">
        <f t="shared" si="176"/>
        <v>I9937</v>
      </c>
    </row>
    <row r="11302" spans="1:6" x14ac:dyDescent="0.2">
      <c r="A11302" s="29" t="s">
        <v>26135</v>
      </c>
      <c r="B11302" s="30" t="s">
        <v>26136</v>
      </c>
      <c r="C11302" s="29" t="s">
        <v>26</v>
      </c>
      <c r="D11302" s="31">
        <v>834.19</v>
      </c>
      <c r="F11302" s="3" t="str">
        <f t="shared" si="176"/>
        <v>I6097</v>
      </c>
    </row>
    <row r="11303" spans="1:6" x14ac:dyDescent="0.2">
      <c r="A11303" s="29" t="s">
        <v>26137</v>
      </c>
      <c r="B11303" s="30" t="s">
        <v>26138</v>
      </c>
      <c r="C11303" s="29" t="s">
        <v>26</v>
      </c>
      <c r="D11303" s="31">
        <v>1244.1400000000001</v>
      </c>
      <c r="F11303" s="3" t="str">
        <f t="shared" si="176"/>
        <v>I9932</v>
      </c>
    </row>
    <row r="11304" spans="1:6" x14ac:dyDescent="0.2">
      <c r="A11304" s="29" t="s">
        <v>26139</v>
      </c>
      <c r="B11304" s="30" t="s">
        <v>26140</v>
      </c>
      <c r="C11304" s="29" t="s">
        <v>26</v>
      </c>
      <c r="D11304" s="31">
        <v>6.06</v>
      </c>
      <c r="F11304" s="3" t="str">
        <f t="shared" si="176"/>
        <v>I8956</v>
      </c>
    </row>
    <row r="11305" spans="1:6" x14ac:dyDescent="0.2">
      <c r="A11305" s="29" t="s">
        <v>26141</v>
      </c>
      <c r="B11305" s="30" t="s">
        <v>26142</v>
      </c>
      <c r="C11305" s="29" t="s">
        <v>26</v>
      </c>
      <c r="D11305" s="31">
        <v>3309.41</v>
      </c>
      <c r="F11305" s="3" t="str">
        <f t="shared" si="176"/>
        <v>I9938</v>
      </c>
    </row>
    <row r="11306" spans="1:6" ht="33.75" x14ac:dyDescent="0.2">
      <c r="A11306" s="29" t="s">
        <v>26143</v>
      </c>
      <c r="B11306" s="30" t="s">
        <v>26144</v>
      </c>
      <c r="C11306" s="29" t="s">
        <v>26</v>
      </c>
      <c r="D11306" s="31">
        <v>195.74</v>
      </c>
      <c r="F11306" s="3" t="str">
        <f t="shared" si="176"/>
        <v>I8957</v>
      </c>
    </row>
    <row r="11307" spans="1:6" x14ac:dyDescent="0.2">
      <c r="A11307" s="29" t="s">
        <v>26145</v>
      </c>
      <c r="B11307" s="30" t="s">
        <v>26146</v>
      </c>
      <c r="C11307" s="29" t="s">
        <v>26</v>
      </c>
      <c r="D11307" s="31">
        <v>102.64</v>
      </c>
      <c r="F11307" s="3" t="str">
        <f t="shared" si="176"/>
        <v>I9939</v>
      </c>
    </row>
    <row r="11308" spans="1:6" x14ac:dyDescent="0.2">
      <c r="A11308" s="29" t="s">
        <v>26147</v>
      </c>
      <c r="B11308" s="30" t="s">
        <v>26148</v>
      </c>
      <c r="C11308" s="29" t="s">
        <v>26</v>
      </c>
      <c r="D11308" s="31">
        <v>123.17</v>
      </c>
      <c r="F11308" s="3" t="str">
        <f t="shared" si="176"/>
        <v>I9940</v>
      </c>
    </row>
    <row r="11309" spans="1:6" x14ac:dyDescent="0.2">
      <c r="A11309" s="29" t="s">
        <v>26149</v>
      </c>
      <c r="B11309" s="30" t="s">
        <v>26150</v>
      </c>
      <c r="C11309" s="29" t="s">
        <v>26</v>
      </c>
      <c r="D11309" s="31">
        <v>69.11</v>
      </c>
      <c r="F11309" s="3" t="str">
        <f t="shared" si="176"/>
        <v>I8942</v>
      </c>
    </row>
    <row r="11310" spans="1:6" x14ac:dyDescent="0.2">
      <c r="A11310" s="29" t="s">
        <v>26151</v>
      </c>
      <c r="B11310" s="30" t="s">
        <v>26152</v>
      </c>
      <c r="C11310" s="29" t="s">
        <v>26</v>
      </c>
      <c r="D11310" s="31">
        <v>69.11</v>
      </c>
      <c r="F11310" s="3" t="str">
        <f t="shared" si="176"/>
        <v>I8943</v>
      </c>
    </row>
    <row r="11311" spans="1:6" x14ac:dyDescent="0.2">
      <c r="A11311" s="29" t="s">
        <v>26153</v>
      </c>
      <c r="B11311" s="30" t="s">
        <v>26154</v>
      </c>
      <c r="C11311" s="29" t="s">
        <v>26</v>
      </c>
      <c r="D11311" s="31">
        <v>124.94</v>
      </c>
      <c r="F11311" s="3" t="str">
        <f t="shared" si="176"/>
        <v>I9941</v>
      </c>
    </row>
    <row r="11312" spans="1:6" x14ac:dyDescent="0.2">
      <c r="A11312" s="29" t="s">
        <v>26155</v>
      </c>
      <c r="B11312" s="30" t="s">
        <v>26156</v>
      </c>
      <c r="C11312" s="29" t="s">
        <v>26</v>
      </c>
      <c r="D11312" s="31">
        <v>44.42</v>
      </c>
      <c r="F11312" s="3" t="str">
        <f t="shared" si="176"/>
        <v>I8944</v>
      </c>
    </row>
    <row r="11313" spans="1:6" x14ac:dyDescent="0.2">
      <c r="A11313" s="29" t="s">
        <v>26157</v>
      </c>
      <c r="B11313" s="30" t="s">
        <v>26158</v>
      </c>
      <c r="C11313" s="29" t="s">
        <v>26</v>
      </c>
      <c r="D11313" s="31">
        <v>34.78</v>
      </c>
      <c r="F11313" s="3" t="str">
        <f t="shared" si="176"/>
        <v>I8933</v>
      </c>
    </row>
    <row r="11314" spans="1:6" x14ac:dyDescent="0.2">
      <c r="A11314" s="29" t="s">
        <v>26159</v>
      </c>
      <c r="B11314" s="30" t="s">
        <v>26160</v>
      </c>
      <c r="C11314" s="29" t="s">
        <v>26</v>
      </c>
      <c r="D11314" s="31">
        <v>77.38</v>
      </c>
      <c r="F11314" s="3" t="str">
        <f t="shared" si="176"/>
        <v>I8082</v>
      </c>
    </row>
    <row r="11315" spans="1:6" x14ac:dyDescent="0.2">
      <c r="A11315" s="29" t="s">
        <v>26161</v>
      </c>
      <c r="B11315" s="30" t="s">
        <v>26162</v>
      </c>
      <c r="C11315" s="29" t="s">
        <v>26</v>
      </c>
      <c r="D11315" s="31">
        <v>333.16</v>
      </c>
      <c r="F11315" s="3" t="str">
        <f t="shared" si="176"/>
        <v>I6424</v>
      </c>
    </row>
    <row r="11316" spans="1:6" x14ac:dyDescent="0.2">
      <c r="A11316" s="29" t="s">
        <v>26163</v>
      </c>
      <c r="B11316" s="30" t="s">
        <v>26164</v>
      </c>
      <c r="C11316" s="29" t="s">
        <v>26</v>
      </c>
      <c r="D11316" s="31">
        <v>237233.22</v>
      </c>
      <c r="F11316" s="3" t="str">
        <f t="shared" si="176"/>
        <v>I6316</v>
      </c>
    </row>
    <row r="11317" spans="1:6" x14ac:dyDescent="0.2">
      <c r="A11317" s="29" t="s">
        <v>26165</v>
      </c>
      <c r="B11317" s="30" t="s">
        <v>26166</v>
      </c>
      <c r="C11317" s="29" t="s">
        <v>26</v>
      </c>
      <c r="D11317" s="31">
        <v>262920.88</v>
      </c>
      <c r="F11317" s="3" t="str">
        <f t="shared" si="176"/>
        <v>I6317</v>
      </c>
    </row>
    <row r="11318" spans="1:6" x14ac:dyDescent="0.2">
      <c r="A11318" s="29" t="s">
        <v>26167</v>
      </c>
      <c r="B11318" s="30" t="s">
        <v>26168</v>
      </c>
      <c r="C11318" s="29" t="s">
        <v>26</v>
      </c>
      <c r="D11318" s="31">
        <v>337264.03</v>
      </c>
      <c r="F11318" s="3" t="str">
        <f t="shared" si="176"/>
        <v>I6318</v>
      </c>
    </row>
    <row r="11319" spans="1:6" x14ac:dyDescent="0.2">
      <c r="A11319" s="29" t="s">
        <v>26169</v>
      </c>
      <c r="B11319" s="30" t="s">
        <v>26170</v>
      </c>
      <c r="C11319" s="29" t="s">
        <v>26</v>
      </c>
      <c r="D11319" s="31">
        <v>407980.67</v>
      </c>
      <c r="F11319" s="3" t="str">
        <f t="shared" si="176"/>
        <v>I6319</v>
      </c>
    </row>
    <row r="11320" spans="1:6" x14ac:dyDescent="0.2">
      <c r="A11320" s="29" t="s">
        <v>26171</v>
      </c>
      <c r="B11320" s="30" t="s">
        <v>26172</v>
      </c>
      <c r="C11320" s="29" t="s">
        <v>26</v>
      </c>
      <c r="D11320" s="31">
        <v>553040.46</v>
      </c>
      <c r="F11320" s="3" t="str">
        <f t="shared" si="176"/>
        <v>I6320</v>
      </c>
    </row>
    <row r="11321" spans="1:6" x14ac:dyDescent="0.2">
      <c r="A11321" s="29" t="s">
        <v>26173</v>
      </c>
      <c r="B11321" s="30" t="s">
        <v>26174</v>
      </c>
      <c r="C11321" s="29" t="s">
        <v>26</v>
      </c>
      <c r="D11321" s="31">
        <v>184346.82</v>
      </c>
      <c r="F11321" s="3" t="str">
        <f t="shared" si="176"/>
        <v>I6315</v>
      </c>
    </row>
    <row r="11322" spans="1:6" ht="22.5" x14ac:dyDescent="0.2">
      <c r="A11322" s="29" t="s">
        <v>26175</v>
      </c>
      <c r="B11322" s="30" t="s">
        <v>26176</v>
      </c>
      <c r="C11322" s="29" t="s">
        <v>26</v>
      </c>
      <c r="D11322" s="31">
        <v>5691.94</v>
      </c>
      <c r="F11322" s="3" t="str">
        <f t="shared" si="176"/>
        <v>I9350</v>
      </c>
    </row>
    <row r="11323" spans="1:6" x14ac:dyDescent="0.2">
      <c r="A11323" s="29" t="s">
        <v>26177</v>
      </c>
      <c r="B11323" s="30" t="s">
        <v>26178</v>
      </c>
      <c r="C11323" s="29" t="s">
        <v>271</v>
      </c>
      <c r="D11323" s="31">
        <v>11.2</v>
      </c>
      <c r="F11323" s="3" t="str">
        <f t="shared" si="176"/>
        <v>I10260</v>
      </c>
    </row>
    <row r="11324" spans="1:6" x14ac:dyDescent="0.2">
      <c r="A11324" s="29" t="s">
        <v>26179</v>
      </c>
      <c r="B11324" s="30" t="s">
        <v>26180</v>
      </c>
      <c r="C11324" s="29" t="s">
        <v>26</v>
      </c>
      <c r="D11324" s="31">
        <v>143.77000000000001</v>
      </c>
      <c r="F11324" s="3" t="str">
        <f t="shared" si="176"/>
        <v>I9943</v>
      </c>
    </row>
    <row r="11325" spans="1:6" x14ac:dyDescent="0.2">
      <c r="A11325" s="29" t="s">
        <v>26181</v>
      </c>
      <c r="B11325" s="30" t="s">
        <v>26182</v>
      </c>
      <c r="C11325" s="29" t="s">
        <v>26</v>
      </c>
      <c r="D11325" s="31">
        <v>90.14</v>
      </c>
      <c r="F11325" s="3" t="str">
        <f t="shared" si="176"/>
        <v>I9944</v>
      </c>
    </row>
    <row r="11326" spans="1:6" x14ac:dyDescent="0.2">
      <c r="A11326" s="29" t="s">
        <v>26183</v>
      </c>
      <c r="B11326" s="30" t="s">
        <v>26184</v>
      </c>
      <c r="C11326" s="29" t="s">
        <v>26</v>
      </c>
      <c r="D11326" s="31">
        <v>197.93</v>
      </c>
      <c r="F11326" s="3" t="str">
        <f t="shared" si="176"/>
        <v>I9945</v>
      </c>
    </row>
    <row r="11327" spans="1:6" x14ac:dyDescent="0.2">
      <c r="A11327" s="29" t="s">
        <v>26185</v>
      </c>
      <c r="B11327" s="30" t="s">
        <v>26186</v>
      </c>
      <c r="C11327" s="29" t="s">
        <v>26</v>
      </c>
      <c r="D11327" s="31">
        <v>3396.51</v>
      </c>
      <c r="F11327" s="3" t="str">
        <f t="shared" si="176"/>
        <v>I9946</v>
      </c>
    </row>
    <row r="11328" spans="1:6" x14ac:dyDescent="0.2">
      <c r="A11328" s="29" t="s">
        <v>26187</v>
      </c>
      <c r="B11328" s="30" t="s">
        <v>26188</v>
      </c>
      <c r="C11328" s="29" t="s">
        <v>26</v>
      </c>
      <c r="D11328" s="31">
        <v>3631.64</v>
      </c>
      <c r="F11328" s="3" t="str">
        <f t="shared" si="176"/>
        <v>I9947</v>
      </c>
    </row>
    <row r="11329" spans="1:6" x14ac:dyDescent="0.2">
      <c r="A11329" s="29" t="s">
        <v>26189</v>
      </c>
      <c r="B11329" s="30" t="s">
        <v>26190</v>
      </c>
      <c r="C11329" s="29" t="s">
        <v>26</v>
      </c>
      <c r="D11329" s="31">
        <v>30940.29</v>
      </c>
      <c r="F11329" s="3" t="str">
        <f t="shared" si="176"/>
        <v>I11310</v>
      </c>
    </row>
    <row r="11330" spans="1:6" x14ac:dyDescent="0.2">
      <c r="A11330" s="29" t="s">
        <v>26191</v>
      </c>
      <c r="B11330" s="30" t="s">
        <v>26192</v>
      </c>
      <c r="C11330" s="29" t="s">
        <v>26</v>
      </c>
      <c r="D11330" s="31">
        <v>23746.67</v>
      </c>
      <c r="F11330" s="3" t="str">
        <f t="shared" ref="F11330:F11393" si="177">A11330</f>
        <v>I11311</v>
      </c>
    </row>
    <row r="11331" spans="1:6" x14ac:dyDescent="0.2">
      <c r="A11331" s="29" t="s">
        <v>26193</v>
      </c>
      <c r="B11331" s="30" t="s">
        <v>26194</v>
      </c>
      <c r="C11331" s="29" t="s">
        <v>26</v>
      </c>
      <c r="D11331" s="31">
        <v>53480.77</v>
      </c>
      <c r="F11331" s="3" t="str">
        <f t="shared" si="177"/>
        <v>I11312</v>
      </c>
    </row>
    <row r="11332" spans="1:6" x14ac:dyDescent="0.2">
      <c r="A11332" s="29" t="s">
        <v>26195</v>
      </c>
      <c r="B11332" s="30" t="s">
        <v>26196</v>
      </c>
      <c r="C11332" s="29" t="s">
        <v>26</v>
      </c>
      <c r="D11332" s="31">
        <v>550.64</v>
      </c>
      <c r="F11332" s="3" t="str">
        <f t="shared" si="177"/>
        <v>I11282</v>
      </c>
    </row>
    <row r="11333" spans="1:6" x14ac:dyDescent="0.2">
      <c r="A11333" s="29" t="s">
        <v>26197</v>
      </c>
      <c r="B11333" s="30" t="s">
        <v>26198</v>
      </c>
      <c r="C11333" s="29" t="s">
        <v>26</v>
      </c>
      <c r="D11333" s="31">
        <v>530.09</v>
      </c>
      <c r="F11333" s="3" t="str">
        <f t="shared" si="177"/>
        <v>I11281</v>
      </c>
    </row>
    <row r="11334" spans="1:6" x14ac:dyDescent="0.2">
      <c r="A11334" s="29" t="s">
        <v>26199</v>
      </c>
      <c r="B11334" s="30" t="s">
        <v>26200</v>
      </c>
      <c r="C11334" s="29" t="s">
        <v>26</v>
      </c>
      <c r="D11334" s="31">
        <v>862.95</v>
      </c>
      <c r="F11334" s="3" t="str">
        <f t="shared" si="177"/>
        <v>I11283</v>
      </c>
    </row>
    <row r="11335" spans="1:6" x14ac:dyDescent="0.2">
      <c r="A11335" s="29" t="s">
        <v>26201</v>
      </c>
      <c r="B11335" s="30" t="s">
        <v>26202</v>
      </c>
      <c r="C11335" s="29" t="s">
        <v>26</v>
      </c>
      <c r="D11335" s="31">
        <v>862.95</v>
      </c>
      <c r="F11335" s="3" t="str">
        <f t="shared" si="177"/>
        <v>I11284</v>
      </c>
    </row>
    <row r="11336" spans="1:6" x14ac:dyDescent="0.2">
      <c r="A11336" s="29" t="s">
        <v>26203</v>
      </c>
      <c r="B11336" s="30" t="s">
        <v>26204</v>
      </c>
      <c r="C11336" s="29" t="s">
        <v>26</v>
      </c>
      <c r="D11336" s="31">
        <v>717.65</v>
      </c>
      <c r="F11336" s="3" t="str">
        <f t="shared" si="177"/>
        <v>I11285</v>
      </c>
    </row>
    <row r="11337" spans="1:6" x14ac:dyDescent="0.2">
      <c r="A11337" s="29" t="s">
        <v>26205</v>
      </c>
      <c r="B11337" s="30" t="s">
        <v>26206</v>
      </c>
      <c r="C11337" s="29" t="s">
        <v>26</v>
      </c>
      <c r="D11337" s="31">
        <v>1370.56</v>
      </c>
      <c r="F11337" s="3" t="str">
        <f t="shared" si="177"/>
        <v>I11286</v>
      </c>
    </row>
    <row r="11338" spans="1:6" x14ac:dyDescent="0.2">
      <c r="A11338" s="29" t="s">
        <v>26207</v>
      </c>
      <c r="B11338" s="30" t="s">
        <v>26208</v>
      </c>
      <c r="C11338" s="29" t="s">
        <v>26</v>
      </c>
      <c r="D11338" s="31">
        <v>1218.27</v>
      </c>
      <c r="F11338" s="3" t="str">
        <f t="shared" si="177"/>
        <v>I11287</v>
      </c>
    </row>
    <row r="11339" spans="1:6" x14ac:dyDescent="0.2">
      <c r="A11339" s="29" t="s">
        <v>26209</v>
      </c>
      <c r="B11339" s="30" t="s">
        <v>26210</v>
      </c>
      <c r="C11339" s="29" t="s">
        <v>26</v>
      </c>
      <c r="D11339" s="31">
        <v>1479.33</v>
      </c>
      <c r="F11339" s="3" t="str">
        <f t="shared" si="177"/>
        <v>I11288</v>
      </c>
    </row>
    <row r="11340" spans="1:6" x14ac:dyDescent="0.2">
      <c r="A11340" s="29" t="s">
        <v>26211</v>
      </c>
      <c r="B11340" s="30" t="s">
        <v>26212</v>
      </c>
      <c r="C11340" s="29" t="s">
        <v>26</v>
      </c>
      <c r="D11340" s="31">
        <v>1479.33</v>
      </c>
      <c r="F11340" s="3" t="str">
        <f t="shared" si="177"/>
        <v>I11289</v>
      </c>
    </row>
    <row r="11341" spans="1:6" x14ac:dyDescent="0.2">
      <c r="A11341" s="29" t="s">
        <v>26213</v>
      </c>
      <c r="B11341" s="30" t="s">
        <v>26214</v>
      </c>
      <c r="C11341" s="29" t="s">
        <v>26</v>
      </c>
      <c r="D11341" s="31">
        <v>1392.31</v>
      </c>
      <c r="F11341" s="3" t="str">
        <f t="shared" si="177"/>
        <v>I11290</v>
      </c>
    </row>
    <row r="11342" spans="1:6" x14ac:dyDescent="0.2">
      <c r="A11342" s="29" t="s">
        <v>26215</v>
      </c>
      <c r="B11342" s="30" t="s">
        <v>26216</v>
      </c>
      <c r="C11342" s="29" t="s">
        <v>26</v>
      </c>
      <c r="D11342" s="31">
        <v>2127.15</v>
      </c>
      <c r="F11342" s="3" t="str">
        <f t="shared" si="177"/>
        <v>I11291</v>
      </c>
    </row>
    <row r="11343" spans="1:6" x14ac:dyDescent="0.2">
      <c r="A11343" s="29" t="s">
        <v>26217</v>
      </c>
      <c r="B11343" s="30" t="s">
        <v>26218</v>
      </c>
      <c r="C11343" s="29" t="s">
        <v>26</v>
      </c>
      <c r="D11343" s="31">
        <v>2465.56</v>
      </c>
      <c r="F11343" s="3" t="str">
        <f t="shared" si="177"/>
        <v>I11292</v>
      </c>
    </row>
    <row r="11344" spans="1:6" x14ac:dyDescent="0.2">
      <c r="A11344" s="29" t="s">
        <v>26219</v>
      </c>
      <c r="B11344" s="30" t="s">
        <v>26220</v>
      </c>
      <c r="C11344" s="29" t="s">
        <v>26</v>
      </c>
      <c r="D11344" s="31">
        <v>2272.19</v>
      </c>
      <c r="F11344" s="3" t="str">
        <f t="shared" si="177"/>
        <v>I11293</v>
      </c>
    </row>
    <row r="11345" spans="1:6" x14ac:dyDescent="0.2">
      <c r="A11345" s="29" t="s">
        <v>26221</v>
      </c>
      <c r="B11345" s="30" t="s">
        <v>26222</v>
      </c>
      <c r="C11345" s="29" t="s">
        <v>26</v>
      </c>
      <c r="D11345" s="31">
        <v>2127.15</v>
      </c>
      <c r="F11345" s="3" t="str">
        <f t="shared" si="177"/>
        <v>I11294</v>
      </c>
    </row>
    <row r="11346" spans="1:6" x14ac:dyDescent="0.2">
      <c r="A11346" s="29" t="s">
        <v>26223</v>
      </c>
      <c r="B11346" s="30" t="s">
        <v>26224</v>
      </c>
      <c r="C11346" s="29" t="s">
        <v>26</v>
      </c>
      <c r="D11346" s="31">
        <v>2852.32</v>
      </c>
      <c r="F11346" s="3" t="str">
        <f t="shared" si="177"/>
        <v>I11295</v>
      </c>
    </row>
    <row r="11347" spans="1:6" x14ac:dyDescent="0.2">
      <c r="A11347" s="29" t="s">
        <v>26225</v>
      </c>
      <c r="B11347" s="30" t="s">
        <v>26226</v>
      </c>
      <c r="C11347" s="29" t="s">
        <v>26</v>
      </c>
      <c r="D11347" s="31">
        <v>2852.32</v>
      </c>
      <c r="F11347" s="3" t="str">
        <f t="shared" si="177"/>
        <v>I11296</v>
      </c>
    </row>
    <row r="11348" spans="1:6" x14ac:dyDescent="0.2">
      <c r="A11348" s="29" t="s">
        <v>26227</v>
      </c>
      <c r="B11348" s="30" t="s">
        <v>26228</v>
      </c>
      <c r="C11348" s="29" t="s">
        <v>26</v>
      </c>
      <c r="D11348" s="31">
        <v>3129.27</v>
      </c>
      <c r="F11348" s="3" t="str">
        <f t="shared" si="177"/>
        <v>I11297</v>
      </c>
    </row>
    <row r="11349" spans="1:6" x14ac:dyDescent="0.2">
      <c r="A11349" s="29" t="s">
        <v>26229</v>
      </c>
      <c r="B11349" s="30" t="s">
        <v>26230</v>
      </c>
      <c r="C11349" s="29" t="s">
        <v>26</v>
      </c>
      <c r="D11349" s="31">
        <v>2658.94</v>
      </c>
      <c r="F11349" s="3" t="str">
        <f t="shared" si="177"/>
        <v>I11298</v>
      </c>
    </row>
    <row r="11350" spans="1:6" x14ac:dyDescent="0.2">
      <c r="A11350" s="29" t="s">
        <v>26231</v>
      </c>
      <c r="B11350" s="30" t="s">
        <v>26232</v>
      </c>
      <c r="C11350" s="29" t="s">
        <v>26</v>
      </c>
      <c r="D11350" s="31">
        <v>3045.68</v>
      </c>
      <c r="F11350" s="3" t="str">
        <f t="shared" si="177"/>
        <v>I11299</v>
      </c>
    </row>
    <row r="11351" spans="1:6" x14ac:dyDescent="0.2">
      <c r="A11351" s="29" t="s">
        <v>26233</v>
      </c>
      <c r="B11351" s="30" t="s">
        <v>26234</v>
      </c>
      <c r="C11351" s="29" t="s">
        <v>26</v>
      </c>
      <c r="D11351" s="31">
        <v>3451.78</v>
      </c>
      <c r="F11351" s="3" t="str">
        <f t="shared" si="177"/>
        <v>I11300</v>
      </c>
    </row>
    <row r="11352" spans="1:6" x14ac:dyDescent="0.2">
      <c r="A11352" s="29" t="s">
        <v>26235</v>
      </c>
      <c r="B11352" s="30" t="s">
        <v>26236</v>
      </c>
      <c r="C11352" s="29" t="s">
        <v>26</v>
      </c>
      <c r="D11352" s="31">
        <v>4263.96</v>
      </c>
      <c r="F11352" s="3" t="str">
        <f t="shared" si="177"/>
        <v>I11301</v>
      </c>
    </row>
    <row r="11353" spans="1:6" x14ac:dyDescent="0.2">
      <c r="A11353" s="29" t="s">
        <v>26237</v>
      </c>
      <c r="B11353" s="30" t="s">
        <v>26238</v>
      </c>
      <c r="C11353" s="29" t="s">
        <v>26</v>
      </c>
      <c r="D11353" s="31">
        <v>4162.4399999999996</v>
      </c>
      <c r="F11353" s="3" t="str">
        <f t="shared" si="177"/>
        <v>I11302</v>
      </c>
    </row>
    <row r="11354" spans="1:6" x14ac:dyDescent="0.2">
      <c r="A11354" s="29" t="s">
        <v>26239</v>
      </c>
      <c r="B11354" s="30" t="s">
        <v>26240</v>
      </c>
      <c r="C11354" s="29" t="s">
        <v>26</v>
      </c>
      <c r="D11354" s="31">
        <v>4355.7</v>
      </c>
      <c r="F11354" s="3" t="str">
        <f t="shared" si="177"/>
        <v>I9948</v>
      </c>
    </row>
    <row r="11355" spans="1:6" x14ac:dyDescent="0.2">
      <c r="A11355" s="29" t="s">
        <v>26241</v>
      </c>
      <c r="B11355" s="30" t="s">
        <v>26242</v>
      </c>
      <c r="C11355" s="29" t="s">
        <v>26</v>
      </c>
      <c r="D11355" s="31">
        <v>2947.06</v>
      </c>
      <c r="F11355" s="3" t="str">
        <f t="shared" si="177"/>
        <v>I11303</v>
      </c>
    </row>
    <row r="11356" spans="1:6" x14ac:dyDescent="0.2">
      <c r="A11356" s="29" t="s">
        <v>26243</v>
      </c>
      <c r="B11356" s="30" t="s">
        <v>26244</v>
      </c>
      <c r="C11356" s="29" t="s">
        <v>26</v>
      </c>
      <c r="D11356" s="31">
        <v>5337.21</v>
      </c>
      <c r="F11356" s="3" t="str">
        <f t="shared" si="177"/>
        <v>I11304</v>
      </c>
    </row>
    <row r="11357" spans="1:6" x14ac:dyDescent="0.2">
      <c r="A11357" s="29" t="s">
        <v>26245</v>
      </c>
      <c r="B11357" s="30" t="s">
        <v>26246</v>
      </c>
      <c r="C11357" s="29" t="s">
        <v>26</v>
      </c>
      <c r="D11357" s="31">
        <v>17450.919999999998</v>
      </c>
      <c r="F11357" s="3" t="str">
        <f t="shared" si="177"/>
        <v>I11305</v>
      </c>
    </row>
    <row r="11358" spans="1:6" x14ac:dyDescent="0.2">
      <c r="A11358" s="29" t="s">
        <v>26247</v>
      </c>
      <c r="B11358" s="30" t="s">
        <v>26248</v>
      </c>
      <c r="C11358" s="29" t="s">
        <v>26</v>
      </c>
      <c r="D11358" s="31">
        <v>20042.62</v>
      </c>
      <c r="F11358" s="3" t="str">
        <f t="shared" si="177"/>
        <v>I11306</v>
      </c>
    </row>
    <row r="11359" spans="1:6" x14ac:dyDescent="0.2">
      <c r="A11359" s="29" t="s">
        <v>26249</v>
      </c>
      <c r="B11359" s="30" t="s">
        <v>26250</v>
      </c>
      <c r="C11359" s="29" t="s">
        <v>26</v>
      </c>
      <c r="D11359" s="31">
        <v>15972.93</v>
      </c>
      <c r="F11359" s="3" t="str">
        <f t="shared" si="177"/>
        <v>I9949</v>
      </c>
    </row>
    <row r="11360" spans="1:6" x14ac:dyDescent="0.2">
      <c r="A11360" s="29" t="s">
        <v>26251</v>
      </c>
      <c r="B11360" s="30" t="s">
        <v>26252</v>
      </c>
      <c r="C11360" s="29" t="s">
        <v>26</v>
      </c>
      <c r="D11360" s="31">
        <v>16209.81</v>
      </c>
      <c r="F11360" s="3" t="str">
        <f t="shared" si="177"/>
        <v>I11307</v>
      </c>
    </row>
    <row r="11361" spans="1:6" x14ac:dyDescent="0.2">
      <c r="A11361" s="29" t="s">
        <v>26253</v>
      </c>
      <c r="B11361" s="30" t="s">
        <v>26254</v>
      </c>
      <c r="C11361" s="29" t="s">
        <v>26</v>
      </c>
      <c r="D11361" s="31">
        <v>18973.89</v>
      </c>
      <c r="F11361" s="3" t="str">
        <f t="shared" si="177"/>
        <v>I11308</v>
      </c>
    </row>
    <row r="11362" spans="1:6" x14ac:dyDescent="0.2">
      <c r="A11362" s="29" t="s">
        <v>26255</v>
      </c>
      <c r="B11362" s="30" t="s">
        <v>26256</v>
      </c>
      <c r="C11362" s="29" t="s">
        <v>26</v>
      </c>
      <c r="D11362" s="31">
        <v>17403.91</v>
      </c>
      <c r="F11362" s="3" t="str">
        <f t="shared" si="177"/>
        <v>I11309</v>
      </c>
    </row>
    <row r="11363" spans="1:6" x14ac:dyDescent="0.2">
      <c r="A11363" s="29" t="s">
        <v>26257</v>
      </c>
      <c r="B11363" s="30" t="s">
        <v>26258</v>
      </c>
      <c r="C11363" s="29" t="s">
        <v>26</v>
      </c>
      <c r="D11363" s="31">
        <v>27072.75</v>
      </c>
      <c r="F11363" s="3" t="str">
        <f t="shared" si="177"/>
        <v>I9950</v>
      </c>
    </row>
    <row r="11364" spans="1:6" x14ac:dyDescent="0.2">
      <c r="A11364" s="29" t="s">
        <v>26259</v>
      </c>
      <c r="B11364" s="30" t="s">
        <v>26260</v>
      </c>
      <c r="C11364" s="29" t="s">
        <v>26</v>
      </c>
      <c r="D11364" s="31">
        <v>7503.42</v>
      </c>
      <c r="F11364" s="3" t="str">
        <f t="shared" si="177"/>
        <v>I11313</v>
      </c>
    </row>
    <row r="11365" spans="1:6" x14ac:dyDescent="0.2">
      <c r="A11365" s="29" t="s">
        <v>26261</v>
      </c>
      <c r="B11365" s="30" t="s">
        <v>26262</v>
      </c>
      <c r="C11365" s="29" t="s">
        <v>26</v>
      </c>
      <c r="D11365" s="31">
        <v>10080.09</v>
      </c>
      <c r="F11365" s="3" t="str">
        <f t="shared" si="177"/>
        <v>I11314</v>
      </c>
    </row>
    <row r="11366" spans="1:6" x14ac:dyDescent="0.2">
      <c r="A11366" s="29" t="s">
        <v>26263</v>
      </c>
      <c r="B11366" s="30" t="s">
        <v>26264</v>
      </c>
      <c r="C11366" s="29" t="s">
        <v>26</v>
      </c>
      <c r="D11366" s="31">
        <v>35606.1</v>
      </c>
      <c r="F11366" s="3" t="str">
        <f t="shared" si="177"/>
        <v>I11315</v>
      </c>
    </row>
    <row r="11367" spans="1:6" x14ac:dyDescent="0.2">
      <c r="A11367" s="29" t="s">
        <v>26265</v>
      </c>
      <c r="B11367" s="30" t="s">
        <v>26266</v>
      </c>
      <c r="C11367" s="29" t="s">
        <v>26</v>
      </c>
      <c r="D11367" s="31">
        <v>383.04</v>
      </c>
      <c r="F11367" s="3" t="str">
        <f t="shared" si="177"/>
        <v>I13279</v>
      </c>
    </row>
    <row r="11368" spans="1:6" x14ac:dyDescent="0.2">
      <c r="A11368" s="29" t="s">
        <v>26267</v>
      </c>
      <c r="B11368" s="30" t="s">
        <v>26268</v>
      </c>
      <c r="C11368" s="29" t="s">
        <v>26</v>
      </c>
      <c r="D11368" s="31">
        <v>322.11</v>
      </c>
      <c r="F11368" s="3" t="str">
        <f t="shared" si="177"/>
        <v>I13280</v>
      </c>
    </row>
    <row r="11369" spans="1:6" x14ac:dyDescent="0.2">
      <c r="A11369" s="29" t="s">
        <v>26269</v>
      </c>
      <c r="B11369" s="30" t="s">
        <v>26270</v>
      </c>
      <c r="C11369" s="29" t="s">
        <v>26</v>
      </c>
      <c r="D11369" s="31">
        <v>383.04</v>
      </c>
      <c r="F11369" s="3" t="str">
        <f t="shared" si="177"/>
        <v>I13281</v>
      </c>
    </row>
    <row r="11370" spans="1:6" x14ac:dyDescent="0.2">
      <c r="A11370" s="29" t="s">
        <v>26271</v>
      </c>
      <c r="B11370" s="30" t="s">
        <v>26272</v>
      </c>
      <c r="C11370" s="29" t="s">
        <v>26</v>
      </c>
      <c r="D11370" s="31">
        <v>722.56</v>
      </c>
      <c r="F11370" s="3" t="str">
        <f t="shared" si="177"/>
        <v>I13282</v>
      </c>
    </row>
    <row r="11371" spans="1:6" x14ac:dyDescent="0.2">
      <c r="A11371" s="29" t="s">
        <v>26273</v>
      </c>
      <c r="B11371" s="30" t="s">
        <v>26274</v>
      </c>
      <c r="C11371" s="29" t="s">
        <v>26</v>
      </c>
      <c r="D11371" s="31">
        <v>574.55999999999995</v>
      </c>
      <c r="F11371" s="3" t="str">
        <f t="shared" si="177"/>
        <v>I13286</v>
      </c>
    </row>
    <row r="11372" spans="1:6" x14ac:dyDescent="0.2">
      <c r="A11372" s="29" t="s">
        <v>26275</v>
      </c>
      <c r="B11372" s="30" t="s">
        <v>26276</v>
      </c>
      <c r="C11372" s="29" t="s">
        <v>26</v>
      </c>
      <c r="D11372" s="31">
        <v>452.69</v>
      </c>
      <c r="F11372" s="3" t="str">
        <f t="shared" si="177"/>
        <v>I13283</v>
      </c>
    </row>
    <row r="11373" spans="1:6" x14ac:dyDescent="0.2">
      <c r="A11373" s="29" t="s">
        <v>26277</v>
      </c>
      <c r="B11373" s="30" t="s">
        <v>26278</v>
      </c>
      <c r="C11373" s="29" t="s">
        <v>26</v>
      </c>
      <c r="D11373" s="31">
        <v>543.22</v>
      </c>
      <c r="F11373" s="3" t="str">
        <f t="shared" si="177"/>
        <v>I13284</v>
      </c>
    </row>
    <row r="11374" spans="1:6" x14ac:dyDescent="0.2">
      <c r="A11374" s="29" t="s">
        <v>26279</v>
      </c>
      <c r="B11374" s="30" t="s">
        <v>26280</v>
      </c>
      <c r="C11374" s="29" t="s">
        <v>26</v>
      </c>
      <c r="D11374" s="31">
        <v>557.15</v>
      </c>
      <c r="F11374" s="3" t="str">
        <f t="shared" si="177"/>
        <v>I13285</v>
      </c>
    </row>
    <row r="11375" spans="1:6" x14ac:dyDescent="0.2">
      <c r="A11375" s="29" t="s">
        <v>26281</v>
      </c>
      <c r="B11375" s="30" t="s">
        <v>26282</v>
      </c>
      <c r="C11375" s="29" t="s">
        <v>26</v>
      </c>
      <c r="D11375" s="31">
        <v>170.63</v>
      </c>
      <c r="F11375" s="3" t="str">
        <f t="shared" si="177"/>
        <v>I13273</v>
      </c>
    </row>
    <row r="11376" spans="1:6" x14ac:dyDescent="0.2">
      <c r="A11376" s="29" t="s">
        <v>26283</v>
      </c>
      <c r="B11376" s="30" t="s">
        <v>26284</v>
      </c>
      <c r="C11376" s="29" t="s">
        <v>26</v>
      </c>
      <c r="D11376" s="31">
        <v>299.48</v>
      </c>
      <c r="F11376" s="3" t="str">
        <f t="shared" si="177"/>
        <v>I13274</v>
      </c>
    </row>
    <row r="11377" spans="1:6" x14ac:dyDescent="0.2">
      <c r="A11377" s="29" t="s">
        <v>26285</v>
      </c>
      <c r="B11377" s="30" t="s">
        <v>26286</v>
      </c>
      <c r="C11377" s="29" t="s">
        <v>26</v>
      </c>
      <c r="D11377" s="31">
        <v>287.27999999999997</v>
      </c>
      <c r="F11377" s="3" t="str">
        <f t="shared" si="177"/>
        <v>I13275</v>
      </c>
    </row>
    <row r="11378" spans="1:6" x14ac:dyDescent="0.2">
      <c r="A11378" s="29" t="s">
        <v>26287</v>
      </c>
      <c r="B11378" s="30" t="s">
        <v>26288</v>
      </c>
      <c r="C11378" s="29" t="s">
        <v>26</v>
      </c>
      <c r="D11378" s="31">
        <v>262.91000000000003</v>
      </c>
      <c r="F11378" s="3" t="str">
        <f t="shared" si="177"/>
        <v>I13276</v>
      </c>
    </row>
    <row r="11379" spans="1:6" x14ac:dyDescent="0.2">
      <c r="A11379" s="29" t="s">
        <v>26289</v>
      </c>
      <c r="B11379" s="30" t="s">
        <v>26290</v>
      </c>
      <c r="C11379" s="29" t="s">
        <v>26</v>
      </c>
      <c r="D11379" s="31">
        <v>247.24</v>
      </c>
      <c r="F11379" s="3" t="str">
        <f t="shared" si="177"/>
        <v>I13277</v>
      </c>
    </row>
    <row r="11380" spans="1:6" x14ac:dyDescent="0.2">
      <c r="A11380" s="29" t="s">
        <v>26291</v>
      </c>
      <c r="B11380" s="30" t="s">
        <v>26292</v>
      </c>
      <c r="C11380" s="29" t="s">
        <v>26</v>
      </c>
      <c r="D11380" s="31">
        <v>435.28</v>
      </c>
      <c r="F11380" s="3" t="str">
        <f t="shared" si="177"/>
        <v>I13278</v>
      </c>
    </row>
    <row r="11381" spans="1:6" x14ac:dyDescent="0.2">
      <c r="A11381" s="29" t="s">
        <v>26293</v>
      </c>
      <c r="B11381" s="30" t="s">
        <v>26294</v>
      </c>
      <c r="C11381" s="29" t="s">
        <v>26</v>
      </c>
      <c r="D11381" s="31">
        <v>321.45</v>
      </c>
      <c r="F11381" s="3" t="str">
        <f t="shared" si="177"/>
        <v>I13206</v>
      </c>
    </row>
    <row r="11382" spans="1:6" x14ac:dyDescent="0.2">
      <c r="A11382" s="29" t="s">
        <v>26295</v>
      </c>
      <c r="B11382" s="30" t="s">
        <v>26296</v>
      </c>
      <c r="C11382" s="29" t="s">
        <v>26</v>
      </c>
      <c r="D11382" s="31">
        <v>266.89999999999998</v>
      </c>
      <c r="F11382" s="3" t="str">
        <f t="shared" si="177"/>
        <v>I13207</v>
      </c>
    </row>
    <row r="11383" spans="1:6" x14ac:dyDescent="0.2">
      <c r="A11383" s="29" t="s">
        <v>26297</v>
      </c>
      <c r="B11383" s="30" t="s">
        <v>26298</v>
      </c>
      <c r="C11383" s="29" t="s">
        <v>26</v>
      </c>
      <c r="D11383" s="31">
        <v>768.28</v>
      </c>
      <c r="F11383" s="3" t="str">
        <f t="shared" si="177"/>
        <v>I13208</v>
      </c>
    </row>
    <row r="11384" spans="1:6" x14ac:dyDescent="0.2">
      <c r="A11384" s="29" t="s">
        <v>26299</v>
      </c>
      <c r="B11384" s="30" t="s">
        <v>26300</v>
      </c>
      <c r="C11384" s="29" t="s">
        <v>26</v>
      </c>
      <c r="D11384" s="31">
        <v>517.85</v>
      </c>
      <c r="F11384" s="3" t="str">
        <f t="shared" si="177"/>
        <v>I13209</v>
      </c>
    </row>
    <row r="11385" spans="1:6" x14ac:dyDescent="0.2">
      <c r="A11385" s="29" t="s">
        <v>26301</v>
      </c>
      <c r="B11385" s="30" t="s">
        <v>26302</v>
      </c>
      <c r="C11385" s="29" t="s">
        <v>26</v>
      </c>
      <c r="D11385" s="31">
        <v>22.42</v>
      </c>
      <c r="F11385" s="3" t="str">
        <f t="shared" si="177"/>
        <v>I9951</v>
      </c>
    </row>
    <row r="11386" spans="1:6" x14ac:dyDescent="0.2">
      <c r="A11386" s="29" t="s">
        <v>26303</v>
      </c>
      <c r="B11386" s="30" t="s">
        <v>26304</v>
      </c>
      <c r="C11386" s="29" t="s">
        <v>26</v>
      </c>
      <c r="D11386" s="31">
        <v>50.15</v>
      </c>
      <c r="F11386" s="3" t="str">
        <f t="shared" si="177"/>
        <v>I9952</v>
      </c>
    </row>
    <row r="11387" spans="1:6" x14ac:dyDescent="0.2">
      <c r="A11387" s="29" t="s">
        <v>26305</v>
      </c>
      <c r="B11387" s="30" t="s">
        <v>26306</v>
      </c>
      <c r="C11387" s="29" t="s">
        <v>26</v>
      </c>
      <c r="D11387" s="31">
        <v>95.3</v>
      </c>
      <c r="F11387" s="3" t="str">
        <f t="shared" si="177"/>
        <v>I9953</v>
      </c>
    </row>
    <row r="11388" spans="1:6" x14ac:dyDescent="0.2">
      <c r="A11388" s="29" t="s">
        <v>26307</v>
      </c>
      <c r="B11388" s="30" t="s">
        <v>26308</v>
      </c>
      <c r="C11388" s="29" t="s">
        <v>26</v>
      </c>
      <c r="D11388" s="31">
        <v>205.76</v>
      </c>
      <c r="F11388" s="3" t="str">
        <f t="shared" si="177"/>
        <v>I9954</v>
      </c>
    </row>
    <row r="11389" spans="1:6" x14ac:dyDescent="0.2">
      <c r="A11389" s="29" t="s">
        <v>26309</v>
      </c>
      <c r="B11389" s="30" t="s">
        <v>26310</v>
      </c>
      <c r="C11389" s="29" t="s">
        <v>26</v>
      </c>
      <c r="D11389" s="31">
        <v>10983.74</v>
      </c>
      <c r="F11389" s="3" t="str">
        <f t="shared" si="177"/>
        <v>I9955</v>
      </c>
    </row>
    <row r="11390" spans="1:6" x14ac:dyDescent="0.2">
      <c r="A11390" s="29" t="s">
        <v>26311</v>
      </c>
      <c r="B11390" s="30" t="s">
        <v>26312</v>
      </c>
      <c r="C11390" s="29" t="s">
        <v>26</v>
      </c>
      <c r="D11390" s="31">
        <v>1481.33</v>
      </c>
      <c r="F11390" s="3" t="str">
        <f t="shared" si="177"/>
        <v>I9957</v>
      </c>
    </row>
    <row r="11391" spans="1:6" x14ac:dyDescent="0.2">
      <c r="A11391" s="29" t="s">
        <v>26313</v>
      </c>
      <c r="B11391" s="30" t="s">
        <v>26314</v>
      </c>
      <c r="C11391" s="29" t="s">
        <v>26</v>
      </c>
      <c r="D11391" s="31">
        <v>208.84</v>
      </c>
      <c r="F11391" s="3" t="str">
        <f t="shared" si="177"/>
        <v>I9958</v>
      </c>
    </row>
    <row r="11392" spans="1:6" x14ac:dyDescent="0.2">
      <c r="A11392" s="29" t="s">
        <v>26315</v>
      </c>
      <c r="B11392" s="30" t="s">
        <v>26316</v>
      </c>
      <c r="C11392" s="29" t="s">
        <v>26</v>
      </c>
      <c r="D11392" s="31">
        <v>966.31</v>
      </c>
      <c r="F11392" s="3" t="str">
        <f t="shared" si="177"/>
        <v>I13265</v>
      </c>
    </row>
    <row r="11393" spans="1:6" x14ac:dyDescent="0.2">
      <c r="A11393" s="29" t="s">
        <v>26317</v>
      </c>
      <c r="B11393" s="30" t="s">
        <v>26318</v>
      </c>
      <c r="C11393" s="29" t="s">
        <v>26</v>
      </c>
      <c r="D11393" s="31">
        <v>922.79</v>
      </c>
      <c r="F11393" s="3" t="str">
        <f t="shared" si="177"/>
        <v>I13266</v>
      </c>
    </row>
    <row r="11394" spans="1:6" x14ac:dyDescent="0.2">
      <c r="A11394" s="29" t="s">
        <v>26319</v>
      </c>
      <c r="B11394" s="30" t="s">
        <v>26320</v>
      </c>
      <c r="C11394" s="29" t="s">
        <v>26</v>
      </c>
      <c r="D11394" s="31">
        <v>870.55</v>
      </c>
      <c r="F11394" s="3" t="str">
        <f t="shared" ref="F11394:F11457" si="178">A11394</f>
        <v>I13267</v>
      </c>
    </row>
    <row r="11395" spans="1:6" x14ac:dyDescent="0.2">
      <c r="A11395" s="29" t="s">
        <v>26321</v>
      </c>
      <c r="B11395" s="30" t="s">
        <v>26322</v>
      </c>
      <c r="C11395" s="29" t="s">
        <v>26</v>
      </c>
      <c r="D11395" s="31">
        <v>440.5</v>
      </c>
      <c r="F11395" s="3" t="str">
        <f t="shared" si="178"/>
        <v>I13268</v>
      </c>
    </row>
    <row r="11396" spans="1:6" x14ac:dyDescent="0.2">
      <c r="A11396" s="29" t="s">
        <v>26323</v>
      </c>
      <c r="B11396" s="30" t="s">
        <v>26324</v>
      </c>
      <c r="C11396" s="29" t="s">
        <v>26</v>
      </c>
      <c r="D11396" s="31">
        <v>640.73</v>
      </c>
      <c r="F11396" s="3" t="str">
        <f t="shared" si="178"/>
        <v>I13272</v>
      </c>
    </row>
    <row r="11397" spans="1:6" x14ac:dyDescent="0.2">
      <c r="A11397" s="29" t="s">
        <v>26325</v>
      </c>
      <c r="B11397" s="30" t="s">
        <v>26326</v>
      </c>
      <c r="C11397" s="29" t="s">
        <v>26</v>
      </c>
      <c r="D11397" s="31">
        <v>1497.36</v>
      </c>
      <c r="F11397" s="3" t="str">
        <f t="shared" si="178"/>
        <v>I13269</v>
      </c>
    </row>
    <row r="11398" spans="1:6" x14ac:dyDescent="0.2">
      <c r="A11398" s="29" t="s">
        <v>26327</v>
      </c>
      <c r="B11398" s="30" t="s">
        <v>26328</v>
      </c>
      <c r="C11398" s="29" t="s">
        <v>26</v>
      </c>
      <c r="D11398" s="31">
        <v>1377.22</v>
      </c>
      <c r="F11398" s="3" t="str">
        <f t="shared" si="178"/>
        <v>I13270</v>
      </c>
    </row>
    <row r="11399" spans="1:6" x14ac:dyDescent="0.2">
      <c r="A11399" s="29" t="s">
        <v>26329</v>
      </c>
      <c r="B11399" s="30" t="s">
        <v>26330</v>
      </c>
      <c r="C11399" s="29" t="s">
        <v>26</v>
      </c>
      <c r="D11399" s="31">
        <v>1323.25</v>
      </c>
      <c r="F11399" s="3" t="str">
        <f t="shared" si="178"/>
        <v>I13271</v>
      </c>
    </row>
    <row r="11400" spans="1:6" x14ac:dyDescent="0.2">
      <c r="A11400" s="29" t="s">
        <v>26331</v>
      </c>
      <c r="B11400" s="30" t="s">
        <v>26332</v>
      </c>
      <c r="C11400" s="29" t="s">
        <v>26</v>
      </c>
      <c r="D11400" s="31">
        <v>196.23</v>
      </c>
      <c r="F11400" s="3" t="str">
        <f t="shared" si="178"/>
        <v>I13259</v>
      </c>
    </row>
    <row r="11401" spans="1:6" x14ac:dyDescent="0.2">
      <c r="A11401" s="29" t="s">
        <v>26333</v>
      </c>
      <c r="B11401" s="30" t="s">
        <v>26334</v>
      </c>
      <c r="C11401" s="29" t="s">
        <v>26</v>
      </c>
      <c r="D11401" s="31">
        <v>348.23</v>
      </c>
      <c r="F11401" s="3" t="str">
        <f t="shared" si="178"/>
        <v>I13260</v>
      </c>
    </row>
    <row r="11402" spans="1:6" x14ac:dyDescent="0.2">
      <c r="A11402" s="29" t="s">
        <v>26335</v>
      </c>
      <c r="B11402" s="30" t="s">
        <v>26336</v>
      </c>
      <c r="C11402" s="29" t="s">
        <v>26</v>
      </c>
      <c r="D11402" s="31">
        <v>134.13999999999999</v>
      </c>
      <c r="F11402" s="3" t="str">
        <f t="shared" si="178"/>
        <v>I13261</v>
      </c>
    </row>
    <row r="11403" spans="1:6" x14ac:dyDescent="0.2">
      <c r="A11403" s="29" t="s">
        <v>26337</v>
      </c>
      <c r="B11403" s="30" t="s">
        <v>26338</v>
      </c>
      <c r="C11403" s="29" t="s">
        <v>26</v>
      </c>
      <c r="D11403" s="31">
        <v>557.15</v>
      </c>
      <c r="F11403" s="3" t="str">
        <f t="shared" si="178"/>
        <v>I13262</v>
      </c>
    </row>
    <row r="11404" spans="1:6" x14ac:dyDescent="0.2">
      <c r="A11404" s="29" t="s">
        <v>26339</v>
      </c>
      <c r="B11404" s="30" t="s">
        <v>26340</v>
      </c>
      <c r="C11404" s="29" t="s">
        <v>26</v>
      </c>
      <c r="D11404" s="31">
        <v>504.92</v>
      </c>
      <c r="F11404" s="3" t="str">
        <f t="shared" si="178"/>
        <v>I13263</v>
      </c>
    </row>
    <row r="11405" spans="1:6" x14ac:dyDescent="0.2">
      <c r="A11405" s="29" t="s">
        <v>26341</v>
      </c>
      <c r="B11405" s="30" t="s">
        <v>26342</v>
      </c>
      <c r="C11405" s="29" t="s">
        <v>26</v>
      </c>
      <c r="D11405" s="31">
        <v>284.32</v>
      </c>
      <c r="F11405" s="3" t="str">
        <f t="shared" si="178"/>
        <v>I13264</v>
      </c>
    </row>
    <row r="11406" spans="1:6" x14ac:dyDescent="0.2">
      <c r="A11406" s="29" t="s">
        <v>26343</v>
      </c>
      <c r="B11406" s="30" t="s">
        <v>26344</v>
      </c>
      <c r="C11406" s="29" t="s">
        <v>26</v>
      </c>
      <c r="D11406" s="31">
        <v>541.44000000000005</v>
      </c>
      <c r="F11406" s="3" t="str">
        <f t="shared" si="178"/>
        <v>I7136</v>
      </c>
    </row>
    <row r="11407" spans="1:6" x14ac:dyDescent="0.2">
      <c r="A11407" s="29" t="s">
        <v>26345</v>
      </c>
      <c r="B11407" s="30" t="s">
        <v>26346</v>
      </c>
      <c r="C11407" s="29" t="s">
        <v>26</v>
      </c>
      <c r="D11407" s="31">
        <v>310.8</v>
      </c>
      <c r="F11407" s="3" t="str">
        <f t="shared" si="178"/>
        <v>I7137</v>
      </c>
    </row>
    <row r="11408" spans="1:6" x14ac:dyDescent="0.2">
      <c r="A11408" s="29" t="s">
        <v>26347</v>
      </c>
      <c r="B11408" s="30" t="s">
        <v>26348</v>
      </c>
      <c r="C11408" s="29" t="s">
        <v>26</v>
      </c>
      <c r="D11408" s="31">
        <v>541.44000000000005</v>
      </c>
      <c r="F11408" s="3" t="str">
        <f t="shared" si="178"/>
        <v>I4066</v>
      </c>
    </row>
    <row r="11409" spans="1:6" x14ac:dyDescent="0.2">
      <c r="A11409" s="29" t="s">
        <v>26349</v>
      </c>
      <c r="B11409" s="30" t="s">
        <v>26350</v>
      </c>
      <c r="C11409" s="29" t="s">
        <v>26</v>
      </c>
      <c r="D11409" s="31">
        <v>539.51</v>
      </c>
      <c r="F11409" s="3" t="str">
        <f t="shared" si="178"/>
        <v>I11078</v>
      </c>
    </row>
    <row r="11410" spans="1:6" x14ac:dyDescent="0.2">
      <c r="A11410" s="29" t="s">
        <v>26351</v>
      </c>
      <c r="B11410" s="30" t="s">
        <v>26352</v>
      </c>
      <c r="C11410" s="29" t="s">
        <v>26</v>
      </c>
      <c r="D11410" s="31">
        <v>42107.8</v>
      </c>
      <c r="F11410" s="3" t="str">
        <f t="shared" si="178"/>
        <v>I11043</v>
      </c>
    </row>
    <row r="11411" spans="1:6" x14ac:dyDescent="0.2">
      <c r="A11411" s="29" t="s">
        <v>26353</v>
      </c>
      <c r="B11411" s="30" t="s">
        <v>26354</v>
      </c>
      <c r="C11411" s="29" t="s">
        <v>26</v>
      </c>
      <c r="D11411" s="31">
        <v>46318.58</v>
      </c>
      <c r="F11411" s="3" t="str">
        <f t="shared" si="178"/>
        <v>I11077</v>
      </c>
    </row>
    <row r="11412" spans="1:6" x14ac:dyDescent="0.2">
      <c r="A11412" s="29" t="s">
        <v>26355</v>
      </c>
      <c r="B11412" s="30" t="s">
        <v>26356</v>
      </c>
      <c r="C11412" s="29" t="s">
        <v>26</v>
      </c>
      <c r="D11412" s="31">
        <v>50529.36</v>
      </c>
      <c r="F11412" s="3" t="str">
        <f t="shared" si="178"/>
        <v>I11119</v>
      </c>
    </row>
    <row r="11413" spans="1:6" x14ac:dyDescent="0.2">
      <c r="A11413" s="29" t="s">
        <v>26357</v>
      </c>
      <c r="B11413" s="30" t="s">
        <v>26358</v>
      </c>
      <c r="C11413" s="29" t="s">
        <v>26</v>
      </c>
      <c r="D11413" s="31">
        <v>670.78</v>
      </c>
      <c r="F11413" s="3" t="str">
        <f t="shared" si="178"/>
        <v>I11016</v>
      </c>
    </row>
    <row r="11414" spans="1:6" x14ac:dyDescent="0.2">
      <c r="A11414" s="29" t="s">
        <v>26359</v>
      </c>
      <c r="B11414" s="30" t="s">
        <v>26360</v>
      </c>
      <c r="C11414" s="29" t="s">
        <v>26</v>
      </c>
      <c r="D11414" s="31">
        <v>804.93</v>
      </c>
      <c r="F11414" s="3" t="str">
        <f t="shared" si="178"/>
        <v>I11080</v>
      </c>
    </row>
    <row r="11415" spans="1:6" x14ac:dyDescent="0.2">
      <c r="A11415" s="29" t="s">
        <v>26361</v>
      </c>
      <c r="B11415" s="30" t="s">
        <v>26362</v>
      </c>
      <c r="C11415" s="29" t="s">
        <v>26</v>
      </c>
      <c r="D11415" s="31">
        <v>626.07000000000005</v>
      </c>
      <c r="F11415" s="3" t="str">
        <f t="shared" si="178"/>
        <v>I11015</v>
      </c>
    </row>
    <row r="11416" spans="1:6" x14ac:dyDescent="0.2">
      <c r="A11416" s="29" t="s">
        <v>26363</v>
      </c>
      <c r="B11416" s="30" t="s">
        <v>26364</v>
      </c>
      <c r="C11416" s="29" t="s">
        <v>26</v>
      </c>
      <c r="D11416" s="31">
        <v>751.27</v>
      </c>
      <c r="F11416" s="3" t="str">
        <f t="shared" si="178"/>
        <v>I11079</v>
      </c>
    </row>
    <row r="11417" spans="1:6" x14ac:dyDescent="0.2">
      <c r="A11417" s="29" t="s">
        <v>26365</v>
      </c>
      <c r="B11417" s="30" t="s">
        <v>26366</v>
      </c>
      <c r="C11417" s="29" t="s">
        <v>26</v>
      </c>
      <c r="D11417" s="31">
        <v>605.11</v>
      </c>
      <c r="F11417" s="3" t="str">
        <f t="shared" si="178"/>
        <v>I4068</v>
      </c>
    </row>
    <row r="11418" spans="1:6" x14ac:dyDescent="0.2">
      <c r="A11418" s="29" t="s">
        <v>26367</v>
      </c>
      <c r="B11418" s="30" t="s">
        <v>26368</v>
      </c>
      <c r="C11418" s="29" t="s">
        <v>26</v>
      </c>
      <c r="D11418" s="31">
        <v>597.11</v>
      </c>
      <c r="F11418" s="3" t="str">
        <f t="shared" si="178"/>
        <v>I11084</v>
      </c>
    </row>
    <row r="11419" spans="1:6" x14ac:dyDescent="0.2">
      <c r="A11419" s="29" t="s">
        <v>26369</v>
      </c>
      <c r="B11419" s="30" t="s">
        <v>26370</v>
      </c>
      <c r="C11419" s="29" t="s">
        <v>26</v>
      </c>
      <c r="D11419" s="31">
        <v>781.05</v>
      </c>
      <c r="F11419" s="3" t="str">
        <f t="shared" si="178"/>
        <v>I11018</v>
      </c>
    </row>
    <row r="11420" spans="1:6" x14ac:dyDescent="0.2">
      <c r="A11420" s="29" t="s">
        <v>26371</v>
      </c>
      <c r="B11420" s="30" t="s">
        <v>26372</v>
      </c>
      <c r="C11420" s="29" t="s">
        <v>26</v>
      </c>
      <c r="D11420" s="31">
        <v>910.59</v>
      </c>
      <c r="F11420" s="3" t="str">
        <f t="shared" si="178"/>
        <v>I11085</v>
      </c>
    </row>
    <row r="11421" spans="1:6" x14ac:dyDescent="0.2">
      <c r="A11421" s="29" t="s">
        <v>26373</v>
      </c>
      <c r="B11421" s="30" t="s">
        <v>26374</v>
      </c>
      <c r="C11421" s="29" t="s">
        <v>26</v>
      </c>
      <c r="D11421" s="31">
        <v>831.93</v>
      </c>
      <c r="F11421" s="3" t="str">
        <f t="shared" si="178"/>
        <v>I11017</v>
      </c>
    </row>
    <row r="11422" spans="1:6" x14ac:dyDescent="0.2">
      <c r="A11422" s="29" t="s">
        <v>26375</v>
      </c>
      <c r="B11422" s="30" t="s">
        <v>26376</v>
      </c>
      <c r="C11422" s="29" t="s">
        <v>26</v>
      </c>
      <c r="D11422" s="31">
        <v>998.31</v>
      </c>
      <c r="F11422" s="3" t="str">
        <f t="shared" si="178"/>
        <v>I11081</v>
      </c>
    </row>
    <row r="11423" spans="1:6" x14ac:dyDescent="0.2">
      <c r="A11423" s="29" t="s">
        <v>26377</v>
      </c>
      <c r="B11423" s="30" t="s">
        <v>26378</v>
      </c>
      <c r="C11423" s="29" t="s">
        <v>26</v>
      </c>
      <c r="D11423" s="31">
        <v>546.6</v>
      </c>
      <c r="F11423" s="3" t="str">
        <f t="shared" si="178"/>
        <v>I4067</v>
      </c>
    </row>
    <row r="11424" spans="1:6" x14ac:dyDescent="0.2">
      <c r="A11424" s="29" t="s">
        <v>26379</v>
      </c>
      <c r="B11424" s="30" t="s">
        <v>26380</v>
      </c>
      <c r="C11424" s="29" t="s">
        <v>26</v>
      </c>
      <c r="D11424" s="31">
        <v>742.91</v>
      </c>
      <c r="F11424" s="3" t="str">
        <f t="shared" si="178"/>
        <v>I11082</v>
      </c>
    </row>
    <row r="11425" spans="1:6" x14ac:dyDescent="0.2">
      <c r="A11425" s="29" t="s">
        <v>26381</v>
      </c>
      <c r="B11425" s="30" t="s">
        <v>26382</v>
      </c>
      <c r="C11425" s="29" t="s">
        <v>26</v>
      </c>
      <c r="D11425" s="31">
        <v>546.6</v>
      </c>
      <c r="F11425" s="3" t="str">
        <f t="shared" si="178"/>
        <v>I7605</v>
      </c>
    </row>
    <row r="11426" spans="1:6" x14ac:dyDescent="0.2">
      <c r="A11426" s="29" t="s">
        <v>26383</v>
      </c>
      <c r="B11426" s="30" t="s">
        <v>26384</v>
      </c>
      <c r="C11426" s="29" t="s">
        <v>26</v>
      </c>
      <c r="D11426" s="31">
        <v>803.03</v>
      </c>
      <c r="F11426" s="3" t="str">
        <f t="shared" si="178"/>
        <v>I11083</v>
      </c>
    </row>
    <row r="11427" spans="1:6" x14ac:dyDescent="0.2">
      <c r="A11427" s="29" t="s">
        <v>26385</v>
      </c>
      <c r="B11427" s="30" t="s">
        <v>26386</v>
      </c>
      <c r="C11427" s="29" t="s">
        <v>26</v>
      </c>
      <c r="D11427" s="31">
        <v>956.99</v>
      </c>
      <c r="F11427" s="3" t="str">
        <f t="shared" si="178"/>
        <v>I4070</v>
      </c>
    </row>
    <row r="11428" spans="1:6" x14ac:dyDescent="0.2">
      <c r="A11428" s="29" t="s">
        <v>26387</v>
      </c>
      <c r="B11428" s="30" t="s">
        <v>26388</v>
      </c>
      <c r="C11428" s="29" t="s">
        <v>26</v>
      </c>
      <c r="D11428" s="31">
        <v>1074.79</v>
      </c>
      <c r="F11428" s="3" t="str">
        <f t="shared" si="178"/>
        <v>I11044</v>
      </c>
    </row>
    <row r="11429" spans="1:6" x14ac:dyDescent="0.2">
      <c r="A11429" s="29" t="s">
        <v>26389</v>
      </c>
      <c r="B11429" s="30" t="s">
        <v>26390</v>
      </c>
      <c r="C11429" s="29" t="s">
        <v>26</v>
      </c>
      <c r="D11429" s="31">
        <v>1224.08</v>
      </c>
      <c r="F11429" s="3" t="str">
        <f t="shared" si="178"/>
        <v>I11086</v>
      </c>
    </row>
    <row r="11430" spans="1:6" x14ac:dyDescent="0.2">
      <c r="A11430" s="29" t="s">
        <v>26391</v>
      </c>
      <c r="B11430" s="30" t="s">
        <v>26392</v>
      </c>
      <c r="C11430" s="29" t="s">
        <v>26</v>
      </c>
      <c r="D11430" s="31">
        <v>845.97</v>
      </c>
      <c r="F11430" s="3" t="str">
        <f t="shared" si="178"/>
        <v>I11019</v>
      </c>
    </row>
    <row r="11431" spans="1:6" x14ac:dyDescent="0.2">
      <c r="A11431" s="29" t="s">
        <v>26393</v>
      </c>
      <c r="B11431" s="30" t="s">
        <v>26394</v>
      </c>
      <c r="C11431" s="29" t="s">
        <v>26</v>
      </c>
      <c r="D11431" s="31">
        <v>904.65</v>
      </c>
      <c r="F11431" s="3" t="str">
        <f t="shared" si="178"/>
        <v>I11045</v>
      </c>
    </row>
    <row r="11432" spans="1:6" x14ac:dyDescent="0.2">
      <c r="A11432" s="29" t="s">
        <v>26395</v>
      </c>
      <c r="B11432" s="30" t="s">
        <v>26396</v>
      </c>
      <c r="C11432" s="29" t="s">
        <v>26</v>
      </c>
      <c r="D11432" s="31">
        <v>1041.1300000000001</v>
      </c>
      <c r="F11432" s="3" t="str">
        <f t="shared" si="178"/>
        <v>I11087</v>
      </c>
    </row>
    <row r="11433" spans="1:6" x14ac:dyDescent="0.2">
      <c r="A11433" s="29" t="s">
        <v>26397</v>
      </c>
      <c r="B11433" s="30" t="s">
        <v>26398</v>
      </c>
      <c r="C11433" s="29" t="s">
        <v>26</v>
      </c>
      <c r="D11433" s="31">
        <v>734.95</v>
      </c>
      <c r="F11433" s="3" t="str">
        <f t="shared" si="178"/>
        <v>I4071</v>
      </c>
    </row>
    <row r="11434" spans="1:6" x14ac:dyDescent="0.2">
      <c r="A11434" s="29" t="s">
        <v>26399</v>
      </c>
      <c r="B11434" s="30" t="s">
        <v>26400</v>
      </c>
      <c r="C11434" s="29" t="s">
        <v>26</v>
      </c>
      <c r="D11434" s="31">
        <v>734.51</v>
      </c>
      <c r="F11434" s="3" t="str">
        <f t="shared" si="178"/>
        <v>I11046</v>
      </c>
    </row>
    <row r="11435" spans="1:6" x14ac:dyDescent="0.2">
      <c r="A11435" s="29" t="s">
        <v>26401</v>
      </c>
      <c r="B11435" s="30" t="s">
        <v>26402</v>
      </c>
      <c r="C11435" s="29" t="s">
        <v>26</v>
      </c>
      <c r="D11435" s="31">
        <v>858.18</v>
      </c>
      <c r="F11435" s="3" t="str">
        <f t="shared" si="178"/>
        <v>I11088</v>
      </c>
    </row>
    <row r="11436" spans="1:6" x14ac:dyDescent="0.2">
      <c r="A11436" s="29" t="s">
        <v>26403</v>
      </c>
      <c r="B11436" s="30" t="s">
        <v>26404</v>
      </c>
      <c r="C11436" s="29" t="s">
        <v>26</v>
      </c>
      <c r="D11436" s="31">
        <v>1228.6300000000001</v>
      </c>
      <c r="F11436" s="3" t="str">
        <f t="shared" si="178"/>
        <v>I9959</v>
      </c>
    </row>
    <row r="11437" spans="1:6" x14ac:dyDescent="0.2">
      <c r="A11437" s="29" t="s">
        <v>26405</v>
      </c>
      <c r="B11437" s="30" t="s">
        <v>26406</v>
      </c>
      <c r="C11437" s="29" t="s">
        <v>26</v>
      </c>
      <c r="D11437" s="31">
        <v>1602.62</v>
      </c>
      <c r="F11437" s="3" t="str">
        <f t="shared" si="178"/>
        <v>I11021</v>
      </c>
    </row>
    <row r="11438" spans="1:6" x14ac:dyDescent="0.2">
      <c r="A11438" s="29" t="s">
        <v>26407</v>
      </c>
      <c r="B11438" s="30" t="s">
        <v>26408</v>
      </c>
      <c r="C11438" s="29" t="s">
        <v>26</v>
      </c>
      <c r="D11438" s="31">
        <v>1762.88</v>
      </c>
      <c r="F11438" s="3" t="str">
        <f t="shared" si="178"/>
        <v>I11048</v>
      </c>
    </row>
    <row r="11439" spans="1:6" x14ac:dyDescent="0.2">
      <c r="A11439" s="29" t="s">
        <v>26409</v>
      </c>
      <c r="B11439" s="30" t="s">
        <v>26410</v>
      </c>
      <c r="C11439" s="29" t="s">
        <v>26</v>
      </c>
      <c r="D11439" s="31">
        <v>1923.14</v>
      </c>
      <c r="F11439" s="3" t="str">
        <f t="shared" si="178"/>
        <v>I11090</v>
      </c>
    </row>
    <row r="11440" spans="1:6" x14ac:dyDescent="0.2">
      <c r="A11440" s="29" t="s">
        <v>26411</v>
      </c>
      <c r="B11440" s="30" t="s">
        <v>26412</v>
      </c>
      <c r="C11440" s="29" t="s">
        <v>26</v>
      </c>
      <c r="D11440" s="31">
        <v>2073.9699999999998</v>
      </c>
      <c r="F11440" s="3" t="str">
        <f t="shared" si="178"/>
        <v>I11022</v>
      </c>
    </row>
    <row r="11441" spans="1:6" x14ac:dyDescent="0.2">
      <c r="A11441" s="29" t="s">
        <v>26413</v>
      </c>
      <c r="B11441" s="30" t="s">
        <v>26414</v>
      </c>
      <c r="C11441" s="29" t="s">
        <v>26</v>
      </c>
      <c r="D11441" s="31">
        <v>2281.37</v>
      </c>
      <c r="F11441" s="3" t="str">
        <f t="shared" si="178"/>
        <v>I11049</v>
      </c>
    </row>
    <row r="11442" spans="1:6" x14ac:dyDescent="0.2">
      <c r="A11442" s="29" t="s">
        <v>26415</v>
      </c>
      <c r="B11442" s="30" t="s">
        <v>26416</v>
      </c>
      <c r="C11442" s="29" t="s">
        <v>26</v>
      </c>
      <c r="D11442" s="31">
        <v>2488.77</v>
      </c>
      <c r="F11442" s="3" t="str">
        <f t="shared" si="178"/>
        <v>I11091</v>
      </c>
    </row>
    <row r="11443" spans="1:6" x14ac:dyDescent="0.2">
      <c r="A11443" s="29" t="s">
        <v>26417</v>
      </c>
      <c r="B11443" s="30" t="s">
        <v>26418</v>
      </c>
      <c r="C11443" s="29" t="s">
        <v>26</v>
      </c>
      <c r="D11443" s="31">
        <v>2260.9499999999998</v>
      </c>
      <c r="F11443" s="3" t="str">
        <f t="shared" si="178"/>
        <v>I4072</v>
      </c>
    </row>
    <row r="11444" spans="1:6" x14ac:dyDescent="0.2">
      <c r="A11444" s="29" t="s">
        <v>26419</v>
      </c>
      <c r="B11444" s="30" t="s">
        <v>26420</v>
      </c>
      <c r="C11444" s="29" t="s">
        <v>26</v>
      </c>
      <c r="D11444" s="31">
        <v>2260.88</v>
      </c>
      <c r="F11444" s="3" t="str">
        <f t="shared" si="178"/>
        <v>I11050</v>
      </c>
    </row>
    <row r="11445" spans="1:6" x14ac:dyDescent="0.2">
      <c r="A11445" s="29" t="s">
        <v>26421</v>
      </c>
      <c r="B11445" s="30" t="s">
        <v>26422</v>
      </c>
      <c r="C11445" s="29" t="s">
        <v>26</v>
      </c>
      <c r="D11445" s="31">
        <v>2533.92</v>
      </c>
      <c r="F11445" s="3" t="str">
        <f t="shared" si="178"/>
        <v>I11092</v>
      </c>
    </row>
    <row r="11446" spans="1:6" x14ac:dyDescent="0.2">
      <c r="A11446" s="29" t="s">
        <v>26423</v>
      </c>
      <c r="B11446" s="30" t="s">
        <v>26424</v>
      </c>
      <c r="C11446" s="29" t="s">
        <v>26</v>
      </c>
      <c r="D11446" s="31">
        <v>1371.42</v>
      </c>
      <c r="F11446" s="3" t="str">
        <f t="shared" si="178"/>
        <v>I4073</v>
      </c>
    </row>
    <row r="11447" spans="1:6" x14ac:dyDescent="0.2">
      <c r="A11447" s="29" t="s">
        <v>26425</v>
      </c>
      <c r="B11447" s="30" t="s">
        <v>26426</v>
      </c>
      <c r="C11447" s="29" t="s">
        <v>26</v>
      </c>
      <c r="D11447" s="31">
        <v>1365.2</v>
      </c>
      <c r="F11447" s="3" t="str">
        <f t="shared" si="178"/>
        <v>I11051</v>
      </c>
    </row>
    <row r="11448" spans="1:6" x14ac:dyDescent="0.2">
      <c r="A11448" s="29" t="s">
        <v>26427</v>
      </c>
      <c r="B11448" s="30" t="s">
        <v>26428</v>
      </c>
      <c r="C11448" s="29" t="s">
        <v>26</v>
      </c>
      <c r="D11448" s="31">
        <v>2022.82</v>
      </c>
      <c r="F11448" s="3" t="str">
        <f t="shared" si="178"/>
        <v>I11093</v>
      </c>
    </row>
    <row r="11449" spans="1:6" x14ac:dyDescent="0.2">
      <c r="A11449" s="29" t="s">
        <v>26429</v>
      </c>
      <c r="B11449" s="30" t="s">
        <v>26430</v>
      </c>
      <c r="C11449" s="29" t="s">
        <v>26</v>
      </c>
      <c r="D11449" s="31">
        <v>1626.18</v>
      </c>
      <c r="F11449" s="3" t="str">
        <f t="shared" si="178"/>
        <v>I11020</v>
      </c>
    </row>
    <row r="11450" spans="1:6" x14ac:dyDescent="0.2">
      <c r="A11450" s="29" t="s">
        <v>26431</v>
      </c>
      <c r="B11450" s="30" t="s">
        <v>26432</v>
      </c>
      <c r="C11450" s="29" t="s">
        <v>26</v>
      </c>
      <c r="D11450" s="31">
        <v>1788.79</v>
      </c>
      <c r="F11450" s="3" t="str">
        <f t="shared" si="178"/>
        <v>I11047</v>
      </c>
    </row>
    <row r="11451" spans="1:6" x14ac:dyDescent="0.2">
      <c r="A11451" s="29" t="s">
        <v>26433</v>
      </c>
      <c r="B11451" s="30" t="s">
        <v>26434</v>
      </c>
      <c r="C11451" s="29" t="s">
        <v>26</v>
      </c>
      <c r="D11451" s="31">
        <v>1951.41</v>
      </c>
      <c r="F11451" s="3" t="str">
        <f t="shared" si="178"/>
        <v>I11089</v>
      </c>
    </row>
    <row r="11452" spans="1:6" x14ac:dyDescent="0.2">
      <c r="A11452" s="29" t="s">
        <v>26435</v>
      </c>
      <c r="B11452" s="30" t="s">
        <v>26436</v>
      </c>
      <c r="C11452" s="29" t="s">
        <v>26</v>
      </c>
      <c r="D11452" s="31">
        <v>2356.77</v>
      </c>
      <c r="F11452" s="3" t="str">
        <f t="shared" si="178"/>
        <v>I11023</v>
      </c>
    </row>
    <row r="11453" spans="1:6" x14ac:dyDescent="0.2">
      <c r="A11453" s="29" t="s">
        <v>26437</v>
      </c>
      <c r="B11453" s="30" t="s">
        <v>26438</v>
      </c>
      <c r="C11453" s="29" t="s">
        <v>26</v>
      </c>
      <c r="D11453" s="31">
        <v>2592.4499999999998</v>
      </c>
      <c r="F11453" s="3" t="str">
        <f t="shared" si="178"/>
        <v>I11052</v>
      </c>
    </row>
    <row r="11454" spans="1:6" x14ac:dyDescent="0.2">
      <c r="A11454" s="29" t="s">
        <v>26439</v>
      </c>
      <c r="B11454" s="30" t="s">
        <v>26440</v>
      </c>
      <c r="C11454" s="29" t="s">
        <v>26</v>
      </c>
      <c r="D11454" s="31">
        <v>3110.95</v>
      </c>
      <c r="F11454" s="3" t="str">
        <f t="shared" si="178"/>
        <v>I11094</v>
      </c>
    </row>
    <row r="11455" spans="1:6" x14ac:dyDescent="0.2">
      <c r="A11455" s="29" t="s">
        <v>26441</v>
      </c>
      <c r="B11455" s="30" t="s">
        <v>26442</v>
      </c>
      <c r="C11455" s="29" t="s">
        <v>26</v>
      </c>
      <c r="D11455" s="31">
        <v>2309.64</v>
      </c>
      <c r="F11455" s="3" t="str">
        <f t="shared" si="178"/>
        <v>I11024</v>
      </c>
    </row>
    <row r="11456" spans="1:6" x14ac:dyDescent="0.2">
      <c r="A11456" s="29" t="s">
        <v>26443</v>
      </c>
      <c r="B11456" s="30" t="s">
        <v>26444</v>
      </c>
      <c r="C11456" s="29" t="s">
        <v>26</v>
      </c>
      <c r="D11456" s="31">
        <v>2540.61</v>
      </c>
      <c r="F11456" s="3" t="str">
        <f t="shared" si="178"/>
        <v>I11053</v>
      </c>
    </row>
    <row r="11457" spans="1:6" x14ac:dyDescent="0.2">
      <c r="A11457" s="29" t="s">
        <v>26445</v>
      </c>
      <c r="B11457" s="30" t="s">
        <v>26446</v>
      </c>
      <c r="C11457" s="29" t="s">
        <v>26</v>
      </c>
      <c r="D11457" s="31">
        <v>2771.58</v>
      </c>
      <c r="F11457" s="3" t="str">
        <f t="shared" si="178"/>
        <v>I11095</v>
      </c>
    </row>
    <row r="11458" spans="1:6" x14ac:dyDescent="0.2">
      <c r="A11458" s="29" t="s">
        <v>26447</v>
      </c>
      <c r="B11458" s="30" t="s">
        <v>26448</v>
      </c>
      <c r="C11458" s="29" t="s">
        <v>26</v>
      </c>
      <c r="D11458" s="31">
        <v>2520.59</v>
      </c>
      <c r="F11458" s="3" t="str">
        <f t="shared" ref="F11458:F11521" si="179">A11458</f>
        <v>I4074</v>
      </c>
    </row>
    <row r="11459" spans="1:6" x14ac:dyDescent="0.2">
      <c r="A11459" s="29" t="s">
        <v>26449</v>
      </c>
      <c r="B11459" s="30" t="s">
        <v>26450</v>
      </c>
      <c r="C11459" s="29" t="s">
        <v>26</v>
      </c>
      <c r="D11459" s="31">
        <v>2520.59</v>
      </c>
      <c r="F11459" s="3" t="str">
        <f t="shared" si="179"/>
        <v>I11054</v>
      </c>
    </row>
    <row r="11460" spans="1:6" x14ac:dyDescent="0.2">
      <c r="A11460" s="29" t="s">
        <v>26451</v>
      </c>
      <c r="B11460" s="30" t="s">
        <v>26452</v>
      </c>
      <c r="C11460" s="29" t="s">
        <v>26</v>
      </c>
      <c r="D11460" s="31">
        <v>2603.0500000000002</v>
      </c>
      <c r="F11460" s="3" t="str">
        <f t="shared" si="179"/>
        <v>I11096</v>
      </c>
    </row>
    <row r="11461" spans="1:6" x14ac:dyDescent="0.2">
      <c r="A11461" s="29" t="s">
        <v>26453</v>
      </c>
      <c r="B11461" s="30" t="s">
        <v>26454</v>
      </c>
      <c r="C11461" s="29" t="s">
        <v>26</v>
      </c>
      <c r="D11461" s="31">
        <v>2061.48</v>
      </c>
      <c r="F11461" s="3" t="str">
        <f t="shared" si="179"/>
        <v>I4075</v>
      </c>
    </row>
    <row r="11462" spans="1:6" x14ac:dyDescent="0.2">
      <c r="A11462" s="29" t="s">
        <v>26455</v>
      </c>
      <c r="B11462" s="30" t="s">
        <v>26456</v>
      </c>
      <c r="C11462" s="29" t="s">
        <v>26</v>
      </c>
      <c r="D11462" s="31">
        <v>2730.5</v>
      </c>
      <c r="F11462" s="3" t="str">
        <f t="shared" si="179"/>
        <v>I11055</v>
      </c>
    </row>
    <row r="11463" spans="1:6" x14ac:dyDescent="0.2">
      <c r="A11463" s="29" t="s">
        <v>26457</v>
      </c>
      <c r="B11463" s="30" t="s">
        <v>26458</v>
      </c>
      <c r="C11463" s="29" t="s">
        <v>26</v>
      </c>
      <c r="D11463" s="31">
        <v>2647.19</v>
      </c>
      <c r="F11463" s="3" t="str">
        <f t="shared" si="179"/>
        <v>I11097</v>
      </c>
    </row>
    <row r="11464" spans="1:6" x14ac:dyDescent="0.2">
      <c r="A11464" s="29" t="s">
        <v>26459</v>
      </c>
      <c r="B11464" s="30" t="s">
        <v>26460</v>
      </c>
      <c r="C11464" s="29" t="s">
        <v>26</v>
      </c>
      <c r="D11464" s="31">
        <v>2055.62</v>
      </c>
      <c r="F11464" s="3" t="str">
        <f t="shared" si="179"/>
        <v>I4076</v>
      </c>
    </row>
    <row r="11465" spans="1:6" x14ac:dyDescent="0.2">
      <c r="A11465" s="29" t="s">
        <v>26461</v>
      </c>
      <c r="B11465" s="30" t="s">
        <v>26462</v>
      </c>
      <c r="C11465" s="29" t="s">
        <v>26</v>
      </c>
      <c r="D11465" s="31">
        <v>2031.72</v>
      </c>
      <c r="F11465" s="3" t="str">
        <f t="shared" si="179"/>
        <v>I11056</v>
      </c>
    </row>
    <row r="11466" spans="1:6" x14ac:dyDescent="0.2">
      <c r="A11466" s="29" t="s">
        <v>26463</v>
      </c>
      <c r="B11466" s="30" t="s">
        <v>26464</v>
      </c>
      <c r="C11466" s="29" t="s">
        <v>26</v>
      </c>
      <c r="D11466" s="31">
        <v>2320.8000000000002</v>
      </c>
      <c r="F11466" s="3" t="str">
        <f t="shared" si="179"/>
        <v>I11098</v>
      </c>
    </row>
    <row r="11467" spans="1:6" x14ac:dyDescent="0.2">
      <c r="A11467" s="29" t="s">
        <v>26465</v>
      </c>
      <c r="B11467" s="30" t="s">
        <v>26466</v>
      </c>
      <c r="C11467" s="29" t="s">
        <v>26</v>
      </c>
      <c r="D11467" s="31">
        <v>2078.8000000000002</v>
      </c>
      <c r="F11467" s="3" t="str">
        <f t="shared" si="179"/>
        <v>I11025</v>
      </c>
    </row>
    <row r="11468" spans="1:6" x14ac:dyDescent="0.2">
      <c r="A11468" s="29" t="s">
        <v>26467</v>
      </c>
      <c r="B11468" s="30" t="s">
        <v>26468</v>
      </c>
      <c r="C11468" s="29" t="s">
        <v>26</v>
      </c>
      <c r="D11468" s="31">
        <v>2286.6799999999998</v>
      </c>
      <c r="F11468" s="3" t="str">
        <f t="shared" si="179"/>
        <v>I11057</v>
      </c>
    </row>
    <row r="11469" spans="1:6" x14ac:dyDescent="0.2">
      <c r="A11469" s="29" t="s">
        <v>26469</v>
      </c>
      <c r="B11469" s="30" t="s">
        <v>26470</v>
      </c>
      <c r="C11469" s="29" t="s">
        <v>26</v>
      </c>
      <c r="D11469" s="31">
        <v>2494.5500000000002</v>
      </c>
      <c r="F11469" s="3" t="str">
        <f t="shared" si="179"/>
        <v>I11099</v>
      </c>
    </row>
    <row r="11470" spans="1:6" x14ac:dyDescent="0.2">
      <c r="A11470" s="29" t="s">
        <v>26471</v>
      </c>
      <c r="B11470" s="30" t="s">
        <v>26472</v>
      </c>
      <c r="C11470" s="29" t="s">
        <v>26</v>
      </c>
      <c r="D11470" s="31">
        <v>3066.23</v>
      </c>
      <c r="F11470" s="3" t="str">
        <f t="shared" si="179"/>
        <v>I11026</v>
      </c>
    </row>
    <row r="11471" spans="1:6" x14ac:dyDescent="0.2">
      <c r="A11471" s="29" t="s">
        <v>26473</v>
      </c>
      <c r="B11471" s="30" t="s">
        <v>26474</v>
      </c>
      <c r="C11471" s="29" t="s">
        <v>26</v>
      </c>
      <c r="D11471" s="31">
        <v>3372.86</v>
      </c>
      <c r="F11471" s="3" t="str">
        <f t="shared" si="179"/>
        <v>I11058</v>
      </c>
    </row>
    <row r="11472" spans="1:6" x14ac:dyDescent="0.2">
      <c r="A11472" s="29" t="s">
        <v>26475</v>
      </c>
      <c r="B11472" s="30" t="s">
        <v>26476</v>
      </c>
      <c r="C11472" s="29" t="s">
        <v>26</v>
      </c>
      <c r="D11472" s="31">
        <v>3679.48</v>
      </c>
      <c r="F11472" s="3" t="str">
        <f t="shared" si="179"/>
        <v>I11100</v>
      </c>
    </row>
    <row r="11473" spans="1:6" x14ac:dyDescent="0.2">
      <c r="A11473" s="29" t="s">
        <v>26477</v>
      </c>
      <c r="B11473" s="30" t="s">
        <v>26478</v>
      </c>
      <c r="C11473" s="29" t="s">
        <v>26</v>
      </c>
      <c r="D11473" s="31">
        <v>3637.89</v>
      </c>
      <c r="F11473" s="3" t="str">
        <f t="shared" si="179"/>
        <v>I11027</v>
      </c>
    </row>
    <row r="11474" spans="1:6" x14ac:dyDescent="0.2">
      <c r="A11474" s="29" t="s">
        <v>26479</v>
      </c>
      <c r="B11474" s="30" t="s">
        <v>26480</v>
      </c>
      <c r="C11474" s="29" t="s">
        <v>26</v>
      </c>
      <c r="D11474" s="31">
        <v>4001.68</v>
      </c>
      <c r="F11474" s="3" t="str">
        <f t="shared" si="179"/>
        <v>I11059</v>
      </c>
    </row>
    <row r="11475" spans="1:6" x14ac:dyDescent="0.2">
      <c r="A11475" s="29" t="s">
        <v>26481</v>
      </c>
      <c r="B11475" s="30" t="s">
        <v>26482</v>
      </c>
      <c r="C11475" s="29" t="s">
        <v>26</v>
      </c>
      <c r="D11475" s="31">
        <v>4365.47</v>
      </c>
      <c r="F11475" s="3" t="str">
        <f t="shared" si="179"/>
        <v>I11101</v>
      </c>
    </row>
    <row r="11476" spans="1:6" x14ac:dyDescent="0.2">
      <c r="A11476" s="29" t="s">
        <v>26483</v>
      </c>
      <c r="B11476" s="30" t="s">
        <v>26484</v>
      </c>
      <c r="C11476" s="29" t="s">
        <v>26</v>
      </c>
      <c r="D11476" s="31">
        <v>2390.62</v>
      </c>
      <c r="F11476" s="3" t="str">
        <f t="shared" si="179"/>
        <v>I11028</v>
      </c>
    </row>
    <row r="11477" spans="1:6" x14ac:dyDescent="0.2">
      <c r="A11477" s="29" t="s">
        <v>26485</v>
      </c>
      <c r="B11477" s="30" t="s">
        <v>26486</v>
      </c>
      <c r="C11477" s="29" t="s">
        <v>26</v>
      </c>
      <c r="D11477" s="31">
        <v>2629.69</v>
      </c>
      <c r="F11477" s="3" t="str">
        <f t="shared" si="179"/>
        <v>I11060</v>
      </c>
    </row>
    <row r="11478" spans="1:6" x14ac:dyDescent="0.2">
      <c r="A11478" s="29" t="s">
        <v>26487</v>
      </c>
      <c r="B11478" s="30" t="s">
        <v>26488</v>
      </c>
      <c r="C11478" s="29" t="s">
        <v>26</v>
      </c>
      <c r="D11478" s="31">
        <v>2868.75</v>
      </c>
      <c r="F11478" s="3" t="str">
        <f t="shared" si="179"/>
        <v>I11102</v>
      </c>
    </row>
    <row r="11479" spans="1:6" x14ac:dyDescent="0.2">
      <c r="A11479" s="29" t="s">
        <v>26489</v>
      </c>
      <c r="B11479" s="30" t="s">
        <v>26490</v>
      </c>
      <c r="C11479" s="29" t="s">
        <v>26</v>
      </c>
      <c r="D11479" s="31">
        <v>4313.51</v>
      </c>
      <c r="F11479" s="3" t="str">
        <f t="shared" si="179"/>
        <v>I11029</v>
      </c>
    </row>
    <row r="11480" spans="1:6" x14ac:dyDescent="0.2">
      <c r="A11480" s="29" t="s">
        <v>26491</v>
      </c>
      <c r="B11480" s="30" t="s">
        <v>26492</v>
      </c>
      <c r="C11480" s="29" t="s">
        <v>26</v>
      </c>
      <c r="D11480" s="31">
        <v>4744.87</v>
      </c>
      <c r="F11480" s="3" t="str">
        <f t="shared" si="179"/>
        <v>I11061</v>
      </c>
    </row>
    <row r="11481" spans="1:6" x14ac:dyDescent="0.2">
      <c r="A11481" s="29" t="s">
        <v>26493</v>
      </c>
      <c r="B11481" s="30" t="s">
        <v>26494</v>
      </c>
      <c r="C11481" s="29" t="s">
        <v>26</v>
      </c>
      <c r="D11481" s="31">
        <v>5176.22</v>
      </c>
      <c r="F11481" s="3" t="str">
        <f t="shared" si="179"/>
        <v>I11103</v>
      </c>
    </row>
    <row r="11482" spans="1:6" x14ac:dyDescent="0.2">
      <c r="A11482" s="29" t="s">
        <v>26495</v>
      </c>
      <c r="B11482" s="30" t="s">
        <v>26496</v>
      </c>
      <c r="C11482" s="29" t="s">
        <v>26</v>
      </c>
      <c r="D11482" s="31">
        <v>3118.2</v>
      </c>
      <c r="F11482" s="3" t="str">
        <f t="shared" si="179"/>
        <v>I11030</v>
      </c>
    </row>
    <row r="11483" spans="1:6" x14ac:dyDescent="0.2">
      <c r="A11483" s="29" t="s">
        <v>26497</v>
      </c>
      <c r="B11483" s="30" t="s">
        <v>26498</v>
      </c>
      <c r="C11483" s="29" t="s">
        <v>26</v>
      </c>
      <c r="D11483" s="31">
        <v>3430.03</v>
      </c>
      <c r="F11483" s="3" t="str">
        <f t="shared" si="179"/>
        <v>I11062</v>
      </c>
    </row>
    <row r="11484" spans="1:6" x14ac:dyDescent="0.2">
      <c r="A11484" s="29" t="s">
        <v>26499</v>
      </c>
      <c r="B11484" s="30" t="s">
        <v>26500</v>
      </c>
      <c r="C11484" s="29" t="s">
        <v>26</v>
      </c>
      <c r="D11484" s="31">
        <v>3741.85</v>
      </c>
      <c r="F11484" s="3" t="str">
        <f t="shared" si="179"/>
        <v>I11104</v>
      </c>
    </row>
    <row r="11485" spans="1:6" x14ac:dyDescent="0.2">
      <c r="A11485" s="29" t="s">
        <v>26501</v>
      </c>
      <c r="B11485" s="30" t="s">
        <v>26502</v>
      </c>
      <c r="C11485" s="29" t="s">
        <v>26</v>
      </c>
      <c r="D11485" s="31">
        <v>4157.6000000000004</v>
      </c>
      <c r="F11485" s="3" t="str">
        <f t="shared" si="179"/>
        <v>I11031</v>
      </c>
    </row>
    <row r="11486" spans="1:6" x14ac:dyDescent="0.2">
      <c r="A11486" s="29" t="s">
        <v>26503</v>
      </c>
      <c r="B11486" s="30" t="s">
        <v>26504</v>
      </c>
      <c r="C11486" s="29" t="s">
        <v>26</v>
      </c>
      <c r="D11486" s="31">
        <v>4573.3599999999997</v>
      </c>
      <c r="F11486" s="3" t="str">
        <f t="shared" si="179"/>
        <v>I11063</v>
      </c>
    </row>
    <row r="11487" spans="1:6" x14ac:dyDescent="0.2">
      <c r="A11487" s="29" t="s">
        <v>26505</v>
      </c>
      <c r="B11487" s="30" t="s">
        <v>26506</v>
      </c>
      <c r="C11487" s="29" t="s">
        <v>26</v>
      </c>
      <c r="D11487" s="31">
        <v>4989.12</v>
      </c>
      <c r="F11487" s="3" t="str">
        <f t="shared" si="179"/>
        <v>I11105</v>
      </c>
    </row>
    <row r="11488" spans="1:6" x14ac:dyDescent="0.2">
      <c r="A11488" s="29" t="s">
        <v>26507</v>
      </c>
      <c r="B11488" s="30" t="s">
        <v>26508</v>
      </c>
      <c r="C11488" s="29" t="s">
        <v>26</v>
      </c>
      <c r="D11488" s="31">
        <v>4037.97</v>
      </c>
      <c r="F11488" s="3" t="str">
        <f t="shared" si="179"/>
        <v>I4077</v>
      </c>
    </row>
    <row r="11489" spans="1:6" x14ac:dyDescent="0.2">
      <c r="A11489" s="29" t="s">
        <v>26509</v>
      </c>
      <c r="B11489" s="30" t="s">
        <v>26510</v>
      </c>
      <c r="C11489" s="29" t="s">
        <v>26</v>
      </c>
      <c r="D11489" s="31">
        <v>4065.69</v>
      </c>
      <c r="F11489" s="3" t="str">
        <f t="shared" si="179"/>
        <v>I11064</v>
      </c>
    </row>
    <row r="11490" spans="1:6" x14ac:dyDescent="0.2">
      <c r="A11490" s="29" t="s">
        <v>26511</v>
      </c>
      <c r="B11490" s="30" t="s">
        <v>26512</v>
      </c>
      <c r="C11490" s="29" t="s">
        <v>26</v>
      </c>
      <c r="D11490" s="31">
        <v>3896.65</v>
      </c>
      <c r="F11490" s="3" t="str">
        <f t="shared" si="179"/>
        <v>I11106</v>
      </c>
    </row>
    <row r="11491" spans="1:6" x14ac:dyDescent="0.2">
      <c r="A11491" s="29" t="s">
        <v>26513</v>
      </c>
      <c r="B11491" s="30" t="s">
        <v>26514</v>
      </c>
      <c r="C11491" s="29" t="s">
        <v>26</v>
      </c>
      <c r="D11491" s="31">
        <v>4559.51</v>
      </c>
      <c r="F11491" s="3" t="str">
        <f t="shared" si="179"/>
        <v>I4078</v>
      </c>
    </row>
    <row r="11492" spans="1:6" x14ac:dyDescent="0.2">
      <c r="A11492" s="29" t="s">
        <v>26515</v>
      </c>
      <c r="B11492" s="30" t="s">
        <v>26516</v>
      </c>
      <c r="C11492" s="29" t="s">
        <v>26</v>
      </c>
      <c r="D11492" s="31">
        <v>4531.5200000000004</v>
      </c>
      <c r="F11492" s="3" t="str">
        <f t="shared" si="179"/>
        <v>I11065</v>
      </c>
    </row>
    <row r="11493" spans="1:6" x14ac:dyDescent="0.2">
      <c r="A11493" s="29" t="s">
        <v>26517</v>
      </c>
      <c r="B11493" s="30" t="s">
        <v>26518</v>
      </c>
      <c r="C11493" s="29" t="s">
        <v>26</v>
      </c>
      <c r="D11493" s="31">
        <v>4389.1499999999996</v>
      </c>
      <c r="F11493" s="3" t="str">
        <f t="shared" si="179"/>
        <v>I11107</v>
      </c>
    </row>
    <row r="11494" spans="1:6" x14ac:dyDescent="0.2">
      <c r="A11494" s="29" t="s">
        <v>26519</v>
      </c>
      <c r="B11494" s="30" t="s">
        <v>26520</v>
      </c>
      <c r="C11494" s="29" t="s">
        <v>26</v>
      </c>
      <c r="D11494" s="31">
        <v>3793.82</v>
      </c>
      <c r="F11494" s="3" t="str">
        <f t="shared" si="179"/>
        <v>I11032</v>
      </c>
    </row>
    <row r="11495" spans="1:6" x14ac:dyDescent="0.2">
      <c r="A11495" s="29" t="s">
        <v>26521</v>
      </c>
      <c r="B11495" s="30" t="s">
        <v>26522</v>
      </c>
      <c r="C11495" s="29" t="s">
        <v>26</v>
      </c>
      <c r="D11495" s="31">
        <v>4173.1899999999996</v>
      </c>
      <c r="F11495" s="3" t="str">
        <f t="shared" si="179"/>
        <v>I11066</v>
      </c>
    </row>
    <row r="11496" spans="1:6" x14ac:dyDescent="0.2">
      <c r="A11496" s="29" t="s">
        <v>26523</v>
      </c>
      <c r="B11496" s="30" t="s">
        <v>26524</v>
      </c>
      <c r="C11496" s="29" t="s">
        <v>26</v>
      </c>
      <c r="D11496" s="31">
        <v>4552.58</v>
      </c>
      <c r="F11496" s="3" t="str">
        <f t="shared" si="179"/>
        <v>I11108</v>
      </c>
    </row>
    <row r="11497" spans="1:6" x14ac:dyDescent="0.2">
      <c r="A11497" s="29" t="s">
        <v>26525</v>
      </c>
      <c r="B11497" s="30" t="s">
        <v>26526</v>
      </c>
      <c r="C11497" s="29" t="s">
        <v>26</v>
      </c>
      <c r="D11497" s="31">
        <v>6145.77</v>
      </c>
      <c r="F11497" s="3" t="str">
        <f t="shared" si="179"/>
        <v>I11034</v>
      </c>
    </row>
    <row r="11498" spans="1:6" x14ac:dyDescent="0.2">
      <c r="A11498" s="29" t="s">
        <v>26527</v>
      </c>
      <c r="B11498" s="30" t="s">
        <v>26528</v>
      </c>
      <c r="C11498" s="29" t="s">
        <v>26</v>
      </c>
      <c r="D11498" s="31">
        <v>6760.33</v>
      </c>
      <c r="F11498" s="3" t="str">
        <f t="shared" si="179"/>
        <v>I11068</v>
      </c>
    </row>
    <row r="11499" spans="1:6" x14ac:dyDescent="0.2">
      <c r="A11499" s="29" t="s">
        <v>26529</v>
      </c>
      <c r="B11499" s="30" t="s">
        <v>26530</v>
      </c>
      <c r="C11499" s="29" t="s">
        <v>26</v>
      </c>
      <c r="D11499" s="31">
        <v>7374.91</v>
      </c>
      <c r="F11499" s="3" t="str">
        <f t="shared" si="179"/>
        <v>I11110</v>
      </c>
    </row>
    <row r="11500" spans="1:6" x14ac:dyDescent="0.2">
      <c r="A11500" s="29" t="s">
        <v>26531</v>
      </c>
      <c r="B11500" s="30" t="s">
        <v>26532</v>
      </c>
      <c r="C11500" s="29" t="s">
        <v>26</v>
      </c>
      <c r="D11500" s="31">
        <v>5710.65</v>
      </c>
      <c r="F11500" s="3" t="str">
        <f t="shared" si="179"/>
        <v>I11033</v>
      </c>
    </row>
    <row r="11501" spans="1:6" x14ac:dyDescent="0.2">
      <c r="A11501" s="29" t="s">
        <v>26533</v>
      </c>
      <c r="B11501" s="30" t="s">
        <v>26534</v>
      </c>
      <c r="C11501" s="29" t="s">
        <v>26</v>
      </c>
      <c r="D11501" s="31">
        <v>6281.72</v>
      </c>
      <c r="F11501" s="3" t="str">
        <f t="shared" si="179"/>
        <v>I11067</v>
      </c>
    </row>
    <row r="11502" spans="1:6" x14ac:dyDescent="0.2">
      <c r="A11502" s="29" t="s">
        <v>26535</v>
      </c>
      <c r="B11502" s="30" t="s">
        <v>26536</v>
      </c>
      <c r="C11502" s="29" t="s">
        <v>26</v>
      </c>
      <c r="D11502" s="31">
        <v>6852.78</v>
      </c>
      <c r="F11502" s="3" t="str">
        <f t="shared" si="179"/>
        <v>I11109</v>
      </c>
    </row>
    <row r="11503" spans="1:6" x14ac:dyDescent="0.2">
      <c r="A11503" s="29" t="s">
        <v>26537</v>
      </c>
      <c r="B11503" s="30" t="s">
        <v>26538</v>
      </c>
      <c r="C11503" s="29" t="s">
        <v>26</v>
      </c>
      <c r="D11503" s="31">
        <v>6798.4</v>
      </c>
      <c r="F11503" s="3" t="str">
        <f t="shared" si="179"/>
        <v>I11035</v>
      </c>
    </row>
    <row r="11504" spans="1:6" x14ac:dyDescent="0.2">
      <c r="A11504" s="29" t="s">
        <v>26539</v>
      </c>
      <c r="B11504" s="30" t="s">
        <v>26540</v>
      </c>
      <c r="C11504" s="29" t="s">
        <v>26</v>
      </c>
      <c r="D11504" s="31">
        <v>7478.25</v>
      </c>
      <c r="F11504" s="3" t="str">
        <f t="shared" si="179"/>
        <v>I11069</v>
      </c>
    </row>
    <row r="11505" spans="1:6" x14ac:dyDescent="0.2">
      <c r="A11505" s="29" t="s">
        <v>26541</v>
      </c>
      <c r="B11505" s="30" t="s">
        <v>26542</v>
      </c>
      <c r="C11505" s="29" t="s">
        <v>26</v>
      </c>
      <c r="D11505" s="31">
        <v>8158.08</v>
      </c>
      <c r="F11505" s="3" t="str">
        <f t="shared" si="179"/>
        <v>I11111</v>
      </c>
    </row>
    <row r="11506" spans="1:6" x14ac:dyDescent="0.2">
      <c r="A11506" s="29" t="s">
        <v>26543</v>
      </c>
      <c r="B11506" s="30" t="s">
        <v>26544</v>
      </c>
      <c r="C11506" s="29" t="s">
        <v>26</v>
      </c>
      <c r="D11506" s="31">
        <v>6526.47</v>
      </c>
      <c r="F11506" s="3" t="str">
        <f t="shared" si="179"/>
        <v>I11036</v>
      </c>
    </row>
    <row r="11507" spans="1:6" x14ac:dyDescent="0.2">
      <c r="A11507" s="29" t="s">
        <v>26545</v>
      </c>
      <c r="B11507" s="30" t="s">
        <v>26546</v>
      </c>
      <c r="C11507" s="29" t="s">
        <v>26</v>
      </c>
      <c r="D11507" s="31">
        <v>7179.11</v>
      </c>
      <c r="F11507" s="3" t="str">
        <f t="shared" si="179"/>
        <v>I11070</v>
      </c>
    </row>
    <row r="11508" spans="1:6" x14ac:dyDescent="0.2">
      <c r="A11508" s="29" t="s">
        <v>26547</v>
      </c>
      <c r="B11508" s="30" t="s">
        <v>26548</v>
      </c>
      <c r="C11508" s="29" t="s">
        <v>26</v>
      </c>
      <c r="D11508" s="31">
        <v>7831.76</v>
      </c>
      <c r="F11508" s="3" t="str">
        <f t="shared" si="179"/>
        <v>I11112</v>
      </c>
    </row>
    <row r="11509" spans="1:6" x14ac:dyDescent="0.2">
      <c r="A11509" s="29" t="s">
        <v>26549</v>
      </c>
      <c r="B11509" s="30" t="s">
        <v>26550</v>
      </c>
      <c r="C11509" s="29" t="s">
        <v>26</v>
      </c>
      <c r="D11509" s="31">
        <v>7704.86</v>
      </c>
      <c r="F11509" s="3" t="str">
        <f t="shared" si="179"/>
        <v>I11037</v>
      </c>
    </row>
    <row r="11510" spans="1:6" x14ac:dyDescent="0.2">
      <c r="A11510" s="29" t="s">
        <v>26551</v>
      </c>
      <c r="B11510" s="30" t="s">
        <v>26552</v>
      </c>
      <c r="C11510" s="29" t="s">
        <v>26</v>
      </c>
      <c r="D11510" s="31">
        <v>8475.34</v>
      </c>
      <c r="F11510" s="3" t="str">
        <f t="shared" si="179"/>
        <v>I11071</v>
      </c>
    </row>
    <row r="11511" spans="1:6" x14ac:dyDescent="0.2">
      <c r="A11511" s="29" t="s">
        <v>26553</v>
      </c>
      <c r="B11511" s="30" t="s">
        <v>26554</v>
      </c>
      <c r="C11511" s="29" t="s">
        <v>26</v>
      </c>
      <c r="D11511" s="31">
        <v>9245.83</v>
      </c>
      <c r="F11511" s="3" t="str">
        <f t="shared" si="179"/>
        <v>I11113</v>
      </c>
    </row>
    <row r="11512" spans="1:6" x14ac:dyDescent="0.2">
      <c r="A11512" s="29" t="s">
        <v>26555</v>
      </c>
      <c r="B11512" s="30" t="s">
        <v>26556</v>
      </c>
      <c r="C11512" s="29" t="s">
        <v>26</v>
      </c>
      <c r="D11512" s="31">
        <v>11156.63</v>
      </c>
      <c r="F11512" s="3" t="str">
        <f t="shared" si="179"/>
        <v>I11038</v>
      </c>
    </row>
    <row r="11513" spans="1:6" x14ac:dyDescent="0.2">
      <c r="A11513" s="29" t="s">
        <v>26557</v>
      </c>
      <c r="B11513" s="30" t="s">
        <v>26558</v>
      </c>
      <c r="C11513" s="29" t="s">
        <v>26</v>
      </c>
      <c r="D11513" s="31">
        <v>12272.29</v>
      </c>
      <c r="F11513" s="3" t="str">
        <f t="shared" si="179"/>
        <v>I11072</v>
      </c>
    </row>
    <row r="11514" spans="1:6" x14ac:dyDescent="0.2">
      <c r="A11514" s="29" t="s">
        <v>26559</v>
      </c>
      <c r="B11514" s="30" t="s">
        <v>26560</v>
      </c>
      <c r="C11514" s="29" t="s">
        <v>26</v>
      </c>
      <c r="D11514" s="31">
        <v>13387.96</v>
      </c>
      <c r="F11514" s="3" t="str">
        <f t="shared" si="179"/>
        <v>I11114</v>
      </c>
    </row>
    <row r="11515" spans="1:6" x14ac:dyDescent="0.2">
      <c r="A11515" s="29" t="s">
        <v>26561</v>
      </c>
      <c r="B11515" s="30" t="s">
        <v>26562</v>
      </c>
      <c r="C11515" s="29" t="s">
        <v>26</v>
      </c>
      <c r="D11515" s="31">
        <v>21172.06</v>
      </c>
      <c r="F11515" s="3" t="str">
        <f t="shared" si="179"/>
        <v>I11039</v>
      </c>
    </row>
    <row r="11516" spans="1:6" x14ac:dyDescent="0.2">
      <c r="A11516" s="29" t="s">
        <v>26563</v>
      </c>
      <c r="B11516" s="30" t="s">
        <v>26564</v>
      </c>
      <c r="C11516" s="29" t="s">
        <v>26</v>
      </c>
      <c r="D11516" s="31">
        <v>24232.22</v>
      </c>
      <c r="F11516" s="3" t="str">
        <f t="shared" si="179"/>
        <v>I11073</v>
      </c>
    </row>
    <row r="11517" spans="1:6" x14ac:dyDescent="0.2">
      <c r="A11517" s="29" t="s">
        <v>26565</v>
      </c>
      <c r="B11517" s="30" t="s">
        <v>26566</v>
      </c>
      <c r="C11517" s="29" t="s">
        <v>26</v>
      </c>
      <c r="D11517" s="31">
        <v>24973.439999999999</v>
      </c>
      <c r="F11517" s="3" t="str">
        <f t="shared" si="179"/>
        <v>I11115</v>
      </c>
    </row>
    <row r="11518" spans="1:6" x14ac:dyDescent="0.2">
      <c r="A11518" s="29" t="s">
        <v>26567</v>
      </c>
      <c r="B11518" s="30" t="s">
        <v>26568</v>
      </c>
      <c r="C11518" s="29" t="s">
        <v>26</v>
      </c>
      <c r="D11518" s="31">
        <v>11632.83</v>
      </c>
      <c r="F11518" s="3" t="str">
        <f t="shared" si="179"/>
        <v>I11040</v>
      </c>
    </row>
    <row r="11519" spans="1:6" x14ac:dyDescent="0.2">
      <c r="A11519" s="29" t="s">
        <v>26569</v>
      </c>
      <c r="B11519" s="30" t="s">
        <v>26570</v>
      </c>
      <c r="C11519" s="29" t="s">
        <v>26</v>
      </c>
      <c r="D11519" s="31">
        <v>12796.11</v>
      </c>
      <c r="F11519" s="3" t="str">
        <f t="shared" si="179"/>
        <v>I11074</v>
      </c>
    </row>
    <row r="11520" spans="1:6" x14ac:dyDescent="0.2">
      <c r="A11520" s="29" t="s">
        <v>26571</v>
      </c>
      <c r="B11520" s="30" t="s">
        <v>26572</v>
      </c>
      <c r="C11520" s="29" t="s">
        <v>26</v>
      </c>
      <c r="D11520" s="31">
        <v>13959.39</v>
      </c>
      <c r="F11520" s="3" t="str">
        <f t="shared" si="179"/>
        <v>I11116</v>
      </c>
    </row>
    <row r="11521" spans="1:6" x14ac:dyDescent="0.2">
      <c r="A11521" s="29" t="s">
        <v>26573</v>
      </c>
      <c r="B11521" s="30" t="s">
        <v>26574</v>
      </c>
      <c r="C11521" s="29" t="s">
        <v>26</v>
      </c>
      <c r="D11521" s="31">
        <v>14624.12</v>
      </c>
      <c r="F11521" s="3" t="str">
        <f t="shared" si="179"/>
        <v>I11041</v>
      </c>
    </row>
    <row r="11522" spans="1:6" x14ac:dyDescent="0.2">
      <c r="A11522" s="29" t="s">
        <v>26575</v>
      </c>
      <c r="B11522" s="30" t="s">
        <v>26576</v>
      </c>
      <c r="C11522" s="29" t="s">
        <v>26</v>
      </c>
      <c r="D11522" s="31">
        <v>16086.53</v>
      </c>
      <c r="F11522" s="3" t="str">
        <f t="shared" ref="F11522:F11585" si="180">A11522</f>
        <v>I11075</v>
      </c>
    </row>
    <row r="11523" spans="1:6" x14ac:dyDescent="0.2">
      <c r="A11523" s="29" t="s">
        <v>26577</v>
      </c>
      <c r="B11523" s="30" t="s">
        <v>26578</v>
      </c>
      <c r="C11523" s="29" t="s">
        <v>26</v>
      </c>
      <c r="D11523" s="31">
        <v>17548.939999999999</v>
      </c>
      <c r="F11523" s="3" t="str">
        <f t="shared" si="180"/>
        <v>I11117</v>
      </c>
    </row>
    <row r="11524" spans="1:6" x14ac:dyDescent="0.2">
      <c r="A11524" s="29" t="s">
        <v>26579</v>
      </c>
      <c r="B11524" s="30" t="s">
        <v>26580</v>
      </c>
      <c r="C11524" s="29" t="s">
        <v>26</v>
      </c>
      <c r="D11524" s="31">
        <v>310.8</v>
      </c>
      <c r="F11524" s="3" t="str">
        <f t="shared" si="180"/>
        <v>I4064</v>
      </c>
    </row>
    <row r="11525" spans="1:6" x14ac:dyDescent="0.2">
      <c r="A11525" s="29" t="s">
        <v>26581</v>
      </c>
      <c r="B11525" s="30" t="s">
        <v>26582</v>
      </c>
      <c r="C11525" s="29" t="s">
        <v>26</v>
      </c>
      <c r="D11525" s="31">
        <v>18896.54</v>
      </c>
      <c r="F11525" s="3" t="str">
        <f t="shared" si="180"/>
        <v>I11042</v>
      </c>
    </row>
    <row r="11526" spans="1:6" x14ac:dyDescent="0.2">
      <c r="A11526" s="29" t="s">
        <v>26583</v>
      </c>
      <c r="B11526" s="30" t="s">
        <v>26584</v>
      </c>
      <c r="C11526" s="29" t="s">
        <v>26</v>
      </c>
      <c r="D11526" s="31">
        <v>20786.189999999999</v>
      </c>
      <c r="F11526" s="3" t="str">
        <f t="shared" si="180"/>
        <v>I11076</v>
      </c>
    </row>
    <row r="11527" spans="1:6" x14ac:dyDescent="0.2">
      <c r="A11527" s="29" t="s">
        <v>26585</v>
      </c>
      <c r="B11527" s="30" t="s">
        <v>26586</v>
      </c>
      <c r="C11527" s="29" t="s">
        <v>26</v>
      </c>
      <c r="D11527" s="31">
        <v>22675.84</v>
      </c>
      <c r="F11527" s="3" t="str">
        <f t="shared" si="180"/>
        <v>I11118</v>
      </c>
    </row>
    <row r="11528" spans="1:6" x14ac:dyDescent="0.2">
      <c r="A11528" s="29" t="s">
        <v>26587</v>
      </c>
      <c r="B11528" s="30" t="s">
        <v>26588</v>
      </c>
      <c r="C11528" s="29" t="s">
        <v>26</v>
      </c>
      <c r="D11528" s="31">
        <v>4727.7299999999996</v>
      </c>
      <c r="F11528" s="3" t="str">
        <f t="shared" si="180"/>
        <v>I9964</v>
      </c>
    </row>
    <row r="11529" spans="1:6" x14ac:dyDescent="0.2">
      <c r="A11529" s="29" t="s">
        <v>26589</v>
      </c>
      <c r="B11529" s="30" t="s">
        <v>26590</v>
      </c>
      <c r="C11529" s="29" t="s">
        <v>26</v>
      </c>
      <c r="D11529" s="31">
        <v>1501.98</v>
      </c>
      <c r="F11529" s="3" t="str">
        <f t="shared" si="180"/>
        <v>I9962</v>
      </c>
    </row>
    <row r="11530" spans="1:6" x14ac:dyDescent="0.2">
      <c r="A11530" s="29" t="s">
        <v>26591</v>
      </c>
      <c r="B11530" s="30" t="s">
        <v>26592</v>
      </c>
      <c r="C11530" s="29" t="s">
        <v>26</v>
      </c>
      <c r="D11530" s="31">
        <v>3271.42</v>
      </c>
      <c r="F11530" s="3" t="str">
        <f t="shared" si="180"/>
        <v>I9963</v>
      </c>
    </row>
    <row r="11531" spans="1:6" x14ac:dyDescent="0.2">
      <c r="A11531" s="29" t="s">
        <v>26593</v>
      </c>
      <c r="B11531" s="30" t="s">
        <v>26594</v>
      </c>
      <c r="C11531" s="29" t="s">
        <v>26</v>
      </c>
      <c r="D11531" s="31">
        <v>1380.29</v>
      </c>
      <c r="F11531" s="3" t="str">
        <f t="shared" si="180"/>
        <v>I9961</v>
      </c>
    </row>
    <row r="11532" spans="1:6" x14ac:dyDescent="0.2">
      <c r="A11532" s="29" t="s">
        <v>26595</v>
      </c>
      <c r="B11532" s="30" t="s">
        <v>26596</v>
      </c>
      <c r="C11532" s="29" t="s">
        <v>26</v>
      </c>
      <c r="D11532" s="31">
        <v>239.51</v>
      </c>
      <c r="F11532" s="3" t="str">
        <f t="shared" si="180"/>
        <v>I3018</v>
      </c>
    </row>
    <row r="11533" spans="1:6" x14ac:dyDescent="0.2">
      <c r="A11533" s="29" t="s">
        <v>26597</v>
      </c>
      <c r="B11533" s="30" t="s">
        <v>26598</v>
      </c>
      <c r="C11533" s="29" t="s">
        <v>26</v>
      </c>
      <c r="D11533" s="31">
        <v>239.51</v>
      </c>
      <c r="F11533" s="3" t="str">
        <f t="shared" si="180"/>
        <v>I3019</v>
      </c>
    </row>
    <row r="11534" spans="1:6" x14ac:dyDescent="0.2">
      <c r="A11534" s="29" t="s">
        <v>26599</v>
      </c>
      <c r="B11534" s="30" t="s">
        <v>26600</v>
      </c>
      <c r="C11534" s="29" t="s">
        <v>26</v>
      </c>
      <c r="D11534" s="31">
        <v>239.51</v>
      </c>
      <c r="F11534" s="3" t="str">
        <f t="shared" si="180"/>
        <v>I3020</v>
      </c>
    </row>
    <row r="11535" spans="1:6" x14ac:dyDescent="0.2">
      <c r="A11535" s="29" t="s">
        <v>26601</v>
      </c>
      <c r="B11535" s="30" t="s">
        <v>26602</v>
      </c>
      <c r="C11535" s="29" t="s">
        <v>26</v>
      </c>
      <c r="D11535" s="31">
        <v>408.31</v>
      </c>
      <c r="F11535" s="3" t="str">
        <f t="shared" si="180"/>
        <v>I3021</v>
      </c>
    </row>
    <row r="11536" spans="1:6" x14ac:dyDescent="0.2">
      <c r="A11536" s="29" t="s">
        <v>26603</v>
      </c>
      <c r="B11536" s="30" t="s">
        <v>26604</v>
      </c>
      <c r="C11536" s="29" t="s">
        <v>26</v>
      </c>
      <c r="D11536" s="31">
        <v>190.1</v>
      </c>
      <c r="F11536" s="3" t="str">
        <f t="shared" si="180"/>
        <v>I3022</v>
      </c>
    </row>
    <row r="11537" spans="1:6" x14ac:dyDescent="0.2">
      <c r="A11537" s="29" t="s">
        <v>26605</v>
      </c>
      <c r="B11537" s="30" t="s">
        <v>26606</v>
      </c>
      <c r="C11537" s="29" t="s">
        <v>26</v>
      </c>
      <c r="D11537" s="31">
        <v>674.2</v>
      </c>
      <c r="F11537" s="3" t="str">
        <f t="shared" si="180"/>
        <v>I8024</v>
      </c>
    </row>
    <row r="11538" spans="1:6" x14ac:dyDescent="0.2">
      <c r="A11538" s="29" t="s">
        <v>26607</v>
      </c>
      <c r="B11538" s="30" t="s">
        <v>26608</v>
      </c>
      <c r="C11538" s="29" t="s">
        <v>26</v>
      </c>
      <c r="D11538" s="31">
        <v>427.82</v>
      </c>
      <c r="F11538" s="3" t="str">
        <f t="shared" si="180"/>
        <v>I3023</v>
      </c>
    </row>
    <row r="11539" spans="1:6" x14ac:dyDescent="0.2">
      <c r="A11539" s="29" t="s">
        <v>26609</v>
      </c>
      <c r="B11539" s="30" t="s">
        <v>26610</v>
      </c>
      <c r="C11539" s="29" t="s">
        <v>26</v>
      </c>
      <c r="D11539" s="31">
        <v>824.38</v>
      </c>
      <c r="F11539" s="3" t="str">
        <f t="shared" si="180"/>
        <v>I3024</v>
      </c>
    </row>
    <row r="11540" spans="1:6" x14ac:dyDescent="0.2">
      <c r="A11540" s="29" t="s">
        <v>26611</v>
      </c>
      <c r="B11540" s="30" t="s">
        <v>26612</v>
      </c>
      <c r="C11540" s="29" t="s">
        <v>26</v>
      </c>
      <c r="D11540" s="31">
        <v>1085.32</v>
      </c>
      <c r="F11540" s="3" t="str">
        <f t="shared" si="180"/>
        <v>I3025</v>
      </c>
    </row>
    <row r="11541" spans="1:6" x14ac:dyDescent="0.2">
      <c r="A11541" s="29" t="s">
        <v>26613</v>
      </c>
      <c r="B11541" s="30" t="s">
        <v>26614</v>
      </c>
      <c r="C11541" s="29" t="s">
        <v>26</v>
      </c>
      <c r="D11541" s="31">
        <v>1448.43</v>
      </c>
      <c r="F11541" s="3" t="str">
        <f t="shared" si="180"/>
        <v>I3026</v>
      </c>
    </row>
    <row r="11542" spans="1:6" x14ac:dyDescent="0.2">
      <c r="A11542" s="29" t="s">
        <v>26615</v>
      </c>
      <c r="B11542" s="30" t="s">
        <v>26616</v>
      </c>
      <c r="C11542" s="29" t="s">
        <v>26</v>
      </c>
      <c r="D11542" s="31">
        <v>239.51</v>
      </c>
      <c r="F11542" s="3" t="str">
        <f t="shared" si="180"/>
        <v>I6901</v>
      </c>
    </row>
    <row r="11543" spans="1:6" x14ac:dyDescent="0.2">
      <c r="A11543" s="29" t="s">
        <v>26617</v>
      </c>
      <c r="B11543" s="30" t="s">
        <v>26618</v>
      </c>
      <c r="C11543" s="29" t="s">
        <v>26</v>
      </c>
      <c r="D11543" s="31">
        <v>239.51</v>
      </c>
      <c r="F11543" s="3" t="str">
        <f t="shared" si="180"/>
        <v>I6902</v>
      </c>
    </row>
    <row r="11544" spans="1:6" x14ac:dyDescent="0.2">
      <c r="A11544" s="29" t="s">
        <v>26619</v>
      </c>
      <c r="B11544" s="30" t="s">
        <v>26620</v>
      </c>
      <c r="C11544" s="29" t="s">
        <v>26</v>
      </c>
      <c r="D11544" s="31">
        <v>408.31</v>
      </c>
      <c r="F11544" s="3" t="str">
        <f t="shared" si="180"/>
        <v>I6903</v>
      </c>
    </row>
    <row r="11545" spans="1:6" x14ac:dyDescent="0.2">
      <c r="A11545" s="29" t="s">
        <v>26621</v>
      </c>
      <c r="B11545" s="30" t="s">
        <v>26622</v>
      </c>
      <c r="C11545" s="29" t="s">
        <v>26</v>
      </c>
      <c r="D11545" s="31">
        <v>190.1</v>
      </c>
      <c r="F11545" s="3" t="str">
        <f t="shared" si="180"/>
        <v>I6904</v>
      </c>
    </row>
    <row r="11546" spans="1:6" x14ac:dyDescent="0.2">
      <c r="A11546" s="29" t="s">
        <v>26623</v>
      </c>
      <c r="B11546" s="30" t="s">
        <v>26624</v>
      </c>
      <c r="C11546" s="29" t="s">
        <v>26</v>
      </c>
      <c r="D11546" s="31">
        <v>427.82</v>
      </c>
      <c r="F11546" s="3" t="str">
        <f t="shared" si="180"/>
        <v>I6906</v>
      </c>
    </row>
    <row r="11547" spans="1:6" x14ac:dyDescent="0.2">
      <c r="A11547" s="29" t="s">
        <v>26625</v>
      </c>
      <c r="B11547" s="30" t="s">
        <v>26626</v>
      </c>
      <c r="C11547" s="29" t="s">
        <v>26</v>
      </c>
      <c r="D11547" s="31">
        <v>674.2</v>
      </c>
      <c r="F11547" s="3" t="str">
        <f t="shared" si="180"/>
        <v>I6905</v>
      </c>
    </row>
    <row r="11548" spans="1:6" x14ac:dyDescent="0.2">
      <c r="A11548" s="29" t="s">
        <v>26627</v>
      </c>
      <c r="B11548" s="30" t="s">
        <v>26628</v>
      </c>
      <c r="C11548" s="29" t="s">
        <v>26</v>
      </c>
      <c r="D11548" s="31">
        <v>754.49</v>
      </c>
      <c r="F11548" s="3" t="str">
        <f t="shared" si="180"/>
        <v>I6907</v>
      </c>
    </row>
    <row r="11549" spans="1:6" x14ac:dyDescent="0.2">
      <c r="A11549" s="29" t="s">
        <v>26629</v>
      </c>
      <c r="B11549" s="30" t="s">
        <v>26630</v>
      </c>
      <c r="C11549" s="29" t="s">
        <v>26</v>
      </c>
      <c r="D11549" s="31">
        <v>926.29</v>
      </c>
      <c r="F11549" s="3" t="str">
        <f t="shared" si="180"/>
        <v>I6908</v>
      </c>
    </row>
    <row r="11550" spans="1:6" x14ac:dyDescent="0.2">
      <c r="A11550" s="29" t="s">
        <v>26631</v>
      </c>
      <c r="B11550" s="30" t="s">
        <v>26632</v>
      </c>
      <c r="C11550" s="29" t="s">
        <v>26</v>
      </c>
      <c r="D11550" s="31">
        <v>1188.25</v>
      </c>
      <c r="F11550" s="3" t="str">
        <f t="shared" si="180"/>
        <v>I6909</v>
      </c>
    </row>
    <row r="11551" spans="1:6" x14ac:dyDescent="0.2">
      <c r="A11551" s="29" t="s">
        <v>26633</v>
      </c>
      <c r="B11551" s="30" t="s">
        <v>26634</v>
      </c>
      <c r="C11551" s="29" t="s">
        <v>26</v>
      </c>
      <c r="D11551" s="31">
        <v>556.5</v>
      </c>
      <c r="F11551" s="3" t="str">
        <f t="shared" si="180"/>
        <v>I9965</v>
      </c>
    </row>
    <row r="11552" spans="1:6" x14ac:dyDescent="0.2">
      <c r="A11552" s="29" t="s">
        <v>26635</v>
      </c>
      <c r="B11552" s="30" t="s">
        <v>26636</v>
      </c>
      <c r="C11552" s="29" t="s">
        <v>26</v>
      </c>
      <c r="D11552" s="31">
        <v>734.5</v>
      </c>
      <c r="F11552" s="3" t="str">
        <f t="shared" si="180"/>
        <v>I9966</v>
      </c>
    </row>
    <row r="11553" spans="1:6" x14ac:dyDescent="0.2">
      <c r="A11553" s="29" t="s">
        <v>26637</v>
      </c>
      <c r="B11553" s="30" t="s">
        <v>26638</v>
      </c>
      <c r="C11553" s="29" t="s">
        <v>26</v>
      </c>
      <c r="D11553" s="31">
        <v>937.27</v>
      </c>
      <c r="F11553" s="3" t="str">
        <f t="shared" si="180"/>
        <v>I9967</v>
      </c>
    </row>
    <row r="11554" spans="1:6" x14ac:dyDescent="0.2">
      <c r="A11554" s="29" t="s">
        <v>26639</v>
      </c>
      <c r="B11554" s="30" t="s">
        <v>26640</v>
      </c>
      <c r="C11554" s="29" t="s">
        <v>26</v>
      </c>
      <c r="D11554" s="31">
        <v>897.17</v>
      </c>
      <c r="F11554" s="3" t="str">
        <f t="shared" si="180"/>
        <v>I9968</v>
      </c>
    </row>
    <row r="11555" spans="1:6" x14ac:dyDescent="0.2">
      <c r="A11555" s="29" t="s">
        <v>26641</v>
      </c>
      <c r="B11555" s="30" t="s">
        <v>26642</v>
      </c>
      <c r="C11555" s="29" t="s">
        <v>26</v>
      </c>
      <c r="D11555" s="31">
        <v>1991.19</v>
      </c>
      <c r="F11555" s="3" t="str">
        <f t="shared" si="180"/>
        <v>I9969</v>
      </c>
    </row>
    <row r="11556" spans="1:6" x14ac:dyDescent="0.2">
      <c r="A11556" s="29" t="s">
        <v>26643</v>
      </c>
      <c r="B11556" s="30" t="s">
        <v>26644</v>
      </c>
      <c r="C11556" s="29" t="s">
        <v>26</v>
      </c>
      <c r="D11556" s="31">
        <v>2477.96</v>
      </c>
      <c r="F11556" s="3" t="str">
        <f t="shared" si="180"/>
        <v>I9970</v>
      </c>
    </row>
    <row r="11557" spans="1:6" x14ac:dyDescent="0.2">
      <c r="A11557" s="29" t="s">
        <v>26645</v>
      </c>
      <c r="B11557" s="30" t="s">
        <v>26646</v>
      </c>
      <c r="C11557" s="29" t="s">
        <v>26</v>
      </c>
      <c r="D11557" s="31">
        <v>258.69</v>
      </c>
      <c r="F11557" s="3" t="str">
        <f t="shared" si="180"/>
        <v>I9971</v>
      </c>
    </row>
    <row r="11558" spans="1:6" x14ac:dyDescent="0.2">
      <c r="A11558" s="29" t="s">
        <v>26647</v>
      </c>
      <c r="B11558" s="30" t="s">
        <v>26648</v>
      </c>
      <c r="C11558" s="29" t="s">
        <v>26</v>
      </c>
      <c r="D11558" s="31">
        <v>1414.07</v>
      </c>
      <c r="F11558" s="3" t="str">
        <f t="shared" si="180"/>
        <v>I9974</v>
      </c>
    </row>
    <row r="11559" spans="1:6" x14ac:dyDescent="0.2">
      <c r="A11559" s="29" t="s">
        <v>26649</v>
      </c>
      <c r="B11559" s="30" t="s">
        <v>26650</v>
      </c>
      <c r="C11559" s="29" t="s">
        <v>26</v>
      </c>
      <c r="D11559" s="31">
        <v>3383.09</v>
      </c>
      <c r="F11559" s="3" t="str">
        <f t="shared" si="180"/>
        <v>I9976</v>
      </c>
    </row>
    <row r="11560" spans="1:6" x14ac:dyDescent="0.2">
      <c r="A11560" s="29" t="s">
        <v>26651</v>
      </c>
      <c r="B11560" s="30" t="s">
        <v>26652</v>
      </c>
      <c r="C11560" s="29" t="s">
        <v>26</v>
      </c>
      <c r="D11560" s="31">
        <v>1366.93</v>
      </c>
      <c r="F11560" s="3" t="str">
        <f t="shared" si="180"/>
        <v>I9975</v>
      </c>
    </row>
    <row r="11561" spans="1:6" x14ac:dyDescent="0.2">
      <c r="A11561" s="29" t="s">
        <v>26653</v>
      </c>
      <c r="B11561" s="30" t="s">
        <v>26654</v>
      </c>
      <c r="C11561" s="29" t="s">
        <v>26</v>
      </c>
      <c r="D11561" s="31">
        <v>3956.83</v>
      </c>
      <c r="F11561" s="3" t="str">
        <f t="shared" si="180"/>
        <v>I9977</v>
      </c>
    </row>
    <row r="11562" spans="1:6" x14ac:dyDescent="0.2">
      <c r="A11562" s="29" t="s">
        <v>26655</v>
      </c>
      <c r="B11562" s="30" t="s">
        <v>26656</v>
      </c>
      <c r="C11562" s="29" t="s">
        <v>26</v>
      </c>
      <c r="D11562" s="31">
        <v>3290.55</v>
      </c>
      <c r="F11562" s="3" t="str">
        <f t="shared" si="180"/>
        <v>I9978</v>
      </c>
    </row>
    <row r="11563" spans="1:6" x14ac:dyDescent="0.2">
      <c r="A11563" s="29" t="s">
        <v>26657</v>
      </c>
      <c r="B11563" s="30" t="s">
        <v>26658</v>
      </c>
      <c r="C11563" s="29" t="s">
        <v>26</v>
      </c>
      <c r="D11563" s="31">
        <v>19.91</v>
      </c>
      <c r="F11563" s="3" t="str">
        <f t="shared" si="180"/>
        <v>I9979</v>
      </c>
    </row>
    <row r="11564" spans="1:6" x14ac:dyDescent="0.2">
      <c r="A11564" s="29" t="s">
        <v>26659</v>
      </c>
      <c r="B11564" s="30" t="s">
        <v>26660</v>
      </c>
      <c r="C11564" s="29" t="s">
        <v>26</v>
      </c>
      <c r="D11564" s="31">
        <v>336.32</v>
      </c>
      <c r="F11564" s="3" t="str">
        <f t="shared" si="180"/>
        <v>I4079</v>
      </c>
    </row>
    <row r="11565" spans="1:6" x14ac:dyDescent="0.2">
      <c r="A11565" s="29" t="s">
        <v>26661</v>
      </c>
      <c r="B11565" s="30" t="s">
        <v>26662</v>
      </c>
      <c r="C11565" s="29" t="s">
        <v>26</v>
      </c>
      <c r="D11565" s="31">
        <v>336.32</v>
      </c>
      <c r="F11565" s="3" t="str">
        <f t="shared" si="180"/>
        <v>I7140</v>
      </c>
    </row>
    <row r="11566" spans="1:6" x14ac:dyDescent="0.2">
      <c r="A11566" s="29" t="s">
        <v>26663</v>
      </c>
      <c r="B11566" s="30" t="s">
        <v>26664</v>
      </c>
      <c r="C11566" s="29" t="s">
        <v>26</v>
      </c>
      <c r="D11566" s="31">
        <v>391.64</v>
      </c>
      <c r="F11566" s="3" t="str">
        <f t="shared" si="180"/>
        <v>I7619</v>
      </c>
    </row>
    <row r="11567" spans="1:6" x14ac:dyDescent="0.2">
      <c r="A11567" s="29" t="s">
        <v>26665</v>
      </c>
      <c r="B11567" s="30" t="s">
        <v>26666</v>
      </c>
      <c r="C11567" s="29" t="s">
        <v>26</v>
      </c>
      <c r="D11567" s="31">
        <v>494.8</v>
      </c>
      <c r="F11567" s="3" t="str">
        <f t="shared" si="180"/>
        <v>I4080</v>
      </c>
    </row>
    <row r="11568" spans="1:6" x14ac:dyDescent="0.2">
      <c r="A11568" s="29" t="s">
        <v>26667</v>
      </c>
      <c r="B11568" s="30" t="s">
        <v>26668</v>
      </c>
      <c r="C11568" s="29" t="s">
        <v>26</v>
      </c>
      <c r="D11568" s="31">
        <v>352.03</v>
      </c>
      <c r="F11568" s="3" t="str">
        <f t="shared" si="180"/>
        <v>I4081</v>
      </c>
    </row>
    <row r="11569" spans="1:6" x14ac:dyDescent="0.2">
      <c r="A11569" s="29" t="s">
        <v>26669</v>
      </c>
      <c r="B11569" s="30" t="s">
        <v>26670</v>
      </c>
      <c r="C11569" s="29" t="s">
        <v>26</v>
      </c>
      <c r="D11569" s="31">
        <v>352.03</v>
      </c>
      <c r="F11569" s="3" t="str">
        <f t="shared" si="180"/>
        <v>I7138</v>
      </c>
    </row>
    <row r="11570" spans="1:6" x14ac:dyDescent="0.2">
      <c r="A11570" s="29" t="s">
        <v>26671</v>
      </c>
      <c r="B11570" s="30" t="s">
        <v>26672</v>
      </c>
      <c r="C11570" s="29" t="s">
        <v>26</v>
      </c>
      <c r="D11570" s="31">
        <v>612.74</v>
      </c>
      <c r="F11570" s="3" t="str">
        <f t="shared" si="180"/>
        <v>I4083</v>
      </c>
    </row>
    <row r="11571" spans="1:6" x14ac:dyDescent="0.2">
      <c r="A11571" s="29" t="s">
        <v>26673</v>
      </c>
      <c r="B11571" s="30" t="s">
        <v>26674</v>
      </c>
      <c r="C11571" s="29" t="s">
        <v>26</v>
      </c>
      <c r="D11571" s="31">
        <v>612.74</v>
      </c>
      <c r="F11571" s="3" t="str">
        <f t="shared" si="180"/>
        <v>I7139</v>
      </c>
    </row>
    <row r="11572" spans="1:6" x14ac:dyDescent="0.2">
      <c r="A11572" s="29" t="s">
        <v>26675</v>
      </c>
      <c r="B11572" s="30" t="s">
        <v>26676</v>
      </c>
      <c r="C11572" s="29" t="s">
        <v>26</v>
      </c>
      <c r="D11572" s="31">
        <v>510.38</v>
      </c>
      <c r="F11572" s="3" t="str">
        <f t="shared" si="180"/>
        <v>I4084</v>
      </c>
    </row>
    <row r="11573" spans="1:6" x14ac:dyDescent="0.2">
      <c r="A11573" s="29" t="s">
        <v>26677</v>
      </c>
      <c r="B11573" s="30" t="s">
        <v>26678</v>
      </c>
      <c r="C11573" s="29" t="s">
        <v>26</v>
      </c>
      <c r="D11573" s="31">
        <v>946.38</v>
      </c>
      <c r="F11573" s="3" t="str">
        <f t="shared" si="180"/>
        <v>I4086</v>
      </c>
    </row>
    <row r="11574" spans="1:6" x14ac:dyDescent="0.2">
      <c r="A11574" s="29" t="s">
        <v>26679</v>
      </c>
      <c r="B11574" s="30" t="s">
        <v>26680</v>
      </c>
      <c r="C11574" s="29" t="s">
        <v>26</v>
      </c>
      <c r="D11574" s="31">
        <v>719.41</v>
      </c>
      <c r="F11574" s="3" t="str">
        <f t="shared" si="180"/>
        <v>I4087</v>
      </c>
    </row>
    <row r="11575" spans="1:6" x14ac:dyDescent="0.2">
      <c r="A11575" s="29" t="s">
        <v>26681</v>
      </c>
      <c r="B11575" s="30" t="s">
        <v>26682</v>
      </c>
      <c r="C11575" s="29" t="s">
        <v>26</v>
      </c>
      <c r="D11575" s="31">
        <v>1472.35</v>
      </c>
      <c r="F11575" s="3" t="str">
        <f t="shared" si="180"/>
        <v>I4088</v>
      </c>
    </row>
    <row r="11576" spans="1:6" x14ac:dyDescent="0.2">
      <c r="A11576" s="29" t="s">
        <v>26683</v>
      </c>
      <c r="B11576" s="30" t="s">
        <v>26684</v>
      </c>
      <c r="C11576" s="29" t="s">
        <v>26</v>
      </c>
      <c r="D11576" s="31">
        <v>1108.55</v>
      </c>
      <c r="F11576" s="3" t="str">
        <f t="shared" si="180"/>
        <v>I4089</v>
      </c>
    </row>
    <row r="11577" spans="1:6" x14ac:dyDescent="0.2">
      <c r="A11577" s="29" t="s">
        <v>26685</v>
      </c>
      <c r="B11577" s="30" t="s">
        <v>26686</v>
      </c>
      <c r="C11577" s="29" t="s">
        <v>26</v>
      </c>
      <c r="D11577" s="31">
        <v>1749.13</v>
      </c>
      <c r="F11577" s="3" t="str">
        <f t="shared" si="180"/>
        <v>I4090</v>
      </c>
    </row>
    <row r="11578" spans="1:6" x14ac:dyDescent="0.2">
      <c r="A11578" s="29" t="s">
        <v>26687</v>
      </c>
      <c r="B11578" s="30" t="s">
        <v>26688</v>
      </c>
      <c r="C11578" s="29" t="s">
        <v>26</v>
      </c>
      <c r="D11578" s="31">
        <v>2449.63</v>
      </c>
      <c r="F11578" s="3" t="str">
        <f t="shared" si="180"/>
        <v>I4091</v>
      </c>
    </row>
    <row r="11579" spans="1:6" x14ac:dyDescent="0.2">
      <c r="A11579" s="29" t="s">
        <v>26689</v>
      </c>
      <c r="B11579" s="30" t="s">
        <v>26690</v>
      </c>
      <c r="C11579" s="29" t="s">
        <v>26</v>
      </c>
      <c r="D11579" s="31">
        <v>1751.07</v>
      </c>
      <c r="F11579" s="3" t="str">
        <f t="shared" si="180"/>
        <v>I4092</v>
      </c>
    </row>
    <row r="11580" spans="1:6" x14ac:dyDescent="0.2">
      <c r="A11580" s="29" t="s">
        <v>26691</v>
      </c>
      <c r="B11580" s="30" t="s">
        <v>26692</v>
      </c>
      <c r="C11580" s="29" t="s">
        <v>26</v>
      </c>
      <c r="D11580" s="31">
        <v>2326.2600000000002</v>
      </c>
      <c r="F11580" s="3" t="str">
        <f t="shared" si="180"/>
        <v>I4093</v>
      </c>
    </row>
    <row r="11581" spans="1:6" x14ac:dyDescent="0.2">
      <c r="A11581" s="29" t="s">
        <v>26693</v>
      </c>
      <c r="B11581" s="30" t="s">
        <v>26694</v>
      </c>
      <c r="C11581" s="29" t="s">
        <v>26</v>
      </c>
      <c r="D11581" s="31">
        <v>3563.62</v>
      </c>
      <c r="F11581" s="3" t="str">
        <f t="shared" si="180"/>
        <v>I4094</v>
      </c>
    </row>
    <row r="11582" spans="1:6" x14ac:dyDescent="0.2">
      <c r="A11582" s="29" t="s">
        <v>26695</v>
      </c>
      <c r="B11582" s="30" t="s">
        <v>26696</v>
      </c>
      <c r="C11582" s="29" t="s">
        <v>26</v>
      </c>
      <c r="D11582" s="31">
        <v>3060.9</v>
      </c>
      <c r="F11582" s="3" t="str">
        <f t="shared" si="180"/>
        <v>I4095</v>
      </c>
    </row>
    <row r="11583" spans="1:6" x14ac:dyDescent="0.2">
      <c r="A11583" s="29" t="s">
        <v>26697</v>
      </c>
      <c r="B11583" s="30" t="s">
        <v>26698</v>
      </c>
      <c r="C11583" s="29" t="s">
        <v>26</v>
      </c>
      <c r="D11583" s="31">
        <v>3520.2</v>
      </c>
      <c r="F11583" s="3" t="str">
        <f t="shared" si="180"/>
        <v>I4096</v>
      </c>
    </row>
    <row r="11584" spans="1:6" x14ac:dyDescent="0.2">
      <c r="A11584" s="29" t="s">
        <v>26699</v>
      </c>
      <c r="B11584" s="30" t="s">
        <v>26700</v>
      </c>
      <c r="C11584" s="29" t="s">
        <v>26</v>
      </c>
      <c r="D11584" s="31">
        <v>3628.77</v>
      </c>
      <c r="F11584" s="3" t="str">
        <f t="shared" si="180"/>
        <v>I4097</v>
      </c>
    </row>
    <row r="11585" spans="1:6" x14ac:dyDescent="0.2">
      <c r="A11585" s="29" t="s">
        <v>26701</v>
      </c>
      <c r="B11585" s="30" t="s">
        <v>26702</v>
      </c>
      <c r="C11585" s="29" t="s">
        <v>26</v>
      </c>
      <c r="D11585" s="31">
        <v>3595.36</v>
      </c>
      <c r="F11585" s="3" t="str">
        <f t="shared" si="180"/>
        <v>I4098</v>
      </c>
    </row>
    <row r="11586" spans="1:6" x14ac:dyDescent="0.2">
      <c r="A11586" s="29" t="s">
        <v>26703</v>
      </c>
      <c r="B11586" s="30" t="s">
        <v>26704</v>
      </c>
      <c r="C11586" s="29" t="s">
        <v>26</v>
      </c>
      <c r="D11586" s="31">
        <v>4420.05</v>
      </c>
      <c r="F11586" s="3" t="str">
        <f t="shared" ref="F11586:F11649" si="181">A11586</f>
        <v>I4099</v>
      </c>
    </row>
    <row r="11587" spans="1:6" x14ac:dyDescent="0.2">
      <c r="A11587" s="29" t="s">
        <v>26705</v>
      </c>
      <c r="B11587" s="30" t="s">
        <v>26706</v>
      </c>
      <c r="C11587" s="29" t="s">
        <v>26</v>
      </c>
      <c r="D11587" s="31">
        <v>4496.3999999999996</v>
      </c>
      <c r="F11587" s="3" t="str">
        <f t="shared" si="181"/>
        <v>I4100</v>
      </c>
    </row>
    <row r="11588" spans="1:6" x14ac:dyDescent="0.2">
      <c r="A11588" s="29" t="s">
        <v>26707</v>
      </c>
      <c r="B11588" s="30" t="s">
        <v>26708</v>
      </c>
      <c r="C11588" s="29" t="s">
        <v>26</v>
      </c>
      <c r="D11588" s="31">
        <v>3699.83</v>
      </c>
      <c r="F11588" s="3" t="str">
        <f t="shared" si="181"/>
        <v>I4101</v>
      </c>
    </row>
    <row r="11589" spans="1:6" x14ac:dyDescent="0.2">
      <c r="A11589" s="29" t="s">
        <v>26709</v>
      </c>
      <c r="B11589" s="30" t="s">
        <v>26710</v>
      </c>
      <c r="C11589" s="29" t="s">
        <v>26</v>
      </c>
      <c r="D11589" s="31">
        <v>4742.1000000000004</v>
      </c>
      <c r="F11589" s="3" t="str">
        <f t="shared" si="181"/>
        <v>I4102</v>
      </c>
    </row>
    <row r="11590" spans="1:6" x14ac:dyDescent="0.2">
      <c r="A11590" s="29" t="s">
        <v>26711</v>
      </c>
      <c r="B11590" s="30" t="s">
        <v>26712</v>
      </c>
      <c r="C11590" s="29" t="s">
        <v>26</v>
      </c>
      <c r="D11590" s="31">
        <v>12465.16</v>
      </c>
      <c r="F11590" s="3" t="str">
        <f t="shared" si="181"/>
        <v>I4103</v>
      </c>
    </row>
    <row r="11591" spans="1:6" x14ac:dyDescent="0.2">
      <c r="A11591" s="29" t="s">
        <v>26713</v>
      </c>
      <c r="B11591" s="30" t="s">
        <v>26714</v>
      </c>
      <c r="C11591" s="29" t="s">
        <v>26</v>
      </c>
      <c r="D11591" s="31">
        <v>13885.28</v>
      </c>
      <c r="F11591" s="3" t="str">
        <f t="shared" si="181"/>
        <v>I4104</v>
      </c>
    </row>
    <row r="11592" spans="1:6" x14ac:dyDescent="0.2">
      <c r="A11592" s="29" t="s">
        <v>26715</v>
      </c>
      <c r="B11592" s="30" t="s">
        <v>26716</v>
      </c>
      <c r="C11592" s="29" t="s">
        <v>26</v>
      </c>
      <c r="D11592" s="31">
        <v>18946.97</v>
      </c>
      <c r="F11592" s="3" t="str">
        <f t="shared" si="181"/>
        <v>I4105</v>
      </c>
    </row>
    <row r="11593" spans="1:6" x14ac:dyDescent="0.2">
      <c r="A11593" s="29" t="s">
        <v>26717</v>
      </c>
      <c r="B11593" s="30" t="s">
        <v>26718</v>
      </c>
      <c r="C11593" s="29" t="s">
        <v>26</v>
      </c>
      <c r="D11593" s="31">
        <v>18699.080000000002</v>
      </c>
      <c r="F11593" s="3" t="str">
        <f t="shared" si="181"/>
        <v>I4106</v>
      </c>
    </row>
    <row r="11594" spans="1:6" x14ac:dyDescent="0.2">
      <c r="A11594" s="29" t="s">
        <v>26719</v>
      </c>
      <c r="B11594" s="30" t="s">
        <v>26720</v>
      </c>
      <c r="C11594" s="29" t="s">
        <v>26</v>
      </c>
      <c r="D11594" s="31">
        <v>18900.73</v>
      </c>
      <c r="F11594" s="3" t="str">
        <f t="shared" si="181"/>
        <v>I4107</v>
      </c>
    </row>
    <row r="11595" spans="1:6" x14ac:dyDescent="0.2">
      <c r="A11595" s="29" t="s">
        <v>26721</v>
      </c>
      <c r="B11595" s="30" t="s">
        <v>26722</v>
      </c>
      <c r="C11595" s="29" t="s">
        <v>26</v>
      </c>
      <c r="D11595" s="31">
        <v>23852.32</v>
      </c>
      <c r="F11595" s="3" t="str">
        <f t="shared" si="181"/>
        <v>I4108</v>
      </c>
    </row>
    <row r="11596" spans="1:6" x14ac:dyDescent="0.2">
      <c r="A11596" s="29" t="s">
        <v>26723</v>
      </c>
      <c r="B11596" s="30" t="s">
        <v>26724</v>
      </c>
      <c r="C11596" s="29" t="s">
        <v>26</v>
      </c>
      <c r="D11596" s="31">
        <v>25764.43</v>
      </c>
      <c r="F11596" s="3" t="str">
        <f t="shared" si="181"/>
        <v>I4109</v>
      </c>
    </row>
    <row r="11597" spans="1:6" x14ac:dyDescent="0.2">
      <c r="A11597" s="29" t="s">
        <v>26725</v>
      </c>
      <c r="B11597" s="30" t="s">
        <v>26726</v>
      </c>
      <c r="C11597" s="29" t="s">
        <v>26</v>
      </c>
      <c r="D11597" s="31">
        <v>29072.06</v>
      </c>
      <c r="F11597" s="3" t="str">
        <f t="shared" si="181"/>
        <v>I4110</v>
      </c>
    </row>
    <row r="11598" spans="1:6" x14ac:dyDescent="0.2">
      <c r="A11598" s="29" t="s">
        <v>26727</v>
      </c>
      <c r="B11598" s="30" t="s">
        <v>26728</v>
      </c>
      <c r="C11598" s="29" t="s">
        <v>26</v>
      </c>
      <c r="D11598" s="31">
        <v>512.92999999999995</v>
      </c>
      <c r="F11598" s="3" t="str">
        <f t="shared" si="181"/>
        <v>I11184</v>
      </c>
    </row>
    <row r="11599" spans="1:6" x14ac:dyDescent="0.2">
      <c r="A11599" s="29" t="s">
        <v>26729</v>
      </c>
      <c r="B11599" s="30" t="s">
        <v>26730</v>
      </c>
      <c r="C11599" s="29" t="s">
        <v>26</v>
      </c>
      <c r="D11599" s="31">
        <v>390.14</v>
      </c>
      <c r="F11599" s="3" t="str">
        <f t="shared" si="181"/>
        <v>I11185</v>
      </c>
    </row>
    <row r="11600" spans="1:6" x14ac:dyDescent="0.2">
      <c r="A11600" s="29" t="s">
        <v>26731</v>
      </c>
      <c r="B11600" s="30" t="s">
        <v>26732</v>
      </c>
      <c r="C11600" s="29" t="s">
        <v>26</v>
      </c>
      <c r="D11600" s="31">
        <v>390.14</v>
      </c>
      <c r="F11600" s="3" t="str">
        <f t="shared" si="181"/>
        <v>I11186</v>
      </c>
    </row>
    <row r="11601" spans="1:6" x14ac:dyDescent="0.2">
      <c r="A11601" s="29" t="s">
        <v>26733</v>
      </c>
      <c r="B11601" s="30" t="s">
        <v>26734</v>
      </c>
      <c r="C11601" s="29" t="s">
        <v>26</v>
      </c>
      <c r="D11601" s="31">
        <v>44450.54</v>
      </c>
      <c r="F11601" s="3" t="str">
        <f t="shared" si="181"/>
        <v>I4111</v>
      </c>
    </row>
    <row r="11602" spans="1:6" x14ac:dyDescent="0.2">
      <c r="A11602" s="29" t="s">
        <v>26735</v>
      </c>
      <c r="B11602" s="30" t="s">
        <v>26736</v>
      </c>
      <c r="C11602" s="29" t="s">
        <v>26</v>
      </c>
      <c r="D11602" s="31">
        <v>26074.45</v>
      </c>
      <c r="F11602" s="3" t="str">
        <f t="shared" si="181"/>
        <v>I11136</v>
      </c>
    </row>
    <row r="11603" spans="1:6" x14ac:dyDescent="0.2">
      <c r="A11603" s="29" t="s">
        <v>26737</v>
      </c>
      <c r="B11603" s="30" t="s">
        <v>26738</v>
      </c>
      <c r="C11603" s="29" t="s">
        <v>26</v>
      </c>
      <c r="D11603" s="31">
        <v>28681.89</v>
      </c>
      <c r="F11603" s="3" t="str">
        <f t="shared" si="181"/>
        <v>I11179</v>
      </c>
    </row>
    <row r="11604" spans="1:6" x14ac:dyDescent="0.2">
      <c r="A11604" s="29" t="s">
        <v>26739</v>
      </c>
      <c r="B11604" s="30" t="s">
        <v>26740</v>
      </c>
      <c r="C11604" s="29" t="s">
        <v>26</v>
      </c>
      <c r="D11604" s="31">
        <v>31289.33</v>
      </c>
      <c r="F11604" s="3" t="str">
        <f t="shared" si="181"/>
        <v>I11234</v>
      </c>
    </row>
    <row r="11605" spans="1:6" x14ac:dyDescent="0.2">
      <c r="A11605" s="29" t="s">
        <v>26741</v>
      </c>
      <c r="B11605" s="30" t="s">
        <v>26742</v>
      </c>
      <c r="C11605" s="29" t="s">
        <v>26</v>
      </c>
      <c r="D11605" s="31">
        <v>45729.16</v>
      </c>
      <c r="F11605" s="3" t="str">
        <f t="shared" si="181"/>
        <v>I11180</v>
      </c>
    </row>
    <row r="11606" spans="1:6" x14ac:dyDescent="0.2">
      <c r="A11606" s="29" t="s">
        <v>26743</v>
      </c>
      <c r="B11606" s="30" t="s">
        <v>26744</v>
      </c>
      <c r="C11606" s="29" t="s">
        <v>26</v>
      </c>
      <c r="D11606" s="31">
        <v>47952.3</v>
      </c>
      <c r="F11606" s="3" t="str">
        <f t="shared" si="181"/>
        <v>I11235</v>
      </c>
    </row>
    <row r="11607" spans="1:6" x14ac:dyDescent="0.2">
      <c r="A11607" s="29" t="s">
        <v>26745</v>
      </c>
      <c r="B11607" s="30" t="s">
        <v>26746</v>
      </c>
      <c r="C11607" s="29" t="s">
        <v>26</v>
      </c>
      <c r="D11607" s="31">
        <v>61477.06</v>
      </c>
      <c r="F11607" s="3" t="str">
        <f t="shared" si="181"/>
        <v>I4112</v>
      </c>
    </row>
    <row r="11608" spans="1:6" x14ac:dyDescent="0.2">
      <c r="A11608" s="29" t="s">
        <v>26747</v>
      </c>
      <c r="B11608" s="30" t="s">
        <v>26748</v>
      </c>
      <c r="C11608" s="29" t="s">
        <v>26</v>
      </c>
      <c r="D11608" s="31">
        <v>67907.149999999994</v>
      </c>
      <c r="F11608" s="3" t="str">
        <f t="shared" si="181"/>
        <v>I11182</v>
      </c>
    </row>
    <row r="11609" spans="1:6" x14ac:dyDescent="0.2">
      <c r="A11609" s="29" t="s">
        <v>26749</v>
      </c>
      <c r="B11609" s="30" t="s">
        <v>26750</v>
      </c>
      <c r="C11609" s="29" t="s">
        <v>26</v>
      </c>
      <c r="D11609" s="31">
        <v>69978.73</v>
      </c>
      <c r="F11609" s="3" t="str">
        <f t="shared" si="181"/>
        <v>I11236</v>
      </c>
    </row>
    <row r="11610" spans="1:6" x14ac:dyDescent="0.2">
      <c r="A11610" s="29" t="s">
        <v>26751</v>
      </c>
      <c r="B11610" s="30" t="s">
        <v>26752</v>
      </c>
      <c r="C11610" s="29" t="s">
        <v>26</v>
      </c>
      <c r="D11610" s="31">
        <v>72516.3</v>
      </c>
      <c r="F11610" s="3" t="str">
        <f t="shared" si="181"/>
        <v>I11181</v>
      </c>
    </row>
    <row r="11611" spans="1:6" x14ac:dyDescent="0.2">
      <c r="A11611" s="29" t="s">
        <v>26753</v>
      </c>
      <c r="B11611" s="30" t="s">
        <v>26754</v>
      </c>
      <c r="C11611" s="29" t="s">
        <v>26</v>
      </c>
      <c r="D11611" s="31">
        <v>589.6</v>
      </c>
      <c r="F11611" s="3" t="str">
        <f t="shared" si="181"/>
        <v>I11189</v>
      </c>
    </row>
    <row r="11612" spans="1:6" x14ac:dyDescent="0.2">
      <c r="A11612" s="29" t="s">
        <v>26755</v>
      </c>
      <c r="B11612" s="30" t="s">
        <v>26756</v>
      </c>
      <c r="C11612" s="29" t="s">
        <v>26</v>
      </c>
      <c r="D11612" s="31">
        <v>822.81</v>
      </c>
      <c r="F11612" s="3" t="str">
        <f t="shared" si="181"/>
        <v>I11121</v>
      </c>
    </row>
    <row r="11613" spans="1:6" x14ac:dyDescent="0.2">
      <c r="A11613" s="29" t="s">
        <v>26757</v>
      </c>
      <c r="B11613" s="30" t="s">
        <v>26758</v>
      </c>
      <c r="C11613" s="29" t="s">
        <v>26</v>
      </c>
      <c r="D11613" s="31">
        <v>987.38</v>
      </c>
      <c r="F11613" s="3" t="str">
        <f t="shared" si="181"/>
        <v>I11190</v>
      </c>
    </row>
    <row r="11614" spans="1:6" x14ac:dyDescent="0.2">
      <c r="A11614" s="29" t="s">
        <v>26759</v>
      </c>
      <c r="B11614" s="30" t="s">
        <v>26760</v>
      </c>
      <c r="C11614" s="29" t="s">
        <v>26</v>
      </c>
      <c r="D11614" s="31">
        <v>612.74</v>
      </c>
      <c r="F11614" s="3" t="str">
        <f t="shared" si="181"/>
        <v>I11120</v>
      </c>
    </row>
    <row r="11615" spans="1:6" x14ac:dyDescent="0.2">
      <c r="A11615" s="29" t="s">
        <v>26761</v>
      </c>
      <c r="B11615" s="30" t="s">
        <v>26762</v>
      </c>
      <c r="C11615" s="29" t="s">
        <v>26</v>
      </c>
      <c r="D11615" s="31">
        <v>669.25</v>
      </c>
      <c r="F11615" s="3" t="str">
        <f t="shared" si="181"/>
        <v>I11187</v>
      </c>
    </row>
    <row r="11616" spans="1:6" x14ac:dyDescent="0.2">
      <c r="A11616" s="29" t="s">
        <v>26763</v>
      </c>
      <c r="B11616" s="30" t="s">
        <v>26764</v>
      </c>
      <c r="C11616" s="29" t="s">
        <v>26</v>
      </c>
      <c r="D11616" s="31">
        <v>669.25</v>
      </c>
      <c r="F11616" s="3" t="str">
        <f t="shared" si="181"/>
        <v>I11188</v>
      </c>
    </row>
    <row r="11617" spans="1:6" x14ac:dyDescent="0.2">
      <c r="A11617" s="29" t="s">
        <v>26765</v>
      </c>
      <c r="B11617" s="30" t="s">
        <v>26766</v>
      </c>
      <c r="C11617" s="29" t="s">
        <v>26</v>
      </c>
      <c r="D11617" s="31">
        <v>875.79</v>
      </c>
      <c r="F11617" s="3" t="str">
        <f t="shared" si="181"/>
        <v>I11138</v>
      </c>
    </row>
    <row r="11618" spans="1:6" x14ac:dyDescent="0.2">
      <c r="A11618" s="29" t="s">
        <v>26767</v>
      </c>
      <c r="B11618" s="30" t="s">
        <v>26768</v>
      </c>
      <c r="C11618" s="29" t="s">
        <v>26</v>
      </c>
      <c r="D11618" s="31">
        <v>1152.29</v>
      </c>
      <c r="F11618" s="3" t="str">
        <f t="shared" si="181"/>
        <v>I11192</v>
      </c>
    </row>
    <row r="11619" spans="1:6" x14ac:dyDescent="0.2">
      <c r="A11619" s="29" t="s">
        <v>26769</v>
      </c>
      <c r="B11619" s="30" t="s">
        <v>26770</v>
      </c>
      <c r="C11619" s="29" t="s">
        <v>26</v>
      </c>
      <c r="D11619" s="31">
        <v>832.89</v>
      </c>
      <c r="F11619" s="3" t="str">
        <f t="shared" si="181"/>
        <v>I11123</v>
      </c>
    </row>
    <row r="11620" spans="1:6" x14ac:dyDescent="0.2">
      <c r="A11620" s="29" t="s">
        <v>26771</v>
      </c>
      <c r="B11620" s="30" t="s">
        <v>26772</v>
      </c>
      <c r="C11620" s="29" t="s">
        <v>26</v>
      </c>
      <c r="D11620" s="31">
        <v>794.76</v>
      </c>
      <c r="F11620" s="3" t="str">
        <f t="shared" si="181"/>
        <v>I11139</v>
      </c>
    </row>
    <row r="11621" spans="1:6" x14ac:dyDescent="0.2">
      <c r="A11621" s="29" t="s">
        <v>26773</v>
      </c>
      <c r="B11621" s="30" t="s">
        <v>26774</v>
      </c>
      <c r="C11621" s="29" t="s">
        <v>26</v>
      </c>
      <c r="D11621" s="31">
        <v>861.7</v>
      </c>
      <c r="F11621" s="3" t="str">
        <f t="shared" si="181"/>
        <v>I11193</v>
      </c>
    </row>
    <row r="11622" spans="1:6" x14ac:dyDescent="0.2">
      <c r="A11622" s="29" t="s">
        <v>26775</v>
      </c>
      <c r="B11622" s="30" t="s">
        <v>26776</v>
      </c>
      <c r="C11622" s="29" t="s">
        <v>26</v>
      </c>
      <c r="D11622" s="31">
        <v>713.73</v>
      </c>
      <c r="F11622" s="3" t="str">
        <f t="shared" si="181"/>
        <v>I11140</v>
      </c>
    </row>
    <row r="11623" spans="1:6" x14ac:dyDescent="0.2">
      <c r="A11623" s="29" t="s">
        <v>26777</v>
      </c>
      <c r="B11623" s="30" t="s">
        <v>26778</v>
      </c>
      <c r="C11623" s="29" t="s">
        <v>26</v>
      </c>
      <c r="D11623" s="31">
        <v>861.7</v>
      </c>
      <c r="F11623" s="3" t="str">
        <f t="shared" si="181"/>
        <v>I11194</v>
      </c>
    </row>
    <row r="11624" spans="1:6" x14ac:dyDescent="0.2">
      <c r="A11624" s="29" t="s">
        <v>26779</v>
      </c>
      <c r="B11624" s="30" t="s">
        <v>26780</v>
      </c>
      <c r="C11624" s="29" t="s">
        <v>26</v>
      </c>
      <c r="D11624" s="31">
        <v>875.53</v>
      </c>
      <c r="F11624" s="3" t="str">
        <f t="shared" si="181"/>
        <v>I11122</v>
      </c>
    </row>
    <row r="11625" spans="1:6" x14ac:dyDescent="0.2">
      <c r="A11625" s="29" t="s">
        <v>26781</v>
      </c>
      <c r="B11625" s="30" t="s">
        <v>26782</v>
      </c>
      <c r="C11625" s="29" t="s">
        <v>26</v>
      </c>
      <c r="D11625" s="31">
        <v>875.79</v>
      </c>
      <c r="F11625" s="3" t="str">
        <f t="shared" si="181"/>
        <v>I11137</v>
      </c>
    </row>
    <row r="11626" spans="1:6" x14ac:dyDescent="0.2">
      <c r="A11626" s="29" t="s">
        <v>26783</v>
      </c>
      <c r="B11626" s="30" t="s">
        <v>26784</v>
      </c>
      <c r="C11626" s="29" t="s">
        <v>26</v>
      </c>
      <c r="D11626" s="31">
        <v>1152.29</v>
      </c>
      <c r="F11626" s="3" t="str">
        <f t="shared" si="181"/>
        <v>I11191</v>
      </c>
    </row>
    <row r="11627" spans="1:6" x14ac:dyDescent="0.2">
      <c r="A11627" s="29" t="s">
        <v>26785</v>
      </c>
      <c r="B11627" s="30" t="s">
        <v>26786</v>
      </c>
      <c r="C11627" s="29" t="s">
        <v>26</v>
      </c>
      <c r="D11627" s="31">
        <v>1555.48</v>
      </c>
      <c r="F11627" s="3" t="str">
        <f t="shared" si="181"/>
        <v>I11142</v>
      </c>
    </row>
    <row r="11628" spans="1:6" x14ac:dyDescent="0.2">
      <c r="A11628" s="29" t="s">
        <v>26787</v>
      </c>
      <c r="B11628" s="30" t="s">
        <v>26788</v>
      </c>
      <c r="C11628" s="29" t="s">
        <v>26</v>
      </c>
      <c r="D11628" s="31">
        <v>1503.62</v>
      </c>
      <c r="F11628" s="3" t="str">
        <f t="shared" si="181"/>
        <v>I11141</v>
      </c>
    </row>
    <row r="11629" spans="1:6" x14ac:dyDescent="0.2">
      <c r="A11629" s="29" t="s">
        <v>26789</v>
      </c>
      <c r="B11629" s="30" t="s">
        <v>26790</v>
      </c>
      <c r="C11629" s="29" t="s">
        <v>26</v>
      </c>
      <c r="D11629" s="31">
        <v>1696.89</v>
      </c>
      <c r="F11629" s="3" t="str">
        <f t="shared" si="181"/>
        <v>I11196</v>
      </c>
    </row>
    <row r="11630" spans="1:6" x14ac:dyDescent="0.2">
      <c r="A11630" s="29" t="s">
        <v>26791</v>
      </c>
      <c r="B11630" s="30" t="s">
        <v>26792</v>
      </c>
      <c r="C11630" s="29" t="s">
        <v>26</v>
      </c>
      <c r="D11630" s="31">
        <v>2224.73</v>
      </c>
      <c r="F11630" s="3" t="str">
        <f t="shared" si="181"/>
        <v>I11124</v>
      </c>
    </row>
    <row r="11631" spans="1:6" x14ac:dyDescent="0.2">
      <c r="A11631" s="29" t="s">
        <v>26793</v>
      </c>
      <c r="B11631" s="30" t="s">
        <v>26794</v>
      </c>
      <c r="C11631" s="29" t="s">
        <v>26</v>
      </c>
      <c r="D11631" s="31">
        <v>2447.1999999999998</v>
      </c>
      <c r="F11631" s="3" t="str">
        <f t="shared" si="181"/>
        <v>I11143</v>
      </c>
    </row>
    <row r="11632" spans="1:6" x14ac:dyDescent="0.2">
      <c r="A11632" s="29" t="s">
        <v>26795</v>
      </c>
      <c r="B11632" s="30" t="s">
        <v>26796</v>
      </c>
      <c r="C11632" s="29" t="s">
        <v>26</v>
      </c>
      <c r="D11632" s="31">
        <v>2669.67</v>
      </c>
      <c r="F11632" s="3" t="str">
        <f t="shared" si="181"/>
        <v>I11197</v>
      </c>
    </row>
    <row r="11633" spans="1:6" x14ac:dyDescent="0.2">
      <c r="A11633" s="29" t="s">
        <v>26797</v>
      </c>
      <c r="B11633" s="30" t="s">
        <v>26798</v>
      </c>
      <c r="C11633" s="29" t="s">
        <v>26</v>
      </c>
      <c r="D11633" s="31">
        <v>1532.14</v>
      </c>
      <c r="F11633" s="3" t="str">
        <f t="shared" si="181"/>
        <v>I11144</v>
      </c>
    </row>
    <row r="11634" spans="1:6" x14ac:dyDescent="0.2">
      <c r="A11634" s="29" t="s">
        <v>26799</v>
      </c>
      <c r="B11634" s="30" t="s">
        <v>26800</v>
      </c>
      <c r="C11634" s="29" t="s">
        <v>26</v>
      </c>
      <c r="D11634" s="31">
        <v>1654.28</v>
      </c>
      <c r="F11634" s="3" t="str">
        <f t="shared" si="181"/>
        <v>I11198</v>
      </c>
    </row>
    <row r="11635" spans="1:6" x14ac:dyDescent="0.2">
      <c r="A11635" s="29" t="s">
        <v>26801</v>
      </c>
      <c r="B11635" s="30" t="s">
        <v>26802</v>
      </c>
      <c r="C11635" s="29" t="s">
        <v>26</v>
      </c>
      <c r="D11635" s="31">
        <v>1066.68</v>
      </c>
      <c r="F11635" s="3" t="str">
        <f t="shared" si="181"/>
        <v>I11145</v>
      </c>
    </row>
    <row r="11636" spans="1:6" x14ac:dyDescent="0.2">
      <c r="A11636" s="29" t="s">
        <v>26803</v>
      </c>
      <c r="B11636" s="30" t="s">
        <v>26804</v>
      </c>
      <c r="C11636" s="29" t="s">
        <v>26</v>
      </c>
      <c r="D11636" s="31">
        <v>1443.72</v>
      </c>
      <c r="F11636" s="3" t="str">
        <f t="shared" si="181"/>
        <v>I11199</v>
      </c>
    </row>
    <row r="11637" spans="1:6" x14ac:dyDescent="0.2">
      <c r="A11637" s="29" t="s">
        <v>26805</v>
      </c>
      <c r="B11637" s="30" t="s">
        <v>26806</v>
      </c>
      <c r="C11637" s="29" t="s">
        <v>26</v>
      </c>
      <c r="D11637" s="31">
        <v>1640.31</v>
      </c>
      <c r="F11637" s="3" t="str">
        <f t="shared" si="181"/>
        <v>I11195</v>
      </c>
    </row>
    <row r="11638" spans="1:6" x14ac:dyDescent="0.2">
      <c r="A11638" s="29" t="s">
        <v>26807</v>
      </c>
      <c r="B11638" s="30" t="s">
        <v>26808</v>
      </c>
      <c r="C11638" s="29" t="s">
        <v>26</v>
      </c>
      <c r="D11638" s="31">
        <v>2073.9699999999998</v>
      </c>
      <c r="F11638" s="3" t="str">
        <f t="shared" si="181"/>
        <v>I11125</v>
      </c>
    </row>
    <row r="11639" spans="1:6" x14ac:dyDescent="0.2">
      <c r="A11639" s="29" t="s">
        <v>26809</v>
      </c>
      <c r="B11639" s="30" t="s">
        <v>26810</v>
      </c>
      <c r="C11639" s="29" t="s">
        <v>26</v>
      </c>
      <c r="D11639" s="31">
        <v>2281.37</v>
      </c>
      <c r="F11639" s="3" t="str">
        <f t="shared" si="181"/>
        <v>I11146</v>
      </c>
    </row>
    <row r="11640" spans="1:6" x14ac:dyDescent="0.2">
      <c r="A11640" s="29" t="s">
        <v>26811</v>
      </c>
      <c r="B11640" s="30" t="s">
        <v>26812</v>
      </c>
      <c r="C11640" s="29" t="s">
        <v>26</v>
      </c>
      <c r="D11640" s="31">
        <v>3063.82</v>
      </c>
      <c r="F11640" s="3" t="str">
        <f t="shared" si="181"/>
        <v>I11126</v>
      </c>
    </row>
    <row r="11641" spans="1:6" x14ac:dyDescent="0.2">
      <c r="A11641" s="29" t="s">
        <v>26813</v>
      </c>
      <c r="B11641" s="30" t="s">
        <v>26814</v>
      </c>
      <c r="C11641" s="29" t="s">
        <v>26</v>
      </c>
      <c r="D11641" s="31">
        <v>3370.2</v>
      </c>
      <c r="F11641" s="3" t="str">
        <f t="shared" si="181"/>
        <v>I11147</v>
      </c>
    </row>
    <row r="11642" spans="1:6" x14ac:dyDescent="0.2">
      <c r="A11642" s="29" t="s">
        <v>26815</v>
      </c>
      <c r="B11642" s="30" t="s">
        <v>26816</v>
      </c>
      <c r="C11642" s="29" t="s">
        <v>26</v>
      </c>
      <c r="D11642" s="31">
        <v>2488.77</v>
      </c>
      <c r="F11642" s="3" t="str">
        <f t="shared" si="181"/>
        <v>I11201</v>
      </c>
    </row>
    <row r="11643" spans="1:6" x14ac:dyDescent="0.2">
      <c r="A11643" s="29" t="s">
        <v>26817</v>
      </c>
      <c r="B11643" s="30" t="s">
        <v>26818</v>
      </c>
      <c r="C11643" s="29" t="s">
        <v>26</v>
      </c>
      <c r="D11643" s="31">
        <v>3676.58</v>
      </c>
      <c r="F11643" s="3" t="str">
        <f t="shared" si="181"/>
        <v>I11202</v>
      </c>
    </row>
    <row r="11644" spans="1:6" x14ac:dyDescent="0.2">
      <c r="A11644" s="29" t="s">
        <v>26819</v>
      </c>
      <c r="B11644" s="30" t="s">
        <v>26820</v>
      </c>
      <c r="C11644" s="29" t="s">
        <v>26</v>
      </c>
      <c r="D11644" s="31">
        <v>1810.97</v>
      </c>
      <c r="F11644" s="3" t="str">
        <f t="shared" si="181"/>
        <v>I11148</v>
      </c>
    </row>
    <row r="11645" spans="1:6" x14ac:dyDescent="0.2">
      <c r="A11645" s="29" t="s">
        <v>26821</v>
      </c>
      <c r="B11645" s="30" t="s">
        <v>26822</v>
      </c>
      <c r="C11645" s="29" t="s">
        <v>26</v>
      </c>
      <c r="D11645" s="31">
        <v>1953.69</v>
      </c>
      <c r="F11645" s="3" t="str">
        <f t="shared" si="181"/>
        <v>I11203</v>
      </c>
    </row>
    <row r="11646" spans="1:6" x14ac:dyDescent="0.2">
      <c r="A11646" s="29" t="s">
        <v>26823</v>
      </c>
      <c r="B11646" s="30" t="s">
        <v>26824</v>
      </c>
      <c r="C11646" s="29" t="s">
        <v>26</v>
      </c>
      <c r="D11646" s="31">
        <v>1820.44</v>
      </c>
      <c r="F11646" s="3" t="str">
        <f t="shared" si="181"/>
        <v>I11149</v>
      </c>
    </row>
    <row r="11647" spans="1:6" x14ac:dyDescent="0.2">
      <c r="A11647" s="29" t="s">
        <v>26825</v>
      </c>
      <c r="B11647" s="30" t="s">
        <v>26826</v>
      </c>
      <c r="C11647" s="29" t="s">
        <v>26</v>
      </c>
      <c r="D11647" s="31">
        <v>3155</v>
      </c>
      <c r="F11647" s="3" t="str">
        <f t="shared" si="181"/>
        <v>I11204</v>
      </c>
    </row>
    <row r="11648" spans="1:6" x14ac:dyDescent="0.2">
      <c r="A11648" s="29" t="s">
        <v>26827</v>
      </c>
      <c r="B11648" s="30" t="s">
        <v>26828</v>
      </c>
      <c r="C11648" s="29" t="s">
        <v>26</v>
      </c>
      <c r="D11648" s="31">
        <v>1744.47</v>
      </c>
      <c r="F11648" s="3" t="str">
        <f t="shared" si="181"/>
        <v>I11150</v>
      </c>
    </row>
    <row r="11649" spans="1:6" x14ac:dyDescent="0.2">
      <c r="A11649" s="29" t="s">
        <v>26829</v>
      </c>
      <c r="B11649" s="30" t="s">
        <v>26830</v>
      </c>
      <c r="C11649" s="29" t="s">
        <v>26</v>
      </c>
      <c r="D11649" s="31">
        <v>2080.12</v>
      </c>
      <c r="F11649" s="3" t="str">
        <f t="shared" si="181"/>
        <v>I11205</v>
      </c>
    </row>
    <row r="11650" spans="1:6" x14ac:dyDescent="0.2">
      <c r="A11650" s="29" t="s">
        <v>26831</v>
      </c>
      <c r="B11650" s="30" t="s">
        <v>26832</v>
      </c>
      <c r="C11650" s="29" t="s">
        <v>26</v>
      </c>
      <c r="D11650" s="31">
        <v>2733.87</v>
      </c>
      <c r="F11650" s="3" t="str">
        <f t="shared" ref="F11650:F11713" si="182">A11650</f>
        <v>I11200</v>
      </c>
    </row>
    <row r="11651" spans="1:6" x14ac:dyDescent="0.2">
      <c r="A11651" s="29" t="s">
        <v>26833</v>
      </c>
      <c r="B11651" s="30" t="s">
        <v>26834</v>
      </c>
      <c r="C11651" s="29" t="s">
        <v>26</v>
      </c>
      <c r="D11651" s="31">
        <v>2038.66</v>
      </c>
      <c r="F11651" s="3" t="str">
        <f t="shared" si="182"/>
        <v>I11127</v>
      </c>
    </row>
    <row r="11652" spans="1:6" x14ac:dyDescent="0.2">
      <c r="A11652" s="29" t="s">
        <v>26835</v>
      </c>
      <c r="B11652" s="30" t="s">
        <v>26836</v>
      </c>
      <c r="C11652" s="29" t="s">
        <v>26</v>
      </c>
      <c r="D11652" s="31">
        <v>4859.2</v>
      </c>
      <c r="F11652" s="3" t="str">
        <f t="shared" si="182"/>
        <v>I11151</v>
      </c>
    </row>
    <row r="11653" spans="1:6" x14ac:dyDescent="0.2">
      <c r="A11653" s="29" t="s">
        <v>26837</v>
      </c>
      <c r="B11653" s="30" t="s">
        <v>26838</v>
      </c>
      <c r="C11653" s="29" t="s">
        <v>26</v>
      </c>
      <c r="D11653" s="31">
        <v>5300.94</v>
      </c>
      <c r="F11653" s="3" t="str">
        <f t="shared" si="182"/>
        <v>I11206</v>
      </c>
    </row>
    <row r="11654" spans="1:6" x14ac:dyDescent="0.2">
      <c r="A11654" s="29" t="s">
        <v>26839</v>
      </c>
      <c r="B11654" s="30" t="s">
        <v>26840</v>
      </c>
      <c r="C11654" s="29" t="s">
        <v>26</v>
      </c>
      <c r="D11654" s="31">
        <v>2946.58</v>
      </c>
      <c r="F11654" s="3" t="str">
        <f t="shared" si="182"/>
        <v>I11152</v>
      </c>
    </row>
    <row r="11655" spans="1:6" x14ac:dyDescent="0.2">
      <c r="A11655" s="29" t="s">
        <v>26841</v>
      </c>
      <c r="B11655" s="30" t="s">
        <v>26842</v>
      </c>
      <c r="C11655" s="29" t="s">
        <v>26</v>
      </c>
      <c r="D11655" s="31">
        <v>3480.76</v>
      </c>
      <c r="F11655" s="3" t="str">
        <f t="shared" si="182"/>
        <v>I11207</v>
      </c>
    </row>
    <row r="11656" spans="1:6" x14ac:dyDescent="0.2">
      <c r="A11656" s="29" t="s">
        <v>26843</v>
      </c>
      <c r="B11656" s="30" t="s">
        <v>26844</v>
      </c>
      <c r="C11656" s="29" t="s">
        <v>26</v>
      </c>
      <c r="D11656" s="31">
        <v>3578.65</v>
      </c>
      <c r="F11656" s="3" t="str">
        <f t="shared" si="182"/>
        <v>I11153</v>
      </c>
    </row>
    <row r="11657" spans="1:6" x14ac:dyDescent="0.2">
      <c r="A11657" s="29" t="s">
        <v>26845</v>
      </c>
      <c r="B11657" s="30" t="s">
        <v>26846</v>
      </c>
      <c r="C11657" s="29" t="s">
        <v>26</v>
      </c>
      <c r="D11657" s="31">
        <v>3488.95</v>
      </c>
      <c r="F11657" s="3" t="str">
        <f t="shared" si="182"/>
        <v>I11208</v>
      </c>
    </row>
    <row r="11658" spans="1:6" x14ac:dyDescent="0.2">
      <c r="A11658" s="29" t="s">
        <v>26847</v>
      </c>
      <c r="B11658" s="30" t="s">
        <v>26848</v>
      </c>
      <c r="C11658" s="29" t="s">
        <v>26</v>
      </c>
      <c r="D11658" s="31">
        <v>3145.11</v>
      </c>
      <c r="F11658" s="3" t="str">
        <f t="shared" si="182"/>
        <v>I11154</v>
      </c>
    </row>
    <row r="11659" spans="1:6" x14ac:dyDescent="0.2">
      <c r="A11659" s="29" t="s">
        <v>26849</v>
      </c>
      <c r="B11659" s="30" t="s">
        <v>26850</v>
      </c>
      <c r="C11659" s="29" t="s">
        <v>26</v>
      </c>
      <c r="D11659" s="31">
        <v>3158.55</v>
      </c>
      <c r="F11659" s="3" t="str">
        <f t="shared" si="182"/>
        <v>I11209</v>
      </c>
    </row>
    <row r="11660" spans="1:6" x14ac:dyDescent="0.2">
      <c r="A11660" s="29" t="s">
        <v>26851</v>
      </c>
      <c r="B11660" s="30" t="s">
        <v>26852</v>
      </c>
      <c r="C11660" s="29" t="s">
        <v>26</v>
      </c>
      <c r="D11660" s="31">
        <v>3761.59</v>
      </c>
      <c r="F11660" s="3" t="str">
        <f t="shared" si="182"/>
        <v>I11155</v>
      </c>
    </row>
    <row r="11661" spans="1:6" x14ac:dyDescent="0.2">
      <c r="A11661" s="29" t="s">
        <v>26853</v>
      </c>
      <c r="B11661" s="30" t="s">
        <v>26854</v>
      </c>
      <c r="C11661" s="29" t="s">
        <v>26</v>
      </c>
      <c r="D11661" s="31">
        <v>4103.5600000000004</v>
      </c>
      <c r="F11661" s="3" t="str">
        <f t="shared" si="182"/>
        <v>I11210</v>
      </c>
    </row>
    <row r="11662" spans="1:6" x14ac:dyDescent="0.2">
      <c r="A11662" s="29" t="s">
        <v>26855</v>
      </c>
      <c r="B11662" s="30" t="s">
        <v>26856</v>
      </c>
      <c r="C11662" s="29" t="s">
        <v>26</v>
      </c>
      <c r="D11662" s="31">
        <v>3422.51</v>
      </c>
      <c r="F11662" s="3" t="str">
        <f t="shared" si="182"/>
        <v>I11156</v>
      </c>
    </row>
    <row r="11663" spans="1:6" x14ac:dyDescent="0.2">
      <c r="A11663" s="29" t="s">
        <v>26857</v>
      </c>
      <c r="B11663" s="30" t="s">
        <v>26858</v>
      </c>
      <c r="C11663" s="29" t="s">
        <v>26</v>
      </c>
      <c r="D11663" s="31">
        <v>3858.5</v>
      </c>
      <c r="F11663" s="3" t="str">
        <f t="shared" si="182"/>
        <v>I11211</v>
      </c>
    </row>
    <row r="11664" spans="1:6" x14ac:dyDescent="0.2">
      <c r="A11664" s="29" t="s">
        <v>26859</v>
      </c>
      <c r="B11664" s="30" t="s">
        <v>26860</v>
      </c>
      <c r="C11664" s="29" t="s">
        <v>26</v>
      </c>
      <c r="D11664" s="31">
        <v>3442.75</v>
      </c>
      <c r="F11664" s="3" t="str">
        <f t="shared" si="182"/>
        <v>I11157</v>
      </c>
    </row>
    <row r="11665" spans="1:6" x14ac:dyDescent="0.2">
      <c r="A11665" s="29" t="s">
        <v>26861</v>
      </c>
      <c r="B11665" s="30" t="s">
        <v>26862</v>
      </c>
      <c r="C11665" s="29" t="s">
        <v>26</v>
      </c>
      <c r="D11665" s="31">
        <v>3930.63</v>
      </c>
      <c r="F11665" s="3" t="str">
        <f t="shared" si="182"/>
        <v>I11212</v>
      </c>
    </row>
    <row r="11666" spans="1:6" x14ac:dyDescent="0.2">
      <c r="A11666" s="29" t="s">
        <v>26863</v>
      </c>
      <c r="B11666" s="30" t="s">
        <v>26864</v>
      </c>
      <c r="C11666" s="29" t="s">
        <v>26</v>
      </c>
      <c r="D11666" s="31">
        <v>3535.35</v>
      </c>
      <c r="F11666" s="3" t="str">
        <f t="shared" si="182"/>
        <v>I11158</v>
      </c>
    </row>
    <row r="11667" spans="1:6" x14ac:dyDescent="0.2">
      <c r="A11667" s="29" t="s">
        <v>26865</v>
      </c>
      <c r="B11667" s="30" t="s">
        <v>26866</v>
      </c>
      <c r="C11667" s="29" t="s">
        <v>26</v>
      </c>
      <c r="D11667" s="31">
        <v>3669.12</v>
      </c>
      <c r="F11667" s="3" t="str">
        <f t="shared" si="182"/>
        <v>I11213</v>
      </c>
    </row>
    <row r="11668" spans="1:6" x14ac:dyDescent="0.2">
      <c r="A11668" s="29" t="s">
        <v>26867</v>
      </c>
      <c r="B11668" s="30" t="s">
        <v>26868</v>
      </c>
      <c r="C11668" s="29" t="s">
        <v>26</v>
      </c>
      <c r="D11668" s="31">
        <v>4439.63</v>
      </c>
      <c r="F11668" s="3" t="str">
        <f t="shared" si="182"/>
        <v>I11159</v>
      </c>
    </row>
    <row r="11669" spans="1:6" x14ac:dyDescent="0.2">
      <c r="A11669" s="29" t="s">
        <v>26869</v>
      </c>
      <c r="B11669" s="30" t="s">
        <v>26870</v>
      </c>
      <c r="C11669" s="29" t="s">
        <v>26</v>
      </c>
      <c r="D11669" s="31">
        <v>4864.5</v>
      </c>
      <c r="F11669" s="3" t="str">
        <f t="shared" si="182"/>
        <v>I11214</v>
      </c>
    </row>
    <row r="11670" spans="1:6" x14ac:dyDescent="0.2">
      <c r="A11670" s="29" t="s">
        <v>26871</v>
      </c>
      <c r="B11670" s="30" t="s">
        <v>26872</v>
      </c>
      <c r="C11670" s="29" t="s">
        <v>26</v>
      </c>
      <c r="D11670" s="31">
        <v>4997.66</v>
      </c>
      <c r="F11670" s="3" t="str">
        <f t="shared" si="182"/>
        <v>I11160</v>
      </c>
    </row>
    <row r="11671" spans="1:6" x14ac:dyDescent="0.2">
      <c r="A11671" s="29" t="s">
        <v>26873</v>
      </c>
      <c r="B11671" s="30" t="s">
        <v>26874</v>
      </c>
      <c r="C11671" s="29" t="s">
        <v>26</v>
      </c>
      <c r="D11671" s="31">
        <v>5393.85</v>
      </c>
      <c r="F11671" s="3" t="str">
        <f t="shared" si="182"/>
        <v>I11215</v>
      </c>
    </row>
    <row r="11672" spans="1:6" x14ac:dyDescent="0.2">
      <c r="A11672" s="29" t="s">
        <v>26875</v>
      </c>
      <c r="B11672" s="30" t="s">
        <v>26876</v>
      </c>
      <c r="C11672" s="29" t="s">
        <v>26</v>
      </c>
      <c r="D11672" s="31">
        <v>3749.16</v>
      </c>
      <c r="F11672" s="3" t="str">
        <f t="shared" si="182"/>
        <v>I11161</v>
      </c>
    </row>
    <row r="11673" spans="1:6" x14ac:dyDescent="0.2">
      <c r="A11673" s="29" t="s">
        <v>26877</v>
      </c>
      <c r="B11673" s="30" t="s">
        <v>26878</v>
      </c>
      <c r="C11673" s="29" t="s">
        <v>26</v>
      </c>
      <c r="D11673" s="31">
        <v>5073.58</v>
      </c>
      <c r="F11673" s="3" t="str">
        <f t="shared" si="182"/>
        <v>I11216</v>
      </c>
    </row>
    <row r="11674" spans="1:6" x14ac:dyDescent="0.2">
      <c r="A11674" s="29" t="s">
        <v>26879</v>
      </c>
      <c r="B11674" s="30" t="s">
        <v>26880</v>
      </c>
      <c r="C11674" s="29" t="s">
        <v>26</v>
      </c>
      <c r="D11674" s="31">
        <v>4220.96</v>
      </c>
      <c r="F11674" s="3" t="str">
        <f t="shared" si="182"/>
        <v>I11128</v>
      </c>
    </row>
    <row r="11675" spans="1:6" x14ac:dyDescent="0.2">
      <c r="A11675" s="29" t="s">
        <v>26881</v>
      </c>
      <c r="B11675" s="30" t="s">
        <v>26882</v>
      </c>
      <c r="C11675" s="29" t="s">
        <v>26</v>
      </c>
      <c r="D11675" s="31">
        <v>5683.46</v>
      </c>
      <c r="F11675" s="3" t="str">
        <f t="shared" si="182"/>
        <v>I11162</v>
      </c>
    </row>
    <row r="11676" spans="1:6" x14ac:dyDescent="0.2">
      <c r="A11676" s="29" t="s">
        <v>26883</v>
      </c>
      <c r="B11676" s="30" t="s">
        <v>26884</v>
      </c>
      <c r="C11676" s="29" t="s">
        <v>26</v>
      </c>
      <c r="D11676" s="31">
        <v>6200.15</v>
      </c>
      <c r="F11676" s="3" t="str">
        <f t="shared" si="182"/>
        <v>I11217</v>
      </c>
    </row>
    <row r="11677" spans="1:6" x14ac:dyDescent="0.2">
      <c r="A11677" s="29" t="s">
        <v>26885</v>
      </c>
      <c r="B11677" s="30" t="s">
        <v>26886</v>
      </c>
      <c r="C11677" s="29" t="s">
        <v>26</v>
      </c>
      <c r="D11677" s="31">
        <v>4876.96</v>
      </c>
      <c r="F11677" s="3" t="str">
        <f t="shared" si="182"/>
        <v>I11163</v>
      </c>
    </row>
    <row r="11678" spans="1:6" x14ac:dyDescent="0.2">
      <c r="A11678" s="29" t="s">
        <v>26887</v>
      </c>
      <c r="B11678" s="30" t="s">
        <v>26888</v>
      </c>
      <c r="C11678" s="29" t="s">
        <v>26</v>
      </c>
      <c r="D11678" s="31">
        <v>5148.05</v>
      </c>
      <c r="F11678" s="3" t="str">
        <f t="shared" si="182"/>
        <v>I11218</v>
      </c>
    </row>
    <row r="11679" spans="1:6" x14ac:dyDescent="0.2">
      <c r="A11679" s="29" t="s">
        <v>26889</v>
      </c>
      <c r="B11679" s="30" t="s">
        <v>26890</v>
      </c>
      <c r="C11679" s="29" t="s">
        <v>26</v>
      </c>
      <c r="D11679" s="31">
        <v>12663.37</v>
      </c>
      <c r="F11679" s="3" t="str">
        <f t="shared" si="182"/>
        <v>I11164</v>
      </c>
    </row>
    <row r="11680" spans="1:6" x14ac:dyDescent="0.2">
      <c r="A11680" s="29" t="s">
        <v>26891</v>
      </c>
      <c r="B11680" s="30" t="s">
        <v>26892</v>
      </c>
      <c r="C11680" s="29" t="s">
        <v>26</v>
      </c>
      <c r="D11680" s="31">
        <v>13293.15</v>
      </c>
      <c r="F11680" s="3" t="str">
        <f t="shared" si="182"/>
        <v>I11219</v>
      </c>
    </row>
    <row r="11681" spans="1:6" x14ac:dyDescent="0.2">
      <c r="A11681" s="29" t="s">
        <v>26893</v>
      </c>
      <c r="B11681" s="30" t="s">
        <v>26894</v>
      </c>
      <c r="C11681" s="29" t="s">
        <v>26</v>
      </c>
      <c r="D11681" s="31">
        <v>15844.18</v>
      </c>
      <c r="F11681" s="3" t="str">
        <f t="shared" si="182"/>
        <v>I11165</v>
      </c>
    </row>
    <row r="11682" spans="1:6" x14ac:dyDescent="0.2">
      <c r="A11682" s="29" t="s">
        <v>26895</v>
      </c>
      <c r="B11682" s="30" t="s">
        <v>26896</v>
      </c>
      <c r="C11682" s="29" t="s">
        <v>26</v>
      </c>
      <c r="D11682" s="31">
        <v>16211.87</v>
      </c>
      <c r="F11682" s="3" t="str">
        <f t="shared" si="182"/>
        <v>I11220</v>
      </c>
    </row>
    <row r="11683" spans="1:6" x14ac:dyDescent="0.2">
      <c r="A11683" s="29" t="s">
        <v>26897</v>
      </c>
      <c r="B11683" s="30" t="s">
        <v>26898</v>
      </c>
      <c r="C11683" s="29" t="s">
        <v>26</v>
      </c>
      <c r="D11683" s="31">
        <v>9245.83</v>
      </c>
      <c r="F11683" s="3" t="str">
        <f t="shared" si="182"/>
        <v>I11129</v>
      </c>
    </row>
    <row r="11684" spans="1:6" x14ac:dyDescent="0.2">
      <c r="A11684" s="29" t="s">
        <v>26899</v>
      </c>
      <c r="B11684" s="30" t="s">
        <v>26900</v>
      </c>
      <c r="C11684" s="29" t="s">
        <v>26</v>
      </c>
      <c r="D11684" s="31">
        <v>10170.41</v>
      </c>
      <c r="F11684" s="3" t="str">
        <f t="shared" si="182"/>
        <v>I11166</v>
      </c>
    </row>
    <row r="11685" spans="1:6" x14ac:dyDescent="0.2">
      <c r="A11685" s="29" t="s">
        <v>26901</v>
      </c>
      <c r="B11685" s="30" t="s">
        <v>26902</v>
      </c>
      <c r="C11685" s="29" t="s">
        <v>26</v>
      </c>
      <c r="D11685" s="31">
        <v>11095</v>
      </c>
      <c r="F11685" s="3" t="str">
        <f t="shared" si="182"/>
        <v>I11221</v>
      </c>
    </row>
    <row r="11686" spans="1:6" x14ac:dyDescent="0.2">
      <c r="A11686" s="29" t="s">
        <v>26903</v>
      </c>
      <c r="B11686" s="30" t="s">
        <v>26904</v>
      </c>
      <c r="C11686" s="29" t="s">
        <v>26</v>
      </c>
      <c r="D11686" s="31">
        <v>6780.28</v>
      </c>
      <c r="F11686" s="3" t="str">
        <f t="shared" si="182"/>
        <v>I11130</v>
      </c>
    </row>
    <row r="11687" spans="1:6" x14ac:dyDescent="0.2">
      <c r="A11687" s="29" t="s">
        <v>26905</v>
      </c>
      <c r="B11687" s="30" t="s">
        <v>26906</v>
      </c>
      <c r="C11687" s="29" t="s">
        <v>26</v>
      </c>
      <c r="D11687" s="31">
        <v>7458.3</v>
      </c>
      <c r="F11687" s="3" t="str">
        <f t="shared" si="182"/>
        <v>I11167</v>
      </c>
    </row>
    <row r="11688" spans="1:6" x14ac:dyDescent="0.2">
      <c r="A11688" s="29" t="s">
        <v>26907</v>
      </c>
      <c r="B11688" s="30" t="s">
        <v>26908</v>
      </c>
      <c r="C11688" s="29" t="s">
        <v>26</v>
      </c>
      <c r="D11688" s="31">
        <v>8136.33</v>
      </c>
      <c r="F11688" s="3" t="str">
        <f t="shared" si="182"/>
        <v>I11222</v>
      </c>
    </row>
    <row r="11689" spans="1:6" x14ac:dyDescent="0.2">
      <c r="A11689" s="29" t="s">
        <v>26909</v>
      </c>
      <c r="B11689" s="30" t="s">
        <v>26910</v>
      </c>
      <c r="C11689" s="29" t="s">
        <v>26</v>
      </c>
      <c r="D11689" s="31">
        <v>9492.3799999999992</v>
      </c>
      <c r="F11689" s="3" t="str">
        <f t="shared" si="182"/>
        <v>I11131</v>
      </c>
    </row>
    <row r="11690" spans="1:6" x14ac:dyDescent="0.2">
      <c r="A11690" s="29" t="s">
        <v>26911</v>
      </c>
      <c r="B11690" s="30" t="s">
        <v>26912</v>
      </c>
      <c r="C11690" s="29" t="s">
        <v>26</v>
      </c>
      <c r="D11690" s="31">
        <v>10441.620000000001</v>
      </c>
      <c r="F11690" s="3" t="str">
        <f t="shared" si="182"/>
        <v>I11168</v>
      </c>
    </row>
    <row r="11691" spans="1:6" x14ac:dyDescent="0.2">
      <c r="A11691" s="29" t="s">
        <v>26913</v>
      </c>
      <c r="B11691" s="30" t="s">
        <v>26914</v>
      </c>
      <c r="C11691" s="29" t="s">
        <v>26</v>
      </c>
      <c r="D11691" s="31">
        <v>11390.86</v>
      </c>
      <c r="F11691" s="3" t="str">
        <f t="shared" si="182"/>
        <v>I11223</v>
      </c>
    </row>
    <row r="11692" spans="1:6" x14ac:dyDescent="0.2">
      <c r="A11692" s="29" t="s">
        <v>26915</v>
      </c>
      <c r="B11692" s="30" t="s">
        <v>26916</v>
      </c>
      <c r="C11692" s="29" t="s">
        <v>26</v>
      </c>
      <c r="D11692" s="31">
        <v>18817.75</v>
      </c>
      <c r="F11692" s="3" t="str">
        <f t="shared" si="182"/>
        <v>I11169</v>
      </c>
    </row>
    <row r="11693" spans="1:6" x14ac:dyDescent="0.2">
      <c r="A11693" s="29" t="s">
        <v>26917</v>
      </c>
      <c r="B11693" s="30" t="s">
        <v>26918</v>
      </c>
      <c r="C11693" s="29" t="s">
        <v>26</v>
      </c>
      <c r="D11693" s="31">
        <v>20293.45</v>
      </c>
      <c r="F11693" s="3" t="str">
        <f t="shared" si="182"/>
        <v>I11224</v>
      </c>
    </row>
    <row r="11694" spans="1:6" x14ac:dyDescent="0.2">
      <c r="A11694" s="29" t="s">
        <v>26919</v>
      </c>
      <c r="B11694" s="30" t="s">
        <v>26920</v>
      </c>
      <c r="C11694" s="29" t="s">
        <v>26</v>
      </c>
      <c r="D11694" s="31">
        <v>19008.09</v>
      </c>
      <c r="F11694" s="3" t="str">
        <f t="shared" si="182"/>
        <v>I11170</v>
      </c>
    </row>
    <row r="11695" spans="1:6" x14ac:dyDescent="0.2">
      <c r="A11695" s="29" t="s">
        <v>26921</v>
      </c>
      <c r="B11695" s="30" t="s">
        <v>26922</v>
      </c>
      <c r="C11695" s="29" t="s">
        <v>26</v>
      </c>
      <c r="D11695" s="31">
        <v>20470.78</v>
      </c>
      <c r="F11695" s="3" t="str">
        <f t="shared" si="182"/>
        <v>I11225</v>
      </c>
    </row>
    <row r="11696" spans="1:6" x14ac:dyDescent="0.2">
      <c r="A11696" s="29" t="s">
        <v>26923</v>
      </c>
      <c r="B11696" s="30" t="s">
        <v>26924</v>
      </c>
      <c r="C11696" s="29" t="s">
        <v>26</v>
      </c>
      <c r="D11696" s="31">
        <v>25059.9</v>
      </c>
      <c r="F11696" s="3" t="str">
        <f t="shared" si="182"/>
        <v>I11171</v>
      </c>
    </row>
    <row r="11697" spans="1:6" x14ac:dyDescent="0.2">
      <c r="A11697" s="29" t="s">
        <v>26925</v>
      </c>
      <c r="B11697" s="30" t="s">
        <v>26926</v>
      </c>
      <c r="C11697" s="29" t="s">
        <v>26</v>
      </c>
      <c r="D11697" s="31">
        <v>21695.75</v>
      </c>
      <c r="F11697" s="3" t="str">
        <f t="shared" si="182"/>
        <v>I11226</v>
      </c>
    </row>
    <row r="11698" spans="1:6" x14ac:dyDescent="0.2">
      <c r="A11698" s="29" t="s">
        <v>26927</v>
      </c>
      <c r="B11698" s="30" t="s">
        <v>26928</v>
      </c>
      <c r="C11698" s="29" t="s">
        <v>26</v>
      </c>
      <c r="D11698" s="31">
        <v>12496.98</v>
      </c>
      <c r="F11698" s="3" t="str">
        <f t="shared" si="182"/>
        <v>I11132</v>
      </c>
    </row>
    <row r="11699" spans="1:6" x14ac:dyDescent="0.2">
      <c r="A11699" s="29" t="s">
        <v>26929</v>
      </c>
      <c r="B11699" s="30" t="s">
        <v>26930</v>
      </c>
      <c r="C11699" s="29" t="s">
        <v>26</v>
      </c>
      <c r="D11699" s="31">
        <v>13746.68</v>
      </c>
      <c r="F11699" s="3" t="str">
        <f t="shared" si="182"/>
        <v>I11172</v>
      </c>
    </row>
    <row r="11700" spans="1:6" x14ac:dyDescent="0.2">
      <c r="A11700" s="29" t="s">
        <v>26931</v>
      </c>
      <c r="B11700" s="30" t="s">
        <v>26932</v>
      </c>
      <c r="C11700" s="29" t="s">
        <v>26</v>
      </c>
      <c r="D11700" s="31">
        <v>14996.37</v>
      </c>
      <c r="F11700" s="3" t="str">
        <f t="shared" si="182"/>
        <v>I11227</v>
      </c>
    </row>
    <row r="11701" spans="1:6" x14ac:dyDescent="0.2">
      <c r="A11701" s="29" t="s">
        <v>26933</v>
      </c>
      <c r="B11701" s="30" t="s">
        <v>26934</v>
      </c>
      <c r="C11701" s="29" t="s">
        <v>26</v>
      </c>
      <c r="D11701" s="31">
        <v>13826.44</v>
      </c>
      <c r="F11701" s="3" t="str">
        <f t="shared" si="182"/>
        <v>I11133</v>
      </c>
    </row>
    <row r="11702" spans="1:6" x14ac:dyDescent="0.2">
      <c r="A11702" s="29" t="s">
        <v>26935</v>
      </c>
      <c r="B11702" s="30" t="s">
        <v>26936</v>
      </c>
      <c r="C11702" s="29" t="s">
        <v>26</v>
      </c>
      <c r="D11702" s="31">
        <v>15209.08</v>
      </c>
      <c r="F11702" s="3" t="str">
        <f t="shared" si="182"/>
        <v>I11173</v>
      </c>
    </row>
    <row r="11703" spans="1:6" x14ac:dyDescent="0.2">
      <c r="A11703" s="29" t="s">
        <v>26937</v>
      </c>
      <c r="B11703" s="30" t="s">
        <v>26938</v>
      </c>
      <c r="C11703" s="29" t="s">
        <v>26</v>
      </c>
      <c r="D11703" s="31">
        <v>16591.73</v>
      </c>
      <c r="F11703" s="3" t="str">
        <f t="shared" si="182"/>
        <v>I11228</v>
      </c>
    </row>
    <row r="11704" spans="1:6" x14ac:dyDescent="0.2">
      <c r="A11704" s="29" t="s">
        <v>26939</v>
      </c>
      <c r="B11704" s="30" t="s">
        <v>26940</v>
      </c>
      <c r="C11704" s="29" t="s">
        <v>26</v>
      </c>
      <c r="D11704" s="31">
        <v>25639.83</v>
      </c>
      <c r="F11704" s="3" t="str">
        <f t="shared" si="182"/>
        <v>I11174</v>
      </c>
    </row>
    <row r="11705" spans="1:6" x14ac:dyDescent="0.2">
      <c r="A11705" s="29" t="s">
        <v>26941</v>
      </c>
      <c r="B11705" s="30" t="s">
        <v>26942</v>
      </c>
      <c r="C11705" s="29" t="s">
        <v>26</v>
      </c>
      <c r="D11705" s="31">
        <v>27209.78</v>
      </c>
      <c r="F11705" s="3" t="str">
        <f t="shared" si="182"/>
        <v>I11229</v>
      </c>
    </row>
    <row r="11706" spans="1:6" x14ac:dyDescent="0.2">
      <c r="A11706" s="29" t="s">
        <v>26943</v>
      </c>
      <c r="B11706" s="30" t="s">
        <v>26944</v>
      </c>
      <c r="C11706" s="29" t="s">
        <v>26</v>
      </c>
      <c r="D11706" s="31">
        <v>492.38</v>
      </c>
      <c r="F11706" s="3" t="str">
        <f t="shared" si="182"/>
        <v>I11183</v>
      </c>
    </row>
    <row r="11707" spans="1:6" x14ac:dyDescent="0.2">
      <c r="A11707" s="29" t="s">
        <v>26945</v>
      </c>
      <c r="B11707" s="30" t="s">
        <v>26946</v>
      </c>
      <c r="C11707" s="29" t="s">
        <v>26</v>
      </c>
      <c r="D11707" s="31">
        <v>19395.7</v>
      </c>
      <c r="F11707" s="3" t="str">
        <f t="shared" si="182"/>
        <v>I11134</v>
      </c>
    </row>
    <row r="11708" spans="1:6" x14ac:dyDescent="0.2">
      <c r="A11708" s="29" t="s">
        <v>26947</v>
      </c>
      <c r="B11708" s="30" t="s">
        <v>26948</v>
      </c>
      <c r="C11708" s="29" t="s">
        <v>26</v>
      </c>
      <c r="D11708" s="31">
        <v>21335.27</v>
      </c>
      <c r="F11708" s="3" t="str">
        <f t="shared" si="182"/>
        <v>I11175</v>
      </c>
    </row>
    <row r="11709" spans="1:6" x14ac:dyDescent="0.2">
      <c r="A11709" s="29" t="s">
        <v>26949</v>
      </c>
      <c r="B11709" s="30" t="s">
        <v>26950</v>
      </c>
      <c r="C11709" s="29" t="s">
        <v>26</v>
      </c>
      <c r="D11709" s="31">
        <v>29093.54</v>
      </c>
      <c r="F11709" s="3" t="str">
        <f t="shared" si="182"/>
        <v>I11230</v>
      </c>
    </row>
    <row r="11710" spans="1:6" x14ac:dyDescent="0.2">
      <c r="A11710" s="29" t="s">
        <v>26951</v>
      </c>
      <c r="B11710" s="30" t="s">
        <v>26952</v>
      </c>
      <c r="C11710" s="29" t="s">
        <v>26</v>
      </c>
      <c r="D11710" s="31">
        <v>28191.42</v>
      </c>
      <c r="F11710" s="3" t="str">
        <f t="shared" si="182"/>
        <v>I11176</v>
      </c>
    </row>
    <row r="11711" spans="1:6" x14ac:dyDescent="0.2">
      <c r="A11711" s="29" t="s">
        <v>26953</v>
      </c>
      <c r="B11711" s="30" t="s">
        <v>26954</v>
      </c>
      <c r="C11711" s="29" t="s">
        <v>26</v>
      </c>
      <c r="D11711" s="31">
        <v>29647.33</v>
      </c>
      <c r="F11711" s="3" t="str">
        <f t="shared" si="182"/>
        <v>I11231</v>
      </c>
    </row>
    <row r="11712" spans="1:6" x14ac:dyDescent="0.2">
      <c r="A11712" s="29" t="s">
        <v>26955</v>
      </c>
      <c r="B11712" s="30" t="s">
        <v>26956</v>
      </c>
      <c r="C11712" s="29" t="s">
        <v>26</v>
      </c>
      <c r="D11712" s="31">
        <v>19796.95</v>
      </c>
      <c r="F11712" s="3" t="str">
        <f t="shared" si="182"/>
        <v>I11135</v>
      </c>
    </row>
    <row r="11713" spans="1:6" x14ac:dyDescent="0.2">
      <c r="A11713" s="29" t="s">
        <v>26957</v>
      </c>
      <c r="B11713" s="30" t="s">
        <v>26958</v>
      </c>
      <c r="C11713" s="29" t="s">
        <v>26</v>
      </c>
      <c r="D11713" s="31">
        <v>21776.65</v>
      </c>
      <c r="F11713" s="3" t="str">
        <f t="shared" si="182"/>
        <v>I11177</v>
      </c>
    </row>
    <row r="11714" spans="1:6" x14ac:dyDescent="0.2">
      <c r="A11714" s="29" t="s">
        <v>26959</v>
      </c>
      <c r="B11714" s="30" t="s">
        <v>26960</v>
      </c>
      <c r="C11714" s="29" t="s">
        <v>26</v>
      </c>
      <c r="D11714" s="31">
        <v>23756.34</v>
      </c>
      <c r="F11714" s="3" t="str">
        <f t="shared" ref="F11714:F11777" si="183">A11714</f>
        <v>I11232</v>
      </c>
    </row>
    <row r="11715" spans="1:6" x14ac:dyDescent="0.2">
      <c r="A11715" s="29" t="s">
        <v>26961</v>
      </c>
      <c r="B11715" s="30" t="s">
        <v>26962</v>
      </c>
      <c r="C11715" s="29" t="s">
        <v>26</v>
      </c>
      <c r="D11715" s="31">
        <v>31010.82</v>
      </c>
      <c r="F11715" s="3" t="str">
        <f t="shared" si="183"/>
        <v>I11178</v>
      </c>
    </row>
    <row r="11716" spans="1:6" x14ac:dyDescent="0.2">
      <c r="A11716" s="29" t="s">
        <v>26963</v>
      </c>
      <c r="B11716" s="30" t="s">
        <v>26964</v>
      </c>
      <c r="C11716" s="29" t="s">
        <v>26</v>
      </c>
      <c r="D11716" s="31">
        <v>34199.410000000003</v>
      </c>
      <c r="F11716" s="3" t="str">
        <f t="shared" si="183"/>
        <v>I11233</v>
      </c>
    </row>
    <row r="11717" spans="1:6" x14ac:dyDescent="0.2">
      <c r="A11717" s="29" t="s">
        <v>26965</v>
      </c>
      <c r="B11717" s="30" t="s">
        <v>26966</v>
      </c>
      <c r="C11717" s="29" t="s">
        <v>26</v>
      </c>
      <c r="D11717" s="31">
        <v>1595.66</v>
      </c>
      <c r="F11717" s="3" t="str">
        <f t="shared" si="183"/>
        <v>I7712</v>
      </c>
    </row>
    <row r="11718" spans="1:6" x14ac:dyDescent="0.2">
      <c r="A11718" s="29" t="s">
        <v>26967</v>
      </c>
      <c r="B11718" s="30" t="s">
        <v>26968</v>
      </c>
      <c r="C11718" s="29" t="s">
        <v>26</v>
      </c>
      <c r="D11718" s="31">
        <v>1902.1</v>
      </c>
      <c r="F11718" s="3" t="str">
        <f t="shared" si="183"/>
        <v>I7713</v>
      </c>
    </row>
    <row r="11719" spans="1:6" x14ac:dyDescent="0.2">
      <c r="A11719" s="29" t="s">
        <v>26969</v>
      </c>
      <c r="B11719" s="30" t="s">
        <v>26970</v>
      </c>
      <c r="C11719" s="29" t="s">
        <v>26</v>
      </c>
      <c r="D11719" s="31">
        <v>1992.06</v>
      </c>
      <c r="F11719" s="3" t="str">
        <f t="shared" si="183"/>
        <v>I7714</v>
      </c>
    </row>
    <row r="11720" spans="1:6" x14ac:dyDescent="0.2">
      <c r="A11720" s="29" t="s">
        <v>26971</v>
      </c>
      <c r="B11720" s="30" t="s">
        <v>26972</v>
      </c>
      <c r="C11720" s="29" t="s">
        <v>26</v>
      </c>
      <c r="D11720" s="31">
        <v>2632.15</v>
      </c>
      <c r="F11720" s="3" t="str">
        <f t="shared" si="183"/>
        <v>I7715</v>
      </c>
    </row>
    <row r="11721" spans="1:6" x14ac:dyDescent="0.2">
      <c r="A11721" s="29" t="s">
        <v>26973</v>
      </c>
      <c r="B11721" s="30" t="s">
        <v>26974</v>
      </c>
      <c r="C11721" s="29" t="s">
        <v>26</v>
      </c>
      <c r="D11721" s="31">
        <v>2757.98</v>
      </c>
      <c r="F11721" s="3" t="str">
        <f t="shared" si="183"/>
        <v>I7716</v>
      </c>
    </row>
    <row r="11722" spans="1:6" x14ac:dyDescent="0.2">
      <c r="A11722" s="29" t="s">
        <v>26975</v>
      </c>
      <c r="B11722" s="30" t="s">
        <v>26976</v>
      </c>
      <c r="C11722" s="29" t="s">
        <v>26</v>
      </c>
      <c r="D11722" s="31">
        <v>4084.98</v>
      </c>
      <c r="F11722" s="3" t="str">
        <f t="shared" si="183"/>
        <v>I7717</v>
      </c>
    </row>
    <row r="11723" spans="1:6" x14ac:dyDescent="0.2">
      <c r="A11723" s="29" t="s">
        <v>26977</v>
      </c>
      <c r="B11723" s="30" t="s">
        <v>26978</v>
      </c>
      <c r="C11723" s="29" t="s">
        <v>26</v>
      </c>
      <c r="D11723" s="31">
        <v>4753.84</v>
      </c>
      <c r="F11723" s="3" t="str">
        <f t="shared" si="183"/>
        <v>I7718</v>
      </c>
    </row>
    <row r="11724" spans="1:6" x14ac:dyDescent="0.2">
      <c r="A11724" s="29" t="s">
        <v>26979</v>
      </c>
      <c r="B11724" s="30" t="s">
        <v>26980</v>
      </c>
      <c r="C11724" s="29" t="s">
        <v>26</v>
      </c>
      <c r="D11724" s="31">
        <v>7607.21</v>
      </c>
      <c r="F11724" s="3" t="str">
        <f t="shared" si="183"/>
        <v>I7719</v>
      </c>
    </row>
    <row r="11725" spans="1:6" x14ac:dyDescent="0.2">
      <c r="A11725" s="29" t="s">
        <v>26981</v>
      </c>
      <c r="B11725" s="30" t="s">
        <v>26982</v>
      </c>
      <c r="C11725" s="29" t="s">
        <v>26</v>
      </c>
      <c r="D11725" s="31">
        <v>12000.71</v>
      </c>
      <c r="F11725" s="3" t="str">
        <f t="shared" si="183"/>
        <v>I7720</v>
      </c>
    </row>
    <row r="11726" spans="1:6" x14ac:dyDescent="0.2">
      <c r="A11726" s="29" t="s">
        <v>26983</v>
      </c>
      <c r="B11726" s="30" t="s">
        <v>26984</v>
      </c>
      <c r="C11726" s="29" t="s">
        <v>26</v>
      </c>
      <c r="D11726" s="31">
        <v>4566.7299999999996</v>
      </c>
      <c r="F11726" s="3" t="str">
        <f t="shared" si="183"/>
        <v>I7721</v>
      </c>
    </row>
    <row r="11727" spans="1:6" x14ac:dyDescent="0.2">
      <c r="A11727" s="29" t="s">
        <v>26985</v>
      </c>
      <c r="B11727" s="30" t="s">
        <v>26986</v>
      </c>
      <c r="C11727" s="29" t="s">
        <v>26</v>
      </c>
      <c r="D11727" s="31">
        <v>9206.82</v>
      </c>
      <c r="F11727" s="3" t="str">
        <f t="shared" si="183"/>
        <v>I7722</v>
      </c>
    </row>
    <row r="11728" spans="1:6" x14ac:dyDescent="0.2">
      <c r="A11728" s="29" t="s">
        <v>26987</v>
      </c>
      <c r="B11728" s="30" t="s">
        <v>26988</v>
      </c>
      <c r="C11728" s="29" t="s">
        <v>26</v>
      </c>
      <c r="D11728" s="31">
        <v>10808.21</v>
      </c>
      <c r="F11728" s="3" t="str">
        <f t="shared" si="183"/>
        <v>I7723</v>
      </c>
    </row>
    <row r="11729" spans="1:6" x14ac:dyDescent="0.2">
      <c r="A11729" s="29" t="s">
        <v>26989</v>
      </c>
      <c r="B11729" s="30" t="s">
        <v>26990</v>
      </c>
      <c r="C11729" s="29" t="s">
        <v>26</v>
      </c>
      <c r="D11729" s="31">
        <v>11130.52</v>
      </c>
      <c r="F11729" s="3" t="str">
        <f t="shared" si="183"/>
        <v>I7724</v>
      </c>
    </row>
    <row r="11730" spans="1:6" x14ac:dyDescent="0.2">
      <c r="A11730" s="29" t="s">
        <v>26991</v>
      </c>
      <c r="B11730" s="30" t="s">
        <v>26992</v>
      </c>
      <c r="C11730" s="29" t="s">
        <v>26</v>
      </c>
      <c r="D11730" s="31">
        <v>13103.78</v>
      </c>
      <c r="F11730" s="3" t="str">
        <f t="shared" si="183"/>
        <v>I7725</v>
      </c>
    </row>
    <row r="11731" spans="1:6" x14ac:dyDescent="0.2">
      <c r="A11731" s="29" t="s">
        <v>26993</v>
      </c>
      <c r="B11731" s="30" t="s">
        <v>26994</v>
      </c>
      <c r="C11731" s="29" t="s">
        <v>26</v>
      </c>
      <c r="D11731" s="31">
        <v>13167.87</v>
      </c>
      <c r="F11731" s="3" t="str">
        <f t="shared" si="183"/>
        <v>I7726</v>
      </c>
    </row>
    <row r="11732" spans="1:6" x14ac:dyDescent="0.2">
      <c r="A11732" s="29" t="s">
        <v>26995</v>
      </c>
      <c r="B11732" s="30" t="s">
        <v>26996</v>
      </c>
      <c r="C11732" s="29" t="s">
        <v>26</v>
      </c>
      <c r="D11732" s="31">
        <v>16501.8</v>
      </c>
      <c r="F11732" s="3" t="str">
        <f t="shared" si="183"/>
        <v>I7727</v>
      </c>
    </row>
    <row r="11733" spans="1:6" x14ac:dyDescent="0.2">
      <c r="A11733" s="29" t="s">
        <v>26997</v>
      </c>
      <c r="B11733" s="30" t="s">
        <v>26998</v>
      </c>
      <c r="C11733" s="29" t="s">
        <v>26</v>
      </c>
      <c r="D11733" s="31">
        <v>1221.4100000000001</v>
      </c>
      <c r="F11733" s="3" t="str">
        <f t="shared" si="183"/>
        <v>I7708</v>
      </c>
    </row>
    <row r="11734" spans="1:6" x14ac:dyDescent="0.2">
      <c r="A11734" s="29" t="s">
        <v>26999</v>
      </c>
      <c r="B11734" s="30" t="s">
        <v>27000</v>
      </c>
      <c r="C11734" s="29" t="s">
        <v>26</v>
      </c>
      <c r="D11734" s="31">
        <v>1275.3800000000001</v>
      </c>
      <c r="F11734" s="3" t="str">
        <f t="shared" si="183"/>
        <v>I7709</v>
      </c>
    </row>
    <row r="11735" spans="1:6" x14ac:dyDescent="0.2">
      <c r="A11735" s="29" t="s">
        <v>27001</v>
      </c>
      <c r="B11735" s="30" t="s">
        <v>27002</v>
      </c>
      <c r="C11735" s="29" t="s">
        <v>26</v>
      </c>
      <c r="D11735" s="31">
        <v>1619.75</v>
      </c>
      <c r="F11735" s="3" t="str">
        <f t="shared" si="183"/>
        <v>I7710</v>
      </c>
    </row>
    <row r="11736" spans="1:6" x14ac:dyDescent="0.2">
      <c r="A11736" s="29" t="s">
        <v>27003</v>
      </c>
      <c r="B11736" s="30" t="s">
        <v>27004</v>
      </c>
      <c r="C11736" s="29" t="s">
        <v>26</v>
      </c>
      <c r="D11736" s="31">
        <v>33.96</v>
      </c>
      <c r="F11736" s="3" t="str">
        <f t="shared" si="183"/>
        <v>I9980</v>
      </c>
    </row>
    <row r="11737" spans="1:6" x14ac:dyDescent="0.2">
      <c r="A11737" s="29" t="s">
        <v>27005</v>
      </c>
      <c r="B11737" s="30" t="s">
        <v>27006</v>
      </c>
      <c r="C11737" s="29" t="s">
        <v>26</v>
      </c>
      <c r="D11737" s="31">
        <v>88.83</v>
      </c>
      <c r="F11737" s="3" t="str">
        <f t="shared" si="183"/>
        <v>I9981</v>
      </c>
    </row>
    <row r="11738" spans="1:6" x14ac:dyDescent="0.2">
      <c r="A11738" s="29" t="s">
        <v>27007</v>
      </c>
      <c r="B11738" s="30" t="s">
        <v>27008</v>
      </c>
      <c r="C11738" s="29" t="s">
        <v>26</v>
      </c>
      <c r="D11738" s="31">
        <v>131.5</v>
      </c>
      <c r="F11738" s="3" t="str">
        <f t="shared" si="183"/>
        <v>I4059</v>
      </c>
    </row>
    <row r="11739" spans="1:6" x14ac:dyDescent="0.2">
      <c r="A11739" s="29" t="s">
        <v>27009</v>
      </c>
      <c r="B11739" s="30" t="s">
        <v>27010</v>
      </c>
      <c r="C11739" s="29" t="s">
        <v>26</v>
      </c>
      <c r="D11739" s="31">
        <v>143.82</v>
      </c>
      <c r="F11739" s="3" t="str">
        <f t="shared" si="183"/>
        <v>I4060</v>
      </c>
    </row>
    <row r="11740" spans="1:6" x14ac:dyDescent="0.2">
      <c r="A11740" s="29" t="s">
        <v>27011</v>
      </c>
      <c r="B11740" s="30" t="s">
        <v>27012</v>
      </c>
      <c r="C11740" s="29" t="s">
        <v>26</v>
      </c>
      <c r="D11740" s="31">
        <v>328.73</v>
      </c>
      <c r="F11740" s="3" t="str">
        <f t="shared" si="183"/>
        <v>I4062</v>
      </c>
    </row>
    <row r="11741" spans="1:6" x14ac:dyDescent="0.2">
      <c r="A11741" s="29" t="s">
        <v>27013</v>
      </c>
      <c r="B11741" s="30" t="s">
        <v>27014</v>
      </c>
      <c r="C11741" s="29" t="s">
        <v>26</v>
      </c>
      <c r="D11741" s="31">
        <v>201.36</v>
      </c>
      <c r="F11741" s="3" t="str">
        <f t="shared" si="183"/>
        <v>I7141</v>
      </c>
    </row>
    <row r="11742" spans="1:6" x14ac:dyDescent="0.2">
      <c r="A11742" s="29" t="s">
        <v>27015</v>
      </c>
      <c r="B11742" s="30" t="s">
        <v>27016</v>
      </c>
      <c r="C11742" s="29" t="s">
        <v>26</v>
      </c>
      <c r="D11742" s="31">
        <v>287.64999999999998</v>
      </c>
      <c r="F11742" s="3" t="str">
        <f t="shared" si="183"/>
        <v>I4061</v>
      </c>
    </row>
    <row r="11743" spans="1:6" x14ac:dyDescent="0.2">
      <c r="A11743" s="29" t="s">
        <v>27017</v>
      </c>
      <c r="B11743" s="30" t="s">
        <v>27018</v>
      </c>
      <c r="C11743" s="29" t="s">
        <v>26</v>
      </c>
      <c r="D11743" s="31">
        <v>373.95</v>
      </c>
      <c r="F11743" s="3" t="str">
        <f t="shared" si="183"/>
        <v>I4063</v>
      </c>
    </row>
    <row r="11744" spans="1:6" x14ac:dyDescent="0.2">
      <c r="A11744" s="29" t="s">
        <v>27019</v>
      </c>
      <c r="B11744" s="30" t="s">
        <v>27020</v>
      </c>
      <c r="C11744" s="29" t="s">
        <v>26</v>
      </c>
      <c r="D11744" s="31">
        <v>402.71</v>
      </c>
      <c r="F11744" s="3" t="str">
        <f t="shared" si="183"/>
        <v>I11242</v>
      </c>
    </row>
    <row r="11745" spans="1:6" x14ac:dyDescent="0.2">
      <c r="A11745" s="29" t="s">
        <v>27021</v>
      </c>
      <c r="B11745" s="30" t="s">
        <v>27022</v>
      </c>
      <c r="C11745" s="29" t="s">
        <v>26</v>
      </c>
      <c r="D11745" s="31">
        <v>390.38</v>
      </c>
      <c r="F11745" s="3" t="str">
        <f t="shared" si="183"/>
        <v>I11240</v>
      </c>
    </row>
    <row r="11746" spans="1:6" x14ac:dyDescent="0.2">
      <c r="A11746" s="29" t="s">
        <v>27023</v>
      </c>
      <c r="B11746" s="30" t="s">
        <v>27024</v>
      </c>
      <c r="C11746" s="29" t="s">
        <v>26</v>
      </c>
      <c r="D11746" s="31">
        <v>382.16</v>
      </c>
      <c r="F11746" s="3" t="str">
        <f t="shared" si="183"/>
        <v>I11241</v>
      </c>
    </row>
    <row r="11747" spans="1:6" x14ac:dyDescent="0.2">
      <c r="A11747" s="29" t="s">
        <v>27025</v>
      </c>
      <c r="B11747" s="30" t="s">
        <v>27026</v>
      </c>
      <c r="C11747" s="29" t="s">
        <v>26</v>
      </c>
      <c r="D11747" s="31">
        <v>648.29999999999995</v>
      </c>
      <c r="F11747" s="3" t="str">
        <f t="shared" si="183"/>
        <v>I7142</v>
      </c>
    </row>
    <row r="11748" spans="1:6" x14ac:dyDescent="0.2">
      <c r="A11748" s="29" t="s">
        <v>27027</v>
      </c>
      <c r="B11748" s="30" t="s">
        <v>27028</v>
      </c>
      <c r="C11748" s="29" t="s">
        <v>26</v>
      </c>
      <c r="D11748" s="31">
        <v>487.3</v>
      </c>
      <c r="F11748" s="3" t="str">
        <f t="shared" si="183"/>
        <v>I11244</v>
      </c>
    </row>
    <row r="11749" spans="1:6" x14ac:dyDescent="0.2">
      <c r="A11749" s="29" t="s">
        <v>27029</v>
      </c>
      <c r="B11749" s="30" t="s">
        <v>27030</v>
      </c>
      <c r="C11749" s="29" t="s">
        <v>26</v>
      </c>
      <c r="D11749" s="31">
        <v>1044.24</v>
      </c>
      <c r="F11749" s="3" t="str">
        <f t="shared" si="183"/>
        <v>I11245</v>
      </c>
    </row>
    <row r="11750" spans="1:6" x14ac:dyDescent="0.2">
      <c r="A11750" s="29" t="s">
        <v>27031</v>
      </c>
      <c r="B11750" s="30" t="s">
        <v>27032</v>
      </c>
      <c r="C11750" s="29" t="s">
        <v>26</v>
      </c>
      <c r="D11750" s="31">
        <v>652.65</v>
      </c>
      <c r="F11750" s="3" t="str">
        <f t="shared" si="183"/>
        <v>I11243</v>
      </c>
    </row>
    <row r="11751" spans="1:6" x14ac:dyDescent="0.2">
      <c r="A11751" s="29" t="s">
        <v>27033</v>
      </c>
      <c r="B11751" s="30" t="s">
        <v>27034</v>
      </c>
      <c r="C11751" s="29" t="s">
        <v>26</v>
      </c>
      <c r="D11751" s="31">
        <v>717.91</v>
      </c>
      <c r="F11751" s="3" t="str">
        <f t="shared" si="183"/>
        <v>I11247</v>
      </c>
    </row>
    <row r="11752" spans="1:6" x14ac:dyDescent="0.2">
      <c r="A11752" s="29" t="s">
        <v>27035</v>
      </c>
      <c r="B11752" s="30" t="s">
        <v>27036</v>
      </c>
      <c r="C11752" s="29" t="s">
        <v>26</v>
      </c>
      <c r="D11752" s="31">
        <v>1392.31</v>
      </c>
      <c r="F11752" s="3" t="str">
        <f t="shared" si="183"/>
        <v>I11248</v>
      </c>
    </row>
    <row r="11753" spans="1:6" x14ac:dyDescent="0.2">
      <c r="A11753" s="29" t="s">
        <v>27037</v>
      </c>
      <c r="B11753" s="30" t="s">
        <v>27038</v>
      </c>
      <c r="C11753" s="29" t="s">
        <v>26</v>
      </c>
      <c r="D11753" s="31">
        <v>1522.84</v>
      </c>
      <c r="F11753" s="3" t="str">
        <f t="shared" si="183"/>
        <v>I11249</v>
      </c>
    </row>
    <row r="11754" spans="1:6" x14ac:dyDescent="0.2">
      <c r="A11754" s="29" t="s">
        <v>27039</v>
      </c>
      <c r="B11754" s="30" t="s">
        <v>27040</v>
      </c>
      <c r="C11754" s="29" t="s">
        <v>26</v>
      </c>
      <c r="D11754" s="31">
        <v>1653.38</v>
      </c>
      <c r="F11754" s="3" t="str">
        <f t="shared" si="183"/>
        <v>I11250</v>
      </c>
    </row>
    <row r="11755" spans="1:6" x14ac:dyDescent="0.2">
      <c r="A11755" s="29" t="s">
        <v>27041</v>
      </c>
      <c r="B11755" s="30" t="s">
        <v>27042</v>
      </c>
      <c r="C11755" s="29" t="s">
        <v>26</v>
      </c>
      <c r="D11755" s="31">
        <v>804.93</v>
      </c>
      <c r="F11755" s="3" t="str">
        <f t="shared" si="183"/>
        <v>I11246</v>
      </c>
    </row>
    <row r="11756" spans="1:6" x14ac:dyDescent="0.2">
      <c r="A11756" s="29" t="s">
        <v>27043</v>
      </c>
      <c r="B11756" s="30" t="s">
        <v>27044</v>
      </c>
      <c r="C11756" s="29" t="s">
        <v>26</v>
      </c>
      <c r="D11756" s="31">
        <v>1184.44</v>
      </c>
      <c r="F11756" s="3" t="str">
        <f t="shared" si="183"/>
        <v>I11251</v>
      </c>
    </row>
    <row r="11757" spans="1:6" x14ac:dyDescent="0.2">
      <c r="A11757" s="29" t="s">
        <v>27045</v>
      </c>
      <c r="B11757" s="30" t="s">
        <v>27046</v>
      </c>
      <c r="C11757" s="29" t="s">
        <v>26</v>
      </c>
      <c r="D11757" s="31">
        <v>1885.42</v>
      </c>
      <c r="F11757" s="3" t="str">
        <f t="shared" si="183"/>
        <v>I11252</v>
      </c>
    </row>
    <row r="11758" spans="1:6" x14ac:dyDescent="0.2">
      <c r="A11758" s="29" t="s">
        <v>27047</v>
      </c>
      <c r="B11758" s="30" t="s">
        <v>27048</v>
      </c>
      <c r="C11758" s="29" t="s">
        <v>26</v>
      </c>
      <c r="D11758" s="31">
        <v>135.37</v>
      </c>
      <c r="F11758" s="3" t="str">
        <f t="shared" si="183"/>
        <v>I11237</v>
      </c>
    </row>
    <row r="11759" spans="1:6" x14ac:dyDescent="0.2">
      <c r="A11759" s="29" t="s">
        <v>27049</v>
      </c>
      <c r="B11759" s="30" t="s">
        <v>27050</v>
      </c>
      <c r="C11759" s="29" t="s">
        <v>26</v>
      </c>
      <c r="D11759" s="31">
        <v>299.98</v>
      </c>
      <c r="F11759" s="3" t="str">
        <f t="shared" si="183"/>
        <v>I11239</v>
      </c>
    </row>
    <row r="11760" spans="1:6" x14ac:dyDescent="0.2">
      <c r="A11760" s="29" t="s">
        <v>27051</v>
      </c>
      <c r="B11760" s="30" t="s">
        <v>27052</v>
      </c>
      <c r="C11760" s="29" t="s">
        <v>26</v>
      </c>
      <c r="D11760" s="31">
        <v>114.1</v>
      </c>
      <c r="F11760" s="3" t="str">
        <f t="shared" si="183"/>
        <v>I11238</v>
      </c>
    </row>
    <row r="11761" spans="1:6" x14ac:dyDescent="0.2">
      <c r="A11761" s="29" t="s">
        <v>27053</v>
      </c>
      <c r="B11761" s="30" t="s">
        <v>27054</v>
      </c>
      <c r="C11761" s="29" t="s">
        <v>26</v>
      </c>
      <c r="D11761" s="31">
        <v>185.43</v>
      </c>
      <c r="F11761" s="3" t="str">
        <f t="shared" si="183"/>
        <v>I7728</v>
      </c>
    </row>
    <row r="11762" spans="1:6" x14ac:dyDescent="0.2">
      <c r="A11762" s="29" t="s">
        <v>27055</v>
      </c>
      <c r="B11762" s="30" t="s">
        <v>27056</v>
      </c>
      <c r="C11762" s="29" t="s">
        <v>26</v>
      </c>
      <c r="D11762" s="31">
        <v>362.68</v>
      </c>
      <c r="F11762" s="3" t="str">
        <f t="shared" si="183"/>
        <v>I7730</v>
      </c>
    </row>
    <row r="11763" spans="1:6" x14ac:dyDescent="0.2">
      <c r="A11763" s="29" t="s">
        <v>27057</v>
      </c>
      <c r="B11763" s="30" t="s">
        <v>27058</v>
      </c>
      <c r="C11763" s="29" t="s">
        <v>26</v>
      </c>
      <c r="D11763" s="31">
        <v>354.56</v>
      </c>
      <c r="F11763" s="3" t="str">
        <f t="shared" si="183"/>
        <v>I7729</v>
      </c>
    </row>
    <row r="11764" spans="1:6" x14ac:dyDescent="0.2">
      <c r="A11764" s="29" t="s">
        <v>27059</v>
      </c>
      <c r="B11764" s="30" t="s">
        <v>27060</v>
      </c>
      <c r="C11764" s="29" t="s">
        <v>26</v>
      </c>
      <c r="D11764" s="31">
        <v>382.83</v>
      </c>
      <c r="F11764" s="3" t="str">
        <f t="shared" si="183"/>
        <v>I7731</v>
      </c>
    </row>
    <row r="11765" spans="1:6" x14ac:dyDescent="0.2">
      <c r="A11765" s="29" t="s">
        <v>27061</v>
      </c>
      <c r="B11765" s="30" t="s">
        <v>27062</v>
      </c>
      <c r="C11765" s="29" t="s">
        <v>26</v>
      </c>
      <c r="D11765" s="31">
        <v>408.92</v>
      </c>
      <c r="F11765" s="3" t="str">
        <f t="shared" si="183"/>
        <v>I7732</v>
      </c>
    </row>
    <row r="11766" spans="1:6" x14ac:dyDescent="0.2">
      <c r="A11766" s="29" t="s">
        <v>27063</v>
      </c>
      <c r="B11766" s="30" t="s">
        <v>27064</v>
      </c>
      <c r="C11766" s="29" t="s">
        <v>26</v>
      </c>
      <c r="D11766" s="31">
        <v>814.51</v>
      </c>
      <c r="F11766" s="3" t="str">
        <f t="shared" si="183"/>
        <v>I11316</v>
      </c>
    </row>
    <row r="11767" spans="1:6" x14ac:dyDescent="0.2">
      <c r="A11767" s="29" t="s">
        <v>27065</v>
      </c>
      <c r="B11767" s="30" t="s">
        <v>27066</v>
      </c>
      <c r="C11767" s="29" t="s">
        <v>26</v>
      </c>
      <c r="D11767" s="31">
        <v>1523.75</v>
      </c>
      <c r="F11767" s="3" t="str">
        <f t="shared" si="183"/>
        <v>I11317</v>
      </c>
    </row>
    <row r="11768" spans="1:6" x14ac:dyDescent="0.2">
      <c r="A11768" s="29" t="s">
        <v>27067</v>
      </c>
      <c r="B11768" s="30" t="s">
        <v>27068</v>
      </c>
      <c r="C11768" s="29" t="s">
        <v>26</v>
      </c>
      <c r="D11768" s="31">
        <v>1878.22</v>
      </c>
      <c r="F11768" s="3" t="str">
        <f t="shared" si="183"/>
        <v>I11318</v>
      </c>
    </row>
    <row r="11769" spans="1:6" x14ac:dyDescent="0.2">
      <c r="A11769" s="29" t="s">
        <v>27069</v>
      </c>
      <c r="B11769" s="30" t="s">
        <v>27070</v>
      </c>
      <c r="C11769" s="29" t="s">
        <v>26</v>
      </c>
      <c r="D11769" s="31">
        <v>2114.4299999999998</v>
      </c>
      <c r="F11769" s="3" t="str">
        <f t="shared" si="183"/>
        <v>I11319</v>
      </c>
    </row>
    <row r="11770" spans="1:6" x14ac:dyDescent="0.2">
      <c r="A11770" s="29" t="s">
        <v>27071</v>
      </c>
      <c r="B11770" s="30" t="s">
        <v>27072</v>
      </c>
      <c r="C11770" s="29" t="s">
        <v>26</v>
      </c>
      <c r="D11770" s="31">
        <v>332.83</v>
      </c>
      <c r="F11770" s="3" t="str">
        <f t="shared" si="183"/>
        <v>I4037</v>
      </c>
    </row>
    <row r="11771" spans="1:6" x14ac:dyDescent="0.2">
      <c r="A11771" s="29" t="s">
        <v>27073</v>
      </c>
      <c r="B11771" s="30" t="s">
        <v>27074</v>
      </c>
      <c r="C11771" s="29" t="s">
        <v>26</v>
      </c>
      <c r="D11771" s="31">
        <v>332.83</v>
      </c>
      <c r="F11771" s="3" t="str">
        <f t="shared" si="183"/>
        <v>I7143</v>
      </c>
    </row>
    <row r="11772" spans="1:6" x14ac:dyDescent="0.2">
      <c r="A11772" s="29" t="s">
        <v>27075</v>
      </c>
      <c r="B11772" s="30" t="s">
        <v>27076</v>
      </c>
      <c r="C11772" s="29" t="s">
        <v>26</v>
      </c>
      <c r="D11772" s="31">
        <v>23746.67</v>
      </c>
      <c r="F11772" s="3" t="str">
        <f t="shared" si="183"/>
        <v>I11280</v>
      </c>
    </row>
    <row r="11773" spans="1:6" x14ac:dyDescent="0.2">
      <c r="A11773" s="29" t="s">
        <v>27077</v>
      </c>
      <c r="B11773" s="30" t="s">
        <v>27078</v>
      </c>
      <c r="C11773" s="29" t="s">
        <v>26</v>
      </c>
      <c r="D11773" s="31">
        <v>559.15</v>
      </c>
      <c r="F11773" s="3" t="str">
        <f t="shared" si="183"/>
        <v>I4040</v>
      </c>
    </row>
    <row r="11774" spans="1:6" x14ac:dyDescent="0.2">
      <c r="A11774" s="29" t="s">
        <v>27079</v>
      </c>
      <c r="B11774" s="30" t="s">
        <v>27080</v>
      </c>
      <c r="C11774" s="29" t="s">
        <v>26</v>
      </c>
      <c r="D11774" s="31">
        <v>501.33</v>
      </c>
      <c r="F11774" s="3" t="str">
        <f t="shared" si="183"/>
        <v>I11255</v>
      </c>
    </row>
    <row r="11775" spans="1:6" x14ac:dyDescent="0.2">
      <c r="A11775" s="29" t="s">
        <v>27081</v>
      </c>
      <c r="B11775" s="30" t="s">
        <v>27082</v>
      </c>
      <c r="C11775" s="29" t="s">
        <v>26</v>
      </c>
      <c r="D11775" s="31">
        <v>357.33</v>
      </c>
      <c r="F11775" s="3" t="str">
        <f t="shared" si="183"/>
        <v>I11254</v>
      </c>
    </row>
    <row r="11776" spans="1:6" x14ac:dyDescent="0.2">
      <c r="A11776" s="29" t="s">
        <v>27083</v>
      </c>
      <c r="B11776" s="30" t="s">
        <v>27084</v>
      </c>
      <c r="C11776" s="29" t="s">
        <v>26</v>
      </c>
      <c r="D11776" s="31">
        <v>569.30999999999995</v>
      </c>
      <c r="F11776" s="3" t="str">
        <f t="shared" si="183"/>
        <v>I4039</v>
      </c>
    </row>
    <row r="11777" spans="1:6" x14ac:dyDescent="0.2">
      <c r="A11777" s="29" t="s">
        <v>27085</v>
      </c>
      <c r="B11777" s="30" t="s">
        <v>27086</v>
      </c>
      <c r="C11777" s="29" t="s">
        <v>26</v>
      </c>
      <c r="D11777" s="31">
        <v>569.30999999999995</v>
      </c>
      <c r="F11777" s="3" t="str">
        <f t="shared" si="183"/>
        <v>I7144</v>
      </c>
    </row>
    <row r="11778" spans="1:6" x14ac:dyDescent="0.2">
      <c r="A11778" s="29" t="s">
        <v>27087</v>
      </c>
      <c r="B11778" s="30" t="s">
        <v>27088</v>
      </c>
      <c r="C11778" s="29" t="s">
        <v>26</v>
      </c>
      <c r="D11778" s="31">
        <v>635.70000000000005</v>
      </c>
      <c r="F11778" s="3" t="str">
        <f t="shared" ref="F11778:F11841" si="184">A11778</f>
        <v>I4041</v>
      </c>
    </row>
    <row r="11779" spans="1:6" x14ac:dyDescent="0.2">
      <c r="A11779" s="29" t="s">
        <v>27089</v>
      </c>
      <c r="B11779" s="30" t="s">
        <v>27090</v>
      </c>
      <c r="C11779" s="29" t="s">
        <v>26</v>
      </c>
      <c r="D11779" s="31">
        <v>713.38</v>
      </c>
      <c r="F11779" s="3" t="str">
        <f t="shared" si="184"/>
        <v>I4042</v>
      </c>
    </row>
    <row r="11780" spans="1:6" x14ac:dyDescent="0.2">
      <c r="A11780" s="29" t="s">
        <v>27091</v>
      </c>
      <c r="B11780" s="30" t="s">
        <v>27092</v>
      </c>
      <c r="C11780" s="29" t="s">
        <v>26</v>
      </c>
      <c r="D11780" s="31">
        <v>369.84</v>
      </c>
      <c r="F11780" s="3" t="str">
        <f t="shared" si="184"/>
        <v>I11256</v>
      </c>
    </row>
    <row r="11781" spans="1:6" x14ac:dyDescent="0.2">
      <c r="A11781" s="29" t="s">
        <v>27093</v>
      </c>
      <c r="B11781" s="30" t="s">
        <v>27094</v>
      </c>
      <c r="C11781" s="29" t="s">
        <v>26</v>
      </c>
      <c r="D11781" s="31">
        <v>501.33</v>
      </c>
      <c r="F11781" s="3" t="str">
        <f t="shared" si="184"/>
        <v>I11257</v>
      </c>
    </row>
    <row r="11782" spans="1:6" x14ac:dyDescent="0.2">
      <c r="A11782" s="29" t="s">
        <v>27095</v>
      </c>
      <c r="B11782" s="30" t="s">
        <v>27096</v>
      </c>
      <c r="C11782" s="29" t="s">
        <v>26</v>
      </c>
      <c r="D11782" s="31">
        <v>524.34</v>
      </c>
      <c r="F11782" s="3" t="str">
        <f t="shared" si="184"/>
        <v>I7145</v>
      </c>
    </row>
    <row r="11783" spans="1:6" x14ac:dyDescent="0.2">
      <c r="A11783" s="29" t="s">
        <v>27097</v>
      </c>
      <c r="B11783" s="30" t="s">
        <v>27098</v>
      </c>
      <c r="C11783" s="29" t="s">
        <v>26</v>
      </c>
      <c r="D11783" s="31">
        <v>783.18</v>
      </c>
      <c r="F11783" s="3" t="str">
        <f t="shared" si="184"/>
        <v>I11260</v>
      </c>
    </row>
    <row r="11784" spans="1:6" x14ac:dyDescent="0.2">
      <c r="A11784" s="29" t="s">
        <v>27099</v>
      </c>
      <c r="B11784" s="30" t="s">
        <v>27100</v>
      </c>
      <c r="C11784" s="29" t="s">
        <v>26</v>
      </c>
      <c r="D11784" s="31">
        <v>945.29</v>
      </c>
      <c r="F11784" s="3" t="str">
        <f t="shared" si="184"/>
        <v>I4044</v>
      </c>
    </row>
    <row r="11785" spans="1:6" x14ac:dyDescent="0.2">
      <c r="A11785" s="29" t="s">
        <v>27101</v>
      </c>
      <c r="B11785" s="30" t="s">
        <v>27102</v>
      </c>
      <c r="C11785" s="29" t="s">
        <v>26</v>
      </c>
      <c r="D11785" s="31">
        <v>908.88</v>
      </c>
      <c r="F11785" s="3" t="str">
        <f t="shared" si="184"/>
        <v>I4045</v>
      </c>
    </row>
    <row r="11786" spans="1:6" x14ac:dyDescent="0.2">
      <c r="A11786" s="29" t="s">
        <v>27103</v>
      </c>
      <c r="B11786" s="30" t="s">
        <v>27104</v>
      </c>
      <c r="C11786" s="29" t="s">
        <v>26</v>
      </c>
      <c r="D11786" s="31">
        <v>870.19</v>
      </c>
      <c r="F11786" s="3" t="str">
        <f t="shared" si="184"/>
        <v>I11258</v>
      </c>
    </row>
    <row r="11787" spans="1:6" x14ac:dyDescent="0.2">
      <c r="A11787" s="29" t="s">
        <v>27105</v>
      </c>
      <c r="B11787" s="30" t="s">
        <v>27106</v>
      </c>
      <c r="C11787" s="29" t="s">
        <v>26</v>
      </c>
      <c r="D11787" s="31">
        <v>926.77</v>
      </c>
      <c r="F11787" s="3" t="str">
        <f t="shared" si="184"/>
        <v>I11259</v>
      </c>
    </row>
    <row r="11788" spans="1:6" x14ac:dyDescent="0.2">
      <c r="A11788" s="29" t="s">
        <v>27107</v>
      </c>
      <c r="B11788" s="30" t="s">
        <v>27108</v>
      </c>
      <c r="C11788" s="29" t="s">
        <v>26</v>
      </c>
      <c r="D11788" s="31">
        <v>1145.0899999999999</v>
      </c>
      <c r="F11788" s="3" t="str">
        <f t="shared" si="184"/>
        <v>I4047</v>
      </c>
    </row>
    <row r="11789" spans="1:6" x14ac:dyDescent="0.2">
      <c r="A11789" s="29" t="s">
        <v>27109</v>
      </c>
      <c r="B11789" s="30" t="s">
        <v>27110</v>
      </c>
      <c r="C11789" s="29" t="s">
        <v>26</v>
      </c>
      <c r="D11789" s="31">
        <v>1196.52</v>
      </c>
      <c r="F11789" s="3" t="str">
        <f t="shared" si="184"/>
        <v>I11262</v>
      </c>
    </row>
    <row r="11790" spans="1:6" x14ac:dyDescent="0.2">
      <c r="A11790" s="29" t="s">
        <v>27111</v>
      </c>
      <c r="B11790" s="30" t="s">
        <v>27112</v>
      </c>
      <c r="C11790" s="29" t="s">
        <v>26</v>
      </c>
      <c r="D11790" s="31">
        <v>1113.08</v>
      </c>
      <c r="F11790" s="3" t="str">
        <f t="shared" si="184"/>
        <v>I4046</v>
      </c>
    </row>
    <row r="11791" spans="1:6" x14ac:dyDescent="0.2">
      <c r="A11791" s="29" t="s">
        <v>27113</v>
      </c>
      <c r="B11791" s="30" t="s">
        <v>27114</v>
      </c>
      <c r="C11791" s="29" t="s">
        <v>26</v>
      </c>
      <c r="D11791" s="31">
        <v>1258.8</v>
      </c>
      <c r="F11791" s="3" t="str">
        <f t="shared" si="184"/>
        <v>I4048</v>
      </c>
    </row>
    <row r="11792" spans="1:6" x14ac:dyDescent="0.2">
      <c r="A11792" s="29" t="s">
        <v>27115</v>
      </c>
      <c r="B11792" s="30" t="s">
        <v>27116</v>
      </c>
      <c r="C11792" s="29" t="s">
        <v>26</v>
      </c>
      <c r="D11792" s="31">
        <v>1305.3</v>
      </c>
      <c r="F11792" s="3" t="str">
        <f t="shared" si="184"/>
        <v>I11261</v>
      </c>
    </row>
    <row r="11793" spans="1:6" x14ac:dyDescent="0.2">
      <c r="A11793" s="29" t="s">
        <v>27117</v>
      </c>
      <c r="B11793" s="30" t="s">
        <v>27118</v>
      </c>
      <c r="C11793" s="29" t="s">
        <v>26</v>
      </c>
      <c r="D11793" s="31">
        <v>1218.73</v>
      </c>
      <c r="F11793" s="3" t="str">
        <f t="shared" si="184"/>
        <v>I4049</v>
      </c>
    </row>
    <row r="11794" spans="1:6" x14ac:dyDescent="0.2">
      <c r="A11794" s="29" t="s">
        <v>27119</v>
      </c>
      <c r="B11794" s="30" t="s">
        <v>27120</v>
      </c>
      <c r="C11794" s="29" t="s">
        <v>26</v>
      </c>
      <c r="D11794" s="31">
        <v>1307.04</v>
      </c>
      <c r="F11794" s="3" t="str">
        <f t="shared" si="184"/>
        <v>I4050</v>
      </c>
    </row>
    <row r="11795" spans="1:6" x14ac:dyDescent="0.2">
      <c r="A11795" s="29" t="s">
        <v>27121</v>
      </c>
      <c r="B11795" s="30" t="s">
        <v>27122</v>
      </c>
      <c r="C11795" s="29" t="s">
        <v>26</v>
      </c>
      <c r="D11795" s="31">
        <v>1606.87</v>
      </c>
      <c r="F11795" s="3" t="str">
        <f t="shared" si="184"/>
        <v>I4051</v>
      </c>
    </row>
    <row r="11796" spans="1:6" x14ac:dyDescent="0.2">
      <c r="A11796" s="29" t="s">
        <v>27123</v>
      </c>
      <c r="B11796" s="30" t="s">
        <v>27124</v>
      </c>
      <c r="C11796" s="29" t="s">
        <v>26</v>
      </c>
      <c r="D11796" s="31">
        <v>1837.08</v>
      </c>
      <c r="F11796" s="3" t="str">
        <f t="shared" si="184"/>
        <v>I11263</v>
      </c>
    </row>
    <row r="11797" spans="1:6" x14ac:dyDescent="0.2">
      <c r="A11797" s="29" t="s">
        <v>27125</v>
      </c>
      <c r="B11797" s="30" t="s">
        <v>27126</v>
      </c>
      <c r="C11797" s="29" t="s">
        <v>26</v>
      </c>
      <c r="D11797" s="31">
        <v>2223.83</v>
      </c>
      <c r="F11797" s="3" t="str">
        <f t="shared" si="184"/>
        <v>I11264</v>
      </c>
    </row>
    <row r="11798" spans="1:6" x14ac:dyDescent="0.2">
      <c r="A11798" s="29" t="s">
        <v>27127</v>
      </c>
      <c r="B11798" s="30" t="s">
        <v>27128</v>
      </c>
      <c r="C11798" s="29" t="s">
        <v>26</v>
      </c>
      <c r="D11798" s="31">
        <v>2492.42</v>
      </c>
      <c r="F11798" s="3" t="str">
        <f t="shared" si="184"/>
        <v>I4052</v>
      </c>
    </row>
    <row r="11799" spans="1:6" x14ac:dyDescent="0.2">
      <c r="A11799" s="29" t="s">
        <v>27129</v>
      </c>
      <c r="B11799" s="30" t="s">
        <v>27130</v>
      </c>
      <c r="C11799" s="29" t="s">
        <v>26</v>
      </c>
      <c r="D11799" s="31">
        <v>2381.35</v>
      </c>
      <c r="F11799" s="3" t="str">
        <f t="shared" si="184"/>
        <v>I4053</v>
      </c>
    </row>
    <row r="11800" spans="1:6" x14ac:dyDescent="0.2">
      <c r="A11800" s="29" t="s">
        <v>27131</v>
      </c>
      <c r="B11800" s="30" t="s">
        <v>27132</v>
      </c>
      <c r="C11800" s="29" t="s">
        <v>26</v>
      </c>
      <c r="D11800" s="31">
        <v>1992.41</v>
      </c>
      <c r="F11800" s="3" t="str">
        <f t="shared" si="184"/>
        <v>I4054</v>
      </c>
    </row>
    <row r="11801" spans="1:6" x14ac:dyDescent="0.2">
      <c r="A11801" s="29" t="s">
        <v>27133</v>
      </c>
      <c r="B11801" s="30" t="s">
        <v>27134</v>
      </c>
      <c r="C11801" s="29" t="s">
        <v>26</v>
      </c>
      <c r="D11801" s="31">
        <v>2578.69</v>
      </c>
      <c r="F11801" s="3" t="str">
        <f t="shared" si="184"/>
        <v>I11265</v>
      </c>
    </row>
    <row r="11802" spans="1:6" x14ac:dyDescent="0.2">
      <c r="A11802" s="29" t="s">
        <v>27135</v>
      </c>
      <c r="B11802" s="30" t="s">
        <v>27136</v>
      </c>
      <c r="C11802" s="29" t="s">
        <v>26</v>
      </c>
      <c r="D11802" s="31">
        <v>3553.31</v>
      </c>
      <c r="F11802" s="3" t="str">
        <f t="shared" si="184"/>
        <v>I11266</v>
      </c>
    </row>
    <row r="11803" spans="1:6" x14ac:dyDescent="0.2">
      <c r="A11803" s="29" t="s">
        <v>27137</v>
      </c>
      <c r="B11803" s="30" t="s">
        <v>27138</v>
      </c>
      <c r="C11803" s="29" t="s">
        <v>26</v>
      </c>
      <c r="D11803" s="31">
        <v>2360.4</v>
      </c>
      <c r="F11803" s="3" t="str">
        <f t="shared" si="184"/>
        <v>I11267</v>
      </c>
    </row>
    <row r="11804" spans="1:6" x14ac:dyDescent="0.2">
      <c r="A11804" s="29" t="s">
        <v>27139</v>
      </c>
      <c r="B11804" s="30" t="s">
        <v>27140</v>
      </c>
      <c r="C11804" s="29" t="s">
        <v>26</v>
      </c>
      <c r="D11804" s="31">
        <v>4060.91</v>
      </c>
      <c r="F11804" s="3" t="str">
        <f t="shared" si="184"/>
        <v>I11268</v>
      </c>
    </row>
    <row r="11805" spans="1:6" x14ac:dyDescent="0.2">
      <c r="A11805" s="29" t="s">
        <v>27141</v>
      </c>
      <c r="B11805" s="30" t="s">
        <v>27142</v>
      </c>
      <c r="C11805" s="29" t="s">
        <v>26</v>
      </c>
      <c r="D11805" s="31">
        <v>4060.91</v>
      </c>
      <c r="F11805" s="3" t="str">
        <f t="shared" si="184"/>
        <v>I11269</v>
      </c>
    </row>
    <row r="11806" spans="1:6" x14ac:dyDescent="0.2">
      <c r="A11806" s="29" t="s">
        <v>27143</v>
      </c>
      <c r="B11806" s="30" t="s">
        <v>27144</v>
      </c>
      <c r="C11806" s="29" t="s">
        <v>26</v>
      </c>
      <c r="D11806" s="31">
        <v>3299.5</v>
      </c>
      <c r="F11806" s="3" t="str">
        <f t="shared" si="184"/>
        <v>I11270</v>
      </c>
    </row>
    <row r="11807" spans="1:6" x14ac:dyDescent="0.2">
      <c r="A11807" s="29" t="s">
        <v>27145</v>
      </c>
      <c r="B11807" s="30" t="s">
        <v>27146</v>
      </c>
      <c r="C11807" s="29" t="s">
        <v>26</v>
      </c>
      <c r="D11807" s="31">
        <v>2944.16</v>
      </c>
      <c r="F11807" s="3" t="str">
        <f t="shared" si="184"/>
        <v>I11271</v>
      </c>
    </row>
    <row r="11808" spans="1:6" x14ac:dyDescent="0.2">
      <c r="A11808" s="29" t="s">
        <v>27147</v>
      </c>
      <c r="B11808" s="30" t="s">
        <v>27148</v>
      </c>
      <c r="C11808" s="29" t="s">
        <v>26</v>
      </c>
      <c r="D11808" s="31">
        <v>3959.39</v>
      </c>
      <c r="F11808" s="3" t="str">
        <f t="shared" si="184"/>
        <v>I4055</v>
      </c>
    </row>
    <row r="11809" spans="1:6" x14ac:dyDescent="0.2">
      <c r="A11809" s="29" t="s">
        <v>27149</v>
      </c>
      <c r="B11809" s="30" t="s">
        <v>27150</v>
      </c>
      <c r="C11809" s="29" t="s">
        <v>26</v>
      </c>
      <c r="D11809" s="31">
        <v>3576.17</v>
      </c>
      <c r="F11809" s="3" t="str">
        <f t="shared" si="184"/>
        <v>I4056</v>
      </c>
    </row>
    <row r="11810" spans="1:6" x14ac:dyDescent="0.2">
      <c r="A11810" s="29" t="s">
        <v>27151</v>
      </c>
      <c r="B11810" s="30" t="s">
        <v>27152</v>
      </c>
      <c r="C11810" s="29" t="s">
        <v>26</v>
      </c>
      <c r="D11810" s="31">
        <v>3959.39</v>
      </c>
      <c r="F11810" s="3" t="str">
        <f t="shared" si="184"/>
        <v>I11272</v>
      </c>
    </row>
    <row r="11811" spans="1:6" x14ac:dyDescent="0.2">
      <c r="A11811" s="29" t="s">
        <v>27153</v>
      </c>
      <c r="B11811" s="30" t="s">
        <v>27154</v>
      </c>
      <c r="C11811" s="29" t="s">
        <v>26</v>
      </c>
      <c r="D11811" s="31">
        <v>4409</v>
      </c>
      <c r="F11811" s="3" t="str">
        <f t="shared" si="184"/>
        <v>I11273</v>
      </c>
    </row>
    <row r="11812" spans="1:6" x14ac:dyDescent="0.2">
      <c r="A11812" s="29" t="s">
        <v>27155</v>
      </c>
      <c r="B11812" s="30" t="s">
        <v>27156</v>
      </c>
      <c r="C11812" s="29" t="s">
        <v>26</v>
      </c>
      <c r="D11812" s="31">
        <v>5221.18</v>
      </c>
      <c r="F11812" s="3" t="str">
        <f t="shared" si="184"/>
        <v>I11274</v>
      </c>
    </row>
    <row r="11813" spans="1:6" x14ac:dyDescent="0.2">
      <c r="A11813" s="29" t="s">
        <v>27157</v>
      </c>
      <c r="B11813" s="30" t="s">
        <v>27158</v>
      </c>
      <c r="C11813" s="29" t="s">
        <v>26</v>
      </c>
      <c r="D11813" s="31">
        <v>12996.44</v>
      </c>
      <c r="F11813" s="3" t="str">
        <f t="shared" si="184"/>
        <v>I4057</v>
      </c>
    </row>
    <row r="11814" spans="1:6" x14ac:dyDescent="0.2">
      <c r="A11814" s="29" t="s">
        <v>27159</v>
      </c>
      <c r="B11814" s="30" t="s">
        <v>27160</v>
      </c>
      <c r="C11814" s="29" t="s">
        <v>26</v>
      </c>
      <c r="D11814" s="31">
        <v>11449.44</v>
      </c>
      <c r="F11814" s="3" t="str">
        <f t="shared" si="184"/>
        <v>I11275</v>
      </c>
    </row>
    <row r="11815" spans="1:6" x14ac:dyDescent="0.2">
      <c r="A11815" s="29" t="s">
        <v>27161</v>
      </c>
      <c r="B11815" s="30" t="s">
        <v>27162</v>
      </c>
      <c r="C11815" s="29" t="s">
        <v>26</v>
      </c>
      <c r="D11815" s="31">
        <v>11755.42</v>
      </c>
      <c r="F11815" s="3" t="str">
        <f t="shared" si="184"/>
        <v>I4058</v>
      </c>
    </row>
    <row r="11816" spans="1:6" x14ac:dyDescent="0.2">
      <c r="A11816" s="29" t="s">
        <v>27163</v>
      </c>
      <c r="B11816" s="30" t="s">
        <v>27164</v>
      </c>
      <c r="C11816" s="29" t="s">
        <v>26</v>
      </c>
      <c r="D11816" s="31">
        <v>5530.59</v>
      </c>
      <c r="F11816" s="3" t="str">
        <f t="shared" si="184"/>
        <v>I11276</v>
      </c>
    </row>
    <row r="11817" spans="1:6" x14ac:dyDescent="0.2">
      <c r="A11817" s="29" t="s">
        <v>27165</v>
      </c>
      <c r="B11817" s="30" t="s">
        <v>27166</v>
      </c>
      <c r="C11817" s="29" t="s">
        <v>26</v>
      </c>
      <c r="D11817" s="31">
        <v>7541.69</v>
      </c>
      <c r="F11817" s="3" t="str">
        <f t="shared" si="184"/>
        <v>I11277</v>
      </c>
    </row>
    <row r="11818" spans="1:6" x14ac:dyDescent="0.2">
      <c r="A11818" s="29" t="s">
        <v>27167</v>
      </c>
      <c r="B11818" s="30" t="s">
        <v>27168</v>
      </c>
      <c r="C11818" s="29" t="s">
        <v>26</v>
      </c>
      <c r="D11818" s="31">
        <v>249.46</v>
      </c>
      <c r="F11818" s="3" t="str">
        <f t="shared" si="184"/>
        <v>I7146</v>
      </c>
    </row>
    <row r="11819" spans="1:6" x14ac:dyDescent="0.2">
      <c r="A11819" s="29" t="s">
        <v>27169</v>
      </c>
      <c r="B11819" s="30" t="s">
        <v>27170</v>
      </c>
      <c r="C11819" s="29" t="s">
        <v>26</v>
      </c>
      <c r="D11819" s="31">
        <v>303.06</v>
      </c>
      <c r="F11819" s="3" t="str">
        <f t="shared" si="184"/>
        <v>I11253</v>
      </c>
    </row>
    <row r="11820" spans="1:6" x14ac:dyDescent="0.2">
      <c r="A11820" s="29" t="s">
        <v>27171</v>
      </c>
      <c r="B11820" s="30" t="s">
        <v>27172</v>
      </c>
      <c r="C11820" s="29" t="s">
        <v>26</v>
      </c>
      <c r="D11820" s="31">
        <v>14890.02</v>
      </c>
      <c r="F11820" s="3" t="str">
        <f t="shared" si="184"/>
        <v>I11278</v>
      </c>
    </row>
    <row r="11821" spans="1:6" x14ac:dyDescent="0.2">
      <c r="A11821" s="29" t="s">
        <v>27173</v>
      </c>
      <c r="B11821" s="30" t="s">
        <v>27174</v>
      </c>
      <c r="C11821" s="29" t="s">
        <v>26</v>
      </c>
      <c r="D11821" s="31">
        <v>9137.0499999999993</v>
      </c>
      <c r="F11821" s="3" t="str">
        <f t="shared" si="184"/>
        <v>I11279</v>
      </c>
    </row>
    <row r="11822" spans="1:6" x14ac:dyDescent="0.2">
      <c r="A11822" s="29" t="s">
        <v>27175</v>
      </c>
      <c r="B11822" s="30" t="s">
        <v>27176</v>
      </c>
      <c r="C11822" s="29" t="s">
        <v>26</v>
      </c>
      <c r="D11822" s="31">
        <v>45.38</v>
      </c>
      <c r="F11822" s="3" t="str">
        <f t="shared" si="184"/>
        <v>I3138</v>
      </c>
    </row>
    <row r="11823" spans="1:6" x14ac:dyDescent="0.2">
      <c r="A11823" s="29" t="s">
        <v>27177</v>
      </c>
      <c r="B11823" s="30" t="s">
        <v>27178</v>
      </c>
      <c r="C11823" s="29" t="s">
        <v>26</v>
      </c>
      <c r="D11823" s="31">
        <v>20.38</v>
      </c>
      <c r="F11823" s="3" t="str">
        <f t="shared" si="184"/>
        <v>I3140</v>
      </c>
    </row>
    <row r="11824" spans="1:6" x14ac:dyDescent="0.2">
      <c r="A11824" s="29" t="s">
        <v>27179</v>
      </c>
      <c r="B11824" s="30" t="s">
        <v>27180</v>
      </c>
      <c r="C11824" s="29" t="s">
        <v>26</v>
      </c>
      <c r="D11824" s="31">
        <v>22.42</v>
      </c>
      <c r="F11824" s="3" t="str">
        <f t="shared" si="184"/>
        <v>I3141</v>
      </c>
    </row>
    <row r="11825" spans="1:6" x14ac:dyDescent="0.2">
      <c r="A11825" s="29" t="s">
        <v>27181</v>
      </c>
      <c r="B11825" s="30" t="s">
        <v>27182</v>
      </c>
      <c r="C11825" s="29" t="s">
        <v>26</v>
      </c>
      <c r="D11825" s="31">
        <v>11.38</v>
      </c>
      <c r="F11825" s="3" t="str">
        <f t="shared" si="184"/>
        <v>I3139</v>
      </c>
    </row>
    <row r="11826" spans="1:6" x14ac:dyDescent="0.2">
      <c r="A11826" s="29" t="s">
        <v>27183</v>
      </c>
      <c r="B11826" s="30" t="s">
        <v>27184</v>
      </c>
      <c r="C11826" s="29" t="s">
        <v>26</v>
      </c>
      <c r="D11826" s="31">
        <v>527.32000000000005</v>
      </c>
      <c r="F11826" s="3" t="str">
        <f t="shared" si="184"/>
        <v>I5798</v>
      </c>
    </row>
    <row r="11827" spans="1:6" x14ac:dyDescent="0.2">
      <c r="A11827" s="29" t="s">
        <v>27185</v>
      </c>
      <c r="B11827" s="30" t="s">
        <v>27186</v>
      </c>
      <c r="C11827" s="29" t="s">
        <v>26</v>
      </c>
      <c r="D11827" s="31">
        <v>860.58</v>
      </c>
      <c r="F11827" s="3" t="str">
        <f t="shared" si="184"/>
        <v>I5799</v>
      </c>
    </row>
    <row r="11828" spans="1:6" x14ac:dyDescent="0.2">
      <c r="A11828" s="29" t="s">
        <v>27187</v>
      </c>
      <c r="B11828" s="30" t="s">
        <v>27188</v>
      </c>
      <c r="C11828" s="29" t="s">
        <v>26</v>
      </c>
      <c r="D11828" s="31">
        <v>865.47</v>
      </c>
      <c r="F11828" s="3" t="str">
        <f t="shared" si="184"/>
        <v>I5800</v>
      </c>
    </row>
    <row r="11829" spans="1:6" x14ac:dyDescent="0.2">
      <c r="A11829" s="29" t="s">
        <v>27189</v>
      </c>
      <c r="B11829" s="30" t="s">
        <v>27190</v>
      </c>
      <c r="C11829" s="29" t="s">
        <v>26</v>
      </c>
      <c r="D11829" s="31">
        <v>1212.6400000000001</v>
      </c>
      <c r="F11829" s="3" t="str">
        <f t="shared" si="184"/>
        <v>I5801</v>
      </c>
    </row>
    <row r="11830" spans="1:6" x14ac:dyDescent="0.2">
      <c r="A11830" s="29" t="s">
        <v>27191</v>
      </c>
      <c r="B11830" s="30" t="s">
        <v>27192</v>
      </c>
      <c r="C11830" s="29" t="s">
        <v>26</v>
      </c>
      <c r="D11830" s="31">
        <v>4.58</v>
      </c>
      <c r="F11830" s="3" t="str">
        <f t="shared" si="184"/>
        <v>I9983</v>
      </c>
    </row>
    <row r="11831" spans="1:6" x14ac:dyDescent="0.2">
      <c r="A11831" s="29" t="s">
        <v>27193</v>
      </c>
      <c r="B11831" s="30" t="s">
        <v>27194</v>
      </c>
      <c r="C11831" s="29" t="s">
        <v>26</v>
      </c>
      <c r="D11831" s="31">
        <v>111.63</v>
      </c>
      <c r="F11831" s="3" t="str">
        <f t="shared" si="184"/>
        <v>I6182</v>
      </c>
    </row>
    <row r="11832" spans="1:6" x14ac:dyDescent="0.2">
      <c r="A11832" s="29" t="s">
        <v>27195</v>
      </c>
      <c r="B11832" s="30" t="s">
        <v>27196</v>
      </c>
      <c r="C11832" s="29" t="s">
        <v>26</v>
      </c>
      <c r="D11832" s="31">
        <v>7084.43</v>
      </c>
      <c r="F11832" s="3" t="str">
        <f t="shared" si="184"/>
        <v>I5097</v>
      </c>
    </row>
    <row r="11833" spans="1:6" x14ac:dyDescent="0.2">
      <c r="A11833" s="29" t="s">
        <v>27197</v>
      </c>
      <c r="B11833" s="30" t="s">
        <v>27198</v>
      </c>
      <c r="C11833" s="29" t="s">
        <v>26</v>
      </c>
      <c r="D11833" s="31">
        <v>15441.37</v>
      </c>
      <c r="F11833" s="3" t="str">
        <f t="shared" si="184"/>
        <v>I5098</v>
      </c>
    </row>
    <row r="11834" spans="1:6" x14ac:dyDescent="0.2">
      <c r="A11834" s="29" t="s">
        <v>27199</v>
      </c>
      <c r="B11834" s="30" t="s">
        <v>27200</v>
      </c>
      <c r="C11834" s="29" t="s">
        <v>26</v>
      </c>
      <c r="D11834" s="31">
        <v>24495.26</v>
      </c>
      <c r="F11834" s="3" t="str">
        <f t="shared" si="184"/>
        <v>I5099</v>
      </c>
    </row>
    <row r="11835" spans="1:6" x14ac:dyDescent="0.2">
      <c r="A11835" s="29" t="s">
        <v>27201</v>
      </c>
      <c r="B11835" s="30" t="s">
        <v>27202</v>
      </c>
      <c r="C11835" s="29" t="s">
        <v>26</v>
      </c>
      <c r="D11835" s="31">
        <v>29724.28</v>
      </c>
      <c r="F11835" s="3" t="str">
        <f t="shared" si="184"/>
        <v>I5100</v>
      </c>
    </row>
    <row r="11836" spans="1:6" x14ac:dyDescent="0.2">
      <c r="A11836" s="29" t="s">
        <v>27203</v>
      </c>
      <c r="B11836" s="30" t="s">
        <v>27204</v>
      </c>
      <c r="C11836" s="29" t="s">
        <v>26</v>
      </c>
      <c r="D11836" s="31">
        <v>38427.370000000003</v>
      </c>
      <c r="F11836" s="3" t="str">
        <f t="shared" si="184"/>
        <v>I5101</v>
      </c>
    </row>
    <row r="11837" spans="1:6" x14ac:dyDescent="0.2">
      <c r="A11837" s="29" t="s">
        <v>27205</v>
      </c>
      <c r="B11837" s="30" t="s">
        <v>27206</v>
      </c>
      <c r="C11837" s="29" t="s">
        <v>26</v>
      </c>
      <c r="D11837" s="31">
        <v>23499.47</v>
      </c>
      <c r="F11837" s="3" t="str">
        <f t="shared" si="184"/>
        <v>I5315</v>
      </c>
    </row>
    <row r="11838" spans="1:6" x14ac:dyDescent="0.2">
      <c r="A11838" s="29" t="s">
        <v>27207</v>
      </c>
      <c r="B11838" s="30" t="s">
        <v>27208</v>
      </c>
      <c r="C11838" s="29" t="s">
        <v>26</v>
      </c>
      <c r="D11838" s="31">
        <v>25613.35</v>
      </c>
      <c r="F11838" s="3" t="str">
        <f t="shared" si="184"/>
        <v>I5316</v>
      </c>
    </row>
    <row r="11839" spans="1:6" x14ac:dyDescent="0.2">
      <c r="A11839" s="29" t="s">
        <v>27209</v>
      </c>
      <c r="B11839" s="30" t="s">
        <v>27210</v>
      </c>
      <c r="C11839" s="29" t="s">
        <v>26</v>
      </c>
      <c r="D11839" s="31">
        <v>38076.42</v>
      </c>
      <c r="F11839" s="3" t="str">
        <f t="shared" si="184"/>
        <v>I5317</v>
      </c>
    </row>
    <row r="11840" spans="1:6" x14ac:dyDescent="0.2">
      <c r="A11840" s="29" t="s">
        <v>27211</v>
      </c>
      <c r="B11840" s="30" t="s">
        <v>27212</v>
      </c>
      <c r="C11840" s="29" t="s">
        <v>26</v>
      </c>
      <c r="D11840" s="31">
        <v>40607.07</v>
      </c>
      <c r="F11840" s="3" t="str">
        <f t="shared" si="184"/>
        <v>I5318</v>
      </c>
    </row>
    <row r="11841" spans="1:6" x14ac:dyDescent="0.2">
      <c r="A11841" s="29" t="s">
        <v>27213</v>
      </c>
      <c r="B11841" s="30" t="s">
        <v>27214</v>
      </c>
      <c r="C11841" s="29" t="s">
        <v>26</v>
      </c>
      <c r="D11841" s="31">
        <v>52741.45</v>
      </c>
      <c r="F11841" s="3" t="str">
        <f t="shared" si="184"/>
        <v>I5319</v>
      </c>
    </row>
    <row r="11842" spans="1:6" x14ac:dyDescent="0.2">
      <c r="A11842" s="29" t="s">
        <v>27215</v>
      </c>
      <c r="B11842" s="30" t="s">
        <v>27216</v>
      </c>
      <c r="C11842" s="29" t="s">
        <v>26</v>
      </c>
      <c r="D11842" s="31">
        <v>3524.36</v>
      </c>
      <c r="F11842" s="3" t="str">
        <f t="shared" ref="F11842:F11905" si="185">A11842</f>
        <v>I9995</v>
      </c>
    </row>
    <row r="11843" spans="1:6" x14ac:dyDescent="0.2">
      <c r="A11843" s="29" t="s">
        <v>27217</v>
      </c>
      <c r="B11843" s="30" t="s">
        <v>27218</v>
      </c>
      <c r="C11843" s="29" t="s">
        <v>26</v>
      </c>
      <c r="D11843" s="31">
        <v>1629.35</v>
      </c>
      <c r="F11843" s="3" t="str">
        <f t="shared" si="185"/>
        <v>I9991</v>
      </c>
    </row>
    <row r="11844" spans="1:6" x14ac:dyDescent="0.2">
      <c r="A11844" s="29" t="s">
        <v>27219</v>
      </c>
      <c r="B11844" s="30" t="s">
        <v>27220</v>
      </c>
      <c r="C11844" s="29" t="s">
        <v>26</v>
      </c>
      <c r="D11844" s="31">
        <v>25.87</v>
      </c>
      <c r="F11844" s="3" t="str">
        <f t="shared" si="185"/>
        <v>I6185</v>
      </c>
    </row>
    <row r="11845" spans="1:6" x14ac:dyDescent="0.2">
      <c r="A11845" s="29" t="s">
        <v>27221</v>
      </c>
      <c r="B11845" s="30" t="s">
        <v>17847</v>
      </c>
      <c r="C11845" s="29" t="s">
        <v>26</v>
      </c>
      <c r="D11845" s="31">
        <v>14.88</v>
      </c>
      <c r="F11845" s="3" t="str">
        <f t="shared" si="185"/>
        <v>I6186</v>
      </c>
    </row>
    <row r="11846" spans="1:6" x14ac:dyDescent="0.2">
      <c r="A11846" s="29" t="s">
        <v>27222</v>
      </c>
      <c r="B11846" s="30" t="s">
        <v>27223</v>
      </c>
      <c r="C11846" s="29" t="s">
        <v>26</v>
      </c>
      <c r="D11846" s="31">
        <v>15.04</v>
      </c>
      <c r="F11846" s="3" t="str">
        <f t="shared" si="185"/>
        <v>I6183</v>
      </c>
    </row>
    <row r="11847" spans="1:6" x14ac:dyDescent="0.2">
      <c r="A11847" s="29" t="s">
        <v>27224</v>
      </c>
      <c r="B11847" s="30" t="s">
        <v>27225</v>
      </c>
      <c r="C11847" s="29" t="s">
        <v>26</v>
      </c>
      <c r="D11847" s="31">
        <v>19.8</v>
      </c>
      <c r="F11847" s="3" t="str">
        <f t="shared" si="185"/>
        <v>I6184</v>
      </c>
    </row>
    <row r="11848" spans="1:6" x14ac:dyDescent="0.2">
      <c r="A11848" s="29" t="s">
        <v>27226</v>
      </c>
      <c r="B11848" s="30" t="s">
        <v>27227</v>
      </c>
      <c r="C11848" s="29" t="s">
        <v>26</v>
      </c>
      <c r="D11848" s="31">
        <v>82.3</v>
      </c>
      <c r="F11848" s="3" t="str">
        <f t="shared" si="185"/>
        <v>I9985</v>
      </c>
    </row>
    <row r="11849" spans="1:6" ht="22.5" x14ac:dyDescent="0.2">
      <c r="A11849" s="29" t="s">
        <v>27228</v>
      </c>
      <c r="B11849" s="30" t="s">
        <v>27229</v>
      </c>
      <c r="C11849" s="29" t="s">
        <v>26</v>
      </c>
      <c r="D11849" s="31">
        <v>1671.16</v>
      </c>
      <c r="F11849" s="3" t="str">
        <f t="shared" si="185"/>
        <v>I5054</v>
      </c>
    </row>
    <row r="11850" spans="1:6" ht="22.5" x14ac:dyDescent="0.2">
      <c r="A11850" s="29" t="s">
        <v>27230</v>
      </c>
      <c r="B11850" s="30" t="s">
        <v>27231</v>
      </c>
      <c r="C11850" s="29" t="s">
        <v>26</v>
      </c>
      <c r="D11850" s="31">
        <v>2882.75</v>
      </c>
      <c r="F11850" s="3" t="str">
        <f t="shared" si="185"/>
        <v>I5058</v>
      </c>
    </row>
    <row r="11851" spans="1:6" ht="22.5" x14ac:dyDescent="0.2">
      <c r="A11851" s="29" t="s">
        <v>27232</v>
      </c>
      <c r="B11851" s="30" t="s">
        <v>27233</v>
      </c>
      <c r="C11851" s="29" t="s">
        <v>26</v>
      </c>
      <c r="D11851" s="31">
        <v>4291.28</v>
      </c>
      <c r="F11851" s="3" t="str">
        <f t="shared" si="185"/>
        <v>I5059</v>
      </c>
    </row>
    <row r="11852" spans="1:6" ht="22.5" x14ac:dyDescent="0.2">
      <c r="A11852" s="29" t="s">
        <v>27234</v>
      </c>
      <c r="B11852" s="30" t="s">
        <v>27235</v>
      </c>
      <c r="C11852" s="29" t="s">
        <v>26</v>
      </c>
      <c r="D11852" s="31">
        <v>6738.34</v>
      </c>
      <c r="F11852" s="3" t="str">
        <f t="shared" si="185"/>
        <v>I5060</v>
      </c>
    </row>
    <row r="11853" spans="1:6" ht="22.5" x14ac:dyDescent="0.2">
      <c r="A11853" s="29" t="s">
        <v>27236</v>
      </c>
      <c r="B11853" s="30" t="s">
        <v>27237</v>
      </c>
      <c r="C11853" s="29" t="s">
        <v>26</v>
      </c>
      <c r="D11853" s="31">
        <v>9274.94</v>
      </c>
      <c r="F11853" s="3" t="str">
        <f t="shared" si="185"/>
        <v>I5061</v>
      </c>
    </row>
    <row r="11854" spans="1:6" ht="22.5" x14ac:dyDescent="0.2">
      <c r="A11854" s="29" t="s">
        <v>27238</v>
      </c>
      <c r="B11854" s="30" t="s">
        <v>27239</v>
      </c>
      <c r="C11854" s="29" t="s">
        <v>26</v>
      </c>
      <c r="D11854" s="31">
        <v>12742.56</v>
      </c>
      <c r="F11854" s="3" t="str">
        <f t="shared" si="185"/>
        <v>I11322</v>
      </c>
    </row>
    <row r="11855" spans="1:6" ht="22.5" x14ac:dyDescent="0.2">
      <c r="A11855" s="29" t="s">
        <v>27240</v>
      </c>
      <c r="B11855" s="30" t="s">
        <v>27241</v>
      </c>
      <c r="C11855" s="29" t="s">
        <v>26</v>
      </c>
      <c r="D11855" s="31">
        <v>19104.919999999998</v>
      </c>
      <c r="F11855" s="3" t="str">
        <f t="shared" si="185"/>
        <v>I11323</v>
      </c>
    </row>
    <row r="11856" spans="1:6" ht="22.5" x14ac:dyDescent="0.2">
      <c r="A11856" s="29" t="s">
        <v>27242</v>
      </c>
      <c r="B11856" s="30" t="s">
        <v>27243</v>
      </c>
      <c r="C11856" s="29" t="s">
        <v>26</v>
      </c>
      <c r="D11856" s="31">
        <v>39499.01</v>
      </c>
      <c r="F11856" s="3" t="str">
        <f t="shared" si="185"/>
        <v>I11324</v>
      </c>
    </row>
    <row r="11857" spans="1:6" ht="22.5" x14ac:dyDescent="0.2">
      <c r="A11857" s="29" t="s">
        <v>27244</v>
      </c>
      <c r="B11857" s="30" t="s">
        <v>27245</v>
      </c>
      <c r="C11857" s="29" t="s">
        <v>26</v>
      </c>
      <c r="D11857" s="31">
        <v>48861.78</v>
      </c>
      <c r="F11857" s="3" t="str">
        <f t="shared" si="185"/>
        <v>I11325</v>
      </c>
    </row>
    <row r="11858" spans="1:6" ht="22.5" x14ac:dyDescent="0.2">
      <c r="A11858" s="29" t="s">
        <v>27246</v>
      </c>
      <c r="B11858" s="30" t="s">
        <v>27247</v>
      </c>
      <c r="C11858" s="29" t="s">
        <v>26</v>
      </c>
      <c r="D11858" s="31">
        <v>1420.47</v>
      </c>
      <c r="F11858" s="3" t="str">
        <f t="shared" si="185"/>
        <v>I7149</v>
      </c>
    </row>
    <row r="11859" spans="1:6" ht="22.5" x14ac:dyDescent="0.2">
      <c r="A11859" s="29" t="s">
        <v>27248</v>
      </c>
      <c r="B11859" s="30" t="s">
        <v>27249</v>
      </c>
      <c r="C11859" s="29" t="s">
        <v>26</v>
      </c>
      <c r="D11859" s="31">
        <v>1778.6</v>
      </c>
      <c r="F11859" s="3" t="str">
        <f t="shared" si="185"/>
        <v>I5090</v>
      </c>
    </row>
    <row r="11860" spans="1:6" ht="22.5" x14ac:dyDescent="0.2">
      <c r="A11860" s="29" t="s">
        <v>27250</v>
      </c>
      <c r="B11860" s="30" t="s">
        <v>27251</v>
      </c>
      <c r="C11860" s="29" t="s">
        <v>26</v>
      </c>
      <c r="D11860" s="31">
        <v>2990.19</v>
      </c>
      <c r="F11860" s="3" t="str">
        <f t="shared" si="185"/>
        <v>I5117</v>
      </c>
    </row>
    <row r="11861" spans="1:6" ht="22.5" x14ac:dyDescent="0.2">
      <c r="A11861" s="29" t="s">
        <v>27252</v>
      </c>
      <c r="B11861" s="30" t="s">
        <v>27253</v>
      </c>
      <c r="C11861" s="29" t="s">
        <v>26</v>
      </c>
      <c r="D11861" s="31">
        <v>4410.66</v>
      </c>
      <c r="F11861" s="3" t="str">
        <f t="shared" si="185"/>
        <v>I5118</v>
      </c>
    </row>
    <row r="11862" spans="1:6" ht="22.5" x14ac:dyDescent="0.2">
      <c r="A11862" s="29" t="s">
        <v>27254</v>
      </c>
      <c r="B11862" s="30" t="s">
        <v>27255</v>
      </c>
      <c r="C11862" s="29" t="s">
        <v>26</v>
      </c>
      <c r="D11862" s="31">
        <v>6857.72</v>
      </c>
      <c r="F11862" s="3" t="str">
        <f t="shared" si="185"/>
        <v>I5119</v>
      </c>
    </row>
    <row r="11863" spans="1:6" ht="22.5" x14ac:dyDescent="0.2">
      <c r="A11863" s="29" t="s">
        <v>27256</v>
      </c>
      <c r="B11863" s="30" t="s">
        <v>27257</v>
      </c>
      <c r="C11863" s="29" t="s">
        <v>26</v>
      </c>
      <c r="D11863" s="31">
        <v>9453.98</v>
      </c>
      <c r="F11863" s="3" t="str">
        <f t="shared" si="185"/>
        <v>I5120</v>
      </c>
    </row>
    <row r="11864" spans="1:6" ht="22.5" x14ac:dyDescent="0.2">
      <c r="A11864" s="29" t="s">
        <v>27258</v>
      </c>
      <c r="B11864" s="30" t="s">
        <v>27259</v>
      </c>
      <c r="C11864" s="29" t="s">
        <v>26</v>
      </c>
      <c r="D11864" s="31">
        <v>12921.65</v>
      </c>
      <c r="F11864" s="3" t="str">
        <f t="shared" si="185"/>
        <v>I11326</v>
      </c>
    </row>
    <row r="11865" spans="1:6" ht="22.5" x14ac:dyDescent="0.2">
      <c r="A11865" s="29" t="s">
        <v>27260</v>
      </c>
      <c r="B11865" s="30" t="s">
        <v>27261</v>
      </c>
      <c r="C11865" s="29" t="s">
        <v>26</v>
      </c>
      <c r="D11865" s="31">
        <v>19313.79</v>
      </c>
      <c r="F11865" s="3" t="str">
        <f t="shared" si="185"/>
        <v>I11327</v>
      </c>
    </row>
    <row r="11866" spans="1:6" ht="22.5" x14ac:dyDescent="0.2">
      <c r="A11866" s="29" t="s">
        <v>27262</v>
      </c>
      <c r="B11866" s="30" t="s">
        <v>27263</v>
      </c>
      <c r="C11866" s="29" t="s">
        <v>26</v>
      </c>
      <c r="D11866" s="31">
        <v>39767.57</v>
      </c>
      <c r="F11866" s="3" t="str">
        <f t="shared" si="185"/>
        <v>I11328</v>
      </c>
    </row>
    <row r="11867" spans="1:6" ht="22.5" x14ac:dyDescent="0.2">
      <c r="A11867" s="29" t="s">
        <v>27264</v>
      </c>
      <c r="B11867" s="30" t="s">
        <v>27265</v>
      </c>
      <c r="C11867" s="29" t="s">
        <v>26</v>
      </c>
      <c r="D11867" s="31">
        <v>50055.44</v>
      </c>
      <c r="F11867" s="3" t="str">
        <f t="shared" si="185"/>
        <v>I11329</v>
      </c>
    </row>
    <row r="11868" spans="1:6" ht="22.5" x14ac:dyDescent="0.2">
      <c r="A11868" s="29" t="s">
        <v>27266</v>
      </c>
      <c r="B11868" s="30" t="s">
        <v>27267</v>
      </c>
      <c r="C11868" s="29" t="s">
        <v>26</v>
      </c>
      <c r="D11868" s="31">
        <v>1527.9</v>
      </c>
      <c r="F11868" s="3" t="str">
        <f t="shared" si="185"/>
        <v>I7150</v>
      </c>
    </row>
    <row r="11869" spans="1:6" ht="22.5" x14ac:dyDescent="0.2">
      <c r="A11869" s="29" t="s">
        <v>27268</v>
      </c>
      <c r="B11869" s="30" t="s">
        <v>27269</v>
      </c>
      <c r="C11869" s="29" t="s">
        <v>26</v>
      </c>
      <c r="D11869" s="31">
        <v>930.87</v>
      </c>
      <c r="F11869" s="3" t="str">
        <f t="shared" si="185"/>
        <v>I5307</v>
      </c>
    </row>
    <row r="11870" spans="1:6" ht="22.5" x14ac:dyDescent="0.2">
      <c r="A11870" s="29" t="s">
        <v>27270</v>
      </c>
      <c r="B11870" s="30" t="s">
        <v>27271</v>
      </c>
      <c r="C11870" s="29" t="s">
        <v>26</v>
      </c>
      <c r="D11870" s="31">
        <v>1490.33</v>
      </c>
      <c r="F11870" s="3" t="str">
        <f t="shared" si="185"/>
        <v>I5308</v>
      </c>
    </row>
    <row r="11871" spans="1:6" ht="22.5" x14ac:dyDescent="0.2">
      <c r="A11871" s="29" t="s">
        <v>27272</v>
      </c>
      <c r="B11871" s="30" t="s">
        <v>27273</v>
      </c>
      <c r="C11871" s="29" t="s">
        <v>26</v>
      </c>
      <c r="D11871" s="31">
        <v>2803.65</v>
      </c>
      <c r="F11871" s="3" t="str">
        <f t="shared" si="185"/>
        <v>I5297</v>
      </c>
    </row>
    <row r="11872" spans="1:6" ht="22.5" x14ac:dyDescent="0.2">
      <c r="A11872" s="29" t="s">
        <v>27274</v>
      </c>
      <c r="B11872" s="30" t="s">
        <v>27275</v>
      </c>
      <c r="C11872" s="29" t="s">
        <v>26</v>
      </c>
      <c r="D11872" s="31">
        <v>2803.62</v>
      </c>
      <c r="F11872" s="3" t="str">
        <f t="shared" si="185"/>
        <v>I5309</v>
      </c>
    </row>
    <row r="11873" spans="1:6" ht="22.5" x14ac:dyDescent="0.2">
      <c r="A11873" s="29" t="s">
        <v>27276</v>
      </c>
      <c r="B11873" s="30" t="s">
        <v>27277</v>
      </c>
      <c r="C11873" s="29" t="s">
        <v>26</v>
      </c>
      <c r="D11873" s="31">
        <v>3656.66</v>
      </c>
      <c r="F11873" s="3" t="str">
        <f t="shared" si="185"/>
        <v>I5298</v>
      </c>
    </row>
    <row r="11874" spans="1:6" ht="22.5" x14ac:dyDescent="0.2">
      <c r="A11874" s="29" t="s">
        <v>27278</v>
      </c>
      <c r="B11874" s="30" t="s">
        <v>27279</v>
      </c>
      <c r="C11874" s="29" t="s">
        <v>26</v>
      </c>
      <c r="D11874" s="31">
        <v>3656.57</v>
      </c>
      <c r="F11874" s="3" t="str">
        <f t="shared" si="185"/>
        <v>I11320</v>
      </c>
    </row>
    <row r="11875" spans="1:6" ht="22.5" x14ac:dyDescent="0.2">
      <c r="A11875" s="29" t="s">
        <v>27280</v>
      </c>
      <c r="B11875" s="30" t="s">
        <v>27281</v>
      </c>
      <c r="C11875" s="29" t="s">
        <v>26</v>
      </c>
      <c r="D11875" s="31">
        <v>7120.4</v>
      </c>
      <c r="F11875" s="3" t="str">
        <f t="shared" si="185"/>
        <v>I5299</v>
      </c>
    </row>
    <row r="11876" spans="1:6" ht="22.5" x14ac:dyDescent="0.2">
      <c r="A11876" s="29" t="s">
        <v>27282</v>
      </c>
      <c r="B11876" s="30" t="s">
        <v>27283</v>
      </c>
      <c r="C11876" s="29" t="s">
        <v>26</v>
      </c>
      <c r="D11876" s="31">
        <v>7181.25</v>
      </c>
      <c r="F11876" s="3" t="str">
        <f t="shared" si="185"/>
        <v>I9998</v>
      </c>
    </row>
    <row r="11877" spans="1:6" ht="22.5" x14ac:dyDescent="0.2">
      <c r="A11877" s="29" t="s">
        <v>27284</v>
      </c>
      <c r="B11877" s="30" t="s">
        <v>27285</v>
      </c>
      <c r="C11877" s="29" t="s">
        <v>26</v>
      </c>
      <c r="D11877" s="31">
        <v>7742.42</v>
      </c>
      <c r="F11877" s="3" t="str">
        <f t="shared" si="185"/>
        <v>I5300</v>
      </c>
    </row>
    <row r="11878" spans="1:6" ht="22.5" x14ac:dyDescent="0.2">
      <c r="A11878" s="29" t="s">
        <v>27286</v>
      </c>
      <c r="B11878" s="30" t="s">
        <v>27287</v>
      </c>
      <c r="C11878" s="29" t="s">
        <v>26</v>
      </c>
      <c r="D11878" s="31">
        <v>7742.07</v>
      </c>
      <c r="F11878" s="3" t="str">
        <f t="shared" si="185"/>
        <v>I11321</v>
      </c>
    </row>
    <row r="11879" spans="1:6" ht="22.5" x14ac:dyDescent="0.2">
      <c r="A11879" s="29" t="s">
        <v>27288</v>
      </c>
      <c r="B11879" s="30" t="s">
        <v>27289</v>
      </c>
      <c r="C11879" s="29" t="s">
        <v>26</v>
      </c>
      <c r="D11879" s="31">
        <v>38729.75</v>
      </c>
      <c r="F11879" s="3" t="str">
        <f t="shared" si="185"/>
        <v>I5301</v>
      </c>
    </row>
    <row r="11880" spans="1:6" ht="22.5" x14ac:dyDescent="0.2">
      <c r="A11880" s="29" t="s">
        <v>27290</v>
      </c>
      <c r="B11880" s="30" t="s">
        <v>27291</v>
      </c>
      <c r="C11880" s="29" t="s">
        <v>26</v>
      </c>
      <c r="D11880" s="31">
        <v>37512.660000000003</v>
      </c>
      <c r="F11880" s="3" t="str">
        <f t="shared" si="185"/>
        <v>I10006</v>
      </c>
    </row>
    <row r="11881" spans="1:6" ht="22.5" x14ac:dyDescent="0.2">
      <c r="A11881" s="29" t="s">
        <v>27292</v>
      </c>
      <c r="B11881" s="30" t="s">
        <v>27293</v>
      </c>
      <c r="C11881" s="29" t="s">
        <v>26</v>
      </c>
      <c r="D11881" s="31">
        <v>37425.589999999997</v>
      </c>
      <c r="F11881" s="3" t="str">
        <f t="shared" si="185"/>
        <v>I5302</v>
      </c>
    </row>
    <row r="11882" spans="1:6" ht="22.5" x14ac:dyDescent="0.2">
      <c r="A11882" s="29" t="s">
        <v>27294</v>
      </c>
      <c r="B11882" s="30" t="s">
        <v>27295</v>
      </c>
      <c r="C11882" s="29" t="s">
        <v>26</v>
      </c>
      <c r="D11882" s="31">
        <v>639.23</v>
      </c>
      <c r="F11882" s="3" t="str">
        <f t="shared" si="185"/>
        <v>I5305</v>
      </c>
    </row>
    <row r="11883" spans="1:6" ht="22.5" x14ac:dyDescent="0.2">
      <c r="A11883" s="29" t="s">
        <v>27296</v>
      </c>
      <c r="B11883" s="30" t="s">
        <v>27297</v>
      </c>
      <c r="C11883" s="29" t="s">
        <v>26</v>
      </c>
      <c r="D11883" s="31">
        <v>44322.5</v>
      </c>
      <c r="F11883" s="3" t="str">
        <f t="shared" si="185"/>
        <v>I5303</v>
      </c>
    </row>
    <row r="11884" spans="1:6" ht="22.5" x14ac:dyDescent="0.2">
      <c r="A11884" s="29" t="s">
        <v>27298</v>
      </c>
      <c r="B11884" s="30" t="s">
        <v>27299</v>
      </c>
      <c r="C11884" s="29" t="s">
        <v>26</v>
      </c>
      <c r="D11884" s="31">
        <v>818.61</v>
      </c>
      <c r="F11884" s="3" t="str">
        <f t="shared" si="185"/>
        <v>I7147</v>
      </c>
    </row>
    <row r="11885" spans="1:6" ht="22.5" x14ac:dyDescent="0.2">
      <c r="A11885" s="29" t="s">
        <v>27300</v>
      </c>
      <c r="B11885" s="30" t="s">
        <v>27301</v>
      </c>
      <c r="C11885" s="29" t="s">
        <v>26</v>
      </c>
      <c r="D11885" s="31">
        <v>1323.73</v>
      </c>
      <c r="F11885" s="3" t="str">
        <f t="shared" si="185"/>
        <v>I9990</v>
      </c>
    </row>
    <row r="11886" spans="1:6" ht="22.5" x14ac:dyDescent="0.2">
      <c r="A11886" s="29" t="s">
        <v>27302</v>
      </c>
      <c r="B11886" s="30" t="s">
        <v>27303</v>
      </c>
      <c r="C11886" s="29" t="s">
        <v>26</v>
      </c>
      <c r="D11886" s="31">
        <v>690.13</v>
      </c>
      <c r="F11886" s="3" t="str">
        <f t="shared" si="185"/>
        <v>I5327</v>
      </c>
    </row>
    <row r="11887" spans="1:6" ht="22.5" x14ac:dyDescent="0.2">
      <c r="A11887" s="29" t="s">
        <v>27304</v>
      </c>
      <c r="B11887" s="30" t="s">
        <v>27305</v>
      </c>
      <c r="C11887" s="29" t="s">
        <v>26</v>
      </c>
      <c r="D11887" s="31">
        <v>1249.33</v>
      </c>
      <c r="F11887" s="3" t="str">
        <f t="shared" si="185"/>
        <v>I10010</v>
      </c>
    </row>
    <row r="11888" spans="1:6" ht="22.5" x14ac:dyDescent="0.2">
      <c r="A11888" s="29" t="s">
        <v>27306</v>
      </c>
      <c r="B11888" s="30" t="s">
        <v>27307</v>
      </c>
      <c r="C11888" s="29" t="s">
        <v>26</v>
      </c>
      <c r="D11888" s="31">
        <v>1249.33</v>
      </c>
      <c r="F11888" s="3" t="str">
        <f t="shared" si="185"/>
        <v>I5328</v>
      </c>
    </row>
    <row r="11889" spans="1:6" ht="22.5" x14ac:dyDescent="0.2">
      <c r="A11889" s="29" t="s">
        <v>27308</v>
      </c>
      <c r="B11889" s="30" t="s">
        <v>27309</v>
      </c>
      <c r="C11889" s="29" t="s">
        <v>26</v>
      </c>
      <c r="D11889" s="31">
        <v>1873.9</v>
      </c>
      <c r="F11889" s="3" t="str">
        <f t="shared" si="185"/>
        <v>I5094</v>
      </c>
    </row>
    <row r="11890" spans="1:6" ht="22.5" x14ac:dyDescent="0.2">
      <c r="A11890" s="29" t="s">
        <v>27310</v>
      </c>
      <c r="B11890" s="30" t="s">
        <v>27311</v>
      </c>
      <c r="C11890" s="29" t="s">
        <v>26</v>
      </c>
      <c r="D11890" s="31">
        <v>2049.91</v>
      </c>
      <c r="F11890" s="3" t="str">
        <f t="shared" si="185"/>
        <v>I5329</v>
      </c>
    </row>
    <row r="11891" spans="1:6" ht="22.5" x14ac:dyDescent="0.2">
      <c r="A11891" s="29" t="s">
        <v>27312</v>
      </c>
      <c r="B11891" s="30" t="s">
        <v>27313</v>
      </c>
      <c r="C11891" s="29" t="s">
        <v>26</v>
      </c>
      <c r="D11891" s="31">
        <v>2937.47</v>
      </c>
      <c r="F11891" s="3" t="str">
        <f t="shared" si="185"/>
        <v>I5095</v>
      </c>
    </row>
    <row r="11892" spans="1:6" ht="22.5" x14ac:dyDescent="0.2">
      <c r="A11892" s="29" t="s">
        <v>27314</v>
      </c>
      <c r="B11892" s="30" t="s">
        <v>27315</v>
      </c>
      <c r="C11892" s="29" t="s">
        <v>26</v>
      </c>
      <c r="D11892" s="31">
        <v>5492.32</v>
      </c>
      <c r="F11892" s="3" t="str">
        <f t="shared" si="185"/>
        <v>I5096</v>
      </c>
    </row>
    <row r="11893" spans="1:6" ht="22.5" x14ac:dyDescent="0.2">
      <c r="A11893" s="29" t="s">
        <v>27316</v>
      </c>
      <c r="B11893" s="30" t="s">
        <v>27317</v>
      </c>
      <c r="C11893" s="29" t="s">
        <v>26</v>
      </c>
      <c r="D11893" s="31">
        <v>456.47</v>
      </c>
      <c r="F11893" s="3" t="str">
        <f t="shared" si="185"/>
        <v>I10007</v>
      </c>
    </row>
    <row r="11894" spans="1:6" ht="22.5" x14ac:dyDescent="0.2">
      <c r="A11894" s="29" t="s">
        <v>27318</v>
      </c>
      <c r="B11894" s="30" t="s">
        <v>27319</v>
      </c>
      <c r="C11894" s="29" t="s">
        <v>26</v>
      </c>
      <c r="D11894" s="31">
        <v>1037.75</v>
      </c>
      <c r="F11894" s="3" t="str">
        <f t="shared" si="185"/>
        <v>I9989</v>
      </c>
    </row>
    <row r="11895" spans="1:6" ht="22.5" x14ac:dyDescent="0.2">
      <c r="A11895" s="29" t="s">
        <v>27320</v>
      </c>
      <c r="B11895" s="30" t="s">
        <v>27321</v>
      </c>
      <c r="C11895" s="29" t="s">
        <v>26</v>
      </c>
      <c r="D11895" s="31">
        <v>574.23</v>
      </c>
      <c r="F11895" s="3" t="str">
        <f t="shared" si="185"/>
        <v>I7615</v>
      </c>
    </row>
    <row r="11896" spans="1:6" x14ac:dyDescent="0.2">
      <c r="A11896" s="29" t="s">
        <v>27322</v>
      </c>
      <c r="B11896" s="30" t="s">
        <v>27323</v>
      </c>
      <c r="C11896" s="29" t="s">
        <v>26</v>
      </c>
      <c r="D11896" s="31">
        <v>11807.37</v>
      </c>
      <c r="F11896" s="3" t="str">
        <f t="shared" si="185"/>
        <v>I9999</v>
      </c>
    </row>
    <row r="11897" spans="1:6" x14ac:dyDescent="0.2">
      <c r="A11897" s="29" t="s">
        <v>27324</v>
      </c>
      <c r="B11897" s="30" t="s">
        <v>27325</v>
      </c>
      <c r="C11897" s="29" t="s">
        <v>26</v>
      </c>
      <c r="D11897" s="31">
        <v>7616</v>
      </c>
      <c r="F11897" s="3" t="str">
        <f t="shared" si="185"/>
        <v>I9994</v>
      </c>
    </row>
    <row r="11898" spans="1:6" x14ac:dyDescent="0.2">
      <c r="A11898" s="29" t="s">
        <v>27326</v>
      </c>
      <c r="B11898" s="30" t="s">
        <v>27327</v>
      </c>
      <c r="C11898" s="29" t="s">
        <v>26</v>
      </c>
      <c r="D11898" s="31">
        <v>2146.0700000000002</v>
      </c>
      <c r="F11898" s="3" t="str">
        <f t="shared" si="185"/>
        <v>I9992</v>
      </c>
    </row>
    <row r="11899" spans="1:6" x14ac:dyDescent="0.2">
      <c r="A11899" s="29" t="s">
        <v>27328</v>
      </c>
      <c r="B11899" s="30" t="s">
        <v>27329</v>
      </c>
      <c r="C11899" s="29" t="s">
        <v>26</v>
      </c>
      <c r="D11899" s="31">
        <v>3158.81</v>
      </c>
      <c r="F11899" s="3" t="str">
        <f t="shared" si="185"/>
        <v>I9993</v>
      </c>
    </row>
    <row r="11900" spans="1:6" x14ac:dyDescent="0.2">
      <c r="A11900" s="29" t="s">
        <v>27330</v>
      </c>
      <c r="B11900" s="30" t="s">
        <v>27331</v>
      </c>
      <c r="C11900" s="29" t="s">
        <v>26</v>
      </c>
      <c r="D11900" s="31">
        <v>13.17</v>
      </c>
      <c r="F11900" s="3" t="str">
        <f t="shared" si="185"/>
        <v>I6189</v>
      </c>
    </row>
    <row r="11901" spans="1:6" x14ac:dyDescent="0.2">
      <c r="A11901" s="29" t="s">
        <v>27332</v>
      </c>
      <c r="B11901" s="30" t="s">
        <v>27333</v>
      </c>
      <c r="C11901" s="29" t="s">
        <v>26</v>
      </c>
      <c r="D11901" s="31">
        <v>32.31</v>
      </c>
      <c r="F11901" s="3" t="str">
        <f t="shared" si="185"/>
        <v>I6190</v>
      </c>
    </row>
    <row r="11902" spans="1:6" x14ac:dyDescent="0.2">
      <c r="A11902" s="29" t="s">
        <v>27334</v>
      </c>
      <c r="B11902" s="30" t="s">
        <v>27335</v>
      </c>
      <c r="C11902" s="29" t="s">
        <v>26</v>
      </c>
      <c r="D11902" s="31">
        <v>31.45</v>
      </c>
      <c r="F11902" s="3" t="str">
        <f t="shared" si="185"/>
        <v>I6187</v>
      </c>
    </row>
    <row r="11903" spans="1:6" x14ac:dyDescent="0.2">
      <c r="A11903" s="29" t="s">
        <v>27336</v>
      </c>
      <c r="B11903" s="30" t="s">
        <v>27337</v>
      </c>
      <c r="C11903" s="29" t="s">
        <v>26</v>
      </c>
      <c r="D11903" s="31">
        <v>40.590000000000003</v>
      </c>
      <c r="F11903" s="3" t="str">
        <f t="shared" si="185"/>
        <v>I6188</v>
      </c>
    </row>
    <row r="11904" spans="1:6" x14ac:dyDescent="0.2">
      <c r="A11904" s="29" t="s">
        <v>27338</v>
      </c>
      <c r="B11904" s="30" t="s">
        <v>27339</v>
      </c>
      <c r="C11904" s="29" t="s">
        <v>26</v>
      </c>
      <c r="D11904" s="31">
        <v>27.89</v>
      </c>
      <c r="F11904" s="3" t="str">
        <f t="shared" si="185"/>
        <v>I6057</v>
      </c>
    </row>
    <row r="11905" spans="1:6" x14ac:dyDescent="0.2">
      <c r="A11905" s="29" t="s">
        <v>27340</v>
      </c>
      <c r="B11905" s="30" t="s">
        <v>27341</v>
      </c>
      <c r="C11905" s="29" t="s">
        <v>26</v>
      </c>
      <c r="D11905" s="31">
        <v>42.61</v>
      </c>
      <c r="F11905" s="3" t="str">
        <f t="shared" si="185"/>
        <v>I6058</v>
      </c>
    </row>
    <row r="11906" spans="1:6" x14ac:dyDescent="0.2">
      <c r="A11906" s="29" t="s">
        <v>27342</v>
      </c>
      <c r="B11906" s="30" t="s">
        <v>27343</v>
      </c>
      <c r="C11906" s="29" t="s">
        <v>26</v>
      </c>
      <c r="D11906" s="31">
        <v>24169.14</v>
      </c>
      <c r="F11906" s="3" t="str">
        <f t="shared" ref="F11906:F11969" si="186">A11906</f>
        <v>I5310</v>
      </c>
    </row>
    <row r="11907" spans="1:6" x14ac:dyDescent="0.2">
      <c r="A11907" s="29" t="s">
        <v>27344</v>
      </c>
      <c r="B11907" s="30" t="s">
        <v>27345</v>
      </c>
      <c r="C11907" s="29" t="s">
        <v>26</v>
      </c>
      <c r="D11907" s="31">
        <v>27581.52</v>
      </c>
      <c r="F11907" s="3" t="str">
        <f t="shared" si="186"/>
        <v>I5311</v>
      </c>
    </row>
    <row r="11908" spans="1:6" x14ac:dyDescent="0.2">
      <c r="A11908" s="29" t="s">
        <v>27346</v>
      </c>
      <c r="B11908" s="30" t="s">
        <v>27347</v>
      </c>
      <c r="C11908" s="29" t="s">
        <v>26</v>
      </c>
      <c r="D11908" s="31">
        <v>31575.83</v>
      </c>
      <c r="F11908" s="3" t="str">
        <f t="shared" si="186"/>
        <v>I5312</v>
      </c>
    </row>
    <row r="11909" spans="1:6" x14ac:dyDescent="0.2">
      <c r="A11909" s="29" t="s">
        <v>27348</v>
      </c>
      <c r="B11909" s="30" t="s">
        <v>27349</v>
      </c>
      <c r="C11909" s="29" t="s">
        <v>26</v>
      </c>
      <c r="D11909" s="31">
        <v>37455.57</v>
      </c>
      <c r="F11909" s="3" t="str">
        <f t="shared" si="186"/>
        <v>I5313</v>
      </c>
    </row>
    <row r="11910" spans="1:6" x14ac:dyDescent="0.2">
      <c r="A11910" s="29" t="s">
        <v>27350</v>
      </c>
      <c r="B11910" s="30" t="s">
        <v>27351</v>
      </c>
      <c r="C11910" s="29" t="s">
        <v>26</v>
      </c>
      <c r="D11910" s="31">
        <v>49218.05</v>
      </c>
      <c r="F11910" s="3" t="str">
        <f t="shared" si="186"/>
        <v>I5314</v>
      </c>
    </row>
    <row r="11911" spans="1:6" x14ac:dyDescent="0.2">
      <c r="A11911" s="29" t="s">
        <v>27352</v>
      </c>
      <c r="B11911" s="30" t="s">
        <v>27353</v>
      </c>
      <c r="C11911" s="29" t="s">
        <v>26</v>
      </c>
      <c r="D11911" s="31">
        <v>36684.410000000003</v>
      </c>
      <c r="F11911" s="3" t="str">
        <f t="shared" si="186"/>
        <v>I5320</v>
      </c>
    </row>
    <row r="11912" spans="1:6" x14ac:dyDescent="0.2">
      <c r="A11912" s="29" t="s">
        <v>27354</v>
      </c>
      <c r="B11912" s="30" t="s">
        <v>27355</v>
      </c>
      <c r="C11912" s="29" t="s">
        <v>26</v>
      </c>
      <c r="D11912" s="31">
        <v>38948.879999999997</v>
      </c>
      <c r="F11912" s="3" t="str">
        <f t="shared" si="186"/>
        <v>I5321</v>
      </c>
    </row>
    <row r="11913" spans="1:6" x14ac:dyDescent="0.2">
      <c r="A11913" s="29" t="s">
        <v>27356</v>
      </c>
      <c r="B11913" s="30" t="s">
        <v>27357</v>
      </c>
      <c r="C11913" s="29" t="s">
        <v>26</v>
      </c>
      <c r="D11913" s="31">
        <v>46366</v>
      </c>
      <c r="F11913" s="3" t="str">
        <f t="shared" si="186"/>
        <v>I5322</v>
      </c>
    </row>
    <row r="11914" spans="1:6" x14ac:dyDescent="0.2">
      <c r="A11914" s="29" t="s">
        <v>27358</v>
      </c>
      <c r="B11914" s="30" t="s">
        <v>27359</v>
      </c>
      <c r="C11914" s="29" t="s">
        <v>26</v>
      </c>
      <c r="D11914" s="31">
        <v>53167.22</v>
      </c>
      <c r="F11914" s="3" t="str">
        <f t="shared" si="186"/>
        <v>I5323</v>
      </c>
    </row>
    <row r="11915" spans="1:6" x14ac:dyDescent="0.2">
      <c r="A11915" s="29" t="s">
        <v>27360</v>
      </c>
      <c r="B11915" s="30" t="s">
        <v>27361</v>
      </c>
      <c r="C11915" s="29" t="s">
        <v>26</v>
      </c>
      <c r="D11915" s="31">
        <v>80205.899999999994</v>
      </c>
      <c r="F11915" s="3" t="str">
        <f t="shared" si="186"/>
        <v>I5324</v>
      </c>
    </row>
    <row r="11916" spans="1:6" x14ac:dyDescent="0.2">
      <c r="A11916" s="29" t="s">
        <v>27362</v>
      </c>
      <c r="B11916" s="30" t="s">
        <v>27363</v>
      </c>
      <c r="C11916" s="29" t="s">
        <v>26</v>
      </c>
      <c r="D11916" s="31">
        <v>48304.66</v>
      </c>
      <c r="F11916" s="3" t="str">
        <f t="shared" si="186"/>
        <v>I5304</v>
      </c>
    </row>
    <row r="11917" spans="1:6" x14ac:dyDescent="0.2">
      <c r="A11917" s="29" t="s">
        <v>27364</v>
      </c>
      <c r="B11917" s="30" t="s">
        <v>27365</v>
      </c>
      <c r="C11917" s="29" t="s">
        <v>26</v>
      </c>
      <c r="D11917" s="31">
        <v>853.4</v>
      </c>
      <c r="F11917" s="3" t="str">
        <f t="shared" si="186"/>
        <v>I5306</v>
      </c>
    </row>
    <row r="11918" spans="1:6" x14ac:dyDescent="0.2">
      <c r="A11918" s="29" t="s">
        <v>27366</v>
      </c>
      <c r="B11918" s="30" t="s">
        <v>27367</v>
      </c>
      <c r="C11918" s="29" t="s">
        <v>26</v>
      </c>
      <c r="D11918" s="31">
        <v>312690.28999999998</v>
      </c>
      <c r="F11918" s="3" t="str">
        <f t="shared" si="186"/>
        <v>I5448</v>
      </c>
    </row>
    <row r="11919" spans="1:6" x14ac:dyDescent="0.2">
      <c r="A11919" s="29" t="s">
        <v>27368</v>
      </c>
      <c r="B11919" s="30" t="s">
        <v>27369</v>
      </c>
      <c r="C11919" s="29" t="s">
        <v>26</v>
      </c>
      <c r="D11919" s="31">
        <v>3924.81</v>
      </c>
      <c r="F11919" s="3" t="str">
        <f t="shared" si="186"/>
        <v>I5438</v>
      </c>
    </row>
    <row r="11920" spans="1:6" x14ac:dyDescent="0.2">
      <c r="A11920" s="29" t="s">
        <v>27370</v>
      </c>
      <c r="B11920" s="30" t="s">
        <v>27371</v>
      </c>
      <c r="C11920" s="29" t="s">
        <v>26</v>
      </c>
      <c r="D11920" s="31">
        <v>246629.72</v>
      </c>
      <c r="F11920" s="3" t="str">
        <f t="shared" si="186"/>
        <v>I5451</v>
      </c>
    </row>
    <row r="11921" spans="1:6" x14ac:dyDescent="0.2">
      <c r="A11921" s="29" t="s">
        <v>27372</v>
      </c>
      <c r="B11921" s="30" t="s">
        <v>27373</v>
      </c>
      <c r="C11921" s="29" t="s">
        <v>26</v>
      </c>
      <c r="D11921" s="31">
        <v>7462.91</v>
      </c>
      <c r="F11921" s="3" t="str">
        <f t="shared" si="186"/>
        <v>I5439</v>
      </c>
    </row>
    <row r="11922" spans="1:6" x14ac:dyDescent="0.2">
      <c r="A11922" s="29" t="s">
        <v>27374</v>
      </c>
      <c r="B11922" s="30" t="s">
        <v>27375</v>
      </c>
      <c r="C11922" s="29" t="s">
        <v>26</v>
      </c>
      <c r="D11922" s="31">
        <v>12254.35</v>
      </c>
      <c r="F11922" s="3" t="str">
        <f t="shared" si="186"/>
        <v>I5440</v>
      </c>
    </row>
    <row r="11923" spans="1:6" x14ac:dyDescent="0.2">
      <c r="A11923" s="29" t="s">
        <v>27376</v>
      </c>
      <c r="B11923" s="30" t="s">
        <v>27377</v>
      </c>
      <c r="C11923" s="29" t="s">
        <v>26</v>
      </c>
      <c r="D11923" s="31">
        <v>21826.54</v>
      </c>
      <c r="F11923" s="3" t="str">
        <f t="shared" si="186"/>
        <v>I5441</v>
      </c>
    </row>
    <row r="11924" spans="1:6" x14ac:dyDescent="0.2">
      <c r="A11924" s="29" t="s">
        <v>27378</v>
      </c>
      <c r="B11924" s="30" t="s">
        <v>27379</v>
      </c>
      <c r="C11924" s="29" t="s">
        <v>26</v>
      </c>
      <c r="D11924" s="31">
        <v>34548.78</v>
      </c>
      <c r="F11924" s="3" t="str">
        <f t="shared" si="186"/>
        <v>I5442</v>
      </c>
    </row>
    <row r="11925" spans="1:6" x14ac:dyDescent="0.2">
      <c r="A11925" s="29" t="s">
        <v>27380</v>
      </c>
      <c r="B11925" s="30" t="s">
        <v>27381</v>
      </c>
      <c r="C11925" s="29" t="s">
        <v>26</v>
      </c>
      <c r="D11925" s="31">
        <v>45868.05</v>
      </c>
      <c r="F11925" s="3" t="str">
        <f t="shared" si="186"/>
        <v>I5443</v>
      </c>
    </row>
    <row r="11926" spans="1:6" x14ac:dyDescent="0.2">
      <c r="A11926" s="29" t="s">
        <v>27382</v>
      </c>
      <c r="B11926" s="30" t="s">
        <v>27383</v>
      </c>
      <c r="C11926" s="29" t="s">
        <v>26</v>
      </c>
      <c r="D11926" s="31">
        <v>52254.71</v>
      </c>
      <c r="F11926" s="3" t="str">
        <f t="shared" si="186"/>
        <v>I5444</v>
      </c>
    </row>
    <row r="11927" spans="1:6" x14ac:dyDescent="0.2">
      <c r="A11927" s="29" t="s">
        <v>27384</v>
      </c>
      <c r="B11927" s="30" t="s">
        <v>27385</v>
      </c>
      <c r="C11927" s="29" t="s">
        <v>26</v>
      </c>
      <c r="D11927" s="31">
        <v>69067.679999999993</v>
      </c>
      <c r="F11927" s="3" t="str">
        <f t="shared" si="186"/>
        <v>I5445</v>
      </c>
    </row>
    <row r="11928" spans="1:6" x14ac:dyDescent="0.2">
      <c r="A11928" s="29" t="s">
        <v>27386</v>
      </c>
      <c r="B11928" s="30" t="s">
        <v>27387</v>
      </c>
      <c r="C11928" s="29" t="s">
        <v>26</v>
      </c>
      <c r="D11928" s="31">
        <v>1814.39</v>
      </c>
      <c r="F11928" s="3" t="str">
        <f t="shared" si="186"/>
        <v>I5436</v>
      </c>
    </row>
    <row r="11929" spans="1:6" x14ac:dyDescent="0.2">
      <c r="A11929" s="29" t="s">
        <v>27388</v>
      </c>
      <c r="B11929" s="30" t="s">
        <v>27389</v>
      </c>
      <c r="C11929" s="29" t="s">
        <v>26</v>
      </c>
      <c r="D11929" s="31">
        <v>105982.79</v>
      </c>
      <c r="F11929" s="3" t="str">
        <f t="shared" si="186"/>
        <v>I5446</v>
      </c>
    </row>
    <row r="11930" spans="1:6" x14ac:dyDescent="0.2">
      <c r="A11930" s="29" t="s">
        <v>27390</v>
      </c>
      <c r="B11930" s="30" t="s">
        <v>27391</v>
      </c>
      <c r="C11930" s="29" t="s">
        <v>26</v>
      </c>
      <c r="D11930" s="31">
        <v>245077.77</v>
      </c>
      <c r="F11930" s="3" t="str">
        <f t="shared" si="186"/>
        <v>I5447</v>
      </c>
    </row>
    <row r="11931" spans="1:6" x14ac:dyDescent="0.2">
      <c r="A11931" s="29" t="s">
        <v>27392</v>
      </c>
      <c r="B11931" s="30" t="s">
        <v>27393</v>
      </c>
      <c r="C11931" s="29" t="s">
        <v>26</v>
      </c>
      <c r="D11931" s="31">
        <v>7407</v>
      </c>
      <c r="F11931" s="3" t="str">
        <f t="shared" si="186"/>
        <v>I5437</v>
      </c>
    </row>
    <row r="11932" spans="1:6" x14ac:dyDescent="0.2">
      <c r="A11932" s="29" t="s">
        <v>27394</v>
      </c>
      <c r="B11932" s="30" t="s">
        <v>27395</v>
      </c>
      <c r="C11932" s="29" t="s">
        <v>26</v>
      </c>
      <c r="D11932" s="31">
        <v>398984.66</v>
      </c>
      <c r="F11932" s="3" t="str">
        <f t="shared" si="186"/>
        <v>I5449</v>
      </c>
    </row>
    <row r="11933" spans="1:6" x14ac:dyDescent="0.2">
      <c r="A11933" s="29" t="s">
        <v>27396</v>
      </c>
      <c r="B11933" s="30" t="s">
        <v>27397</v>
      </c>
      <c r="C11933" s="29" t="s">
        <v>26</v>
      </c>
      <c r="D11933" s="31">
        <v>198777.28</v>
      </c>
      <c r="F11933" s="3" t="str">
        <f t="shared" si="186"/>
        <v>I5450</v>
      </c>
    </row>
    <row r="11934" spans="1:6" x14ac:dyDescent="0.2">
      <c r="A11934" s="29" t="s">
        <v>27398</v>
      </c>
      <c r="B11934" s="30" t="s">
        <v>27399</v>
      </c>
      <c r="C11934" s="29" t="s">
        <v>26</v>
      </c>
      <c r="D11934" s="31">
        <v>3437.82</v>
      </c>
      <c r="F11934" s="3" t="str">
        <f t="shared" si="186"/>
        <v>I7148</v>
      </c>
    </row>
    <row r="11935" spans="1:6" x14ac:dyDescent="0.2">
      <c r="A11935" s="29" t="s">
        <v>27400</v>
      </c>
      <c r="B11935" s="30" t="s">
        <v>27401</v>
      </c>
      <c r="C11935" s="29" t="s">
        <v>26</v>
      </c>
      <c r="D11935" s="31">
        <v>33353.75</v>
      </c>
      <c r="F11935" s="3" t="str">
        <f t="shared" si="186"/>
        <v>I5083</v>
      </c>
    </row>
    <row r="11936" spans="1:6" x14ac:dyDescent="0.2">
      <c r="A11936" s="29" t="s">
        <v>27402</v>
      </c>
      <c r="B11936" s="30" t="s">
        <v>27403</v>
      </c>
      <c r="C11936" s="29" t="s">
        <v>26</v>
      </c>
      <c r="D11936" s="31">
        <v>1420.47</v>
      </c>
      <c r="F11936" s="3" t="str">
        <f t="shared" si="186"/>
        <v>I5053</v>
      </c>
    </row>
    <row r="11937" spans="1:6" x14ac:dyDescent="0.2">
      <c r="A11937" s="29" t="s">
        <v>27404</v>
      </c>
      <c r="B11937" s="30" t="s">
        <v>27405</v>
      </c>
      <c r="C11937" s="29" t="s">
        <v>26</v>
      </c>
      <c r="D11937" s="31">
        <v>1527.9</v>
      </c>
      <c r="F11937" s="3" t="str">
        <f t="shared" si="186"/>
        <v>I5089</v>
      </c>
    </row>
    <row r="11938" spans="1:6" x14ac:dyDescent="0.2">
      <c r="A11938" s="29" t="s">
        <v>27406</v>
      </c>
      <c r="B11938" s="30" t="s">
        <v>27407</v>
      </c>
      <c r="C11938" s="29" t="s">
        <v>26</v>
      </c>
      <c r="D11938" s="31">
        <v>25639.29</v>
      </c>
      <c r="F11938" s="3" t="str">
        <f t="shared" si="186"/>
        <v>I5071</v>
      </c>
    </row>
    <row r="11939" spans="1:6" x14ac:dyDescent="0.2">
      <c r="A11939" s="29" t="s">
        <v>27408</v>
      </c>
      <c r="B11939" s="30" t="s">
        <v>27409</v>
      </c>
      <c r="C11939" s="29" t="s">
        <v>26</v>
      </c>
      <c r="D11939" s="31">
        <v>30605.200000000001</v>
      </c>
      <c r="F11939" s="3" t="str">
        <f t="shared" si="186"/>
        <v>I5072</v>
      </c>
    </row>
    <row r="11940" spans="1:6" x14ac:dyDescent="0.2">
      <c r="A11940" s="29" t="s">
        <v>27410</v>
      </c>
      <c r="B11940" s="30" t="s">
        <v>27411</v>
      </c>
      <c r="C11940" s="29" t="s">
        <v>26</v>
      </c>
      <c r="D11940" s="31">
        <v>37437.629999999997</v>
      </c>
      <c r="F11940" s="3" t="str">
        <f t="shared" si="186"/>
        <v>I5073</v>
      </c>
    </row>
    <row r="11941" spans="1:6" x14ac:dyDescent="0.2">
      <c r="A11941" s="29" t="s">
        <v>27412</v>
      </c>
      <c r="B11941" s="30" t="s">
        <v>27413</v>
      </c>
      <c r="C11941" s="29" t="s">
        <v>26</v>
      </c>
      <c r="D11941" s="31">
        <v>39204.769999999997</v>
      </c>
      <c r="F11941" s="3" t="str">
        <f t="shared" si="186"/>
        <v>I5074</v>
      </c>
    </row>
    <row r="11942" spans="1:6" x14ac:dyDescent="0.2">
      <c r="A11942" s="29" t="s">
        <v>27414</v>
      </c>
      <c r="B11942" s="30" t="s">
        <v>27415</v>
      </c>
      <c r="C11942" s="29" t="s">
        <v>26</v>
      </c>
      <c r="D11942" s="31">
        <v>56972.72</v>
      </c>
      <c r="F11942" s="3" t="str">
        <f t="shared" si="186"/>
        <v>I5075</v>
      </c>
    </row>
    <row r="11943" spans="1:6" x14ac:dyDescent="0.2">
      <c r="A11943" s="29" t="s">
        <v>27416</v>
      </c>
      <c r="B11943" s="30" t="s">
        <v>27417</v>
      </c>
      <c r="C11943" s="29" t="s">
        <v>26</v>
      </c>
      <c r="D11943" s="31">
        <v>32271.98</v>
      </c>
      <c r="F11943" s="3" t="str">
        <f t="shared" si="186"/>
        <v>I5077</v>
      </c>
    </row>
    <row r="11944" spans="1:6" x14ac:dyDescent="0.2">
      <c r="A11944" s="29" t="s">
        <v>27418</v>
      </c>
      <c r="B11944" s="30" t="s">
        <v>27419</v>
      </c>
      <c r="C11944" s="29" t="s">
        <v>26</v>
      </c>
      <c r="D11944" s="31">
        <v>43422.080000000002</v>
      </c>
      <c r="F11944" s="3" t="str">
        <f t="shared" si="186"/>
        <v>I5078</v>
      </c>
    </row>
    <row r="11945" spans="1:6" x14ac:dyDescent="0.2">
      <c r="A11945" s="29" t="s">
        <v>27420</v>
      </c>
      <c r="B11945" s="30" t="s">
        <v>27421</v>
      </c>
      <c r="C11945" s="29" t="s">
        <v>26</v>
      </c>
      <c r="D11945" s="31">
        <v>46125.75</v>
      </c>
      <c r="F11945" s="3" t="str">
        <f t="shared" si="186"/>
        <v>I5079</v>
      </c>
    </row>
    <row r="11946" spans="1:6" x14ac:dyDescent="0.2">
      <c r="A11946" s="29" t="s">
        <v>27422</v>
      </c>
      <c r="B11946" s="30" t="s">
        <v>27423</v>
      </c>
      <c r="C11946" s="29" t="s">
        <v>26</v>
      </c>
      <c r="D11946" s="31">
        <v>55281.89</v>
      </c>
      <c r="F11946" s="3" t="str">
        <f t="shared" si="186"/>
        <v>I5080</v>
      </c>
    </row>
    <row r="11947" spans="1:6" x14ac:dyDescent="0.2">
      <c r="A11947" s="29" t="s">
        <v>27424</v>
      </c>
      <c r="B11947" s="30" t="s">
        <v>27425</v>
      </c>
      <c r="C11947" s="29" t="s">
        <v>26</v>
      </c>
      <c r="D11947" s="31">
        <v>74155.520000000004</v>
      </c>
      <c r="F11947" s="3" t="str">
        <f t="shared" si="186"/>
        <v>I5081</v>
      </c>
    </row>
    <row r="11948" spans="1:6" x14ac:dyDescent="0.2">
      <c r="A11948" s="29" t="s">
        <v>27426</v>
      </c>
      <c r="B11948" s="30" t="s">
        <v>27427</v>
      </c>
      <c r="C11948" s="29" t="s">
        <v>26</v>
      </c>
      <c r="D11948" s="31">
        <v>41754.85</v>
      </c>
      <c r="F11948" s="3" t="str">
        <f t="shared" si="186"/>
        <v>I5084</v>
      </c>
    </row>
    <row r="11949" spans="1:6" x14ac:dyDescent="0.2">
      <c r="A11949" s="29" t="s">
        <v>27428</v>
      </c>
      <c r="B11949" s="30" t="s">
        <v>27429</v>
      </c>
      <c r="C11949" s="29" t="s">
        <v>26</v>
      </c>
      <c r="D11949" s="31">
        <v>47805.02</v>
      </c>
      <c r="F11949" s="3" t="str">
        <f t="shared" si="186"/>
        <v>I5085</v>
      </c>
    </row>
    <row r="11950" spans="1:6" x14ac:dyDescent="0.2">
      <c r="A11950" s="29" t="s">
        <v>27430</v>
      </c>
      <c r="B11950" s="30" t="s">
        <v>27431</v>
      </c>
      <c r="C11950" s="29" t="s">
        <v>26</v>
      </c>
      <c r="D11950" s="31">
        <v>61191.99</v>
      </c>
      <c r="F11950" s="3" t="str">
        <f t="shared" si="186"/>
        <v>I5086</v>
      </c>
    </row>
    <row r="11951" spans="1:6" x14ac:dyDescent="0.2">
      <c r="A11951" s="29" t="s">
        <v>27432</v>
      </c>
      <c r="B11951" s="30" t="s">
        <v>27433</v>
      </c>
      <c r="C11951" s="29" t="s">
        <v>26</v>
      </c>
      <c r="D11951" s="31">
        <v>81413.820000000007</v>
      </c>
      <c r="F11951" s="3" t="str">
        <f t="shared" si="186"/>
        <v>I5087</v>
      </c>
    </row>
    <row r="11952" spans="1:6" x14ac:dyDescent="0.2">
      <c r="A11952" s="29" t="s">
        <v>27434</v>
      </c>
      <c r="B11952" s="30" t="s">
        <v>27435</v>
      </c>
      <c r="C11952" s="29" t="s">
        <v>26</v>
      </c>
      <c r="D11952" s="31">
        <v>3959.68</v>
      </c>
      <c r="F11952" s="3" t="str">
        <f t="shared" si="186"/>
        <v>I5278</v>
      </c>
    </row>
    <row r="11953" spans="1:6" x14ac:dyDescent="0.2">
      <c r="A11953" s="29" t="s">
        <v>27436</v>
      </c>
      <c r="B11953" s="30" t="s">
        <v>27437</v>
      </c>
      <c r="C11953" s="29" t="s">
        <v>26</v>
      </c>
      <c r="D11953" s="31">
        <v>5019.07</v>
      </c>
      <c r="F11953" s="3" t="str">
        <f t="shared" si="186"/>
        <v>I5279</v>
      </c>
    </row>
    <row r="11954" spans="1:6" x14ac:dyDescent="0.2">
      <c r="A11954" s="29" t="s">
        <v>27438</v>
      </c>
      <c r="B11954" s="30" t="s">
        <v>27439</v>
      </c>
      <c r="C11954" s="29" t="s">
        <v>26</v>
      </c>
      <c r="D11954" s="31">
        <v>26727.95</v>
      </c>
      <c r="F11954" s="3" t="str">
        <f t="shared" si="186"/>
        <v>I5280</v>
      </c>
    </row>
    <row r="11955" spans="1:6" x14ac:dyDescent="0.2">
      <c r="A11955" s="29" t="s">
        <v>27440</v>
      </c>
      <c r="B11955" s="30" t="s">
        <v>27441</v>
      </c>
      <c r="C11955" s="29" t="s">
        <v>26</v>
      </c>
      <c r="D11955" s="31">
        <v>35383.919999999998</v>
      </c>
      <c r="F11955" s="3" t="str">
        <f t="shared" si="186"/>
        <v>I5281</v>
      </c>
    </row>
    <row r="11956" spans="1:6" x14ac:dyDescent="0.2">
      <c r="A11956" s="29" t="s">
        <v>27442</v>
      </c>
      <c r="B11956" s="30" t="s">
        <v>27443</v>
      </c>
      <c r="C11956" s="29" t="s">
        <v>26</v>
      </c>
      <c r="D11956" s="31">
        <v>46592.19</v>
      </c>
      <c r="F11956" s="3" t="str">
        <f t="shared" si="186"/>
        <v>I5282</v>
      </c>
    </row>
    <row r="11957" spans="1:6" x14ac:dyDescent="0.2">
      <c r="A11957" s="29" t="s">
        <v>27444</v>
      </c>
      <c r="B11957" s="30" t="s">
        <v>27445</v>
      </c>
      <c r="C11957" s="29" t="s">
        <v>26</v>
      </c>
      <c r="D11957" s="31">
        <v>53072.800000000003</v>
      </c>
      <c r="F11957" s="3" t="str">
        <f t="shared" si="186"/>
        <v>I5283</v>
      </c>
    </row>
    <row r="11958" spans="1:6" x14ac:dyDescent="0.2">
      <c r="A11958" s="29" t="s">
        <v>27446</v>
      </c>
      <c r="B11958" s="30" t="s">
        <v>27447</v>
      </c>
      <c r="C11958" s="29" t="s">
        <v>26</v>
      </c>
      <c r="D11958" s="31">
        <v>74374.92</v>
      </c>
      <c r="F11958" s="3" t="str">
        <f t="shared" si="186"/>
        <v>I5284</v>
      </c>
    </row>
    <row r="11959" spans="1:6" x14ac:dyDescent="0.2">
      <c r="A11959" s="29" t="s">
        <v>27448</v>
      </c>
      <c r="B11959" s="30" t="s">
        <v>27449</v>
      </c>
      <c r="C11959" s="29" t="s">
        <v>26</v>
      </c>
      <c r="D11959" s="31">
        <v>32061.55</v>
      </c>
      <c r="F11959" s="3" t="str">
        <f t="shared" si="186"/>
        <v>I5286</v>
      </c>
    </row>
    <row r="11960" spans="1:6" x14ac:dyDescent="0.2">
      <c r="A11960" s="29" t="s">
        <v>27450</v>
      </c>
      <c r="B11960" s="30" t="s">
        <v>27451</v>
      </c>
      <c r="C11960" s="29" t="s">
        <v>26</v>
      </c>
      <c r="D11960" s="31">
        <v>34860.959999999999</v>
      </c>
      <c r="F11960" s="3" t="str">
        <f t="shared" si="186"/>
        <v>I5287</v>
      </c>
    </row>
    <row r="11961" spans="1:6" x14ac:dyDescent="0.2">
      <c r="A11961" s="29" t="s">
        <v>27452</v>
      </c>
      <c r="B11961" s="30" t="s">
        <v>27453</v>
      </c>
      <c r="C11961" s="29" t="s">
        <v>26</v>
      </c>
      <c r="D11961" s="31">
        <v>41020.839999999997</v>
      </c>
      <c r="F11961" s="3" t="str">
        <f t="shared" si="186"/>
        <v>I5288</v>
      </c>
    </row>
    <row r="11962" spans="1:6" x14ac:dyDescent="0.2">
      <c r="A11962" s="29" t="s">
        <v>27454</v>
      </c>
      <c r="B11962" s="30" t="s">
        <v>27455</v>
      </c>
      <c r="C11962" s="29" t="s">
        <v>26</v>
      </c>
      <c r="D11962" s="31">
        <v>43042.97</v>
      </c>
      <c r="F11962" s="3" t="str">
        <f t="shared" si="186"/>
        <v>I5289</v>
      </c>
    </row>
    <row r="11963" spans="1:6" x14ac:dyDescent="0.2">
      <c r="A11963" s="29" t="s">
        <v>27456</v>
      </c>
      <c r="B11963" s="30" t="s">
        <v>27457</v>
      </c>
      <c r="C11963" s="29" t="s">
        <v>26</v>
      </c>
      <c r="D11963" s="31">
        <v>59388.29</v>
      </c>
      <c r="F11963" s="3" t="str">
        <f t="shared" si="186"/>
        <v>I5290</v>
      </c>
    </row>
    <row r="11964" spans="1:6" x14ac:dyDescent="0.2">
      <c r="A11964" s="29" t="s">
        <v>27458</v>
      </c>
      <c r="B11964" s="30" t="s">
        <v>27459</v>
      </c>
      <c r="C11964" s="29" t="s">
        <v>26</v>
      </c>
      <c r="D11964" s="31">
        <v>40868.79</v>
      </c>
      <c r="F11964" s="3" t="str">
        <f t="shared" si="186"/>
        <v>I5292</v>
      </c>
    </row>
    <row r="11965" spans="1:6" x14ac:dyDescent="0.2">
      <c r="A11965" s="29" t="s">
        <v>27460</v>
      </c>
      <c r="B11965" s="30" t="s">
        <v>27461</v>
      </c>
      <c r="C11965" s="29" t="s">
        <v>26</v>
      </c>
      <c r="D11965" s="31">
        <v>41773.769999999997</v>
      </c>
      <c r="F11965" s="3" t="str">
        <f t="shared" si="186"/>
        <v>I5293</v>
      </c>
    </row>
    <row r="11966" spans="1:6" x14ac:dyDescent="0.2">
      <c r="A11966" s="29" t="s">
        <v>27462</v>
      </c>
      <c r="B11966" s="30" t="s">
        <v>27463</v>
      </c>
      <c r="C11966" s="29" t="s">
        <v>26</v>
      </c>
      <c r="D11966" s="31">
        <v>48535.360000000001</v>
      </c>
      <c r="F11966" s="3" t="str">
        <f t="shared" si="186"/>
        <v>I5294</v>
      </c>
    </row>
    <row r="11967" spans="1:6" x14ac:dyDescent="0.2">
      <c r="A11967" s="29" t="s">
        <v>27464</v>
      </c>
      <c r="B11967" s="30" t="s">
        <v>27465</v>
      </c>
      <c r="C11967" s="29" t="s">
        <v>26</v>
      </c>
      <c r="D11967" s="31">
        <v>59517.21</v>
      </c>
      <c r="F11967" s="3" t="str">
        <f t="shared" si="186"/>
        <v>I5295</v>
      </c>
    </row>
    <row r="11968" spans="1:6" x14ac:dyDescent="0.2">
      <c r="A11968" s="29" t="s">
        <v>27466</v>
      </c>
      <c r="B11968" s="30" t="s">
        <v>27467</v>
      </c>
      <c r="C11968" s="29" t="s">
        <v>26</v>
      </c>
      <c r="D11968" s="31">
        <v>81708.13</v>
      </c>
      <c r="F11968" s="3" t="str">
        <f t="shared" si="186"/>
        <v>I5296</v>
      </c>
    </row>
    <row r="11969" spans="1:6" x14ac:dyDescent="0.2">
      <c r="A11969" s="29" t="s">
        <v>27468</v>
      </c>
      <c r="B11969" s="30" t="s">
        <v>27469</v>
      </c>
      <c r="C11969" s="29" t="s">
        <v>26</v>
      </c>
      <c r="D11969" s="31">
        <v>4694.76</v>
      </c>
      <c r="F11969" s="3" t="str">
        <f t="shared" si="186"/>
        <v>I11331</v>
      </c>
    </row>
    <row r="11970" spans="1:6" x14ac:dyDescent="0.2">
      <c r="A11970" s="29" t="s">
        <v>27470</v>
      </c>
      <c r="B11970" s="30" t="s">
        <v>27471</v>
      </c>
      <c r="C11970" s="29" t="s">
        <v>26</v>
      </c>
      <c r="D11970" s="31">
        <v>9585.57</v>
      </c>
      <c r="F11970" s="3" t="str">
        <f t="shared" ref="F11970:F12033" si="187">A11970</f>
        <v>I11332</v>
      </c>
    </row>
    <row r="11971" spans="1:6" x14ac:dyDescent="0.2">
      <c r="A11971" s="29" t="s">
        <v>27472</v>
      </c>
      <c r="B11971" s="30" t="s">
        <v>27473</v>
      </c>
      <c r="C11971" s="29" t="s">
        <v>26</v>
      </c>
      <c r="D11971" s="31">
        <v>13898.91</v>
      </c>
      <c r="F11971" s="3" t="str">
        <f t="shared" si="187"/>
        <v>I11333</v>
      </c>
    </row>
    <row r="11972" spans="1:6" x14ac:dyDescent="0.2">
      <c r="A11972" s="29" t="s">
        <v>27474</v>
      </c>
      <c r="B11972" s="30" t="s">
        <v>27475</v>
      </c>
      <c r="C11972" s="29" t="s">
        <v>26</v>
      </c>
      <c r="D11972" s="31">
        <v>22914.84</v>
      </c>
      <c r="F11972" s="3" t="str">
        <f t="shared" si="187"/>
        <v>I11334</v>
      </c>
    </row>
    <row r="11973" spans="1:6" x14ac:dyDescent="0.2">
      <c r="A11973" s="29" t="s">
        <v>27476</v>
      </c>
      <c r="B11973" s="30" t="s">
        <v>27477</v>
      </c>
      <c r="C11973" s="29" t="s">
        <v>26</v>
      </c>
      <c r="D11973" s="31">
        <v>36647.089999999997</v>
      </c>
      <c r="F11973" s="3" t="str">
        <f t="shared" si="187"/>
        <v>I11335</v>
      </c>
    </row>
    <row r="11974" spans="1:6" x14ac:dyDescent="0.2">
      <c r="A11974" s="29" t="s">
        <v>27478</v>
      </c>
      <c r="B11974" s="30" t="s">
        <v>27479</v>
      </c>
      <c r="C11974" s="29" t="s">
        <v>26</v>
      </c>
      <c r="D11974" s="31">
        <v>54551.81</v>
      </c>
      <c r="F11974" s="3" t="str">
        <f t="shared" si="187"/>
        <v>I5064</v>
      </c>
    </row>
    <row r="11975" spans="1:6" x14ac:dyDescent="0.2">
      <c r="A11975" s="29" t="s">
        <v>27480</v>
      </c>
      <c r="B11975" s="30" t="s">
        <v>27481</v>
      </c>
      <c r="C11975" s="29" t="s">
        <v>26</v>
      </c>
      <c r="D11975" s="31">
        <v>75297.570000000007</v>
      </c>
      <c r="F11975" s="3" t="str">
        <f t="shared" si="187"/>
        <v>I5066</v>
      </c>
    </row>
    <row r="11976" spans="1:6" x14ac:dyDescent="0.2">
      <c r="A11976" s="29" t="s">
        <v>27482</v>
      </c>
      <c r="B11976" s="30" t="s">
        <v>27483</v>
      </c>
      <c r="C11976" s="29" t="s">
        <v>26</v>
      </c>
      <c r="D11976" s="31">
        <v>90720</v>
      </c>
      <c r="F11976" s="3" t="str">
        <f t="shared" si="187"/>
        <v>I5067</v>
      </c>
    </row>
    <row r="11977" spans="1:6" x14ac:dyDescent="0.2">
      <c r="A11977" s="29" t="s">
        <v>27484</v>
      </c>
      <c r="B11977" s="30" t="s">
        <v>27485</v>
      </c>
      <c r="C11977" s="29" t="s">
        <v>26</v>
      </c>
      <c r="D11977" s="31">
        <v>207899.96</v>
      </c>
      <c r="F11977" s="3" t="str">
        <f t="shared" si="187"/>
        <v>I5068</v>
      </c>
    </row>
    <row r="11978" spans="1:6" x14ac:dyDescent="0.2">
      <c r="A11978" s="29" t="s">
        <v>27486</v>
      </c>
      <c r="B11978" s="30" t="s">
        <v>27487</v>
      </c>
      <c r="C11978" s="29" t="s">
        <v>26</v>
      </c>
      <c r="D11978" s="31">
        <v>271404.32</v>
      </c>
      <c r="F11978" s="3" t="str">
        <f t="shared" si="187"/>
        <v>I11336</v>
      </c>
    </row>
    <row r="11979" spans="1:6" x14ac:dyDescent="0.2">
      <c r="A11979" s="29" t="s">
        <v>27488</v>
      </c>
      <c r="B11979" s="30" t="s">
        <v>27489</v>
      </c>
      <c r="C11979" s="29" t="s">
        <v>26</v>
      </c>
      <c r="D11979" s="31">
        <v>3641.4</v>
      </c>
      <c r="F11979" s="3" t="str">
        <f t="shared" si="187"/>
        <v>I11330</v>
      </c>
    </row>
    <row r="11980" spans="1:6" x14ac:dyDescent="0.2">
      <c r="A11980" s="29" t="s">
        <v>27490</v>
      </c>
      <c r="B11980" s="30" t="s">
        <v>27491</v>
      </c>
      <c r="C11980" s="29" t="s">
        <v>26</v>
      </c>
      <c r="D11980" s="31">
        <v>279356.95</v>
      </c>
      <c r="F11980" s="3" t="str">
        <f t="shared" si="187"/>
        <v>I11337</v>
      </c>
    </row>
    <row r="11981" spans="1:6" x14ac:dyDescent="0.2">
      <c r="A11981" s="29" t="s">
        <v>27492</v>
      </c>
      <c r="B11981" s="30" t="s">
        <v>27493</v>
      </c>
      <c r="C11981" s="29" t="s">
        <v>26</v>
      </c>
      <c r="D11981" s="31">
        <v>3351.8</v>
      </c>
      <c r="F11981" s="3" t="str">
        <f t="shared" si="187"/>
        <v>I5271</v>
      </c>
    </row>
    <row r="11982" spans="1:6" x14ac:dyDescent="0.2">
      <c r="A11982" s="29" t="s">
        <v>27494</v>
      </c>
      <c r="B11982" s="30" t="s">
        <v>27495</v>
      </c>
      <c r="C11982" s="29" t="s">
        <v>26</v>
      </c>
      <c r="D11982" s="31">
        <v>4414.88</v>
      </c>
      <c r="F11982" s="3" t="str">
        <f t="shared" si="187"/>
        <v>I5272</v>
      </c>
    </row>
    <row r="11983" spans="1:6" x14ac:dyDescent="0.2">
      <c r="A11983" s="29" t="s">
        <v>27496</v>
      </c>
      <c r="B11983" s="30" t="s">
        <v>27497</v>
      </c>
      <c r="C11983" s="29" t="s">
        <v>26</v>
      </c>
      <c r="D11983" s="31">
        <v>26525.85</v>
      </c>
      <c r="F11983" s="3" t="str">
        <f t="shared" si="187"/>
        <v>I5273</v>
      </c>
    </row>
    <row r="11984" spans="1:6" x14ac:dyDescent="0.2">
      <c r="A11984" s="29" t="s">
        <v>27498</v>
      </c>
      <c r="B11984" s="30" t="s">
        <v>27499</v>
      </c>
      <c r="C11984" s="29" t="s">
        <v>26</v>
      </c>
      <c r="D11984" s="31">
        <v>30836.44</v>
      </c>
      <c r="F11984" s="3" t="str">
        <f t="shared" si="187"/>
        <v>I5274</v>
      </c>
    </row>
    <row r="11985" spans="1:6" x14ac:dyDescent="0.2">
      <c r="A11985" s="29" t="s">
        <v>27500</v>
      </c>
      <c r="B11985" s="30" t="s">
        <v>27501</v>
      </c>
      <c r="C11985" s="29" t="s">
        <v>26</v>
      </c>
      <c r="D11985" s="31">
        <v>38155.089999999997</v>
      </c>
      <c r="F11985" s="3" t="str">
        <f t="shared" si="187"/>
        <v>I5275</v>
      </c>
    </row>
    <row r="11986" spans="1:6" x14ac:dyDescent="0.2">
      <c r="A11986" s="29" t="s">
        <v>27502</v>
      </c>
      <c r="B11986" s="30" t="s">
        <v>27503</v>
      </c>
      <c r="C11986" s="29" t="s">
        <v>26</v>
      </c>
      <c r="D11986" s="31">
        <v>40797.300000000003</v>
      </c>
      <c r="F11986" s="3" t="str">
        <f t="shared" si="187"/>
        <v>I5276</v>
      </c>
    </row>
    <row r="11987" spans="1:6" x14ac:dyDescent="0.2">
      <c r="A11987" s="29" t="s">
        <v>27504</v>
      </c>
      <c r="B11987" s="30" t="s">
        <v>27505</v>
      </c>
      <c r="C11987" s="29" t="s">
        <v>26</v>
      </c>
      <c r="D11987" s="31">
        <v>57621.46</v>
      </c>
      <c r="F11987" s="3" t="str">
        <f t="shared" si="187"/>
        <v>I5277</v>
      </c>
    </row>
    <row r="11988" spans="1:6" x14ac:dyDescent="0.2">
      <c r="A11988" s="29" t="s">
        <v>27506</v>
      </c>
      <c r="B11988" s="30" t="s">
        <v>27507</v>
      </c>
      <c r="C11988" s="29" t="s">
        <v>26</v>
      </c>
      <c r="D11988" s="31">
        <v>142616.98000000001</v>
      </c>
      <c r="F11988" s="3" t="str">
        <f t="shared" si="187"/>
        <v>I5383</v>
      </c>
    </row>
    <row r="11989" spans="1:6" x14ac:dyDescent="0.2">
      <c r="A11989" s="29" t="s">
        <v>27508</v>
      </c>
      <c r="B11989" s="30" t="s">
        <v>27509</v>
      </c>
      <c r="C11989" s="29" t="s">
        <v>26</v>
      </c>
      <c r="D11989" s="31">
        <v>172823.11</v>
      </c>
      <c r="F11989" s="3" t="str">
        <f t="shared" si="187"/>
        <v>I5394</v>
      </c>
    </row>
    <row r="11990" spans="1:6" x14ac:dyDescent="0.2">
      <c r="A11990" s="29" t="s">
        <v>27510</v>
      </c>
      <c r="B11990" s="30" t="s">
        <v>27511</v>
      </c>
      <c r="C11990" s="29" t="s">
        <v>26</v>
      </c>
      <c r="D11990" s="31">
        <v>153950.32</v>
      </c>
      <c r="F11990" s="3" t="str">
        <f t="shared" si="187"/>
        <v>I5405</v>
      </c>
    </row>
    <row r="11991" spans="1:6" x14ac:dyDescent="0.2">
      <c r="A11991" s="29" t="s">
        <v>27512</v>
      </c>
      <c r="B11991" s="30" t="s">
        <v>27513</v>
      </c>
      <c r="C11991" s="29" t="s">
        <v>26</v>
      </c>
      <c r="D11991" s="31">
        <v>4289.5600000000004</v>
      </c>
      <c r="F11991" s="3" t="str">
        <f t="shared" si="187"/>
        <v>I5373</v>
      </c>
    </row>
    <row r="11992" spans="1:6" x14ac:dyDescent="0.2">
      <c r="A11992" s="29" t="s">
        <v>27514</v>
      </c>
      <c r="B11992" s="30" t="s">
        <v>27515</v>
      </c>
      <c r="C11992" s="29" t="s">
        <v>26</v>
      </c>
      <c r="D11992" s="31">
        <v>4263.34</v>
      </c>
      <c r="F11992" s="3" t="str">
        <f t="shared" si="187"/>
        <v>I5384</v>
      </c>
    </row>
    <row r="11993" spans="1:6" x14ac:dyDescent="0.2">
      <c r="A11993" s="29" t="s">
        <v>27516</v>
      </c>
      <c r="B11993" s="30" t="s">
        <v>27517</v>
      </c>
      <c r="C11993" s="29" t="s">
        <v>26</v>
      </c>
      <c r="D11993" s="31">
        <v>4519.2700000000004</v>
      </c>
      <c r="F11993" s="3" t="str">
        <f t="shared" si="187"/>
        <v>I5395</v>
      </c>
    </row>
    <row r="11994" spans="1:6" x14ac:dyDescent="0.2">
      <c r="A11994" s="29" t="s">
        <v>27518</v>
      </c>
      <c r="B11994" s="30" t="s">
        <v>27519</v>
      </c>
      <c r="C11994" s="29" t="s">
        <v>26</v>
      </c>
      <c r="D11994" s="31">
        <v>5397.88</v>
      </c>
      <c r="F11994" s="3" t="str">
        <f t="shared" si="187"/>
        <v>I5374</v>
      </c>
    </row>
    <row r="11995" spans="1:6" x14ac:dyDescent="0.2">
      <c r="A11995" s="29" t="s">
        <v>27520</v>
      </c>
      <c r="B11995" s="30" t="s">
        <v>27521</v>
      </c>
      <c r="C11995" s="29" t="s">
        <v>26</v>
      </c>
      <c r="D11995" s="31">
        <v>5462.19</v>
      </c>
      <c r="F11995" s="3" t="str">
        <f t="shared" si="187"/>
        <v>I5385</v>
      </c>
    </row>
    <row r="11996" spans="1:6" x14ac:dyDescent="0.2">
      <c r="A11996" s="29" t="s">
        <v>27522</v>
      </c>
      <c r="B11996" s="30" t="s">
        <v>27523</v>
      </c>
      <c r="C11996" s="29" t="s">
        <v>26</v>
      </c>
      <c r="D11996" s="31">
        <v>5535.58</v>
      </c>
      <c r="F11996" s="3" t="str">
        <f t="shared" si="187"/>
        <v>I5396</v>
      </c>
    </row>
    <row r="11997" spans="1:6" x14ac:dyDescent="0.2">
      <c r="A11997" s="29" t="s">
        <v>27524</v>
      </c>
      <c r="B11997" s="30" t="s">
        <v>27525</v>
      </c>
      <c r="C11997" s="29" t="s">
        <v>26</v>
      </c>
      <c r="D11997" s="31">
        <v>27295.42</v>
      </c>
      <c r="F11997" s="3" t="str">
        <f t="shared" si="187"/>
        <v>I5375</v>
      </c>
    </row>
    <row r="11998" spans="1:6" x14ac:dyDescent="0.2">
      <c r="A11998" s="29" t="s">
        <v>27526</v>
      </c>
      <c r="B11998" s="30" t="s">
        <v>27527</v>
      </c>
      <c r="C11998" s="29" t="s">
        <v>26</v>
      </c>
      <c r="D11998" s="31">
        <v>30368.39</v>
      </c>
      <c r="F11998" s="3" t="str">
        <f t="shared" si="187"/>
        <v>I5386</v>
      </c>
    </row>
    <row r="11999" spans="1:6" x14ac:dyDescent="0.2">
      <c r="A11999" s="29" t="s">
        <v>27528</v>
      </c>
      <c r="B11999" s="30" t="s">
        <v>27529</v>
      </c>
      <c r="C11999" s="29" t="s">
        <v>26</v>
      </c>
      <c r="D11999" s="31">
        <v>27695.599999999999</v>
      </c>
      <c r="F11999" s="3" t="str">
        <f t="shared" si="187"/>
        <v>I5397</v>
      </c>
    </row>
    <row r="12000" spans="1:6" x14ac:dyDescent="0.2">
      <c r="A12000" s="29" t="s">
        <v>27530</v>
      </c>
      <c r="B12000" s="30" t="s">
        <v>27531</v>
      </c>
      <c r="C12000" s="29" t="s">
        <v>26</v>
      </c>
      <c r="D12000" s="31">
        <v>31806.46</v>
      </c>
      <c r="F12000" s="3" t="str">
        <f t="shared" si="187"/>
        <v>I5376</v>
      </c>
    </row>
    <row r="12001" spans="1:6" x14ac:dyDescent="0.2">
      <c r="A12001" s="29" t="s">
        <v>27532</v>
      </c>
      <c r="B12001" s="30" t="s">
        <v>27533</v>
      </c>
      <c r="C12001" s="29" t="s">
        <v>26</v>
      </c>
      <c r="D12001" s="31">
        <v>32878.400000000001</v>
      </c>
      <c r="F12001" s="3" t="str">
        <f t="shared" si="187"/>
        <v>I5387</v>
      </c>
    </row>
    <row r="12002" spans="1:6" x14ac:dyDescent="0.2">
      <c r="A12002" s="29" t="s">
        <v>27534</v>
      </c>
      <c r="B12002" s="30" t="s">
        <v>27535</v>
      </c>
      <c r="C12002" s="29" t="s">
        <v>26</v>
      </c>
      <c r="D12002" s="31">
        <v>33020.99</v>
      </c>
      <c r="F12002" s="3" t="str">
        <f t="shared" si="187"/>
        <v>I5398</v>
      </c>
    </row>
    <row r="12003" spans="1:6" x14ac:dyDescent="0.2">
      <c r="A12003" s="29" t="s">
        <v>27536</v>
      </c>
      <c r="B12003" s="30" t="s">
        <v>27537</v>
      </c>
      <c r="C12003" s="29" t="s">
        <v>26</v>
      </c>
      <c r="D12003" s="31">
        <v>40099.29</v>
      </c>
      <c r="F12003" s="3" t="str">
        <f t="shared" si="187"/>
        <v>I5377</v>
      </c>
    </row>
    <row r="12004" spans="1:6" x14ac:dyDescent="0.2">
      <c r="A12004" s="29" t="s">
        <v>27538</v>
      </c>
      <c r="B12004" s="30" t="s">
        <v>27539</v>
      </c>
      <c r="C12004" s="29" t="s">
        <v>26</v>
      </c>
      <c r="D12004" s="31">
        <v>40528.6</v>
      </c>
      <c r="F12004" s="3" t="str">
        <f t="shared" si="187"/>
        <v>I5388</v>
      </c>
    </row>
    <row r="12005" spans="1:6" x14ac:dyDescent="0.2">
      <c r="A12005" s="29" t="s">
        <v>27540</v>
      </c>
      <c r="B12005" s="30" t="s">
        <v>27541</v>
      </c>
      <c r="C12005" s="29" t="s">
        <v>26</v>
      </c>
      <c r="D12005" s="31">
        <v>40497.949999999997</v>
      </c>
      <c r="F12005" s="3" t="str">
        <f t="shared" si="187"/>
        <v>I5399</v>
      </c>
    </row>
    <row r="12006" spans="1:6" x14ac:dyDescent="0.2">
      <c r="A12006" s="29" t="s">
        <v>27542</v>
      </c>
      <c r="B12006" s="30" t="s">
        <v>27543</v>
      </c>
      <c r="C12006" s="29" t="s">
        <v>26</v>
      </c>
      <c r="D12006" s="31">
        <v>42375.88</v>
      </c>
      <c r="F12006" s="3" t="str">
        <f t="shared" si="187"/>
        <v>I5378</v>
      </c>
    </row>
    <row r="12007" spans="1:6" x14ac:dyDescent="0.2">
      <c r="A12007" s="29" t="s">
        <v>27544</v>
      </c>
      <c r="B12007" s="30" t="s">
        <v>27545</v>
      </c>
      <c r="C12007" s="29" t="s">
        <v>26</v>
      </c>
      <c r="D12007" s="31">
        <v>42057.46</v>
      </c>
      <c r="F12007" s="3" t="str">
        <f t="shared" si="187"/>
        <v>I5389</v>
      </c>
    </row>
    <row r="12008" spans="1:6" x14ac:dyDescent="0.2">
      <c r="A12008" s="29" t="s">
        <v>27546</v>
      </c>
      <c r="B12008" s="30" t="s">
        <v>27547</v>
      </c>
      <c r="C12008" s="29" t="s">
        <v>26</v>
      </c>
      <c r="D12008" s="31">
        <v>51248.56</v>
      </c>
      <c r="F12008" s="3" t="str">
        <f t="shared" si="187"/>
        <v>I5400</v>
      </c>
    </row>
    <row r="12009" spans="1:6" x14ac:dyDescent="0.2">
      <c r="A12009" s="29" t="s">
        <v>27548</v>
      </c>
      <c r="B12009" s="30" t="s">
        <v>27549</v>
      </c>
      <c r="C12009" s="29" t="s">
        <v>26</v>
      </c>
      <c r="D12009" s="31">
        <v>60266.06</v>
      </c>
      <c r="F12009" s="3" t="str">
        <f t="shared" si="187"/>
        <v>I5379</v>
      </c>
    </row>
    <row r="12010" spans="1:6" x14ac:dyDescent="0.2">
      <c r="A12010" s="29" t="s">
        <v>27550</v>
      </c>
      <c r="B12010" s="30" t="s">
        <v>27551</v>
      </c>
      <c r="C12010" s="29" t="s">
        <v>26</v>
      </c>
      <c r="D12010" s="31">
        <v>60799.3</v>
      </c>
      <c r="F12010" s="3" t="str">
        <f t="shared" si="187"/>
        <v>I5390</v>
      </c>
    </row>
    <row r="12011" spans="1:6" x14ac:dyDescent="0.2">
      <c r="A12011" s="29" t="s">
        <v>27552</v>
      </c>
      <c r="B12011" s="30" t="s">
        <v>27553</v>
      </c>
      <c r="C12011" s="29" t="s">
        <v>26</v>
      </c>
      <c r="D12011" s="31">
        <v>90035.22</v>
      </c>
      <c r="F12011" s="3" t="str">
        <f t="shared" si="187"/>
        <v>I5401</v>
      </c>
    </row>
    <row r="12012" spans="1:6" x14ac:dyDescent="0.2">
      <c r="A12012" s="29" t="s">
        <v>27554</v>
      </c>
      <c r="B12012" s="30" t="s">
        <v>27555</v>
      </c>
      <c r="C12012" s="29" t="s">
        <v>26</v>
      </c>
      <c r="D12012" s="31">
        <v>83337.539999999994</v>
      </c>
      <c r="F12012" s="3" t="str">
        <f t="shared" si="187"/>
        <v>I5380</v>
      </c>
    </row>
    <row r="12013" spans="1:6" x14ac:dyDescent="0.2">
      <c r="A12013" s="29" t="s">
        <v>27556</v>
      </c>
      <c r="B12013" s="30" t="s">
        <v>27557</v>
      </c>
      <c r="C12013" s="29" t="s">
        <v>26</v>
      </c>
      <c r="D12013" s="31">
        <v>84448.55</v>
      </c>
      <c r="F12013" s="3" t="str">
        <f t="shared" si="187"/>
        <v>I5391</v>
      </c>
    </row>
    <row r="12014" spans="1:6" x14ac:dyDescent="0.2">
      <c r="A12014" s="29" t="s">
        <v>27558</v>
      </c>
      <c r="B12014" s="30" t="s">
        <v>27559</v>
      </c>
      <c r="C12014" s="29" t="s">
        <v>26</v>
      </c>
      <c r="D12014" s="31">
        <v>85701.75</v>
      </c>
      <c r="F12014" s="3" t="str">
        <f t="shared" si="187"/>
        <v>I5402</v>
      </c>
    </row>
    <row r="12015" spans="1:6" x14ac:dyDescent="0.2">
      <c r="A12015" s="29" t="s">
        <v>27560</v>
      </c>
      <c r="B12015" s="30" t="s">
        <v>27561</v>
      </c>
      <c r="C12015" s="29" t="s">
        <v>26</v>
      </c>
      <c r="D12015" s="31">
        <v>95063.34</v>
      </c>
      <c r="F12015" s="3" t="str">
        <f t="shared" si="187"/>
        <v>I5381</v>
      </c>
    </row>
    <row r="12016" spans="1:6" x14ac:dyDescent="0.2">
      <c r="A12016" s="29" t="s">
        <v>27562</v>
      </c>
      <c r="B12016" s="30" t="s">
        <v>27563</v>
      </c>
      <c r="C12016" s="29" t="s">
        <v>26</v>
      </c>
      <c r="D12016" s="31">
        <v>125849.64</v>
      </c>
      <c r="F12016" s="3" t="str">
        <f t="shared" si="187"/>
        <v>I5392</v>
      </c>
    </row>
    <row r="12017" spans="1:6" x14ac:dyDescent="0.2">
      <c r="A12017" s="29" t="s">
        <v>27564</v>
      </c>
      <c r="B12017" s="30" t="s">
        <v>27565</v>
      </c>
      <c r="C12017" s="29" t="s">
        <v>26</v>
      </c>
      <c r="D12017" s="31">
        <v>97327.1</v>
      </c>
      <c r="F12017" s="3" t="str">
        <f t="shared" si="187"/>
        <v>I5403</v>
      </c>
    </row>
    <row r="12018" spans="1:6" x14ac:dyDescent="0.2">
      <c r="A12018" s="29" t="s">
        <v>27566</v>
      </c>
      <c r="B12018" s="30" t="s">
        <v>27567</v>
      </c>
      <c r="C12018" s="29" t="s">
        <v>26</v>
      </c>
      <c r="D12018" s="31">
        <v>113538.56</v>
      </c>
      <c r="F12018" s="3" t="str">
        <f t="shared" si="187"/>
        <v>I5382</v>
      </c>
    </row>
    <row r="12019" spans="1:6" x14ac:dyDescent="0.2">
      <c r="A12019" s="29" t="s">
        <v>27568</v>
      </c>
      <c r="B12019" s="30" t="s">
        <v>27569</v>
      </c>
      <c r="C12019" s="29" t="s">
        <v>26</v>
      </c>
      <c r="D12019" s="31">
        <v>147368.91</v>
      </c>
      <c r="F12019" s="3" t="str">
        <f t="shared" si="187"/>
        <v>I5393</v>
      </c>
    </row>
    <row r="12020" spans="1:6" x14ac:dyDescent="0.2">
      <c r="A12020" s="29" t="s">
        <v>27570</v>
      </c>
      <c r="B12020" s="30" t="s">
        <v>27571</v>
      </c>
      <c r="C12020" s="29" t="s">
        <v>26</v>
      </c>
      <c r="D12020" s="31">
        <v>120482.73</v>
      </c>
      <c r="F12020" s="3" t="str">
        <f t="shared" si="187"/>
        <v>I5404</v>
      </c>
    </row>
    <row r="12021" spans="1:6" x14ac:dyDescent="0.2">
      <c r="A12021" s="29" t="s">
        <v>27572</v>
      </c>
      <c r="B12021" s="30" t="s">
        <v>27573</v>
      </c>
      <c r="C12021" s="29" t="s">
        <v>26</v>
      </c>
      <c r="D12021" s="31">
        <v>145637.70000000001</v>
      </c>
      <c r="F12021" s="3" t="str">
        <f t="shared" si="187"/>
        <v>I5415</v>
      </c>
    </row>
    <row r="12022" spans="1:6" x14ac:dyDescent="0.2">
      <c r="A12022" s="29" t="s">
        <v>27574</v>
      </c>
      <c r="B12022" s="30" t="s">
        <v>27575</v>
      </c>
      <c r="C12022" s="29" t="s">
        <v>26</v>
      </c>
      <c r="D12022" s="31">
        <v>151959.32999999999</v>
      </c>
      <c r="F12022" s="3" t="str">
        <f t="shared" si="187"/>
        <v>I5425</v>
      </c>
    </row>
    <row r="12023" spans="1:6" x14ac:dyDescent="0.2">
      <c r="A12023" s="29" t="s">
        <v>27576</v>
      </c>
      <c r="B12023" s="30" t="s">
        <v>27577</v>
      </c>
      <c r="C12023" s="29" t="s">
        <v>26</v>
      </c>
      <c r="D12023" s="31">
        <v>146999.76</v>
      </c>
      <c r="F12023" s="3" t="str">
        <f t="shared" si="187"/>
        <v>I5435</v>
      </c>
    </row>
    <row r="12024" spans="1:6" x14ac:dyDescent="0.2">
      <c r="A12024" s="29" t="s">
        <v>27578</v>
      </c>
      <c r="B12024" s="30" t="s">
        <v>27579</v>
      </c>
      <c r="C12024" s="29" t="s">
        <v>26</v>
      </c>
      <c r="D12024" s="31">
        <v>35668.33</v>
      </c>
      <c r="F12024" s="3" t="str">
        <f t="shared" si="187"/>
        <v>I5407</v>
      </c>
    </row>
    <row r="12025" spans="1:6" x14ac:dyDescent="0.2">
      <c r="A12025" s="29" t="s">
        <v>27580</v>
      </c>
      <c r="B12025" s="30" t="s">
        <v>27581</v>
      </c>
      <c r="C12025" s="29" t="s">
        <v>26</v>
      </c>
      <c r="D12025" s="31">
        <v>37275.79</v>
      </c>
      <c r="F12025" s="3" t="str">
        <f t="shared" si="187"/>
        <v>I5417</v>
      </c>
    </row>
    <row r="12026" spans="1:6" x14ac:dyDescent="0.2">
      <c r="A12026" s="29" t="s">
        <v>27582</v>
      </c>
      <c r="B12026" s="30" t="s">
        <v>27583</v>
      </c>
      <c r="C12026" s="29" t="s">
        <v>26</v>
      </c>
      <c r="D12026" s="31">
        <v>36211.910000000003</v>
      </c>
      <c r="F12026" s="3" t="str">
        <f t="shared" si="187"/>
        <v>I5427</v>
      </c>
    </row>
    <row r="12027" spans="1:6" x14ac:dyDescent="0.2">
      <c r="A12027" s="29" t="s">
        <v>27584</v>
      </c>
      <c r="B12027" s="30" t="s">
        <v>27585</v>
      </c>
      <c r="C12027" s="29" t="s">
        <v>26</v>
      </c>
      <c r="D12027" s="31">
        <v>38982.99</v>
      </c>
      <c r="F12027" s="3" t="str">
        <f t="shared" si="187"/>
        <v>I5408</v>
      </c>
    </row>
    <row r="12028" spans="1:6" x14ac:dyDescent="0.2">
      <c r="A12028" s="29" t="s">
        <v>27586</v>
      </c>
      <c r="B12028" s="30" t="s">
        <v>27587</v>
      </c>
      <c r="C12028" s="29" t="s">
        <v>26</v>
      </c>
      <c r="D12028" s="31">
        <v>40458.65</v>
      </c>
      <c r="F12028" s="3" t="str">
        <f t="shared" si="187"/>
        <v>I5418</v>
      </c>
    </row>
    <row r="12029" spans="1:6" x14ac:dyDescent="0.2">
      <c r="A12029" s="29" t="s">
        <v>27588</v>
      </c>
      <c r="B12029" s="30" t="s">
        <v>27589</v>
      </c>
      <c r="C12029" s="29" t="s">
        <v>26</v>
      </c>
      <c r="D12029" s="31">
        <v>39835.870000000003</v>
      </c>
      <c r="F12029" s="3" t="str">
        <f t="shared" si="187"/>
        <v>I5428</v>
      </c>
    </row>
    <row r="12030" spans="1:6" x14ac:dyDescent="0.2">
      <c r="A12030" s="29" t="s">
        <v>27590</v>
      </c>
      <c r="B12030" s="30" t="s">
        <v>27591</v>
      </c>
      <c r="C12030" s="29" t="s">
        <v>26</v>
      </c>
      <c r="D12030" s="31">
        <v>46126.400000000001</v>
      </c>
      <c r="F12030" s="3" t="str">
        <f t="shared" si="187"/>
        <v>I5409</v>
      </c>
    </row>
    <row r="12031" spans="1:6" x14ac:dyDescent="0.2">
      <c r="A12031" s="29" t="s">
        <v>27592</v>
      </c>
      <c r="B12031" s="30" t="s">
        <v>27593</v>
      </c>
      <c r="C12031" s="29" t="s">
        <v>26</v>
      </c>
      <c r="D12031" s="31">
        <v>46984.04</v>
      </c>
      <c r="F12031" s="3" t="str">
        <f t="shared" si="187"/>
        <v>I5419</v>
      </c>
    </row>
    <row r="12032" spans="1:6" x14ac:dyDescent="0.2">
      <c r="A12032" s="29" t="s">
        <v>27594</v>
      </c>
      <c r="B12032" s="30" t="s">
        <v>27595</v>
      </c>
      <c r="C12032" s="29" t="s">
        <v>26</v>
      </c>
      <c r="D12032" s="31">
        <v>47319.519999999997</v>
      </c>
      <c r="F12032" s="3" t="str">
        <f t="shared" si="187"/>
        <v>I5429</v>
      </c>
    </row>
    <row r="12033" spans="1:6" x14ac:dyDescent="0.2">
      <c r="A12033" s="29" t="s">
        <v>27596</v>
      </c>
      <c r="B12033" s="30" t="s">
        <v>27597</v>
      </c>
      <c r="C12033" s="29" t="s">
        <v>26</v>
      </c>
      <c r="D12033" s="31">
        <v>48620.22</v>
      </c>
      <c r="F12033" s="3" t="str">
        <f t="shared" si="187"/>
        <v>I5410</v>
      </c>
    </row>
    <row r="12034" spans="1:6" x14ac:dyDescent="0.2">
      <c r="A12034" s="29" t="s">
        <v>27598</v>
      </c>
      <c r="B12034" s="30" t="s">
        <v>27599</v>
      </c>
      <c r="C12034" s="29" t="s">
        <v>26</v>
      </c>
      <c r="D12034" s="31">
        <v>48807.98</v>
      </c>
      <c r="F12034" s="3" t="str">
        <f t="shared" ref="F12034:F12097" si="188">A12034</f>
        <v>I5420</v>
      </c>
    </row>
    <row r="12035" spans="1:6" x14ac:dyDescent="0.2">
      <c r="A12035" s="29" t="s">
        <v>27600</v>
      </c>
      <c r="B12035" s="30" t="s">
        <v>27601</v>
      </c>
      <c r="C12035" s="29" t="s">
        <v>26</v>
      </c>
      <c r="D12035" s="31">
        <v>50666.65</v>
      </c>
      <c r="F12035" s="3" t="str">
        <f t="shared" si="188"/>
        <v>I5430</v>
      </c>
    </row>
    <row r="12036" spans="1:6" x14ac:dyDescent="0.2">
      <c r="A12036" s="29" t="s">
        <v>27602</v>
      </c>
      <c r="B12036" s="30" t="s">
        <v>27603</v>
      </c>
      <c r="C12036" s="29" t="s">
        <v>26</v>
      </c>
      <c r="D12036" s="31">
        <v>66292.77</v>
      </c>
      <c r="F12036" s="3" t="str">
        <f t="shared" si="188"/>
        <v>I5411</v>
      </c>
    </row>
    <row r="12037" spans="1:6" x14ac:dyDescent="0.2">
      <c r="A12037" s="29" t="s">
        <v>27604</v>
      </c>
      <c r="B12037" s="30" t="s">
        <v>27605</v>
      </c>
      <c r="C12037" s="29" t="s">
        <v>26</v>
      </c>
      <c r="D12037" s="31">
        <v>66526.44</v>
      </c>
      <c r="F12037" s="3" t="str">
        <f t="shared" si="188"/>
        <v>I5421</v>
      </c>
    </row>
    <row r="12038" spans="1:6" x14ac:dyDescent="0.2">
      <c r="A12038" s="29" t="s">
        <v>27606</v>
      </c>
      <c r="B12038" s="30" t="s">
        <v>27607</v>
      </c>
      <c r="C12038" s="29" t="s">
        <v>26</v>
      </c>
      <c r="D12038" s="31">
        <v>78840.88</v>
      </c>
      <c r="F12038" s="3" t="str">
        <f t="shared" si="188"/>
        <v>I5431</v>
      </c>
    </row>
    <row r="12039" spans="1:6" x14ac:dyDescent="0.2">
      <c r="A12039" s="29" t="s">
        <v>27608</v>
      </c>
      <c r="B12039" s="30" t="s">
        <v>27609</v>
      </c>
      <c r="C12039" s="29" t="s">
        <v>26</v>
      </c>
      <c r="D12039" s="31">
        <v>88169.85</v>
      </c>
      <c r="F12039" s="3" t="str">
        <f t="shared" si="188"/>
        <v>I5412</v>
      </c>
    </row>
    <row r="12040" spans="1:6" x14ac:dyDescent="0.2">
      <c r="A12040" s="29" t="s">
        <v>27610</v>
      </c>
      <c r="B12040" s="30" t="s">
        <v>27611</v>
      </c>
      <c r="C12040" s="29" t="s">
        <v>26</v>
      </c>
      <c r="D12040" s="31">
        <v>89123.53</v>
      </c>
      <c r="F12040" s="3" t="str">
        <f t="shared" si="188"/>
        <v>I5422</v>
      </c>
    </row>
    <row r="12041" spans="1:6" x14ac:dyDescent="0.2">
      <c r="A12041" s="29" t="s">
        <v>27612</v>
      </c>
      <c r="B12041" s="30" t="s">
        <v>27613</v>
      </c>
      <c r="C12041" s="29" t="s">
        <v>26</v>
      </c>
      <c r="D12041" s="31">
        <v>90387.53</v>
      </c>
      <c r="F12041" s="3" t="str">
        <f t="shared" si="188"/>
        <v>I5432</v>
      </c>
    </row>
    <row r="12042" spans="1:6" x14ac:dyDescent="0.2">
      <c r="A12042" s="29" t="s">
        <v>27614</v>
      </c>
      <c r="B12042" s="30" t="s">
        <v>27615</v>
      </c>
      <c r="C12042" s="29" t="s">
        <v>26</v>
      </c>
      <c r="D12042" s="31">
        <v>99956.99</v>
      </c>
      <c r="F12042" s="3" t="str">
        <f t="shared" si="188"/>
        <v>I5413</v>
      </c>
    </row>
    <row r="12043" spans="1:6" x14ac:dyDescent="0.2">
      <c r="A12043" s="29" t="s">
        <v>27616</v>
      </c>
      <c r="B12043" s="30" t="s">
        <v>27617</v>
      </c>
      <c r="C12043" s="29" t="s">
        <v>26</v>
      </c>
      <c r="D12043" s="31">
        <v>106431.99</v>
      </c>
      <c r="F12043" s="3" t="str">
        <f t="shared" si="188"/>
        <v>I5423</v>
      </c>
    </row>
    <row r="12044" spans="1:6" x14ac:dyDescent="0.2">
      <c r="A12044" s="29" t="s">
        <v>27618</v>
      </c>
      <c r="B12044" s="30" t="s">
        <v>27619</v>
      </c>
      <c r="C12044" s="29" t="s">
        <v>26</v>
      </c>
      <c r="D12044" s="31">
        <v>105493.82</v>
      </c>
      <c r="F12044" s="3" t="str">
        <f t="shared" si="188"/>
        <v>I5433</v>
      </c>
    </row>
    <row r="12045" spans="1:6" x14ac:dyDescent="0.2">
      <c r="A12045" s="29" t="s">
        <v>27620</v>
      </c>
      <c r="B12045" s="30" t="s">
        <v>27621</v>
      </c>
      <c r="C12045" s="29" t="s">
        <v>26</v>
      </c>
      <c r="D12045" s="31">
        <v>119254.01</v>
      </c>
      <c r="F12045" s="3" t="str">
        <f t="shared" si="188"/>
        <v>I5414</v>
      </c>
    </row>
    <row r="12046" spans="1:6" x14ac:dyDescent="0.2">
      <c r="A12046" s="29" t="s">
        <v>27622</v>
      </c>
      <c r="B12046" s="30" t="s">
        <v>27623</v>
      </c>
      <c r="C12046" s="29" t="s">
        <v>26</v>
      </c>
      <c r="D12046" s="31">
        <v>117097.06</v>
      </c>
      <c r="F12046" s="3" t="str">
        <f t="shared" si="188"/>
        <v>I5424</v>
      </c>
    </row>
    <row r="12047" spans="1:6" x14ac:dyDescent="0.2">
      <c r="A12047" s="29" t="s">
        <v>27624</v>
      </c>
      <c r="B12047" s="30" t="s">
        <v>27625</v>
      </c>
      <c r="C12047" s="29" t="s">
        <v>26</v>
      </c>
      <c r="D12047" s="31">
        <v>119671.64</v>
      </c>
      <c r="F12047" s="3" t="str">
        <f t="shared" si="188"/>
        <v>I5434</v>
      </c>
    </row>
    <row r="12048" spans="1:6" x14ac:dyDescent="0.2">
      <c r="A12048" s="29" t="s">
        <v>27626</v>
      </c>
      <c r="B12048" s="30" t="s">
        <v>27627</v>
      </c>
      <c r="C12048" s="29" t="s">
        <v>26</v>
      </c>
      <c r="D12048" s="31">
        <v>1302.76</v>
      </c>
      <c r="F12048" s="3" t="str">
        <f t="shared" si="188"/>
        <v>I5343</v>
      </c>
    </row>
    <row r="12049" spans="1:6" x14ac:dyDescent="0.2">
      <c r="A12049" s="29" t="s">
        <v>27628</v>
      </c>
      <c r="B12049" s="30" t="s">
        <v>27629</v>
      </c>
      <c r="C12049" s="29" t="s">
        <v>26</v>
      </c>
      <c r="D12049" s="31">
        <v>134222.79999999999</v>
      </c>
      <c r="F12049" s="3" t="str">
        <f t="shared" si="188"/>
        <v>I5341</v>
      </c>
    </row>
    <row r="12050" spans="1:6" x14ac:dyDescent="0.2">
      <c r="A12050" s="29" t="s">
        <v>27630</v>
      </c>
      <c r="B12050" s="30" t="s">
        <v>27631</v>
      </c>
      <c r="C12050" s="29" t="s">
        <v>26</v>
      </c>
      <c r="D12050" s="31">
        <v>136328.4</v>
      </c>
      <c r="F12050" s="3" t="str">
        <f t="shared" si="188"/>
        <v>I5356</v>
      </c>
    </row>
    <row r="12051" spans="1:6" x14ac:dyDescent="0.2">
      <c r="A12051" s="29" t="s">
        <v>27632</v>
      </c>
      <c r="B12051" s="30" t="s">
        <v>27633</v>
      </c>
      <c r="C12051" s="29" t="s">
        <v>26</v>
      </c>
      <c r="D12051" s="31">
        <v>1753.12</v>
      </c>
      <c r="F12051" s="3" t="str">
        <f t="shared" si="188"/>
        <v>I5344</v>
      </c>
    </row>
    <row r="12052" spans="1:6" x14ac:dyDescent="0.2">
      <c r="A12052" s="29" t="s">
        <v>27634</v>
      </c>
      <c r="B12052" s="30" t="s">
        <v>27635</v>
      </c>
      <c r="C12052" s="29" t="s">
        <v>26</v>
      </c>
      <c r="D12052" s="31">
        <v>2140.27</v>
      </c>
      <c r="F12052" s="3" t="str">
        <f t="shared" si="188"/>
        <v>I5330</v>
      </c>
    </row>
    <row r="12053" spans="1:6" x14ac:dyDescent="0.2">
      <c r="A12053" s="29" t="s">
        <v>27636</v>
      </c>
      <c r="B12053" s="30" t="s">
        <v>27637</v>
      </c>
      <c r="C12053" s="29" t="s">
        <v>26</v>
      </c>
      <c r="D12053" s="31">
        <v>2294.89</v>
      </c>
      <c r="F12053" s="3" t="str">
        <f t="shared" si="188"/>
        <v>I5345</v>
      </c>
    </row>
    <row r="12054" spans="1:6" x14ac:dyDescent="0.2">
      <c r="A12054" s="29" t="s">
        <v>27638</v>
      </c>
      <c r="B12054" s="30" t="s">
        <v>27639</v>
      </c>
      <c r="C12054" s="29" t="s">
        <v>26</v>
      </c>
      <c r="D12054" s="31">
        <v>3420.8</v>
      </c>
      <c r="F12054" s="3" t="str">
        <f t="shared" si="188"/>
        <v>I5331</v>
      </c>
    </row>
    <row r="12055" spans="1:6" x14ac:dyDescent="0.2">
      <c r="A12055" s="29" t="s">
        <v>27640</v>
      </c>
      <c r="B12055" s="30" t="s">
        <v>27641</v>
      </c>
      <c r="C12055" s="29" t="s">
        <v>26</v>
      </c>
      <c r="D12055" s="31">
        <v>4520.3999999999996</v>
      </c>
      <c r="F12055" s="3" t="str">
        <f t="shared" si="188"/>
        <v>I5332</v>
      </c>
    </row>
    <row r="12056" spans="1:6" x14ac:dyDescent="0.2">
      <c r="A12056" s="29" t="s">
        <v>27642</v>
      </c>
      <c r="B12056" s="30" t="s">
        <v>27643</v>
      </c>
      <c r="C12056" s="29" t="s">
        <v>26</v>
      </c>
      <c r="D12056" s="31">
        <v>4988.6099999999997</v>
      </c>
      <c r="F12056" s="3" t="str">
        <f t="shared" si="188"/>
        <v>I5347</v>
      </c>
    </row>
    <row r="12057" spans="1:6" x14ac:dyDescent="0.2">
      <c r="A12057" s="29" t="s">
        <v>27644</v>
      </c>
      <c r="B12057" s="30" t="s">
        <v>27645</v>
      </c>
      <c r="C12057" s="29" t="s">
        <v>26</v>
      </c>
      <c r="D12057" s="31">
        <v>26045.09</v>
      </c>
      <c r="F12057" s="3" t="str">
        <f t="shared" si="188"/>
        <v>I5333</v>
      </c>
    </row>
    <row r="12058" spans="1:6" x14ac:dyDescent="0.2">
      <c r="A12058" s="29" t="s">
        <v>27646</v>
      </c>
      <c r="B12058" s="30" t="s">
        <v>27647</v>
      </c>
      <c r="C12058" s="29" t="s">
        <v>26</v>
      </c>
      <c r="D12058" s="31">
        <v>26285.439999999999</v>
      </c>
      <c r="F12058" s="3" t="str">
        <f t="shared" si="188"/>
        <v>I5348</v>
      </c>
    </row>
    <row r="12059" spans="1:6" x14ac:dyDescent="0.2">
      <c r="A12059" s="29" t="s">
        <v>27648</v>
      </c>
      <c r="B12059" s="30" t="s">
        <v>27649</v>
      </c>
      <c r="C12059" s="29" t="s">
        <v>26</v>
      </c>
      <c r="D12059" s="31">
        <v>30270.880000000001</v>
      </c>
      <c r="F12059" s="3" t="str">
        <f t="shared" si="188"/>
        <v>I5334</v>
      </c>
    </row>
    <row r="12060" spans="1:6" x14ac:dyDescent="0.2">
      <c r="A12060" s="29" t="s">
        <v>27650</v>
      </c>
      <c r="B12060" s="30" t="s">
        <v>27651</v>
      </c>
      <c r="C12060" s="29" t="s">
        <v>26</v>
      </c>
      <c r="D12060" s="31">
        <v>31243.39</v>
      </c>
      <c r="F12060" s="3" t="str">
        <f t="shared" si="188"/>
        <v>I5349</v>
      </c>
    </row>
    <row r="12061" spans="1:6" x14ac:dyDescent="0.2">
      <c r="A12061" s="29" t="s">
        <v>27652</v>
      </c>
      <c r="B12061" s="30" t="s">
        <v>27653</v>
      </c>
      <c r="C12061" s="29" t="s">
        <v>26</v>
      </c>
      <c r="D12061" s="31">
        <v>38202.9</v>
      </c>
      <c r="F12061" s="3" t="str">
        <f t="shared" si="188"/>
        <v>I5335</v>
      </c>
    </row>
    <row r="12062" spans="1:6" x14ac:dyDescent="0.2">
      <c r="A12062" s="29" t="s">
        <v>27654</v>
      </c>
      <c r="B12062" s="30" t="s">
        <v>27655</v>
      </c>
      <c r="C12062" s="29" t="s">
        <v>26</v>
      </c>
      <c r="D12062" s="31">
        <v>38899.39</v>
      </c>
      <c r="F12062" s="3" t="str">
        <f t="shared" si="188"/>
        <v>I5350</v>
      </c>
    </row>
    <row r="12063" spans="1:6" x14ac:dyDescent="0.2">
      <c r="A12063" s="29" t="s">
        <v>27656</v>
      </c>
      <c r="B12063" s="30" t="s">
        <v>27657</v>
      </c>
      <c r="C12063" s="29" t="s">
        <v>26</v>
      </c>
      <c r="D12063" s="31">
        <v>40643.120000000003</v>
      </c>
      <c r="F12063" s="3" t="str">
        <f t="shared" si="188"/>
        <v>I5351</v>
      </c>
    </row>
    <row r="12064" spans="1:6" x14ac:dyDescent="0.2">
      <c r="A12064" s="29" t="s">
        <v>27658</v>
      </c>
      <c r="B12064" s="30" t="s">
        <v>27659</v>
      </c>
      <c r="C12064" s="29" t="s">
        <v>26</v>
      </c>
      <c r="D12064" s="31">
        <v>57644.17</v>
      </c>
      <c r="F12064" s="3" t="str">
        <f t="shared" si="188"/>
        <v>I5337</v>
      </c>
    </row>
    <row r="12065" spans="1:6" x14ac:dyDescent="0.2">
      <c r="A12065" s="29" t="s">
        <v>27660</v>
      </c>
      <c r="B12065" s="30" t="s">
        <v>27661</v>
      </c>
      <c r="C12065" s="29" t="s">
        <v>26</v>
      </c>
      <c r="D12065" s="31">
        <v>58759.96</v>
      </c>
      <c r="F12065" s="3" t="str">
        <f t="shared" si="188"/>
        <v>I5352</v>
      </c>
    </row>
    <row r="12066" spans="1:6" x14ac:dyDescent="0.2">
      <c r="A12066" s="29" t="s">
        <v>27662</v>
      </c>
      <c r="B12066" s="30" t="s">
        <v>27663</v>
      </c>
      <c r="C12066" s="29" t="s">
        <v>26</v>
      </c>
      <c r="D12066" s="31">
        <v>79211.5</v>
      </c>
      <c r="F12066" s="3" t="str">
        <f t="shared" si="188"/>
        <v>I5338</v>
      </c>
    </row>
    <row r="12067" spans="1:6" x14ac:dyDescent="0.2">
      <c r="A12067" s="29" t="s">
        <v>27664</v>
      </c>
      <c r="B12067" s="30" t="s">
        <v>27665</v>
      </c>
      <c r="C12067" s="29" t="s">
        <v>26</v>
      </c>
      <c r="D12067" s="31">
        <v>80059.460000000006</v>
      </c>
      <c r="F12067" s="3" t="str">
        <f t="shared" si="188"/>
        <v>I5353</v>
      </c>
    </row>
    <row r="12068" spans="1:6" x14ac:dyDescent="0.2">
      <c r="A12068" s="29" t="s">
        <v>27666</v>
      </c>
      <c r="B12068" s="30" t="s">
        <v>27667</v>
      </c>
      <c r="C12068" s="29" t="s">
        <v>26</v>
      </c>
      <c r="D12068" s="31">
        <v>899.73</v>
      </c>
      <c r="F12068" s="3" t="str">
        <f t="shared" si="188"/>
        <v>I5342</v>
      </c>
    </row>
    <row r="12069" spans="1:6" x14ac:dyDescent="0.2">
      <c r="A12069" s="29" t="s">
        <v>27668</v>
      </c>
      <c r="B12069" s="30" t="s">
        <v>27669</v>
      </c>
      <c r="C12069" s="29" t="s">
        <v>26</v>
      </c>
      <c r="D12069" s="31">
        <v>91556.86</v>
      </c>
      <c r="F12069" s="3" t="str">
        <f t="shared" si="188"/>
        <v>I5339</v>
      </c>
    </row>
    <row r="12070" spans="1:6" x14ac:dyDescent="0.2">
      <c r="A12070" s="29" t="s">
        <v>27670</v>
      </c>
      <c r="B12070" s="30" t="s">
        <v>27671</v>
      </c>
      <c r="C12070" s="29" t="s">
        <v>26</v>
      </c>
      <c r="D12070" s="31">
        <v>95994.27</v>
      </c>
      <c r="F12070" s="3" t="str">
        <f t="shared" si="188"/>
        <v>I5354</v>
      </c>
    </row>
    <row r="12071" spans="1:6" x14ac:dyDescent="0.2">
      <c r="A12071" s="29" t="s">
        <v>27672</v>
      </c>
      <c r="B12071" s="30" t="s">
        <v>27673</v>
      </c>
      <c r="C12071" s="29" t="s">
        <v>26</v>
      </c>
      <c r="D12071" s="31">
        <v>112742.02</v>
      </c>
      <c r="F12071" s="3" t="str">
        <f t="shared" si="188"/>
        <v>I5340</v>
      </c>
    </row>
    <row r="12072" spans="1:6" x14ac:dyDescent="0.2">
      <c r="A12072" s="29" t="s">
        <v>27674</v>
      </c>
      <c r="B12072" s="30" t="s">
        <v>27675</v>
      </c>
      <c r="C12072" s="29" t="s">
        <v>26</v>
      </c>
      <c r="D12072" s="31">
        <v>109525.34</v>
      </c>
      <c r="F12072" s="3" t="str">
        <f t="shared" si="188"/>
        <v>I5355</v>
      </c>
    </row>
    <row r="12073" spans="1:6" x14ac:dyDescent="0.2">
      <c r="A12073" s="29" t="s">
        <v>27676</v>
      </c>
      <c r="B12073" s="30" t="s">
        <v>27677</v>
      </c>
      <c r="C12073" s="29" t="s">
        <v>26</v>
      </c>
      <c r="D12073" s="31">
        <v>140173.46</v>
      </c>
      <c r="F12073" s="3" t="str">
        <f t="shared" si="188"/>
        <v>I5188</v>
      </c>
    </row>
    <row r="12074" spans="1:6" x14ac:dyDescent="0.2">
      <c r="A12074" s="29" t="s">
        <v>27678</v>
      </c>
      <c r="B12074" s="30" t="s">
        <v>27679</v>
      </c>
      <c r="C12074" s="29" t="s">
        <v>26</v>
      </c>
      <c r="D12074" s="31">
        <v>141627.98000000001</v>
      </c>
      <c r="F12074" s="3" t="str">
        <f t="shared" si="188"/>
        <v>I5199</v>
      </c>
    </row>
    <row r="12075" spans="1:6" x14ac:dyDescent="0.2">
      <c r="A12075" s="29" t="s">
        <v>27680</v>
      </c>
      <c r="B12075" s="30" t="s">
        <v>27681</v>
      </c>
      <c r="C12075" s="29" t="s">
        <v>26</v>
      </c>
      <c r="D12075" s="31">
        <v>151914.69</v>
      </c>
      <c r="F12075" s="3" t="str">
        <f t="shared" si="188"/>
        <v>I5210</v>
      </c>
    </row>
    <row r="12076" spans="1:6" x14ac:dyDescent="0.2">
      <c r="A12076" s="29" t="s">
        <v>27682</v>
      </c>
      <c r="B12076" s="30" t="s">
        <v>27683</v>
      </c>
      <c r="C12076" s="29" t="s">
        <v>26</v>
      </c>
      <c r="D12076" s="31">
        <v>4399.95</v>
      </c>
      <c r="F12076" s="3" t="str">
        <f t="shared" si="188"/>
        <v>I5178</v>
      </c>
    </row>
    <row r="12077" spans="1:6" x14ac:dyDescent="0.2">
      <c r="A12077" s="29" t="s">
        <v>27684</v>
      </c>
      <c r="B12077" s="30" t="s">
        <v>27685</v>
      </c>
      <c r="C12077" s="29" t="s">
        <v>26</v>
      </c>
      <c r="D12077" s="31">
        <v>4386.1099999999997</v>
      </c>
      <c r="F12077" s="3" t="str">
        <f t="shared" si="188"/>
        <v>I5189</v>
      </c>
    </row>
    <row r="12078" spans="1:6" x14ac:dyDescent="0.2">
      <c r="A12078" s="29" t="s">
        <v>27686</v>
      </c>
      <c r="B12078" s="30" t="s">
        <v>27687</v>
      </c>
      <c r="C12078" s="29" t="s">
        <v>26</v>
      </c>
      <c r="D12078" s="31">
        <v>4676.21</v>
      </c>
      <c r="F12078" s="3" t="str">
        <f t="shared" si="188"/>
        <v>I5200</v>
      </c>
    </row>
    <row r="12079" spans="1:6" x14ac:dyDescent="0.2">
      <c r="A12079" s="29" t="s">
        <v>27688</v>
      </c>
      <c r="B12079" s="30" t="s">
        <v>27689</v>
      </c>
      <c r="C12079" s="29" t="s">
        <v>26</v>
      </c>
      <c r="D12079" s="31">
        <v>5554.41</v>
      </c>
      <c r="F12079" s="3" t="str">
        <f t="shared" si="188"/>
        <v>I5179</v>
      </c>
    </row>
    <row r="12080" spans="1:6" x14ac:dyDescent="0.2">
      <c r="A12080" s="29" t="s">
        <v>27690</v>
      </c>
      <c r="B12080" s="30" t="s">
        <v>27691</v>
      </c>
      <c r="C12080" s="29" t="s">
        <v>26</v>
      </c>
      <c r="D12080" s="31">
        <v>5484.29</v>
      </c>
      <c r="F12080" s="3" t="str">
        <f t="shared" si="188"/>
        <v>I5190</v>
      </c>
    </row>
    <row r="12081" spans="1:6" x14ac:dyDescent="0.2">
      <c r="A12081" s="29" t="s">
        <v>27692</v>
      </c>
      <c r="B12081" s="30" t="s">
        <v>27693</v>
      </c>
      <c r="C12081" s="29" t="s">
        <v>26</v>
      </c>
      <c r="D12081" s="31">
        <v>5680.69</v>
      </c>
      <c r="F12081" s="3" t="str">
        <f t="shared" si="188"/>
        <v>I5201</v>
      </c>
    </row>
    <row r="12082" spans="1:6" x14ac:dyDescent="0.2">
      <c r="A12082" s="29" t="s">
        <v>27694</v>
      </c>
      <c r="B12082" s="30" t="s">
        <v>27695</v>
      </c>
      <c r="C12082" s="29" t="s">
        <v>26</v>
      </c>
      <c r="D12082" s="31">
        <v>27919.27</v>
      </c>
      <c r="F12082" s="3" t="str">
        <f t="shared" si="188"/>
        <v>I5180</v>
      </c>
    </row>
    <row r="12083" spans="1:6" x14ac:dyDescent="0.2">
      <c r="A12083" s="29" t="s">
        <v>27696</v>
      </c>
      <c r="B12083" s="30" t="s">
        <v>27697</v>
      </c>
      <c r="C12083" s="29" t="s">
        <v>26</v>
      </c>
      <c r="D12083" s="31">
        <v>31026.59</v>
      </c>
      <c r="F12083" s="3" t="str">
        <f t="shared" si="188"/>
        <v>I5191</v>
      </c>
    </row>
    <row r="12084" spans="1:6" x14ac:dyDescent="0.2">
      <c r="A12084" s="29" t="s">
        <v>27698</v>
      </c>
      <c r="B12084" s="30" t="s">
        <v>27699</v>
      </c>
      <c r="C12084" s="29" t="s">
        <v>26</v>
      </c>
      <c r="D12084" s="31">
        <v>28363.5</v>
      </c>
      <c r="F12084" s="3" t="str">
        <f t="shared" si="188"/>
        <v>I5202</v>
      </c>
    </row>
    <row r="12085" spans="1:6" x14ac:dyDescent="0.2">
      <c r="A12085" s="29" t="s">
        <v>27700</v>
      </c>
      <c r="B12085" s="30" t="s">
        <v>27701</v>
      </c>
      <c r="C12085" s="29" t="s">
        <v>26</v>
      </c>
      <c r="D12085" s="31">
        <v>32295.42</v>
      </c>
      <c r="F12085" s="3" t="str">
        <f t="shared" si="188"/>
        <v>I5181</v>
      </c>
    </row>
    <row r="12086" spans="1:6" x14ac:dyDescent="0.2">
      <c r="A12086" s="29" t="s">
        <v>27702</v>
      </c>
      <c r="B12086" s="30" t="s">
        <v>27703</v>
      </c>
      <c r="C12086" s="29" t="s">
        <v>26</v>
      </c>
      <c r="D12086" s="31">
        <v>33431.86</v>
      </c>
      <c r="F12086" s="3" t="str">
        <f t="shared" si="188"/>
        <v>I5192</v>
      </c>
    </row>
    <row r="12087" spans="1:6" x14ac:dyDescent="0.2">
      <c r="A12087" s="29" t="s">
        <v>27704</v>
      </c>
      <c r="B12087" s="30" t="s">
        <v>27705</v>
      </c>
      <c r="C12087" s="29" t="s">
        <v>26</v>
      </c>
      <c r="D12087" s="31">
        <v>41566.199999999997</v>
      </c>
      <c r="F12087" s="3" t="str">
        <f t="shared" si="188"/>
        <v>I5203</v>
      </c>
    </row>
    <row r="12088" spans="1:6" x14ac:dyDescent="0.2">
      <c r="A12088" s="29" t="s">
        <v>27706</v>
      </c>
      <c r="B12088" s="30" t="s">
        <v>27707</v>
      </c>
      <c r="C12088" s="29" t="s">
        <v>26</v>
      </c>
      <c r="D12088" s="31">
        <v>40687.47</v>
      </c>
      <c r="F12088" s="3" t="str">
        <f t="shared" si="188"/>
        <v>I5182</v>
      </c>
    </row>
    <row r="12089" spans="1:6" x14ac:dyDescent="0.2">
      <c r="A12089" s="29" t="s">
        <v>27708</v>
      </c>
      <c r="B12089" s="30" t="s">
        <v>27709</v>
      </c>
      <c r="C12089" s="29" t="s">
        <v>26</v>
      </c>
      <c r="D12089" s="31">
        <v>40752.36</v>
      </c>
      <c r="F12089" s="3" t="str">
        <f t="shared" si="188"/>
        <v>I5193</v>
      </c>
    </row>
    <row r="12090" spans="1:6" x14ac:dyDescent="0.2">
      <c r="A12090" s="29" t="s">
        <v>27710</v>
      </c>
      <c r="B12090" s="30" t="s">
        <v>27711</v>
      </c>
      <c r="C12090" s="29" t="s">
        <v>26</v>
      </c>
      <c r="D12090" s="31">
        <v>41078.519999999997</v>
      </c>
      <c r="F12090" s="3" t="str">
        <f t="shared" si="188"/>
        <v>I5204</v>
      </c>
    </row>
    <row r="12091" spans="1:6" x14ac:dyDescent="0.2">
      <c r="A12091" s="29" t="s">
        <v>27712</v>
      </c>
      <c r="B12091" s="30" t="s">
        <v>27713</v>
      </c>
      <c r="C12091" s="29" t="s">
        <v>26</v>
      </c>
      <c r="D12091" s="31">
        <v>41989.53</v>
      </c>
      <c r="F12091" s="3" t="str">
        <f t="shared" si="188"/>
        <v>I5183</v>
      </c>
    </row>
    <row r="12092" spans="1:6" x14ac:dyDescent="0.2">
      <c r="A12092" s="29" t="s">
        <v>27714</v>
      </c>
      <c r="B12092" s="30" t="s">
        <v>27715</v>
      </c>
      <c r="C12092" s="29" t="s">
        <v>26</v>
      </c>
      <c r="D12092" s="31">
        <v>41918.019999999997</v>
      </c>
      <c r="F12092" s="3" t="str">
        <f t="shared" si="188"/>
        <v>I5194</v>
      </c>
    </row>
    <row r="12093" spans="1:6" x14ac:dyDescent="0.2">
      <c r="A12093" s="29" t="s">
        <v>27716</v>
      </c>
      <c r="B12093" s="30" t="s">
        <v>27717</v>
      </c>
      <c r="C12093" s="29" t="s">
        <v>26</v>
      </c>
      <c r="D12093" s="31">
        <v>51422.28</v>
      </c>
      <c r="F12093" s="3" t="str">
        <f t="shared" si="188"/>
        <v>I5205</v>
      </c>
    </row>
    <row r="12094" spans="1:6" x14ac:dyDescent="0.2">
      <c r="A12094" s="29" t="s">
        <v>27718</v>
      </c>
      <c r="B12094" s="30" t="s">
        <v>27719</v>
      </c>
      <c r="C12094" s="29" t="s">
        <v>26</v>
      </c>
      <c r="D12094" s="31">
        <v>77865.37</v>
      </c>
      <c r="F12094" s="3" t="str">
        <f t="shared" si="188"/>
        <v>I5184</v>
      </c>
    </row>
    <row r="12095" spans="1:6" x14ac:dyDescent="0.2">
      <c r="A12095" s="29" t="s">
        <v>27720</v>
      </c>
      <c r="B12095" s="30" t="s">
        <v>27721</v>
      </c>
      <c r="C12095" s="29" t="s">
        <v>26</v>
      </c>
      <c r="D12095" s="31">
        <v>60747.29</v>
      </c>
      <c r="F12095" s="3" t="str">
        <f t="shared" si="188"/>
        <v>I5195</v>
      </c>
    </row>
    <row r="12096" spans="1:6" x14ac:dyDescent="0.2">
      <c r="A12096" s="29" t="s">
        <v>27722</v>
      </c>
      <c r="B12096" s="30" t="s">
        <v>27723</v>
      </c>
      <c r="C12096" s="29" t="s">
        <v>26</v>
      </c>
      <c r="D12096" s="31">
        <v>70681.78</v>
      </c>
      <c r="F12096" s="3" t="str">
        <f t="shared" si="188"/>
        <v>I5206</v>
      </c>
    </row>
    <row r="12097" spans="1:6" x14ac:dyDescent="0.2">
      <c r="A12097" s="29" t="s">
        <v>27724</v>
      </c>
      <c r="B12097" s="30" t="s">
        <v>27725</v>
      </c>
      <c r="C12097" s="29" t="s">
        <v>26</v>
      </c>
      <c r="D12097" s="31">
        <v>94834.16</v>
      </c>
      <c r="F12097" s="3" t="str">
        <f t="shared" si="188"/>
        <v>I5185</v>
      </c>
    </row>
    <row r="12098" spans="1:6" x14ac:dyDescent="0.2">
      <c r="A12098" s="29" t="s">
        <v>27726</v>
      </c>
      <c r="B12098" s="30" t="s">
        <v>27727</v>
      </c>
      <c r="C12098" s="29" t="s">
        <v>26</v>
      </c>
      <c r="D12098" s="31">
        <v>84136.59</v>
      </c>
      <c r="F12098" s="3" t="str">
        <f t="shared" ref="F12098:F12161" si="189">A12098</f>
        <v>I5196</v>
      </c>
    </row>
    <row r="12099" spans="1:6" x14ac:dyDescent="0.2">
      <c r="A12099" s="29" t="s">
        <v>27728</v>
      </c>
      <c r="B12099" s="30" t="s">
        <v>27729</v>
      </c>
      <c r="C12099" s="29" t="s">
        <v>26</v>
      </c>
      <c r="D12099" s="31">
        <v>86389.86</v>
      </c>
      <c r="F12099" s="3" t="str">
        <f t="shared" si="189"/>
        <v>I5207</v>
      </c>
    </row>
    <row r="12100" spans="1:6" x14ac:dyDescent="0.2">
      <c r="A12100" s="29" t="s">
        <v>27730</v>
      </c>
      <c r="B12100" s="30" t="s">
        <v>27731</v>
      </c>
      <c r="C12100" s="29" t="s">
        <v>26</v>
      </c>
      <c r="D12100" s="31">
        <v>125550.6</v>
      </c>
      <c r="F12100" s="3" t="str">
        <f t="shared" si="189"/>
        <v>I5186</v>
      </c>
    </row>
    <row r="12101" spans="1:6" x14ac:dyDescent="0.2">
      <c r="A12101" s="29" t="s">
        <v>27732</v>
      </c>
      <c r="B12101" s="30" t="s">
        <v>27733</v>
      </c>
      <c r="C12101" s="29" t="s">
        <v>26</v>
      </c>
      <c r="D12101" s="31">
        <v>101714.89</v>
      </c>
      <c r="F12101" s="3" t="str">
        <f t="shared" si="189"/>
        <v>I5197</v>
      </c>
    </row>
    <row r="12102" spans="1:6" x14ac:dyDescent="0.2">
      <c r="A12102" s="29" t="s">
        <v>27734</v>
      </c>
      <c r="B12102" s="30" t="s">
        <v>27735</v>
      </c>
      <c r="C12102" s="29" t="s">
        <v>26</v>
      </c>
      <c r="D12102" s="31">
        <v>97828.94</v>
      </c>
      <c r="F12102" s="3" t="str">
        <f t="shared" si="189"/>
        <v>I5208</v>
      </c>
    </row>
    <row r="12103" spans="1:6" x14ac:dyDescent="0.2">
      <c r="A12103" s="29" t="s">
        <v>27736</v>
      </c>
      <c r="B12103" s="30" t="s">
        <v>27737</v>
      </c>
      <c r="C12103" s="29" t="s">
        <v>26</v>
      </c>
      <c r="D12103" s="31">
        <v>142079.26</v>
      </c>
      <c r="F12103" s="3" t="str">
        <f t="shared" si="189"/>
        <v>I5187</v>
      </c>
    </row>
    <row r="12104" spans="1:6" x14ac:dyDescent="0.2">
      <c r="A12104" s="29" t="s">
        <v>27738</v>
      </c>
      <c r="B12104" s="30" t="s">
        <v>27739</v>
      </c>
      <c r="C12104" s="29" t="s">
        <v>26</v>
      </c>
      <c r="D12104" s="31">
        <v>114305.08</v>
      </c>
      <c r="F12104" s="3" t="str">
        <f t="shared" si="189"/>
        <v>I5198</v>
      </c>
    </row>
    <row r="12105" spans="1:6" x14ac:dyDescent="0.2">
      <c r="A12105" s="29" t="s">
        <v>27740</v>
      </c>
      <c r="B12105" s="30" t="s">
        <v>27741</v>
      </c>
      <c r="C12105" s="29" t="s">
        <v>26</v>
      </c>
      <c r="D12105" s="31">
        <v>121980.16</v>
      </c>
      <c r="F12105" s="3" t="str">
        <f t="shared" si="189"/>
        <v>I5209</v>
      </c>
    </row>
    <row r="12106" spans="1:6" x14ac:dyDescent="0.2">
      <c r="A12106" s="29" t="s">
        <v>27742</v>
      </c>
      <c r="B12106" s="30" t="s">
        <v>27743</v>
      </c>
      <c r="C12106" s="29" t="s">
        <v>26</v>
      </c>
      <c r="D12106" s="31">
        <v>147493.76999999999</v>
      </c>
      <c r="F12106" s="3" t="str">
        <f t="shared" si="189"/>
        <v>I5220</v>
      </c>
    </row>
    <row r="12107" spans="1:6" x14ac:dyDescent="0.2">
      <c r="A12107" s="29" t="s">
        <v>27744</v>
      </c>
      <c r="B12107" s="30" t="s">
        <v>27745</v>
      </c>
      <c r="C12107" s="29" t="s">
        <v>26</v>
      </c>
      <c r="D12107" s="31">
        <v>152146.85</v>
      </c>
      <c r="F12107" s="3" t="str">
        <f t="shared" si="189"/>
        <v>I5230</v>
      </c>
    </row>
    <row r="12108" spans="1:6" x14ac:dyDescent="0.2">
      <c r="A12108" s="29" t="s">
        <v>27746</v>
      </c>
      <c r="B12108" s="30" t="s">
        <v>27747</v>
      </c>
      <c r="C12108" s="29" t="s">
        <v>26</v>
      </c>
      <c r="D12108" s="31">
        <v>147749.59</v>
      </c>
      <c r="F12108" s="3" t="str">
        <f t="shared" si="189"/>
        <v>I5240</v>
      </c>
    </row>
    <row r="12109" spans="1:6" x14ac:dyDescent="0.2">
      <c r="A12109" s="29" t="s">
        <v>27748</v>
      </c>
      <c r="B12109" s="30" t="s">
        <v>27749</v>
      </c>
      <c r="C12109" s="29" t="s">
        <v>26</v>
      </c>
      <c r="D12109" s="31">
        <v>36983.35</v>
      </c>
      <c r="F12109" s="3" t="str">
        <f t="shared" si="189"/>
        <v>I5212</v>
      </c>
    </row>
    <row r="12110" spans="1:6" x14ac:dyDescent="0.2">
      <c r="A12110" s="29" t="s">
        <v>27750</v>
      </c>
      <c r="B12110" s="30" t="s">
        <v>27751</v>
      </c>
      <c r="C12110" s="29" t="s">
        <v>26</v>
      </c>
      <c r="D12110" s="31">
        <v>37226.76</v>
      </c>
      <c r="F12110" s="3" t="str">
        <f t="shared" si="189"/>
        <v>I5222</v>
      </c>
    </row>
    <row r="12111" spans="1:6" x14ac:dyDescent="0.2">
      <c r="A12111" s="29" t="s">
        <v>27752</v>
      </c>
      <c r="B12111" s="30" t="s">
        <v>27753</v>
      </c>
      <c r="C12111" s="29" t="s">
        <v>26</v>
      </c>
      <c r="D12111" s="31">
        <v>37648.39</v>
      </c>
      <c r="F12111" s="3" t="str">
        <f t="shared" si="189"/>
        <v>I5232</v>
      </c>
    </row>
    <row r="12112" spans="1:6" x14ac:dyDescent="0.2">
      <c r="A12112" s="29" t="s">
        <v>27754</v>
      </c>
      <c r="B12112" s="30" t="s">
        <v>27755</v>
      </c>
      <c r="C12112" s="29" t="s">
        <v>26</v>
      </c>
      <c r="D12112" s="31">
        <v>39201.21</v>
      </c>
      <c r="F12112" s="3" t="str">
        <f t="shared" si="189"/>
        <v>I5213</v>
      </c>
    </row>
    <row r="12113" spans="1:6" x14ac:dyDescent="0.2">
      <c r="A12113" s="29" t="s">
        <v>27756</v>
      </c>
      <c r="B12113" s="30" t="s">
        <v>27757</v>
      </c>
      <c r="C12113" s="29" t="s">
        <v>26</v>
      </c>
      <c r="D12113" s="31">
        <v>40755.589999999997</v>
      </c>
      <c r="F12113" s="3" t="str">
        <f t="shared" si="189"/>
        <v>I5223</v>
      </c>
    </row>
    <row r="12114" spans="1:6" x14ac:dyDescent="0.2">
      <c r="A12114" s="29" t="s">
        <v>27758</v>
      </c>
      <c r="B12114" s="30" t="s">
        <v>27759</v>
      </c>
      <c r="C12114" s="29" t="s">
        <v>26</v>
      </c>
      <c r="D12114" s="31">
        <v>40544.99</v>
      </c>
      <c r="F12114" s="3" t="str">
        <f t="shared" si="189"/>
        <v>I5233</v>
      </c>
    </row>
    <row r="12115" spans="1:6" x14ac:dyDescent="0.2">
      <c r="A12115" s="29" t="s">
        <v>27760</v>
      </c>
      <c r="B12115" s="30" t="s">
        <v>27761</v>
      </c>
      <c r="C12115" s="29" t="s">
        <v>26</v>
      </c>
      <c r="D12115" s="31">
        <v>46474.31</v>
      </c>
      <c r="F12115" s="3" t="str">
        <f t="shared" si="189"/>
        <v>I5214</v>
      </c>
    </row>
    <row r="12116" spans="1:6" x14ac:dyDescent="0.2">
      <c r="A12116" s="29" t="s">
        <v>27762</v>
      </c>
      <c r="B12116" s="30" t="s">
        <v>27763</v>
      </c>
      <c r="C12116" s="29" t="s">
        <v>26</v>
      </c>
      <c r="D12116" s="31">
        <v>47613.83</v>
      </c>
      <c r="F12116" s="3" t="str">
        <f t="shared" si="189"/>
        <v>I5224</v>
      </c>
    </row>
    <row r="12117" spans="1:6" x14ac:dyDescent="0.2">
      <c r="A12117" s="29" t="s">
        <v>27764</v>
      </c>
      <c r="B12117" s="30" t="s">
        <v>27765</v>
      </c>
      <c r="C12117" s="29" t="s">
        <v>26</v>
      </c>
      <c r="D12117" s="31">
        <v>47382.46</v>
      </c>
      <c r="F12117" s="3" t="str">
        <f t="shared" si="189"/>
        <v>I5234</v>
      </c>
    </row>
    <row r="12118" spans="1:6" x14ac:dyDescent="0.2">
      <c r="A12118" s="29" t="s">
        <v>27766</v>
      </c>
      <c r="B12118" s="30" t="s">
        <v>27767</v>
      </c>
      <c r="C12118" s="29" t="s">
        <v>26</v>
      </c>
      <c r="D12118" s="31">
        <v>48834.52</v>
      </c>
      <c r="F12118" s="3" t="str">
        <f t="shared" si="189"/>
        <v>I5215</v>
      </c>
    </row>
    <row r="12119" spans="1:6" x14ac:dyDescent="0.2">
      <c r="A12119" s="29" t="s">
        <v>27768</v>
      </c>
      <c r="B12119" s="30" t="s">
        <v>27769</v>
      </c>
      <c r="C12119" s="29" t="s">
        <v>26</v>
      </c>
      <c r="D12119" s="31">
        <v>48830.51</v>
      </c>
      <c r="F12119" s="3" t="str">
        <f t="shared" si="189"/>
        <v>I5225</v>
      </c>
    </row>
    <row r="12120" spans="1:6" x14ac:dyDescent="0.2">
      <c r="A12120" s="29" t="s">
        <v>27770</v>
      </c>
      <c r="B12120" s="30" t="s">
        <v>27771</v>
      </c>
      <c r="C12120" s="29" t="s">
        <v>26</v>
      </c>
      <c r="D12120" s="31">
        <v>50500.61</v>
      </c>
      <c r="F12120" s="3" t="str">
        <f t="shared" si="189"/>
        <v>I5235</v>
      </c>
    </row>
    <row r="12121" spans="1:6" x14ac:dyDescent="0.2">
      <c r="A12121" s="29" t="s">
        <v>27772</v>
      </c>
      <c r="B12121" s="30" t="s">
        <v>27773</v>
      </c>
      <c r="C12121" s="29" t="s">
        <v>26</v>
      </c>
      <c r="D12121" s="31">
        <v>66174.710000000006</v>
      </c>
      <c r="F12121" s="3" t="str">
        <f t="shared" si="189"/>
        <v>I5216</v>
      </c>
    </row>
    <row r="12122" spans="1:6" x14ac:dyDescent="0.2">
      <c r="A12122" s="29" t="s">
        <v>27774</v>
      </c>
      <c r="B12122" s="30" t="s">
        <v>27775</v>
      </c>
      <c r="C12122" s="29" t="s">
        <v>26</v>
      </c>
      <c r="D12122" s="31">
        <v>66995.259999999995</v>
      </c>
      <c r="F12122" s="3" t="str">
        <f t="shared" si="189"/>
        <v>I5226</v>
      </c>
    </row>
    <row r="12123" spans="1:6" x14ac:dyDescent="0.2">
      <c r="A12123" s="29" t="s">
        <v>27776</v>
      </c>
      <c r="B12123" s="30" t="s">
        <v>27777</v>
      </c>
      <c r="C12123" s="29" t="s">
        <v>26</v>
      </c>
      <c r="D12123" s="31">
        <v>78207.33</v>
      </c>
      <c r="F12123" s="3" t="str">
        <f t="shared" si="189"/>
        <v>I5236</v>
      </c>
    </row>
    <row r="12124" spans="1:6" x14ac:dyDescent="0.2">
      <c r="A12124" s="29" t="s">
        <v>27778</v>
      </c>
      <c r="B12124" s="30" t="s">
        <v>27779</v>
      </c>
      <c r="C12124" s="29" t="s">
        <v>26</v>
      </c>
      <c r="D12124" s="31">
        <v>87964.13</v>
      </c>
      <c r="F12124" s="3" t="str">
        <f t="shared" si="189"/>
        <v>I5217</v>
      </c>
    </row>
    <row r="12125" spans="1:6" x14ac:dyDescent="0.2">
      <c r="A12125" s="29" t="s">
        <v>27780</v>
      </c>
      <c r="B12125" s="30" t="s">
        <v>27781</v>
      </c>
      <c r="C12125" s="29" t="s">
        <v>26</v>
      </c>
      <c r="D12125" s="31">
        <v>88869.18</v>
      </c>
      <c r="F12125" s="3" t="str">
        <f t="shared" si="189"/>
        <v>I5227</v>
      </c>
    </row>
    <row r="12126" spans="1:6" x14ac:dyDescent="0.2">
      <c r="A12126" s="29" t="s">
        <v>27782</v>
      </c>
      <c r="B12126" s="30" t="s">
        <v>27783</v>
      </c>
      <c r="C12126" s="29" t="s">
        <v>26</v>
      </c>
      <c r="D12126" s="31">
        <v>91157.43</v>
      </c>
      <c r="F12126" s="3" t="str">
        <f t="shared" si="189"/>
        <v>I5237</v>
      </c>
    </row>
    <row r="12127" spans="1:6" x14ac:dyDescent="0.2">
      <c r="A12127" s="29" t="s">
        <v>27784</v>
      </c>
      <c r="B12127" s="30" t="s">
        <v>27785</v>
      </c>
      <c r="C12127" s="29" t="s">
        <v>26</v>
      </c>
      <c r="D12127" s="31">
        <v>100369.61</v>
      </c>
      <c r="F12127" s="3" t="str">
        <f t="shared" si="189"/>
        <v>I5218</v>
      </c>
    </row>
    <row r="12128" spans="1:6" x14ac:dyDescent="0.2">
      <c r="A12128" s="29" t="s">
        <v>27786</v>
      </c>
      <c r="B12128" s="30" t="s">
        <v>27787</v>
      </c>
      <c r="C12128" s="29" t="s">
        <v>26</v>
      </c>
      <c r="D12128" s="31">
        <v>106163.57</v>
      </c>
      <c r="F12128" s="3" t="str">
        <f t="shared" si="189"/>
        <v>I5228</v>
      </c>
    </row>
    <row r="12129" spans="1:6" x14ac:dyDescent="0.2">
      <c r="A12129" s="29" t="s">
        <v>27788</v>
      </c>
      <c r="B12129" s="30" t="s">
        <v>27789</v>
      </c>
      <c r="C12129" s="29" t="s">
        <v>26</v>
      </c>
      <c r="D12129" s="31">
        <v>105800.8</v>
      </c>
      <c r="F12129" s="3" t="str">
        <f t="shared" si="189"/>
        <v>I5238</v>
      </c>
    </row>
    <row r="12130" spans="1:6" x14ac:dyDescent="0.2">
      <c r="A12130" s="29" t="s">
        <v>27790</v>
      </c>
      <c r="B12130" s="30" t="s">
        <v>27791</v>
      </c>
      <c r="C12130" s="29" t="s">
        <v>26</v>
      </c>
      <c r="D12130" s="31">
        <v>149229.54999999999</v>
      </c>
      <c r="F12130" s="3" t="str">
        <f t="shared" si="189"/>
        <v>I5219</v>
      </c>
    </row>
    <row r="12131" spans="1:6" x14ac:dyDescent="0.2">
      <c r="A12131" s="29" t="s">
        <v>27792</v>
      </c>
      <c r="B12131" s="30" t="s">
        <v>27793</v>
      </c>
      <c r="C12131" s="29" t="s">
        <v>26</v>
      </c>
      <c r="D12131" s="31">
        <v>118801.32</v>
      </c>
      <c r="F12131" s="3" t="str">
        <f t="shared" si="189"/>
        <v>I5229</v>
      </c>
    </row>
    <row r="12132" spans="1:6" x14ac:dyDescent="0.2">
      <c r="A12132" s="29" t="s">
        <v>27794</v>
      </c>
      <c r="B12132" s="30" t="s">
        <v>27795</v>
      </c>
      <c r="C12132" s="29" t="s">
        <v>26</v>
      </c>
      <c r="D12132" s="31">
        <v>118706.27</v>
      </c>
      <c r="F12132" s="3" t="str">
        <f t="shared" si="189"/>
        <v>I5239</v>
      </c>
    </row>
    <row r="12133" spans="1:6" x14ac:dyDescent="0.2">
      <c r="A12133" s="29" t="s">
        <v>27796</v>
      </c>
      <c r="B12133" s="30" t="s">
        <v>27797</v>
      </c>
      <c r="C12133" s="29" t="s">
        <v>26</v>
      </c>
      <c r="D12133" s="31">
        <v>140283.32999999999</v>
      </c>
      <c r="F12133" s="3" t="str">
        <f t="shared" si="189"/>
        <v>I5250</v>
      </c>
    </row>
    <row r="12134" spans="1:6" x14ac:dyDescent="0.2">
      <c r="A12134" s="29" t="s">
        <v>27798</v>
      </c>
      <c r="B12134" s="30" t="s">
        <v>27799</v>
      </c>
      <c r="C12134" s="29" t="s">
        <v>26</v>
      </c>
      <c r="D12134" s="31">
        <v>173892.78</v>
      </c>
      <c r="F12134" s="3" t="str">
        <f t="shared" si="189"/>
        <v>I5260</v>
      </c>
    </row>
    <row r="12135" spans="1:6" x14ac:dyDescent="0.2">
      <c r="A12135" s="29" t="s">
        <v>27800</v>
      </c>
      <c r="B12135" s="30" t="s">
        <v>27801</v>
      </c>
      <c r="C12135" s="29" t="s">
        <v>26</v>
      </c>
      <c r="D12135" s="31">
        <v>153434.78</v>
      </c>
      <c r="F12135" s="3" t="str">
        <f t="shared" si="189"/>
        <v>I5270</v>
      </c>
    </row>
    <row r="12136" spans="1:6" x14ac:dyDescent="0.2">
      <c r="A12136" s="29" t="s">
        <v>27802</v>
      </c>
      <c r="B12136" s="30" t="s">
        <v>27803</v>
      </c>
      <c r="C12136" s="29" t="s">
        <v>26</v>
      </c>
      <c r="D12136" s="31">
        <v>35931.629999999997</v>
      </c>
      <c r="F12136" s="3" t="str">
        <f t="shared" si="189"/>
        <v>I5242</v>
      </c>
    </row>
    <row r="12137" spans="1:6" x14ac:dyDescent="0.2">
      <c r="A12137" s="29" t="s">
        <v>27804</v>
      </c>
      <c r="B12137" s="30" t="s">
        <v>27805</v>
      </c>
      <c r="C12137" s="29" t="s">
        <v>26</v>
      </c>
      <c r="D12137" s="31">
        <v>38875.43</v>
      </c>
      <c r="F12137" s="3" t="str">
        <f t="shared" si="189"/>
        <v>I5252</v>
      </c>
    </row>
    <row r="12138" spans="1:6" x14ac:dyDescent="0.2">
      <c r="A12138" s="29" t="s">
        <v>27806</v>
      </c>
      <c r="B12138" s="30" t="s">
        <v>27807</v>
      </c>
      <c r="C12138" s="29" t="s">
        <v>26</v>
      </c>
      <c r="D12138" s="31">
        <v>36102.99</v>
      </c>
      <c r="F12138" s="3" t="str">
        <f t="shared" si="189"/>
        <v>I5262</v>
      </c>
    </row>
    <row r="12139" spans="1:6" x14ac:dyDescent="0.2">
      <c r="A12139" s="29" t="s">
        <v>27808</v>
      </c>
      <c r="B12139" s="30" t="s">
        <v>27809</v>
      </c>
      <c r="C12139" s="29" t="s">
        <v>26</v>
      </c>
      <c r="D12139" s="31">
        <v>37798.28</v>
      </c>
      <c r="F12139" s="3" t="str">
        <f t="shared" si="189"/>
        <v>I5243</v>
      </c>
    </row>
    <row r="12140" spans="1:6" x14ac:dyDescent="0.2">
      <c r="A12140" s="29" t="s">
        <v>27810</v>
      </c>
      <c r="B12140" s="30" t="s">
        <v>27811</v>
      </c>
      <c r="C12140" s="29" t="s">
        <v>26</v>
      </c>
      <c r="D12140" s="31">
        <v>38468.54</v>
      </c>
      <c r="F12140" s="3" t="str">
        <f t="shared" si="189"/>
        <v>I5253</v>
      </c>
    </row>
    <row r="12141" spans="1:6" x14ac:dyDescent="0.2">
      <c r="A12141" s="29" t="s">
        <v>27812</v>
      </c>
      <c r="B12141" s="30" t="s">
        <v>27813</v>
      </c>
      <c r="C12141" s="29" t="s">
        <v>26</v>
      </c>
      <c r="D12141" s="31">
        <v>39027.949999999997</v>
      </c>
      <c r="F12141" s="3" t="str">
        <f t="shared" si="189"/>
        <v>I5263</v>
      </c>
    </row>
    <row r="12142" spans="1:6" x14ac:dyDescent="0.2">
      <c r="A12142" s="29" t="s">
        <v>27814</v>
      </c>
      <c r="B12142" s="30" t="s">
        <v>27815</v>
      </c>
      <c r="C12142" s="29" t="s">
        <v>26</v>
      </c>
      <c r="D12142" s="31">
        <v>44589.65</v>
      </c>
      <c r="F12142" s="3" t="str">
        <f t="shared" si="189"/>
        <v>I5244</v>
      </c>
    </row>
    <row r="12143" spans="1:6" x14ac:dyDescent="0.2">
      <c r="A12143" s="29" t="s">
        <v>27816</v>
      </c>
      <c r="B12143" s="30" t="s">
        <v>27817</v>
      </c>
      <c r="C12143" s="29" t="s">
        <v>26</v>
      </c>
      <c r="D12143" s="31">
        <v>44699</v>
      </c>
      <c r="F12143" s="3" t="str">
        <f t="shared" si="189"/>
        <v>I5254</v>
      </c>
    </row>
    <row r="12144" spans="1:6" x14ac:dyDescent="0.2">
      <c r="A12144" s="29" t="s">
        <v>27818</v>
      </c>
      <c r="B12144" s="30" t="s">
        <v>27819</v>
      </c>
      <c r="C12144" s="29" t="s">
        <v>26</v>
      </c>
      <c r="D12144" s="31">
        <v>45463.78</v>
      </c>
      <c r="F12144" s="3" t="str">
        <f t="shared" si="189"/>
        <v>I5264</v>
      </c>
    </row>
    <row r="12145" spans="1:6" x14ac:dyDescent="0.2">
      <c r="A12145" s="29" t="s">
        <v>27820</v>
      </c>
      <c r="B12145" s="30" t="s">
        <v>27821</v>
      </c>
      <c r="C12145" s="29" t="s">
        <v>26</v>
      </c>
      <c r="D12145" s="31">
        <v>52153.9</v>
      </c>
      <c r="F12145" s="3" t="str">
        <f t="shared" si="189"/>
        <v>I5245</v>
      </c>
    </row>
    <row r="12146" spans="1:6" x14ac:dyDescent="0.2">
      <c r="A12146" s="29" t="s">
        <v>27822</v>
      </c>
      <c r="B12146" s="30" t="s">
        <v>27823</v>
      </c>
      <c r="C12146" s="29" t="s">
        <v>26</v>
      </c>
      <c r="D12146" s="31">
        <v>61944.9</v>
      </c>
      <c r="F12146" s="3" t="str">
        <f t="shared" si="189"/>
        <v>I5255</v>
      </c>
    </row>
    <row r="12147" spans="1:6" x14ac:dyDescent="0.2">
      <c r="A12147" s="29" t="s">
        <v>27824</v>
      </c>
      <c r="B12147" s="30" t="s">
        <v>27825</v>
      </c>
      <c r="C12147" s="29" t="s">
        <v>26</v>
      </c>
      <c r="D12147" s="31">
        <v>55631.99</v>
      </c>
      <c r="F12147" s="3" t="str">
        <f t="shared" si="189"/>
        <v>I5265</v>
      </c>
    </row>
    <row r="12148" spans="1:6" x14ac:dyDescent="0.2">
      <c r="A12148" s="29" t="s">
        <v>27826</v>
      </c>
      <c r="B12148" s="30" t="s">
        <v>27827</v>
      </c>
      <c r="C12148" s="29" t="s">
        <v>26</v>
      </c>
      <c r="D12148" s="31">
        <v>81661.990000000005</v>
      </c>
      <c r="F12148" s="3" t="str">
        <f t="shared" si="189"/>
        <v>I5246</v>
      </c>
    </row>
    <row r="12149" spans="1:6" x14ac:dyDescent="0.2">
      <c r="A12149" s="29" t="s">
        <v>27828</v>
      </c>
      <c r="B12149" s="30" t="s">
        <v>27829</v>
      </c>
      <c r="C12149" s="29" t="s">
        <v>26</v>
      </c>
      <c r="D12149" s="31">
        <v>63747.12</v>
      </c>
      <c r="F12149" s="3" t="str">
        <f t="shared" si="189"/>
        <v>I5256</v>
      </c>
    </row>
    <row r="12150" spans="1:6" x14ac:dyDescent="0.2">
      <c r="A12150" s="29" t="s">
        <v>27830</v>
      </c>
      <c r="B12150" s="30" t="s">
        <v>27831</v>
      </c>
      <c r="C12150" s="29" t="s">
        <v>26</v>
      </c>
      <c r="D12150" s="31">
        <v>86461.95</v>
      </c>
      <c r="F12150" s="3" t="str">
        <f t="shared" si="189"/>
        <v>I5266</v>
      </c>
    </row>
    <row r="12151" spans="1:6" x14ac:dyDescent="0.2">
      <c r="A12151" s="29" t="s">
        <v>27832</v>
      </c>
      <c r="B12151" s="30" t="s">
        <v>27833</v>
      </c>
      <c r="C12151" s="29" t="s">
        <v>26</v>
      </c>
      <c r="D12151" s="31">
        <v>98386.22</v>
      </c>
      <c r="F12151" s="3" t="str">
        <f t="shared" si="189"/>
        <v>I5247</v>
      </c>
    </row>
    <row r="12152" spans="1:6" x14ac:dyDescent="0.2">
      <c r="A12152" s="29" t="s">
        <v>27834</v>
      </c>
      <c r="B12152" s="30" t="s">
        <v>27835</v>
      </c>
      <c r="C12152" s="29" t="s">
        <v>26</v>
      </c>
      <c r="D12152" s="31">
        <v>92794.57</v>
      </c>
      <c r="F12152" s="3" t="str">
        <f t="shared" si="189"/>
        <v>I5267</v>
      </c>
    </row>
    <row r="12153" spans="1:6" x14ac:dyDescent="0.2">
      <c r="A12153" s="29" t="s">
        <v>27836</v>
      </c>
      <c r="B12153" s="30" t="s">
        <v>27837</v>
      </c>
      <c r="C12153" s="29" t="s">
        <v>26</v>
      </c>
      <c r="D12153" s="31">
        <v>124504.7</v>
      </c>
      <c r="F12153" s="3" t="str">
        <f t="shared" si="189"/>
        <v>I5248</v>
      </c>
    </row>
    <row r="12154" spans="1:6" x14ac:dyDescent="0.2">
      <c r="A12154" s="29" t="s">
        <v>27838</v>
      </c>
      <c r="B12154" s="30" t="s">
        <v>27839</v>
      </c>
      <c r="C12154" s="29" t="s">
        <v>26</v>
      </c>
      <c r="D12154" s="31">
        <v>101101.88</v>
      </c>
      <c r="F12154" s="3" t="str">
        <f t="shared" si="189"/>
        <v>I5258</v>
      </c>
    </row>
    <row r="12155" spans="1:6" x14ac:dyDescent="0.2">
      <c r="A12155" s="29" t="s">
        <v>27840</v>
      </c>
      <c r="B12155" s="30" t="s">
        <v>27841</v>
      </c>
      <c r="C12155" s="29" t="s">
        <v>26</v>
      </c>
      <c r="D12155" s="31">
        <v>103265.52</v>
      </c>
      <c r="F12155" s="3" t="str">
        <f t="shared" si="189"/>
        <v>I5268</v>
      </c>
    </row>
    <row r="12156" spans="1:6" x14ac:dyDescent="0.2">
      <c r="A12156" s="29" t="s">
        <v>27842</v>
      </c>
      <c r="B12156" s="30" t="s">
        <v>27843</v>
      </c>
      <c r="C12156" s="29" t="s">
        <v>26</v>
      </c>
      <c r="D12156" s="31">
        <v>151924.46</v>
      </c>
      <c r="F12156" s="3" t="str">
        <f t="shared" si="189"/>
        <v>I5249</v>
      </c>
    </row>
    <row r="12157" spans="1:6" x14ac:dyDescent="0.2">
      <c r="A12157" s="29" t="s">
        <v>27844</v>
      </c>
      <c r="B12157" s="30" t="s">
        <v>27845</v>
      </c>
      <c r="C12157" s="29" t="s">
        <v>26</v>
      </c>
      <c r="D12157" s="31">
        <v>149229.54999999999</v>
      </c>
      <c r="F12157" s="3" t="str">
        <f t="shared" si="189"/>
        <v>I5259</v>
      </c>
    </row>
    <row r="12158" spans="1:6" x14ac:dyDescent="0.2">
      <c r="A12158" s="29" t="s">
        <v>27846</v>
      </c>
      <c r="B12158" s="30" t="s">
        <v>27847</v>
      </c>
      <c r="C12158" s="29" t="s">
        <v>26</v>
      </c>
      <c r="D12158" s="31">
        <v>1383.5</v>
      </c>
      <c r="F12158" s="3" t="str">
        <f t="shared" si="189"/>
        <v>I5164</v>
      </c>
    </row>
    <row r="12159" spans="1:6" x14ac:dyDescent="0.2">
      <c r="A12159" s="29" t="s">
        <v>27848</v>
      </c>
      <c r="B12159" s="30" t="s">
        <v>27849</v>
      </c>
      <c r="C12159" s="29" t="s">
        <v>26</v>
      </c>
      <c r="D12159" s="31">
        <v>139509.15</v>
      </c>
      <c r="F12159" s="3" t="str">
        <f t="shared" si="189"/>
        <v>I5162</v>
      </c>
    </row>
    <row r="12160" spans="1:6" x14ac:dyDescent="0.2">
      <c r="A12160" s="29" t="s">
        <v>27850</v>
      </c>
      <c r="B12160" s="30" t="s">
        <v>27851</v>
      </c>
      <c r="C12160" s="29" t="s">
        <v>26</v>
      </c>
      <c r="D12160" s="31">
        <v>137654.85</v>
      </c>
      <c r="F12160" s="3" t="str">
        <f t="shared" si="189"/>
        <v>I5177</v>
      </c>
    </row>
    <row r="12161" spans="1:6" x14ac:dyDescent="0.2">
      <c r="A12161" s="29" t="s">
        <v>27852</v>
      </c>
      <c r="B12161" s="30" t="s">
        <v>27853</v>
      </c>
      <c r="C12161" s="29" t="s">
        <v>26</v>
      </c>
      <c r="D12161" s="31">
        <v>1927.8</v>
      </c>
      <c r="F12161" s="3" t="str">
        <f t="shared" si="189"/>
        <v>I5165</v>
      </c>
    </row>
    <row r="12162" spans="1:6" x14ac:dyDescent="0.2">
      <c r="A12162" s="29" t="s">
        <v>27854</v>
      </c>
      <c r="B12162" s="30" t="s">
        <v>27855</v>
      </c>
      <c r="C12162" s="29" t="s">
        <v>26</v>
      </c>
      <c r="D12162" s="31">
        <v>2469.2800000000002</v>
      </c>
      <c r="F12162" s="3" t="str">
        <f t="shared" ref="F12162:F12225" si="190">A12162</f>
        <v>I5166</v>
      </c>
    </row>
    <row r="12163" spans="1:6" x14ac:dyDescent="0.2">
      <c r="A12163" s="29" t="s">
        <v>27856</v>
      </c>
      <c r="B12163" s="30" t="s">
        <v>27857</v>
      </c>
      <c r="C12163" s="29" t="s">
        <v>26</v>
      </c>
      <c r="D12163" s="31">
        <v>3624.99</v>
      </c>
      <c r="F12163" s="3" t="str">
        <f t="shared" si="190"/>
        <v>I5152</v>
      </c>
    </row>
    <row r="12164" spans="1:6" x14ac:dyDescent="0.2">
      <c r="A12164" s="29" t="s">
        <v>27858</v>
      </c>
      <c r="B12164" s="30" t="s">
        <v>27859</v>
      </c>
      <c r="C12164" s="29" t="s">
        <v>26</v>
      </c>
      <c r="D12164" s="31">
        <v>3968.72</v>
      </c>
      <c r="F12164" s="3" t="str">
        <f t="shared" si="190"/>
        <v>I5167</v>
      </c>
    </row>
    <row r="12165" spans="1:6" x14ac:dyDescent="0.2">
      <c r="A12165" s="29" t="s">
        <v>27860</v>
      </c>
      <c r="B12165" s="30" t="s">
        <v>27861</v>
      </c>
      <c r="C12165" s="29" t="s">
        <v>26</v>
      </c>
      <c r="D12165" s="31">
        <v>4719.97</v>
      </c>
      <c r="F12165" s="3" t="str">
        <f t="shared" si="190"/>
        <v>I5153</v>
      </c>
    </row>
    <row r="12166" spans="1:6" x14ac:dyDescent="0.2">
      <c r="A12166" s="29" t="s">
        <v>27862</v>
      </c>
      <c r="B12166" s="30" t="s">
        <v>27863</v>
      </c>
      <c r="C12166" s="29" t="s">
        <v>26</v>
      </c>
      <c r="D12166" s="31">
        <v>5205.45</v>
      </c>
      <c r="F12166" s="3" t="str">
        <f t="shared" si="190"/>
        <v>I5168</v>
      </c>
    </row>
    <row r="12167" spans="1:6" x14ac:dyDescent="0.2">
      <c r="A12167" s="29" t="s">
        <v>27864</v>
      </c>
      <c r="B12167" s="30" t="s">
        <v>27865</v>
      </c>
      <c r="C12167" s="29" t="s">
        <v>26</v>
      </c>
      <c r="D12167" s="31">
        <v>26499.88</v>
      </c>
      <c r="F12167" s="3" t="str">
        <f t="shared" si="190"/>
        <v>I5154</v>
      </c>
    </row>
    <row r="12168" spans="1:6" x14ac:dyDescent="0.2">
      <c r="A12168" s="29" t="s">
        <v>27866</v>
      </c>
      <c r="B12168" s="30" t="s">
        <v>27867</v>
      </c>
      <c r="C12168" s="29" t="s">
        <v>26</v>
      </c>
      <c r="D12168" s="31">
        <v>27037.42</v>
      </c>
      <c r="F12168" s="3" t="str">
        <f t="shared" si="190"/>
        <v>I5169</v>
      </c>
    </row>
    <row r="12169" spans="1:6" x14ac:dyDescent="0.2">
      <c r="A12169" s="29" t="s">
        <v>27868</v>
      </c>
      <c r="B12169" s="30" t="s">
        <v>27869</v>
      </c>
      <c r="C12169" s="29" t="s">
        <v>26</v>
      </c>
      <c r="D12169" s="31">
        <v>31112.5</v>
      </c>
      <c r="F12169" s="3" t="str">
        <f t="shared" si="190"/>
        <v>I5155</v>
      </c>
    </row>
    <row r="12170" spans="1:6" x14ac:dyDescent="0.2">
      <c r="A12170" s="29" t="s">
        <v>27870</v>
      </c>
      <c r="B12170" s="30" t="s">
        <v>27871</v>
      </c>
      <c r="C12170" s="29" t="s">
        <v>26</v>
      </c>
      <c r="D12170" s="31">
        <v>32036.91</v>
      </c>
      <c r="F12170" s="3" t="str">
        <f t="shared" si="190"/>
        <v>I5170</v>
      </c>
    </row>
    <row r="12171" spans="1:6" x14ac:dyDescent="0.2">
      <c r="A12171" s="29" t="s">
        <v>27872</v>
      </c>
      <c r="B12171" s="30" t="s">
        <v>27873</v>
      </c>
      <c r="C12171" s="29" t="s">
        <v>26</v>
      </c>
      <c r="D12171" s="31">
        <v>38578.06</v>
      </c>
      <c r="F12171" s="3" t="str">
        <f t="shared" si="190"/>
        <v>I5156</v>
      </c>
    </row>
    <row r="12172" spans="1:6" x14ac:dyDescent="0.2">
      <c r="A12172" s="29" t="s">
        <v>27874</v>
      </c>
      <c r="B12172" s="30" t="s">
        <v>27875</v>
      </c>
      <c r="C12172" s="29" t="s">
        <v>26</v>
      </c>
      <c r="D12172" s="31">
        <v>39465.050000000003</v>
      </c>
      <c r="F12172" s="3" t="str">
        <f t="shared" si="190"/>
        <v>I5171</v>
      </c>
    </row>
    <row r="12173" spans="1:6" x14ac:dyDescent="0.2">
      <c r="A12173" s="29" t="s">
        <v>27876</v>
      </c>
      <c r="B12173" s="30" t="s">
        <v>27877</v>
      </c>
      <c r="C12173" s="29" t="s">
        <v>26</v>
      </c>
      <c r="D12173" s="31">
        <v>40362.61</v>
      </c>
      <c r="F12173" s="3" t="str">
        <f t="shared" si="190"/>
        <v>I5157</v>
      </c>
    </row>
    <row r="12174" spans="1:6" x14ac:dyDescent="0.2">
      <c r="A12174" s="29" t="s">
        <v>27878</v>
      </c>
      <c r="B12174" s="30" t="s">
        <v>27879</v>
      </c>
      <c r="C12174" s="29" t="s">
        <v>26</v>
      </c>
      <c r="D12174" s="31">
        <v>40858.019999999997</v>
      </c>
      <c r="F12174" s="3" t="str">
        <f t="shared" si="190"/>
        <v>I5172</v>
      </c>
    </row>
    <row r="12175" spans="1:6" x14ac:dyDescent="0.2">
      <c r="A12175" s="29" t="s">
        <v>27880</v>
      </c>
      <c r="B12175" s="30" t="s">
        <v>27881</v>
      </c>
      <c r="C12175" s="29" t="s">
        <v>26</v>
      </c>
      <c r="D12175" s="31">
        <v>58222.65</v>
      </c>
      <c r="F12175" s="3" t="str">
        <f t="shared" si="190"/>
        <v>I5158</v>
      </c>
    </row>
    <row r="12176" spans="1:6" x14ac:dyDescent="0.2">
      <c r="A12176" s="29" t="s">
        <v>27882</v>
      </c>
      <c r="B12176" s="30" t="s">
        <v>27883</v>
      </c>
      <c r="C12176" s="29" t="s">
        <v>26</v>
      </c>
      <c r="D12176" s="31">
        <v>58411.98</v>
      </c>
      <c r="F12176" s="3" t="str">
        <f t="shared" si="190"/>
        <v>I5173</v>
      </c>
    </row>
    <row r="12177" spans="1:6" x14ac:dyDescent="0.2">
      <c r="A12177" s="29" t="s">
        <v>27884</v>
      </c>
      <c r="B12177" s="30" t="s">
        <v>27885</v>
      </c>
      <c r="C12177" s="29" t="s">
        <v>26</v>
      </c>
      <c r="D12177" s="31">
        <v>79410.84</v>
      </c>
      <c r="F12177" s="3" t="str">
        <f t="shared" si="190"/>
        <v>I5159</v>
      </c>
    </row>
    <row r="12178" spans="1:6" x14ac:dyDescent="0.2">
      <c r="A12178" s="29" t="s">
        <v>27886</v>
      </c>
      <c r="B12178" s="30" t="s">
        <v>27887</v>
      </c>
      <c r="C12178" s="29" t="s">
        <v>26</v>
      </c>
      <c r="D12178" s="31">
        <v>80039</v>
      </c>
      <c r="F12178" s="3" t="str">
        <f t="shared" si="190"/>
        <v>I5174</v>
      </c>
    </row>
    <row r="12179" spans="1:6" x14ac:dyDescent="0.2">
      <c r="A12179" s="29" t="s">
        <v>27888</v>
      </c>
      <c r="B12179" s="30" t="s">
        <v>27889</v>
      </c>
      <c r="C12179" s="29" t="s">
        <v>26</v>
      </c>
      <c r="D12179" s="31">
        <v>92908.63</v>
      </c>
      <c r="F12179" s="3" t="str">
        <f t="shared" si="190"/>
        <v>I5160</v>
      </c>
    </row>
    <row r="12180" spans="1:6" x14ac:dyDescent="0.2">
      <c r="A12180" s="29" t="s">
        <v>27890</v>
      </c>
      <c r="B12180" s="30" t="s">
        <v>27891</v>
      </c>
      <c r="C12180" s="29" t="s">
        <v>26</v>
      </c>
      <c r="D12180" s="31">
        <v>97758.49</v>
      </c>
      <c r="F12180" s="3" t="str">
        <f t="shared" si="190"/>
        <v>I5175</v>
      </c>
    </row>
    <row r="12181" spans="1:6" x14ac:dyDescent="0.2">
      <c r="A12181" s="29" t="s">
        <v>27892</v>
      </c>
      <c r="B12181" s="30" t="s">
        <v>27893</v>
      </c>
      <c r="C12181" s="29" t="s">
        <v>26</v>
      </c>
      <c r="D12181" s="31">
        <v>113327.4</v>
      </c>
      <c r="F12181" s="3" t="str">
        <f t="shared" si="190"/>
        <v>I5161</v>
      </c>
    </row>
    <row r="12182" spans="1:6" x14ac:dyDescent="0.2">
      <c r="A12182" s="29" t="s">
        <v>27894</v>
      </c>
      <c r="B12182" s="30" t="s">
        <v>27895</v>
      </c>
      <c r="C12182" s="29" t="s">
        <v>26</v>
      </c>
      <c r="D12182" s="31">
        <v>108950.1</v>
      </c>
      <c r="F12182" s="3" t="str">
        <f t="shared" si="190"/>
        <v>I5176</v>
      </c>
    </row>
    <row r="12183" spans="1:6" x14ac:dyDescent="0.2">
      <c r="A12183" s="29" t="s">
        <v>27896</v>
      </c>
      <c r="B12183" s="30" t="s">
        <v>27897</v>
      </c>
      <c r="C12183" s="29" t="s">
        <v>26</v>
      </c>
      <c r="D12183" s="31">
        <v>1683.11</v>
      </c>
      <c r="F12183" s="3" t="str">
        <f t="shared" si="190"/>
        <v>I5057</v>
      </c>
    </row>
    <row r="12184" spans="1:6" x14ac:dyDescent="0.2">
      <c r="A12184" s="29" t="s">
        <v>27898</v>
      </c>
      <c r="B12184" s="30" t="s">
        <v>27899</v>
      </c>
      <c r="C12184" s="29" t="s">
        <v>26</v>
      </c>
      <c r="D12184" s="31">
        <v>632.63</v>
      </c>
      <c r="F12184" s="3" t="str">
        <f t="shared" si="190"/>
        <v>I5055</v>
      </c>
    </row>
    <row r="12185" spans="1:6" x14ac:dyDescent="0.2">
      <c r="A12185" s="29" t="s">
        <v>27900</v>
      </c>
      <c r="B12185" s="30" t="s">
        <v>27901</v>
      </c>
      <c r="C12185" s="29" t="s">
        <v>26</v>
      </c>
      <c r="D12185" s="31">
        <v>1223.53</v>
      </c>
      <c r="F12185" s="3" t="str">
        <f t="shared" si="190"/>
        <v>I5056</v>
      </c>
    </row>
    <row r="12186" spans="1:6" x14ac:dyDescent="0.2">
      <c r="A12186" s="29" t="s">
        <v>27902</v>
      </c>
      <c r="B12186" s="30" t="s">
        <v>27903</v>
      </c>
      <c r="C12186" s="29" t="s">
        <v>26</v>
      </c>
      <c r="D12186" s="31">
        <v>1790.54</v>
      </c>
      <c r="F12186" s="3" t="str">
        <f t="shared" si="190"/>
        <v>I5093</v>
      </c>
    </row>
    <row r="12187" spans="1:6" x14ac:dyDescent="0.2">
      <c r="A12187" s="29" t="s">
        <v>27904</v>
      </c>
      <c r="B12187" s="30" t="s">
        <v>27905</v>
      </c>
      <c r="C12187" s="29" t="s">
        <v>26</v>
      </c>
      <c r="D12187" s="31">
        <v>632.63</v>
      </c>
      <c r="F12187" s="3" t="str">
        <f t="shared" si="190"/>
        <v>I5091</v>
      </c>
    </row>
    <row r="12188" spans="1:6" x14ac:dyDescent="0.2">
      <c r="A12188" s="29" t="s">
        <v>27906</v>
      </c>
      <c r="B12188" s="30" t="s">
        <v>27907</v>
      </c>
      <c r="C12188" s="29" t="s">
        <v>26</v>
      </c>
      <c r="D12188" s="31">
        <v>1330.97</v>
      </c>
      <c r="F12188" s="3" t="str">
        <f t="shared" si="190"/>
        <v>I5092</v>
      </c>
    </row>
    <row r="12189" spans="1:6" x14ac:dyDescent="0.2">
      <c r="A12189" s="29" t="s">
        <v>27908</v>
      </c>
      <c r="B12189" s="30" t="s">
        <v>27909</v>
      </c>
      <c r="C12189" s="29" t="s">
        <v>26</v>
      </c>
      <c r="D12189" s="31">
        <v>62331.06</v>
      </c>
      <c r="F12189" s="3" t="str">
        <f t="shared" si="190"/>
        <v>I5065</v>
      </c>
    </row>
    <row r="12190" spans="1:6" x14ac:dyDescent="0.2">
      <c r="A12190" s="29" t="s">
        <v>27910</v>
      </c>
      <c r="B12190" s="30" t="s">
        <v>27911</v>
      </c>
      <c r="C12190" s="29" t="s">
        <v>26</v>
      </c>
      <c r="D12190" s="31">
        <v>3750.33</v>
      </c>
      <c r="F12190" s="3" t="str">
        <f t="shared" si="190"/>
        <v>I5346</v>
      </c>
    </row>
    <row r="12191" spans="1:6" x14ac:dyDescent="0.2">
      <c r="A12191" s="29" t="s">
        <v>27912</v>
      </c>
      <c r="B12191" s="30" t="s">
        <v>27913</v>
      </c>
      <c r="C12191" s="29" t="s">
        <v>26</v>
      </c>
      <c r="D12191" s="31">
        <v>40196.519999999997</v>
      </c>
      <c r="F12191" s="3" t="str">
        <f t="shared" si="190"/>
        <v>I5336</v>
      </c>
    </row>
    <row r="12192" spans="1:6" x14ac:dyDescent="0.2">
      <c r="A12192" s="29" t="s">
        <v>27914</v>
      </c>
      <c r="B12192" s="30" t="s">
        <v>27915</v>
      </c>
      <c r="C12192" s="29" t="s">
        <v>26</v>
      </c>
      <c r="D12192" s="31">
        <v>81678.11</v>
      </c>
      <c r="F12192" s="3" t="str">
        <f t="shared" si="190"/>
        <v>I5257</v>
      </c>
    </row>
    <row r="12193" spans="1:6" x14ac:dyDescent="0.2">
      <c r="A12193" s="29" t="s">
        <v>27916</v>
      </c>
      <c r="B12193" s="30" t="s">
        <v>27917</v>
      </c>
      <c r="C12193" s="29" t="s">
        <v>26</v>
      </c>
      <c r="D12193" s="31">
        <v>155401.54999999999</v>
      </c>
      <c r="F12193" s="3" t="str">
        <f t="shared" si="190"/>
        <v>I5269</v>
      </c>
    </row>
    <row r="12194" spans="1:6" x14ac:dyDescent="0.2">
      <c r="A12194" s="29" t="s">
        <v>27918</v>
      </c>
      <c r="B12194" s="30" t="s">
        <v>27919</v>
      </c>
      <c r="C12194" s="29" t="s">
        <v>26</v>
      </c>
      <c r="D12194" s="31">
        <v>230.02</v>
      </c>
      <c r="F12194" s="3" t="str">
        <f t="shared" si="190"/>
        <v>I8255</v>
      </c>
    </row>
    <row r="12195" spans="1:6" x14ac:dyDescent="0.2">
      <c r="A12195" s="29" t="s">
        <v>27920</v>
      </c>
      <c r="B12195" s="30" t="s">
        <v>27921</v>
      </c>
      <c r="C12195" s="29" t="s">
        <v>26</v>
      </c>
      <c r="D12195" s="31">
        <v>395</v>
      </c>
      <c r="F12195" s="3" t="str">
        <f t="shared" si="190"/>
        <v>I10472</v>
      </c>
    </row>
    <row r="12196" spans="1:6" x14ac:dyDescent="0.2">
      <c r="A12196" s="29" t="s">
        <v>27922</v>
      </c>
      <c r="B12196" s="30" t="s">
        <v>27923</v>
      </c>
      <c r="C12196" s="29" t="s">
        <v>26</v>
      </c>
      <c r="D12196" s="31">
        <v>41123.86</v>
      </c>
      <c r="F12196" s="3" t="str">
        <f t="shared" si="190"/>
        <v>I5115</v>
      </c>
    </row>
    <row r="12197" spans="1:6" x14ac:dyDescent="0.2">
      <c r="A12197" s="29" t="s">
        <v>27924</v>
      </c>
      <c r="B12197" s="30" t="s">
        <v>27925</v>
      </c>
      <c r="C12197" s="29" t="s">
        <v>26</v>
      </c>
      <c r="D12197" s="31">
        <v>18891.439999999999</v>
      </c>
      <c r="F12197" s="3" t="str">
        <f t="shared" si="190"/>
        <v>I5102</v>
      </c>
    </row>
    <row r="12198" spans="1:6" x14ac:dyDescent="0.2">
      <c r="A12198" s="29" t="s">
        <v>27926</v>
      </c>
      <c r="B12198" s="30" t="s">
        <v>27927</v>
      </c>
      <c r="C12198" s="29" t="s">
        <v>26</v>
      </c>
      <c r="D12198" s="31">
        <v>21702.68</v>
      </c>
      <c r="F12198" s="3" t="str">
        <f t="shared" si="190"/>
        <v>I5103</v>
      </c>
    </row>
    <row r="12199" spans="1:6" x14ac:dyDescent="0.2">
      <c r="A12199" s="29" t="s">
        <v>27928</v>
      </c>
      <c r="B12199" s="30" t="s">
        <v>27929</v>
      </c>
      <c r="C12199" s="29" t="s">
        <v>26</v>
      </c>
      <c r="D12199" s="31">
        <v>24895.47</v>
      </c>
      <c r="F12199" s="3" t="str">
        <f t="shared" si="190"/>
        <v>I5104</v>
      </c>
    </row>
    <row r="12200" spans="1:6" x14ac:dyDescent="0.2">
      <c r="A12200" s="29" t="s">
        <v>27930</v>
      </c>
      <c r="B12200" s="30" t="s">
        <v>27931</v>
      </c>
      <c r="C12200" s="29" t="s">
        <v>26</v>
      </c>
      <c r="D12200" s="31">
        <v>29832.23</v>
      </c>
      <c r="F12200" s="3" t="str">
        <f t="shared" si="190"/>
        <v>I5105</v>
      </c>
    </row>
    <row r="12201" spans="1:6" x14ac:dyDescent="0.2">
      <c r="A12201" s="29" t="s">
        <v>27932</v>
      </c>
      <c r="B12201" s="30" t="s">
        <v>27933</v>
      </c>
      <c r="C12201" s="29" t="s">
        <v>26</v>
      </c>
      <c r="D12201" s="31">
        <v>38766.089999999997</v>
      </c>
      <c r="F12201" s="3" t="str">
        <f t="shared" si="190"/>
        <v>I5106</v>
      </c>
    </row>
    <row r="12202" spans="1:6" x14ac:dyDescent="0.2">
      <c r="A12202" s="29" t="s">
        <v>27934</v>
      </c>
      <c r="B12202" s="30" t="s">
        <v>27935</v>
      </c>
      <c r="C12202" s="29" t="s">
        <v>26</v>
      </c>
      <c r="D12202" s="31">
        <v>24167.07</v>
      </c>
      <c r="F12202" s="3" t="str">
        <f t="shared" si="190"/>
        <v>I5107</v>
      </c>
    </row>
    <row r="12203" spans="1:6" x14ac:dyDescent="0.2">
      <c r="A12203" s="29" t="s">
        <v>27936</v>
      </c>
      <c r="B12203" s="30" t="s">
        <v>27937</v>
      </c>
      <c r="C12203" s="29" t="s">
        <v>26</v>
      </c>
      <c r="D12203" s="31">
        <v>27956.93</v>
      </c>
      <c r="F12203" s="3" t="str">
        <f t="shared" si="190"/>
        <v>I5108</v>
      </c>
    </row>
    <row r="12204" spans="1:6" x14ac:dyDescent="0.2">
      <c r="A12204" s="29" t="s">
        <v>27938</v>
      </c>
      <c r="B12204" s="30" t="s">
        <v>27939</v>
      </c>
      <c r="C12204" s="29" t="s">
        <v>26</v>
      </c>
      <c r="D12204" s="31">
        <v>38514.550000000003</v>
      </c>
      <c r="F12204" s="3" t="str">
        <f t="shared" si="190"/>
        <v>I5109</v>
      </c>
    </row>
    <row r="12205" spans="1:6" x14ac:dyDescent="0.2">
      <c r="A12205" s="29" t="s">
        <v>27940</v>
      </c>
      <c r="B12205" s="30" t="s">
        <v>27941</v>
      </c>
      <c r="C12205" s="29" t="s">
        <v>26</v>
      </c>
      <c r="D12205" s="31">
        <v>40981.279999999999</v>
      </c>
      <c r="F12205" s="3" t="str">
        <f t="shared" si="190"/>
        <v>I5110</v>
      </c>
    </row>
    <row r="12206" spans="1:6" x14ac:dyDescent="0.2">
      <c r="A12206" s="29" t="s">
        <v>27942</v>
      </c>
      <c r="B12206" s="30" t="s">
        <v>27943</v>
      </c>
      <c r="C12206" s="29" t="s">
        <v>26</v>
      </c>
      <c r="D12206" s="31">
        <v>53765.22</v>
      </c>
      <c r="F12206" s="3" t="str">
        <f t="shared" si="190"/>
        <v>I5111</v>
      </c>
    </row>
    <row r="12207" spans="1:6" x14ac:dyDescent="0.2">
      <c r="A12207" s="29" t="s">
        <v>27944</v>
      </c>
      <c r="B12207" s="30" t="s">
        <v>27945</v>
      </c>
      <c r="C12207" s="29" t="s">
        <v>26</v>
      </c>
      <c r="D12207" s="31">
        <v>25488.95</v>
      </c>
      <c r="F12207" s="3" t="str">
        <f t="shared" si="190"/>
        <v>I5112</v>
      </c>
    </row>
    <row r="12208" spans="1:6" x14ac:dyDescent="0.2">
      <c r="A12208" s="29" t="s">
        <v>27946</v>
      </c>
      <c r="B12208" s="30" t="s">
        <v>27947</v>
      </c>
      <c r="C12208" s="29" t="s">
        <v>26</v>
      </c>
      <c r="D12208" s="31">
        <v>29282.05</v>
      </c>
      <c r="F12208" s="3" t="str">
        <f t="shared" si="190"/>
        <v>I5113</v>
      </c>
    </row>
    <row r="12209" spans="1:6" x14ac:dyDescent="0.2">
      <c r="A12209" s="29" t="s">
        <v>27948</v>
      </c>
      <c r="B12209" s="30" t="s">
        <v>27949</v>
      </c>
      <c r="C12209" s="29" t="s">
        <v>26</v>
      </c>
      <c r="D12209" s="31">
        <v>40128.879999999997</v>
      </c>
      <c r="F12209" s="3" t="str">
        <f t="shared" si="190"/>
        <v>I5114</v>
      </c>
    </row>
    <row r="12210" spans="1:6" x14ac:dyDescent="0.2">
      <c r="A12210" s="29" t="s">
        <v>27950</v>
      </c>
      <c r="B12210" s="30" t="s">
        <v>27951</v>
      </c>
      <c r="C12210" s="29" t="s">
        <v>26</v>
      </c>
      <c r="D12210" s="31">
        <v>44930.879999999997</v>
      </c>
      <c r="F12210" s="3" t="str">
        <f t="shared" si="190"/>
        <v>I5116</v>
      </c>
    </row>
    <row r="12211" spans="1:6" x14ac:dyDescent="0.2">
      <c r="A12211" s="29" t="s">
        <v>27952</v>
      </c>
      <c r="B12211" s="30" t="s">
        <v>27953</v>
      </c>
      <c r="C12211" s="29" t="s">
        <v>26</v>
      </c>
      <c r="D12211" s="31">
        <v>605</v>
      </c>
      <c r="F12211" s="3" t="str">
        <f t="shared" si="190"/>
        <v>I10008</v>
      </c>
    </row>
    <row r="12212" spans="1:6" x14ac:dyDescent="0.2">
      <c r="A12212" s="29" t="s">
        <v>27954</v>
      </c>
      <c r="B12212" s="30" t="s">
        <v>27955</v>
      </c>
      <c r="C12212" s="29" t="s">
        <v>26</v>
      </c>
      <c r="D12212" s="31">
        <v>456.47</v>
      </c>
      <c r="F12212" s="3" t="str">
        <f t="shared" si="190"/>
        <v>I5325</v>
      </c>
    </row>
    <row r="12213" spans="1:6" x14ac:dyDescent="0.2">
      <c r="A12213" s="29" t="s">
        <v>27956</v>
      </c>
      <c r="B12213" s="30" t="s">
        <v>27957</v>
      </c>
      <c r="C12213" s="29" t="s">
        <v>26</v>
      </c>
      <c r="D12213" s="31">
        <v>605</v>
      </c>
      <c r="F12213" s="3" t="str">
        <f t="shared" si="190"/>
        <v>I5326</v>
      </c>
    </row>
    <row r="12214" spans="1:6" x14ac:dyDescent="0.2">
      <c r="A12214" s="29" t="s">
        <v>27958</v>
      </c>
      <c r="B12214" s="30" t="s">
        <v>27959</v>
      </c>
      <c r="C12214" s="29" t="s">
        <v>26</v>
      </c>
      <c r="D12214" s="31">
        <v>320.06</v>
      </c>
      <c r="F12214" s="3" t="str">
        <f t="shared" si="190"/>
        <v>I10013</v>
      </c>
    </row>
    <row r="12215" spans="1:6" x14ac:dyDescent="0.2">
      <c r="A12215" s="29" t="s">
        <v>27960</v>
      </c>
      <c r="B12215" s="30" t="s">
        <v>27961</v>
      </c>
      <c r="C12215" s="29" t="s">
        <v>26</v>
      </c>
      <c r="D12215" s="31">
        <v>49.63</v>
      </c>
      <c r="F12215" s="3" t="str">
        <f t="shared" si="190"/>
        <v>I10014</v>
      </c>
    </row>
    <row r="12216" spans="1:6" x14ac:dyDescent="0.2">
      <c r="A12216" s="29" t="s">
        <v>27962</v>
      </c>
      <c r="B12216" s="30" t="s">
        <v>27963</v>
      </c>
      <c r="C12216" s="29" t="s">
        <v>26</v>
      </c>
      <c r="D12216" s="31">
        <v>44.42</v>
      </c>
      <c r="F12216" s="3" t="str">
        <f t="shared" si="190"/>
        <v>I10015</v>
      </c>
    </row>
    <row r="12217" spans="1:6" x14ac:dyDescent="0.2">
      <c r="A12217" s="29" t="s">
        <v>27964</v>
      </c>
      <c r="B12217" s="30" t="s">
        <v>27965</v>
      </c>
      <c r="C12217" s="29" t="s">
        <v>26</v>
      </c>
      <c r="D12217" s="31">
        <v>84.92</v>
      </c>
      <c r="F12217" s="3" t="str">
        <f t="shared" si="190"/>
        <v>I10021</v>
      </c>
    </row>
    <row r="12218" spans="1:6" x14ac:dyDescent="0.2">
      <c r="A12218" s="29" t="s">
        <v>27966</v>
      </c>
      <c r="B12218" s="30" t="s">
        <v>27967</v>
      </c>
      <c r="C12218" s="29" t="s">
        <v>26</v>
      </c>
      <c r="D12218" s="31">
        <v>65.37</v>
      </c>
      <c r="F12218" s="3" t="str">
        <f t="shared" si="190"/>
        <v>I10022</v>
      </c>
    </row>
    <row r="12219" spans="1:6" x14ac:dyDescent="0.2">
      <c r="A12219" s="29" t="s">
        <v>27968</v>
      </c>
      <c r="B12219" s="30" t="s">
        <v>13385</v>
      </c>
      <c r="C12219" s="29" t="s">
        <v>26</v>
      </c>
      <c r="D12219" s="31">
        <v>126.77</v>
      </c>
      <c r="F12219" s="3" t="str">
        <f t="shared" si="190"/>
        <v>I8953</v>
      </c>
    </row>
    <row r="12220" spans="1:6" x14ac:dyDescent="0.2">
      <c r="A12220" s="29" t="s">
        <v>27969</v>
      </c>
      <c r="B12220" s="30" t="s">
        <v>13387</v>
      </c>
      <c r="C12220" s="29" t="s">
        <v>26</v>
      </c>
      <c r="D12220" s="31">
        <v>171.28</v>
      </c>
      <c r="F12220" s="3" t="str">
        <f t="shared" si="190"/>
        <v>I10016</v>
      </c>
    </row>
    <row r="12221" spans="1:6" x14ac:dyDescent="0.2">
      <c r="A12221" s="29" t="s">
        <v>27970</v>
      </c>
      <c r="B12221" s="30" t="s">
        <v>27971</v>
      </c>
      <c r="C12221" s="29" t="s">
        <v>26</v>
      </c>
      <c r="D12221" s="31">
        <v>121.87</v>
      </c>
      <c r="F12221" s="3" t="str">
        <f t="shared" si="190"/>
        <v>I10017</v>
      </c>
    </row>
    <row r="12222" spans="1:6" x14ac:dyDescent="0.2">
      <c r="A12222" s="29" t="s">
        <v>27972</v>
      </c>
      <c r="B12222" s="30" t="s">
        <v>27973</v>
      </c>
      <c r="C12222" s="29" t="s">
        <v>26</v>
      </c>
      <c r="D12222" s="31">
        <v>121.87</v>
      </c>
      <c r="F12222" s="3" t="str">
        <f t="shared" si="190"/>
        <v>I10018</v>
      </c>
    </row>
    <row r="12223" spans="1:6" x14ac:dyDescent="0.2">
      <c r="A12223" s="29" t="s">
        <v>27974</v>
      </c>
      <c r="B12223" s="30" t="s">
        <v>27975</v>
      </c>
      <c r="C12223" s="29" t="s">
        <v>26</v>
      </c>
      <c r="D12223" s="31">
        <v>193.73</v>
      </c>
      <c r="F12223" s="3" t="str">
        <f t="shared" si="190"/>
        <v>I10019</v>
      </c>
    </row>
    <row r="12224" spans="1:6" x14ac:dyDescent="0.2">
      <c r="A12224" s="29" t="s">
        <v>27976</v>
      </c>
      <c r="B12224" s="30" t="s">
        <v>27977</v>
      </c>
      <c r="C12224" s="29" t="s">
        <v>26</v>
      </c>
      <c r="D12224" s="31">
        <v>153.72999999999999</v>
      </c>
      <c r="F12224" s="3" t="str">
        <f t="shared" si="190"/>
        <v>I10020</v>
      </c>
    </row>
    <row r="12225" spans="1:6" ht="33.75" x14ac:dyDescent="0.2">
      <c r="A12225" s="29" t="s">
        <v>27978</v>
      </c>
      <c r="B12225" s="30" t="s">
        <v>27979</v>
      </c>
      <c r="C12225" s="29" t="s">
        <v>26</v>
      </c>
      <c r="D12225" s="31">
        <v>30218.17</v>
      </c>
      <c r="F12225" s="3" t="str">
        <f t="shared" si="190"/>
        <v>I8404</v>
      </c>
    </row>
    <row r="12226" spans="1:6" ht="33.75" x14ac:dyDescent="0.2">
      <c r="A12226" s="29" t="s">
        <v>27980</v>
      </c>
      <c r="B12226" s="30" t="s">
        <v>27981</v>
      </c>
      <c r="C12226" s="29" t="s">
        <v>26</v>
      </c>
      <c r="D12226" s="31">
        <v>36014.82</v>
      </c>
      <c r="F12226" s="3" t="str">
        <f t="shared" ref="F12226:F12289" si="191">A12226</f>
        <v>I8405</v>
      </c>
    </row>
    <row r="12227" spans="1:6" ht="33.75" x14ac:dyDescent="0.2">
      <c r="A12227" s="29" t="s">
        <v>27982</v>
      </c>
      <c r="B12227" s="30" t="s">
        <v>27983</v>
      </c>
      <c r="C12227" s="29" t="s">
        <v>26</v>
      </c>
      <c r="D12227" s="31">
        <v>40227.919999999998</v>
      </c>
      <c r="F12227" s="3" t="str">
        <f t="shared" si="191"/>
        <v>I8406</v>
      </c>
    </row>
    <row r="12228" spans="1:6" ht="33.75" x14ac:dyDescent="0.2">
      <c r="A12228" s="29" t="s">
        <v>27984</v>
      </c>
      <c r="B12228" s="30" t="s">
        <v>27985</v>
      </c>
      <c r="C12228" s="29" t="s">
        <v>26</v>
      </c>
      <c r="D12228" s="31">
        <v>33835.629999999997</v>
      </c>
      <c r="F12228" s="3" t="str">
        <f t="shared" si="191"/>
        <v>I8403</v>
      </c>
    </row>
    <row r="12229" spans="1:6" ht="33.75" x14ac:dyDescent="0.2">
      <c r="A12229" s="29" t="s">
        <v>27986</v>
      </c>
      <c r="B12229" s="30" t="s">
        <v>27987</v>
      </c>
      <c r="C12229" s="29" t="s">
        <v>26</v>
      </c>
      <c r="D12229" s="31">
        <v>33269.03</v>
      </c>
      <c r="F12229" s="3" t="str">
        <f t="shared" si="191"/>
        <v>I8401</v>
      </c>
    </row>
    <row r="12230" spans="1:6" ht="33.75" x14ac:dyDescent="0.2">
      <c r="A12230" s="29" t="s">
        <v>27988</v>
      </c>
      <c r="B12230" s="30" t="s">
        <v>27989</v>
      </c>
      <c r="C12230" s="29" t="s">
        <v>26</v>
      </c>
      <c r="D12230" s="31">
        <v>39646.81</v>
      </c>
      <c r="F12230" s="3" t="str">
        <f t="shared" si="191"/>
        <v>I8402</v>
      </c>
    </row>
    <row r="12231" spans="1:6" x14ac:dyDescent="0.2">
      <c r="A12231" s="29" t="s">
        <v>27990</v>
      </c>
      <c r="B12231" s="30" t="s">
        <v>27991</v>
      </c>
      <c r="C12231" s="29" t="s">
        <v>26</v>
      </c>
      <c r="D12231" s="31">
        <v>89250</v>
      </c>
      <c r="F12231" s="3" t="str">
        <f t="shared" si="191"/>
        <v>I13140</v>
      </c>
    </row>
    <row r="12232" spans="1:6" x14ac:dyDescent="0.2">
      <c r="A12232" s="29" t="s">
        <v>27992</v>
      </c>
      <c r="B12232" s="30" t="s">
        <v>27993</v>
      </c>
      <c r="C12232" s="29" t="s">
        <v>26</v>
      </c>
      <c r="D12232" s="31">
        <v>203248.48</v>
      </c>
      <c r="F12232" s="3" t="str">
        <f t="shared" si="191"/>
        <v>I13141</v>
      </c>
    </row>
    <row r="12233" spans="1:6" x14ac:dyDescent="0.2">
      <c r="A12233" s="29" t="s">
        <v>27994</v>
      </c>
      <c r="B12233" s="30" t="s">
        <v>27995</v>
      </c>
      <c r="C12233" s="29" t="s">
        <v>26</v>
      </c>
      <c r="D12233" s="31">
        <v>242881.93</v>
      </c>
      <c r="F12233" s="3" t="str">
        <f t="shared" si="191"/>
        <v>I13142</v>
      </c>
    </row>
    <row r="12234" spans="1:6" x14ac:dyDescent="0.2">
      <c r="A12234" s="29" t="s">
        <v>27996</v>
      </c>
      <c r="B12234" s="30" t="s">
        <v>27997</v>
      </c>
      <c r="C12234" s="29" t="s">
        <v>26</v>
      </c>
      <c r="D12234" s="31">
        <v>360766.04</v>
      </c>
      <c r="F12234" s="3" t="str">
        <f t="shared" si="191"/>
        <v>I13143</v>
      </c>
    </row>
    <row r="12235" spans="1:6" x14ac:dyDescent="0.2">
      <c r="A12235" s="29" t="s">
        <v>27998</v>
      </c>
      <c r="B12235" s="30" t="s">
        <v>27999</v>
      </c>
      <c r="C12235" s="29" t="s">
        <v>26</v>
      </c>
      <c r="D12235" s="31">
        <v>386172.1</v>
      </c>
      <c r="F12235" s="3" t="str">
        <f t="shared" si="191"/>
        <v>I13144</v>
      </c>
    </row>
    <row r="12236" spans="1:6" x14ac:dyDescent="0.2">
      <c r="A12236" s="29" t="s">
        <v>28000</v>
      </c>
      <c r="B12236" s="30" t="s">
        <v>28001</v>
      </c>
      <c r="C12236" s="29" t="s">
        <v>26</v>
      </c>
      <c r="D12236" s="31">
        <v>411578.16</v>
      </c>
      <c r="F12236" s="3" t="str">
        <f t="shared" si="191"/>
        <v>I13145</v>
      </c>
    </row>
    <row r="12237" spans="1:6" x14ac:dyDescent="0.2">
      <c r="A12237" s="29" t="s">
        <v>28002</v>
      </c>
      <c r="B12237" s="30" t="s">
        <v>28003</v>
      </c>
      <c r="C12237" s="29" t="s">
        <v>1284</v>
      </c>
      <c r="D12237" s="31">
        <v>6.1</v>
      </c>
      <c r="F12237" s="3" t="str">
        <f t="shared" si="191"/>
        <v>I8981</v>
      </c>
    </row>
    <row r="12238" spans="1:6" x14ac:dyDescent="0.2">
      <c r="A12238" s="29" t="s">
        <v>28004</v>
      </c>
      <c r="B12238" s="30" t="s">
        <v>28005</v>
      </c>
      <c r="C12238" s="29" t="s">
        <v>26</v>
      </c>
      <c r="D12238" s="31">
        <v>11278.65</v>
      </c>
      <c r="F12238" s="3" t="str">
        <f t="shared" si="191"/>
        <v>I9942</v>
      </c>
    </row>
    <row r="12239" spans="1:6" x14ac:dyDescent="0.2">
      <c r="A12239" s="29" t="s">
        <v>28006</v>
      </c>
      <c r="B12239" s="30" t="s">
        <v>28007</v>
      </c>
      <c r="C12239" s="29" t="s">
        <v>1284</v>
      </c>
      <c r="D12239" s="31">
        <v>1.71</v>
      </c>
      <c r="F12239" s="3" t="str">
        <f t="shared" si="191"/>
        <v>I8896</v>
      </c>
    </row>
    <row r="12240" spans="1:6" x14ac:dyDescent="0.2">
      <c r="A12240" s="29" t="s">
        <v>28008</v>
      </c>
      <c r="B12240" s="30" t="s">
        <v>28009</v>
      </c>
      <c r="C12240" s="29" t="s">
        <v>26</v>
      </c>
      <c r="D12240" s="31">
        <v>250.8</v>
      </c>
      <c r="F12240" s="3" t="str">
        <f t="shared" si="191"/>
        <v>I5802</v>
      </c>
    </row>
    <row r="12241" spans="1:6" x14ac:dyDescent="0.2">
      <c r="A12241" s="29" t="s">
        <v>28010</v>
      </c>
      <c r="B12241" s="30" t="s">
        <v>28011</v>
      </c>
      <c r="C12241" s="29" t="s">
        <v>26</v>
      </c>
      <c r="D12241" s="31">
        <v>48.47</v>
      </c>
      <c r="F12241" s="3" t="str">
        <f t="shared" si="191"/>
        <v>I3028</v>
      </c>
    </row>
    <row r="12242" spans="1:6" x14ac:dyDescent="0.2">
      <c r="A12242" s="29" t="s">
        <v>28012</v>
      </c>
      <c r="B12242" s="30" t="s">
        <v>28013</v>
      </c>
      <c r="C12242" s="29" t="s">
        <v>26</v>
      </c>
      <c r="D12242" s="31">
        <v>36.4</v>
      </c>
      <c r="F12242" s="3" t="str">
        <f t="shared" si="191"/>
        <v>I3029</v>
      </c>
    </row>
    <row r="12243" spans="1:6" x14ac:dyDescent="0.2">
      <c r="A12243" s="29" t="s">
        <v>28014</v>
      </c>
      <c r="B12243" s="30" t="s">
        <v>28015</v>
      </c>
      <c r="C12243" s="29" t="s">
        <v>26</v>
      </c>
      <c r="D12243" s="31">
        <v>67.569999999999993</v>
      </c>
      <c r="F12243" s="3" t="str">
        <f t="shared" si="191"/>
        <v>I3030</v>
      </c>
    </row>
    <row r="12244" spans="1:6" x14ac:dyDescent="0.2">
      <c r="A12244" s="29" t="s">
        <v>28016</v>
      </c>
      <c r="B12244" s="30" t="s">
        <v>28017</v>
      </c>
      <c r="C12244" s="29" t="s">
        <v>26</v>
      </c>
      <c r="D12244" s="31">
        <v>98.91</v>
      </c>
      <c r="F12244" s="3" t="str">
        <f t="shared" si="191"/>
        <v>I3031</v>
      </c>
    </row>
    <row r="12245" spans="1:6" x14ac:dyDescent="0.2">
      <c r="A12245" s="29" t="s">
        <v>28018</v>
      </c>
      <c r="B12245" s="30" t="s">
        <v>28019</v>
      </c>
      <c r="C12245" s="29" t="s">
        <v>26</v>
      </c>
      <c r="D12245" s="31">
        <v>61.63</v>
      </c>
      <c r="F12245" s="3" t="str">
        <f t="shared" si="191"/>
        <v>I3032</v>
      </c>
    </row>
    <row r="12246" spans="1:6" x14ac:dyDescent="0.2">
      <c r="A12246" s="29" t="s">
        <v>28020</v>
      </c>
      <c r="B12246" s="30" t="s">
        <v>28021</v>
      </c>
      <c r="C12246" s="29" t="s">
        <v>26</v>
      </c>
      <c r="D12246" s="31">
        <v>81.02</v>
      </c>
      <c r="F12246" s="3" t="str">
        <f t="shared" si="191"/>
        <v>I8029</v>
      </c>
    </row>
    <row r="12247" spans="1:6" x14ac:dyDescent="0.2">
      <c r="A12247" s="29" t="s">
        <v>28022</v>
      </c>
      <c r="B12247" s="30" t="s">
        <v>28023</v>
      </c>
      <c r="C12247" s="29" t="s">
        <v>26</v>
      </c>
      <c r="D12247" s="31">
        <v>81.33</v>
      </c>
      <c r="F12247" s="3" t="str">
        <f t="shared" si="191"/>
        <v>I8030</v>
      </c>
    </row>
    <row r="12248" spans="1:6" x14ac:dyDescent="0.2">
      <c r="A12248" s="29" t="s">
        <v>28024</v>
      </c>
      <c r="B12248" s="30" t="s">
        <v>28025</v>
      </c>
      <c r="C12248" s="29" t="s">
        <v>26</v>
      </c>
      <c r="D12248" s="31">
        <v>111.84</v>
      </c>
      <c r="F12248" s="3" t="str">
        <f t="shared" si="191"/>
        <v>I8031</v>
      </c>
    </row>
    <row r="12249" spans="1:6" x14ac:dyDescent="0.2">
      <c r="A12249" s="29" t="s">
        <v>28026</v>
      </c>
      <c r="B12249" s="30" t="s">
        <v>28027</v>
      </c>
      <c r="C12249" s="29" t="s">
        <v>26</v>
      </c>
      <c r="D12249" s="31">
        <v>111.84</v>
      </c>
      <c r="F12249" s="3" t="str">
        <f t="shared" si="191"/>
        <v>I8032</v>
      </c>
    </row>
    <row r="12250" spans="1:6" x14ac:dyDescent="0.2">
      <c r="A12250" s="29" t="s">
        <v>28028</v>
      </c>
      <c r="B12250" s="30" t="s">
        <v>28029</v>
      </c>
      <c r="C12250" s="29" t="s">
        <v>26</v>
      </c>
      <c r="D12250" s="31">
        <v>3.02</v>
      </c>
      <c r="F12250" s="3" t="str">
        <f t="shared" si="191"/>
        <v>I8976</v>
      </c>
    </row>
    <row r="12251" spans="1:6" x14ac:dyDescent="0.2">
      <c r="A12251" s="29" t="s">
        <v>28030</v>
      </c>
      <c r="B12251" s="30" t="s">
        <v>28031</v>
      </c>
      <c r="C12251" s="29" t="s">
        <v>26</v>
      </c>
      <c r="D12251" s="31">
        <v>3.02</v>
      </c>
      <c r="F12251" s="3" t="str">
        <f t="shared" si="191"/>
        <v>I8975</v>
      </c>
    </row>
    <row r="12252" spans="1:6" x14ac:dyDescent="0.2">
      <c r="A12252" s="29" t="s">
        <v>28032</v>
      </c>
      <c r="B12252" s="30" t="s">
        <v>28033</v>
      </c>
      <c r="C12252" s="29" t="s">
        <v>26</v>
      </c>
      <c r="D12252" s="31">
        <v>5263.38</v>
      </c>
      <c r="F12252" s="3" t="str">
        <f t="shared" si="191"/>
        <v>I10026</v>
      </c>
    </row>
    <row r="12253" spans="1:6" x14ac:dyDescent="0.2">
      <c r="A12253" s="29" t="s">
        <v>28034</v>
      </c>
      <c r="B12253" s="30" t="s">
        <v>28035</v>
      </c>
      <c r="C12253" s="29" t="s">
        <v>26</v>
      </c>
      <c r="D12253" s="31">
        <v>15632.39</v>
      </c>
      <c r="F12253" s="3" t="str">
        <f t="shared" si="191"/>
        <v>I8897</v>
      </c>
    </row>
    <row r="12254" spans="1:6" x14ac:dyDescent="0.2">
      <c r="A12254" s="29" t="s">
        <v>28036</v>
      </c>
      <c r="B12254" s="30" t="s">
        <v>28037</v>
      </c>
      <c r="C12254" s="29" t="s">
        <v>26</v>
      </c>
      <c r="D12254" s="31">
        <v>4292.12</v>
      </c>
      <c r="F12254" s="3" t="str">
        <f t="shared" si="191"/>
        <v>I8898</v>
      </c>
    </row>
    <row r="12255" spans="1:6" x14ac:dyDescent="0.2">
      <c r="A12255" s="29" t="s">
        <v>28038</v>
      </c>
      <c r="B12255" s="30" t="s">
        <v>28039</v>
      </c>
      <c r="C12255" s="29" t="s">
        <v>26</v>
      </c>
      <c r="D12255" s="31">
        <v>8789.64</v>
      </c>
      <c r="F12255" s="3" t="str">
        <f t="shared" si="191"/>
        <v>I8899</v>
      </c>
    </row>
    <row r="12256" spans="1:6" x14ac:dyDescent="0.2">
      <c r="A12256" s="29" t="s">
        <v>28040</v>
      </c>
      <c r="B12256" s="30" t="s">
        <v>28041</v>
      </c>
      <c r="C12256" s="29" t="s">
        <v>26</v>
      </c>
      <c r="D12256" s="31">
        <v>20753.3</v>
      </c>
      <c r="F12256" s="3" t="str">
        <f t="shared" si="191"/>
        <v>I8900</v>
      </c>
    </row>
    <row r="12257" spans="1:6" x14ac:dyDescent="0.2">
      <c r="A12257" s="29" t="s">
        <v>28042</v>
      </c>
      <c r="B12257" s="30" t="s">
        <v>28043</v>
      </c>
      <c r="C12257" s="29" t="s">
        <v>26</v>
      </c>
      <c r="D12257" s="31">
        <v>3314.95</v>
      </c>
      <c r="F12257" s="3" t="str">
        <f t="shared" si="191"/>
        <v>I10028</v>
      </c>
    </row>
    <row r="12258" spans="1:6" x14ac:dyDescent="0.2">
      <c r="A12258" s="29" t="s">
        <v>28044</v>
      </c>
      <c r="B12258" s="30" t="s">
        <v>28045</v>
      </c>
      <c r="C12258" s="29" t="s">
        <v>1284</v>
      </c>
      <c r="D12258" s="31">
        <v>3.83</v>
      </c>
      <c r="F12258" s="3" t="str">
        <f t="shared" si="191"/>
        <v>I7557</v>
      </c>
    </row>
    <row r="12259" spans="1:6" x14ac:dyDescent="0.2">
      <c r="A12259" s="29" t="s">
        <v>28046</v>
      </c>
      <c r="B12259" s="30" t="s">
        <v>28047</v>
      </c>
      <c r="C12259" s="29" t="s">
        <v>26</v>
      </c>
      <c r="D12259" s="31">
        <v>25.36</v>
      </c>
      <c r="F12259" s="3" t="str">
        <f t="shared" si="191"/>
        <v>I10029</v>
      </c>
    </row>
    <row r="12260" spans="1:6" x14ac:dyDescent="0.2">
      <c r="A12260" s="29" t="s">
        <v>28048</v>
      </c>
      <c r="B12260" s="30" t="s">
        <v>28049</v>
      </c>
      <c r="C12260" s="29" t="s">
        <v>26</v>
      </c>
      <c r="D12260" s="31">
        <v>23.42</v>
      </c>
      <c r="F12260" s="3" t="str">
        <f t="shared" si="191"/>
        <v>I10030</v>
      </c>
    </row>
    <row r="12261" spans="1:6" x14ac:dyDescent="0.2">
      <c r="A12261" s="29" t="s">
        <v>28050</v>
      </c>
      <c r="B12261" s="30" t="s">
        <v>28051</v>
      </c>
      <c r="C12261" s="29" t="s">
        <v>26</v>
      </c>
      <c r="D12261" s="31">
        <v>17.010000000000002</v>
      </c>
      <c r="F12261" s="3" t="str">
        <f t="shared" si="191"/>
        <v>I10031</v>
      </c>
    </row>
    <row r="12262" spans="1:6" x14ac:dyDescent="0.2">
      <c r="A12262" s="29" t="s">
        <v>28052</v>
      </c>
      <c r="B12262" s="30" t="s">
        <v>28053</v>
      </c>
      <c r="C12262" s="29" t="s">
        <v>26</v>
      </c>
      <c r="D12262" s="31">
        <v>6.42</v>
      </c>
      <c r="F12262" s="3" t="str">
        <f t="shared" si="191"/>
        <v>I8513</v>
      </c>
    </row>
    <row r="12263" spans="1:6" x14ac:dyDescent="0.2">
      <c r="A12263" s="29" t="s">
        <v>28054</v>
      </c>
      <c r="B12263" s="30" t="s">
        <v>28055</v>
      </c>
      <c r="C12263" s="29" t="s">
        <v>26</v>
      </c>
      <c r="D12263" s="31">
        <v>4.8899999999999997</v>
      </c>
      <c r="F12263" s="3" t="str">
        <f t="shared" si="191"/>
        <v>I8521</v>
      </c>
    </row>
    <row r="12264" spans="1:6" ht="22.5" x14ac:dyDescent="0.2">
      <c r="A12264" s="29" t="s">
        <v>28056</v>
      </c>
      <c r="B12264" s="30" t="s">
        <v>28057</v>
      </c>
      <c r="C12264" s="29" t="s">
        <v>26</v>
      </c>
      <c r="D12264" s="31">
        <v>29054.47</v>
      </c>
      <c r="F12264" s="3" t="str">
        <f t="shared" si="191"/>
        <v>I10033</v>
      </c>
    </row>
    <row r="12265" spans="1:6" ht="22.5" x14ac:dyDescent="0.2">
      <c r="A12265" s="29" t="s">
        <v>28058</v>
      </c>
      <c r="B12265" s="30" t="s">
        <v>28059</v>
      </c>
      <c r="C12265" s="29" t="s">
        <v>26</v>
      </c>
      <c r="D12265" s="31">
        <v>47154.91</v>
      </c>
      <c r="F12265" s="3" t="str">
        <f t="shared" si="191"/>
        <v>I10034</v>
      </c>
    </row>
    <row r="12266" spans="1:6" x14ac:dyDescent="0.2">
      <c r="A12266" s="29" t="s">
        <v>28060</v>
      </c>
      <c r="B12266" s="30" t="s">
        <v>28061</v>
      </c>
      <c r="C12266" s="29" t="s">
        <v>26</v>
      </c>
      <c r="D12266" s="31">
        <v>47.04</v>
      </c>
      <c r="F12266" s="3" t="str">
        <f t="shared" si="191"/>
        <v>I6092</v>
      </c>
    </row>
    <row r="12267" spans="1:6" ht="22.5" x14ac:dyDescent="0.2">
      <c r="A12267" s="29" t="s">
        <v>28062</v>
      </c>
      <c r="B12267" s="30" t="s">
        <v>28063</v>
      </c>
      <c r="C12267" s="29" t="s">
        <v>255</v>
      </c>
      <c r="D12267" s="31">
        <v>2110</v>
      </c>
      <c r="F12267" s="3" t="str">
        <f t="shared" si="191"/>
        <v>I10035</v>
      </c>
    </row>
    <row r="12268" spans="1:6" ht="22.5" x14ac:dyDescent="0.2">
      <c r="A12268" s="29" t="s">
        <v>28064</v>
      </c>
      <c r="B12268" s="30" t="s">
        <v>14633</v>
      </c>
      <c r="C12268" s="29" t="s">
        <v>255</v>
      </c>
      <c r="D12268" s="31">
        <v>1800</v>
      </c>
      <c r="F12268" s="3" t="str">
        <f t="shared" si="191"/>
        <v>I8901</v>
      </c>
    </row>
    <row r="12269" spans="1:6" ht="22.5" x14ac:dyDescent="0.2">
      <c r="A12269" s="29" t="s">
        <v>28065</v>
      </c>
      <c r="B12269" s="30" t="s">
        <v>14635</v>
      </c>
      <c r="C12269" s="29" t="s">
        <v>255</v>
      </c>
      <c r="D12269" s="31">
        <v>1200</v>
      </c>
      <c r="F12269" s="3" t="str">
        <f t="shared" si="191"/>
        <v>I9063</v>
      </c>
    </row>
    <row r="12270" spans="1:6" x14ac:dyDescent="0.2">
      <c r="A12270" s="29" t="s">
        <v>28066</v>
      </c>
      <c r="B12270" s="30" t="s">
        <v>28067</v>
      </c>
      <c r="C12270" s="29" t="s">
        <v>26</v>
      </c>
      <c r="D12270" s="31">
        <v>45.91</v>
      </c>
      <c r="F12270" s="3" t="str">
        <f t="shared" si="191"/>
        <v>I8525</v>
      </c>
    </row>
    <row r="12271" spans="1:6" x14ac:dyDescent="0.2">
      <c r="A12271" s="29" t="s">
        <v>28068</v>
      </c>
      <c r="B12271" s="30" t="s">
        <v>28069</v>
      </c>
      <c r="C12271" s="29" t="s">
        <v>26</v>
      </c>
      <c r="D12271" s="31">
        <v>664.7</v>
      </c>
      <c r="F12271" s="3" t="str">
        <f t="shared" si="191"/>
        <v>I6084</v>
      </c>
    </row>
    <row r="12272" spans="1:6" x14ac:dyDescent="0.2">
      <c r="A12272" s="29" t="s">
        <v>28070</v>
      </c>
      <c r="B12272" s="30" t="s">
        <v>28071</v>
      </c>
      <c r="C12272" s="29" t="s">
        <v>26</v>
      </c>
      <c r="D12272" s="31">
        <v>889.56</v>
      </c>
      <c r="F12272" s="3" t="str">
        <f t="shared" si="191"/>
        <v>I6085</v>
      </c>
    </row>
    <row r="12273" spans="1:6" x14ac:dyDescent="0.2">
      <c r="A12273" s="29" t="s">
        <v>28072</v>
      </c>
      <c r="B12273" s="30" t="s">
        <v>28073</v>
      </c>
      <c r="C12273" s="29" t="s">
        <v>26</v>
      </c>
      <c r="D12273" s="31">
        <v>1282.55</v>
      </c>
      <c r="F12273" s="3" t="str">
        <f t="shared" si="191"/>
        <v>I6086</v>
      </c>
    </row>
    <row r="12274" spans="1:6" x14ac:dyDescent="0.2">
      <c r="A12274" s="29" t="s">
        <v>28074</v>
      </c>
      <c r="B12274" s="30" t="s">
        <v>28075</v>
      </c>
      <c r="C12274" s="29" t="s">
        <v>26</v>
      </c>
      <c r="D12274" s="31">
        <v>2179.31</v>
      </c>
      <c r="F12274" s="3" t="str">
        <f t="shared" si="191"/>
        <v>I6087</v>
      </c>
    </row>
    <row r="12275" spans="1:6" x14ac:dyDescent="0.2">
      <c r="A12275" s="29" t="s">
        <v>28076</v>
      </c>
      <c r="B12275" s="30" t="s">
        <v>28077</v>
      </c>
      <c r="C12275" s="29" t="s">
        <v>26</v>
      </c>
      <c r="D12275" s="31">
        <v>621.72</v>
      </c>
      <c r="F12275" s="3" t="str">
        <f t="shared" si="191"/>
        <v>I6088</v>
      </c>
    </row>
    <row r="12276" spans="1:6" x14ac:dyDescent="0.2">
      <c r="A12276" s="29" t="s">
        <v>28078</v>
      </c>
      <c r="B12276" s="30" t="s">
        <v>28079</v>
      </c>
      <c r="C12276" s="29" t="s">
        <v>26</v>
      </c>
      <c r="D12276" s="31">
        <v>884.36</v>
      </c>
      <c r="F12276" s="3" t="str">
        <f t="shared" si="191"/>
        <v>I6089</v>
      </c>
    </row>
    <row r="12277" spans="1:6" x14ac:dyDescent="0.2">
      <c r="A12277" s="29" t="s">
        <v>28080</v>
      </c>
      <c r="B12277" s="30" t="s">
        <v>28081</v>
      </c>
      <c r="C12277" s="29" t="s">
        <v>26</v>
      </c>
      <c r="D12277" s="31">
        <v>1286.99</v>
      </c>
      <c r="F12277" s="3" t="str">
        <f t="shared" si="191"/>
        <v>I6090</v>
      </c>
    </row>
    <row r="12278" spans="1:6" x14ac:dyDescent="0.2">
      <c r="A12278" s="29" t="s">
        <v>28082</v>
      </c>
      <c r="B12278" s="30" t="s">
        <v>28083</v>
      </c>
      <c r="C12278" s="29" t="s">
        <v>26</v>
      </c>
      <c r="D12278" s="31">
        <v>2201.2800000000002</v>
      </c>
      <c r="F12278" s="3" t="str">
        <f t="shared" si="191"/>
        <v>I6091</v>
      </c>
    </row>
    <row r="12279" spans="1:6" x14ac:dyDescent="0.2">
      <c r="A12279" s="29" t="s">
        <v>28084</v>
      </c>
      <c r="B12279" s="30" t="s">
        <v>28085</v>
      </c>
      <c r="C12279" s="29" t="s">
        <v>26</v>
      </c>
      <c r="D12279" s="31">
        <v>45.16</v>
      </c>
      <c r="F12279" s="3" t="str">
        <f t="shared" si="191"/>
        <v>I6095</v>
      </c>
    </row>
    <row r="12280" spans="1:6" x14ac:dyDescent="0.2">
      <c r="A12280" s="29" t="s">
        <v>28086</v>
      </c>
      <c r="B12280" s="30" t="s">
        <v>28087</v>
      </c>
      <c r="C12280" s="29" t="s">
        <v>26</v>
      </c>
      <c r="D12280" s="31">
        <v>41.62</v>
      </c>
      <c r="F12280" s="3" t="str">
        <f t="shared" si="191"/>
        <v>I6094</v>
      </c>
    </row>
    <row r="12281" spans="1:6" x14ac:dyDescent="0.2">
      <c r="A12281" s="29" t="s">
        <v>28088</v>
      </c>
      <c r="B12281" s="30" t="s">
        <v>28089</v>
      </c>
      <c r="C12281" s="29" t="s">
        <v>26</v>
      </c>
      <c r="D12281" s="31">
        <v>101.73</v>
      </c>
      <c r="F12281" s="3" t="str">
        <f t="shared" si="191"/>
        <v>I6096</v>
      </c>
    </row>
    <row r="12282" spans="1:6" x14ac:dyDescent="0.2">
      <c r="A12282" s="29" t="s">
        <v>28090</v>
      </c>
      <c r="B12282" s="30" t="s">
        <v>28091</v>
      </c>
      <c r="C12282" s="29" t="s">
        <v>26</v>
      </c>
      <c r="D12282" s="31">
        <v>39.35</v>
      </c>
      <c r="F12282" s="3" t="str">
        <f t="shared" si="191"/>
        <v>I6093</v>
      </c>
    </row>
    <row r="12283" spans="1:6" x14ac:dyDescent="0.2">
      <c r="A12283" s="29" t="s">
        <v>28092</v>
      </c>
      <c r="B12283" s="30" t="s">
        <v>28093</v>
      </c>
      <c r="C12283" s="29" t="s">
        <v>26</v>
      </c>
      <c r="D12283" s="31">
        <v>2736.44</v>
      </c>
      <c r="F12283" s="3" t="str">
        <f t="shared" si="191"/>
        <v>I6413</v>
      </c>
    </row>
    <row r="12284" spans="1:6" x14ac:dyDescent="0.2">
      <c r="A12284" s="29" t="s">
        <v>28094</v>
      </c>
      <c r="B12284" s="30" t="s">
        <v>28095</v>
      </c>
      <c r="C12284" s="29" t="s">
        <v>26</v>
      </c>
      <c r="D12284" s="31">
        <v>4277.68</v>
      </c>
      <c r="F12284" s="3" t="str">
        <f t="shared" si="191"/>
        <v>I6412</v>
      </c>
    </row>
    <row r="12285" spans="1:6" x14ac:dyDescent="0.2">
      <c r="A12285" s="29" t="s">
        <v>28096</v>
      </c>
      <c r="B12285" s="30" t="s">
        <v>28097</v>
      </c>
      <c r="C12285" s="29" t="s">
        <v>26</v>
      </c>
      <c r="D12285" s="31">
        <v>68.3</v>
      </c>
      <c r="F12285" s="3" t="str">
        <f t="shared" si="191"/>
        <v>I10036</v>
      </c>
    </row>
    <row r="12286" spans="1:6" x14ac:dyDescent="0.2">
      <c r="A12286" s="29" t="s">
        <v>28098</v>
      </c>
      <c r="B12286" s="30" t="s">
        <v>28099</v>
      </c>
      <c r="C12286" s="29" t="s">
        <v>26</v>
      </c>
      <c r="D12286" s="31">
        <v>72.22</v>
      </c>
      <c r="F12286" s="3" t="str">
        <f t="shared" si="191"/>
        <v>I3071</v>
      </c>
    </row>
    <row r="12287" spans="1:6" x14ac:dyDescent="0.2">
      <c r="A12287" s="29" t="s">
        <v>28100</v>
      </c>
      <c r="B12287" s="30" t="s">
        <v>28101</v>
      </c>
      <c r="C12287" s="29" t="s">
        <v>26</v>
      </c>
      <c r="D12287" s="31">
        <v>68.680000000000007</v>
      </c>
      <c r="F12287" s="3" t="str">
        <f t="shared" si="191"/>
        <v>I3072</v>
      </c>
    </row>
    <row r="12288" spans="1:6" x14ac:dyDescent="0.2">
      <c r="A12288" s="29" t="s">
        <v>28102</v>
      </c>
      <c r="B12288" s="30" t="s">
        <v>28103</v>
      </c>
      <c r="C12288" s="29" t="s">
        <v>26</v>
      </c>
      <c r="D12288" s="31">
        <v>116.44</v>
      </c>
      <c r="F12288" s="3" t="str">
        <f t="shared" si="191"/>
        <v>I3073</v>
      </c>
    </row>
    <row r="12289" spans="1:6" x14ac:dyDescent="0.2">
      <c r="A12289" s="29" t="s">
        <v>28104</v>
      </c>
      <c r="B12289" s="30" t="s">
        <v>28105</v>
      </c>
      <c r="C12289" s="29" t="s">
        <v>26</v>
      </c>
      <c r="D12289" s="31">
        <v>212.34</v>
      </c>
      <c r="F12289" s="3" t="str">
        <f t="shared" si="191"/>
        <v>I3074</v>
      </c>
    </row>
    <row r="12290" spans="1:6" x14ac:dyDescent="0.2">
      <c r="A12290" s="29" t="s">
        <v>28106</v>
      </c>
      <c r="B12290" s="30" t="s">
        <v>28107</v>
      </c>
      <c r="C12290" s="29" t="s">
        <v>26</v>
      </c>
      <c r="D12290" s="31">
        <v>162.71</v>
      </c>
      <c r="F12290" s="3" t="str">
        <f t="shared" ref="F12290:F12353" si="192">A12290</f>
        <v>I7598</v>
      </c>
    </row>
    <row r="12291" spans="1:6" x14ac:dyDescent="0.2">
      <c r="A12291" s="29" t="s">
        <v>28108</v>
      </c>
      <c r="B12291" s="30" t="s">
        <v>28109</v>
      </c>
      <c r="C12291" s="29" t="s">
        <v>26</v>
      </c>
      <c r="D12291" s="31">
        <v>350.87</v>
      </c>
      <c r="F12291" s="3" t="str">
        <f t="shared" si="192"/>
        <v>I10037</v>
      </c>
    </row>
    <row r="12292" spans="1:6" x14ac:dyDescent="0.2">
      <c r="A12292" s="29" t="s">
        <v>28110</v>
      </c>
      <c r="B12292" s="30" t="s">
        <v>28111</v>
      </c>
      <c r="C12292" s="29" t="s">
        <v>26</v>
      </c>
      <c r="D12292" s="31">
        <v>770.86</v>
      </c>
      <c r="F12292" s="3" t="str">
        <f t="shared" si="192"/>
        <v>I8450</v>
      </c>
    </row>
    <row r="12293" spans="1:6" x14ac:dyDescent="0.2">
      <c r="A12293" s="29" t="s">
        <v>28112</v>
      </c>
      <c r="B12293" s="30" t="s">
        <v>28113</v>
      </c>
      <c r="C12293" s="29" t="s">
        <v>26</v>
      </c>
      <c r="D12293" s="31">
        <v>1497.26</v>
      </c>
      <c r="F12293" s="3" t="str">
        <f t="shared" si="192"/>
        <v>I10038</v>
      </c>
    </row>
    <row r="12294" spans="1:6" x14ac:dyDescent="0.2">
      <c r="A12294" s="29" t="s">
        <v>28114</v>
      </c>
      <c r="B12294" s="30" t="s">
        <v>28115</v>
      </c>
      <c r="C12294" s="29" t="s">
        <v>26</v>
      </c>
      <c r="D12294" s="31">
        <v>3172.56</v>
      </c>
      <c r="F12294" s="3" t="str">
        <f t="shared" si="192"/>
        <v>I10039</v>
      </c>
    </row>
    <row r="12295" spans="1:6" x14ac:dyDescent="0.2">
      <c r="A12295" s="29" t="s">
        <v>28116</v>
      </c>
      <c r="B12295" s="30" t="s">
        <v>28117</v>
      </c>
      <c r="C12295" s="29" t="s">
        <v>26</v>
      </c>
      <c r="D12295" s="31">
        <v>114.47</v>
      </c>
      <c r="F12295" s="3" t="str">
        <f t="shared" si="192"/>
        <v>I3077</v>
      </c>
    </row>
    <row r="12296" spans="1:6" x14ac:dyDescent="0.2">
      <c r="A12296" s="29" t="s">
        <v>28118</v>
      </c>
      <c r="B12296" s="30" t="s">
        <v>28119</v>
      </c>
      <c r="C12296" s="29" t="s">
        <v>26</v>
      </c>
      <c r="D12296" s="31">
        <v>1279.3599999999999</v>
      </c>
      <c r="F12296" s="3" t="str">
        <f t="shared" si="192"/>
        <v>I3076</v>
      </c>
    </row>
    <row r="12297" spans="1:6" x14ac:dyDescent="0.2">
      <c r="A12297" s="29" t="s">
        <v>28120</v>
      </c>
      <c r="B12297" s="30" t="s">
        <v>28121</v>
      </c>
      <c r="C12297" s="29" t="s">
        <v>26</v>
      </c>
      <c r="D12297" s="31">
        <v>672.16</v>
      </c>
      <c r="F12297" s="3" t="str">
        <f t="shared" si="192"/>
        <v>I10471</v>
      </c>
    </row>
    <row r="12298" spans="1:6" ht="22.5" x14ac:dyDescent="0.2">
      <c r="A12298" s="29" t="s">
        <v>28122</v>
      </c>
      <c r="B12298" s="30" t="s">
        <v>28123</v>
      </c>
      <c r="C12298" s="29" t="s">
        <v>26</v>
      </c>
      <c r="D12298" s="31">
        <v>4061.21</v>
      </c>
      <c r="F12298" s="3" t="str">
        <f t="shared" si="192"/>
        <v>I8375</v>
      </c>
    </row>
    <row r="12299" spans="1:6" ht="22.5" x14ac:dyDescent="0.2">
      <c r="A12299" s="29" t="s">
        <v>28124</v>
      </c>
      <c r="B12299" s="30" t="s">
        <v>28125</v>
      </c>
      <c r="C12299" s="29" t="s">
        <v>26</v>
      </c>
      <c r="D12299" s="31">
        <v>5927.93</v>
      </c>
      <c r="F12299" s="3" t="str">
        <f t="shared" si="192"/>
        <v>I8376</v>
      </c>
    </row>
    <row r="12300" spans="1:6" ht="22.5" x14ac:dyDescent="0.2">
      <c r="A12300" s="29" t="s">
        <v>28126</v>
      </c>
      <c r="B12300" s="30" t="s">
        <v>28127</v>
      </c>
      <c r="C12300" s="29" t="s">
        <v>26</v>
      </c>
      <c r="D12300" s="31">
        <v>38192.11</v>
      </c>
      <c r="F12300" s="3" t="str">
        <f t="shared" si="192"/>
        <v>I8380</v>
      </c>
    </row>
    <row r="12301" spans="1:6" ht="22.5" x14ac:dyDescent="0.2">
      <c r="A12301" s="29" t="s">
        <v>28128</v>
      </c>
      <c r="B12301" s="30" t="s">
        <v>28129</v>
      </c>
      <c r="C12301" s="29" t="s">
        <v>26</v>
      </c>
      <c r="D12301" s="31">
        <v>53304.83</v>
      </c>
      <c r="F12301" s="3" t="str">
        <f t="shared" si="192"/>
        <v>I8381</v>
      </c>
    </row>
    <row r="12302" spans="1:6" ht="22.5" x14ac:dyDescent="0.2">
      <c r="A12302" s="29" t="s">
        <v>28130</v>
      </c>
      <c r="B12302" s="30" t="s">
        <v>28131</v>
      </c>
      <c r="C12302" s="29" t="s">
        <v>26</v>
      </c>
      <c r="D12302" s="31">
        <v>13610.98</v>
      </c>
      <c r="F12302" s="3" t="str">
        <f t="shared" si="192"/>
        <v>I8377</v>
      </c>
    </row>
    <row r="12303" spans="1:6" ht="22.5" x14ac:dyDescent="0.2">
      <c r="A12303" s="29" t="s">
        <v>28132</v>
      </c>
      <c r="B12303" s="30" t="s">
        <v>28133</v>
      </c>
      <c r="C12303" s="29" t="s">
        <v>26</v>
      </c>
      <c r="D12303" s="31">
        <v>70407.47</v>
      </c>
      <c r="F12303" s="3" t="str">
        <f t="shared" si="192"/>
        <v>I8382</v>
      </c>
    </row>
    <row r="12304" spans="1:6" ht="22.5" x14ac:dyDescent="0.2">
      <c r="A12304" s="29" t="s">
        <v>28134</v>
      </c>
      <c r="B12304" s="30" t="s">
        <v>28135</v>
      </c>
      <c r="C12304" s="29" t="s">
        <v>26</v>
      </c>
      <c r="D12304" s="31">
        <v>20080.55</v>
      </c>
      <c r="F12304" s="3" t="str">
        <f t="shared" si="192"/>
        <v>I8378</v>
      </c>
    </row>
    <row r="12305" spans="1:6" ht="22.5" x14ac:dyDescent="0.2">
      <c r="A12305" s="29" t="s">
        <v>28136</v>
      </c>
      <c r="B12305" s="30" t="s">
        <v>28137</v>
      </c>
      <c r="C12305" s="29" t="s">
        <v>26</v>
      </c>
      <c r="D12305" s="31">
        <v>24599.73</v>
      </c>
      <c r="F12305" s="3" t="str">
        <f t="shared" si="192"/>
        <v>I8379</v>
      </c>
    </row>
    <row r="12306" spans="1:6" x14ac:dyDescent="0.2">
      <c r="A12306" s="29" t="s">
        <v>28138</v>
      </c>
      <c r="B12306" s="30" t="s">
        <v>28139</v>
      </c>
      <c r="C12306" s="29" t="s">
        <v>26</v>
      </c>
      <c r="D12306" s="31">
        <v>1016.24</v>
      </c>
      <c r="F12306" s="3" t="str">
        <f t="shared" si="192"/>
        <v>I10040</v>
      </c>
    </row>
    <row r="12307" spans="1:6" x14ac:dyDescent="0.2">
      <c r="A12307" s="29" t="s">
        <v>28140</v>
      </c>
      <c r="B12307" s="30" t="s">
        <v>28141</v>
      </c>
      <c r="C12307" s="29" t="s">
        <v>26</v>
      </c>
      <c r="D12307" s="31">
        <v>2032.48</v>
      </c>
      <c r="F12307" s="3" t="str">
        <f t="shared" si="192"/>
        <v>I10041</v>
      </c>
    </row>
    <row r="12308" spans="1:6" x14ac:dyDescent="0.2">
      <c r="A12308" s="29" t="s">
        <v>28142</v>
      </c>
      <c r="B12308" s="30" t="s">
        <v>28143</v>
      </c>
      <c r="C12308" s="29" t="s">
        <v>26</v>
      </c>
      <c r="D12308" s="31">
        <v>4064.97</v>
      </c>
      <c r="F12308" s="3" t="str">
        <f t="shared" si="192"/>
        <v>I10042</v>
      </c>
    </row>
    <row r="12309" spans="1:6" x14ac:dyDescent="0.2">
      <c r="A12309" s="29" t="s">
        <v>28144</v>
      </c>
      <c r="B12309" s="30" t="s">
        <v>28145</v>
      </c>
      <c r="C12309" s="29" t="s">
        <v>26</v>
      </c>
      <c r="D12309" s="31">
        <v>7113.7</v>
      </c>
      <c r="F12309" s="3" t="str">
        <f t="shared" si="192"/>
        <v>I10043</v>
      </c>
    </row>
    <row r="12310" spans="1:6" x14ac:dyDescent="0.2">
      <c r="A12310" s="29" t="s">
        <v>28146</v>
      </c>
      <c r="B12310" s="30" t="s">
        <v>28147</v>
      </c>
      <c r="C12310" s="29" t="s">
        <v>26</v>
      </c>
      <c r="D12310" s="31">
        <v>11016.86</v>
      </c>
      <c r="F12310" s="3" t="str">
        <f t="shared" si="192"/>
        <v>I10044</v>
      </c>
    </row>
    <row r="12311" spans="1:6" x14ac:dyDescent="0.2">
      <c r="A12311" s="29" t="s">
        <v>28148</v>
      </c>
      <c r="B12311" s="30" t="s">
        <v>28149</v>
      </c>
      <c r="C12311" s="29" t="s">
        <v>26</v>
      </c>
      <c r="D12311" s="31">
        <v>21000</v>
      </c>
      <c r="F12311" s="3" t="str">
        <f t="shared" si="192"/>
        <v>I13139</v>
      </c>
    </row>
    <row r="12312" spans="1:6" x14ac:dyDescent="0.2">
      <c r="A12312" s="29" t="s">
        <v>28150</v>
      </c>
      <c r="B12312" s="30" t="s">
        <v>28151</v>
      </c>
      <c r="C12312" s="29" t="s">
        <v>26</v>
      </c>
      <c r="D12312" s="31">
        <v>14000</v>
      </c>
      <c r="F12312" s="3" t="str">
        <f t="shared" si="192"/>
        <v>I13135</v>
      </c>
    </row>
    <row r="12313" spans="1:6" x14ac:dyDescent="0.2">
      <c r="A12313" s="29" t="s">
        <v>28152</v>
      </c>
      <c r="B12313" s="30" t="s">
        <v>28153</v>
      </c>
      <c r="C12313" s="29" t="s">
        <v>26</v>
      </c>
      <c r="D12313" s="31">
        <v>16000</v>
      </c>
      <c r="F12313" s="3" t="str">
        <f t="shared" si="192"/>
        <v>I13136</v>
      </c>
    </row>
    <row r="12314" spans="1:6" x14ac:dyDescent="0.2">
      <c r="A12314" s="29" t="s">
        <v>28154</v>
      </c>
      <c r="B12314" s="30" t="s">
        <v>28155</v>
      </c>
      <c r="C12314" s="29" t="s">
        <v>26</v>
      </c>
      <c r="D12314" s="31">
        <v>16000</v>
      </c>
      <c r="F12314" s="3" t="str">
        <f t="shared" si="192"/>
        <v>I13137</v>
      </c>
    </row>
    <row r="12315" spans="1:6" x14ac:dyDescent="0.2">
      <c r="A12315" s="29" t="s">
        <v>28156</v>
      </c>
      <c r="B12315" s="30" t="s">
        <v>28157</v>
      </c>
      <c r="C12315" s="29" t="s">
        <v>26</v>
      </c>
      <c r="D12315" s="31">
        <v>18000</v>
      </c>
      <c r="F12315" s="3" t="str">
        <f t="shared" si="192"/>
        <v>I13138</v>
      </c>
    </row>
    <row r="12316" spans="1:6" x14ac:dyDescent="0.2">
      <c r="A12316" s="29" t="s">
        <v>28158</v>
      </c>
      <c r="B12316" s="30" t="s">
        <v>28159</v>
      </c>
      <c r="C12316" s="29" t="s">
        <v>26</v>
      </c>
      <c r="D12316" s="31">
        <v>233735.75</v>
      </c>
      <c r="F12316" s="3" t="str">
        <f t="shared" si="192"/>
        <v>I9036</v>
      </c>
    </row>
    <row r="12317" spans="1:6" x14ac:dyDescent="0.2">
      <c r="A12317" s="29" t="s">
        <v>28160</v>
      </c>
      <c r="B12317" s="30" t="s">
        <v>28161</v>
      </c>
      <c r="C12317" s="29" t="s">
        <v>26</v>
      </c>
      <c r="D12317" s="31">
        <v>284547.87</v>
      </c>
      <c r="F12317" s="3" t="str">
        <f t="shared" si="192"/>
        <v>I9037</v>
      </c>
    </row>
    <row r="12318" spans="1:6" x14ac:dyDescent="0.2">
      <c r="A12318" s="29" t="s">
        <v>28162</v>
      </c>
      <c r="B12318" s="30" t="s">
        <v>28163</v>
      </c>
      <c r="C12318" s="29" t="s">
        <v>26</v>
      </c>
      <c r="D12318" s="31">
        <v>304872.71000000002</v>
      </c>
      <c r="F12318" s="3" t="str">
        <f t="shared" si="192"/>
        <v>I8905</v>
      </c>
    </row>
    <row r="12319" spans="1:6" x14ac:dyDescent="0.2">
      <c r="A12319" s="29" t="s">
        <v>28164</v>
      </c>
      <c r="B12319" s="30" t="s">
        <v>28165</v>
      </c>
      <c r="C12319" s="29" t="s">
        <v>26</v>
      </c>
      <c r="D12319" s="31">
        <v>340441.2</v>
      </c>
      <c r="F12319" s="3" t="str">
        <f t="shared" si="192"/>
        <v>I9038</v>
      </c>
    </row>
    <row r="12320" spans="1:6" x14ac:dyDescent="0.2">
      <c r="A12320" s="29" t="s">
        <v>28166</v>
      </c>
      <c r="B12320" s="30" t="s">
        <v>28167</v>
      </c>
      <c r="C12320" s="29" t="s">
        <v>26</v>
      </c>
      <c r="D12320" s="31">
        <v>144306.42000000001</v>
      </c>
      <c r="F12320" s="3" t="str">
        <f t="shared" si="192"/>
        <v>I8902</v>
      </c>
    </row>
    <row r="12321" spans="1:6" x14ac:dyDescent="0.2">
      <c r="A12321" s="29" t="s">
        <v>28168</v>
      </c>
      <c r="B12321" s="30" t="s">
        <v>28169</v>
      </c>
      <c r="C12321" s="29" t="s">
        <v>26</v>
      </c>
      <c r="D12321" s="31">
        <v>152436.35999999999</v>
      </c>
      <c r="F12321" s="3" t="str">
        <f t="shared" si="192"/>
        <v>I8903</v>
      </c>
    </row>
    <row r="12322" spans="1:6" x14ac:dyDescent="0.2">
      <c r="A12322" s="29" t="s">
        <v>28170</v>
      </c>
      <c r="B12322" s="30" t="s">
        <v>28171</v>
      </c>
      <c r="C12322" s="29" t="s">
        <v>26</v>
      </c>
      <c r="D12322" s="31">
        <v>269304.23</v>
      </c>
      <c r="F12322" s="3" t="str">
        <f t="shared" si="192"/>
        <v>I8904</v>
      </c>
    </row>
    <row r="12323" spans="1:6" x14ac:dyDescent="0.2">
      <c r="A12323" s="29" t="s">
        <v>28172</v>
      </c>
      <c r="B12323" s="30" t="s">
        <v>28173</v>
      </c>
      <c r="C12323" s="29" t="s">
        <v>26</v>
      </c>
      <c r="D12323" s="31">
        <v>325197.56</v>
      </c>
      <c r="F12323" s="3" t="str">
        <f t="shared" si="192"/>
        <v>I10045</v>
      </c>
    </row>
    <row r="12324" spans="1:6" x14ac:dyDescent="0.2">
      <c r="A12324" s="29" t="s">
        <v>28174</v>
      </c>
      <c r="B12324" s="30" t="s">
        <v>28175</v>
      </c>
      <c r="C12324" s="29" t="s">
        <v>26</v>
      </c>
      <c r="D12324" s="31">
        <v>457309.07</v>
      </c>
      <c r="F12324" s="3" t="str">
        <f t="shared" si="192"/>
        <v>I10046</v>
      </c>
    </row>
    <row r="12325" spans="1:6" x14ac:dyDescent="0.2">
      <c r="A12325" s="29" t="s">
        <v>28176</v>
      </c>
      <c r="B12325" s="30" t="s">
        <v>28177</v>
      </c>
      <c r="C12325" s="29" t="s">
        <v>26</v>
      </c>
      <c r="D12325" s="31">
        <v>605.19000000000005</v>
      </c>
      <c r="F12325" s="3" t="str">
        <f t="shared" si="192"/>
        <v>I3033</v>
      </c>
    </row>
    <row r="12326" spans="1:6" x14ac:dyDescent="0.2">
      <c r="A12326" s="29" t="s">
        <v>28178</v>
      </c>
      <c r="B12326" s="30" t="s">
        <v>28179</v>
      </c>
      <c r="C12326" s="29" t="s">
        <v>26</v>
      </c>
      <c r="D12326" s="31">
        <v>1339.02</v>
      </c>
      <c r="F12326" s="3" t="str">
        <f t="shared" si="192"/>
        <v>I3034</v>
      </c>
    </row>
    <row r="12327" spans="1:6" x14ac:dyDescent="0.2">
      <c r="A12327" s="29" t="s">
        <v>28180</v>
      </c>
      <c r="B12327" s="30" t="s">
        <v>28181</v>
      </c>
      <c r="C12327" s="29" t="s">
        <v>26</v>
      </c>
      <c r="D12327" s="31">
        <v>2252.7199999999998</v>
      </c>
      <c r="F12327" s="3" t="str">
        <f t="shared" si="192"/>
        <v>I8025</v>
      </c>
    </row>
    <row r="12328" spans="1:6" x14ac:dyDescent="0.2">
      <c r="A12328" s="29" t="s">
        <v>28182</v>
      </c>
      <c r="B12328" s="30" t="s">
        <v>28183</v>
      </c>
      <c r="C12328" s="29" t="s">
        <v>26</v>
      </c>
      <c r="D12328" s="31">
        <v>61.41</v>
      </c>
      <c r="F12328" s="3" t="str">
        <f t="shared" si="192"/>
        <v>I3036</v>
      </c>
    </row>
    <row r="12329" spans="1:6" x14ac:dyDescent="0.2">
      <c r="A12329" s="29" t="s">
        <v>28184</v>
      </c>
      <c r="B12329" s="30" t="s">
        <v>28185</v>
      </c>
      <c r="C12329" s="29" t="s">
        <v>26</v>
      </c>
      <c r="D12329" s="31">
        <v>61.41</v>
      </c>
      <c r="F12329" s="3" t="str">
        <f t="shared" si="192"/>
        <v>I3037</v>
      </c>
    </row>
    <row r="12330" spans="1:6" x14ac:dyDescent="0.2">
      <c r="A12330" s="29" t="s">
        <v>28186</v>
      </c>
      <c r="B12330" s="30" t="s">
        <v>28187</v>
      </c>
      <c r="C12330" s="29" t="s">
        <v>26</v>
      </c>
      <c r="D12330" s="31">
        <v>499.77</v>
      </c>
      <c r="F12330" s="3" t="str">
        <f t="shared" si="192"/>
        <v>I3038</v>
      </c>
    </row>
    <row r="12331" spans="1:6" x14ac:dyDescent="0.2">
      <c r="A12331" s="29" t="s">
        <v>28188</v>
      </c>
      <c r="B12331" s="30" t="s">
        <v>28189</v>
      </c>
      <c r="C12331" s="29" t="s">
        <v>26</v>
      </c>
      <c r="D12331" s="31">
        <v>898.15</v>
      </c>
      <c r="F12331" s="3" t="str">
        <f t="shared" si="192"/>
        <v>I3039</v>
      </c>
    </row>
    <row r="12332" spans="1:6" x14ac:dyDescent="0.2">
      <c r="A12332" s="29" t="s">
        <v>28190</v>
      </c>
      <c r="B12332" s="30" t="s">
        <v>28191</v>
      </c>
      <c r="C12332" s="29" t="s">
        <v>26</v>
      </c>
      <c r="D12332" s="31">
        <v>1769.61</v>
      </c>
      <c r="F12332" s="3" t="str">
        <f t="shared" si="192"/>
        <v>I3040</v>
      </c>
    </row>
    <row r="12333" spans="1:6" x14ac:dyDescent="0.2">
      <c r="A12333" s="29" t="s">
        <v>28192</v>
      </c>
      <c r="B12333" s="30" t="s">
        <v>28193</v>
      </c>
      <c r="C12333" s="29" t="s">
        <v>26</v>
      </c>
      <c r="D12333" s="31">
        <v>1769.61</v>
      </c>
      <c r="F12333" s="3" t="str">
        <f t="shared" si="192"/>
        <v>I3041</v>
      </c>
    </row>
    <row r="12334" spans="1:6" x14ac:dyDescent="0.2">
      <c r="A12334" s="29" t="s">
        <v>28194</v>
      </c>
      <c r="B12334" s="30" t="s">
        <v>28195</v>
      </c>
      <c r="C12334" s="29" t="s">
        <v>26</v>
      </c>
      <c r="D12334" s="31">
        <v>4336.82</v>
      </c>
      <c r="F12334" s="3" t="str">
        <f t="shared" si="192"/>
        <v>I3042</v>
      </c>
    </row>
    <row r="12335" spans="1:6" x14ac:dyDescent="0.2">
      <c r="A12335" s="29" t="s">
        <v>28196</v>
      </c>
      <c r="B12335" s="30" t="s">
        <v>28197</v>
      </c>
      <c r="C12335" s="29" t="s">
        <v>26</v>
      </c>
      <c r="D12335" s="31">
        <v>39.85</v>
      </c>
      <c r="F12335" s="3" t="str">
        <f t="shared" si="192"/>
        <v>I3035</v>
      </c>
    </row>
    <row r="12336" spans="1:6" x14ac:dyDescent="0.2">
      <c r="A12336" s="29" t="s">
        <v>28198</v>
      </c>
      <c r="B12336" s="30" t="s">
        <v>28199</v>
      </c>
      <c r="C12336" s="29" t="s">
        <v>26</v>
      </c>
      <c r="D12336" s="31">
        <v>357.33</v>
      </c>
      <c r="F12336" s="3" t="str">
        <f t="shared" si="192"/>
        <v>I6911</v>
      </c>
    </row>
    <row r="12337" spans="1:6" x14ac:dyDescent="0.2">
      <c r="A12337" s="29" t="s">
        <v>28200</v>
      </c>
      <c r="B12337" s="30" t="s">
        <v>28201</v>
      </c>
      <c r="C12337" s="29" t="s">
        <v>26</v>
      </c>
      <c r="D12337" s="31">
        <v>533.02</v>
      </c>
      <c r="F12337" s="3" t="str">
        <f t="shared" si="192"/>
        <v>I6912</v>
      </c>
    </row>
    <row r="12338" spans="1:6" x14ac:dyDescent="0.2">
      <c r="A12338" s="29" t="s">
        <v>28202</v>
      </c>
      <c r="B12338" s="30" t="s">
        <v>28203</v>
      </c>
      <c r="C12338" s="29" t="s">
        <v>26</v>
      </c>
      <c r="D12338" s="31">
        <v>61.41</v>
      </c>
      <c r="F12338" s="3" t="str">
        <f t="shared" si="192"/>
        <v>I6913</v>
      </c>
    </row>
    <row r="12339" spans="1:6" x14ac:dyDescent="0.2">
      <c r="A12339" s="29" t="s">
        <v>28204</v>
      </c>
      <c r="B12339" s="30" t="s">
        <v>28205</v>
      </c>
      <c r="C12339" s="29" t="s">
        <v>26</v>
      </c>
      <c r="D12339" s="31">
        <v>499.77</v>
      </c>
      <c r="F12339" s="3" t="str">
        <f t="shared" si="192"/>
        <v>I6914</v>
      </c>
    </row>
    <row r="12340" spans="1:6" x14ac:dyDescent="0.2">
      <c r="A12340" s="29" t="s">
        <v>28206</v>
      </c>
      <c r="B12340" s="30" t="s">
        <v>28207</v>
      </c>
      <c r="C12340" s="29" t="s">
        <v>26</v>
      </c>
      <c r="D12340" s="31">
        <v>898.15</v>
      </c>
      <c r="F12340" s="3" t="str">
        <f t="shared" si="192"/>
        <v>I6915</v>
      </c>
    </row>
    <row r="12341" spans="1:6" x14ac:dyDescent="0.2">
      <c r="A12341" s="29" t="s">
        <v>28208</v>
      </c>
      <c r="B12341" s="30" t="s">
        <v>28209</v>
      </c>
      <c r="C12341" s="29" t="s">
        <v>26</v>
      </c>
      <c r="D12341" s="31">
        <v>1769.61</v>
      </c>
      <c r="F12341" s="3" t="str">
        <f t="shared" si="192"/>
        <v>I6916</v>
      </c>
    </row>
    <row r="12342" spans="1:6" x14ac:dyDescent="0.2">
      <c r="A12342" s="29" t="s">
        <v>28210</v>
      </c>
      <c r="B12342" s="30" t="s">
        <v>28211</v>
      </c>
      <c r="C12342" s="29" t="s">
        <v>26</v>
      </c>
      <c r="D12342" s="31">
        <v>1769.61</v>
      </c>
      <c r="F12342" s="3" t="str">
        <f t="shared" si="192"/>
        <v>I6917</v>
      </c>
    </row>
    <row r="12343" spans="1:6" x14ac:dyDescent="0.2">
      <c r="A12343" s="29" t="s">
        <v>28212</v>
      </c>
      <c r="B12343" s="30" t="s">
        <v>28213</v>
      </c>
      <c r="C12343" s="29" t="s">
        <v>26</v>
      </c>
      <c r="D12343" s="31">
        <v>4336.82</v>
      </c>
      <c r="F12343" s="3" t="str">
        <f t="shared" si="192"/>
        <v>I6918</v>
      </c>
    </row>
    <row r="12344" spans="1:6" x14ac:dyDescent="0.2">
      <c r="A12344" s="29" t="s">
        <v>28214</v>
      </c>
      <c r="B12344" s="30" t="s">
        <v>28215</v>
      </c>
      <c r="C12344" s="29" t="s">
        <v>26</v>
      </c>
      <c r="D12344" s="31">
        <v>39.85</v>
      </c>
      <c r="F12344" s="3" t="str">
        <f t="shared" si="192"/>
        <v>I6919</v>
      </c>
    </row>
    <row r="12345" spans="1:6" x14ac:dyDescent="0.2">
      <c r="A12345" s="29" t="s">
        <v>28216</v>
      </c>
      <c r="B12345" s="30" t="s">
        <v>28217</v>
      </c>
      <c r="C12345" s="29" t="s">
        <v>26</v>
      </c>
      <c r="D12345" s="31">
        <v>618.42999999999995</v>
      </c>
      <c r="F12345" s="3" t="str">
        <f t="shared" si="192"/>
        <v>I6910</v>
      </c>
    </row>
    <row r="12346" spans="1:6" x14ac:dyDescent="0.2">
      <c r="A12346" s="29" t="s">
        <v>28218</v>
      </c>
      <c r="B12346" s="30" t="s">
        <v>28219</v>
      </c>
      <c r="C12346" s="29" t="s">
        <v>26</v>
      </c>
      <c r="D12346" s="31">
        <v>4212.66</v>
      </c>
      <c r="F12346" s="3" t="str">
        <f t="shared" si="192"/>
        <v>I10047</v>
      </c>
    </row>
    <row r="12347" spans="1:6" x14ac:dyDescent="0.2">
      <c r="A12347" s="29" t="s">
        <v>28220</v>
      </c>
      <c r="B12347" s="30" t="s">
        <v>28221</v>
      </c>
      <c r="C12347" s="29" t="s">
        <v>26</v>
      </c>
      <c r="D12347" s="31">
        <v>34.020000000000003</v>
      </c>
      <c r="F12347" s="3" t="str">
        <f t="shared" si="192"/>
        <v>I6266</v>
      </c>
    </row>
    <row r="12348" spans="1:6" x14ac:dyDescent="0.2">
      <c r="A12348" s="29" t="s">
        <v>28222</v>
      </c>
      <c r="B12348" s="30" t="s">
        <v>28223</v>
      </c>
      <c r="C12348" s="29" t="s">
        <v>26</v>
      </c>
      <c r="D12348" s="31">
        <v>214.7</v>
      </c>
      <c r="F12348" s="3" t="str">
        <f t="shared" si="192"/>
        <v>I13210</v>
      </c>
    </row>
    <row r="12349" spans="1:6" x14ac:dyDescent="0.2">
      <c r="A12349" s="29" t="s">
        <v>28224</v>
      </c>
      <c r="B12349" s="30" t="s">
        <v>28225</v>
      </c>
      <c r="C12349" s="29" t="s">
        <v>26</v>
      </c>
      <c r="D12349" s="31">
        <v>478.42</v>
      </c>
      <c r="F12349" s="3" t="str">
        <f t="shared" si="192"/>
        <v>I13211</v>
      </c>
    </row>
    <row r="12350" spans="1:6" x14ac:dyDescent="0.2">
      <c r="A12350" s="29" t="s">
        <v>28226</v>
      </c>
      <c r="B12350" s="30" t="s">
        <v>28227</v>
      </c>
      <c r="C12350" s="29" t="s">
        <v>26</v>
      </c>
      <c r="D12350" s="31">
        <v>789.62</v>
      </c>
      <c r="F12350" s="3" t="str">
        <f t="shared" si="192"/>
        <v>I13212</v>
      </c>
    </row>
    <row r="12351" spans="1:6" x14ac:dyDescent="0.2">
      <c r="A12351" s="29" t="s">
        <v>28228</v>
      </c>
      <c r="B12351" s="30" t="s">
        <v>28229</v>
      </c>
      <c r="C12351" s="29" t="s">
        <v>26</v>
      </c>
      <c r="D12351" s="31">
        <v>1333.82</v>
      </c>
      <c r="F12351" s="3" t="str">
        <f t="shared" si="192"/>
        <v>I13213</v>
      </c>
    </row>
    <row r="12352" spans="1:6" x14ac:dyDescent="0.2">
      <c r="A12352" s="29" t="s">
        <v>28230</v>
      </c>
      <c r="B12352" s="30" t="s">
        <v>28231</v>
      </c>
      <c r="C12352" s="29" t="s">
        <v>26</v>
      </c>
      <c r="D12352" s="31">
        <v>7104.88</v>
      </c>
      <c r="F12352" s="3" t="str">
        <f t="shared" si="192"/>
        <v>I13215</v>
      </c>
    </row>
    <row r="12353" spans="1:6" x14ac:dyDescent="0.2">
      <c r="A12353" s="29" t="s">
        <v>28232</v>
      </c>
      <c r="B12353" s="30" t="s">
        <v>28233</v>
      </c>
      <c r="C12353" s="29" t="s">
        <v>26</v>
      </c>
      <c r="D12353" s="31">
        <v>7983.7</v>
      </c>
      <c r="F12353" s="3" t="str">
        <f t="shared" si="192"/>
        <v>I13216</v>
      </c>
    </row>
    <row r="12354" spans="1:6" x14ac:dyDescent="0.2">
      <c r="A12354" s="29" t="s">
        <v>28234</v>
      </c>
      <c r="B12354" s="30" t="s">
        <v>28235</v>
      </c>
      <c r="C12354" s="29" t="s">
        <v>26</v>
      </c>
      <c r="D12354" s="31">
        <v>3936.66</v>
      </c>
      <c r="F12354" s="3" t="str">
        <f t="shared" ref="F12354:F12417" si="193">A12354</f>
        <v>I13214</v>
      </c>
    </row>
    <row r="12355" spans="1:6" x14ac:dyDescent="0.2">
      <c r="A12355" s="29" t="s">
        <v>28236</v>
      </c>
      <c r="B12355" s="30" t="s">
        <v>28237</v>
      </c>
      <c r="C12355" s="29" t="s">
        <v>26</v>
      </c>
      <c r="D12355" s="31">
        <v>395.01</v>
      </c>
      <c r="F12355" s="3" t="str">
        <f t="shared" si="193"/>
        <v>I10051</v>
      </c>
    </row>
    <row r="12356" spans="1:6" x14ac:dyDescent="0.2">
      <c r="A12356" s="29" t="s">
        <v>28238</v>
      </c>
      <c r="B12356" s="30" t="s">
        <v>28239</v>
      </c>
      <c r="C12356" s="29" t="s">
        <v>26</v>
      </c>
      <c r="D12356" s="31">
        <v>164.6</v>
      </c>
      <c r="F12356" s="3" t="str">
        <f t="shared" si="193"/>
        <v>I10050</v>
      </c>
    </row>
    <row r="12357" spans="1:6" x14ac:dyDescent="0.2">
      <c r="A12357" s="29" t="s">
        <v>28240</v>
      </c>
      <c r="B12357" s="30" t="s">
        <v>28241</v>
      </c>
      <c r="C12357" s="29" t="s">
        <v>26</v>
      </c>
      <c r="D12357" s="31">
        <v>1394.85</v>
      </c>
      <c r="F12357" s="3" t="str">
        <f t="shared" si="193"/>
        <v>I10052</v>
      </c>
    </row>
    <row r="12358" spans="1:6" x14ac:dyDescent="0.2">
      <c r="A12358" s="29" t="s">
        <v>28242</v>
      </c>
      <c r="B12358" s="30" t="s">
        <v>28243</v>
      </c>
      <c r="C12358" s="29" t="s">
        <v>26</v>
      </c>
      <c r="D12358" s="31">
        <v>206.45</v>
      </c>
      <c r="F12358" s="3" t="str">
        <f t="shared" si="193"/>
        <v>I10048</v>
      </c>
    </row>
    <row r="12359" spans="1:6" x14ac:dyDescent="0.2">
      <c r="A12359" s="29" t="s">
        <v>28244</v>
      </c>
      <c r="B12359" s="30" t="s">
        <v>28245</v>
      </c>
      <c r="C12359" s="29" t="s">
        <v>26</v>
      </c>
      <c r="D12359" s="31">
        <v>374.55</v>
      </c>
      <c r="F12359" s="3" t="str">
        <f t="shared" si="193"/>
        <v>I10049</v>
      </c>
    </row>
    <row r="12360" spans="1:6" x14ac:dyDescent="0.2">
      <c r="A12360" s="29" t="s">
        <v>28246</v>
      </c>
      <c r="B12360" s="30" t="s">
        <v>28247</v>
      </c>
      <c r="C12360" s="29" t="s">
        <v>26</v>
      </c>
      <c r="D12360" s="31">
        <v>1101.45</v>
      </c>
      <c r="F12360" s="3" t="str">
        <f t="shared" si="193"/>
        <v>I10054</v>
      </c>
    </row>
    <row r="12361" spans="1:6" x14ac:dyDescent="0.2">
      <c r="A12361" s="29" t="s">
        <v>28248</v>
      </c>
      <c r="B12361" s="30" t="s">
        <v>28249</v>
      </c>
      <c r="C12361" s="29" t="s">
        <v>26</v>
      </c>
      <c r="D12361" s="31">
        <v>541.30999999999995</v>
      </c>
      <c r="F12361" s="3" t="str">
        <f t="shared" si="193"/>
        <v>I10055</v>
      </c>
    </row>
    <row r="12362" spans="1:6" x14ac:dyDescent="0.2">
      <c r="A12362" s="29" t="s">
        <v>28250</v>
      </c>
      <c r="B12362" s="30" t="s">
        <v>28251</v>
      </c>
      <c r="C12362" s="29" t="s">
        <v>26</v>
      </c>
      <c r="D12362" s="31">
        <v>62.95</v>
      </c>
      <c r="F12362" s="3" t="str">
        <f t="shared" si="193"/>
        <v>I10053</v>
      </c>
    </row>
    <row r="12363" spans="1:6" x14ac:dyDescent="0.2">
      <c r="A12363" s="29" t="s">
        <v>28252</v>
      </c>
      <c r="B12363" s="30" t="s">
        <v>28253</v>
      </c>
      <c r="C12363" s="29" t="s">
        <v>26</v>
      </c>
      <c r="D12363" s="31">
        <v>43.97</v>
      </c>
      <c r="F12363" s="3" t="str">
        <f t="shared" si="193"/>
        <v>I10056</v>
      </c>
    </row>
    <row r="12364" spans="1:6" x14ac:dyDescent="0.2">
      <c r="A12364" s="29" t="s">
        <v>28254</v>
      </c>
      <c r="B12364" s="30" t="s">
        <v>28255</v>
      </c>
      <c r="C12364" s="29" t="s">
        <v>26</v>
      </c>
      <c r="D12364" s="31">
        <v>84.88</v>
      </c>
      <c r="F12364" s="3" t="str">
        <f t="shared" si="193"/>
        <v>I10057</v>
      </c>
    </row>
    <row r="12365" spans="1:6" x14ac:dyDescent="0.2">
      <c r="A12365" s="29" t="s">
        <v>28256</v>
      </c>
      <c r="B12365" s="30" t="s">
        <v>28257</v>
      </c>
      <c r="C12365" s="29" t="s">
        <v>26</v>
      </c>
      <c r="D12365" s="31">
        <v>375.65</v>
      </c>
      <c r="F12365" s="3" t="str">
        <f t="shared" si="193"/>
        <v>I10058</v>
      </c>
    </row>
    <row r="12366" spans="1:6" x14ac:dyDescent="0.2">
      <c r="A12366" s="29" t="s">
        <v>28258</v>
      </c>
      <c r="B12366" s="30" t="s">
        <v>28259</v>
      </c>
      <c r="C12366" s="29" t="s">
        <v>26</v>
      </c>
      <c r="D12366" s="31">
        <v>883.62</v>
      </c>
      <c r="F12366" s="3" t="str">
        <f t="shared" si="193"/>
        <v>I10059</v>
      </c>
    </row>
    <row r="12367" spans="1:6" x14ac:dyDescent="0.2">
      <c r="A12367" s="29" t="s">
        <v>28260</v>
      </c>
      <c r="B12367" s="30" t="s">
        <v>28261</v>
      </c>
      <c r="C12367" s="29" t="s">
        <v>26</v>
      </c>
      <c r="D12367" s="31">
        <v>1391.61</v>
      </c>
      <c r="F12367" s="3" t="str">
        <f t="shared" si="193"/>
        <v>I10060</v>
      </c>
    </row>
    <row r="12368" spans="1:6" x14ac:dyDescent="0.2">
      <c r="A12368" s="29" t="s">
        <v>28262</v>
      </c>
      <c r="B12368" s="30" t="s">
        <v>28263</v>
      </c>
      <c r="C12368" s="29" t="s">
        <v>26</v>
      </c>
      <c r="D12368" s="31">
        <v>88.44</v>
      </c>
      <c r="F12368" s="3" t="str">
        <f t="shared" si="193"/>
        <v>I10061</v>
      </c>
    </row>
    <row r="12369" spans="1:6" x14ac:dyDescent="0.2">
      <c r="A12369" s="29" t="s">
        <v>28264</v>
      </c>
      <c r="B12369" s="30" t="s">
        <v>28265</v>
      </c>
      <c r="C12369" s="29" t="s">
        <v>26</v>
      </c>
      <c r="D12369" s="31">
        <v>655.37</v>
      </c>
      <c r="F12369" s="3" t="str">
        <f t="shared" si="193"/>
        <v>I7151</v>
      </c>
    </row>
    <row r="12370" spans="1:6" x14ac:dyDescent="0.2">
      <c r="A12370" s="29" t="s">
        <v>28266</v>
      </c>
      <c r="B12370" s="30" t="s">
        <v>28267</v>
      </c>
      <c r="C12370" s="29" t="s">
        <v>26</v>
      </c>
      <c r="D12370" s="31">
        <v>780.12</v>
      </c>
      <c r="F12370" s="3" t="str">
        <f t="shared" si="193"/>
        <v>I7152</v>
      </c>
    </row>
    <row r="12371" spans="1:6" x14ac:dyDescent="0.2">
      <c r="A12371" s="29" t="s">
        <v>28268</v>
      </c>
      <c r="B12371" s="30" t="s">
        <v>28269</v>
      </c>
      <c r="C12371" s="29" t="s">
        <v>26</v>
      </c>
      <c r="D12371" s="31">
        <v>1476.13</v>
      </c>
      <c r="F12371" s="3" t="str">
        <f t="shared" si="193"/>
        <v>I7153</v>
      </c>
    </row>
    <row r="12372" spans="1:6" x14ac:dyDescent="0.2">
      <c r="A12372" s="29" t="s">
        <v>28270</v>
      </c>
      <c r="B12372" s="30" t="s">
        <v>28271</v>
      </c>
      <c r="C12372" s="29" t="s">
        <v>26</v>
      </c>
      <c r="D12372" s="31">
        <v>1215.74</v>
      </c>
      <c r="F12372" s="3" t="str">
        <f t="shared" si="193"/>
        <v>I7154</v>
      </c>
    </row>
    <row r="12373" spans="1:6" x14ac:dyDescent="0.2">
      <c r="A12373" s="29" t="s">
        <v>28272</v>
      </c>
      <c r="B12373" s="30" t="s">
        <v>28273</v>
      </c>
      <c r="C12373" s="29" t="s">
        <v>26</v>
      </c>
      <c r="D12373" s="31">
        <v>1628.34</v>
      </c>
      <c r="F12373" s="3" t="str">
        <f t="shared" si="193"/>
        <v>I7155</v>
      </c>
    </row>
    <row r="12374" spans="1:6" x14ac:dyDescent="0.2">
      <c r="A12374" s="29" t="s">
        <v>28274</v>
      </c>
      <c r="B12374" s="30" t="s">
        <v>28275</v>
      </c>
      <c r="C12374" s="29" t="s">
        <v>26</v>
      </c>
      <c r="D12374" s="31">
        <v>2158.87</v>
      </c>
      <c r="F12374" s="3" t="str">
        <f t="shared" si="193"/>
        <v>I7156</v>
      </c>
    </row>
    <row r="12375" spans="1:6" x14ac:dyDescent="0.2">
      <c r="A12375" s="29" t="s">
        <v>28276</v>
      </c>
      <c r="B12375" s="30" t="s">
        <v>28277</v>
      </c>
      <c r="C12375" s="29" t="s">
        <v>26</v>
      </c>
      <c r="D12375" s="31">
        <v>2707.28</v>
      </c>
      <c r="F12375" s="3" t="str">
        <f t="shared" si="193"/>
        <v>I7157</v>
      </c>
    </row>
    <row r="12376" spans="1:6" x14ac:dyDescent="0.2">
      <c r="A12376" s="29" t="s">
        <v>28278</v>
      </c>
      <c r="B12376" s="30" t="s">
        <v>28279</v>
      </c>
      <c r="C12376" s="29" t="s">
        <v>26</v>
      </c>
      <c r="D12376" s="31">
        <v>3770.85</v>
      </c>
      <c r="F12376" s="3" t="str">
        <f t="shared" si="193"/>
        <v>I7158</v>
      </c>
    </row>
    <row r="12377" spans="1:6" x14ac:dyDescent="0.2">
      <c r="A12377" s="29" t="s">
        <v>28280</v>
      </c>
      <c r="B12377" s="30" t="s">
        <v>28281</v>
      </c>
      <c r="C12377" s="29" t="s">
        <v>26</v>
      </c>
      <c r="D12377" s="31">
        <v>3142.37</v>
      </c>
      <c r="F12377" s="3" t="str">
        <f t="shared" si="193"/>
        <v>I7159</v>
      </c>
    </row>
    <row r="12378" spans="1:6" x14ac:dyDescent="0.2">
      <c r="A12378" s="29" t="s">
        <v>28282</v>
      </c>
      <c r="B12378" s="30" t="s">
        <v>28283</v>
      </c>
      <c r="C12378" s="29" t="s">
        <v>26</v>
      </c>
      <c r="D12378" s="31">
        <v>20443.03</v>
      </c>
      <c r="F12378" s="3" t="str">
        <f t="shared" si="193"/>
        <v>I7162</v>
      </c>
    </row>
    <row r="12379" spans="1:6" x14ac:dyDescent="0.2">
      <c r="A12379" s="29" t="s">
        <v>28284</v>
      </c>
      <c r="B12379" s="30" t="s">
        <v>28285</v>
      </c>
      <c r="C12379" s="29" t="s">
        <v>26</v>
      </c>
      <c r="D12379" s="31">
        <v>547.44000000000005</v>
      </c>
      <c r="F12379" s="3" t="str">
        <f t="shared" si="193"/>
        <v>I7163</v>
      </c>
    </row>
    <row r="12380" spans="1:6" x14ac:dyDescent="0.2">
      <c r="A12380" s="29" t="s">
        <v>28286</v>
      </c>
      <c r="B12380" s="30" t="s">
        <v>28287</v>
      </c>
      <c r="C12380" s="29" t="s">
        <v>26</v>
      </c>
      <c r="D12380" s="31">
        <v>554.61</v>
      </c>
      <c r="F12380" s="3" t="str">
        <f t="shared" si="193"/>
        <v>I3540</v>
      </c>
    </row>
    <row r="12381" spans="1:6" x14ac:dyDescent="0.2">
      <c r="A12381" s="29" t="s">
        <v>28288</v>
      </c>
      <c r="B12381" s="30" t="s">
        <v>28289</v>
      </c>
      <c r="C12381" s="29" t="s">
        <v>26</v>
      </c>
      <c r="D12381" s="31">
        <v>655.37</v>
      </c>
      <c r="F12381" s="3" t="str">
        <f t="shared" si="193"/>
        <v>I3539</v>
      </c>
    </row>
    <row r="12382" spans="1:6" x14ac:dyDescent="0.2">
      <c r="A12382" s="29" t="s">
        <v>28290</v>
      </c>
      <c r="B12382" s="30" t="s">
        <v>28291</v>
      </c>
      <c r="C12382" s="29" t="s">
        <v>26</v>
      </c>
      <c r="D12382" s="31">
        <v>831.14</v>
      </c>
      <c r="F12382" s="3" t="str">
        <f t="shared" si="193"/>
        <v>I3543</v>
      </c>
    </row>
    <row r="12383" spans="1:6" x14ac:dyDescent="0.2">
      <c r="A12383" s="29" t="s">
        <v>28292</v>
      </c>
      <c r="B12383" s="30" t="s">
        <v>28293</v>
      </c>
      <c r="C12383" s="29" t="s">
        <v>26</v>
      </c>
      <c r="D12383" s="31">
        <v>858.8</v>
      </c>
      <c r="F12383" s="3" t="str">
        <f t="shared" si="193"/>
        <v>I3544</v>
      </c>
    </row>
    <row r="12384" spans="1:6" x14ac:dyDescent="0.2">
      <c r="A12384" s="29" t="s">
        <v>28294</v>
      </c>
      <c r="B12384" s="30" t="s">
        <v>28295</v>
      </c>
      <c r="C12384" s="29" t="s">
        <v>26</v>
      </c>
      <c r="D12384" s="31">
        <v>780.12</v>
      </c>
      <c r="F12384" s="3" t="str">
        <f t="shared" si="193"/>
        <v>I3542</v>
      </c>
    </row>
    <row r="12385" spans="1:6" x14ac:dyDescent="0.2">
      <c r="A12385" s="29" t="s">
        <v>28296</v>
      </c>
      <c r="B12385" s="30" t="s">
        <v>28297</v>
      </c>
      <c r="C12385" s="29" t="s">
        <v>26</v>
      </c>
      <c r="D12385" s="31">
        <v>1154.08</v>
      </c>
      <c r="F12385" s="3" t="str">
        <f t="shared" si="193"/>
        <v>I3547</v>
      </c>
    </row>
    <row r="12386" spans="1:6" x14ac:dyDescent="0.2">
      <c r="A12386" s="29" t="s">
        <v>28298</v>
      </c>
      <c r="B12386" s="30" t="s">
        <v>28299</v>
      </c>
      <c r="C12386" s="29" t="s">
        <v>26</v>
      </c>
      <c r="D12386" s="31">
        <v>1165.8399999999999</v>
      </c>
      <c r="F12386" s="3" t="str">
        <f t="shared" si="193"/>
        <v>I3548</v>
      </c>
    </row>
    <row r="12387" spans="1:6" x14ac:dyDescent="0.2">
      <c r="A12387" s="29" t="s">
        <v>28300</v>
      </c>
      <c r="B12387" s="30" t="s">
        <v>28301</v>
      </c>
      <c r="C12387" s="29" t="s">
        <v>26</v>
      </c>
      <c r="D12387" s="31">
        <v>1215.74</v>
      </c>
      <c r="F12387" s="3" t="str">
        <f t="shared" si="193"/>
        <v>I3546</v>
      </c>
    </row>
    <row r="12388" spans="1:6" x14ac:dyDescent="0.2">
      <c r="A12388" s="29" t="s">
        <v>28302</v>
      </c>
      <c r="B12388" s="30" t="s">
        <v>28303</v>
      </c>
      <c r="C12388" s="29" t="s">
        <v>26</v>
      </c>
      <c r="D12388" s="31">
        <v>1664.6</v>
      </c>
      <c r="F12388" s="3" t="str">
        <f t="shared" si="193"/>
        <v>I3551</v>
      </c>
    </row>
    <row r="12389" spans="1:6" x14ac:dyDescent="0.2">
      <c r="A12389" s="29" t="s">
        <v>28304</v>
      </c>
      <c r="B12389" s="30" t="s">
        <v>28305</v>
      </c>
      <c r="C12389" s="29" t="s">
        <v>26</v>
      </c>
      <c r="D12389" s="31">
        <v>2368.5100000000002</v>
      </c>
      <c r="F12389" s="3" t="str">
        <f t="shared" si="193"/>
        <v>I3552</v>
      </c>
    </row>
    <row r="12390" spans="1:6" x14ac:dyDescent="0.2">
      <c r="A12390" s="29" t="s">
        <v>28306</v>
      </c>
      <c r="B12390" s="30" t="s">
        <v>28307</v>
      </c>
      <c r="C12390" s="29" t="s">
        <v>26</v>
      </c>
      <c r="D12390" s="31">
        <v>1628.34</v>
      </c>
      <c r="F12390" s="3" t="str">
        <f t="shared" si="193"/>
        <v>I3550</v>
      </c>
    </row>
    <row r="12391" spans="1:6" x14ac:dyDescent="0.2">
      <c r="A12391" s="29" t="s">
        <v>28308</v>
      </c>
      <c r="B12391" s="30" t="s">
        <v>28309</v>
      </c>
      <c r="C12391" s="29" t="s">
        <v>26</v>
      </c>
      <c r="D12391" s="31">
        <v>2189.33</v>
      </c>
      <c r="F12391" s="3" t="str">
        <f t="shared" si="193"/>
        <v>I3554</v>
      </c>
    </row>
    <row r="12392" spans="1:6" x14ac:dyDescent="0.2">
      <c r="A12392" s="29" t="s">
        <v>28310</v>
      </c>
      <c r="B12392" s="30" t="s">
        <v>28311</v>
      </c>
      <c r="C12392" s="29" t="s">
        <v>26</v>
      </c>
      <c r="D12392" s="31">
        <v>2156.13</v>
      </c>
      <c r="F12392" s="3" t="str">
        <f t="shared" si="193"/>
        <v>I3555</v>
      </c>
    </row>
    <row r="12393" spans="1:6" x14ac:dyDescent="0.2">
      <c r="A12393" s="29" t="s">
        <v>28312</v>
      </c>
      <c r="B12393" s="30" t="s">
        <v>28313</v>
      </c>
      <c r="C12393" s="29" t="s">
        <v>26</v>
      </c>
      <c r="D12393" s="31">
        <v>2598.83</v>
      </c>
      <c r="F12393" s="3" t="str">
        <f t="shared" si="193"/>
        <v>I3556</v>
      </c>
    </row>
    <row r="12394" spans="1:6" x14ac:dyDescent="0.2">
      <c r="A12394" s="29" t="s">
        <v>28314</v>
      </c>
      <c r="B12394" s="30" t="s">
        <v>28315</v>
      </c>
      <c r="C12394" s="29" t="s">
        <v>26</v>
      </c>
      <c r="D12394" s="31">
        <v>3659.94</v>
      </c>
      <c r="F12394" s="3" t="str">
        <f t="shared" si="193"/>
        <v>I3557</v>
      </c>
    </row>
    <row r="12395" spans="1:6" x14ac:dyDescent="0.2">
      <c r="A12395" s="29" t="s">
        <v>28316</v>
      </c>
      <c r="B12395" s="30" t="s">
        <v>28317</v>
      </c>
      <c r="C12395" s="29" t="s">
        <v>26</v>
      </c>
      <c r="D12395" s="31">
        <v>2552.1999999999998</v>
      </c>
      <c r="F12395" s="3" t="str">
        <f t="shared" si="193"/>
        <v>I3558</v>
      </c>
    </row>
    <row r="12396" spans="1:6" x14ac:dyDescent="0.2">
      <c r="A12396" s="29" t="s">
        <v>28318</v>
      </c>
      <c r="B12396" s="30" t="s">
        <v>28319</v>
      </c>
      <c r="C12396" s="29" t="s">
        <v>26</v>
      </c>
      <c r="D12396" s="31">
        <v>2158.87</v>
      </c>
      <c r="F12396" s="3" t="str">
        <f t="shared" si="193"/>
        <v>I3553</v>
      </c>
    </row>
    <row r="12397" spans="1:6" x14ac:dyDescent="0.2">
      <c r="A12397" s="29" t="s">
        <v>28320</v>
      </c>
      <c r="B12397" s="30" t="s">
        <v>28321</v>
      </c>
      <c r="C12397" s="29" t="s">
        <v>26</v>
      </c>
      <c r="D12397" s="31">
        <v>4544.3500000000004</v>
      </c>
      <c r="F12397" s="3" t="str">
        <f t="shared" si="193"/>
        <v>I7606</v>
      </c>
    </row>
    <row r="12398" spans="1:6" x14ac:dyDescent="0.2">
      <c r="A12398" s="29" t="s">
        <v>28322</v>
      </c>
      <c r="B12398" s="30" t="s">
        <v>28323</v>
      </c>
      <c r="C12398" s="29" t="s">
        <v>26</v>
      </c>
      <c r="D12398" s="31">
        <v>9514.24</v>
      </c>
      <c r="F12398" s="3" t="str">
        <f t="shared" si="193"/>
        <v>I7607</v>
      </c>
    </row>
    <row r="12399" spans="1:6" x14ac:dyDescent="0.2">
      <c r="A12399" s="29" t="s">
        <v>28324</v>
      </c>
      <c r="B12399" s="30" t="s">
        <v>28325</v>
      </c>
      <c r="C12399" s="29" t="s">
        <v>26</v>
      </c>
      <c r="D12399" s="31">
        <v>4017.12</v>
      </c>
      <c r="F12399" s="3" t="str">
        <f t="shared" si="193"/>
        <v>I3560</v>
      </c>
    </row>
    <row r="12400" spans="1:6" x14ac:dyDescent="0.2">
      <c r="A12400" s="29" t="s">
        <v>28326</v>
      </c>
      <c r="B12400" s="30" t="s">
        <v>28327</v>
      </c>
      <c r="C12400" s="29" t="s">
        <v>26</v>
      </c>
      <c r="D12400" s="31">
        <v>4399.0200000000004</v>
      </c>
      <c r="F12400" s="3" t="str">
        <f t="shared" si="193"/>
        <v>I3561</v>
      </c>
    </row>
    <row r="12401" spans="1:6" x14ac:dyDescent="0.2">
      <c r="A12401" s="29" t="s">
        <v>28328</v>
      </c>
      <c r="B12401" s="30" t="s">
        <v>28329</v>
      </c>
      <c r="C12401" s="29" t="s">
        <v>26</v>
      </c>
      <c r="D12401" s="31">
        <v>5388.04</v>
      </c>
      <c r="F12401" s="3" t="str">
        <f t="shared" si="193"/>
        <v>I3562</v>
      </c>
    </row>
    <row r="12402" spans="1:6" x14ac:dyDescent="0.2">
      <c r="A12402" s="29" t="s">
        <v>28330</v>
      </c>
      <c r="B12402" s="30" t="s">
        <v>28331</v>
      </c>
      <c r="C12402" s="29" t="s">
        <v>26</v>
      </c>
      <c r="D12402" s="31">
        <v>6291.17</v>
      </c>
      <c r="F12402" s="3" t="str">
        <f t="shared" si="193"/>
        <v>I3563</v>
      </c>
    </row>
    <row r="12403" spans="1:6" x14ac:dyDescent="0.2">
      <c r="A12403" s="29" t="s">
        <v>28332</v>
      </c>
      <c r="B12403" s="30" t="s">
        <v>28333</v>
      </c>
      <c r="C12403" s="29" t="s">
        <v>26</v>
      </c>
      <c r="D12403" s="31">
        <v>3199.42</v>
      </c>
      <c r="F12403" s="3" t="str">
        <f t="shared" si="193"/>
        <v>I3559</v>
      </c>
    </row>
    <row r="12404" spans="1:6" x14ac:dyDescent="0.2">
      <c r="A12404" s="29" t="s">
        <v>28334</v>
      </c>
      <c r="B12404" s="30" t="s">
        <v>28335</v>
      </c>
      <c r="C12404" s="29" t="s">
        <v>26</v>
      </c>
      <c r="D12404" s="31">
        <v>5316.99</v>
      </c>
      <c r="F12404" s="3" t="str">
        <f t="shared" si="193"/>
        <v>I3564</v>
      </c>
    </row>
    <row r="12405" spans="1:6" x14ac:dyDescent="0.2">
      <c r="A12405" s="29" t="s">
        <v>28336</v>
      </c>
      <c r="B12405" s="30" t="s">
        <v>28337</v>
      </c>
      <c r="C12405" s="29" t="s">
        <v>26</v>
      </c>
      <c r="D12405" s="31">
        <v>5526.31</v>
      </c>
      <c r="F12405" s="3" t="str">
        <f t="shared" si="193"/>
        <v>I3565</v>
      </c>
    </row>
    <row r="12406" spans="1:6" x14ac:dyDescent="0.2">
      <c r="A12406" s="29" t="s">
        <v>28338</v>
      </c>
      <c r="B12406" s="30" t="s">
        <v>28339</v>
      </c>
      <c r="C12406" s="29" t="s">
        <v>26</v>
      </c>
      <c r="D12406" s="31">
        <v>6951.82</v>
      </c>
      <c r="F12406" s="3" t="str">
        <f t="shared" si="193"/>
        <v>I3566</v>
      </c>
    </row>
    <row r="12407" spans="1:6" x14ac:dyDescent="0.2">
      <c r="A12407" s="29" t="s">
        <v>28340</v>
      </c>
      <c r="B12407" s="30" t="s">
        <v>28341</v>
      </c>
      <c r="C12407" s="29" t="s">
        <v>26</v>
      </c>
      <c r="D12407" s="31">
        <v>18214.55</v>
      </c>
      <c r="F12407" s="3" t="str">
        <f t="shared" si="193"/>
        <v>I3567</v>
      </c>
    </row>
    <row r="12408" spans="1:6" x14ac:dyDescent="0.2">
      <c r="A12408" s="29" t="s">
        <v>28342</v>
      </c>
      <c r="B12408" s="30" t="s">
        <v>28343</v>
      </c>
      <c r="C12408" s="29" t="s">
        <v>26</v>
      </c>
      <c r="D12408" s="31">
        <v>4467.01</v>
      </c>
      <c r="F12408" s="3" t="str">
        <f t="shared" si="193"/>
        <v>I7608</v>
      </c>
    </row>
    <row r="12409" spans="1:6" x14ac:dyDescent="0.2">
      <c r="A12409" s="29" t="s">
        <v>28344</v>
      </c>
      <c r="B12409" s="30" t="s">
        <v>28345</v>
      </c>
      <c r="C12409" s="29" t="s">
        <v>26</v>
      </c>
      <c r="D12409" s="31">
        <v>12702.97</v>
      </c>
      <c r="F12409" s="3" t="str">
        <f t="shared" si="193"/>
        <v>I3568</v>
      </c>
    </row>
    <row r="12410" spans="1:6" x14ac:dyDescent="0.2">
      <c r="A12410" s="29" t="s">
        <v>28346</v>
      </c>
      <c r="B12410" s="30" t="s">
        <v>28347</v>
      </c>
      <c r="C12410" s="29" t="s">
        <v>26</v>
      </c>
      <c r="D12410" s="31">
        <v>14404.95</v>
      </c>
      <c r="F12410" s="3" t="str">
        <f t="shared" si="193"/>
        <v>I3569</v>
      </c>
    </row>
    <row r="12411" spans="1:6" x14ac:dyDescent="0.2">
      <c r="A12411" s="29" t="s">
        <v>28348</v>
      </c>
      <c r="B12411" s="30" t="s">
        <v>28349</v>
      </c>
      <c r="C12411" s="29" t="s">
        <v>26</v>
      </c>
      <c r="D12411" s="31">
        <v>20436.919999999998</v>
      </c>
      <c r="F12411" s="3" t="str">
        <f t="shared" si="193"/>
        <v>I3570</v>
      </c>
    </row>
    <row r="12412" spans="1:6" x14ac:dyDescent="0.2">
      <c r="A12412" s="29" t="s">
        <v>28350</v>
      </c>
      <c r="B12412" s="30" t="s">
        <v>28351</v>
      </c>
      <c r="C12412" s="29" t="s">
        <v>26</v>
      </c>
      <c r="D12412" s="31">
        <v>21672.12</v>
      </c>
      <c r="F12412" s="3" t="str">
        <f t="shared" si="193"/>
        <v>I3571</v>
      </c>
    </row>
    <row r="12413" spans="1:6" x14ac:dyDescent="0.2">
      <c r="A12413" s="29" t="s">
        <v>28352</v>
      </c>
      <c r="B12413" s="30" t="s">
        <v>28353</v>
      </c>
      <c r="C12413" s="29" t="s">
        <v>26</v>
      </c>
      <c r="D12413" s="31">
        <v>22522.46</v>
      </c>
      <c r="F12413" s="3" t="str">
        <f t="shared" si="193"/>
        <v>I3572</v>
      </c>
    </row>
    <row r="12414" spans="1:6" x14ac:dyDescent="0.2">
      <c r="A12414" s="29" t="s">
        <v>28354</v>
      </c>
      <c r="B12414" s="30" t="s">
        <v>28355</v>
      </c>
      <c r="C12414" s="29" t="s">
        <v>26</v>
      </c>
      <c r="D12414" s="31">
        <v>547.44000000000005</v>
      </c>
      <c r="F12414" s="3" t="str">
        <f t="shared" si="193"/>
        <v>I3537</v>
      </c>
    </row>
    <row r="12415" spans="1:6" x14ac:dyDescent="0.2">
      <c r="A12415" s="29" t="s">
        <v>28356</v>
      </c>
      <c r="B12415" s="30" t="s">
        <v>28357</v>
      </c>
      <c r="C12415" s="29" t="s">
        <v>26</v>
      </c>
      <c r="D12415" s="31">
        <v>447.75</v>
      </c>
      <c r="F12415" s="3" t="str">
        <f t="shared" si="193"/>
        <v>I3574</v>
      </c>
    </row>
    <row r="12416" spans="1:6" x14ac:dyDescent="0.2">
      <c r="A12416" s="29" t="s">
        <v>28358</v>
      </c>
      <c r="B12416" s="30" t="s">
        <v>28359</v>
      </c>
      <c r="C12416" s="29" t="s">
        <v>26</v>
      </c>
      <c r="D12416" s="31">
        <v>447.75</v>
      </c>
      <c r="F12416" s="3" t="str">
        <f t="shared" si="193"/>
        <v>I3575</v>
      </c>
    </row>
    <row r="12417" spans="1:6" x14ac:dyDescent="0.2">
      <c r="A12417" s="29" t="s">
        <v>28360</v>
      </c>
      <c r="B12417" s="30" t="s">
        <v>28361</v>
      </c>
      <c r="C12417" s="29" t="s">
        <v>26</v>
      </c>
      <c r="D12417" s="31">
        <v>447.75</v>
      </c>
      <c r="F12417" s="3" t="str">
        <f t="shared" si="193"/>
        <v>I7172</v>
      </c>
    </row>
    <row r="12418" spans="1:6" x14ac:dyDescent="0.2">
      <c r="A12418" s="29" t="s">
        <v>28362</v>
      </c>
      <c r="B12418" s="30" t="s">
        <v>28363</v>
      </c>
      <c r="C12418" s="29" t="s">
        <v>26</v>
      </c>
      <c r="D12418" s="31">
        <v>474.77</v>
      </c>
      <c r="F12418" s="3" t="str">
        <f t="shared" ref="F12418:F12481" si="194">A12418</f>
        <v>I7173</v>
      </c>
    </row>
    <row r="12419" spans="1:6" x14ac:dyDescent="0.2">
      <c r="A12419" s="29" t="s">
        <v>28364</v>
      </c>
      <c r="B12419" s="30" t="s">
        <v>28365</v>
      </c>
      <c r="C12419" s="29" t="s">
        <v>26</v>
      </c>
      <c r="D12419" s="31">
        <v>596.86</v>
      </c>
      <c r="F12419" s="3" t="str">
        <f t="shared" si="194"/>
        <v>I7164</v>
      </c>
    </row>
    <row r="12420" spans="1:6" x14ac:dyDescent="0.2">
      <c r="A12420" s="29" t="s">
        <v>28366</v>
      </c>
      <c r="B12420" s="30" t="s">
        <v>28367</v>
      </c>
      <c r="C12420" s="29" t="s">
        <v>26</v>
      </c>
      <c r="D12420" s="31">
        <v>556.17999999999995</v>
      </c>
      <c r="F12420" s="3" t="str">
        <f t="shared" si="194"/>
        <v>I3576</v>
      </c>
    </row>
    <row r="12421" spans="1:6" x14ac:dyDescent="0.2">
      <c r="A12421" s="29" t="s">
        <v>28368</v>
      </c>
      <c r="B12421" s="30" t="s">
        <v>28369</v>
      </c>
      <c r="C12421" s="29" t="s">
        <v>26</v>
      </c>
      <c r="D12421" s="31">
        <v>581.39</v>
      </c>
      <c r="F12421" s="3" t="str">
        <f t="shared" si="194"/>
        <v>I7609</v>
      </c>
    </row>
    <row r="12422" spans="1:6" x14ac:dyDescent="0.2">
      <c r="A12422" s="29" t="s">
        <v>28370</v>
      </c>
      <c r="B12422" s="30" t="s">
        <v>28371</v>
      </c>
      <c r="C12422" s="29" t="s">
        <v>26</v>
      </c>
      <c r="D12422" s="31">
        <v>815.02</v>
      </c>
      <c r="F12422" s="3" t="str">
        <f t="shared" si="194"/>
        <v>I7165</v>
      </c>
    </row>
    <row r="12423" spans="1:6" x14ac:dyDescent="0.2">
      <c r="A12423" s="29" t="s">
        <v>28372</v>
      </c>
      <c r="B12423" s="30" t="s">
        <v>28373</v>
      </c>
      <c r="C12423" s="29" t="s">
        <v>26</v>
      </c>
      <c r="D12423" s="31">
        <v>878.95</v>
      </c>
      <c r="F12423" s="3" t="str">
        <f t="shared" si="194"/>
        <v>I7166</v>
      </c>
    </row>
    <row r="12424" spans="1:6" x14ac:dyDescent="0.2">
      <c r="A12424" s="29" t="s">
        <v>28374</v>
      </c>
      <c r="B12424" s="30" t="s">
        <v>28375</v>
      </c>
      <c r="C12424" s="29" t="s">
        <v>26</v>
      </c>
      <c r="D12424" s="31">
        <v>822.79</v>
      </c>
      <c r="F12424" s="3" t="str">
        <f t="shared" si="194"/>
        <v>I3577</v>
      </c>
    </row>
    <row r="12425" spans="1:6" x14ac:dyDescent="0.2">
      <c r="A12425" s="29" t="s">
        <v>28376</v>
      </c>
      <c r="B12425" s="30" t="s">
        <v>28377</v>
      </c>
      <c r="C12425" s="29" t="s">
        <v>26</v>
      </c>
      <c r="D12425" s="31">
        <v>821.51</v>
      </c>
      <c r="F12425" s="3" t="str">
        <f t="shared" si="194"/>
        <v>I3578</v>
      </c>
    </row>
    <row r="12426" spans="1:6" x14ac:dyDescent="0.2">
      <c r="A12426" s="29" t="s">
        <v>28378</v>
      </c>
      <c r="B12426" s="30" t="s">
        <v>28379</v>
      </c>
      <c r="C12426" s="29" t="s">
        <v>26</v>
      </c>
      <c r="D12426" s="31">
        <v>821.51</v>
      </c>
      <c r="F12426" s="3" t="str">
        <f t="shared" si="194"/>
        <v>I7167</v>
      </c>
    </row>
    <row r="12427" spans="1:6" x14ac:dyDescent="0.2">
      <c r="A12427" s="29" t="s">
        <v>28380</v>
      </c>
      <c r="B12427" s="30" t="s">
        <v>28381</v>
      </c>
      <c r="C12427" s="29" t="s">
        <v>26</v>
      </c>
      <c r="D12427" s="31">
        <v>1007.45</v>
      </c>
      <c r="F12427" s="3" t="str">
        <f t="shared" si="194"/>
        <v>I3581</v>
      </c>
    </row>
    <row r="12428" spans="1:6" x14ac:dyDescent="0.2">
      <c r="A12428" s="29" t="s">
        <v>28382</v>
      </c>
      <c r="B12428" s="30" t="s">
        <v>28383</v>
      </c>
      <c r="C12428" s="29" t="s">
        <v>26</v>
      </c>
      <c r="D12428" s="31">
        <v>1371.54</v>
      </c>
      <c r="F12428" s="3" t="str">
        <f t="shared" si="194"/>
        <v>I7610</v>
      </c>
    </row>
    <row r="12429" spans="1:6" x14ac:dyDescent="0.2">
      <c r="A12429" s="29" t="s">
        <v>28384</v>
      </c>
      <c r="B12429" s="30" t="s">
        <v>28385</v>
      </c>
      <c r="C12429" s="29" t="s">
        <v>26</v>
      </c>
      <c r="D12429" s="31">
        <v>1262.92</v>
      </c>
      <c r="F12429" s="3" t="str">
        <f t="shared" si="194"/>
        <v>I7168</v>
      </c>
    </row>
    <row r="12430" spans="1:6" x14ac:dyDescent="0.2">
      <c r="A12430" s="29" t="s">
        <v>28386</v>
      </c>
      <c r="B12430" s="30" t="s">
        <v>28387</v>
      </c>
      <c r="C12430" s="29" t="s">
        <v>26</v>
      </c>
      <c r="D12430" s="31">
        <v>919.27</v>
      </c>
      <c r="F12430" s="3" t="str">
        <f t="shared" si="194"/>
        <v>I3579</v>
      </c>
    </row>
    <row r="12431" spans="1:6" x14ac:dyDescent="0.2">
      <c r="A12431" s="29" t="s">
        <v>28388</v>
      </c>
      <c r="B12431" s="30" t="s">
        <v>28389</v>
      </c>
      <c r="C12431" s="29" t="s">
        <v>26</v>
      </c>
      <c r="D12431" s="31">
        <v>1098.82</v>
      </c>
      <c r="F12431" s="3" t="str">
        <f t="shared" si="194"/>
        <v>I3580</v>
      </c>
    </row>
    <row r="12432" spans="1:6" x14ac:dyDescent="0.2">
      <c r="A12432" s="29" t="s">
        <v>28390</v>
      </c>
      <c r="B12432" s="30" t="s">
        <v>28391</v>
      </c>
      <c r="C12432" s="29" t="s">
        <v>26</v>
      </c>
      <c r="D12432" s="31">
        <v>1098.82</v>
      </c>
      <c r="F12432" s="3" t="str">
        <f t="shared" si="194"/>
        <v>I7169</v>
      </c>
    </row>
    <row r="12433" spans="1:6" x14ac:dyDescent="0.2">
      <c r="A12433" s="29" t="s">
        <v>28392</v>
      </c>
      <c r="B12433" s="30" t="s">
        <v>28393</v>
      </c>
      <c r="C12433" s="29" t="s">
        <v>26</v>
      </c>
      <c r="D12433" s="31">
        <v>1461.5</v>
      </c>
      <c r="F12433" s="3" t="str">
        <f t="shared" si="194"/>
        <v>I3584</v>
      </c>
    </row>
    <row r="12434" spans="1:6" x14ac:dyDescent="0.2">
      <c r="A12434" s="29" t="s">
        <v>28394</v>
      </c>
      <c r="B12434" s="30" t="s">
        <v>28395</v>
      </c>
      <c r="C12434" s="29" t="s">
        <v>26</v>
      </c>
      <c r="D12434" s="31">
        <v>1990.75</v>
      </c>
      <c r="F12434" s="3" t="str">
        <f t="shared" si="194"/>
        <v>I7170</v>
      </c>
    </row>
    <row r="12435" spans="1:6" x14ac:dyDescent="0.2">
      <c r="A12435" s="29" t="s">
        <v>28396</v>
      </c>
      <c r="B12435" s="30" t="s">
        <v>28397</v>
      </c>
      <c r="C12435" s="29" t="s">
        <v>26</v>
      </c>
      <c r="D12435" s="31">
        <v>1190.4100000000001</v>
      </c>
      <c r="F12435" s="3" t="str">
        <f t="shared" si="194"/>
        <v>I3582</v>
      </c>
    </row>
    <row r="12436" spans="1:6" x14ac:dyDescent="0.2">
      <c r="A12436" s="29" t="s">
        <v>28398</v>
      </c>
      <c r="B12436" s="30" t="s">
        <v>28399</v>
      </c>
      <c r="C12436" s="29" t="s">
        <v>26</v>
      </c>
      <c r="D12436" s="31">
        <v>1546.47</v>
      </c>
      <c r="F12436" s="3" t="str">
        <f t="shared" si="194"/>
        <v>I3583</v>
      </c>
    </row>
    <row r="12437" spans="1:6" x14ac:dyDescent="0.2">
      <c r="A12437" s="29" t="s">
        <v>28400</v>
      </c>
      <c r="B12437" s="30" t="s">
        <v>28401</v>
      </c>
      <c r="C12437" s="29" t="s">
        <v>26</v>
      </c>
      <c r="D12437" s="31">
        <v>1555.47</v>
      </c>
      <c r="F12437" s="3" t="str">
        <f t="shared" si="194"/>
        <v>I7171</v>
      </c>
    </row>
    <row r="12438" spans="1:6" x14ac:dyDescent="0.2">
      <c r="A12438" s="29" t="s">
        <v>28402</v>
      </c>
      <c r="B12438" s="30" t="s">
        <v>28403</v>
      </c>
      <c r="C12438" s="29" t="s">
        <v>26</v>
      </c>
      <c r="D12438" s="31">
        <v>2037.89</v>
      </c>
      <c r="F12438" s="3" t="str">
        <f t="shared" si="194"/>
        <v>I3585</v>
      </c>
    </row>
    <row r="12439" spans="1:6" x14ac:dyDescent="0.2">
      <c r="A12439" s="29" t="s">
        <v>28404</v>
      </c>
      <c r="B12439" s="30" t="s">
        <v>28405</v>
      </c>
      <c r="C12439" s="29" t="s">
        <v>26</v>
      </c>
      <c r="D12439" s="31">
        <v>2234.4299999999998</v>
      </c>
      <c r="F12439" s="3" t="str">
        <f t="shared" si="194"/>
        <v>I3586</v>
      </c>
    </row>
    <row r="12440" spans="1:6" x14ac:dyDescent="0.2">
      <c r="A12440" s="29" t="s">
        <v>28406</v>
      </c>
      <c r="B12440" s="30" t="s">
        <v>28407</v>
      </c>
      <c r="C12440" s="29" t="s">
        <v>26</v>
      </c>
      <c r="D12440" s="31">
        <v>2317.4899999999998</v>
      </c>
      <c r="F12440" s="3" t="str">
        <f t="shared" si="194"/>
        <v>I3587</v>
      </c>
    </row>
    <row r="12441" spans="1:6" x14ac:dyDescent="0.2">
      <c r="A12441" s="29" t="s">
        <v>28408</v>
      </c>
      <c r="B12441" s="30" t="s">
        <v>28409</v>
      </c>
      <c r="C12441" s="29" t="s">
        <v>26</v>
      </c>
      <c r="D12441" s="31">
        <v>2911.55</v>
      </c>
      <c r="F12441" s="3" t="str">
        <f t="shared" si="194"/>
        <v>I3588</v>
      </c>
    </row>
    <row r="12442" spans="1:6" x14ac:dyDescent="0.2">
      <c r="A12442" s="29" t="s">
        <v>28410</v>
      </c>
      <c r="B12442" s="30" t="s">
        <v>28411</v>
      </c>
      <c r="C12442" s="29" t="s">
        <v>26</v>
      </c>
      <c r="D12442" s="31">
        <v>3524.38</v>
      </c>
      <c r="F12442" s="3" t="str">
        <f t="shared" si="194"/>
        <v>I3589</v>
      </c>
    </row>
    <row r="12443" spans="1:6" x14ac:dyDescent="0.2">
      <c r="A12443" s="29" t="s">
        <v>28412</v>
      </c>
      <c r="B12443" s="30" t="s">
        <v>28413</v>
      </c>
      <c r="C12443" s="29" t="s">
        <v>26</v>
      </c>
      <c r="D12443" s="31">
        <v>5041.09</v>
      </c>
      <c r="F12443" s="3" t="str">
        <f t="shared" si="194"/>
        <v>I3590</v>
      </c>
    </row>
    <row r="12444" spans="1:6" x14ac:dyDescent="0.2">
      <c r="A12444" s="29" t="s">
        <v>28414</v>
      </c>
      <c r="B12444" s="30" t="s">
        <v>28415</v>
      </c>
      <c r="C12444" s="29" t="s">
        <v>26</v>
      </c>
      <c r="D12444" s="31">
        <v>3486.79</v>
      </c>
      <c r="F12444" s="3" t="str">
        <f t="shared" si="194"/>
        <v>I3591</v>
      </c>
    </row>
    <row r="12445" spans="1:6" x14ac:dyDescent="0.2">
      <c r="A12445" s="29" t="s">
        <v>28416</v>
      </c>
      <c r="B12445" s="30" t="s">
        <v>28417</v>
      </c>
      <c r="C12445" s="29" t="s">
        <v>26</v>
      </c>
      <c r="D12445" s="31">
        <v>4050.67</v>
      </c>
      <c r="F12445" s="3" t="str">
        <f t="shared" si="194"/>
        <v>I3592</v>
      </c>
    </row>
    <row r="12446" spans="1:6" x14ac:dyDescent="0.2">
      <c r="A12446" s="29" t="s">
        <v>28418</v>
      </c>
      <c r="B12446" s="30" t="s">
        <v>28419</v>
      </c>
      <c r="C12446" s="29" t="s">
        <v>26</v>
      </c>
      <c r="D12446" s="31">
        <v>4661.09</v>
      </c>
      <c r="F12446" s="3" t="str">
        <f t="shared" si="194"/>
        <v>I3593</v>
      </c>
    </row>
    <row r="12447" spans="1:6" x14ac:dyDescent="0.2">
      <c r="A12447" s="29" t="s">
        <v>28420</v>
      </c>
      <c r="B12447" s="30" t="s">
        <v>28421</v>
      </c>
      <c r="C12447" s="29" t="s">
        <v>26</v>
      </c>
      <c r="D12447" s="31">
        <v>13630.74</v>
      </c>
      <c r="F12447" s="3" t="str">
        <f t="shared" si="194"/>
        <v>I3594</v>
      </c>
    </row>
    <row r="12448" spans="1:6" x14ac:dyDescent="0.2">
      <c r="A12448" s="29" t="s">
        <v>28422</v>
      </c>
      <c r="B12448" s="30" t="s">
        <v>28423</v>
      </c>
      <c r="C12448" s="29" t="s">
        <v>26</v>
      </c>
      <c r="D12448" s="31">
        <v>4730.96</v>
      </c>
      <c r="F12448" s="3" t="str">
        <f t="shared" si="194"/>
        <v>I3595</v>
      </c>
    </row>
    <row r="12449" spans="1:6" x14ac:dyDescent="0.2">
      <c r="A12449" s="29" t="s">
        <v>28424</v>
      </c>
      <c r="B12449" s="30" t="s">
        <v>28425</v>
      </c>
      <c r="C12449" s="29" t="s">
        <v>26</v>
      </c>
      <c r="D12449" s="31">
        <v>5109.26</v>
      </c>
      <c r="F12449" s="3" t="str">
        <f t="shared" si="194"/>
        <v>I3596</v>
      </c>
    </row>
    <row r="12450" spans="1:6" x14ac:dyDescent="0.2">
      <c r="A12450" s="29" t="s">
        <v>28426</v>
      </c>
      <c r="B12450" s="30" t="s">
        <v>28427</v>
      </c>
      <c r="C12450" s="29" t="s">
        <v>26</v>
      </c>
      <c r="D12450" s="31">
        <v>6237.97</v>
      </c>
      <c r="F12450" s="3" t="str">
        <f t="shared" si="194"/>
        <v>I3597</v>
      </c>
    </row>
    <row r="12451" spans="1:6" x14ac:dyDescent="0.2">
      <c r="A12451" s="29" t="s">
        <v>28428</v>
      </c>
      <c r="B12451" s="30" t="s">
        <v>28429</v>
      </c>
      <c r="C12451" s="29" t="s">
        <v>26</v>
      </c>
      <c r="D12451" s="31">
        <v>17230.96</v>
      </c>
      <c r="F12451" s="3" t="str">
        <f t="shared" si="194"/>
        <v>I3598</v>
      </c>
    </row>
    <row r="12452" spans="1:6" x14ac:dyDescent="0.2">
      <c r="A12452" s="29" t="s">
        <v>28430</v>
      </c>
      <c r="B12452" s="30" t="s">
        <v>28431</v>
      </c>
      <c r="C12452" s="29" t="s">
        <v>26</v>
      </c>
      <c r="D12452" s="31">
        <v>19620.259999999998</v>
      </c>
      <c r="F12452" s="3" t="str">
        <f t="shared" si="194"/>
        <v>I3599</v>
      </c>
    </row>
    <row r="12453" spans="1:6" x14ac:dyDescent="0.2">
      <c r="A12453" s="29" t="s">
        <v>28432</v>
      </c>
      <c r="B12453" s="30" t="s">
        <v>28433</v>
      </c>
      <c r="C12453" s="29" t="s">
        <v>26</v>
      </c>
      <c r="D12453" s="31">
        <v>14293.19</v>
      </c>
      <c r="F12453" s="3" t="str">
        <f t="shared" si="194"/>
        <v>I3600</v>
      </c>
    </row>
    <row r="12454" spans="1:6" x14ac:dyDescent="0.2">
      <c r="A12454" s="29" t="s">
        <v>28434</v>
      </c>
      <c r="B12454" s="30" t="s">
        <v>28435</v>
      </c>
      <c r="C12454" s="29" t="s">
        <v>26</v>
      </c>
      <c r="D12454" s="31">
        <v>8691.08</v>
      </c>
      <c r="F12454" s="3" t="str">
        <f t="shared" si="194"/>
        <v>I3601</v>
      </c>
    </row>
    <row r="12455" spans="1:6" x14ac:dyDescent="0.2">
      <c r="A12455" s="29" t="s">
        <v>28436</v>
      </c>
      <c r="B12455" s="30" t="s">
        <v>28437</v>
      </c>
      <c r="C12455" s="29" t="s">
        <v>26</v>
      </c>
      <c r="D12455" s="31">
        <v>22507.99</v>
      </c>
      <c r="F12455" s="3" t="str">
        <f t="shared" si="194"/>
        <v>I3602</v>
      </c>
    </row>
    <row r="12456" spans="1:6" x14ac:dyDescent="0.2">
      <c r="A12456" s="29" t="s">
        <v>28438</v>
      </c>
      <c r="B12456" s="30" t="s">
        <v>28439</v>
      </c>
      <c r="C12456" s="29" t="s">
        <v>26</v>
      </c>
      <c r="D12456" s="31">
        <v>24500.42</v>
      </c>
      <c r="F12456" s="3" t="str">
        <f t="shared" si="194"/>
        <v>I3603</v>
      </c>
    </row>
    <row r="12457" spans="1:6" x14ac:dyDescent="0.2">
      <c r="A12457" s="29" t="s">
        <v>28440</v>
      </c>
      <c r="B12457" s="30" t="s">
        <v>28441</v>
      </c>
      <c r="C12457" s="29" t="s">
        <v>26</v>
      </c>
      <c r="D12457" s="31">
        <v>28484.36</v>
      </c>
      <c r="F12457" s="3" t="str">
        <f t="shared" si="194"/>
        <v>I3604</v>
      </c>
    </row>
    <row r="12458" spans="1:6" x14ac:dyDescent="0.2">
      <c r="A12458" s="29" t="s">
        <v>28442</v>
      </c>
      <c r="B12458" s="30" t="s">
        <v>28443</v>
      </c>
      <c r="C12458" s="29" t="s">
        <v>26</v>
      </c>
      <c r="D12458" s="31">
        <v>25391.37</v>
      </c>
      <c r="F12458" s="3" t="str">
        <f t="shared" si="194"/>
        <v>I3605</v>
      </c>
    </row>
    <row r="12459" spans="1:6" x14ac:dyDescent="0.2">
      <c r="A12459" s="29" t="s">
        <v>28444</v>
      </c>
      <c r="B12459" s="30" t="s">
        <v>28445</v>
      </c>
      <c r="C12459" s="29" t="s">
        <v>26</v>
      </c>
      <c r="D12459" s="31">
        <v>16285.95</v>
      </c>
      <c r="F12459" s="3" t="str">
        <f t="shared" si="194"/>
        <v>I3606</v>
      </c>
    </row>
    <row r="12460" spans="1:6" x14ac:dyDescent="0.2">
      <c r="A12460" s="29" t="s">
        <v>28446</v>
      </c>
      <c r="B12460" s="30" t="s">
        <v>28447</v>
      </c>
      <c r="C12460" s="29" t="s">
        <v>26</v>
      </c>
      <c r="D12460" s="31">
        <v>38409.86</v>
      </c>
      <c r="F12460" s="3" t="str">
        <f t="shared" si="194"/>
        <v>I3607</v>
      </c>
    </row>
    <row r="12461" spans="1:6" x14ac:dyDescent="0.2">
      <c r="A12461" s="29" t="s">
        <v>28448</v>
      </c>
      <c r="B12461" s="30" t="s">
        <v>28449</v>
      </c>
      <c r="C12461" s="29" t="s">
        <v>26</v>
      </c>
      <c r="D12461" s="31">
        <v>27785.83</v>
      </c>
      <c r="F12461" s="3" t="str">
        <f t="shared" si="194"/>
        <v>I3608</v>
      </c>
    </row>
    <row r="12462" spans="1:6" x14ac:dyDescent="0.2">
      <c r="A12462" s="29" t="s">
        <v>28450</v>
      </c>
      <c r="B12462" s="30" t="s">
        <v>28451</v>
      </c>
      <c r="C12462" s="29" t="s">
        <v>26</v>
      </c>
      <c r="D12462" s="31">
        <v>24946.74</v>
      </c>
      <c r="F12462" s="3" t="str">
        <f t="shared" si="194"/>
        <v>I3609</v>
      </c>
    </row>
    <row r="12463" spans="1:6" x14ac:dyDescent="0.2">
      <c r="A12463" s="29" t="s">
        <v>28452</v>
      </c>
      <c r="B12463" s="30" t="s">
        <v>28453</v>
      </c>
      <c r="C12463" s="29" t="s">
        <v>26</v>
      </c>
      <c r="D12463" s="31">
        <v>39221.839999999997</v>
      </c>
      <c r="F12463" s="3" t="str">
        <f t="shared" si="194"/>
        <v>I3610</v>
      </c>
    </row>
    <row r="12464" spans="1:6" x14ac:dyDescent="0.2">
      <c r="A12464" s="29" t="s">
        <v>28454</v>
      </c>
      <c r="B12464" s="30" t="s">
        <v>28455</v>
      </c>
      <c r="C12464" s="29" t="s">
        <v>26</v>
      </c>
      <c r="D12464" s="31">
        <v>48056.09</v>
      </c>
      <c r="F12464" s="3" t="str">
        <f t="shared" si="194"/>
        <v>I3611</v>
      </c>
    </row>
    <row r="12465" spans="1:6" x14ac:dyDescent="0.2">
      <c r="A12465" s="29" t="s">
        <v>28456</v>
      </c>
      <c r="B12465" s="30" t="s">
        <v>28457</v>
      </c>
      <c r="C12465" s="29" t="s">
        <v>26</v>
      </c>
      <c r="D12465" s="31">
        <v>43497.69</v>
      </c>
      <c r="F12465" s="3" t="str">
        <f t="shared" si="194"/>
        <v>I3612</v>
      </c>
    </row>
    <row r="12466" spans="1:6" x14ac:dyDescent="0.2">
      <c r="A12466" s="29" t="s">
        <v>28458</v>
      </c>
      <c r="B12466" s="30" t="s">
        <v>28459</v>
      </c>
      <c r="C12466" s="29" t="s">
        <v>26</v>
      </c>
      <c r="D12466" s="31">
        <v>30704.959999999999</v>
      </c>
      <c r="F12466" s="3" t="str">
        <f t="shared" si="194"/>
        <v>I3613</v>
      </c>
    </row>
    <row r="12467" spans="1:6" x14ac:dyDescent="0.2">
      <c r="A12467" s="29" t="s">
        <v>28460</v>
      </c>
      <c r="B12467" s="30" t="s">
        <v>28461</v>
      </c>
      <c r="C12467" s="29" t="s">
        <v>26</v>
      </c>
      <c r="D12467" s="31">
        <v>41742.910000000003</v>
      </c>
      <c r="F12467" s="3" t="str">
        <f t="shared" si="194"/>
        <v>I3614</v>
      </c>
    </row>
    <row r="12468" spans="1:6" x14ac:dyDescent="0.2">
      <c r="A12468" s="29" t="s">
        <v>28462</v>
      </c>
      <c r="B12468" s="30" t="s">
        <v>28463</v>
      </c>
      <c r="C12468" s="29" t="s">
        <v>26</v>
      </c>
      <c r="D12468" s="31">
        <v>40812.17</v>
      </c>
      <c r="F12468" s="3" t="str">
        <f t="shared" si="194"/>
        <v>I3615</v>
      </c>
    </row>
    <row r="12469" spans="1:6" x14ac:dyDescent="0.2">
      <c r="A12469" s="29" t="s">
        <v>28464</v>
      </c>
      <c r="B12469" s="30" t="s">
        <v>28465</v>
      </c>
      <c r="C12469" s="29" t="s">
        <v>26</v>
      </c>
      <c r="D12469" s="31">
        <v>65554.23</v>
      </c>
      <c r="F12469" s="3" t="str">
        <f t="shared" si="194"/>
        <v>I3616</v>
      </c>
    </row>
    <row r="12470" spans="1:6" x14ac:dyDescent="0.2">
      <c r="A12470" s="29" t="s">
        <v>28466</v>
      </c>
      <c r="B12470" s="30" t="s">
        <v>28467</v>
      </c>
      <c r="C12470" s="29" t="s">
        <v>26</v>
      </c>
      <c r="D12470" s="31">
        <v>70414.34</v>
      </c>
      <c r="F12470" s="3" t="str">
        <f t="shared" si="194"/>
        <v>I3617</v>
      </c>
    </row>
    <row r="12471" spans="1:6" x14ac:dyDescent="0.2">
      <c r="A12471" s="29" t="s">
        <v>28468</v>
      </c>
      <c r="B12471" s="30" t="s">
        <v>28469</v>
      </c>
      <c r="C12471" s="29" t="s">
        <v>26</v>
      </c>
      <c r="D12471" s="31">
        <v>81407.27</v>
      </c>
      <c r="F12471" s="3" t="str">
        <f t="shared" si="194"/>
        <v>I3622</v>
      </c>
    </row>
    <row r="12472" spans="1:6" x14ac:dyDescent="0.2">
      <c r="A12472" s="29" t="s">
        <v>28470</v>
      </c>
      <c r="B12472" s="30" t="s">
        <v>28471</v>
      </c>
      <c r="C12472" s="29" t="s">
        <v>26</v>
      </c>
      <c r="D12472" s="31">
        <v>39069.980000000003</v>
      </c>
      <c r="F12472" s="3" t="str">
        <f t="shared" si="194"/>
        <v>I3618</v>
      </c>
    </row>
    <row r="12473" spans="1:6" x14ac:dyDescent="0.2">
      <c r="A12473" s="29" t="s">
        <v>28472</v>
      </c>
      <c r="B12473" s="30" t="s">
        <v>28473</v>
      </c>
      <c r="C12473" s="29" t="s">
        <v>26</v>
      </c>
      <c r="D12473" s="31">
        <v>46336.88</v>
      </c>
      <c r="F12473" s="3" t="str">
        <f t="shared" si="194"/>
        <v>I3619</v>
      </c>
    </row>
    <row r="12474" spans="1:6" x14ac:dyDescent="0.2">
      <c r="A12474" s="29" t="s">
        <v>28474</v>
      </c>
      <c r="B12474" s="30" t="s">
        <v>28475</v>
      </c>
      <c r="C12474" s="29" t="s">
        <v>26</v>
      </c>
      <c r="D12474" s="31">
        <v>72904.41</v>
      </c>
      <c r="F12474" s="3" t="str">
        <f t="shared" si="194"/>
        <v>I3620</v>
      </c>
    </row>
    <row r="12475" spans="1:6" x14ac:dyDescent="0.2">
      <c r="A12475" s="29" t="s">
        <v>28476</v>
      </c>
      <c r="B12475" s="30" t="s">
        <v>28477</v>
      </c>
      <c r="C12475" s="29" t="s">
        <v>26</v>
      </c>
      <c r="D12475" s="31">
        <v>76438.03</v>
      </c>
      <c r="F12475" s="3" t="str">
        <f t="shared" si="194"/>
        <v>I3621</v>
      </c>
    </row>
    <row r="12476" spans="1:6" x14ac:dyDescent="0.2">
      <c r="A12476" s="29" t="s">
        <v>28478</v>
      </c>
      <c r="B12476" s="30" t="s">
        <v>28479</v>
      </c>
      <c r="C12476" s="29" t="s">
        <v>26</v>
      </c>
      <c r="D12476" s="31">
        <v>99709.92</v>
      </c>
      <c r="F12476" s="3" t="str">
        <f t="shared" si="194"/>
        <v>I3627</v>
      </c>
    </row>
    <row r="12477" spans="1:6" x14ac:dyDescent="0.2">
      <c r="A12477" s="29" t="s">
        <v>28480</v>
      </c>
      <c r="B12477" s="30" t="s">
        <v>28481</v>
      </c>
      <c r="C12477" s="29" t="s">
        <v>26</v>
      </c>
      <c r="D12477" s="31">
        <v>182197.2</v>
      </c>
      <c r="F12477" s="3" t="str">
        <f t="shared" si="194"/>
        <v>I3628</v>
      </c>
    </row>
    <row r="12478" spans="1:6" x14ac:dyDescent="0.2">
      <c r="A12478" s="29" t="s">
        <v>28482</v>
      </c>
      <c r="B12478" s="30" t="s">
        <v>28483</v>
      </c>
      <c r="C12478" s="29" t="s">
        <v>26</v>
      </c>
      <c r="D12478" s="31">
        <v>48275.199999999997</v>
      </c>
      <c r="F12478" s="3" t="str">
        <f t="shared" si="194"/>
        <v>I3623</v>
      </c>
    </row>
    <row r="12479" spans="1:6" x14ac:dyDescent="0.2">
      <c r="A12479" s="29" t="s">
        <v>28484</v>
      </c>
      <c r="B12479" s="30" t="s">
        <v>28485</v>
      </c>
      <c r="C12479" s="29" t="s">
        <v>26</v>
      </c>
      <c r="D12479" s="31">
        <v>58639.87</v>
      </c>
      <c r="F12479" s="3" t="str">
        <f t="shared" si="194"/>
        <v>I3624</v>
      </c>
    </row>
    <row r="12480" spans="1:6" x14ac:dyDescent="0.2">
      <c r="A12480" s="29" t="s">
        <v>28486</v>
      </c>
      <c r="B12480" s="30" t="s">
        <v>28487</v>
      </c>
      <c r="C12480" s="29" t="s">
        <v>26</v>
      </c>
      <c r="D12480" s="31">
        <v>78965.59</v>
      </c>
      <c r="F12480" s="3" t="str">
        <f t="shared" si="194"/>
        <v>I3625</v>
      </c>
    </row>
    <row r="12481" spans="1:6" x14ac:dyDescent="0.2">
      <c r="A12481" s="29" t="s">
        <v>28488</v>
      </c>
      <c r="B12481" s="30" t="s">
        <v>28489</v>
      </c>
      <c r="C12481" s="29" t="s">
        <v>26</v>
      </c>
      <c r="D12481" s="31">
        <v>103370.51</v>
      </c>
      <c r="F12481" s="3" t="str">
        <f t="shared" si="194"/>
        <v>I3626</v>
      </c>
    </row>
    <row r="12482" spans="1:6" x14ac:dyDescent="0.2">
      <c r="A12482" s="29" t="s">
        <v>28490</v>
      </c>
      <c r="B12482" s="30" t="s">
        <v>28491</v>
      </c>
      <c r="C12482" s="29" t="s">
        <v>26</v>
      </c>
      <c r="D12482" s="31">
        <v>507.56</v>
      </c>
      <c r="F12482" s="3" t="str">
        <f t="shared" ref="F12482:F12545" si="195">A12482</f>
        <v>I3641</v>
      </c>
    </row>
    <row r="12483" spans="1:6" x14ac:dyDescent="0.2">
      <c r="A12483" s="29" t="s">
        <v>28492</v>
      </c>
      <c r="B12483" s="30" t="s">
        <v>28493</v>
      </c>
      <c r="C12483" s="29" t="s">
        <v>26</v>
      </c>
      <c r="D12483" s="31">
        <v>490</v>
      </c>
      <c r="F12483" s="3" t="str">
        <f t="shared" si="195"/>
        <v>I3642</v>
      </c>
    </row>
    <row r="12484" spans="1:6" x14ac:dyDescent="0.2">
      <c r="A12484" s="29" t="s">
        <v>28494</v>
      </c>
      <c r="B12484" s="30" t="s">
        <v>28495</v>
      </c>
      <c r="C12484" s="29" t="s">
        <v>26</v>
      </c>
      <c r="D12484" s="31">
        <v>507.56</v>
      </c>
      <c r="F12484" s="3" t="str">
        <f t="shared" si="195"/>
        <v>I7179</v>
      </c>
    </row>
    <row r="12485" spans="1:6" x14ac:dyDescent="0.2">
      <c r="A12485" s="29" t="s">
        <v>28496</v>
      </c>
      <c r="B12485" s="30" t="s">
        <v>28497</v>
      </c>
      <c r="C12485" s="29" t="s">
        <v>26</v>
      </c>
      <c r="D12485" s="31">
        <v>490</v>
      </c>
      <c r="F12485" s="3" t="str">
        <f t="shared" si="195"/>
        <v>I7180</v>
      </c>
    </row>
    <row r="12486" spans="1:6" x14ac:dyDescent="0.2">
      <c r="A12486" s="29" t="s">
        <v>28498</v>
      </c>
      <c r="B12486" s="30" t="s">
        <v>28499</v>
      </c>
      <c r="C12486" s="29" t="s">
        <v>26</v>
      </c>
      <c r="D12486" s="31">
        <v>594.25</v>
      </c>
      <c r="F12486" s="3" t="str">
        <f t="shared" si="195"/>
        <v>I3645</v>
      </c>
    </row>
    <row r="12487" spans="1:6" x14ac:dyDescent="0.2">
      <c r="A12487" s="29" t="s">
        <v>28500</v>
      </c>
      <c r="B12487" s="30" t="s">
        <v>28501</v>
      </c>
      <c r="C12487" s="29" t="s">
        <v>26</v>
      </c>
      <c r="D12487" s="31">
        <v>544.83000000000004</v>
      </c>
      <c r="F12487" s="3" t="str">
        <f t="shared" si="195"/>
        <v>I3643</v>
      </c>
    </row>
    <row r="12488" spans="1:6" x14ac:dyDescent="0.2">
      <c r="A12488" s="29" t="s">
        <v>28502</v>
      </c>
      <c r="B12488" s="30" t="s">
        <v>28503</v>
      </c>
      <c r="C12488" s="29" t="s">
        <v>26</v>
      </c>
      <c r="D12488" s="31">
        <v>584.49</v>
      </c>
      <c r="F12488" s="3" t="str">
        <f t="shared" si="195"/>
        <v>I3644</v>
      </c>
    </row>
    <row r="12489" spans="1:6" x14ac:dyDescent="0.2">
      <c r="A12489" s="29" t="s">
        <v>28504</v>
      </c>
      <c r="B12489" s="30" t="s">
        <v>28505</v>
      </c>
      <c r="C12489" s="29" t="s">
        <v>26</v>
      </c>
      <c r="D12489" s="31">
        <v>584.49</v>
      </c>
      <c r="F12489" s="3" t="str">
        <f t="shared" si="195"/>
        <v>I7174</v>
      </c>
    </row>
    <row r="12490" spans="1:6" x14ac:dyDescent="0.2">
      <c r="A12490" s="29" t="s">
        <v>28506</v>
      </c>
      <c r="B12490" s="30" t="s">
        <v>28507</v>
      </c>
      <c r="C12490" s="29" t="s">
        <v>26</v>
      </c>
      <c r="D12490" s="31">
        <v>735.83</v>
      </c>
      <c r="F12490" s="3" t="str">
        <f t="shared" si="195"/>
        <v>I3648</v>
      </c>
    </row>
    <row r="12491" spans="1:6" x14ac:dyDescent="0.2">
      <c r="A12491" s="29" t="s">
        <v>28508</v>
      </c>
      <c r="B12491" s="30" t="s">
        <v>28509</v>
      </c>
      <c r="C12491" s="29" t="s">
        <v>26</v>
      </c>
      <c r="D12491" s="31">
        <v>817.77</v>
      </c>
      <c r="F12491" s="3" t="str">
        <f t="shared" si="195"/>
        <v>I3649</v>
      </c>
    </row>
    <row r="12492" spans="1:6" x14ac:dyDescent="0.2">
      <c r="A12492" s="29" t="s">
        <v>28510</v>
      </c>
      <c r="B12492" s="30" t="s">
        <v>28511</v>
      </c>
      <c r="C12492" s="29" t="s">
        <v>26</v>
      </c>
      <c r="D12492" s="31">
        <v>927.28</v>
      </c>
      <c r="F12492" s="3" t="str">
        <f t="shared" si="195"/>
        <v>I3646</v>
      </c>
    </row>
    <row r="12493" spans="1:6" x14ac:dyDescent="0.2">
      <c r="A12493" s="29" t="s">
        <v>28512</v>
      </c>
      <c r="B12493" s="30" t="s">
        <v>28513</v>
      </c>
      <c r="C12493" s="29" t="s">
        <v>26</v>
      </c>
      <c r="D12493" s="31">
        <v>724.56</v>
      </c>
      <c r="F12493" s="3" t="str">
        <f t="shared" si="195"/>
        <v>I3647</v>
      </c>
    </row>
    <row r="12494" spans="1:6" x14ac:dyDescent="0.2">
      <c r="A12494" s="29" t="s">
        <v>28514</v>
      </c>
      <c r="B12494" s="30" t="s">
        <v>28515</v>
      </c>
      <c r="C12494" s="29" t="s">
        <v>26</v>
      </c>
      <c r="D12494" s="31">
        <v>724.56</v>
      </c>
      <c r="F12494" s="3" t="str">
        <f t="shared" si="195"/>
        <v>I7175</v>
      </c>
    </row>
    <row r="12495" spans="1:6" x14ac:dyDescent="0.2">
      <c r="A12495" s="29" t="s">
        <v>28516</v>
      </c>
      <c r="B12495" s="30" t="s">
        <v>28517</v>
      </c>
      <c r="C12495" s="29" t="s">
        <v>26</v>
      </c>
      <c r="D12495" s="31">
        <v>1214.8699999999999</v>
      </c>
      <c r="F12495" s="3" t="str">
        <f t="shared" si="195"/>
        <v>I3652</v>
      </c>
    </row>
    <row r="12496" spans="1:6" x14ac:dyDescent="0.2">
      <c r="A12496" s="29" t="s">
        <v>28518</v>
      </c>
      <c r="B12496" s="30" t="s">
        <v>28519</v>
      </c>
      <c r="C12496" s="29" t="s">
        <v>26</v>
      </c>
      <c r="D12496" s="31">
        <v>1257.73</v>
      </c>
      <c r="F12496" s="3" t="str">
        <f t="shared" si="195"/>
        <v>I3653</v>
      </c>
    </row>
    <row r="12497" spans="1:6" x14ac:dyDescent="0.2">
      <c r="A12497" s="29" t="s">
        <v>28520</v>
      </c>
      <c r="B12497" s="30" t="s">
        <v>28521</v>
      </c>
      <c r="C12497" s="29" t="s">
        <v>26</v>
      </c>
      <c r="D12497" s="31">
        <v>1364.77</v>
      </c>
      <c r="F12497" s="3" t="str">
        <f t="shared" si="195"/>
        <v>I3654</v>
      </c>
    </row>
    <row r="12498" spans="1:6" x14ac:dyDescent="0.2">
      <c r="A12498" s="29" t="s">
        <v>28522</v>
      </c>
      <c r="B12498" s="30" t="s">
        <v>28523</v>
      </c>
      <c r="C12498" s="29" t="s">
        <v>26</v>
      </c>
      <c r="D12498" s="31">
        <v>1249.8699999999999</v>
      </c>
      <c r="F12498" s="3" t="str">
        <f t="shared" si="195"/>
        <v>I3650</v>
      </c>
    </row>
    <row r="12499" spans="1:6" x14ac:dyDescent="0.2">
      <c r="A12499" s="29" t="s">
        <v>28524</v>
      </c>
      <c r="B12499" s="30" t="s">
        <v>28525</v>
      </c>
      <c r="C12499" s="29" t="s">
        <v>26</v>
      </c>
      <c r="D12499" s="31">
        <v>1184.28</v>
      </c>
      <c r="F12499" s="3" t="str">
        <f t="shared" si="195"/>
        <v>I3651</v>
      </c>
    </row>
    <row r="12500" spans="1:6" x14ac:dyDescent="0.2">
      <c r="A12500" s="29" t="s">
        <v>28526</v>
      </c>
      <c r="B12500" s="30" t="s">
        <v>28527</v>
      </c>
      <c r="C12500" s="29" t="s">
        <v>26</v>
      </c>
      <c r="D12500" s="31">
        <v>1184.28</v>
      </c>
      <c r="F12500" s="3" t="str">
        <f t="shared" si="195"/>
        <v>I7176</v>
      </c>
    </row>
    <row r="12501" spans="1:6" x14ac:dyDescent="0.2">
      <c r="A12501" s="29" t="s">
        <v>28528</v>
      </c>
      <c r="B12501" s="30" t="s">
        <v>28529</v>
      </c>
      <c r="C12501" s="29" t="s">
        <v>26</v>
      </c>
      <c r="D12501" s="31">
        <v>2082.14</v>
      </c>
      <c r="F12501" s="3" t="str">
        <f t="shared" si="195"/>
        <v>I3657</v>
      </c>
    </row>
    <row r="12502" spans="1:6" x14ac:dyDescent="0.2">
      <c r="A12502" s="29" t="s">
        <v>28530</v>
      </c>
      <c r="B12502" s="30" t="s">
        <v>28531</v>
      </c>
      <c r="C12502" s="29" t="s">
        <v>26</v>
      </c>
      <c r="D12502" s="31">
        <v>2262.33</v>
      </c>
      <c r="F12502" s="3" t="str">
        <f t="shared" si="195"/>
        <v>I3658</v>
      </c>
    </row>
    <row r="12503" spans="1:6" x14ac:dyDescent="0.2">
      <c r="A12503" s="29" t="s">
        <v>28532</v>
      </c>
      <c r="B12503" s="30" t="s">
        <v>28533</v>
      </c>
      <c r="C12503" s="29" t="s">
        <v>26</v>
      </c>
      <c r="D12503" s="31">
        <v>2431.7600000000002</v>
      </c>
      <c r="F12503" s="3" t="str">
        <f t="shared" si="195"/>
        <v>I3659</v>
      </c>
    </row>
    <row r="12504" spans="1:6" x14ac:dyDescent="0.2">
      <c r="A12504" s="29" t="s">
        <v>28534</v>
      </c>
      <c r="B12504" s="30" t="s">
        <v>28535</v>
      </c>
      <c r="C12504" s="29" t="s">
        <v>26</v>
      </c>
      <c r="D12504" s="31">
        <v>3058.09</v>
      </c>
      <c r="F12504" s="3" t="str">
        <f t="shared" si="195"/>
        <v>I3655</v>
      </c>
    </row>
    <row r="12505" spans="1:6" x14ac:dyDescent="0.2">
      <c r="A12505" s="29" t="s">
        <v>28536</v>
      </c>
      <c r="B12505" s="30" t="s">
        <v>28537</v>
      </c>
      <c r="C12505" s="29" t="s">
        <v>26</v>
      </c>
      <c r="D12505" s="31">
        <v>3002.97</v>
      </c>
      <c r="F12505" s="3" t="str">
        <f t="shared" si="195"/>
        <v>I3656</v>
      </c>
    </row>
    <row r="12506" spans="1:6" x14ac:dyDescent="0.2">
      <c r="A12506" s="29" t="s">
        <v>28538</v>
      </c>
      <c r="B12506" s="30" t="s">
        <v>28539</v>
      </c>
      <c r="C12506" s="29" t="s">
        <v>26</v>
      </c>
      <c r="D12506" s="31">
        <v>3002.97</v>
      </c>
      <c r="F12506" s="3" t="str">
        <f t="shared" si="195"/>
        <v>I7177</v>
      </c>
    </row>
    <row r="12507" spans="1:6" x14ac:dyDescent="0.2">
      <c r="A12507" s="29" t="s">
        <v>28540</v>
      </c>
      <c r="B12507" s="30" t="s">
        <v>28541</v>
      </c>
      <c r="C12507" s="29" t="s">
        <v>26</v>
      </c>
      <c r="D12507" s="31">
        <v>3704.73</v>
      </c>
      <c r="F12507" s="3" t="str">
        <f t="shared" si="195"/>
        <v>I3660</v>
      </c>
    </row>
    <row r="12508" spans="1:6" x14ac:dyDescent="0.2">
      <c r="A12508" s="29" t="s">
        <v>28542</v>
      </c>
      <c r="B12508" s="30" t="s">
        <v>28543</v>
      </c>
      <c r="C12508" s="29" t="s">
        <v>26</v>
      </c>
      <c r="D12508" s="31">
        <v>4011.21</v>
      </c>
      <c r="F12508" s="3" t="str">
        <f t="shared" si="195"/>
        <v>I3661</v>
      </c>
    </row>
    <row r="12509" spans="1:6" x14ac:dyDescent="0.2">
      <c r="A12509" s="29" t="s">
        <v>28544</v>
      </c>
      <c r="B12509" s="30" t="s">
        <v>28545</v>
      </c>
      <c r="C12509" s="29" t="s">
        <v>26</v>
      </c>
      <c r="D12509" s="31">
        <v>4351.7</v>
      </c>
      <c r="F12509" s="3" t="str">
        <f t="shared" si="195"/>
        <v>I3662</v>
      </c>
    </row>
    <row r="12510" spans="1:6" x14ac:dyDescent="0.2">
      <c r="A12510" s="29" t="s">
        <v>28546</v>
      </c>
      <c r="B12510" s="30" t="s">
        <v>28547</v>
      </c>
      <c r="C12510" s="29" t="s">
        <v>26</v>
      </c>
      <c r="D12510" s="31">
        <v>4726.3599999999997</v>
      </c>
      <c r="F12510" s="3" t="str">
        <f t="shared" si="195"/>
        <v>I3663</v>
      </c>
    </row>
    <row r="12511" spans="1:6" x14ac:dyDescent="0.2">
      <c r="A12511" s="29" t="s">
        <v>28548</v>
      </c>
      <c r="B12511" s="30" t="s">
        <v>28549</v>
      </c>
      <c r="C12511" s="29" t="s">
        <v>26</v>
      </c>
      <c r="D12511" s="31">
        <v>5016.5</v>
      </c>
      <c r="F12511" s="3" t="str">
        <f t="shared" si="195"/>
        <v>I3664</v>
      </c>
    </row>
    <row r="12512" spans="1:6" x14ac:dyDescent="0.2">
      <c r="A12512" s="29" t="s">
        <v>28550</v>
      </c>
      <c r="B12512" s="30" t="s">
        <v>28551</v>
      </c>
      <c r="C12512" s="29" t="s">
        <v>26</v>
      </c>
      <c r="D12512" s="31">
        <v>5448.49</v>
      </c>
      <c r="F12512" s="3" t="str">
        <f t="shared" si="195"/>
        <v>I3665</v>
      </c>
    </row>
    <row r="12513" spans="1:6" x14ac:dyDescent="0.2">
      <c r="A12513" s="29" t="s">
        <v>28552</v>
      </c>
      <c r="B12513" s="30" t="s">
        <v>28553</v>
      </c>
      <c r="C12513" s="29" t="s">
        <v>26</v>
      </c>
      <c r="D12513" s="31">
        <v>5660.45</v>
      </c>
      <c r="F12513" s="3" t="str">
        <f t="shared" si="195"/>
        <v>I3666</v>
      </c>
    </row>
    <row r="12514" spans="1:6" x14ac:dyDescent="0.2">
      <c r="A12514" s="29" t="s">
        <v>28554</v>
      </c>
      <c r="B12514" s="30" t="s">
        <v>28555</v>
      </c>
      <c r="C12514" s="29" t="s">
        <v>26</v>
      </c>
      <c r="D12514" s="31">
        <v>16737.88</v>
      </c>
      <c r="F12514" s="3" t="str">
        <f t="shared" si="195"/>
        <v>I3667</v>
      </c>
    </row>
    <row r="12515" spans="1:6" x14ac:dyDescent="0.2">
      <c r="A12515" s="29" t="s">
        <v>28556</v>
      </c>
      <c r="B12515" s="30" t="s">
        <v>28557</v>
      </c>
      <c r="C12515" s="29" t="s">
        <v>26</v>
      </c>
      <c r="D12515" s="31">
        <v>16821.64</v>
      </c>
      <c r="F12515" s="3" t="str">
        <f t="shared" si="195"/>
        <v>I3668</v>
      </c>
    </row>
    <row r="12516" spans="1:6" x14ac:dyDescent="0.2">
      <c r="A12516" s="29" t="s">
        <v>28558</v>
      </c>
      <c r="B12516" s="30" t="s">
        <v>28559</v>
      </c>
      <c r="C12516" s="29" t="s">
        <v>26</v>
      </c>
      <c r="D12516" s="31">
        <v>17341.22</v>
      </c>
      <c r="F12516" s="3" t="str">
        <f t="shared" si="195"/>
        <v>I3669</v>
      </c>
    </row>
    <row r="12517" spans="1:6" x14ac:dyDescent="0.2">
      <c r="A12517" s="29" t="s">
        <v>28560</v>
      </c>
      <c r="B12517" s="30" t="s">
        <v>28561</v>
      </c>
      <c r="C12517" s="29" t="s">
        <v>26</v>
      </c>
      <c r="D12517" s="31">
        <v>18433.54</v>
      </c>
      <c r="F12517" s="3" t="str">
        <f t="shared" si="195"/>
        <v>I3670</v>
      </c>
    </row>
    <row r="12518" spans="1:6" x14ac:dyDescent="0.2">
      <c r="A12518" s="29" t="s">
        <v>28562</v>
      </c>
      <c r="B12518" s="30" t="s">
        <v>28563</v>
      </c>
      <c r="C12518" s="29" t="s">
        <v>26</v>
      </c>
      <c r="D12518" s="31">
        <v>17985.509999999998</v>
      </c>
      <c r="F12518" s="3" t="str">
        <f t="shared" si="195"/>
        <v>I3671</v>
      </c>
    </row>
    <row r="12519" spans="1:6" x14ac:dyDescent="0.2">
      <c r="A12519" s="29" t="s">
        <v>28564</v>
      </c>
      <c r="B12519" s="30" t="s">
        <v>28565</v>
      </c>
      <c r="C12519" s="29" t="s">
        <v>26</v>
      </c>
      <c r="D12519" s="31">
        <v>20759.580000000002</v>
      </c>
      <c r="F12519" s="3" t="str">
        <f t="shared" si="195"/>
        <v>I3672</v>
      </c>
    </row>
    <row r="12520" spans="1:6" x14ac:dyDescent="0.2">
      <c r="A12520" s="29" t="s">
        <v>28566</v>
      </c>
      <c r="B12520" s="30" t="s">
        <v>28567</v>
      </c>
      <c r="C12520" s="29" t="s">
        <v>26</v>
      </c>
      <c r="D12520" s="31">
        <v>21260.17</v>
      </c>
      <c r="F12520" s="3" t="str">
        <f t="shared" si="195"/>
        <v>I3673</v>
      </c>
    </row>
    <row r="12521" spans="1:6" x14ac:dyDescent="0.2">
      <c r="A12521" s="29" t="s">
        <v>28568</v>
      </c>
      <c r="B12521" s="30" t="s">
        <v>28569</v>
      </c>
      <c r="C12521" s="29" t="s">
        <v>26</v>
      </c>
      <c r="D12521" s="31">
        <v>22074.87</v>
      </c>
      <c r="F12521" s="3" t="str">
        <f t="shared" si="195"/>
        <v>I3674</v>
      </c>
    </row>
    <row r="12522" spans="1:6" x14ac:dyDescent="0.2">
      <c r="A12522" s="29" t="s">
        <v>28570</v>
      </c>
      <c r="B12522" s="30" t="s">
        <v>28571</v>
      </c>
      <c r="C12522" s="29" t="s">
        <v>26</v>
      </c>
      <c r="D12522" s="31">
        <v>20059.099999999999</v>
      </c>
      <c r="F12522" s="3" t="str">
        <f t="shared" si="195"/>
        <v>I3675</v>
      </c>
    </row>
    <row r="12523" spans="1:6" x14ac:dyDescent="0.2">
      <c r="A12523" s="29" t="s">
        <v>28572</v>
      </c>
      <c r="B12523" s="30" t="s">
        <v>28573</v>
      </c>
      <c r="C12523" s="29" t="s">
        <v>26</v>
      </c>
      <c r="D12523" s="31">
        <v>20702.91</v>
      </c>
      <c r="F12523" s="3" t="str">
        <f t="shared" si="195"/>
        <v>I3676</v>
      </c>
    </row>
    <row r="12524" spans="1:6" x14ac:dyDescent="0.2">
      <c r="A12524" s="29" t="s">
        <v>28574</v>
      </c>
      <c r="B12524" s="30" t="s">
        <v>28575</v>
      </c>
      <c r="C12524" s="29" t="s">
        <v>26</v>
      </c>
      <c r="D12524" s="31">
        <v>20939.990000000002</v>
      </c>
      <c r="F12524" s="3" t="str">
        <f t="shared" si="195"/>
        <v>I3677</v>
      </c>
    </row>
    <row r="12525" spans="1:6" x14ac:dyDescent="0.2">
      <c r="A12525" s="29" t="s">
        <v>28576</v>
      </c>
      <c r="B12525" s="30" t="s">
        <v>28577</v>
      </c>
      <c r="C12525" s="29" t="s">
        <v>26</v>
      </c>
      <c r="D12525" s="31">
        <v>22844.89</v>
      </c>
      <c r="F12525" s="3" t="str">
        <f t="shared" si="195"/>
        <v>I3678</v>
      </c>
    </row>
    <row r="12526" spans="1:6" x14ac:dyDescent="0.2">
      <c r="A12526" s="29" t="s">
        <v>28578</v>
      </c>
      <c r="B12526" s="30" t="s">
        <v>28579</v>
      </c>
      <c r="C12526" s="29" t="s">
        <v>26</v>
      </c>
      <c r="D12526" s="31">
        <v>23685.09</v>
      </c>
      <c r="F12526" s="3" t="str">
        <f t="shared" si="195"/>
        <v>I3679</v>
      </c>
    </row>
    <row r="12527" spans="1:6" x14ac:dyDescent="0.2">
      <c r="A12527" s="29" t="s">
        <v>28580</v>
      </c>
      <c r="B12527" s="30" t="s">
        <v>28581</v>
      </c>
      <c r="C12527" s="29" t="s">
        <v>26</v>
      </c>
      <c r="D12527" s="31">
        <v>25193.37</v>
      </c>
      <c r="F12527" s="3" t="str">
        <f t="shared" si="195"/>
        <v>I3680</v>
      </c>
    </row>
    <row r="12528" spans="1:6" x14ac:dyDescent="0.2">
      <c r="A12528" s="29" t="s">
        <v>28582</v>
      </c>
      <c r="B12528" s="30" t="s">
        <v>28583</v>
      </c>
      <c r="C12528" s="29" t="s">
        <v>26</v>
      </c>
      <c r="D12528" s="31">
        <v>28461.45</v>
      </c>
      <c r="F12528" s="3" t="str">
        <f t="shared" si="195"/>
        <v>I3681</v>
      </c>
    </row>
    <row r="12529" spans="1:6" x14ac:dyDescent="0.2">
      <c r="A12529" s="29" t="s">
        <v>28584</v>
      </c>
      <c r="B12529" s="30" t="s">
        <v>28585</v>
      </c>
      <c r="C12529" s="29" t="s">
        <v>26</v>
      </c>
      <c r="D12529" s="31">
        <v>31869.45</v>
      </c>
      <c r="F12529" s="3" t="str">
        <f t="shared" si="195"/>
        <v>I3682</v>
      </c>
    </row>
    <row r="12530" spans="1:6" x14ac:dyDescent="0.2">
      <c r="A12530" s="29" t="s">
        <v>28586</v>
      </c>
      <c r="B12530" s="30" t="s">
        <v>28587</v>
      </c>
      <c r="C12530" s="29" t="s">
        <v>26</v>
      </c>
      <c r="D12530" s="31">
        <v>32792.400000000001</v>
      </c>
      <c r="F12530" s="3" t="str">
        <f t="shared" si="195"/>
        <v>I3683</v>
      </c>
    </row>
    <row r="12531" spans="1:6" x14ac:dyDescent="0.2">
      <c r="A12531" s="29" t="s">
        <v>28588</v>
      </c>
      <c r="B12531" s="30" t="s">
        <v>28589</v>
      </c>
      <c r="C12531" s="29" t="s">
        <v>26</v>
      </c>
      <c r="D12531" s="31">
        <v>32278.28</v>
      </c>
      <c r="F12531" s="3" t="str">
        <f t="shared" si="195"/>
        <v>I3684</v>
      </c>
    </row>
    <row r="12532" spans="1:6" x14ac:dyDescent="0.2">
      <c r="A12532" s="29" t="s">
        <v>28590</v>
      </c>
      <c r="B12532" s="30" t="s">
        <v>28591</v>
      </c>
      <c r="C12532" s="29" t="s">
        <v>26</v>
      </c>
      <c r="D12532" s="31">
        <v>36054.33</v>
      </c>
      <c r="F12532" s="3" t="str">
        <f t="shared" si="195"/>
        <v>I3685</v>
      </c>
    </row>
    <row r="12533" spans="1:6" x14ac:dyDescent="0.2">
      <c r="A12533" s="29" t="s">
        <v>28592</v>
      </c>
      <c r="B12533" s="30" t="s">
        <v>28593</v>
      </c>
      <c r="C12533" s="29" t="s">
        <v>26</v>
      </c>
      <c r="D12533" s="31">
        <v>33961.769999999997</v>
      </c>
      <c r="F12533" s="3" t="str">
        <f t="shared" si="195"/>
        <v>I3686</v>
      </c>
    </row>
    <row r="12534" spans="1:6" x14ac:dyDescent="0.2">
      <c r="A12534" s="29" t="s">
        <v>28594</v>
      </c>
      <c r="B12534" s="30" t="s">
        <v>28595</v>
      </c>
      <c r="C12534" s="29" t="s">
        <v>26</v>
      </c>
      <c r="D12534" s="31">
        <v>29868.59</v>
      </c>
      <c r="F12534" s="3" t="str">
        <f t="shared" si="195"/>
        <v>I3687</v>
      </c>
    </row>
    <row r="12535" spans="1:6" x14ac:dyDescent="0.2">
      <c r="A12535" s="29" t="s">
        <v>28596</v>
      </c>
      <c r="B12535" s="30" t="s">
        <v>28597</v>
      </c>
      <c r="C12535" s="29" t="s">
        <v>26</v>
      </c>
      <c r="D12535" s="31">
        <v>34149.69</v>
      </c>
      <c r="F12535" s="3" t="str">
        <f t="shared" si="195"/>
        <v>I3688</v>
      </c>
    </row>
    <row r="12536" spans="1:6" x14ac:dyDescent="0.2">
      <c r="A12536" s="29" t="s">
        <v>28598</v>
      </c>
      <c r="B12536" s="30" t="s">
        <v>28599</v>
      </c>
      <c r="C12536" s="29" t="s">
        <v>26</v>
      </c>
      <c r="D12536" s="31">
        <v>49630.86</v>
      </c>
      <c r="F12536" s="3" t="str">
        <f t="shared" si="195"/>
        <v>I3689</v>
      </c>
    </row>
    <row r="12537" spans="1:6" x14ac:dyDescent="0.2">
      <c r="A12537" s="29" t="s">
        <v>28600</v>
      </c>
      <c r="B12537" s="30" t="s">
        <v>28601</v>
      </c>
      <c r="C12537" s="29" t="s">
        <v>26</v>
      </c>
      <c r="D12537" s="31">
        <v>36039.980000000003</v>
      </c>
      <c r="F12537" s="3" t="str">
        <f t="shared" si="195"/>
        <v>I3690</v>
      </c>
    </row>
    <row r="12538" spans="1:6" x14ac:dyDescent="0.2">
      <c r="A12538" s="29" t="s">
        <v>28602</v>
      </c>
      <c r="B12538" s="30" t="s">
        <v>28603</v>
      </c>
      <c r="C12538" s="29" t="s">
        <v>26</v>
      </c>
      <c r="D12538" s="31">
        <v>38958.01</v>
      </c>
      <c r="F12538" s="3" t="str">
        <f t="shared" si="195"/>
        <v>I3691</v>
      </c>
    </row>
    <row r="12539" spans="1:6" x14ac:dyDescent="0.2">
      <c r="A12539" s="29" t="s">
        <v>28604</v>
      </c>
      <c r="B12539" s="30" t="s">
        <v>28605</v>
      </c>
      <c r="C12539" s="29" t="s">
        <v>26</v>
      </c>
      <c r="D12539" s="31">
        <v>55605.25</v>
      </c>
      <c r="F12539" s="3" t="str">
        <f t="shared" si="195"/>
        <v>I3692</v>
      </c>
    </row>
    <row r="12540" spans="1:6" x14ac:dyDescent="0.2">
      <c r="A12540" s="29" t="s">
        <v>28606</v>
      </c>
      <c r="B12540" s="30" t="s">
        <v>28607</v>
      </c>
      <c r="C12540" s="29" t="s">
        <v>26</v>
      </c>
      <c r="D12540" s="31">
        <v>59484.55</v>
      </c>
      <c r="F12540" s="3" t="str">
        <f t="shared" si="195"/>
        <v>I3693</v>
      </c>
    </row>
    <row r="12541" spans="1:6" x14ac:dyDescent="0.2">
      <c r="A12541" s="29" t="s">
        <v>28608</v>
      </c>
      <c r="B12541" s="30" t="s">
        <v>28609</v>
      </c>
      <c r="C12541" s="29" t="s">
        <v>26</v>
      </c>
      <c r="D12541" s="31">
        <v>42336.09</v>
      </c>
      <c r="F12541" s="3" t="str">
        <f t="shared" si="195"/>
        <v>I3694</v>
      </c>
    </row>
    <row r="12542" spans="1:6" x14ac:dyDescent="0.2">
      <c r="A12542" s="29" t="s">
        <v>28610</v>
      </c>
      <c r="B12542" s="30" t="s">
        <v>28611</v>
      </c>
      <c r="C12542" s="29" t="s">
        <v>26</v>
      </c>
      <c r="D12542" s="31">
        <v>48518.59</v>
      </c>
      <c r="F12542" s="3" t="str">
        <f t="shared" si="195"/>
        <v>I3695</v>
      </c>
    </row>
    <row r="12543" spans="1:6" x14ac:dyDescent="0.2">
      <c r="A12543" s="29" t="s">
        <v>28612</v>
      </c>
      <c r="B12543" s="30" t="s">
        <v>28613</v>
      </c>
      <c r="C12543" s="29" t="s">
        <v>26</v>
      </c>
      <c r="D12543" s="31">
        <v>71586.89</v>
      </c>
      <c r="F12543" s="3" t="str">
        <f t="shared" si="195"/>
        <v>I3696</v>
      </c>
    </row>
    <row r="12544" spans="1:6" x14ac:dyDescent="0.2">
      <c r="A12544" s="29" t="s">
        <v>28614</v>
      </c>
      <c r="B12544" s="30" t="s">
        <v>28615</v>
      </c>
      <c r="C12544" s="29" t="s">
        <v>26</v>
      </c>
      <c r="D12544" s="31">
        <v>75562.509999999995</v>
      </c>
      <c r="F12544" s="3" t="str">
        <f t="shared" si="195"/>
        <v>I3697</v>
      </c>
    </row>
    <row r="12545" spans="1:6" x14ac:dyDescent="0.2">
      <c r="A12545" s="29" t="s">
        <v>28616</v>
      </c>
      <c r="B12545" s="30" t="s">
        <v>28617</v>
      </c>
      <c r="C12545" s="29" t="s">
        <v>26</v>
      </c>
      <c r="D12545" s="31">
        <v>89074.19</v>
      </c>
      <c r="F12545" s="3" t="str">
        <f t="shared" si="195"/>
        <v>I3701</v>
      </c>
    </row>
    <row r="12546" spans="1:6" x14ac:dyDescent="0.2">
      <c r="A12546" s="29" t="s">
        <v>28618</v>
      </c>
      <c r="B12546" s="30" t="s">
        <v>28619</v>
      </c>
      <c r="C12546" s="29" t="s">
        <v>26</v>
      </c>
      <c r="D12546" s="31">
        <v>49291.82</v>
      </c>
      <c r="F12546" s="3" t="str">
        <f t="shared" ref="F12546:F12609" si="196">A12546</f>
        <v>I3698</v>
      </c>
    </row>
    <row r="12547" spans="1:6" x14ac:dyDescent="0.2">
      <c r="A12547" s="29" t="s">
        <v>28620</v>
      </c>
      <c r="B12547" s="30" t="s">
        <v>28621</v>
      </c>
      <c r="C12547" s="29" t="s">
        <v>26</v>
      </c>
      <c r="D12547" s="31">
        <v>65312.47</v>
      </c>
      <c r="F12547" s="3" t="str">
        <f t="shared" si="196"/>
        <v>I3699</v>
      </c>
    </row>
    <row r="12548" spans="1:6" x14ac:dyDescent="0.2">
      <c r="A12548" s="29" t="s">
        <v>28622</v>
      </c>
      <c r="B12548" s="30" t="s">
        <v>28623</v>
      </c>
      <c r="C12548" s="29" t="s">
        <v>26</v>
      </c>
      <c r="D12548" s="31">
        <v>79960.34</v>
      </c>
      <c r="F12548" s="3" t="str">
        <f t="shared" si="196"/>
        <v>I3700</v>
      </c>
    </row>
    <row r="12549" spans="1:6" x14ac:dyDescent="0.2">
      <c r="A12549" s="29" t="s">
        <v>28624</v>
      </c>
      <c r="B12549" s="30" t="s">
        <v>28625</v>
      </c>
      <c r="C12549" s="29" t="s">
        <v>26</v>
      </c>
      <c r="D12549" s="31">
        <v>141406.79</v>
      </c>
      <c r="F12549" s="3" t="str">
        <f t="shared" si="196"/>
        <v>I3706</v>
      </c>
    </row>
    <row r="12550" spans="1:6" x14ac:dyDescent="0.2">
      <c r="A12550" s="29" t="s">
        <v>28626</v>
      </c>
      <c r="B12550" s="30" t="s">
        <v>28627</v>
      </c>
      <c r="C12550" s="29" t="s">
        <v>26</v>
      </c>
      <c r="D12550" s="31">
        <v>188542.39</v>
      </c>
      <c r="F12550" s="3" t="str">
        <f t="shared" si="196"/>
        <v>I3707</v>
      </c>
    </row>
    <row r="12551" spans="1:6" x14ac:dyDescent="0.2">
      <c r="A12551" s="29" t="s">
        <v>28628</v>
      </c>
      <c r="B12551" s="30" t="s">
        <v>28629</v>
      </c>
      <c r="C12551" s="29" t="s">
        <v>26</v>
      </c>
      <c r="D12551" s="31">
        <v>73966.63</v>
      </c>
      <c r="F12551" s="3" t="str">
        <f t="shared" si="196"/>
        <v>I3702</v>
      </c>
    </row>
    <row r="12552" spans="1:6" x14ac:dyDescent="0.2">
      <c r="A12552" s="29" t="s">
        <v>28630</v>
      </c>
      <c r="B12552" s="30" t="s">
        <v>28631</v>
      </c>
      <c r="C12552" s="29" t="s">
        <v>26</v>
      </c>
      <c r="D12552" s="31">
        <v>84118.91</v>
      </c>
      <c r="F12552" s="3" t="str">
        <f t="shared" si="196"/>
        <v>I3703</v>
      </c>
    </row>
    <row r="12553" spans="1:6" x14ac:dyDescent="0.2">
      <c r="A12553" s="29" t="s">
        <v>28632</v>
      </c>
      <c r="B12553" s="30" t="s">
        <v>28633</v>
      </c>
      <c r="C12553" s="29" t="s">
        <v>26</v>
      </c>
      <c r="D12553" s="31">
        <v>77048.570000000007</v>
      </c>
      <c r="F12553" s="3" t="str">
        <f t="shared" si="196"/>
        <v>I3704</v>
      </c>
    </row>
    <row r="12554" spans="1:6" x14ac:dyDescent="0.2">
      <c r="A12554" s="29" t="s">
        <v>28634</v>
      </c>
      <c r="B12554" s="30" t="s">
        <v>28635</v>
      </c>
      <c r="C12554" s="29" t="s">
        <v>26</v>
      </c>
      <c r="D12554" s="31">
        <v>58092.33</v>
      </c>
      <c r="F12554" s="3" t="str">
        <f t="shared" si="196"/>
        <v>I3705</v>
      </c>
    </row>
    <row r="12555" spans="1:6" x14ac:dyDescent="0.2">
      <c r="A12555" s="29" t="s">
        <v>28636</v>
      </c>
      <c r="B12555" s="30" t="s">
        <v>28637</v>
      </c>
      <c r="C12555" s="29" t="s">
        <v>26</v>
      </c>
      <c r="D12555" s="31">
        <v>3817.48</v>
      </c>
      <c r="F12555" s="3" t="str">
        <f t="shared" si="196"/>
        <v>I7733</v>
      </c>
    </row>
    <row r="12556" spans="1:6" x14ac:dyDescent="0.2">
      <c r="A12556" s="29" t="s">
        <v>28638</v>
      </c>
      <c r="B12556" s="30" t="s">
        <v>28639</v>
      </c>
      <c r="C12556" s="29" t="s">
        <v>26</v>
      </c>
      <c r="D12556" s="31">
        <v>5784.52</v>
      </c>
      <c r="F12556" s="3" t="str">
        <f t="shared" si="196"/>
        <v>I7734</v>
      </c>
    </row>
    <row r="12557" spans="1:6" x14ac:dyDescent="0.2">
      <c r="A12557" s="29" t="s">
        <v>28640</v>
      </c>
      <c r="B12557" s="30" t="s">
        <v>28641</v>
      </c>
      <c r="C12557" s="29" t="s">
        <v>26</v>
      </c>
      <c r="D12557" s="31">
        <v>7999.74</v>
      </c>
      <c r="F12557" s="3" t="str">
        <f t="shared" si="196"/>
        <v>I7735</v>
      </c>
    </row>
    <row r="12558" spans="1:6" x14ac:dyDescent="0.2">
      <c r="A12558" s="29" t="s">
        <v>28642</v>
      </c>
      <c r="B12558" s="30" t="s">
        <v>28643</v>
      </c>
      <c r="C12558" s="29" t="s">
        <v>26</v>
      </c>
      <c r="D12558" s="31">
        <v>8174.88</v>
      </c>
      <c r="F12558" s="3" t="str">
        <f t="shared" si="196"/>
        <v>I7736</v>
      </c>
    </row>
    <row r="12559" spans="1:6" x14ac:dyDescent="0.2">
      <c r="A12559" s="29" t="s">
        <v>28644</v>
      </c>
      <c r="B12559" s="30" t="s">
        <v>28645</v>
      </c>
      <c r="C12559" s="29" t="s">
        <v>26</v>
      </c>
      <c r="D12559" s="31">
        <v>10656.58</v>
      </c>
      <c r="F12559" s="3" t="str">
        <f t="shared" si="196"/>
        <v>I7737</v>
      </c>
    </row>
    <row r="12560" spans="1:6" x14ac:dyDescent="0.2">
      <c r="A12560" s="29" t="s">
        <v>28646</v>
      </c>
      <c r="B12560" s="30" t="s">
        <v>28647</v>
      </c>
      <c r="C12560" s="29" t="s">
        <v>26</v>
      </c>
      <c r="D12560" s="31">
        <v>11463.51</v>
      </c>
      <c r="F12560" s="3" t="str">
        <f t="shared" si="196"/>
        <v>I7738</v>
      </c>
    </row>
    <row r="12561" spans="1:6" x14ac:dyDescent="0.2">
      <c r="A12561" s="29" t="s">
        <v>28648</v>
      </c>
      <c r="B12561" s="30" t="s">
        <v>28649</v>
      </c>
      <c r="C12561" s="29" t="s">
        <v>26</v>
      </c>
      <c r="D12561" s="31">
        <v>11807.62</v>
      </c>
      <c r="F12561" s="3" t="str">
        <f t="shared" si="196"/>
        <v>I7739</v>
      </c>
    </row>
    <row r="12562" spans="1:6" x14ac:dyDescent="0.2">
      <c r="A12562" s="29" t="s">
        <v>28650</v>
      </c>
      <c r="B12562" s="30" t="s">
        <v>28651</v>
      </c>
      <c r="C12562" s="29" t="s">
        <v>26</v>
      </c>
      <c r="D12562" s="31">
        <v>12779.25</v>
      </c>
      <c r="F12562" s="3" t="str">
        <f t="shared" si="196"/>
        <v>I7740</v>
      </c>
    </row>
    <row r="12563" spans="1:6" x14ac:dyDescent="0.2">
      <c r="A12563" s="29" t="s">
        <v>28652</v>
      </c>
      <c r="B12563" s="30" t="s">
        <v>28653</v>
      </c>
      <c r="C12563" s="29" t="s">
        <v>26</v>
      </c>
      <c r="D12563" s="31">
        <v>44177.31</v>
      </c>
      <c r="F12563" s="3" t="str">
        <f t="shared" si="196"/>
        <v>I7777</v>
      </c>
    </row>
    <row r="12564" spans="1:6" x14ac:dyDescent="0.2">
      <c r="A12564" s="29" t="s">
        <v>28654</v>
      </c>
      <c r="B12564" s="30" t="s">
        <v>28655</v>
      </c>
      <c r="C12564" s="29" t="s">
        <v>26</v>
      </c>
      <c r="D12564" s="31">
        <v>44890.21</v>
      </c>
      <c r="F12564" s="3" t="str">
        <f t="shared" si="196"/>
        <v>I7819</v>
      </c>
    </row>
    <row r="12565" spans="1:6" x14ac:dyDescent="0.2">
      <c r="A12565" s="29" t="s">
        <v>28656</v>
      </c>
      <c r="B12565" s="30" t="s">
        <v>28657</v>
      </c>
      <c r="C12565" s="29" t="s">
        <v>26</v>
      </c>
      <c r="D12565" s="31">
        <v>44565.45</v>
      </c>
      <c r="F12565" s="3" t="str">
        <f t="shared" si="196"/>
        <v>I7861</v>
      </c>
    </row>
    <row r="12566" spans="1:6" x14ac:dyDescent="0.2">
      <c r="A12566" s="29" t="s">
        <v>28658</v>
      </c>
      <c r="B12566" s="30" t="s">
        <v>28659</v>
      </c>
      <c r="C12566" s="29" t="s">
        <v>26</v>
      </c>
      <c r="D12566" s="31">
        <v>35168.53</v>
      </c>
      <c r="F12566" s="3" t="str">
        <f t="shared" si="196"/>
        <v>I7773</v>
      </c>
    </row>
    <row r="12567" spans="1:6" x14ac:dyDescent="0.2">
      <c r="A12567" s="29" t="s">
        <v>28660</v>
      </c>
      <c r="B12567" s="30" t="s">
        <v>28661</v>
      </c>
      <c r="C12567" s="29" t="s">
        <v>26</v>
      </c>
      <c r="D12567" s="31">
        <v>35521.18</v>
      </c>
      <c r="F12567" s="3" t="str">
        <f t="shared" si="196"/>
        <v>I7815</v>
      </c>
    </row>
    <row r="12568" spans="1:6" x14ac:dyDescent="0.2">
      <c r="A12568" s="29" t="s">
        <v>28662</v>
      </c>
      <c r="B12568" s="30" t="s">
        <v>28663</v>
      </c>
      <c r="C12568" s="29" t="s">
        <v>26</v>
      </c>
      <c r="D12568" s="31">
        <v>31988.720000000001</v>
      </c>
      <c r="F12568" s="3" t="str">
        <f t="shared" si="196"/>
        <v>I7857</v>
      </c>
    </row>
    <row r="12569" spans="1:6" x14ac:dyDescent="0.2">
      <c r="A12569" s="29" t="s">
        <v>28664</v>
      </c>
      <c r="B12569" s="30" t="s">
        <v>28665</v>
      </c>
      <c r="C12569" s="29" t="s">
        <v>26</v>
      </c>
      <c r="D12569" s="31">
        <v>37589.360000000001</v>
      </c>
      <c r="F12569" s="3" t="str">
        <f t="shared" si="196"/>
        <v>I7774</v>
      </c>
    </row>
    <row r="12570" spans="1:6" x14ac:dyDescent="0.2">
      <c r="A12570" s="29" t="s">
        <v>28666</v>
      </c>
      <c r="B12570" s="30" t="s">
        <v>28667</v>
      </c>
      <c r="C12570" s="29" t="s">
        <v>26</v>
      </c>
      <c r="D12570" s="31">
        <v>38209.46</v>
      </c>
      <c r="F12570" s="3" t="str">
        <f t="shared" si="196"/>
        <v>I7816</v>
      </c>
    </row>
    <row r="12571" spans="1:6" x14ac:dyDescent="0.2">
      <c r="A12571" s="29" t="s">
        <v>28668</v>
      </c>
      <c r="B12571" s="30" t="s">
        <v>28669</v>
      </c>
      <c r="C12571" s="29" t="s">
        <v>26</v>
      </c>
      <c r="D12571" s="31">
        <v>34777.39</v>
      </c>
      <c r="F12571" s="3" t="str">
        <f t="shared" si="196"/>
        <v>I7858</v>
      </c>
    </row>
    <row r="12572" spans="1:6" x14ac:dyDescent="0.2">
      <c r="A12572" s="29" t="s">
        <v>28670</v>
      </c>
      <c r="B12572" s="30" t="s">
        <v>28671</v>
      </c>
      <c r="C12572" s="29" t="s">
        <v>26</v>
      </c>
      <c r="D12572" s="31">
        <v>44009.89</v>
      </c>
      <c r="F12572" s="3" t="str">
        <f t="shared" si="196"/>
        <v>I7775</v>
      </c>
    </row>
    <row r="12573" spans="1:6" x14ac:dyDescent="0.2">
      <c r="A12573" s="29" t="s">
        <v>28672</v>
      </c>
      <c r="B12573" s="30" t="s">
        <v>28673</v>
      </c>
      <c r="C12573" s="29" t="s">
        <v>26</v>
      </c>
      <c r="D12573" s="31">
        <v>44084.65</v>
      </c>
      <c r="F12573" s="3" t="str">
        <f t="shared" si="196"/>
        <v>I7817</v>
      </c>
    </row>
    <row r="12574" spans="1:6" x14ac:dyDescent="0.2">
      <c r="A12574" s="29" t="s">
        <v>28674</v>
      </c>
      <c r="B12574" s="30" t="s">
        <v>28675</v>
      </c>
      <c r="C12574" s="29" t="s">
        <v>26</v>
      </c>
      <c r="D12574" s="31">
        <v>40450.239999999998</v>
      </c>
      <c r="F12574" s="3" t="str">
        <f t="shared" si="196"/>
        <v>I7859</v>
      </c>
    </row>
    <row r="12575" spans="1:6" x14ac:dyDescent="0.2">
      <c r="A12575" s="29" t="s">
        <v>28676</v>
      </c>
      <c r="B12575" s="30" t="s">
        <v>28677</v>
      </c>
      <c r="C12575" s="29" t="s">
        <v>26</v>
      </c>
      <c r="D12575" s="31">
        <v>44455.95</v>
      </c>
      <c r="F12575" s="3" t="str">
        <f t="shared" si="196"/>
        <v>I7776</v>
      </c>
    </row>
    <row r="12576" spans="1:6" x14ac:dyDescent="0.2">
      <c r="A12576" s="29" t="s">
        <v>28678</v>
      </c>
      <c r="B12576" s="30" t="s">
        <v>28679</v>
      </c>
      <c r="C12576" s="29" t="s">
        <v>26</v>
      </c>
      <c r="D12576" s="31">
        <v>45300.59</v>
      </c>
      <c r="F12576" s="3" t="str">
        <f t="shared" si="196"/>
        <v>I7818</v>
      </c>
    </row>
    <row r="12577" spans="1:6" x14ac:dyDescent="0.2">
      <c r="A12577" s="29" t="s">
        <v>28680</v>
      </c>
      <c r="B12577" s="30" t="s">
        <v>28681</v>
      </c>
      <c r="C12577" s="29" t="s">
        <v>26</v>
      </c>
      <c r="D12577" s="31">
        <v>41657.040000000001</v>
      </c>
      <c r="F12577" s="3" t="str">
        <f t="shared" si="196"/>
        <v>I7860</v>
      </c>
    </row>
    <row r="12578" spans="1:6" x14ac:dyDescent="0.2">
      <c r="A12578" s="29" t="s">
        <v>28682</v>
      </c>
      <c r="B12578" s="30" t="s">
        <v>28683</v>
      </c>
      <c r="C12578" s="29" t="s">
        <v>26</v>
      </c>
      <c r="D12578" s="31">
        <v>50735.839999999997</v>
      </c>
      <c r="F12578" s="3" t="str">
        <f t="shared" si="196"/>
        <v>I7782</v>
      </c>
    </row>
    <row r="12579" spans="1:6" x14ac:dyDescent="0.2">
      <c r="A12579" s="29" t="s">
        <v>28684</v>
      </c>
      <c r="B12579" s="30" t="s">
        <v>28685</v>
      </c>
      <c r="C12579" s="29" t="s">
        <v>26</v>
      </c>
      <c r="D12579" s="31">
        <v>54584.639999999999</v>
      </c>
      <c r="F12579" s="3" t="str">
        <f t="shared" si="196"/>
        <v>I7824</v>
      </c>
    </row>
    <row r="12580" spans="1:6" x14ac:dyDescent="0.2">
      <c r="A12580" s="29" t="s">
        <v>28686</v>
      </c>
      <c r="B12580" s="30" t="s">
        <v>28687</v>
      </c>
      <c r="C12580" s="29" t="s">
        <v>26</v>
      </c>
      <c r="D12580" s="31">
        <v>55522.239999999998</v>
      </c>
      <c r="F12580" s="3" t="str">
        <f t="shared" si="196"/>
        <v>I7866</v>
      </c>
    </row>
    <row r="12581" spans="1:6" x14ac:dyDescent="0.2">
      <c r="A12581" s="29" t="s">
        <v>28688</v>
      </c>
      <c r="B12581" s="30" t="s">
        <v>28689</v>
      </c>
      <c r="C12581" s="29" t="s">
        <v>26</v>
      </c>
      <c r="D12581" s="31">
        <v>52421.04</v>
      </c>
      <c r="F12581" s="3" t="str">
        <f t="shared" si="196"/>
        <v>I7783</v>
      </c>
    </row>
    <row r="12582" spans="1:6" x14ac:dyDescent="0.2">
      <c r="A12582" s="29" t="s">
        <v>28690</v>
      </c>
      <c r="B12582" s="30" t="s">
        <v>28691</v>
      </c>
      <c r="C12582" s="29" t="s">
        <v>26</v>
      </c>
      <c r="D12582" s="31">
        <v>56397.74</v>
      </c>
      <c r="F12582" s="3" t="str">
        <f t="shared" si="196"/>
        <v>I7825</v>
      </c>
    </row>
    <row r="12583" spans="1:6" x14ac:dyDescent="0.2">
      <c r="A12583" s="29" t="s">
        <v>28692</v>
      </c>
      <c r="B12583" s="30" t="s">
        <v>28693</v>
      </c>
      <c r="C12583" s="29" t="s">
        <v>26</v>
      </c>
      <c r="D12583" s="31">
        <v>56632.68</v>
      </c>
      <c r="F12583" s="3" t="str">
        <f t="shared" si="196"/>
        <v>I7867</v>
      </c>
    </row>
    <row r="12584" spans="1:6" x14ac:dyDescent="0.2">
      <c r="A12584" s="29" t="s">
        <v>28694</v>
      </c>
      <c r="B12584" s="30" t="s">
        <v>28695</v>
      </c>
      <c r="C12584" s="29" t="s">
        <v>26</v>
      </c>
      <c r="D12584" s="31">
        <v>41915.22</v>
      </c>
      <c r="F12584" s="3" t="str">
        <f t="shared" si="196"/>
        <v>I7778</v>
      </c>
    </row>
    <row r="12585" spans="1:6" x14ac:dyDescent="0.2">
      <c r="A12585" s="29" t="s">
        <v>28696</v>
      </c>
      <c r="B12585" s="30" t="s">
        <v>28697</v>
      </c>
      <c r="C12585" s="29" t="s">
        <v>26</v>
      </c>
      <c r="D12585" s="31">
        <v>39992.32</v>
      </c>
      <c r="F12585" s="3" t="str">
        <f t="shared" si="196"/>
        <v>I7820</v>
      </c>
    </row>
    <row r="12586" spans="1:6" x14ac:dyDescent="0.2">
      <c r="A12586" s="29" t="s">
        <v>28698</v>
      </c>
      <c r="B12586" s="30" t="s">
        <v>28699</v>
      </c>
      <c r="C12586" s="29" t="s">
        <v>26</v>
      </c>
      <c r="D12586" s="31">
        <v>39580.49</v>
      </c>
      <c r="F12586" s="3" t="str">
        <f t="shared" si="196"/>
        <v>I7862</v>
      </c>
    </row>
    <row r="12587" spans="1:6" x14ac:dyDescent="0.2">
      <c r="A12587" s="29" t="s">
        <v>28700</v>
      </c>
      <c r="B12587" s="30" t="s">
        <v>28701</v>
      </c>
      <c r="C12587" s="29" t="s">
        <v>26</v>
      </c>
      <c r="D12587" s="31">
        <v>44352.3</v>
      </c>
      <c r="F12587" s="3" t="str">
        <f t="shared" si="196"/>
        <v>I7779</v>
      </c>
    </row>
    <row r="12588" spans="1:6" x14ac:dyDescent="0.2">
      <c r="A12588" s="29" t="s">
        <v>28702</v>
      </c>
      <c r="B12588" s="30" t="s">
        <v>28703</v>
      </c>
      <c r="C12588" s="29" t="s">
        <v>26</v>
      </c>
      <c r="D12588" s="31">
        <v>44201.55</v>
      </c>
      <c r="F12588" s="3" t="str">
        <f t="shared" si="196"/>
        <v>I7821</v>
      </c>
    </row>
    <row r="12589" spans="1:6" x14ac:dyDescent="0.2">
      <c r="A12589" s="29" t="s">
        <v>28704</v>
      </c>
      <c r="B12589" s="30" t="s">
        <v>28705</v>
      </c>
      <c r="C12589" s="29" t="s">
        <v>26</v>
      </c>
      <c r="D12589" s="31">
        <v>40376.980000000003</v>
      </c>
      <c r="F12589" s="3" t="str">
        <f t="shared" si="196"/>
        <v>I7863</v>
      </c>
    </row>
    <row r="12590" spans="1:6" x14ac:dyDescent="0.2">
      <c r="A12590" s="29" t="s">
        <v>28706</v>
      </c>
      <c r="B12590" s="30" t="s">
        <v>28707</v>
      </c>
      <c r="C12590" s="29" t="s">
        <v>26</v>
      </c>
      <c r="D12590" s="31">
        <v>45778.1</v>
      </c>
      <c r="F12590" s="3" t="str">
        <f t="shared" si="196"/>
        <v>I7780</v>
      </c>
    </row>
    <row r="12591" spans="1:6" x14ac:dyDescent="0.2">
      <c r="A12591" s="29" t="s">
        <v>28708</v>
      </c>
      <c r="B12591" s="30" t="s">
        <v>28709</v>
      </c>
      <c r="C12591" s="29" t="s">
        <v>26</v>
      </c>
      <c r="D12591" s="31">
        <v>45398.9</v>
      </c>
      <c r="F12591" s="3" t="str">
        <f t="shared" si="196"/>
        <v>I7822</v>
      </c>
    </row>
    <row r="12592" spans="1:6" x14ac:dyDescent="0.2">
      <c r="A12592" s="29" t="s">
        <v>28710</v>
      </c>
      <c r="B12592" s="30" t="s">
        <v>28711</v>
      </c>
      <c r="C12592" s="29" t="s">
        <v>26</v>
      </c>
      <c r="D12592" s="31">
        <v>43528.14</v>
      </c>
      <c r="F12592" s="3" t="str">
        <f t="shared" si="196"/>
        <v>I7864</v>
      </c>
    </row>
    <row r="12593" spans="1:6" x14ac:dyDescent="0.2">
      <c r="A12593" s="29" t="s">
        <v>28712</v>
      </c>
      <c r="B12593" s="30" t="s">
        <v>28713</v>
      </c>
      <c r="C12593" s="29" t="s">
        <v>26</v>
      </c>
      <c r="D12593" s="31">
        <v>49758.29</v>
      </c>
      <c r="F12593" s="3" t="str">
        <f t="shared" si="196"/>
        <v>I7781</v>
      </c>
    </row>
    <row r="12594" spans="1:6" x14ac:dyDescent="0.2">
      <c r="A12594" s="29" t="s">
        <v>28714</v>
      </c>
      <c r="B12594" s="30" t="s">
        <v>28715</v>
      </c>
      <c r="C12594" s="29" t="s">
        <v>26</v>
      </c>
      <c r="D12594" s="31">
        <v>49984.67</v>
      </c>
      <c r="F12594" s="3" t="str">
        <f t="shared" si="196"/>
        <v>I7823</v>
      </c>
    </row>
    <row r="12595" spans="1:6" x14ac:dyDescent="0.2">
      <c r="A12595" s="29" t="s">
        <v>28716</v>
      </c>
      <c r="B12595" s="30" t="s">
        <v>28717</v>
      </c>
      <c r="C12595" s="29" t="s">
        <v>26</v>
      </c>
      <c r="D12595" s="31">
        <v>46073.27</v>
      </c>
      <c r="F12595" s="3" t="str">
        <f t="shared" si="196"/>
        <v>I7865</v>
      </c>
    </row>
    <row r="12596" spans="1:6" x14ac:dyDescent="0.2">
      <c r="A12596" s="29" t="s">
        <v>28718</v>
      </c>
      <c r="B12596" s="30" t="s">
        <v>28719</v>
      </c>
      <c r="C12596" s="29" t="s">
        <v>26</v>
      </c>
      <c r="D12596" s="31">
        <v>3499.46</v>
      </c>
      <c r="F12596" s="3" t="str">
        <f t="shared" si="196"/>
        <v>I7741</v>
      </c>
    </row>
    <row r="12597" spans="1:6" x14ac:dyDescent="0.2">
      <c r="A12597" s="29" t="s">
        <v>28720</v>
      </c>
      <c r="B12597" s="30" t="s">
        <v>28721</v>
      </c>
      <c r="C12597" s="29" t="s">
        <v>26</v>
      </c>
      <c r="D12597" s="31">
        <v>3499.46</v>
      </c>
      <c r="F12597" s="3" t="str">
        <f t="shared" si="196"/>
        <v>I7784</v>
      </c>
    </row>
    <row r="12598" spans="1:6" x14ac:dyDescent="0.2">
      <c r="A12598" s="29" t="s">
        <v>28722</v>
      </c>
      <c r="B12598" s="30" t="s">
        <v>28723</v>
      </c>
      <c r="C12598" s="29" t="s">
        <v>26</v>
      </c>
      <c r="D12598" s="31">
        <v>3745.73</v>
      </c>
      <c r="F12598" s="3" t="str">
        <f t="shared" si="196"/>
        <v>I7742</v>
      </c>
    </row>
    <row r="12599" spans="1:6" x14ac:dyDescent="0.2">
      <c r="A12599" s="29" t="s">
        <v>28724</v>
      </c>
      <c r="B12599" s="30" t="s">
        <v>28725</v>
      </c>
      <c r="C12599" s="29" t="s">
        <v>26</v>
      </c>
      <c r="D12599" s="31">
        <v>3830.26</v>
      </c>
      <c r="F12599" s="3" t="str">
        <f t="shared" si="196"/>
        <v>I7785</v>
      </c>
    </row>
    <row r="12600" spans="1:6" x14ac:dyDescent="0.2">
      <c r="A12600" s="29" t="s">
        <v>28726</v>
      </c>
      <c r="B12600" s="30" t="s">
        <v>28727</v>
      </c>
      <c r="C12600" s="29" t="s">
        <v>26</v>
      </c>
      <c r="D12600" s="31">
        <v>3585.48</v>
      </c>
      <c r="F12600" s="3" t="str">
        <f t="shared" si="196"/>
        <v>I7827</v>
      </c>
    </row>
    <row r="12601" spans="1:6" x14ac:dyDescent="0.2">
      <c r="A12601" s="29" t="s">
        <v>28728</v>
      </c>
      <c r="B12601" s="30" t="s">
        <v>28729</v>
      </c>
      <c r="C12601" s="29" t="s">
        <v>26</v>
      </c>
      <c r="D12601" s="31">
        <v>3817.48</v>
      </c>
      <c r="F12601" s="3" t="str">
        <f t="shared" si="196"/>
        <v>I7743</v>
      </c>
    </row>
    <row r="12602" spans="1:6" x14ac:dyDescent="0.2">
      <c r="A12602" s="29" t="s">
        <v>28730</v>
      </c>
      <c r="B12602" s="30" t="s">
        <v>28731</v>
      </c>
      <c r="C12602" s="29" t="s">
        <v>26</v>
      </c>
      <c r="D12602" s="31">
        <v>3885.03</v>
      </c>
      <c r="F12602" s="3" t="str">
        <f t="shared" si="196"/>
        <v>I7786</v>
      </c>
    </row>
    <row r="12603" spans="1:6" x14ac:dyDescent="0.2">
      <c r="A12603" s="29" t="s">
        <v>28732</v>
      </c>
      <c r="B12603" s="30" t="s">
        <v>28733</v>
      </c>
      <c r="C12603" s="29" t="s">
        <v>26</v>
      </c>
      <c r="D12603" s="31">
        <v>3625.38</v>
      </c>
      <c r="F12603" s="3" t="str">
        <f t="shared" si="196"/>
        <v>I7828</v>
      </c>
    </row>
    <row r="12604" spans="1:6" x14ac:dyDescent="0.2">
      <c r="A12604" s="29" t="s">
        <v>28734</v>
      </c>
      <c r="B12604" s="30" t="s">
        <v>28735</v>
      </c>
      <c r="C12604" s="29" t="s">
        <v>26</v>
      </c>
      <c r="D12604" s="31">
        <v>3354.04</v>
      </c>
      <c r="F12604" s="3" t="str">
        <f t="shared" si="196"/>
        <v>I7744</v>
      </c>
    </row>
    <row r="12605" spans="1:6" x14ac:dyDescent="0.2">
      <c r="A12605" s="29" t="s">
        <v>28736</v>
      </c>
      <c r="B12605" s="30" t="s">
        <v>28737</v>
      </c>
      <c r="C12605" s="29" t="s">
        <v>26</v>
      </c>
      <c r="D12605" s="31">
        <v>3354.04</v>
      </c>
      <c r="F12605" s="3" t="str">
        <f t="shared" si="196"/>
        <v>I7787</v>
      </c>
    </row>
    <row r="12606" spans="1:6" x14ac:dyDescent="0.2">
      <c r="A12606" s="29" t="s">
        <v>28738</v>
      </c>
      <c r="B12606" s="30" t="s">
        <v>28739</v>
      </c>
      <c r="C12606" s="29" t="s">
        <v>26</v>
      </c>
      <c r="D12606" s="31">
        <v>4281.46</v>
      </c>
      <c r="F12606" s="3" t="str">
        <f t="shared" si="196"/>
        <v>I7829</v>
      </c>
    </row>
    <row r="12607" spans="1:6" x14ac:dyDescent="0.2">
      <c r="A12607" s="29" t="s">
        <v>28740</v>
      </c>
      <c r="B12607" s="30" t="s">
        <v>28741</v>
      </c>
      <c r="C12607" s="29" t="s">
        <v>26</v>
      </c>
      <c r="D12607" s="31">
        <v>4705.3500000000004</v>
      </c>
      <c r="F12607" s="3" t="str">
        <f t="shared" si="196"/>
        <v>I7745</v>
      </c>
    </row>
    <row r="12608" spans="1:6" x14ac:dyDescent="0.2">
      <c r="A12608" s="29" t="s">
        <v>28742</v>
      </c>
      <c r="B12608" s="30" t="s">
        <v>28743</v>
      </c>
      <c r="C12608" s="29" t="s">
        <v>26</v>
      </c>
      <c r="D12608" s="31">
        <v>4804.41</v>
      </c>
      <c r="F12608" s="3" t="str">
        <f t="shared" si="196"/>
        <v>I7788</v>
      </c>
    </row>
    <row r="12609" spans="1:6" x14ac:dyDescent="0.2">
      <c r="A12609" s="29" t="s">
        <v>28744</v>
      </c>
      <c r="B12609" s="30" t="s">
        <v>28745</v>
      </c>
      <c r="C12609" s="29" t="s">
        <v>26</v>
      </c>
      <c r="D12609" s="31">
        <v>4891.1099999999997</v>
      </c>
      <c r="F12609" s="3" t="str">
        <f t="shared" si="196"/>
        <v>I7830</v>
      </c>
    </row>
    <row r="12610" spans="1:6" x14ac:dyDescent="0.2">
      <c r="A12610" s="29" t="s">
        <v>28746</v>
      </c>
      <c r="B12610" s="30" t="s">
        <v>28747</v>
      </c>
      <c r="C12610" s="29" t="s">
        <v>26</v>
      </c>
      <c r="D12610" s="31">
        <v>7506.73</v>
      </c>
      <c r="F12610" s="3" t="str">
        <f t="shared" ref="F12610:F12673" si="197">A12610</f>
        <v>I7746</v>
      </c>
    </row>
    <row r="12611" spans="1:6" x14ac:dyDescent="0.2">
      <c r="A12611" s="29" t="s">
        <v>28748</v>
      </c>
      <c r="B12611" s="30" t="s">
        <v>28749</v>
      </c>
      <c r="C12611" s="29" t="s">
        <v>26</v>
      </c>
      <c r="D12611" s="31">
        <v>7535</v>
      </c>
      <c r="F12611" s="3" t="str">
        <f t="shared" si="197"/>
        <v>I7789</v>
      </c>
    </row>
    <row r="12612" spans="1:6" x14ac:dyDescent="0.2">
      <c r="A12612" s="29" t="s">
        <v>28750</v>
      </c>
      <c r="B12612" s="30" t="s">
        <v>28751</v>
      </c>
      <c r="C12612" s="29" t="s">
        <v>26</v>
      </c>
      <c r="D12612" s="31">
        <v>6969.6</v>
      </c>
      <c r="F12612" s="3" t="str">
        <f t="shared" si="197"/>
        <v>I7831</v>
      </c>
    </row>
    <row r="12613" spans="1:6" x14ac:dyDescent="0.2">
      <c r="A12613" s="29" t="s">
        <v>28752</v>
      </c>
      <c r="B12613" s="30" t="s">
        <v>28753</v>
      </c>
      <c r="C12613" s="29" t="s">
        <v>26</v>
      </c>
      <c r="D12613" s="31">
        <v>5046.93</v>
      </c>
      <c r="F12613" s="3" t="str">
        <f t="shared" si="197"/>
        <v>I7747</v>
      </c>
    </row>
    <row r="12614" spans="1:6" x14ac:dyDescent="0.2">
      <c r="A12614" s="29" t="s">
        <v>28754</v>
      </c>
      <c r="B12614" s="30" t="s">
        <v>28755</v>
      </c>
      <c r="C12614" s="29" t="s">
        <v>26</v>
      </c>
      <c r="D12614" s="31">
        <v>4618.0200000000004</v>
      </c>
      <c r="F12614" s="3" t="str">
        <f t="shared" si="197"/>
        <v>I7832</v>
      </c>
    </row>
    <row r="12615" spans="1:6" x14ac:dyDescent="0.2">
      <c r="A12615" s="29" t="s">
        <v>28756</v>
      </c>
      <c r="B12615" s="30" t="s">
        <v>28757</v>
      </c>
      <c r="C12615" s="29" t="s">
        <v>26</v>
      </c>
      <c r="D12615" s="31">
        <v>5414.83</v>
      </c>
      <c r="F12615" s="3" t="str">
        <f t="shared" si="197"/>
        <v>I7748</v>
      </c>
    </row>
    <row r="12616" spans="1:6" x14ac:dyDescent="0.2">
      <c r="A12616" s="29" t="s">
        <v>28758</v>
      </c>
      <c r="B12616" s="30" t="s">
        <v>28759</v>
      </c>
      <c r="C12616" s="29" t="s">
        <v>26</v>
      </c>
      <c r="D12616" s="31">
        <v>5497.86</v>
      </c>
      <c r="F12616" s="3" t="str">
        <f t="shared" si="197"/>
        <v>I7790</v>
      </c>
    </row>
    <row r="12617" spans="1:6" x14ac:dyDescent="0.2">
      <c r="A12617" s="29" t="s">
        <v>28760</v>
      </c>
      <c r="B12617" s="30" t="s">
        <v>28761</v>
      </c>
      <c r="C12617" s="29" t="s">
        <v>26</v>
      </c>
      <c r="D12617" s="31">
        <v>5161.5</v>
      </c>
      <c r="F12617" s="3" t="str">
        <f t="shared" si="197"/>
        <v>I7833</v>
      </c>
    </row>
    <row r="12618" spans="1:6" x14ac:dyDescent="0.2">
      <c r="A12618" s="29" t="s">
        <v>28762</v>
      </c>
      <c r="B12618" s="30" t="s">
        <v>28763</v>
      </c>
      <c r="C12618" s="29" t="s">
        <v>26</v>
      </c>
      <c r="D12618" s="31">
        <v>5784.52</v>
      </c>
      <c r="F12618" s="3" t="str">
        <f t="shared" si="197"/>
        <v>I7749</v>
      </c>
    </row>
    <row r="12619" spans="1:6" x14ac:dyDescent="0.2">
      <c r="A12619" s="29" t="s">
        <v>28764</v>
      </c>
      <c r="B12619" s="30" t="s">
        <v>28765</v>
      </c>
      <c r="C12619" s="29" t="s">
        <v>26</v>
      </c>
      <c r="D12619" s="31">
        <v>5837.74</v>
      </c>
      <c r="F12619" s="3" t="str">
        <f t="shared" si="197"/>
        <v>I7791</v>
      </c>
    </row>
    <row r="12620" spans="1:6" x14ac:dyDescent="0.2">
      <c r="A12620" s="29" t="s">
        <v>28766</v>
      </c>
      <c r="B12620" s="30" t="s">
        <v>28767</v>
      </c>
      <c r="C12620" s="29" t="s">
        <v>26</v>
      </c>
      <c r="D12620" s="31">
        <v>7999.74</v>
      </c>
      <c r="F12620" s="3" t="str">
        <f t="shared" si="197"/>
        <v>I7750</v>
      </c>
    </row>
    <row r="12621" spans="1:6" x14ac:dyDescent="0.2">
      <c r="A12621" s="29" t="s">
        <v>28768</v>
      </c>
      <c r="B12621" s="30" t="s">
        <v>28769</v>
      </c>
      <c r="C12621" s="29" t="s">
        <v>26</v>
      </c>
      <c r="D12621" s="31">
        <v>8709.2900000000009</v>
      </c>
      <c r="F12621" s="3" t="str">
        <f t="shared" si="197"/>
        <v>I7792</v>
      </c>
    </row>
    <row r="12622" spans="1:6" x14ac:dyDescent="0.2">
      <c r="A12622" s="29" t="s">
        <v>28770</v>
      </c>
      <c r="B12622" s="30" t="s">
        <v>28771</v>
      </c>
      <c r="C12622" s="29" t="s">
        <v>26</v>
      </c>
      <c r="D12622" s="31">
        <v>7750.58</v>
      </c>
      <c r="F12622" s="3" t="str">
        <f t="shared" si="197"/>
        <v>I7834</v>
      </c>
    </row>
    <row r="12623" spans="1:6" x14ac:dyDescent="0.2">
      <c r="A12623" s="29" t="s">
        <v>28772</v>
      </c>
      <c r="B12623" s="30" t="s">
        <v>28773</v>
      </c>
      <c r="C12623" s="29" t="s">
        <v>26</v>
      </c>
      <c r="D12623" s="31">
        <v>7455.8</v>
      </c>
      <c r="F12623" s="3" t="str">
        <f t="shared" si="197"/>
        <v>I7751</v>
      </c>
    </row>
    <row r="12624" spans="1:6" x14ac:dyDescent="0.2">
      <c r="A12624" s="29" t="s">
        <v>28774</v>
      </c>
      <c r="B12624" s="30" t="s">
        <v>28775</v>
      </c>
      <c r="C12624" s="29" t="s">
        <v>26</v>
      </c>
      <c r="D12624" s="31">
        <v>7455.8</v>
      </c>
      <c r="F12624" s="3" t="str">
        <f t="shared" si="197"/>
        <v>I7793</v>
      </c>
    </row>
    <row r="12625" spans="1:6" x14ac:dyDescent="0.2">
      <c r="A12625" s="29" t="s">
        <v>28776</v>
      </c>
      <c r="B12625" s="30" t="s">
        <v>28777</v>
      </c>
      <c r="C12625" s="29" t="s">
        <v>26</v>
      </c>
      <c r="D12625" s="31">
        <v>6926.95</v>
      </c>
      <c r="F12625" s="3" t="str">
        <f t="shared" si="197"/>
        <v>I7835</v>
      </c>
    </row>
    <row r="12626" spans="1:6" x14ac:dyDescent="0.2">
      <c r="A12626" s="29" t="s">
        <v>28778</v>
      </c>
      <c r="B12626" s="30" t="s">
        <v>28779</v>
      </c>
      <c r="C12626" s="29" t="s">
        <v>26</v>
      </c>
      <c r="D12626" s="31">
        <v>7578.13</v>
      </c>
      <c r="F12626" s="3" t="str">
        <f t="shared" si="197"/>
        <v>I7752</v>
      </c>
    </row>
    <row r="12627" spans="1:6" x14ac:dyDescent="0.2">
      <c r="A12627" s="29" t="s">
        <v>28780</v>
      </c>
      <c r="B12627" s="30" t="s">
        <v>28781</v>
      </c>
      <c r="C12627" s="29" t="s">
        <v>26</v>
      </c>
      <c r="D12627" s="31">
        <v>7764.82</v>
      </c>
      <c r="F12627" s="3" t="str">
        <f t="shared" si="197"/>
        <v>I7794</v>
      </c>
    </row>
    <row r="12628" spans="1:6" x14ac:dyDescent="0.2">
      <c r="A12628" s="29" t="s">
        <v>28782</v>
      </c>
      <c r="B12628" s="30" t="s">
        <v>28783</v>
      </c>
      <c r="C12628" s="29" t="s">
        <v>26</v>
      </c>
      <c r="D12628" s="31">
        <v>7242.7</v>
      </c>
      <c r="F12628" s="3" t="str">
        <f t="shared" si="197"/>
        <v>I7836</v>
      </c>
    </row>
    <row r="12629" spans="1:6" x14ac:dyDescent="0.2">
      <c r="A12629" s="29" t="s">
        <v>28784</v>
      </c>
      <c r="B12629" s="30" t="s">
        <v>28785</v>
      </c>
      <c r="C12629" s="29" t="s">
        <v>26</v>
      </c>
      <c r="D12629" s="31">
        <v>8174.88</v>
      </c>
      <c r="F12629" s="3" t="str">
        <f t="shared" si="197"/>
        <v>I7753</v>
      </c>
    </row>
    <row r="12630" spans="1:6" x14ac:dyDescent="0.2">
      <c r="A12630" s="29" t="s">
        <v>28786</v>
      </c>
      <c r="B12630" s="30" t="s">
        <v>28787</v>
      </c>
      <c r="C12630" s="29" t="s">
        <v>26</v>
      </c>
      <c r="D12630" s="31">
        <v>8353.24</v>
      </c>
      <c r="F12630" s="3" t="str">
        <f t="shared" si="197"/>
        <v>I7795</v>
      </c>
    </row>
    <row r="12631" spans="1:6" x14ac:dyDescent="0.2">
      <c r="A12631" s="29" t="s">
        <v>28788</v>
      </c>
      <c r="B12631" s="30" t="s">
        <v>28789</v>
      </c>
      <c r="C12631" s="29" t="s">
        <v>26</v>
      </c>
      <c r="D12631" s="31">
        <v>7747.85</v>
      </c>
      <c r="F12631" s="3" t="str">
        <f t="shared" si="197"/>
        <v>I7837</v>
      </c>
    </row>
    <row r="12632" spans="1:6" x14ac:dyDescent="0.2">
      <c r="A12632" s="29" t="s">
        <v>28790</v>
      </c>
      <c r="B12632" s="30" t="s">
        <v>28791</v>
      </c>
      <c r="C12632" s="29" t="s">
        <v>26</v>
      </c>
      <c r="D12632" s="31">
        <v>9900.68</v>
      </c>
      <c r="F12632" s="3" t="str">
        <f t="shared" si="197"/>
        <v>I7754</v>
      </c>
    </row>
    <row r="12633" spans="1:6" x14ac:dyDescent="0.2">
      <c r="A12633" s="29" t="s">
        <v>28792</v>
      </c>
      <c r="B12633" s="30" t="s">
        <v>28793</v>
      </c>
      <c r="C12633" s="29" t="s">
        <v>26</v>
      </c>
      <c r="D12633" s="31">
        <v>10015.92</v>
      </c>
      <c r="F12633" s="3" t="str">
        <f t="shared" si="197"/>
        <v>I7796</v>
      </c>
    </row>
    <row r="12634" spans="1:6" x14ac:dyDescent="0.2">
      <c r="A12634" s="29" t="s">
        <v>28794</v>
      </c>
      <c r="B12634" s="30" t="s">
        <v>28795</v>
      </c>
      <c r="C12634" s="29" t="s">
        <v>26</v>
      </c>
      <c r="D12634" s="31">
        <v>9627.5400000000009</v>
      </c>
      <c r="F12634" s="3" t="str">
        <f t="shared" si="197"/>
        <v>I7838</v>
      </c>
    </row>
    <row r="12635" spans="1:6" x14ac:dyDescent="0.2">
      <c r="A12635" s="29" t="s">
        <v>28796</v>
      </c>
      <c r="B12635" s="30" t="s">
        <v>28797</v>
      </c>
      <c r="C12635" s="29" t="s">
        <v>26</v>
      </c>
      <c r="D12635" s="31">
        <v>10656.58</v>
      </c>
      <c r="F12635" s="3" t="str">
        <f t="shared" si="197"/>
        <v>I7755</v>
      </c>
    </row>
    <row r="12636" spans="1:6" x14ac:dyDescent="0.2">
      <c r="A12636" s="29" t="s">
        <v>28798</v>
      </c>
      <c r="B12636" s="30" t="s">
        <v>28799</v>
      </c>
      <c r="C12636" s="29" t="s">
        <v>26</v>
      </c>
      <c r="D12636" s="31">
        <v>10956.69</v>
      </c>
      <c r="F12636" s="3" t="str">
        <f t="shared" si="197"/>
        <v>I7797</v>
      </c>
    </row>
    <row r="12637" spans="1:6" x14ac:dyDescent="0.2">
      <c r="A12637" s="29" t="s">
        <v>28800</v>
      </c>
      <c r="B12637" s="30" t="s">
        <v>28801</v>
      </c>
      <c r="C12637" s="29" t="s">
        <v>26</v>
      </c>
      <c r="D12637" s="31">
        <v>10153.040000000001</v>
      </c>
      <c r="F12637" s="3" t="str">
        <f t="shared" si="197"/>
        <v>I7839</v>
      </c>
    </row>
    <row r="12638" spans="1:6" x14ac:dyDescent="0.2">
      <c r="A12638" s="29" t="s">
        <v>28802</v>
      </c>
      <c r="B12638" s="30" t="s">
        <v>28803</v>
      </c>
      <c r="C12638" s="29" t="s">
        <v>26</v>
      </c>
      <c r="D12638" s="31">
        <v>10205.129999999999</v>
      </c>
      <c r="F12638" s="3" t="str">
        <f t="shared" si="197"/>
        <v>I7756</v>
      </c>
    </row>
    <row r="12639" spans="1:6" x14ac:dyDescent="0.2">
      <c r="A12639" s="29" t="s">
        <v>28804</v>
      </c>
      <c r="B12639" s="30" t="s">
        <v>28805</v>
      </c>
      <c r="C12639" s="29" t="s">
        <v>26</v>
      </c>
      <c r="D12639" s="31">
        <v>10205.129999999999</v>
      </c>
      <c r="F12639" s="3" t="str">
        <f t="shared" si="197"/>
        <v>I7798</v>
      </c>
    </row>
    <row r="12640" spans="1:6" x14ac:dyDescent="0.2">
      <c r="A12640" s="29" t="s">
        <v>28806</v>
      </c>
      <c r="B12640" s="30" t="s">
        <v>28807</v>
      </c>
      <c r="C12640" s="29" t="s">
        <v>26</v>
      </c>
      <c r="D12640" s="31">
        <v>9217.56</v>
      </c>
      <c r="F12640" s="3" t="str">
        <f t="shared" si="197"/>
        <v>I7840</v>
      </c>
    </row>
    <row r="12641" spans="1:6" x14ac:dyDescent="0.2">
      <c r="A12641" s="29" t="s">
        <v>28808</v>
      </c>
      <c r="B12641" s="30" t="s">
        <v>28809</v>
      </c>
      <c r="C12641" s="29" t="s">
        <v>26</v>
      </c>
      <c r="D12641" s="31">
        <v>9825</v>
      </c>
      <c r="F12641" s="3" t="str">
        <f t="shared" si="197"/>
        <v>I7757</v>
      </c>
    </row>
    <row r="12642" spans="1:6" x14ac:dyDescent="0.2">
      <c r="A12642" s="29" t="s">
        <v>28810</v>
      </c>
      <c r="B12642" s="30" t="s">
        <v>28811</v>
      </c>
      <c r="C12642" s="29" t="s">
        <v>26</v>
      </c>
      <c r="D12642" s="31">
        <v>10589.45</v>
      </c>
      <c r="F12642" s="3" t="str">
        <f t="shared" si="197"/>
        <v>I7799</v>
      </c>
    </row>
    <row r="12643" spans="1:6" x14ac:dyDescent="0.2">
      <c r="A12643" s="29" t="s">
        <v>28812</v>
      </c>
      <c r="B12643" s="30" t="s">
        <v>28813</v>
      </c>
      <c r="C12643" s="29" t="s">
        <v>26</v>
      </c>
      <c r="D12643" s="31">
        <v>9610.81</v>
      </c>
      <c r="F12643" s="3" t="str">
        <f t="shared" si="197"/>
        <v>I7841</v>
      </c>
    </row>
    <row r="12644" spans="1:6" x14ac:dyDescent="0.2">
      <c r="A12644" s="29" t="s">
        <v>28814</v>
      </c>
      <c r="B12644" s="30" t="s">
        <v>28815</v>
      </c>
      <c r="C12644" s="29" t="s">
        <v>26</v>
      </c>
      <c r="D12644" s="31">
        <v>11463.51</v>
      </c>
      <c r="F12644" s="3" t="str">
        <f t="shared" si="197"/>
        <v>I7758</v>
      </c>
    </row>
    <row r="12645" spans="1:6" x14ac:dyDescent="0.2">
      <c r="A12645" s="29" t="s">
        <v>28816</v>
      </c>
      <c r="B12645" s="30" t="s">
        <v>28817</v>
      </c>
      <c r="C12645" s="29" t="s">
        <v>26</v>
      </c>
      <c r="D12645" s="31">
        <v>11639.1</v>
      </c>
      <c r="F12645" s="3" t="str">
        <f t="shared" si="197"/>
        <v>I7800</v>
      </c>
    </row>
    <row r="12646" spans="1:6" x14ac:dyDescent="0.2">
      <c r="A12646" s="29" t="s">
        <v>28818</v>
      </c>
      <c r="B12646" s="30" t="s">
        <v>28819</v>
      </c>
      <c r="C12646" s="29" t="s">
        <v>26</v>
      </c>
      <c r="D12646" s="31">
        <v>10223.790000000001</v>
      </c>
      <c r="F12646" s="3" t="str">
        <f t="shared" si="197"/>
        <v>I7842</v>
      </c>
    </row>
    <row r="12647" spans="1:6" x14ac:dyDescent="0.2">
      <c r="A12647" s="29" t="s">
        <v>28820</v>
      </c>
      <c r="B12647" s="30" t="s">
        <v>28821</v>
      </c>
      <c r="C12647" s="29" t="s">
        <v>26</v>
      </c>
      <c r="D12647" s="31">
        <v>11807.62</v>
      </c>
      <c r="F12647" s="3" t="str">
        <f t="shared" si="197"/>
        <v>I7759</v>
      </c>
    </row>
    <row r="12648" spans="1:6" x14ac:dyDescent="0.2">
      <c r="A12648" s="29" t="s">
        <v>28822</v>
      </c>
      <c r="B12648" s="30" t="s">
        <v>28823</v>
      </c>
      <c r="C12648" s="29" t="s">
        <v>26</v>
      </c>
      <c r="D12648" s="31">
        <v>11867.19</v>
      </c>
      <c r="F12648" s="3" t="str">
        <f t="shared" si="197"/>
        <v>I7801</v>
      </c>
    </row>
    <row r="12649" spans="1:6" x14ac:dyDescent="0.2">
      <c r="A12649" s="29" t="s">
        <v>28824</v>
      </c>
      <c r="B12649" s="30" t="s">
        <v>28825</v>
      </c>
      <c r="C12649" s="29" t="s">
        <v>26</v>
      </c>
      <c r="D12649" s="31">
        <v>10952.25</v>
      </c>
      <c r="F12649" s="3" t="str">
        <f t="shared" si="197"/>
        <v>I7843</v>
      </c>
    </row>
    <row r="12650" spans="1:6" x14ac:dyDescent="0.2">
      <c r="A12650" s="29" t="s">
        <v>28826</v>
      </c>
      <c r="B12650" s="30" t="s">
        <v>28827</v>
      </c>
      <c r="C12650" s="29" t="s">
        <v>26</v>
      </c>
      <c r="D12650" s="31">
        <v>12779.25</v>
      </c>
      <c r="F12650" s="3" t="str">
        <f t="shared" si="197"/>
        <v>I7760</v>
      </c>
    </row>
    <row r="12651" spans="1:6" x14ac:dyDescent="0.2">
      <c r="A12651" s="29" t="s">
        <v>28828</v>
      </c>
      <c r="B12651" s="30" t="s">
        <v>28829</v>
      </c>
      <c r="C12651" s="29" t="s">
        <v>26</v>
      </c>
      <c r="D12651" s="31">
        <v>14002.93</v>
      </c>
      <c r="F12651" s="3" t="str">
        <f t="shared" si="197"/>
        <v>I7802</v>
      </c>
    </row>
    <row r="12652" spans="1:6" x14ac:dyDescent="0.2">
      <c r="A12652" s="29" t="s">
        <v>28830</v>
      </c>
      <c r="B12652" s="30" t="s">
        <v>28831</v>
      </c>
      <c r="C12652" s="29" t="s">
        <v>26</v>
      </c>
      <c r="D12652" s="31">
        <v>12747.01</v>
      </c>
      <c r="F12652" s="3" t="str">
        <f t="shared" si="197"/>
        <v>I7844</v>
      </c>
    </row>
    <row r="12653" spans="1:6" x14ac:dyDescent="0.2">
      <c r="A12653" s="29" t="s">
        <v>28832</v>
      </c>
      <c r="B12653" s="30" t="s">
        <v>28833</v>
      </c>
      <c r="C12653" s="29" t="s">
        <v>26</v>
      </c>
      <c r="D12653" s="31">
        <v>19241.64</v>
      </c>
      <c r="F12653" s="3" t="str">
        <f t="shared" si="197"/>
        <v>I7761</v>
      </c>
    </row>
    <row r="12654" spans="1:6" x14ac:dyDescent="0.2">
      <c r="A12654" s="29" t="s">
        <v>28834</v>
      </c>
      <c r="B12654" s="30" t="s">
        <v>28835</v>
      </c>
      <c r="C12654" s="29" t="s">
        <v>26</v>
      </c>
      <c r="D12654" s="31">
        <v>19402.43</v>
      </c>
      <c r="F12654" s="3" t="str">
        <f t="shared" si="197"/>
        <v>I7803</v>
      </c>
    </row>
    <row r="12655" spans="1:6" x14ac:dyDescent="0.2">
      <c r="A12655" s="29" t="s">
        <v>28836</v>
      </c>
      <c r="B12655" s="30" t="s">
        <v>28837</v>
      </c>
      <c r="C12655" s="29" t="s">
        <v>26</v>
      </c>
      <c r="D12655" s="31">
        <v>17331.669999999998</v>
      </c>
      <c r="F12655" s="3" t="str">
        <f t="shared" si="197"/>
        <v>I7845</v>
      </c>
    </row>
    <row r="12656" spans="1:6" x14ac:dyDescent="0.2">
      <c r="A12656" s="29" t="s">
        <v>28838</v>
      </c>
      <c r="B12656" s="30" t="s">
        <v>28839</v>
      </c>
      <c r="C12656" s="29" t="s">
        <v>26</v>
      </c>
      <c r="D12656" s="31">
        <v>23548.73</v>
      </c>
      <c r="F12656" s="3" t="str">
        <f t="shared" si="197"/>
        <v>I7762</v>
      </c>
    </row>
    <row r="12657" spans="1:6" x14ac:dyDescent="0.2">
      <c r="A12657" s="29" t="s">
        <v>28840</v>
      </c>
      <c r="B12657" s="30" t="s">
        <v>28841</v>
      </c>
      <c r="C12657" s="29" t="s">
        <v>26</v>
      </c>
      <c r="D12657" s="31">
        <v>23108.080000000002</v>
      </c>
      <c r="F12657" s="3" t="str">
        <f t="shared" si="197"/>
        <v>I7804</v>
      </c>
    </row>
    <row r="12658" spans="1:6" x14ac:dyDescent="0.2">
      <c r="A12658" s="29" t="s">
        <v>28842</v>
      </c>
      <c r="B12658" s="30" t="s">
        <v>28843</v>
      </c>
      <c r="C12658" s="29" t="s">
        <v>26</v>
      </c>
      <c r="D12658" s="31">
        <v>21008.21</v>
      </c>
      <c r="F12658" s="3" t="str">
        <f t="shared" si="197"/>
        <v>I7846</v>
      </c>
    </row>
    <row r="12659" spans="1:6" x14ac:dyDescent="0.2">
      <c r="A12659" s="29" t="s">
        <v>28844</v>
      </c>
      <c r="B12659" s="30" t="s">
        <v>28845</v>
      </c>
      <c r="C12659" s="29" t="s">
        <v>26</v>
      </c>
      <c r="D12659" s="31">
        <v>24879.09</v>
      </c>
      <c r="F12659" s="3" t="str">
        <f t="shared" si="197"/>
        <v>I7763</v>
      </c>
    </row>
    <row r="12660" spans="1:6" x14ac:dyDescent="0.2">
      <c r="A12660" s="29" t="s">
        <v>28846</v>
      </c>
      <c r="B12660" s="30" t="s">
        <v>28847</v>
      </c>
      <c r="C12660" s="29" t="s">
        <v>26</v>
      </c>
      <c r="D12660" s="31">
        <v>23199.1</v>
      </c>
      <c r="F12660" s="3" t="str">
        <f t="shared" si="197"/>
        <v>I7805</v>
      </c>
    </row>
    <row r="12661" spans="1:6" x14ac:dyDescent="0.2">
      <c r="A12661" s="29" t="s">
        <v>28848</v>
      </c>
      <c r="B12661" s="30" t="s">
        <v>28849</v>
      </c>
      <c r="C12661" s="29" t="s">
        <v>26</v>
      </c>
      <c r="D12661" s="31">
        <v>22022.59</v>
      </c>
      <c r="F12661" s="3" t="str">
        <f t="shared" si="197"/>
        <v>I7847</v>
      </c>
    </row>
    <row r="12662" spans="1:6" x14ac:dyDescent="0.2">
      <c r="A12662" s="29" t="s">
        <v>28850</v>
      </c>
      <c r="B12662" s="30" t="s">
        <v>28851</v>
      </c>
      <c r="C12662" s="29" t="s">
        <v>26</v>
      </c>
      <c r="D12662" s="31">
        <v>21945.4</v>
      </c>
      <c r="F12662" s="3" t="str">
        <f t="shared" si="197"/>
        <v>I7764</v>
      </c>
    </row>
    <row r="12663" spans="1:6" x14ac:dyDescent="0.2">
      <c r="A12663" s="29" t="s">
        <v>28852</v>
      </c>
      <c r="B12663" s="30" t="s">
        <v>28853</v>
      </c>
      <c r="C12663" s="29" t="s">
        <v>26</v>
      </c>
      <c r="D12663" s="31">
        <v>22977.61</v>
      </c>
      <c r="F12663" s="3" t="str">
        <f t="shared" si="197"/>
        <v>I7806</v>
      </c>
    </row>
    <row r="12664" spans="1:6" x14ac:dyDescent="0.2">
      <c r="A12664" s="29" t="s">
        <v>28854</v>
      </c>
      <c r="B12664" s="30" t="s">
        <v>28855</v>
      </c>
      <c r="C12664" s="29" t="s">
        <v>26</v>
      </c>
      <c r="D12664" s="31">
        <v>19990.38</v>
      </c>
      <c r="F12664" s="3" t="str">
        <f t="shared" si="197"/>
        <v>I7848</v>
      </c>
    </row>
    <row r="12665" spans="1:6" x14ac:dyDescent="0.2">
      <c r="A12665" s="29" t="s">
        <v>28856</v>
      </c>
      <c r="B12665" s="30" t="s">
        <v>28857</v>
      </c>
      <c r="C12665" s="29" t="s">
        <v>26</v>
      </c>
      <c r="D12665" s="31">
        <v>24478.85</v>
      </c>
      <c r="F12665" s="3" t="str">
        <f t="shared" si="197"/>
        <v>I7765</v>
      </c>
    </row>
    <row r="12666" spans="1:6" x14ac:dyDescent="0.2">
      <c r="A12666" s="29" t="s">
        <v>28858</v>
      </c>
      <c r="B12666" s="30" t="s">
        <v>28859</v>
      </c>
      <c r="C12666" s="29" t="s">
        <v>26</v>
      </c>
      <c r="D12666" s="31">
        <v>23881.31</v>
      </c>
      <c r="F12666" s="3" t="str">
        <f t="shared" si="197"/>
        <v>I7807</v>
      </c>
    </row>
    <row r="12667" spans="1:6" x14ac:dyDescent="0.2">
      <c r="A12667" s="29" t="s">
        <v>28860</v>
      </c>
      <c r="B12667" s="30" t="s">
        <v>28861</v>
      </c>
      <c r="C12667" s="29" t="s">
        <v>26</v>
      </c>
      <c r="D12667" s="31">
        <v>21839.65</v>
      </c>
      <c r="F12667" s="3" t="str">
        <f t="shared" si="197"/>
        <v>I7849</v>
      </c>
    </row>
    <row r="12668" spans="1:6" x14ac:dyDescent="0.2">
      <c r="A12668" s="29" t="s">
        <v>28862</v>
      </c>
      <c r="B12668" s="30" t="s">
        <v>28863</v>
      </c>
      <c r="C12668" s="29" t="s">
        <v>26</v>
      </c>
      <c r="D12668" s="31">
        <v>26396.09</v>
      </c>
      <c r="F12668" s="3" t="str">
        <f t="shared" si="197"/>
        <v>I7766</v>
      </c>
    </row>
    <row r="12669" spans="1:6" x14ac:dyDescent="0.2">
      <c r="A12669" s="29" t="s">
        <v>28864</v>
      </c>
      <c r="B12669" s="30" t="s">
        <v>28865</v>
      </c>
      <c r="C12669" s="29" t="s">
        <v>26</v>
      </c>
      <c r="D12669" s="31">
        <v>26351.11</v>
      </c>
      <c r="F12669" s="3" t="str">
        <f t="shared" si="197"/>
        <v>I7808</v>
      </c>
    </row>
    <row r="12670" spans="1:6" x14ac:dyDescent="0.2">
      <c r="A12670" s="29" t="s">
        <v>28866</v>
      </c>
      <c r="B12670" s="30" t="s">
        <v>28867</v>
      </c>
      <c r="C12670" s="29" t="s">
        <v>26</v>
      </c>
      <c r="D12670" s="31">
        <v>24496.240000000002</v>
      </c>
      <c r="F12670" s="3" t="str">
        <f t="shared" si="197"/>
        <v>I7850</v>
      </c>
    </row>
    <row r="12671" spans="1:6" x14ac:dyDescent="0.2">
      <c r="A12671" s="29" t="s">
        <v>28868</v>
      </c>
      <c r="B12671" s="30" t="s">
        <v>28869</v>
      </c>
      <c r="C12671" s="29" t="s">
        <v>26</v>
      </c>
      <c r="D12671" s="31">
        <v>28803.15</v>
      </c>
      <c r="F12671" s="3" t="str">
        <f t="shared" si="197"/>
        <v>I7767</v>
      </c>
    </row>
    <row r="12672" spans="1:6" x14ac:dyDescent="0.2">
      <c r="A12672" s="29" t="s">
        <v>28870</v>
      </c>
      <c r="B12672" s="30" t="s">
        <v>28871</v>
      </c>
      <c r="C12672" s="29" t="s">
        <v>26</v>
      </c>
      <c r="D12672" s="31">
        <v>27012.080000000002</v>
      </c>
      <c r="F12672" s="3" t="str">
        <f t="shared" si="197"/>
        <v>I7809</v>
      </c>
    </row>
    <row r="12673" spans="1:6" x14ac:dyDescent="0.2">
      <c r="A12673" s="29" t="s">
        <v>28872</v>
      </c>
      <c r="B12673" s="30" t="s">
        <v>28873</v>
      </c>
      <c r="C12673" s="29" t="s">
        <v>26</v>
      </c>
      <c r="D12673" s="31">
        <v>27908.55</v>
      </c>
      <c r="F12673" s="3" t="str">
        <f t="shared" si="197"/>
        <v>I7851</v>
      </c>
    </row>
    <row r="12674" spans="1:6" x14ac:dyDescent="0.2">
      <c r="A12674" s="29" t="s">
        <v>28874</v>
      </c>
      <c r="B12674" s="30" t="s">
        <v>28875</v>
      </c>
      <c r="C12674" s="29" t="s">
        <v>26</v>
      </c>
      <c r="D12674" s="31">
        <v>22655.360000000001</v>
      </c>
      <c r="F12674" s="3" t="str">
        <f t="shared" ref="F12674:F12737" si="198">A12674</f>
        <v>I7768</v>
      </c>
    </row>
    <row r="12675" spans="1:6" x14ac:dyDescent="0.2">
      <c r="A12675" s="29" t="s">
        <v>28876</v>
      </c>
      <c r="B12675" s="30" t="s">
        <v>28877</v>
      </c>
      <c r="C12675" s="29" t="s">
        <v>26</v>
      </c>
      <c r="D12675" s="31">
        <v>24462.7</v>
      </c>
      <c r="F12675" s="3" t="str">
        <f t="shared" si="198"/>
        <v>I7810</v>
      </c>
    </row>
    <row r="12676" spans="1:6" x14ac:dyDescent="0.2">
      <c r="A12676" s="29" t="s">
        <v>28878</v>
      </c>
      <c r="B12676" s="30" t="s">
        <v>28879</v>
      </c>
      <c r="C12676" s="29" t="s">
        <v>26</v>
      </c>
      <c r="D12676" s="31">
        <v>20834.55</v>
      </c>
      <c r="F12676" s="3" t="str">
        <f t="shared" si="198"/>
        <v>I7852</v>
      </c>
    </row>
    <row r="12677" spans="1:6" x14ac:dyDescent="0.2">
      <c r="A12677" s="29" t="s">
        <v>28880</v>
      </c>
      <c r="B12677" s="30" t="s">
        <v>28881</v>
      </c>
      <c r="C12677" s="29" t="s">
        <v>26</v>
      </c>
      <c r="D12677" s="31">
        <v>26379.97</v>
      </c>
      <c r="F12677" s="3" t="str">
        <f t="shared" si="198"/>
        <v>I7769</v>
      </c>
    </row>
    <row r="12678" spans="1:6" x14ac:dyDescent="0.2">
      <c r="A12678" s="29" t="s">
        <v>28882</v>
      </c>
      <c r="B12678" s="30" t="s">
        <v>28883</v>
      </c>
      <c r="C12678" s="29" t="s">
        <v>26</v>
      </c>
      <c r="D12678" s="31">
        <v>26542.6</v>
      </c>
      <c r="F12678" s="3" t="str">
        <f t="shared" si="198"/>
        <v>I7811</v>
      </c>
    </row>
    <row r="12679" spans="1:6" x14ac:dyDescent="0.2">
      <c r="A12679" s="29" t="s">
        <v>28884</v>
      </c>
      <c r="B12679" s="30" t="s">
        <v>28885</v>
      </c>
      <c r="C12679" s="29" t="s">
        <v>26</v>
      </c>
      <c r="D12679" s="31">
        <v>23987.1</v>
      </c>
      <c r="F12679" s="3" t="str">
        <f t="shared" si="198"/>
        <v>I7853</v>
      </c>
    </row>
    <row r="12680" spans="1:6" x14ac:dyDescent="0.2">
      <c r="A12680" s="29" t="s">
        <v>28886</v>
      </c>
      <c r="B12680" s="30" t="s">
        <v>28887</v>
      </c>
      <c r="C12680" s="29" t="s">
        <v>26</v>
      </c>
      <c r="D12680" s="31">
        <v>32072.42</v>
      </c>
      <c r="F12680" s="3" t="str">
        <f t="shared" si="198"/>
        <v>I7770</v>
      </c>
    </row>
    <row r="12681" spans="1:6" x14ac:dyDescent="0.2">
      <c r="A12681" s="29" t="s">
        <v>28888</v>
      </c>
      <c r="B12681" s="30" t="s">
        <v>28889</v>
      </c>
      <c r="C12681" s="29" t="s">
        <v>26</v>
      </c>
      <c r="D12681" s="31">
        <v>32359.91</v>
      </c>
      <c r="F12681" s="3" t="str">
        <f t="shared" si="198"/>
        <v>I7812</v>
      </c>
    </row>
    <row r="12682" spans="1:6" x14ac:dyDescent="0.2">
      <c r="A12682" s="29" t="s">
        <v>28890</v>
      </c>
      <c r="B12682" s="30" t="s">
        <v>28891</v>
      </c>
      <c r="C12682" s="29" t="s">
        <v>26</v>
      </c>
      <c r="D12682" s="31">
        <v>33619.839999999997</v>
      </c>
      <c r="F12682" s="3" t="str">
        <f t="shared" si="198"/>
        <v>I7854</v>
      </c>
    </row>
    <row r="12683" spans="1:6" x14ac:dyDescent="0.2">
      <c r="A12683" s="29" t="s">
        <v>28892</v>
      </c>
      <c r="B12683" s="30" t="s">
        <v>28893</v>
      </c>
      <c r="C12683" s="29" t="s">
        <v>26</v>
      </c>
      <c r="D12683" s="31">
        <v>35014.19</v>
      </c>
      <c r="F12683" s="3" t="str">
        <f t="shared" si="198"/>
        <v>I7771</v>
      </c>
    </row>
    <row r="12684" spans="1:6" x14ac:dyDescent="0.2">
      <c r="A12684" s="29" t="s">
        <v>28894</v>
      </c>
      <c r="B12684" s="30" t="s">
        <v>28895</v>
      </c>
      <c r="C12684" s="29" t="s">
        <v>26</v>
      </c>
      <c r="D12684" s="31">
        <v>33423.050000000003</v>
      </c>
      <c r="F12684" s="3" t="str">
        <f t="shared" si="198"/>
        <v>I7813</v>
      </c>
    </row>
    <row r="12685" spans="1:6" x14ac:dyDescent="0.2">
      <c r="A12685" s="29" t="s">
        <v>28896</v>
      </c>
      <c r="B12685" s="30" t="s">
        <v>28897</v>
      </c>
      <c r="C12685" s="29" t="s">
        <v>26</v>
      </c>
      <c r="D12685" s="31">
        <v>37032.839999999997</v>
      </c>
      <c r="F12685" s="3" t="str">
        <f t="shared" si="198"/>
        <v>I7855</v>
      </c>
    </row>
    <row r="12686" spans="1:6" x14ac:dyDescent="0.2">
      <c r="A12686" s="29" t="s">
        <v>28898</v>
      </c>
      <c r="B12686" s="30" t="s">
        <v>28899</v>
      </c>
      <c r="C12686" s="29" t="s">
        <v>26</v>
      </c>
      <c r="D12686" s="31">
        <v>35669.85</v>
      </c>
      <c r="F12686" s="3" t="str">
        <f t="shared" si="198"/>
        <v>I7772</v>
      </c>
    </row>
    <row r="12687" spans="1:6" x14ac:dyDescent="0.2">
      <c r="A12687" s="29" t="s">
        <v>28900</v>
      </c>
      <c r="B12687" s="30" t="s">
        <v>28901</v>
      </c>
      <c r="C12687" s="29" t="s">
        <v>26</v>
      </c>
      <c r="D12687" s="31">
        <v>35901.17</v>
      </c>
      <c r="F12687" s="3" t="str">
        <f t="shared" si="198"/>
        <v>I7814</v>
      </c>
    </row>
    <row r="12688" spans="1:6" x14ac:dyDescent="0.2">
      <c r="A12688" s="29" t="s">
        <v>28902</v>
      </c>
      <c r="B12688" s="30" t="s">
        <v>28903</v>
      </c>
      <c r="C12688" s="29" t="s">
        <v>26</v>
      </c>
      <c r="D12688" s="31">
        <v>39457.19</v>
      </c>
      <c r="F12688" s="3" t="str">
        <f t="shared" si="198"/>
        <v>I7856</v>
      </c>
    </row>
    <row r="12689" spans="1:6" x14ac:dyDescent="0.2">
      <c r="A12689" s="29" t="s">
        <v>28904</v>
      </c>
      <c r="B12689" s="30" t="s">
        <v>28905</v>
      </c>
      <c r="C12689" s="29" t="s">
        <v>26</v>
      </c>
      <c r="D12689" s="31">
        <v>230.05</v>
      </c>
      <c r="F12689" s="3" t="str">
        <f t="shared" si="198"/>
        <v>I3629</v>
      </c>
    </row>
    <row r="12690" spans="1:6" x14ac:dyDescent="0.2">
      <c r="A12690" s="29" t="s">
        <v>28906</v>
      </c>
      <c r="B12690" s="30" t="s">
        <v>28907</v>
      </c>
      <c r="C12690" s="29" t="s">
        <v>26</v>
      </c>
      <c r="D12690" s="31">
        <v>267.02999999999997</v>
      </c>
      <c r="F12690" s="3" t="str">
        <f t="shared" si="198"/>
        <v>I3630</v>
      </c>
    </row>
    <row r="12691" spans="1:6" x14ac:dyDescent="0.2">
      <c r="A12691" s="29" t="s">
        <v>28908</v>
      </c>
      <c r="B12691" s="30" t="s">
        <v>28909</v>
      </c>
      <c r="C12691" s="29" t="s">
        <v>26</v>
      </c>
      <c r="D12691" s="31">
        <v>341.53</v>
      </c>
      <c r="F12691" s="3" t="str">
        <f t="shared" si="198"/>
        <v>I3633</v>
      </c>
    </row>
    <row r="12692" spans="1:6" x14ac:dyDescent="0.2">
      <c r="A12692" s="29" t="s">
        <v>28910</v>
      </c>
      <c r="B12692" s="30" t="s">
        <v>28911</v>
      </c>
      <c r="C12692" s="29" t="s">
        <v>26</v>
      </c>
      <c r="D12692" s="31">
        <v>390.38</v>
      </c>
      <c r="F12692" s="3" t="str">
        <f t="shared" si="198"/>
        <v>I3631</v>
      </c>
    </row>
    <row r="12693" spans="1:6" x14ac:dyDescent="0.2">
      <c r="A12693" s="29" t="s">
        <v>28912</v>
      </c>
      <c r="B12693" s="30" t="s">
        <v>28913</v>
      </c>
      <c r="C12693" s="29" t="s">
        <v>26</v>
      </c>
      <c r="D12693" s="31">
        <v>320.97000000000003</v>
      </c>
      <c r="F12693" s="3" t="str">
        <f t="shared" si="198"/>
        <v>I3632</v>
      </c>
    </row>
    <row r="12694" spans="1:6" x14ac:dyDescent="0.2">
      <c r="A12694" s="29" t="s">
        <v>28914</v>
      </c>
      <c r="B12694" s="30" t="s">
        <v>28915</v>
      </c>
      <c r="C12694" s="29" t="s">
        <v>26</v>
      </c>
      <c r="D12694" s="31">
        <v>528.75</v>
      </c>
      <c r="F12694" s="3" t="str">
        <f t="shared" si="198"/>
        <v>I3636</v>
      </c>
    </row>
    <row r="12695" spans="1:6" x14ac:dyDescent="0.2">
      <c r="A12695" s="29" t="s">
        <v>28916</v>
      </c>
      <c r="B12695" s="30" t="s">
        <v>28917</v>
      </c>
      <c r="C12695" s="29" t="s">
        <v>26</v>
      </c>
      <c r="D12695" s="31">
        <v>517.77</v>
      </c>
      <c r="F12695" s="3" t="str">
        <f t="shared" si="198"/>
        <v>I3634</v>
      </c>
    </row>
    <row r="12696" spans="1:6" x14ac:dyDescent="0.2">
      <c r="A12696" s="29" t="s">
        <v>28918</v>
      </c>
      <c r="B12696" s="30" t="s">
        <v>28919</v>
      </c>
      <c r="C12696" s="29" t="s">
        <v>26</v>
      </c>
      <c r="D12696" s="31">
        <v>520.65</v>
      </c>
      <c r="F12696" s="3" t="str">
        <f t="shared" si="198"/>
        <v>I3635</v>
      </c>
    </row>
    <row r="12697" spans="1:6" x14ac:dyDescent="0.2">
      <c r="A12697" s="29" t="s">
        <v>28920</v>
      </c>
      <c r="B12697" s="30" t="s">
        <v>28921</v>
      </c>
      <c r="C12697" s="29" t="s">
        <v>26</v>
      </c>
      <c r="D12697" s="31">
        <v>530.74</v>
      </c>
      <c r="F12697" s="3" t="str">
        <f t="shared" si="198"/>
        <v>I3639</v>
      </c>
    </row>
    <row r="12698" spans="1:6" x14ac:dyDescent="0.2">
      <c r="A12698" s="29" t="s">
        <v>28922</v>
      </c>
      <c r="B12698" s="30" t="s">
        <v>28923</v>
      </c>
      <c r="C12698" s="29" t="s">
        <v>26</v>
      </c>
      <c r="D12698" s="31">
        <v>508.76</v>
      </c>
      <c r="F12698" s="3" t="str">
        <f t="shared" si="198"/>
        <v>I3637</v>
      </c>
    </row>
    <row r="12699" spans="1:6" x14ac:dyDescent="0.2">
      <c r="A12699" s="29" t="s">
        <v>28924</v>
      </c>
      <c r="B12699" s="30" t="s">
        <v>28925</v>
      </c>
      <c r="C12699" s="29" t="s">
        <v>26</v>
      </c>
      <c r="D12699" s="31">
        <v>519.69000000000005</v>
      </c>
      <c r="F12699" s="3" t="str">
        <f t="shared" si="198"/>
        <v>I3638</v>
      </c>
    </row>
    <row r="12700" spans="1:6" x14ac:dyDescent="0.2">
      <c r="A12700" s="29" t="s">
        <v>28926</v>
      </c>
      <c r="B12700" s="30" t="s">
        <v>28927</v>
      </c>
      <c r="C12700" s="29" t="s">
        <v>26</v>
      </c>
      <c r="D12700" s="31">
        <v>34041.25</v>
      </c>
      <c r="F12700" s="3" t="str">
        <f t="shared" si="198"/>
        <v>I3752</v>
      </c>
    </row>
    <row r="12701" spans="1:6" x14ac:dyDescent="0.2">
      <c r="A12701" s="29" t="s">
        <v>28928</v>
      </c>
      <c r="B12701" s="30" t="s">
        <v>28929</v>
      </c>
      <c r="C12701" s="29" t="s">
        <v>26</v>
      </c>
      <c r="D12701" s="31">
        <v>21150.29</v>
      </c>
      <c r="F12701" s="3" t="str">
        <f t="shared" si="198"/>
        <v>I3748</v>
      </c>
    </row>
    <row r="12702" spans="1:6" x14ac:dyDescent="0.2">
      <c r="A12702" s="29" t="s">
        <v>28930</v>
      </c>
      <c r="B12702" s="30" t="s">
        <v>28931</v>
      </c>
      <c r="C12702" s="29" t="s">
        <v>26</v>
      </c>
      <c r="D12702" s="31">
        <v>22834.06</v>
      </c>
      <c r="F12702" s="3" t="str">
        <f t="shared" si="198"/>
        <v>I3749</v>
      </c>
    </row>
    <row r="12703" spans="1:6" x14ac:dyDescent="0.2">
      <c r="A12703" s="29" t="s">
        <v>28932</v>
      </c>
      <c r="B12703" s="30" t="s">
        <v>28933</v>
      </c>
      <c r="C12703" s="29" t="s">
        <v>26</v>
      </c>
      <c r="D12703" s="31">
        <v>29155.11</v>
      </c>
      <c r="F12703" s="3" t="str">
        <f t="shared" si="198"/>
        <v>I3750</v>
      </c>
    </row>
    <row r="12704" spans="1:6" x14ac:dyDescent="0.2">
      <c r="A12704" s="29" t="s">
        <v>28934</v>
      </c>
      <c r="B12704" s="30" t="s">
        <v>28935</v>
      </c>
      <c r="C12704" s="29" t="s">
        <v>26</v>
      </c>
      <c r="D12704" s="31">
        <v>30536.29</v>
      </c>
      <c r="F12704" s="3" t="str">
        <f t="shared" si="198"/>
        <v>I3751</v>
      </c>
    </row>
    <row r="12705" spans="1:6" x14ac:dyDescent="0.2">
      <c r="A12705" s="29" t="s">
        <v>28936</v>
      </c>
      <c r="B12705" s="30" t="s">
        <v>28937</v>
      </c>
      <c r="C12705" s="29" t="s">
        <v>26</v>
      </c>
      <c r="D12705" s="31">
        <v>45844.61</v>
      </c>
      <c r="F12705" s="3" t="str">
        <f t="shared" si="198"/>
        <v>I3757</v>
      </c>
    </row>
    <row r="12706" spans="1:6" x14ac:dyDescent="0.2">
      <c r="A12706" s="29" t="s">
        <v>28938</v>
      </c>
      <c r="B12706" s="30" t="s">
        <v>28939</v>
      </c>
      <c r="C12706" s="29" t="s">
        <v>26</v>
      </c>
      <c r="D12706" s="31">
        <v>45515.78</v>
      </c>
      <c r="F12706" s="3" t="str">
        <f t="shared" si="198"/>
        <v>I3758</v>
      </c>
    </row>
    <row r="12707" spans="1:6" x14ac:dyDescent="0.2">
      <c r="A12707" s="29" t="s">
        <v>28940</v>
      </c>
      <c r="B12707" s="30" t="s">
        <v>28941</v>
      </c>
      <c r="C12707" s="29" t="s">
        <v>26</v>
      </c>
      <c r="D12707" s="31">
        <v>26033.59</v>
      </c>
      <c r="F12707" s="3" t="str">
        <f t="shared" si="198"/>
        <v>I3753</v>
      </c>
    </row>
    <row r="12708" spans="1:6" x14ac:dyDescent="0.2">
      <c r="A12708" s="29" t="s">
        <v>28942</v>
      </c>
      <c r="B12708" s="30" t="s">
        <v>28943</v>
      </c>
      <c r="C12708" s="29" t="s">
        <v>26</v>
      </c>
      <c r="D12708" s="31">
        <v>30629.19</v>
      </c>
      <c r="F12708" s="3" t="str">
        <f t="shared" si="198"/>
        <v>I3754</v>
      </c>
    </row>
    <row r="12709" spans="1:6" x14ac:dyDescent="0.2">
      <c r="A12709" s="29" t="s">
        <v>28944</v>
      </c>
      <c r="B12709" s="30" t="s">
        <v>28945</v>
      </c>
      <c r="C12709" s="29" t="s">
        <v>26</v>
      </c>
      <c r="D12709" s="31">
        <v>36599.21</v>
      </c>
      <c r="F12709" s="3" t="str">
        <f t="shared" si="198"/>
        <v>I3755</v>
      </c>
    </row>
    <row r="12710" spans="1:6" x14ac:dyDescent="0.2">
      <c r="A12710" s="29" t="s">
        <v>28946</v>
      </c>
      <c r="B12710" s="30" t="s">
        <v>28947</v>
      </c>
      <c r="C12710" s="29" t="s">
        <v>26</v>
      </c>
      <c r="D12710" s="31">
        <v>40327.760000000002</v>
      </c>
      <c r="F12710" s="3" t="str">
        <f t="shared" si="198"/>
        <v>I3756</v>
      </c>
    </row>
    <row r="12711" spans="1:6" x14ac:dyDescent="0.2">
      <c r="A12711" s="29" t="s">
        <v>28948</v>
      </c>
      <c r="B12711" s="30" t="s">
        <v>28949</v>
      </c>
      <c r="C12711" s="29" t="s">
        <v>26</v>
      </c>
      <c r="D12711" s="31">
        <v>1884.04</v>
      </c>
      <c r="F12711" s="3" t="str">
        <f t="shared" si="198"/>
        <v>I3708</v>
      </c>
    </row>
    <row r="12712" spans="1:6" x14ac:dyDescent="0.2">
      <c r="A12712" s="29" t="s">
        <v>28950</v>
      </c>
      <c r="B12712" s="30" t="s">
        <v>28951</v>
      </c>
      <c r="C12712" s="29" t="s">
        <v>26</v>
      </c>
      <c r="D12712" s="31">
        <v>1941.13</v>
      </c>
      <c r="F12712" s="3" t="str">
        <f t="shared" si="198"/>
        <v>I3709</v>
      </c>
    </row>
    <row r="12713" spans="1:6" x14ac:dyDescent="0.2">
      <c r="A12713" s="29" t="s">
        <v>28952</v>
      </c>
      <c r="B12713" s="30" t="s">
        <v>28953</v>
      </c>
      <c r="C12713" s="29" t="s">
        <v>26</v>
      </c>
      <c r="D12713" s="31">
        <v>2720.56</v>
      </c>
      <c r="F12713" s="3" t="str">
        <f t="shared" si="198"/>
        <v>I3710</v>
      </c>
    </row>
    <row r="12714" spans="1:6" x14ac:dyDescent="0.2">
      <c r="A12714" s="29" t="s">
        <v>28954</v>
      </c>
      <c r="B12714" s="30" t="s">
        <v>28955</v>
      </c>
      <c r="C12714" s="29" t="s">
        <v>26</v>
      </c>
      <c r="D12714" s="31">
        <v>5263.87</v>
      </c>
      <c r="F12714" s="3" t="str">
        <f t="shared" si="198"/>
        <v>I3711</v>
      </c>
    </row>
    <row r="12715" spans="1:6" x14ac:dyDescent="0.2">
      <c r="A12715" s="29" t="s">
        <v>28956</v>
      </c>
      <c r="B12715" s="30" t="s">
        <v>28957</v>
      </c>
      <c r="C12715" s="29" t="s">
        <v>26</v>
      </c>
      <c r="D12715" s="31">
        <v>6644.91</v>
      </c>
      <c r="F12715" s="3" t="str">
        <f t="shared" si="198"/>
        <v>I3712</v>
      </c>
    </row>
    <row r="12716" spans="1:6" x14ac:dyDescent="0.2">
      <c r="A12716" s="29" t="s">
        <v>28958</v>
      </c>
      <c r="B12716" s="30" t="s">
        <v>28959</v>
      </c>
      <c r="C12716" s="29" t="s">
        <v>26</v>
      </c>
      <c r="D12716" s="31">
        <v>6831.91</v>
      </c>
      <c r="F12716" s="3" t="str">
        <f t="shared" si="198"/>
        <v>I3713</v>
      </c>
    </row>
    <row r="12717" spans="1:6" x14ac:dyDescent="0.2">
      <c r="A12717" s="29" t="s">
        <v>28960</v>
      </c>
      <c r="B12717" s="30" t="s">
        <v>28961</v>
      </c>
      <c r="C12717" s="29" t="s">
        <v>26</v>
      </c>
      <c r="D12717" s="31">
        <v>7056.95</v>
      </c>
      <c r="F12717" s="3" t="str">
        <f t="shared" si="198"/>
        <v>I3714</v>
      </c>
    </row>
    <row r="12718" spans="1:6" x14ac:dyDescent="0.2">
      <c r="A12718" s="29" t="s">
        <v>28962</v>
      </c>
      <c r="B12718" s="30" t="s">
        <v>28963</v>
      </c>
      <c r="C12718" s="29" t="s">
        <v>26</v>
      </c>
      <c r="D12718" s="31">
        <v>9253.16</v>
      </c>
      <c r="F12718" s="3" t="str">
        <f t="shared" si="198"/>
        <v>I3715</v>
      </c>
    </row>
    <row r="12719" spans="1:6" x14ac:dyDescent="0.2">
      <c r="A12719" s="29" t="s">
        <v>28964</v>
      </c>
      <c r="B12719" s="30" t="s">
        <v>28965</v>
      </c>
      <c r="C12719" s="29" t="s">
        <v>26</v>
      </c>
      <c r="D12719" s="31">
        <v>3214.7</v>
      </c>
      <c r="F12719" s="3" t="str">
        <f t="shared" si="198"/>
        <v>I3716</v>
      </c>
    </row>
    <row r="12720" spans="1:6" x14ac:dyDescent="0.2">
      <c r="A12720" s="29" t="s">
        <v>28966</v>
      </c>
      <c r="B12720" s="30" t="s">
        <v>28967</v>
      </c>
      <c r="C12720" s="29" t="s">
        <v>26</v>
      </c>
      <c r="D12720" s="31">
        <v>3554.36</v>
      </c>
      <c r="F12720" s="3" t="str">
        <f t="shared" si="198"/>
        <v>I3717</v>
      </c>
    </row>
    <row r="12721" spans="1:6" x14ac:dyDescent="0.2">
      <c r="A12721" s="29" t="s">
        <v>28968</v>
      </c>
      <c r="B12721" s="30" t="s">
        <v>28969</v>
      </c>
      <c r="C12721" s="29" t="s">
        <v>26</v>
      </c>
      <c r="D12721" s="31">
        <v>5059.8100000000004</v>
      </c>
      <c r="F12721" s="3" t="str">
        <f t="shared" si="198"/>
        <v>I3718</v>
      </c>
    </row>
    <row r="12722" spans="1:6" x14ac:dyDescent="0.2">
      <c r="A12722" s="29" t="s">
        <v>28970</v>
      </c>
      <c r="B12722" s="30" t="s">
        <v>28971</v>
      </c>
      <c r="C12722" s="29" t="s">
        <v>26</v>
      </c>
      <c r="D12722" s="31">
        <v>5454.91</v>
      </c>
      <c r="F12722" s="3" t="str">
        <f t="shared" si="198"/>
        <v>I3719</v>
      </c>
    </row>
    <row r="12723" spans="1:6" x14ac:dyDescent="0.2">
      <c r="A12723" s="29" t="s">
        <v>28972</v>
      </c>
      <c r="B12723" s="30" t="s">
        <v>28973</v>
      </c>
      <c r="C12723" s="29" t="s">
        <v>26</v>
      </c>
      <c r="D12723" s="31">
        <v>5818</v>
      </c>
      <c r="F12723" s="3" t="str">
        <f t="shared" si="198"/>
        <v>I3720</v>
      </c>
    </row>
    <row r="12724" spans="1:6" x14ac:dyDescent="0.2">
      <c r="A12724" s="29" t="s">
        <v>28974</v>
      </c>
      <c r="B12724" s="30" t="s">
        <v>28975</v>
      </c>
      <c r="C12724" s="29" t="s">
        <v>26</v>
      </c>
      <c r="D12724" s="31">
        <v>6274.99</v>
      </c>
      <c r="F12724" s="3" t="str">
        <f t="shared" si="198"/>
        <v>I3721</v>
      </c>
    </row>
    <row r="12725" spans="1:6" x14ac:dyDescent="0.2">
      <c r="A12725" s="29" t="s">
        <v>28976</v>
      </c>
      <c r="B12725" s="30" t="s">
        <v>28977</v>
      </c>
      <c r="C12725" s="29" t="s">
        <v>26</v>
      </c>
      <c r="D12725" s="31">
        <v>6922.38</v>
      </c>
      <c r="F12725" s="3" t="str">
        <f t="shared" si="198"/>
        <v>I3722</v>
      </c>
    </row>
    <row r="12726" spans="1:6" x14ac:dyDescent="0.2">
      <c r="A12726" s="29" t="s">
        <v>28978</v>
      </c>
      <c r="B12726" s="30" t="s">
        <v>28979</v>
      </c>
      <c r="C12726" s="29" t="s">
        <v>26</v>
      </c>
      <c r="D12726" s="31">
        <v>7735.67</v>
      </c>
      <c r="F12726" s="3" t="str">
        <f t="shared" si="198"/>
        <v>I3723</v>
      </c>
    </row>
    <row r="12727" spans="1:6" x14ac:dyDescent="0.2">
      <c r="A12727" s="29" t="s">
        <v>28980</v>
      </c>
      <c r="B12727" s="30" t="s">
        <v>28981</v>
      </c>
      <c r="C12727" s="29" t="s">
        <v>26</v>
      </c>
      <c r="D12727" s="31">
        <v>8262.0300000000007</v>
      </c>
      <c r="F12727" s="3" t="str">
        <f t="shared" si="198"/>
        <v>I3724</v>
      </c>
    </row>
    <row r="12728" spans="1:6" x14ac:dyDescent="0.2">
      <c r="A12728" s="29" t="s">
        <v>28982</v>
      </c>
      <c r="B12728" s="30" t="s">
        <v>28983</v>
      </c>
      <c r="C12728" s="29" t="s">
        <v>26</v>
      </c>
      <c r="D12728" s="31">
        <v>5267.65</v>
      </c>
      <c r="F12728" s="3" t="str">
        <f t="shared" si="198"/>
        <v>I3725</v>
      </c>
    </row>
    <row r="12729" spans="1:6" x14ac:dyDescent="0.2">
      <c r="A12729" s="29" t="s">
        <v>28984</v>
      </c>
      <c r="B12729" s="30" t="s">
        <v>28985</v>
      </c>
      <c r="C12729" s="29" t="s">
        <v>26</v>
      </c>
      <c r="D12729" s="31">
        <v>5677.84</v>
      </c>
      <c r="F12729" s="3" t="str">
        <f t="shared" si="198"/>
        <v>I3726</v>
      </c>
    </row>
    <row r="12730" spans="1:6" x14ac:dyDescent="0.2">
      <c r="A12730" s="29" t="s">
        <v>28986</v>
      </c>
      <c r="B12730" s="30" t="s">
        <v>28987</v>
      </c>
      <c r="C12730" s="29" t="s">
        <v>26</v>
      </c>
      <c r="D12730" s="31">
        <v>6171.54</v>
      </c>
      <c r="F12730" s="3" t="str">
        <f t="shared" si="198"/>
        <v>I3727</v>
      </c>
    </row>
    <row r="12731" spans="1:6" x14ac:dyDescent="0.2">
      <c r="A12731" s="29" t="s">
        <v>28988</v>
      </c>
      <c r="B12731" s="30" t="s">
        <v>28989</v>
      </c>
      <c r="C12731" s="29" t="s">
        <v>26</v>
      </c>
      <c r="D12731" s="31">
        <v>6906.89</v>
      </c>
      <c r="F12731" s="3" t="str">
        <f t="shared" si="198"/>
        <v>I3728</v>
      </c>
    </row>
    <row r="12732" spans="1:6" x14ac:dyDescent="0.2">
      <c r="A12732" s="29" t="s">
        <v>28990</v>
      </c>
      <c r="B12732" s="30" t="s">
        <v>28991</v>
      </c>
      <c r="C12732" s="29" t="s">
        <v>26</v>
      </c>
      <c r="D12732" s="31">
        <v>7575.53</v>
      </c>
      <c r="F12732" s="3" t="str">
        <f t="shared" si="198"/>
        <v>I3729</v>
      </c>
    </row>
    <row r="12733" spans="1:6" x14ac:dyDescent="0.2">
      <c r="A12733" s="29" t="s">
        <v>28992</v>
      </c>
      <c r="B12733" s="30" t="s">
        <v>28993</v>
      </c>
      <c r="C12733" s="29" t="s">
        <v>26</v>
      </c>
      <c r="D12733" s="31">
        <v>6098.81</v>
      </c>
      <c r="F12733" s="3" t="str">
        <f t="shared" si="198"/>
        <v>I3730</v>
      </c>
    </row>
    <row r="12734" spans="1:6" x14ac:dyDescent="0.2">
      <c r="A12734" s="29" t="s">
        <v>28994</v>
      </c>
      <c r="B12734" s="30" t="s">
        <v>28995</v>
      </c>
      <c r="C12734" s="29" t="s">
        <v>26</v>
      </c>
      <c r="D12734" s="31">
        <v>6711.96</v>
      </c>
      <c r="F12734" s="3" t="str">
        <f t="shared" si="198"/>
        <v>I3731</v>
      </c>
    </row>
    <row r="12735" spans="1:6" x14ac:dyDescent="0.2">
      <c r="A12735" s="29" t="s">
        <v>28996</v>
      </c>
      <c r="B12735" s="30" t="s">
        <v>28997</v>
      </c>
      <c r="C12735" s="29" t="s">
        <v>26</v>
      </c>
      <c r="D12735" s="31">
        <v>7292.58</v>
      </c>
      <c r="F12735" s="3" t="str">
        <f t="shared" si="198"/>
        <v>I3732</v>
      </c>
    </row>
    <row r="12736" spans="1:6" x14ac:dyDescent="0.2">
      <c r="A12736" s="29" t="s">
        <v>28998</v>
      </c>
      <c r="B12736" s="30" t="s">
        <v>28999</v>
      </c>
      <c r="C12736" s="29" t="s">
        <v>26</v>
      </c>
      <c r="D12736" s="31">
        <v>8676.5300000000007</v>
      </c>
      <c r="F12736" s="3" t="str">
        <f t="shared" si="198"/>
        <v>I3733</v>
      </c>
    </row>
    <row r="12737" spans="1:6" x14ac:dyDescent="0.2">
      <c r="A12737" s="29" t="s">
        <v>29000</v>
      </c>
      <c r="B12737" s="30" t="s">
        <v>29001</v>
      </c>
      <c r="C12737" s="29" t="s">
        <v>26</v>
      </c>
      <c r="D12737" s="31">
        <v>9452.7999999999993</v>
      </c>
      <c r="F12737" s="3" t="str">
        <f t="shared" si="198"/>
        <v>I3734</v>
      </c>
    </row>
    <row r="12738" spans="1:6" x14ac:dyDescent="0.2">
      <c r="A12738" s="29" t="s">
        <v>29002</v>
      </c>
      <c r="B12738" s="30" t="s">
        <v>29003</v>
      </c>
      <c r="C12738" s="29" t="s">
        <v>26</v>
      </c>
      <c r="D12738" s="31">
        <v>8648.73</v>
      </c>
      <c r="F12738" s="3" t="str">
        <f t="shared" ref="F12738:F12801" si="199">A12738</f>
        <v>I3735</v>
      </c>
    </row>
    <row r="12739" spans="1:6" x14ac:dyDescent="0.2">
      <c r="A12739" s="29" t="s">
        <v>29004</v>
      </c>
      <c r="B12739" s="30" t="s">
        <v>29005</v>
      </c>
      <c r="C12739" s="29" t="s">
        <v>26</v>
      </c>
      <c r="D12739" s="31">
        <v>10155.81</v>
      </c>
      <c r="F12739" s="3" t="str">
        <f t="shared" si="199"/>
        <v>I3736</v>
      </c>
    </row>
    <row r="12740" spans="1:6" x14ac:dyDescent="0.2">
      <c r="A12740" s="29" t="s">
        <v>29006</v>
      </c>
      <c r="B12740" s="30" t="s">
        <v>29007</v>
      </c>
      <c r="C12740" s="29" t="s">
        <v>26</v>
      </c>
      <c r="D12740" s="31">
        <v>11874.23</v>
      </c>
      <c r="F12740" s="3" t="str">
        <f t="shared" si="199"/>
        <v>I3737</v>
      </c>
    </row>
    <row r="12741" spans="1:6" x14ac:dyDescent="0.2">
      <c r="A12741" s="29" t="s">
        <v>29008</v>
      </c>
      <c r="B12741" s="30" t="s">
        <v>29009</v>
      </c>
      <c r="C12741" s="29" t="s">
        <v>26</v>
      </c>
      <c r="D12741" s="31">
        <v>12400.01</v>
      </c>
      <c r="F12741" s="3" t="str">
        <f t="shared" si="199"/>
        <v>I3738</v>
      </c>
    </row>
    <row r="12742" spans="1:6" x14ac:dyDescent="0.2">
      <c r="A12742" s="29" t="s">
        <v>29010</v>
      </c>
      <c r="B12742" s="30" t="s">
        <v>29011</v>
      </c>
      <c r="C12742" s="29" t="s">
        <v>26</v>
      </c>
      <c r="D12742" s="31">
        <v>11140.62</v>
      </c>
      <c r="F12742" s="3" t="str">
        <f t="shared" si="199"/>
        <v>I3739</v>
      </c>
    </row>
    <row r="12743" spans="1:6" x14ac:dyDescent="0.2">
      <c r="A12743" s="29" t="s">
        <v>29012</v>
      </c>
      <c r="B12743" s="30" t="s">
        <v>29013</v>
      </c>
      <c r="C12743" s="29" t="s">
        <v>26</v>
      </c>
      <c r="D12743" s="31">
        <v>12927.69</v>
      </c>
      <c r="F12743" s="3" t="str">
        <f t="shared" si="199"/>
        <v>I3740</v>
      </c>
    </row>
    <row r="12744" spans="1:6" x14ac:dyDescent="0.2">
      <c r="A12744" s="29" t="s">
        <v>29014</v>
      </c>
      <c r="B12744" s="30" t="s">
        <v>29015</v>
      </c>
      <c r="C12744" s="29" t="s">
        <v>26</v>
      </c>
      <c r="D12744" s="31">
        <v>17172.7</v>
      </c>
      <c r="F12744" s="3" t="str">
        <f t="shared" si="199"/>
        <v>I3741</v>
      </c>
    </row>
    <row r="12745" spans="1:6" x14ac:dyDescent="0.2">
      <c r="A12745" s="29" t="s">
        <v>29016</v>
      </c>
      <c r="B12745" s="30" t="s">
        <v>29017</v>
      </c>
      <c r="C12745" s="29" t="s">
        <v>26</v>
      </c>
      <c r="D12745" s="31">
        <v>17753.57</v>
      </c>
      <c r="F12745" s="3" t="str">
        <f t="shared" si="199"/>
        <v>I3742</v>
      </c>
    </row>
    <row r="12746" spans="1:6" x14ac:dyDescent="0.2">
      <c r="A12746" s="29" t="s">
        <v>29018</v>
      </c>
      <c r="B12746" s="30" t="s">
        <v>29019</v>
      </c>
      <c r="C12746" s="29" t="s">
        <v>26</v>
      </c>
      <c r="D12746" s="31">
        <v>13853.52</v>
      </c>
      <c r="F12746" s="3" t="str">
        <f t="shared" si="199"/>
        <v>I3743</v>
      </c>
    </row>
    <row r="12747" spans="1:6" x14ac:dyDescent="0.2">
      <c r="A12747" s="29" t="s">
        <v>29020</v>
      </c>
      <c r="B12747" s="30" t="s">
        <v>29021</v>
      </c>
      <c r="C12747" s="29" t="s">
        <v>26</v>
      </c>
      <c r="D12747" s="31">
        <v>16343.19</v>
      </c>
      <c r="F12747" s="3" t="str">
        <f t="shared" si="199"/>
        <v>I3744</v>
      </c>
    </row>
    <row r="12748" spans="1:6" x14ac:dyDescent="0.2">
      <c r="A12748" s="29" t="s">
        <v>29022</v>
      </c>
      <c r="B12748" s="30" t="s">
        <v>29023</v>
      </c>
      <c r="C12748" s="29" t="s">
        <v>26</v>
      </c>
      <c r="D12748" s="31">
        <v>20688.37</v>
      </c>
      <c r="F12748" s="3" t="str">
        <f t="shared" si="199"/>
        <v>I3745</v>
      </c>
    </row>
    <row r="12749" spans="1:6" x14ac:dyDescent="0.2">
      <c r="A12749" s="29" t="s">
        <v>29024</v>
      </c>
      <c r="B12749" s="30" t="s">
        <v>29025</v>
      </c>
      <c r="C12749" s="29" t="s">
        <v>26</v>
      </c>
      <c r="D12749" s="31">
        <v>22019.51</v>
      </c>
      <c r="F12749" s="3" t="str">
        <f t="shared" si="199"/>
        <v>I3746</v>
      </c>
    </row>
    <row r="12750" spans="1:6" x14ac:dyDescent="0.2">
      <c r="A12750" s="29" t="s">
        <v>29026</v>
      </c>
      <c r="B12750" s="30" t="s">
        <v>29027</v>
      </c>
      <c r="C12750" s="29" t="s">
        <v>26</v>
      </c>
      <c r="D12750" s="31">
        <v>25224.22</v>
      </c>
      <c r="F12750" s="3" t="str">
        <f t="shared" si="199"/>
        <v>I3747</v>
      </c>
    </row>
    <row r="12751" spans="1:6" x14ac:dyDescent="0.2">
      <c r="A12751" s="29" t="s">
        <v>29028</v>
      </c>
      <c r="B12751" s="30" t="s">
        <v>29029</v>
      </c>
      <c r="C12751" s="29" t="s">
        <v>26</v>
      </c>
      <c r="D12751" s="31">
        <v>596.05999999999995</v>
      </c>
      <c r="F12751" s="3" t="str">
        <f t="shared" si="199"/>
        <v>I10066</v>
      </c>
    </row>
    <row r="12752" spans="1:6" x14ac:dyDescent="0.2">
      <c r="A12752" s="29" t="s">
        <v>29030</v>
      </c>
      <c r="B12752" s="30" t="s">
        <v>29031</v>
      </c>
      <c r="C12752" s="29" t="s">
        <v>26</v>
      </c>
      <c r="D12752" s="31">
        <v>725.23</v>
      </c>
      <c r="F12752" s="3" t="str">
        <f t="shared" si="199"/>
        <v>I10067</v>
      </c>
    </row>
    <row r="12753" spans="1:6" x14ac:dyDescent="0.2">
      <c r="A12753" s="29" t="s">
        <v>29032</v>
      </c>
      <c r="B12753" s="30" t="s">
        <v>29033</v>
      </c>
      <c r="C12753" s="29" t="s">
        <v>26</v>
      </c>
      <c r="D12753" s="31">
        <v>1589.45</v>
      </c>
      <c r="F12753" s="3" t="str">
        <f t="shared" si="199"/>
        <v>I10068</v>
      </c>
    </row>
    <row r="12754" spans="1:6" x14ac:dyDescent="0.2">
      <c r="A12754" s="29" t="s">
        <v>29034</v>
      </c>
      <c r="B12754" s="30" t="s">
        <v>29035</v>
      </c>
      <c r="C12754" s="29" t="s">
        <v>26</v>
      </c>
      <c r="D12754" s="31">
        <v>2453.65</v>
      </c>
      <c r="F12754" s="3" t="str">
        <f t="shared" si="199"/>
        <v>I10069</v>
      </c>
    </row>
    <row r="12755" spans="1:6" x14ac:dyDescent="0.2">
      <c r="A12755" s="29" t="s">
        <v>29036</v>
      </c>
      <c r="B12755" s="30" t="s">
        <v>29037</v>
      </c>
      <c r="C12755" s="29" t="s">
        <v>26</v>
      </c>
      <c r="D12755" s="31">
        <v>3692.76</v>
      </c>
      <c r="F12755" s="3" t="str">
        <f t="shared" si="199"/>
        <v>I10070</v>
      </c>
    </row>
    <row r="12756" spans="1:6" x14ac:dyDescent="0.2">
      <c r="A12756" s="29" t="s">
        <v>29038</v>
      </c>
      <c r="B12756" s="30" t="s">
        <v>29039</v>
      </c>
      <c r="C12756" s="29" t="s">
        <v>26</v>
      </c>
      <c r="D12756" s="31">
        <v>552.47</v>
      </c>
      <c r="F12756" s="3" t="str">
        <f t="shared" si="199"/>
        <v>I6986</v>
      </c>
    </row>
    <row r="12757" spans="1:6" x14ac:dyDescent="0.2">
      <c r="A12757" s="29" t="s">
        <v>29040</v>
      </c>
      <c r="B12757" s="30" t="s">
        <v>29041</v>
      </c>
      <c r="C12757" s="29" t="s">
        <v>26</v>
      </c>
      <c r="D12757" s="31">
        <v>939.59</v>
      </c>
      <c r="F12757" s="3" t="str">
        <f t="shared" si="199"/>
        <v>I6987</v>
      </c>
    </row>
    <row r="12758" spans="1:6" x14ac:dyDescent="0.2">
      <c r="A12758" s="29" t="s">
        <v>29042</v>
      </c>
      <c r="B12758" s="30" t="s">
        <v>29043</v>
      </c>
      <c r="C12758" s="29" t="s">
        <v>26</v>
      </c>
      <c r="D12758" s="31">
        <v>1263.95</v>
      </c>
      <c r="F12758" s="3" t="str">
        <f t="shared" si="199"/>
        <v>I6988</v>
      </c>
    </row>
    <row r="12759" spans="1:6" x14ac:dyDescent="0.2">
      <c r="A12759" s="29" t="s">
        <v>29044</v>
      </c>
      <c r="B12759" s="30" t="s">
        <v>29045</v>
      </c>
      <c r="C12759" s="29" t="s">
        <v>26</v>
      </c>
      <c r="D12759" s="31">
        <v>4367.21</v>
      </c>
      <c r="F12759" s="3" t="str">
        <f t="shared" si="199"/>
        <v>I6989</v>
      </c>
    </row>
    <row r="12760" spans="1:6" x14ac:dyDescent="0.2">
      <c r="A12760" s="29" t="s">
        <v>29046</v>
      </c>
      <c r="B12760" s="30" t="s">
        <v>29047</v>
      </c>
      <c r="C12760" s="29" t="s">
        <v>26</v>
      </c>
      <c r="D12760" s="31">
        <v>157.58000000000001</v>
      </c>
      <c r="F12760" s="3" t="str">
        <f t="shared" si="199"/>
        <v>I3144</v>
      </c>
    </row>
    <row r="12761" spans="1:6" x14ac:dyDescent="0.2">
      <c r="A12761" s="29" t="s">
        <v>29048</v>
      </c>
      <c r="B12761" s="30" t="s">
        <v>29049</v>
      </c>
      <c r="C12761" s="29" t="s">
        <v>26</v>
      </c>
      <c r="D12761" s="31">
        <v>44.19</v>
      </c>
      <c r="F12761" s="3" t="str">
        <f t="shared" si="199"/>
        <v>I3142</v>
      </c>
    </row>
    <row r="12762" spans="1:6" x14ac:dyDescent="0.2">
      <c r="A12762" s="29" t="s">
        <v>29050</v>
      </c>
      <c r="B12762" s="30" t="s">
        <v>29051</v>
      </c>
      <c r="C12762" s="29" t="s">
        <v>26</v>
      </c>
      <c r="D12762" s="31">
        <v>87.26</v>
      </c>
      <c r="F12762" s="3" t="str">
        <f t="shared" si="199"/>
        <v>I3143</v>
      </c>
    </row>
    <row r="12763" spans="1:6" x14ac:dyDescent="0.2">
      <c r="A12763" s="29" t="s">
        <v>29052</v>
      </c>
      <c r="B12763" s="30" t="s">
        <v>29053</v>
      </c>
      <c r="C12763" s="29" t="s">
        <v>26</v>
      </c>
      <c r="D12763" s="31">
        <v>381.95</v>
      </c>
      <c r="F12763" s="3" t="str">
        <f t="shared" si="199"/>
        <v>I6920</v>
      </c>
    </row>
    <row r="12764" spans="1:6" x14ac:dyDescent="0.2">
      <c r="A12764" s="29" t="s">
        <v>29054</v>
      </c>
      <c r="B12764" s="30" t="s">
        <v>29055</v>
      </c>
      <c r="C12764" s="29" t="s">
        <v>26</v>
      </c>
      <c r="D12764" s="31">
        <v>132.25</v>
      </c>
      <c r="F12764" s="3" t="str">
        <f t="shared" si="199"/>
        <v>I3146</v>
      </c>
    </row>
    <row r="12765" spans="1:6" x14ac:dyDescent="0.2">
      <c r="A12765" s="29" t="s">
        <v>29056</v>
      </c>
      <c r="B12765" s="30" t="s">
        <v>29057</v>
      </c>
      <c r="C12765" s="29" t="s">
        <v>26</v>
      </c>
      <c r="D12765" s="31">
        <v>137.29</v>
      </c>
      <c r="F12765" s="3" t="str">
        <f t="shared" si="199"/>
        <v>I3147</v>
      </c>
    </row>
    <row r="12766" spans="1:6" x14ac:dyDescent="0.2">
      <c r="A12766" s="29" t="s">
        <v>29058</v>
      </c>
      <c r="B12766" s="30" t="s">
        <v>29059</v>
      </c>
      <c r="C12766" s="29" t="s">
        <v>26</v>
      </c>
      <c r="D12766" s="31">
        <v>77.3</v>
      </c>
      <c r="F12766" s="3" t="str">
        <f t="shared" si="199"/>
        <v>I3145</v>
      </c>
    </row>
    <row r="12767" spans="1:6" x14ac:dyDescent="0.2">
      <c r="A12767" s="29" t="s">
        <v>29060</v>
      </c>
      <c r="B12767" s="30" t="s">
        <v>29061</v>
      </c>
      <c r="C12767" s="29" t="s">
        <v>26</v>
      </c>
      <c r="D12767" s="31">
        <v>426</v>
      </c>
      <c r="F12767" s="3" t="str">
        <f t="shared" si="199"/>
        <v>I10072</v>
      </c>
    </row>
    <row r="12768" spans="1:6" x14ac:dyDescent="0.2">
      <c r="A12768" s="29" t="s">
        <v>29062</v>
      </c>
      <c r="B12768" s="30" t="s">
        <v>29063</v>
      </c>
      <c r="C12768" s="29" t="s">
        <v>26</v>
      </c>
      <c r="D12768" s="31">
        <v>438.65</v>
      </c>
      <c r="F12768" s="3" t="str">
        <f t="shared" si="199"/>
        <v>I10073</v>
      </c>
    </row>
    <row r="12769" spans="1:6" x14ac:dyDescent="0.2">
      <c r="A12769" s="29" t="s">
        <v>29064</v>
      </c>
      <c r="B12769" s="30" t="s">
        <v>29065</v>
      </c>
      <c r="C12769" s="29" t="s">
        <v>0</v>
      </c>
      <c r="D12769" s="31">
        <v>7.05</v>
      </c>
      <c r="F12769" s="3" t="str">
        <f t="shared" si="199"/>
        <v>I13295</v>
      </c>
    </row>
    <row r="12770" spans="1:6" x14ac:dyDescent="0.2">
      <c r="A12770" s="29" t="s">
        <v>29066</v>
      </c>
      <c r="B12770" s="30" t="s">
        <v>29067</v>
      </c>
      <c r="C12770" s="29" t="s">
        <v>255</v>
      </c>
      <c r="D12770" s="31">
        <v>10.8</v>
      </c>
      <c r="F12770" s="3" t="str">
        <f t="shared" si="199"/>
        <v>I7555</v>
      </c>
    </row>
    <row r="12771" spans="1:6" x14ac:dyDescent="0.2">
      <c r="A12771" s="29" t="s">
        <v>29068</v>
      </c>
      <c r="B12771" s="30" t="s">
        <v>29069</v>
      </c>
      <c r="C12771" s="29" t="s">
        <v>255</v>
      </c>
      <c r="D12771" s="31">
        <v>6.1</v>
      </c>
      <c r="F12771" s="3" t="str">
        <f t="shared" si="199"/>
        <v>I8982</v>
      </c>
    </row>
    <row r="12772" spans="1:6" ht="22.5" x14ac:dyDescent="0.2">
      <c r="A12772" s="29" t="s">
        <v>29070</v>
      </c>
      <c r="B12772" s="30" t="s">
        <v>29071</v>
      </c>
      <c r="C12772" s="29" t="s">
        <v>24703</v>
      </c>
      <c r="D12772" s="31">
        <v>188.3</v>
      </c>
      <c r="F12772" s="3" t="str">
        <f t="shared" si="199"/>
        <v>I10475</v>
      </c>
    </row>
    <row r="12773" spans="1:6" x14ac:dyDescent="0.2">
      <c r="A12773" s="272" t="s">
        <v>29072</v>
      </c>
      <c r="B12773" s="265" t="s">
        <v>29073</v>
      </c>
      <c r="C12773" s="272" t="s">
        <v>26</v>
      </c>
      <c r="D12773" s="273">
        <v>6.42</v>
      </c>
      <c r="F12773" s="3" t="str">
        <f t="shared" si="199"/>
        <v>I8512</v>
      </c>
    </row>
    <row r="12774" spans="1:6" x14ac:dyDescent="0.2">
      <c r="A12774" s="272" t="s">
        <v>29074</v>
      </c>
      <c r="B12774" s="265" t="s">
        <v>29075</v>
      </c>
      <c r="C12774" s="272" t="s">
        <v>26</v>
      </c>
      <c r="D12774" s="273">
        <v>6.89</v>
      </c>
      <c r="F12774" s="3" t="str">
        <f t="shared" si="199"/>
        <v>I8511</v>
      </c>
    </row>
    <row r="12775" spans="1:6" x14ac:dyDescent="0.2">
      <c r="A12775" s="29" t="s">
        <v>29076</v>
      </c>
      <c r="B12775" s="30" t="s">
        <v>29077</v>
      </c>
      <c r="C12775" s="29" t="s">
        <v>26</v>
      </c>
      <c r="D12775" s="31">
        <v>0.27</v>
      </c>
      <c r="F12775" s="3" t="str">
        <f t="shared" si="199"/>
        <v>I10082</v>
      </c>
    </row>
    <row r="12776" spans="1:6" x14ac:dyDescent="0.2">
      <c r="A12776" s="29" t="s">
        <v>29078</v>
      </c>
      <c r="B12776" s="30" t="s">
        <v>29079</v>
      </c>
      <c r="C12776" s="29" t="s">
        <v>26</v>
      </c>
      <c r="D12776" s="31">
        <v>13.88</v>
      </c>
      <c r="F12776" s="3" t="str">
        <f t="shared" si="199"/>
        <v>I8945</v>
      </c>
    </row>
    <row r="12777" spans="1:6" x14ac:dyDescent="0.2">
      <c r="A12777" s="29" t="s">
        <v>29080</v>
      </c>
      <c r="B12777" s="30" t="s">
        <v>29081</v>
      </c>
      <c r="C12777" s="29" t="s">
        <v>26</v>
      </c>
      <c r="D12777" s="31">
        <v>524.41999999999996</v>
      </c>
      <c r="F12777" s="3" t="str">
        <f t="shared" si="199"/>
        <v>I6921</v>
      </c>
    </row>
    <row r="12778" spans="1:6" x14ac:dyDescent="0.2">
      <c r="A12778" s="29" t="s">
        <v>29082</v>
      </c>
      <c r="B12778" s="30" t="s">
        <v>29083</v>
      </c>
      <c r="C12778" s="29" t="s">
        <v>26</v>
      </c>
      <c r="D12778" s="31">
        <v>614.94000000000005</v>
      </c>
      <c r="F12778" s="3" t="str">
        <f t="shared" si="199"/>
        <v>I6922</v>
      </c>
    </row>
    <row r="12779" spans="1:6" x14ac:dyDescent="0.2">
      <c r="A12779" s="29" t="s">
        <v>29084</v>
      </c>
      <c r="B12779" s="30" t="s">
        <v>29085</v>
      </c>
      <c r="C12779" s="29" t="s">
        <v>26</v>
      </c>
      <c r="D12779" s="31">
        <v>665.14</v>
      </c>
      <c r="F12779" s="3" t="str">
        <f t="shared" si="199"/>
        <v>I6923</v>
      </c>
    </row>
    <row r="12780" spans="1:6" x14ac:dyDescent="0.2">
      <c r="A12780" s="29" t="s">
        <v>29086</v>
      </c>
      <c r="B12780" s="30" t="s">
        <v>29087</v>
      </c>
      <c r="C12780" s="29" t="s">
        <v>26</v>
      </c>
      <c r="D12780" s="31">
        <v>885.71</v>
      </c>
      <c r="F12780" s="3" t="str">
        <f t="shared" si="199"/>
        <v>I6924</v>
      </c>
    </row>
    <row r="12781" spans="1:6" x14ac:dyDescent="0.2">
      <c r="A12781" s="29" t="s">
        <v>29088</v>
      </c>
      <c r="B12781" s="30" t="s">
        <v>29089</v>
      </c>
      <c r="C12781" s="29" t="s">
        <v>26</v>
      </c>
      <c r="D12781" s="31">
        <v>986.49</v>
      </c>
      <c r="F12781" s="3" t="str">
        <f t="shared" si="199"/>
        <v>I6925</v>
      </c>
    </row>
    <row r="12782" spans="1:6" x14ac:dyDescent="0.2">
      <c r="A12782" s="29" t="s">
        <v>29090</v>
      </c>
      <c r="B12782" s="30" t="s">
        <v>29091</v>
      </c>
      <c r="C12782" s="29" t="s">
        <v>26</v>
      </c>
      <c r="D12782" s="31">
        <v>238.35</v>
      </c>
      <c r="F12782" s="3" t="str">
        <f t="shared" si="199"/>
        <v>I3043</v>
      </c>
    </row>
    <row r="12783" spans="1:6" x14ac:dyDescent="0.2">
      <c r="A12783" s="29" t="s">
        <v>29092</v>
      </c>
      <c r="B12783" s="30" t="s">
        <v>29093</v>
      </c>
      <c r="C12783" s="29" t="s">
        <v>26</v>
      </c>
      <c r="D12783" s="31">
        <v>438.61</v>
      </c>
      <c r="F12783" s="3" t="str">
        <f t="shared" si="199"/>
        <v>I3044</v>
      </c>
    </row>
    <row r="12784" spans="1:6" x14ac:dyDescent="0.2">
      <c r="A12784" s="29" t="s">
        <v>29094</v>
      </c>
      <c r="B12784" s="30" t="s">
        <v>29095</v>
      </c>
      <c r="C12784" s="29" t="s">
        <v>26</v>
      </c>
      <c r="D12784" s="31">
        <v>798.6</v>
      </c>
      <c r="F12784" s="3" t="str">
        <f t="shared" si="199"/>
        <v>I3045</v>
      </c>
    </row>
    <row r="12785" spans="1:6" x14ac:dyDescent="0.2">
      <c r="A12785" s="29" t="s">
        <v>29096</v>
      </c>
      <c r="B12785" s="30" t="s">
        <v>29097</v>
      </c>
      <c r="C12785" s="29" t="s">
        <v>26</v>
      </c>
      <c r="D12785" s="31">
        <v>837.01</v>
      </c>
      <c r="F12785" s="3" t="str">
        <f t="shared" si="199"/>
        <v>I3046</v>
      </c>
    </row>
    <row r="12786" spans="1:6" x14ac:dyDescent="0.2">
      <c r="A12786" s="29" t="s">
        <v>29098</v>
      </c>
      <c r="B12786" s="30" t="s">
        <v>29099</v>
      </c>
      <c r="C12786" s="29" t="s">
        <v>26</v>
      </c>
      <c r="D12786" s="31">
        <v>934.21</v>
      </c>
      <c r="F12786" s="3" t="str">
        <f t="shared" si="199"/>
        <v>I3047</v>
      </c>
    </row>
    <row r="12787" spans="1:6" x14ac:dyDescent="0.2">
      <c r="A12787" s="29" t="s">
        <v>29100</v>
      </c>
      <c r="B12787" s="30" t="s">
        <v>29101</v>
      </c>
      <c r="C12787" s="29" t="s">
        <v>26</v>
      </c>
      <c r="D12787" s="31">
        <v>1198.5</v>
      </c>
      <c r="F12787" s="3" t="str">
        <f t="shared" si="199"/>
        <v>I3048</v>
      </c>
    </row>
    <row r="12788" spans="1:6" x14ac:dyDescent="0.2">
      <c r="A12788" s="29" t="s">
        <v>29102</v>
      </c>
      <c r="B12788" s="30" t="s">
        <v>29103</v>
      </c>
      <c r="C12788" s="29" t="s">
        <v>26</v>
      </c>
      <c r="D12788" s="31">
        <v>38.229999999999997</v>
      </c>
      <c r="F12788" s="3" t="str">
        <f t="shared" si="199"/>
        <v>I6926</v>
      </c>
    </row>
    <row r="12789" spans="1:6" x14ac:dyDescent="0.2">
      <c r="A12789" s="29" t="s">
        <v>29104</v>
      </c>
      <c r="B12789" s="30" t="s">
        <v>29105</v>
      </c>
      <c r="C12789" s="29" t="s">
        <v>26</v>
      </c>
      <c r="D12789" s="31">
        <v>89.14</v>
      </c>
      <c r="F12789" s="3" t="str">
        <f t="shared" si="199"/>
        <v>I3049</v>
      </c>
    </row>
    <row r="12790" spans="1:6" x14ac:dyDescent="0.2">
      <c r="A12790" s="29" t="s">
        <v>29106</v>
      </c>
      <c r="B12790" s="30" t="s">
        <v>29107</v>
      </c>
      <c r="C12790" s="29" t="s">
        <v>26</v>
      </c>
      <c r="D12790" s="31">
        <v>32.07</v>
      </c>
      <c r="F12790" s="3" t="str">
        <f t="shared" si="199"/>
        <v>I6927</v>
      </c>
    </row>
    <row r="12791" spans="1:6" x14ac:dyDescent="0.2">
      <c r="A12791" s="29" t="s">
        <v>29108</v>
      </c>
      <c r="B12791" s="30" t="s">
        <v>29109</v>
      </c>
      <c r="C12791" s="29" t="s">
        <v>26</v>
      </c>
      <c r="D12791" s="31">
        <v>79.959999999999994</v>
      </c>
      <c r="F12791" s="3" t="str">
        <f t="shared" si="199"/>
        <v>I3050</v>
      </c>
    </row>
    <row r="12792" spans="1:6" x14ac:dyDescent="0.2">
      <c r="A12792" s="29" t="s">
        <v>29110</v>
      </c>
      <c r="B12792" s="30" t="s">
        <v>29111</v>
      </c>
      <c r="C12792" s="29" t="s">
        <v>26</v>
      </c>
      <c r="D12792" s="31">
        <v>858.21</v>
      </c>
      <c r="F12792" s="3" t="str">
        <f t="shared" si="199"/>
        <v>I3052</v>
      </c>
    </row>
    <row r="12793" spans="1:6" x14ac:dyDescent="0.2">
      <c r="A12793" s="29" t="s">
        <v>29112</v>
      </c>
      <c r="B12793" s="30" t="s">
        <v>29113</v>
      </c>
      <c r="C12793" s="29" t="s">
        <v>26</v>
      </c>
      <c r="D12793" s="31">
        <v>2507.96</v>
      </c>
      <c r="F12793" s="3" t="str">
        <f t="shared" si="199"/>
        <v>I3055</v>
      </c>
    </row>
    <row r="12794" spans="1:6" x14ac:dyDescent="0.2">
      <c r="A12794" s="29" t="s">
        <v>29114</v>
      </c>
      <c r="B12794" s="30" t="s">
        <v>29115</v>
      </c>
      <c r="C12794" s="29" t="s">
        <v>26</v>
      </c>
      <c r="D12794" s="31">
        <v>50.58</v>
      </c>
      <c r="F12794" s="3" t="str">
        <f t="shared" si="199"/>
        <v>I4251</v>
      </c>
    </row>
    <row r="12795" spans="1:6" x14ac:dyDescent="0.2">
      <c r="A12795" s="29" t="s">
        <v>29116</v>
      </c>
      <c r="B12795" s="30" t="s">
        <v>29117</v>
      </c>
      <c r="C12795" s="29" t="s">
        <v>26</v>
      </c>
      <c r="D12795" s="31">
        <v>80.19</v>
      </c>
      <c r="F12795" s="3" t="str">
        <f t="shared" si="199"/>
        <v>I4252</v>
      </c>
    </row>
    <row r="12796" spans="1:6" x14ac:dyDescent="0.2">
      <c r="A12796" s="29" t="s">
        <v>29118</v>
      </c>
      <c r="B12796" s="30" t="s">
        <v>29119</v>
      </c>
      <c r="C12796" s="29" t="s">
        <v>26</v>
      </c>
      <c r="D12796" s="31">
        <v>119.39</v>
      </c>
      <c r="F12796" s="3" t="str">
        <f t="shared" si="199"/>
        <v>I4253</v>
      </c>
    </row>
    <row r="12797" spans="1:6" x14ac:dyDescent="0.2">
      <c r="A12797" s="29" t="s">
        <v>29120</v>
      </c>
      <c r="B12797" s="30" t="s">
        <v>29121</v>
      </c>
      <c r="C12797" s="29" t="s">
        <v>26</v>
      </c>
      <c r="D12797" s="31">
        <v>231.73</v>
      </c>
      <c r="F12797" s="3" t="str">
        <f t="shared" si="199"/>
        <v>I4254</v>
      </c>
    </row>
    <row r="12798" spans="1:6" x14ac:dyDescent="0.2">
      <c r="A12798" s="29" t="s">
        <v>29122</v>
      </c>
      <c r="B12798" s="30" t="s">
        <v>29123</v>
      </c>
      <c r="C12798" s="29" t="s">
        <v>26</v>
      </c>
      <c r="D12798" s="31">
        <v>239.34</v>
      </c>
      <c r="F12798" s="3" t="str">
        <f t="shared" si="199"/>
        <v>I4255</v>
      </c>
    </row>
    <row r="12799" spans="1:6" x14ac:dyDescent="0.2">
      <c r="A12799" s="29" t="s">
        <v>29124</v>
      </c>
      <c r="B12799" s="30" t="s">
        <v>29125</v>
      </c>
      <c r="C12799" s="29" t="s">
        <v>26</v>
      </c>
      <c r="D12799" s="31">
        <v>353.31</v>
      </c>
      <c r="F12799" s="3" t="str">
        <f t="shared" si="199"/>
        <v>I4256</v>
      </c>
    </row>
    <row r="12800" spans="1:6" x14ac:dyDescent="0.2">
      <c r="A12800" s="29" t="s">
        <v>29126</v>
      </c>
      <c r="B12800" s="30" t="s">
        <v>29127</v>
      </c>
      <c r="C12800" s="29" t="s">
        <v>26</v>
      </c>
      <c r="D12800" s="31">
        <v>428.88</v>
      </c>
      <c r="F12800" s="3" t="str">
        <f t="shared" si="199"/>
        <v>I4257</v>
      </c>
    </row>
    <row r="12801" spans="1:6" x14ac:dyDescent="0.2">
      <c r="A12801" s="29" t="s">
        <v>29128</v>
      </c>
      <c r="B12801" s="30" t="s">
        <v>29129</v>
      </c>
      <c r="C12801" s="29" t="s">
        <v>26</v>
      </c>
      <c r="D12801" s="31">
        <v>397.76</v>
      </c>
      <c r="F12801" s="3" t="str">
        <f t="shared" si="199"/>
        <v>I4258</v>
      </c>
    </row>
    <row r="12802" spans="1:6" x14ac:dyDescent="0.2">
      <c r="A12802" s="29" t="s">
        <v>29130</v>
      </c>
      <c r="B12802" s="30" t="s">
        <v>29131</v>
      </c>
      <c r="C12802" s="29" t="s">
        <v>26</v>
      </c>
      <c r="D12802" s="31">
        <v>786.85</v>
      </c>
      <c r="F12802" s="3" t="str">
        <f t="shared" ref="F12802:F12865" si="200">A12802</f>
        <v>I4259</v>
      </c>
    </row>
    <row r="12803" spans="1:6" x14ac:dyDescent="0.2">
      <c r="A12803" s="29" t="s">
        <v>29132</v>
      </c>
      <c r="B12803" s="30" t="s">
        <v>29133</v>
      </c>
      <c r="C12803" s="29" t="s">
        <v>26</v>
      </c>
      <c r="D12803" s="31">
        <v>895.78</v>
      </c>
      <c r="F12803" s="3" t="str">
        <f t="shared" si="200"/>
        <v>I4260</v>
      </c>
    </row>
    <row r="12804" spans="1:6" x14ac:dyDescent="0.2">
      <c r="A12804" s="29" t="s">
        <v>29134</v>
      </c>
      <c r="B12804" s="30" t="s">
        <v>29135</v>
      </c>
      <c r="C12804" s="29" t="s">
        <v>26</v>
      </c>
      <c r="D12804" s="31">
        <v>786.3</v>
      </c>
      <c r="F12804" s="3" t="str">
        <f t="shared" si="200"/>
        <v>I3992</v>
      </c>
    </row>
    <row r="12805" spans="1:6" x14ac:dyDescent="0.2">
      <c r="A12805" s="29" t="s">
        <v>29136</v>
      </c>
      <c r="B12805" s="30" t="s">
        <v>29137</v>
      </c>
      <c r="C12805" s="29" t="s">
        <v>26</v>
      </c>
      <c r="D12805" s="31">
        <v>884.94</v>
      </c>
      <c r="F12805" s="3" t="str">
        <f t="shared" si="200"/>
        <v>I11841</v>
      </c>
    </row>
    <row r="12806" spans="1:6" x14ac:dyDescent="0.2">
      <c r="A12806" s="29" t="s">
        <v>29138</v>
      </c>
      <c r="B12806" s="30" t="s">
        <v>29139</v>
      </c>
      <c r="C12806" s="29" t="s">
        <v>26</v>
      </c>
      <c r="D12806" s="31">
        <v>48975.85</v>
      </c>
      <c r="F12806" s="3" t="str">
        <f t="shared" si="200"/>
        <v>I4004</v>
      </c>
    </row>
    <row r="12807" spans="1:6" x14ac:dyDescent="0.2">
      <c r="A12807" s="29" t="s">
        <v>29140</v>
      </c>
      <c r="B12807" s="30" t="s">
        <v>29141</v>
      </c>
      <c r="C12807" s="29" t="s">
        <v>26</v>
      </c>
      <c r="D12807" s="31">
        <v>51223.79</v>
      </c>
      <c r="F12807" s="3" t="str">
        <f t="shared" si="200"/>
        <v>I11839</v>
      </c>
    </row>
    <row r="12808" spans="1:6" x14ac:dyDescent="0.2">
      <c r="A12808" s="29" t="s">
        <v>29142</v>
      </c>
      <c r="B12808" s="30" t="s">
        <v>29143</v>
      </c>
      <c r="C12808" s="29" t="s">
        <v>26</v>
      </c>
      <c r="D12808" s="31">
        <v>64649.71</v>
      </c>
      <c r="F12808" s="3" t="str">
        <f t="shared" si="200"/>
        <v>I11854</v>
      </c>
    </row>
    <row r="12809" spans="1:6" x14ac:dyDescent="0.2">
      <c r="A12809" s="29" t="s">
        <v>29144</v>
      </c>
      <c r="B12809" s="30" t="s">
        <v>29145</v>
      </c>
      <c r="C12809" s="29" t="s">
        <v>26</v>
      </c>
      <c r="D12809" s="31">
        <v>64796.76</v>
      </c>
      <c r="F12809" s="3" t="str">
        <f t="shared" si="200"/>
        <v>I4005</v>
      </c>
    </row>
    <row r="12810" spans="1:6" x14ac:dyDescent="0.2">
      <c r="A12810" s="29" t="s">
        <v>29146</v>
      </c>
      <c r="B12810" s="30" t="s">
        <v>29147</v>
      </c>
      <c r="C12810" s="29" t="s">
        <v>26</v>
      </c>
      <c r="D12810" s="31">
        <v>74883.31</v>
      </c>
      <c r="F12810" s="3" t="str">
        <f t="shared" si="200"/>
        <v>I11840</v>
      </c>
    </row>
    <row r="12811" spans="1:6" x14ac:dyDescent="0.2">
      <c r="A12811" s="29" t="s">
        <v>29148</v>
      </c>
      <c r="B12811" s="30" t="s">
        <v>29149</v>
      </c>
      <c r="C12811" s="29" t="s">
        <v>26</v>
      </c>
      <c r="D12811" s="31">
        <v>85816.82</v>
      </c>
      <c r="F12811" s="3" t="str">
        <f t="shared" si="200"/>
        <v>I11855</v>
      </c>
    </row>
    <row r="12812" spans="1:6" x14ac:dyDescent="0.2">
      <c r="A12812" s="29" t="s">
        <v>29150</v>
      </c>
      <c r="B12812" s="30" t="s">
        <v>29151</v>
      </c>
      <c r="C12812" s="29" t="s">
        <v>26</v>
      </c>
      <c r="D12812" s="31">
        <v>1033.3699999999999</v>
      </c>
      <c r="F12812" s="3" t="str">
        <f t="shared" si="200"/>
        <v>I3993</v>
      </c>
    </row>
    <row r="12813" spans="1:6" x14ac:dyDescent="0.2">
      <c r="A12813" s="29" t="s">
        <v>29152</v>
      </c>
      <c r="B12813" s="30" t="s">
        <v>29153</v>
      </c>
      <c r="C12813" s="29" t="s">
        <v>26</v>
      </c>
      <c r="D12813" s="31">
        <v>1115.3800000000001</v>
      </c>
      <c r="F12813" s="3" t="str">
        <f t="shared" si="200"/>
        <v>I11842</v>
      </c>
    </row>
    <row r="12814" spans="1:6" x14ac:dyDescent="0.2">
      <c r="A12814" s="29" t="s">
        <v>29154</v>
      </c>
      <c r="B12814" s="30" t="s">
        <v>29155</v>
      </c>
      <c r="C12814" s="29" t="s">
        <v>26</v>
      </c>
      <c r="D12814" s="31">
        <v>1456.35</v>
      </c>
      <c r="F12814" s="3" t="str">
        <f t="shared" si="200"/>
        <v>I3994</v>
      </c>
    </row>
    <row r="12815" spans="1:6" x14ac:dyDescent="0.2">
      <c r="A12815" s="29" t="s">
        <v>29156</v>
      </c>
      <c r="B12815" s="30" t="s">
        <v>29157</v>
      </c>
      <c r="C12815" s="29" t="s">
        <v>26</v>
      </c>
      <c r="D12815" s="31">
        <v>1646.86</v>
      </c>
      <c r="F12815" s="3" t="str">
        <f t="shared" si="200"/>
        <v>I11828</v>
      </c>
    </row>
    <row r="12816" spans="1:6" x14ac:dyDescent="0.2">
      <c r="A12816" s="29" t="s">
        <v>29158</v>
      </c>
      <c r="B12816" s="30" t="s">
        <v>29159</v>
      </c>
      <c r="C12816" s="29" t="s">
        <v>26</v>
      </c>
      <c r="D12816" s="31">
        <v>1825.15</v>
      </c>
      <c r="F12816" s="3" t="str">
        <f t="shared" si="200"/>
        <v>I11843</v>
      </c>
    </row>
    <row r="12817" spans="1:6" x14ac:dyDescent="0.2">
      <c r="A12817" s="29" t="s">
        <v>29160</v>
      </c>
      <c r="B12817" s="30" t="s">
        <v>29161</v>
      </c>
      <c r="C12817" s="29" t="s">
        <v>26</v>
      </c>
      <c r="D12817" s="31">
        <v>2140.2600000000002</v>
      </c>
      <c r="F12817" s="3" t="str">
        <f t="shared" si="200"/>
        <v>I3995</v>
      </c>
    </row>
    <row r="12818" spans="1:6" x14ac:dyDescent="0.2">
      <c r="A12818" s="29" t="s">
        <v>29162</v>
      </c>
      <c r="B12818" s="30" t="s">
        <v>29163</v>
      </c>
      <c r="C12818" s="29" t="s">
        <v>26</v>
      </c>
      <c r="D12818" s="31">
        <v>2171.4499999999998</v>
      </c>
      <c r="F12818" s="3" t="str">
        <f t="shared" si="200"/>
        <v>I11829</v>
      </c>
    </row>
    <row r="12819" spans="1:6" x14ac:dyDescent="0.2">
      <c r="A12819" s="29" t="s">
        <v>29164</v>
      </c>
      <c r="B12819" s="30" t="s">
        <v>29165</v>
      </c>
      <c r="C12819" s="29" t="s">
        <v>26</v>
      </c>
      <c r="D12819" s="31">
        <v>2392.2399999999998</v>
      </c>
      <c r="F12819" s="3" t="str">
        <f t="shared" si="200"/>
        <v>I11844</v>
      </c>
    </row>
    <row r="12820" spans="1:6" x14ac:dyDescent="0.2">
      <c r="A12820" s="29" t="s">
        <v>29166</v>
      </c>
      <c r="B12820" s="30" t="s">
        <v>29167</v>
      </c>
      <c r="C12820" s="29" t="s">
        <v>26</v>
      </c>
      <c r="D12820" s="31">
        <v>3655.7</v>
      </c>
      <c r="F12820" s="3" t="str">
        <f t="shared" si="200"/>
        <v>I3996</v>
      </c>
    </row>
    <row r="12821" spans="1:6" x14ac:dyDescent="0.2">
      <c r="A12821" s="29" t="s">
        <v>29168</v>
      </c>
      <c r="B12821" s="30" t="s">
        <v>29169</v>
      </c>
      <c r="C12821" s="29" t="s">
        <v>26</v>
      </c>
      <c r="D12821" s="31">
        <v>3773.38</v>
      </c>
      <c r="F12821" s="3" t="str">
        <f t="shared" si="200"/>
        <v>I11830</v>
      </c>
    </row>
    <row r="12822" spans="1:6" x14ac:dyDescent="0.2">
      <c r="A12822" s="29" t="s">
        <v>29170</v>
      </c>
      <c r="B12822" s="30" t="s">
        <v>29171</v>
      </c>
      <c r="C12822" s="29" t="s">
        <v>26</v>
      </c>
      <c r="D12822" s="31">
        <v>3912.28</v>
      </c>
      <c r="F12822" s="3" t="str">
        <f t="shared" si="200"/>
        <v>I11845</v>
      </c>
    </row>
    <row r="12823" spans="1:6" x14ac:dyDescent="0.2">
      <c r="A12823" s="29" t="s">
        <v>29172</v>
      </c>
      <c r="B12823" s="30" t="s">
        <v>29173</v>
      </c>
      <c r="C12823" s="29" t="s">
        <v>26</v>
      </c>
      <c r="D12823" s="31">
        <v>4282.21</v>
      </c>
      <c r="F12823" s="3" t="str">
        <f t="shared" si="200"/>
        <v>I3997</v>
      </c>
    </row>
    <row r="12824" spans="1:6" x14ac:dyDescent="0.2">
      <c r="A12824" s="29" t="s">
        <v>29174</v>
      </c>
      <c r="B12824" s="30" t="s">
        <v>29175</v>
      </c>
      <c r="C12824" s="29" t="s">
        <v>26</v>
      </c>
      <c r="D12824" s="31">
        <v>4614.41</v>
      </c>
      <c r="F12824" s="3" t="str">
        <f t="shared" si="200"/>
        <v>I11831</v>
      </c>
    </row>
    <row r="12825" spans="1:6" x14ac:dyDescent="0.2">
      <c r="A12825" s="29" t="s">
        <v>29176</v>
      </c>
      <c r="B12825" s="30" t="s">
        <v>29177</v>
      </c>
      <c r="C12825" s="29" t="s">
        <v>26</v>
      </c>
      <c r="D12825" s="31">
        <v>5015.09</v>
      </c>
      <c r="F12825" s="3" t="str">
        <f t="shared" si="200"/>
        <v>I11846</v>
      </c>
    </row>
    <row r="12826" spans="1:6" x14ac:dyDescent="0.2">
      <c r="A12826" s="29" t="s">
        <v>29178</v>
      </c>
      <c r="B12826" s="30" t="s">
        <v>29179</v>
      </c>
      <c r="C12826" s="29" t="s">
        <v>26</v>
      </c>
      <c r="D12826" s="31">
        <v>5016.1000000000004</v>
      </c>
      <c r="F12826" s="3" t="str">
        <f t="shared" si="200"/>
        <v>I3998</v>
      </c>
    </row>
    <row r="12827" spans="1:6" x14ac:dyDescent="0.2">
      <c r="A12827" s="29" t="s">
        <v>29180</v>
      </c>
      <c r="B12827" s="30" t="s">
        <v>29181</v>
      </c>
      <c r="C12827" s="29" t="s">
        <v>26</v>
      </c>
      <c r="D12827" s="31">
        <v>5347.83</v>
      </c>
      <c r="F12827" s="3" t="str">
        <f t="shared" si="200"/>
        <v>I11832</v>
      </c>
    </row>
    <row r="12828" spans="1:6" x14ac:dyDescent="0.2">
      <c r="A12828" s="29" t="s">
        <v>29182</v>
      </c>
      <c r="B12828" s="30" t="s">
        <v>29183</v>
      </c>
      <c r="C12828" s="29" t="s">
        <v>26</v>
      </c>
      <c r="D12828" s="31">
        <v>5743.15</v>
      </c>
      <c r="F12828" s="3" t="str">
        <f t="shared" si="200"/>
        <v>I11847</v>
      </c>
    </row>
    <row r="12829" spans="1:6" x14ac:dyDescent="0.2">
      <c r="A12829" s="29" t="s">
        <v>29184</v>
      </c>
      <c r="B12829" s="30" t="s">
        <v>29185</v>
      </c>
      <c r="C12829" s="29" t="s">
        <v>26</v>
      </c>
      <c r="D12829" s="31">
        <v>16656.93</v>
      </c>
      <c r="F12829" s="3" t="str">
        <f t="shared" si="200"/>
        <v>I7181</v>
      </c>
    </row>
    <row r="12830" spans="1:6" x14ac:dyDescent="0.2">
      <c r="A12830" s="29" t="s">
        <v>29186</v>
      </c>
      <c r="B12830" s="30" t="s">
        <v>29187</v>
      </c>
      <c r="C12830" s="29" t="s">
        <v>26</v>
      </c>
      <c r="D12830" s="31">
        <v>16988.990000000002</v>
      </c>
      <c r="F12830" s="3" t="str">
        <f t="shared" si="200"/>
        <v>I11833</v>
      </c>
    </row>
    <row r="12831" spans="1:6" x14ac:dyDescent="0.2">
      <c r="A12831" s="29" t="s">
        <v>29188</v>
      </c>
      <c r="B12831" s="30" t="s">
        <v>29189</v>
      </c>
      <c r="C12831" s="29" t="s">
        <v>26</v>
      </c>
      <c r="D12831" s="31">
        <v>17317.810000000001</v>
      </c>
      <c r="F12831" s="3" t="str">
        <f t="shared" si="200"/>
        <v>I11848</v>
      </c>
    </row>
    <row r="12832" spans="1:6" x14ac:dyDescent="0.2">
      <c r="A12832" s="29" t="s">
        <v>29190</v>
      </c>
      <c r="B12832" s="30" t="s">
        <v>29191</v>
      </c>
      <c r="C12832" s="29" t="s">
        <v>26</v>
      </c>
      <c r="D12832" s="31">
        <v>19981.29</v>
      </c>
      <c r="F12832" s="3" t="str">
        <f t="shared" si="200"/>
        <v>I3999</v>
      </c>
    </row>
    <row r="12833" spans="1:6" x14ac:dyDescent="0.2">
      <c r="A12833" s="29" t="s">
        <v>29192</v>
      </c>
      <c r="B12833" s="30" t="s">
        <v>29193</v>
      </c>
      <c r="C12833" s="29" t="s">
        <v>26</v>
      </c>
      <c r="D12833" s="31">
        <v>21223.69</v>
      </c>
      <c r="F12833" s="3" t="str">
        <f t="shared" si="200"/>
        <v>I11834</v>
      </c>
    </row>
    <row r="12834" spans="1:6" x14ac:dyDescent="0.2">
      <c r="A12834" s="29" t="s">
        <v>29194</v>
      </c>
      <c r="B12834" s="30" t="s">
        <v>29195</v>
      </c>
      <c r="C12834" s="29" t="s">
        <v>26</v>
      </c>
      <c r="D12834" s="31">
        <v>22864.28</v>
      </c>
      <c r="F12834" s="3" t="str">
        <f t="shared" si="200"/>
        <v>I11849</v>
      </c>
    </row>
    <row r="12835" spans="1:6" x14ac:dyDescent="0.2">
      <c r="A12835" s="29" t="s">
        <v>29196</v>
      </c>
      <c r="B12835" s="30" t="s">
        <v>29197</v>
      </c>
      <c r="C12835" s="29" t="s">
        <v>26</v>
      </c>
      <c r="D12835" s="31">
        <v>23327.81</v>
      </c>
      <c r="F12835" s="3" t="str">
        <f t="shared" si="200"/>
        <v>I4000</v>
      </c>
    </row>
    <row r="12836" spans="1:6" x14ac:dyDescent="0.2">
      <c r="A12836" s="29" t="s">
        <v>29198</v>
      </c>
      <c r="B12836" s="30" t="s">
        <v>29199</v>
      </c>
      <c r="C12836" s="29" t="s">
        <v>26</v>
      </c>
      <c r="D12836" s="31">
        <v>26469.58</v>
      </c>
      <c r="F12836" s="3" t="str">
        <f t="shared" si="200"/>
        <v>I11835</v>
      </c>
    </row>
    <row r="12837" spans="1:6" x14ac:dyDescent="0.2">
      <c r="A12837" s="29" t="s">
        <v>29200</v>
      </c>
      <c r="B12837" s="30" t="s">
        <v>29201</v>
      </c>
      <c r="C12837" s="29" t="s">
        <v>26</v>
      </c>
      <c r="D12837" s="31">
        <v>28288.27</v>
      </c>
      <c r="F12837" s="3" t="str">
        <f t="shared" si="200"/>
        <v>I11850</v>
      </c>
    </row>
    <row r="12838" spans="1:6" x14ac:dyDescent="0.2">
      <c r="A12838" s="29" t="s">
        <v>29202</v>
      </c>
      <c r="B12838" s="30" t="s">
        <v>29203</v>
      </c>
      <c r="C12838" s="29" t="s">
        <v>26</v>
      </c>
      <c r="D12838" s="31">
        <v>27604.93</v>
      </c>
      <c r="F12838" s="3" t="str">
        <f t="shared" si="200"/>
        <v>I4001</v>
      </c>
    </row>
    <row r="12839" spans="1:6" x14ac:dyDescent="0.2">
      <c r="A12839" s="29" t="s">
        <v>29204</v>
      </c>
      <c r="B12839" s="30" t="s">
        <v>29205</v>
      </c>
      <c r="C12839" s="29" t="s">
        <v>26</v>
      </c>
      <c r="D12839" s="31">
        <v>28630.98</v>
      </c>
      <c r="F12839" s="3" t="str">
        <f t="shared" si="200"/>
        <v>I11836</v>
      </c>
    </row>
    <row r="12840" spans="1:6" x14ac:dyDescent="0.2">
      <c r="A12840" s="29" t="s">
        <v>29206</v>
      </c>
      <c r="B12840" s="30" t="s">
        <v>29207</v>
      </c>
      <c r="C12840" s="29" t="s">
        <v>26</v>
      </c>
      <c r="D12840" s="31">
        <v>33317.47</v>
      </c>
      <c r="F12840" s="3" t="str">
        <f t="shared" si="200"/>
        <v>I11851</v>
      </c>
    </row>
    <row r="12841" spans="1:6" x14ac:dyDescent="0.2">
      <c r="A12841" s="29" t="s">
        <v>29208</v>
      </c>
      <c r="B12841" s="30" t="s">
        <v>29209</v>
      </c>
      <c r="C12841" s="29" t="s">
        <v>26</v>
      </c>
      <c r="D12841" s="31">
        <v>727.56</v>
      </c>
      <c r="F12841" s="3" t="str">
        <f t="shared" si="200"/>
        <v>I3991</v>
      </c>
    </row>
    <row r="12842" spans="1:6" x14ac:dyDescent="0.2">
      <c r="A12842" s="29" t="s">
        <v>29210</v>
      </c>
      <c r="B12842" s="30" t="s">
        <v>29211</v>
      </c>
      <c r="C12842" s="29" t="s">
        <v>26</v>
      </c>
      <c r="D12842" s="31">
        <v>727.56</v>
      </c>
      <c r="F12842" s="3" t="str">
        <f t="shared" si="200"/>
        <v>I7182</v>
      </c>
    </row>
    <row r="12843" spans="1:6" x14ac:dyDescent="0.2">
      <c r="A12843" s="29" t="s">
        <v>29212</v>
      </c>
      <c r="B12843" s="30" t="s">
        <v>29213</v>
      </c>
      <c r="C12843" s="29" t="s">
        <v>26</v>
      </c>
      <c r="D12843" s="31">
        <v>29191.34</v>
      </c>
      <c r="F12843" s="3" t="str">
        <f t="shared" si="200"/>
        <v>I4002</v>
      </c>
    </row>
    <row r="12844" spans="1:6" x14ac:dyDescent="0.2">
      <c r="A12844" s="29" t="s">
        <v>29214</v>
      </c>
      <c r="B12844" s="30" t="s">
        <v>29215</v>
      </c>
      <c r="C12844" s="29" t="s">
        <v>26</v>
      </c>
      <c r="D12844" s="31">
        <v>30648.57</v>
      </c>
      <c r="F12844" s="3" t="str">
        <f t="shared" si="200"/>
        <v>I11837</v>
      </c>
    </row>
    <row r="12845" spans="1:6" x14ac:dyDescent="0.2">
      <c r="A12845" s="29" t="s">
        <v>29216</v>
      </c>
      <c r="B12845" s="30" t="s">
        <v>29217</v>
      </c>
      <c r="C12845" s="29" t="s">
        <v>26</v>
      </c>
      <c r="D12845" s="31">
        <v>38836.36</v>
      </c>
      <c r="F12845" s="3" t="str">
        <f t="shared" si="200"/>
        <v>I11852</v>
      </c>
    </row>
    <row r="12846" spans="1:6" x14ac:dyDescent="0.2">
      <c r="A12846" s="29" t="s">
        <v>29218</v>
      </c>
      <c r="B12846" s="30" t="s">
        <v>29219</v>
      </c>
      <c r="C12846" s="29" t="s">
        <v>26</v>
      </c>
      <c r="D12846" s="31">
        <v>45485.57</v>
      </c>
      <c r="F12846" s="3" t="str">
        <f t="shared" si="200"/>
        <v>I4003</v>
      </c>
    </row>
    <row r="12847" spans="1:6" x14ac:dyDescent="0.2">
      <c r="A12847" s="29" t="s">
        <v>29220</v>
      </c>
      <c r="B12847" s="30" t="s">
        <v>29221</v>
      </c>
      <c r="C12847" s="29" t="s">
        <v>26</v>
      </c>
      <c r="D12847" s="31">
        <v>44981.760000000002</v>
      </c>
      <c r="F12847" s="3" t="str">
        <f t="shared" si="200"/>
        <v>I11838</v>
      </c>
    </row>
    <row r="12848" spans="1:6" x14ac:dyDescent="0.2">
      <c r="A12848" s="29" t="s">
        <v>29222</v>
      </c>
      <c r="B12848" s="30" t="s">
        <v>29223</v>
      </c>
      <c r="C12848" s="29" t="s">
        <v>26</v>
      </c>
      <c r="D12848" s="31">
        <v>51090.13</v>
      </c>
      <c r="F12848" s="3" t="str">
        <f t="shared" si="200"/>
        <v>I11853</v>
      </c>
    </row>
    <row r="12849" spans="1:6" x14ac:dyDescent="0.2">
      <c r="A12849" s="29" t="s">
        <v>29224</v>
      </c>
      <c r="B12849" s="30" t="s">
        <v>29225</v>
      </c>
      <c r="C12849" s="29" t="s">
        <v>26</v>
      </c>
      <c r="D12849" s="31">
        <v>932.73</v>
      </c>
      <c r="F12849" s="3" t="str">
        <f t="shared" si="200"/>
        <v>I10083</v>
      </c>
    </row>
    <row r="12850" spans="1:6" x14ac:dyDescent="0.2">
      <c r="A12850" s="29" t="s">
        <v>29226</v>
      </c>
      <c r="B12850" s="30" t="s">
        <v>29227</v>
      </c>
      <c r="C12850" s="29" t="s">
        <v>26</v>
      </c>
      <c r="D12850" s="31">
        <v>1067.17</v>
      </c>
      <c r="F12850" s="3" t="str">
        <f t="shared" si="200"/>
        <v>I10084</v>
      </c>
    </row>
    <row r="12851" spans="1:6" x14ac:dyDescent="0.2">
      <c r="A12851" s="29" t="s">
        <v>29228</v>
      </c>
      <c r="B12851" s="30" t="s">
        <v>29229</v>
      </c>
      <c r="C12851" s="29" t="s">
        <v>26</v>
      </c>
      <c r="D12851" s="31">
        <v>523.26</v>
      </c>
      <c r="F12851" s="3" t="str">
        <f t="shared" si="200"/>
        <v>I11882</v>
      </c>
    </row>
    <row r="12852" spans="1:6" x14ac:dyDescent="0.2">
      <c r="A12852" s="29" t="s">
        <v>29230</v>
      </c>
      <c r="B12852" s="30" t="s">
        <v>29231</v>
      </c>
      <c r="C12852" s="29" t="s">
        <v>26</v>
      </c>
      <c r="D12852" s="31">
        <v>598.92999999999995</v>
      </c>
      <c r="F12852" s="3" t="str">
        <f t="shared" si="200"/>
        <v>I11883</v>
      </c>
    </row>
    <row r="12853" spans="1:6" x14ac:dyDescent="0.2">
      <c r="A12853" s="29" t="s">
        <v>29232</v>
      </c>
      <c r="B12853" s="30" t="s">
        <v>29233</v>
      </c>
      <c r="C12853" s="29" t="s">
        <v>26</v>
      </c>
      <c r="D12853" s="31">
        <v>34435.160000000003</v>
      </c>
      <c r="F12853" s="3" t="str">
        <f t="shared" si="200"/>
        <v>I11878</v>
      </c>
    </row>
    <row r="12854" spans="1:6" x14ac:dyDescent="0.2">
      <c r="A12854" s="29" t="s">
        <v>29234</v>
      </c>
      <c r="B12854" s="30" t="s">
        <v>29235</v>
      </c>
      <c r="C12854" s="29" t="s">
        <v>26</v>
      </c>
      <c r="D12854" s="31">
        <v>44640.38</v>
      </c>
      <c r="F12854" s="3" t="str">
        <f t="shared" si="200"/>
        <v>I11879</v>
      </c>
    </row>
    <row r="12855" spans="1:6" x14ac:dyDescent="0.2">
      <c r="A12855" s="29" t="s">
        <v>29236</v>
      </c>
      <c r="B12855" s="30" t="s">
        <v>29237</v>
      </c>
      <c r="C12855" s="29" t="s">
        <v>26</v>
      </c>
      <c r="D12855" s="31">
        <v>50621.52</v>
      </c>
      <c r="F12855" s="3" t="str">
        <f t="shared" si="200"/>
        <v>I11908</v>
      </c>
    </row>
    <row r="12856" spans="1:6" x14ac:dyDescent="0.2">
      <c r="A12856" s="29" t="s">
        <v>29238</v>
      </c>
      <c r="B12856" s="30" t="s">
        <v>29239</v>
      </c>
      <c r="C12856" s="29" t="s">
        <v>26</v>
      </c>
      <c r="D12856" s="31">
        <v>59569.64</v>
      </c>
      <c r="F12856" s="3" t="str">
        <f t="shared" si="200"/>
        <v>I11909</v>
      </c>
    </row>
    <row r="12857" spans="1:6" x14ac:dyDescent="0.2">
      <c r="A12857" s="29" t="s">
        <v>29240</v>
      </c>
      <c r="B12857" s="30" t="s">
        <v>29241</v>
      </c>
      <c r="C12857" s="29" t="s">
        <v>26</v>
      </c>
      <c r="D12857" s="31">
        <v>44429.35</v>
      </c>
      <c r="F12857" s="3" t="str">
        <f t="shared" si="200"/>
        <v>I11880</v>
      </c>
    </row>
    <row r="12858" spans="1:6" x14ac:dyDescent="0.2">
      <c r="A12858" s="29" t="s">
        <v>29242</v>
      </c>
      <c r="B12858" s="30" t="s">
        <v>29243</v>
      </c>
      <c r="C12858" s="29" t="s">
        <v>26</v>
      </c>
      <c r="D12858" s="31">
        <v>61179.519999999997</v>
      </c>
      <c r="F12858" s="3" t="str">
        <f t="shared" si="200"/>
        <v>I11881</v>
      </c>
    </row>
    <row r="12859" spans="1:6" x14ac:dyDescent="0.2">
      <c r="A12859" s="29" t="s">
        <v>29244</v>
      </c>
      <c r="B12859" s="30" t="s">
        <v>29245</v>
      </c>
      <c r="C12859" s="29" t="s">
        <v>26</v>
      </c>
      <c r="D12859" s="31">
        <v>70190.61</v>
      </c>
      <c r="F12859" s="3" t="str">
        <f t="shared" si="200"/>
        <v>I11910</v>
      </c>
    </row>
    <row r="12860" spans="1:6" x14ac:dyDescent="0.2">
      <c r="A12860" s="29" t="s">
        <v>29246</v>
      </c>
      <c r="B12860" s="30" t="s">
        <v>29247</v>
      </c>
      <c r="C12860" s="29" t="s">
        <v>26</v>
      </c>
      <c r="D12860" s="31">
        <v>77422.009999999995</v>
      </c>
      <c r="F12860" s="3" t="str">
        <f t="shared" si="200"/>
        <v>I11911</v>
      </c>
    </row>
    <row r="12861" spans="1:6" x14ac:dyDescent="0.2">
      <c r="A12861" s="29" t="s">
        <v>29248</v>
      </c>
      <c r="B12861" s="30" t="s">
        <v>29249</v>
      </c>
      <c r="C12861" s="29" t="s">
        <v>26</v>
      </c>
      <c r="D12861" s="31">
        <v>767.21</v>
      </c>
      <c r="F12861" s="3" t="str">
        <f t="shared" si="200"/>
        <v>I11884</v>
      </c>
    </row>
    <row r="12862" spans="1:6" x14ac:dyDescent="0.2">
      <c r="A12862" s="29" t="s">
        <v>29250</v>
      </c>
      <c r="B12862" s="30" t="s">
        <v>29251</v>
      </c>
      <c r="C12862" s="29" t="s">
        <v>26</v>
      </c>
      <c r="D12862" s="31">
        <v>871.5</v>
      </c>
      <c r="F12862" s="3" t="str">
        <f t="shared" si="200"/>
        <v>I11885</v>
      </c>
    </row>
    <row r="12863" spans="1:6" x14ac:dyDescent="0.2">
      <c r="A12863" s="29" t="s">
        <v>29252</v>
      </c>
      <c r="B12863" s="30" t="s">
        <v>29253</v>
      </c>
      <c r="C12863" s="29" t="s">
        <v>26</v>
      </c>
      <c r="D12863" s="31">
        <v>978.72</v>
      </c>
      <c r="F12863" s="3" t="str">
        <f t="shared" si="200"/>
        <v>I11856</v>
      </c>
    </row>
    <row r="12864" spans="1:6" x14ac:dyDescent="0.2">
      <c r="A12864" s="29" t="s">
        <v>29254</v>
      </c>
      <c r="B12864" s="30" t="s">
        <v>29255</v>
      </c>
      <c r="C12864" s="29" t="s">
        <v>26</v>
      </c>
      <c r="D12864" s="31">
        <v>1088.04</v>
      </c>
      <c r="F12864" s="3" t="str">
        <f t="shared" si="200"/>
        <v>I11857</v>
      </c>
    </row>
    <row r="12865" spans="1:6" x14ac:dyDescent="0.2">
      <c r="A12865" s="29" t="s">
        <v>29256</v>
      </c>
      <c r="B12865" s="30" t="s">
        <v>29257</v>
      </c>
      <c r="C12865" s="29" t="s">
        <v>26</v>
      </c>
      <c r="D12865" s="31">
        <v>1238.54</v>
      </c>
      <c r="F12865" s="3" t="str">
        <f t="shared" si="200"/>
        <v>I11886</v>
      </c>
    </row>
    <row r="12866" spans="1:6" x14ac:dyDescent="0.2">
      <c r="A12866" s="29" t="s">
        <v>29258</v>
      </c>
      <c r="B12866" s="30" t="s">
        <v>29259</v>
      </c>
      <c r="C12866" s="29" t="s">
        <v>26</v>
      </c>
      <c r="D12866" s="31">
        <v>1303.55</v>
      </c>
      <c r="F12866" s="3" t="str">
        <f t="shared" ref="F12866:F12929" si="201">A12866</f>
        <v>I11887</v>
      </c>
    </row>
    <row r="12867" spans="1:6" x14ac:dyDescent="0.2">
      <c r="A12867" s="29" t="s">
        <v>29260</v>
      </c>
      <c r="B12867" s="30" t="s">
        <v>29261</v>
      </c>
      <c r="C12867" s="29" t="s">
        <v>26</v>
      </c>
      <c r="D12867" s="31">
        <v>1325.57</v>
      </c>
      <c r="F12867" s="3" t="str">
        <f t="shared" si="201"/>
        <v>I11858</v>
      </c>
    </row>
    <row r="12868" spans="1:6" x14ac:dyDescent="0.2">
      <c r="A12868" s="29" t="s">
        <v>29262</v>
      </c>
      <c r="B12868" s="30" t="s">
        <v>29263</v>
      </c>
      <c r="C12868" s="29" t="s">
        <v>26</v>
      </c>
      <c r="D12868" s="31">
        <v>1748.62</v>
      </c>
      <c r="F12868" s="3" t="str">
        <f t="shared" si="201"/>
        <v>I11859</v>
      </c>
    </row>
    <row r="12869" spans="1:6" x14ac:dyDescent="0.2">
      <c r="A12869" s="29" t="s">
        <v>29264</v>
      </c>
      <c r="B12869" s="30" t="s">
        <v>29265</v>
      </c>
      <c r="C12869" s="29" t="s">
        <v>26</v>
      </c>
      <c r="D12869" s="31">
        <v>1689.25</v>
      </c>
      <c r="F12869" s="3" t="str">
        <f t="shared" si="201"/>
        <v>I11888</v>
      </c>
    </row>
    <row r="12870" spans="1:6" x14ac:dyDescent="0.2">
      <c r="A12870" s="29" t="s">
        <v>29266</v>
      </c>
      <c r="B12870" s="30" t="s">
        <v>29267</v>
      </c>
      <c r="C12870" s="29" t="s">
        <v>26</v>
      </c>
      <c r="D12870" s="31">
        <v>2093.4699999999998</v>
      </c>
      <c r="F12870" s="3" t="str">
        <f t="shared" si="201"/>
        <v>I11889</v>
      </c>
    </row>
    <row r="12871" spans="1:6" x14ac:dyDescent="0.2">
      <c r="A12871" s="29" t="s">
        <v>29268</v>
      </c>
      <c r="B12871" s="30" t="s">
        <v>29269</v>
      </c>
      <c r="C12871" s="29" t="s">
        <v>26</v>
      </c>
      <c r="D12871" s="31">
        <v>1715.12</v>
      </c>
      <c r="F12871" s="3" t="str">
        <f t="shared" si="201"/>
        <v>I11860</v>
      </c>
    </row>
    <row r="12872" spans="1:6" x14ac:dyDescent="0.2">
      <c r="A12872" s="29" t="s">
        <v>29270</v>
      </c>
      <c r="B12872" s="30" t="s">
        <v>29271</v>
      </c>
      <c r="C12872" s="29" t="s">
        <v>26</v>
      </c>
      <c r="D12872" s="31">
        <v>2015.08</v>
      </c>
      <c r="F12872" s="3" t="str">
        <f t="shared" si="201"/>
        <v>I11861</v>
      </c>
    </row>
    <row r="12873" spans="1:6" x14ac:dyDescent="0.2">
      <c r="A12873" s="29" t="s">
        <v>29272</v>
      </c>
      <c r="B12873" s="30" t="s">
        <v>29273</v>
      </c>
      <c r="C12873" s="29" t="s">
        <v>26</v>
      </c>
      <c r="D12873" s="31">
        <v>2063.67</v>
      </c>
      <c r="F12873" s="3" t="str">
        <f t="shared" si="201"/>
        <v>I11890</v>
      </c>
    </row>
    <row r="12874" spans="1:6" x14ac:dyDescent="0.2">
      <c r="A12874" s="29" t="s">
        <v>29274</v>
      </c>
      <c r="B12874" s="30" t="s">
        <v>29275</v>
      </c>
      <c r="C12874" s="29" t="s">
        <v>26</v>
      </c>
      <c r="D12874" s="31">
        <v>2289.31</v>
      </c>
      <c r="F12874" s="3" t="str">
        <f t="shared" si="201"/>
        <v>I11891</v>
      </c>
    </row>
    <row r="12875" spans="1:6" x14ac:dyDescent="0.2">
      <c r="A12875" s="29" t="s">
        <v>29276</v>
      </c>
      <c r="B12875" s="30" t="s">
        <v>29277</v>
      </c>
      <c r="C12875" s="29" t="s">
        <v>26</v>
      </c>
      <c r="D12875" s="31">
        <v>3222.65</v>
      </c>
      <c r="F12875" s="3" t="str">
        <f t="shared" si="201"/>
        <v>I11862</v>
      </c>
    </row>
    <row r="12876" spans="1:6" x14ac:dyDescent="0.2">
      <c r="A12876" s="29" t="s">
        <v>29278</v>
      </c>
      <c r="B12876" s="30" t="s">
        <v>29279</v>
      </c>
      <c r="C12876" s="29" t="s">
        <v>26</v>
      </c>
      <c r="D12876" s="31">
        <v>3762.2</v>
      </c>
      <c r="F12876" s="3" t="str">
        <f t="shared" si="201"/>
        <v>I11863</v>
      </c>
    </row>
    <row r="12877" spans="1:6" x14ac:dyDescent="0.2">
      <c r="A12877" s="29" t="s">
        <v>29280</v>
      </c>
      <c r="B12877" s="30" t="s">
        <v>29281</v>
      </c>
      <c r="C12877" s="29" t="s">
        <v>26</v>
      </c>
      <c r="D12877" s="31">
        <v>3852.12</v>
      </c>
      <c r="F12877" s="3" t="str">
        <f t="shared" si="201"/>
        <v>I11892</v>
      </c>
    </row>
    <row r="12878" spans="1:6" x14ac:dyDescent="0.2">
      <c r="A12878" s="29" t="s">
        <v>29282</v>
      </c>
      <c r="B12878" s="30" t="s">
        <v>29283</v>
      </c>
      <c r="C12878" s="29" t="s">
        <v>26</v>
      </c>
      <c r="D12878" s="31">
        <v>4256.82</v>
      </c>
      <c r="F12878" s="3" t="str">
        <f t="shared" si="201"/>
        <v>I11893</v>
      </c>
    </row>
    <row r="12879" spans="1:6" x14ac:dyDescent="0.2">
      <c r="A12879" s="29" t="s">
        <v>29284</v>
      </c>
      <c r="B12879" s="30" t="s">
        <v>29285</v>
      </c>
      <c r="C12879" s="29" t="s">
        <v>26</v>
      </c>
      <c r="D12879" s="31">
        <v>3135.19</v>
      </c>
      <c r="F12879" s="3" t="str">
        <f t="shared" si="201"/>
        <v>I11864</v>
      </c>
    </row>
    <row r="12880" spans="1:6" x14ac:dyDescent="0.2">
      <c r="A12880" s="29" t="s">
        <v>29286</v>
      </c>
      <c r="B12880" s="30" t="s">
        <v>29287</v>
      </c>
      <c r="C12880" s="29" t="s">
        <v>26</v>
      </c>
      <c r="D12880" s="31">
        <v>4219.45</v>
      </c>
      <c r="F12880" s="3" t="str">
        <f t="shared" si="201"/>
        <v>I11865</v>
      </c>
    </row>
    <row r="12881" spans="1:6" x14ac:dyDescent="0.2">
      <c r="A12881" s="29" t="s">
        <v>29288</v>
      </c>
      <c r="B12881" s="30" t="s">
        <v>29289</v>
      </c>
      <c r="C12881" s="29" t="s">
        <v>26</v>
      </c>
      <c r="D12881" s="31">
        <v>3758.51</v>
      </c>
      <c r="F12881" s="3" t="str">
        <f t="shared" si="201"/>
        <v>I11894</v>
      </c>
    </row>
    <row r="12882" spans="1:6" x14ac:dyDescent="0.2">
      <c r="A12882" s="29" t="s">
        <v>29290</v>
      </c>
      <c r="B12882" s="30" t="s">
        <v>29291</v>
      </c>
      <c r="C12882" s="29" t="s">
        <v>26</v>
      </c>
      <c r="D12882" s="31">
        <v>4701.75</v>
      </c>
      <c r="F12882" s="3" t="str">
        <f t="shared" si="201"/>
        <v>I11895</v>
      </c>
    </row>
    <row r="12883" spans="1:6" x14ac:dyDescent="0.2">
      <c r="A12883" s="29" t="s">
        <v>29292</v>
      </c>
      <c r="B12883" s="30" t="s">
        <v>29293</v>
      </c>
      <c r="C12883" s="29" t="s">
        <v>26</v>
      </c>
      <c r="D12883" s="31">
        <v>13602.39</v>
      </c>
      <c r="F12883" s="3" t="str">
        <f t="shared" si="201"/>
        <v>I11866</v>
      </c>
    </row>
    <row r="12884" spans="1:6" x14ac:dyDescent="0.2">
      <c r="A12884" s="29" t="s">
        <v>29294</v>
      </c>
      <c r="B12884" s="30" t="s">
        <v>29295</v>
      </c>
      <c r="C12884" s="29" t="s">
        <v>26</v>
      </c>
      <c r="D12884" s="31">
        <v>15524.42</v>
      </c>
      <c r="F12884" s="3" t="str">
        <f t="shared" si="201"/>
        <v>I11867</v>
      </c>
    </row>
    <row r="12885" spans="1:6" x14ac:dyDescent="0.2">
      <c r="A12885" s="29" t="s">
        <v>29296</v>
      </c>
      <c r="B12885" s="30" t="s">
        <v>29297</v>
      </c>
      <c r="C12885" s="29" t="s">
        <v>26</v>
      </c>
      <c r="D12885" s="31">
        <v>14859.19</v>
      </c>
      <c r="F12885" s="3" t="str">
        <f t="shared" si="201"/>
        <v>I11896</v>
      </c>
    </row>
    <row r="12886" spans="1:6" x14ac:dyDescent="0.2">
      <c r="A12886" s="29" t="s">
        <v>29298</v>
      </c>
      <c r="B12886" s="30" t="s">
        <v>29299</v>
      </c>
      <c r="C12886" s="29" t="s">
        <v>26</v>
      </c>
      <c r="D12886" s="31">
        <v>15865.88</v>
      </c>
      <c r="F12886" s="3" t="str">
        <f t="shared" si="201"/>
        <v>I11897</v>
      </c>
    </row>
    <row r="12887" spans="1:6" x14ac:dyDescent="0.2">
      <c r="A12887" s="29" t="s">
        <v>29300</v>
      </c>
      <c r="B12887" s="30" t="s">
        <v>29301</v>
      </c>
      <c r="C12887" s="29" t="s">
        <v>26</v>
      </c>
      <c r="D12887" s="31">
        <v>5186.82</v>
      </c>
      <c r="F12887" s="3" t="str">
        <f t="shared" si="201"/>
        <v>I11868</v>
      </c>
    </row>
    <row r="12888" spans="1:6" x14ac:dyDescent="0.2">
      <c r="A12888" s="29" t="s">
        <v>29302</v>
      </c>
      <c r="B12888" s="30" t="s">
        <v>29303</v>
      </c>
      <c r="C12888" s="29" t="s">
        <v>26</v>
      </c>
      <c r="D12888" s="31">
        <v>6195.63</v>
      </c>
      <c r="F12888" s="3" t="str">
        <f t="shared" si="201"/>
        <v>I11869</v>
      </c>
    </row>
    <row r="12889" spans="1:6" x14ac:dyDescent="0.2">
      <c r="A12889" s="29" t="s">
        <v>29304</v>
      </c>
      <c r="B12889" s="30" t="s">
        <v>29305</v>
      </c>
      <c r="C12889" s="29" t="s">
        <v>26</v>
      </c>
      <c r="D12889" s="31">
        <v>5839.35</v>
      </c>
      <c r="F12889" s="3" t="str">
        <f t="shared" si="201"/>
        <v>I11898</v>
      </c>
    </row>
    <row r="12890" spans="1:6" x14ac:dyDescent="0.2">
      <c r="A12890" s="29" t="s">
        <v>29306</v>
      </c>
      <c r="B12890" s="30" t="s">
        <v>29307</v>
      </c>
      <c r="C12890" s="29" t="s">
        <v>26</v>
      </c>
      <c r="D12890" s="31">
        <v>6825.33</v>
      </c>
      <c r="F12890" s="3" t="str">
        <f t="shared" si="201"/>
        <v>I11899</v>
      </c>
    </row>
    <row r="12891" spans="1:6" x14ac:dyDescent="0.2">
      <c r="A12891" s="29" t="s">
        <v>29308</v>
      </c>
      <c r="B12891" s="30" t="s">
        <v>29309</v>
      </c>
      <c r="C12891" s="29" t="s">
        <v>26</v>
      </c>
      <c r="D12891" s="31">
        <v>17197.240000000002</v>
      </c>
      <c r="F12891" s="3" t="str">
        <f t="shared" si="201"/>
        <v>I11870</v>
      </c>
    </row>
    <row r="12892" spans="1:6" x14ac:dyDescent="0.2">
      <c r="A12892" s="29" t="s">
        <v>29310</v>
      </c>
      <c r="B12892" s="30" t="s">
        <v>29311</v>
      </c>
      <c r="C12892" s="29" t="s">
        <v>26</v>
      </c>
      <c r="D12892" s="31">
        <v>19254.759999999998</v>
      </c>
      <c r="F12892" s="3" t="str">
        <f t="shared" si="201"/>
        <v>I11871</v>
      </c>
    </row>
    <row r="12893" spans="1:6" x14ac:dyDescent="0.2">
      <c r="A12893" s="29" t="s">
        <v>29312</v>
      </c>
      <c r="B12893" s="30" t="s">
        <v>29313</v>
      </c>
      <c r="C12893" s="29" t="s">
        <v>26</v>
      </c>
      <c r="D12893" s="31">
        <v>20829.560000000001</v>
      </c>
      <c r="F12893" s="3" t="str">
        <f t="shared" si="201"/>
        <v>I11900</v>
      </c>
    </row>
    <row r="12894" spans="1:6" x14ac:dyDescent="0.2">
      <c r="A12894" s="29" t="s">
        <v>29314</v>
      </c>
      <c r="B12894" s="30" t="s">
        <v>29315</v>
      </c>
      <c r="C12894" s="29" t="s">
        <v>26</v>
      </c>
      <c r="D12894" s="31">
        <v>23555.16</v>
      </c>
      <c r="F12894" s="3" t="str">
        <f t="shared" si="201"/>
        <v>I11901</v>
      </c>
    </row>
    <row r="12895" spans="1:6" x14ac:dyDescent="0.2">
      <c r="A12895" s="29" t="s">
        <v>29316</v>
      </c>
      <c r="B12895" s="30" t="s">
        <v>29317</v>
      </c>
      <c r="C12895" s="29" t="s">
        <v>26</v>
      </c>
      <c r="D12895" s="31">
        <v>22444.28</v>
      </c>
      <c r="F12895" s="3" t="str">
        <f t="shared" si="201"/>
        <v>I11872</v>
      </c>
    </row>
    <row r="12896" spans="1:6" x14ac:dyDescent="0.2">
      <c r="A12896" s="29" t="s">
        <v>29318</v>
      </c>
      <c r="B12896" s="30" t="s">
        <v>29319</v>
      </c>
      <c r="C12896" s="29" t="s">
        <v>26</v>
      </c>
      <c r="D12896" s="31">
        <v>25817.24</v>
      </c>
      <c r="F12896" s="3" t="str">
        <f t="shared" si="201"/>
        <v>I11873</v>
      </c>
    </row>
    <row r="12897" spans="1:6" x14ac:dyDescent="0.2">
      <c r="A12897" s="29" t="s">
        <v>29320</v>
      </c>
      <c r="B12897" s="30" t="s">
        <v>29321</v>
      </c>
      <c r="C12897" s="29" t="s">
        <v>26</v>
      </c>
      <c r="D12897" s="31">
        <v>26213.34</v>
      </c>
      <c r="F12897" s="3" t="str">
        <f t="shared" si="201"/>
        <v>I11902</v>
      </c>
    </row>
    <row r="12898" spans="1:6" x14ac:dyDescent="0.2">
      <c r="A12898" s="29" t="s">
        <v>29322</v>
      </c>
      <c r="B12898" s="30" t="s">
        <v>29323</v>
      </c>
      <c r="C12898" s="29" t="s">
        <v>26</v>
      </c>
      <c r="D12898" s="31">
        <v>29954.94</v>
      </c>
      <c r="F12898" s="3" t="str">
        <f t="shared" si="201"/>
        <v>I11903</v>
      </c>
    </row>
    <row r="12899" spans="1:6" x14ac:dyDescent="0.2">
      <c r="A12899" s="29" t="s">
        <v>29324</v>
      </c>
      <c r="B12899" s="30" t="s">
        <v>29325</v>
      </c>
      <c r="C12899" s="29" t="s">
        <v>26</v>
      </c>
      <c r="D12899" s="31">
        <v>21993.29</v>
      </c>
      <c r="F12899" s="3" t="str">
        <f t="shared" si="201"/>
        <v>I11874</v>
      </c>
    </row>
    <row r="12900" spans="1:6" x14ac:dyDescent="0.2">
      <c r="A12900" s="29" t="s">
        <v>29326</v>
      </c>
      <c r="B12900" s="30" t="s">
        <v>29327</v>
      </c>
      <c r="C12900" s="29" t="s">
        <v>26</v>
      </c>
      <c r="D12900" s="31">
        <v>25013.85</v>
      </c>
      <c r="F12900" s="3" t="str">
        <f t="shared" si="201"/>
        <v>I11875</v>
      </c>
    </row>
    <row r="12901" spans="1:6" x14ac:dyDescent="0.2">
      <c r="A12901" s="29" t="s">
        <v>29328</v>
      </c>
      <c r="B12901" s="30" t="s">
        <v>29329</v>
      </c>
      <c r="C12901" s="29" t="s">
        <v>26</v>
      </c>
      <c r="D12901" s="31">
        <v>31517.63</v>
      </c>
      <c r="F12901" s="3" t="str">
        <f t="shared" si="201"/>
        <v>I11904</v>
      </c>
    </row>
    <row r="12902" spans="1:6" x14ac:dyDescent="0.2">
      <c r="A12902" s="29" t="s">
        <v>29330</v>
      </c>
      <c r="B12902" s="30" t="s">
        <v>29331</v>
      </c>
      <c r="C12902" s="29" t="s">
        <v>26</v>
      </c>
      <c r="D12902" s="31">
        <v>35270.47</v>
      </c>
      <c r="F12902" s="3" t="str">
        <f t="shared" si="201"/>
        <v>I11905</v>
      </c>
    </row>
    <row r="12903" spans="1:6" x14ac:dyDescent="0.2">
      <c r="A12903" s="29" t="s">
        <v>29332</v>
      </c>
      <c r="B12903" s="30" t="s">
        <v>29333</v>
      </c>
      <c r="C12903" s="29" t="s">
        <v>26</v>
      </c>
      <c r="D12903" s="31">
        <v>33075.769999999997</v>
      </c>
      <c r="F12903" s="3" t="str">
        <f t="shared" si="201"/>
        <v>I11876</v>
      </c>
    </row>
    <row r="12904" spans="1:6" x14ac:dyDescent="0.2">
      <c r="A12904" s="29" t="s">
        <v>29334</v>
      </c>
      <c r="B12904" s="30" t="s">
        <v>29335</v>
      </c>
      <c r="C12904" s="29" t="s">
        <v>26</v>
      </c>
      <c r="D12904" s="31">
        <v>37652.769999999997</v>
      </c>
      <c r="F12904" s="3" t="str">
        <f t="shared" si="201"/>
        <v>I11877</v>
      </c>
    </row>
    <row r="12905" spans="1:6" x14ac:dyDescent="0.2">
      <c r="A12905" s="29" t="s">
        <v>29336</v>
      </c>
      <c r="B12905" s="30" t="s">
        <v>29337</v>
      </c>
      <c r="C12905" s="29" t="s">
        <v>26</v>
      </c>
      <c r="D12905" s="31">
        <v>39042.14</v>
      </c>
      <c r="F12905" s="3" t="str">
        <f t="shared" si="201"/>
        <v>I11906</v>
      </c>
    </row>
    <row r="12906" spans="1:6" x14ac:dyDescent="0.2">
      <c r="A12906" s="29" t="s">
        <v>29338</v>
      </c>
      <c r="B12906" s="30" t="s">
        <v>29339</v>
      </c>
      <c r="C12906" s="29" t="s">
        <v>26</v>
      </c>
      <c r="D12906" s="31">
        <v>43775.82</v>
      </c>
      <c r="F12906" s="3" t="str">
        <f t="shared" si="201"/>
        <v>I11907</v>
      </c>
    </row>
    <row r="12907" spans="1:6" x14ac:dyDescent="0.2">
      <c r="A12907" s="29" t="s">
        <v>29340</v>
      </c>
      <c r="B12907" s="30" t="s">
        <v>29341</v>
      </c>
      <c r="C12907" s="29" t="s">
        <v>26</v>
      </c>
      <c r="D12907" s="31">
        <v>1247.55</v>
      </c>
      <c r="F12907" s="3" t="str">
        <f t="shared" si="201"/>
        <v>I10085</v>
      </c>
    </row>
    <row r="12908" spans="1:6" x14ac:dyDescent="0.2">
      <c r="A12908" s="29" t="s">
        <v>29342</v>
      </c>
      <c r="B12908" s="30" t="s">
        <v>29343</v>
      </c>
      <c r="C12908" s="29" t="s">
        <v>26</v>
      </c>
      <c r="D12908" s="31">
        <v>79.09</v>
      </c>
      <c r="F12908" s="3" t="str">
        <f t="shared" si="201"/>
        <v>I10086</v>
      </c>
    </row>
    <row r="12909" spans="1:6" x14ac:dyDescent="0.2">
      <c r="A12909" s="29" t="s">
        <v>29344</v>
      </c>
      <c r="B12909" s="30" t="s">
        <v>29345</v>
      </c>
      <c r="C12909" s="29" t="s">
        <v>26</v>
      </c>
      <c r="D12909" s="31">
        <v>1.62</v>
      </c>
      <c r="F12909" s="3" t="str">
        <f t="shared" si="201"/>
        <v>I6354</v>
      </c>
    </row>
    <row r="12910" spans="1:6" x14ac:dyDescent="0.2">
      <c r="A12910" s="29" t="s">
        <v>29346</v>
      </c>
      <c r="B12910" s="30" t="s">
        <v>29347</v>
      </c>
      <c r="C12910" s="29" t="s">
        <v>26</v>
      </c>
      <c r="D12910" s="31">
        <v>4053.39</v>
      </c>
      <c r="F12910" s="3" t="str">
        <f t="shared" si="201"/>
        <v>I8906</v>
      </c>
    </row>
    <row r="12911" spans="1:6" ht="33.75" x14ac:dyDescent="0.2">
      <c r="A12911" s="29" t="s">
        <v>29348</v>
      </c>
      <c r="B12911" s="30" t="s">
        <v>29349</v>
      </c>
      <c r="C12911" s="29" t="s">
        <v>26</v>
      </c>
      <c r="D12911" s="31">
        <v>11963.02</v>
      </c>
      <c r="F12911" s="3" t="str">
        <f t="shared" si="201"/>
        <v>I10091</v>
      </c>
    </row>
    <row r="12912" spans="1:6" ht="22.5" x14ac:dyDescent="0.2">
      <c r="A12912" s="29" t="s">
        <v>29350</v>
      </c>
      <c r="B12912" s="30" t="s">
        <v>29351</v>
      </c>
      <c r="C12912" s="29" t="s">
        <v>26</v>
      </c>
      <c r="D12912" s="31">
        <v>774.6</v>
      </c>
      <c r="F12912" s="3" t="str">
        <f t="shared" si="201"/>
        <v>I10092</v>
      </c>
    </row>
    <row r="12913" spans="1:6" ht="22.5" x14ac:dyDescent="0.2">
      <c r="A12913" s="29" t="s">
        <v>29352</v>
      </c>
      <c r="B12913" s="30" t="s">
        <v>29353</v>
      </c>
      <c r="C12913" s="29" t="s">
        <v>26</v>
      </c>
      <c r="D12913" s="31">
        <v>1608.17</v>
      </c>
      <c r="F12913" s="3" t="str">
        <f t="shared" si="201"/>
        <v>I8946</v>
      </c>
    </row>
    <row r="12914" spans="1:6" x14ac:dyDescent="0.2">
      <c r="A12914" s="29" t="s">
        <v>29354</v>
      </c>
      <c r="B12914" s="30" t="s">
        <v>29355</v>
      </c>
      <c r="C12914" s="29" t="s">
        <v>0</v>
      </c>
      <c r="D12914" s="31">
        <v>1624.54</v>
      </c>
      <c r="F12914" s="3" t="str">
        <f t="shared" si="201"/>
        <v>I10093</v>
      </c>
    </row>
    <row r="12915" spans="1:6" x14ac:dyDescent="0.2">
      <c r="A12915" s="29" t="s">
        <v>29356</v>
      </c>
      <c r="B12915" s="30" t="s">
        <v>29357</v>
      </c>
      <c r="C12915" s="29" t="s">
        <v>0</v>
      </c>
      <c r="D12915" s="31">
        <v>1755.37</v>
      </c>
      <c r="F12915" s="3" t="str">
        <f t="shared" si="201"/>
        <v>I10095</v>
      </c>
    </row>
    <row r="12916" spans="1:6" x14ac:dyDescent="0.2">
      <c r="A12916" s="29" t="s">
        <v>29358</v>
      </c>
      <c r="B12916" s="30" t="s">
        <v>29359</v>
      </c>
      <c r="C12916" s="29" t="s">
        <v>0</v>
      </c>
      <c r="D12916" s="31">
        <v>1866.21</v>
      </c>
      <c r="F12916" s="3" t="str">
        <f t="shared" si="201"/>
        <v>I10094</v>
      </c>
    </row>
    <row r="12917" spans="1:6" x14ac:dyDescent="0.2">
      <c r="A12917" s="29" t="s">
        <v>29360</v>
      </c>
      <c r="B12917" s="30" t="s">
        <v>29361</v>
      </c>
      <c r="C12917" s="29" t="s">
        <v>0</v>
      </c>
      <c r="D12917" s="31">
        <v>3265.87</v>
      </c>
      <c r="F12917" s="3" t="str">
        <f t="shared" si="201"/>
        <v>I10096</v>
      </c>
    </row>
    <row r="12918" spans="1:6" x14ac:dyDescent="0.2">
      <c r="A12918" s="29" t="s">
        <v>29362</v>
      </c>
      <c r="B12918" s="30" t="s">
        <v>29363</v>
      </c>
      <c r="C12918" s="29" t="s">
        <v>26</v>
      </c>
      <c r="D12918" s="31">
        <v>23.2</v>
      </c>
      <c r="F12918" s="3" t="str">
        <f t="shared" si="201"/>
        <v>I10097</v>
      </c>
    </row>
    <row r="12919" spans="1:6" x14ac:dyDescent="0.2">
      <c r="A12919" s="29" t="s">
        <v>29364</v>
      </c>
      <c r="B12919" s="30" t="s">
        <v>29365</v>
      </c>
      <c r="C12919" s="29" t="s">
        <v>26</v>
      </c>
      <c r="D12919" s="31">
        <v>1.18</v>
      </c>
      <c r="F12919" s="3" t="str">
        <f t="shared" si="201"/>
        <v>I8977</v>
      </c>
    </row>
    <row r="12920" spans="1:6" x14ac:dyDescent="0.2">
      <c r="A12920" s="29" t="s">
        <v>29366</v>
      </c>
      <c r="B12920" s="30" t="s">
        <v>29367</v>
      </c>
      <c r="C12920" s="29" t="s">
        <v>0</v>
      </c>
      <c r="D12920" s="31">
        <v>1386.67</v>
      </c>
      <c r="F12920" s="3" t="str">
        <f t="shared" si="201"/>
        <v>I13241</v>
      </c>
    </row>
    <row r="12921" spans="1:6" x14ac:dyDescent="0.2">
      <c r="A12921" s="29" t="s">
        <v>29368</v>
      </c>
      <c r="B12921" s="30" t="s">
        <v>29369</v>
      </c>
      <c r="C12921" s="29" t="s">
        <v>0</v>
      </c>
      <c r="D12921" s="31">
        <v>1892.74</v>
      </c>
      <c r="F12921" s="3" t="str">
        <f t="shared" si="201"/>
        <v>I13242</v>
      </c>
    </row>
    <row r="12922" spans="1:6" x14ac:dyDescent="0.2">
      <c r="A12922" s="29" t="s">
        <v>29370</v>
      </c>
      <c r="B12922" s="30" t="s">
        <v>29371</v>
      </c>
      <c r="C12922" s="29" t="s">
        <v>0</v>
      </c>
      <c r="D12922" s="31">
        <v>140.38</v>
      </c>
      <c r="F12922" s="3" t="str">
        <f t="shared" si="201"/>
        <v>I13236</v>
      </c>
    </row>
    <row r="12923" spans="1:6" x14ac:dyDescent="0.2">
      <c r="A12923" s="29" t="s">
        <v>29372</v>
      </c>
      <c r="B12923" s="30" t="s">
        <v>29373</v>
      </c>
      <c r="C12923" s="29" t="s">
        <v>0</v>
      </c>
      <c r="D12923" s="31">
        <v>268.08</v>
      </c>
      <c r="F12923" s="3" t="str">
        <f t="shared" si="201"/>
        <v>I13237</v>
      </c>
    </row>
    <row r="12924" spans="1:6" x14ac:dyDescent="0.2">
      <c r="A12924" s="29" t="s">
        <v>29374</v>
      </c>
      <c r="B12924" s="30" t="s">
        <v>29375</v>
      </c>
      <c r="C12924" s="29" t="s">
        <v>0</v>
      </c>
      <c r="D12924" s="31">
        <v>380.63</v>
      </c>
      <c r="F12924" s="3" t="str">
        <f t="shared" si="201"/>
        <v>I13238</v>
      </c>
    </row>
    <row r="12925" spans="1:6" x14ac:dyDescent="0.2">
      <c r="A12925" s="29" t="s">
        <v>29376</v>
      </c>
      <c r="B12925" s="30" t="s">
        <v>29377</v>
      </c>
      <c r="C12925" s="29" t="s">
        <v>0</v>
      </c>
      <c r="D12925" s="31">
        <v>634.04999999999995</v>
      </c>
      <c r="F12925" s="3" t="str">
        <f t="shared" si="201"/>
        <v>I13239</v>
      </c>
    </row>
    <row r="12926" spans="1:6" x14ac:dyDescent="0.2">
      <c r="A12926" s="29" t="s">
        <v>29378</v>
      </c>
      <c r="B12926" s="30" t="s">
        <v>29379</v>
      </c>
      <c r="C12926" s="29" t="s">
        <v>0</v>
      </c>
      <c r="D12926" s="31">
        <v>954.12</v>
      </c>
      <c r="F12926" s="3" t="str">
        <f t="shared" si="201"/>
        <v>I13240</v>
      </c>
    </row>
    <row r="12927" spans="1:6" x14ac:dyDescent="0.2">
      <c r="A12927" s="29" t="s">
        <v>29380</v>
      </c>
      <c r="B12927" s="30" t="s">
        <v>29381</v>
      </c>
      <c r="C12927" s="29" t="s">
        <v>0</v>
      </c>
      <c r="D12927" s="31">
        <v>134.24</v>
      </c>
      <c r="F12927" s="3" t="str">
        <f t="shared" si="201"/>
        <v>I13166</v>
      </c>
    </row>
    <row r="12928" spans="1:6" x14ac:dyDescent="0.2">
      <c r="A12928" s="29" t="s">
        <v>29382</v>
      </c>
      <c r="B12928" s="30" t="s">
        <v>29383</v>
      </c>
      <c r="C12928" s="29" t="s">
        <v>0</v>
      </c>
      <c r="D12928" s="31">
        <v>179.86</v>
      </c>
      <c r="F12928" s="3" t="str">
        <f t="shared" si="201"/>
        <v>I13167</v>
      </c>
    </row>
    <row r="12929" spans="1:6" x14ac:dyDescent="0.2">
      <c r="A12929" s="29" t="s">
        <v>29384</v>
      </c>
      <c r="B12929" s="30" t="s">
        <v>29385</v>
      </c>
      <c r="C12929" s="29" t="s">
        <v>0</v>
      </c>
      <c r="D12929" s="31">
        <v>469.19</v>
      </c>
      <c r="F12929" s="3" t="str">
        <f t="shared" si="201"/>
        <v>I13217</v>
      </c>
    </row>
    <row r="12930" spans="1:6" x14ac:dyDescent="0.2">
      <c r="A12930" s="29" t="s">
        <v>29386</v>
      </c>
      <c r="B12930" s="30" t="s">
        <v>29387</v>
      </c>
      <c r="C12930" s="29" t="s">
        <v>0</v>
      </c>
      <c r="D12930" s="31">
        <v>966.32</v>
      </c>
      <c r="F12930" s="3" t="str">
        <f t="shared" ref="F12930:F12993" si="202">A12930</f>
        <v>I13218</v>
      </c>
    </row>
    <row r="12931" spans="1:6" x14ac:dyDescent="0.2">
      <c r="A12931" s="29" t="s">
        <v>29388</v>
      </c>
      <c r="B12931" s="30" t="s">
        <v>29389</v>
      </c>
      <c r="C12931" s="29" t="s">
        <v>0</v>
      </c>
      <c r="D12931" s="31">
        <v>1352.81</v>
      </c>
      <c r="F12931" s="3" t="str">
        <f t="shared" si="202"/>
        <v>I13219</v>
      </c>
    </row>
    <row r="12932" spans="1:6" x14ac:dyDescent="0.2">
      <c r="A12932" s="29" t="s">
        <v>29390</v>
      </c>
      <c r="B12932" s="30" t="s">
        <v>29391</v>
      </c>
      <c r="C12932" s="29" t="s">
        <v>0</v>
      </c>
      <c r="D12932" s="31">
        <v>2643.8</v>
      </c>
      <c r="F12932" s="3" t="str">
        <f t="shared" si="202"/>
        <v>I13220</v>
      </c>
    </row>
    <row r="12933" spans="1:6" x14ac:dyDescent="0.2">
      <c r="A12933" s="29" t="s">
        <v>29392</v>
      </c>
      <c r="B12933" s="30" t="s">
        <v>29393</v>
      </c>
      <c r="C12933" s="29" t="s">
        <v>0</v>
      </c>
      <c r="D12933" s="31">
        <v>4208.46</v>
      </c>
      <c r="F12933" s="3" t="str">
        <f t="shared" si="202"/>
        <v>I13221</v>
      </c>
    </row>
    <row r="12934" spans="1:6" x14ac:dyDescent="0.2">
      <c r="A12934" s="29" t="s">
        <v>29394</v>
      </c>
      <c r="B12934" s="30" t="s">
        <v>29395</v>
      </c>
      <c r="C12934" s="29" t="s">
        <v>0</v>
      </c>
      <c r="D12934" s="31">
        <v>230.38</v>
      </c>
      <c r="F12934" s="3" t="str">
        <f t="shared" si="202"/>
        <v>I13168</v>
      </c>
    </row>
    <row r="12935" spans="1:6" x14ac:dyDescent="0.2">
      <c r="A12935" s="29" t="s">
        <v>29396</v>
      </c>
      <c r="B12935" s="30" t="s">
        <v>29397</v>
      </c>
      <c r="C12935" s="29" t="s">
        <v>0</v>
      </c>
      <c r="D12935" s="31">
        <v>312.01</v>
      </c>
      <c r="F12935" s="3" t="str">
        <f t="shared" si="202"/>
        <v>I13169</v>
      </c>
    </row>
    <row r="12936" spans="1:6" x14ac:dyDescent="0.2">
      <c r="A12936" s="29" t="s">
        <v>29398</v>
      </c>
      <c r="B12936" s="30" t="s">
        <v>29399</v>
      </c>
      <c r="C12936" s="29" t="s">
        <v>0</v>
      </c>
      <c r="D12936" s="31">
        <v>2933.05</v>
      </c>
      <c r="F12936" s="3" t="str">
        <f t="shared" si="202"/>
        <v>I13227</v>
      </c>
    </row>
    <row r="12937" spans="1:6" x14ac:dyDescent="0.2">
      <c r="A12937" s="29" t="s">
        <v>29400</v>
      </c>
      <c r="B12937" s="30" t="s">
        <v>29401</v>
      </c>
      <c r="C12937" s="29" t="s">
        <v>0</v>
      </c>
      <c r="D12937" s="31">
        <v>7617.6</v>
      </c>
      <c r="F12937" s="3" t="str">
        <f t="shared" si="202"/>
        <v>I13228</v>
      </c>
    </row>
    <row r="12938" spans="1:6" x14ac:dyDescent="0.2">
      <c r="A12938" s="29" t="s">
        <v>29402</v>
      </c>
      <c r="B12938" s="30" t="s">
        <v>29403</v>
      </c>
      <c r="C12938" s="29" t="s">
        <v>0</v>
      </c>
      <c r="D12938" s="31">
        <v>434.67</v>
      </c>
      <c r="F12938" s="3" t="str">
        <f t="shared" si="202"/>
        <v>I13222</v>
      </c>
    </row>
    <row r="12939" spans="1:6" x14ac:dyDescent="0.2">
      <c r="A12939" s="29" t="s">
        <v>29404</v>
      </c>
      <c r="B12939" s="30" t="s">
        <v>29405</v>
      </c>
      <c r="C12939" s="29" t="s">
        <v>0</v>
      </c>
      <c r="D12939" s="31">
        <v>516.33000000000004</v>
      </c>
      <c r="F12939" s="3" t="str">
        <f t="shared" si="202"/>
        <v>I13223</v>
      </c>
    </row>
    <row r="12940" spans="1:6" x14ac:dyDescent="0.2">
      <c r="A12940" s="29" t="s">
        <v>29406</v>
      </c>
      <c r="B12940" s="30" t="s">
        <v>29407</v>
      </c>
      <c r="C12940" s="29" t="s">
        <v>0</v>
      </c>
      <c r="D12940" s="31">
        <v>1349.17</v>
      </c>
      <c r="F12940" s="3" t="str">
        <f t="shared" si="202"/>
        <v>I13224</v>
      </c>
    </row>
    <row r="12941" spans="1:6" x14ac:dyDescent="0.2">
      <c r="A12941" s="29" t="s">
        <v>29408</v>
      </c>
      <c r="B12941" s="30" t="s">
        <v>29409</v>
      </c>
      <c r="C12941" s="29" t="s">
        <v>0</v>
      </c>
      <c r="D12941" s="31">
        <v>2440.85</v>
      </c>
      <c r="F12941" s="3" t="str">
        <f t="shared" si="202"/>
        <v>I13225</v>
      </c>
    </row>
    <row r="12942" spans="1:6" x14ac:dyDescent="0.2">
      <c r="A12942" s="29" t="s">
        <v>29410</v>
      </c>
      <c r="B12942" s="30" t="s">
        <v>29411</v>
      </c>
      <c r="C12942" s="29" t="s">
        <v>0</v>
      </c>
      <c r="D12942" s="31">
        <v>3902.69</v>
      </c>
      <c r="F12942" s="3" t="str">
        <f t="shared" si="202"/>
        <v>I13226</v>
      </c>
    </row>
    <row r="12943" spans="1:6" x14ac:dyDescent="0.2">
      <c r="A12943" s="29" t="s">
        <v>29412</v>
      </c>
      <c r="B12943" s="30" t="s">
        <v>29413</v>
      </c>
      <c r="C12943" s="29" t="s">
        <v>0</v>
      </c>
      <c r="D12943" s="31">
        <v>3270</v>
      </c>
      <c r="F12943" s="3" t="str">
        <f t="shared" si="202"/>
        <v>I10146</v>
      </c>
    </row>
    <row r="12944" spans="1:6" x14ac:dyDescent="0.2">
      <c r="A12944" s="29" t="s">
        <v>29414</v>
      </c>
      <c r="B12944" s="30" t="s">
        <v>29415</v>
      </c>
      <c r="C12944" s="29" t="s">
        <v>0</v>
      </c>
      <c r="D12944" s="31">
        <v>6550</v>
      </c>
      <c r="F12944" s="3" t="str">
        <f t="shared" si="202"/>
        <v>I10266</v>
      </c>
    </row>
    <row r="12945" spans="1:6" x14ac:dyDescent="0.2">
      <c r="A12945" s="29" t="s">
        <v>29416</v>
      </c>
      <c r="B12945" s="30" t="s">
        <v>29417</v>
      </c>
      <c r="C12945" s="29" t="s">
        <v>0</v>
      </c>
      <c r="D12945" s="31">
        <v>9540</v>
      </c>
      <c r="F12945" s="3" t="str">
        <f t="shared" si="202"/>
        <v>I10148</v>
      </c>
    </row>
    <row r="12946" spans="1:6" x14ac:dyDescent="0.2">
      <c r="A12946" s="29" t="s">
        <v>29418</v>
      </c>
      <c r="B12946" s="30" t="s">
        <v>29419</v>
      </c>
      <c r="C12946" s="29" t="s">
        <v>0</v>
      </c>
      <c r="D12946" s="31">
        <v>12320</v>
      </c>
      <c r="F12946" s="3" t="str">
        <f t="shared" si="202"/>
        <v>I10144</v>
      </c>
    </row>
    <row r="12947" spans="1:6" x14ac:dyDescent="0.2">
      <c r="A12947" s="29" t="s">
        <v>29420</v>
      </c>
      <c r="B12947" s="30" t="s">
        <v>29421</v>
      </c>
      <c r="C12947" s="29" t="s">
        <v>0</v>
      </c>
      <c r="D12947" s="31">
        <v>716.12</v>
      </c>
      <c r="F12947" s="3" t="str">
        <f t="shared" si="202"/>
        <v>I10259</v>
      </c>
    </row>
    <row r="12948" spans="1:6" x14ac:dyDescent="0.2">
      <c r="A12948" s="29" t="s">
        <v>29422</v>
      </c>
      <c r="B12948" s="30" t="s">
        <v>29423</v>
      </c>
      <c r="C12948" s="29" t="s">
        <v>0</v>
      </c>
      <c r="D12948" s="31">
        <v>706.36</v>
      </c>
      <c r="F12948" s="3" t="str">
        <f t="shared" si="202"/>
        <v>I10258</v>
      </c>
    </row>
    <row r="12949" spans="1:6" x14ac:dyDescent="0.2">
      <c r="A12949" s="29" t="s">
        <v>29424</v>
      </c>
      <c r="B12949" s="30" t="s">
        <v>29425</v>
      </c>
      <c r="C12949" s="29" t="s">
        <v>0</v>
      </c>
      <c r="D12949" s="31">
        <v>10920</v>
      </c>
      <c r="F12949" s="3" t="str">
        <f t="shared" si="202"/>
        <v>I10149</v>
      </c>
    </row>
    <row r="12950" spans="1:6" ht="22.5" x14ac:dyDescent="0.2">
      <c r="A12950" s="29" t="s">
        <v>29426</v>
      </c>
      <c r="B12950" s="30" t="s">
        <v>29427</v>
      </c>
      <c r="C12950" s="29" t="s">
        <v>0</v>
      </c>
      <c r="D12950" s="31">
        <v>2220</v>
      </c>
      <c r="F12950" s="3" t="str">
        <f t="shared" si="202"/>
        <v>I13150</v>
      </c>
    </row>
    <row r="12951" spans="1:6" x14ac:dyDescent="0.2">
      <c r="A12951" s="29" t="s">
        <v>29428</v>
      </c>
      <c r="B12951" s="30" t="s">
        <v>29429</v>
      </c>
      <c r="C12951" s="29" t="s">
        <v>0</v>
      </c>
      <c r="D12951" s="31">
        <v>2620</v>
      </c>
      <c r="F12951" s="3" t="str">
        <f t="shared" si="202"/>
        <v>I10145</v>
      </c>
    </row>
    <row r="12952" spans="1:6" ht="22.5" x14ac:dyDescent="0.2">
      <c r="A12952" s="29" t="s">
        <v>29430</v>
      </c>
      <c r="B12952" s="30" t="s">
        <v>29431</v>
      </c>
      <c r="C12952" s="29" t="s">
        <v>0</v>
      </c>
      <c r="D12952" s="31">
        <v>2870</v>
      </c>
      <c r="F12952" s="3" t="str">
        <f t="shared" si="202"/>
        <v>I13151</v>
      </c>
    </row>
    <row r="12953" spans="1:6" ht="22.5" x14ac:dyDescent="0.2">
      <c r="A12953" s="29" t="s">
        <v>29432</v>
      </c>
      <c r="B12953" s="30" t="s">
        <v>29433</v>
      </c>
      <c r="C12953" s="29" t="s">
        <v>0</v>
      </c>
      <c r="D12953" s="31">
        <v>4900</v>
      </c>
      <c r="F12953" s="3" t="str">
        <f t="shared" si="202"/>
        <v>I13152</v>
      </c>
    </row>
    <row r="12954" spans="1:6" x14ac:dyDescent="0.2">
      <c r="A12954" s="29" t="s">
        <v>29434</v>
      </c>
      <c r="B12954" s="30" t="s">
        <v>29435</v>
      </c>
      <c r="C12954" s="29" t="s">
        <v>0</v>
      </c>
      <c r="D12954" s="31">
        <v>5450</v>
      </c>
      <c r="F12954" s="3" t="str">
        <f t="shared" si="202"/>
        <v>I10147</v>
      </c>
    </row>
    <row r="12955" spans="1:6" ht="22.5" x14ac:dyDescent="0.2">
      <c r="A12955" s="29" t="s">
        <v>29436</v>
      </c>
      <c r="B12955" s="30" t="s">
        <v>29437</v>
      </c>
      <c r="C12955" s="29" t="s">
        <v>0</v>
      </c>
      <c r="D12955" s="31">
        <v>6020</v>
      </c>
      <c r="F12955" s="3" t="str">
        <f t="shared" si="202"/>
        <v>I13153</v>
      </c>
    </row>
    <row r="12956" spans="1:6" ht="22.5" x14ac:dyDescent="0.2">
      <c r="A12956" s="29" t="s">
        <v>29438</v>
      </c>
      <c r="B12956" s="30" t="s">
        <v>29439</v>
      </c>
      <c r="C12956" s="29" t="s">
        <v>0</v>
      </c>
      <c r="D12956" s="31">
        <v>8850</v>
      </c>
      <c r="F12956" s="3" t="str">
        <f t="shared" si="202"/>
        <v>I13154</v>
      </c>
    </row>
    <row r="12957" spans="1:6" ht="22.5" x14ac:dyDescent="0.2">
      <c r="A12957" s="29" t="s">
        <v>29440</v>
      </c>
      <c r="B12957" s="30" t="s">
        <v>29441</v>
      </c>
      <c r="C12957" s="29" t="s">
        <v>0</v>
      </c>
      <c r="D12957" s="31">
        <v>13680</v>
      </c>
      <c r="F12957" s="3" t="str">
        <f t="shared" si="202"/>
        <v>I10137</v>
      </c>
    </row>
    <row r="12958" spans="1:6" x14ac:dyDescent="0.2">
      <c r="A12958" s="29" t="s">
        <v>29442</v>
      </c>
      <c r="B12958" s="30" t="s">
        <v>29443</v>
      </c>
      <c r="C12958" s="29" t="s">
        <v>0</v>
      </c>
      <c r="D12958" s="31">
        <v>134.86000000000001</v>
      </c>
      <c r="F12958" s="3" t="str">
        <f t="shared" si="202"/>
        <v>I6059</v>
      </c>
    </row>
    <row r="12959" spans="1:6" x14ac:dyDescent="0.2">
      <c r="A12959" s="29" t="s">
        <v>29444</v>
      </c>
      <c r="B12959" s="30" t="s">
        <v>29445</v>
      </c>
      <c r="C12959" s="29" t="s">
        <v>0</v>
      </c>
      <c r="D12959" s="31">
        <v>7.4</v>
      </c>
      <c r="F12959" s="3" t="str">
        <f t="shared" si="202"/>
        <v>I6933</v>
      </c>
    </row>
    <row r="12960" spans="1:6" x14ac:dyDescent="0.2">
      <c r="A12960" s="29" t="s">
        <v>29446</v>
      </c>
      <c r="B12960" s="30" t="s">
        <v>29447</v>
      </c>
      <c r="C12960" s="29" t="s">
        <v>0</v>
      </c>
      <c r="D12960" s="31">
        <v>15.03</v>
      </c>
      <c r="F12960" s="3" t="str">
        <f t="shared" si="202"/>
        <v>I9447</v>
      </c>
    </row>
    <row r="12961" spans="1:6" x14ac:dyDescent="0.2">
      <c r="A12961" s="29" t="s">
        <v>29448</v>
      </c>
      <c r="B12961" s="30" t="s">
        <v>29449</v>
      </c>
      <c r="C12961" s="29" t="s">
        <v>0</v>
      </c>
      <c r="D12961" s="31">
        <v>3.34</v>
      </c>
      <c r="F12961" s="3" t="str">
        <f t="shared" si="202"/>
        <v>I2961</v>
      </c>
    </row>
    <row r="12962" spans="1:6" x14ac:dyDescent="0.2">
      <c r="A12962" s="29" t="s">
        <v>29450</v>
      </c>
      <c r="B12962" s="30" t="s">
        <v>29451</v>
      </c>
      <c r="C12962" s="29" t="s">
        <v>26</v>
      </c>
      <c r="D12962" s="31">
        <v>127.05</v>
      </c>
      <c r="F12962" s="3" t="str">
        <f t="shared" si="202"/>
        <v>I8663</v>
      </c>
    </row>
    <row r="12963" spans="1:6" x14ac:dyDescent="0.2">
      <c r="A12963" s="29" t="s">
        <v>29452</v>
      </c>
      <c r="B12963" s="30" t="s">
        <v>29453</v>
      </c>
      <c r="C12963" s="29" t="s">
        <v>0</v>
      </c>
      <c r="D12963" s="31">
        <v>19.8</v>
      </c>
      <c r="F12963" s="3" t="str">
        <f t="shared" si="202"/>
        <v>I5779</v>
      </c>
    </row>
    <row r="12964" spans="1:6" x14ac:dyDescent="0.2">
      <c r="A12964" s="29" t="s">
        <v>29454</v>
      </c>
      <c r="B12964" s="30" t="s">
        <v>29455</v>
      </c>
      <c r="C12964" s="29" t="s">
        <v>0</v>
      </c>
      <c r="D12964" s="31">
        <v>25.18</v>
      </c>
      <c r="F12964" s="3" t="str">
        <f t="shared" si="202"/>
        <v>I5780</v>
      </c>
    </row>
    <row r="12965" spans="1:6" x14ac:dyDescent="0.2">
      <c r="A12965" s="29" t="s">
        <v>29456</v>
      </c>
      <c r="B12965" s="30" t="s">
        <v>29457</v>
      </c>
      <c r="C12965" s="29" t="s">
        <v>0</v>
      </c>
      <c r="D12965" s="31">
        <v>73.459999999999994</v>
      </c>
      <c r="F12965" s="3" t="str">
        <f t="shared" si="202"/>
        <v>I5781</v>
      </c>
    </row>
    <row r="12966" spans="1:6" ht="22.5" x14ac:dyDescent="0.2">
      <c r="A12966" s="29" t="s">
        <v>29458</v>
      </c>
      <c r="B12966" s="30" t="s">
        <v>29459</v>
      </c>
      <c r="C12966" s="29" t="s">
        <v>0</v>
      </c>
      <c r="D12966" s="31">
        <v>3760.45</v>
      </c>
      <c r="F12966" s="3" t="str">
        <f t="shared" si="202"/>
        <v>I10162</v>
      </c>
    </row>
    <row r="12967" spans="1:6" ht="22.5" x14ac:dyDescent="0.2">
      <c r="A12967" s="29" t="s">
        <v>29460</v>
      </c>
      <c r="B12967" s="30" t="s">
        <v>29461</v>
      </c>
      <c r="C12967" s="29" t="s">
        <v>0</v>
      </c>
      <c r="D12967" s="31">
        <v>9840.3799999999992</v>
      </c>
      <c r="F12967" s="3" t="str">
        <f t="shared" si="202"/>
        <v>I10163</v>
      </c>
    </row>
    <row r="12968" spans="1:6" ht="22.5" x14ac:dyDescent="0.2">
      <c r="A12968" s="29" t="s">
        <v>29462</v>
      </c>
      <c r="B12968" s="30" t="s">
        <v>29463</v>
      </c>
      <c r="C12968" s="29" t="s">
        <v>0</v>
      </c>
      <c r="D12968" s="31">
        <v>14044.69</v>
      </c>
      <c r="F12968" s="3" t="str">
        <f t="shared" si="202"/>
        <v>I10164</v>
      </c>
    </row>
    <row r="12969" spans="1:6" x14ac:dyDescent="0.2">
      <c r="A12969" s="29" t="s">
        <v>29464</v>
      </c>
      <c r="B12969" s="30" t="s">
        <v>29465</v>
      </c>
      <c r="C12969" s="29" t="s">
        <v>0</v>
      </c>
      <c r="D12969" s="31">
        <v>696.46</v>
      </c>
      <c r="F12969" s="3" t="str">
        <f t="shared" si="202"/>
        <v>I10150</v>
      </c>
    </row>
    <row r="12970" spans="1:6" x14ac:dyDescent="0.2">
      <c r="A12970" s="29" t="s">
        <v>29466</v>
      </c>
      <c r="B12970" s="30" t="s">
        <v>29467</v>
      </c>
      <c r="C12970" s="29" t="s">
        <v>0</v>
      </c>
      <c r="D12970" s="31">
        <v>524.20000000000005</v>
      </c>
      <c r="F12970" s="3" t="str">
        <f t="shared" si="202"/>
        <v>I10151</v>
      </c>
    </row>
    <row r="12971" spans="1:6" x14ac:dyDescent="0.2">
      <c r="A12971" s="29" t="s">
        <v>29468</v>
      </c>
      <c r="B12971" s="30" t="s">
        <v>29469</v>
      </c>
      <c r="C12971" s="29" t="s">
        <v>0</v>
      </c>
      <c r="D12971" s="31">
        <v>180.33</v>
      </c>
      <c r="F12971" s="3" t="str">
        <f t="shared" si="202"/>
        <v>I10152</v>
      </c>
    </row>
    <row r="12972" spans="1:6" x14ac:dyDescent="0.2">
      <c r="A12972" s="29" t="s">
        <v>29470</v>
      </c>
      <c r="B12972" s="30" t="s">
        <v>29471</v>
      </c>
      <c r="C12972" s="29" t="s">
        <v>0</v>
      </c>
      <c r="D12972" s="31">
        <v>263.23</v>
      </c>
      <c r="F12972" s="3" t="str">
        <f t="shared" si="202"/>
        <v>I10153</v>
      </c>
    </row>
    <row r="12973" spans="1:6" x14ac:dyDescent="0.2">
      <c r="A12973" s="29" t="s">
        <v>29472</v>
      </c>
      <c r="B12973" s="30" t="s">
        <v>29473</v>
      </c>
      <c r="C12973" s="29" t="s">
        <v>0</v>
      </c>
      <c r="D12973" s="31">
        <v>522.79</v>
      </c>
      <c r="F12973" s="3" t="str">
        <f t="shared" si="202"/>
        <v>I10154</v>
      </c>
    </row>
    <row r="12974" spans="1:6" x14ac:dyDescent="0.2">
      <c r="A12974" s="29" t="s">
        <v>29474</v>
      </c>
      <c r="B12974" s="30" t="s">
        <v>29475</v>
      </c>
      <c r="C12974" s="29" t="s">
        <v>0</v>
      </c>
      <c r="D12974" s="31">
        <v>597.17999999999995</v>
      </c>
      <c r="F12974" s="3" t="str">
        <f t="shared" si="202"/>
        <v>I10155</v>
      </c>
    </row>
    <row r="12975" spans="1:6" x14ac:dyDescent="0.2">
      <c r="A12975" s="29" t="s">
        <v>29476</v>
      </c>
      <c r="B12975" s="30" t="s">
        <v>29477</v>
      </c>
      <c r="C12975" s="29" t="s">
        <v>0</v>
      </c>
      <c r="D12975" s="31">
        <v>189.13</v>
      </c>
      <c r="F12975" s="3" t="str">
        <f t="shared" si="202"/>
        <v>I10158</v>
      </c>
    </row>
    <row r="12976" spans="1:6" x14ac:dyDescent="0.2">
      <c r="A12976" s="29" t="s">
        <v>29478</v>
      </c>
      <c r="B12976" s="30" t="s">
        <v>29479</v>
      </c>
      <c r="C12976" s="29" t="s">
        <v>0</v>
      </c>
      <c r="D12976" s="31">
        <v>935.81</v>
      </c>
      <c r="F12976" s="3" t="str">
        <f t="shared" si="202"/>
        <v>I10156</v>
      </c>
    </row>
    <row r="12977" spans="1:6" x14ac:dyDescent="0.2">
      <c r="A12977" s="29" t="s">
        <v>29480</v>
      </c>
      <c r="B12977" s="30" t="s">
        <v>29481</v>
      </c>
      <c r="C12977" s="29" t="s">
        <v>0</v>
      </c>
      <c r="D12977" s="31">
        <v>283.89</v>
      </c>
      <c r="F12977" s="3" t="str">
        <f t="shared" si="202"/>
        <v>I10159</v>
      </c>
    </row>
    <row r="12978" spans="1:6" x14ac:dyDescent="0.2">
      <c r="A12978" s="29" t="s">
        <v>29482</v>
      </c>
      <c r="B12978" s="30" t="s">
        <v>29483</v>
      </c>
      <c r="C12978" s="29" t="s">
        <v>0</v>
      </c>
      <c r="D12978" s="31">
        <v>500.39</v>
      </c>
      <c r="F12978" s="3" t="str">
        <f t="shared" si="202"/>
        <v>I10160</v>
      </c>
    </row>
    <row r="12979" spans="1:6" x14ac:dyDescent="0.2">
      <c r="A12979" s="29" t="s">
        <v>29484</v>
      </c>
      <c r="B12979" s="30" t="s">
        <v>29485</v>
      </c>
      <c r="C12979" s="29" t="s">
        <v>0</v>
      </c>
      <c r="D12979" s="31">
        <v>1548.19</v>
      </c>
      <c r="F12979" s="3" t="str">
        <f t="shared" si="202"/>
        <v>I10157</v>
      </c>
    </row>
    <row r="12980" spans="1:6" x14ac:dyDescent="0.2">
      <c r="A12980" s="29" t="s">
        <v>29486</v>
      </c>
      <c r="B12980" s="30" t="s">
        <v>29487</v>
      </c>
      <c r="C12980" s="29" t="s">
        <v>0</v>
      </c>
      <c r="D12980" s="31">
        <v>716.89</v>
      </c>
      <c r="F12980" s="3" t="str">
        <f t="shared" si="202"/>
        <v>I10161</v>
      </c>
    </row>
    <row r="12981" spans="1:6" x14ac:dyDescent="0.2">
      <c r="A12981" s="29" t="s">
        <v>29488</v>
      </c>
      <c r="B12981" s="30" t="s">
        <v>29489</v>
      </c>
      <c r="C12981" s="29" t="s">
        <v>26</v>
      </c>
      <c r="D12981" s="31">
        <v>662.63</v>
      </c>
      <c r="F12981" s="3" t="str">
        <f t="shared" si="202"/>
        <v>I7064</v>
      </c>
    </row>
    <row r="12982" spans="1:6" x14ac:dyDescent="0.2">
      <c r="A12982" s="29" t="s">
        <v>29490</v>
      </c>
      <c r="B12982" s="30" t="s">
        <v>29491</v>
      </c>
      <c r="C12982" s="29" t="s">
        <v>26</v>
      </c>
      <c r="D12982" s="31">
        <v>471.17</v>
      </c>
      <c r="F12982" s="3" t="str">
        <f t="shared" si="202"/>
        <v>I7065</v>
      </c>
    </row>
    <row r="12983" spans="1:6" x14ac:dyDescent="0.2">
      <c r="A12983" s="29" t="s">
        <v>29492</v>
      </c>
      <c r="B12983" s="30" t="s">
        <v>29493</v>
      </c>
      <c r="C12983" s="29" t="s">
        <v>26</v>
      </c>
      <c r="D12983" s="31">
        <v>264.79000000000002</v>
      </c>
      <c r="F12983" s="3" t="str">
        <f t="shared" si="202"/>
        <v>I3956</v>
      </c>
    </row>
    <row r="12984" spans="1:6" x14ac:dyDescent="0.2">
      <c r="A12984" s="29" t="s">
        <v>29494</v>
      </c>
      <c r="B12984" s="30" t="s">
        <v>29495</v>
      </c>
      <c r="C12984" s="29" t="s">
        <v>26</v>
      </c>
      <c r="D12984" s="31">
        <v>510.97</v>
      </c>
      <c r="F12984" s="3" t="str">
        <f t="shared" si="202"/>
        <v>I3957</v>
      </c>
    </row>
    <row r="12985" spans="1:6" x14ac:dyDescent="0.2">
      <c r="A12985" s="29" t="s">
        <v>29496</v>
      </c>
      <c r="B12985" s="30" t="s">
        <v>29497</v>
      </c>
      <c r="C12985" s="29" t="s">
        <v>26</v>
      </c>
      <c r="D12985" s="31">
        <v>478.83</v>
      </c>
      <c r="F12985" s="3" t="str">
        <f t="shared" si="202"/>
        <v>I3960</v>
      </c>
    </row>
    <row r="12986" spans="1:6" x14ac:dyDescent="0.2">
      <c r="A12986" s="29" t="s">
        <v>29498</v>
      </c>
      <c r="B12986" s="30" t="s">
        <v>29499</v>
      </c>
      <c r="C12986" s="29" t="s">
        <v>26</v>
      </c>
      <c r="D12986" s="31">
        <v>566.72</v>
      </c>
      <c r="F12986" s="3" t="str">
        <f t="shared" si="202"/>
        <v>I3961</v>
      </c>
    </row>
    <row r="12987" spans="1:6" x14ac:dyDescent="0.2">
      <c r="A12987" s="29" t="s">
        <v>29500</v>
      </c>
      <c r="B12987" s="30" t="s">
        <v>29501</v>
      </c>
      <c r="C12987" s="29" t="s">
        <v>26</v>
      </c>
      <c r="D12987" s="31">
        <v>1906.72</v>
      </c>
      <c r="F12987" s="3" t="str">
        <f t="shared" si="202"/>
        <v>I4458</v>
      </c>
    </row>
    <row r="12988" spans="1:6" x14ac:dyDescent="0.2">
      <c r="A12988" s="29" t="s">
        <v>29502</v>
      </c>
      <c r="B12988" s="30" t="s">
        <v>29503</v>
      </c>
      <c r="C12988" s="29" t="s">
        <v>26</v>
      </c>
      <c r="D12988" s="31">
        <v>2133.25</v>
      </c>
      <c r="F12988" s="3" t="str">
        <f t="shared" si="202"/>
        <v>I4459</v>
      </c>
    </row>
    <row r="12989" spans="1:6" x14ac:dyDescent="0.2">
      <c r="A12989" s="29" t="s">
        <v>29504</v>
      </c>
      <c r="B12989" s="30" t="s">
        <v>29505</v>
      </c>
      <c r="C12989" s="29" t="s">
        <v>26</v>
      </c>
      <c r="D12989" s="31">
        <v>2359.71</v>
      </c>
      <c r="F12989" s="3" t="str">
        <f t="shared" si="202"/>
        <v>I4460</v>
      </c>
    </row>
    <row r="12990" spans="1:6" x14ac:dyDescent="0.2">
      <c r="A12990" s="29" t="s">
        <v>29506</v>
      </c>
      <c r="B12990" s="30" t="s">
        <v>29507</v>
      </c>
      <c r="C12990" s="29" t="s">
        <v>26</v>
      </c>
      <c r="D12990" s="31">
        <v>2586.1799999999998</v>
      </c>
      <c r="F12990" s="3" t="str">
        <f t="shared" si="202"/>
        <v>I4461</v>
      </c>
    </row>
    <row r="12991" spans="1:6" x14ac:dyDescent="0.2">
      <c r="A12991" s="29" t="s">
        <v>29508</v>
      </c>
      <c r="B12991" s="30" t="s">
        <v>29509</v>
      </c>
      <c r="C12991" s="29" t="s">
        <v>26</v>
      </c>
      <c r="D12991" s="31">
        <v>2812.12</v>
      </c>
      <c r="F12991" s="3" t="str">
        <f t="shared" si="202"/>
        <v>I4462</v>
      </c>
    </row>
    <row r="12992" spans="1:6" x14ac:dyDescent="0.2">
      <c r="A12992" s="29" t="s">
        <v>29510</v>
      </c>
      <c r="B12992" s="30" t="s">
        <v>29511</v>
      </c>
      <c r="C12992" s="29" t="s">
        <v>26</v>
      </c>
      <c r="D12992" s="31">
        <v>2979.09</v>
      </c>
      <c r="F12992" s="3" t="str">
        <f t="shared" si="202"/>
        <v>I4463</v>
      </c>
    </row>
    <row r="12993" spans="1:6" x14ac:dyDescent="0.2">
      <c r="A12993" s="29" t="s">
        <v>29512</v>
      </c>
      <c r="B12993" s="30" t="s">
        <v>29513</v>
      </c>
      <c r="C12993" s="29" t="s">
        <v>26</v>
      </c>
      <c r="D12993" s="31">
        <v>3261</v>
      </c>
      <c r="F12993" s="3" t="str">
        <f t="shared" si="202"/>
        <v>I4464</v>
      </c>
    </row>
    <row r="12994" spans="1:6" x14ac:dyDescent="0.2">
      <c r="A12994" s="29" t="s">
        <v>29514</v>
      </c>
      <c r="B12994" s="30" t="s">
        <v>29515</v>
      </c>
      <c r="C12994" s="29" t="s">
        <v>26</v>
      </c>
      <c r="D12994" s="31">
        <v>3487.48</v>
      </c>
      <c r="F12994" s="3" t="str">
        <f t="shared" ref="F12994:F13057" si="203">A12994</f>
        <v>I4465</v>
      </c>
    </row>
    <row r="12995" spans="1:6" x14ac:dyDescent="0.2">
      <c r="A12995" s="29" t="s">
        <v>29516</v>
      </c>
      <c r="B12995" s="30" t="s">
        <v>29517</v>
      </c>
      <c r="C12995" s="29" t="s">
        <v>26</v>
      </c>
      <c r="D12995" s="31">
        <v>3899.2</v>
      </c>
      <c r="F12995" s="3" t="str">
        <f t="shared" si="203"/>
        <v>I4466</v>
      </c>
    </row>
    <row r="12996" spans="1:6" x14ac:dyDescent="0.2">
      <c r="A12996" s="29" t="s">
        <v>29518</v>
      </c>
      <c r="B12996" s="30" t="s">
        <v>29519</v>
      </c>
      <c r="C12996" s="29" t="s">
        <v>26</v>
      </c>
      <c r="D12996" s="31">
        <v>3941.99</v>
      </c>
      <c r="F12996" s="3" t="str">
        <f t="shared" si="203"/>
        <v>I4467</v>
      </c>
    </row>
    <row r="12997" spans="1:6" x14ac:dyDescent="0.2">
      <c r="A12997" s="29" t="s">
        <v>29520</v>
      </c>
      <c r="B12997" s="30" t="s">
        <v>29521</v>
      </c>
      <c r="C12997" s="29" t="s">
        <v>26</v>
      </c>
      <c r="D12997" s="31">
        <v>3965.9</v>
      </c>
      <c r="F12997" s="3" t="str">
        <f t="shared" si="203"/>
        <v>I4468</v>
      </c>
    </row>
    <row r="12998" spans="1:6" x14ac:dyDescent="0.2">
      <c r="A12998" s="29" t="s">
        <v>29522</v>
      </c>
      <c r="B12998" s="30" t="s">
        <v>29523</v>
      </c>
      <c r="C12998" s="29" t="s">
        <v>26</v>
      </c>
      <c r="D12998" s="31">
        <v>630.44000000000005</v>
      </c>
      <c r="F12998" s="3" t="str">
        <f t="shared" si="203"/>
        <v>I3962</v>
      </c>
    </row>
    <row r="12999" spans="1:6" x14ac:dyDescent="0.2">
      <c r="A12999" s="29" t="s">
        <v>29524</v>
      </c>
      <c r="B12999" s="30" t="s">
        <v>29525</v>
      </c>
      <c r="C12999" s="29" t="s">
        <v>26</v>
      </c>
      <c r="D12999" s="31">
        <v>776.36</v>
      </c>
      <c r="F12999" s="3" t="str">
        <f t="shared" si="203"/>
        <v>I3963</v>
      </c>
    </row>
    <row r="13000" spans="1:6" x14ac:dyDescent="0.2">
      <c r="A13000" s="29" t="s">
        <v>29526</v>
      </c>
      <c r="B13000" s="30" t="s">
        <v>29527</v>
      </c>
      <c r="C13000" s="29" t="s">
        <v>26</v>
      </c>
      <c r="D13000" s="31">
        <v>2319.64</v>
      </c>
      <c r="F13000" s="3" t="str">
        <f t="shared" si="203"/>
        <v>I4469</v>
      </c>
    </row>
    <row r="13001" spans="1:6" x14ac:dyDescent="0.2">
      <c r="A13001" s="29" t="s">
        <v>29528</v>
      </c>
      <c r="B13001" s="30" t="s">
        <v>29529</v>
      </c>
      <c r="C13001" s="29" t="s">
        <v>26</v>
      </c>
      <c r="D13001" s="31">
        <v>2594.5100000000002</v>
      </c>
      <c r="F13001" s="3" t="str">
        <f t="shared" si="203"/>
        <v>I4470</v>
      </c>
    </row>
    <row r="13002" spans="1:6" x14ac:dyDescent="0.2">
      <c r="A13002" s="29" t="s">
        <v>29530</v>
      </c>
      <c r="B13002" s="30" t="s">
        <v>29531</v>
      </c>
      <c r="C13002" s="29" t="s">
        <v>26</v>
      </c>
      <c r="D13002" s="31">
        <v>2869.44</v>
      </c>
      <c r="F13002" s="3" t="str">
        <f t="shared" si="203"/>
        <v>I4471</v>
      </c>
    </row>
    <row r="13003" spans="1:6" x14ac:dyDescent="0.2">
      <c r="A13003" s="29" t="s">
        <v>29532</v>
      </c>
      <c r="B13003" s="30" t="s">
        <v>29533</v>
      </c>
      <c r="C13003" s="29" t="s">
        <v>26</v>
      </c>
      <c r="D13003" s="31">
        <v>3148.83</v>
      </c>
      <c r="F13003" s="3" t="str">
        <f t="shared" si="203"/>
        <v>I4472</v>
      </c>
    </row>
    <row r="13004" spans="1:6" x14ac:dyDescent="0.2">
      <c r="A13004" s="29" t="s">
        <v>29534</v>
      </c>
      <c r="B13004" s="30" t="s">
        <v>29535</v>
      </c>
      <c r="C13004" s="29" t="s">
        <v>26</v>
      </c>
      <c r="D13004" s="31">
        <v>3423.73</v>
      </c>
      <c r="F13004" s="3" t="str">
        <f t="shared" si="203"/>
        <v>I4473</v>
      </c>
    </row>
    <row r="13005" spans="1:6" x14ac:dyDescent="0.2">
      <c r="A13005" s="29" t="s">
        <v>29536</v>
      </c>
      <c r="B13005" s="30" t="s">
        <v>29537</v>
      </c>
      <c r="C13005" s="29" t="s">
        <v>26</v>
      </c>
      <c r="D13005" s="31">
        <v>3698.63</v>
      </c>
      <c r="F13005" s="3" t="str">
        <f t="shared" si="203"/>
        <v>I4474</v>
      </c>
    </row>
    <row r="13006" spans="1:6" x14ac:dyDescent="0.2">
      <c r="A13006" s="29" t="s">
        <v>29538</v>
      </c>
      <c r="B13006" s="30" t="s">
        <v>29539</v>
      </c>
      <c r="C13006" s="29" t="s">
        <v>26</v>
      </c>
      <c r="D13006" s="31">
        <v>3978.06</v>
      </c>
      <c r="F13006" s="3" t="str">
        <f t="shared" si="203"/>
        <v>I4475</v>
      </c>
    </row>
    <row r="13007" spans="1:6" x14ac:dyDescent="0.2">
      <c r="A13007" s="29" t="s">
        <v>29540</v>
      </c>
      <c r="B13007" s="30" t="s">
        <v>29541</v>
      </c>
      <c r="C13007" s="29" t="s">
        <v>26</v>
      </c>
      <c r="D13007" s="31">
        <v>4252.91</v>
      </c>
      <c r="F13007" s="3" t="str">
        <f t="shared" si="203"/>
        <v>I4476</v>
      </c>
    </row>
    <row r="13008" spans="1:6" x14ac:dyDescent="0.2">
      <c r="A13008" s="29" t="s">
        <v>29542</v>
      </c>
      <c r="B13008" s="30" t="s">
        <v>29543</v>
      </c>
      <c r="C13008" s="29" t="s">
        <v>26</v>
      </c>
      <c r="D13008" s="31">
        <v>4742.76</v>
      </c>
      <c r="F13008" s="3" t="str">
        <f t="shared" si="203"/>
        <v>I4477</v>
      </c>
    </row>
    <row r="13009" spans="1:6" x14ac:dyDescent="0.2">
      <c r="A13009" s="29" t="s">
        <v>29544</v>
      </c>
      <c r="B13009" s="30" t="s">
        <v>29545</v>
      </c>
      <c r="C13009" s="29" t="s">
        <v>26</v>
      </c>
      <c r="D13009" s="31">
        <v>4809.24</v>
      </c>
      <c r="F13009" s="3" t="str">
        <f t="shared" si="203"/>
        <v>I4478</v>
      </c>
    </row>
    <row r="13010" spans="1:6" x14ac:dyDescent="0.2">
      <c r="A13010" s="29" t="s">
        <v>29546</v>
      </c>
      <c r="B13010" s="30" t="s">
        <v>29547</v>
      </c>
      <c r="C13010" s="29" t="s">
        <v>26</v>
      </c>
      <c r="D13010" s="31">
        <v>4847.2299999999996</v>
      </c>
      <c r="F13010" s="3" t="str">
        <f t="shared" si="203"/>
        <v>I4479</v>
      </c>
    </row>
    <row r="13011" spans="1:6" x14ac:dyDescent="0.2">
      <c r="A13011" s="29" t="s">
        <v>29548</v>
      </c>
      <c r="B13011" s="30" t="s">
        <v>29549</v>
      </c>
      <c r="C13011" s="29" t="s">
        <v>26</v>
      </c>
      <c r="D13011" s="31">
        <v>941.71</v>
      </c>
      <c r="F13011" s="3" t="str">
        <f t="shared" si="203"/>
        <v>I3964</v>
      </c>
    </row>
    <row r="13012" spans="1:6" x14ac:dyDescent="0.2">
      <c r="A13012" s="29" t="s">
        <v>29550</v>
      </c>
      <c r="B13012" s="30" t="s">
        <v>29551</v>
      </c>
      <c r="C13012" s="29" t="s">
        <v>26</v>
      </c>
      <c r="D13012" s="31">
        <v>1081.18</v>
      </c>
      <c r="F13012" s="3" t="str">
        <f t="shared" si="203"/>
        <v>I3965</v>
      </c>
    </row>
    <row r="13013" spans="1:6" x14ac:dyDescent="0.2">
      <c r="A13013" s="29" t="s">
        <v>29552</v>
      </c>
      <c r="B13013" s="30" t="s">
        <v>29553</v>
      </c>
      <c r="C13013" s="29" t="s">
        <v>26</v>
      </c>
      <c r="D13013" s="31">
        <v>2805.7</v>
      </c>
      <c r="F13013" s="3" t="str">
        <f t="shared" si="203"/>
        <v>I4480</v>
      </c>
    </row>
    <row r="13014" spans="1:6" x14ac:dyDescent="0.2">
      <c r="A13014" s="29" t="s">
        <v>29554</v>
      </c>
      <c r="B13014" s="30" t="s">
        <v>29555</v>
      </c>
      <c r="C13014" s="29" t="s">
        <v>26</v>
      </c>
      <c r="D13014" s="31">
        <v>3162.38</v>
      </c>
      <c r="F13014" s="3" t="str">
        <f t="shared" si="203"/>
        <v>I4481</v>
      </c>
    </row>
    <row r="13015" spans="1:6" x14ac:dyDescent="0.2">
      <c r="A13015" s="29" t="s">
        <v>29556</v>
      </c>
      <c r="B13015" s="30" t="s">
        <v>29557</v>
      </c>
      <c r="C13015" s="29" t="s">
        <v>26</v>
      </c>
      <c r="D13015" s="31">
        <v>3523.65</v>
      </c>
      <c r="F13015" s="3" t="str">
        <f t="shared" si="203"/>
        <v>I4482</v>
      </c>
    </row>
    <row r="13016" spans="1:6" x14ac:dyDescent="0.2">
      <c r="A13016" s="29" t="s">
        <v>29558</v>
      </c>
      <c r="B13016" s="30" t="s">
        <v>29559</v>
      </c>
      <c r="C13016" s="29" t="s">
        <v>26</v>
      </c>
      <c r="D13016" s="31">
        <v>3884.98</v>
      </c>
      <c r="F13016" s="3" t="str">
        <f t="shared" si="203"/>
        <v>I4483</v>
      </c>
    </row>
    <row r="13017" spans="1:6" x14ac:dyDescent="0.2">
      <c r="A13017" s="29" t="s">
        <v>29560</v>
      </c>
      <c r="B13017" s="30" t="s">
        <v>29561</v>
      </c>
      <c r="C13017" s="29" t="s">
        <v>26</v>
      </c>
      <c r="D13017" s="31">
        <v>4241.67</v>
      </c>
      <c r="F13017" s="3" t="str">
        <f t="shared" si="203"/>
        <v>I4484</v>
      </c>
    </row>
    <row r="13018" spans="1:6" x14ac:dyDescent="0.2">
      <c r="A13018" s="29" t="s">
        <v>29562</v>
      </c>
      <c r="B13018" s="30" t="s">
        <v>29563</v>
      </c>
      <c r="C13018" s="29" t="s">
        <v>26</v>
      </c>
      <c r="D13018" s="31">
        <v>4603.01</v>
      </c>
      <c r="F13018" s="3" t="str">
        <f t="shared" si="203"/>
        <v>I4485</v>
      </c>
    </row>
    <row r="13019" spans="1:6" x14ac:dyDescent="0.2">
      <c r="A13019" s="29" t="s">
        <v>29564</v>
      </c>
      <c r="B13019" s="30" t="s">
        <v>29565</v>
      </c>
      <c r="C13019" s="29" t="s">
        <v>26</v>
      </c>
      <c r="D13019" s="31">
        <v>4964.26</v>
      </c>
      <c r="F13019" s="3" t="str">
        <f t="shared" si="203"/>
        <v>I4486</v>
      </c>
    </row>
    <row r="13020" spans="1:6" x14ac:dyDescent="0.2">
      <c r="A13020" s="29" t="s">
        <v>29566</v>
      </c>
      <c r="B13020" s="30" t="s">
        <v>29567</v>
      </c>
      <c r="C13020" s="29" t="s">
        <v>26</v>
      </c>
      <c r="D13020" s="31">
        <v>5321.03</v>
      </c>
      <c r="F13020" s="3" t="str">
        <f t="shared" si="203"/>
        <v>I4487</v>
      </c>
    </row>
    <row r="13021" spans="1:6" x14ac:dyDescent="0.2">
      <c r="A13021" s="29" t="s">
        <v>29568</v>
      </c>
      <c r="B13021" s="30" t="s">
        <v>29569</v>
      </c>
      <c r="C13021" s="29" t="s">
        <v>26</v>
      </c>
      <c r="D13021" s="31">
        <v>5956.08</v>
      </c>
      <c r="F13021" s="3" t="str">
        <f t="shared" si="203"/>
        <v>I4488</v>
      </c>
    </row>
    <row r="13022" spans="1:6" x14ac:dyDescent="0.2">
      <c r="A13022" s="29" t="s">
        <v>29570</v>
      </c>
      <c r="B13022" s="30" t="s">
        <v>29571</v>
      </c>
      <c r="C13022" s="29" t="s">
        <v>26</v>
      </c>
      <c r="D13022" s="31">
        <v>6046.11</v>
      </c>
      <c r="F13022" s="3" t="str">
        <f t="shared" si="203"/>
        <v>I4489</v>
      </c>
    </row>
    <row r="13023" spans="1:6" x14ac:dyDescent="0.2">
      <c r="A13023" s="29" t="s">
        <v>29572</v>
      </c>
      <c r="B13023" s="30" t="s">
        <v>29573</v>
      </c>
      <c r="C13023" s="29" t="s">
        <v>26</v>
      </c>
      <c r="D13023" s="31">
        <v>6098.24</v>
      </c>
      <c r="F13023" s="3" t="str">
        <f t="shared" si="203"/>
        <v>I4490</v>
      </c>
    </row>
    <row r="13024" spans="1:6" x14ac:dyDescent="0.2">
      <c r="A13024" s="29" t="s">
        <v>29574</v>
      </c>
      <c r="B13024" s="30" t="s">
        <v>29575</v>
      </c>
      <c r="C13024" s="29" t="s">
        <v>26</v>
      </c>
      <c r="D13024" s="31">
        <v>1209.9000000000001</v>
      </c>
      <c r="F13024" s="3" t="str">
        <f t="shared" si="203"/>
        <v>I3966</v>
      </c>
    </row>
    <row r="13025" spans="1:6" x14ac:dyDescent="0.2">
      <c r="A13025" s="29" t="s">
        <v>29576</v>
      </c>
      <c r="B13025" s="30" t="s">
        <v>29577</v>
      </c>
      <c r="C13025" s="29" t="s">
        <v>26</v>
      </c>
      <c r="D13025" s="31">
        <v>1750.24</v>
      </c>
      <c r="F13025" s="3" t="str">
        <f t="shared" si="203"/>
        <v>I3967</v>
      </c>
    </row>
    <row r="13026" spans="1:6" x14ac:dyDescent="0.2">
      <c r="A13026" s="29" t="s">
        <v>29578</v>
      </c>
      <c r="B13026" s="30" t="s">
        <v>29579</v>
      </c>
      <c r="C13026" s="29" t="s">
        <v>26</v>
      </c>
      <c r="D13026" s="31">
        <v>3238.69</v>
      </c>
      <c r="F13026" s="3" t="str">
        <f t="shared" si="203"/>
        <v>I4491</v>
      </c>
    </row>
    <row r="13027" spans="1:6" x14ac:dyDescent="0.2">
      <c r="A13027" s="29" t="s">
        <v>29580</v>
      </c>
      <c r="B13027" s="30" t="s">
        <v>29581</v>
      </c>
      <c r="C13027" s="29" t="s">
        <v>26</v>
      </c>
      <c r="D13027" s="31">
        <v>3689.05</v>
      </c>
      <c r="F13027" s="3" t="str">
        <f t="shared" si="203"/>
        <v>I4492</v>
      </c>
    </row>
    <row r="13028" spans="1:6" x14ac:dyDescent="0.2">
      <c r="A13028" s="29" t="s">
        <v>29582</v>
      </c>
      <c r="B13028" s="30" t="s">
        <v>29583</v>
      </c>
      <c r="C13028" s="29" t="s">
        <v>26</v>
      </c>
      <c r="D13028" s="31">
        <v>4139.57</v>
      </c>
      <c r="F13028" s="3" t="str">
        <f t="shared" si="203"/>
        <v>I4493</v>
      </c>
    </row>
    <row r="13029" spans="1:6" x14ac:dyDescent="0.2">
      <c r="A13029" s="29" t="s">
        <v>29584</v>
      </c>
      <c r="B13029" s="30" t="s">
        <v>29585</v>
      </c>
      <c r="C13029" s="29" t="s">
        <v>26</v>
      </c>
      <c r="D13029" s="31">
        <v>4585.3599999999997</v>
      </c>
      <c r="F13029" s="3" t="str">
        <f t="shared" si="203"/>
        <v>I4494</v>
      </c>
    </row>
    <row r="13030" spans="1:6" x14ac:dyDescent="0.2">
      <c r="A13030" s="29" t="s">
        <v>29586</v>
      </c>
      <c r="B13030" s="30" t="s">
        <v>29587</v>
      </c>
      <c r="C13030" s="29" t="s">
        <v>26</v>
      </c>
      <c r="D13030" s="31">
        <v>5035.7</v>
      </c>
      <c r="F13030" s="3" t="str">
        <f t="shared" si="203"/>
        <v>I4495</v>
      </c>
    </row>
    <row r="13031" spans="1:6" x14ac:dyDescent="0.2">
      <c r="A13031" s="29" t="s">
        <v>29588</v>
      </c>
      <c r="B13031" s="30" t="s">
        <v>29589</v>
      </c>
      <c r="C13031" s="29" t="s">
        <v>26</v>
      </c>
      <c r="D13031" s="31">
        <v>5486.05</v>
      </c>
      <c r="F13031" s="3" t="str">
        <f t="shared" si="203"/>
        <v>I4496</v>
      </c>
    </row>
    <row r="13032" spans="1:6" x14ac:dyDescent="0.2">
      <c r="A13032" s="29" t="s">
        <v>29590</v>
      </c>
      <c r="B13032" s="30" t="s">
        <v>29591</v>
      </c>
      <c r="C13032" s="29" t="s">
        <v>26</v>
      </c>
      <c r="D13032" s="31">
        <v>5931.91</v>
      </c>
      <c r="F13032" s="3" t="str">
        <f t="shared" si="203"/>
        <v>I4497</v>
      </c>
    </row>
    <row r="13033" spans="1:6" x14ac:dyDescent="0.2">
      <c r="A13033" s="29" t="s">
        <v>29592</v>
      </c>
      <c r="B13033" s="30" t="s">
        <v>29593</v>
      </c>
      <c r="C13033" s="29" t="s">
        <v>26</v>
      </c>
      <c r="D13033" s="31">
        <v>6382.3</v>
      </c>
      <c r="F13033" s="3" t="str">
        <f t="shared" si="203"/>
        <v>I4498</v>
      </c>
    </row>
    <row r="13034" spans="1:6" x14ac:dyDescent="0.2">
      <c r="A13034" s="29" t="s">
        <v>29594</v>
      </c>
      <c r="B13034" s="30" t="s">
        <v>29595</v>
      </c>
      <c r="C13034" s="29" t="s">
        <v>26</v>
      </c>
      <c r="D13034" s="31">
        <v>7163.61</v>
      </c>
      <c r="F13034" s="3" t="str">
        <f t="shared" si="203"/>
        <v>I4499</v>
      </c>
    </row>
    <row r="13035" spans="1:6" x14ac:dyDescent="0.2">
      <c r="A13035" s="29" t="s">
        <v>29596</v>
      </c>
      <c r="B13035" s="30" t="s">
        <v>29597</v>
      </c>
      <c r="C13035" s="29" t="s">
        <v>26</v>
      </c>
      <c r="D13035" s="31">
        <v>7281.59</v>
      </c>
      <c r="F13035" s="3" t="str">
        <f t="shared" si="203"/>
        <v>I4500</v>
      </c>
    </row>
    <row r="13036" spans="1:6" x14ac:dyDescent="0.2">
      <c r="A13036" s="29" t="s">
        <v>29598</v>
      </c>
      <c r="B13036" s="30" t="s">
        <v>29599</v>
      </c>
      <c r="C13036" s="29" t="s">
        <v>26</v>
      </c>
      <c r="D13036" s="31">
        <v>7352.34</v>
      </c>
      <c r="F13036" s="3" t="str">
        <f t="shared" si="203"/>
        <v>I4501</v>
      </c>
    </row>
    <row r="13037" spans="1:6" x14ac:dyDescent="0.2">
      <c r="A13037" s="29" t="s">
        <v>29600</v>
      </c>
      <c r="B13037" s="30" t="s">
        <v>29601</v>
      </c>
      <c r="C13037" s="29" t="s">
        <v>26</v>
      </c>
      <c r="D13037" s="31">
        <v>1715.12</v>
      </c>
      <c r="F13037" s="3" t="str">
        <f t="shared" si="203"/>
        <v>I3968</v>
      </c>
    </row>
    <row r="13038" spans="1:6" x14ac:dyDescent="0.2">
      <c r="A13038" s="29" t="s">
        <v>29602</v>
      </c>
      <c r="B13038" s="30" t="s">
        <v>29603</v>
      </c>
      <c r="C13038" s="29" t="s">
        <v>26</v>
      </c>
      <c r="D13038" s="31">
        <v>2015.08</v>
      </c>
      <c r="F13038" s="3" t="str">
        <f t="shared" si="203"/>
        <v>I3969</v>
      </c>
    </row>
    <row r="13039" spans="1:6" x14ac:dyDescent="0.2">
      <c r="A13039" s="29" t="s">
        <v>29604</v>
      </c>
      <c r="B13039" s="30" t="s">
        <v>29605</v>
      </c>
      <c r="C13039" s="29" t="s">
        <v>26</v>
      </c>
      <c r="D13039" s="31">
        <v>3918.88</v>
      </c>
      <c r="F13039" s="3" t="str">
        <f t="shared" si="203"/>
        <v>I4502</v>
      </c>
    </row>
    <row r="13040" spans="1:6" x14ac:dyDescent="0.2">
      <c r="A13040" s="29" t="s">
        <v>29606</v>
      </c>
      <c r="B13040" s="30" t="s">
        <v>29607</v>
      </c>
      <c r="C13040" s="29" t="s">
        <v>26</v>
      </c>
      <c r="D13040" s="31">
        <v>4468.71</v>
      </c>
      <c r="F13040" s="3" t="str">
        <f t="shared" si="203"/>
        <v>I4503</v>
      </c>
    </row>
    <row r="13041" spans="1:6" x14ac:dyDescent="0.2">
      <c r="A13041" s="29" t="s">
        <v>29608</v>
      </c>
      <c r="B13041" s="30" t="s">
        <v>29609</v>
      </c>
      <c r="C13041" s="29" t="s">
        <v>26</v>
      </c>
      <c r="D13041" s="31">
        <v>5018.53</v>
      </c>
      <c r="F13041" s="3" t="str">
        <f t="shared" si="203"/>
        <v>I4504</v>
      </c>
    </row>
    <row r="13042" spans="1:6" x14ac:dyDescent="0.2">
      <c r="A13042" s="29" t="s">
        <v>29610</v>
      </c>
      <c r="B13042" s="30" t="s">
        <v>29611</v>
      </c>
      <c r="C13042" s="29" t="s">
        <v>26</v>
      </c>
      <c r="D13042" s="31">
        <v>5568.35</v>
      </c>
      <c r="F13042" s="3" t="str">
        <f t="shared" si="203"/>
        <v>I4505</v>
      </c>
    </row>
    <row r="13043" spans="1:6" x14ac:dyDescent="0.2">
      <c r="A13043" s="29" t="s">
        <v>29612</v>
      </c>
      <c r="B13043" s="30" t="s">
        <v>29613</v>
      </c>
      <c r="C13043" s="29" t="s">
        <v>26</v>
      </c>
      <c r="D13043" s="31">
        <v>6118.15</v>
      </c>
      <c r="F13043" s="3" t="str">
        <f t="shared" si="203"/>
        <v>I4506</v>
      </c>
    </row>
    <row r="13044" spans="1:6" x14ac:dyDescent="0.2">
      <c r="A13044" s="29" t="s">
        <v>29614</v>
      </c>
      <c r="B13044" s="30" t="s">
        <v>29615</v>
      </c>
      <c r="C13044" s="29" t="s">
        <v>26</v>
      </c>
      <c r="D13044" s="31">
        <v>6667.99</v>
      </c>
      <c r="F13044" s="3" t="str">
        <f t="shared" si="203"/>
        <v>I4507</v>
      </c>
    </row>
    <row r="13045" spans="1:6" x14ac:dyDescent="0.2">
      <c r="A13045" s="29" t="s">
        <v>29616</v>
      </c>
      <c r="B13045" s="30" t="s">
        <v>29617</v>
      </c>
      <c r="C13045" s="29" t="s">
        <v>26</v>
      </c>
      <c r="D13045" s="31">
        <v>7217.73</v>
      </c>
      <c r="F13045" s="3" t="str">
        <f t="shared" si="203"/>
        <v>I4508</v>
      </c>
    </row>
    <row r="13046" spans="1:6" x14ac:dyDescent="0.2">
      <c r="A13046" s="29" t="s">
        <v>29618</v>
      </c>
      <c r="B13046" s="30" t="s">
        <v>29619</v>
      </c>
      <c r="C13046" s="29" t="s">
        <v>26</v>
      </c>
      <c r="D13046" s="31">
        <v>7767.64</v>
      </c>
      <c r="F13046" s="3" t="str">
        <f t="shared" si="203"/>
        <v>I4509</v>
      </c>
    </row>
    <row r="13047" spans="1:6" x14ac:dyDescent="0.2">
      <c r="A13047" s="29" t="s">
        <v>29620</v>
      </c>
      <c r="B13047" s="30" t="s">
        <v>29621</v>
      </c>
      <c r="C13047" s="29" t="s">
        <v>26</v>
      </c>
      <c r="D13047" s="31">
        <v>8725.2900000000009</v>
      </c>
      <c r="F13047" s="3" t="str">
        <f t="shared" si="203"/>
        <v>I4510</v>
      </c>
    </row>
    <row r="13048" spans="1:6" x14ac:dyDescent="0.2">
      <c r="A13048" s="29" t="s">
        <v>29622</v>
      </c>
      <c r="B13048" s="30" t="s">
        <v>29623</v>
      </c>
      <c r="C13048" s="29" t="s">
        <v>26</v>
      </c>
      <c r="D13048" s="31">
        <v>8870.91</v>
      </c>
      <c r="F13048" s="3" t="str">
        <f t="shared" si="203"/>
        <v>I4511</v>
      </c>
    </row>
    <row r="13049" spans="1:6" x14ac:dyDescent="0.2">
      <c r="A13049" s="29" t="s">
        <v>29624</v>
      </c>
      <c r="B13049" s="30" t="s">
        <v>29625</v>
      </c>
      <c r="C13049" s="29" t="s">
        <v>26</v>
      </c>
      <c r="D13049" s="31">
        <v>8960.11</v>
      </c>
      <c r="F13049" s="3" t="str">
        <f t="shared" si="203"/>
        <v>I4512</v>
      </c>
    </row>
    <row r="13050" spans="1:6" x14ac:dyDescent="0.2">
      <c r="A13050" s="29" t="s">
        <v>29626</v>
      </c>
      <c r="B13050" s="30" t="s">
        <v>29627</v>
      </c>
      <c r="C13050" s="29" t="s">
        <v>26</v>
      </c>
      <c r="D13050" s="31">
        <v>3192.91</v>
      </c>
      <c r="F13050" s="3" t="str">
        <f t="shared" si="203"/>
        <v>I3970</v>
      </c>
    </row>
    <row r="13051" spans="1:6" x14ac:dyDescent="0.2">
      <c r="A13051" s="29" t="s">
        <v>29628</v>
      </c>
      <c r="B13051" s="30" t="s">
        <v>29629</v>
      </c>
      <c r="C13051" s="29" t="s">
        <v>26</v>
      </c>
      <c r="D13051" s="31">
        <v>3752.96</v>
      </c>
      <c r="F13051" s="3" t="str">
        <f t="shared" si="203"/>
        <v>I3971</v>
      </c>
    </row>
    <row r="13052" spans="1:6" x14ac:dyDescent="0.2">
      <c r="A13052" s="29" t="s">
        <v>29630</v>
      </c>
      <c r="B13052" s="30" t="s">
        <v>29631</v>
      </c>
      <c r="C13052" s="29" t="s">
        <v>26</v>
      </c>
      <c r="D13052" s="31">
        <v>4721.74</v>
      </c>
      <c r="F13052" s="3" t="str">
        <f t="shared" si="203"/>
        <v>I4513</v>
      </c>
    </row>
    <row r="13053" spans="1:6" x14ac:dyDescent="0.2">
      <c r="A13053" s="29" t="s">
        <v>29632</v>
      </c>
      <c r="B13053" s="30" t="s">
        <v>29633</v>
      </c>
      <c r="C13053" s="29" t="s">
        <v>26</v>
      </c>
      <c r="D13053" s="31">
        <v>5352.88</v>
      </c>
      <c r="F13053" s="3" t="str">
        <f t="shared" si="203"/>
        <v>I4514</v>
      </c>
    </row>
    <row r="13054" spans="1:6" x14ac:dyDescent="0.2">
      <c r="A13054" s="29" t="s">
        <v>29634</v>
      </c>
      <c r="B13054" s="30" t="s">
        <v>29635</v>
      </c>
      <c r="C13054" s="29" t="s">
        <v>26</v>
      </c>
      <c r="D13054" s="31">
        <v>5984.01</v>
      </c>
      <c r="F13054" s="3" t="str">
        <f t="shared" si="203"/>
        <v>I4515</v>
      </c>
    </row>
    <row r="13055" spans="1:6" x14ac:dyDescent="0.2">
      <c r="A13055" s="29" t="s">
        <v>29636</v>
      </c>
      <c r="B13055" s="30" t="s">
        <v>29637</v>
      </c>
      <c r="C13055" s="29" t="s">
        <v>26</v>
      </c>
      <c r="D13055" s="31">
        <v>6615.32</v>
      </c>
      <c r="F13055" s="3" t="str">
        <f t="shared" si="203"/>
        <v>I4516</v>
      </c>
    </row>
    <row r="13056" spans="1:6" x14ac:dyDescent="0.2">
      <c r="A13056" s="29" t="s">
        <v>29638</v>
      </c>
      <c r="B13056" s="30" t="s">
        <v>29639</v>
      </c>
      <c r="C13056" s="29" t="s">
        <v>26</v>
      </c>
      <c r="D13056" s="31">
        <v>7246.52</v>
      </c>
      <c r="F13056" s="3" t="str">
        <f t="shared" si="203"/>
        <v>I4517</v>
      </c>
    </row>
    <row r="13057" spans="1:6" x14ac:dyDescent="0.2">
      <c r="A13057" s="29" t="s">
        <v>29640</v>
      </c>
      <c r="B13057" s="30" t="s">
        <v>29641</v>
      </c>
      <c r="C13057" s="29" t="s">
        <v>26</v>
      </c>
      <c r="D13057" s="31">
        <v>7877.72</v>
      </c>
      <c r="F13057" s="3" t="str">
        <f t="shared" si="203"/>
        <v>I4518</v>
      </c>
    </row>
    <row r="13058" spans="1:6" x14ac:dyDescent="0.2">
      <c r="A13058" s="29" t="s">
        <v>29642</v>
      </c>
      <c r="B13058" s="30" t="s">
        <v>29643</v>
      </c>
      <c r="C13058" s="29" t="s">
        <v>26</v>
      </c>
      <c r="D13058" s="31">
        <v>8509.0300000000007</v>
      </c>
      <c r="F13058" s="3" t="str">
        <f t="shared" ref="F13058:F13121" si="204">A13058</f>
        <v>I4519</v>
      </c>
    </row>
    <row r="13059" spans="1:6" x14ac:dyDescent="0.2">
      <c r="A13059" s="29" t="s">
        <v>29644</v>
      </c>
      <c r="B13059" s="30" t="s">
        <v>29645</v>
      </c>
      <c r="C13059" s="29" t="s">
        <v>26</v>
      </c>
      <c r="D13059" s="31">
        <v>9135.51</v>
      </c>
      <c r="F13059" s="3" t="str">
        <f t="shared" si="204"/>
        <v>I4520</v>
      </c>
    </row>
    <row r="13060" spans="1:6" x14ac:dyDescent="0.2">
      <c r="A13060" s="29" t="s">
        <v>29646</v>
      </c>
      <c r="B13060" s="30" t="s">
        <v>29647</v>
      </c>
      <c r="C13060" s="29" t="s">
        <v>26</v>
      </c>
      <c r="D13060" s="31">
        <v>10221.969999999999</v>
      </c>
      <c r="F13060" s="3" t="str">
        <f t="shared" si="204"/>
        <v>I4521</v>
      </c>
    </row>
    <row r="13061" spans="1:6" x14ac:dyDescent="0.2">
      <c r="A13061" s="29" t="s">
        <v>29648</v>
      </c>
      <c r="B13061" s="30" t="s">
        <v>29649</v>
      </c>
      <c r="C13061" s="29" t="s">
        <v>26</v>
      </c>
      <c r="D13061" s="31">
        <v>10402.09</v>
      </c>
      <c r="F13061" s="3" t="str">
        <f t="shared" si="204"/>
        <v>I4522</v>
      </c>
    </row>
    <row r="13062" spans="1:6" x14ac:dyDescent="0.2">
      <c r="A13062" s="29" t="s">
        <v>29650</v>
      </c>
      <c r="B13062" s="30" t="s">
        <v>29651</v>
      </c>
      <c r="C13062" s="29" t="s">
        <v>26</v>
      </c>
      <c r="D13062" s="31">
        <v>10511.1</v>
      </c>
      <c r="F13062" s="3" t="str">
        <f t="shared" si="204"/>
        <v>I4523</v>
      </c>
    </row>
    <row r="13063" spans="1:6" x14ac:dyDescent="0.2">
      <c r="A13063" s="29" t="s">
        <v>29652</v>
      </c>
      <c r="B13063" s="30" t="s">
        <v>29653</v>
      </c>
      <c r="C13063" s="29" t="s">
        <v>26</v>
      </c>
      <c r="D13063" s="31">
        <v>2872.38</v>
      </c>
      <c r="F13063" s="3" t="str">
        <f t="shared" si="204"/>
        <v>I3972</v>
      </c>
    </row>
    <row r="13064" spans="1:6" x14ac:dyDescent="0.2">
      <c r="A13064" s="29" t="s">
        <v>29654</v>
      </c>
      <c r="B13064" s="30" t="s">
        <v>29655</v>
      </c>
      <c r="C13064" s="29" t="s">
        <v>26</v>
      </c>
      <c r="D13064" s="31">
        <v>5055.4399999999996</v>
      </c>
      <c r="F13064" s="3" t="str">
        <f t="shared" si="204"/>
        <v>I4524</v>
      </c>
    </row>
    <row r="13065" spans="1:6" x14ac:dyDescent="0.2">
      <c r="A13065" s="29" t="s">
        <v>29656</v>
      </c>
      <c r="B13065" s="30" t="s">
        <v>29657</v>
      </c>
      <c r="C13065" s="29" t="s">
        <v>26</v>
      </c>
      <c r="D13065" s="31">
        <v>5751.41</v>
      </c>
      <c r="F13065" s="3" t="str">
        <f t="shared" si="204"/>
        <v>I4525</v>
      </c>
    </row>
    <row r="13066" spans="1:6" x14ac:dyDescent="0.2">
      <c r="A13066" s="29" t="s">
        <v>29658</v>
      </c>
      <c r="B13066" s="30" t="s">
        <v>29659</v>
      </c>
      <c r="C13066" s="29" t="s">
        <v>26</v>
      </c>
      <c r="D13066" s="31">
        <v>6447.38</v>
      </c>
      <c r="F13066" s="3" t="str">
        <f t="shared" si="204"/>
        <v>I4526</v>
      </c>
    </row>
    <row r="13067" spans="1:6" x14ac:dyDescent="0.2">
      <c r="A13067" s="29" t="s">
        <v>29660</v>
      </c>
      <c r="B13067" s="30" t="s">
        <v>29661</v>
      </c>
      <c r="C13067" s="29" t="s">
        <v>26</v>
      </c>
      <c r="D13067" s="31">
        <v>7138.7</v>
      </c>
      <c r="F13067" s="3" t="str">
        <f t="shared" si="204"/>
        <v>I4527</v>
      </c>
    </row>
    <row r="13068" spans="1:6" x14ac:dyDescent="0.2">
      <c r="A13068" s="29" t="s">
        <v>29662</v>
      </c>
      <c r="B13068" s="30" t="s">
        <v>29663</v>
      </c>
      <c r="C13068" s="29" t="s">
        <v>26</v>
      </c>
      <c r="D13068" s="31">
        <v>7834.16</v>
      </c>
      <c r="F13068" s="3" t="str">
        <f t="shared" si="204"/>
        <v>I4528</v>
      </c>
    </row>
    <row r="13069" spans="1:6" x14ac:dyDescent="0.2">
      <c r="A13069" s="29" t="s">
        <v>29664</v>
      </c>
      <c r="B13069" s="30" t="s">
        <v>29665</v>
      </c>
      <c r="C13069" s="29" t="s">
        <v>26</v>
      </c>
      <c r="D13069" s="31">
        <v>8530.4599999999991</v>
      </c>
      <c r="F13069" s="3" t="str">
        <f t="shared" si="204"/>
        <v>I4529</v>
      </c>
    </row>
    <row r="13070" spans="1:6" x14ac:dyDescent="0.2">
      <c r="A13070" s="29" t="s">
        <v>29666</v>
      </c>
      <c r="B13070" s="30" t="s">
        <v>29667</v>
      </c>
      <c r="C13070" s="29" t="s">
        <v>26</v>
      </c>
      <c r="D13070" s="31">
        <v>9226.44</v>
      </c>
      <c r="F13070" s="3" t="str">
        <f t="shared" si="204"/>
        <v>I4530</v>
      </c>
    </row>
    <row r="13071" spans="1:6" x14ac:dyDescent="0.2">
      <c r="A13071" s="29" t="s">
        <v>29668</v>
      </c>
      <c r="B13071" s="30" t="s">
        <v>29669</v>
      </c>
      <c r="C13071" s="29" t="s">
        <v>26</v>
      </c>
      <c r="D13071" s="31">
        <v>9922.39</v>
      </c>
      <c r="F13071" s="3" t="str">
        <f t="shared" si="204"/>
        <v>I4531</v>
      </c>
    </row>
    <row r="13072" spans="1:6" x14ac:dyDescent="0.2">
      <c r="A13072" s="29" t="s">
        <v>29670</v>
      </c>
      <c r="B13072" s="30" t="s">
        <v>29671</v>
      </c>
      <c r="C13072" s="29" t="s">
        <v>26</v>
      </c>
      <c r="D13072" s="31">
        <v>11106.02</v>
      </c>
      <c r="F13072" s="3" t="str">
        <f t="shared" si="204"/>
        <v>I4532</v>
      </c>
    </row>
    <row r="13073" spans="1:6" x14ac:dyDescent="0.2">
      <c r="A13073" s="29" t="s">
        <v>29672</v>
      </c>
      <c r="B13073" s="30" t="s">
        <v>29673</v>
      </c>
      <c r="C13073" s="29" t="s">
        <v>26</v>
      </c>
      <c r="D13073" s="31">
        <v>11318.61</v>
      </c>
      <c r="F13073" s="3" t="str">
        <f t="shared" si="204"/>
        <v>I4533</v>
      </c>
    </row>
    <row r="13074" spans="1:6" x14ac:dyDescent="0.2">
      <c r="A13074" s="29" t="s">
        <v>29674</v>
      </c>
      <c r="B13074" s="30" t="s">
        <v>29675</v>
      </c>
      <c r="C13074" s="29" t="s">
        <v>26</v>
      </c>
      <c r="D13074" s="31">
        <v>11446.24</v>
      </c>
      <c r="F13074" s="3" t="str">
        <f t="shared" si="204"/>
        <v>I4534</v>
      </c>
    </row>
    <row r="13075" spans="1:6" x14ac:dyDescent="0.2">
      <c r="A13075" s="29" t="s">
        <v>29676</v>
      </c>
      <c r="B13075" s="30" t="s">
        <v>29677</v>
      </c>
      <c r="C13075" s="29" t="s">
        <v>26</v>
      </c>
      <c r="D13075" s="31">
        <v>4622.91</v>
      </c>
      <c r="F13075" s="3" t="str">
        <f t="shared" si="204"/>
        <v>I3974</v>
      </c>
    </row>
    <row r="13076" spans="1:6" x14ac:dyDescent="0.2">
      <c r="A13076" s="29" t="s">
        <v>29678</v>
      </c>
      <c r="B13076" s="30" t="s">
        <v>29679</v>
      </c>
      <c r="C13076" s="29" t="s">
        <v>26</v>
      </c>
      <c r="D13076" s="31">
        <v>13224.63</v>
      </c>
      <c r="F13076" s="3" t="str">
        <f t="shared" si="204"/>
        <v>I3975</v>
      </c>
    </row>
    <row r="13077" spans="1:6" x14ac:dyDescent="0.2">
      <c r="A13077" s="29" t="s">
        <v>29680</v>
      </c>
      <c r="B13077" s="30" t="s">
        <v>29681</v>
      </c>
      <c r="C13077" s="29" t="s">
        <v>26</v>
      </c>
      <c r="D13077" s="31">
        <v>6309.28</v>
      </c>
      <c r="F13077" s="3" t="str">
        <f t="shared" si="204"/>
        <v>I4535</v>
      </c>
    </row>
    <row r="13078" spans="1:6" x14ac:dyDescent="0.2">
      <c r="A13078" s="29" t="s">
        <v>29682</v>
      </c>
      <c r="B13078" s="30" t="s">
        <v>29683</v>
      </c>
      <c r="C13078" s="29" t="s">
        <v>26</v>
      </c>
      <c r="D13078" s="31">
        <v>7120.01</v>
      </c>
      <c r="F13078" s="3" t="str">
        <f t="shared" si="204"/>
        <v>I4536</v>
      </c>
    </row>
    <row r="13079" spans="1:6" x14ac:dyDescent="0.2">
      <c r="A13079" s="29" t="s">
        <v>29684</v>
      </c>
      <c r="B13079" s="30" t="s">
        <v>29685</v>
      </c>
      <c r="C13079" s="29" t="s">
        <v>26</v>
      </c>
      <c r="D13079" s="31">
        <v>7930.63</v>
      </c>
      <c r="F13079" s="3" t="str">
        <f t="shared" si="204"/>
        <v>I4537</v>
      </c>
    </row>
    <row r="13080" spans="1:6" x14ac:dyDescent="0.2">
      <c r="A13080" s="29" t="s">
        <v>29686</v>
      </c>
      <c r="B13080" s="30" t="s">
        <v>29687</v>
      </c>
      <c r="C13080" s="29" t="s">
        <v>26</v>
      </c>
      <c r="D13080" s="31">
        <v>8741.44</v>
      </c>
      <c r="F13080" s="3" t="str">
        <f t="shared" si="204"/>
        <v>I4538</v>
      </c>
    </row>
    <row r="13081" spans="1:6" x14ac:dyDescent="0.2">
      <c r="A13081" s="29" t="s">
        <v>29688</v>
      </c>
      <c r="B13081" s="30" t="s">
        <v>29689</v>
      </c>
      <c r="C13081" s="29" t="s">
        <v>26</v>
      </c>
      <c r="D13081" s="31">
        <v>9551.5400000000009</v>
      </c>
      <c r="F13081" s="3" t="str">
        <f t="shared" si="204"/>
        <v>I4539</v>
      </c>
    </row>
    <row r="13082" spans="1:6" x14ac:dyDescent="0.2">
      <c r="A13082" s="29" t="s">
        <v>29690</v>
      </c>
      <c r="B13082" s="30" t="s">
        <v>29691</v>
      </c>
      <c r="C13082" s="29" t="s">
        <v>26</v>
      </c>
      <c r="D13082" s="31">
        <v>10362.73</v>
      </c>
      <c r="F13082" s="3" t="str">
        <f t="shared" si="204"/>
        <v>I4540</v>
      </c>
    </row>
    <row r="13083" spans="1:6" x14ac:dyDescent="0.2">
      <c r="A13083" s="29" t="s">
        <v>29692</v>
      </c>
      <c r="B13083" s="30" t="s">
        <v>29693</v>
      </c>
      <c r="C13083" s="29" t="s">
        <v>26</v>
      </c>
      <c r="D13083" s="31">
        <v>11173.44</v>
      </c>
      <c r="F13083" s="3" t="str">
        <f t="shared" si="204"/>
        <v>I4541</v>
      </c>
    </row>
    <row r="13084" spans="1:6" x14ac:dyDescent="0.2">
      <c r="A13084" s="29" t="s">
        <v>29694</v>
      </c>
      <c r="B13084" s="30" t="s">
        <v>29695</v>
      </c>
      <c r="C13084" s="29" t="s">
        <v>26</v>
      </c>
      <c r="D13084" s="31">
        <v>11984.16</v>
      </c>
      <c r="F13084" s="3" t="str">
        <f t="shared" si="204"/>
        <v>I4542</v>
      </c>
    </row>
    <row r="13085" spans="1:6" x14ac:dyDescent="0.2">
      <c r="A13085" s="29" t="s">
        <v>29696</v>
      </c>
      <c r="B13085" s="30" t="s">
        <v>29697</v>
      </c>
      <c r="C13085" s="29" t="s">
        <v>26</v>
      </c>
      <c r="D13085" s="31">
        <v>13361.17</v>
      </c>
      <c r="F13085" s="3" t="str">
        <f t="shared" si="204"/>
        <v>I4543</v>
      </c>
    </row>
    <row r="13086" spans="1:6" x14ac:dyDescent="0.2">
      <c r="A13086" s="29" t="s">
        <v>29698</v>
      </c>
      <c r="B13086" s="30" t="s">
        <v>29699</v>
      </c>
      <c r="C13086" s="29" t="s">
        <v>26</v>
      </c>
      <c r="D13086" s="31">
        <v>13606.07</v>
      </c>
      <c r="F13086" s="3" t="str">
        <f t="shared" si="204"/>
        <v>I4544</v>
      </c>
    </row>
    <row r="13087" spans="1:6" x14ac:dyDescent="0.2">
      <c r="A13087" s="29" t="s">
        <v>29700</v>
      </c>
      <c r="B13087" s="30" t="s">
        <v>29701</v>
      </c>
      <c r="C13087" s="29" t="s">
        <v>26</v>
      </c>
      <c r="D13087" s="31">
        <v>13756.69</v>
      </c>
      <c r="F13087" s="3" t="str">
        <f t="shared" si="204"/>
        <v>I4545</v>
      </c>
    </row>
    <row r="13088" spans="1:6" x14ac:dyDescent="0.2">
      <c r="A13088" s="29" t="s">
        <v>29702</v>
      </c>
      <c r="B13088" s="30" t="s">
        <v>29703</v>
      </c>
      <c r="C13088" s="29" t="s">
        <v>26</v>
      </c>
      <c r="D13088" s="31">
        <v>430.09</v>
      </c>
      <c r="F13088" s="3" t="str">
        <f t="shared" si="204"/>
        <v>I3958</v>
      </c>
    </row>
    <row r="13089" spans="1:6" x14ac:dyDescent="0.2">
      <c r="A13089" s="29" t="s">
        <v>29704</v>
      </c>
      <c r="B13089" s="30" t="s">
        <v>29705</v>
      </c>
      <c r="C13089" s="29" t="s">
        <v>26</v>
      </c>
      <c r="D13089" s="31">
        <v>498.1</v>
      </c>
      <c r="F13089" s="3" t="str">
        <f t="shared" si="204"/>
        <v>I3959</v>
      </c>
    </row>
    <row r="13090" spans="1:6" x14ac:dyDescent="0.2">
      <c r="A13090" s="29" t="s">
        <v>29706</v>
      </c>
      <c r="B13090" s="30" t="s">
        <v>29707</v>
      </c>
      <c r="C13090" s="29" t="s">
        <v>26</v>
      </c>
      <c r="D13090" s="31">
        <v>1629.03</v>
      </c>
      <c r="F13090" s="3" t="str">
        <f t="shared" si="204"/>
        <v>I4447</v>
      </c>
    </row>
    <row r="13091" spans="1:6" x14ac:dyDescent="0.2">
      <c r="A13091" s="29" t="s">
        <v>29708</v>
      </c>
      <c r="B13091" s="30" t="s">
        <v>29709</v>
      </c>
      <c r="C13091" s="29" t="s">
        <v>26</v>
      </c>
      <c r="D13091" s="31">
        <v>1852.51</v>
      </c>
      <c r="F13091" s="3" t="str">
        <f t="shared" si="204"/>
        <v>I4448</v>
      </c>
    </row>
    <row r="13092" spans="1:6" x14ac:dyDescent="0.2">
      <c r="A13092" s="29" t="s">
        <v>29710</v>
      </c>
      <c r="B13092" s="30" t="s">
        <v>29711</v>
      </c>
      <c r="C13092" s="29" t="s">
        <v>26</v>
      </c>
      <c r="D13092" s="31">
        <v>2080.56</v>
      </c>
      <c r="F13092" s="3" t="str">
        <f t="shared" si="204"/>
        <v>I4449</v>
      </c>
    </row>
    <row r="13093" spans="1:6" x14ac:dyDescent="0.2">
      <c r="A13093" s="29" t="s">
        <v>29712</v>
      </c>
      <c r="B13093" s="30" t="s">
        <v>29713</v>
      </c>
      <c r="C13093" s="29" t="s">
        <v>26</v>
      </c>
      <c r="D13093" s="31">
        <v>2304.12</v>
      </c>
      <c r="F13093" s="3" t="str">
        <f t="shared" si="204"/>
        <v>I4450</v>
      </c>
    </row>
    <row r="13094" spans="1:6" x14ac:dyDescent="0.2">
      <c r="A13094" s="29" t="s">
        <v>29714</v>
      </c>
      <c r="B13094" s="30" t="s">
        <v>29715</v>
      </c>
      <c r="C13094" s="29" t="s">
        <v>26</v>
      </c>
      <c r="D13094" s="31">
        <v>2528.02</v>
      </c>
      <c r="F13094" s="3" t="str">
        <f t="shared" si="204"/>
        <v>I4451</v>
      </c>
    </row>
    <row r="13095" spans="1:6" x14ac:dyDescent="0.2">
      <c r="A13095" s="29" t="s">
        <v>29716</v>
      </c>
      <c r="B13095" s="30" t="s">
        <v>29717</v>
      </c>
      <c r="C13095" s="29" t="s">
        <v>26</v>
      </c>
      <c r="D13095" s="31">
        <v>2751.06</v>
      </c>
      <c r="F13095" s="3" t="str">
        <f t="shared" si="204"/>
        <v>I4452</v>
      </c>
    </row>
    <row r="13096" spans="1:6" x14ac:dyDescent="0.2">
      <c r="A13096" s="29" t="s">
        <v>29718</v>
      </c>
      <c r="B13096" s="30" t="s">
        <v>29719</v>
      </c>
      <c r="C13096" s="29" t="s">
        <v>26</v>
      </c>
      <c r="D13096" s="31">
        <v>2974.59</v>
      </c>
      <c r="F13096" s="3" t="str">
        <f t="shared" si="204"/>
        <v>I4453</v>
      </c>
    </row>
    <row r="13097" spans="1:6" x14ac:dyDescent="0.2">
      <c r="A13097" s="29" t="s">
        <v>29720</v>
      </c>
      <c r="B13097" s="30" t="s">
        <v>29721</v>
      </c>
      <c r="C13097" s="29" t="s">
        <v>26</v>
      </c>
      <c r="D13097" s="31">
        <v>3197.94</v>
      </c>
      <c r="F13097" s="3" t="str">
        <f t="shared" si="204"/>
        <v>I4454</v>
      </c>
    </row>
    <row r="13098" spans="1:6" x14ac:dyDescent="0.2">
      <c r="A13098" s="29" t="s">
        <v>29722</v>
      </c>
      <c r="B13098" s="30" t="s">
        <v>29723</v>
      </c>
      <c r="C13098" s="29" t="s">
        <v>26</v>
      </c>
      <c r="D13098" s="31">
        <v>3613.85</v>
      </c>
      <c r="F13098" s="3" t="str">
        <f t="shared" si="204"/>
        <v>I4455</v>
      </c>
    </row>
    <row r="13099" spans="1:6" x14ac:dyDescent="0.2">
      <c r="A13099" s="29" t="s">
        <v>29724</v>
      </c>
      <c r="B13099" s="30" t="s">
        <v>29725</v>
      </c>
      <c r="C13099" s="29" t="s">
        <v>26</v>
      </c>
      <c r="D13099" s="31">
        <v>3651.79</v>
      </c>
      <c r="F13099" s="3" t="str">
        <f t="shared" si="204"/>
        <v>I4456</v>
      </c>
    </row>
    <row r="13100" spans="1:6" x14ac:dyDescent="0.2">
      <c r="A13100" s="29" t="s">
        <v>29726</v>
      </c>
      <c r="B13100" s="30" t="s">
        <v>29727</v>
      </c>
      <c r="C13100" s="29" t="s">
        <v>26</v>
      </c>
      <c r="D13100" s="31">
        <v>3670.18</v>
      </c>
      <c r="F13100" s="3" t="str">
        <f t="shared" si="204"/>
        <v>I4457</v>
      </c>
    </row>
    <row r="13101" spans="1:6" x14ac:dyDescent="0.2">
      <c r="A13101" s="29" t="s">
        <v>29728</v>
      </c>
      <c r="B13101" s="30" t="s">
        <v>29729</v>
      </c>
      <c r="C13101" s="29" t="s">
        <v>26</v>
      </c>
      <c r="D13101" s="31">
        <v>1629.03</v>
      </c>
      <c r="F13101" s="3" t="str">
        <f t="shared" si="204"/>
        <v>I7183</v>
      </c>
    </row>
    <row r="13102" spans="1:6" x14ac:dyDescent="0.2">
      <c r="A13102" s="29" t="s">
        <v>29730</v>
      </c>
      <c r="B13102" s="30" t="s">
        <v>29731</v>
      </c>
      <c r="C13102" s="29" t="s">
        <v>26</v>
      </c>
      <c r="D13102" s="31">
        <v>1852.51</v>
      </c>
      <c r="F13102" s="3" t="str">
        <f t="shared" si="204"/>
        <v>I7184</v>
      </c>
    </row>
    <row r="13103" spans="1:6" x14ac:dyDescent="0.2">
      <c r="A13103" s="29" t="s">
        <v>29732</v>
      </c>
      <c r="B13103" s="30" t="s">
        <v>29733</v>
      </c>
      <c r="C13103" s="29" t="s">
        <v>26</v>
      </c>
      <c r="D13103" s="31">
        <v>2080.56</v>
      </c>
      <c r="F13103" s="3" t="str">
        <f t="shared" si="204"/>
        <v>I7185</v>
      </c>
    </row>
    <row r="13104" spans="1:6" x14ac:dyDescent="0.2">
      <c r="A13104" s="29" t="s">
        <v>29734</v>
      </c>
      <c r="B13104" s="30" t="s">
        <v>29735</v>
      </c>
      <c r="C13104" s="29" t="s">
        <v>26</v>
      </c>
      <c r="D13104" s="31">
        <v>2304.12</v>
      </c>
      <c r="F13104" s="3" t="str">
        <f t="shared" si="204"/>
        <v>I7186</v>
      </c>
    </row>
    <row r="13105" spans="1:6" x14ac:dyDescent="0.2">
      <c r="A13105" s="29" t="s">
        <v>29736</v>
      </c>
      <c r="B13105" s="30" t="s">
        <v>29737</v>
      </c>
      <c r="C13105" s="29" t="s">
        <v>26</v>
      </c>
      <c r="D13105" s="31">
        <v>2528.02</v>
      </c>
      <c r="F13105" s="3" t="str">
        <f t="shared" si="204"/>
        <v>I7187</v>
      </c>
    </row>
    <row r="13106" spans="1:6" x14ac:dyDescent="0.2">
      <c r="A13106" s="29" t="s">
        <v>29738</v>
      </c>
      <c r="B13106" s="30" t="s">
        <v>29739</v>
      </c>
      <c r="C13106" s="29" t="s">
        <v>26</v>
      </c>
      <c r="D13106" s="31">
        <v>2751.06</v>
      </c>
      <c r="F13106" s="3" t="str">
        <f t="shared" si="204"/>
        <v>I7188</v>
      </c>
    </row>
    <row r="13107" spans="1:6" x14ac:dyDescent="0.2">
      <c r="A13107" s="29" t="s">
        <v>29740</v>
      </c>
      <c r="B13107" s="30" t="s">
        <v>29741</v>
      </c>
      <c r="C13107" s="29" t="s">
        <v>26</v>
      </c>
      <c r="D13107" s="31">
        <v>2974.59</v>
      </c>
      <c r="F13107" s="3" t="str">
        <f t="shared" si="204"/>
        <v>I7189</v>
      </c>
    </row>
    <row r="13108" spans="1:6" x14ac:dyDescent="0.2">
      <c r="A13108" s="29" t="s">
        <v>29742</v>
      </c>
      <c r="B13108" s="30" t="s">
        <v>29743</v>
      </c>
      <c r="C13108" s="29" t="s">
        <v>26</v>
      </c>
      <c r="D13108" s="31">
        <v>3197.94</v>
      </c>
      <c r="F13108" s="3" t="str">
        <f t="shared" si="204"/>
        <v>I7190</v>
      </c>
    </row>
    <row r="13109" spans="1:6" x14ac:dyDescent="0.2">
      <c r="A13109" s="29" t="s">
        <v>29744</v>
      </c>
      <c r="B13109" s="30" t="s">
        <v>29745</v>
      </c>
      <c r="C13109" s="29" t="s">
        <v>26</v>
      </c>
      <c r="D13109" s="31">
        <v>3613.85</v>
      </c>
      <c r="F13109" s="3" t="str">
        <f t="shared" si="204"/>
        <v>I7191</v>
      </c>
    </row>
    <row r="13110" spans="1:6" x14ac:dyDescent="0.2">
      <c r="A13110" s="29" t="s">
        <v>29746</v>
      </c>
      <c r="B13110" s="30" t="s">
        <v>29747</v>
      </c>
      <c r="C13110" s="29" t="s">
        <v>26</v>
      </c>
      <c r="D13110" s="31">
        <v>3651.79</v>
      </c>
      <c r="F13110" s="3" t="str">
        <f t="shared" si="204"/>
        <v>I7192</v>
      </c>
    </row>
    <row r="13111" spans="1:6" x14ac:dyDescent="0.2">
      <c r="A13111" s="29" t="s">
        <v>29748</v>
      </c>
      <c r="B13111" s="30" t="s">
        <v>29749</v>
      </c>
      <c r="C13111" s="29" t="s">
        <v>26</v>
      </c>
      <c r="D13111" s="31">
        <v>3670.18</v>
      </c>
      <c r="F13111" s="3" t="str">
        <f t="shared" si="204"/>
        <v>I7193</v>
      </c>
    </row>
    <row r="13112" spans="1:6" x14ac:dyDescent="0.2">
      <c r="A13112" s="29" t="s">
        <v>29750</v>
      </c>
      <c r="B13112" s="30" t="s">
        <v>29751</v>
      </c>
      <c r="C13112" s="29" t="s">
        <v>26</v>
      </c>
      <c r="D13112" s="31">
        <v>430.09</v>
      </c>
      <c r="F13112" s="3" t="str">
        <f t="shared" si="204"/>
        <v>I7062</v>
      </c>
    </row>
    <row r="13113" spans="1:6" x14ac:dyDescent="0.2">
      <c r="A13113" s="29" t="s">
        <v>29752</v>
      </c>
      <c r="B13113" s="30" t="s">
        <v>29753</v>
      </c>
      <c r="C13113" s="29" t="s">
        <v>26</v>
      </c>
      <c r="D13113" s="31">
        <v>498.1</v>
      </c>
      <c r="F13113" s="3" t="str">
        <f t="shared" si="204"/>
        <v>I7063</v>
      </c>
    </row>
    <row r="13114" spans="1:6" x14ac:dyDescent="0.2">
      <c r="A13114" s="29" t="s">
        <v>29754</v>
      </c>
      <c r="B13114" s="30" t="s">
        <v>29755</v>
      </c>
      <c r="C13114" s="29" t="s">
        <v>26</v>
      </c>
      <c r="D13114" s="31">
        <v>1823.31</v>
      </c>
      <c r="F13114" s="3" t="str">
        <f t="shared" si="204"/>
        <v>I11912</v>
      </c>
    </row>
    <row r="13115" spans="1:6" x14ac:dyDescent="0.2">
      <c r="A13115" s="29" t="s">
        <v>29756</v>
      </c>
      <c r="B13115" s="30" t="s">
        <v>29757</v>
      </c>
      <c r="C13115" s="29" t="s">
        <v>26</v>
      </c>
      <c r="D13115" s="31">
        <v>2049.83</v>
      </c>
      <c r="F13115" s="3" t="str">
        <f t="shared" si="204"/>
        <v>I11913</v>
      </c>
    </row>
    <row r="13116" spans="1:6" x14ac:dyDescent="0.2">
      <c r="A13116" s="29" t="s">
        <v>29758</v>
      </c>
      <c r="B13116" s="30" t="s">
        <v>29759</v>
      </c>
      <c r="C13116" s="29" t="s">
        <v>26</v>
      </c>
      <c r="D13116" s="31">
        <v>2276.29</v>
      </c>
      <c r="F13116" s="3" t="str">
        <f t="shared" si="204"/>
        <v>I11914</v>
      </c>
    </row>
    <row r="13117" spans="1:6" x14ac:dyDescent="0.2">
      <c r="A13117" s="29" t="s">
        <v>29760</v>
      </c>
      <c r="B13117" s="30" t="s">
        <v>29761</v>
      </c>
      <c r="C13117" s="29" t="s">
        <v>26</v>
      </c>
      <c r="D13117" s="31">
        <v>2502.7199999999998</v>
      </c>
      <c r="F13117" s="3" t="str">
        <f t="shared" si="204"/>
        <v>I11915</v>
      </c>
    </row>
    <row r="13118" spans="1:6" x14ac:dyDescent="0.2">
      <c r="A13118" s="29" t="s">
        <v>29762</v>
      </c>
      <c r="B13118" s="30" t="s">
        <v>29763</v>
      </c>
      <c r="C13118" s="29" t="s">
        <v>26</v>
      </c>
      <c r="D13118" s="31">
        <v>2729.15</v>
      </c>
      <c r="F13118" s="3" t="str">
        <f t="shared" si="204"/>
        <v>I11916</v>
      </c>
    </row>
    <row r="13119" spans="1:6" x14ac:dyDescent="0.2">
      <c r="A13119" s="29" t="s">
        <v>29764</v>
      </c>
      <c r="B13119" s="30" t="s">
        <v>29765</v>
      </c>
      <c r="C13119" s="29" t="s">
        <v>26</v>
      </c>
      <c r="D13119" s="31">
        <v>2951.05</v>
      </c>
      <c r="F13119" s="3" t="str">
        <f t="shared" si="204"/>
        <v>I11917</v>
      </c>
    </row>
    <row r="13120" spans="1:6" x14ac:dyDescent="0.2">
      <c r="A13120" s="29" t="s">
        <v>29766</v>
      </c>
      <c r="B13120" s="30" t="s">
        <v>29767</v>
      </c>
      <c r="C13120" s="29" t="s">
        <v>26</v>
      </c>
      <c r="D13120" s="31">
        <v>3177.55</v>
      </c>
      <c r="F13120" s="3" t="str">
        <f t="shared" si="204"/>
        <v>I11918</v>
      </c>
    </row>
    <row r="13121" spans="1:6" x14ac:dyDescent="0.2">
      <c r="A13121" s="29" t="s">
        <v>29768</v>
      </c>
      <c r="B13121" s="30" t="s">
        <v>29769</v>
      </c>
      <c r="C13121" s="29" t="s">
        <v>26</v>
      </c>
      <c r="D13121" s="31">
        <v>3404.04</v>
      </c>
      <c r="F13121" s="3" t="str">
        <f t="shared" si="204"/>
        <v>I11919</v>
      </c>
    </row>
    <row r="13122" spans="1:6" x14ac:dyDescent="0.2">
      <c r="A13122" s="29" t="s">
        <v>29770</v>
      </c>
      <c r="B13122" s="30" t="s">
        <v>29771</v>
      </c>
      <c r="C13122" s="29" t="s">
        <v>26</v>
      </c>
      <c r="D13122" s="31">
        <v>3815.77</v>
      </c>
      <c r="F13122" s="3" t="str">
        <f t="shared" ref="F13122:F13185" si="205">A13122</f>
        <v>I11920</v>
      </c>
    </row>
    <row r="13123" spans="1:6" x14ac:dyDescent="0.2">
      <c r="A13123" s="29" t="s">
        <v>29772</v>
      </c>
      <c r="B13123" s="30" t="s">
        <v>29773</v>
      </c>
      <c r="C13123" s="29" t="s">
        <v>26</v>
      </c>
      <c r="D13123" s="31">
        <v>3858.56</v>
      </c>
      <c r="F13123" s="3" t="str">
        <f t="shared" si="205"/>
        <v>I11921</v>
      </c>
    </row>
    <row r="13124" spans="1:6" x14ac:dyDescent="0.2">
      <c r="A13124" s="29" t="s">
        <v>29774</v>
      </c>
      <c r="B13124" s="30" t="s">
        <v>29775</v>
      </c>
      <c r="C13124" s="29" t="s">
        <v>26</v>
      </c>
      <c r="D13124" s="31">
        <v>3882.48</v>
      </c>
      <c r="F13124" s="3" t="str">
        <f t="shared" si="205"/>
        <v>I11922</v>
      </c>
    </row>
    <row r="13125" spans="1:6" x14ac:dyDescent="0.2">
      <c r="A13125" s="29" t="s">
        <v>29776</v>
      </c>
      <c r="B13125" s="30" t="s">
        <v>29777</v>
      </c>
      <c r="C13125" s="29" t="s">
        <v>26</v>
      </c>
      <c r="D13125" s="31">
        <v>39702.639999999999</v>
      </c>
      <c r="F13125" s="3" t="str">
        <f t="shared" si="205"/>
        <v>I3987</v>
      </c>
    </row>
    <row r="13126" spans="1:6" x14ac:dyDescent="0.2">
      <c r="A13126" s="29" t="s">
        <v>29778</v>
      </c>
      <c r="B13126" s="30" t="s">
        <v>29779</v>
      </c>
      <c r="C13126" s="29" t="s">
        <v>26</v>
      </c>
      <c r="D13126" s="31">
        <v>33592.46</v>
      </c>
      <c r="F13126" s="3" t="str">
        <f t="shared" si="205"/>
        <v>I4607</v>
      </c>
    </row>
    <row r="13127" spans="1:6" x14ac:dyDescent="0.2">
      <c r="A13127" s="29" t="s">
        <v>29780</v>
      </c>
      <c r="B13127" s="30" t="s">
        <v>29781</v>
      </c>
      <c r="C13127" s="29" t="s">
        <v>26</v>
      </c>
      <c r="D13127" s="31">
        <v>37231.879999999997</v>
      </c>
      <c r="F13127" s="3" t="str">
        <f t="shared" si="205"/>
        <v>I4608</v>
      </c>
    </row>
    <row r="13128" spans="1:6" x14ac:dyDescent="0.2">
      <c r="A13128" s="29" t="s">
        <v>29782</v>
      </c>
      <c r="B13128" s="30" t="s">
        <v>29783</v>
      </c>
      <c r="C13128" s="29" t="s">
        <v>26</v>
      </c>
      <c r="D13128" s="31">
        <v>40871.360000000001</v>
      </c>
      <c r="F13128" s="3" t="str">
        <f t="shared" si="205"/>
        <v>I4609</v>
      </c>
    </row>
    <row r="13129" spans="1:6" x14ac:dyDescent="0.2">
      <c r="A13129" s="29" t="s">
        <v>29784</v>
      </c>
      <c r="B13129" s="30" t="s">
        <v>29785</v>
      </c>
      <c r="C13129" s="29" t="s">
        <v>26</v>
      </c>
      <c r="D13129" s="31">
        <v>29911.22</v>
      </c>
      <c r="F13129" s="3" t="str">
        <f t="shared" si="205"/>
        <v>I12136</v>
      </c>
    </row>
    <row r="13130" spans="1:6" x14ac:dyDescent="0.2">
      <c r="A13130" s="29" t="s">
        <v>29786</v>
      </c>
      <c r="B13130" s="30" t="s">
        <v>29787</v>
      </c>
      <c r="C13130" s="29" t="s">
        <v>26</v>
      </c>
      <c r="D13130" s="31">
        <v>44506.09</v>
      </c>
      <c r="F13130" s="3" t="str">
        <f t="shared" si="205"/>
        <v>I4610</v>
      </c>
    </row>
    <row r="13131" spans="1:6" x14ac:dyDescent="0.2">
      <c r="A13131" s="29" t="s">
        <v>29788</v>
      </c>
      <c r="B13131" s="30" t="s">
        <v>29789</v>
      </c>
      <c r="C13131" s="29" t="s">
        <v>26</v>
      </c>
      <c r="D13131" s="31">
        <v>48145.46</v>
      </c>
      <c r="F13131" s="3" t="str">
        <f t="shared" si="205"/>
        <v>I4611</v>
      </c>
    </row>
    <row r="13132" spans="1:6" x14ac:dyDescent="0.2">
      <c r="A13132" s="29" t="s">
        <v>29790</v>
      </c>
      <c r="B13132" s="30" t="s">
        <v>29791</v>
      </c>
      <c r="C13132" s="29" t="s">
        <v>26</v>
      </c>
      <c r="D13132" s="31">
        <v>51739</v>
      </c>
      <c r="F13132" s="3" t="str">
        <f t="shared" si="205"/>
        <v>I4612</v>
      </c>
    </row>
    <row r="13133" spans="1:6" x14ac:dyDescent="0.2">
      <c r="A13133" s="29" t="s">
        <v>29792</v>
      </c>
      <c r="B13133" s="30" t="s">
        <v>29793</v>
      </c>
      <c r="C13133" s="29" t="s">
        <v>26</v>
      </c>
      <c r="D13133" s="31">
        <v>55419.63</v>
      </c>
      <c r="F13133" s="3" t="str">
        <f t="shared" si="205"/>
        <v>I4613</v>
      </c>
    </row>
    <row r="13134" spans="1:6" x14ac:dyDescent="0.2">
      <c r="A13134" s="29" t="s">
        <v>29794</v>
      </c>
      <c r="B13134" s="30" t="s">
        <v>29795</v>
      </c>
      <c r="C13134" s="29" t="s">
        <v>26</v>
      </c>
      <c r="D13134" s="31">
        <v>59059.03</v>
      </c>
      <c r="F13134" s="3" t="str">
        <f t="shared" si="205"/>
        <v>I4614</v>
      </c>
    </row>
    <row r="13135" spans="1:6" x14ac:dyDescent="0.2">
      <c r="A13135" s="29" t="s">
        <v>29796</v>
      </c>
      <c r="B13135" s="30" t="s">
        <v>29797</v>
      </c>
      <c r="C13135" s="29" t="s">
        <v>26</v>
      </c>
      <c r="D13135" s="31">
        <v>62698.47</v>
      </c>
      <c r="F13135" s="3" t="str">
        <f t="shared" si="205"/>
        <v>I4615</v>
      </c>
    </row>
    <row r="13136" spans="1:6" x14ac:dyDescent="0.2">
      <c r="A13136" s="29" t="s">
        <v>29798</v>
      </c>
      <c r="B13136" s="30" t="s">
        <v>29799</v>
      </c>
      <c r="C13136" s="29" t="s">
        <v>26</v>
      </c>
      <c r="D13136" s="31">
        <v>66333.33</v>
      </c>
      <c r="F13136" s="3" t="str">
        <f t="shared" si="205"/>
        <v>I4616</v>
      </c>
    </row>
    <row r="13137" spans="1:6" x14ac:dyDescent="0.2">
      <c r="A13137" s="29" t="s">
        <v>29800</v>
      </c>
      <c r="B13137" s="30" t="s">
        <v>29801</v>
      </c>
      <c r="C13137" s="29" t="s">
        <v>26</v>
      </c>
      <c r="D13137" s="31">
        <v>72162.070000000007</v>
      </c>
      <c r="F13137" s="3" t="str">
        <f t="shared" si="205"/>
        <v>I4617</v>
      </c>
    </row>
    <row r="13138" spans="1:6" x14ac:dyDescent="0.2">
      <c r="A13138" s="29" t="s">
        <v>29802</v>
      </c>
      <c r="B13138" s="30" t="s">
        <v>29803</v>
      </c>
      <c r="C13138" s="29" t="s">
        <v>26</v>
      </c>
      <c r="D13138" s="31">
        <v>73207.58</v>
      </c>
      <c r="F13138" s="3" t="str">
        <f t="shared" si="205"/>
        <v>I4618</v>
      </c>
    </row>
    <row r="13139" spans="1:6" x14ac:dyDescent="0.2">
      <c r="A13139" s="29" t="s">
        <v>29804</v>
      </c>
      <c r="B13139" s="30" t="s">
        <v>29805</v>
      </c>
      <c r="C13139" s="29" t="s">
        <v>26</v>
      </c>
      <c r="D13139" s="31">
        <v>73833.87</v>
      </c>
      <c r="F13139" s="3" t="str">
        <f t="shared" si="205"/>
        <v>I4619</v>
      </c>
    </row>
    <row r="13140" spans="1:6" x14ac:dyDescent="0.2">
      <c r="A13140" s="29" t="s">
        <v>29806</v>
      </c>
      <c r="B13140" s="30" t="s">
        <v>29807</v>
      </c>
      <c r="C13140" s="29" t="s">
        <v>26</v>
      </c>
      <c r="D13140" s="31">
        <v>44765.67</v>
      </c>
      <c r="F13140" s="3" t="str">
        <f t="shared" si="205"/>
        <v>I12137</v>
      </c>
    </row>
    <row r="13141" spans="1:6" x14ac:dyDescent="0.2">
      <c r="A13141" s="29" t="s">
        <v>29808</v>
      </c>
      <c r="B13141" s="30" t="s">
        <v>29809</v>
      </c>
      <c r="C13141" s="29" t="s">
        <v>26</v>
      </c>
      <c r="D13141" s="31">
        <v>56468.3</v>
      </c>
      <c r="F13141" s="3" t="str">
        <f t="shared" si="205"/>
        <v>I12138</v>
      </c>
    </row>
    <row r="13142" spans="1:6" x14ac:dyDescent="0.2">
      <c r="A13142" s="29" t="s">
        <v>29810</v>
      </c>
      <c r="B13142" s="30" t="s">
        <v>29811</v>
      </c>
      <c r="C13142" s="29" t="s">
        <v>26</v>
      </c>
      <c r="D13142" s="31">
        <v>68248.78</v>
      </c>
      <c r="F13142" s="3" t="str">
        <f t="shared" si="205"/>
        <v>I12139</v>
      </c>
    </row>
    <row r="13143" spans="1:6" x14ac:dyDescent="0.2">
      <c r="A13143" s="29" t="s">
        <v>29812</v>
      </c>
      <c r="B13143" s="30" t="s">
        <v>29813</v>
      </c>
      <c r="C13143" s="29" t="s">
        <v>26</v>
      </c>
      <c r="D13143" s="31">
        <v>50210.720000000001</v>
      </c>
      <c r="F13143" s="3" t="str">
        <f t="shared" si="205"/>
        <v>I12140</v>
      </c>
    </row>
    <row r="13144" spans="1:6" x14ac:dyDescent="0.2">
      <c r="A13144" s="29" t="s">
        <v>29814</v>
      </c>
      <c r="B13144" s="30" t="s">
        <v>29815</v>
      </c>
      <c r="C13144" s="29" t="s">
        <v>26</v>
      </c>
      <c r="D13144" s="31">
        <v>63940.9</v>
      </c>
      <c r="F13144" s="3" t="str">
        <f t="shared" si="205"/>
        <v>I12141</v>
      </c>
    </row>
    <row r="13145" spans="1:6" x14ac:dyDescent="0.2">
      <c r="A13145" s="29" t="s">
        <v>29816</v>
      </c>
      <c r="B13145" s="30" t="s">
        <v>29817</v>
      </c>
      <c r="C13145" s="29" t="s">
        <v>26</v>
      </c>
      <c r="D13145" s="31">
        <v>76631.78</v>
      </c>
      <c r="F13145" s="3" t="str">
        <f t="shared" si="205"/>
        <v>I12142</v>
      </c>
    </row>
    <row r="13146" spans="1:6" x14ac:dyDescent="0.2">
      <c r="A13146" s="29" t="s">
        <v>29818</v>
      </c>
      <c r="B13146" s="30" t="s">
        <v>29819</v>
      </c>
      <c r="C13146" s="29" t="s">
        <v>26</v>
      </c>
      <c r="D13146" s="31">
        <v>44211.58</v>
      </c>
      <c r="F13146" s="3" t="str">
        <f t="shared" si="205"/>
        <v>I3988</v>
      </c>
    </row>
    <row r="13147" spans="1:6" x14ac:dyDescent="0.2">
      <c r="A13147" s="29" t="s">
        <v>29820</v>
      </c>
      <c r="B13147" s="30" t="s">
        <v>29821</v>
      </c>
      <c r="C13147" s="29" t="s">
        <v>26</v>
      </c>
      <c r="D13147" s="31">
        <v>56526.99</v>
      </c>
      <c r="F13147" s="3" t="str">
        <f t="shared" si="205"/>
        <v>I3989</v>
      </c>
    </row>
    <row r="13148" spans="1:6" x14ac:dyDescent="0.2">
      <c r="A13148" s="29" t="s">
        <v>29822</v>
      </c>
      <c r="B13148" s="30" t="s">
        <v>29823</v>
      </c>
      <c r="C13148" s="29" t="s">
        <v>26</v>
      </c>
      <c r="D13148" s="31">
        <v>47046.02</v>
      </c>
      <c r="F13148" s="3" t="str">
        <f t="shared" si="205"/>
        <v>I4620</v>
      </c>
    </row>
    <row r="13149" spans="1:6" x14ac:dyDescent="0.2">
      <c r="A13149" s="29" t="s">
        <v>29824</v>
      </c>
      <c r="B13149" s="30" t="s">
        <v>29825</v>
      </c>
      <c r="C13149" s="29" t="s">
        <v>26</v>
      </c>
      <c r="D13149" s="31">
        <v>51890.06</v>
      </c>
      <c r="F13149" s="3" t="str">
        <f t="shared" si="205"/>
        <v>I4621</v>
      </c>
    </row>
    <row r="13150" spans="1:6" x14ac:dyDescent="0.2">
      <c r="A13150" s="29" t="s">
        <v>29826</v>
      </c>
      <c r="B13150" s="30" t="s">
        <v>29827</v>
      </c>
      <c r="C13150" s="29" t="s">
        <v>26</v>
      </c>
      <c r="D13150" s="31">
        <v>56729.61</v>
      </c>
      <c r="F13150" s="3" t="str">
        <f t="shared" si="205"/>
        <v>I4622</v>
      </c>
    </row>
    <row r="13151" spans="1:6" x14ac:dyDescent="0.2">
      <c r="A13151" s="29" t="s">
        <v>29828</v>
      </c>
      <c r="B13151" s="30" t="s">
        <v>29829</v>
      </c>
      <c r="C13151" s="29" t="s">
        <v>26</v>
      </c>
      <c r="D13151" s="31">
        <v>61573.79</v>
      </c>
      <c r="F13151" s="3" t="str">
        <f t="shared" si="205"/>
        <v>I4623</v>
      </c>
    </row>
    <row r="13152" spans="1:6" x14ac:dyDescent="0.2">
      <c r="A13152" s="29" t="s">
        <v>29830</v>
      </c>
      <c r="B13152" s="30" t="s">
        <v>29831</v>
      </c>
      <c r="C13152" s="29" t="s">
        <v>26</v>
      </c>
      <c r="D13152" s="31">
        <v>66413.279999999999</v>
      </c>
      <c r="F13152" s="3" t="str">
        <f t="shared" si="205"/>
        <v>I4624</v>
      </c>
    </row>
    <row r="13153" spans="1:6" x14ac:dyDescent="0.2">
      <c r="A13153" s="29" t="s">
        <v>29832</v>
      </c>
      <c r="B13153" s="30" t="s">
        <v>29833</v>
      </c>
      <c r="C13153" s="29" t="s">
        <v>26</v>
      </c>
      <c r="D13153" s="31">
        <v>70697.75</v>
      </c>
      <c r="F13153" s="3" t="str">
        <f t="shared" si="205"/>
        <v>I4625</v>
      </c>
    </row>
    <row r="13154" spans="1:6" x14ac:dyDescent="0.2">
      <c r="A13154" s="29" t="s">
        <v>29834</v>
      </c>
      <c r="B13154" s="30" t="s">
        <v>29835</v>
      </c>
      <c r="C13154" s="29" t="s">
        <v>26</v>
      </c>
      <c r="D13154" s="31">
        <v>76096.81</v>
      </c>
      <c r="F13154" s="3" t="str">
        <f t="shared" si="205"/>
        <v>I4626</v>
      </c>
    </row>
    <row r="13155" spans="1:6" x14ac:dyDescent="0.2">
      <c r="A13155" s="29" t="s">
        <v>29836</v>
      </c>
      <c r="B13155" s="30" t="s">
        <v>29837</v>
      </c>
      <c r="C13155" s="29" t="s">
        <v>26</v>
      </c>
      <c r="D13155" s="31">
        <v>80940.95</v>
      </c>
      <c r="F13155" s="3" t="str">
        <f t="shared" si="205"/>
        <v>I4627</v>
      </c>
    </row>
    <row r="13156" spans="1:6" x14ac:dyDescent="0.2">
      <c r="A13156" s="29" t="s">
        <v>29838</v>
      </c>
      <c r="B13156" s="30" t="s">
        <v>29839</v>
      </c>
      <c r="C13156" s="29" t="s">
        <v>26</v>
      </c>
      <c r="D13156" s="31">
        <v>85780.46</v>
      </c>
      <c r="F13156" s="3" t="str">
        <f t="shared" si="205"/>
        <v>I4628</v>
      </c>
    </row>
    <row r="13157" spans="1:6" x14ac:dyDescent="0.2">
      <c r="A13157" s="29" t="s">
        <v>29840</v>
      </c>
      <c r="B13157" s="30" t="s">
        <v>29841</v>
      </c>
      <c r="C13157" s="29" t="s">
        <v>26</v>
      </c>
      <c r="D13157" s="31">
        <v>90624.5</v>
      </c>
      <c r="F13157" s="3" t="str">
        <f t="shared" si="205"/>
        <v>I4629</v>
      </c>
    </row>
    <row r="13158" spans="1:6" x14ac:dyDescent="0.2">
      <c r="A13158" s="29" t="s">
        <v>29842</v>
      </c>
      <c r="B13158" s="30" t="s">
        <v>29843</v>
      </c>
      <c r="C13158" s="29" t="s">
        <v>26</v>
      </c>
      <c r="D13158" s="31">
        <v>98366.94</v>
      </c>
      <c r="F13158" s="3" t="str">
        <f t="shared" si="205"/>
        <v>I4630</v>
      </c>
    </row>
    <row r="13159" spans="1:6" x14ac:dyDescent="0.2">
      <c r="A13159" s="29" t="s">
        <v>29844</v>
      </c>
      <c r="B13159" s="30" t="s">
        <v>29845</v>
      </c>
      <c r="C13159" s="29" t="s">
        <v>26</v>
      </c>
      <c r="D13159" s="31">
        <v>99771.79</v>
      </c>
      <c r="F13159" s="3" t="str">
        <f t="shared" si="205"/>
        <v>I4631</v>
      </c>
    </row>
    <row r="13160" spans="1:6" x14ac:dyDescent="0.2">
      <c r="A13160" s="29" t="s">
        <v>29846</v>
      </c>
      <c r="B13160" s="30" t="s">
        <v>29847</v>
      </c>
      <c r="C13160" s="29" t="s">
        <v>26</v>
      </c>
      <c r="D13160" s="31">
        <v>100614.66</v>
      </c>
      <c r="F13160" s="3" t="str">
        <f t="shared" si="205"/>
        <v>I4632</v>
      </c>
    </row>
    <row r="13161" spans="1:6" x14ac:dyDescent="0.2">
      <c r="A13161" s="29" t="s">
        <v>29848</v>
      </c>
      <c r="B13161" s="30" t="s">
        <v>29849</v>
      </c>
      <c r="C13161" s="29" t="s">
        <v>26</v>
      </c>
      <c r="D13161" s="31">
        <v>64449.91</v>
      </c>
      <c r="F13161" s="3" t="str">
        <f t="shared" si="205"/>
        <v>I12143</v>
      </c>
    </row>
    <row r="13162" spans="1:6" x14ac:dyDescent="0.2">
      <c r="A13162" s="29" t="s">
        <v>29850</v>
      </c>
      <c r="B13162" s="30" t="s">
        <v>29851</v>
      </c>
      <c r="C13162" s="29" t="s">
        <v>26</v>
      </c>
      <c r="D13162" s="31">
        <v>75944.509999999995</v>
      </c>
      <c r="F13162" s="3" t="str">
        <f t="shared" si="205"/>
        <v>I12144</v>
      </c>
    </row>
    <row r="13163" spans="1:6" x14ac:dyDescent="0.2">
      <c r="A13163" s="29" t="s">
        <v>29852</v>
      </c>
      <c r="B13163" s="30" t="s">
        <v>29853</v>
      </c>
      <c r="C13163" s="29" t="s">
        <v>26</v>
      </c>
      <c r="D13163" s="31">
        <v>94529.14</v>
      </c>
      <c r="F13163" s="3" t="str">
        <f t="shared" si="205"/>
        <v>I12145</v>
      </c>
    </row>
    <row r="13164" spans="1:6" x14ac:dyDescent="0.2">
      <c r="A13164" s="29" t="s">
        <v>29854</v>
      </c>
      <c r="B13164" s="30" t="s">
        <v>29855</v>
      </c>
      <c r="C13164" s="29" t="s">
        <v>26</v>
      </c>
      <c r="D13164" s="31">
        <v>81951.37</v>
      </c>
      <c r="F13164" s="3" t="str">
        <f t="shared" si="205"/>
        <v>I12146</v>
      </c>
    </row>
    <row r="13165" spans="1:6" x14ac:dyDescent="0.2">
      <c r="A13165" s="29" t="s">
        <v>29856</v>
      </c>
      <c r="B13165" s="30" t="s">
        <v>29857</v>
      </c>
      <c r="C13165" s="29" t="s">
        <v>26</v>
      </c>
      <c r="D13165" s="31">
        <v>103698.51</v>
      </c>
      <c r="F13165" s="3" t="str">
        <f t="shared" si="205"/>
        <v>I12147</v>
      </c>
    </row>
    <row r="13166" spans="1:6" x14ac:dyDescent="0.2">
      <c r="A13166" s="29" t="s">
        <v>29858</v>
      </c>
      <c r="B13166" s="30" t="s">
        <v>29859</v>
      </c>
      <c r="C13166" s="29" t="s">
        <v>26</v>
      </c>
      <c r="D13166" s="31">
        <v>2174.0100000000002</v>
      </c>
      <c r="F13166" s="3" t="str">
        <f t="shared" si="205"/>
        <v>I11923</v>
      </c>
    </row>
    <row r="13167" spans="1:6" x14ac:dyDescent="0.2">
      <c r="A13167" s="29" t="s">
        <v>29860</v>
      </c>
      <c r="B13167" s="30" t="s">
        <v>29861</v>
      </c>
      <c r="C13167" s="29" t="s">
        <v>26</v>
      </c>
      <c r="D13167" s="31">
        <v>2453.4699999999998</v>
      </c>
      <c r="F13167" s="3" t="str">
        <f t="shared" si="205"/>
        <v>I11924</v>
      </c>
    </row>
    <row r="13168" spans="1:6" x14ac:dyDescent="0.2">
      <c r="A13168" s="29" t="s">
        <v>29862</v>
      </c>
      <c r="B13168" s="30" t="s">
        <v>29863</v>
      </c>
      <c r="C13168" s="29" t="s">
        <v>26</v>
      </c>
      <c r="D13168" s="31">
        <v>2728.42</v>
      </c>
      <c r="F13168" s="3" t="str">
        <f t="shared" si="205"/>
        <v>I11925</v>
      </c>
    </row>
    <row r="13169" spans="1:6" x14ac:dyDescent="0.2">
      <c r="A13169" s="29" t="s">
        <v>29864</v>
      </c>
      <c r="B13169" s="30" t="s">
        <v>29865</v>
      </c>
      <c r="C13169" s="29" t="s">
        <v>26</v>
      </c>
      <c r="D13169" s="31">
        <v>3003.2</v>
      </c>
      <c r="F13169" s="3" t="str">
        <f t="shared" si="205"/>
        <v>I11926</v>
      </c>
    </row>
    <row r="13170" spans="1:6" x14ac:dyDescent="0.2">
      <c r="A13170" s="29" t="s">
        <v>29866</v>
      </c>
      <c r="B13170" s="30" t="s">
        <v>29867</v>
      </c>
      <c r="C13170" s="29" t="s">
        <v>26</v>
      </c>
      <c r="D13170" s="31">
        <v>3282.67</v>
      </c>
      <c r="F13170" s="3" t="str">
        <f t="shared" si="205"/>
        <v>I11927</v>
      </c>
    </row>
    <row r="13171" spans="1:6" x14ac:dyDescent="0.2">
      <c r="A13171" s="29" t="s">
        <v>29868</v>
      </c>
      <c r="B13171" s="30" t="s">
        <v>29869</v>
      </c>
      <c r="C13171" s="29" t="s">
        <v>26</v>
      </c>
      <c r="D13171" s="31">
        <v>3557.57</v>
      </c>
      <c r="F13171" s="3" t="str">
        <f t="shared" si="205"/>
        <v>I11928</v>
      </c>
    </row>
    <row r="13172" spans="1:6" x14ac:dyDescent="0.2">
      <c r="A13172" s="29" t="s">
        <v>29870</v>
      </c>
      <c r="B13172" s="30" t="s">
        <v>29871</v>
      </c>
      <c r="C13172" s="29" t="s">
        <v>26</v>
      </c>
      <c r="D13172" s="31">
        <v>3832.41</v>
      </c>
      <c r="F13172" s="3" t="str">
        <f t="shared" si="205"/>
        <v>I11929</v>
      </c>
    </row>
    <row r="13173" spans="1:6" x14ac:dyDescent="0.2">
      <c r="A13173" s="29" t="s">
        <v>29872</v>
      </c>
      <c r="B13173" s="30" t="s">
        <v>29873</v>
      </c>
      <c r="C13173" s="29" t="s">
        <v>26</v>
      </c>
      <c r="D13173" s="31">
        <v>4107.2700000000004</v>
      </c>
      <c r="F13173" s="3" t="str">
        <f t="shared" si="205"/>
        <v>I11930</v>
      </c>
    </row>
    <row r="13174" spans="1:6" x14ac:dyDescent="0.2">
      <c r="A13174" s="29" t="s">
        <v>29874</v>
      </c>
      <c r="B13174" s="30" t="s">
        <v>29875</v>
      </c>
      <c r="C13174" s="29" t="s">
        <v>26</v>
      </c>
      <c r="D13174" s="31">
        <v>4601.74</v>
      </c>
      <c r="F13174" s="3" t="str">
        <f t="shared" si="205"/>
        <v>I11931</v>
      </c>
    </row>
    <row r="13175" spans="1:6" x14ac:dyDescent="0.2">
      <c r="A13175" s="29" t="s">
        <v>29876</v>
      </c>
      <c r="B13175" s="30" t="s">
        <v>29877</v>
      </c>
      <c r="C13175" s="29" t="s">
        <v>26</v>
      </c>
      <c r="D13175" s="31">
        <v>4663.59</v>
      </c>
      <c r="F13175" s="3" t="str">
        <f t="shared" si="205"/>
        <v>I11932</v>
      </c>
    </row>
    <row r="13176" spans="1:6" x14ac:dyDescent="0.2">
      <c r="A13176" s="29" t="s">
        <v>29878</v>
      </c>
      <c r="B13176" s="30" t="s">
        <v>29879</v>
      </c>
      <c r="C13176" s="29" t="s">
        <v>26</v>
      </c>
      <c r="D13176" s="31">
        <v>4701.6000000000004</v>
      </c>
      <c r="F13176" s="3" t="str">
        <f t="shared" si="205"/>
        <v>I11933</v>
      </c>
    </row>
    <row r="13177" spans="1:6" x14ac:dyDescent="0.2">
      <c r="A13177" s="29" t="s">
        <v>29880</v>
      </c>
      <c r="B13177" s="30" t="s">
        <v>29881</v>
      </c>
      <c r="C13177" s="29" t="s">
        <v>26</v>
      </c>
      <c r="D13177" s="31">
        <v>2810.54</v>
      </c>
      <c r="F13177" s="3" t="str">
        <f t="shared" si="205"/>
        <v>I11934</v>
      </c>
    </row>
    <row r="13178" spans="1:6" x14ac:dyDescent="0.2">
      <c r="A13178" s="29" t="s">
        <v>29882</v>
      </c>
      <c r="B13178" s="30" t="s">
        <v>29883</v>
      </c>
      <c r="C13178" s="29" t="s">
        <v>26</v>
      </c>
      <c r="D13178" s="31">
        <v>3167.23</v>
      </c>
      <c r="F13178" s="3" t="str">
        <f t="shared" si="205"/>
        <v>I11935</v>
      </c>
    </row>
    <row r="13179" spans="1:6" x14ac:dyDescent="0.2">
      <c r="A13179" s="29" t="s">
        <v>29884</v>
      </c>
      <c r="B13179" s="30" t="s">
        <v>29885</v>
      </c>
      <c r="C13179" s="29" t="s">
        <v>26</v>
      </c>
      <c r="D13179" s="31">
        <v>3528.5</v>
      </c>
      <c r="F13179" s="3" t="str">
        <f t="shared" si="205"/>
        <v>I11936</v>
      </c>
    </row>
    <row r="13180" spans="1:6" x14ac:dyDescent="0.2">
      <c r="A13180" s="29" t="s">
        <v>29886</v>
      </c>
      <c r="B13180" s="30" t="s">
        <v>29887</v>
      </c>
      <c r="C13180" s="29" t="s">
        <v>26</v>
      </c>
      <c r="D13180" s="31">
        <v>3889.82</v>
      </c>
      <c r="F13180" s="3" t="str">
        <f t="shared" si="205"/>
        <v>I11937</v>
      </c>
    </row>
    <row r="13181" spans="1:6" x14ac:dyDescent="0.2">
      <c r="A13181" s="29" t="s">
        <v>29888</v>
      </c>
      <c r="B13181" s="30" t="s">
        <v>29889</v>
      </c>
      <c r="C13181" s="29" t="s">
        <v>26</v>
      </c>
      <c r="D13181" s="31">
        <v>4246.5200000000004</v>
      </c>
      <c r="F13181" s="3" t="str">
        <f t="shared" si="205"/>
        <v>I11938</v>
      </c>
    </row>
    <row r="13182" spans="1:6" x14ac:dyDescent="0.2">
      <c r="A13182" s="29" t="s">
        <v>29890</v>
      </c>
      <c r="B13182" s="30" t="s">
        <v>29891</v>
      </c>
      <c r="C13182" s="29" t="s">
        <v>26</v>
      </c>
      <c r="D13182" s="31">
        <v>4607.8599999999997</v>
      </c>
      <c r="F13182" s="3" t="str">
        <f t="shared" si="205"/>
        <v>I11939</v>
      </c>
    </row>
    <row r="13183" spans="1:6" x14ac:dyDescent="0.2">
      <c r="A13183" s="29" t="s">
        <v>29892</v>
      </c>
      <c r="B13183" s="30" t="s">
        <v>29893</v>
      </c>
      <c r="C13183" s="29" t="s">
        <v>26</v>
      </c>
      <c r="D13183" s="31">
        <v>4969.1000000000004</v>
      </c>
      <c r="F13183" s="3" t="str">
        <f t="shared" si="205"/>
        <v>I11940</v>
      </c>
    </row>
    <row r="13184" spans="1:6" x14ac:dyDescent="0.2">
      <c r="A13184" s="29" t="s">
        <v>29894</v>
      </c>
      <c r="B13184" s="30" t="s">
        <v>29895</v>
      </c>
      <c r="C13184" s="29" t="s">
        <v>26</v>
      </c>
      <c r="D13184" s="31">
        <v>5325.88</v>
      </c>
      <c r="F13184" s="3" t="str">
        <f t="shared" si="205"/>
        <v>I11941</v>
      </c>
    </row>
    <row r="13185" spans="1:6" x14ac:dyDescent="0.2">
      <c r="A13185" s="29" t="s">
        <v>29896</v>
      </c>
      <c r="B13185" s="30" t="s">
        <v>29897</v>
      </c>
      <c r="C13185" s="29" t="s">
        <v>26</v>
      </c>
      <c r="D13185" s="31">
        <v>5960.92</v>
      </c>
      <c r="F13185" s="3" t="str">
        <f t="shared" si="205"/>
        <v>I11942</v>
      </c>
    </row>
    <row r="13186" spans="1:6" x14ac:dyDescent="0.2">
      <c r="A13186" s="29" t="s">
        <v>29898</v>
      </c>
      <c r="B13186" s="30" t="s">
        <v>29899</v>
      </c>
      <c r="C13186" s="29" t="s">
        <v>26</v>
      </c>
      <c r="D13186" s="31">
        <v>6050.95</v>
      </c>
      <c r="F13186" s="3" t="str">
        <f t="shared" ref="F13186:F13249" si="206">A13186</f>
        <v>I11943</v>
      </c>
    </row>
    <row r="13187" spans="1:6" x14ac:dyDescent="0.2">
      <c r="A13187" s="29" t="s">
        <v>29900</v>
      </c>
      <c r="B13187" s="30" t="s">
        <v>29901</v>
      </c>
      <c r="C13187" s="29" t="s">
        <v>26</v>
      </c>
      <c r="D13187" s="31">
        <v>6103.08</v>
      </c>
      <c r="F13187" s="3" t="str">
        <f t="shared" si="206"/>
        <v>I11944</v>
      </c>
    </row>
    <row r="13188" spans="1:6" x14ac:dyDescent="0.2">
      <c r="A13188" s="29" t="s">
        <v>29902</v>
      </c>
      <c r="B13188" s="30" t="s">
        <v>29903</v>
      </c>
      <c r="C13188" s="29" t="s">
        <v>26</v>
      </c>
      <c r="D13188" s="31">
        <v>2835.14</v>
      </c>
      <c r="F13188" s="3" t="str">
        <f t="shared" si="206"/>
        <v>I11945</v>
      </c>
    </row>
    <row r="13189" spans="1:6" x14ac:dyDescent="0.2">
      <c r="A13189" s="29" t="s">
        <v>29904</v>
      </c>
      <c r="B13189" s="30" t="s">
        <v>29905</v>
      </c>
      <c r="C13189" s="29" t="s">
        <v>26</v>
      </c>
      <c r="D13189" s="31">
        <v>3191.82</v>
      </c>
      <c r="F13189" s="3" t="str">
        <f t="shared" si="206"/>
        <v>I11946</v>
      </c>
    </row>
    <row r="13190" spans="1:6" x14ac:dyDescent="0.2">
      <c r="A13190" s="29" t="s">
        <v>29906</v>
      </c>
      <c r="B13190" s="30" t="s">
        <v>29907</v>
      </c>
      <c r="C13190" s="29" t="s">
        <v>26</v>
      </c>
      <c r="D13190" s="31">
        <v>3553.1</v>
      </c>
      <c r="F13190" s="3" t="str">
        <f t="shared" si="206"/>
        <v>I11947</v>
      </c>
    </row>
    <row r="13191" spans="1:6" x14ac:dyDescent="0.2">
      <c r="A13191" s="29" t="s">
        <v>29908</v>
      </c>
      <c r="B13191" s="30" t="s">
        <v>29909</v>
      </c>
      <c r="C13191" s="29" t="s">
        <v>26</v>
      </c>
      <c r="D13191" s="31">
        <v>3914.44</v>
      </c>
      <c r="F13191" s="3" t="str">
        <f t="shared" si="206"/>
        <v>I11948</v>
      </c>
    </row>
    <row r="13192" spans="1:6" x14ac:dyDescent="0.2">
      <c r="A13192" s="29" t="s">
        <v>29910</v>
      </c>
      <c r="B13192" s="30" t="s">
        <v>29911</v>
      </c>
      <c r="C13192" s="29" t="s">
        <v>26</v>
      </c>
      <c r="D13192" s="31">
        <v>4271.13</v>
      </c>
      <c r="F13192" s="3" t="str">
        <f t="shared" si="206"/>
        <v>I11949</v>
      </c>
    </row>
    <row r="13193" spans="1:6" x14ac:dyDescent="0.2">
      <c r="A13193" s="29" t="s">
        <v>29912</v>
      </c>
      <c r="B13193" s="30" t="s">
        <v>29913</v>
      </c>
      <c r="C13193" s="29" t="s">
        <v>26</v>
      </c>
      <c r="D13193" s="31">
        <v>4632.47</v>
      </c>
      <c r="F13193" s="3" t="str">
        <f t="shared" si="206"/>
        <v>I11950</v>
      </c>
    </row>
    <row r="13194" spans="1:6" x14ac:dyDescent="0.2">
      <c r="A13194" s="29" t="s">
        <v>29914</v>
      </c>
      <c r="B13194" s="30" t="s">
        <v>29915</v>
      </c>
      <c r="C13194" s="29" t="s">
        <v>26</v>
      </c>
      <c r="D13194" s="31">
        <v>4993.71</v>
      </c>
      <c r="F13194" s="3" t="str">
        <f t="shared" si="206"/>
        <v>I11951</v>
      </c>
    </row>
    <row r="13195" spans="1:6" x14ac:dyDescent="0.2">
      <c r="A13195" s="29" t="s">
        <v>29916</v>
      </c>
      <c r="B13195" s="30" t="s">
        <v>29917</v>
      </c>
      <c r="C13195" s="29" t="s">
        <v>26</v>
      </c>
      <c r="D13195" s="31">
        <v>5350.48</v>
      </c>
      <c r="F13195" s="3" t="str">
        <f t="shared" si="206"/>
        <v>I11952</v>
      </c>
    </row>
    <row r="13196" spans="1:6" x14ac:dyDescent="0.2">
      <c r="A13196" s="29" t="s">
        <v>29918</v>
      </c>
      <c r="B13196" s="30" t="s">
        <v>29919</v>
      </c>
      <c r="C13196" s="29" t="s">
        <v>26</v>
      </c>
      <c r="D13196" s="31">
        <v>5985.51</v>
      </c>
      <c r="F13196" s="3" t="str">
        <f t="shared" si="206"/>
        <v>I11953</v>
      </c>
    </row>
    <row r="13197" spans="1:6" x14ac:dyDescent="0.2">
      <c r="A13197" s="29" t="s">
        <v>29920</v>
      </c>
      <c r="B13197" s="30" t="s">
        <v>29921</v>
      </c>
      <c r="C13197" s="29" t="s">
        <v>26</v>
      </c>
      <c r="D13197" s="31">
        <v>6075.56</v>
      </c>
      <c r="F13197" s="3" t="str">
        <f t="shared" si="206"/>
        <v>I11954</v>
      </c>
    </row>
    <row r="13198" spans="1:6" x14ac:dyDescent="0.2">
      <c r="A13198" s="29" t="s">
        <v>29922</v>
      </c>
      <c r="B13198" s="30" t="s">
        <v>29923</v>
      </c>
      <c r="C13198" s="29" t="s">
        <v>26</v>
      </c>
      <c r="D13198" s="31">
        <v>6127.7</v>
      </c>
      <c r="F13198" s="3" t="str">
        <f t="shared" si="206"/>
        <v>I11955</v>
      </c>
    </row>
    <row r="13199" spans="1:6" x14ac:dyDescent="0.2">
      <c r="A13199" s="29" t="s">
        <v>29924</v>
      </c>
      <c r="B13199" s="30" t="s">
        <v>29925</v>
      </c>
      <c r="C13199" s="29" t="s">
        <v>26</v>
      </c>
      <c r="D13199" s="31">
        <v>3248.49</v>
      </c>
      <c r="F13199" s="3" t="str">
        <f t="shared" si="206"/>
        <v>I11956</v>
      </c>
    </row>
    <row r="13200" spans="1:6" x14ac:dyDescent="0.2">
      <c r="A13200" s="29" t="s">
        <v>29926</v>
      </c>
      <c r="B13200" s="30" t="s">
        <v>29927</v>
      </c>
      <c r="C13200" s="29" t="s">
        <v>26</v>
      </c>
      <c r="D13200" s="31">
        <v>3699.01</v>
      </c>
      <c r="F13200" s="3" t="str">
        <f t="shared" si="206"/>
        <v>I11957</v>
      </c>
    </row>
    <row r="13201" spans="1:6" x14ac:dyDescent="0.2">
      <c r="A13201" s="29" t="s">
        <v>29928</v>
      </c>
      <c r="B13201" s="30" t="s">
        <v>29929</v>
      </c>
      <c r="C13201" s="29" t="s">
        <v>26</v>
      </c>
      <c r="D13201" s="31">
        <v>4149.5200000000004</v>
      </c>
      <c r="F13201" s="3" t="str">
        <f t="shared" si="206"/>
        <v>I11958</v>
      </c>
    </row>
    <row r="13202" spans="1:6" x14ac:dyDescent="0.2">
      <c r="A13202" s="29" t="s">
        <v>29930</v>
      </c>
      <c r="B13202" s="30" t="s">
        <v>29931</v>
      </c>
      <c r="C13202" s="29" t="s">
        <v>26</v>
      </c>
      <c r="D13202" s="31">
        <v>4595.32</v>
      </c>
      <c r="F13202" s="3" t="str">
        <f t="shared" si="206"/>
        <v>I11959</v>
      </c>
    </row>
    <row r="13203" spans="1:6" x14ac:dyDescent="0.2">
      <c r="A13203" s="29" t="s">
        <v>29932</v>
      </c>
      <c r="B13203" s="30" t="s">
        <v>29933</v>
      </c>
      <c r="C13203" s="29" t="s">
        <v>26</v>
      </c>
      <c r="D13203" s="31">
        <v>5045.6400000000003</v>
      </c>
      <c r="F13203" s="3" t="str">
        <f t="shared" si="206"/>
        <v>I11960</v>
      </c>
    </row>
    <row r="13204" spans="1:6" x14ac:dyDescent="0.2">
      <c r="A13204" s="29" t="s">
        <v>29934</v>
      </c>
      <c r="B13204" s="30" t="s">
        <v>29935</v>
      </c>
      <c r="C13204" s="29" t="s">
        <v>26</v>
      </c>
      <c r="D13204" s="31">
        <v>5496.02</v>
      </c>
      <c r="F13204" s="3" t="str">
        <f t="shared" si="206"/>
        <v>I11961</v>
      </c>
    </row>
    <row r="13205" spans="1:6" x14ac:dyDescent="0.2">
      <c r="A13205" s="29" t="s">
        <v>29936</v>
      </c>
      <c r="B13205" s="30" t="s">
        <v>29937</v>
      </c>
      <c r="C13205" s="29" t="s">
        <v>26</v>
      </c>
      <c r="D13205" s="31">
        <v>5941.9</v>
      </c>
      <c r="F13205" s="3" t="str">
        <f t="shared" si="206"/>
        <v>I11962</v>
      </c>
    </row>
    <row r="13206" spans="1:6" x14ac:dyDescent="0.2">
      <c r="A13206" s="29" t="s">
        <v>29938</v>
      </c>
      <c r="B13206" s="30" t="s">
        <v>29939</v>
      </c>
      <c r="C13206" s="29" t="s">
        <v>26</v>
      </c>
      <c r="D13206" s="31">
        <v>6392.25</v>
      </c>
      <c r="F13206" s="3" t="str">
        <f t="shared" si="206"/>
        <v>I11963</v>
      </c>
    </row>
    <row r="13207" spans="1:6" x14ac:dyDescent="0.2">
      <c r="A13207" s="29" t="s">
        <v>29940</v>
      </c>
      <c r="B13207" s="30" t="s">
        <v>29941</v>
      </c>
      <c r="C13207" s="29" t="s">
        <v>26</v>
      </c>
      <c r="D13207" s="31">
        <v>7173.56</v>
      </c>
      <c r="F13207" s="3" t="str">
        <f t="shared" si="206"/>
        <v>I11964</v>
      </c>
    </row>
    <row r="13208" spans="1:6" x14ac:dyDescent="0.2">
      <c r="A13208" s="29" t="s">
        <v>29942</v>
      </c>
      <c r="B13208" s="30" t="s">
        <v>29943</v>
      </c>
      <c r="C13208" s="29" t="s">
        <v>26</v>
      </c>
      <c r="D13208" s="31">
        <v>7291.56</v>
      </c>
      <c r="F13208" s="3" t="str">
        <f t="shared" si="206"/>
        <v>I11965</v>
      </c>
    </row>
    <row r="13209" spans="1:6" x14ac:dyDescent="0.2">
      <c r="A13209" s="29" t="s">
        <v>29944</v>
      </c>
      <c r="B13209" s="30" t="s">
        <v>29945</v>
      </c>
      <c r="C13209" s="29" t="s">
        <v>26</v>
      </c>
      <c r="D13209" s="31">
        <v>7362.31</v>
      </c>
      <c r="F13209" s="3" t="str">
        <f t="shared" si="206"/>
        <v>I11966</v>
      </c>
    </row>
    <row r="13210" spans="1:6" x14ac:dyDescent="0.2">
      <c r="A13210" s="29" t="s">
        <v>29946</v>
      </c>
      <c r="B13210" s="30" t="s">
        <v>29947</v>
      </c>
      <c r="C13210" s="29" t="s">
        <v>26</v>
      </c>
      <c r="D13210" s="31">
        <v>3511.75</v>
      </c>
      <c r="F13210" s="3" t="str">
        <f t="shared" si="206"/>
        <v>I11967</v>
      </c>
    </row>
    <row r="13211" spans="1:6" x14ac:dyDescent="0.2">
      <c r="A13211" s="29" t="s">
        <v>29948</v>
      </c>
      <c r="B13211" s="30" t="s">
        <v>29949</v>
      </c>
      <c r="C13211" s="29" t="s">
        <v>26</v>
      </c>
      <c r="D13211" s="31">
        <v>3962.13</v>
      </c>
      <c r="F13211" s="3" t="str">
        <f t="shared" si="206"/>
        <v>I11968</v>
      </c>
    </row>
    <row r="13212" spans="1:6" x14ac:dyDescent="0.2">
      <c r="A13212" s="29" t="s">
        <v>29950</v>
      </c>
      <c r="B13212" s="30" t="s">
        <v>29951</v>
      </c>
      <c r="C13212" s="29" t="s">
        <v>26</v>
      </c>
      <c r="D13212" s="31">
        <v>4408.05</v>
      </c>
      <c r="F13212" s="3" t="str">
        <f t="shared" si="206"/>
        <v>I11969</v>
      </c>
    </row>
    <row r="13213" spans="1:6" x14ac:dyDescent="0.2">
      <c r="A13213" s="29" t="s">
        <v>29952</v>
      </c>
      <c r="B13213" s="30" t="s">
        <v>29953</v>
      </c>
      <c r="C13213" s="29" t="s">
        <v>26</v>
      </c>
      <c r="D13213" s="31">
        <v>4858.41</v>
      </c>
      <c r="F13213" s="3" t="str">
        <f t="shared" si="206"/>
        <v>I11970</v>
      </c>
    </row>
    <row r="13214" spans="1:6" x14ac:dyDescent="0.2">
      <c r="A13214" s="29" t="s">
        <v>29954</v>
      </c>
      <c r="B13214" s="30" t="s">
        <v>29955</v>
      </c>
      <c r="C13214" s="29" t="s">
        <v>26</v>
      </c>
      <c r="D13214" s="31">
        <v>5308.78</v>
      </c>
      <c r="F13214" s="3" t="str">
        <f t="shared" si="206"/>
        <v>I11971</v>
      </c>
    </row>
    <row r="13215" spans="1:6" x14ac:dyDescent="0.2">
      <c r="A13215" s="29" t="s">
        <v>29956</v>
      </c>
      <c r="B13215" s="30" t="s">
        <v>29957</v>
      </c>
      <c r="C13215" s="29" t="s">
        <v>26</v>
      </c>
      <c r="D13215" s="31">
        <v>5754.53</v>
      </c>
      <c r="F13215" s="3" t="str">
        <f t="shared" si="206"/>
        <v>I11972</v>
      </c>
    </row>
    <row r="13216" spans="1:6" x14ac:dyDescent="0.2">
      <c r="A13216" s="29" t="s">
        <v>29958</v>
      </c>
      <c r="B13216" s="30" t="s">
        <v>29959</v>
      </c>
      <c r="C13216" s="29" t="s">
        <v>26</v>
      </c>
      <c r="D13216" s="31">
        <v>6204.98</v>
      </c>
      <c r="F13216" s="3" t="str">
        <f t="shared" si="206"/>
        <v>I11973</v>
      </c>
    </row>
    <row r="13217" spans="1:6" x14ac:dyDescent="0.2">
      <c r="A13217" s="29" t="s">
        <v>29960</v>
      </c>
      <c r="B13217" s="30" t="s">
        <v>29961</v>
      </c>
      <c r="C13217" s="29" t="s">
        <v>26</v>
      </c>
      <c r="D13217" s="31">
        <v>6655.37</v>
      </c>
      <c r="F13217" s="3" t="str">
        <f t="shared" si="206"/>
        <v>I11974</v>
      </c>
    </row>
    <row r="13218" spans="1:6" x14ac:dyDescent="0.2">
      <c r="A13218" s="29" t="s">
        <v>29962</v>
      </c>
      <c r="B13218" s="30" t="s">
        <v>29963</v>
      </c>
      <c r="C13218" s="29" t="s">
        <v>26</v>
      </c>
      <c r="D13218" s="31">
        <v>7436.67</v>
      </c>
      <c r="F13218" s="3" t="str">
        <f t="shared" si="206"/>
        <v>I11975</v>
      </c>
    </row>
    <row r="13219" spans="1:6" x14ac:dyDescent="0.2">
      <c r="A13219" s="29" t="s">
        <v>29964</v>
      </c>
      <c r="B13219" s="30" t="s">
        <v>29965</v>
      </c>
      <c r="C13219" s="29" t="s">
        <v>26</v>
      </c>
      <c r="D13219" s="31">
        <v>7554.66</v>
      </c>
      <c r="F13219" s="3" t="str">
        <f t="shared" si="206"/>
        <v>I11976</v>
      </c>
    </row>
    <row r="13220" spans="1:6" x14ac:dyDescent="0.2">
      <c r="A13220" s="29" t="s">
        <v>29966</v>
      </c>
      <c r="B13220" s="30" t="s">
        <v>29967</v>
      </c>
      <c r="C13220" s="29" t="s">
        <v>26</v>
      </c>
      <c r="D13220" s="31">
        <v>7625.43</v>
      </c>
      <c r="F13220" s="3" t="str">
        <f t="shared" si="206"/>
        <v>I11977</v>
      </c>
    </row>
    <row r="13221" spans="1:6" x14ac:dyDescent="0.2">
      <c r="A13221" s="29" t="s">
        <v>29968</v>
      </c>
      <c r="B13221" s="30" t="s">
        <v>29969</v>
      </c>
      <c r="C13221" s="29" t="s">
        <v>26</v>
      </c>
      <c r="D13221" s="31">
        <v>3983.55</v>
      </c>
      <c r="F13221" s="3" t="str">
        <f t="shared" si="206"/>
        <v>I11978</v>
      </c>
    </row>
    <row r="13222" spans="1:6" x14ac:dyDescent="0.2">
      <c r="A13222" s="29" t="s">
        <v>29970</v>
      </c>
      <c r="B13222" s="30" t="s">
        <v>29971</v>
      </c>
      <c r="C13222" s="29" t="s">
        <v>26</v>
      </c>
      <c r="D13222" s="31">
        <v>4533.37</v>
      </c>
      <c r="F13222" s="3" t="str">
        <f t="shared" si="206"/>
        <v>I11979</v>
      </c>
    </row>
    <row r="13223" spans="1:6" x14ac:dyDescent="0.2">
      <c r="A13223" s="29" t="s">
        <v>29972</v>
      </c>
      <c r="B13223" s="30" t="s">
        <v>29973</v>
      </c>
      <c r="C13223" s="29" t="s">
        <v>26</v>
      </c>
      <c r="D13223" s="31">
        <v>5083.1899999999996</v>
      </c>
      <c r="F13223" s="3" t="str">
        <f t="shared" si="206"/>
        <v>I11980</v>
      </c>
    </row>
    <row r="13224" spans="1:6" x14ac:dyDescent="0.2">
      <c r="A13224" s="29" t="s">
        <v>29974</v>
      </c>
      <c r="B13224" s="30" t="s">
        <v>29975</v>
      </c>
      <c r="C13224" s="29" t="s">
        <v>26</v>
      </c>
      <c r="D13224" s="31">
        <v>5633.03</v>
      </c>
      <c r="F13224" s="3" t="str">
        <f t="shared" si="206"/>
        <v>I11981</v>
      </c>
    </row>
    <row r="13225" spans="1:6" x14ac:dyDescent="0.2">
      <c r="A13225" s="29" t="s">
        <v>29976</v>
      </c>
      <c r="B13225" s="30" t="s">
        <v>29977</v>
      </c>
      <c r="C13225" s="29" t="s">
        <v>26</v>
      </c>
      <c r="D13225" s="31">
        <v>6182.83</v>
      </c>
      <c r="F13225" s="3" t="str">
        <f t="shared" si="206"/>
        <v>I11982</v>
      </c>
    </row>
    <row r="13226" spans="1:6" x14ac:dyDescent="0.2">
      <c r="A13226" s="29" t="s">
        <v>29978</v>
      </c>
      <c r="B13226" s="30" t="s">
        <v>29979</v>
      </c>
      <c r="C13226" s="29" t="s">
        <v>26</v>
      </c>
      <c r="D13226" s="31">
        <v>6732.65</v>
      </c>
      <c r="F13226" s="3" t="str">
        <f t="shared" si="206"/>
        <v>I11983</v>
      </c>
    </row>
    <row r="13227" spans="1:6" x14ac:dyDescent="0.2">
      <c r="A13227" s="29" t="s">
        <v>29980</v>
      </c>
      <c r="B13227" s="30" t="s">
        <v>29981</v>
      </c>
      <c r="C13227" s="29" t="s">
        <v>26</v>
      </c>
      <c r="D13227" s="31">
        <v>7282.41</v>
      </c>
      <c r="F13227" s="3" t="str">
        <f t="shared" si="206"/>
        <v>I11984</v>
      </c>
    </row>
    <row r="13228" spans="1:6" x14ac:dyDescent="0.2">
      <c r="A13228" s="29" t="s">
        <v>29982</v>
      </c>
      <c r="B13228" s="30" t="s">
        <v>29983</v>
      </c>
      <c r="C13228" s="29" t="s">
        <v>26</v>
      </c>
      <c r="D13228" s="31">
        <v>7832.31</v>
      </c>
      <c r="F13228" s="3" t="str">
        <f t="shared" si="206"/>
        <v>I11985</v>
      </c>
    </row>
    <row r="13229" spans="1:6" x14ac:dyDescent="0.2">
      <c r="A13229" s="29" t="s">
        <v>29984</v>
      </c>
      <c r="B13229" s="30" t="s">
        <v>29985</v>
      </c>
      <c r="C13229" s="29" t="s">
        <v>26</v>
      </c>
      <c r="D13229" s="31">
        <v>8789.94</v>
      </c>
      <c r="F13229" s="3" t="str">
        <f t="shared" si="206"/>
        <v>I11986</v>
      </c>
    </row>
    <row r="13230" spans="1:6" x14ac:dyDescent="0.2">
      <c r="A13230" s="29" t="s">
        <v>29986</v>
      </c>
      <c r="B13230" s="30" t="s">
        <v>29987</v>
      </c>
      <c r="C13230" s="29" t="s">
        <v>26</v>
      </c>
      <c r="D13230" s="31">
        <v>8935.58</v>
      </c>
      <c r="F13230" s="3" t="str">
        <f t="shared" si="206"/>
        <v>I11987</v>
      </c>
    </row>
    <row r="13231" spans="1:6" x14ac:dyDescent="0.2">
      <c r="A13231" s="29" t="s">
        <v>29988</v>
      </c>
      <c r="B13231" s="30" t="s">
        <v>29989</v>
      </c>
      <c r="C13231" s="29" t="s">
        <v>26</v>
      </c>
      <c r="D13231" s="31">
        <v>9024.7800000000007</v>
      </c>
      <c r="F13231" s="3" t="str">
        <f t="shared" si="206"/>
        <v>I11988</v>
      </c>
    </row>
    <row r="13232" spans="1:6" x14ac:dyDescent="0.2">
      <c r="A13232" s="29" t="s">
        <v>29990</v>
      </c>
      <c r="B13232" s="30" t="s">
        <v>29991</v>
      </c>
      <c r="C13232" s="29" t="s">
        <v>26</v>
      </c>
      <c r="D13232" s="31">
        <v>4278.9399999999996</v>
      </c>
      <c r="F13232" s="3" t="str">
        <f t="shared" si="206"/>
        <v>I11989</v>
      </c>
    </row>
    <row r="13233" spans="1:6" x14ac:dyDescent="0.2">
      <c r="A13233" s="29" t="s">
        <v>29992</v>
      </c>
      <c r="B13233" s="30" t="s">
        <v>29993</v>
      </c>
      <c r="C13233" s="29" t="s">
        <v>26</v>
      </c>
      <c r="D13233" s="31">
        <v>4828.6099999999997</v>
      </c>
      <c r="F13233" s="3" t="str">
        <f t="shared" si="206"/>
        <v>I11990</v>
      </c>
    </row>
    <row r="13234" spans="1:6" x14ac:dyDescent="0.2">
      <c r="A13234" s="29" t="s">
        <v>29994</v>
      </c>
      <c r="B13234" s="30" t="s">
        <v>29995</v>
      </c>
      <c r="C13234" s="29" t="s">
        <v>26</v>
      </c>
      <c r="D13234" s="31">
        <v>5378.56</v>
      </c>
      <c r="F13234" s="3" t="str">
        <f t="shared" si="206"/>
        <v>I11991</v>
      </c>
    </row>
    <row r="13235" spans="1:6" x14ac:dyDescent="0.2">
      <c r="A13235" s="29" t="s">
        <v>29996</v>
      </c>
      <c r="B13235" s="30" t="s">
        <v>29997</v>
      </c>
      <c r="C13235" s="29" t="s">
        <v>26</v>
      </c>
      <c r="D13235" s="31">
        <v>5928.43</v>
      </c>
      <c r="F13235" s="3" t="str">
        <f t="shared" si="206"/>
        <v>I11992</v>
      </c>
    </row>
    <row r="13236" spans="1:6" x14ac:dyDescent="0.2">
      <c r="A13236" s="29" t="s">
        <v>29998</v>
      </c>
      <c r="B13236" s="30" t="s">
        <v>29999</v>
      </c>
      <c r="C13236" s="29" t="s">
        <v>26</v>
      </c>
      <c r="D13236" s="31">
        <v>6478.18</v>
      </c>
      <c r="F13236" s="3" t="str">
        <f t="shared" si="206"/>
        <v>I11993</v>
      </c>
    </row>
    <row r="13237" spans="1:6" x14ac:dyDescent="0.2">
      <c r="A13237" s="29" t="s">
        <v>30000</v>
      </c>
      <c r="B13237" s="30" t="s">
        <v>30001</v>
      </c>
      <c r="C13237" s="29" t="s">
        <v>26</v>
      </c>
      <c r="D13237" s="31">
        <v>7028.01</v>
      </c>
      <c r="F13237" s="3" t="str">
        <f t="shared" si="206"/>
        <v>I11994</v>
      </c>
    </row>
    <row r="13238" spans="1:6" x14ac:dyDescent="0.2">
      <c r="A13238" s="29" t="s">
        <v>30002</v>
      </c>
      <c r="B13238" s="30" t="s">
        <v>30003</v>
      </c>
      <c r="C13238" s="29" t="s">
        <v>26</v>
      </c>
      <c r="D13238" s="31">
        <v>7577.78</v>
      </c>
      <c r="F13238" s="3" t="str">
        <f t="shared" si="206"/>
        <v>I11995</v>
      </c>
    </row>
    <row r="13239" spans="1:6" x14ac:dyDescent="0.2">
      <c r="A13239" s="29" t="s">
        <v>30004</v>
      </c>
      <c r="B13239" s="30" t="s">
        <v>30005</v>
      </c>
      <c r="C13239" s="29" t="s">
        <v>26</v>
      </c>
      <c r="D13239" s="31">
        <v>8127.66</v>
      </c>
      <c r="F13239" s="3" t="str">
        <f t="shared" si="206"/>
        <v>I11996</v>
      </c>
    </row>
    <row r="13240" spans="1:6" x14ac:dyDescent="0.2">
      <c r="A13240" s="29" t="s">
        <v>30006</v>
      </c>
      <c r="B13240" s="30" t="s">
        <v>30007</v>
      </c>
      <c r="C13240" s="29" t="s">
        <v>26</v>
      </c>
      <c r="D13240" s="31">
        <v>9085.33</v>
      </c>
      <c r="F13240" s="3" t="str">
        <f t="shared" si="206"/>
        <v>I11997</v>
      </c>
    </row>
    <row r="13241" spans="1:6" x14ac:dyDescent="0.2">
      <c r="A13241" s="29" t="s">
        <v>30008</v>
      </c>
      <c r="B13241" s="30" t="s">
        <v>30009</v>
      </c>
      <c r="C13241" s="29" t="s">
        <v>26</v>
      </c>
      <c r="D13241" s="31">
        <v>9230.93</v>
      </c>
      <c r="F13241" s="3" t="str">
        <f t="shared" si="206"/>
        <v>I11998</v>
      </c>
    </row>
    <row r="13242" spans="1:6" x14ac:dyDescent="0.2">
      <c r="A13242" s="29" t="s">
        <v>30010</v>
      </c>
      <c r="B13242" s="30" t="s">
        <v>30011</v>
      </c>
      <c r="C13242" s="29" t="s">
        <v>26</v>
      </c>
      <c r="D13242" s="31">
        <v>9320.1200000000008</v>
      </c>
      <c r="F13242" s="3" t="str">
        <f t="shared" si="206"/>
        <v>I11999</v>
      </c>
    </row>
    <row r="13243" spans="1:6" x14ac:dyDescent="0.2">
      <c r="A13243" s="29" t="s">
        <v>30012</v>
      </c>
      <c r="B13243" s="30" t="s">
        <v>30013</v>
      </c>
      <c r="C13243" s="29" t="s">
        <v>26</v>
      </c>
      <c r="D13243" s="31">
        <v>4778.4799999999996</v>
      </c>
      <c r="F13243" s="3" t="str">
        <f t="shared" si="206"/>
        <v>I12000</v>
      </c>
    </row>
    <row r="13244" spans="1:6" x14ac:dyDescent="0.2">
      <c r="A13244" s="29" t="s">
        <v>30014</v>
      </c>
      <c r="B13244" s="30" t="s">
        <v>30015</v>
      </c>
      <c r="C13244" s="29" t="s">
        <v>26</v>
      </c>
      <c r="D13244" s="31">
        <v>5409.63</v>
      </c>
      <c r="F13244" s="3" t="str">
        <f t="shared" si="206"/>
        <v>I12001</v>
      </c>
    </row>
    <row r="13245" spans="1:6" x14ac:dyDescent="0.2">
      <c r="A13245" s="29" t="s">
        <v>30016</v>
      </c>
      <c r="B13245" s="30" t="s">
        <v>30017</v>
      </c>
      <c r="C13245" s="29" t="s">
        <v>26</v>
      </c>
      <c r="D13245" s="31">
        <v>6040.77</v>
      </c>
      <c r="F13245" s="3" t="str">
        <f t="shared" si="206"/>
        <v>I12002</v>
      </c>
    </row>
    <row r="13246" spans="1:6" x14ac:dyDescent="0.2">
      <c r="A13246" s="29" t="s">
        <v>30018</v>
      </c>
      <c r="B13246" s="30" t="s">
        <v>30019</v>
      </c>
      <c r="C13246" s="29" t="s">
        <v>26</v>
      </c>
      <c r="D13246" s="31">
        <v>6672.06</v>
      </c>
      <c r="F13246" s="3" t="str">
        <f t="shared" si="206"/>
        <v>I12003</v>
      </c>
    </row>
    <row r="13247" spans="1:6" x14ac:dyDescent="0.2">
      <c r="A13247" s="29" t="s">
        <v>30020</v>
      </c>
      <c r="B13247" s="30" t="s">
        <v>30021</v>
      </c>
      <c r="C13247" s="29" t="s">
        <v>26</v>
      </c>
      <c r="D13247" s="31">
        <v>7303.28</v>
      </c>
      <c r="F13247" s="3" t="str">
        <f t="shared" si="206"/>
        <v>I12004</v>
      </c>
    </row>
    <row r="13248" spans="1:6" x14ac:dyDescent="0.2">
      <c r="A13248" s="29" t="s">
        <v>30022</v>
      </c>
      <c r="B13248" s="30" t="s">
        <v>30023</v>
      </c>
      <c r="C13248" s="29" t="s">
        <v>26</v>
      </c>
      <c r="D13248" s="31">
        <v>7934.47</v>
      </c>
      <c r="F13248" s="3" t="str">
        <f t="shared" si="206"/>
        <v>I12005</v>
      </c>
    </row>
    <row r="13249" spans="1:6" x14ac:dyDescent="0.2">
      <c r="A13249" s="29" t="s">
        <v>30024</v>
      </c>
      <c r="B13249" s="30" t="s">
        <v>30025</v>
      </c>
      <c r="C13249" s="29" t="s">
        <v>26</v>
      </c>
      <c r="D13249" s="31">
        <v>8565.77</v>
      </c>
      <c r="F13249" s="3" t="str">
        <f t="shared" si="206"/>
        <v>I12006</v>
      </c>
    </row>
    <row r="13250" spans="1:6" x14ac:dyDescent="0.2">
      <c r="A13250" s="29" t="s">
        <v>30026</v>
      </c>
      <c r="B13250" s="30" t="s">
        <v>30027</v>
      </c>
      <c r="C13250" s="29" t="s">
        <v>26</v>
      </c>
      <c r="D13250" s="31">
        <v>9192.25</v>
      </c>
      <c r="F13250" s="3" t="str">
        <f t="shared" ref="F13250:F13313" si="207">A13250</f>
        <v>I12007</v>
      </c>
    </row>
    <row r="13251" spans="1:6" x14ac:dyDescent="0.2">
      <c r="A13251" s="29" t="s">
        <v>30028</v>
      </c>
      <c r="B13251" s="30" t="s">
        <v>30029</v>
      </c>
      <c r="C13251" s="29" t="s">
        <v>26</v>
      </c>
      <c r="D13251" s="31">
        <v>10278.719999999999</v>
      </c>
      <c r="F13251" s="3" t="str">
        <f t="shared" si="207"/>
        <v>I12008</v>
      </c>
    </row>
    <row r="13252" spans="1:6" x14ac:dyDescent="0.2">
      <c r="A13252" s="29" t="s">
        <v>30030</v>
      </c>
      <c r="B13252" s="30" t="s">
        <v>30031</v>
      </c>
      <c r="C13252" s="29" t="s">
        <v>26</v>
      </c>
      <c r="D13252" s="31">
        <v>10458.85</v>
      </c>
      <c r="F13252" s="3" t="str">
        <f t="shared" si="207"/>
        <v>I12009</v>
      </c>
    </row>
    <row r="13253" spans="1:6" x14ac:dyDescent="0.2">
      <c r="A13253" s="29" t="s">
        <v>30032</v>
      </c>
      <c r="B13253" s="30" t="s">
        <v>30033</v>
      </c>
      <c r="C13253" s="29" t="s">
        <v>26</v>
      </c>
      <c r="D13253" s="31">
        <v>10567.86</v>
      </c>
      <c r="F13253" s="3" t="str">
        <f t="shared" si="207"/>
        <v>I12010</v>
      </c>
    </row>
    <row r="13254" spans="1:6" x14ac:dyDescent="0.2">
      <c r="A13254" s="29" t="s">
        <v>30034</v>
      </c>
      <c r="B13254" s="30" t="s">
        <v>30035</v>
      </c>
      <c r="C13254" s="29" t="s">
        <v>26</v>
      </c>
      <c r="D13254" s="31">
        <v>5067.07</v>
      </c>
      <c r="F13254" s="3" t="str">
        <f t="shared" si="207"/>
        <v>I12011</v>
      </c>
    </row>
    <row r="13255" spans="1:6" x14ac:dyDescent="0.2">
      <c r="A13255" s="29" t="s">
        <v>30036</v>
      </c>
      <c r="B13255" s="30" t="s">
        <v>30037</v>
      </c>
      <c r="C13255" s="29" t="s">
        <v>26</v>
      </c>
      <c r="D13255" s="31">
        <v>5698.2</v>
      </c>
      <c r="F13255" s="3" t="str">
        <f t="shared" si="207"/>
        <v>I12012</v>
      </c>
    </row>
    <row r="13256" spans="1:6" x14ac:dyDescent="0.2">
      <c r="A13256" s="29" t="s">
        <v>30038</v>
      </c>
      <c r="B13256" s="30" t="s">
        <v>30039</v>
      </c>
      <c r="C13256" s="29" t="s">
        <v>26</v>
      </c>
      <c r="D13256" s="31">
        <v>6329.34</v>
      </c>
      <c r="F13256" s="3" t="str">
        <f t="shared" si="207"/>
        <v>I12013</v>
      </c>
    </row>
    <row r="13257" spans="1:6" x14ac:dyDescent="0.2">
      <c r="A13257" s="29" t="s">
        <v>30040</v>
      </c>
      <c r="B13257" s="30" t="s">
        <v>30041</v>
      </c>
      <c r="C13257" s="29" t="s">
        <v>26</v>
      </c>
      <c r="D13257" s="31">
        <v>6960.65</v>
      </c>
      <c r="F13257" s="3" t="str">
        <f t="shared" si="207"/>
        <v>I12014</v>
      </c>
    </row>
    <row r="13258" spans="1:6" x14ac:dyDescent="0.2">
      <c r="A13258" s="29" t="s">
        <v>30042</v>
      </c>
      <c r="B13258" s="30" t="s">
        <v>30043</v>
      </c>
      <c r="C13258" s="29" t="s">
        <v>26</v>
      </c>
      <c r="D13258" s="31">
        <v>7591.88</v>
      </c>
      <c r="F13258" s="3" t="str">
        <f t="shared" si="207"/>
        <v>I12015</v>
      </c>
    </row>
    <row r="13259" spans="1:6" x14ac:dyDescent="0.2">
      <c r="A13259" s="29" t="s">
        <v>30044</v>
      </c>
      <c r="B13259" s="30" t="s">
        <v>30045</v>
      </c>
      <c r="C13259" s="29" t="s">
        <v>26</v>
      </c>
      <c r="D13259" s="31">
        <v>8223.0499999999993</v>
      </c>
      <c r="F13259" s="3" t="str">
        <f t="shared" si="207"/>
        <v>I12016</v>
      </c>
    </row>
    <row r="13260" spans="1:6" x14ac:dyDescent="0.2">
      <c r="A13260" s="29" t="s">
        <v>30046</v>
      </c>
      <c r="B13260" s="30" t="s">
        <v>30047</v>
      </c>
      <c r="C13260" s="29" t="s">
        <v>26</v>
      </c>
      <c r="D13260" s="31">
        <v>8854.34</v>
      </c>
      <c r="F13260" s="3" t="str">
        <f t="shared" si="207"/>
        <v>I12017</v>
      </c>
    </row>
    <row r="13261" spans="1:6" x14ac:dyDescent="0.2">
      <c r="A13261" s="29" t="s">
        <v>30048</v>
      </c>
      <c r="B13261" s="30" t="s">
        <v>30049</v>
      </c>
      <c r="C13261" s="29" t="s">
        <v>26</v>
      </c>
      <c r="D13261" s="31">
        <v>9480.84</v>
      </c>
      <c r="F13261" s="3" t="str">
        <f t="shared" si="207"/>
        <v>I12018</v>
      </c>
    </row>
    <row r="13262" spans="1:6" x14ac:dyDescent="0.2">
      <c r="A13262" s="29" t="s">
        <v>30050</v>
      </c>
      <c r="B13262" s="30" t="s">
        <v>30051</v>
      </c>
      <c r="C13262" s="29" t="s">
        <v>26</v>
      </c>
      <c r="D13262" s="31">
        <v>10567.31</v>
      </c>
      <c r="F13262" s="3" t="str">
        <f t="shared" si="207"/>
        <v>I12019</v>
      </c>
    </row>
    <row r="13263" spans="1:6" x14ac:dyDescent="0.2">
      <c r="A13263" s="29" t="s">
        <v>30052</v>
      </c>
      <c r="B13263" s="30" t="s">
        <v>30053</v>
      </c>
      <c r="C13263" s="29" t="s">
        <v>26</v>
      </c>
      <c r="D13263" s="31">
        <v>10747.42</v>
      </c>
      <c r="F13263" s="3" t="str">
        <f t="shared" si="207"/>
        <v>I12020</v>
      </c>
    </row>
    <row r="13264" spans="1:6" x14ac:dyDescent="0.2">
      <c r="A13264" s="29" t="s">
        <v>30054</v>
      </c>
      <c r="B13264" s="30" t="s">
        <v>30055</v>
      </c>
      <c r="C13264" s="29" t="s">
        <v>26</v>
      </c>
      <c r="D13264" s="31">
        <v>10856.43</v>
      </c>
      <c r="F13264" s="3" t="str">
        <f t="shared" si="207"/>
        <v>I12021</v>
      </c>
    </row>
    <row r="13265" spans="1:6" x14ac:dyDescent="0.2">
      <c r="A13265" s="29" t="s">
        <v>30056</v>
      </c>
      <c r="B13265" s="30" t="s">
        <v>30057</v>
      </c>
      <c r="C13265" s="29" t="s">
        <v>26</v>
      </c>
      <c r="D13265" s="31">
        <v>5304.01</v>
      </c>
      <c r="F13265" s="3" t="str">
        <f t="shared" si="207"/>
        <v>I12022</v>
      </c>
    </row>
    <row r="13266" spans="1:6" x14ac:dyDescent="0.2">
      <c r="A13266" s="29" t="s">
        <v>30058</v>
      </c>
      <c r="B13266" s="30" t="s">
        <v>30059</v>
      </c>
      <c r="C13266" s="29" t="s">
        <v>26</v>
      </c>
      <c r="D13266" s="31">
        <v>5999.96</v>
      </c>
      <c r="F13266" s="3" t="str">
        <f t="shared" si="207"/>
        <v>I12023</v>
      </c>
    </row>
    <row r="13267" spans="1:6" x14ac:dyDescent="0.2">
      <c r="A13267" s="29" t="s">
        <v>30060</v>
      </c>
      <c r="B13267" s="30" t="s">
        <v>30061</v>
      </c>
      <c r="C13267" s="29" t="s">
        <v>26</v>
      </c>
      <c r="D13267" s="31">
        <v>6695.94</v>
      </c>
      <c r="F13267" s="3" t="str">
        <f t="shared" si="207"/>
        <v>I12024</v>
      </c>
    </row>
    <row r="13268" spans="1:6" x14ac:dyDescent="0.2">
      <c r="A13268" s="29" t="s">
        <v>30062</v>
      </c>
      <c r="B13268" s="30" t="s">
        <v>30063</v>
      </c>
      <c r="C13268" s="29" t="s">
        <v>26</v>
      </c>
      <c r="D13268" s="31">
        <v>7391.83</v>
      </c>
      <c r="F13268" s="3" t="str">
        <f t="shared" si="207"/>
        <v>I12025</v>
      </c>
    </row>
    <row r="13269" spans="1:6" x14ac:dyDescent="0.2">
      <c r="A13269" s="29" t="s">
        <v>30064</v>
      </c>
      <c r="B13269" s="30" t="s">
        <v>30065</v>
      </c>
      <c r="C13269" s="29" t="s">
        <v>26</v>
      </c>
      <c r="D13269" s="31">
        <v>8087.75</v>
      </c>
      <c r="F13269" s="3" t="str">
        <f t="shared" si="207"/>
        <v>I12026</v>
      </c>
    </row>
    <row r="13270" spans="1:6" x14ac:dyDescent="0.2">
      <c r="A13270" s="29" t="s">
        <v>30066</v>
      </c>
      <c r="B13270" s="30" t="s">
        <v>30067</v>
      </c>
      <c r="C13270" s="29" t="s">
        <v>26</v>
      </c>
      <c r="D13270" s="31">
        <v>8783.59</v>
      </c>
      <c r="F13270" s="3" t="str">
        <f t="shared" si="207"/>
        <v>I12027</v>
      </c>
    </row>
    <row r="13271" spans="1:6" x14ac:dyDescent="0.2">
      <c r="A13271" s="29" t="s">
        <v>30068</v>
      </c>
      <c r="B13271" s="30" t="s">
        <v>30069</v>
      </c>
      <c r="C13271" s="29" t="s">
        <v>26</v>
      </c>
      <c r="D13271" s="31">
        <v>9479.57</v>
      </c>
      <c r="F13271" s="3" t="str">
        <f t="shared" si="207"/>
        <v>I12028</v>
      </c>
    </row>
    <row r="13272" spans="1:6" x14ac:dyDescent="0.2">
      <c r="A13272" s="29" t="s">
        <v>30070</v>
      </c>
      <c r="B13272" s="30" t="s">
        <v>30071</v>
      </c>
      <c r="C13272" s="29" t="s">
        <v>26</v>
      </c>
      <c r="D13272" s="31">
        <v>10175.549999999999</v>
      </c>
      <c r="F13272" s="3" t="str">
        <f t="shared" si="207"/>
        <v>I12029</v>
      </c>
    </row>
    <row r="13273" spans="1:6" x14ac:dyDescent="0.2">
      <c r="A13273" s="29" t="s">
        <v>30072</v>
      </c>
      <c r="B13273" s="30" t="s">
        <v>30073</v>
      </c>
      <c r="C13273" s="29" t="s">
        <v>26</v>
      </c>
      <c r="D13273" s="31">
        <v>11354.58</v>
      </c>
      <c r="F13273" s="3" t="str">
        <f t="shared" si="207"/>
        <v>I12030</v>
      </c>
    </row>
    <row r="13274" spans="1:6" x14ac:dyDescent="0.2">
      <c r="A13274" s="29" t="s">
        <v>30074</v>
      </c>
      <c r="B13274" s="30" t="s">
        <v>30075</v>
      </c>
      <c r="C13274" s="29" t="s">
        <v>26</v>
      </c>
      <c r="D13274" s="31">
        <v>11567.18</v>
      </c>
      <c r="F13274" s="3" t="str">
        <f t="shared" si="207"/>
        <v>I12031</v>
      </c>
    </row>
    <row r="13275" spans="1:6" x14ac:dyDescent="0.2">
      <c r="A13275" s="29" t="s">
        <v>30076</v>
      </c>
      <c r="B13275" s="30" t="s">
        <v>30077</v>
      </c>
      <c r="C13275" s="29" t="s">
        <v>26</v>
      </c>
      <c r="D13275" s="31">
        <v>11694.82</v>
      </c>
      <c r="F13275" s="3" t="str">
        <f t="shared" si="207"/>
        <v>I12032</v>
      </c>
    </row>
    <row r="13276" spans="1:6" x14ac:dyDescent="0.2">
      <c r="A13276" s="29" t="s">
        <v>30078</v>
      </c>
      <c r="B13276" s="30" t="s">
        <v>30079</v>
      </c>
      <c r="C13276" s="29" t="s">
        <v>26</v>
      </c>
      <c r="D13276" s="31">
        <v>5888.02</v>
      </c>
      <c r="F13276" s="3" t="str">
        <f t="shared" si="207"/>
        <v>I12033</v>
      </c>
    </row>
    <row r="13277" spans="1:6" x14ac:dyDescent="0.2">
      <c r="A13277" s="29" t="s">
        <v>30080</v>
      </c>
      <c r="B13277" s="30" t="s">
        <v>30081</v>
      </c>
      <c r="C13277" s="29" t="s">
        <v>26</v>
      </c>
      <c r="D13277" s="31">
        <v>6584</v>
      </c>
      <c r="F13277" s="3" t="str">
        <f t="shared" si="207"/>
        <v>I12034</v>
      </c>
    </row>
    <row r="13278" spans="1:6" x14ac:dyDescent="0.2">
      <c r="A13278" s="29" t="s">
        <v>30082</v>
      </c>
      <c r="B13278" s="30" t="s">
        <v>30083</v>
      </c>
      <c r="C13278" s="29" t="s">
        <v>26</v>
      </c>
      <c r="D13278" s="31">
        <v>7279.95</v>
      </c>
      <c r="F13278" s="3" t="str">
        <f t="shared" si="207"/>
        <v>I12035</v>
      </c>
    </row>
    <row r="13279" spans="1:6" x14ac:dyDescent="0.2">
      <c r="A13279" s="29" t="s">
        <v>30084</v>
      </c>
      <c r="B13279" s="30" t="s">
        <v>30085</v>
      </c>
      <c r="C13279" s="29" t="s">
        <v>26</v>
      </c>
      <c r="D13279" s="31">
        <v>7975.82</v>
      </c>
      <c r="F13279" s="3" t="str">
        <f t="shared" si="207"/>
        <v>I12036</v>
      </c>
    </row>
    <row r="13280" spans="1:6" x14ac:dyDescent="0.2">
      <c r="A13280" s="29" t="s">
        <v>30086</v>
      </c>
      <c r="B13280" s="30" t="s">
        <v>30087</v>
      </c>
      <c r="C13280" s="29" t="s">
        <v>26</v>
      </c>
      <c r="D13280" s="31">
        <v>8671.76</v>
      </c>
      <c r="F13280" s="3" t="str">
        <f t="shared" si="207"/>
        <v>I12037</v>
      </c>
    </row>
    <row r="13281" spans="1:6" x14ac:dyDescent="0.2">
      <c r="A13281" s="29" t="s">
        <v>30088</v>
      </c>
      <c r="B13281" s="30" t="s">
        <v>30089</v>
      </c>
      <c r="C13281" s="29" t="s">
        <v>26</v>
      </c>
      <c r="D13281" s="31">
        <v>9363.0400000000009</v>
      </c>
      <c r="F13281" s="3" t="str">
        <f t="shared" si="207"/>
        <v>I12038</v>
      </c>
    </row>
    <row r="13282" spans="1:6" x14ac:dyDescent="0.2">
      <c r="A13282" s="29" t="s">
        <v>30090</v>
      </c>
      <c r="B13282" s="30" t="s">
        <v>30091</v>
      </c>
      <c r="C13282" s="29" t="s">
        <v>26</v>
      </c>
      <c r="D13282" s="31">
        <v>10058.99</v>
      </c>
      <c r="F13282" s="3" t="str">
        <f t="shared" si="207"/>
        <v>I12039</v>
      </c>
    </row>
    <row r="13283" spans="1:6" x14ac:dyDescent="0.2">
      <c r="A13283" s="29" t="s">
        <v>30092</v>
      </c>
      <c r="B13283" s="30" t="s">
        <v>30093</v>
      </c>
      <c r="C13283" s="29" t="s">
        <v>26</v>
      </c>
      <c r="D13283" s="31">
        <v>10754.94</v>
      </c>
      <c r="F13283" s="3" t="str">
        <f t="shared" si="207"/>
        <v>I12040</v>
      </c>
    </row>
    <row r="13284" spans="1:6" x14ac:dyDescent="0.2">
      <c r="A13284" s="29" t="s">
        <v>30094</v>
      </c>
      <c r="B13284" s="30" t="s">
        <v>30095</v>
      </c>
      <c r="C13284" s="29" t="s">
        <v>26</v>
      </c>
      <c r="D13284" s="31">
        <v>11938.58</v>
      </c>
      <c r="F13284" s="3" t="str">
        <f t="shared" si="207"/>
        <v>I12041</v>
      </c>
    </row>
    <row r="13285" spans="1:6" x14ac:dyDescent="0.2">
      <c r="A13285" s="29" t="s">
        <v>30096</v>
      </c>
      <c r="B13285" s="30" t="s">
        <v>30097</v>
      </c>
      <c r="C13285" s="29" t="s">
        <v>26</v>
      </c>
      <c r="D13285" s="31">
        <v>12151.21</v>
      </c>
      <c r="F13285" s="3" t="str">
        <f t="shared" si="207"/>
        <v>I12042</v>
      </c>
    </row>
    <row r="13286" spans="1:6" x14ac:dyDescent="0.2">
      <c r="A13286" s="29" t="s">
        <v>30098</v>
      </c>
      <c r="B13286" s="30" t="s">
        <v>30099</v>
      </c>
      <c r="C13286" s="29" t="s">
        <v>26</v>
      </c>
      <c r="D13286" s="31">
        <v>12278.8</v>
      </c>
      <c r="F13286" s="3" t="str">
        <f t="shared" si="207"/>
        <v>I12043</v>
      </c>
    </row>
    <row r="13287" spans="1:6" x14ac:dyDescent="0.2">
      <c r="A13287" s="29" t="s">
        <v>30100</v>
      </c>
      <c r="B13287" s="30" t="s">
        <v>30101</v>
      </c>
      <c r="C13287" s="29" t="s">
        <v>26</v>
      </c>
      <c r="D13287" s="31">
        <v>6709.56</v>
      </c>
      <c r="F13287" s="3" t="str">
        <f t="shared" si="207"/>
        <v>I12044</v>
      </c>
    </row>
    <row r="13288" spans="1:6" x14ac:dyDescent="0.2">
      <c r="A13288" s="29" t="s">
        <v>30102</v>
      </c>
      <c r="B13288" s="30" t="s">
        <v>30103</v>
      </c>
      <c r="C13288" s="29" t="s">
        <v>26</v>
      </c>
      <c r="D13288" s="31">
        <v>7520.24</v>
      </c>
      <c r="F13288" s="3" t="str">
        <f t="shared" si="207"/>
        <v>I12045</v>
      </c>
    </row>
    <row r="13289" spans="1:6" x14ac:dyDescent="0.2">
      <c r="A13289" s="29" t="s">
        <v>30104</v>
      </c>
      <c r="B13289" s="30" t="s">
        <v>30105</v>
      </c>
      <c r="C13289" s="29" t="s">
        <v>26</v>
      </c>
      <c r="D13289" s="31">
        <v>8330.89</v>
      </c>
      <c r="F13289" s="3" t="str">
        <f t="shared" si="207"/>
        <v>I12046</v>
      </c>
    </row>
    <row r="13290" spans="1:6" x14ac:dyDescent="0.2">
      <c r="A13290" s="29" t="s">
        <v>30106</v>
      </c>
      <c r="B13290" s="30" t="s">
        <v>30107</v>
      </c>
      <c r="C13290" s="29" t="s">
        <v>26</v>
      </c>
      <c r="D13290" s="31">
        <v>9141.66</v>
      </c>
      <c r="F13290" s="3" t="str">
        <f t="shared" si="207"/>
        <v>I12047</v>
      </c>
    </row>
    <row r="13291" spans="1:6" x14ac:dyDescent="0.2">
      <c r="A13291" s="29" t="s">
        <v>30108</v>
      </c>
      <c r="B13291" s="30" t="s">
        <v>30109</v>
      </c>
      <c r="C13291" s="29" t="s">
        <v>26</v>
      </c>
      <c r="D13291" s="31">
        <v>9952.31</v>
      </c>
      <c r="F13291" s="3" t="str">
        <f t="shared" si="207"/>
        <v>I12048</v>
      </c>
    </row>
    <row r="13292" spans="1:6" x14ac:dyDescent="0.2">
      <c r="A13292" s="29" t="s">
        <v>30110</v>
      </c>
      <c r="B13292" s="30" t="s">
        <v>30111</v>
      </c>
      <c r="C13292" s="29" t="s">
        <v>26</v>
      </c>
      <c r="D13292" s="31">
        <v>10762.95</v>
      </c>
      <c r="F13292" s="3" t="str">
        <f t="shared" si="207"/>
        <v>I12049</v>
      </c>
    </row>
    <row r="13293" spans="1:6" x14ac:dyDescent="0.2">
      <c r="A13293" s="29" t="s">
        <v>30112</v>
      </c>
      <c r="B13293" s="30" t="s">
        <v>30113</v>
      </c>
      <c r="C13293" s="29" t="s">
        <v>26</v>
      </c>
      <c r="D13293" s="31">
        <v>11573.73</v>
      </c>
      <c r="F13293" s="3" t="str">
        <f t="shared" si="207"/>
        <v>I12050</v>
      </c>
    </row>
    <row r="13294" spans="1:6" x14ac:dyDescent="0.2">
      <c r="A13294" s="29" t="s">
        <v>30114</v>
      </c>
      <c r="B13294" s="30" t="s">
        <v>30115</v>
      </c>
      <c r="C13294" s="29" t="s">
        <v>26</v>
      </c>
      <c r="D13294" s="31">
        <v>12384.38</v>
      </c>
      <c r="F13294" s="3" t="str">
        <f t="shared" si="207"/>
        <v>I12051</v>
      </c>
    </row>
    <row r="13295" spans="1:6" x14ac:dyDescent="0.2">
      <c r="A13295" s="29" t="s">
        <v>30116</v>
      </c>
      <c r="B13295" s="30" t="s">
        <v>30117</v>
      </c>
      <c r="C13295" s="29" t="s">
        <v>26</v>
      </c>
      <c r="D13295" s="31">
        <v>13761.43</v>
      </c>
      <c r="F13295" s="3" t="str">
        <f t="shared" si="207"/>
        <v>I12052</v>
      </c>
    </row>
    <row r="13296" spans="1:6" x14ac:dyDescent="0.2">
      <c r="A13296" s="29" t="s">
        <v>30118</v>
      </c>
      <c r="B13296" s="30" t="s">
        <v>30119</v>
      </c>
      <c r="C13296" s="29" t="s">
        <v>26</v>
      </c>
      <c r="D13296" s="31">
        <v>14006.33</v>
      </c>
      <c r="F13296" s="3" t="str">
        <f t="shared" si="207"/>
        <v>I12053</v>
      </c>
    </row>
    <row r="13297" spans="1:6" x14ac:dyDescent="0.2">
      <c r="A13297" s="29" t="s">
        <v>30120</v>
      </c>
      <c r="B13297" s="30" t="s">
        <v>30121</v>
      </c>
      <c r="C13297" s="29" t="s">
        <v>26</v>
      </c>
      <c r="D13297" s="31">
        <v>14156.97</v>
      </c>
      <c r="F13297" s="3" t="str">
        <f t="shared" si="207"/>
        <v>I12054</v>
      </c>
    </row>
    <row r="13298" spans="1:6" x14ac:dyDescent="0.2">
      <c r="A13298" s="29" t="s">
        <v>30122</v>
      </c>
      <c r="B13298" s="30" t="s">
        <v>30123</v>
      </c>
      <c r="C13298" s="29" t="s">
        <v>26</v>
      </c>
      <c r="D13298" s="31">
        <v>8264.49</v>
      </c>
      <c r="F13298" s="3" t="str">
        <f t="shared" si="207"/>
        <v>I12055</v>
      </c>
    </row>
    <row r="13299" spans="1:6" x14ac:dyDescent="0.2">
      <c r="A13299" s="29" t="s">
        <v>30124</v>
      </c>
      <c r="B13299" s="30" t="s">
        <v>30125</v>
      </c>
      <c r="C13299" s="29" t="s">
        <v>26</v>
      </c>
      <c r="D13299" s="31">
        <v>9075.23</v>
      </c>
      <c r="F13299" s="3" t="str">
        <f t="shared" si="207"/>
        <v>I12056</v>
      </c>
    </row>
    <row r="13300" spans="1:6" x14ac:dyDescent="0.2">
      <c r="A13300" s="29" t="s">
        <v>30126</v>
      </c>
      <c r="B13300" s="30" t="s">
        <v>30127</v>
      </c>
      <c r="C13300" s="29" t="s">
        <v>26</v>
      </c>
      <c r="D13300" s="31">
        <v>9885.84</v>
      </c>
      <c r="F13300" s="3" t="str">
        <f t="shared" si="207"/>
        <v>I12057</v>
      </c>
    </row>
    <row r="13301" spans="1:6" x14ac:dyDescent="0.2">
      <c r="A13301" s="29" t="s">
        <v>30128</v>
      </c>
      <c r="B13301" s="30" t="s">
        <v>30129</v>
      </c>
      <c r="C13301" s="29" t="s">
        <v>26</v>
      </c>
      <c r="D13301" s="31">
        <v>10696.64</v>
      </c>
      <c r="F13301" s="3" t="str">
        <f t="shared" si="207"/>
        <v>I12058</v>
      </c>
    </row>
    <row r="13302" spans="1:6" x14ac:dyDescent="0.2">
      <c r="A13302" s="29" t="s">
        <v>30130</v>
      </c>
      <c r="B13302" s="30" t="s">
        <v>30131</v>
      </c>
      <c r="C13302" s="29" t="s">
        <v>26</v>
      </c>
      <c r="D13302" s="31">
        <v>11507.26</v>
      </c>
      <c r="F13302" s="3" t="str">
        <f t="shared" si="207"/>
        <v>I12059</v>
      </c>
    </row>
    <row r="13303" spans="1:6" x14ac:dyDescent="0.2">
      <c r="A13303" s="29" t="s">
        <v>30132</v>
      </c>
      <c r="B13303" s="30" t="s">
        <v>30133</v>
      </c>
      <c r="C13303" s="29" t="s">
        <v>26</v>
      </c>
      <c r="D13303" s="31">
        <v>12317.91</v>
      </c>
      <c r="F13303" s="3" t="str">
        <f t="shared" si="207"/>
        <v>I12060</v>
      </c>
    </row>
    <row r="13304" spans="1:6" x14ac:dyDescent="0.2">
      <c r="A13304" s="29" t="s">
        <v>30134</v>
      </c>
      <c r="B13304" s="30" t="s">
        <v>30135</v>
      </c>
      <c r="C13304" s="29" t="s">
        <v>26</v>
      </c>
      <c r="D13304" s="31">
        <v>13128.66</v>
      </c>
      <c r="F13304" s="3" t="str">
        <f t="shared" si="207"/>
        <v>I12061</v>
      </c>
    </row>
    <row r="13305" spans="1:6" x14ac:dyDescent="0.2">
      <c r="A13305" s="29" t="s">
        <v>30136</v>
      </c>
      <c r="B13305" s="30" t="s">
        <v>30137</v>
      </c>
      <c r="C13305" s="29" t="s">
        <v>26</v>
      </c>
      <c r="D13305" s="31">
        <v>13939.3</v>
      </c>
      <c r="F13305" s="3" t="str">
        <f t="shared" si="207"/>
        <v>I12062</v>
      </c>
    </row>
    <row r="13306" spans="1:6" x14ac:dyDescent="0.2">
      <c r="A13306" s="29" t="s">
        <v>30138</v>
      </c>
      <c r="B13306" s="30" t="s">
        <v>30139</v>
      </c>
      <c r="C13306" s="29" t="s">
        <v>26</v>
      </c>
      <c r="D13306" s="31">
        <v>15311.79</v>
      </c>
      <c r="F13306" s="3" t="str">
        <f t="shared" si="207"/>
        <v>I12063</v>
      </c>
    </row>
    <row r="13307" spans="1:6" x14ac:dyDescent="0.2">
      <c r="A13307" s="29" t="s">
        <v>30140</v>
      </c>
      <c r="B13307" s="30" t="s">
        <v>30141</v>
      </c>
      <c r="C13307" s="29" t="s">
        <v>26</v>
      </c>
      <c r="D13307" s="31">
        <v>15561.27</v>
      </c>
      <c r="F13307" s="3" t="str">
        <f t="shared" si="207"/>
        <v>I12064</v>
      </c>
    </row>
    <row r="13308" spans="1:6" x14ac:dyDescent="0.2">
      <c r="A13308" s="29" t="s">
        <v>30142</v>
      </c>
      <c r="B13308" s="30" t="s">
        <v>30143</v>
      </c>
      <c r="C13308" s="29" t="s">
        <v>26</v>
      </c>
      <c r="D13308" s="31">
        <v>15711.92</v>
      </c>
      <c r="F13308" s="3" t="str">
        <f t="shared" si="207"/>
        <v>I12065</v>
      </c>
    </row>
    <row r="13309" spans="1:6" x14ac:dyDescent="0.2">
      <c r="A13309" s="29" t="s">
        <v>30144</v>
      </c>
      <c r="B13309" s="30" t="s">
        <v>30145</v>
      </c>
      <c r="C13309" s="29" t="s">
        <v>26</v>
      </c>
      <c r="D13309" s="31">
        <v>3856.3</v>
      </c>
      <c r="F13309" s="3" t="str">
        <f t="shared" si="207"/>
        <v>I3976</v>
      </c>
    </row>
    <row r="13310" spans="1:6" x14ac:dyDescent="0.2">
      <c r="A13310" s="29" t="s">
        <v>30146</v>
      </c>
      <c r="B13310" s="30" t="s">
        <v>30147</v>
      </c>
      <c r="C13310" s="29" t="s">
        <v>26</v>
      </c>
      <c r="D13310" s="31">
        <v>6789.49</v>
      </c>
      <c r="F13310" s="3" t="str">
        <f t="shared" si="207"/>
        <v>I4546</v>
      </c>
    </row>
    <row r="13311" spans="1:6" x14ac:dyDescent="0.2">
      <c r="A13311" s="29" t="s">
        <v>30148</v>
      </c>
      <c r="B13311" s="30" t="s">
        <v>30149</v>
      </c>
      <c r="C13311" s="29" t="s">
        <v>26</v>
      </c>
      <c r="D13311" s="31">
        <v>7702.33</v>
      </c>
      <c r="F13311" s="3" t="str">
        <f t="shared" si="207"/>
        <v>I4547</v>
      </c>
    </row>
    <row r="13312" spans="1:6" x14ac:dyDescent="0.2">
      <c r="A13312" s="29" t="s">
        <v>30150</v>
      </c>
      <c r="B13312" s="30" t="s">
        <v>30151</v>
      </c>
      <c r="C13312" s="29" t="s">
        <v>26</v>
      </c>
      <c r="D13312" s="31">
        <v>8615.1200000000008</v>
      </c>
      <c r="F13312" s="3" t="str">
        <f t="shared" si="207"/>
        <v>I4548</v>
      </c>
    </row>
    <row r="13313" spans="1:6" x14ac:dyDescent="0.2">
      <c r="A13313" s="29" t="s">
        <v>30152</v>
      </c>
      <c r="B13313" s="30" t="s">
        <v>30153</v>
      </c>
      <c r="C13313" s="29" t="s">
        <v>26</v>
      </c>
      <c r="D13313" s="31">
        <v>9527.85</v>
      </c>
      <c r="F13313" s="3" t="str">
        <f t="shared" si="207"/>
        <v>I4549</v>
      </c>
    </row>
    <row r="13314" spans="1:6" x14ac:dyDescent="0.2">
      <c r="A13314" s="29" t="s">
        <v>30154</v>
      </c>
      <c r="B13314" s="30" t="s">
        <v>30155</v>
      </c>
      <c r="C13314" s="29" t="s">
        <v>26</v>
      </c>
      <c r="D13314" s="31">
        <v>10440.52</v>
      </c>
      <c r="F13314" s="3" t="str">
        <f t="shared" ref="F13314:F13377" si="208">A13314</f>
        <v>I4550</v>
      </c>
    </row>
    <row r="13315" spans="1:6" x14ac:dyDescent="0.2">
      <c r="A13315" s="29" t="s">
        <v>30156</v>
      </c>
      <c r="B13315" s="30" t="s">
        <v>30157</v>
      </c>
      <c r="C13315" s="29" t="s">
        <v>26</v>
      </c>
      <c r="D13315" s="31">
        <v>11353.27</v>
      </c>
      <c r="F13315" s="3" t="str">
        <f t="shared" si="208"/>
        <v>I4551</v>
      </c>
    </row>
    <row r="13316" spans="1:6" x14ac:dyDescent="0.2">
      <c r="A13316" s="29" t="s">
        <v>30158</v>
      </c>
      <c r="B13316" s="30" t="s">
        <v>30159</v>
      </c>
      <c r="C13316" s="29" t="s">
        <v>26</v>
      </c>
      <c r="D13316" s="31">
        <v>12266</v>
      </c>
      <c r="F13316" s="3" t="str">
        <f t="shared" si="208"/>
        <v>I4552</v>
      </c>
    </row>
    <row r="13317" spans="1:6" x14ac:dyDescent="0.2">
      <c r="A13317" s="29" t="s">
        <v>30160</v>
      </c>
      <c r="B13317" s="30" t="s">
        <v>30161</v>
      </c>
      <c r="C13317" s="29" t="s">
        <v>26</v>
      </c>
      <c r="D13317" s="31">
        <v>13178.76</v>
      </c>
      <c r="F13317" s="3" t="str">
        <f t="shared" si="208"/>
        <v>I4553</v>
      </c>
    </row>
    <row r="13318" spans="1:6" x14ac:dyDescent="0.2">
      <c r="A13318" s="29" t="s">
        <v>30162</v>
      </c>
      <c r="B13318" s="30" t="s">
        <v>30163</v>
      </c>
      <c r="C13318" s="29" t="s">
        <v>26</v>
      </c>
      <c r="D13318" s="31">
        <v>6079.1</v>
      </c>
      <c r="F13318" s="3" t="str">
        <f t="shared" si="208"/>
        <v>I3977</v>
      </c>
    </row>
    <row r="13319" spans="1:6" x14ac:dyDescent="0.2">
      <c r="A13319" s="29" t="s">
        <v>30164</v>
      </c>
      <c r="B13319" s="30" t="s">
        <v>30165</v>
      </c>
      <c r="C13319" s="29" t="s">
        <v>26</v>
      </c>
      <c r="D13319" s="31">
        <v>14726.55</v>
      </c>
      <c r="F13319" s="3" t="str">
        <f t="shared" si="208"/>
        <v>I4554</v>
      </c>
    </row>
    <row r="13320" spans="1:6" x14ac:dyDescent="0.2">
      <c r="A13320" s="29" t="s">
        <v>30166</v>
      </c>
      <c r="B13320" s="30" t="s">
        <v>30167</v>
      </c>
      <c r="C13320" s="29" t="s">
        <v>26</v>
      </c>
      <c r="D13320" s="31">
        <v>15014.59</v>
      </c>
      <c r="F13320" s="3" t="str">
        <f t="shared" si="208"/>
        <v>I4555</v>
      </c>
    </row>
    <row r="13321" spans="1:6" x14ac:dyDescent="0.2">
      <c r="A13321" s="29" t="s">
        <v>30168</v>
      </c>
      <c r="B13321" s="30" t="s">
        <v>30169</v>
      </c>
      <c r="C13321" s="29" t="s">
        <v>26</v>
      </c>
      <c r="D13321" s="31">
        <v>15184.69</v>
      </c>
      <c r="F13321" s="3" t="str">
        <f t="shared" si="208"/>
        <v>I4556</v>
      </c>
    </row>
    <row r="13322" spans="1:6" x14ac:dyDescent="0.2">
      <c r="A13322" s="29" t="s">
        <v>30170</v>
      </c>
      <c r="B13322" s="30" t="s">
        <v>30171</v>
      </c>
      <c r="C13322" s="29" t="s">
        <v>26</v>
      </c>
      <c r="D13322" s="31">
        <v>7759.69</v>
      </c>
      <c r="F13322" s="3" t="str">
        <f t="shared" si="208"/>
        <v>I12066</v>
      </c>
    </row>
    <row r="13323" spans="1:6" x14ac:dyDescent="0.2">
      <c r="A13323" s="29" t="s">
        <v>30172</v>
      </c>
      <c r="B13323" s="30" t="s">
        <v>30173</v>
      </c>
      <c r="C13323" s="29" t="s">
        <v>26</v>
      </c>
      <c r="D13323" s="31">
        <v>8672.49</v>
      </c>
      <c r="F13323" s="3" t="str">
        <f t="shared" si="208"/>
        <v>I12067</v>
      </c>
    </row>
    <row r="13324" spans="1:6" x14ac:dyDescent="0.2">
      <c r="A13324" s="29" t="s">
        <v>30174</v>
      </c>
      <c r="B13324" s="30" t="s">
        <v>30175</v>
      </c>
      <c r="C13324" s="29" t="s">
        <v>26</v>
      </c>
      <c r="D13324" s="31">
        <v>9585.31</v>
      </c>
      <c r="F13324" s="3" t="str">
        <f t="shared" si="208"/>
        <v>I12068</v>
      </c>
    </row>
    <row r="13325" spans="1:6" x14ac:dyDescent="0.2">
      <c r="A13325" s="29" t="s">
        <v>30176</v>
      </c>
      <c r="B13325" s="30" t="s">
        <v>30177</v>
      </c>
      <c r="C13325" s="29" t="s">
        <v>26</v>
      </c>
      <c r="D13325" s="31">
        <v>10498.06</v>
      </c>
      <c r="F13325" s="3" t="str">
        <f t="shared" si="208"/>
        <v>I12069</v>
      </c>
    </row>
    <row r="13326" spans="1:6" x14ac:dyDescent="0.2">
      <c r="A13326" s="29" t="s">
        <v>30178</v>
      </c>
      <c r="B13326" s="30" t="s">
        <v>30179</v>
      </c>
      <c r="C13326" s="29" t="s">
        <v>26</v>
      </c>
      <c r="D13326" s="31">
        <v>11410.72</v>
      </c>
      <c r="F13326" s="3" t="str">
        <f t="shared" si="208"/>
        <v>I12070</v>
      </c>
    </row>
    <row r="13327" spans="1:6" x14ac:dyDescent="0.2">
      <c r="A13327" s="29" t="s">
        <v>30180</v>
      </c>
      <c r="B13327" s="30" t="s">
        <v>30181</v>
      </c>
      <c r="C13327" s="29" t="s">
        <v>26</v>
      </c>
      <c r="D13327" s="31">
        <v>12323.49</v>
      </c>
      <c r="F13327" s="3" t="str">
        <f t="shared" si="208"/>
        <v>I12071</v>
      </c>
    </row>
    <row r="13328" spans="1:6" x14ac:dyDescent="0.2">
      <c r="A13328" s="29" t="s">
        <v>30182</v>
      </c>
      <c r="B13328" s="30" t="s">
        <v>30183</v>
      </c>
      <c r="C13328" s="29" t="s">
        <v>26</v>
      </c>
      <c r="D13328" s="31">
        <v>13236.21</v>
      </c>
      <c r="F13328" s="3" t="str">
        <f t="shared" si="208"/>
        <v>I12072</v>
      </c>
    </row>
    <row r="13329" spans="1:6" x14ac:dyDescent="0.2">
      <c r="A13329" s="29" t="s">
        <v>30184</v>
      </c>
      <c r="B13329" s="30" t="s">
        <v>30185</v>
      </c>
      <c r="C13329" s="29" t="s">
        <v>26</v>
      </c>
      <c r="D13329" s="31">
        <v>14148.98</v>
      </c>
      <c r="F13329" s="3" t="str">
        <f t="shared" si="208"/>
        <v>I12073</v>
      </c>
    </row>
    <row r="13330" spans="1:6" x14ac:dyDescent="0.2">
      <c r="A13330" s="29" t="s">
        <v>30186</v>
      </c>
      <c r="B13330" s="30" t="s">
        <v>30187</v>
      </c>
      <c r="C13330" s="29" t="s">
        <v>26</v>
      </c>
      <c r="D13330" s="31">
        <v>15692.15</v>
      </c>
      <c r="F13330" s="3" t="str">
        <f t="shared" si="208"/>
        <v>I12074</v>
      </c>
    </row>
    <row r="13331" spans="1:6" x14ac:dyDescent="0.2">
      <c r="A13331" s="29" t="s">
        <v>30188</v>
      </c>
      <c r="B13331" s="30" t="s">
        <v>30189</v>
      </c>
      <c r="C13331" s="29" t="s">
        <v>26</v>
      </c>
      <c r="D13331" s="31">
        <v>15980.24</v>
      </c>
      <c r="F13331" s="3" t="str">
        <f t="shared" si="208"/>
        <v>I12075</v>
      </c>
    </row>
    <row r="13332" spans="1:6" x14ac:dyDescent="0.2">
      <c r="A13332" s="29" t="s">
        <v>30190</v>
      </c>
      <c r="B13332" s="30" t="s">
        <v>30191</v>
      </c>
      <c r="C13332" s="29" t="s">
        <v>26</v>
      </c>
      <c r="D13332" s="31">
        <v>16154.9</v>
      </c>
      <c r="F13332" s="3" t="str">
        <f t="shared" si="208"/>
        <v>I12076</v>
      </c>
    </row>
    <row r="13333" spans="1:6" x14ac:dyDescent="0.2">
      <c r="A13333" s="29" t="s">
        <v>30192</v>
      </c>
      <c r="B13333" s="30" t="s">
        <v>30193</v>
      </c>
      <c r="C13333" s="29" t="s">
        <v>26</v>
      </c>
      <c r="D13333" s="31">
        <v>10255.49</v>
      </c>
      <c r="F13333" s="3" t="str">
        <f t="shared" si="208"/>
        <v>I12077</v>
      </c>
    </row>
    <row r="13334" spans="1:6" x14ac:dyDescent="0.2">
      <c r="A13334" s="29" t="s">
        <v>30194</v>
      </c>
      <c r="B13334" s="30" t="s">
        <v>30195</v>
      </c>
      <c r="C13334" s="29" t="s">
        <v>26</v>
      </c>
      <c r="D13334" s="31">
        <v>11168.35</v>
      </c>
      <c r="F13334" s="3" t="str">
        <f t="shared" si="208"/>
        <v>I12078</v>
      </c>
    </row>
    <row r="13335" spans="1:6" x14ac:dyDescent="0.2">
      <c r="A13335" s="29" t="s">
        <v>30196</v>
      </c>
      <c r="B13335" s="30" t="s">
        <v>30197</v>
      </c>
      <c r="C13335" s="29" t="s">
        <v>26</v>
      </c>
      <c r="D13335" s="31">
        <v>12081.16</v>
      </c>
      <c r="F13335" s="3" t="str">
        <f t="shared" si="208"/>
        <v>I12079</v>
      </c>
    </row>
    <row r="13336" spans="1:6" x14ac:dyDescent="0.2">
      <c r="A13336" s="29" t="s">
        <v>30198</v>
      </c>
      <c r="B13336" s="30" t="s">
        <v>30199</v>
      </c>
      <c r="C13336" s="29" t="s">
        <v>26</v>
      </c>
      <c r="D13336" s="31">
        <v>12993.91</v>
      </c>
      <c r="F13336" s="3" t="str">
        <f t="shared" si="208"/>
        <v>I12080</v>
      </c>
    </row>
    <row r="13337" spans="1:6" x14ac:dyDescent="0.2">
      <c r="A13337" s="29" t="s">
        <v>30200</v>
      </c>
      <c r="B13337" s="30" t="s">
        <v>30201</v>
      </c>
      <c r="C13337" s="29" t="s">
        <v>26</v>
      </c>
      <c r="D13337" s="31">
        <v>13906.56</v>
      </c>
      <c r="F13337" s="3" t="str">
        <f t="shared" si="208"/>
        <v>I12081</v>
      </c>
    </row>
    <row r="13338" spans="1:6" x14ac:dyDescent="0.2">
      <c r="A13338" s="29" t="s">
        <v>30202</v>
      </c>
      <c r="B13338" s="30" t="s">
        <v>30203</v>
      </c>
      <c r="C13338" s="29" t="s">
        <v>26</v>
      </c>
      <c r="D13338" s="31">
        <v>14819.34</v>
      </c>
      <c r="F13338" s="3" t="str">
        <f t="shared" si="208"/>
        <v>I12082</v>
      </c>
    </row>
    <row r="13339" spans="1:6" x14ac:dyDescent="0.2">
      <c r="A13339" s="29" t="s">
        <v>30204</v>
      </c>
      <c r="B13339" s="30" t="s">
        <v>30205</v>
      </c>
      <c r="C13339" s="29" t="s">
        <v>26</v>
      </c>
      <c r="D13339" s="31">
        <v>15732.05</v>
      </c>
      <c r="F13339" s="3" t="str">
        <f t="shared" si="208"/>
        <v>I12083</v>
      </c>
    </row>
    <row r="13340" spans="1:6" x14ac:dyDescent="0.2">
      <c r="A13340" s="29" t="s">
        <v>30206</v>
      </c>
      <c r="B13340" s="30" t="s">
        <v>30207</v>
      </c>
      <c r="C13340" s="29" t="s">
        <v>26</v>
      </c>
      <c r="D13340" s="31">
        <v>16644.830000000002</v>
      </c>
      <c r="F13340" s="3" t="str">
        <f t="shared" si="208"/>
        <v>I12084</v>
      </c>
    </row>
    <row r="13341" spans="1:6" x14ac:dyDescent="0.2">
      <c r="A13341" s="29" t="s">
        <v>30208</v>
      </c>
      <c r="B13341" s="30" t="s">
        <v>30209</v>
      </c>
      <c r="C13341" s="29" t="s">
        <v>26</v>
      </c>
      <c r="D13341" s="31">
        <v>18192.580000000002</v>
      </c>
      <c r="F13341" s="3" t="str">
        <f t="shared" si="208"/>
        <v>I12085</v>
      </c>
    </row>
    <row r="13342" spans="1:6" x14ac:dyDescent="0.2">
      <c r="A13342" s="29" t="s">
        <v>30210</v>
      </c>
      <c r="B13342" s="30" t="s">
        <v>30211</v>
      </c>
      <c r="C13342" s="29" t="s">
        <v>26</v>
      </c>
      <c r="D13342" s="31">
        <v>18480.650000000001</v>
      </c>
      <c r="F13342" s="3" t="str">
        <f t="shared" si="208"/>
        <v>I12086</v>
      </c>
    </row>
    <row r="13343" spans="1:6" x14ac:dyDescent="0.2">
      <c r="A13343" s="29" t="s">
        <v>30212</v>
      </c>
      <c r="B13343" s="30" t="s">
        <v>30213</v>
      </c>
      <c r="C13343" s="29" t="s">
        <v>26</v>
      </c>
      <c r="D13343" s="31">
        <v>18650.71</v>
      </c>
      <c r="F13343" s="3" t="str">
        <f t="shared" si="208"/>
        <v>I12087</v>
      </c>
    </row>
    <row r="13344" spans="1:6" x14ac:dyDescent="0.2">
      <c r="A13344" s="29" t="s">
        <v>30214</v>
      </c>
      <c r="B13344" s="30" t="s">
        <v>30215</v>
      </c>
      <c r="C13344" s="29" t="s">
        <v>26</v>
      </c>
      <c r="D13344" s="31">
        <v>8209.33</v>
      </c>
      <c r="F13344" s="3" t="str">
        <f t="shared" si="208"/>
        <v>I4557</v>
      </c>
    </row>
    <row r="13345" spans="1:6" x14ac:dyDescent="0.2">
      <c r="A13345" s="29" t="s">
        <v>30216</v>
      </c>
      <c r="B13345" s="30" t="s">
        <v>30217</v>
      </c>
      <c r="C13345" s="29" t="s">
        <v>26</v>
      </c>
      <c r="D13345" s="31">
        <v>9402.99</v>
      </c>
      <c r="F13345" s="3" t="str">
        <f t="shared" si="208"/>
        <v>I4558</v>
      </c>
    </row>
    <row r="13346" spans="1:6" x14ac:dyDescent="0.2">
      <c r="A13346" s="29" t="s">
        <v>30218</v>
      </c>
      <c r="B13346" s="30" t="s">
        <v>30219</v>
      </c>
      <c r="C13346" s="29" t="s">
        <v>26</v>
      </c>
      <c r="D13346" s="31">
        <v>10601.13</v>
      </c>
      <c r="F13346" s="3" t="str">
        <f t="shared" si="208"/>
        <v>I4559</v>
      </c>
    </row>
    <row r="13347" spans="1:6" x14ac:dyDescent="0.2">
      <c r="A13347" s="29" t="s">
        <v>30220</v>
      </c>
      <c r="B13347" s="30" t="s">
        <v>30221</v>
      </c>
      <c r="C13347" s="29" t="s">
        <v>26</v>
      </c>
      <c r="D13347" s="31">
        <v>7458.3</v>
      </c>
      <c r="F13347" s="3" t="str">
        <f t="shared" si="208"/>
        <v>I3978</v>
      </c>
    </row>
    <row r="13348" spans="1:6" x14ac:dyDescent="0.2">
      <c r="A13348" s="29" t="s">
        <v>30222</v>
      </c>
      <c r="B13348" s="30" t="s">
        <v>30223</v>
      </c>
      <c r="C13348" s="29" t="s">
        <v>26</v>
      </c>
      <c r="D13348" s="31">
        <v>11794.65</v>
      </c>
      <c r="F13348" s="3" t="str">
        <f t="shared" si="208"/>
        <v>I4560</v>
      </c>
    </row>
    <row r="13349" spans="1:6" x14ac:dyDescent="0.2">
      <c r="A13349" s="29" t="s">
        <v>30224</v>
      </c>
      <c r="B13349" s="30" t="s">
        <v>30225</v>
      </c>
      <c r="C13349" s="29" t="s">
        <v>26</v>
      </c>
      <c r="D13349" s="31">
        <v>12987.64</v>
      </c>
      <c r="F13349" s="3" t="str">
        <f t="shared" si="208"/>
        <v>I4561</v>
      </c>
    </row>
    <row r="13350" spans="1:6" x14ac:dyDescent="0.2">
      <c r="A13350" s="29" t="s">
        <v>30226</v>
      </c>
      <c r="B13350" s="30" t="s">
        <v>30227</v>
      </c>
      <c r="C13350" s="29" t="s">
        <v>26</v>
      </c>
      <c r="D13350" s="31">
        <v>14181.72</v>
      </c>
      <c r="F13350" s="3" t="str">
        <f t="shared" si="208"/>
        <v>I4562</v>
      </c>
    </row>
    <row r="13351" spans="1:6" x14ac:dyDescent="0.2">
      <c r="A13351" s="29" t="s">
        <v>30228</v>
      </c>
      <c r="B13351" s="30" t="s">
        <v>30229</v>
      </c>
      <c r="C13351" s="29" t="s">
        <v>26</v>
      </c>
      <c r="D13351" s="31">
        <v>15379.88</v>
      </c>
      <c r="F13351" s="3" t="str">
        <f t="shared" si="208"/>
        <v>I4563</v>
      </c>
    </row>
    <row r="13352" spans="1:6" x14ac:dyDescent="0.2">
      <c r="A13352" s="29" t="s">
        <v>30230</v>
      </c>
      <c r="B13352" s="30" t="s">
        <v>30231</v>
      </c>
      <c r="C13352" s="29" t="s">
        <v>26</v>
      </c>
      <c r="D13352" s="31">
        <v>16573.54</v>
      </c>
      <c r="F13352" s="3" t="str">
        <f t="shared" si="208"/>
        <v>I4564</v>
      </c>
    </row>
    <row r="13353" spans="1:6" x14ac:dyDescent="0.2">
      <c r="A13353" s="29" t="s">
        <v>30232</v>
      </c>
      <c r="B13353" s="30" t="s">
        <v>30233</v>
      </c>
      <c r="C13353" s="29" t="s">
        <v>26</v>
      </c>
      <c r="D13353" s="31">
        <v>16858.150000000001</v>
      </c>
      <c r="F13353" s="3" t="str">
        <f t="shared" si="208"/>
        <v>I3979</v>
      </c>
    </row>
    <row r="13354" spans="1:6" x14ac:dyDescent="0.2">
      <c r="A13354" s="29" t="s">
        <v>30234</v>
      </c>
      <c r="B13354" s="30" t="s">
        <v>30235</v>
      </c>
      <c r="C13354" s="29" t="s">
        <v>26</v>
      </c>
      <c r="D13354" s="31">
        <v>18598.5</v>
      </c>
      <c r="F13354" s="3" t="str">
        <f t="shared" si="208"/>
        <v>I4565</v>
      </c>
    </row>
    <row r="13355" spans="1:6" x14ac:dyDescent="0.2">
      <c r="A13355" s="29" t="s">
        <v>30236</v>
      </c>
      <c r="B13355" s="30" t="s">
        <v>30237</v>
      </c>
      <c r="C13355" s="29" t="s">
        <v>26</v>
      </c>
      <c r="D13355" s="31">
        <v>18972.71</v>
      </c>
      <c r="F13355" s="3" t="str">
        <f t="shared" si="208"/>
        <v>I4566</v>
      </c>
    </row>
    <row r="13356" spans="1:6" x14ac:dyDescent="0.2">
      <c r="A13356" s="29" t="s">
        <v>30238</v>
      </c>
      <c r="B13356" s="30" t="s">
        <v>30239</v>
      </c>
      <c r="C13356" s="29" t="s">
        <v>26</v>
      </c>
      <c r="D13356" s="31">
        <v>19192.66</v>
      </c>
      <c r="F13356" s="3" t="str">
        <f t="shared" si="208"/>
        <v>I4567</v>
      </c>
    </row>
    <row r="13357" spans="1:6" x14ac:dyDescent="0.2">
      <c r="A13357" s="29" t="s">
        <v>30240</v>
      </c>
      <c r="B13357" s="30" t="s">
        <v>30241</v>
      </c>
      <c r="C13357" s="29" t="s">
        <v>26</v>
      </c>
      <c r="D13357" s="31">
        <v>11026.26</v>
      </c>
      <c r="F13357" s="3" t="str">
        <f t="shared" si="208"/>
        <v>I12088</v>
      </c>
    </row>
    <row r="13358" spans="1:6" x14ac:dyDescent="0.2">
      <c r="A13358" s="29" t="s">
        <v>30242</v>
      </c>
      <c r="B13358" s="30" t="s">
        <v>30243</v>
      </c>
      <c r="C13358" s="29" t="s">
        <v>26</v>
      </c>
      <c r="D13358" s="31">
        <v>12380.46</v>
      </c>
      <c r="F13358" s="3" t="str">
        <f t="shared" si="208"/>
        <v>I12089</v>
      </c>
    </row>
    <row r="13359" spans="1:6" x14ac:dyDescent="0.2">
      <c r="A13359" s="29" t="s">
        <v>30244</v>
      </c>
      <c r="B13359" s="30" t="s">
        <v>30245</v>
      </c>
      <c r="C13359" s="29" t="s">
        <v>26</v>
      </c>
      <c r="D13359" s="31">
        <v>13574</v>
      </c>
      <c r="F13359" s="3" t="str">
        <f t="shared" si="208"/>
        <v>I12090</v>
      </c>
    </row>
    <row r="13360" spans="1:6" x14ac:dyDescent="0.2">
      <c r="A13360" s="29" t="s">
        <v>30246</v>
      </c>
      <c r="B13360" s="30" t="s">
        <v>30247</v>
      </c>
      <c r="C13360" s="29" t="s">
        <v>26</v>
      </c>
      <c r="D13360" s="31">
        <v>14767.54</v>
      </c>
      <c r="F13360" s="3" t="str">
        <f t="shared" si="208"/>
        <v>I12091</v>
      </c>
    </row>
    <row r="13361" spans="1:6" x14ac:dyDescent="0.2">
      <c r="A13361" s="29" t="s">
        <v>30248</v>
      </c>
      <c r="B13361" s="30" t="s">
        <v>30249</v>
      </c>
      <c r="C13361" s="29" t="s">
        <v>26</v>
      </c>
      <c r="D13361" s="31">
        <v>15965.59</v>
      </c>
      <c r="F13361" s="3" t="str">
        <f t="shared" si="208"/>
        <v>I12092</v>
      </c>
    </row>
    <row r="13362" spans="1:6" x14ac:dyDescent="0.2">
      <c r="A13362" s="29" t="s">
        <v>30250</v>
      </c>
      <c r="B13362" s="30" t="s">
        <v>30251</v>
      </c>
      <c r="C13362" s="29" t="s">
        <v>26</v>
      </c>
      <c r="D13362" s="31">
        <v>17159.189999999999</v>
      </c>
      <c r="F13362" s="3" t="str">
        <f t="shared" si="208"/>
        <v>I12093</v>
      </c>
    </row>
    <row r="13363" spans="1:6" x14ac:dyDescent="0.2">
      <c r="A13363" s="29" t="s">
        <v>30252</v>
      </c>
      <c r="B13363" s="30" t="s">
        <v>30253</v>
      </c>
      <c r="C13363" s="29" t="s">
        <v>26</v>
      </c>
      <c r="D13363" s="31">
        <v>18352.78</v>
      </c>
      <c r="F13363" s="3" t="str">
        <f t="shared" si="208"/>
        <v>I12094</v>
      </c>
    </row>
    <row r="13364" spans="1:6" x14ac:dyDescent="0.2">
      <c r="A13364" s="29" t="s">
        <v>30254</v>
      </c>
      <c r="B13364" s="30" t="s">
        <v>30255</v>
      </c>
      <c r="C13364" s="29" t="s">
        <v>26</v>
      </c>
      <c r="D13364" s="31">
        <v>19546.400000000001</v>
      </c>
      <c r="F13364" s="3" t="str">
        <f t="shared" si="208"/>
        <v>I12095</v>
      </c>
    </row>
    <row r="13365" spans="1:6" x14ac:dyDescent="0.2">
      <c r="A13365" s="29" t="s">
        <v>30256</v>
      </c>
      <c r="B13365" s="30" t="s">
        <v>30257</v>
      </c>
      <c r="C13365" s="29" t="s">
        <v>26</v>
      </c>
      <c r="D13365" s="31">
        <v>21575.99</v>
      </c>
      <c r="F13365" s="3" t="str">
        <f t="shared" si="208"/>
        <v>I12096</v>
      </c>
    </row>
    <row r="13366" spans="1:6" x14ac:dyDescent="0.2">
      <c r="A13366" s="29" t="s">
        <v>30258</v>
      </c>
      <c r="B13366" s="30" t="s">
        <v>30259</v>
      </c>
      <c r="C13366" s="29" t="s">
        <v>26</v>
      </c>
      <c r="D13366" s="31">
        <v>21945.61</v>
      </c>
      <c r="F13366" s="3" t="str">
        <f t="shared" si="208"/>
        <v>I12097</v>
      </c>
    </row>
    <row r="13367" spans="1:6" x14ac:dyDescent="0.2">
      <c r="A13367" s="29" t="s">
        <v>30260</v>
      </c>
      <c r="B13367" s="30" t="s">
        <v>30261</v>
      </c>
      <c r="C13367" s="29" t="s">
        <v>26</v>
      </c>
      <c r="D13367" s="31">
        <v>22165.52</v>
      </c>
      <c r="F13367" s="3" t="str">
        <f t="shared" si="208"/>
        <v>I12098</v>
      </c>
    </row>
    <row r="13368" spans="1:6" x14ac:dyDescent="0.2">
      <c r="A13368" s="29" t="s">
        <v>30262</v>
      </c>
      <c r="B13368" s="30" t="s">
        <v>30263</v>
      </c>
      <c r="C13368" s="29" t="s">
        <v>26</v>
      </c>
      <c r="D13368" s="31">
        <v>11811.47</v>
      </c>
      <c r="F13368" s="3" t="str">
        <f t="shared" si="208"/>
        <v>I12099</v>
      </c>
    </row>
    <row r="13369" spans="1:6" x14ac:dyDescent="0.2">
      <c r="A13369" s="29" t="s">
        <v>30264</v>
      </c>
      <c r="B13369" s="30" t="s">
        <v>30265</v>
      </c>
      <c r="C13369" s="29" t="s">
        <v>26</v>
      </c>
      <c r="D13369" s="31">
        <v>13005.14</v>
      </c>
      <c r="F13369" s="3" t="str">
        <f t="shared" si="208"/>
        <v>I12100</v>
      </c>
    </row>
    <row r="13370" spans="1:6" x14ac:dyDescent="0.2">
      <c r="A13370" s="29" t="s">
        <v>30266</v>
      </c>
      <c r="B13370" s="30" t="s">
        <v>30267</v>
      </c>
      <c r="C13370" s="29" t="s">
        <v>26</v>
      </c>
      <c r="D13370" s="31">
        <v>14198.67</v>
      </c>
      <c r="F13370" s="3" t="str">
        <f t="shared" si="208"/>
        <v>I12101</v>
      </c>
    </row>
    <row r="13371" spans="1:6" x14ac:dyDescent="0.2">
      <c r="A13371" s="29" t="s">
        <v>30268</v>
      </c>
      <c r="B13371" s="30" t="s">
        <v>30269</v>
      </c>
      <c r="C13371" s="29" t="s">
        <v>26</v>
      </c>
      <c r="D13371" s="31">
        <v>15396.81</v>
      </c>
      <c r="F13371" s="3" t="str">
        <f t="shared" si="208"/>
        <v>I12102</v>
      </c>
    </row>
    <row r="13372" spans="1:6" x14ac:dyDescent="0.2">
      <c r="A13372" s="29" t="s">
        <v>30270</v>
      </c>
      <c r="B13372" s="30" t="s">
        <v>30271</v>
      </c>
      <c r="C13372" s="29" t="s">
        <v>26</v>
      </c>
      <c r="D13372" s="31">
        <v>16590.259999999998</v>
      </c>
      <c r="F13372" s="3" t="str">
        <f t="shared" si="208"/>
        <v>I12103</v>
      </c>
    </row>
    <row r="13373" spans="1:6" x14ac:dyDescent="0.2">
      <c r="A13373" s="29" t="s">
        <v>30272</v>
      </c>
      <c r="B13373" s="30" t="s">
        <v>30273</v>
      </c>
      <c r="C13373" s="29" t="s">
        <v>26</v>
      </c>
      <c r="D13373" s="31">
        <v>17783.88</v>
      </c>
      <c r="F13373" s="3" t="str">
        <f t="shared" si="208"/>
        <v>I12104</v>
      </c>
    </row>
    <row r="13374" spans="1:6" x14ac:dyDescent="0.2">
      <c r="A13374" s="29" t="s">
        <v>30274</v>
      </c>
      <c r="B13374" s="30" t="s">
        <v>30275</v>
      </c>
      <c r="C13374" s="29" t="s">
        <v>26</v>
      </c>
      <c r="D13374" s="31">
        <v>18982.05</v>
      </c>
      <c r="F13374" s="3" t="str">
        <f t="shared" si="208"/>
        <v>I12105</v>
      </c>
    </row>
    <row r="13375" spans="1:6" x14ac:dyDescent="0.2">
      <c r="A13375" s="29" t="s">
        <v>30276</v>
      </c>
      <c r="B13375" s="30" t="s">
        <v>30277</v>
      </c>
      <c r="C13375" s="29" t="s">
        <v>26</v>
      </c>
      <c r="D13375" s="31">
        <v>20175.71</v>
      </c>
      <c r="F13375" s="3" t="str">
        <f t="shared" si="208"/>
        <v>I12106</v>
      </c>
    </row>
    <row r="13376" spans="1:6" x14ac:dyDescent="0.2">
      <c r="A13376" s="29" t="s">
        <v>30278</v>
      </c>
      <c r="B13376" s="30" t="s">
        <v>30279</v>
      </c>
      <c r="C13376" s="29" t="s">
        <v>26</v>
      </c>
      <c r="D13376" s="31">
        <v>22200.66</v>
      </c>
      <c r="F13376" s="3" t="str">
        <f t="shared" si="208"/>
        <v>I12107</v>
      </c>
    </row>
    <row r="13377" spans="1:6" x14ac:dyDescent="0.2">
      <c r="A13377" s="29" t="s">
        <v>30280</v>
      </c>
      <c r="B13377" s="30" t="s">
        <v>30281</v>
      </c>
      <c r="C13377" s="29" t="s">
        <v>26</v>
      </c>
      <c r="D13377" s="31">
        <v>22570.29</v>
      </c>
      <c r="F13377" s="3" t="str">
        <f t="shared" si="208"/>
        <v>I12108</v>
      </c>
    </row>
    <row r="13378" spans="1:6" x14ac:dyDescent="0.2">
      <c r="A13378" s="29" t="s">
        <v>30282</v>
      </c>
      <c r="B13378" s="30" t="s">
        <v>30283</v>
      </c>
      <c r="C13378" s="29" t="s">
        <v>26</v>
      </c>
      <c r="D13378" s="31">
        <v>22794.36</v>
      </c>
      <c r="F13378" s="3" t="str">
        <f t="shared" ref="F13378:F13441" si="209">A13378</f>
        <v>I12109</v>
      </c>
    </row>
    <row r="13379" spans="1:6" x14ac:dyDescent="0.2">
      <c r="A13379" s="29" t="s">
        <v>30284</v>
      </c>
      <c r="B13379" s="30" t="s">
        <v>30285</v>
      </c>
      <c r="C13379" s="29" t="s">
        <v>26</v>
      </c>
      <c r="D13379" s="31">
        <v>11101.04</v>
      </c>
      <c r="F13379" s="3" t="str">
        <f t="shared" si="209"/>
        <v>I3980</v>
      </c>
    </row>
    <row r="13380" spans="1:6" x14ac:dyDescent="0.2">
      <c r="A13380" s="29" t="s">
        <v>30286</v>
      </c>
      <c r="B13380" s="30" t="s">
        <v>30287</v>
      </c>
      <c r="C13380" s="29" t="s">
        <v>26</v>
      </c>
      <c r="D13380" s="31">
        <v>20824.099999999999</v>
      </c>
      <c r="F13380" s="3" t="str">
        <f t="shared" si="209"/>
        <v>I3981</v>
      </c>
    </row>
    <row r="13381" spans="1:6" x14ac:dyDescent="0.2">
      <c r="A13381" s="29" t="s">
        <v>30288</v>
      </c>
      <c r="B13381" s="30" t="s">
        <v>30289</v>
      </c>
      <c r="C13381" s="29" t="s">
        <v>26</v>
      </c>
      <c r="D13381" s="31">
        <v>18592.34</v>
      </c>
      <c r="F13381" s="3" t="str">
        <f t="shared" si="209"/>
        <v>I4568</v>
      </c>
    </row>
    <row r="13382" spans="1:6" x14ac:dyDescent="0.2">
      <c r="A13382" s="29" t="s">
        <v>30290</v>
      </c>
      <c r="B13382" s="30" t="s">
        <v>30291</v>
      </c>
      <c r="C13382" s="29" t="s">
        <v>26</v>
      </c>
      <c r="D13382" s="31">
        <v>20747.13</v>
      </c>
      <c r="F13382" s="3" t="str">
        <f t="shared" si="209"/>
        <v>I4569</v>
      </c>
    </row>
    <row r="13383" spans="1:6" x14ac:dyDescent="0.2">
      <c r="A13383" s="29" t="s">
        <v>30292</v>
      </c>
      <c r="B13383" s="30" t="s">
        <v>30293</v>
      </c>
      <c r="C13383" s="29" t="s">
        <v>26</v>
      </c>
      <c r="D13383" s="31">
        <v>22791.86</v>
      </c>
      <c r="F13383" s="3" t="str">
        <f t="shared" si="209"/>
        <v>I4570</v>
      </c>
    </row>
    <row r="13384" spans="1:6" x14ac:dyDescent="0.2">
      <c r="A13384" s="29" t="s">
        <v>30294</v>
      </c>
      <c r="B13384" s="30" t="s">
        <v>30295</v>
      </c>
      <c r="C13384" s="29" t="s">
        <v>26</v>
      </c>
      <c r="D13384" s="31">
        <v>24951.27</v>
      </c>
      <c r="F13384" s="3" t="str">
        <f t="shared" si="209"/>
        <v>I4571</v>
      </c>
    </row>
    <row r="13385" spans="1:6" x14ac:dyDescent="0.2">
      <c r="A13385" s="29" t="s">
        <v>30296</v>
      </c>
      <c r="B13385" s="30" t="s">
        <v>30297</v>
      </c>
      <c r="C13385" s="29" t="s">
        <v>26</v>
      </c>
      <c r="D13385" s="31">
        <v>27106.26</v>
      </c>
      <c r="F13385" s="3" t="str">
        <f t="shared" si="209"/>
        <v>I4572</v>
      </c>
    </row>
    <row r="13386" spans="1:6" x14ac:dyDescent="0.2">
      <c r="A13386" s="29" t="s">
        <v>30298</v>
      </c>
      <c r="B13386" s="30" t="s">
        <v>30299</v>
      </c>
      <c r="C13386" s="29" t="s">
        <v>26</v>
      </c>
      <c r="D13386" s="31">
        <v>29265.64</v>
      </c>
      <c r="F13386" s="3" t="str">
        <f t="shared" si="209"/>
        <v>I4573</v>
      </c>
    </row>
    <row r="13387" spans="1:6" x14ac:dyDescent="0.2">
      <c r="A13387" s="29" t="s">
        <v>30300</v>
      </c>
      <c r="B13387" s="30" t="s">
        <v>30301</v>
      </c>
      <c r="C13387" s="29" t="s">
        <v>26</v>
      </c>
      <c r="D13387" s="31">
        <v>31530.55</v>
      </c>
      <c r="F13387" s="3" t="str">
        <f t="shared" si="209"/>
        <v>I4574</v>
      </c>
    </row>
    <row r="13388" spans="1:6" x14ac:dyDescent="0.2">
      <c r="A13388" s="29" t="s">
        <v>30302</v>
      </c>
      <c r="B13388" s="30" t="s">
        <v>30303</v>
      </c>
      <c r="C13388" s="29" t="s">
        <v>26</v>
      </c>
      <c r="D13388" s="31">
        <v>33575.22</v>
      </c>
      <c r="F13388" s="3" t="str">
        <f t="shared" si="209"/>
        <v>I4575</v>
      </c>
    </row>
    <row r="13389" spans="1:6" x14ac:dyDescent="0.2">
      <c r="A13389" s="29" t="s">
        <v>30304</v>
      </c>
      <c r="B13389" s="30" t="s">
        <v>30305</v>
      </c>
      <c r="C13389" s="29" t="s">
        <v>26</v>
      </c>
      <c r="D13389" s="31">
        <v>35734.720000000001</v>
      </c>
      <c r="F13389" s="3" t="str">
        <f t="shared" si="209"/>
        <v>I4576</v>
      </c>
    </row>
    <row r="13390" spans="1:6" x14ac:dyDescent="0.2">
      <c r="A13390" s="29" t="s">
        <v>30306</v>
      </c>
      <c r="B13390" s="30" t="s">
        <v>30307</v>
      </c>
      <c r="C13390" s="29" t="s">
        <v>26</v>
      </c>
      <c r="D13390" s="31">
        <v>37889.589999999997</v>
      </c>
      <c r="F13390" s="3" t="str">
        <f t="shared" si="209"/>
        <v>I4577</v>
      </c>
    </row>
    <row r="13391" spans="1:6" x14ac:dyDescent="0.2">
      <c r="A13391" s="29" t="s">
        <v>30308</v>
      </c>
      <c r="B13391" s="30" t="s">
        <v>30309</v>
      </c>
      <c r="C13391" s="29" t="s">
        <v>26</v>
      </c>
      <c r="D13391" s="31">
        <v>41353.68</v>
      </c>
      <c r="F13391" s="3" t="str">
        <f t="shared" si="209"/>
        <v>I4578</v>
      </c>
    </row>
    <row r="13392" spans="1:6" x14ac:dyDescent="0.2">
      <c r="A13392" s="29" t="s">
        <v>30310</v>
      </c>
      <c r="B13392" s="30" t="s">
        <v>30311</v>
      </c>
      <c r="C13392" s="29" t="s">
        <v>26</v>
      </c>
      <c r="D13392" s="31">
        <v>41961.83</v>
      </c>
      <c r="F13392" s="3" t="str">
        <f t="shared" si="209"/>
        <v>I4579</v>
      </c>
    </row>
    <row r="13393" spans="1:6" x14ac:dyDescent="0.2">
      <c r="A13393" s="29" t="s">
        <v>30312</v>
      </c>
      <c r="B13393" s="30" t="s">
        <v>30313</v>
      </c>
      <c r="C13393" s="29" t="s">
        <v>26</v>
      </c>
      <c r="D13393" s="31">
        <v>42324.04</v>
      </c>
      <c r="F13393" s="3" t="str">
        <f t="shared" si="209"/>
        <v>I4580</v>
      </c>
    </row>
    <row r="13394" spans="1:6" x14ac:dyDescent="0.2">
      <c r="A13394" s="29" t="s">
        <v>30314</v>
      </c>
      <c r="B13394" s="30" t="s">
        <v>30315</v>
      </c>
      <c r="C13394" s="29" t="s">
        <v>26</v>
      </c>
      <c r="D13394" s="31">
        <v>18717.580000000002</v>
      </c>
      <c r="F13394" s="3" t="str">
        <f t="shared" si="209"/>
        <v>I12110</v>
      </c>
    </row>
    <row r="13395" spans="1:6" x14ac:dyDescent="0.2">
      <c r="A13395" s="29" t="s">
        <v>30316</v>
      </c>
      <c r="B13395" s="30" t="s">
        <v>30317</v>
      </c>
      <c r="C13395" s="29" t="s">
        <v>26</v>
      </c>
      <c r="D13395" s="31">
        <v>20873.810000000001</v>
      </c>
      <c r="F13395" s="3" t="str">
        <f t="shared" si="209"/>
        <v>I12111</v>
      </c>
    </row>
    <row r="13396" spans="1:6" x14ac:dyDescent="0.2">
      <c r="A13396" s="29" t="s">
        <v>30318</v>
      </c>
      <c r="B13396" s="30" t="s">
        <v>30319</v>
      </c>
      <c r="C13396" s="29" t="s">
        <v>26</v>
      </c>
      <c r="D13396" s="31">
        <v>23030.15</v>
      </c>
      <c r="F13396" s="3" t="str">
        <f t="shared" si="209"/>
        <v>I12112</v>
      </c>
    </row>
    <row r="13397" spans="1:6" x14ac:dyDescent="0.2">
      <c r="A13397" s="29" t="s">
        <v>30320</v>
      </c>
      <c r="B13397" s="30" t="s">
        <v>30321</v>
      </c>
      <c r="C13397" s="29" t="s">
        <v>26</v>
      </c>
      <c r="D13397" s="31">
        <v>25191.01</v>
      </c>
      <c r="F13397" s="3" t="str">
        <f t="shared" si="209"/>
        <v>I12113</v>
      </c>
    </row>
    <row r="13398" spans="1:6" x14ac:dyDescent="0.2">
      <c r="A13398" s="29" t="s">
        <v>30322</v>
      </c>
      <c r="B13398" s="30" t="s">
        <v>30323</v>
      </c>
      <c r="C13398" s="29" t="s">
        <v>26</v>
      </c>
      <c r="D13398" s="31">
        <v>27347.46</v>
      </c>
      <c r="F13398" s="3" t="str">
        <f t="shared" si="209"/>
        <v>I12114</v>
      </c>
    </row>
    <row r="13399" spans="1:6" x14ac:dyDescent="0.2">
      <c r="A13399" s="29" t="s">
        <v>30324</v>
      </c>
      <c r="B13399" s="30" t="s">
        <v>30325</v>
      </c>
      <c r="C13399" s="29" t="s">
        <v>26</v>
      </c>
      <c r="D13399" s="31">
        <v>29508.32</v>
      </c>
      <c r="F13399" s="3" t="str">
        <f t="shared" si="209"/>
        <v>I12115</v>
      </c>
    </row>
    <row r="13400" spans="1:6" x14ac:dyDescent="0.2">
      <c r="A13400" s="29" t="s">
        <v>30326</v>
      </c>
      <c r="B13400" s="30" t="s">
        <v>30327</v>
      </c>
      <c r="C13400" s="29" t="s">
        <v>26</v>
      </c>
      <c r="D13400" s="31">
        <v>31664.61</v>
      </c>
      <c r="F13400" s="3" t="str">
        <f t="shared" si="209"/>
        <v>I12116</v>
      </c>
    </row>
    <row r="13401" spans="1:6" x14ac:dyDescent="0.2">
      <c r="A13401" s="29" t="s">
        <v>30328</v>
      </c>
      <c r="B13401" s="30" t="s">
        <v>30329</v>
      </c>
      <c r="C13401" s="29" t="s">
        <v>26</v>
      </c>
      <c r="D13401" s="31">
        <v>33820.86</v>
      </c>
      <c r="F13401" s="3" t="str">
        <f t="shared" si="209"/>
        <v>I12117</v>
      </c>
    </row>
    <row r="13402" spans="1:6" x14ac:dyDescent="0.2">
      <c r="A13402" s="29" t="s">
        <v>30330</v>
      </c>
      <c r="B13402" s="30" t="s">
        <v>30331</v>
      </c>
      <c r="C13402" s="29" t="s">
        <v>26</v>
      </c>
      <c r="D13402" s="31">
        <v>35981.79</v>
      </c>
      <c r="F13402" s="3" t="str">
        <f t="shared" si="209"/>
        <v>I12118</v>
      </c>
    </row>
    <row r="13403" spans="1:6" x14ac:dyDescent="0.2">
      <c r="A13403" s="29" t="s">
        <v>30332</v>
      </c>
      <c r="B13403" s="30" t="s">
        <v>30333</v>
      </c>
      <c r="C13403" s="29" t="s">
        <v>26</v>
      </c>
      <c r="D13403" s="31">
        <v>38138.129999999997</v>
      </c>
      <c r="F13403" s="3" t="str">
        <f t="shared" si="209"/>
        <v>I12119</v>
      </c>
    </row>
    <row r="13404" spans="1:6" x14ac:dyDescent="0.2">
      <c r="A13404" s="29" t="s">
        <v>30334</v>
      </c>
      <c r="B13404" s="30" t="s">
        <v>30335</v>
      </c>
      <c r="C13404" s="29" t="s">
        <v>26</v>
      </c>
      <c r="D13404" s="31">
        <v>41603.769999999997</v>
      </c>
      <c r="F13404" s="3" t="str">
        <f t="shared" si="209"/>
        <v>I12120</v>
      </c>
    </row>
    <row r="13405" spans="1:6" x14ac:dyDescent="0.2">
      <c r="A13405" s="29" t="s">
        <v>30336</v>
      </c>
      <c r="B13405" s="30" t="s">
        <v>30337</v>
      </c>
      <c r="C13405" s="29" t="s">
        <v>26</v>
      </c>
      <c r="D13405" s="31">
        <v>42213.34</v>
      </c>
      <c r="F13405" s="3" t="str">
        <f t="shared" si="209"/>
        <v>I12121</v>
      </c>
    </row>
    <row r="13406" spans="1:6" x14ac:dyDescent="0.2">
      <c r="A13406" s="29" t="s">
        <v>30338</v>
      </c>
      <c r="B13406" s="30" t="s">
        <v>30339</v>
      </c>
      <c r="C13406" s="29" t="s">
        <v>26</v>
      </c>
      <c r="D13406" s="31">
        <v>42576.480000000003</v>
      </c>
      <c r="F13406" s="3" t="str">
        <f t="shared" si="209"/>
        <v>I12122</v>
      </c>
    </row>
    <row r="13407" spans="1:6" x14ac:dyDescent="0.2">
      <c r="A13407" s="29" t="s">
        <v>30340</v>
      </c>
      <c r="B13407" s="30" t="s">
        <v>30341</v>
      </c>
      <c r="C13407" s="29" t="s">
        <v>26</v>
      </c>
      <c r="D13407" s="31">
        <v>18468.689999999999</v>
      </c>
      <c r="F13407" s="3" t="str">
        <f t="shared" si="209"/>
        <v>I3982</v>
      </c>
    </row>
    <row r="13408" spans="1:6" x14ac:dyDescent="0.2">
      <c r="A13408" s="29" t="s">
        <v>30342</v>
      </c>
      <c r="B13408" s="30" t="s">
        <v>30343</v>
      </c>
      <c r="C13408" s="29" t="s">
        <v>26</v>
      </c>
      <c r="D13408" s="31">
        <v>23480.37</v>
      </c>
      <c r="F13408" s="3" t="str">
        <f t="shared" si="209"/>
        <v>I3983</v>
      </c>
    </row>
    <row r="13409" spans="1:6" x14ac:dyDescent="0.2">
      <c r="A13409" s="29" t="s">
        <v>30344</v>
      </c>
      <c r="B13409" s="30" t="s">
        <v>30345</v>
      </c>
      <c r="C13409" s="29" t="s">
        <v>26</v>
      </c>
      <c r="D13409" s="31">
        <v>23047.17</v>
      </c>
      <c r="F13409" s="3" t="str">
        <f t="shared" si="209"/>
        <v>I4581</v>
      </c>
    </row>
    <row r="13410" spans="1:6" x14ac:dyDescent="0.2">
      <c r="A13410" s="29" t="s">
        <v>30346</v>
      </c>
      <c r="B13410" s="30" t="s">
        <v>30347</v>
      </c>
      <c r="C13410" s="29" t="s">
        <v>26</v>
      </c>
      <c r="D13410" s="31">
        <v>25736.34</v>
      </c>
      <c r="F13410" s="3" t="str">
        <f t="shared" si="209"/>
        <v>I4582</v>
      </c>
    </row>
    <row r="13411" spans="1:6" x14ac:dyDescent="0.2">
      <c r="A13411" s="29" t="s">
        <v>30348</v>
      </c>
      <c r="B13411" s="30" t="s">
        <v>30349</v>
      </c>
      <c r="C13411" s="29" t="s">
        <v>26</v>
      </c>
      <c r="D13411" s="31">
        <v>26799.5</v>
      </c>
      <c r="F13411" s="3" t="str">
        <f t="shared" si="209"/>
        <v>I4583</v>
      </c>
    </row>
    <row r="13412" spans="1:6" x14ac:dyDescent="0.2">
      <c r="A13412" s="29" t="s">
        <v>30350</v>
      </c>
      <c r="B13412" s="30" t="s">
        <v>30351</v>
      </c>
      <c r="C13412" s="29" t="s">
        <v>26</v>
      </c>
      <c r="D13412" s="31">
        <v>30934.01</v>
      </c>
      <c r="F13412" s="3" t="str">
        <f t="shared" si="209"/>
        <v>I4584</v>
      </c>
    </row>
    <row r="13413" spans="1:6" x14ac:dyDescent="0.2">
      <c r="A13413" s="29" t="s">
        <v>30352</v>
      </c>
      <c r="B13413" s="30" t="s">
        <v>30353</v>
      </c>
      <c r="C13413" s="29" t="s">
        <v>26</v>
      </c>
      <c r="D13413" s="31">
        <v>33535.11</v>
      </c>
      <c r="F13413" s="3" t="str">
        <f t="shared" si="209"/>
        <v>I4585</v>
      </c>
    </row>
    <row r="13414" spans="1:6" x14ac:dyDescent="0.2">
      <c r="A13414" s="29" t="s">
        <v>30354</v>
      </c>
      <c r="B13414" s="30" t="s">
        <v>30355</v>
      </c>
      <c r="C13414" s="29" t="s">
        <v>26</v>
      </c>
      <c r="D13414" s="31">
        <v>36136.32</v>
      </c>
      <c r="F13414" s="3" t="str">
        <f t="shared" si="209"/>
        <v>I4586</v>
      </c>
    </row>
    <row r="13415" spans="1:6" x14ac:dyDescent="0.2">
      <c r="A13415" s="29" t="s">
        <v>30356</v>
      </c>
      <c r="B13415" s="30" t="s">
        <v>30357</v>
      </c>
      <c r="C13415" s="29" t="s">
        <v>26</v>
      </c>
      <c r="D13415" s="31">
        <v>38737.410000000003</v>
      </c>
      <c r="F13415" s="3" t="str">
        <f t="shared" si="209"/>
        <v>I4587</v>
      </c>
    </row>
    <row r="13416" spans="1:6" x14ac:dyDescent="0.2">
      <c r="A13416" s="29" t="s">
        <v>30358</v>
      </c>
      <c r="B13416" s="30" t="s">
        <v>30359</v>
      </c>
      <c r="C13416" s="29" t="s">
        <v>26</v>
      </c>
      <c r="D13416" s="31">
        <v>41338.620000000003</v>
      </c>
      <c r="F13416" s="3" t="str">
        <f t="shared" si="209"/>
        <v>I4588</v>
      </c>
    </row>
    <row r="13417" spans="1:6" x14ac:dyDescent="0.2">
      <c r="A13417" s="29" t="s">
        <v>30360</v>
      </c>
      <c r="B13417" s="30" t="s">
        <v>30361</v>
      </c>
      <c r="C13417" s="29" t="s">
        <v>26</v>
      </c>
      <c r="D13417" s="31">
        <v>43939.69</v>
      </c>
      <c r="F13417" s="3" t="str">
        <f t="shared" si="209"/>
        <v>I12123</v>
      </c>
    </row>
    <row r="13418" spans="1:6" x14ac:dyDescent="0.2">
      <c r="A13418" s="29" t="s">
        <v>30362</v>
      </c>
      <c r="B13418" s="30" t="s">
        <v>30363</v>
      </c>
      <c r="C13418" s="29" t="s">
        <v>26</v>
      </c>
      <c r="D13418" s="31">
        <v>45237.98</v>
      </c>
      <c r="F13418" s="3" t="str">
        <f t="shared" si="209"/>
        <v>I4589</v>
      </c>
    </row>
    <row r="13419" spans="1:6" x14ac:dyDescent="0.2">
      <c r="A13419" s="29" t="s">
        <v>30364</v>
      </c>
      <c r="B13419" s="30" t="s">
        <v>30365</v>
      </c>
      <c r="C13419" s="29" t="s">
        <v>26</v>
      </c>
      <c r="D13419" s="31">
        <v>46536.27</v>
      </c>
      <c r="F13419" s="3" t="str">
        <f t="shared" si="209"/>
        <v>I4590</v>
      </c>
    </row>
    <row r="13420" spans="1:6" x14ac:dyDescent="0.2">
      <c r="A13420" s="29" t="s">
        <v>30366</v>
      </c>
      <c r="B13420" s="30" t="s">
        <v>30367</v>
      </c>
      <c r="C13420" s="29" t="s">
        <v>26</v>
      </c>
      <c r="D13420" s="31">
        <v>50709.91</v>
      </c>
      <c r="F13420" s="3" t="str">
        <f t="shared" si="209"/>
        <v>I4591</v>
      </c>
    </row>
    <row r="13421" spans="1:6" x14ac:dyDescent="0.2">
      <c r="A13421" s="29" t="s">
        <v>30368</v>
      </c>
      <c r="B13421" s="30" t="s">
        <v>30369</v>
      </c>
      <c r="C13421" s="29" t="s">
        <v>26</v>
      </c>
      <c r="D13421" s="31">
        <v>50709.91</v>
      </c>
      <c r="F13421" s="3" t="str">
        <f t="shared" si="209"/>
        <v>I4592</v>
      </c>
    </row>
    <row r="13422" spans="1:6" x14ac:dyDescent="0.2">
      <c r="A13422" s="29" t="s">
        <v>30370</v>
      </c>
      <c r="B13422" s="30" t="s">
        <v>30371</v>
      </c>
      <c r="C13422" s="29" t="s">
        <v>26</v>
      </c>
      <c r="D13422" s="31">
        <v>51890.84</v>
      </c>
      <c r="F13422" s="3" t="str">
        <f t="shared" si="209"/>
        <v>I4593</v>
      </c>
    </row>
    <row r="13423" spans="1:6" x14ac:dyDescent="0.2">
      <c r="A13423" s="29" t="s">
        <v>30372</v>
      </c>
      <c r="B13423" s="30" t="s">
        <v>30373</v>
      </c>
      <c r="C13423" s="29" t="s">
        <v>26</v>
      </c>
      <c r="D13423" s="31">
        <v>32226.28</v>
      </c>
      <c r="F13423" s="3" t="str">
        <f t="shared" si="209"/>
        <v>I12124</v>
      </c>
    </row>
    <row r="13424" spans="1:6" x14ac:dyDescent="0.2">
      <c r="A13424" s="29" t="s">
        <v>30374</v>
      </c>
      <c r="B13424" s="30" t="s">
        <v>30375</v>
      </c>
      <c r="C13424" s="29" t="s">
        <v>26</v>
      </c>
      <c r="D13424" s="31">
        <v>38761.75</v>
      </c>
      <c r="F13424" s="3" t="str">
        <f t="shared" si="209"/>
        <v>I12125</v>
      </c>
    </row>
    <row r="13425" spans="1:6" x14ac:dyDescent="0.2">
      <c r="A13425" s="29" t="s">
        <v>30376</v>
      </c>
      <c r="B13425" s="30" t="s">
        <v>30377</v>
      </c>
      <c r="C13425" s="29" t="s">
        <v>26</v>
      </c>
      <c r="D13425" s="31">
        <v>57119.89</v>
      </c>
      <c r="F13425" s="3" t="str">
        <f t="shared" si="209"/>
        <v>I12126</v>
      </c>
    </row>
    <row r="13426" spans="1:6" x14ac:dyDescent="0.2">
      <c r="A13426" s="29" t="s">
        <v>30378</v>
      </c>
      <c r="B13426" s="30" t="s">
        <v>30379</v>
      </c>
      <c r="C13426" s="29" t="s">
        <v>26</v>
      </c>
      <c r="D13426" s="31">
        <v>33584.300000000003</v>
      </c>
      <c r="F13426" s="3" t="str">
        <f t="shared" si="209"/>
        <v>I12127</v>
      </c>
    </row>
    <row r="13427" spans="1:6" x14ac:dyDescent="0.2">
      <c r="A13427" s="29" t="s">
        <v>30380</v>
      </c>
      <c r="B13427" s="30" t="s">
        <v>30381</v>
      </c>
      <c r="C13427" s="29" t="s">
        <v>26</v>
      </c>
      <c r="D13427" s="31">
        <v>39341.730000000003</v>
      </c>
      <c r="F13427" s="3" t="str">
        <f t="shared" si="209"/>
        <v>I12128</v>
      </c>
    </row>
    <row r="13428" spans="1:6" x14ac:dyDescent="0.2">
      <c r="A13428" s="29" t="s">
        <v>30382</v>
      </c>
      <c r="B13428" s="30" t="s">
        <v>30383</v>
      </c>
      <c r="C13428" s="29" t="s">
        <v>26</v>
      </c>
      <c r="D13428" s="31">
        <v>51242.05</v>
      </c>
      <c r="F13428" s="3" t="str">
        <f t="shared" si="209"/>
        <v>I12129</v>
      </c>
    </row>
    <row r="13429" spans="1:6" x14ac:dyDescent="0.2">
      <c r="A13429" s="29" t="s">
        <v>30384</v>
      </c>
      <c r="B13429" s="30" t="s">
        <v>30385</v>
      </c>
      <c r="C13429" s="29" t="s">
        <v>26</v>
      </c>
      <c r="D13429" s="31">
        <v>20558.37</v>
      </c>
      <c r="F13429" s="3" t="str">
        <f t="shared" si="209"/>
        <v>I3984</v>
      </c>
    </row>
    <row r="13430" spans="1:6" x14ac:dyDescent="0.2">
      <c r="A13430" s="29" t="s">
        <v>30386</v>
      </c>
      <c r="B13430" s="30" t="s">
        <v>30387</v>
      </c>
      <c r="C13430" s="29" t="s">
        <v>26</v>
      </c>
      <c r="D13430" s="31">
        <v>31047.14</v>
      </c>
      <c r="F13430" s="3" t="str">
        <f t="shared" si="209"/>
        <v>I3985</v>
      </c>
    </row>
    <row r="13431" spans="1:6" x14ac:dyDescent="0.2">
      <c r="A13431" s="29" t="s">
        <v>30388</v>
      </c>
      <c r="B13431" s="30" t="s">
        <v>30389</v>
      </c>
      <c r="C13431" s="29" t="s">
        <v>26</v>
      </c>
      <c r="D13431" s="31">
        <v>31589.45</v>
      </c>
      <c r="F13431" s="3" t="str">
        <f t="shared" si="209"/>
        <v>I4594</v>
      </c>
    </row>
    <row r="13432" spans="1:6" x14ac:dyDescent="0.2">
      <c r="A13432" s="29" t="s">
        <v>30390</v>
      </c>
      <c r="B13432" s="30" t="s">
        <v>30391</v>
      </c>
      <c r="C13432" s="29" t="s">
        <v>26</v>
      </c>
      <c r="D13432" s="31">
        <v>34672.67</v>
      </c>
      <c r="F13432" s="3" t="str">
        <f t="shared" si="209"/>
        <v>I4595</v>
      </c>
    </row>
    <row r="13433" spans="1:6" x14ac:dyDescent="0.2">
      <c r="A13433" s="29" t="s">
        <v>30392</v>
      </c>
      <c r="B13433" s="30" t="s">
        <v>30393</v>
      </c>
      <c r="C13433" s="29" t="s">
        <v>26</v>
      </c>
      <c r="D13433" s="31">
        <v>37755.870000000003</v>
      </c>
      <c r="F13433" s="3" t="str">
        <f t="shared" si="209"/>
        <v>I4596</v>
      </c>
    </row>
    <row r="13434" spans="1:6" x14ac:dyDescent="0.2">
      <c r="A13434" s="29" t="s">
        <v>30394</v>
      </c>
      <c r="B13434" s="30" t="s">
        <v>30395</v>
      </c>
      <c r="C13434" s="29" t="s">
        <v>26</v>
      </c>
      <c r="D13434" s="31">
        <v>40839.03</v>
      </c>
      <c r="F13434" s="3" t="str">
        <f t="shared" si="209"/>
        <v>I4597</v>
      </c>
    </row>
    <row r="13435" spans="1:6" x14ac:dyDescent="0.2">
      <c r="A13435" s="29" t="s">
        <v>30396</v>
      </c>
      <c r="B13435" s="30" t="s">
        <v>30397</v>
      </c>
      <c r="C13435" s="29" t="s">
        <v>26</v>
      </c>
      <c r="D13435" s="31">
        <v>43922.19</v>
      </c>
      <c r="F13435" s="3" t="str">
        <f t="shared" si="209"/>
        <v>I4598</v>
      </c>
    </row>
    <row r="13436" spans="1:6" x14ac:dyDescent="0.2">
      <c r="A13436" s="29" t="s">
        <v>30398</v>
      </c>
      <c r="B13436" s="30" t="s">
        <v>30399</v>
      </c>
      <c r="C13436" s="29" t="s">
        <v>26</v>
      </c>
      <c r="D13436" s="31">
        <v>47005.42</v>
      </c>
      <c r="F13436" s="3" t="str">
        <f t="shared" si="209"/>
        <v>I4599</v>
      </c>
    </row>
    <row r="13437" spans="1:6" x14ac:dyDescent="0.2">
      <c r="A13437" s="29" t="s">
        <v>30400</v>
      </c>
      <c r="B13437" s="30" t="s">
        <v>30401</v>
      </c>
      <c r="C13437" s="29" t="s">
        <v>26</v>
      </c>
      <c r="D13437" s="31">
        <v>50083.99</v>
      </c>
      <c r="F13437" s="3" t="str">
        <f t="shared" si="209"/>
        <v>I4600</v>
      </c>
    </row>
    <row r="13438" spans="1:6" x14ac:dyDescent="0.2">
      <c r="A13438" s="29" t="s">
        <v>30402</v>
      </c>
      <c r="B13438" s="30" t="s">
        <v>30403</v>
      </c>
      <c r="C13438" s="29" t="s">
        <v>26</v>
      </c>
      <c r="D13438" s="31">
        <v>53167.18</v>
      </c>
      <c r="F13438" s="3" t="str">
        <f t="shared" si="209"/>
        <v>I4601</v>
      </c>
    </row>
    <row r="13439" spans="1:6" x14ac:dyDescent="0.2">
      <c r="A13439" s="29" t="s">
        <v>30404</v>
      </c>
      <c r="B13439" s="30" t="s">
        <v>30405</v>
      </c>
      <c r="C13439" s="29" t="s">
        <v>26</v>
      </c>
      <c r="D13439" s="31">
        <v>56250.400000000001</v>
      </c>
      <c r="F13439" s="3" t="str">
        <f t="shared" si="209"/>
        <v>I4602</v>
      </c>
    </row>
    <row r="13440" spans="1:6" x14ac:dyDescent="0.2">
      <c r="A13440" s="29" t="s">
        <v>30406</v>
      </c>
      <c r="B13440" s="30" t="s">
        <v>30407</v>
      </c>
      <c r="C13440" s="29" t="s">
        <v>26</v>
      </c>
      <c r="D13440" s="31">
        <v>59333.53</v>
      </c>
      <c r="F13440" s="3" t="str">
        <f t="shared" si="209"/>
        <v>I4603</v>
      </c>
    </row>
    <row r="13441" spans="1:6" x14ac:dyDescent="0.2">
      <c r="A13441" s="29" t="s">
        <v>30408</v>
      </c>
      <c r="B13441" s="30" t="s">
        <v>30409</v>
      </c>
      <c r="C13441" s="29" t="s">
        <v>26</v>
      </c>
      <c r="D13441" s="31">
        <v>64276.79</v>
      </c>
      <c r="F13441" s="3" t="str">
        <f t="shared" si="209"/>
        <v>I4604</v>
      </c>
    </row>
    <row r="13442" spans="1:6" x14ac:dyDescent="0.2">
      <c r="A13442" s="29" t="s">
        <v>30410</v>
      </c>
      <c r="B13442" s="30" t="s">
        <v>30411</v>
      </c>
      <c r="C13442" s="29" t="s">
        <v>26</v>
      </c>
      <c r="D13442" s="31">
        <v>65156.25</v>
      </c>
      <c r="F13442" s="3" t="str">
        <f t="shared" ref="F13442:F13505" si="210">A13442</f>
        <v>I4605</v>
      </c>
    </row>
    <row r="13443" spans="1:6" x14ac:dyDescent="0.2">
      <c r="A13443" s="29" t="s">
        <v>30412</v>
      </c>
      <c r="B13443" s="30" t="s">
        <v>30413</v>
      </c>
      <c r="C13443" s="29" t="s">
        <v>26</v>
      </c>
      <c r="D13443" s="31">
        <v>65683.03</v>
      </c>
      <c r="F13443" s="3" t="str">
        <f t="shared" si="210"/>
        <v>I4606</v>
      </c>
    </row>
    <row r="13444" spans="1:6" x14ac:dyDescent="0.2">
      <c r="A13444" s="29" t="s">
        <v>30414</v>
      </c>
      <c r="B13444" s="30" t="s">
        <v>30415</v>
      </c>
      <c r="C13444" s="29" t="s">
        <v>26</v>
      </c>
      <c r="D13444" s="31">
        <v>34935.31</v>
      </c>
      <c r="F13444" s="3" t="str">
        <f t="shared" si="210"/>
        <v>I12130</v>
      </c>
    </row>
    <row r="13445" spans="1:6" x14ac:dyDescent="0.2">
      <c r="A13445" s="29" t="s">
        <v>30416</v>
      </c>
      <c r="B13445" s="30" t="s">
        <v>30417</v>
      </c>
      <c r="C13445" s="29" t="s">
        <v>26</v>
      </c>
      <c r="D13445" s="31">
        <v>43112.7</v>
      </c>
      <c r="F13445" s="3" t="str">
        <f t="shared" si="210"/>
        <v>I12131</v>
      </c>
    </row>
    <row r="13446" spans="1:6" x14ac:dyDescent="0.2">
      <c r="A13446" s="29" t="s">
        <v>30418</v>
      </c>
      <c r="B13446" s="30" t="s">
        <v>30419</v>
      </c>
      <c r="C13446" s="29" t="s">
        <v>26</v>
      </c>
      <c r="D13446" s="31">
        <v>62127.7</v>
      </c>
      <c r="F13446" s="3" t="str">
        <f t="shared" si="210"/>
        <v>I12132</v>
      </c>
    </row>
    <row r="13447" spans="1:6" x14ac:dyDescent="0.2">
      <c r="A13447" s="29" t="s">
        <v>30420</v>
      </c>
      <c r="B13447" s="30" t="s">
        <v>30421</v>
      </c>
      <c r="C13447" s="29" t="s">
        <v>26</v>
      </c>
      <c r="D13447" s="31">
        <v>20572.52</v>
      </c>
      <c r="F13447" s="3" t="str">
        <f t="shared" si="210"/>
        <v>I12133</v>
      </c>
    </row>
    <row r="13448" spans="1:6" x14ac:dyDescent="0.2">
      <c r="A13448" s="29" t="s">
        <v>30422</v>
      </c>
      <c r="B13448" s="30" t="s">
        <v>30423</v>
      </c>
      <c r="C13448" s="29" t="s">
        <v>26</v>
      </c>
      <c r="D13448" s="31">
        <v>45117.09</v>
      </c>
      <c r="F13448" s="3" t="str">
        <f t="shared" si="210"/>
        <v>I12134</v>
      </c>
    </row>
    <row r="13449" spans="1:6" x14ac:dyDescent="0.2">
      <c r="A13449" s="29" t="s">
        <v>30424</v>
      </c>
      <c r="B13449" s="30" t="s">
        <v>30425</v>
      </c>
      <c r="C13449" s="29" t="s">
        <v>26</v>
      </c>
      <c r="D13449" s="31">
        <v>64787.51</v>
      </c>
      <c r="F13449" s="3" t="str">
        <f t="shared" si="210"/>
        <v>I12135</v>
      </c>
    </row>
    <row r="13450" spans="1:6" x14ac:dyDescent="0.2">
      <c r="A13450" s="29" t="s">
        <v>30426</v>
      </c>
      <c r="B13450" s="30" t="s">
        <v>30427</v>
      </c>
      <c r="C13450" s="29" t="s">
        <v>26</v>
      </c>
      <c r="D13450" s="31">
        <v>36466.410000000003</v>
      </c>
      <c r="F13450" s="3" t="str">
        <f t="shared" si="210"/>
        <v>I12243</v>
      </c>
    </row>
    <row r="13451" spans="1:6" x14ac:dyDescent="0.2">
      <c r="A13451" s="29" t="s">
        <v>30428</v>
      </c>
      <c r="B13451" s="30" t="s">
        <v>30429</v>
      </c>
      <c r="C13451" s="29" t="s">
        <v>26</v>
      </c>
      <c r="D13451" s="31">
        <v>40717.61</v>
      </c>
      <c r="F13451" s="3" t="str">
        <f t="shared" si="210"/>
        <v>I12244</v>
      </c>
    </row>
    <row r="13452" spans="1:6" x14ac:dyDescent="0.2">
      <c r="A13452" s="29" t="s">
        <v>30430</v>
      </c>
      <c r="B13452" s="30" t="s">
        <v>30431</v>
      </c>
      <c r="C13452" s="29" t="s">
        <v>26</v>
      </c>
      <c r="D13452" s="31">
        <v>44968.71</v>
      </c>
      <c r="F13452" s="3" t="str">
        <f t="shared" si="210"/>
        <v>I12245</v>
      </c>
    </row>
    <row r="13453" spans="1:6" x14ac:dyDescent="0.2">
      <c r="A13453" s="29" t="s">
        <v>30432</v>
      </c>
      <c r="B13453" s="30" t="s">
        <v>30433</v>
      </c>
      <c r="C13453" s="29" t="s">
        <v>26</v>
      </c>
      <c r="D13453" s="31">
        <v>49219.9</v>
      </c>
      <c r="F13453" s="3" t="str">
        <f t="shared" si="210"/>
        <v>I12246</v>
      </c>
    </row>
    <row r="13454" spans="1:6" x14ac:dyDescent="0.2">
      <c r="A13454" s="29" t="s">
        <v>30434</v>
      </c>
      <c r="B13454" s="30" t="s">
        <v>30435</v>
      </c>
      <c r="C13454" s="29" t="s">
        <v>26</v>
      </c>
      <c r="D13454" s="31">
        <v>53470.85</v>
      </c>
      <c r="F13454" s="3" t="str">
        <f t="shared" si="210"/>
        <v>I12247</v>
      </c>
    </row>
    <row r="13455" spans="1:6" x14ac:dyDescent="0.2">
      <c r="A13455" s="29" t="s">
        <v>30436</v>
      </c>
      <c r="B13455" s="30" t="s">
        <v>30437</v>
      </c>
      <c r="C13455" s="29" t="s">
        <v>26</v>
      </c>
      <c r="D13455" s="31">
        <v>57722.07</v>
      </c>
      <c r="F13455" s="3" t="str">
        <f t="shared" si="210"/>
        <v>I12248</v>
      </c>
    </row>
    <row r="13456" spans="1:6" x14ac:dyDescent="0.2">
      <c r="A13456" s="29" t="s">
        <v>30438</v>
      </c>
      <c r="B13456" s="30" t="s">
        <v>30439</v>
      </c>
      <c r="C13456" s="29" t="s">
        <v>26</v>
      </c>
      <c r="D13456" s="31">
        <v>61973.16</v>
      </c>
      <c r="F13456" s="3" t="str">
        <f t="shared" si="210"/>
        <v>I12249</v>
      </c>
    </row>
    <row r="13457" spans="1:6" x14ac:dyDescent="0.2">
      <c r="A13457" s="29" t="s">
        <v>30440</v>
      </c>
      <c r="B13457" s="30" t="s">
        <v>30441</v>
      </c>
      <c r="C13457" s="29" t="s">
        <v>26</v>
      </c>
      <c r="D13457" s="31">
        <v>66224.25</v>
      </c>
      <c r="F13457" s="3" t="str">
        <f t="shared" si="210"/>
        <v>I12250</v>
      </c>
    </row>
    <row r="13458" spans="1:6" x14ac:dyDescent="0.2">
      <c r="A13458" s="29" t="s">
        <v>30442</v>
      </c>
      <c r="B13458" s="30" t="s">
        <v>30443</v>
      </c>
      <c r="C13458" s="29" t="s">
        <v>26</v>
      </c>
      <c r="D13458" s="31">
        <v>70470.5</v>
      </c>
      <c r="F13458" s="3" t="str">
        <f t="shared" si="210"/>
        <v>I12251</v>
      </c>
    </row>
    <row r="13459" spans="1:6" x14ac:dyDescent="0.2">
      <c r="A13459" s="29" t="s">
        <v>30444</v>
      </c>
      <c r="B13459" s="30" t="s">
        <v>30445</v>
      </c>
      <c r="C13459" s="29" t="s">
        <v>26</v>
      </c>
      <c r="D13459" s="31">
        <v>74721.649999999994</v>
      </c>
      <c r="F13459" s="3" t="str">
        <f t="shared" si="210"/>
        <v>I12252</v>
      </c>
    </row>
    <row r="13460" spans="1:6" x14ac:dyDescent="0.2">
      <c r="A13460" s="29" t="s">
        <v>30446</v>
      </c>
      <c r="B13460" s="30" t="s">
        <v>30447</v>
      </c>
      <c r="C13460" s="29" t="s">
        <v>26</v>
      </c>
      <c r="D13460" s="31">
        <v>83407.09</v>
      </c>
      <c r="F13460" s="3" t="str">
        <f t="shared" si="210"/>
        <v>I12253</v>
      </c>
    </row>
    <row r="13461" spans="1:6" x14ac:dyDescent="0.2">
      <c r="A13461" s="29" t="s">
        <v>30448</v>
      </c>
      <c r="B13461" s="30" t="s">
        <v>30449</v>
      </c>
      <c r="C13461" s="29" t="s">
        <v>26</v>
      </c>
      <c r="D13461" s="31">
        <v>50957.71</v>
      </c>
      <c r="F13461" s="3" t="str">
        <f t="shared" si="210"/>
        <v>I12254</v>
      </c>
    </row>
    <row r="13462" spans="1:6" x14ac:dyDescent="0.2">
      <c r="A13462" s="29" t="s">
        <v>30450</v>
      </c>
      <c r="B13462" s="30" t="s">
        <v>30451</v>
      </c>
      <c r="C13462" s="29" t="s">
        <v>26</v>
      </c>
      <c r="D13462" s="31">
        <v>56587.22</v>
      </c>
      <c r="F13462" s="3" t="str">
        <f t="shared" si="210"/>
        <v>I12255</v>
      </c>
    </row>
    <row r="13463" spans="1:6" x14ac:dyDescent="0.2">
      <c r="A13463" s="29" t="s">
        <v>30452</v>
      </c>
      <c r="B13463" s="30" t="s">
        <v>30453</v>
      </c>
      <c r="C13463" s="29" t="s">
        <v>26</v>
      </c>
      <c r="D13463" s="31">
        <v>62211.68</v>
      </c>
      <c r="F13463" s="3" t="str">
        <f t="shared" si="210"/>
        <v>I12256</v>
      </c>
    </row>
    <row r="13464" spans="1:6" x14ac:dyDescent="0.2">
      <c r="A13464" s="29" t="s">
        <v>30454</v>
      </c>
      <c r="B13464" s="30" t="s">
        <v>30455</v>
      </c>
      <c r="C13464" s="29" t="s">
        <v>26</v>
      </c>
      <c r="D13464" s="31">
        <v>84729.11</v>
      </c>
      <c r="F13464" s="3" t="str">
        <f t="shared" si="210"/>
        <v>I12257</v>
      </c>
    </row>
    <row r="13465" spans="1:6" x14ac:dyDescent="0.2">
      <c r="A13465" s="29" t="s">
        <v>30456</v>
      </c>
      <c r="B13465" s="30" t="s">
        <v>30457</v>
      </c>
      <c r="C13465" s="29" t="s">
        <v>26</v>
      </c>
      <c r="D13465" s="31">
        <v>90358.55</v>
      </c>
      <c r="F13465" s="3" t="str">
        <f t="shared" si="210"/>
        <v>I12258</v>
      </c>
    </row>
    <row r="13466" spans="1:6" x14ac:dyDescent="0.2">
      <c r="A13466" s="29" t="s">
        <v>30458</v>
      </c>
      <c r="B13466" s="30" t="s">
        <v>30459</v>
      </c>
      <c r="C13466" s="29" t="s">
        <v>26</v>
      </c>
      <c r="D13466" s="31">
        <v>101617.21</v>
      </c>
      <c r="F13466" s="3" t="str">
        <f t="shared" si="210"/>
        <v>I12259</v>
      </c>
    </row>
    <row r="13467" spans="1:6" x14ac:dyDescent="0.2">
      <c r="A13467" s="29" t="s">
        <v>30460</v>
      </c>
      <c r="B13467" s="30" t="s">
        <v>30461</v>
      </c>
      <c r="C13467" s="29" t="s">
        <v>26</v>
      </c>
      <c r="D13467" s="31">
        <v>110734.16</v>
      </c>
      <c r="F13467" s="3" t="str">
        <f t="shared" si="210"/>
        <v>I12260</v>
      </c>
    </row>
    <row r="13468" spans="1:6" x14ac:dyDescent="0.2">
      <c r="A13468" s="29" t="s">
        <v>30462</v>
      </c>
      <c r="B13468" s="30" t="s">
        <v>30463</v>
      </c>
      <c r="C13468" s="29" t="s">
        <v>26</v>
      </c>
      <c r="D13468" s="31">
        <v>113125.15</v>
      </c>
      <c r="F13468" s="3" t="str">
        <f t="shared" si="210"/>
        <v>I12261</v>
      </c>
    </row>
    <row r="13469" spans="1:6" x14ac:dyDescent="0.2">
      <c r="A13469" s="29" t="s">
        <v>30464</v>
      </c>
      <c r="B13469" s="30" t="s">
        <v>30465</v>
      </c>
      <c r="C13469" s="29" t="s">
        <v>26</v>
      </c>
      <c r="D13469" s="31">
        <v>3078.4</v>
      </c>
      <c r="F13469" s="3" t="str">
        <f t="shared" si="210"/>
        <v>I12148</v>
      </c>
    </row>
    <row r="13470" spans="1:6" x14ac:dyDescent="0.2">
      <c r="A13470" s="29" t="s">
        <v>30466</v>
      </c>
      <c r="B13470" s="30" t="s">
        <v>30467</v>
      </c>
      <c r="C13470" s="29" t="s">
        <v>26</v>
      </c>
      <c r="D13470" s="31">
        <v>3510.81</v>
      </c>
      <c r="F13470" s="3" t="str">
        <f t="shared" si="210"/>
        <v>I12149</v>
      </c>
    </row>
    <row r="13471" spans="1:6" x14ac:dyDescent="0.2">
      <c r="A13471" s="29" t="s">
        <v>30468</v>
      </c>
      <c r="B13471" s="30" t="s">
        <v>30469</v>
      </c>
      <c r="C13471" s="29" t="s">
        <v>26</v>
      </c>
      <c r="D13471" s="31">
        <v>3948.18</v>
      </c>
      <c r="F13471" s="3" t="str">
        <f t="shared" si="210"/>
        <v>I12150</v>
      </c>
    </row>
    <row r="13472" spans="1:6" x14ac:dyDescent="0.2">
      <c r="A13472" s="29" t="s">
        <v>30470</v>
      </c>
      <c r="B13472" s="30" t="s">
        <v>30471</v>
      </c>
      <c r="C13472" s="29" t="s">
        <v>26</v>
      </c>
      <c r="D13472" s="31">
        <v>4380.6400000000003</v>
      </c>
      <c r="F13472" s="3" t="str">
        <f t="shared" si="210"/>
        <v>I12151</v>
      </c>
    </row>
    <row r="13473" spans="1:6" x14ac:dyDescent="0.2">
      <c r="A13473" s="29" t="s">
        <v>30472</v>
      </c>
      <c r="B13473" s="30" t="s">
        <v>30473</v>
      </c>
      <c r="C13473" s="29" t="s">
        <v>26</v>
      </c>
      <c r="D13473" s="31">
        <v>4813.18</v>
      </c>
      <c r="F13473" s="3" t="str">
        <f t="shared" si="210"/>
        <v>I12152</v>
      </c>
    </row>
    <row r="13474" spans="1:6" x14ac:dyDescent="0.2">
      <c r="A13474" s="29" t="s">
        <v>30474</v>
      </c>
      <c r="B13474" s="30" t="s">
        <v>30475</v>
      </c>
      <c r="C13474" s="29" t="s">
        <v>26</v>
      </c>
      <c r="D13474" s="31">
        <v>5245.66</v>
      </c>
      <c r="F13474" s="3" t="str">
        <f t="shared" si="210"/>
        <v>I12153</v>
      </c>
    </row>
    <row r="13475" spans="1:6" x14ac:dyDescent="0.2">
      <c r="A13475" s="29" t="s">
        <v>30476</v>
      </c>
      <c r="B13475" s="30" t="s">
        <v>30477</v>
      </c>
      <c r="C13475" s="29" t="s">
        <v>26</v>
      </c>
      <c r="D13475" s="31">
        <v>5678.13</v>
      </c>
      <c r="F13475" s="3" t="str">
        <f t="shared" si="210"/>
        <v>I12154</v>
      </c>
    </row>
    <row r="13476" spans="1:6" x14ac:dyDescent="0.2">
      <c r="A13476" s="29" t="s">
        <v>30478</v>
      </c>
      <c r="B13476" s="30" t="s">
        <v>30479</v>
      </c>
      <c r="C13476" s="29" t="s">
        <v>26</v>
      </c>
      <c r="D13476" s="31">
        <v>6110.52</v>
      </c>
      <c r="F13476" s="3" t="str">
        <f t="shared" si="210"/>
        <v>I12155</v>
      </c>
    </row>
    <row r="13477" spans="1:6" x14ac:dyDescent="0.2">
      <c r="A13477" s="29" t="s">
        <v>30480</v>
      </c>
      <c r="B13477" s="30" t="s">
        <v>30481</v>
      </c>
      <c r="C13477" s="29" t="s">
        <v>26</v>
      </c>
      <c r="D13477" s="31">
        <v>6882.68</v>
      </c>
      <c r="F13477" s="3" t="str">
        <f t="shared" si="210"/>
        <v>I12156</v>
      </c>
    </row>
    <row r="13478" spans="1:6" x14ac:dyDescent="0.2">
      <c r="A13478" s="29" t="s">
        <v>30482</v>
      </c>
      <c r="B13478" s="30" t="s">
        <v>30483</v>
      </c>
      <c r="C13478" s="29" t="s">
        <v>26</v>
      </c>
      <c r="D13478" s="31">
        <v>7039.26</v>
      </c>
      <c r="F13478" s="3" t="str">
        <f t="shared" si="210"/>
        <v>I12157</v>
      </c>
    </row>
    <row r="13479" spans="1:6" x14ac:dyDescent="0.2">
      <c r="A13479" s="29" t="s">
        <v>30484</v>
      </c>
      <c r="B13479" s="30" t="s">
        <v>30485</v>
      </c>
      <c r="C13479" s="29" t="s">
        <v>26</v>
      </c>
      <c r="D13479" s="31">
        <v>3535.96</v>
      </c>
      <c r="F13479" s="3" t="str">
        <f t="shared" si="210"/>
        <v>I12158</v>
      </c>
    </row>
    <row r="13480" spans="1:6" x14ac:dyDescent="0.2">
      <c r="A13480" s="29" t="s">
        <v>30486</v>
      </c>
      <c r="B13480" s="30" t="s">
        <v>30487</v>
      </c>
      <c r="C13480" s="29" t="s">
        <v>26</v>
      </c>
      <c r="D13480" s="31">
        <v>4064.25</v>
      </c>
      <c r="F13480" s="3" t="str">
        <f t="shared" si="210"/>
        <v>I12159</v>
      </c>
    </row>
    <row r="13481" spans="1:6" x14ac:dyDescent="0.2">
      <c r="A13481" s="29" t="s">
        <v>30488</v>
      </c>
      <c r="B13481" s="30" t="s">
        <v>30489</v>
      </c>
      <c r="C13481" s="29" t="s">
        <v>26</v>
      </c>
      <c r="D13481" s="31">
        <v>4587.82</v>
      </c>
      <c r="F13481" s="3" t="str">
        <f t="shared" si="210"/>
        <v>I12160</v>
      </c>
    </row>
    <row r="13482" spans="1:6" x14ac:dyDescent="0.2">
      <c r="A13482" s="29" t="s">
        <v>30490</v>
      </c>
      <c r="B13482" s="30" t="s">
        <v>30491</v>
      </c>
      <c r="C13482" s="29" t="s">
        <v>26</v>
      </c>
      <c r="D13482" s="31">
        <v>5111.2700000000004</v>
      </c>
      <c r="F13482" s="3" t="str">
        <f t="shared" si="210"/>
        <v>I12161</v>
      </c>
    </row>
    <row r="13483" spans="1:6" x14ac:dyDescent="0.2">
      <c r="A13483" s="29" t="s">
        <v>30492</v>
      </c>
      <c r="B13483" s="30" t="s">
        <v>30493</v>
      </c>
      <c r="C13483" s="29" t="s">
        <v>26</v>
      </c>
      <c r="D13483" s="31">
        <v>5634.69</v>
      </c>
      <c r="F13483" s="3" t="str">
        <f t="shared" si="210"/>
        <v>I12162</v>
      </c>
    </row>
    <row r="13484" spans="1:6" x14ac:dyDescent="0.2">
      <c r="A13484" s="29" t="s">
        <v>30494</v>
      </c>
      <c r="B13484" s="30" t="s">
        <v>30495</v>
      </c>
      <c r="C13484" s="29" t="s">
        <v>26</v>
      </c>
      <c r="D13484" s="31">
        <v>6158.12</v>
      </c>
      <c r="F13484" s="3" t="str">
        <f t="shared" si="210"/>
        <v>I12163</v>
      </c>
    </row>
    <row r="13485" spans="1:6" x14ac:dyDescent="0.2">
      <c r="A13485" s="29" t="s">
        <v>30496</v>
      </c>
      <c r="B13485" s="30" t="s">
        <v>30497</v>
      </c>
      <c r="C13485" s="29" t="s">
        <v>26</v>
      </c>
      <c r="D13485" s="31">
        <v>6681.64</v>
      </c>
      <c r="F13485" s="3" t="str">
        <f t="shared" si="210"/>
        <v>I12164</v>
      </c>
    </row>
    <row r="13486" spans="1:6" x14ac:dyDescent="0.2">
      <c r="A13486" s="29" t="s">
        <v>30498</v>
      </c>
      <c r="B13486" s="30" t="s">
        <v>30499</v>
      </c>
      <c r="C13486" s="29" t="s">
        <v>26</v>
      </c>
      <c r="D13486" s="31">
        <v>7205.06</v>
      </c>
      <c r="F13486" s="3" t="str">
        <f t="shared" si="210"/>
        <v>I12165</v>
      </c>
    </row>
    <row r="13487" spans="1:6" x14ac:dyDescent="0.2">
      <c r="A13487" s="29" t="s">
        <v>30500</v>
      </c>
      <c r="B13487" s="30" t="s">
        <v>30501</v>
      </c>
      <c r="C13487" s="29" t="s">
        <v>26</v>
      </c>
      <c r="D13487" s="31">
        <v>8129.79</v>
      </c>
      <c r="F13487" s="3" t="str">
        <f t="shared" si="210"/>
        <v>I12166</v>
      </c>
    </row>
    <row r="13488" spans="1:6" x14ac:dyDescent="0.2">
      <c r="A13488" s="29" t="s">
        <v>30502</v>
      </c>
      <c r="B13488" s="30" t="s">
        <v>30503</v>
      </c>
      <c r="C13488" s="29" t="s">
        <v>26</v>
      </c>
      <c r="D13488" s="31">
        <v>8255.68</v>
      </c>
      <c r="F13488" s="3" t="str">
        <f t="shared" si="210"/>
        <v>I12167</v>
      </c>
    </row>
    <row r="13489" spans="1:6" x14ac:dyDescent="0.2">
      <c r="A13489" s="29" t="s">
        <v>30504</v>
      </c>
      <c r="B13489" s="30" t="s">
        <v>30505</v>
      </c>
      <c r="C13489" s="29" t="s">
        <v>26</v>
      </c>
      <c r="D13489" s="31">
        <v>8331.26</v>
      </c>
      <c r="F13489" s="3" t="str">
        <f t="shared" si="210"/>
        <v>I12168</v>
      </c>
    </row>
    <row r="13490" spans="1:6" x14ac:dyDescent="0.2">
      <c r="A13490" s="29" t="s">
        <v>30506</v>
      </c>
      <c r="B13490" s="30" t="s">
        <v>30507</v>
      </c>
      <c r="C13490" s="29" t="s">
        <v>26</v>
      </c>
      <c r="D13490" s="31">
        <v>4292.08</v>
      </c>
      <c r="F13490" s="3" t="str">
        <f t="shared" si="210"/>
        <v>I12169</v>
      </c>
    </row>
    <row r="13491" spans="1:6" x14ac:dyDescent="0.2">
      <c r="A13491" s="29" t="s">
        <v>30508</v>
      </c>
      <c r="B13491" s="30" t="s">
        <v>30509</v>
      </c>
      <c r="C13491" s="29" t="s">
        <v>26</v>
      </c>
      <c r="D13491" s="31">
        <v>4942.8</v>
      </c>
      <c r="F13491" s="3" t="str">
        <f t="shared" si="210"/>
        <v>I12170</v>
      </c>
    </row>
    <row r="13492" spans="1:6" x14ac:dyDescent="0.2">
      <c r="A13492" s="29" t="s">
        <v>30510</v>
      </c>
      <c r="B13492" s="30" t="s">
        <v>30511</v>
      </c>
      <c r="C13492" s="29" t="s">
        <v>26</v>
      </c>
      <c r="D13492" s="31">
        <v>5588.59</v>
      </c>
      <c r="F13492" s="3" t="str">
        <f t="shared" si="210"/>
        <v>I12171</v>
      </c>
    </row>
    <row r="13493" spans="1:6" x14ac:dyDescent="0.2">
      <c r="A13493" s="29" t="s">
        <v>30512</v>
      </c>
      <c r="B13493" s="30" t="s">
        <v>30513</v>
      </c>
      <c r="C13493" s="29" t="s">
        <v>26</v>
      </c>
      <c r="D13493" s="31">
        <v>6239.26</v>
      </c>
      <c r="F13493" s="3" t="str">
        <f t="shared" si="210"/>
        <v>I12172</v>
      </c>
    </row>
    <row r="13494" spans="1:6" x14ac:dyDescent="0.2">
      <c r="A13494" s="29" t="s">
        <v>30514</v>
      </c>
      <c r="B13494" s="30" t="s">
        <v>30515</v>
      </c>
      <c r="C13494" s="29" t="s">
        <v>26</v>
      </c>
      <c r="D13494" s="31">
        <v>6889.98</v>
      </c>
      <c r="F13494" s="3" t="str">
        <f t="shared" si="210"/>
        <v>I12173</v>
      </c>
    </row>
    <row r="13495" spans="1:6" x14ac:dyDescent="0.2">
      <c r="A13495" s="29" t="s">
        <v>30516</v>
      </c>
      <c r="B13495" s="30" t="s">
        <v>30517</v>
      </c>
      <c r="C13495" s="29" t="s">
        <v>26</v>
      </c>
      <c r="D13495" s="31">
        <v>7535.71</v>
      </c>
      <c r="F13495" s="3" t="str">
        <f t="shared" si="210"/>
        <v>I12174</v>
      </c>
    </row>
    <row r="13496" spans="1:6" x14ac:dyDescent="0.2">
      <c r="A13496" s="29" t="s">
        <v>30518</v>
      </c>
      <c r="B13496" s="30" t="s">
        <v>30519</v>
      </c>
      <c r="C13496" s="29" t="s">
        <v>26</v>
      </c>
      <c r="D13496" s="31">
        <v>8186.41</v>
      </c>
      <c r="F13496" s="3" t="str">
        <f t="shared" si="210"/>
        <v>I12175</v>
      </c>
    </row>
    <row r="13497" spans="1:6" x14ac:dyDescent="0.2">
      <c r="A13497" s="29" t="s">
        <v>30520</v>
      </c>
      <c r="B13497" s="30" t="s">
        <v>30521</v>
      </c>
      <c r="C13497" s="29" t="s">
        <v>26</v>
      </c>
      <c r="D13497" s="31">
        <v>8837.16</v>
      </c>
      <c r="F13497" s="3" t="str">
        <f t="shared" si="210"/>
        <v>I12176</v>
      </c>
    </row>
    <row r="13498" spans="1:6" x14ac:dyDescent="0.2">
      <c r="A13498" s="29" t="s">
        <v>30522</v>
      </c>
      <c r="B13498" s="30" t="s">
        <v>30523</v>
      </c>
      <c r="C13498" s="29" t="s">
        <v>26</v>
      </c>
      <c r="D13498" s="31">
        <v>9977.73</v>
      </c>
      <c r="F13498" s="3" t="str">
        <f t="shared" si="210"/>
        <v>I12177</v>
      </c>
    </row>
    <row r="13499" spans="1:6" x14ac:dyDescent="0.2">
      <c r="A13499" s="29" t="s">
        <v>30524</v>
      </c>
      <c r="B13499" s="30" t="s">
        <v>30525</v>
      </c>
      <c r="C13499" s="29" t="s">
        <v>26</v>
      </c>
      <c r="D13499" s="31">
        <v>10138.11</v>
      </c>
      <c r="F13499" s="3" t="str">
        <f t="shared" si="210"/>
        <v>I12178</v>
      </c>
    </row>
    <row r="13500" spans="1:6" x14ac:dyDescent="0.2">
      <c r="A13500" s="29" t="s">
        <v>30526</v>
      </c>
      <c r="B13500" s="30" t="s">
        <v>30527</v>
      </c>
      <c r="C13500" s="29" t="s">
        <v>26</v>
      </c>
      <c r="D13500" s="31">
        <v>10233.39</v>
      </c>
      <c r="F13500" s="3" t="str">
        <f t="shared" si="210"/>
        <v>I12179</v>
      </c>
    </row>
    <row r="13501" spans="1:6" x14ac:dyDescent="0.2">
      <c r="A13501" s="29" t="s">
        <v>30528</v>
      </c>
      <c r="B13501" s="30" t="s">
        <v>30529</v>
      </c>
      <c r="C13501" s="29" t="s">
        <v>26</v>
      </c>
      <c r="D13501" s="31">
        <v>5176.1899999999996</v>
      </c>
      <c r="F13501" s="3" t="str">
        <f t="shared" si="210"/>
        <v>I12180</v>
      </c>
    </row>
    <row r="13502" spans="1:6" x14ac:dyDescent="0.2">
      <c r="A13502" s="29" t="s">
        <v>30530</v>
      </c>
      <c r="B13502" s="30" t="s">
        <v>30531</v>
      </c>
      <c r="C13502" s="29" t="s">
        <v>26</v>
      </c>
      <c r="D13502" s="31">
        <v>5926.31</v>
      </c>
      <c r="F13502" s="3" t="str">
        <f t="shared" si="210"/>
        <v>I12181</v>
      </c>
    </row>
    <row r="13503" spans="1:6" x14ac:dyDescent="0.2">
      <c r="A13503" s="29" t="s">
        <v>30532</v>
      </c>
      <c r="B13503" s="30" t="s">
        <v>30533</v>
      </c>
      <c r="C13503" s="29" t="s">
        <v>26</v>
      </c>
      <c r="D13503" s="31">
        <v>7426.85</v>
      </c>
      <c r="F13503" s="3" t="str">
        <f t="shared" si="210"/>
        <v>I12182</v>
      </c>
    </row>
    <row r="13504" spans="1:6" x14ac:dyDescent="0.2">
      <c r="A13504" s="29" t="s">
        <v>30534</v>
      </c>
      <c r="B13504" s="30" t="s">
        <v>30535</v>
      </c>
      <c r="C13504" s="29" t="s">
        <v>26</v>
      </c>
      <c r="D13504" s="31">
        <v>8177.21</v>
      </c>
      <c r="F13504" s="3" t="str">
        <f t="shared" si="210"/>
        <v>I12183</v>
      </c>
    </row>
    <row r="13505" spans="1:6" x14ac:dyDescent="0.2">
      <c r="A13505" s="29" t="s">
        <v>30536</v>
      </c>
      <c r="B13505" s="30" t="s">
        <v>30537</v>
      </c>
      <c r="C13505" s="29" t="s">
        <v>26</v>
      </c>
      <c r="D13505" s="31">
        <v>11740.61</v>
      </c>
      <c r="F13505" s="3" t="str">
        <f t="shared" si="210"/>
        <v>I12184</v>
      </c>
    </row>
    <row r="13506" spans="1:6" x14ac:dyDescent="0.2">
      <c r="A13506" s="29" t="s">
        <v>30538</v>
      </c>
      <c r="B13506" s="30" t="s">
        <v>30539</v>
      </c>
      <c r="C13506" s="29" t="s">
        <v>26</v>
      </c>
      <c r="D13506" s="31">
        <v>11933.45</v>
      </c>
      <c r="F13506" s="3" t="str">
        <f t="shared" ref="F13506:F13569" si="211">A13506</f>
        <v>I12185</v>
      </c>
    </row>
    <row r="13507" spans="1:6" x14ac:dyDescent="0.2">
      <c r="A13507" s="29" t="s">
        <v>30540</v>
      </c>
      <c r="B13507" s="30" t="s">
        <v>30541</v>
      </c>
      <c r="C13507" s="29" t="s">
        <v>26</v>
      </c>
      <c r="D13507" s="31">
        <v>12050.19</v>
      </c>
      <c r="F13507" s="3" t="str">
        <f t="shared" si="211"/>
        <v>I12186</v>
      </c>
    </row>
    <row r="13508" spans="1:6" x14ac:dyDescent="0.2">
      <c r="A13508" s="29" t="s">
        <v>30542</v>
      </c>
      <c r="B13508" s="30" t="s">
        <v>30543</v>
      </c>
      <c r="C13508" s="29" t="s">
        <v>26</v>
      </c>
      <c r="D13508" s="31">
        <v>5559.1</v>
      </c>
      <c r="F13508" s="3" t="str">
        <f t="shared" si="211"/>
        <v>I12187</v>
      </c>
    </row>
    <row r="13509" spans="1:6" x14ac:dyDescent="0.2">
      <c r="A13509" s="29" t="s">
        <v>30544</v>
      </c>
      <c r="B13509" s="30" t="s">
        <v>30545</v>
      </c>
      <c r="C13509" s="29" t="s">
        <v>26</v>
      </c>
      <c r="D13509" s="31">
        <v>6392.31</v>
      </c>
      <c r="F13509" s="3" t="str">
        <f t="shared" si="211"/>
        <v>I12188</v>
      </c>
    </row>
    <row r="13510" spans="1:6" x14ac:dyDescent="0.2">
      <c r="A13510" s="29" t="s">
        <v>30546</v>
      </c>
      <c r="B13510" s="30" t="s">
        <v>30547</v>
      </c>
      <c r="C13510" s="29" t="s">
        <v>26</v>
      </c>
      <c r="D13510" s="31">
        <v>7225.42</v>
      </c>
      <c r="F13510" s="3" t="str">
        <f t="shared" si="211"/>
        <v>I12189</v>
      </c>
    </row>
    <row r="13511" spans="1:6" x14ac:dyDescent="0.2">
      <c r="A13511" s="29" t="s">
        <v>30548</v>
      </c>
      <c r="B13511" s="30" t="s">
        <v>30549</v>
      </c>
      <c r="C13511" s="29" t="s">
        <v>26</v>
      </c>
      <c r="D13511" s="31">
        <v>8185.29</v>
      </c>
      <c r="F13511" s="3" t="str">
        <f t="shared" si="211"/>
        <v>I12190</v>
      </c>
    </row>
    <row r="13512" spans="1:6" x14ac:dyDescent="0.2">
      <c r="A13512" s="29" t="s">
        <v>30550</v>
      </c>
      <c r="B13512" s="30" t="s">
        <v>30551</v>
      </c>
      <c r="C13512" s="29" t="s">
        <v>26</v>
      </c>
      <c r="D13512" s="31">
        <v>8891.69</v>
      </c>
      <c r="F13512" s="3" t="str">
        <f t="shared" si="211"/>
        <v>I12191</v>
      </c>
    </row>
    <row r="13513" spans="1:6" x14ac:dyDescent="0.2">
      <c r="A13513" s="29" t="s">
        <v>30552</v>
      </c>
      <c r="B13513" s="30" t="s">
        <v>30553</v>
      </c>
      <c r="C13513" s="29" t="s">
        <v>26</v>
      </c>
      <c r="D13513" s="31">
        <v>9724.86</v>
      </c>
      <c r="F13513" s="3" t="str">
        <f t="shared" si="211"/>
        <v>I12192</v>
      </c>
    </row>
    <row r="13514" spans="1:6" x14ac:dyDescent="0.2">
      <c r="A13514" s="29" t="s">
        <v>30554</v>
      </c>
      <c r="B13514" s="30" t="s">
        <v>30555</v>
      </c>
      <c r="C13514" s="29" t="s">
        <v>26</v>
      </c>
      <c r="D13514" s="31">
        <v>10558.04</v>
      </c>
      <c r="F13514" s="3" t="str">
        <f t="shared" si="211"/>
        <v>I12193</v>
      </c>
    </row>
    <row r="13515" spans="1:6" x14ac:dyDescent="0.2">
      <c r="A13515" s="29" t="s">
        <v>30556</v>
      </c>
      <c r="B13515" s="30" t="s">
        <v>30557</v>
      </c>
      <c r="C13515" s="29" t="s">
        <v>26</v>
      </c>
      <c r="D13515" s="31">
        <v>11517.99</v>
      </c>
      <c r="F13515" s="3" t="str">
        <f t="shared" si="211"/>
        <v>I12194</v>
      </c>
    </row>
    <row r="13516" spans="1:6" x14ac:dyDescent="0.2">
      <c r="A13516" s="29" t="s">
        <v>30558</v>
      </c>
      <c r="B13516" s="30" t="s">
        <v>30559</v>
      </c>
      <c r="C13516" s="29" t="s">
        <v>26</v>
      </c>
      <c r="D13516" s="31">
        <v>12835.52</v>
      </c>
      <c r="F13516" s="3" t="str">
        <f t="shared" si="211"/>
        <v>I12195</v>
      </c>
    </row>
    <row r="13517" spans="1:6" x14ac:dyDescent="0.2">
      <c r="A13517" s="29" t="s">
        <v>30560</v>
      </c>
      <c r="B13517" s="30" t="s">
        <v>30561</v>
      </c>
      <c r="C13517" s="29" t="s">
        <v>26</v>
      </c>
      <c r="D13517" s="31">
        <v>13189.85</v>
      </c>
      <c r="F13517" s="3" t="str">
        <f t="shared" si="211"/>
        <v>I12196</v>
      </c>
    </row>
    <row r="13518" spans="1:6" x14ac:dyDescent="0.2">
      <c r="A13518" s="29" t="s">
        <v>30562</v>
      </c>
      <c r="B13518" s="30" t="s">
        <v>30563</v>
      </c>
      <c r="C13518" s="29" t="s">
        <v>26</v>
      </c>
      <c r="D13518" s="31">
        <v>13199.63</v>
      </c>
      <c r="F13518" s="3" t="str">
        <f t="shared" si="211"/>
        <v>I12197</v>
      </c>
    </row>
    <row r="13519" spans="1:6" x14ac:dyDescent="0.2">
      <c r="A13519" s="29" t="s">
        <v>30564</v>
      </c>
      <c r="B13519" s="30" t="s">
        <v>30565</v>
      </c>
      <c r="C13519" s="29" t="s">
        <v>26</v>
      </c>
      <c r="D13519" s="31">
        <v>7888.41</v>
      </c>
      <c r="F13519" s="3" t="str">
        <f t="shared" si="211"/>
        <v>I12198</v>
      </c>
    </row>
    <row r="13520" spans="1:6" x14ac:dyDescent="0.2">
      <c r="A13520" s="29" t="s">
        <v>30566</v>
      </c>
      <c r="B13520" s="30" t="s">
        <v>30567</v>
      </c>
      <c r="C13520" s="29" t="s">
        <v>26</v>
      </c>
      <c r="D13520" s="31">
        <v>11764.73</v>
      </c>
      <c r="F13520" s="3" t="str">
        <f t="shared" si="211"/>
        <v>I12199</v>
      </c>
    </row>
    <row r="13521" spans="1:6" x14ac:dyDescent="0.2">
      <c r="A13521" s="29" t="s">
        <v>30568</v>
      </c>
      <c r="B13521" s="30" t="s">
        <v>30569</v>
      </c>
      <c r="C13521" s="29" t="s">
        <v>26</v>
      </c>
      <c r="D13521" s="31">
        <v>15813.53</v>
      </c>
      <c r="F13521" s="3" t="str">
        <f t="shared" si="211"/>
        <v>I12200</v>
      </c>
    </row>
    <row r="13522" spans="1:6" x14ac:dyDescent="0.2">
      <c r="A13522" s="29" t="s">
        <v>30570</v>
      </c>
      <c r="B13522" s="30" t="s">
        <v>30571</v>
      </c>
      <c r="C13522" s="29" t="s">
        <v>26</v>
      </c>
      <c r="D13522" s="31">
        <v>7459.9</v>
      </c>
      <c r="F13522" s="3" t="str">
        <f t="shared" si="211"/>
        <v>I12201</v>
      </c>
    </row>
    <row r="13523" spans="1:6" x14ac:dyDescent="0.2">
      <c r="A13523" s="29" t="s">
        <v>30572</v>
      </c>
      <c r="B13523" s="30" t="s">
        <v>30573</v>
      </c>
      <c r="C13523" s="29" t="s">
        <v>26</v>
      </c>
      <c r="D13523" s="31">
        <v>8552.6200000000008</v>
      </c>
      <c r="F13523" s="3" t="str">
        <f t="shared" si="211"/>
        <v>I12202</v>
      </c>
    </row>
    <row r="13524" spans="1:6" x14ac:dyDescent="0.2">
      <c r="A13524" s="29" t="s">
        <v>30574</v>
      </c>
      <c r="B13524" s="30" t="s">
        <v>30575</v>
      </c>
      <c r="C13524" s="29" t="s">
        <v>26</v>
      </c>
      <c r="D13524" s="31">
        <v>9645.44</v>
      </c>
      <c r="F13524" s="3" t="str">
        <f t="shared" si="211"/>
        <v>I12203</v>
      </c>
    </row>
    <row r="13525" spans="1:6" x14ac:dyDescent="0.2">
      <c r="A13525" s="29" t="s">
        <v>30576</v>
      </c>
      <c r="B13525" s="30" t="s">
        <v>30577</v>
      </c>
      <c r="C13525" s="29" t="s">
        <v>26</v>
      </c>
      <c r="D13525" s="31">
        <v>10743.04</v>
      </c>
      <c r="F13525" s="3" t="str">
        <f t="shared" si="211"/>
        <v>I12204</v>
      </c>
    </row>
    <row r="13526" spans="1:6" x14ac:dyDescent="0.2">
      <c r="A13526" s="29" t="s">
        <v>30578</v>
      </c>
      <c r="B13526" s="30" t="s">
        <v>30579</v>
      </c>
      <c r="C13526" s="29" t="s">
        <v>26</v>
      </c>
      <c r="D13526" s="31">
        <v>11835.65</v>
      </c>
      <c r="F13526" s="3" t="str">
        <f t="shared" si="211"/>
        <v>I12205</v>
      </c>
    </row>
    <row r="13527" spans="1:6" x14ac:dyDescent="0.2">
      <c r="A13527" s="29" t="s">
        <v>30580</v>
      </c>
      <c r="B13527" s="30" t="s">
        <v>30581</v>
      </c>
      <c r="C13527" s="29" t="s">
        <v>26</v>
      </c>
      <c r="D13527" s="31">
        <v>12928.36</v>
      </c>
      <c r="F13527" s="3" t="str">
        <f t="shared" si="211"/>
        <v>I12206</v>
      </c>
    </row>
    <row r="13528" spans="1:6" x14ac:dyDescent="0.2">
      <c r="A13528" s="29" t="s">
        <v>30582</v>
      </c>
      <c r="B13528" s="30" t="s">
        <v>30583</v>
      </c>
      <c r="C13528" s="29" t="s">
        <v>26</v>
      </c>
      <c r="D13528" s="31">
        <v>14021.11</v>
      </c>
      <c r="F13528" s="3" t="str">
        <f t="shared" si="211"/>
        <v>I12207</v>
      </c>
    </row>
    <row r="13529" spans="1:6" x14ac:dyDescent="0.2">
      <c r="A13529" s="29" t="s">
        <v>30584</v>
      </c>
      <c r="B13529" s="30" t="s">
        <v>30585</v>
      </c>
      <c r="C13529" s="29" t="s">
        <v>26</v>
      </c>
      <c r="D13529" s="31">
        <v>15118.71</v>
      </c>
      <c r="F13529" s="3" t="str">
        <f t="shared" si="211"/>
        <v>I12208</v>
      </c>
    </row>
    <row r="13530" spans="1:6" x14ac:dyDescent="0.2">
      <c r="A13530" s="29" t="s">
        <v>30586</v>
      </c>
      <c r="B13530" s="30" t="s">
        <v>30587</v>
      </c>
      <c r="C13530" s="29" t="s">
        <v>26</v>
      </c>
      <c r="D13530" s="31">
        <v>17003.169999999998</v>
      </c>
      <c r="F13530" s="3" t="str">
        <f t="shared" si="211"/>
        <v>I12209</v>
      </c>
    </row>
    <row r="13531" spans="1:6" x14ac:dyDescent="0.2">
      <c r="A13531" s="29" t="s">
        <v>30588</v>
      </c>
      <c r="B13531" s="30" t="s">
        <v>30589</v>
      </c>
      <c r="C13531" s="29" t="s">
        <v>26</v>
      </c>
      <c r="D13531" s="31">
        <v>17311.310000000001</v>
      </c>
      <c r="F13531" s="3" t="str">
        <f t="shared" si="211"/>
        <v>I12210</v>
      </c>
    </row>
    <row r="13532" spans="1:6" x14ac:dyDescent="0.2">
      <c r="A13532" s="29" t="s">
        <v>30590</v>
      </c>
      <c r="B13532" s="30" t="s">
        <v>30591</v>
      </c>
      <c r="C13532" s="29" t="s">
        <v>26</v>
      </c>
      <c r="D13532" s="31">
        <v>17498.16</v>
      </c>
      <c r="F13532" s="3" t="str">
        <f t="shared" si="211"/>
        <v>I12211</v>
      </c>
    </row>
    <row r="13533" spans="1:6" x14ac:dyDescent="0.2">
      <c r="A13533" s="29" t="s">
        <v>30592</v>
      </c>
      <c r="B13533" s="30" t="s">
        <v>30593</v>
      </c>
      <c r="C13533" s="29" t="s">
        <v>26</v>
      </c>
      <c r="D13533" s="31">
        <v>9088.89</v>
      </c>
      <c r="F13533" s="3" t="str">
        <f t="shared" si="211"/>
        <v>I12212</v>
      </c>
    </row>
    <row r="13534" spans="1:6" x14ac:dyDescent="0.2">
      <c r="A13534" s="29" t="s">
        <v>30594</v>
      </c>
      <c r="B13534" s="30" t="s">
        <v>30595</v>
      </c>
      <c r="C13534" s="29" t="s">
        <v>26</v>
      </c>
      <c r="D13534" s="31">
        <v>10545.06</v>
      </c>
      <c r="F13534" s="3" t="str">
        <f t="shared" si="211"/>
        <v>I12213</v>
      </c>
    </row>
    <row r="13535" spans="1:6" x14ac:dyDescent="0.2">
      <c r="A13535" s="29" t="s">
        <v>30596</v>
      </c>
      <c r="B13535" s="30" t="s">
        <v>30597</v>
      </c>
      <c r="C13535" s="29" t="s">
        <v>26</v>
      </c>
      <c r="D13535" s="31">
        <v>11996.39</v>
      </c>
      <c r="F13535" s="3" t="str">
        <f t="shared" si="211"/>
        <v>I12214</v>
      </c>
    </row>
    <row r="13536" spans="1:6" x14ac:dyDescent="0.2">
      <c r="A13536" s="29" t="s">
        <v>30598</v>
      </c>
      <c r="B13536" s="30" t="s">
        <v>30599</v>
      </c>
      <c r="C13536" s="29" t="s">
        <v>26</v>
      </c>
      <c r="D13536" s="31">
        <v>13452.42</v>
      </c>
      <c r="F13536" s="3" t="str">
        <f t="shared" si="211"/>
        <v>I12215</v>
      </c>
    </row>
    <row r="13537" spans="1:6" x14ac:dyDescent="0.2">
      <c r="A13537" s="29" t="s">
        <v>30600</v>
      </c>
      <c r="B13537" s="30" t="s">
        <v>30601</v>
      </c>
      <c r="C13537" s="29" t="s">
        <v>26</v>
      </c>
      <c r="D13537" s="31">
        <v>14903.66</v>
      </c>
      <c r="F13537" s="3" t="str">
        <f t="shared" si="211"/>
        <v>I12216</v>
      </c>
    </row>
    <row r="13538" spans="1:6" x14ac:dyDescent="0.2">
      <c r="A13538" s="29" t="s">
        <v>30602</v>
      </c>
      <c r="B13538" s="30" t="s">
        <v>30603</v>
      </c>
      <c r="C13538" s="29" t="s">
        <v>26</v>
      </c>
      <c r="D13538" s="31">
        <v>16354.99</v>
      </c>
      <c r="F13538" s="3" t="str">
        <f t="shared" si="211"/>
        <v>I12217</v>
      </c>
    </row>
    <row r="13539" spans="1:6" x14ac:dyDescent="0.2">
      <c r="A13539" s="29" t="s">
        <v>30604</v>
      </c>
      <c r="B13539" s="30" t="s">
        <v>30605</v>
      </c>
      <c r="C13539" s="29" t="s">
        <v>26</v>
      </c>
      <c r="D13539" s="31">
        <v>17811.150000000001</v>
      </c>
      <c r="F13539" s="3" t="str">
        <f t="shared" si="211"/>
        <v>I12218</v>
      </c>
    </row>
    <row r="13540" spans="1:6" x14ac:dyDescent="0.2">
      <c r="A13540" s="29" t="s">
        <v>30606</v>
      </c>
      <c r="B13540" s="30" t="s">
        <v>30607</v>
      </c>
      <c r="C13540" s="29" t="s">
        <v>26</v>
      </c>
      <c r="D13540" s="31">
        <v>19262.5</v>
      </c>
      <c r="F13540" s="3" t="str">
        <f t="shared" si="211"/>
        <v>I12219</v>
      </c>
    </row>
    <row r="13541" spans="1:6" x14ac:dyDescent="0.2">
      <c r="A13541" s="29" t="s">
        <v>30608</v>
      </c>
      <c r="B13541" s="30" t="s">
        <v>30609</v>
      </c>
      <c r="C13541" s="29" t="s">
        <v>26</v>
      </c>
      <c r="D13541" s="31">
        <v>21784.41</v>
      </c>
      <c r="F13541" s="3" t="str">
        <f t="shared" si="211"/>
        <v>I12220</v>
      </c>
    </row>
    <row r="13542" spans="1:6" x14ac:dyDescent="0.2">
      <c r="A13542" s="29" t="s">
        <v>30610</v>
      </c>
      <c r="B13542" s="30" t="s">
        <v>30611</v>
      </c>
      <c r="C13542" s="29" t="s">
        <v>26</v>
      </c>
      <c r="D13542" s="31">
        <v>22419.49</v>
      </c>
      <c r="F13542" s="3" t="str">
        <f t="shared" si="211"/>
        <v>I12221</v>
      </c>
    </row>
    <row r="13543" spans="1:6" x14ac:dyDescent="0.2">
      <c r="A13543" s="29" t="s">
        <v>30612</v>
      </c>
      <c r="B13543" s="30" t="s">
        <v>30613</v>
      </c>
      <c r="C13543" s="29" t="s">
        <v>26</v>
      </c>
      <c r="D13543" s="31">
        <v>20179.11</v>
      </c>
      <c r="F13543" s="3" t="str">
        <f t="shared" si="211"/>
        <v>I12222</v>
      </c>
    </row>
    <row r="13544" spans="1:6" x14ac:dyDescent="0.2">
      <c r="A13544" s="29" t="s">
        <v>30614</v>
      </c>
      <c r="B13544" s="30" t="s">
        <v>30615</v>
      </c>
      <c r="C13544" s="29" t="s">
        <v>26</v>
      </c>
      <c r="D13544" s="31">
        <v>22783.09</v>
      </c>
      <c r="F13544" s="3" t="str">
        <f t="shared" si="211"/>
        <v>I12223</v>
      </c>
    </row>
    <row r="13545" spans="1:6" x14ac:dyDescent="0.2">
      <c r="A13545" s="29" t="s">
        <v>30616</v>
      </c>
      <c r="B13545" s="30" t="s">
        <v>30617</v>
      </c>
      <c r="C13545" s="29" t="s">
        <v>26</v>
      </c>
      <c r="D13545" s="31">
        <v>25070.28</v>
      </c>
      <c r="F13545" s="3" t="str">
        <f t="shared" si="211"/>
        <v>I12224</v>
      </c>
    </row>
    <row r="13546" spans="1:6" x14ac:dyDescent="0.2">
      <c r="A13546" s="29" t="s">
        <v>30618</v>
      </c>
      <c r="B13546" s="30" t="s">
        <v>30619</v>
      </c>
      <c r="C13546" s="29" t="s">
        <v>26</v>
      </c>
      <c r="D13546" s="31">
        <v>37593.06</v>
      </c>
      <c r="F13546" s="3" t="str">
        <f t="shared" si="211"/>
        <v>I12225</v>
      </c>
    </row>
    <row r="13547" spans="1:6" x14ac:dyDescent="0.2">
      <c r="A13547" s="29" t="s">
        <v>30620</v>
      </c>
      <c r="B13547" s="30" t="s">
        <v>30621</v>
      </c>
      <c r="C13547" s="29" t="s">
        <v>26</v>
      </c>
      <c r="D13547" s="31">
        <v>46675.63</v>
      </c>
      <c r="F13547" s="3" t="str">
        <f t="shared" si="211"/>
        <v>I12226</v>
      </c>
    </row>
    <row r="13548" spans="1:6" x14ac:dyDescent="0.2">
      <c r="A13548" s="29" t="s">
        <v>30622</v>
      </c>
      <c r="B13548" s="30" t="s">
        <v>30623</v>
      </c>
      <c r="C13548" s="29" t="s">
        <v>26</v>
      </c>
      <c r="D13548" s="31">
        <v>47710.81</v>
      </c>
      <c r="F13548" s="3" t="str">
        <f t="shared" si="211"/>
        <v>I12227</v>
      </c>
    </row>
    <row r="13549" spans="1:6" x14ac:dyDescent="0.2">
      <c r="A13549" s="29" t="s">
        <v>30624</v>
      </c>
      <c r="B13549" s="30" t="s">
        <v>30625</v>
      </c>
      <c r="C13549" s="29" t="s">
        <v>26</v>
      </c>
      <c r="D13549" s="31">
        <v>25076.57</v>
      </c>
      <c r="F13549" s="3" t="str">
        <f t="shared" si="211"/>
        <v>I12228</v>
      </c>
    </row>
    <row r="13550" spans="1:6" x14ac:dyDescent="0.2">
      <c r="A13550" s="29" t="s">
        <v>30626</v>
      </c>
      <c r="B13550" s="30" t="s">
        <v>30627</v>
      </c>
      <c r="C13550" s="29" t="s">
        <v>26</v>
      </c>
      <c r="D13550" s="31">
        <v>28087.84</v>
      </c>
      <c r="F13550" s="3" t="str">
        <f t="shared" si="211"/>
        <v>I12229</v>
      </c>
    </row>
    <row r="13551" spans="1:6" x14ac:dyDescent="0.2">
      <c r="A13551" s="29" t="s">
        <v>30628</v>
      </c>
      <c r="B13551" s="30" t="s">
        <v>30629</v>
      </c>
      <c r="C13551" s="29" t="s">
        <v>26</v>
      </c>
      <c r="D13551" s="31">
        <v>31098.959999999999</v>
      </c>
      <c r="F13551" s="3" t="str">
        <f t="shared" si="211"/>
        <v>I12230</v>
      </c>
    </row>
    <row r="13552" spans="1:6" x14ac:dyDescent="0.2">
      <c r="A13552" s="29" t="s">
        <v>30630</v>
      </c>
      <c r="B13552" s="30" t="s">
        <v>30631</v>
      </c>
      <c r="C13552" s="29" t="s">
        <v>26</v>
      </c>
      <c r="D13552" s="31">
        <v>34109.949999999997</v>
      </c>
      <c r="F13552" s="3" t="str">
        <f t="shared" si="211"/>
        <v>I12231</v>
      </c>
    </row>
    <row r="13553" spans="1:6" x14ac:dyDescent="0.2">
      <c r="A13553" s="29" t="s">
        <v>30632</v>
      </c>
      <c r="B13553" s="30" t="s">
        <v>30633</v>
      </c>
      <c r="C13553" s="29" t="s">
        <v>26</v>
      </c>
      <c r="D13553" s="31">
        <v>37125.949999999997</v>
      </c>
      <c r="F13553" s="3" t="str">
        <f t="shared" si="211"/>
        <v>I12232</v>
      </c>
    </row>
    <row r="13554" spans="1:6" x14ac:dyDescent="0.2">
      <c r="A13554" s="29" t="s">
        <v>30634</v>
      </c>
      <c r="B13554" s="30" t="s">
        <v>30635</v>
      </c>
      <c r="C13554" s="29" t="s">
        <v>26</v>
      </c>
      <c r="D13554" s="31">
        <v>40137.06</v>
      </c>
      <c r="F13554" s="3" t="str">
        <f t="shared" si="211"/>
        <v>I12233</v>
      </c>
    </row>
    <row r="13555" spans="1:6" x14ac:dyDescent="0.2">
      <c r="A13555" s="29" t="s">
        <v>30636</v>
      </c>
      <c r="B13555" s="30" t="s">
        <v>30637</v>
      </c>
      <c r="C13555" s="29" t="s">
        <v>26</v>
      </c>
      <c r="D13555" s="31">
        <v>43148.21</v>
      </c>
      <c r="F13555" s="3" t="str">
        <f t="shared" si="211"/>
        <v>I12234</v>
      </c>
    </row>
    <row r="13556" spans="1:6" x14ac:dyDescent="0.2">
      <c r="A13556" s="29" t="s">
        <v>30638</v>
      </c>
      <c r="B13556" s="30" t="s">
        <v>30639</v>
      </c>
      <c r="C13556" s="29" t="s">
        <v>26</v>
      </c>
      <c r="D13556" s="31">
        <v>46159.35</v>
      </c>
      <c r="F13556" s="3" t="str">
        <f t="shared" si="211"/>
        <v>I12235</v>
      </c>
    </row>
    <row r="13557" spans="1:6" x14ac:dyDescent="0.2">
      <c r="A13557" s="29" t="s">
        <v>30640</v>
      </c>
      <c r="B13557" s="30" t="s">
        <v>30641</v>
      </c>
      <c r="C13557" s="29" t="s">
        <v>26</v>
      </c>
      <c r="D13557" s="31">
        <v>49170.42</v>
      </c>
      <c r="F13557" s="3" t="str">
        <f t="shared" si="211"/>
        <v>I12236</v>
      </c>
    </row>
    <row r="13558" spans="1:6" x14ac:dyDescent="0.2">
      <c r="A13558" s="29" t="s">
        <v>30642</v>
      </c>
      <c r="B13558" s="30" t="s">
        <v>30643</v>
      </c>
      <c r="C13558" s="29" t="s">
        <v>26</v>
      </c>
      <c r="D13558" s="31">
        <v>52181.53</v>
      </c>
      <c r="F13558" s="3" t="str">
        <f t="shared" si="211"/>
        <v>I12237</v>
      </c>
    </row>
    <row r="13559" spans="1:6" x14ac:dyDescent="0.2">
      <c r="A13559" s="29" t="s">
        <v>30644</v>
      </c>
      <c r="B13559" s="30" t="s">
        <v>30645</v>
      </c>
      <c r="C13559" s="29" t="s">
        <v>26</v>
      </c>
      <c r="D13559" s="31">
        <v>57254.48</v>
      </c>
      <c r="F13559" s="3" t="str">
        <f t="shared" si="211"/>
        <v>I12238</v>
      </c>
    </row>
    <row r="13560" spans="1:6" x14ac:dyDescent="0.2">
      <c r="A13560" s="29" t="s">
        <v>30646</v>
      </c>
      <c r="B13560" s="30" t="s">
        <v>30647</v>
      </c>
      <c r="C13560" s="29" t="s">
        <v>26</v>
      </c>
      <c r="D13560" s="31">
        <v>58329.61</v>
      </c>
      <c r="F13560" s="3" t="str">
        <f t="shared" si="211"/>
        <v>I12239</v>
      </c>
    </row>
    <row r="13561" spans="1:6" x14ac:dyDescent="0.2">
      <c r="A13561" s="29" t="s">
        <v>30648</v>
      </c>
      <c r="B13561" s="30" t="s">
        <v>30649</v>
      </c>
      <c r="C13561" s="29" t="s">
        <v>26</v>
      </c>
      <c r="D13561" s="31">
        <v>34203.730000000003</v>
      </c>
      <c r="F13561" s="3" t="str">
        <f t="shared" si="211"/>
        <v>I12240</v>
      </c>
    </row>
    <row r="13562" spans="1:6" x14ac:dyDescent="0.2">
      <c r="A13562" s="29" t="s">
        <v>30650</v>
      </c>
      <c r="B13562" s="30" t="s">
        <v>30651</v>
      </c>
      <c r="C13562" s="29" t="s">
        <v>26</v>
      </c>
      <c r="D13562" s="31">
        <v>37803.879999999997</v>
      </c>
      <c r="F13562" s="3" t="str">
        <f t="shared" si="211"/>
        <v>I12241</v>
      </c>
    </row>
    <row r="13563" spans="1:6" x14ac:dyDescent="0.2">
      <c r="A13563" s="29" t="s">
        <v>30652</v>
      </c>
      <c r="B13563" s="30" t="s">
        <v>30653</v>
      </c>
      <c r="C13563" s="29" t="s">
        <v>26</v>
      </c>
      <c r="D13563" s="31">
        <v>41399.279999999999</v>
      </c>
      <c r="F13563" s="3" t="str">
        <f t="shared" si="211"/>
        <v>I12242</v>
      </c>
    </row>
    <row r="13564" spans="1:6" x14ac:dyDescent="0.2">
      <c r="A13564" s="29" t="s">
        <v>30654</v>
      </c>
      <c r="B13564" s="30" t="s">
        <v>30655</v>
      </c>
      <c r="C13564" s="29" t="s">
        <v>26</v>
      </c>
      <c r="D13564" s="31">
        <v>588.54999999999995</v>
      </c>
      <c r="F13564" s="3" t="str">
        <f t="shared" si="211"/>
        <v>I6649</v>
      </c>
    </row>
    <row r="13565" spans="1:6" x14ac:dyDescent="0.2">
      <c r="A13565" s="29" t="s">
        <v>30656</v>
      </c>
      <c r="B13565" s="30" t="s">
        <v>30657</v>
      </c>
      <c r="C13565" s="29" t="s">
        <v>26</v>
      </c>
      <c r="D13565" s="31">
        <v>708.26</v>
      </c>
      <c r="F13565" s="3" t="str">
        <f t="shared" si="211"/>
        <v>I6650</v>
      </c>
    </row>
    <row r="13566" spans="1:6" x14ac:dyDescent="0.2">
      <c r="A13566" s="29" t="s">
        <v>30658</v>
      </c>
      <c r="B13566" s="30" t="s">
        <v>30659</v>
      </c>
      <c r="C13566" s="29" t="s">
        <v>26</v>
      </c>
      <c r="D13566" s="31">
        <v>925.61</v>
      </c>
      <c r="F13566" s="3" t="str">
        <f t="shared" si="211"/>
        <v>I6651</v>
      </c>
    </row>
    <row r="13567" spans="1:6" x14ac:dyDescent="0.2">
      <c r="A13567" s="29" t="s">
        <v>30660</v>
      </c>
      <c r="B13567" s="30" t="s">
        <v>30661</v>
      </c>
      <c r="C13567" s="29" t="s">
        <v>26</v>
      </c>
      <c r="D13567" s="31">
        <v>1072.23</v>
      </c>
      <c r="F13567" s="3" t="str">
        <f t="shared" si="211"/>
        <v>I6652</v>
      </c>
    </row>
    <row r="13568" spans="1:6" x14ac:dyDescent="0.2">
      <c r="A13568" s="29" t="s">
        <v>30662</v>
      </c>
      <c r="B13568" s="30" t="s">
        <v>30663</v>
      </c>
      <c r="C13568" s="29" t="s">
        <v>26</v>
      </c>
      <c r="D13568" s="31">
        <v>1296.97</v>
      </c>
      <c r="F13568" s="3" t="str">
        <f t="shared" si="211"/>
        <v>I6653</v>
      </c>
    </row>
    <row r="13569" spans="1:6" x14ac:dyDescent="0.2">
      <c r="A13569" s="29" t="s">
        <v>30664</v>
      </c>
      <c r="B13569" s="30" t="s">
        <v>30665</v>
      </c>
      <c r="C13569" s="29" t="s">
        <v>26</v>
      </c>
      <c r="D13569" s="31">
        <v>2610.16</v>
      </c>
      <c r="F13569" s="3" t="str">
        <f t="shared" si="211"/>
        <v>I6654</v>
      </c>
    </row>
    <row r="13570" spans="1:6" x14ac:dyDescent="0.2">
      <c r="A13570" s="29" t="s">
        <v>30666</v>
      </c>
      <c r="B13570" s="30" t="s">
        <v>30667</v>
      </c>
      <c r="C13570" s="29" t="s">
        <v>26</v>
      </c>
      <c r="D13570" s="31">
        <v>2240.58</v>
      </c>
      <c r="F13570" s="3" t="str">
        <f t="shared" ref="F13570:F13633" si="212">A13570</f>
        <v>I6655</v>
      </c>
    </row>
    <row r="13571" spans="1:6" x14ac:dyDescent="0.2">
      <c r="A13571" s="29" t="s">
        <v>30668</v>
      </c>
      <c r="B13571" s="30" t="s">
        <v>30669</v>
      </c>
      <c r="C13571" s="29" t="s">
        <v>26</v>
      </c>
      <c r="D13571" s="31">
        <v>3992.56</v>
      </c>
      <c r="F13571" s="3" t="str">
        <f t="shared" si="212"/>
        <v>I6656</v>
      </c>
    </row>
    <row r="13572" spans="1:6" x14ac:dyDescent="0.2">
      <c r="A13572" s="29" t="s">
        <v>30670</v>
      </c>
      <c r="B13572" s="30" t="s">
        <v>30671</v>
      </c>
      <c r="C13572" s="29" t="s">
        <v>26</v>
      </c>
      <c r="D13572" s="31">
        <v>4822.04</v>
      </c>
      <c r="F13572" s="3" t="str">
        <f t="shared" si="212"/>
        <v>I6657</v>
      </c>
    </row>
    <row r="13573" spans="1:6" x14ac:dyDescent="0.2">
      <c r="A13573" s="29" t="s">
        <v>30672</v>
      </c>
      <c r="B13573" s="30" t="s">
        <v>30673</v>
      </c>
      <c r="C13573" s="29" t="s">
        <v>26</v>
      </c>
      <c r="D13573" s="31">
        <v>3324.47</v>
      </c>
      <c r="F13573" s="3" t="str">
        <f t="shared" si="212"/>
        <v>I6658</v>
      </c>
    </row>
    <row r="13574" spans="1:6" x14ac:dyDescent="0.2">
      <c r="A13574" s="29" t="s">
        <v>30674</v>
      </c>
      <c r="B13574" s="30" t="s">
        <v>30675</v>
      </c>
      <c r="C13574" s="29" t="s">
        <v>26</v>
      </c>
      <c r="D13574" s="31">
        <v>4655.8900000000003</v>
      </c>
      <c r="F13574" s="3" t="str">
        <f t="shared" si="212"/>
        <v>I6659</v>
      </c>
    </row>
    <row r="13575" spans="1:6" x14ac:dyDescent="0.2">
      <c r="A13575" s="29" t="s">
        <v>30676</v>
      </c>
      <c r="B13575" s="30" t="s">
        <v>30677</v>
      </c>
      <c r="C13575" s="29" t="s">
        <v>26</v>
      </c>
      <c r="D13575" s="31">
        <v>11306.45</v>
      </c>
      <c r="F13575" s="3" t="str">
        <f t="shared" si="212"/>
        <v>I6660</v>
      </c>
    </row>
    <row r="13576" spans="1:6" x14ac:dyDescent="0.2">
      <c r="A13576" s="29" t="s">
        <v>30678</v>
      </c>
      <c r="B13576" s="30" t="s">
        <v>30679</v>
      </c>
      <c r="C13576" s="29" t="s">
        <v>26</v>
      </c>
      <c r="D13576" s="31">
        <v>12594.2</v>
      </c>
      <c r="F13576" s="3" t="str">
        <f t="shared" si="212"/>
        <v>I6661</v>
      </c>
    </row>
    <row r="13577" spans="1:6" x14ac:dyDescent="0.2">
      <c r="A13577" s="29" t="s">
        <v>30680</v>
      </c>
      <c r="B13577" s="30" t="s">
        <v>30681</v>
      </c>
      <c r="C13577" s="29" t="s">
        <v>26</v>
      </c>
      <c r="D13577" s="31">
        <v>18062.189999999999</v>
      </c>
      <c r="F13577" s="3" t="str">
        <f t="shared" si="212"/>
        <v>I6662</v>
      </c>
    </row>
    <row r="13578" spans="1:6" x14ac:dyDescent="0.2">
      <c r="A13578" s="29" t="s">
        <v>30682</v>
      </c>
      <c r="B13578" s="30" t="s">
        <v>30683</v>
      </c>
      <c r="C13578" s="29" t="s">
        <v>26</v>
      </c>
      <c r="D13578" s="31">
        <v>21011.35</v>
      </c>
      <c r="F13578" s="3" t="str">
        <f t="shared" si="212"/>
        <v>I6663</v>
      </c>
    </row>
    <row r="13579" spans="1:6" x14ac:dyDescent="0.2">
      <c r="A13579" s="29" t="s">
        <v>30684</v>
      </c>
      <c r="B13579" s="30" t="s">
        <v>30685</v>
      </c>
      <c r="C13579" s="29" t="s">
        <v>26</v>
      </c>
      <c r="D13579" s="31">
        <v>25880.77</v>
      </c>
      <c r="F13579" s="3" t="str">
        <f t="shared" si="212"/>
        <v>I6664</v>
      </c>
    </row>
    <row r="13580" spans="1:6" x14ac:dyDescent="0.2">
      <c r="A13580" s="29" t="s">
        <v>30686</v>
      </c>
      <c r="B13580" s="30" t="s">
        <v>30687</v>
      </c>
      <c r="C13580" s="29" t="s">
        <v>26</v>
      </c>
      <c r="D13580" s="31">
        <v>1071.2</v>
      </c>
      <c r="F13580" s="3" t="str">
        <f t="shared" si="212"/>
        <v>I4261</v>
      </c>
    </row>
    <row r="13581" spans="1:6" x14ac:dyDescent="0.2">
      <c r="A13581" s="29" t="s">
        <v>30688</v>
      </c>
      <c r="B13581" s="30" t="s">
        <v>30689</v>
      </c>
      <c r="C13581" s="29" t="s">
        <v>26</v>
      </c>
      <c r="D13581" s="31">
        <v>1269.73</v>
      </c>
      <c r="F13581" s="3" t="str">
        <f t="shared" si="212"/>
        <v>I4262</v>
      </c>
    </row>
    <row r="13582" spans="1:6" x14ac:dyDescent="0.2">
      <c r="A13582" s="29" t="s">
        <v>30690</v>
      </c>
      <c r="B13582" s="30" t="s">
        <v>30691</v>
      </c>
      <c r="C13582" s="29" t="s">
        <v>26</v>
      </c>
      <c r="D13582" s="31">
        <v>1468.21</v>
      </c>
      <c r="F13582" s="3" t="str">
        <f t="shared" si="212"/>
        <v>I4263</v>
      </c>
    </row>
    <row r="13583" spans="1:6" x14ac:dyDescent="0.2">
      <c r="A13583" s="29" t="s">
        <v>30692</v>
      </c>
      <c r="B13583" s="30" t="s">
        <v>30693</v>
      </c>
      <c r="C13583" s="29" t="s">
        <v>26</v>
      </c>
      <c r="D13583" s="31">
        <v>1666.76</v>
      </c>
      <c r="F13583" s="3" t="str">
        <f t="shared" si="212"/>
        <v>I4264</v>
      </c>
    </row>
    <row r="13584" spans="1:6" x14ac:dyDescent="0.2">
      <c r="A13584" s="29" t="s">
        <v>30694</v>
      </c>
      <c r="B13584" s="30" t="s">
        <v>30695</v>
      </c>
      <c r="C13584" s="29" t="s">
        <v>26</v>
      </c>
      <c r="D13584" s="31">
        <v>1865.28</v>
      </c>
      <c r="F13584" s="3" t="str">
        <f t="shared" si="212"/>
        <v>I4265</v>
      </c>
    </row>
    <row r="13585" spans="1:6" x14ac:dyDescent="0.2">
      <c r="A13585" s="29" t="s">
        <v>30696</v>
      </c>
      <c r="B13585" s="30" t="s">
        <v>30697</v>
      </c>
      <c r="C13585" s="29" t="s">
        <v>26</v>
      </c>
      <c r="D13585" s="31">
        <v>2063.79</v>
      </c>
      <c r="F13585" s="3" t="str">
        <f t="shared" si="212"/>
        <v>I4266</v>
      </c>
    </row>
    <row r="13586" spans="1:6" x14ac:dyDescent="0.2">
      <c r="A13586" s="29" t="s">
        <v>30698</v>
      </c>
      <c r="B13586" s="30" t="s">
        <v>30699</v>
      </c>
      <c r="C13586" s="29" t="s">
        <v>26</v>
      </c>
      <c r="D13586" s="31">
        <v>2266.42</v>
      </c>
      <c r="F13586" s="3" t="str">
        <f t="shared" si="212"/>
        <v>I4267</v>
      </c>
    </row>
    <row r="13587" spans="1:6" x14ac:dyDescent="0.2">
      <c r="A13587" s="29" t="s">
        <v>30700</v>
      </c>
      <c r="B13587" s="30" t="s">
        <v>30701</v>
      </c>
      <c r="C13587" s="29" t="s">
        <v>26</v>
      </c>
      <c r="D13587" s="31">
        <v>2464.79</v>
      </c>
      <c r="F13587" s="3" t="str">
        <f t="shared" si="212"/>
        <v>I4268</v>
      </c>
    </row>
    <row r="13588" spans="1:6" x14ac:dyDescent="0.2">
      <c r="A13588" s="29" t="s">
        <v>30702</v>
      </c>
      <c r="B13588" s="30" t="s">
        <v>30703</v>
      </c>
      <c r="C13588" s="29" t="s">
        <v>26</v>
      </c>
      <c r="D13588" s="31">
        <v>2834.23</v>
      </c>
      <c r="F13588" s="3" t="str">
        <f t="shared" si="212"/>
        <v>I4269</v>
      </c>
    </row>
    <row r="13589" spans="1:6" x14ac:dyDescent="0.2">
      <c r="A13589" s="29" t="s">
        <v>30704</v>
      </c>
      <c r="B13589" s="30" t="s">
        <v>30705</v>
      </c>
      <c r="C13589" s="29" t="s">
        <v>26</v>
      </c>
      <c r="D13589" s="31">
        <v>2863.47</v>
      </c>
      <c r="F13589" s="3" t="str">
        <f t="shared" si="212"/>
        <v>I4270</v>
      </c>
    </row>
    <row r="13590" spans="1:6" x14ac:dyDescent="0.2">
      <c r="A13590" s="29" t="s">
        <v>30706</v>
      </c>
      <c r="B13590" s="30" t="s">
        <v>30707</v>
      </c>
      <c r="C13590" s="29" t="s">
        <v>26</v>
      </c>
      <c r="D13590" s="31">
        <v>2880.19</v>
      </c>
      <c r="F13590" s="3" t="str">
        <f t="shared" si="212"/>
        <v>I4271</v>
      </c>
    </row>
    <row r="13591" spans="1:6" x14ac:dyDescent="0.2">
      <c r="A13591" s="29" t="s">
        <v>30708</v>
      </c>
      <c r="B13591" s="30" t="s">
        <v>30709</v>
      </c>
      <c r="C13591" s="29" t="s">
        <v>26</v>
      </c>
      <c r="D13591" s="31">
        <v>1071.2</v>
      </c>
      <c r="F13591" s="3" t="str">
        <f t="shared" si="212"/>
        <v>I7194</v>
      </c>
    </row>
    <row r="13592" spans="1:6" x14ac:dyDescent="0.2">
      <c r="A13592" s="29" t="s">
        <v>30710</v>
      </c>
      <c r="B13592" s="30" t="s">
        <v>30711</v>
      </c>
      <c r="C13592" s="29" t="s">
        <v>26</v>
      </c>
      <c r="D13592" s="31">
        <v>1269.73</v>
      </c>
      <c r="F13592" s="3" t="str">
        <f t="shared" si="212"/>
        <v>I7195</v>
      </c>
    </row>
    <row r="13593" spans="1:6" x14ac:dyDescent="0.2">
      <c r="A13593" s="29" t="s">
        <v>30712</v>
      </c>
      <c r="B13593" s="30" t="s">
        <v>30713</v>
      </c>
      <c r="C13593" s="29" t="s">
        <v>26</v>
      </c>
      <c r="D13593" s="31">
        <v>1468.21</v>
      </c>
      <c r="F13593" s="3" t="str">
        <f t="shared" si="212"/>
        <v>I7196</v>
      </c>
    </row>
    <row r="13594" spans="1:6" x14ac:dyDescent="0.2">
      <c r="A13594" s="29" t="s">
        <v>30714</v>
      </c>
      <c r="B13594" s="30" t="s">
        <v>30715</v>
      </c>
      <c r="C13594" s="29" t="s">
        <v>26</v>
      </c>
      <c r="D13594" s="31">
        <v>1666.76</v>
      </c>
      <c r="F13594" s="3" t="str">
        <f t="shared" si="212"/>
        <v>I7197</v>
      </c>
    </row>
    <row r="13595" spans="1:6" x14ac:dyDescent="0.2">
      <c r="A13595" s="29" t="s">
        <v>30716</v>
      </c>
      <c r="B13595" s="30" t="s">
        <v>30717</v>
      </c>
      <c r="C13595" s="29" t="s">
        <v>26</v>
      </c>
      <c r="D13595" s="31">
        <v>1865.28</v>
      </c>
      <c r="F13595" s="3" t="str">
        <f t="shared" si="212"/>
        <v>I7198</v>
      </c>
    </row>
    <row r="13596" spans="1:6" x14ac:dyDescent="0.2">
      <c r="A13596" s="29" t="s">
        <v>30718</v>
      </c>
      <c r="B13596" s="30" t="s">
        <v>30719</v>
      </c>
      <c r="C13596" s="29" t="s">
        <v>26</v>
      </c>
      <c r="D13596" s="31">
        <v>2063.79</v>
      </c>
      <c r="F13596" s="3" t="str">
        <f t="shared" si="212"/>
        <v>I7199</v>
      </c>
    </row>
    <row r="13597" spans="1:6" x14ac:dyDescent="0.2">
      <c r="A13597" s="29" t="s">
        <v>30720</v>
      </c>
      <c r="B13597" s="30" t="s">
        <v>30721</v>
      </c>
      <c r="C13597" s="29" t="s">
        <v>26</v>
      </c>
      <c r="D13597" s="31">
        <v>2266.42</v>
      </c>
      <c r="F13597" s="3" t="str">
        <f t="shared" si="212"/>
        <v>I7200</v>
      </c>
    </row>
    <row r="13598" spans="1:6" x14ac:dyDescent="0.2">
      <c r="A13598" s="29" t="s">
        <v>30722</v>
      </c>
      <c r="B13598" s="30" t="s">
        <v>30723</v>
      </c>
      <c r="C13598" s="29" t="s">
        <v>26</v>
      </c>
      <c r="D13598" s="31">
        <v>2464.79</v>
      </c>
      <c r="F13598" s="3" t="str">
        <f t="shared" si="212"/>
        <v>I7201</v>
      </c>
    </row>
    <row r="13599" spans="1:6" x14ac:dyDescent="0.2">
      <c r="A13599" s="29" t="s">
        <v>30724</v>
      </c>
      <c r="B13599" s="30" t="s">
        <v>30725</v>
      </c>
      <c r="C13599" s="29" t="s">
        <v>26</v>
      </c>
      <c r="D13599" s="31">
        <v>2834.23</v>
      </c>
      <c r="F13599" s="3" t="str">
        <f t="shared" si="212"/>
        <v>I7202</v>
      </c>
    </row>
    <row r="13600" spans="1:6" x14ac:dyDescent="0.2">
      <c r="A13600" s="29" t="s">
        <v>30726</v>
      </c>
      <c r="B13600" s="30" t="s">
        <v>30727</v>
      </c>
      <c r="C13600" s="29" t="s">
        <v>26</v>
      </c>
      <c r="D13600" s="31">
        <v>2863.47</v>
      </c>
      <c r="F13600" s="3" t="str">
        <f t="shared" si="212"/>
        <v>I7203</v>
      </c>
    </row>
    <row r="13601" spans="1:6" x14ac:dyDescent="0.2">
      <c r="A13601" s="29" t="s">
        <v>30728</v>
      </c>
      <c r="B13601" s="30" t="s">
        <v>30729</v>
      </c>
      <c r="C13601" s="29" t="s">
        <v>26</v>
      </c>
      <c r="D13601" s="31">
        <v>2880.19</v>
      </c>
      <c r="F13601" s="3" t="str">
        <f t="shared" si="212"/>
        <v>I7204</v>
      </c>
    </row>
    <row r="13602" spans="1:6" x14ac:dyDescent="0.2">
      <c r="A13602" s="29" t="s">
        <v>30730</v>
      </c>
      <c r="B13602" s="30" t="s">
        <v>30731</v>
      </c>
      <c r="C13602" s="29" t="s">
        <v>26</v>
      </c>
      <c r="D13602" s="31">
        <v>1208.6500000000001</v>
      </c>
      <c r="F13602" s="3" t="str">
        <f t="shared" si="212"/>
        <v>I4272</v>
      </c>
    </row>
    <row r="13603" spans="1:6" x14ac:dyDescent="0.2">
      <c r="A13603" s="29" t="s">
        <v>30732</v>
      </c>
      <c r="B13603" s="30" t="s">
        <v>30733</v>
      </c>
      <c r="C13603" s="29" t="s">
        <v>26</v>
      </c>
      <c r="D13603" s="31">
        <v>1409.89</v>
      </c>
      <c r="F13603" s="3" t="str">
        <f t="shared" si="212"/>
        <v>I4273</v>
      </c>
    </row>
    <row r="13604" spans="1:6" x14ac:dyDescent="0.2">
      <c r="A13604" s="29" t="s">
        <v>30734</v>
      </c>
      <c r="B13604" s="30" t="s">
        <v>30735</v>
      </c>
      <c r="C13604" s="29" t="s">
        <v>26</v>
      </c>
      <c r="D13604" s="31">
        <v>1606.96</v>
      </c>
      <c r="F13604" s="3" t="str">
        <f t="shared" si="212"/>
        <v>I4274</v>
      </c>
    </row>
    <row r="13605" spans="1:6" x14ac:dyDescent="0.2">
      <c r="A13605" s="29" t="s">
        <v>30736</v>
      </c>
      <c r="B13605" s="30" t="s">
        <v>30737</v>
      </c>
      <c r="C13605" s="29" t="s">
        <v>26</v>
      </c>
      <c r="D13605" s="31">
        <v>1808.08</v>
      </c>
      <c r="F13605" s="3" t="str">
        <f t="shared" si="212"/>
        <v>I4275</v>
      </c>
    </row>
    <row r="13606" spans="1:6" x14ac:dyDescent="0.2">
      <c r="A13606" s="29" t="s">
        <v>30738</v>
      </c>
      <c r="B13606" s="30" t="s">
        <v>30739</v>
      </c>
      <c r="C13606" s="29" t="s">
        <v>26</v>
      </c>
      <c r="D13606" s="31">
        <v>2009.18</v>
      </c>
      <c r="F13606" s="3" t="str">
        <f t="shared" si="212"/>
        <v>I4276</v>
      </c>
    </row>
    <row r="13607" spans="1:6" x14ac:dyDescent="0.2">
      <c r="A13607" s="29" t="s">
        <v>30740</v>
      </c>
      <c r="B13607" s="30" t="s">
        <v>30741</v>
      </c>
      <c r="C13607" s="29" t="s">
        <v>26</v>
      </c>
      <c r="D13607" s="31">
        <v>2210.42</v>
      </c>
      <c r="F13607" s="3" t="str">
        <f t="shared" si="212"/>
        <v>I4277</v>
      </c>
    </row>
    <row r="13608" spans="1:6" x14ac:dyDescent="0.2">
      <c r="A13608" s="29" t="s">
        <v>30742</v>
      </c>
      <c r="B13608" s="30" t="s">
        <v>30743</v>
      </c>
      <c r="C13608" s="29" t="s">
        <v>26</v>
      </c>
      <c r="D13608" s="31">
        <v>2411.59</v>
      </c>
      <c r="F13608" s="3" t="str">
        <f t="shared" si="212"/>
        <v>I4278</v>
      </c>
    </row>
    <row r="13609" spans="1:6" x14ac:dyDescent="0.2">
      <c r="A13609" s="29" t="s">
        <v>30744</v>
      </c>
      <c r="B13609" s="30" t="s">
        <v>30745</v>
      </c>
      <c r="C13609" s="29" t="s">
        <v>26</v>
      </c>
      <c r="D13609" s="31">
        <v>2612.77</v>
      </c>
      <c r="F13609" s="3" t="str">
        <f t="shared" si="212"/>
        <v>I4279</v>
      </c>
    </row>
    <row r="13610" spans="1:6" x14ac:dyDescent="0.2">
      <c r="A13610" s="29" t="s">
        <v>30746</v>
      </c>
      <c r="B13610" s="30" t="s">
        <v>30747</v>
      </c>
      <c r="C13610" s="29" t="s">
        <v>26</v>
      </c>
      <c r="D13610" s="31">
        <v>2974.41</v>
      </c>
      <c r="F13610" s="3" t="str">
        <f t="shared" si="212"/>
        <v>I4280</v>
      </c>
    </row>
    <row r="13611" spans="1:6" x14ac:dyDescent="0.2">
      <c r="A13611" s="29" t="s">
        <v>30748</v>
      </c>
      <c r="B13611" s="30" t="s">
        <v>30749</v>
      </c>
      <c r="C13611" s="29" t="s">
        <v>26</v>
      </c>
      <c r="D13611" s="31">
        <v>3012.43</v>
      </c>
      <c r="F13611" s="3" t="str">
        <f t="shared" si="212"/>
        <v>I4281</v>
      </c>
    </row>
    <row r="13612" spans="1:6" x14ac:dyDescent="0.2">
      <c r="A13612" s="29" t="s">
        <v>30750</v>
      </c>
      <c r="B13612" s="30" t="s">
        <v>30751</v>
      </c>
      <c r="C13612" s="29" t="s">
        <v>26</v>
      </c>
      <c r="D13612" s="31">
        <v>3037.74</v>
      </c>
      <c r="F13612" s="3" t="str">
        <f t="shared" si="212"/>
        <v>I4282</v>
      </c>
    </row>
    <row r="13613" spans="1:6" x14ac:dyDescent="0.2">
      <c r="A13613" s="29" t="s">
        <v>30752</v>
      </c>
      <c r="B13613" s="30" t="s">
        <v>30753</v>
      </c>
      <c r="C13613" s="29" t="s">
        <v>26</v>
      </c>
      <c r="D13613" s="31">
        <v>1451.55</v>
      </c>
      <c r="F13613" s="3" t="str">
        <f t="shared" si="212"/>
        <v>I4283</v>
      </c>
    </row>
    <row r="13614" spans="1:6" x14ac:dyDescent="0.2">
      <c r="A13614" s="29" t="s">
        <v>30754</v>
      </c>
      <c r="B13614" s="30" t="s">
        <v>30755</v>
      </c>
      <c r="C13614" s="29" t="s">
        <v>26</v>
      </c>
      <c r="D13614" s="31">
        <v>1699.78</v>
      </c>
      <c r="F13614" s="3" t="str">
        <f t="shared" si="212"/>
        <v>I4284</v>
      </c>
    </row>
    <row r="13615" spans="1:6" x14ac:dyDescent="0.2">
      <c r="A13615" s="29" t="s">
        <v>30756</v>
      </c>
      <c r="B13615" s="30" t="s">
        <v>30757</v>
      </c>
      <c r="C13615" s="29" t="s">
        <v>26</v>
      </c>
      <c r="D13615" s="31">
        <v>1943.98</v>
      </c>
      <c r="F13615" s="3" t="str">
        <f t="shared" si="212"/>
        <v>I4285</v>
      </c>
    </row>
    <row r="13616" spans="1:6" x14ac:dyDescent="0.2">
      <c r="A13616" s="29" t="s">
        <v>30758</v>
      </c>
      <c r="B13616" s="30" t="s">
        <v>30759</v>
      </c>
      <c r="C13616" s="29" t="s">
        <v>26</v>
      </c>
      <c r="D13616" s="31">
        <v>2188.08</v>
      </c>
      <c r="F13616" s="3" t="str">
        <f t="shared" si="212"/>
        <v>I4286</v>
      </c>
    </row>
    <row r="13617" spans="1:6" x14ac:dyDescent="0.2">
      <c r="A13617" s="29" t="s">
        <v>30760</v>
      </c>
      <c r="B13617" s="30" t="s">
        <v>30761</v>
      </c>
      <c r="C13617" s="29" t="s">
        <v>26</v>
      </c>
      <c r="D13617" s="31">
        <v>2436.31</v>
      </c>
      <c r="F13617" s="3" t="str">
        <f t="shared" si="212"/>
        <v>I4287</v>
      </c>
    </row>
    <row r="13618" spans="1:6" x14ac:dyDescent="0.2">
      <c r="A13618" s="29" t="s">
        <v>30762</v>
      </c>
      <c r="B13618" s="30" t="s">
        <v>30763</v>
      </c>
      <c r="C13618" s="29" t="s">
        <v>26</v>
      </c>
      <c r="D13618" s="31">
        <v>1776.04</v>
      </c>
      <c r="F13618" s="3" t="str">
        <f t="shared" si="212"/>
        <v>I4294</v>
      </c>
    </row>
    <row r="13619" spans="1:6" x14ac:dyDescent="0.2">
      <c r="A13619" s="29" t="s">
        <v>30764</v>
      </c>
      <c r="B13619" s="30" t="s">
        <v>30765</v>
      </c>
      <c r="C13619" s="29" t="s">
        <v>26</v>
      </c>
      <c r="D13619" s="31">
        <v>2096.96</v>
      </c>
      <c r="F13619" s="3" t="str">
        <f t="shared" si="212"/>
        <v>I4295</v>
      </c>
    </row>
    <row r="13620" spans="1:6" x14ac:dyDescent="0.2">
      <c r="A13620" s="29" t="s">
        <v>30766</v>
      </c>
      <c r="B13620" s="30" t="s">
        <v>30767</v>
      </c>
      <c r="C13620" s="29" t="s">
        <v>26</v>
      </c>
      <c r="D13620" s="31">
        <v>2417.87</v>
      </c>
      <c r="F13620" s="3" t="str">
        <f t="shared" si="212"/>
        <v>I4296</v>
      </c>
    </row>
    <row r="13621" spans="1:6" x14ac:dyDescent="0.2">
      <c r="A13621" s="29" t="s">
        <v>30768</v>
      </c>
      <c r="B13621" s="30" t="s">
        <v>30769</v>
      </c>
      <c r="C13621" s="29" t="s">
        <v>26</v>
      </c>
      <c r="D13621" s="31">
        <v>2734.72</v>
      </c>
      <c r="F13621" s="3" t="str">
        <f t="shared" si="212"/>
        <v>I4297</v>
      </c>
    </row>
    <row r="13622" spans="1:6" x14ac:dyDescent="0.2">
      <c r="A13622" s="29" t="s">
        <v>30770</v>
      </c>
      <c r="B13622" s="30" t="s">
        <v>30771</v>
      </c>
      <c r="C13622" s="29" t="s">
        <v>26</v>
      </c>
      <c r="D13622" s="31">
        <v>3055.62</v>
      </c>
      <c r="F13622" s="3" t="str">
        <f t="shared" si="212"/>
        <v>I4298</v>
      </c>
    </row>
    <row r="13623" spans="1:6" x14ac:dyDescent="0.2">
      <c r="A13623" s="29" t="s">
        <v>30772</v>
      </c>
      <c r="B13623" s="30" t="s">
        <v>30773</v>
      </c>
      <c r="C13623" s="29" t="s">
        <v>26</v>
      </c>
      <c r="D13623" s="31">
        <v>3376.58</v>
      </c>
      <c r="F13623" s="3" t="str">
        <f t="shared" si="212"/>
        <v>I4299</v>
      </c>
    </row>
    <row r="13624" spans="1:6" x14ac:dyDescent="0.2">
      <c r="A13624" s="29" t="s">
        <v>30774</v>
      </c>
      <c r="B13624" s="30" t="s">
        <v>30775</v>
      </c>
      <c r="C13624" s="29" t="s">
        <v>26</v>
      </c>
      <c r="D13624" s="31">
        <v>3693.4</v>
      </c>
      <c r="F13624" s="3" t="str">
        <f t="shared" si="212"/>
        <v>I4300</v>
      </c>
    </row>
    <row r="13625" spans="1:6" x14ac:dyDescent="0.2">
      <c r="A13625" s="29" t="s">
        <v>30776</v>
      </c>
      <c r="B13625" s="30" t="s">
        <v>30777</v>
      </c>
      <c r="C13625" s="29" t="s">
        <v>26</v>
      </c>
      <c r="D13625" s="31">
        <v>4014.38</v>
      </c>
      <c r="F13625" s="3" t="str">
        <f t="shared" si="212"/>
        <v>I4301</v>
      </c>
    </row>
    <row r="13626" spans="1:6" x14ac:dyDescent="0.2">
      <c r="A13626" s="29" t="s">
        <v>30778</v>
      </c>
      <c r="B13626" s="30" t="s">
        <v>30779</v>
      </c>
      <c r="C13626" s="29" t="s">
        <v>26</v>
      </c>
      <c r="D13626" s="31">
        <v>4578.43</v>
      </c>
      <c r="F13626" s="3" t="str">
        <f t="shared" si="212"/>
        <v>I4302</v>
      </c>
    </row>
    <row r="13627" spans="1:6" x14ac:dyDescent="0.2">
      <c r="A13627" s="29" t="s">
        <v>30780</v>
      </c>
      <c r="B13627" s="30" t="s">
        <v>30781</v>
      </c>
      <c r="C13627" s="29" t="s">
        <v>26</v>
      </c>
      <c r="D13627" s="31">
        <v>4654.3599999999997</v>
      </c>
      <c r="F13627" s="3" t="str">
        <f t="shared" si="212"/>
        <v>I4303</v>
      </c>
    </row>
    <row r="13628" spans="1:6" x14ac:dyDescent="0.2">
      <c r="A13628" s="29" t="s">
        <v>30782</v>
      </c>
      <c r="B13628" s="30" t="s">
        <v>30783</v>
      </c>
      <c r="C13628" s="29" t="s">
        <v>26</v>
      </c>
      <c r="D13628" s="31">
        <v>4704.78</v>
      </c>
      <c r="F13628" s="3" t="str">
        <f t="shared" si="212"/>
        <v>I4304</v>
      </c>
    </row>
    <row r="13629" spans="1:6" x14ac:dyDescent="0.2">
      <c r="A13629" s="29" t="s">
        <v>30784</v>
      </c>
      <c r="B13629" s="30" t="s">
        <v>30785</v>
      </c>
      <c r="C13629" s="29" t="s">
        <v>26</v>
      </c>
      <c r="D13629" s="31">
        <v>2076.65</v>
      </c>
      <c r="F13629" s="3" t="str">
        <f t="shared" si="212"/>
        <v>I4305</v>
      </c>
    </row>
    <row r="13630" spans="1:6" x14ac:dyDescent="0.2">
      <c r="A13630" s="29" t="s">
        <v>30786</v>
      </c>
      <c r="B13630" s="30" t="s">
        <v>30787</v>
      </c>
      <c r="C13630" s="29" t="s">
        <v>26</v>
      </c>
      <c r="D13630" s="31">
        <v>2476.75</v>
      </c>
      <c r="F13630" s="3" t="str">
        <f t="shared" si="212"/>
        <v>I4306</v>
      </c>
    </row>
    <row r="13631" spans="1:6" x14ac:dyDescent="0.2">
      <c r="A13631" s="29" t="s">
        <v>30788</v>
      </c>
      <c r="B13631" s="30" t="s">
        <v>30789</v>
      </c>
      <c r="C13631" s="29" t="s">
        <v>26</v>
      </c>
      <c r="D13631" s="31">
        <v>2872.83</v>
      </c>
      <c r="F13631" s="3" t="str">
        <f t="shared" si="212"/>
        <v>I4307</v>
      </c>
    </row>
    <row r="13632" spans="1:6" x14ac:dyDescent="0.2">
      <c r="A13632" s="29" t="s">
        <v>30790</v>
      </c>
      <c r="B13632" s="30" t="s">
        <v>30791</v>
      </c>
      <c r="C13632" s="29" t="s">
        <v>26</v>
      </c>
      <c r="D13632" s="31">
        <v>3272.87</v>
      </c>
      <c r="F13632" s="3" t="str">
        <f t="shared" si="212"/>
        <v>I4308</v>
      </c>
    </row>
    <row r="13633" spans="1:6" x14ac:dyDescent="0.2">
      <c r="A13633" s="29" t="s">
        <v>30792</v>
      </c>
      <c r="B13633" s="30" t="s">
        <v>30793</v>
      </c>
      <c r="C13633" s="29" t="s">
        <v>26</v>
      </c>
      <c r="D13633" s="31">
        <v>3672.91</v>
      </c>
      <c r="F13633" s="3" t="str">
        <f t="shared" si="212"/>
        <v>I4309</v>
      </c>
    </row>
    <row r="13634" spans="1:6" x14ac:dyDescent="0.2">
      <c r="A13634" s="29" t="s">
        <v>30794</v>
      </c>
      <c r="B13634" s="30" t="s">
        <v>30795</v>
      </c>
      <c r="C13634" s="29" t="s">
        <v>26</v>
      </c>
      <c r="D13634" s="31">
        <v>4068.84</v>
      </c>
      <c r="F13634" s="3" t="str">
        <f t="shared" ref="F13634:F13697" si="213">A13634</f>
        <v>I4310</v>
      </c>
    </row>
    <row r="13635" spans="1:6" x14ac:dyDescent="0.2">
      <c r="A13635" s="29" t="s">
        <v>30796</v>
      </c>
      <c r="B13635" s="30" t="s">
        <v>30797</v>
      </c>
      <c r="C13635" s="29" t="s">
        <v>26</v>
      </c>
      <c r="D13635" s="31">
        <v>4468.96</v>
      </c>
      <c r="F13635" s="3" t="str">
        <f t="shared" si="213"/>
        <v>I4311</v>
      </c>
    </row>
    <row r="13636" spans="1:6" x14ac:dyDescent="0.2">
      <c r="A13636" s="29" t="s">
        <v>30798</v>
      </c>
      <c r="B13636" s="30" t="s">
        <v>30799</v>
      </c>
      <c r="C13636" s="29" t="s">
        <v>26</v>
      </c>
      <c r="D13636" s="31">
        <v>4864.9399999999996</v>
      </c>
      <c r="F13636" s="3" t="str">
        <f t="shared" si="213"/>
        <v>I4312</v>
      </c>
    </row>
    <row r="13637" spans="1:6" x14ac:dyDescent="0.2">
      <c r="A13637" s="29" t="s">
        <v>30800</v>
      </c>
      <c r="B13637" s="30" t="s">
        <v>30801</v>
      </c>
      <c r="C13637" s="29" t="s">
        <v>26</v>
      </c>
      <c r="D13637" s="31">
        <v>5563.01</v>
      </c>
      <c r="F13637" s="3" t="str">
        <f t="shared" si="213"/>
        <v>I4313</v>
      </c>
    </row>
    <row r="13638" spans="1:6" x14ac:dyDescent="0.2">
      <c r="A13638" s="29" t="s">
        <v>30802</v>
      </c>
      <c r="B13638" s="30" t="s">
        <v>30803</v>
      </c>
      <c r="C13638" s="29" t="s">
        <v>26</v>
      </c>
      <c r="D13638" s="31">
        <v>5667.82</v>
      </c>
      <c r="F13638" s="3" t="str">
        <f t="shared" si="213"/>
        <v>I4314</v>
      </c>
    </row>
    <row r="13639" spans="1:6" x14ac:dyDescent="0.2">
      <c r="A13639" s="29" t="s">
        <v>30804</v>
      </c>
      <c r="B13639" s="30" t="s">
        <v>30805</v>
      </c>
      <c r="C13639" s="29" t="s">
        <v>26</v>
      </c>
      <c r="D13639" s="31">
        <v>5726.6</v>
      </c>
      <c r="F13639" s="3" t="str">
        <f t="shared" si="213"/>
        <v>I4315</v>
      </c>
    </row>
    <row r="13640" spans="1:6" x14ac:dyDescent="0.2">
      <c r="A13640" s="29" t="s">
        <v>30806</v>
      </c>
      <c r="B13640" s="30" t="s">
        <v>30807</v>
      </c>
      <c r="C13640" s="29" t="s">
        <v>26</v>
      </c>
      <c r="D13640" s="31">
        <v>2505.8000000000002</v>
      </c>
      <c r="F13640" s="3" t="str">
        <f t="shared" si="213"/>
        <v>I4316</v>
      </c>
    </row>
    <row r="13641" spans="1:6" x14ac:dyDescent="0.2">
      <c r="A13641" s="29" t="s">
        <v>30808</v>
      </c>
      <c r="B13641" s="30" t="s">
        <v>30809</v>
      </c>
      <c r="C13641" s="29" t="s">
        <v>26</v>
      </c>
      <c r="D13641" s="31">
        <v>2994.18</v>
      </c>
      <c r="F13641" s="3" t="str">
        <f t="shared" si="213"/>
        <v>I4317</v>
      </c>
    </row>
    <row r="13642" spans="1:6" x14ac:dyDescent="0.2">
      <c r="A13642" s="29" t="s">
        <v>30810</v>
      </c>
      <c r="B13642" s="30" t="s">
        <v>30811</v>
      </c>
      <c r="C13642" s="29" t="s">
        <v>26</v>
      </c>
      <c r="D13642" s="31">
        <v>3482.55</v>
      </c>
      <c r="F13642" s="3" t="str">
        <f t="shared" si="213"/>
        <v>I4318</v>
      </c>
    </row>
    <row r="13643" spans="1:6" x14ac:dyDescent="0.2">
      <c r="A13643" s="29" t="s">
        <v>30812</v>
      </c>
      <c r="B13643" s="30" t="s">
        <v>30813</v>
      </c>
      <c r="C13643" s="29" t="s">
        <v>26</v>
      </c>
      <c r="D13643" s="31">
        <v>3970.98</v>
      </c>
      <c r="F13643" s="3" t="str">
        <f t="shared" si="213"/>
        <v>I4319</v>
      </c>
    </row>
    <row r="13644" spans="1:6" x14ac:dyDescent="0.2">
      <c r="A13644" s="29" t="s">
        <v>30814</v>
      </c>
      <c r="B13644" s="30" t="s">
        <v>30815</v>
      </c>
      <c r="C13644" s="29" t="s">
        <v>26</v>
      </c>
      <c r="D13644" s="31">
        <v>4459.33</v>
      </c>
      <c r="F13644" s="3" t="str">
        <f t="shared" si="213"/>
        <v>I4320</v>
      </c>
    </row>
    <row r="13645" spans="1:6" x14ac:dyDescent="0.2">
      <c r="A13645" s="29" t="s">
        <v>30816</v>
      </c>
      <c r="B13645" s="30" t="s">
        <v>30817</v>
      </c>
      <c r="C13645" s="29" t="s">
        <v>26</v>
      </c>
      <c r="D13645" s="31">
        <v>4947.6899999999996</v>
      </c>
      <c r="F13645" s="3" t="str">
        <f t="shared" si="213"/>
        <v>I4321</v>
      </c>
    </row>
    <row r="13646" spans="1:6" x14ac:dyDescent="0.2">
      <c r="A13646" s="29" t="s">
        <v>30818</v>
      </c>
      <c r="B13646" s="30" t="s">
        <v>30819</v>
      </c>
      <c r="C13646" s="29" t="s">
        <v>26</v>
      </c>
      <c r="D13646" s="31">
        <v>5436.04</v>
      </c>
      <c r="F13646" s="3" t="str">
        <f t="shared" si="213"/>
        <v>I4322</v>
      </c>
    </row>
    <row r="13647" spans="1:6" x14ac:dyDescent="0.2">
      <c r="A13647" s="29" t="s">
        <v>30820</v>
      </c>
      <c r="B13647" s="30" t="s">
        <v>30821</v>
      </c>
      <c r="C13647" s="29" t="s">
        <v>26</v>
      </c>
      <c r="D13647" s="31">
        <v>5924.47</v>
      </c>
      <c r="F13647" s="3" t="str">
        <f t="shared" si="213"/>
        <v>I4323</v>
      </c>
    </row>
    <row r="13648" spans="1:6" x14ac:dyDescent="0.2">
      <c r="A13648" s="29" t="s">
        <v>30822</v>
      </c>
      <c r="B13648" s="30" t="s">
        <v>30823</v>
      </c>
      <c r="C13648" s="29" t="s">
        <v>26</v>
      </c>
      <c r="D13648" s="31">
        <v>6779.19</v>
      </c>
      <c r="F13648" s="3" t="str">
        <f t="shared" si="213"/>
        <v>I4324</v>
      </c>
    </row>
    <row r="13649" spans="1:6" x14ac:dyDescent="0.2">
      <c r="A13649" s="29" t="s">
        <v>30824</v>
      </c>
      <c r="B13649" s="30" t="s">
        <v>30825</v>
      </c>
      <c r="C13649" s="29" t="s">
        <v>26</v>
      </c>
      <c r="D13649" s="31">
        <v>6908.54</v>
      </c>
      <c r="F13649" s="3" t="str">
        <f t="shared" si="213"/>
        <v>I4325</v>
      </c>
    </row>
    <row r="13650" spans="1:6" x14ac:dyDescent="0.2">
      <c r="A13650" s="29" t="s">
        <v>30826</v>
      </c>
      <c r="B13650" s="30" t="s">
        <v>30827</v>
      </c>
      <c r="C13650" s="29" t="s">
        <v>26</v>
      </c>
      <c r="D13650" s="31">
        <v>6983.72</v>
      </c>
      <c r="F13650" s="3" t="str">
        <f t="shared" si="213"/>
        <v>I4326</v>
      </c>
    </row>
    <row r="13651" spans="1:6" x14ac:dyDescent="0.2">
      <c r="A13651" s="29" t="s">
        <v>30828</v>
      </c>
      <c r="B13651" s="30" t="s">
        <v>30829</v>
      </c>
      <c r="C13651" s="29" t="s">
        <v>26</v>
      </c>
      <c r="D13651" s="31">
        <v>2989.31</v>
      </c>
      <c r="F13651" s="3" t="str">
        <f t="shared" si="213"/>
        <v>I4327</v>
      </c>
    </row>
    <row r="13652" spans="1:6" x14ac:dyDescent="0.2">
      <c r="A13652" s="29" t="s">
        <v>30830</v>
      </c>
      <c r="B13652" s="30" t="s">
        <v>30831</v>
      </c>
      <c r="C13652" s="29" t="s">
        <v>26</v>
      </c>
      <c r="D13652" s="31">
        <v>3549.88</v>
      </c>
      <c r="F13652" s="3" t="str">
        <f t="shared" si="213"/>
        <v>I4328</v>
      </c>
    </row>
    <row r="13653" spans="1:6" x14ac:dyDescent="0.2">
      <c r="A13653" s="29" t="s">
        <v>30832</v>
      </c>
      <c r="B13653" s="30" t="s">
        <v>30833</v>
      </c>
      <c r="C13653" s="29" t="s">
        <v>26</v>
      </c>
      <c r="D13653" s="31">
        <v>4110.5600000000004</v>
      </c>
      <c r="F13653" s="3" t="str">
        <f t="shared" si="213"/>
        <v>I4329</v>
      </c>
    </row>
    <row r="13654" spans="1:6" x14ac:dyDescent="0.2">
      <c r="A13654" s="29" t="s">
        <v>30834</v>
      </c>
      <c r="B13654" s="30" t="s">
        <v>30835</v>
      </c>
      <c r="C13654" s="29" t="s">
        <v>26</v>
      </c>
      <c r="D13654" s="31">
        <v>4671.3</v>
      </c>
      <c r="F13654" s="3" t="str">
        <f t="shared" si="213"/>
        <v>I4330</v>
      </c>
    </row>
    <row r="13655" spans="1:6" x14ac:dyDescent="0.2">
      <c r="A13655" s="29" t="s">
        <v>30836</v>
      </c>
      <c r="B13655" s="30" t="s">
        <v>30837</v>
      </c>
      <c r="C13655" s="29" t="s">
        <v>26</v>
      </c>
      <c r="D13655" s="31">
        <v>5231.99</v>
      </c>
      <c r="F13655" s="3" t="str">
        <f t="shared" si="213"/>
        <v>I4331</v>
      </c>
    </row>
    <row r="13656" spans="1:6" x14ac:dyDescent="0.2">
      <c r="A13656" s="29" t="s">
        <v>30838</v>
      </c>
      <c r="B13656" s="30" t="s">
        <v>30839</v>
      </c>
      <c r="C13656" s="29" t="s">
        <v>26</v>
      </c>
      <c r="D13656" s="31">
        <v>5792.63</v>
      </c>
      <c r="F13656" s="3" t="str">
        <f t="shared" si="213"/>
        <v>I4332</v>
      </c>
    </row>
    <row r="13657" spans="1:6" x14ac:dyDescent="0.2">
      <c r="A13657" s="29" t="s">
        <v>30840</v>
      </c>
      <c r="B13657" s="30" t="s">
        <v>30841</v>
      </c>
      <c r="C13657" s="29" t="s">
        <v>26</v>
      </c>
      <c r="D13657" s="31">
        <v>6353.37</v>
      </c>
      <c r="F13657" s="3" t="str">
        <f t="shared" si="213"/>
        <v>I4333</v>
      </c>
    </row>
    <row r="13658" spans="1:6" x14ac:dyDescent="0.2">
      <c r="A13658" s="29" t="s">
        <v>30842</v>
      </c>
      <c r="B13658" s="30" t="s">
        <v>30843</v>
      </c>
      <c r="C13658" s="29" t="s">
        <v>26</v>
      </c>
      <c r="D13658" s="31">
        <v>6909.87</v>
      </c>
      <c r="F13658" s="3" t="str">
        <f t="shared" si="213"/>
        <v>I4334</v>
      </c>
    </row>
    <row r="13659" spans="1:6" x14ac:dyDescent="0.2">
      <c r="A13659" s="29" t="s">
        <v>30844</v>
      </c>
      <c r="B13659" s="30" t="s">
        <v>30845</v>
      </c>
      <c r="C13659" s="29" t="s">
        <v>26</v>
      </c>
      <c r="D13659" s="31">
        <v>7874.94</v>
      </c>
      <c r="F13659" s="3" t="str">
        <f t="shared" si="213"/>
        <v>I4335</v>
      </c>
    </row>
    <row r="13660" spans="1:6" x14ac:dyDescent="0.2">
      <c r="A13660" s="29" t="s">
        <v>30846</v>
      </c>
      <c r="B13660" s="30" t="s">
        <v>30847</v>
      </c>
      <c r="C13660" s="29" t="s">
        <v>26</v>
      </c>
      <c r="D13660" s="31">
        <v>8034.89</v>
      </c>
      <c r="F13660" s="3" t="str">
        <f t="shared" si="213"/>
        <v>I4336</v>
      </c>
    </row>
    <row r="13661" spans="1:6" x14ac:dyDescent="0.2">
      <c r="A13661" s="29" t="s">
        <v>30848</v>
      </c>
      <c r="B13661" s="30" t="s">
        <v>30849</v>
      </c>
      <c r="C13661" s="29" t="s">
        <v>26</v>
      </c>
      <c r="D13661" s="31">
        <v>8131.74</v>
      </c>
      <c r="F13661" s="3" t="str">
        <f t="shared" si="213"/>
        <v>I4337</v>
      </c>
    </row>
    <row r="13662" spans="1:6" x14ac:dyDescent="0.2">
      <c r="A13662" s="29" t="s">
        <v>30850</v>
      </c>
      <c r="B13662" s="30" t="s">
        <v>30851</v>
      </c>
      <c r="C13662" s="29" t="s">
        <v>26</v>
      </c>
      <c r="D13662" s="31">
        <v>3257.74</v>
      </c>
      <c r="F13662" s="3" t="str">
        <f t="shared" si="213"/>
        <v>I4338</v>
      </c>
    </row>
    <row r="13663" spans="1:6" x14ac:dyDescent="0.2">
      <c r="A13663" s="29" t="s">
        <v>30852</v>
      </c>
      <c r="B13663" s="30" t="s">
        <v>30853</v>
      </c>
      <c r="C13663" s="29" t="s">
        <v>26</v>
      </c>
      <c r="D13663" s="31">
        <v>3875.93</v>
      </c>
      <c r="F13663" s="3" t="str">
        <f t="shared" si="213"/>
        <v>I4339</v>
      </c>
    </row>
    <row r="13664" spans="1:6" x14ac:dyDescent="0.2">
      <c r="A13664" s="29" t="s">
        <v>30854</v>
      </c>
      <c r="B13664" s="30" t="s">
        <v>30855</v>
      </c>
      <c r="C13664" s="29" t="s">
        <v>26</v>
      </c>
      <c r="D13664" s="31">
        <v>4494.13</v>
      </c>
      <c r="F13664" s="3" t="str">
        <f t="shared" si="213"/>
        <v>I4340</v>
      </c>
    </row>
    <row r="13665" spans="1:6" x14ac:dyDescent="0.2">
      <c r="A13665" s="29" t="s">
        <v>30856</v>
      </c>
      <c r="B13665" s="30" t="s">
        <v>30857</v>
      </c>
      <c r="C13665" s="29" t="s">
        <v>26</v>
      </c>
      <c r="D13665" s="31">
        <v>5112.26</v>
      </c>
      <c r="F13665" s="3" t="str">
        <f t="shared" si="213"/>
        <v>I4341</v>
      </c>
    </row>
    <row r="13666" spans="1:6" x14ac:dyDescent="0.2">
      <c r="A13666" s="29" t="s">
        <v>30858</v>
      </c>
      <c r="B13666" s="30" t="s">
        <v>30859</v>
      </c>
      <c r="C13666" s="29" t="s">
        <v>26</v>
      </c>
      <c r="D13666" s="31">
        <v>5730.41</v>
      </c>
      <c r="F13666" s="3" t="str">
        <f t="shared" si="213"/>
        <v>I4342</v>
      </c>
    </row>
    <row r="13667" spans="1:6" x14ac:dyDescent="0.2">
      <c r="A13667" s="29" t="s">
        <v>30860</v>
      </c>
      <c r="B13667" s="30" t="s">
        <v>30861</v>
      </c>
      <c r="C13667" s="29" t="s">
        <v>26</v>
      </c>
      <c r="D13667" s="31">
        <v>6348.51</v>
      </c>
      <c r="F13667" s="3" t="str">
        <f t="shared" si="213"/>
        <v>I4343</v>
      </c>
    </row>
    <row r="13668" spans="1:6" x14ac:dyDescent="0.2">
      <c r="A13668" s="29" t="s">
        <v>30862</v>
      </c>
      <c r="B13668" s="30" t="s">
        <v>30863</v>
      </c>
      <c r="C13668" s="29" t="s">
        <v>26</v>
      </c>
      <c r="D13668" s="31">
        <v>6966.71</v>
      </c>
      <c r="F13668" s="3" t="str">
        <f t="shared" si="213"/>
        <v>I4344</v>
      </c>
    </row>
    <row r="13669" spans="1:6" x14ac:dyDescent="0.2">
      <c r="A13669" s="29" t="s">
        <v>30864</v>
      </c>
      <c r="B13669" s="30" t="s">
        <v>30865</v>
      </c>
      <c r="C13669" s="29" t="s">
        <v>26</v>
      </c>
      <c r="D13669" s="31">
        <v>7584.91</v>
      </c>
      <c r="F13669" s="3" t="str">
        <f t="shared" si="213"/>
        <v>I4345</v>
      </c>
    </row>
    <row r="13670" spans="1:6" x14ac:dyDescent="0.2">
      <c r="A13670" s="29" t="s">
        <v>30866</v>
      </c>
      <c r="B13670" s="30" t="s">
        <v>30867</v>
      </c>
      <c r="C13670" s="29" t="s">
        <v>26</v>
      </c>
      <c r="D13670" s="31">
        <v>8632.2000000000007</v>
      </c>
      <c r="F13670" s="3" t="str">
        <f t="shared" si="213"/>
        <v>I4346</v>
      </c>
    </row>
    <row r="13671" spans="1:6" x14ac:dyDescent="0.2">
      <c r="A13671" s="29" t="s">
        <v>30868</v>
      </c>
      <c r="B13671" s="30" t="s">
        <v>30869</v>
      </c>
      <c r="C13671" s="29" t="s">
        <v>26</v>
      </c>
      <c r="D13671" s="31">
        <v>8821.0499999999993</v>
      </c>
      <c r="F13671" s="3" t="str">
        <f t="shared" si="213"/>
        <v>I4347</v>
      </c>
    </row>
    <row r="13672" spans="1:6" x14ac:dyDescent="0.2">
      <c r="A13672" s="29" t="s">
        <v>30870</v>
      </c>
      <c r="B13672" s="30" t="s">
        <v>30871</v>
      </c>
      <c r="C13672" s="29" t="s">
        <v>26</v>
      </c>
      <c r="D13672" s="31">
        <v>8934.3799999999992</v>
      </c>
      <c r="F13672" s="3" t="str">
        <f t="shared" si="213"/>
        <v>I4348</v>
      </c>
    </row>
    <row r="13673" spans="1:6" x14ac:dyDescent="0.2">
      <c r="A13673" s="29" t="s">
        <v>30872</v>
      </c>
      <c r="B13673" s="30" t="s">
        <v>30873</v>
      </c>
      <c r="C13673" s="29" t="s">
        <v>26</v>
      </c>
      <c r="D13673" s="31">
        <v>3980.31</v>
      </c>
      <c r="F13673" s="3" t="str">
        <f t="shared" si="213"/>
        <v>I4349</v>
      </c>
    </row>
    <row r="13674" spans="1:6" x14ac:dyDescent="0.2">
      <c r="A13674" s="29" t="s">
        <v>30874</v>
      </c>
      <c r="B13674" s="30" t="s">
        <v>30875</v>
      </c>
      <c r="C13674" s="29" t="s">
        <v>26</v>
      </c>
      <c r="D13674" s="31">
        <v>4700.38</v>
      </c>
      <c r="F13674" s="3" t="str">
        <f t="shared" si="213"/>
        <v>I4350</v>
      </c>
    </row>
    <row r="13675" spans="1:6" x14ac:dyDescent="0.2">
      <c r="A13675" s="29" t="s">
        <v>30876</v>
      </c>
      <c r="B13675" s="30" t="s">
        <v>30877</v>
      </c>
      <c r="C13675" s="29" t="s">
        <v>26</v>
      </c>
      <c r="D13675" s="31">
        <v>5420.46</v>
      </c>
      <c r="F13675" s="3" t="str">
        <f t="shared" si="213"/>
        <v>I4351</v>
      </c>
    </row>
    <row r="13676" spans="1:6" x14ac:dyDescent="0.2">
      <c r="A13676" s="29" t="s">
        <v>30878</v>
      </c>
      <c r="B13676" s="30" t="s">
        <v>30879</v>
      </c>
      <c r="C13676" s="29" t="s">
        <v>26</v>
      </c>
      <c r="D13676" s="31">
        <v>6140.62</v>
      </c>
      <c r="F13676" s="3" t="str">
        <f t="shared" si="213"/>
        <v>I4352</v>
      </c>
    </row>
    <row r="13677" spans="1:6" x14ac:dyDescent="0.2">
      <c r="A13677" s="29" t="s">
        <v>30880</v>
      </c>
      <c r="B13677" s="30" t="s">
        <v>30881</v>
      </c>
      <c r="C13677" s="29" t="s">
        <v>26</v>
      </c>
      <c r="D13677" s="31">
        <v>6860.69</v>
      </c>
      <c r="F13677" s="3" t="str">
        <f t="shared" si="213"/>
        <v>I4353</v>
      </c>
    </row>
    <row r="13678" spans="1:6" x14ac:dyDescent="0.2">
      <c r="A13678" s="29" t="s">
        <v>30882</v>
      </c>
      <c r="B13678" s="30" t="s">
        <v>30883</v>
      </c>
      <c r="C13678" s="29" t="s">
        <v>26</v>
      </c>
      <c r="D13678" s="31">
        <v>7580.79</v>
      </c>
      <c r="F13678" s="3" t="str">
        <f t="shared" si="213"/>
        <v>I4354</v>
      </c>
    </row>
    <row r="13679" spans="1:6" x14ac:dyDescent="0.2">
      <c r="A13679" s="29" t="s">
        <v>30884</v>
      </c>
      <c r="B13679" s="30" t="s">
        <v>30885</v>
      </c>
      <c r="C13679" s="29" t="s">
        <v>26</v>
      </c>
      <c r="D13679" s="31">
        <v>8300.9</v>
      </c>
      <c r="F13679" s="3" t="str">
        <f t="shared" si="213"/>
        <v>I4355</v>
      </c>
    </row>
    <row r="13680" spans="1:6" x14ac:dyDescent="0.2">
      <c r="A13680" s="29" t="s">
        <v>30886</v>
      </c>
      <c r="B13680" s="30" t="s">
        <v>30887</v>
      </c>
      <c r="C13680" s="29" t="s">
        <v>26</v>
      </c>
      <c r="D13680" s="31">
        <v>9021.02</v>
      </c>
      <c r="F13680" s="3" t="str">
        <f t="shared" si="213"/>
        <v>I4356</v>
      </c>
    </row>
    <row r="13681" spans="1:6" x14ac:dyDescent="0.2">
      <c r="A13681" s="29" t="s">
        <v>30888</v>
      </c>
      <c r="B13681" s="30" t="s">
        <v>30889</v>
      </c>
      <c r="C13681" s="29" t="s">
        <v>26</v>
      </c>
      <c r="D13681" s="31">
        <v>10244.15</v>
      </c>
      <c r="F13681" s="3" t="str">
        <f t="shared" si="213"/>
        <v>I4357</v>
      </c>
    </row>
    <row r="13682" spans="1:6" x14ac:dyDescent="0.2">
      <c r="A13682" s="29" t="s">
        <v>30890</v>
      </c>
      <c r="B13682" s="30" t="s">
        <v>30891</v>
      </c>
      <c r="C13682" s="29" t="s">
        <v>26</v>
      </c>
      <c r="D13682" s="31">
        <v>10465.780000000001</v>
      </c>
      <c r="F13682" s="3" t="str">
        <f t="shared" si="213"/>
        <v>I4358</v>
      </c>
    </row>
    <row r="13683" spans="1:6" x14ac:dyDescent="0.2">
      <c r="A13683" s="29" t="s">
        <v>30892</v>
      </c>
      <c r="B13683" s="30" t="s">
        <v>30893</v>
      </c>
      <c r="C13683" s="29" t="s">
        <v>26</v>
      </c>
      <c r="D13683" s="31">
        <v>10595.49</v>
      </c>
      <c r="F13683" s="3" t="str">
        <f t="shared" si="213"/>
        <v>I4359</v>
      </c>
    </row>
    <row r="13684" spans="1:6" x14ac:dyDescent="0.2">
      <c r="A13684" s="29" t="s">
        <v>30894</v>
      </c>
      <c r="B13684" s="30" t="s">
        <v>30895</v>
      </c>
      <c r="C13684" s="29" t="s">
        <v>26</v>
      </c>
      <c r="D13684" s="31">
        <v>4329.97</v>
      </c>
      <c r="F13684" s="3" t="str">
        <f t="shared" si="213"/>
        <v>I4360</v>
      </c>
    </row>
    <row r="13685" spans="1:6" x14ac:dyDescent="0.2">
      <c r="A13685" s="29" t="s">
        <v>30896</v>
      </c>
      <c r="B13685" s="30" t="s">
        <v>30897</v>
      </c>
      <c r="C13685" s="29" t="s">
        <v>26</v>
      </c>
      <c r="D13685" s="31">
        <v>5140.79</v>
      </c>
      <c r="F13685" s="3" t="str">
        <f t="shared" si="213"/>
        <v>I4361</v>
      </c>
    </row>
    <row r="13686" spans="1:6" x14ac:dyDescent="0.2">
      <c r="A13686" s="29" t="s">
        <v>30898</v>
      </c>
      <c r="B13686" s="30" t="s">
        <v>30899</v>
      </c>
      <c r="C13686" s="29" t="s">
        <v>26</v>
      </c>
      <c r="D13686" s="31">
        <v>5951.61</v>
      </c>
      <c r="F13686" s="3" t="str">
        <f t="shared" si="213"/>
        <v>I4362</v>
      </c>
    </row>
    <row r="13687" spans="1:6" x14ac:dyDescent="0.2">
      <c r="A13687" s="29" t="s">
        <v>30900</v>
      </c>
      <c r="B13687" s="30" t="s">
        <v>30901</v>
      </c>
      <c r="C13687" s="29" t="s">
        <v>26</v>
      </c>
      <c r="D13687" s="31">
        <v>6762.37</v>
      </c>
      <c r="F13687" s="3" t="str">
        <f t="shared" si="213"/>
        <v>I4363</v>
      </c>
    </row>
    <row r="13688" spans="1:6" x14ac:dyDescent="0.2">
      <c r="A13688" s="29" t="s">
        <v>30902</v>
      </c>
      <c r="B13688" s="30" t="s">
        <v>30903</v>
      </c>
      <c r="C13688" s="29" t="s">
        <v>26</v>
      </c>
      <c r="D13688" s="31">
        <v>7573.05</v>
      </c>
      <c r="F13688" s="3" t="str">
        <f t="shared" si="213"/>
        <v>I4364</v>
      </c>
    </row>
    <row r="13689" spans="1:6" x14ac:dyDescent="0.2">
      <c r="A13689" s="29" t="s">
        <v>30904</v>
      </c>
      <c r="B13689" s="30" t="s">
        <v>30905</v>
      </c>
      <c r="C13689" s="29" t="s">
        <v>26</v>
      </c>
      <c r="D13689" s="31">
        <v>8383.81</v>
      </c>
      <c r="F13689" s="3" t="str">
        <f t="shared" si="213"/>
        <v>I4365</v>
      </c>
    </row>
    <row r="13690" spans="1:6" x14ac:dyDescent="0.2">
      <c r="A13690" s="29" t="s">
        <v>30906</v>
      </c>
      <c r="B13690" s="30" t="s">
        <v>30907</v>
      </c>
      <c r="C13690" s="29" t="s">
        <v>26</v>
      </c>
      <c r="D13690" s="31">
        <v>9194.5499999999993</v>
      </c>
      <c r="F13690" s="3" t="str">
        <f t="shared" si="213"/>
        <v>I4366</v>
      </c>
    </row>
    <row r="13691" spans="1:6" x14ac:dyDescent="0.2">
      <c r="A13691" s="29" t="s">
        <v>30908</v>
      </c>
      <c r="B13691" s="30" t="s">
        <v>30909</v>
      </c>
      <c r="C13691" s="29" t="s">
        <v>26</v>
      </c>
      <c r="D13691" s="31">
        <v>10005.33</v>
      </c>
      <c r="F13691" s="3" t="str">
        <f t="shared" si="213"/>
        <v>I4367</v>
      </c>
    </row>
    <row r="13692" spans="1:6" x14ac:dyDescent="0.2">
      <c r="A13692" s="29" t="s">
        <v>30910</v>
      </c>
      <c r="B13692" s="30" t="s">
        <v>30911</v>
      </c>
      <c r="C13692" s="29" t="s">
        <v>26</v>
      </c>
      <c r="D13692" s="31">
        <v>11380.12</v>
      </c>
      <c r="F13692" s="3" t="str">
        <f t="shared" si="213"/>
        <v>I4368</v>
      </c>
    </row>
    <row r="13693" spans="1:6" x14ac:dyDescent="0.2">
      <c r="A13693" s="29" t="s">
        <v>30912</v>
      </c>
      <c r="B13693" s="30" t="s">
        <v>30913</v>
      </c>
      <c r="C13693" s="29" t="s">
        <v>26</v>
      </c>
      <c r="D13693" s="31">
        <v>11636.02</v>
      </c>
      <c r="F13693" s="3" t="str">
        <f t="shared" si="213"/>
        <v>I4369</v>
      </c>
    </row>
    <row r="13694" spans="1:6" x14ac:dyDescent="0.2">
      <c r="A13694" s="29" t="s">
        <v>30914</v>
      </c>
      <c r="B13694" s="30" t="s">
        <v>30915</v>
      </c>
      <c r="C13694" s="29" t="s">
        <v>26</v>
      </c>
      <c r="D13694" s="31">
        <v>11787.07</v>
      </c>
      <c r="F13694" s="3" t="str">
        <f t="shared" si="213"/>
        <v>I4370</v>
      </c>
    </row>
    <row r="13695" spans="1:6" x14ac:dyDescent="0.2">
      <c r="A13695" s="29" t="s">
        <v>30916</v>
      </c>
      <c r="B13695" s="30" t="s">
        <v>30917</v>
      </c>
      <c r="C13695" s="29" t="s">
        <v>26</v>
      </c>
      <c r="D13695" s="31">
        <v>5353.66</v>
      </c>
      <c r="F13695" s="3" t="str">
        <f t="shared" si="213"/>
        <v>I4371</v>
      </c>
    </row>
    <row r="13696" spans="1:6" x14ac:dyDescent="0.2">
      <c r="A13696" s="29" t="s">
        <v>30918</v>
      </c>
      <c r="B13696" s="30" t="s">
        <v>30919</v>
      </c>
      <c r="C13696" s="29" t="s">
        <v>26</v>
      </c>
      <c r="D13696" s="31">
        <v>6413.93</v>
      </c>
      <c r="F13696" s="3" t="str">
        <f t="shared" si="213"/>
        <v>I4372</v>
      </c>
    </row>
    <row r="13697" spans="1:6" x14ac:dyDescent="0.2">
      <c r="A13697" s="29" t="s">
        <v>30920</v>
      </c>
      <c r="B13697" s="30" t="s">
        <v>30921</v>
      </c>
      <c r="C13697" s="29" t="s">
        <v>26</v>
      </c>
      <c r="D13697" s="31">
        <v>7474.12</v>
      </c>
      <c r="F13697" s="3" t="str">
        <f t="shared" si="213"/>
        <v>I4373</v>
      </c>
    </row>
    <row r="13698" spans="1:6" x14ac:dyDescent="0.2">
      <c r="A13698" s="29" t="s">
        <v>30922</v>
      </c>
      <c r="B13698" s="30" t="s">
        <v>30923</v>
      </c>
      <c r="C13698" s="29" t="s">
        <v>26</v>
      </c>
      <c r="D13698" s="31">
        <v>8534.2800000000007</v>
      </c>
      <c r="F13698" s="3" t="str">
        <f t="shared" ref="F13698:F13761" si="214">A13698</f>
        <v>I4374</v>
      </c>
    </row>
    <row r="13699" spans="1:6" x14ac:dyDescent="0.2">
      <c r="A13699" s="29" t="s">
        <v>30924</v>
      </c>
      <c r="B13699" s="30" t="s">
        <v>30925</v>
      </c>
      <c r="C13699" s="29" t="s">
        <v>26</v>
      </c>
      <c r="D13699" s="31">
        <v>9598.4599999999991</v>
      </c>
      <c r="F13699" s="3" t="str">
        <f t="shared" si="214"/>
        <v>I4375</v>
      </c>
    </row>
    <row r="13700" spans="1:6" x14ac:dyDescent="0.2">
      <c r="A13700" s="29" t="s">
        <v>30926</v>
      </c>
      <c r="B13700" s="30" t="s">
        <v>30927</v>
      </c>
      <c r="C13700" s="29" t="s">
        <v>26</v>
      </c>
      <c r="D13700" s="31">
        <v>10658.7</v>
      </c>
      <c r="F13700" s="3" t="str">
        <f t="shared" si="214"/>
        <v>I4376</v>
      </c>
    </row>
    <row r="13701" spans="1:6" x14ac:dyDescent="0.2">
      <c r="A13701" s="29" t="s">
        <v>30928</v>
      </c>
      <c r="B13701" s="30" t="s">
        <v>30929</v>
      </c>
      <c r="C13701" s="29" t="s">
        <v>26</v>
      </c>
      <c r="D13701" s="31">
        <v>11873.75</v>
      </c>
      <c r="F13701" s="3" t="str">
        <f t="shared" si="214"/>
        <v>I4377</v>
      </c>
    </row>
    <row r="13702" spans="1:6" x14ac:dyDescent="0.2">
      <c r="A13702" s="29" t="s">
        <v>30930</v>
      </c>
      <c r="B13702" s="30" t="s">
        <v>30931</v>
      </c>
      <c r="C13702" s="29" t="s">
        <v>26</v>
      </c>
      <c r="D13702" s="31">
        <v>12779.14</v>
      </c>
      <c r="F13702" s="3" t="str">
        <f t="shared" si="214"/>
        <v>I4378</v>
      </c>
    </row>
    <row r="13703" spans="1:6" x14ac:dyDescent="0.2">
      <c r="A13703" s="29" t="s">
        <v>30932</v>
      </c>
      <c r="B13703" s="30" t="s">
        <v>30933</v>
      </c>
      <c r="C13703" s="29" t="s">
        <v>26</v>
      </c>
      <c r="D13703" s="31">
        <v>14581.94</v>
      </c>
      <c r="F13703" s="3" t="str">
        <f t="shared" si="214"/>
        <v>I4379</v>
      </c>
    </row>
    <row r="13704" spans="1:6" x14ac:dyDescent="0.2">
      <c r="A13704" s="29" t="s">
        <v>30934</v>
      </c>
      <c r="B13704" s="30" t="s">
        <v>30935</v>
      </c>
      <c r="C13704" s="29" t="s">
        <v>26</v>
      </c>
      <c r="D13704" s="31">
        <v>14910.26</v>
      </c>
      <c r="F13704" s="3" t="str">
        <f t="shared" si="214"/>
        <v>I4380</v>
      </c>
    </row>
    <row r="13705" spans="1:6" x14ac:dyDescent="0.2">
      <c r="A13705" s="29" t="s">
        <v>30936</v>
      </c>
      <c r="B13705" s="30" t="s">
        <v>30937</v>
      </c>
      <c r="C13705" s="29" t="s">
        <v>26</v>
      </c>
      <c r="D13705" s="31">
        <v>15109.7</v>
      </c>
      <c r="F13705" s="3" t="str">
        <f t="shared" si="214"/>
        <v>I4381</v>
      </c>
    </row>
    <row r="13706" spans="1:6" x14ac:dyDescent="0.2">
      <c r="A13706" s="29" t="s">
        <v>30938</v>
      </c>
      <c r="B13706" s="30" t="s">
        <v>30939</v>
      </c>
      <c r="C13706" s="29" t="s">
        <v>26</v>
      </c>
      <c r="D13706" s="31">
        <v>11807.25</v>
      </c>
      <c r="F13706" s="3" t="str">
        <f t="shared" si="214"/>
        <v>I4382</v>
      </c>
    </row>
    <row r="13707" spans="1:6" x14ac:dyDescent="0.2">
      <c r="A13707" s="29" t="s">
        <v>30940</v>
      </c>
      <c r="B13707" s="30" t="s">
        <v>30941</v>
      </c>
      <c r="C13707" s="29" t="s">
        <v>26</v>
      </c>
      <c r="D13707" s="31">
        <v>13725.36</v>
      </c>
      <c r="F13707" s="3" t="str">
        <f t="shared" si="214"/>
        <v>I4383</v>
      </c>
    </row>
    <row r="13708" spans="1:6" x14ac:dyDescent="0.2">
      <c r="A13708" s="29" t="s">
        <v>30942</v>
      </c>
      <c r="B13708" s="30" t="s">
        <v>30943</v>
      </c>
      <c r="C13708" s="29" t="s">
        <v>26</v>
      </c>
      <c r="D13708" s="31">
        <v>15639.35</v>
      </c>
      <c r="F13708" s="3" t="str">
        <f t="shared" si="214"/>
        <v>I4384</v>
      </c>
    </row>
    <row r="13709" spans="1:6" x14ac:dyDescent="0.2">
      <c r="A13709" s="29" t="s">
        <v>30944</v>
      </c>
      <c r="B13709" s="30" t="s">
        <v>30945</v>
      </c>
      <c r="C13709" s="29" t="s">
        <v>26</v>
      </c>
      <c r="D13709" s="31">
        <v>17557.48</v>
      </c>
      <c r="F13709" s="3" t="str">
        <f t="shared" si="214"/>
        <v>I4385</v>
      </c>
    </row>
    <row r="13710" spans="1:6" x14ac:dyDescent="0.2">
      <c r="A13710" s="29" t="s">
        <v>30946</v>
      </c>
      <c r="B13710" s="30" t="s">
        <v>30947</v>
      </c>
      <c r="C13710" s="29" t="s">
        <v>26</v>
      </c>
      <c r="D13710" s="31">
        <v>19471.66</v>
      </c>
      <c r="F13710" s="3" t="str">
        <f t="shared" si="214"/>
        <v>I4386</v>
      </c>
    </row>
    <row r="13711" spans="1:6" x14ac:dyDescent="0.2">
      <c r="A13711" s="29" t="s">
        <v>30948</v>
      </c>
      <c r="B13711" s="30" t="s">
        <v>30949</v>
      </c>
      <c r="C13711" s="29" t="s">
        <v>26</v>
      </c>
      <c r="D13711" s="31">
        <v>21385.7</v>
      </c>
      <c r="F13711" s="3" t="str">
        <f t="shared" si="214"/>
        <v>I4387</v>
      </c>
    </row>
    <row r="13712" spans="1:6" x14ac:dyDescent="0.2">
      <c r="A13712" s="29" t="s">
        <v>30950</v>
      </c>
      <c r="B13712" s="30" t="s">
        <v>30951</v>
      </c>
      <c r="C13712" s="29" t="s">
        <v>26</v>
      </c>
      <c r="D13712" s="31">
        <v>23303.79</v>
      </c>
      <c r="F13712" s="3" t="str">
        <f t="shared" si="214"/>
        <v>I4388</v>
      </c>
    </row>
    <row r="13713" spans="1:6" x14ac:dyDescent="0.2">
      <c r="A13713" s="29" t="s">
        <v>30952</v>
      </c>
      <c r="B13713" s="30" t="s">
        <v>30953</v>
      </c>
      <c r="C13713" s="29" t="s">
        <v>26</v>
      </c>
      <c r="D13713" s="31">
        <v>25217.78</v>
      </c>
      <c r="F13713" s="3" t="str">
        <f t="shared" si="214"/>
        <v>I4389</v>
      </c>
    </row>
    <row r="13714" spans="1:6" x14ac:dyDescent="0.2">
      <c r="A13714" s="29" t="s">
        <v>30954</v>
      </c>
      <c r="B13714" s="30" t="s">
        <v>30955</v>
      </c>
      <c r="C13714" s="29" t="s">
        <v>26</v>
      </c>
      <c r="D13714" s="31">
        <v>27131.89</v>
      </c>
      <c r="F13714" s="3" t="str">
        <f t="shared" si="214"/>
        <v>I4390</v>
      </c>
    </row>
    <row r="13715" spans="1:6" x14ac:dyDescent="0.2">
      <c r="A13715" s="29" t="s">
        <v>30956</v>
      </c>
      <c r="B13715" s="30" t="s">
        <v>30957</v>
      </c>
      <c r="C13715" s="29" t="s">
        <v>26</v>
      </c>
      <c r="D13715" s="31">
        <v>29050.02</v>
      </c>
      <c r="F13715" s="3" t="str">
        <f t="shared" si="214"/>
        <v>I4391</v>
      </c>
    </row>
    <row r="13716" spans="1:6" x14ac:dyDescent="0.2">
      <c r="A13716" s="29" t="s">
        <v>30958</v>
      </c>
      <c r="B13716" s="30" t="s">
        <v>30959</v>
      </c>
      <c r="C13716" s="29" t="s">
        <v>26</v>
      </c>
      <c r="D13716" s="31">
        <v>32127.040000000001</v>
      </c>
      <c r="F13716" s="3" t="str">
        <f t="shared" si="214"/>
        <v>I4392</v>
      </c>
    </row>
    <row r="13717" spans="1:6" x14ac:dyDescent="0.2">
      <c r="A13717" s="29" t="s">
        <v>30960</v>
      </c>
      <c r="B13717" s="30" t="s">
        <v>30961</v>
      </c>
      <c r="C13717" s="29" t="s">
        <v>26</v>
      </c>
      <c r="D13717" s="31">
        <v>32663.16</v>
      </c>
      <c r="F13717" s="3" t="str">
        <f t="shared" si="214"/>
        <v>I4393</v>
      </c>
    </row>
    <row r="13718" spans="1:6" x14ac:dyDescent="0.2">
      <c r="A13718" s="29" t="s">
        <v>30962</v>
      </c>
      <c r="B13718" s="30" t="s">
        <v>30963</v>
      </c>
      <c r="C13718" s="29" t="s">
        <v>26</v>
      </c>
      <c r="D13718" s="31">
        <v>32988.959999999999</v>
      </c>
      <c r="F13718" s="3" t="str">
        <f t="shared" si="214"/>
        <v>I4394</v>
      </c>
    </row>
    <row r="13719" spans="1:6" x14ac:dyDescent="0.2">
      <c r="A13719" s="29" t="s">
        <v>30964</v>
      </c>
      <c r="B13719" s="30" t="s">
        <v>30965</v>
      </c>
      <c r="C13719" s="29" t="s">
        <v>26</v>
      </c>
      <c r="D13719" s="31">
        <v>1171.55</v>
      </c>
      <c r="F13719" s="3" t="str">
        <f t="shared" si="214"/>
        <v>I12262</v>
      </c>
    </row>
    <row r="13720" spans="1:6" x14ac:dyDescent="0.2">
      <c r="A13720" s="29" t="s">
        <v>30966</v>
      </c>
      <c r="B13720" s="30" t="s">
        <v>30967</v>
      </c>
      <c r="C13720" s="29" t="s">
        <v>26</v>
      </c>
      <c r="D13720" s="31">
        <v>1372.76</v>
      </c>
      <c r="F13720" s="3" t="str">
        <f t="shared" si="214"/>
        <v>I12263</v>
      </c>
    </row>
    <row r="13721" spans="1:6" x14ac:dyDescent="0.2">
      <c r="A13721" s="29" t="s">
        <v>30968</v>
      </c>
      <c r="B13721" s="30" t="s">
        <v>30969</v>
      </c>
      <c r="C13721" s="29" t="s">
        <v>26</v>
      </c>
      <c r="D13721" s="31">
        <v>1569.83</v>
      </c>
      <c r="F13721" s="3" t="str">
        <f t="shared" si="214"/>
        <v>I12264</v>
      </c>
    </row>
    <row r="13722" spans="1:6" x14ac:dyDescent="0.2">
      <c r="A13722" s="29" t="s">
        <v>30970</v>
      </c>
      <c r="B13722" s="30" t="s">
        <v>30971</v>
      </c>
      <c r="C13722" s="29" t="s">
        <v>26</v>
      </c>
      <c r="D13722" s="31">
        <v>1770.95</v>
      </c>
      <c r="F13722" s="3" t="str">
        <f t="shared" si="214"/>
        <v>I12265</v>
      </c>
    </row>
    <row r="13723" spans="1:6" x14ac:dyDescent="0.2">
      <c r="A13723" s="29" t="s">
        <v>30972</v>
      </c>
      <c r="B13723" s="30" t="s">
        <v>30973</v>
      </c>
      <c r="C13723" s="29" t="s">
        <v>26</v>
      </c>
      <c r="D13723" s="31">
        <v>1972.06</v>
      </c>
      <c r="F13723" s="3" t="str">
        <f t="shared" si="214"/>
        <v>I12266</v>
      </c>
    </row>
    <row r="13724" spans="1:6" x14ac:dyDescent="0.2">
      <c r="A13724" s="29" t="s">
        <v>30974</v>
      </c>
      <c r="B13724" s="30" t="s">
        <v>30975</v>
      </c>
      <c r="C13724" s="29" t="s">
        <v>26</v>
      </c>
      <c r="D13724" s="31">
        <v>2173.29</v>
      </c>
      <c r="F13724" s="3" t="str">
        <f t="shared" si="214"/>
        <v>I12267</v>
      </c>
    </row>
    <row r="13725" spans="1:6" x14ac:dyDescent="0.2">
      <c r="A13725" s="29" t="s">
        <v>30976</v>
      </c>
      <c r="B13725" s="30" t="s">
        <v>30977</v>
      </c>
      <c r="C13725" s="29" t="s">
        <v>26</v>
      </c>
      <c r="D13725" s="31">
        <v>2374.4699999999998</v>
      </c>
      <c r="F13725" s="3" t="str">
        <f t="shared" si="214"/>
        <v>I12268</v>
      </c>
    </row>
    <row r="13726" spans="1:6" x14ac:dyDescent="0.2">
      <c r="A13726" s="29" t="s">
        <v>30978</v>
      </c>
      <c r="B13726" s="30" t="s">
        <v>30979</v>
      </c>
      <c r="C13726" s="29" t="s">
        <v>26</v>
      </c>
      <c r="D13726" s="31">
        <v>2575.64</v>
      </c>
      <c r="F13726" s="3" t="str">
        <f t="shared" si="214"/>
        <v>I12269</v>
      </c>
    </row>
    <row r="13727" spans="1:6" x14ac:dyDescent="0.2">
      <c r="A13727" s="29" t="s">
        <v>30980</v>
      </c>
      <c r="B13727" s="30" t="s">
        <v>30981</v>
      </c>
      <c r="C13727" s="29" t="s">
        <v>26</v>
      </c>
      <c r="D13727" s="31">
        <v>2937.32</v>
      </c>
      <c r="F13727" s="3" t="str">
        <f t="shared" si="214"/>
        <v>I12270</v>
      </c>
    </row>
    <row r="13728" spans="1:6" x14ac:dyDescent="0.2">
      <c r="A13728" s="29" t="s">
        <v>30982</v>
      </c>
      <c r="B13728" s="30" t="s">
        <v>30983</v>
      </c>
      <c r="C13728" s="29" t="s">
        <v>26</v>
      </c>
      <c r="D13728" s="31">
        <v>2975.32</v>
      </c>
      <c r="F13728" s="3" t="str">
        <f t="shared" si="214"/>
        <v>I12271</v>
      </c>
    </row>
    <row r="13729" spans="1:6" x14ac:dyDescent="0.2">
      <c r="A13729" s="29" t="s">
        <v>30984</v>
      </c>
      <c r="B13729" s="30" t="s">
        <v>30985</v>
      </c>
      <c r="C13729" s="29" t="s">
        <v>26</v>
      </c>
      <c r="D13729" s="31">
        <v>3000.62</v>
      </c>
      <c r="F13729" s="3" t="str">
        <f t="shared" si="214"/>
        <v>I12272</v>
      </c>
    </row>
    <row r="13730" spans="1:6" x14ac:dyDescent="0.2">
      <c r="A13730" s="29" t="s">
        <v>30986</v>
      </c>
      <c r="B13730" s="30" t="s">
        <v>30987</v>
      </c>
      <c r="C13730" s="29" t="s">
        <v>26</v>
      </c>
      <c r="D13730" s="31">
        <v>20999.55</v>
      </c>
      <c r="F13730" s="3" t="str">
        <f t="shared" si="214"/>
        <v>I4421</v>
      </c>
    </row>
    <row r="13731" spans="1:6" x14ac:dyDescent="0.2">
      <c r="A13731" s="29" t="s">
        <v>30988</v>
      </c>
      <c r="B13731" s="30" t="s">
        <v>30989</v>
      </c>
      <c r="C13731" s="29" t="s">
        <v>26</v>
      </c>
      <c r="D13731" s="31">
        <v>24228.23</v>
      </c>
      <c r="F13731" s="3" t="str">
        <f t="shared" si="214"/>
        <v>I4422</v>
      </c>
    </row>
    <row r="13732" spans="1:6" x14ac:dyDescent="0.2">
      <c r="A13732" s="29" t="s">
        <v>30990</v>
      </c>
      <c r="B13732" s="30" t="s">
        <v>30991</v>
      </c>
      <c r="C13732" s="29" t="s">
        <v>26</v>
      </c>
      <c r="D13732" s="31">
        <v>27461.03</v>
      </c>
      <c r="F13732" s="3" t="str">
        <f t="shared" si="214"/>
        <v>I4423</v>
      </c>
    </row>
    <row r="13733" spans="1:6" x14ac:dyDescent="0.2">
      <c r="A13733" s="29" t="s">
        <v>30992</v>
      </c>
      <c r="B13733" s="30" t="s">
        <v>30993</v>
      </c>
      <c r="C13733" s="29" t="s">
        <v>26</v>
      </c>
      <c r="D13733" s="31">
        <v>30693.66</v>
      </c>
      <c r="F13733" s="3" t="str">
        <f t="shared" si="214"/>
        <v>I4424</v>
      </c>
    </row>
    <row r="13734" spans="1:6" x14ac:dyDescent="0.2">
      <c r="A13734" s="29" t="s">
        <v>30994</v>
      </c>
      <c r="B13734" s="30" t="s">
        <v>30995</v>
      </c>
      <c r="C13734" s="29" t="s">
        <v>26</v>
      </c>
      <c r="D13734" s="31">
        <v>33922.29</v>
      </c>
      <c r="F13734" s="3" t="str">
        <f t="shared" si="214"/>
        <v>I4425</v>
      </c>
    </row>
    <row r="13735" spans="1:6" x14ac:dyDescent="0.2">
      <c r="A13735" s="29" t="s">
        <v>30996</v>
      </c>
      <c r="B13735" s="30" t="s">
        <v>30997</v>
      </c>
      <c r="C13735" s="29" t="s">
        <v>26</v>
      </c>
      <c r="D13735" s="31">
        <v>37155.07</v>
      </c>
      <c r="F13735" s="3" t="str">
        <f t="shared" si="214"/>
        <v>I4426</v>
      </c>
    </row>
    <row r="13736" spans="1:6" x14ac:dyDescent="0.2">
      <c r="A13736" s="29" t="s">
        <v>30998</v>
      </c>
      <c r="B13736" s="30" t="s">
        <v>30999</v>
      </c>
      <c r="C13736" s="29" t="s">
        <v>26</v>
      </c>
      <c r="D13736" s="31">
        <v>40387.760000000002</v>
      </c>
      <c r="F13736" s="3" t="str">
        <f t="shared" si="214"/>
        <v>I4427</v>
      </c>
    </row>
    <row r="13737" spans="1:6" x14ac:dyDescent="0.2">
      <c r="A13737" s="29" t="s">
        <v>31000</v>
      </c>
      <c r="B13737" s="30" t="s">
        <v>31001</v>
      </c>
      <c r="C13737" s="29" t="s">
        <v>26</v>
      </c>
      <c r="D13737" s="31">
        <v>43616.36</v>
      </c>
      <c r="F13737" s="3" t="str">
        <f t="shared" si="214"/>
        <v>I4428</v>
      </c>
    </row>
    <row r="13738" spans="1:6" x14ac:dyDescent="0.2">
      <c r="A13738" s="29" t="s">
        <v>31002</v>
      </c>
      <c r="B13738" s="30" t="s">
        <v>31003</v>
      </c>
      <c r="C13738" s="29" t="s">
        <v>26</v>
      </c>
      <c r="D13738" s="31">
        <v>46849.120000000003</v>
      </c>
      <c r="F13738" s="3" t="str">
        <f t="shared" si="214"/>
        <v>I4429</v>
      </c>
    </row>
    <row r="13739" spans="1:6" x14ac:dyDescent="0.2">
      <c r="A13739" s="29" t="s">
        <v>31004</v>
      </c>
      <c r="B13739" s="30" t="s">
        <v>31005</v>
      </c>
      <c r="C13739" s="29" t="s">
        <v>26</v>
      </c>
      <c r="D13739" s="31">
        <v>50081.91</v>
      </c>
      <c r="F13739" s="3" t="str">
        <f t="shared" si="214"/>
        <v>I4430</v>
      </c>
    </row>
    <row r="13740" spans="1:6" x14ac:dyDescent="0.2">
      <c r="A13740" s="29" t="s">
        <v>31006</v>
      </c>
      <c r="B13740" s="30" t="s">
        <v>31007</v>
      </c>
      <c r="C13740" s="29" t="s">
        <v>26</v>
      </c>
      <c r="D13740" s="31">
        <v>55255.25</v>
      </c>
      <c r="F13740" s="3" t="str">
        <f t="shared" si="214"/>
        <v>I4431</v>
      </c>
    </row>
    <row r="13741" spans="1:6" x14ac:dyDescent="0.2">
      <c r="A13741" s="29" t="s">
        <v>31008</v>
      </c>
      <c r="B13741" s="30" t="s">
        <v>31009</v>
      </c>
      <c r="C13741" s="29" t="s">
        <v>26</v>
      </c>
      <c r="D13741" s="31">
        <v>56183.87</v>
      </c>
      <c r="F13741" s="3" t="str">
        <f t="shared" si="214"/>
        <v>I4432</v>
      </c>
    </row>
    <row r="13742" spans="1:6" x14ac:dyDescent="0.2">
      <c r="A13742" s="29" t="s">
        <v>31010</v>
      </c>
      <c r="B13742" s="30" t="s">
        <v>31011</v>
      </c>
      <c r="C13742" s="29" t="s">
        <v>26</v>
      </c>
      <c r="D13742" s="31">
        <v>56740.2</v>
      </c>
      <c r="F13742" s="3" t="str">
        <f t="shared" si="214"/>
        <v>I4433</v>
      </c>
    </row>
    <row r="13743" spans="1:6" x14ac:dyDescent="0.2">
      <c r="A13743" s="29" t="s">
        <v>31012</v>
      </c>
      <c r="B13743" s="30" t="s">
        <v>31013</v>
      </c>
      <c r="C13743" s="29" t="s">
        <v>26</v>
      </c>
      <c r="D13743" s="31">
        <v>28609.45</v>
      </c>
      <c r="F13743" s="3" t="str">
        <f t="shared" si="214"/>
        <v>I4434</v>
      </c>
    </row>
    <row r="13744" spans="1:6" x14ac:dyDescent="0.2">
      <c r="A13744" s="29" t="s">
        <v>31014</v>
      </c>
      <c r="B13744" s="30" t="s">
        <v>31015</v>
      </c>
      <c r="C13744" s="29" t="s">
        <v>26</v>
      </c>
      <c r="D13744" s="31">
        <v>32908.160000000003</v>
      </c>
      <c r="F13744" s="3" t="str">
        <f t="shared" si="214"/>
        <v>I4435</v>
      </c>
    </row>
    <row r="13745" spans="1:6" x14ac:dyDescent="0.2">
      <c r="A13745" s="29" t="s">
        <v>31016</v>
      </c>
      <c r="B13745" s="30" t="s">
        <v>31017</v>
      </c>
      <c r="C13745" s="29" t="s">
        <v>26</v>
      </c>
      <c r="D13745" s="31">
        <v>37210.949999999997</v>
      </c>
      <c r="F13745" s="3" t="str">
        <f t="shared" si="214"/>
        <v>I4436</v>
      </c>
    </row>
    <row r="13746" spans="1:6" x14ac:dyDescent="0.2">
      <c r="A13746" s="29" t="s">
        <v>31018</v>
      </c>
      <c r="B13746" s="30" t="s">
        <v>31019</v>
      </c>
      <c r="C13746" s="29" t="s">
        <v>26</v>
      </c>
      <c r="D13746" s="31">
        <v>41509.769999999997</v>
      </c>
      <c r="F13746" s="3" t="str">
        <f t="shared" si="214"/>
        <v>I4437</v>
      </c>
    </row>
    <row r="13747" spans="1:6" x14ac:dyDescent="0.2">
      <c r="A13747" s="29" t="s">
        <v>31020</v>
      </c>
      <c r="B13747" s="30" t="s">
        <v>31021</v>
      </c>
      <c r="C13747" s="29" t="s">
        <v>26</v>
      </c>
      <c r="D13747" s="31">
        <v>45812.59</v>
      </c>
      <c r="F13747" s="3" t="str">
        <f t="shared" si="214"/>
        <v>I4438</v>
      </c>
    </row>
    <row r="13748" spans="1:6" x14ac:dyDescent="0.2">
      <c r="A13748" s="29" t="s">
        <v>31022</v>
      </c>
      <c r="B13748" s="30" t="s">
        <v>31023</v>
      </c>
      <c r="C13748" s="29" t="s">
        <v>26</v>
      </c>
      <c r="D13748" s="31">
        <v>50111.3</v>
      </c>
      <c r="F13748" s="3" t="str">
        <f t="shared" si="214"/>
        <v>I4439</v>
      </c>
    </row>
    <row r="13749" spans="1:6" x14ac:dyDescent="0.2">
      <c r="A13749" s="29" t="s">
        <v>31024</v>
      </c>
      <c r="B13749" s="30" t="s">
        <v>31025</v>
      </c>
      <c r="C13749" s="29" t="s">
        <v>26</v>
      </c>
      <c r="D13749" s="31">
        <v>54414.05</v>
      </c>
      <c r="F13749" s="3" t="str">
        <f t="shared" si="214"/>
        <v>I4440</v>
      </c>
    </row>
    <row r="13750" spans="1:6" x14ac:dyDescent="0.2">
      <c r="A13750" s="29" t="s">
        <v>31026</v>
      </c>
      <c r="B13750" s="30" t="s">
        <v>31027</v>
      </c>
      <c r="C13750" s="29" t="s">
        <v>26</v>
      </c>
      <c r="D13750" s="31">
        <v>58716.91</v>
      </c>
      <c r="F13750" s="3" t="str">
        <f t="shared" si="214"/>
        <v>I4441</v>
      </c>
    </row>
    <row r="13751" spans="1:6" x14ac:dyDescent="0.2">
      <c r="A13751" s="29" t="s">
        <v>31028</v>
      </c>
      <c r="B13751" s="30" t="s">
        <v>31029</v>
      </c>
      <c r="C13751" s="29" t="s">
        <v>26</v>
      </c>
      <c r="D13751" s="31">
        <v>63015.6</v>
      </c>
      <c r="F13751" s="3" t="str">
        <f t="shared" si="214"/>
        <v>I4442</v>
      </c>
    </row>
    <row r="13752" spans="1:6" x14ac:dyDescent="0.2">
      <c r="A13752" s="29" t="s">
        <v>31030</v>
      </c>
      <c r="B13752" s="30" t="s">
        <v>31031</v>
      </c>
      <c r="C13752" s="29" t="s">
        <v>26</v>
      </c>
      <c r="D13752" s="31">
        <v>67318.399999999994</v>
      </c>
      <c r="F13752" s="3" t="str">
        <f t="shared" si="214"/>
        <v>I4443</v>
      </c>
    </row>
    <row r="13753" spans="1:6" x14ac:dyDescent="0.2">
      <c r="A13753" s="29" t="s">
        <v>31032</v>
      </c>
      <c r="B13753" s="30" t="s">
        <v>31033</v>
      </c>
      <c r="C13753" s="29" t="s">
        <v>26</v>
      </c>
      <c r="D13753" s="31">
        <v>74195.66</v>
      </c>
      <c r="F13753" s="3" t="str">
        <f t="shared" si="214"/>
        <v>I4444</v>
      </c>
    </row>
    <row r="13754" spans="1:6" x14ac:dyDescent="0.2">
      <c r="A13754" s="29" t="s">
        <v>31034</v>
      </c>
      <c r="B13754" s="30" t="s">
        <v>31035</v>
      </c>
      <c r="C13754" s="29" t="s">
        <v>26</v>
      </c>
      <c r="D13754" s="31">
        <v>75443.53</v>
      </c>
      <c r="F13754" s="3" t="str">
        <f t="shared" si="214"/>
        <v>I4445</v>
      </c>
    </row>
    <row r="13755" spans="1:6" x14ac:dyDescent="0.2">
      <c r="A13755" s="29" t="s">
        <v>31036</v>
      </c>
      <c r="B13755" s="30" t="s">
        <v>31037</v>
      </c>
      <c r="C13755" s="29" t="s">
        <v>26</v>
      </c>
      <c r="D13755" s="31">
        <v>76188.12</v>
      </c>
      <c r="F13755" s="3" t="str">
        <f t="shared" si="214"/>
        <v>I4446</v>
      </c>
    </row>
    <row r="13756" spans="1:6" x14ac:dyDescent="0.2">
      <c r="A13756" s="29" t="s">
        <v>31038</v>
      </c>
      <c r="B13756" s="30" t="s">
        <v>31039</v>
      </c>
      <c r="C13756" s="29" t="s">
        <v>26</v>
      </c>
      <c r="D13756" s="31">
        <v>2680.49</v>
      </c>
      <c r="F13756" s="3" t="str">
        <f t="shared" si="214"/>
        <v>I4288</v>
      </c>
    </row>
    <row r="13757" spans="1:6" x14ac:dyDescent="0.2">
      <c r="A13757" s="29" t="s">
        <v>31040</v>
      </c>
      <c r="B13757" s="30" t="s">
        <v>31041</v>
      </c>
      <c r="C13757" s="29" t="s">
        <v>26</v>
      </c>
      <c r="D13757" s="31">
        <v>2924.63</v>
      </c>
      <c r="F13757" s="3" t="str">
        <f t="shared" si="214"/>
        <v>I4289</v>
      </c>
    </row>
    <row r="13758" spans="1:6" x14ac:dyDescent="0.2">
      <c r="A13758" s="29" t="s">
        <v>31042</v>
      </c>
      <c r="B13758" s="30" t="s">
        <v>31043</v>
      </c>
      <c r="C13758" s="29" t="s">
        <v>26</v>
      </c>
      <c r="D13758" s="31">
        <v>3168.78</v>
      </c>
      <c r="F13758" s="3" t="str">
        <f t="shared" si="214"/>
        <v>I4290</v>
      </c>
    </row>
    <row r="13759" spans="1:6" x14ac:dyDescent="0.2">
      <c r="A13759" s="29" t="s">
        <v>31044</v>
      </c>
      <c r="B13759" s="30" t="s">
        <v>31045</v>
      </c>
      <c r="C13759" s="29" t="s">
        <v>26</v>
      </c>
      <c r="D13759" s="31">
        <v>3607.98</v>
      </c>
      <c r="F13759" s="3" t="str">
        <f t="shared" si="214"/>
        <v>I4291</v>
      </c>
    </row>
    <row r="13760" spans="1:6" x14ac:dyDescent="0.2">
      <c r="A13760" s="29" t="s">
        <v>31046</v>
      </c>
      <c r="B13760" s="30" t="s">
        <v>31047</v>
      </c>
      <c r="C13760" s="29" t="s">
        <v>26</v>
      </c>
      <c r="D13760" s="31">
        <v>3662.94</v>
      </c>
      <c r="F13760" s="3" t="str">
        <f t="shared" si="214"/>
        <v>I4292</v>
      </c>
    </row>
    <row r="13761" spans="1:6" x14ac:dyDescent="0.2">
      <c r="A13761" s="29" t="s">
        <v>31048</v>
      </c>
      <c r="B13761" s="30" t="s">
        <v>31049</v>
      </c>
      <c r="C13761" s="29" t="s">
        <v>26</v>
      </c>
      <c r="D13761" s="31">
        <v>3696.67</v>
      </c>
      <c r="F13761" s="3" t="str">
        <f t="shared" si="214"/>
        <v>I4293</v>
      </c>
    </row>
    <row r="13762" spans="1:6" x14ac:dyDescent="0.2">
      <c r="A13762" s="29" t="s">
        <v>31050</v>
      </c>
      <c r="B13762" s="30" t="s">
        <v>31051</v>
      </c>
      <c r="C13762" s="29" t="s">
        <v>26</v>
      </c>
      <c r="D13762" s="31">
        <v>1390.92</v>
      </c>
      <c r="F13762" s="3" t="str">
        <f t="shared" ref="F13762:F13825" si="215">A13762</f>
        <v>I12273</v>
      </c>
    </row>
    <row r="13763" spans="1:6" x14ac:dyDescent="0.2">
      <c r="A13763" s="29" t="s">
        <v>31052</v>
      </c>
      <c r="B13763" s="30" t="s">
        <v>31053</v>
      </c>
      <c r="C13763" s="29" t="s">
        <v>26</v>
      </c>
      <c r="D13763" s="31">
        <v>1635.08</v>
      </c>
      <c r="F13763" s="3" t="str">
        <f t="shared" si="215"/>
        <v>I12274</v>
      </c>
    </row>
    <row r="13764" spans="1:6" x14ac:dyDescent="0.2">
      <c r="A13764" s="29" t="s">
        <v>31054</v>
      </c>
      <c r="B13764" s="30" t="s">
        <v>31055</v>
      </c>
      <c r="C13764" s="29" t="s">
        <v>26</v>
      </c>
      <c r="D13764" s="31">
        <v>1879.27</v>
      </c>
      <c r="F13764" s="3" t="str">
        <f t="shared" si="215"/>
        <v>I12275</v>
      </c>
    </row>
    <row r="13765" spans="1:6" x14ac:dyDescent="0.2">
      <c r="A13765" s="29" t="s">
        <v>31056</v>
      </c>
      <c r="B13765" s="30" t="s">
        <v>31057</v>
      </c>
      <c r="C13765" s="29" t="s">
        <v>26</v>
      </c>
      <c r="D13765" s="31">
        <v>2127.42</v>
      </c>
      <c r="F13765" s="3" t="str">
        <f t="shared" si="215"/>
        <v>I12276</v>
      </c>
    </row>
    <row r="13766" spans="1:6" x14ac:dyDescent="0.2">
      <c r="A13766" s="29" t="s">
        <v>31058</v>
      </c>
      <c r="B13766" s="30" t="s">
        <v>31059</v>
      </c>
      <c r="C13766" s="29" t="s">
        <v>26</v>
      </c>
      <c r="D13766" s="31">
        <v>2371.59</v>
      </c>
      <c r="F13766" s="3" t="str">
        <f t="shared" si="215"/>
        <v>I12277</v>
      </c>
    </row>
    <row r="13767" spans="1:6" x14ac:dyDescent="0.2">
      <c r="A13767" s="29" t="s">
        <v>31060</v>
      </c>
      <c r="B13767" s="30" t="s">
        <v>31061</v>
      </c>
      <c r="C13767" s="29" t="s">
        <v>26</v>
      </c>
      <c r="D13767" s="31">
        <v>2615.7800000000002</v>
      </c>
      <c r="F13767" s="3" t="str">
        <f t="shared" si="215"/>
        <v>I12278</v>
      </c>
    </row>
    <row r="13768" spans="1:6" x14ac:dyDescent="0.2">
      <c r="A13768" s="29" t="s">
        <v>31062</v>
      </c>
      <c r="B13768" s="30" t="s">
        <v>31063</v>
      </c>
      <c r="C13768" s="29" t="s">
        <v>26</v>
      </c>
      <c r="D13768" s="31">
        <v>2859.91</v>
      </c>
      <c r="F13768" s="3" t="str">
        <f t="shared" si="215"/>
        <v>I12279</v>
      </c>
    </row>
    <row r="13769" spans="1:6" x14ac:dyDescent="0.2">
      <c r="A13769" s="29" t="s">
        <v>31064</v>
      </c>
      <c r="B13769" s="30" t="s">
        <v>31065</v>
      </c>
      <c r="C13769" s="29" t="s">
        <v>26</v>
      </c>
      <c r="D13769" s="31">
        <v>3108.17</v>
      </c>
      <c r="F13769" s="3" t="str">
        <f t="shared" si="215"/>
        <v>I12280</v>
      </c>
    </row>
    <row r="13770" spans="1:6" x14ac:dyDescent="0.2">
      <c r="A13770" s="29" t="s">
        <v>31066</v>
      </c>
      <c r="B13770" s="30" t="s">
        <v>31067</v>
      </c>
      <c r="C13770" s="29" t="s">
        <v>26</v>
      </c>
      <c r="D13770" s="31">
        <v>3543.27</v>
      </c>
      <c r="F13770" s="3" t="str">
        <f t="shared" si="215"/>
        <v>I12281</v>
      </c>
    </row>
    <row r="13771" spans="1:6" x14ac:dyDescent="0.2">
      <c r="A13771" s="29" t="s">
        <v>31068</v>
      </c>
      <c r="B13771" s="30" t="s">
        <v>31069</v>
      </c>
      <c r="C13771" s="29" t="s">
        <v>26</v>
      </c>
      <c r="D13771" s="31">
        <v>3598.22</v>
      </c>
      <c r="F13771" s="3" t="str">
        <f t="shared" si="215"/>
        <v>I12282</v>
      </c>
    </row>
    <row r="13772" spans="1:6" x14ac:dyDescent="0.2">
      <c r="A13772" s="29" t="s">
        <v>31070</v>
      </c>
      <c r="B13772" s="30" t="s">
        <v>31071</v>
      </c>
      <c r="C13772" s="29" t="s">
        <v>26</v>
      </c>
      <c r="D13772" s="31">
        <v>3631.96</v>
      </c>
      <c r="F13772" s="3" t="str">
        <f t="shared" si="215"/>
        <v>I12283</v>
      </c>
    </row>
    <row r="13773" spans="1:6" x14ac:dyDescent="0.2">
      <c r="A13773" s="29" t="s">
        <v>31072</v>
      </c>
      <c r="B13773" s="30" t="s">
        <v>31073</v>
      </c>
      <c r="C13773" s="29" t="s">
        <v>26</v>
      </c>
      <c r="D13773" s="31">
        <v>1778.19</v>
      </c>
      <c r="F13773" s="3" t="str">
        <f t="shared" si="215"/>
        <v>I12284</v>
      </c>
    </row>
    <row r="13774" spans="1:6" x14ac:dyDescent="0.2">
      <c r="A13774" s="29" t="s">
        <v>31074</v>
      </c>
      <c r="B13774" s="30" t="s">
        <v>31075</v>
      </c>
      <c r="C13774" s="29" t="s">
        <v>26</v>
      </c>
      <c r="D13774" s="31">
        <v>2099.09</v>
      </c>
      <c r="F13774" s="3" t="str">
        <f t="shared" si="215"/>
        <v>I12285</v>
      </c>
    </row>
    <row r="13775" spans="1:6" x14ac:dyDescent="0.2">
      <c r="A13775" s="29" t="s">
        <v>31076</v>
      </c>
      <c r="B13775" s="30" t="s">
        <v>31077</v>
      </c>
      <c r="C13775" s="29" t="s">
        <v>26</v>
      </c>
      <c r="D13775" s="31">
        <v>2420.02</v>
      </c>
      <c r="F13775" s="3" t="str">
        <f t="shared" si="215"/>
        <v>I12286</v>
      </c>
    </row>
    <row r="13776" spans="1:6" x14ac:dyDescent="0.2">
      <c r="A13776" s="29" t="s">
        <v>31078</v>
      </c>
      <c r="B13776" s="30" t="s">
        <v>31079</v>
      </c>
      <c r="C13776" s="29" t="s">
        <v>26</v>
      </c>
      <c r="D13776" s="31">
        <v>2736.86</v>
      </c>
      <c r="F13776" s="3" t="str">
        <f t="shared" si="215"/>
        <v>I12287</v>
      </c>
    </row>
    <row r="13777" spans="1:6" x14ac:dyDescent="0.2">
      <c r="A13777" s="29" t="s">
        <v>31080</v>
      </c>
      <c r="B13777" s="30" t="s">
        <v>31081</v>
      </c>
      <c r="C13777" s="29" t="s">
        <v>26</v>
      </c>
      <c r="D13777" s="31">
        <v>3057.77</v>
      </c>
      <c r="F13777" s="3" t="str">
        <f t="shared" si="215"/>
        <v>I12288</v>
      </c>
    </row>
    <row r="13778" spans="1:6" x14ac:dyDescent="0.2">
      <c r="A13778" s="29" t="s">
        <v>31082</v>
      </c>
      <c r="B13778" s="30" t="s">
        <v>31083</v>
      </c>
      <c r="C13778" s="29" t="s">
        <v>26</v>
      </c>
      <c r="D13778" s="31">
        <v>3378.73</v>
      </c>
      <c r="F13778" s="3" t="str">
        <f t="shared" si="215"/>
        <v>I12289</v>
      </c>
    </row>
    <row r="13779" spans="1:6" x14ac:dyDescent="0.2">
      <c r="A13779" s="29" t="s">
        <v>31084</v>
      </c>
      <c r="B13779" s="30" t="s">
        <v>31085</v>
      </c>
      <c r="C13779" s="29" t="s">
        <v>26</v>
      </c>
      <c r="D13779" s="31">
        <v>3695.55</v>
      </c>
      <c r="F13779" s="3" t="str">
        <f t="shared" si="215"/>
        <v>I12290</v>
      </c>
    </row>
    <row r="13780" spans="1:6" x14ac:dyDescent="0.2">
      <c r="A13780" s="29" t="s">
        <v>31086</v>
      </c>
      <c r="B13780" s="30" t="s">
        <v>31087</v>
      </c>
      <c r="C13780" s="29" t="s">
        <v>26</v>
      </c>
      <c r="D13780" s="31">
        <v>4016.52</v>
      </c>
      <c r="F13780" s="3" t="str">
        <f t="shared" si="215"/>
        <v>I12291</v>
      </c>
    </row>
    <row r="13781" spans="1:6" x14ac:dyDescent="0.2">
      <c r="A13781" s="29" t="s">
        <v>31088</v>
      </c>
      <c r="B13781" s="30" t="s">
        <v>31089</v>
      </c>
      <c r="C13781" s="29" t="s">
        <v>26</v>
      </c>
      <c r="D13781" s="31">
        <v>4580.58</v>
      </c>
      <c r="F13781" s="3" t="str">
        <f t="shared" si="215"/>
        <v>I12292</v>
      </c>
    </row>
    <row r="13782" spans="1:6" x14ac:dyDescent="0.2">
      <c r="A13782" s="29" t="s">
        <v>31090</v>
      </c>
      <c r="B13782" s="30" t="s">
        <v>31091</v>
      </c>
      <c r="C13782" s="29" t="s">
        <v>26</v>
      </c>
      <c r="D13782" s="31">
        <v>4656.51</v>
      </c>
      <c r="F13782" s="3" t="str">
        <f t="shared" si="215"/>
        <v>I12293</v>
      </c>
    </row>
    <row r="13783" spans="1:6" x14ac:dyDescent="0.2">
      <c r="A13783" s="29" t="s">
        <v>31092</v>
      </c>
      <c r="B13783" s="30" t="s">
        <v>31093</v>
      </c>
      <c r="C13783" s="29" t="s">
        <v>26</v>
      </c>
      <c r="D13783" s="31">
        <v>4706.92</v>
      </c>
      <c r="F13783" s="3" t="str">
        <f t="shared" si="215"/>
        <v>I12294</v>
      </c>
    </row>
    <row r="13784" spans="1:6" x14ac:dyDescent="0.2">
      <c r="A13784" s="29" t="s">
        <v>31094</v>
      </c>
      <c r="B13784" s="30" t="s">
        <v>31095</v>
      </c>
      <c r="C13784" s="29" t="s">
        <v>26</v>
      </c>
      <c r="D13784" s="31">
        <v>1791.1</v>
      </c>
      <c r="F13784" s="3" t="str">
        <f t="shared" si="215"/>
        <v>I12295</v>
      </c>
    </row>
    <row r="13785" spans="1:6" x14ac:dyDescent="0.2">
      <c r="A13785" s="29" t="s">
        <v>31096</v>
      </c>
      <c r="B13785" s="30" t="s">
        <v>31097</v>
      </c>
      <c r="C13785" s="29" t="s">
        <v>26</v>
      </c>
      <c r="D13785" s="31">
        <v>2107.96</v>
      </c>
      <c r="F13785" s="3" t="str">
        <f t="shared" si="215"/>
        <v>I12296</v>
      </c>
    </row>
    <row r="13786" spans="1:6" x14ac:dyDescent="0.2">
      <c r="A13786" s="29" t="s">
        <v>31098</v>
      </c>
      <c r="B13786" s="30" t="s">
        <v>31099</v>
      </c>
      <c r="C13786" s="29" t="s">
        <v>26</v>
      </c>
      <c r="D13786" s="31">
        <v>2428.86</v>
      </c>
      <c r="F13786" s="3" t="str">
        <f t="shared" si="215"/>
        <v>I12297</v>
      </c>
    </row>
    <row r="13787" spans="1:6" x14ac:dyDescent="0.2">
      <c r="A13787" s="29" t="s">
        <v>31100</v>
      </c>
      <c r="B13787" s="30" t="s">
        <v>31101</v>
      </c>
      <c r="C13787" s="29" t="s">
        <v>26</v>
      </c>
      <c r="D13787" s="31">
        <v>2749.82</v>
      </c>
      <c r="F13787" s="3" t="str">
        <f t="shared" si="215"/>
        <v>I12298</v>
      </c>
    </row>
    <row r="13788" spans="1:6" x14ac:dyDescent="0.2">
      <c r="A13788" s="29" t="s">
        <v>31102</v>
      </c>
      <c r="B13788" s="30" t="s">
        <v>31103</v>
      </c>
      <c r="C13788" s="29" t="s">
        <v>26</v>
      </c>
      <c r="D13788" s="31">
        <v>3070.72</v>
      </c>
      <c r="F13788" s="3" t="str">
        <f t="shared" si="215"/>
        <v>I12299</v>
      </c>
    </row>
    <row r="13789" spans="1:6" x14ac:dyDescent="0.2">
      <c r="A13789" s="29" t="s">
        <v>31104</v>
      </c>
      <c r="B13789" s="30" t="s">
        <v>31105</v>
      </c>
      <c r="C13789" s="29" t="s">
        <v>26</v>
      </c>
      <c r="D13789" s="31">
        <v>3387.58</v>
      </c>
      <c r="F13789" s="3" t="str">
        <f t="shared" si="215"/>
        <v>I12300</v>
      </c>
    </row>
    <row r="13790" spans="1:6" x14ac:dyDescent="0.2">
      <c r="A13790" s="29" t="s">
        <v>31106</v>
      </c>
      <c r="B13790" s="30" t="s">
        <v>31107</v>
      </c>
      <c r="C13790" s="29" t="s">
        <v>26</v>
      </c>
      <c r="D13790" s="31">
        <v>3708.49</v>
      </c>
      <c r="F13790" s="3" t="str">
        <f t="shared" si="215"/>
        <v>I12301</v>
      </c>
    </row>
    <row r="13791" spans="1:6" x14ac:dyDescent="0.2">
      <c r="A13791" s="29" t="s">
        <v>31108</v>
      </c>
      <c r="B13791" s="30" t="s">
        <v>31109</v>
      </c>
      <c r="C13791" s="29" t="s">
        <v>26</v>
      </c>
      <c r="D13791" s="31">
        <v>4029.48</v>
      </c>
      <c r="F13791" s="3" t="str">
        <f t="shared" si="215"/>
        <v>I12302</v>
      </c>
    </row>
    <row r="13792" spans="1:6" x14ac:dyDescent="0.2">
      <c r="A13792" s="29" t="s">
        <v>31110</v>
      </c>
      <c r="B13792" s="30" t="s">
        <v>31111</v>
      </c>
      <c r="C13792" s="29" t="s">
        <v>26</v>
      </c>
      <c r="D13792" s="31">
        <v>4589.4799999999996</v>
      </c>
      <c r="F13792" s="3" t="str">
        <f t="shared" si="215"/>
        <v>I12303</v>
      </c>
    </row>
    <row r="13793" spans="1:6" x14ac:dyDescent="0.2">
      <c r="A13793" s="29" t="s">
        <v>31112</v>
      </c>
      <c r="B13793" s="30" t="s">
        <v>31113</v>
      </c>
      <c r="C13793" s="29" t="s">
        <v>26</v>
      </c>
      <c r="D13793" s="31">
        <v>4669.46</v>
      </c>
      <c r="F13793" s="3" t="str">
        <f t="shared" si="215"/>
        <v>I12304</v>
      </c>
    </row>
    <row r="13794" spans="1:6" x14ac:dyDescent="0.2">
      <c r="A13794" s="29" t="s">
        <v>31114</v>
      </c>
      <c r="B13794" s="30" t="s">
        <v>31115</v>
      </c>
      <c r="C13794" s="29" t="s">
        <v>26</v>
      </c>
      <c r="D13794" s="31">
        <v>4723.3100000000004</v>
      </c>
      <c r="F13794" s="3" t="str">
        <f t="shared" si="215"/>
        <v>I12305</v>
      </c>
    </row>
    <row r="13795" spans="1:6" x14ac:dyDescent="0.2">
      <c r="A13795" s="29" t="s">
        <v>31116</v>
      </c>
      <c r="B13795" s="30" t="s">
        <v>31117</v>
      </c>
      <c r="C13795" s="29" t="s">
        <v>26</v>
      </c>
      <c r="D13795" s="31">
        <v>2081.11</v>
      </c>
      <c r="F13795" s="3" t="str">
        <f t="shared" si="215"/>
        <v>I12306</v>
      </c>
    </row>
    <row r="13796" spans="1:6" x14ac:dyDescent="0.2">
      <c r="A13796" s="29" t="s">
        <v>31118</v>
      </c>
      <c r="B13796" s="30" t="s">
        <v>31119</v>
      </c>
      <c r="C13796" s="29" t="s">
        <v>26</v>
      </c>
      <c r="D13796" s="31">
        <v>2481.1799999999998</v>
      </c>
      <c r="F13796" s="3" t="str">
        <f t="shared" si="215"/>
        <v>I12307</v>
      </c>
    </row>
    <row r="13797" spans="1:6" x14ac:dyDescent="0.2">
      <c r="A13797" s="29" t="s">
        <v>31120</v>
      </c>
      <c r="B13797" s="30" t="s">
        <v>31121</v>
      </c>
      <c r="C13797" s="29" t="s">
        <v>26</v>
      </c>
      <c r="D13797" s="31">
        <v>2877.26</v>
      </c>
      <c r="F13797" s="3" t="str">
        <f t="shared" si="215"/>
        <v>I12308</v>
      </c>
    </row>
    <row r="13798" spans="1:6" x14ac:dyDescent="0.2">
      <c r="A13798" s="29" t="s">
        <v>31122</v>
      </c>
      <c r="B13798" s="30" t="s">
        <v>31123</v>
      </c>
      <c r="C13798" s="29" t="s">
        <v>26</v>
      </c>
      <c r="D13798" s="31">
        <v>3277.32</v>
      </c>
      <c r="F13798" s="3" t="str">
        <f t="shared" si="215"/>
        <v>I12309</v>
      </c>
    </row>
    <row r="13799" spans="1:6" x14ac:dyDescent="0.2">
      <c r="A13799" s="29" t="s">
        <v>31124</v>
      </c>
      <c r="B13799" s="30" t="s">
        <v>31125</v>
      </c>
      <c r="C13799" s="29" t="s">
        <v>26</v>
      </c>
      <c r="D13799" s="31">
        <v>3677.35</v>
      </c>
      <c r="F13799" s="3" t="str">
        <f t="shared" si="215"/>
        <v>I12310</v>
      </c>
    </row>
    <row r="13800" spans="1:6" x14ac:dyDescent="0.2">
      <c r="A13800" s="29" t="s">
        <v>31126</v>
      </c>
      <c r="B13800" s="30" t="s">
        <v>31127</v>
      </c>
      <c r="C13800" s="29" t="s">
        <v>26</v>
      </c>
      <c r="D13800" s="31">
        <v>4073.29</v>
      </c>
      <c r="F13800" s="3" t="str">
        <f t="shared" si="215"/>
        <v>I12311</v>
      </c>
    </row>
    <row r="13801" spans="1:6" x14ac:dyDescent="0.2">
      <c r="A13801" s="29" t="s">
        <v>31128</v>
      </c>
      <c r="B13801" s="30" t="s">
        <v>31129</v>
      </c>
      <c r="C13801" s="29" t="s">
        <v>26</v>
      </c>
      <c r="D13801" s="31">
        <v>4473.3999999999996</v>
      </c>
      <c r="F13801" s="3" t="str">
        <f t="shared" si="215"/>
        <v>I12312</v>
      </c>
    </row>
    <row r="13802" spans="1:6" x14ac:dyDescent="0.2">
      <c r="A13802" s="29" t="s">
        <v>31130</v>
      </c>
      <c r="B13802" s="30" t="s">
        <v>31131</v>
      </c>
      <c r="C13802" s="29" t="s">
        <v>26</v>
      </c>
      <c r="D13802" s="31">
        <v>4869.37</v>
      </c>
      <c r="F13802" s="3" t="str">
        <f t="shared" si="215"/>
        <v>I12313</v>
      </c>
    </row>
    <row r="13803" spans="1:6" x14ac:dyDescent="0.2">
      <c r="A13803" s="29" t="s">
        <v>31132</v>
      </c>
      <c r="B13803" s="30" t="s">
        <v>31133</v>
      </c>
      <c r="C13803" s="29" t="s">
        <v>26</v>
      </c>
      <c r="D13803" s="31">
        <v>5567.44</v>
      </c>
      <c r="F13803" s="3" t="str">
        <f t="shared" si="215"/>
        <v>I12314</v>
      </c>
    </row>
    <row r="13804" spans="1:6" x14ac:dyDescent="0.2">
      <c r="A13804" s="29" t="s">
        <v>31134</v>
      </c>
      <c r="B13804" s="30" t="s">
        <v>31135</v>
      </c>
      <c r="C13804" s="29" t="s">
        <v>26</v>
      </c>
      <c r="D13804" s="31">
        <v>5672.25</v>
      </c>
      <c r="F13804" s="3" t="str">
        <f t="shared" si="215"/>
        <v>I12315</v>
      </c>
    </row>
    <row r="13805" spans="1:6" x14ac:dyDescent="0.2">
      <c r="A13805" s="29" t="s">
        <v>31136</v>
      </c>
      <c r="B13805" s="30" t="s">
        <v>31137</v>
      </c>
      <c r="C13805" s="29" t="s">
        <v>26</v>
      </c>
      <c r="D13805" s="31">
        <v>5731.04</v>
      </c>
      <c r="F13805" s="3" t="str">
        <f t="shared" si="215"/>
        <v>I12316</v>
      </c>
    </row>
    <row r="13806" spans="1:6" x14ac:dyDescent="0.2">
      <c r="A13806" s="29" t="s">
        <v>31138</v>
      </c>
      <c r="B13806" s="30" t="s">
        <v>31139</v>
      </c>
      <c r="C13806" s="29" t="s">
        <v>26</v>
      </c>
      <c r="D13806" s="31">
        <v>2197.87</v>
      </c>
      <c r="F13806" s="3" t="str">
        <f t="shared" si="215"/>
        <v>I12317</v>
      </c>
    </row>
    <row r="13807" spans="1:6" x14ac:dyDescent="0.2">
      <c r="A13807" s="29" t="s">
        <v>31140</v>
      </c>
      <c r="B13807" s="30" t="s">
        <v>31141</v>
      </c>
      <c r="C13807" s="29" t="s">
        <v>26</v>
      </c>
      <c r="D13807" s="31">
        <v>2597.94</v>
      </c>
      <c r="F13807" s="3" t="str">
        <f t="shared" si="215"/>
        <v>I12318</v>
      </c>
    </row>
    <row r="13808" spans="1:6" x14ac:dyDescent="0.2">
      <c r="A13808" s="29" t="s">
        <v>31142</v>
      </c>
      <c r="B13808" s="30" t="s">
        <v>31143</v>
      </c>
      <c r="C13808" s="29" t="s">
        <v>26</v>
      </c>
      <c r="D13808" s="31">
        <v>2994.02</v>
      </c>
      <c r="F13808" s="3" t="str">
        <f t="shared" si="215"/>
        <v>I12319</v>
      </c>
    </row>
    <row r="13809" spans="1:6" x14ac:dyDescent="0.2">
      <c r="A13809" s="29" t="s">
        <v>31144</v>
      </c>
      <c r="B13809" s="30" t="s">
        <v>31145</v>
      </c>
      <c r="C13809" s="29" t="s">
        <v>26</v>
      </c>
      <c r="D13809" s="31">
        <v>3394.06</v>
      </c>
      <c r="F13809" s="3" t="str">
        <f t="shared" si="215"/>
        <v>I12320</v>
      </c>
    </row>
    <row r="13810" spans="1:6" x14ac:dyDescent="0.2">
      <c r="A13810" s="29" t="s">
        <v>31146</v>
      </c>
      <c r="B13810" s="30" t="s">
        <v>31147</v>
      </c>
      <c r="C13810" s="29" t="s">
        <v>26</v>
      </c>
      <c r="D13810" s="31">
        <v>3790.05</v>
      </c>
      <c r="F13810" s="3" t="str">
        <f t="shared" si="215"/>
        <v>I12321</v>
      </c>
    </row>
    <row r="13811" spans="1:6" x14ac:dyDescent="0.2">
      <c r="A13811" s="29" t="s">
        <v>31148</v>
      </c>
      <c r="B13811" s="30" t="s">
        <v>31149</v>
      </c>
      <c r="C13811" s="29" t="s">
        <v>26</v>
      </c>
      <c r="D13811" s="31">
        <v>4190.0600000000004</v>
      </c>
      <c r="F13811" s="3" t="str">
        <f t="shared" si="215"/>
        <v>I12322</v>
      </c>
    </row>
    <row r="13812" spans="1:6" x14ac:dyDescent="0.2">
      <c r="A13812" s="29" t="s">
        <v>31150</v>
      </c>
      <c r="B13812" s="30" t="s">
        <v>31151</v>
      </c>
      <c r="C13812" s="29" t="s">
        <v>26</v>
      </c>
      <c r="D13812" s="31">
        <v>4590.16</v>
      </c>
      <c r="F13812" s="3" t="str">
        <f t="shared" si="215"/>
        <v>I12323</v>
      </c>
    </row>
    <row r="13813" spans="1:6" x14ac:dyDescent="0.2">
      <c r="A13813" s="29" t="s">
        <v>31152</v>
      </c>
      <c r="B13813" s="30" t="s">
        <v>31153</v>
      </c>
      <c r="C13813" s="29" t="s">
        <v>26</v>
      </c>
      <c r="D13813" s="31">
        <v>4986.17</v>
      </c>
      <c r="F13813" s="3" t="str">
        <f t="shared" si="215"/>
        <v>I12324</v>
      </c>
    </row>
    <row r="13814" spans="1:6" x14ac:dyDescent="0.2">
      <c r="A13814" s="29" t="s">
        <v>31154</v>
      </c>
      <c r="B13814" s="30" t="s">
        <v>31155</v>
      </c>
      <c r="C13814" s="29" t="s">
        <v>26</v>
      </c>
      <c r="D13814" s="31">
        <v>5684.2</v>
      </c>
      <c r="F13814" s="3" t="str">
        <f t="shared" si="215"/>
        <v>I12325</v>
      </c>
    </row>
    <row r="13815" spans="1:6" x14ac:dyDescent="0.2">
      <c r="A13815" s="29" t="s">
        <v>31156</v>
      </c>
      <c r="B13815" s="30" t="s">
        <v>31157</v>
      </c>
      <c r="C13815" s="29" t="s">
        <v>26</v>
      </c>
      <c r="D13815" s="31">
        <v>5789.02</v>
      </c>
      <c r="F13815" s="3" t="str">
        <f t="shared" si="215"/>
        <v>I12326</v>
      </c>
    </row>
    <row r="13816" spans="1:6" x14ac:dyDescent="0.2">
      <c r="A13816" s="29" t="s">
        <v>31158</v>
      </c>
      <c r="B13816" s="30" t="s">
        <v>31159</v>
      </c>
      <c r="C13816" s="29" t="s">
        <v>26</v>
      </c>
      <c r="D13816" s="31">
        <v>5847.78</v>
      </c>
      <c r="F13816" s="3" t="str">
        <f t="shared" si="215"/>
        <v>I12327</v>
      </c>
    </row>
    <row r="13817" spans="1:6" x14ac:dyDescent="0.2">
      <c r="A13817" s="29" t="s">
        <v>31160</v>
      </c>
      <c r="B13817" s="30" t="s">
        <v>31161</v>
      </c>
      <c r="C13817" s="29" t="s">
        <v>26</v>
      </c>
      <c r="D13817" s="31">
        <v>2534.5300000000002</v>
      </c>
      <c r="F13817" s="3" t="str">
        <f t="shared" si="215"/>
        <v>I12328</v>
      </c>
    </row>
    <row r="13818" spans="1:6" x14ac:dyDescent="0.2">
      <c r="A13818" s="29" t="s">
        <v>31162</v>
      </c>
      <c r="B13818" s="30" t="s">
        <v>31163</v>
      </c>
      <c r="C13818" s="29" t="s">
        <v>26</v>
      </c>
      <c r="D13818" s="31">
        <v>3022.91</v>
      </c>
      <c r="F13818" s="3" t="str">
        <f t="shared" si="215"/>
        <v>I12329</v>
      </c>
    </row>
    <row r="13819" spans="1:6" x14ac:dyDescent="0.2">
      <c r="A13819" s="29" t="s">
        <v>31164</v>
      </c>
      <c r="B13819" s="30" t="s">
        <v>31165</v>
      </c>
      <c r="C13819" s="29" t="s">
        <v>26</v>
      </c>
      <c r="D13819" s="31">
        <v>3511.26</v>
      </c>
      <c r="F13819" s="3" t="str">
        <f t="shared" si="215"/>
        <v>I12330</v>
      </c>
    </row>
    <row r="13820" spans="1:6" x14ac:dyDescent="0.2">
      <c r="A13820" s="29" t="s">
        <v>31166</v>
      </c>
      <c r="B13820" s="30" t="s">
        <v>31167</v>
      </c>
      <c r="C13820" s="29" t="s">
        <v>26</v>
      </c>
      <c r="D13820" s="31">
        <v>3999.7</v>
      </c>
      <c r="F13820" s="3" t="str">
        <f t="shared" si="215"/>
        <v>I12331</v>
      </c>
    </row>
    <row r="13821" spans="1:6" x14ac:dyDescent="0.2">
      <c r="A13821" s="29" t="s">
        <v>31168</v>
      </c>
      <c r="B13821" s="30" t="s">
        <v>31169</v>
      </c>
      <c r="C13821" s="29" t="s">
        <v>26</v>
      </c>
      <c r="D13821" s="31">
        <v>4488.0600000000004</v>
      </c>
      <c r="F13821" s="3" t="str">
        <f t="shared" si="215"/>
        <v>I12332</v>
      </c>
    </row>
    <row r="13822" spans="1:6" x14ac:dyDescent="0.2">
      <c r="A13822" s="29" t="s">
        <v>31170</v>
      </c>
      <c r="B13822" s="30" t="s">
        <v>31171</v>
      </c>
      <c r="C13822" s="29" t="s">
        <v>26</v>
      </c>
      <c r="D13822" s="31">
        <v>4976.41</v>
      </c>
      <c r="F13822" s="3" t="str">
        <f t="shared" si="215"/>
        <v>I12333</v>
      </c>
    </row>
    <row r="13823" spans="1:6" x14ac:dyDescent="0.2">
      <c r="A13823" s="29" t="s">
        <v>31172</v>
      </c>
      <c r="B13823" s="30" t="s">
        <v>31173</v>
      </c>
      <c r="C13823" s="29" t="s">
        <v>26</v>
      </c>
      <c r="D13823" s="31">
        <v>5464.77</v>
      </c>
      <c r="F13823" s="3" t="str">
        <f t="shared" si="215"/>
        <v>I12334</v>
      </c>
    </row>
    <row r="13824" spans="1:6" x14ac:dyDescent="0.2">
      <c r="A13824" s="29" t="s">
        <v>31174</v>
      </c>
      <c r="B13824" s="30" t="s">
        <v>31175</v>
      </c>
      <c r="C13824" s="29" t="s">
        <v>26</v>
      </c>
      <c r="D13824" s="31">
        <v>5953.18</v>
      </c>
      <c r="F13824" s="3" t="str">
        <f t="shared" si="215"/>
        <v>I12335</v>
      </c>
    </row>
    <row r="13825" spans="1:6" x14ac:dyDescent="0.2">
      <c r="A13825" s="29" t="s">
        <v>31176</v>
      </c>
      <c r="B13825" s="30" t="s">
        <v>31177</v>
      </c>
      <c r="C13825" s="29" t="s">
        <v>26</v>
      </c>
      <c r="D13825" s="31">
        <v>6807.91</v>
      </c>
      <c r="F13825" s="3" t="str">
        <f t="shared" si="215"/>
        <v>I12336</v>
      </c>
    </row>
    <row r="13826" spans="1:6" x14ac:dyDescent="0.2">
      <c r="A13826" s="29" t="s">
        <v>31178</v>
      </c>
      <c r="B13826" s="30" t="s">
        <v>31179</v>
      </c>
      <c r="C13826" s="29" t="s">
        <v>26</v>
      </c>
      <c r="D13826" s="31">
        <v>6937.26</v>
      </c>
      <c r="F13826" s="3" t="str">
        <f t="shared" ref="F13826:F13889" si="216">A13826</f>
        <v>I12337</v>
      </c>
    </row>
    <row r="13827" spans="1:6" x14ac:dyDescent="0.2">
      <c r="A13827" s="29" t="s">
        <v>31180</v>
      </c>
      <c r="B13827" s="30" t="s">
        <v>31181</v>
      </c>
      <c r="C13827" s="29" t="s">
        <v>26</v>
      </c>
      <c r="D13827" s="31">
        <v>7012.43</v>
      </c>
      <c r="F13827" s="3" t="str">
        <f t="shared" si="216"/>
        <v>I12338</v>
      </c>
    </row>
    <row r="13828" spans="1:6" x14ac:dyDescent="0.2">
      <c r="A13828" s="29" t="s">
        <v>31182</v>
      </c>
      <c r="B13828" s="30" t="s">
        <v>31183</v>
      </c>
      <c r="C13828" s="29" t="s">
        <v>26</v>
      </c>
      <c r="D13828" s="31">
        <v>2667.82</v>
      </c>
      <c r="F13828" s="3" t="str">
        <f t="shared" si="216"/>
        <v>I12339</v>
      </c>
    </row>
    <row r="13829" spans="1:6" x14ac:dyDescent="0.2">
      <c r="A13829" s="29" t="s">
        <v>31184</v>
      </c>
      <c r="B13829" s="30" t="s">
        <v>31185</v>
      </c>
      <c r="C13829" s="29" t="s">
        <v>26</v>
      </c>
      <c r="D13829" s="31">
        <v>3156.21</v>
      </c>
      <c r="F13829" s="3" t="str">
        <f t="shared" si="216"/>
        <v>I12340</v>
      </c>
    </row>
    <row r="13830" spans="1:6" x14ac:dyDescent="0.2">
      <c r="A13830" s="29" t="s">
        <v>31186</v>
      </c>
      <c r="B13830" s="30" t="s">
        <v>31187</v>
      </c>
      <c r="C13830" s="29" t="s">
        <v>26</v>
      </c>
      <c r="D13830" s="31">
        <v>3644.56</v>
      </c>
      <c r="F13830" s="3" t="str">
        <f t="shared" si="216"/>
        <v>I12341</v>
      </c>
    </row>
    <row r="13831" spans="1:6" x14ac:dyDescent="0.2">
      <c r="A13831" s="29" t="s">
        <v>31188</v>
      </c>
      <c r="B13831" s="30" t="s">
        <v>31189</v>
      </c>
      <c r="C13831" s="29" t="s">
        <v>26</v>
      </c>
      <c r="D13831" s="31">
        <v>4132.99</v>
      </c>
      <c r="F13831" s="3" t="str">
        <f t="shared" si="216"/>
        <v>I12342</v>
      </c>
    </row>
    <row r="13832" spans="1:6" x14ac:dyDescent="0.2">
      <c r="A13832" s="29" t="s">
        <v>31190</v>
      </c>
      <c r="B13832" s="30" t="s">
        <v>31191</v>
      </c>
      <c r="C13832" s="29" t="s">
        <v>26</v>
      </c>
      <c r="D13832" s="31">
        <v>4621.3</v>
      </c>
      <c r="F13832" s="3" t="str">
        <f t="shared" si="216"/>
        <v>I12343</v>
      </c>
    </row>
    <row r="13833" spans="1:6" x14ac:dyDescent="0.2">
      <c r="A13833" s="29" t="s">
        <v>31192</v>
      </c>
      <c r="B13833" s="30" t="s">
        <v>31193</v>
      </c>
      <c r="C13833" s="29" t="s">
        <v>26</v>
      </c>
      <c r="D13833" s="31">
        <v>5109.71</v>
      </c>
      <c r="F13833" s="3" t="str">
        <f t="shared" si="216"/>
        <v>I12344</v>
      </c>
    </row>
    <row r="13834" spans="1:6" x14ac:dyDescent="0.2">
      <c r="A13834" s="29" t="s">
        <v>31194</v>
      </c>
      <c r="B13834" s="30" t="s">
        <v>31195</v>
      </c>
      <c r="C13834" s="29" t="s">
        <v>26</v>
      </c>
      <c r="D13834" s="31">
        <v>5598.04</v>
      </c>
      <c r="F13834" s="3" t="str">
        <f t="shared" si="216"/>
        <v>I12345</v>
      </c>
    </row>
    <row r="13835" spans="1:6" x14ac:dyDescent="0.2">
      <c r="A13835" s="29" t="s">
        <v>31196</v>
      </c>
      <c r="B13835" s="30" t="s">
        <v>31197</v>
      </c>
      <c r="C13835" s="29" t="s">
        <v>26</v>
      </c>
      <c r="D13835" s="31">
        <v>6086.46</v>
      </c>
      <c r="F13835" s="3" t="str">
        <f t="shared" si="216"/>
        <v>I12346</v>
      </c>
    </row>
    <row r="13836" spans="1:6" x14ac:dyDescent="0.2">
      <c r="A13836" s="29" t="s">
        <v>31198</v>
      </c>
      <c r="B13836" s="30" t="s">
        <v>31199</v>
      </c>
      <c r="C13836" s="29" t="s">
        <v>26</v>
      </c>
      <c r="D13836" s="31">
        <v>6937.11</v>
      </c>
      <c r="F13836" s="3" t="str">
        <f t="shared" si="216"/>
        <v>I12347</v>
      </c>
    </row>
    <row r="13837" spans="1:6" x14ac:dyDescent="0.2">
      <c r="A13837" s="29" t="s">
        <v>31200</v>
      </c>
      <c r="B13837" s="30" t="s">
        <v>31201</v>
      </c>
      <c r="C13837" s="29" t="s">
        <v>26</v>
      </c>
      <c r="D13837" s="31">
        <v>7066.5</v>
      </c>
      <c r="F13837" s="3" t="str">
        <f t="shared" si="216"/>
        <v>I12348</v>
      </c>
    </row>
    <row r="13838" spans="1:6" x14ac:dyDescent="0.2">
      <c r="A13838" s="29" t="s">
        <v>31202</v>
      </c>
      <c r="B13838" s="30" t="s">
        <v>31203</v>
      </c>
      <c r="C13838" s="29" t="s">
        <v>26</v>
      </c>
      <c r="D13838" s="31">
        <v>7145.7</v>
      </c>
      <c r="F13838" s="3" t="str">
        <f t="shared" si="216"/>
        <v>I12349</v>
      </c>
    </row>
    <row r="13839" spans="1:6" x14ac:dyDescent="0.2">
      <c r="A13839" s="29" t="s">
        <v>31204</v>
      </c>
      <c r="B13839" s="30" t="s">
        <v>31205</v>
      </c>
      <c r="C13839" s="29" t="s">
        <v>26</v>
      </c>
      <c r="D13839" s="31">
        <v>3014.42</v>
      </c>
      <c r="F13839" s="3" t="str">
        <f t="shared" si="216"/>
        <v>I12350</v>
      </c>
    </row>
    <row r="13840" spans="1:6" x14ac:dyDescent="0.2">
      <c r="A13840" s="29" t="s">
        <v>31206</v>
      </c>
      <c r="B13840" s="30" t="s">
        <v>31207</v>
      </c>
      <c r="C13840" s="29" t="s">
        <v>26</v>
      </c>
      <c r="D13840" s="31">
        <v>3575</v>
      </c>
      <c r="F13840" s="3" t="str">
        <f t="shared" si="216"/>
        <v>I12351</v>
      </c>
    </row>
    <row r="13841" spans="1:6" x14ac:dyDescent="0.2">
      <c r="A13841" s="29" t="s">
        <v>31208</v>
      </c>
      <c r="B13841" s="30" t="s">
        <v>31209</v>
      </c>
      <c r="C13841" s="29" t="s">
        <v>26</v>
      </c>
      <c r="D13841" s="31">
        <v>4135.6499999999996</v>
      </c>
      <c r="F13841" s="3" t="str">
        <f t="shared" si="216"/>
        <v>I12352</v>
      </c>
    </row>
    <row r="13842" spans="1:6" x14ac:dyDescent="0.2">
      <c r="A13842" s="29" t="s">
        <v>31210</v>
      </c>
      <c r="B13842" s="30" t="s">
        <v>31211</v>
      </c>
      <c r="C13842" s="29" t="s">
        <v>26</v>
      </c>
      <c r="D13842" s="31">
        <v>4696.41</v>
      </c>
      <c r="F13842" s="3" t="str">
        <f t="shared" si="216"/>
        <v>I12353</v>
      </c>
    </row>
    <row r="13843" spans="1:6" x14ac:dyDescent="0.2">
      <c r="A13843" s="29" t="s">
        <v>31212</v>
      </c>
      <c r="B13843" s="30" t="s">
        <v>31213</v>
      </c>
      <c r="C13843" s="29" t="s">
        <v>26</v>
      </c>
      <c r="D13843" s="31">
        <v>5257.09</v>
      </c>
      <c r="F13843" s="3" t="str">
        <f t="shared" si="216"/>
        <v>I12354</v>
      </c>
    </row>
    <row r="13844" spans="1:6" x14ac:dyDescent="0.2">
      <c r="A13844" s="29" t="s">
        <v>31214</v>
      </c>
      <c r="B13844" s="30" t="s">
        <v>31215</v>
      </c>
      <c r="C13844" s="29" t="s">
        <v>26</v>
      </c>
      <c r="D13844" s="31">
        <v>5817.73</v>
      </c>
      <c r="F13844" s="3" t="str">
        <f t="shared" si="216"/>
        <v>I12355</v>
      </c>
    </row>
    <row r="13845" spans="1:6" x14ac:dyDescent="0.2">
      <c r="A13845" s="29" t="s">
        <v>31216</v>
      </c>
      <c r="B13845" s="30" t="s">
        <v>31217</v>
      </c>
      <c r="C13845" s="29" t="s">
        <v>26</v>
      </c>
      <c r="D13845" s="31">
        <v>6378.46</v>
      </c>
      <c r="F13845" s="3" t="str">
        <f t="shared" si="216"/>
        <v>I12356</v>
      </c>
    </row>
    <row r="13846" spans="1:6" x14ac:dyDescent="0.2">
      <c r="A13846" s="29" t="s">
        <v>31218</v>
      </c>
      <c r="B13846" s="30" t="s">
        <v>31219</v>
      </c>
      <c r="C13846" s="29" t="s">
        <v>26</v>
      </c>
      <c r="D13846" s="31">
        <v>6934.96</v>
      </c>
      <c r="F13846" s="3" t="str">
        <f t="shared" si="216"/>
        <v>I12357</v>
      </c>
    </row>
    <row r="13847" spans="1:6" x14ac:dyDescent="0.2">
      <c r="A13847" s="29" t="s">
        <v>31220</v>
      </c>
      <c r="B13847" s="30" t="s">
        <v>31221</v>
      </c>
      <c r="C13847" s="29" t="s">
        <v>26</v>
      </c>
      <c r="D13847" s="31">
        <v>7900.05</v>
      </c>
      <c r="F13847" s="3" t="str">
        <f t="shared" si="216"/>
        <v>I12358</v>
      </c>
    </row>
    <row r="13848" spans="1:6" x14ac:dyDescent="0.2">
      <c r="A13848" s="29" t="s">
        <v>31222</v>
      </c>
      <c r="B13848" s="30" t="s">
        <v>31223</v>
      </c>
      <c r="C13848" s="29" t="s">
        <v>26</v>
      </c>
      <c r="D13848" s="31">
        <v>8060</v>
      </c>
      <c r="F13848" s="3" t="str">
        <f t="shared" si="216"/>
        <v>I12359</v>
      </c>
    </row>
    <row r="13849" spans="1:6" x14ac:dyDescent="0.2">
      <c r="A13849" s="29" t="s">
        <v>31224</v>
      </c>
      <c r="B13849" s="30" t="s">
        <v>31225</v>
      </c>
      <c r="C13849" s="29" t="s">
        <v>26</v>
      </c>
      <c r="D13849" s="31">
        <v>8156.86</v>
      </c>
      <c r="F13849" s="3" t="str">
        <f t="shared" si="216"/>
        <v>I12360</v>
      </c>
    </row>
    <row r="13850" spans="1:6" x14ac:dyDescent="0.2">
      <c r="A13850" s="29" t="s">
        <v>31226</v>
      </c>
      <c r="B13850" s="30" t="s">
        <v>31227</v>
      </c>
      <c r="C13850" s="29" t="s">
        <v>26</v>
      </c>
      <c r="D13850" s="31">
        <v>3142.68</v>
      </c>
      <c r="F13850" s="3" t="str">
        <f t="shared" si="216"/>
        <v>I12361</v>
      </c>
    </row>
    <row r="13851" spans="1:6" x14ac:dyDescent="0.2">
      <c r="A13851" s="29" t="s">
        <v>31228</v>
      </c>
      <c r="B13851" s="30" t="s">
        <v>31229</v>
      </c>
      <c r="C13851" s="29" t="s">
        <v>26</v>
      </c>
      <c r="D13851" s="31">
        <v>3703.26</v>
      </c>
      <c r="F13851" s="3" t="str">
        <f t="shared" si="216"/>
        <v>I12362</v>
      </c>
    </row>
    <row r="13852" spans="1:6" x14ac:dyDescent="0.2">
      <c r="A13852" s="29" t="s">
        <v>31230</v>
      </c>
      <c r="B13852" s="30" t="s">
        <v>31231</v>
      </c>
      <c r="C13852" s="29" t="s">
        <v>26</v>
      </c>
      <c r="D13852" s="31">
        <v>4263.92</v>
      </c>
      <c r="F13852" s="3" t="str">
        <f t="shared" si="216"/>
        <v>I12363</v>
      </c>
    </row>
    <row r="13853" spans="1:6" x14ac:dyDescent="0.2">
      <c r="A13853" s="29" t="s">
        <v>31232</v>
      </c>
      <c r="B13853" s="30" t="s">
        <v>31233</v>
      </c>
      <c r="C13853" s="29" t="s">
        <v>26</v>
      </c>
      <c r="D13853" s="31">
        <v>4824.67</v>
      </c>
      <c r="F13853" s="3" t="str">
        <f t="shared" si="216"/>
        <v>I12364</v>
      </c>
    </row>
    <row r="13854" spans="1:6" x14ac:dyDescent="0.2">
      <c r="A13854" s="29" t="s">
        <v>31234</v>
      </c>
      <c r="B13854" s="30" t="s">
        <v>31235</v>
      </c>
      <c r="C13854" s="29" t="s">
        <v>26</v>
      </c>
      <c r="D13854" s="31">
        <v>5385.34</v>
      </c>
      <c r="F13854" s="3" t="str">
        <f t="shared" si="216"/>
        <v>I12365</v>
      </c>
    </row>
    <row r="13855" spans="1:6" x14ac:dyDescent="0.2">
      <c r="A13855" s="29" t="s">
        <v>31236</v>
      </c>
      <c r="B13855" s="30" t="s">
        <v>31237</v>
      </c>
      <c r="C13855" s="29" t="s">
        <v>26</v>
      </c>
      <c r="D13855" s="31">
        <v>5946.03</v>
      </c>
      <c r="F13855" s="3" t="str">
        <f t="shared" si="216"/>
        <v>I12366</v>
      </c>
    </row>
    <row r="13856" spans="1:6" x14ac:dyDescent="0.2">
      <c r="A13856" s="29" t="s">
        <v>31238</v>
      </c>
      <c r="B13856" s="30" t="s">
        <v>31239</v>
      </c>
      <c r="C13856" s="29" t="s">
        <v>26</v>
      </c>
      <c r="D13856" s="31">
        <v>6506.73</v>
      </c>
      <c r="F13856" s="3" t="str">
        <f t="shared" si="216"/>
        <v>I12367</v>
      </c>
    </row>
    <row r="13857" spans="1:6" x14ac:dyDescent="0.2">
      <c r="A13857" s="29" t="s">
        <v>31240</v>
      </c>
      <c r="B13857" s="30" t="s">
        <v>31241</v>
      </c>
      <c r="C13857" s="29" t="s">
        <v>26</v>
      </c>
      <c r="D13857" s="31">
        <v>7063.25</v>
      </c>
      <c r="F13857" s="3" t="str">
        <f t="shared" si="216"/>
        <v>I12368</v>
      </c>
    </row>
    <row r="13858" spans="1:6" x14ac:dyDescent="0.2">
      <c r="A13858" s="29" t="s">
        <v>31242</v>
      </c>
      <c r="B13858" s="30" t="s">
        <v>31243</v>
      </c>
      <c r="C13858" s="29" t="s">
        <v>26</v>
      </c>
      <c r="D13858" s="31">
        <v>8028.3</v>
      </c>
      <c r="F13858" s="3" t="str">
        <f t="shared" si="216"/>
        <v>I12369</v>
      </c>
    </row>
    <row r="13859" spans="1:6" x14ac:dyDescent="0.2">
      <c r="A13859" s="29" t="s">
        <v>31244</v>
      </c>
      <c r="B13859" s="30" t="s">
        <v>31245</v>
      </c>
      <c r="C13859" s="29" t="s">
        <v>26</v>
      </c>
      <c r="D13859" s="31">
        <v>8188.27</v>
      </c>
      <c r="F13859" s="3" t="str">
        <f t="shared" si="216"/>
        <v>I12370</v>
      </c>
    </row>
    <row r="13860" spans="1:6" x14ac:dyDescent="0.2">
      <c r="A13860" s="29" t="s">
        <v>31246</v>
      </c>
      <c r="B13860" s="30" t="s">
        <v>31247</v>
      </c>
      <c r="C13860" s="29" t="s">
        <v>26</v>
      </c>
      <c r="D13860" s="31">
        <v>8285.15</v>
      </c>
      <c r="F13860" s="3" t="str">
        <f t="shared" si="216"/>
        <v>I12371</v>
      </c>
    </row>
    <row r="13861" spans="1:6" x14ac:dyDescent="0.2">
      <c r="A13861" s="29" t="s">
        <v>31248</v>
      </c>
      <c r="B13861" s="30" t="s">
        <v>31249</v>
      </c>
      <c r="C13861" s="29" t="s">
        <v>26</v>
      </c>
      <c r="D13861" s="31">
        <v>3368.15</v>
      </c>
      <c r="F13861" s="3" t="str">
        <f t="shared" si="216"/>
        <v>I12372</v>
      </c>
    </row>
    <row r="13862" spans="1:6" x14ac:dyDescent="0.2">
      <c r="A13862" s="29" t="s">
        <v>31250</v>
      </c>
      <c r="B13862" s="30" t="s">
        <v>31251</v>
      </c>
      <c r="C13862" s="29" t="s">
        <v>26</v>
      </c>
      <c r="D13862" s="31">
        <v>3986.35</v>
      </c>
      <c r="F13862" s="3" t="str">
        <f t="shared" si="216"/>
        <v>I12373</v>
      </c>
    </row>
    <row r="13863" spans="1:6" x14ac:dyDescent="0.2">
      <c r="A13863" s="29" t="s">
        <v>31252</v>
      </c>
      <c r="B13863" s="30" t="s">
        <v>31253</v>
      </c>
      <c r="C13863" s="29" t="s">
        <v>26</v>
      </c>
      <c r="D13863" s="31">
        <v>4604.54</v>
      </c>
      <c r="F13863" s="3" t="str">
        <f t="shared" si="216"/>
        <v>I12374</v>
      </c>
    </row>
    <row r="13864" spans="1:6" x14ac:dyDescent="0.2">
      <c r="A13864" s="29" t="s">
        <v>31254</v>
      </c>
      <c r="B13864" s="30" t="s">
        <v>31255</v>
      </c>
      <c r="C13864" s="29" t="s">
        <v>26</v>
      </c>
      <c r="D13864" s="31">
        <v>5222.66</v>
      </c>
      <c r="F13864" s="3" t="str">
        <f t="shared" si="216"/>
        <v>I12375</v>
      </c>
    </row>
    <row r="13865" spans="1:6" x14ac:dyDescent="0.2">
      <c r="A13865" s="29" t="s">
        <v>31256</v>
      </c>
      <c r="B13865" s="30" t="s">
        <v>31257</v>
      </c>
      <c r="C13865" s="29" t="s">
        <v>26</v>
      </c>
      <c r="D13865" s="31">
        <v>5840.82</v>
      </c>
      <c r="F13865" s="3" t="str">
        <f t="shared" si="216"/>
        <v>I12376</v>
      </c>
    </row>
    <row r="13866" spans="1:6" x14ac:dyDescent="0.2">
      <c r="A13866" s="29" t="s">
        <v>31258</v>
      </c>
      <c r="B13866" s="30" t="s">
        <v>31259</v>
      </c>
      <c r="C13866" s="29" t="s">
        <v>26</v>
      </c>
      <c r="D13866" s="31">
        <v>6458.93</v>
      </c>
      <c r="F13866" s="3" t="str">
        <f t="shared" si="216"/>
        <v>I12377</v>
      </c>
    </row>
    <row r="13867" spans="1:6" x14ac:dyDescent="0.2">
      <c r="A13867" s="29" t="s">
        <v>31260</v>
      </c>
      <c r="B13867" s="30" t="s">
        <v>31261</v>
      </c>
      <c r="C13867" s="29" t="s">
        <v>26</v>
      </c>
      <c r="D13867" s="31">
        <v>7077.12</v>
      </c>
      <c r="F13867" s="3" t="str">
        <f t="shared" si="216"/>
        <v>I12378</v>
      </c>
    </row>
    <row r="13868" spans="1:6" x14ac:dyDescent="0.2">
      <c r="A13868" s="29" t="s">
        <v>31262</v>
      </c>
      <c r="B13868" s="30" t="s">
        <v>31263</v>
      </c>
      <c r="C13868" s="29" t="s">
        <v>26</v>
      </c>
      <c r="D13868" s="31">
        <v>7695.32</v>
      </c>
      <c r="F13868" s="3" t="str">
        <f t="shared" si="216"/>
        <v>I12379</v>
      </c>
    </row>
    <row r="13869" spans="1:6" x14ac:dyDescent="0.2">
      <c r="A13869" s="29" t="s">
        <v>31264</v>
      </c>
      <c r="B13869" s="30" t="s">
        <v>31265</v>
      </c>
      <c r="C13869" s="29" t="s">
        <v>26</v>
      </c>
      <c r="D13869" s="31">
        <v>8746.68</v>
      </c>
      <c r="F13869" s="3" t="str">
        <f t="shared" si="216"/>
        <v>I12380</v>
      </c>
    </row>
    <row r="13870" spans="1:6" x14ac:dyDescent="0.2">
      <c r="A13870" s="29" t="s">
        <v>31266</v>
      </c>
      <c r="B13870" s="30" t="s">
        <v>31267</v>
      </c>
      <c r="C13870" s="29" t="s">
        <v>26</v>
      </c>
      <c r="D13870" s="31">
        <v>8935.5300000000007</v>
      </c>
      <c r="F13870" s="3" t="str">
        <f t="shared" si="216"/>
        <v>I12381</v>
      </c>
    </row>
    <row r="13871" spans="1:6" x14ac:dyDescent="0.2">
      <c r="A13871" s="29" t="s">
        <v>31268</v>
      </c>
      <c r="B13871" s="30" t="s">
        <v>31269</v>
      </c>
      <c r="C13871" s="29" t="s">
        <v>26</v>
      </c>
      <c r="D13871" s="31">
        <v>9048.86</v>
      </c>
      <c r="F13871" s="3" t="str">
        <f t="shared" si="216"/>
        <v>I12382</v>
      </c>
    </row>
    <row r="13872" spans="1:6" x14ac:dyDescent="0.2">
      <c r="A13872" s="29" t="s">
        <v>31270</v>
      </c>
      <c r="B13872" s="30" t="s">
        <v>31271</v>
      </c>
      <c r="C13872" s="29" t="s">
        <v>26</v>
      </c>
      <c r="D13872" s="31">
        <v>3627.55</v>
      </c>
      <c r="F13872" s="3" t="str">
        <f t="shared" si="216"/>
        <v>I12383</v>
      </c>
    </row>
    <row r="13873" spans="1:6" x14ac:dyDescent="0.2">
      <c r="A13873" s="29" t="s">
        <v>31272</v>
      </c>
      <c r="B13873" s="30" t="s">
        <v>31273</v>
      </c>
      <c r="C13873" s="29" t="s">
        <v>26</v>
      </c>
      <c r="D13873" s="31">
        <v>4245.74</v>
      </c>
      <c r="F13873" s="3" t="str">
        <f t="shared" si="216"/>
        <v>I12384</v>
      </c>
    </row>
    <row r="13874" spans="1:6" x14ac:dyDescent="0.2">
      <c r="A13874" s="29" t="s">
        <v>31274</v>
      </c>
      <c r="B13874" s="30" t="s">
        <v>31275</v>
      </c>
      <c r="C13874" s="29" t="s">
        <v>26</v>
      </c>
      <c r="D13874" s="31">
        <v>4863.95</v>
      </c>
      <c r="F13874" s="3" t="str">
        <f t="shared" si="216"/>
        <v>I12385</v>
      </c>
    </row>
    <row r="13875" spans="1:6" x14ac:dyDescent="0.2">
      <c r="A13875" s="29" t="s">
        <v>31276</v>
      </c>
      <c r="B13875" s="30" t="s">
        <v>31277</v>
      </c>
      <c r="C13875" s="29" t="s">
        <v>26</v>
      </c>
      <c r="D13875" s="31">
        <v>5482.04</v>
      </c>
      <c r="F13875" s="3" t="str">
        <f t="shared" si="216"/>
        <v>I12386</v>
      </c>
    </row>
    <row r="13876" spans="1:6" x14ac:dyDescent="0.2">
      <c r="A13876" s="29" t="s">
        <v>31278</v>
      </c>
      <c r="B13876" s="30" t="s">
        <v>31279</v>
      </c>
      <c r="C13876" s="29" t="s">
        <v>26</v>
      </c>
      <c r="D13876" s="31">
        <v>6100.21</v>
      </c>
      <c r="F13876" s="3" t="str">
        <f t="shared" si="216"/>
        <v>I12387</v>
      </c>
    </row>
    <row r="13877" spans="1:6" x14ac:dyDescent="0.2">
      <c r="A13877" s="29" t="s">
        <v>31280</v>
      </c>
      <c r="B13877" s="30" t="s">
        <v>31281</v>
      </c>
      <c r="C13877" s="29" t="s">
        <v>26</v>
      </c>
      <c r="D13877" s="31">
        <v>6718.28</v>
      </c>
      <c r="F13877" s="3" t="str">
        <f t="shared" si="216"/>
        <v>I12388</v>
      </c>
    </row>
    <row r="13878" spans="1:6" x14ac:dyDescent="0.2">
      <c r="A13878" s="29" t="s">
        <v>31282</v>
      </c>
      <c r="B13878" s="30" t="s">
        <v>31283</v>
      </c>
      <c r="C13878" s="29" t="s">
        <v>26</v>
      </c>
      <c r="D13878" s="31">
        <v>7336.48</v>
      </c>
      <c r="F13878" s="3" t="str">
        <f t="shared" si="216"/>
        <v>I12389</v>
      </c>
    </row>
    <row r="13879" spans="1:6" x14ac:dyDescent="0.2">
      <c r="A13879" s="29" t="s">
        <v>31284</v>
      </c>
      <c r="B13879" s="30" t="s">
        <v>31285</v>
      </c>
      <c r="C13879" s="29" t="s">
        <v>26</v>
      </c>
      <c r="D13879" s="31">
        <v>7954.67</v>
      </c>
      <c r="F13879" s="3" t="str">
        <f t="shared" si="216"/>
        <v>I12390</v>
      </c>
    </row>
    <row r="13880" spans="1:6" x14ac:dyDescent="0.2">
      <c r="A13880" s="29" t="s">
        <v>31286</v>
      </c>
      <c r="B13880" s="30" t="s">
        <v>31287</v>
      </c>
      <c r="C13880" s="29" t="s">
        <v>26</v>
      </c>
      <c r="D13880" s="31">
        <v>9006.0499999999993</v>
      </c>
      <c r="F13880" s="3" t="str">
        <f t="shared" si="216"/>
        <v>I12391</v>
      </c>
    </row>
    <row r="13881" spans="1:6" x14ac:dyDescent="0.2">
      <c r="A13881" s="29" t="s">
        <v>31288</v>
      </c>
      <c r="B13881" s="30" t="s">
        <v>31289</v>
      </c>
      <c r="C13881" s="29" t="s">
        <v>26</v>
      </c>
      <c r="D13881" s="31">
        <v>9190.85</v>
      </c>
      <c r="F13881" s="3" t="str">
        <f t="shared" si="216"/>
        <v>I12392</v>
      </c>
    </row>
    <row r="13882" spans="1:6" x14ac:dyDescent="0.2">
      <c r="A13882" s="29" t="s">
        <v>31290</v>
      </c>
      <c r="B13882" s="30" t="s">
        <v>31291</v>
      </c>
      <c r="C13882" s="29" t="s">
        <v>26</v>
      </c>
      <c r="D13882" s="31">
        <v>9304.18</v>
      </c>
      <c r="F13882" s="3" t="str">
        <f t="shared" si="216"/>
        <v>I12393</v>
      </c>
    </row>
    <row r="13883" spans="1:6" x14ac:dyDescent="0.2">
      <c r="A13883" s="29" t="s">
        <v>31292</v>
      </c>
      <c r="B13883" s="30" t="s">
        <v>31293</v>
      </c>
      <c r="C13883" s="29" t="s">
        <v>26</v>
      </c>
      <c r="D13883" s="31">
        <v>4160.0200000000004</v>
      </c>
      <c r="F13883" s="3" t="str">
        <f t="shared" si="216"/>
        <v>I12394</v>
      </c>
    </row>
    <row r="13884" spans="1:6" x14ac:dyDescent="0.2">
      <c r="A13884" s="29" t="s">
        <v>31294</v>
      </c>
      <c r="B13884" s="30" t="s">
        <v>31295</v>
      </c>
      <c r="C13884" s="29" t="s">
        <v>26</v>
      </c>
      <c r="D13884" s="31">
        <v>4876.08</v>
      </c>
      <c r="F13884" s="3" t="str">
        <f t="shared" si="216"/>
        <v>I12395</v>
      </c>
    </row>
    <row r="13885" spans="1:6" x14ac:dyDescent="0.2">
      <c r="A13885" s="29" t="s">
        <v>31296</v>
      </c>
      <c r="B13885" s="30" t="s">
        <v>31297</v>
      </c>
      <c r="C13885" s="29" t="s">
        <v>26</v>
      </c>
      <c r="D13885" s="31">
        <v>5596.12</v>
      </c>
      <c r="F13885" s="3" t="str">
        <f t="shared" si="216"/>
        <v>I12396</v>
      </c>
    </row>
    <row r="13886" spans="1:6" x14ac:dyDescent="0.2">
      <c r="A13886" s="29" t="s">
        <v>31298</v>
      </c>
      <c r="B13886" s="30" t="s">
        <v>31299</v>
      </c>
      <c r="C13886" s="29" t="s">
        <v>26</v>
      </c>
      <c r="D13886" s="31">
        <v>6316.31</v>
      </c>
      <c r="F13886" s="3" t="str">
        <f t="shared" si="216"/>
        <v>I12397</v>
      </c>
    </row>
    <row r="13887" spans="1:6" x14ac:dyDescent="0.2">
      <c r="A13887" s="29" t="s">
        <v>31300</v>
      </c>
      <c r="B13887" s="30" t="s">
        <v>31301</v>
      </c>
      <c r="C13887" s="29" t="s">
        <v>26</v>
      </c>
      <c r="D13887" s="31">
        <v>7036.36</v>
      </c>
      <c r="F13887" s="3" t="str">
        <f t="shared" si="216"/>
        <v>I12398</v>
      </c>
    </row>
    <row r="13888" spans="1:6" x14ac:dyDescent="0.2">
      <c r="A13888" s="29" t="s">
        <v>31302</v>
      </c>
      <c r="B13888" s="30" t="s">
        <v>31303</v>
      </c>
      <c r="C13888" s="29" t="s">
        <v>26</v>
      </c>
      <c r="D13888" s="31">
        <v>7756.45</v>
      </c>
      <c r="F13888" s="3" t="str">
        <f t="shared" si="216"/>
        <v>I12399</v>
      </c>
    </row>
    <row r="13889" spans="1:6" x14ac:dyDescent="0.2">
      <c r="A13889" s="29" t="s">
        <v>31304</v>
      </c>
      <c r="B13889" s="30" t="s">
        <v>31305</v>
      </c>
      <c r="C13889" s="29" t="s">
        <v>26</v>
      </c>
      <c r="D13889" s="31">
        <v>8476.6</v>
      </c>
      <c r="F13889" s="3" t="str">
        <f t="shared" si="216"/>
        <v>I12400</v>
      </c>
    </row>
    <row r="13890" spans="1:6" x14ac:dyDescent="0.2">
      <c r="A13890" s="29" t="s">
        <v>31306</v>
      </c>
      <c r="B13890" s="30" t="s">
        <v>31307</v>
      </c>
      <c r="C13890" s="29" t="s">
        <v>26</v>
      </c>
      <c r="D13890" s="31">
        <v>9196.68</v>
      </c>
      <c r="F13890" s="3" t="str">
        <f t="shared" ref="F13890:F13953" si="217">A13890</f>
        <v>I12401</v>
      </c>
    </row>
    <row r="13891" spans="1:6" x14ac:dyDescent="0.2">
      <c r="A13891" s="29" t="s">
        <v>31308</v>
      </c>
      <c r="B13891" s="30" t="s">
        <v>31309</v>
      </c>
      <c r="C13891" s="29" t="s">
        <v>26</v>
      </c>
      <c r="D13891" s="31">
        <v>10419.84</v>
      </c>
      <c r="F13891" s="3" t="str">
        <f t="shared" si="217"/>
        <v>I12402</v>
      </c>
    </row>
    <row r="13892" spans="1:6" x14ac:dyDescent="0.2">
      <c r="A13892" s="29" t="s">
        <v>31310</v>
      </c>
      <c r="B13892" s="30" t="s">
        <v>31311</v>
      </c>
      <c r="C13892" s="29" t="s">
        <v>26</v>
      </c>
      <c r="D13892" s="31">
        <v>10641.47</v>
      </c>
      <c r="F13892" s="3" t="str">
        <f t="shared" si="217"/>
        <v>I12403</v>
      </c>
    </row>
    <row r="13893" spans="1:6" x14ac:dyDescent="0.2">
      <c r="A13893" s="29" t="s">
        <v>31312</v>
      </c>
      <c r="B13893" s="30" t="s">
        <v>31313</v>
      </c>
      <c r="C13893" s="29" t="s">
        <v>26</v>
      </c>
      <c r="D13893" s="31">
        <v>10775.27</v>
      </c>
      <c r="F13893" s="3" t="str">
        <f t="shared" si="217"/>
        <v>I12404</v>
      </c>
    </row>
    <row r="13894" spans="1:6" x14ac:dyDescent="0.2">
      <c r="A13894" s="29" t="s">
        <v>31314</v>
      </c>
      <c r="B13894" s="30" t="s">
        <v>31315</v>
      </c>
      <c r="C13894" s="29" t="s">
        <v>26</v>
      </c>
      <c r="D13894" s="31">
        <v>4848.59</v>
      </c>
      <c r="F13894" s="3" t="str">
        <f t="shared" si="217"/>
        <v>I12405</v>
      </c>
    </row>
    <row r="13895" spans="1:6" x14ac:dyDescent="0.2">
      <c r="A13895" s="29" t="s">
        <v>31316</v>
      </c>
      <c r="B13895" s="30" t="s">
        <v>31317</v>
      </c>
      <c r="C13895" s="29" t="s">
        <v>26</v>
      </c>
      <c r="D13895" s="31">
        <v>5568.68</v>
      </c>
      <c r="F13895" s="3" t="str">
        <f t="shared" si="217"/>
        <v>I12406</v>
      </c>
    </row>
    <row r="13896" spans="1:6" x14ac:dyDescent="0.2">
      <c r="A13896" s="29" t="s">
        <v>31318</v>
      </c>
      <c r="B13896" s="30" t="s">
        <v>31319</v>
      </c>
      <c r="C13896" s="29" t="s">
        <v>26</v>
      </c>
      <c r="D13896" s="31">
        <v>6288.71</v>
      </c>
      <c r="F13896" s="3" t="str">
        <f t="shared" si="217"/>
        <v>I12407</v>
      </c>
    </row>
    <row r="13897" spans="1:6" x14ac:dyDescent="0.2">
      <c r="A13897" s="29" t="s">
        <v>31320</v>
      </c>
      <c r="B13897" s="30" t="s">
        <v>31321</v>
      </c>
      <c r="C13897" s="29" t="s">
        <v>26</v>
      </c>
      <c r="D13897" s="31">
        <v>7008.91</v>
      </c>
      <c r="F13897" s="3" t="str">
        <f t="shared" si="217"/>
        <v>I12408</v>
      </c>
    </row>
    <row r="13898" spans="1:6" x14ac:dyDescent="0.2">
      <c r="A13898" s="29" t="s">
        <v>31322</v>
      </c>
      <c r="B13898" s="30" t="s">
        <v>31323</v>
      </c>
      <c r="C13898" s="29" t="s">
        <v>26</v>
      </c>
      <c r="D13898" s="31">
        <v>7728.94</v>
      </c>
      <c r="F13898" s="3" t="str">
        <f t="shared" si="217"/>
        <v>I12409</v>
      </c>
    </row>
    <row r="13899" spans="1:6" x14ac:dyDescent="0.2">
      <c r="A13899" s="29" t="s">
        <v>31324</v>
      </c>
      <c r="B13899" s="30" t="s">
        <v>31325</v>
      </c>
      <c r="C13899" s="29" t="s">
        <v>26</v>
      </c>
      <c r="D13899" s="31">
        <v>8449.0499999999993</v>
      </c>
      <c r="F13899" s="3" t="str">
        <f t="shared" si="217"/>
        <v>I12410</v>
      </c>
    </row>
    <row r="13900" spans="1:6" x14ac:dyDescent="0.2">
      <c r="A13900" s="29" t="s">
        <v>31326</v>
      </c>
      <c r="B13900" s="30" t="s">
        <v>31327</v>
      </c>
      <c r="C13900" s="29" t="s">
        <v>26</v>
      </c>
      <c r="D13900" s="31">
        <v>9169.18</v>
      </c>
      <c r="F13900" s="3" t="str">
        <f t="shared" si="217"/>
        <v>I12411</v>
      </c>
    </row>
    <row r="13901" spans="1:6" x14ac:dyDescent="0.2">
      <c r="A13901" s="29" t="s">
        <v>31328</v>
      </c>
      <c r="B13901" s="30" t="s">
        <v>31329</v>
      </c>
      <c r="C13901" s="29" t="s">
        <v>26</v>
      </c>
      <c r="D13901" s="31">
        <v>9889.31</v>
      </c>
      <c r="F13901" s="3" t="str">
        <f t="shared" si="217"/>
        <v>I12412</v>
      </c>
    </row>
    <row r="13902" spans="1:6" x14ac:dyDescent="0.2">
      <c r="A13902" s="29" t="s">
        <v>31330</v>
      </c>
      <c r="B13902" s="30" t="s">
        <v>31331</v>
      </c>
      <c r="C13902" s="29" t="s">
        <v>26</v>
      </c>
      <c r="D13902" s="31">
        <v>11112.44</v>
      </c>
      <c r="F13902" s="3" t="str">
        <f t="shared" si="217"/>
        <v>I12413</v>
      </c>
    </row>
    <row r="13903" spans="1:6" x14ac:dyDescent="0.2">
      <c r="A13903" s="29" t="s">
        <v>31332</v>
      </c>
      <c r="B13903" s="30" t="s">
        <v>31333</v>
      </c>
      <c r="C13903" s="29" t="s">
        <v>26</v>
      </c>
      <c r="D13903" s="31">
        <v>11334.06</v>
      </c>
      <c r="F13903" s="3" t="str">
        <f t="shared" si="217"/>
        <v>I12414</v>
      </c>
    </row>
    <row r="13904" spans="1:6" x14ac:dyDescent="0.2">
      <c r="A13904" s="29" t="s">
        <v>31334</v>
      </c>
      <c r="B13904" s="30" t="s">
        <v>31335</v>
      </c>
      <c r="C13904" s="29" t="s">
        <v>26</v>
      </c>
      <c r="D13904" s="31">
        <v>11463.76</v>
      </c>
      <c r="F13904" s="3" t="str">
        <f t="shared" si="217"/>
        <v>I12415</v>
      </c>
    </row>
    <row r="13905" spans="1:6" x14ac:dyDescent="0.2">
      <c r="A13905" s="29" t="s">
        <v>31336</v>
      </c>
      <c r="B13905" s="30" t="s">
        <v>31337</v>
      </c>
      <c r="C13905" s="29" t="s">
        <v>26</v>
      </c>
      <c r="D13905" s="31">
        <v>4758.82</v>
      </c>
      <c r="F13905" s="3" t="str">
        <f t="shared" si="217"/>
        <v>I12416</v>
      </c>
    </row>
    <row r="13906" spans="1:6" x14ac:dyDescent="0.2">
      <c r="A13906" s="29" t="s">
        <v>31338</v>
      </c>
      <c r="B13906" s="30" t="s">
        <v>31339</v>
      </c>
      <c r="C13906" s="29" t="s">
        <v>26</v>
      </c>
      <c r="D13906" s="31">
        <v>5569.66</v>
      </c>
      <c r="F13906" s="3" t="str">
        <f t="shared" si="217"/>
        <v>I12417</v>
      </c>
    </row>
    <row r="13907" spans="1:6" x14ac:dyDescent="0.2">
      <c r="A13907" s="29" t="s">
        <v>31340</v>
      </c>
      <c r="B13907" s="30" t="s">
        <v>31341</v>
      </c>
      <c r="C13907" s="29" t="s">
        <v>26</v>
      </c>
      <c r="D13907" s="31">
        <v>6380.48</v>
      </c>
      <c r="F13907" s="3" t="str">
        <f t="shared" si="217"/>
        <v>I12418</v>
      </c>
    </row>
    <row r="13908" spans="1:6" x14ac:dyDescent="0.2">
      <c r="A13908" s="29" t="s">
        <v>31342</v>
      </c>
      <c r="B13908" s="30" t="s">
        <v>31343</v>
      </c>
      <c r="C13908" s="29" t="s">
        <v>26</v>
      </c>
      <c r="D13908" s="31">
        <v>7191.24</v>
      </c>
      <c r="F13908" s="3" t="str">
        <f t="shared" si="217"/>
        <v>I12419</v>
      </c>
    </row>
    <row r="13909" spans="1:6" x14ac:dyDescent="0.2">
      <c r="A13909" s="29" t="s">
        <v>31344</v>
      </c>
      <c r="B13909" s="30" t="s">
        <v>31345</v>
      </c>
      <c r="C13909" s="29" t="s">
        <v>26</v>
      </c>
      <c r="D13909" s="31">
        <v>8005.97</v>
      </c>
      <c r="F13909" s="3" t="str">
        <f t="shared" si="217"/>
        <v>I12420</v>
      </c>
    </row>
    <row r="13910" spans="1:6" x14ac:dyDescent="0.2">
      <c r="A13910" s="29" t="s">
        <v>31346</v>
      </c>
      <c r="B13910" s="30" t="s">
        <v>31347</v>
      </c>
      <c r="C13910" s="29" t="s">
        <v>26</v>
      </c>
      <c r="D13910" s="31">
        <v>8816.77</v>
      </c>
      <c r="F13910" s="3" t="str">
        <f t="shared" si="217"/>
        <v>I12421</v>
      </c>
    </row>
    <row r="13911" spans="1:6" x14ac:dyDescent="0.2">
      <c r="A13911" s="29" t="s">
        <v>31348</v>
      </c>
      <c r="B13911" s="30" t="s">
        <v>31349</v>
      </c>
      <c r="C13911" s="29" t="s">
        <v>26</v>
      </c>
      <c r="D13911" s="31">
        <v>9627.48</v>
      </c>
      <c r="F13911" s="3" t="str">
        <f t="shared" si="217"/>
        <v>I12422</v>
      </c>
    </row>
    <row r="13912" spans="1:6" x14ac:dyDescent="0.2">
      <c r="A13912" s="29" t="s">
        <v>31350</v>
      </c>
      <c r="B13912" s="30" t="s">
        <v>31351</v>
      </c>
      <c r="C13912" s="29" t="s">
        <v>26</v>
      </c>
      <c r="D13912" s="31">
        <v>10438.25</v>
      </c>
      <c r="F13912" s="3" t="str">
        <f t="shared" si="217"/>
        <v>I12423</v>
      </c>
    </row>
    <row r="13913" spans="1:6" x14ac:dyDescent="0.2">
      <c r="A13913" s="29" t="s">
        <v>31352</v>
      </c>
      <c r="B13913" s="30" t="s">
        <v>31353</v>
      </c>
      <c r="C13913" s="29" t="s">
        <v>26</v>
      </c>
      <c r="D13913" s="31">
        <v>11808.99</v>
      </c>
      <c r="F13913" s="3" t="str">
        <f t="shared" si="217"/>
        <v>I12424</v>
      </c>
    </row>
    <row r="13914" spans="1:6" x14ac:dyDescent="0.2">
      <c r="A13914" s="29" t="s">
        <v>31354</v>
      </c>
      <c r="B13914" s="30" t="s">
        <v>31355</v>
      </c>
      <c r="C13914" s="29" t="s">
        <v>26</v>
      </c>
      <c r="D13914" s="31">
        <v>12064.88</v>
      </c>
      <c r="F13914" s="3" t="str">
        <f t="shared" si="217"/>
        <v>I12425</v>
      </c>
    </row>
    <row r="13915" spans="1:6" x14ac:dyDescent="0.2">
      <c r="A13915" s="29" t="s">
        <v>31356</v>
      </c>
      <c r="B13915" s="30" t="s">
        <v>31357</v>
      </c>
      <c r="C13915" s="29" t="s">
        <v>26</v>
      </c>
      <c r="D13915" s="31">
        <v>12220.05</v>
      </c>
      <c r="F13915" s="3" t="str">
        <f t="shared" si="217"/>
        <v>I12426</v>
      </c>
    </row>
    <row r="13916" spans="1:6" x14ac:dyDescent="0.2">
      <c r="A13916" s="29" t="s">
        <v>31358</v>
      </c>
      <c r="B13916" s="30" t="s">
        <v>31359</v>
      </c>
      <c r="C13916" s="29" t="s">
        <v>26</v>
      </c>
      <c r="D13916" s="31">
        <v>5869.37</v>
      </c>
      <c r="F13916" s="3" t="str">
        <f t="shared" si="217"/>
        <v>I12427</v>
      </c>
    </row>
    <row r="13917" spans="1:6" x14ac:dyDescent="0.2">
      <c r="A13917" s="29" t="s">
        <v>31360</v>
      </c>
      <c r="B13917" s="30" t="s">
        <v>31361</v>
      </c>
      <c r="C13917" s="29" t="s">
        <v>26</v>
      </c>
      <c r="D13917" s="31">
        <v>6680.21</v>
      </c>
      <c r="F13917" s="3" t="str">
        <f t="shared" si="217"/>
        <v>I12428</v>
      </c>
    </row>
    <row r="13918" spans="1:6" x14ac:dyDescent="0.2">
      <c r="A13918" s="29" t="s">
        <v>31362</v>
      </c>
      <c r="B13918" s="30" t="s">
        <v>31363</v>
      </c>
      <c r="C13918" s="29" t="s">
        <v>26</v>
      </c>
      <c r="D13918" s="31">
        <v>7491.01</v>
      </c>
      <c r="F13918" s="3" t="str">
        <f t="shared" si="217"/>
        <v>I12429</v>
      </c>
    </row>
    <row r="13919" spans="1:6" x14ac:dyDescent="0.2">
      <c r="A13919" s="29" t="s">
        <v>31364</v>
      </c>
      <c r="B13919" s="30" t="s">
        <v>31365</v>
      </c>
      <c r="C13919" s="29" t="s">
        <v>26</v>
      </c>
      <c r="D13919" s="31">
        <v>8301.7800000000007</v>
      </c>
      <c r="F13919" s="3" t="str">
        <f t="shared" si="217"/>
        <v>I12430</v>
      </c>
    </row>
    <row r="13920" spans="1:6" x14ac:dyDescent="0.2">
      <c r="A13920" s="29" t="s">
        <v>31366</v>
      </c>
      <c r="B13920" s="30" t="s">
        <v>31367</v>
      </c>
      <c r="C13920" s="29" t="s">
        <v>26</v>
      </c>
      <c r="D13920" s="31">
        <v>9112.4500000000007</v>
      </c>
      <c r="F13920" s="3" t="str">
        <f t="shared" si="217"/>
        <v>I12431</v>
      </c>
    </row>
    <row r="13921" spans="1:6" x14ac:dyDescent="0.2">
      <c r="A13921" s="29" t="s">
        <v>31368</v>
      </c>
      <c r="B13921" s="30" t="s">
        <v>31369</v>
      </c>
      <c r="C13921" s="29" t="s">
        <v>26</v>
      </c>
      <c r="D13921" s="31">
        <v>9923.23</v>
      </c>
      <c r="F13921" s="3" t="str">
        <f t="shared" si="217"/>
        <v>I12432</v>
      </c>
    </row>
    <row r="13922" spans="1:6" x14ac:dyDescent="0.2">
      <c r="A13922" s="29" t="s">
        <v>31370</v>
      </c>
      <c r="B13922" s="30" t="s">
        <v>31371</v>
      </c>
      <c r="C13922" s="29" t="s">
        <v>26</v>
      </c>
      <c r="D13922" s="31">
        <v>10733.96</v>
      </c>
      <c r="F13922" s="3" t="str">
        <f t="shared" si="217"/>
        <v>I12433</v>
      </c>
    </row>
    <row r="13923" spans="1:6" x14ac:dyDescent="0.2">
      <c r="A13923" s="29" t="s">
        <v>31372</v>
      </c>
      <c r="B13923" s="30" t="s">
        <v>31373</v>
      </c>
      <c r="C13923" s="29" t="s">
        <v>26</v>
      </c>
      <c r="D13923" s="31">
        <v>11544.73</v>
      </c>
      <c r="F13923" s="3" t="str">
        <f t="shared" si="217"/>
        <v>I12434</v>
      </c>
    </row>
    <row r="13924" spans="1:6" x14ac:dyDescent="0.2">
      <c r="A13924" s="29" t="s">
        <v>31374</v>
      </c>
      <c r="B13924" s="30" t="s">
        <v>31375</v>
      </c>
      <c r="C13924" s="29" t="s">
        <v>26</v>
      </c>
      <c r="D13924" s="31">
        <v>12919.53</v>
      </c>
      <c r="F13924" s="3" t="str">
        <f t="shared" si="217"/>
        <v>I12435</v>
      </c>
    </row>
    <row r="13925" spans="1:6" x14ac:dyDescent="0.2">
      <c r="A13925" s="29" t="s">
        <v>31376</v>
      </c>
      <c r="B13925" s="30" t="s">
        <v>31377</v>
      </c>
      <c r="C13925" s="29" t="s">
        <v>26</v>
      </c>
      <c r="D13925" s="31">
        <v>13175.43</v>
      </c>
      <c r="F13925" s="3" t="str">
        <f t="shared" si="217"/>
        <v>I12436</v>
      </c>
    </row>
    <row r="13926" spans="1:6" x14ac:dyDescent="0.2">
      <c r="A13926" s="29" t="s">
        <v>31378</v>
      </c>
      <c r="B13926" s="30" t="s">
        <v>31379</v>
      </c>
      <c r="C13926" s="29" t="s">
        <v>26</v>
      </c>
      <c r="D13926" s="31">
        <v>13326.49</v>
      </c>
      <c r="F13926" s="3" t="str">
        <f t="shared" si="217"/>
        <v>I12437</v>
      </c>
    </row>
    <row r="13927" spans="1:6" x14ac:dyDescent="0.2">
      <c r="A13927" s="29" t="s">
        <v>31380</v>
      </c>
      <c r="B13927" s="30" t="s">
        <v>31381</v>
      </c>
      <c r="C13927" s="29" t="s">
        <v>26</v>
      </c>
      <c r="D13927" s="31">
        <v>6671.97</v>
      </c>
      <c r="F13927" s="3" t="str">
        <f t="shared" si="217"/>
        <v>I12438</v>
      </c>
    </row>
    <row r="13928" spans="1:6" x14ac:dyDescent="0.2">
      <c r="A13928" s="29" t="s">
        <v>31382</v>
      </c>
      <c r="B13928" s="30" t="s">
        <v>31383</v>
      </c>
      <c r="C13928" s="29" t="s">
        <v>26</v>
      </c>
      <c r="D13928" s="31">
        <v>7736.33</v>
      </c>
      <c r="F13928" s="3" t="str">
        <f t="shared" si="217"/>
        <v>I12439</v>
      </c>
    </row>
    <row r="13929" spans="1:6" x14ac:dyDescent="0.2">
      <c r="A13929" s="29" t="s">
        <v>31384</v>
      </c>
      <c r="B13929" s="30" t="s">
        <v>31385</v>
      </c>
      <c r="C13929" s="29" t="s">
        <v>26</v>
      </c>
      <c r="D13929" s="31">
        <v>8796.52</v>
      </c>
      <c r="F13929" s="3" t="str">
        <f t="shared" si="217"/>
        <v>I12440</v>
      </c>
    </row>
    <row r="13930" spans="1:6" x14ac:dyDescent="0.2">
      <c r="A13930" s="29" t="s">
        <v>31386</v>
      </c>
      <c r="B13930" s="30" t="s">
        <v>31387</v>
      </c>
      <c r="C13930" s="29" t="s">
        <v>26</v>
      </c>
      <c r="D13930" s="31">
        <v>9856.67</v>
      </c>
      <c r="F13930" s="3" t="str">
        <f t="shared" si="217"/>
        <v>I12441</v>
      </c>
    </row>
    <row r="13931" spans="1:6" x14ac:dyDescent="0.2">
      <c r="A13931" s="29" t="s">
        <v>31388</v>
      </c>
      <c r="B13931" s="30" t="s">
        <v>31389</v>
      </c>
      <c r="C13931" s="29" t="s">
        <v>26</v>
      </c>
      <c r="D13931" s="31">
        <v>10916.77</v>
      </c>
      <c r="F13931" s="3" t="str">
        <f t="shared" si="217"/>
        <v>I12442</v>
      </c>
    </row>
    <row r="13932" spans="1:6" x14ac:dyDescent="0.2">
      <c r="A13932" s="29" t="s">
        <v>31390</v>
      </c>
      <c r="B13932" s="30" t="s">
        <v>31391</v>
      </c>
      <c r="C13932" s="29" t="s">
        <v>26</v>
      </c>
      <c r="D13932" s="31">
        <v>11981.12</v>
      </c>
      <c r="F13932" s="3" t="str">
        <f t="shared" si="217"/>
        <v>I12443</v>
      </c>
    </row>
    <row r="13933" spans="1:6" x14ac:dyDescent="0.2">
      <c r="A13933" s="29" t="s">
        <v>31392</v>
      </c>
      <c r="B13933" s="30" t="s">
        <v>31393</v>
      </c>
      <c r="C13933" s="29" t="s">
        <v>26</v>
      </c>
      <c r="D13933" s="31">
        <v>13041.29</v>
      </c>
      <c r="F13933" s="3" t="str">
        <f t="shared" si="217"/>
        <v>I12444</v>
      </c>
    </row>
    <row r="13934" spans="1:6" x14ac:dyDescent="0.2">
      <c r="A13934" s="29" t="s">
        <v>31394</v>
      </c>
      <c r="B13934" s="30" t="s">
        <v>31395</v>
      </c>
      <c r="C13934" s="29" t="s">
        <v>26</v>
      </c>
      <c r="D13934" s="31">
        <v>14101.56</v>
      </c>
      <c r="F13934" s="3" t="str">
        <f t="shared" si="217"/>
        <v>I12445</v>
      </c>
    </row>
    <row r="13935" spans="1:6" x14ac:dyDescent="0.2">
      <c r="A13935" s="29" t="s">
        <v>31396</v>
      </c>
      <c r="B13935" s="30" t="s">
        <v>31397</v>
      </c>
      <c r="C13935" s="29" t="s">
        <v>26</v>
      </c>
      <c r="D13935" s="31">
        <v>15900.26</v>
      </c>
      <c r="F13935" s="3" t="str">
        <f t="shared" si="217"/>
        <v>I12446</v>
      </c>
    </row>
    <row r="13936" spans="1:6" x14ac:dyDescent="0.2">
      <c r="A13936" s="29" t="s">
        <v>31398</v>
      </c>
      <c r="B13936" s="30" t="s">
        <v>31399</v>
      </c>
      <c r="C13936" s="29" t="s">
        <v>26</v>
      </c>
      <c r="D13936" s="31">
        <v>16232.64</v>
      </c>
      <c r="F13936" s="3" t="str">
        <f t="shared" si="217"/>
        <v>I12447</v>
      </c>
    </row>
    <row r="13937" spans="1:6" x14ac:dyDescent="0.2">
      <c r="A13937" s="29" t="s">
        <v>31400</v>
      </c>
      <c r="B13937" s="30" t="s">
        <v>31401</v>
      </c>
      <c r="C13937" s="29" t="s">
        <v>26</v>
      </c>
      <c r="D13937" s="31">
        <v>16428</v>
      </c>
      <c r="F13937" s="3" t="str">
        <f t="shared" si="217"/>
        <v>I12448</v>
      </c>
    </row>
    <row r="13938" spans="1:6" x14ac:dyDescent="0.2">
      <c r="A13938" s="29" t="s">
        <v>31402</v>
      </c>
      <c r="B13938" s="30" t="s">
        <v>31403</v>
      </c>
      <c r="C13938" s="29" t="s">
        <v>26</v>
      </c>
      <c r="D13938" s="31">
        <v>6951.43</v>
      </c>
      <c r="F13938" s="3" t="str">
        <f t="shared" si="217"/>
        <v>I12449</v>
      </c>
    </row>
    <row r="13939" spans="1:6" x14ac:dyDescent="0.2">
      <c r="A13939" s="29" t="s">
        <v>31404</v>
      </c>
      <c r="B13939" s="30" t="s">
        <v>31405</v>
      </c>
      <c r="C13939" s="29" t="s">
        <v>26</v>
      </c>
      <c r="D13939" s="31">
        <v>8011.7</v>
      </c>
      <c r="F13939" s="3" t="str">
        <f t="shared" si="217"/>
        <v>I12450</v>
      </c>
    </row>
    <row r="13940" spans="1:6" x14ac:dyDescent="0.2">
      <c r="A13940" s="29" t="s">
        <v>31406</v>
      </c>
      <c r="B13940" s="30" t="s">
        <v>31407</v>
      </c>
      <c r="C13940" s="29" t="s">
        <v>26</v>
      </c>
      <c r="D13940" s="31">
        <v>9075.9500000000007</v>
      </c>
      <c r="F13940" s="3" t="str">
        <f t="shared" si="217"/>
        <v>I12451</v>
      </c>
    </row>
    <row r="13941" spans="1:6" x14ac:dyDescent="0.2">
      <c r="A13941" s="29" t="s">
        <v>31408</v>
      </c>
      <c r="B13941" s="30" t="s">
        <v>31409</v>
      </c>
      <c r="C13941" s="29" t="s">
        <v>26</v>
      </c>
      <c r="D13941" s="31">
        <v>10136.129999999999</v>
      </c>
      <c r="F13941" s="3" t="str">
        <f t="shared" si="217"/>
        <v>I12452</v>
      </c>
    </row>
    <row r="13942" spans="1:6" x14ac:dyDescent="0.2">
      <c r="A13942" s="29" t="s">
        <v>31410</v>
      </c>
      <c r="B13942" s="30" t="s">
        <v>31411</v>
      </c>
      <c r="C13942" s="29" t="s">
        <v>26</v>
      </c>
      <c r="D13942" s="31">
        <v>11196.2</v>
      </c>
      <c r="F13942" s="3" t="str">
        <f t="shared" si="217"/>
        <v>I12453</v>
      </c>
    </row>
    <row r="13943" spans="1:6" x14ac:dyDescent="0.2">
      <c r="A13943" s="29" t="s">
        <v>31412</v>
      </c>
      <c r="B13943" s="30" t="s">
        <v>31413</v>
      </c>
      <c r="C13943" s="29" t="s">
        <v>26</v>
      </c>
      <c r="D13943" s="31">
        <v>12256.47</v>
      </c>
      <c r="F13943" s="3" t="str">
        <f t="shared" si="217"/>
        <v>I12454</v>
      </c>
    </row>
    <row r="13944" spans="1:6" x14ac:dyDescent="0.2">
      <c r="A13944" s="29" t="s">
        <v>31414</v>
      </c>
      <c r="B13944" s="30" t="s">
        <v>31415</v>
      </c>
      <c r="C13944" s="29" t="s">
        <v>26</v>
      </c>
      <c r="D13944" s="31">
        <v>13320.74</v>
      </c>
      <c r="F13944" s="3" t="str">
        <f t="shared" si="217"/>
        <v>I12455</v>
      </c>
    </row>
    <row r="13945" spans="1:6" x14ac:dyDescent="0.2">
      <c r="A13945" s="29" t="s">
        <v>31416</v>
      </c>
      <c r="B13945" s="30" t="s">
        <v>31417</v>
      </c>
      <c r="C13945" s="29" t="s">
        <v>26</v>
      </c>
      <c r="D13945" s="31">
        <v>14380.99</v>
      </c>
      <c r="F13945" s="3" t="str">
        <f t="shared" si="217"/>
        <v>I12456</v>
      </c>
    </row>
    <row r="13946" spans="1:6" x14ac:dyDescent="0.2">
      <c r="A13946" s="29" t="s">
        <v>31418</v>
      </c>
      <c r="B13946" s="30" t="s">
        <v>31419</v>
      </c>
      <c r="C13946" s="29" t="s">
        <v>26</v>
      </c>
      <c r="D13946" s="31">
        <v>16179.71</v>
      </c>
      <c r="F13946" s="3" t="str">
        <f t="shared" si="217"/>
        <v>I12457</v>
      </c>
    </row>
    <row r="13947" spans="1:6" x14ac:dyDescent="0.2">
      <c r="A13947" s="29" t="s">
        <v>31420</v>
      </c>
      <c r="B13947" s="30" t="s">
        <v>31421</v>
      </c>
      <c r="C13947" s="29" t="s">
        <v>26</v>
      </c>
      <c r="D13947" s="31">
        <v>16507.98</v>
      </c>
      <c r="F13947" s="3" t="str">
        <f t="shared" si="217"/>
        <v>I12458</v>
      </c>
    </row>
    <row r="13948" spans="1:6" x14ac:dyDescent="0.2">
      <c r="A13948" s="29" t="s">
        <v>31422</v>
      </c>
      <c r="B13948" s="30" t="s">
        <v>31423</v>
      </c>
      <c r="C13948" s="29" t="s">
        <v>26</v>
      </c>
      <c r="D13948" s="31">
        <v>16707.43</v>
      </c>
      <c r="F13948" s="3" t="str">
        <f t="shared" si="217"/>
        <v>I12459</v>
      </c>
    </row>
    <row r="13949" spans="1:6" x14ac:dyDescent="0.2">
      <c r="A13949" s="29" t="s">
        <v>31424</v>
      </c>
      <c r="B13949" s="30" t="s">
        <v>31425</v>
      </c>
      <c r="C13949" s="29" t="s">
        <v>26</v>
      </c>
      <c r="D13949" s="31">
        <v>11890.69</v>
      </c>
      <c r="F13949" s="3" t="str">
        <f t="shared" si="217"/>
        <v>I12460</v>
      </c>
    </row>
    <row r="13950" spans="1:6" x14ac:dyDescent="0.2">
      <c r="A13950" s="29" t="s">
        <v>31426</v>
      </c>
      <c r="B13950" s="30" t="s">
        <v>31427</v>
      </c>
      <c r="C13950" s="29" t="s">
        <v>26</v>
      </c>
      <c r="D13950" s="31">
        <v>13805.97</v>
      </c>
      <c r="F13950" s="3" t="str">
        <f t="shared" si="217"/>
        <v>I12461</v>
      </c>
    </row>
    <row r="13951" spans="1:6" x14ac:dyDescent="0.2">
      <c r="A13951" s="29" t="s">
        <v>31428</v>
      </c>
      <c r="B13951" s="30" t="s">
        <v>31429</v>
      </c>
      <c r="C13951" s="29" t="s">
        <v>26</v>
      </c>
      <c r="D13951" s="31">
        <v>15725.42</v>
      </c>
      <c r="F13951" s="3" t="str">
        <f t="shared" si="217"/>
        <v>I12462</v>
      </c>
    </row>
    <row r="13952" spans="1:6" x14ac:dyDescent="0.2">
      <c r="A13952" s="29" t="s">
        <v>31430</v>
      </c>
      <c r="B13952" s="30" t="s">
        <v>31431</v>
      </c>
      <c r="C13952" s="29" t="s">
        <v>26</v>
      </c>
      <c r="D13952" s="31">
        <v>17640.73</v>
      </c>
      <c r="F13952" s="3" t="str">
        <f t="shared" si="217"/>
        <v>I12463</v>
      </c>
    </row>
    <row r="13953" spans="1:6" x14ac:dyDescent="0.2">
      <c r="A13953" s="29" t="s">
        <v>31432</v>
      </c>
      <c r="B13953" s="30" t="s">
        <v>31433</v>
      </c>
      <c r="C13953" s="29" t="s">
        <v>26</v>
      </c>
      <c r="D13953" s="31">
        <v>19556.23</v>
      </c>
      <c r="F13953" s="3" t="str">
        <f t="shared" si="217"/>
        <v>I12464</v>
      </c>
    </row>
    <row r="13954" spans="1:6" x14ac:dyDescent="0.2">
      <c r="A13954" s="29" t="s">
        <v>31434</v>
      </c>
      <c r="B13954" s="30" t="s">
        <v>31435</v>
      </c>
      <c r="C13954" s="29" t="s">
        <v>26</v>
      </c>
      <c r="D13954" s="31">
        <v>21475.61</v>
      </c>
      <c r="F13954" s="3" t="str">
        <f t="shared" ref="F13954:F14017" si="218">A13954</f>
        <v>I12465</v>
      </c>
    </row>
    <row r="13955" spans="1:6" x14ac:dyDescent="0.2">
      <c r="A13955" s="29" t="s">
        <v>31436</v>
      </c>
      <c r="B13955" s="30" t="s">
        <v>31437</v>
      </c>
      <c r="C13955" s="29" t="s">
        <v>26</v>
      </c>
      <c r="D13955" s="31">
        <v>23390.99</v>
      </c>
      <c r="F13955" s="3" t="str">
        <f t="shared" si="218"/>
        <v>I12466</v>
      </c>
    </row>
    <row r="13956" spans="1:6" x14ac:dyDescent="0.2">
      <c r="A13956" s="29" t="s">
        <v>31438</v>
      </c>
      <c r="B13956" s="30" t="s">
        <v>31439</v>
      </c>
      <c r="C13956" s="29" t="s">
        <v>26</v>
      </c>
      <c r="D13956" s="31">
        <v>25306.3</v>
      </c>
      <c r="F13956" s="3" t="str">
        <f t="shared" si="218"/>
        <v>I12467</v>
      </c>
    </row>
    <row r="13957" spans="1:6" x14ac:dyDescent="0.2">
      <c r="A13957" s="29" t="s">
        <v>31440</v>
      </c>
      <c r="B13957" s="30" t="s">
        <v>31441</v>
      </c>
      <c r="C13957" s="29" t="s">
        <v>26</v>
      </c>
      <c r="D13957" s="31">
        <v>27225.77</v>
      </c>
      <c r="F13957" s="3" t="str">
        <f t="shared" si="218"/>
        <v>I12468</v>
      </c>
    </row>
    <row r="13958" spans="1:6" x14ac:dyDescent="0.2">
      <c r="A13958" s="29" t="s">
        <v>31442</v>
      </c>
      <c r="B13958" s="30" t="s">
        <v>31443</v>
      </c>
      <c r="C13958" s="29" t="s">
        <v>26</v>
      </c>
      <c r="D13958" s="31">
        <v>29141.14</v>
      </c>
      <c r="F13958" s="3" t="str">
        <f t="shared" si="218"/>
        <v>I12469</v>
      </c>
    </row>
    <row r="13959" spans="1:6" x14ac:dyDescent="0.2">
      <c r="A13959" s="29" t="s">
        <v>31444</v>
      </c>
      <c r="B13959" s="30" t="s">
        <v>31445</v>
      </c>
      <c r="C13959" s="29" t="s">
        <v>26</v>
      </c>
      <c r="D13959" s="31">
        <v>32219.53</v>
      </c>
      <c r="F13959" s="3" t="str">
        <f t="shared" si="218"/>
        <v>I12470</v>
      </c>
    </row>
    <row r="13960" spans="1:6" x14ac:dyDescent="0.2">
      <c r="A13960" s="29" t="s">
        <v>31446</v>
      </c>
      <c r="B13960" s="30" t="s">
        <v>31447</v>
      </c>
      <c r="C13960" s="29" t="s">
        <v>26</v>
      </c>
      <c r="D13960" s="31">
        <v>32760.99</v>
      </c>
      <c r="F13960" s="3" t="str">
        <f t="shared" si="218"/>
        <v>I12471</v>
      </c>
    </row>
    <row r="13961" spans="1:6" x14ac:dyDescent="0.2">
      <c r="A13961" s="29" t="s">
        <v>31448</v>
      </c>
      <c r="B13961" s="30" t="s">
        <v>31449</v>
      </c>
      <c r="C13961" s="29" t="s">
        <v>26</v>
      </c>
      <c r="D13961" s="31">
        <v>33083.53</v>
      </c>
      <c r="F13961" s="3" t="str">
        <f t="shared" si="218"/>
        <v>I12472</v>
      </c>
    </row>
    <row r="13962" spans="1:6" x14ac:dyDescent="0.2">
      <c r="A13962" s="29" t="s">
        <v>31450</v>
      </c>
      <c r="B13962" s="30" t="s">
        <v>31451</v>
      </c>
      <c r="C13962" s="29" t="s">
        <v>26</v>
      </c>
      <c r="D13962" s="31">
        <v>14362.02</v>
      </c>
      <c r="F13962" s="3" t="str">
        <f t="shared" si="218"/>
        <v>I4395</v>
      </c>
    </row>
    <row r="13963" spans="1:6" x14ac:dyDescent="0.2">
      <c r="A13963" s="29" t="s">
        <v>31452</v>
      </c>
      <c r="B13963" s="30" t="s">
        <v>31453</v>
      </c>
      <c r="C13963" s="29" t="s">
        <v>26</v>
      </c>
      <c r="D13963" s="31">
        <v>16672.580000000002</v>
      </c>
      <c r="F13963" s="3" t="str">
        <f t="shared" si="218"/>
        <v>I4396</v>
      </c>
    </row>
    <row r="13964" spans="1:6" x14ac:dyDescent="0.2">
      <c r="A13964" s="29" t="s">
        <v>31454</v>
      </c>
      <c r="B13964" s="30" t="s">
        <v>31455</v>
      </c>
      <c r="C13964" s="29" t="s">
        <v>26</v>
      </c>
      <c r="D13964" s="31">
        <v>18983.099999999999</v>
      </c>
      <c r="F13964" s="3" t="str">
        <f t="shared" si="218"/>
        <v>I4397</v>
      </c>
    </row>
    <row r="13965" spans="1:6" x14ac:dyDescent="0.2">
      <c r="A13965" s="29" t="s">
        <v>31456</v>
      </c>
      <c r="B13965" s="30" t="s">
        <v>31457</v>
      </c>
      <c r="C13965" s="29" t="s">
        <v>26</v>
      </c>
      <c r="D13965" s="31">
        <v>21293.56</v>
      </c>
      <c r="F13965" s="3" t="str">
        <f t="shared" si="218"/>
        <v>I4398</v>
      </c>
    </row>
    <row r="13966" spans="1:6" x14ac:dyDescent="0.2">
      <c r="A13966" s="29" t="s">
        <v>31458</v>
      </c>
      <c r="B13966" s="30" t="s">
        <v>31459</v>
      </c>
      <c r="C13966" s="29" t="s">
        <v>26</v>
      </c>
      <c r="D13966" s="31">
        <v>23603.94</v>
      </c>
      <c r="F13966" s="3" t="str">
        <f t="shared" si="218"/>
        <v>I4399</v>
      </c>
    </row>
    <row r="13967" spans="1:6" x14ac:dyDescent="0.2">
      <c r="A13967" s="29" t="s">
        <v>31460</v>
      </c>
      <c r="B13967" s="30" t="s">
        <v>31461</v>
      </c>
      <c r="C13967" s="29" t="s">
        <v>26</v>
      </c>
      <c r="D13967" s="31">
        <v>25914.52</v>
      </c>
      <c r="F13967" s="3" t="str">
        <f t="shared" si="218"/>
        <v>I4400</v>
      </c>
    </row>
    <row r="13968" spans="1:6" x14ac:dyDescent="0.2">
      <c r="A13968" s="29" t="s">
        <v>31462</v>
      </c>
      <c r="B13968" s="30" t="s">
        <v>31463</v>
      </c>
      <c r="C13968" s="29" t="s">
        <v>26</v>
      </c>
      <c r="D13968" s="31">
        <v>28220.89</v>
      </c>
      <c r="F13968" s="3" t="str">
        <f t="shared" si="218"/>
        <v>I4401</v>
      </c>
    </row>
    <row r="13969" spans="1:6" x14ac:dyDescent="0.2">
      <c r="A13969" s="29" t="s">
        <v>31464</v>
      </c>
      <c r="B13969" s="30" t="s">
        <v>31465</v>
      </c>
      <c r="C13969" s="29" t="s">
        <v>26</v>
      </c>
      <c r="D13969" s="31">
        <v>30531.42</v>
      </c>
      <c r="F13969" s="3" t="str">
        <f t="shared" si="218"/>
        <v>I4402</v>
      </c>
    </row>
    <row r="13970" spans="1:6" x14ac:dyDescent="0.2">
      <c r="A13970" s="29" t="s">
        <v>31466</v>
      </c>
      <c r="B13970" s="30" t="s">
        <v>31467</v>
      </c>
      <c r="C13970" s="29" t="s">
        <v>26</v>
      </c>
      <c r="D13970" s="31">
        <v>32841.839999999997</v>
      </c>
      <c r="F13970" s="3" t="str">
        <f t="shared" si="218"/>
        <v>I4403</v>
      </c>
    </row>
    <row r="13971" spans="1:6" x14ac:dyDescent="0.2">
      <c r="A13971" s="29" t="s">
        <v>31468</v>
      </c>
      <c r="B13971" s="30" t="s">
        <v>31469</v>
      </c>
      <c r="C13971" s="29" t="s">
        <v>26</v>
      </c>
      <c r="D13971" s="31">
        <v>35152.35</v>
      </c>
      <c r="F13971" s="3" t="str">
        <f t="shared" si="218"/>
        <v>I4404</v>
      </c>
    </row>
    <row r="13972" spans="1:6" x14ac:dyDescent="0.2">
      <c r="A13972" s="29" t="s">
        <v>31470</v>
      </c>
      <c r="B13972" s="30" t="s">
        <v>31471</v>
      </c>
      <c r="C13972" s="29" t="s">
        <v>26</v>
      </c>
      <c r="D13972" s="31">
        <v>38859.599999999999</v>
      </c>
      <c r="F13972" s="3" t="str">
        <f t="shared" si="218"/>
        <v>I4405</v>
      </c>
    </row>
    <row r="13973" spans="1:6" x14ac:dyDescent="0.2">
      <c r="A13973" s="29" t="s">
        <v>31472</v>
      </c>
      <c r="B13973" s="30" t="s">
        <v>31473</v>
      </c>
      <c r="C13973" s="29" t="s">
        <v>26</v>
      </c>
      <c r="D13973" s="31">
        <v>38859.599999999999</v>
      </c>
      <c r="F13973" s="3" t="str">
        <f t="shared" si="218"/>
        <v>I4406</v>
      </c>
    </row>
    <row r="13974" spans="1:6" x14ac:dyDescent="0.2">
      <c r="A13974" s="29" t="s">
        <v>31474</v>
      </c>
      <c r="B13974" s="30" t="s">
        <v>31475</v>
      </c>
      <c r="C13974" s="29" t="s">
        <v>26</v>
      </c>
      <c r="D13974" s="31">
        <v>39908.620000000003</v>
      </c>
      <c r="F13974" s="3" t="str">
        <f t="shared" si="218"/>
        <v>I4407</v>
      </c>
    </row>
    <row r="13975" spans="1:6" x14ac:dyDescent="0.2">
      <c r="A13975" s="29" t="s">
        <v>31476</v>
      </c>
      <c r="B13975" s="30" t="s">
        <v>31477</v>
      </c>
      <c r="C13975" s="29" t="s">
        <v>26</v>
      </c>
      <c r="D13975" s="31">
        <v>19390.82</v>
      </c>
      <c r="F13975" s="3" t="str">
        <f t="shared" si="218"/>
        <v>I4408</v>
      </c>
    </row>
    <row r="13976" spans="1:6" x14ac:dyDescent="0.2">
      <c r="A13976" s="29" t="s">
        <v>31478</v>
      </c>
      <c r="B13976" s="30" t="s">
        <v>31479</v>
      </c>
      <c r="C13976" s="29" t="s">
        <v>26</v>
      </c>
      <c r="D13976" s="31">
        <v>22129.49</v>
      </c>
      <c r="F13976" s="3" t="str">
        <f t="shared" si="218"/>
        <v>I4409</v>
      </c>
    </row>
    <row r="13977" spans="1:6" x14ac:dyDescent="0.2">
      <c r="A13977" s="29" t="s">
        <v>31480</v>
      </c>
      <c r="B13977" s="30" t="s">
        <v>31481</v>
      </c>
      <c r="C13977" s="29" t="s">
        <v>26</v>
      </c>
      <c r="D13977" s="31">
        <v>24868.2</v>
      </c>
      <c r="F13977" s="3" t="str">
        <f t="shared" si="218"/>
        <v>I4410</v>
      </c>
    </row>
    <row r="13978" spans="1:6" x14ac:dyDescent="0.2">
      <c r="A13978" s="29" t="s">
        <v>31482</v>
      </c>
      <c r="B13978" s="30" t="s">
        <v>31483</v>
      </c>
      <c r="C13978" s="29" t="s">
        <v>26</v>
      </c>
      <c r="D13978" s="31">
        <v>27606.83</v>
      </c>
      <c r="F13978" s="3" t="str">
        <f t="shared" si="218"/>
        <v>I4411</v>
      </c>
    </row>
    <row r="13979" spans="1:6" x14ac:dyDescent="0.2">
      <c r="A13979" s="29" t="s">
        <v>31484</v>
      </c>
      <c r="B13979" s="30" t="s">
        <v>31485</v>
      </c>
      <c r="C13979" s="29" t="s">
        <v>26</v>
      </c>
      <c r="D13979" s="31">
        <v>30345.47</v>
      </c>
      <c r="F13979" s="3" t="str">
        <f t="shared" si="218"/>
        <v>I4412</v>
      </c>
    </row>
    <row r="13980" spans="1:6" x14ac:dyDescent="0.2">
      <c r="A13980" s="29" t="s">
        <v>31486</v>
      </c>
      <c r="B13980" s="30" t="s">
        <v>31487</v>
      </c>
      <c r="C13980" s="29" t="s">
        <v>26</v>
      </c>
      <c r="D13980" s="31">
        <v>33084.21</v>
      </c>
      <c r="F13980" s="3" t="str">
        <f t="shared" si="218"/>
        <v>I4413</v>
      </c>
    </row>
    <row r="13981" spans="1:6" x14ac:dyDescent="0.2">
      <c r="A13981" s="29" t="s">
        <v>31488</v>
      </c>
      <c r="B13981" s="30" t="s">
        <v>31489</v>
      </c>
      <c r="C13981" s="29" t="s">
        <v>26</v>
      </c>
      <c r="D13981" s="31">
        <v>35822.800000000003</v>
      </c>
      <c r="F13981" s="3" t="str">
        <f t="shared" si="218"/>
        <v>I4414</v>
      </c>
    </row>
    <row r="13982" spans="1:6" x14ac:dyDescent="0.2">
      <c r="A13982" s="29" t="s">
        <v>31490</v>
      </c>
      <c r="B13982" s="30" t="s">
        <v>31491</v>
      </c>
      <c r="C13982" s="29" t="s">
        <v>26</v>
      </c>
      <c r="D13982" s="31">
        <v>38561.519999999997</v>
      </c>
      <c r="F13982" s="3" t="str">
        <f t="shared" si="218"/>
        <v>I4415</v>
      </c>
    </row>
    <row r="13983" spans="1:6" x14ac:dyDescent="0.2">
      <c r="A13983" s="29" t="s">
        <v>31492</v>
      </c>
      <c r="B13983" s="30" t="s">
        <v>31493</v>
      </c>
      <c r="C13983" s="29" t="s">
        <v>26</v>
      </c>
      <c r="D13983" s="31">
        <v>41300.15</v>
      </c>
      <c r="F13983" s="3" t="str">
        <f t="shared" si="218"/>
        <v>I4416</v>
      </c>
    </row>
    <row r="13984" spans="1:6" x14ac:dyDescent="0.2">
      <c r="A13984" s="29" t="s">
        <v>31494</v>
      </c>
      <c r="B13984" s="30" t="s">
        <v>31495</v>
      </c>
      <c r="C13984" s="29" t="s">
        <v>26</v>
      </c>
      <c r="D13984" s="31">
        <v>44038.79</v>
      </c>
      <c r="F13984" s="3" t="str">
        <f t="shared" si="218"/>
        <v>I4417</v>
      </c>
    </row>
    <row r="13985" spans="1:6" x14ac:dyDescent="0.2">
      <c r="A13985" s="29" t="s">
        <v>31496</v>
      </c>
      <c r="B13985" s="30" t="s">
        <v>31497</v>
      </c>
      <c r="C13985" s="29" t="s">
        <v>26</v>
      </c>
      <c r="D13985" s="31">
        <v>48429.69</v>
      </c>
      <c r="F13985" s="3" t="str">
        <f t="shared" si="218"/>
        <v>I4418</v>
      </c>
    </row>
    <row r="13986" spans="1:6" x14ac:dyDescent="0.2">
      <c r="A13986" s="29" t="s">
        <v>31498</v>
      </c>
      <c r="B13986" s="30" t="s">
        <v>31499</v>
      </c>
      <c r="C13986" s="29" t="s">
        <v>26</v>
      </c>
      <c r="D13986" s="31">
        <v>49210.86</v>
      </c>
      <c r="F13986" s="3" t="str">
        <f t="shared" si="218"/>
        <v>I4419</v>
      </c>
    </row>
    <row r="13987" spans="1:6" x14ac:dyDescent="0.2">
      <c r="A13987" s="29" t="s">
        <v>31500</v>
      </c>
      <c r="B13987" s="30" t="s">
        <v>31501</v>
      </c>
      <c r="C13987" s="29" t="s">
        <v>26</v>
      </c>
      <c r="D13987" s="31">
        <v>49678.79</v>
      </c>
      <c r="F13987" s="3" t="str">
        <f t="shared" si="218"/>
        <v>I4420</v>
      </c>
    </row>
    <row r="13988" spans="1:6" x14ac:dyDescent="0.2">
      <c r="A13988" s="29" t="s">
        <v>31502</v>
      </c>
      <c r="B13988" s="30" t="s">
        <v>31503</v>
      </c>
      <c r="C13988" s="29" t="s">
        <v>26</v>
      </c>
      <c r="D13988" s="31">
        <v>14527.81</v>
      </c>
      <c r="F13988" s="3" t="str">
        <f t="shared" si="218"/>
        <v>I12568</v>
      </c>
    </row>
    <row r="13989" spans="1:6" x14ac:dyDescent="0.2">
      <c r="A13989" s="29" t="s">
        <v>31504</v>
      </c>
      <c r="B13989" s="30" t="s">
        <v>31505</v>
      </c>
      <c r="C13989" s="29" t="s">
        <v>26</v>
      </c>
      <c r="D13989" s="31">
        <v>16544.349999999999</v>
      </c>
      <c r="F13989" s="3" t="str">
        <f t="shared" si="218"/>
        <v>I12569</v>
      </c>
    </row>
    <row r="13990" spans="1:6" x14ac:dyDescent="0.2">
      <c r="A13990" s="29" t="s">
        <v>31506</v>
      </c>
      <c r="B13990" s="30" t="s">
        <v>31507</v>
      </c>
      <c r="C13990" s="29" t="s">
        <v>26</v>
      </c>
      <c r="D13990" s="31">
        <v>18867.099999999999</v>
      </c>
      <c r="F13990" s="3" t="str">
        <f t="shared" si="218"/>
        <v>I12570</v>
      </c>
    </row>
    <row r="13991" spans="1:6" x14ac:dyDescent="0.2">
      <c r="A13991" s="29" t="s">
        <v>31508</v>
      </c>
      <c r="B13991" s="30" t="s">
        <v>31509</v>
      </c>
      <c r="C13991" s="29" t="s">
        <v>26</v>
      </c>
      <c r="D13991" s="31">
        <v>21189.42</v>
      </c>
      <c r="F13991" s="3" t="str">
        <f t="shared" si="218"/>
        <v>I12571</v>
      </c>
    </row>
    <row r="13992" spans="1:6" x14ac:dyDescent="0.2">
      <c r="A13992" s="29" t="s">
        <v>31510</v>
      </c>
      <c r="B13992" s="30" t="s">
        <v>31511</v>
      </c>
      <c r="C13992" s="29" t="s">
        <v>26</v>
      </c>
      <c r="D13992" s="31">
        <v>23512.1</v>
      </c>
      <c r="F13992" s="3" t="str">
        <f t="shared" si="218"/>
        <v>I12572</v>
      </c>
    </row>
    <row r="13993" spans="1:6" x14ac:dyDescent="0.2">
      <c r="A13993" s="29" t="s">
        <v>31512</v>
      </c>
      <c r="B13993" s="30" t="s">
        <v>31513</v>
      </c>
      <c r="C13993" s="29" t="s">
        <v>26</v>
      </c>
      <c r="D13993" s="31">
        <v>25834.92</v>
      </c>
      <c r="F13993" s="3" t="str">
        <f t="shared" si="218"/>
        <v>I12573</v>
      </c>
    </row>
    <row r="13994" spans="1:6" x14ac:dyDescent="0.2">
      <c r="A13994" s="29" t="s">
        <v>31514</v>
      </c>
      <c r="B13994" s="30" t="s">
        <v>31515</v>
      </c>
      <c r="C13994" s="29" t="s">
        <v>26</v>
      </c>
      <c r="D13994" s="31">
        <v>28157.65</v>
      </c>
      <c r="F13994" s="3" t="str">
        <f t="shared" si="218"/>
        <v>I12574</v>
      </c>
    </row>
    <row r="13995" spans="1:6" x14ac:dyDescent="0.2">
      <c r="A13995" s="29" t="s">
        <v>31516</v>
      </c>
      <c r="B13995" s="30" t="s">
        <v>31517</v>
      </c>
      <c r="C13995" s="29" t="s">
        <v>26</v>
      </c>
      <c r="D13995" s="31">
        <v>30480.42</v>
      </c>
      <c r="F13995" s="3" t="str">
        <f t="shared" si="218"/>
        <v>I12575</v>
      </c>
    </row>
    <row r="13996" spans="1:6" x14ac:dyDescent="0.2">
      <c r="A13996" s="29" t="s">
        <v>31518</v>
      </c>
      <c r="B13996" s="30" t="s">
        <v>31519</v>
      </c>
      <c r="C13996" s="29" t="s">
        <v>26</v>
      </c>
      <c r="D13996" s="31">
        <v>32803.17</v>
      </c>
      <c r="F13996" s="3" t="str">
        <f t="shared" si="218"/>
        <v>I12576</v>
      </c>
    </row>
    <row r="13997" spans="1:6" x14ac:dyDescent="0.2">
      <c r="A13997" s="29" t="s">
        <v>31520</v>
      </c>
      <c r="B13997" s="30" t="s">
        <v>31521</v>
      </c>
      <c r="C13997" s="29" t="s">
        <v>26</v>
      </c>
      <c r="D13997" s="31">
        <v>35125.949999999997</v>
      </c>
      <c r="F13997" s="3" t="str">
        <f t="shared" si="218"/>
        <v>I12577</v>
      </c>
    </row>
    <row r="13998" spans="1:6" x14ac:dyDescent="0.2">
      <c r="A13998" s="29" t="s">
        <v>31522</v>
      </c>
      <c r="B13998" s="30" t="s">
        <v>31523</v>
      </c>
      <c r="C13998" s="29" t="s">
        <v>26</v>
      </c>
      <c r="D13998" s="31">
        <v>39868.92</v>
      </c>
      <c r="F13998" s="3" t="str">
        <f t="shared" si="218"/>
        <v>I12578</v>
      </c>
    </row>
    <row r="13999" spans="1:6" x14ac:dyDescent="0.2">
      <c r="A13999" s="29" t="s">
        <v>31524</v>
      </c>
      <c r="B13999" s="30" t="s">
        <v>31525</v>
      </c>
      <c r="C13999" s="29" t="s">
        <v>26</v>
      </c>
      <c r="D13999" s="31">
        <v>19305.96</v>
      </c>
      <c r="F13999" s="3" t="str">
        <f t="shared" si="218"/>
        <v>I12579</v>
      </c>
    </row>
    <row r="14000" spans="1:6" x14ac:dyDescent="0.2">
      <c r="A14000" s="29" t="s">
        <v>31526</v>
      </c>
      <c r="B14000" s="30" t="s">
        <v>31527</v>
      </c>
      <c r="C14000" s="29" t="s">
        <v>26</v>
      </c>
      <c r="D14000" s="31">
        <v>22381.86</v>
      </c>
      <c r="F14000" s="3" t="str">
        <f t="shared" si="218"/>
        <v>I12580</v>
      </c>
    </row>
    <row r="14001" spans="1:6" x14ac:dyDescent="0.2">
      <c r="A14001" s="29" t="s">
        <v>31528</v>
      </c>
      <c r="B14001" s="30" t="s">
        <v>31529</v>
      </c>
      <c r="C14001" s="29" t="s">
        <v>26</v>
      </c>
      <c r="D14001" s="31">
        <v>25894.43</v>
      </c>
      <c r="F14001" s="3" t="str">
        <f t="shared" si="218"/>
        <v>I12581</v>
      </c>
    </row>
    <row r="14002" spans="1:6" x14ac:dyDescent="0.2">
      <c r="A14002" s="29" t="s">
        <v>31530</v>
      </c>
      <c r="B14002" s="30" t="s">
        <v>31531</v>
      </c>
      <c r="C14002" s="29" t="s">
        <v>26</v>
      </c>
      <c r="D14002" s="31">
        <v>37760.959999999999</v>
      </c>
      <c r="F14002" s="3" t="str">
        <f t="shared" si="218"/>
        <v>I12582</v>
      </c>
    </row>
    <row r="14003" spans="1:6" x14ac:dyDescent="0.2">
      <c r="A14003" s="29" t="s">
        <v>31532</v>
      </c>
      <c r="B14003" s="30" t="s">
        <v>31533</v>
      </c>
      <c r="C14003" s="29" t="s">
        <v>26</v>
      </c>
      <c r="D14003" s="31">
        <v>40836.79</v>
      </c>
      <c r="F14003" s="3" t="str">
        <f t="shared" si="218"/>
        <v>I12583</v>
      </c>
    </row>
    <row r="14004" spans="1:6" x14ac:dyDescent="0.2">
      <c r="A14004" s="29" t="s">
        <v>31534</v>
      </c>
      <c r="B14004" s="30" t="s">
        <v>31535</v>
      </c>
      <c r="C14004" s="29" t="s">
        <v>26</v>
      </c>
      <c r="D14004" s="31">
        <v>46985.77</v>
      </c>
      <c r="F14004" s="3" t="str">
        <f t="shared" si="218"/>
        <v>I12584</v>
      </c>
    </row>
    <row r="14005" spans="1:6" x14ac:dyDescent="0.2">
      <c r="A14005" s="29" t="s">
        <v>31536</v>
      </c>
      <c r="B14005" s="30" t="s">
        <v>31537</v>
      </c>
      <c r="C14005" s="29" t="s">
        <v>26</v>
      </c>
      <c r="D14005" s="31">
        <v>51967.13</v>
      </c>
      <c r="F14005" s="3" t="str">
        <f t="shared" si="218"/>
        <v>I12585</v>
      </c>
    </row>
    <row r="14006" spans="1:6" x14ac:dyDescent="0.2">
      <c r="A14006" s="29" t="s">
        <v>31538</v>
      </c>
      <c r="B14006" s="30" t="s">
        <v>31539</v>
      </c>
      <c r="C14006" s="29" t="s">
        <v>26</v>
      </c>
      <c r="D14006" s="31">
        <v>53277.04</v>
      </c>
      <c r="F14006" s="3" t="str">
        <f t="shared" si="218"/>
        <v>I12586</v>
      </c>
    </row>
    <row r="14007" spans="1:6" x14ac:dyDescent="0.2">
      <c r="A14007" s="29" t="s">
        <v>31540</v>
      </c>
      <c r="B14007" s="30" t="s">
        <v>31541</v>
      </c>
      <c r="C14007" s="29" t="s">
        <v>26</v>
      </c>
      <c r="D14007" s="31">
        <v>1233.57</v>
      </c>
      <c r="F14007" s="3" t="str">
        <f t="shared" si="218"/>
        <v>I12473</v>
      </c>
    </row>
    <row r="14008" spans="1:6" x14ac:dyDescent="0.2">
      <c r="A14008" s="29" t="s">
        <v>31542</v>
      </c>
      <c r="B14008" s="30" t="s">
        <v>31543</v>
      </c>
      <c r="C14008" s="29" t="s">
        <v>26</v>
      </c>
      <c r="D14008" s="31">
        <v>1469.79</v>
      </c>
      <c r="F14008" s="3" t="str">
        <f t="shared" si="218"/>
        <v>I12474</v>
      </c>
    </row>
    <row r="14009" spans="1:6" x14ac:dyDescent="0.2">
      <c r="A14009" s="29" t="s">
        <v>31544</v>
      </c>
      <c r="B14009" s="30" t="s">
        <v>31545</v>
      </c>
      <c r="C14009" s="29" t="s">
        <v>26</v>
      </c>
      <c r="D14009" s="31">
        <v>1706.13</v>
      </c>
      <c r="F14009" s="3" t="str">
        <f t="shared" si="218"/>
        <v>I12475</v>
      </c>
    </row>
    <row r="14010" spans="1:6" x14ac:dyDescent="0.2">
      <c r="A14010" s="29" t="s">
        <v>31546</v>
      </c>
      <c r="B14010" s="30" t="s">
        <v>31547</v>
      </c>
      <c r="C14010" s="29" t="s">
        <v>26</v>
      </c>
      <c r="D14010" s="31">
        <v>1942.41</v>
      </c>
      <c r="F14010" s="3" t="str">
        <f t="shared" si="218"/>
        <v>I12476</v>
      </c>
    </row>
    <row r="14011" spans="1:6" x14ac:dyDescent="0.2">
      <c r="A14011" s="29" t="s">
        <v>31548</v>
      </c>
      <c r="B14011" s="30" t="s">
        <v>31549</v>
      </c>
      <c r="C14011" s="29" t="s">
        <v>26</v>
      </c>
      <c r="D14011" s="31">
        <v>2178.75</v>
      </c>
      <c r="F14011" s="3" t="str">
        <f t="shared" si="218"/>
        <v>I12477</v>
      </c>
    </row>
    <row r="14012" spans="1:6" x14ac:dyDescent="0.2">
      <c r="A14012" s="29" t="s">
        <v>31550</v>
      </c>
      <c r="B14012" s="30" t="s">
        <v>31551</v>
      </c>
      <c r="C14012" s="29" t="s">
        <v>26</v>
      </c>
      <c r="D14012" s="31">
        <v>2415.0500000000002</v>
      </c>
      <c r="F14012" s="3" t="str">
        <f t="shared" si="218"/>
        <v>I12478</v>
      </c>
    </row>
    <row r="14013" spans="1:6" x14ac:dyDescent="0.2">
      <c r="A14013" s="29" t="s">
        <v>31552</v>
      </c>
      <c r="B14013" s="30" t="s">
        <v>31553</v>
      </c>
      <c r="C14013" s="29" t="s">
        <v>26</v>
      </c>
      <c r="D14013" s="31">
        <v>2654.02</v>
      </c>
      <c r="F14013" s="3" t="str">
        <f t="shared" si="218"/>
        <v>I12479</v>
      </c>
    </row>
    <row r="14014" spans="1:6" x14ac:dyDescent="0.2">
      <c r="A14014" s="29" t="s">
        <v>31554</v>
      </c>
      <c r="B14014" s="30" t="s">
        <v>31555</v>
      </c>
      <c r="C14014" s="29" t="s">
        <v>26</v>
      </c>
      <c r="D14014" s="31">
        <v>2894.92</v>
      </c>
      <c r="F14014" s="3" t="str">
        <f t="shared" si="218"/>
        <v>I12480</v>
      </c>
    </row>
    <row r="14015" spans="1:6" x14ac:dyDescent="0.2">
      <c r="A14015" s="29" t="s">
        <v>31556</v>
      </c>
      <c r="B14015" s="30" t="s">
        <v>31557</v>
      </c>
      <c r="C14015" s="29" t="s">
        <v>26</v>
      </c>
      <c r="D14015" s="31">
        <v>3312.22</v>
      </c>
      <c r="F14015" s="3" t="str">
        <f t="shared" si="218"/>
        <v>I12481</v>
      </c>
    </row>
    <row r="14016" spans="1:6" x14ac:dyDescent="0.2">
      <c r="A14016" s="29" t="s">
        <v>31558</v>
      </c>
      <c r="B14016" s="30" t="s">
        <v>31559</v>
      </c>
      <c r="C14016" s="29" t="s">
        <v>26</v>
      </c>
      <c r="D14016" s="31">
        <v>3394.98</v>
      </c>
      <c r="F14016" s="3" t="str">
        <f t="shared" si="218"/>
        <v>I12482</v>
      </c>
    </row>
    <row r="14017" spans="1:6" x14ac:dyDescent="0.2">
      <c r="A14017" s="29" t="s">
        <v>31560</v>
      </c>
      <c r="B14017" s="30" t="s">
        <v>31561</v>
      </c>
      <c r="C14017" s="29" t="s">
        <v>26</v>
      </c>
      <c r="D14017" s="31">
        <v>1438.48</v>
      </c>
      <c r="F14017" s="3" t="str">
        <f t="shared" si="218"/>
        <v>I12483</v>
      </c>
    </row>
    <row r="14018" spans="1:6" x14ac:dyDescent="0.2">
      <c r="A14018" s="29" t="s">
        <v>31562</v>
      </c>
      <c r="B14018" s="30" t="s">
        <v>31563</v>
      </c>
      <c r="C14018" s="29" t="s">
        <v>26</v>
      </c>
      <c r="D14018" s="31">
        <v>1714.01</v>
      </c>
      <c r="F14018" s="3" t="str">
        <f t="shared" ref="F14018:F14081" si="219">A14018</f>
        <v>I12484</v>
      </c>
    </row>
    <row r="14019" spans="1:6" x14ac:dyDescent="0.2">
      <c r="A14019" s="29" t="s">
        <v>31564</v>
      </c>
      <c r="B14019" s="30" t="s">
        <v>31565</v>
      </c>
      <c r="C14019" s="29" t="s">
        <v>26</v>
      </c>
      <c r="D14019" s="31">
        <v>2000.07</v>
      </c>
      <c r="F14019" s="3" t="str">
        <f t="shared" si="219"/>
        <v>I12485</v>
      </c>
    </row>
    <row r="14020" spans="1:6" x14ac:dyDescent="0.2">
      <c r="A14020" s="29" t="s">
        <v>31566</v>
      </c>
      <c r="B14020" s="30" t="s">
        <v>31567</v>
      </c>
      <c r="C14020" s="29" t="s">
        <v>26</v>
      </c>
      <c r="D14020" s="31">
        <v>2286.08</v>
      </c>
      <c r="F14020" s="3" t="str">
        <f t="shared" si="219"/>
        <v>I12486</v>
      </c>
    </row>
    <row r="14021" spans="1:6" x14ac:dyDescent="0.2">
      <c r="A14021" s="29" t="s">
        <v>31568</v>
      </c>
      <c r="B14021" s="30" t="s">
        <v>31569</v>
      </c>
      <c r="C14021" s="29" t="s">
        <v>26</v>
      </c>
      <c r="D14021" s="31">
        <v>2572.08</v>
      </c>
      <c r="F14021" s="3" t="str">
        <f t="shared" si="219"/>
        <v>I12487</v>
      </c>
    </row>
    <row r="14022" spans="1:6" x14ac:dyDescent="0.2">
      <c r="A14022" s="29" t="s">
        <v>31570</v>
      </c>
      <c r="B14022" s="30" t="s">
        <v>31571</v>
      </c>
      <c r="C14022" s="29" t="s">
        <v>26</v>
      </c>
      <c r="D14022" s="31">
        <v>2860.73</v>
      </c>
      <c r="F14022" s="3" t="str">
        <f t="shared" si="219"/>
        <v>I12488</v>
      </c>
    </row>
    <row r="14023" spans="1:6" x14ac:dyDescent="0.2">
      <c r="A14023" s="29" t="s">
        <v>31572</v>
      </c>
      <c r="B14023" s="30" t="s">
        <v>31573</v>
      </c>
      <c r="C14023" s="29" t="s">
        <v>26</v>
      </c>
      <c r="D14023" s="31">
        <v>3146.78</v>
      </c>
      <c r="F14023" s="3" t="str">
        <f t="shared" si="219"/>
        <v>I12489</v>
      </c>
    </row>
    <row r="14024" spans="1:6" x14ac:dyDescent="0.2">
      <c r="A14024" s="29" t="s">
        <v>31574</v>
      </c>
      <c r="B14024" s="30" t="s">
        <v>31575</v>
      </c>
      <c r="C14024" s="29" t="s">
        <v>26</v>
      </c>
      <c r="D14024" s="31">
        <v>3432.77</v>
      </c>
      <c r="F14024" s="3" t="str">
        <f t="shared" si="219"/>
        <v>I12490</v>
      </c>
    </row>
    <row r="14025" spans="1:6" x14ac:dyDescent="0.2">
      <c r="A14025" s="29" t="s">
        <v>31576</v>
      </c>
      <c r="B14025" s="30" t="s">
        <v>31577</v>
      </c>
      <c r="C14025" s="29" t="s">
        <v>26</v>
      </c>
      <c r="D14025" s="31">
        <v>3938.04</v>
      </c>
      <c r="F14025" s="3" t="str">
        <f t="shared" si="219"/>
        <v>I12491</v>
      </c>
    </row>
    <row r="14026" spans="1:6" x14ac:dyDescent="0.2">
      <c r="A14026" s="29" t="s">
        <v>31578</v>
      </c>
      <c r="B14026" s="30" t="s">
        <v>31579</v>
      </c>
      <c r="C14026" s="29" t="s">
        <v>26</v>
      </c>
      <c r="D14026" s="31">
        <v>4005.65</v>
      </c>
      <c r="F14026" s="3" t="str">
        <f t="shared" si="219"/>
        <v>I12492</v>
      </c>
    </row>
    <row r="14027" spans="1:6" x14ac:dyDescent="0.2">
      <c r="A14027" s="29" t="s">
        <v>31580</v>
      </c>
      <c r="B14027" s="30" t="s">
        <v>31581</v>
      </c>
      <c r="C14027" s="29" t="s">
        <v>26</v>
      </c>
      <c r="D14027" s="31">
        <v>4048.11</v>
      </c>
      <c r="F14027" s="3" t="str">
        <f t="shared" si="219"/>
        <v>I12493</v>
      </c>
    </row>
    <row r="14028" spans="1:6" x14ac:dyDescent="0.2">
      <c r="A14028" s="29" t="s">
        <v>31582</v>
      </c>
      <c r="B14028" s="30" t="s">
        <v>31583</v>
      </c>
      <c r="C14028" s="29" t="s">
        <v>26</v>
      </c>
      <c r="D14028" s="31">
        <v>1723.31</v>
      </c>
      <c r="F14028" s="3" t="str">
        <f t="shared" si="219"/>
        <v>I12494</v>
      </c>
    </row>
    <row r="14029" spans="1:6" x14ac:dyDescent="0.2">
      <c r="A14029" s="29" t="s">
        <v>31584</v>
      </c>
      <c r="B14029" s="30" t="s">
        <v>31585</v>
      </c>
      <c r="C14029" s="29" t="s">
        <v>26</v>
      </c>
      <c r="D14029" s="31">
        <v>2078.33</v>
      </c>
      <c r="F14029" s="3" t="str">
        <f t="shared" si="219"/>
        <v>I12495</v>
      </c>
    </row>
    <row r="14030" spans="1:6" x14ac:dyDescent="0.2">
      <c r="A14030" s="29" t="s">
        <v>31586</v>
      </c>
      <c r="B14030" s="30" t="s">
        <v>31587</v>
      </c>
      <c r="C14030" s="29" t="s">
        <v>26</v>
      </c>
      <c r="D14030" s="31">
        <v>2433.84</v>
      </c>
      <c r="F14030" s="3" t="str">
        <f t="shared" si="219"/>
        <v>I12496</v>
      </c>
    </row>
    <row r="14031" spans="1:6" x14ac:dyDescent="0.2">
      <c r="A14031" s="29" t="s">
        <v>31588</v>
      </c>
      <c r="B14031" s="30" t="s">
        <v>31589</v>
      </c>
      <c r="C14031" s="29" t="s">
        <v>26</v>
      </c>
      <c r="D14031" s="31">
        <v>2787.02</v>
      </c>
      <c r="F14031" s="3" t="str">
        <f t="shared" si="219"/>
        <v>I12497</v>
      </c>
    </row>
    <row r="14032" spans="1:6" x14ac:dyDescent="0.2">
      <c r="A14032" s="29" t="s">
        <v>31590</v>
      </c>
      <c r="B14032" s="30" t="s">
        <v>31591</v>
      </c>
      <c r="C14032" s="29" t="s">
        <v>26</v>
      </c>
      <c r="D14032" s="31">
        <v>3142.27</v>
      </c>
      <c r="F14032" s="3" t="str">
        <f t="shared" si="219"/>
        <v>I12498</v>
      </c>
    </row>
    <row r="14033" spans="1:6" x14ac:dyDescent="0.2">
      <c r="A14033" s="29" t="s">
        <v>31592</v>
      </c>
      <c r="B14033" s="30" t="s">
        <v>31593</v>
      </c>
      <c r="C14033" s="29" t="s">
        <v>26</v>
      </c>
      <c r="D14033" s="31">
        <v>3495.06</v>
      </c>
      <c r="F14033" s="3" t="str">
        <f t="shared" si="219"/>
        <v>I12499</v>
      </c>
    </row>
    <row r="14034" spans="1:6" x14ac:dyDescent="0.2">
      <c r="A14034" s="29" t="s">
        <v>31594</v>
      </c>
      <c r="B14034" s="30" t="s">
        <v>31595</v>
      </c>
      <c r="C14034" s="29" t="s">
        <v>26</v>
      </c>
      <c r="D14034" s="31">
        <v>3850.59</v>
      </c>
      <c r="F14034" s="3" t="str">
        <f t="shared" si="219"/>
        <v>I12500</v>
      </c>
    </row>
    <row r="14035" spans="1:6" x14ac:dyDescent="0.2">
      <c r="A14035" s="29" t="s">
        <v>31596</v>
      </c>
      <c r="B14035" s="30" t="s">
        <v>31597</v>
      </c>
      <c r="C14035" s="29" t="s">
        <v>26</v>
      </c>
      <c r="D14035" s="31">
        <v>4206.1499999999996</v>
      </c>
      <c r="F14035" s="3" t="str">
        <f t="shared" si="219"/>
        <v>I12501</v>
      </c>
    </row>
    <row r="14036" spans="1:6" x14ac:dyDescent="0.2">
      <c r="A14036" s="29" t="s">
        <v>31598</v>
      </c>
      <c r="B14036" s="30" t="s">
        <v>31599</v>
      </c>
      <c r="C14036" s="29" t="s">
        <v>26</v>
      </c>
      <c r="D14036" s="31">
        <v>4829.37</v>
      </c>
      <c r="F14036" s="3" t="str">
        <f t="shared" si="219"/>
        <v>I12502</v>
      </c>
    </row>
    <row r="14037" spans="1:6" x14ac:dyDescent="0.2">
      <c r="A14037" s="29" t="s">
        <v>31600</v>
      </c>
      <c r="B14037" s="30" t="s">
        <v>31601</v>
      </c>
      <c r="C14037" s="29" t="s">
        <v>26</v>
      </c>
      <c r="D14037" s="31">
        <v>4917</v>
      </c>
      <c r="F14037" s="3" t="str">
        <f t="shared" si="219"/>
        <v>I12503</v>
      </c>
    </row>
    <row r="14038" spans="1:6" x14ac:dyDescent="0.2">
      <c r="A14038" s="29" t="s">
        <v>31602</v>
      </c>
      <c r="B14038" s="30" t="s">
        <v>31603</v>
      </c>
      <c r="C14038" s="29" t="s">
        <v>26</v>
      </c>
      <c r="D14038" s="31">
        <v>4969.59</v>
      </c>
      <c r="F14038" s="3" t="str">
        <f t="shared" si="219"/>
        <v>I12504</v>
      </c>
    </row>
    <row r="14039" spans="1:6" x14ac:dyDescent="0.2">
      <c r="A14039" s="29" t="s">
        <v>31604</v>
      </c>
      <c r="B14039" s="30" t="s">
        <v>31605</v>
      </c>
      <c r="C14039" s="29" t="s">
        <v>26</v>
      </c>
      <c r="D14039" s="31">
        <v>2058.61</v>
      </c>
      <c r="F14039" s="3" t="str">
        <f t="shared" si="219"/>
        <v>I12505</v>
      </c>
    </row>
    <row r="14040" spans="1:6" x14ac:dyDescent="0.2">
      <c r="A14040" s="29" t="s">
        <v>31606</v>
      </c>
      <c r="B14040" s="30" t="s">
        <v>31607</v>
      </c>
      <c r="C14040" s="29" t="s">
        <v>26</v>
      </c>
      <c r="D14040" s="31">
        <v>2468.46</v>
      </c>
      <c r="F14040" s="3" t="str">
        <f t="shared" si="219"/>
        <v>I12506</v>
      </c>
    </row>
    <row r="14041" spans="1:6" x14ac:dyDescent="0.2">
      <c r="A14041" s="29" t="s">
        <v>31608</v>
      </c>
      <c r="B14041" s="30" t="s">
        <v>31609</v>
      </c>
      <c r="C14041" s="29" t="s">
        <v>26</v>
      </c>
      <c r="D14041" s="31">
        <v>3288.36</v>
      </c>
      <c r="F14041" s="3" t="str">
        <f t="shared" si="219"/>
        <v>I12507</v>
      </c>
    </row>
    <row r="14042" spans="1:6" x14ac:dyDescent="0.2">
      <c r="A14042" s="29" t="s">
        <v>31610</v>
      </c>
      <c r="B14042" s="30" t="s">
        <v>31611</v>
      </c>
      <c r="C14042" s="29" t="s">
        <v>26</v>
      </c>
      <c r="D14042" s="31">
        <v>3698.31</v>
      </c>
      <c r="F14042" s="3" t="str">
        <f t="shared" si="219"/>
        <v>I12508</v>
      </c>
    </row>
    <row r="14043" spans="1:6" x14ac:dyDescent="0.2">
      <c r="A14043" s="29" t="s">
        <v>31612</v>
      </c>
      <c r="B14043" s="30" t="s">
        <v>31613</v>
      </c>
      <c r="C14043" s="29" t="s">
        <v>26</v>
      </c>
      <c r="D14043" s="31">
        <v>5645.32</v>
      </c>
      <c r="F14043" s="3" t="str">
        <f t="shared" si="219"/>
        <v>I12509</v>
      </c>
    </row>
    <row r="14044" spans="1:6" x14ac:dyDescent="0.2">
      <c r="A14044" s="29" t="s">
        <v>31614</v>
      </c>
      <c r="B14044" s="30" t="s">
        <v>31615</v>
      </c>
      <c r="C14044" s="29" t="s">
        <v>26</v>
      </c>
      <c r="D14044" s="31">
        <v>5750.7</v>
      </c>
      <c r="F14044" s="3" t="str">
        <f t="shared" si="219"/>
        <v>I12510</v>
      </c>
    </row>
    <row r="14045" spans="1:6" x14ac:dyDescent="0.2">
      <c r="A14045" s="29" t="s">
        <v>31616</v>
      </c>
      <c r="B14045" s="30" t="s">
        <v>31617</v>
      </c>
      <c r="C14045" s="29" t="s">
        <v>26</v>
      </c>
      <c r="D14045" s="31">
        <v>5814.5</v>
      </c>
      <c r="F14045" s="3" t="str">
        <f t="shared" si="219"/>
        <v>I12511</v>
      </c>
    </row>
    <row r="14046" spans="1:6" x14ac:dyDescent="0.2">
      <c r="A14046" s="29" t="s">
        <v>31618</v>
      </c>
      <c r="B14046" s="30" t="s">
        <v>31619</v>
      </c>
      <c r="C14046" s="29" t="s">
        <v>26</v>
      </c>
      <c r="D14046" s="31">
        <v>2264.2800000000002</v>
      </c>
      <c r="F14046" s="3" t="str">
        <f t="shared" si="219"/>
        <v>I12512</v>
      </c>
    </row>
    <row r="14047" spans="1:6" x14ac:dyDescent="0.2">
      <c r="A14047" s="29" t="s">
        <v>31620</v>
      </c>
      <c r="B14047" s="30" t="s">
        <v>31621</v>
      </c>
      <c r="C14047" s="29" t="s">
        <v>26</v>
      </c>
      <c r="D14047" s="31">
        <v>2719.53</v>
      </c>
      <c r="F14047" s="3" t="str">
        <f t="shared" si="219"/>
        <v>I12513</v>
      </c>
    </row>
    <row r="14048" spans="1:6" x14ac:dyDescent="0.2">
      <c r="A14048" s="29" t="s">
        <v>31622</v>
      </c>
      <c r="B14048" s="30" t="s">
        <v>31623</v>
      </c>
      <c r="C14048" s="29" t="s">
        <v>26</v>
      </c>
      <c r="D14048" s="31">
        <v>3174.74</v>
      </c>
      <c r="F14048" s="3" t="str">
        <f t="shared" si="219"/>
        <v>I12514</v>
      </c>
    </row>
    <row r="14049" spans="1:6" x14ac:dyDescent="0.2">
      <c r="A14049" s="29" t="s">
        <v>31624</v>
      </c>
      <c r="B14049" s="30" t="s">
        <v>31625</v>
      </c>
      <c r="C14049" s="29" t="s">
        <v>26</v>
      </c>
      <c r="D14049" s="31">
        <v>3629.98</v>
      </c>
      <c r="F14049" s="3" t="str">
        <f t="shared" si="219"/>
        <v>I12515</v>
      </c>
    </row>
    <row r="14050" spans="1:6" x14ac:dyDescent="0.2">
      <c r="A14050" s="29" t="s">
        <v>31626</v>
      </c>
      <c r="B14050" s="30" t="s">
        <v>31627</v>
      </c>
      <c r="C14050" s="29" t="s">
        <v>26</v>
      </c>
      <c r="D14050" s="31">
        <v>4085.18</v>
      </c>
      <c r="F14050" s="3" t="str">
        <f t="shared" si="219"/>
        <v>I12516</v>
      </c>
    </row>
    <row r="14051" spans="1:6" x14ac:dyDescent="0.2">
      <c r="A14051" s="29" t="s">
        <v>31628</v>
      </c>
      <c r="B14051" s="30" t="s">
        <v>31629</v>
      </c>
      <c r="C14051" s="29" t="s">
        <v>26</v>
      </c>
      <c r="D14051" s="31">
        <v>4540.41</v>
      </c>
      <c r="F14051" s="3" t="str">
        <f t="shared" si="219"/>
        <v>I12517</v>
      </c>
    </row>
    <row r="14052" spans="1:6" x14ac:dyDescent="0.2">
      <c r="A14052" s="29" t="s">
        <v>31630</v>
      </c>
      <c r="B14052" s="30" t="s">
        <v>31631</v>
      </c>
      <c r="C14052" s="29" t="s">
        <v>26</v>
      </c>
      <c r="D14052" s="31">
        <v>4995.66</v>
      </c>
      <c r="F14052" s="3" t="str">
        <f t="shared" si="219"/>
        <v>I12518</v>
      </c>
    </row>
    <row r="14053" spans="1:6" x14ac:dyDescent="0.2">
      <c r="A14053" s="29" t="s">
        <v>31632</v>
      </c>
      <c r="B14053" s="30" t="s">
        <v>31633</v>
      </c>
      <c r="C14053" s="29" t="s">
        <v>26</v>
      </c>
      <c r="D14053" s="31">
        <v>5449.87</v>
      </c>
      <c r="F14053" s="3" t="str">
        <f t="shared" si="219"/>
        <v>I12519</v>
      </c>
    </row>
    <row r="14054" spans="1:6" x14ac:dyDescent="0.2">
      <c r="A14054" s="29" t="s">
        <v>31634</v>
      </c>
      <c r="B14054" s="30" t="s">
        <v>31635</v>
      </c>
      <c r="C14054" s="29" t="s">
        <v>26</v>
      </c>
      <c r="D14054" s="31">
        <v>6240.05</v>
      </c>
      <c r="F14054" s="3" t="str">
        <f t="shared" si="219"/>
        <v>I12520</v>
      </c>
    </row>
    <row r="14055" spans="1:6" x14ac:dyDescent="0.2">
      <c r="A14055" s="29" t="s">
        <v>31636</v>
      </c>
      <c r="B14055" s="30" t="s">
        <v>31637</v>
      </c>
      <c r="C14055" s="29" t="s">
        <v>26</v>
      </c>
      <c r="D14055" s="31">
        <v>6364.42</v>
      </c>
      <c r="F14055" s="3" t="str">
        <f t="shared" si="219"/>
        <v>I12521</v>
      </c>
    </row>
    <row r="14056" spans="1:6" x14ac:dyDescent="0.2">
      <c r="A14056" s="29" t="s">
        <v>31638</v>
      </c>
      <c r="B14056" s="30" t="s">
        <v>31639</v>
      </c>
      <c r="C14056" s="29" t="s">
        <v>26</v>
      </c>
      <c r="D14056" s="31">
        <v>6438.98</v>
      </c>
      <c r="F14056" s="3" t="str">
        <f t="shared" si="219"/>
        <v>I12522</v>
      </c>
    </row>
    <row r="14057" spans="1:6" x14ac:dyDescent="0.2">
      <c r="A14057" s="29" t="s">
        <v>31640</v>
      </c>
      <c r="B14057" s="30" t="s">
        <v>31641</v>
      </c>
      <c r="C14057" s="29" t="s">
        <v>26</v>
      </c>
      <c r="D14057" s="31">
        <v>3264.49</v>
      </c>
      <c r="F14057" s="3" t="str">
        <f t="shared" si="219"/>
        <v>I12523</v>
      </c>
    </row>
    <row r="14058" spans="1:6" x14ac:dyDescent="0.2">
      <c r="A14058" s="29" t="s">
        <v>31642</v>
      </c>
      <c r="B14058" s="30" t="s">
        <v>31643</v>
      </c>
      <c r="C14058" s="29" t="s">
        <v>26</v>
      </c>
      <c r="D14058" s="31">
        <v>5435.91</v>
      </c>
      <c r="F14058" s="3" t="str">
        <f t="shared" si="219"/>
        <v>I12524</v>
      </c>
    </row>
    <row r="14059" spans="1:6" x14ac:dyDescent="0.2">
      <c r="A14059" s="29" t="s">
        <v>31644</v>
      </c>
      <c r="B14059" s="30" t="s">
        <v>31645</v>
      </c>
      <c r="C14059" s="29" t="s">
        <v>26</v>
      </c>
      <c r="D14059" s="31">
        <v>7645.49</v>
      </c>
      <c r="F14059" s="3" t="str">
        <f t="shared" si="219"/>
        <v>I12525</v>
      </c>
    </row>
    <row r="14060" spans="1:6" x14ac:dyDescent="0.2">
      <c r="A14060" s="29" t="s">
        <v>31646</v>
      </c>
      <c r="B14060" s="30" t="s">
        <v>31647</v>
      </c>
      <c r="C14060" s="29" t="s">
        <v>26</v>
      </c>
      <c r="D14060" s="31">
        <v>2979.53</v>
      </c>
      <c r="F14060" s="3" t="str">
        <f t="shared" si="219"/>
        <v>I12526</v>
      </c>
    </row>
    <row r="14061" spans="1:6" x14ac:dyDescent="0.2">
      <c r="A14061" s="29" t="s">
        <v>31648</v>
      </c>
      <c r="B14061" s="30" t="s">
        <v>31649</v>
      </c>
      <c r="C14061" s="29" t="s">
        <v>26</v>
      </c>
      <c r="D14061" s="31">
        <v>3576.31</v>
      </c>
      <c r="F14061" s="3" t="str">
        <f t="shared" si="219"/>
        <v>I12527</v>
      </c>
    </row>
    <row r="14062" spans="1:6" x14ac:dyDescent="0.2">
      <c r="A14062" s="29" t="s">
        <v>31650</v>
      </c>
      <c r="B14062" s="30" t="s">
        <v>31651</v>
      </c>
      <c r="C14062" s="29" t="s">
        <v>26</v>
      </c>
      <c r="D14062" s="31">
        <v>4173.41</v>
      </c>
      <c r="F14062" s="3" t="str">
        <f t="shared" si="219"/>
        <v>I12528</v>
      </c>
    </row>
    <row r="14063" spans="1:6" x14ac:dyDescent="0.2">
      <c r="A14063" s="29" t="s">
        <v>31652</v>
      </c>
      <c r="B14063" s="30" t="s">
        <v>31653</v>
      </c>
      <c r="C14063" s="29" t="s">
        <v>26</v>
      </c>
      <c r="D14063" s="31">
        <v>4773.13</v>
      </c>
      <c r="F14063" s="3" t="str">
        <f t="shared" si="219"/>
        <v>I12529</v>
      </c>
    </row>
    <row r="14064" spans="1:6" x14ac:dyDescent="0.2">
      <c r="A14064" s="29" t="s">
        <v>31654</v>
      </c>
      <c r="B14064" s="30" t="s">
        <v>31655</v>
      </c>
      <c r="C14064" s="29" t="s">
        <v>26</v>
      </c>
      <c r="D14064" s="31">
        <v>5370.12</v>
      </c>
      <c r="F14064" s="3" t="str">
        <f t="shared" si="219"/>
        <v>I12530</v>
      </c>
    </row>
    <row r="14065" spans="1:6" x14ac:dyDescent="0.2">
      <c r="A14065" s="29" t="s">
        <v>31656</v>
      </c>
      <c r="B14065" s="30" t="s">
        <v>31657</v>
      </c>
      <c r="C14065" s="29" t="s">
        <v>26</v>
      </c>
      <c r="D14065" s="31">
        <v>5967.17</v>
      </c>
      <c r="F14065" s="3" t="str">
        <f t="shared" si="219"/>
        <v>I12531</v>
      </c>
    </row>
    <row r="14066" spans="1:6" x14ac:dyDescent="0.2">
      <c r="A14066" s="29" t="s">
        <v>31658</v>
      </c>
      <c r="B14066" s="30" t="s">
        <v>31659</v>
      </c>
      <c r="C14066" s="29" t="s">
        <v>26</v>
      </c>
      <c r="D14066" s="31">
        <v>6564.23</v>
      </c>
      <c r="F14066" s="3" t="str">
        <f t="shared" si="219"/>
        <v>I12532</v>
      </c>
    </row>
    <row r="14067" spans="1:6" x14ac:dyDescent="0.2">
      <c r="A14067" s="29" t="s">
        <v>31660</v>
      </c>
      <c r="B14067" s="30" t="s">
        <v>31661</v>
      </c>
      <c r="C14067" s="29" t="s">
        <v>26</v>
      </c>
      <c r="D14067" s="31">
        <v>7163.94</v>
      </c>
      <c r="F14067" s="3" t="str">
        <f t="shared" si="219"/>
        <v>I12533</v>
      </c>
    </row>
    <row r="14068" spans="1:6" x14ac:dyDescent="0.2">
      <c r="A14068" s="29" t="s">
        <v>31662</v>
      </c>
      <c r="B14068" s="30" t="s">
        <v>31663</v>
      </c>
      <c r="C14068" s="29" t="s">
        <v>26</v>
      </c>
      <c r="D14068" s="31">
        <v>8193.59</v>
      </c>
      <c r="F14068" s="3" t="str">
        <f t="shared" si="219"/>
        <v>I12534</v>
      </c>
    </row>
    <row r="14069" spans="1:6" x14ac:dyDescent="0.2">
      <c r="A14069" s="29" t="s">
        <v>31664</v>
      </c>
      <c r="B14069" s="30" t="s">
        <v>31665</v>
      </c>
      <c r="C14069" s="29" t="s">
        <v>26</v>
      </c>
      <c r="D14069" s="31">
        <v>8361.9599999999991</v>
      </c>
      <c r="F14069" s="3" t="str">
        <f t="shared" si="219"/>
        <v>I12535</v>
      </c>
    </row>
    <row r="14070" spans="1:6" x14ac:dyDescent="0.2">
      <c r="A14070" s="29" t="s">
        <v>31666</v>
      </c>
      <c r="B14070" s="30" t="s">
        <v>31667</v>
      </c>
      <c r="C14070" s="29" t="s">
        <v>26</v>
      </c>
      <c r="D14070" s="31">
        <v>8464.08</v>
      </c>
      <c r="F14070" s="3" t="str">
        <f t="shared" si="219"/>
        <v>I12536</v>
      </c>
    </row>
    <row r="14071" spans="1:6" x14ac:dyDescent="0.2">
      <c r="A14071" s="29" t="s">
        <v>31668</v>
      </c>
      <c r="B14071" s="30" t="s">
        <v>31669</v>
      </c>
      <c r="C14071" s="29" t="s">
        <v>26</v>
      </c>
      <c r="D14071" s="31">
        <v>3754.17</v>
      </c>
      <c r="F14071" s="3" t="str">
        <f t="shared" si="219"/>
        <v>I12537</v>
      </c>
    </row>
    <row r="14072" spans="1:6" x14ac:dyDescent="0.2">
      <c r="A14072" s="29" t="s">
        <v>31670</v>
      </c>
      <c r="B14072" s="30" t="s">
        <v>31671</v>
      </c>
      <c r="C14072" s="29" t="s">
        <v>26</v>
      </c>
      <c r="D14072" s="31">
        <v>4546.84</v>
      </c>
      <c r="F14072" s="3" t="str">
        <f t="shared" si="219"/>
        <v>I12538</v>
      </c>
    </row>
    <row r="14073" spans="1:6" x14ac:dyDescent="0.2">
      <c r="A14073" s="29" t="s">
        <v>31672</v>
      </c>
      <c r="B14073" s="30" t="s">
        <v>31673</v>
      </c>
      <c r="C14073" s="29" t="s">
        <v>26</v>
      </c>
      <c r="D14073" s="31">
        <v>5342.48</v>
      </c>
      <c r="F14073" s="3" t="str">
        <f t="shared" si="219"/>
        <v>I12539</v>
      </c>
    </row>
    <row r="14074" spans="1:6" x14ac:dyDescent="0.2">
      <c r="A14074" s="29" t="s">
        <v>31674</v>
      </c>
      <c r="B14074" s="30" t="s">
        <v>31675</v>
      </c>
      <c r="C14074" s="29" t="s">
        <v>26</v>
      </c>
      <c r="D14074" s="31">
        <v>6135.38</v>
      </c>
      <c r="F14074" s="3" t="str">
        <f t="shared" si="219"/>
        <v>I12540</v>
      </c>
    </row>
    <row r="14075" spans="1:6" x14ac:dyDescent="0.2">
      <c r="A14075" s="29" t="s">
        <v>31676</v>
      </c>
      <c r="B14075" s="30" t="s">
        <v>31677</v>
      </c>
      <c r="C14075" s="29" t="s">
        <v>26</v>
      </c>
      <c r="D14075" s="31">
        <v>6930.98</v>
      </c>
      <c r="F14075" s="3" t="str">
        <f t="shared" si="219"/>
        <v>I12541</v>
      </c>
    </row>
    <row r="14076" spans="1:6" x14ac:dyDescent="0.2">
      <c r="A14076" s="29" t="s">
        <v>31678</v>
      </c>
      <c r="B14076" s="30" t="s">
        <v>31679</v>
      </c>
      <c r="C14076" s="29" t="s">
        <v>26</v>
      </c>
      <c r="D14076" s="31">
        <v>7724.28</v>
      </c>
      <c r="F14076" s="3" t="str">
        <f t="shared" si="219"/>
        <v>I12542</v>
      </c>
    </row>
    <row r="14077" spans="1:6" x14ac:dyDescent="0.2">
      <c r="A14077" s="29" t="s">
        <v>31680</v>
      </c>
      <c r="B14077" s="30" t="s">
        <v>31681</v>
      </c>
      <c r="C14077" s="29" t="s">
        <v>26</v>
      </c>
      <c r="D14077" s="31">
        <v>8516.94</v>
      </c>
      <c r="F14077" s="3" t="str">
        <f t="shared" si="219"/>
        <v>I12543</v>
      </c>
    </row>
    <row r="14078" spans="1:6" x14ac:dyDescent="0.2">
      <c r="A14078" s="29" t="s">
        <v>31682</v>
      </c>
      <c r="B14078" s="30" t="s">
        <v>31683</v>
      </c>
      <c r="C14078" s="29" t="s">
        <v>26</v>
      </c>
      <c r="D14078" s="31">
        <v>9312.6</v>
      </c>
      <c r="F14078" s="3" t="str">
        <f t="shared" si="219"/>
        <v>I12544</v>
      </c>
    </row>
    <row r="14079" spans="1:6" x14ac:dyDescent="0.2">
      <c r="A14079" s="29" t="s">
        <v>31684</v>
      </c>
      <c r="B14079" s="30" t="s">
        <v>31685</v>
      </c>
      <c r="C14079" s="29" t="s">
        <v>26</v>
      </c>
      <c r="D14079" s="31">
        <v>10687.84</v>
      </c>
      <c r="F14079" s="3" t="str">
        <f t="shared" si="219"/>
        <v>I12545</v>
      </c>
    </row>
    <row r="14080" spans="1:6" x14ac:dyDescent="0.2">
      <c r="A14080" s="29" t="s">
        <v>31686</v>
      </c>
      <c r="B14080" s="30" t="s">
        <v>31687</v>
      </c>
      <c r="C14080" s="29" t="s">
        <v>26</v>
      </c>
      <c r="D14080" s="31">
        <v>11035.21</v>
      </c>
      <c r="F14080" s="3" t="str">
        <f t="shared" si="219"/>
        <v>I12546</v>
      </c>
    </row>
    <row r="14081" spans="1:6" x14ac:dyDescent="0.2">
      <c r="A14081" s="29" t="s">
        <v>31688</v>
      </c>
      <c r="B14081" s="30" t="s">
        <v>31689</v>
      </c>
      <c r="C14081" s="29" t="s">
        <v>26</v>
      </c>
      <c r="D14081" s="31">
        <v>8139.75</v>
      </c>
      <c r="F14081" s="3" t="str">
        <f t="shared" si="219"/>
        <v>I12547</v>
      </c>
    </row>
    <row r="14082" spans="1:6" x14ac:dyDescent="0.2">
      <c r="A14082" s="29" t="s">
        <v>31690</v>
      </c>
      <c r="B14082" s="30" t="s">
        <v>31691</v>
      </c>
      <c r="C14082" s="29" t="s">
        <v>26</v>
      </c>
      <c r="D14082" s="31">
        <v>9506.61</v>
      </c>
      <c r="F14082" s="3" t="str">
        <f t="shared" ref="F14082:F14145" si="220">A14082</f>
        <v>I12548</v>
      </c>
    </row>
    <row r="14083" spans="1:6" x14ac:dyDescent="0.2">
      <c r="A14083" s="29" t="s">
        <v>31692</v>
      </c>
      <c r="B14083" s="30" t="s">
        <v>31693</v>
      </c>
      <c r="C14083" s="29" t="s">
        <v>26</v>
      </c>
      <c r="D14083" s="31">
        <v>10876.16</v>
      </c>
      <c r="F14083" s="3" t="str">
        <f t="shared" si="220"/>
        <v>I12549</v>
      </c>
    </row>
    <row r="14084" spans="1:6" x14ac:dyDescent="0.2">
      <c r="A14084" s="29" t="s">
        <v>31694</v>
      </c>
      <c r="B14084" s="30" t="s">
        <v>31695</v>
      </c>
      <c r="C14084" s="29" t="s">
        <v>26</v>
      </c>
      <c r="D14084" s="31">
        <v>17718.46</v>
      </c>
      <c r="F14084" s="3" t="str">
        <f t="shared" si="220"/>
        <v>I12550</v>
      </c>
    </row>
    <row r="14085" spans="1:6" x14ac:dyDescent="0.2">
      <c r="A14085" s="29" t="s">
        <v>31696</v>
      </c>
      <c r="B14085" s="30" t="s">
        <v>31697</v>
      </c>
      <c r="C14085" s="29" t="s">
        <v>26</v>
      </c>
      <c r="D14085" s="31">
        <v>22678.42</v>
      </c>
      <c r="F14085" s="3" t="str">
        <f t="shared" si="220"/>
        <v>I12551</v>
      </c>
    </row>
    <row r="14086" spans="1:6" x14ac:dyDescent="0.2">
      <c r="A14086" s="29" t="s">
        <v>31698</v>
      </c>
      <c r="B14086" s="30" t="s">
        <v>31699</v>
      </c>
      <c r="C14086" s="29" t="s">
        <v>26</v>
      </c>
      <c r="D14086" s="31">
        <v>23244.02</v>
      </c>
      <c r="F14086" s="3" t="str">
        <f t="shared" si="220"/>
        <v>I12552</v>
      </c>
    </row>
    <row r="14087" spans="1:6" x14ac:dyDescent="0.2">
      <c r="A14087" s="29" t="s">
        <v>31700</v>
      </c>
      <c r="B14087" s="30" t="s">
        <v>31701</v>
      </c>
      <c r="C14087" s="29" t="s">
        <v>26</v>
      </c>
      <c r="D14087" s="31">
        <v>9767.7199999999993</v>
      </c>
      <c r="F14087" s="3" t="str">
        <f t="shared" si="220"/>
        <v>I12553</v>
      </c>
    </row>
    <row r="14088" spans="1:6" x14ac:dyDescent="0.2">
      <c r="A14088" s="29" t="s">
        <v>31702</v>
      </c>
      <c r="B14088" s="30" t="s">
        <v>31703</v>
      </c>
      <c r="C14088" s="29" t="s">
        <v>26</v>
      </c>
      <c r="D14088" s="31">
        <v>11362.09</v>
      </c>
      <c r="F14088" s="3" t="str">
        <f t="shared" si="220"/>
        <v>I12554</v>
      </c>
    </row>
    <row r="14089" spans="1:6" x14ac:dyDescent="0.2">
      <c r="A14089" s="29" t="s">
        <v>31704</v>
      </c>
      <c r="B14089" s="30" t="s">
        <v>31705</v>
      </c>
      <c r="C14089" s="29" t="s">
        <v>26</v>
      </c>
      <c r="D14089" s="31">
        <v>13007.3</v>
      </c>
      <c r="F14089" s="3" t="str">
        <f t="shared" si="220"/>
        <v>I12555</v>
      </c>
    </row>
    <row r="14090" spans="1:6" x14ac:dyDescent="0.2">
      <c r="A14090" s="29" t="s">
        <v>31706</v>
      </c>
      <c r="B14090" s="30" t="s">
        <v>31707</v>
      </c>
      <c r="C14090" s="29" t="s">
        <v>26</v>
      </c>
      <c r="D14090" s="31">
        <v>14652.48</v>
      </c>
      <c r="F14090" s="3" t="str">
        <f t="shared" si="220"/>
        <v>I12556</v>
      </c>
    </row>
    <row r="14091" spans="1:6" x14ac:dyDescent="0.2">
      <c r="A14091" s="29" t="s">
        <v>31708</v>
      </c>
      <c r="B14091" s="30" t="s">
        <v>31709</v>
      </c>
      <c r="C14091" s="29" t="s">
        <v>26</v>
      </c>
      <c r="D14091" s="31">
        <v>16297.74</v>
      </c>
      <c r="F14091" s="3" t="str">
        <f t="shared" si="220"/>
        <v>I12557</v>
      </c>
    </row>
    <row r="14092" spans="1:6" x14ac:dyDescent="0.2">
      <c r="A14092" s="29" t="s">
        <v>31710</v>
      </c>
      <c r="B14092" s="30" t="s">
        <v>31711</v>
      </c>
      <c r="C14092" s="29" t="s">
        <v>26</v>
      </c>
      <c r="D14092" s="31">
        <v>17942.96</v>
      </c>
      <c r="F14092" s="3" t="str">
        <f t="shared" si="220"/>
        <v>I12558</v>
      </c>
    </row>
    <row r="14093" spans="1:6" x14ac:dyDescent="0.2">
      <c r="A14093" s="29" t="s">
        <v>31712</v>
      </c>
      <c r="B14093" s="30" t="s">
        <v>31713</v>
      </c>
      <c r="C14093" s="29" t="s">
        <v>26</v>
      </c>
      <c r="D14093" s="31">
        <v>19588.22</v>
      </c>
      <c r="F14093" s="3" t="str">
        <f t="shared" si="220"/>
        <v>I12559</v>
      </c>
    </row>
    <row r="14094" spans="1:6" x14ac:dyDescent="0.2">
      <c r="A14094" s="29" t="s">
        <v>31714</v>
      </c>
      <c r="B14094" s="30" t="s">
        <v>31715</v>
      </c>
      <c r="C14094" s="29" t="s">
        <v>26</v>
      </c>
      <c r="D14094" s="31">
        <v>21233.48</v>
      </c>
      <c r="F14094" s="3" t="str">
        <f t="shared" si="220"/>
        <v>I12560</v>
      </c>
    </row>
    <row r="14095" spans="1:6" x14ac:dyDescent="0.2">
      <c r="A14095" s="29" t="s">
        <v>31716</v>
      </c>
      <c r="B14095" s="30" t="s">
        <v>31717</v>
      </c>
      <c r="C14095" s="29" t="s">
        <v>26</v>
      </c>
      <c r="D14095" s="31">
        <v>22878.69</v>
      </c>
      <c r="F14095" s="3" t="str">
        <f t="shared" si="220"/>
        <v>I12561</v>
      </c>
    </row>
    <row r="14096" spans="1:6" x14ac:dyDescent="0.2">
      <c r="A14096" s="29" t="s">
        <v>31718</v>
      </c>
      <c r="B14096" s="30" t="s">
        <v>31719</v>
      </c>
      <c r="C14096" s="29" t="s">
        <v>26</v>
      </c>
      <c r="D14096" s="31">
        <v>24526.59</v>
      </c>
      <c r="F14096" s="3" t="str">
        <f t="shared" si="220"/>
        <v>I12562</v>
      </c>
    </row>
    <row r="14097" spans="1:6" x14ac:dyDescent="0.2">
      <c r="A14097" s="29" t="s">
        <v>31720</v>
      </c>
      <c r="B14097" s="30" t="s">
        <v>31721</v>
      </c>
      <c r="C14097" s="29" t="s">
        <v>26</v>
      </c>
      <c r="D14097" s="31">
        <v>27197.24</v>
      </c>
      <c r="F14097" s="3" t="str">
        <f t="shared" si="220"/>
        <v>I12563</v>
      </c>
    </row>
    <row r="14098" spans="1:6" x14ac:dyDescent="0.2">
      <c r="A14098" s="29" t="s">
        <v>31722</v>
      </c>
      <c r="B14098" s="30" t="s">
        <v>31723</v>
      </c>
      <c r="C14098" s="29" t="s">
        <v>26</v>
      </c>
      <c r="D14098" s="31">
        <v>27885.86</v>
      </c>
      <c r="F14098" s="3" t="str">
        <f t="shared" si="220"/>
        <v>I12564</v>
      </c>
    </row>
    <row r="14099" spans="1:6" x14ac:dyDescent="0.2">
      <c r="A14099" s="29" t="s">
        <v>31724</v>
      </c>
      <c r="B14099" s="30" t="s">
        <v>31725</v>
      </c>
      <c r="C14099" s="29" t="s">
        <v>26</v>
      </c>
      <c r="D14099" s="31">
        <v>13053.44</v>
      </c>
      <c r="F14099" s="3" t="str">
        <f t="shared" si="220"/>
        <v>I12565</v>
      </c>
    </row>
    <row r="14100" spans="1:6" x14ac:dyDescent="0.2">
      <c r="A14100" s="29" t="s">
        <v>31726</v>
      </c>
      <c r="B14100" s="30" t="s">
        <v>31727</v>
      </c>
      <c r="C14100" s="29" t="s">
        <v>26</v>
      </c>
      <c r="D14100" s="31">
        <v>15017.84</v>
      </c>
      <c r="F14100" s="3" t="str">
        <f t="shared" si="220"/>
        <v>I12566</v>
      </c>
    </row>
    <row r="14101" spans="1:6" x14ac:dyDescent="0.2">
      <c r="A14101" s="29" t="s">
        <v>31728</v>
      </c>
      <c r="B14101" s="30" t="s">
        <v>31729</v>
      </c>
      <c r="C14101" s="29" t="s">
        <v>26</v>
      </c>
      <c r="D14101" s="31">
        <v>16982.32</v>
      </c>
      <c r="F14101" s="3" t="str">
        <f t="shared" si="220"/>
        <v>I12567</v>
      </c>
    </row>
    <row r="14102" spans="1:6" x14ac:dyDescent="0.2">
      <c r="A14102" s="29" t="s">
        <v>31730</v>
      </c>
      <c r="B14102" s="30" t="s">
        <v>31731</v>
      </c>
      <c r="C14102" s="29" t="s">
        <v>26</v>
      </c>
      <c r="D14102" s="31">
        <v>716.05</v>
      </c>
      <c r="F14102" s="3" t="str">
        <f t="shared" si="220"/>
        <v>I6665</v>
      </c>
    </row>
    <row r="14103" spans="1:6" x14ac:dyDescent="0.2">
      <c r="A14103" s="29" t="s">
        <v>31732</v>
      </c>
      <c r="B14103" s="30" t="s">
        <v>31733</v>
      </c>
      <c r="C14103" s="29" t="s">
        <v>26</v>
      </c>
      <c r="D14103" s="31">
        <v>1172.17</v>
      </c>
      <c r="F14103" s="3" t="str">
        <f t="shared" si="220"/>
        <v>I4633</v>
      </c>
    </row>
    <row r="14104" spans="1:6" x14ac:dyDescent="0.2">
      <c r="A14104" s="29" t="s">
        <v>31734</v>
      </c>
      <c r="B14104" s="30" t="s">
        <v>31735</v>
      </c>
      <c r="C14104" s="29" t="s">
        <v>26</v>
      </c>
      <c r="D14104" s="31">
        <v>1395.67</v>
      </c>
      <c r="F14104" s="3" t="str">
        <f t="shared" si="220"/>
        <v>I4634</v>
      </c>
    </row>
    <row r="14105" spans="1:6" x14ac:dyDescent="0.2">
      <c r="A14105" s="29" t="s">
        <v>31736</v>
      </c>
      <c r="B14105" s="30" t="s">
        <v>31737</v>
      </c>
      <c r="C14105" s="29" t="s">
        <v>26</v>
      </c>
      <c r="D14105" s="31">
        <v>1623.67</v>
      </c>
      <c r="F14105" s="3" t="str">
        <f t="shared" si="220"/>
        <v>I4635</v>
      </c>
    </row>
    <row r="14106" spans="1:6" x14ac:dyDescent="0.2">
      <c r="A14106" s="29" t="s">
        <v>31738</v>
      </c>
      <c r="B14106" s="30" t="s">
        <v>31739</v>
      </c>
      <c r="C14106" s="29" t="s">
        <v>26</v>
      </c>
      <c r="D14106" s="31">
        <v>1847.22</v>
      </c>
      <c r="F14106" s="3" t="str">
        <f t="shared" si="220"/>
        <v>I4636</v>
      </c>
    </row>
    <row r="14107" spans="1:6" x14ac:dyDescent="0.2">
      <c r="A14107" s="29" t="s">
        <v>31740</v>
      </c>
      <c r="B14107" s="30" t="s">
        <v>31741</v>
      </c>
      <c r="C14107" s="29" t="s">
        <v>26</v>
      </c>
      <c r="D14107" s="31">
        <v>2070.6999999999998</v>
      </c>
      <c r="F14107" s="3" t="str">
        <f t="shared" si="220"/>
        <v>I4637</v>
      </c>
    </row>
    <row r="14108" spans="1:6" x14ac:dyDescent="0.2">
      <c r="A14108" s="29" t="s">
        <v>31742</v>
      </c>
      <c r="B14108" s="30" t="s">
        <v>31743</v>
      </c>
      <c r="C14108" s="29" t="s">
        <v>26</v>
      </c>
      <c r="D14108" s="31">
        <v>2294.1999999999998</v>
      </c>
      <c r="F14108" s="3" t="str">
        <f t="shared" si="220"/>
        <v>I4638</v>
      </c>
    </row>
    <row r="14109" spans="1:6" x14ac:dyDescent="0.2">
      <c r="A14109" s="29" t="s">
        <v>31744</v>
      </c>
      <c r="B14109" s="30" t="s">
        <v>31745</v>
      </c>
      <c r="C14109" s="29" t="s">
        <v>26</v>
      </c>
      <c r="D14109" s="31">
        <v>2517.7199999999998</v>
      </c>
      <c r="F14109" s="3" t="str">
        <f t="shared" si="220"/>
        <v>I4639</v>
      </c>
    </row>
    <row r="14110" spans="1:6" x14ac:dyDescent="0.2">
      <c r="A14110" s="29" t="s">
        <v>31746</v>
      </c>
      <c r="B14110" s="30" t="s">
        <v>31747</v>
      </c>
      <c r="C14110" s="29" t="s">
        <v>26</v>
      </c>
      <c r="D14110" s="31">
        <v>2741.07</v>
      </c>
      <c r="F14110" s="3" t="str">
        <f t="shared" si="220"/>
        <v>I4640</v>
      </c>
    </row>
    <row r="14111" spans="1:6" x14ac:dyDescent="0.2">
      <c r="A14111" s="29" t="s">
        <v>31748</v>
      </c>
      <c r="B14111" s="30" t="s">
        <v>31749</v>
      </c>
      <c r="C14111" s="29" t="s">
        <v>26</v>
      </c>
      <c r="D14111" s="31">
        <v>3156.94</v>
      </c>
      <c r="F14111" s="3" t="str">
        <f t="shared" si="220"/>
        <v>I4641</v>
      </c>
    </row>
    <row r="14112" spans="1:6" x14ac:dyDescent="0.2">
      <c r="A14112" s="29" t="s">
        <v>31750</v>
      </c>
      <c r="B14112" s="30" t="s">
        <v>31751</v>
      </c>
      <c r="C14112" s="29" t="s">
        <v>26</v>
      </c>
      <c r="D14112" s="31">
        <v>3194.47</v>
      </c>
      <c r="F14112" s="3" t="str">
        <f t="shared" si="220"/>
        <v>I4642</v>
      </c>
    </row>
    <row r="14113" spans="1:6" x14ac:dyDescent="0.2">
      <c r="A14113" s="29" t="s">
        <v>31752</v>
      </c>
      <c r="B14113" s="30" t="s">
        <v>31753</v>
      </c>
      <c r="C14113" s="29" t="s">
        <v>26</v>
      </c>
      <c r="D14113" s="31">
        <v>3213.3</v>
      </c>
      <c r="F14113" s="3" t="str">
        <f t="shared" si="220"/>
        <v>I4643</v>
      </c>
    </row>
    <row r="14114" spans="1:6" x14ac:dyDescent="0.2">
      <c r="A14114" s="29" t="s">
        <v>31754</v>
      </c>
      <c r="B14114" s="30" t="s">
        <v>31755</v>
      </c>
      <c r="C14114" s="29" t="s">
        <v>26</v>
      </c>
      <c r="D14114" s="31">
        <v>1172.17</v>
      </c>
      <c r="F14114" s="3" t="str">
        <f t="shared" si="220"/>
        <v>I7205</v>
      </c>
    </row>
    <row r="14115" spans="1:6" x14ac:dyDescent="0.2">
      <c r="A14115" s="29" t="s">
        <v>31756</v>
      </c>
      <c r="B14115" s="30" t="s">
        <v>31757</v>
      </c>
      <c r="C14115" s="29" t="s">
        <v>26</v>
      </c>
      <c r="D14115" s="31">
        <v>1395.67</v>
      </c>
      <c r="F14115" s="3" t="str">
        <f t="shared" si="220"/>
        <v>I7206</v>
      </c>
    </row>
    <row r="14116" spans="1:6" x14ac:dyDescent="0.2">
      <c r="A14116" s="29" t="s">
        <v>31758</v>
      </c>
      <c r="B14116" s="30" t="s">
        <v>31759</v>
      </c>
      <c r="C14116" s="29" t="s">
        <v>26</v>
      </c>
      <c r="D14116" s="31">
        <v>1623.67</v>
      </c>
      <c r="F14116" s="3" t="str">
        <f t="shared" si="220"/>
        <v>I7207</v>
      </c>
    </row>
    <row r="14117" spans="1:6" x14ac:dyDescent="0.2">
      <c r="A14117" s="29" t="s">
        <v>31760</v>
      </c>
      <c r="B14117" s="30" t="s">
        <v>31761</v>
      </c>
      <c r="C14117" s="29" t="s">
        <v>26</v>
      </c>
      <c r="D14117" s="31">
        <v>1847.22</v>
      </c>
      <c r="F14117" s="3" t="str">
        <f t="shared" si="220"/>
        <v>I7208</v>
      </c>
    </row>
    <row r="14118" spans="1:6" x14ac:dyDescent="0.2">
      <c r="A14118" s="29" t="s">
        <v>31762</v>
      </c>
      <c r="B14118" s="30" t="s">
        <v>31763</v>
      </c>
      <c r="C14118" s="29" t="s">
        <v>26</v>
      </c>
      <c r="D14118" s="31">
        <v>2070.6999999999998</v>
      </c>
      <c r="F14118" s="3" t="str">
        <f t="shared" si="220"/>
        <v>I7209</v>
      </c>
    </row>
    <row r="14119" spans="1:6" x14ac:dyDescent="0.2">
      <c r="A14119" s="29" t="s">
        <v>31764</v>
      </c>
      <c r="B14119" s="30" t="s">
        <v>31765</v>
      </c>
      <c r="C14119" s="29" t="s">
        <v>26</v>
      </c>
      <c r="D14119" s="31">
        <v>2294.1999999999998</v>
      </c>
      <c r="F14119" s="3" t="str">
        <f t="shared" si="220"/>
        <v>I7210</v>
      </c>
    </row>
    <row r="14120" spans="1:6" x14ac:dyDescent="0.2">
      <c r="A14120" s="29" t="s">
        <v>31766</v>
      </c>
      <c r="B14120" s="30" t="s">
        <v>31767</v>
      </c>
      <c r="C14120" s="29" t="s">
        <v>26</v>
      </c>
      <c r="D14120" s="31">
        <v>2517.7199999999998</v>
      </c>
      <c r="F14120" s="3" t="str">
        <f t="shared" si="220"/>
        <v>I7211</v>
      </c>
    </row>
    <row r="14121" spans="1:6" x14ac:dyDescent="0.2">
      <c r="A14121" s="29" t="s">
        <v>31768</v>
      </c>
      <c r="B14121" s="30" t="s">
        <v>31769</v>
      </c>
      <c r="C14121" s="29" t="s">
        <v>26</v>
      </c>
      <c r="D14121" s="31">
        <v>2741.07</v>
      </c>
      <c r="F14121" s="3" t="str">
        <f t="shared" si="220"/>
        <v>I7212</v>
      </c>
    </row>
    <row r="14122" spans="1:6" x14ac:dyDescent="0.2">
      <c r="A14122" s="29" t="s">
        <v>31770</v>
      </c>
      <c r="B14122" s="30" t="s">
        <v>31771</v>
      </c>
      <c r="C14122" s="29" t="s">
        <v>26</v>
      </c>
      <c r="D14122" s="31">
        <v>3156.94</v>
      </c>
      <c r="F14122" s="3" t="str">
        <f t="shared" si="220"/>
        <v>I7213</v>
      </c>
    </row>
    <row r="14123" spans="1:6" x14ac:dyDescent="0.2">
      <c r="A14123" s="29" t="s">
        <v>31772</v>
      </c>
      <c r="B14123" s="30" t="s">
        <v>31773</v>
      </c>
      <c r="C14123" s="29" t="s">
        <v>26</v>
      </c>
      <c r="D14123" s="31">
        <v>3194.47</v>
      </c>
      <c r="F14123" s="3" t="str">
        <f t="shared" si="220"/>
        <v>I7214</v>
      </c>
    </row>
    <row r="14124" spans="1:6" x14ac:dyDescent="0.2">
      <c r="A14124" s="29" t="s">
        <v>31774</v>
      </c>
      <c r="B14124" s="30" t="s">
        <v>31775</v>
      </c>
      <c r="C14124" s="29" t="s">
        <v>26</v>
      </c>
      <c r="D14124" s="31">
        <v>3213.3</v>
      </c>
      <c r="F14124" s="3" t="str">
        <f t="shared" si="220"/>
        <v>I7215</v>
      </c>
    </row>
    <row r="14125" spans="1:6" x14ac:dyDescent="0.2">
      <c r="A14125" s="29" t="s">
        <v>31776</v>
      </c>
      <c r="B14125" s="30" t="s">
        <v>31777</v>
      </c>
      <c r="C14125" s="29" t="s">
        <v>26</v>
      </c>
      <c r="D14125" s="31">
        <v>808.05</v>
      </c>
      <c r="F14125" s="3" t="str">
        <f t="shared" si="220"/>
        <v>I6666</v>
      </c>
    </row>
    <row r="14126" spans="1:6" x14ac:dyDescent="0.2">
      <c r="A14126" s="29" t="s">
        <v>31778</v>
      </c>
      <c r="B14126" s="30" t="s">
        <v>31779</v>
      </c>
      <c r="C14126" s="29" t="s">
        <v>26</v>
      </c>
      <c r="D14126" s="31">
        <v>1316.62</v>
      </c>
      <c r="F14126" s="3" t="str">
        <f t="shared" si="220"/>
        <v>I4644</v>
      </c>
    </row>
    <row r="14127" spans="1:6" x14ac:dyDescent="0.2">
      <c r="A14127" s="29" t="s">
        <v>31780</v>
      </c>
      <c r="B14127" s="30" t="s">
        <v>31781</v>
      </c>
      <c r="C14127" s="29" t="s">
        <v>26</v>
      </c>
      <c r="D14127" s="31">
        <v>1543.13</v>
      </c>
      <c r="F14127" s="3" t="str">
        <f t="shared" si="220"/>
        <v>I4645</v>
      </c>
    </row>
    <row r="14128" spans="1:6" x14ac:dyDescent="0.2">
      <c r="A14128" s="29" t="s">
        <v>31782</v>
      </c>
      <c r="B14128" s="30" t="s">
        <v>31783</v>
      </c>
      <c r="C14128" s="29" t="s">
        <v>26</v>
      </c>
      <c r="D14128" s="31">
        <v>1769.55</v>
      </c>
      <c r="F14128" s="3" t="str">
        <f t="shared" si="220"/>
        <v>I4646</v>
      </c>
    </row>
    <row r="14129" spans="1:6" x14ac:dyDescent="0.2">
      <c r="A14129" s="29" t="s">
        <v>31784</v>
      </c>
      <c r="B14129" s="30" t="s">
        <v>31785</v>
      </c>
      <c r="C14129" s="29" t="s">
        <v>26</v>
      </c>
      <c r="D14129" s="31">
        <v>1996</v>
      </c>
      <c r="F14129" s="3" t="str">
        <f t="shared" si="220"/>
        <v>I4647</v>
      </c>
    </row>
    <row r="14130" spans="1:6" x14ac:dyDescent="0.2">
      <c r="A14130" s="29" t="s">
        <v>31786</v>
      </c>
      <c r="B14130" s="30" t="s">
        <v>31787</v>
      </c>
      <c r="C14130" s="29" t="s">
        <v>26</v>
      </c>
      <c r="D14130" s="31">
        <v>2222.42</v>
      </c>
      <c r="F14130" s="3" t="str">
        <f t="shared" si="220"/>
        <v>I4648</v>
      </c>
    </row>
    <row r="14131" spans="1:6" x14ac:dyDescent="0.2">
      <c r="A14131" s="29" t="s">
        <v>31788</v>
      </c>
      <c r="B14131" s="30" t="s">
        <v>31789</v>
      </c>
      <c r="C14131" s="29" t="s">
        <v>26</v>
      </c>
      <c r="D14131" s="31">
        <v>2448.94</v>
      </c>
      <c r="F14131" s="3" t="str">
        <f t="shared" si="220"/>
        <v>I4649</v>
      </c>
    </row>
    <row r="14132" spans="1:6" x14ac:dyDescent="0.2">
      <c r="A14132" s="29" t="s">
        <v>31790</v>
      </c>
      <c r="B14132" s="30" t="s">
        <v>31791</v>
      </c>
      <c r="C14132" s="29" t="s">
        <v>26</v>
      </c>
      <c r="D14132" s="31">
        <v>2670.81</v>
      </c>
      <c r="F14132" s="3" t="str">
        <f t="shared" si="220"/>
        <v>I4650</v>
      </c>
    </row>
    <row r="14133" spans="1:6" x14ac:dyDescent="0.2">
      <c r="A14133" s="29" t="s">
        <v>31792</v>
      </c>
      <c r="B14133" s="30" t="s">
        <v>31793</v>
      </c>
      <c r="C14133" s="29" t="s">
        <v>26</v>
      </c>
      <c r="D14133" s="31">
        <v>2897.31</v>
      </c>
      <c r="F14133" s="3" t="str">
        <f t="shared" si="220"/>
        <v>I4651</v>
      </c>
    </row>
    <row r="14134" spans="1:6" x14ac:dyDescent="0.2">
      <c r="A14134" s="29" t="s">
        <v>31794</v>
      </c>
      <c r="B14134" s="30" t="s">
        <v>31795</v>
      </c>
      <c r="C14134" s="29" t="s">
        <v>26</v>
      </c>
      <c r="D14134" s="31">
        <v>3309.08</v>
      </c>
      <c r="F14134" s="3" t="str">
        <f t="shared" si="220"/>
        <v>I4652</v>
      </c>
    </row>
    <row r="14135" spans="1:6" x14ac:dyDescent="0.2">
      <c r="A14135" s="29" t="s">
        <v>31796</v>
      </c>
      <c r="B14135" s="30" t="s">
        <v>31797</v>
      </c>
      <c r="C14135" s="29" t="s">
        <v>26</v>
      </c>
      <c r="D14135" s="31">
        <v>3351.87</v>
      </c>
      <c r="F14135" s="3" t="str">
        <f t="shared" si="220"/>
        <v>I4653</v>
      </c>
    </row>
    <row r="14136" spans="1:6" x14ac:dyDescent="0.2">
      <c r="A14136" s="29" t="s">
        <v>31798</v>
      </c>
      <c r="B14136" s="30" t="s">
        <v>31799</v>
      </c>
      <c r="C14136" s="29" t="s">
        <v>26</v>
      </c>
      <c r="D14136" s="31">
        <v>3375.76</v>
      </c>
      <c r="F14136" s="3" t="str">
        <f t="shared" si="220"/>
        <v>I4654</v>
      </c>
    </row>
    <row r="14137" spans="1:6" x14ac:dyDescent="0.2">
      <c r="A14137" s="29" t="s">
        <v>31800</v>
      </c>
      <c r="B14137" s="30" t="s">
        <v>31801</v>
      </c>
      <c r="C14137" s="29" t="s">
        <v>26</v>
      </c>
      <c r="D14137" s="31">
        <v>1006.05</v>
      </c>
      <c r="F14137" s="3" t="str">
        <f t="shared" si="220"/>
        <v>I6667</v>
      </c>
    </row>
    <row r="14138" spans="1:6" x14ac:dyDescent="0.2">
      <c r="A14138" s="29" t="s">
        <v>31802</v>
      </c>
      <c r="B14138" s="30" t="s">
        <v>31803</v>
      </c>
      <c r="C14138" s="29" t="s">
        <v>26</v>
      </c>
      <c r="D14138" s="31">
        <v>1577.82</v>
      </c>
      <c r="F14138" s="3" t="str">
        <f t="shared" si="220"/>
        <v>I4655</v>
      </c>
    </row>
    <row r="14139" spans="1:6" x14ac:dyDescent="0.2">
      <c r="A14139" s="29" t="s">
        <v>31804</v>
      </c>
      <c r="B14139" s="30" t="s">
        <v>31805</v>
      </c>
      <c r="C14139" s="29" t="s">
        <v>26</v>
      </c>
      <c r="D14139" s="31">
        <v>1852.68</v>
      </c>
      <c r="F14139" s="3" t="str">
        <f t="shared" si="220"/>
        <v>I4656</v>
      </c>
    </row>
    <row r="14140" spans="1:6" x14ac:dyDescent="0.2">
      <c r="A14140" s="29" t="s">
        <v>31806</v>
      </c>
      <c r="B14140" s="30" t="s">
        <v>31807</v>
      </c>
      <c r="C14140" s="29" t="s">
        <v>26</v>
      </c>
      <c r="D14140" s="31">
        <v>2132.2199999999998</v>
      </c>
      <c r="F14140" s="3" t="str">
        <f t="shared" si="220"/>
        <v>I4657</v>
      </c>
    </row>
    <row r="14141" spans="1:6" x14ac:dyDescent="0.2">
      <c r="A14141" s="29" t="s">
        <v>31808</v>
      </c>
      <c r="B14141" s="30" t="s">
        <v>31809</v>
      </c>
      <c r="C14141" s="29" t="s">
        <v>26</v>
      </c>
      <c r="D14141" s="31">
        <v>2407</v>
      </c>
      <c r="F14141" s="3" t="str">
        <f t="shared" si="220"/>
        <v>I4658</v>
      </c>
    </row>
    <row r="14142" spans="1:6" x14ac:dyDescent="0.2">
      <c r="A14142" s="29" t="s">
        <v>31810</v>
      </c>
      <c r="B14142" s="30" t="s">
        <v>31811</v>
      </c>
      <c r="C14142" s="29" t="s">
        <v>26</v>
      </c>
      <c r="D14142" s="31">
        <v>2681.89</v>
      </c>
      <c r="F14142" s="3" t="str">
        <f t="shared" si="220"/>
        <v>I4659</v>
      </c>
    </row>
    <row r="14143" spans="1:6" x14ac:dyDescent="0.2">
      <c r="A14143" s="29" t="s">
        <v>31812</v>
      </c>
      <c r="B14143" s="30" t="s">
        <v>31813</v>
      </c>
      <c r="C14143" s="29" t="s">
        <v>26</v>
      </c>
      <c r="D14143" s="31">
        <v>2961.38</v>
      </c>
      <c r="F14143" s="3" t="str">
        <f t="shared" si="220"/>
        <v>I4660</v>
      </c>
    </row>
    <row r="14144" spans="1:6" x14ac:dyDescent="0.2">
      <c r="A14144" s="29" t="s">
        <v>31814</v>
      </c>
      <c r="B14144" s="30" t="s">
        <v>31815</v>
      </c>
      <c r="C14144" s="29" t="s">
        <v>26</v>
      </c>
      <c r="D14144" s="31">
        <v>3236.22</v>
      </c>
      <c r="F14144" s="3" t="str">
        <f t="shared" si="220"/>
        <v>I4661</v>
      </c>
    </row>
    <row r="14145" spans="1:6" x14ac:dyDescent="0.2">
      <c r="A14145" s="29" t="s">
        <v>31816</v>
      </c>
      <c r="B14145" s="30" t="s">
        <v>31817</v>
      </c>
      <c r="C14145" s="29" t="s">
        <v>26</v>
      </c>
      <c r="D14145" s="31">
        <v>3511.09</v>
      </c>
      <c r="F14145" s="3" t="str">
        <f t="shared" si="220"/>
        <v>I4662</v>
      </c>
    </row>
    <row r="14146" spans="1:6" x14ac:dyDescent="0.2">
      <c r="A14146" s="29" t="s">
        <v>31818</v>
      </c>
      <c r="B14146" s="30" t="s">
        <v>31819</v>
      </c>
      <c r="C14146" s="29" t="s">
        <v>26</v>
      </c>
      <c r="D14146" s="31">
        <v>4005.5</v>
      </c>
      <c r="F14146" s="3" t="str">
        <f t="shared" ref="F14146:F14209" si="221">A14146</f>
        <v>I4663</v>
      </c>
    </row>
    <row r="14147" spans="1:6" x14ac:dyDescent="0.2">
      <c r="A14147" s="29" t="s">
        <v>31820</v>
      </c>
      <c r="B14147" s="30" t="s">
        <v>31821</v>
      </c>
      <c r="C14147" s="29" t="s">
        <v>26</v>
      </c>
      <c r="D14147" s="31">
        <v>4067.41</v>
      </c>
      <c r="F14147" s="3" t="str">
        <f t="shared" si="221"/>
        <v>I4664</v>
      </c>
    </row>
    <row r="14148" spans="1:6" x14ac:dyDescent="0.2">
      <c r="A14148" s="29" t="s">
        <v>31822</v>
      </c>
      <c r="B14148" s="30" t="s">
        <v>31823</v>
      </c>
      <c r="C14148" s="29" t="s">
        <v>26</v>
      </c>
      <c r="D14148" s="31">
        <v>4105.3999999999996</v>
      </c>
      <c r="F14148" s="3" t="str">
        <f t="shared" si="221"/>
        <v>I4665</v>
      </c>
    </row>
    <row r="14149" spans="1:6" x14ac:dyDescent="0.2">
      <c r="A14149" s="29" t="s">
        <v>31824</v>
      </c>
      <c r="B14149" s="30" t="s">
        <v>31825</v>
      </c>
      <c r="C14149" s="29" t="s">
        <v>26</v>
      </c>
      <c r="D14149" s="31">
        <v>1259.48</v>
      </c>
      <c r="F14149" s="3" t="str">
        <f t="shared" si="221"/>
        <v>I6668</v>
      </c>
    </row>
    <row r="14150" spans="1:6" x14ac:dyDescent="0.2">
      <c r="A14150" s="29" t="s">
        <v>31826</v>
      </c>
      <c r="B14150" s="30" t="s">
        <v>31827</v>
      </c>
      <c r="C14150" s="29" t="s">
        <v>26</v>
      </c>
      <c r="D14150" s="31">
        <v>1922.5</v>
      </c>
      <c r="F14150" s="3" t="str">
        <f t="shared" si="221"/>
        <v>I4666</v>
      </c>
    </row>
    <row r="14151" spans="1:6" x14ac:dyDescent="0.2">
      <c r="A14151" s="29" t="s">
        <v>31828</v>
      </c>
      <c r="B14151" s="30" t="s">
        <v>31829</v>
      </c>
      <c r="C14151" s="29" t="s">
        <v>26</v>
      </c>
      <c r="D14151" s="31">
        <v>2283.75</v>
      </c>
      <c r="F14151" s="3" t="str">
        <f t="shared" si="221"/>
        <v>I4667</v>
      </c>
    </row>
    <row r="14152" spans="1:6" x14ac:dyDescent="0.2">
      <c r="A14152" s="29" t="s">
        <v>31830</v>
      </c>
      <c r="B14152" s="30" t="s">
        <v>31831</v>
      </c>
      <c r="C14152" s="29" t="s">
        <v>26</v>
      </c>
      <c r="D14152" s="31">
        <v>2640.45</v>
      </c>
      <c r="F14152" s="3" t="str">
        <f t="shared" si="221"/>
        <v>I4668</v>
      </c>
    </row>
    <row r="14153" spans="1:6" x14ac:dyDescent="0.2">
      <c r="A14153" s="29" t="s">
        <v>31832</v>
      </c>
      <c r="B14153" s="30" t="s">
        <v>31833</v>
      </c>
      <c r="C14153" s="29" t="s">
        <v>26</v>
      </c>
      <c r="D14153" s="31">
        <v>3001.78</v>
      </c>
      <c r="F14153" s="3" t="str">
        <f t="shared" si="221"/>
        <v>I4669</v>
      </c>
    </row>
    <row r="14154" spans="1:6" x14ac:dyDescent="0.2">
      <c r="A14154" s="29" t="s">
        <v>31834</v>
      </c>
      <c r="B14154" s="30" t="s">
        <v>31835</v>
      </c>
      <c r="C14154" s="29" t="s">
        <v>26</v>
      </c>
      <c r="D14154" s="31">
        <v>3363.06</v>
      </c>
      <c r="F14154" s="3" t="str">
        <f t="shared" si="221"/>
        <v>I4670</v>
      </c>
    </row>
    <row r="14155" spans="1:6" x14ac:dyDescent="0.2">
      <c r="A14155" s="29" t="s">
        <v>31836</v>
      </c>
      <c r="B14155" s="30" t="s">
        <v>31837</v>
      </c>
      <c r="C14155" s="29" t="s">
        <v>26</v>
      </c>
      <c r="D14155" s="31">
        <v>3719.78</v>
      </c>
      <c r="F14155" s="3" t="str">
        <f t="shared" si="221"/>
        <v>I4671</v>
      </c>
    </row>
    <row r="14156" spans="1:6" x14ac:dyDescent="0.2">
      <c r="A14156" s="29" t="s">
        <v>31838</v>
      </c>
      <c r="B14156" s="30" t="s">
        <v>31839</v>
      </c>
      <c r="C14156" s="29" t="s">
        <v>26</v>
      </c>
      <c r="D14156" s="31">
        <v>4081.06</v>
      </c>
      <c r="F14156" s="3" t="str">
        <f t="shared" si="221"/>
        <v>I4672</v>
      </c>
    </row>
    <row r="14157" spans="1:6" x14ac:dyDescent="0.2">
      <c r="A14157" s="29" t="s">
        <v>31840</v>
      </c>
      <c r="B14157" s="30" t="s">
        <v>31841</v>
      </c>
      <c r="C14157" s="29" t="s">
        <v>26</v>
      </c>
      <c r="D14157" s="31">
        <v>4442.41</v>
      </c>
      <c r="F14157" s="3" t="str">
        <f t="shared" si="221"/>
        <v>I4673</v>
      </c>
    </row>
    <row r="14158" spans="1:6" x14ac:dyDescent="0.2">
      <c r="A14158" s="29" t="s">
        <v>31842</v>
      </c>
      <c r="B14158" s="30" t="s">
        <v>31843</v>
      </c>
      <c r="C14158" s="29" t="s">
        <v>26</v>
      </c>
      <c r="D14158" s="31">
        <v>5077.4399999999996</v>
      </c>
      <c r="F14158" s="3" t="str">
        <f t="shared" si="221"/>
        <v>I4674</v>
      </c>
    </row>
    <row r="14159" spans="1:6" x14ac:dyDescent="0.2">
      <c r="A14159" s="29" t="s">
        <v>31844</v>
      </c>
      <c r="B14159" s="30" t="s">
        <v>31845</v>
      </c>
      <c r="C14159" s="29" t="s">
        <v>26</v>
      </c>
      <c r="D14159" s="31">
        <v>5162.91</v>
      </c>
      <c r="F14159" s="3" t="str">
        <f t="shared" si="221"/>
        <v>I4675</v>
      </c>
    </row>
    <row r="14160" spans="1:6" x14ac:dyDescent="0.2">
      <c r="A14160" s="29" t="s">
        <v>31846</v>
      </c>
      <c r="B14160" s="30" t="s">
        <v>31847</v>
      </c>
      <c r="C14160" s="29" t="s">
        <v>26</v>
      </c>
      <c r="D14160" s="31">
        <v>5215.04</v>
      </c>
      <c r="F14160" s="3" t="str">
        <f t="shared" si="221"/>
        <v>I4676</v>
      </c>
    </row>
    <row r="14161" spans="1:6" x14ac:dyDescent="0.2">
      <c r="A14161" s="29" t="s">
        <v>31848</v>
      </c>
      <c r="B14161" s="30" t="s">
        <v>31849</v>
      </c>
      <c r="C14161" s="29" t="s">
        <v>26</v>
      </c>
      <c r="D14161" s="31">
        <v>1538.38</v>
      </c>
      <c r="F14161" s="3" t="str">
        <f t="shared" si="221"/>
        <v>I6669</v>
      </c>
    </row>
    <row r="14162" spans="1:6" x14ac:dyDescent="0.2">
      <c r="A14162" s="29" t="s">
        <v>31850</v>
      </c>
      <c r="B14162" s="30" t="s">
        <v>31851</v>
      </c>
      <c r="C14162" s="29" t="s">
        <v>26</v>
      </c>
      <c r="D14162" s="31">
        <v>2233.64</v>
      </c>
      <c r="F14162" s="3" t="str">
        <f t="shared" si="221"/>
        <v>I4677</v>
      </c>
    </row>
    <row r="14163" spans="1:6" x14ac:dyDescent="0.2">
      <c r="A14163" s="29" t="s">
        <v>31852</v>
      </c>
      <c r="B14163" s="30" t="s">
        <v>31853</v>
      </c>
      <c r="C14163" s="29" t="s">
        <v>26</v>
      </c>
      <c r="D14163" s="31">
        <v>2679.43</v>
      </c>
      <c r="F14163" s="3" t="str">
        <f t="shared" si="221"/>
        <v>I4678</v>
      </c>
    </row>
    <row r="14164" spans="1:6" x14ac:dyDescent="0.2">
      <c r="A14164" s="29" t="s">
        <v>31854</v>
      </c>
      <c r="B14164" s="30" t="s">
        <v>31855</v>
      </c>
      <c r="C14164" s="29" t="s">
        <v>26</v>
      </c>
      <c r="D14164" s="31">
        <v>3129.95</v>
      </c>
      <c r="F14164" s="3" t="str">
        <f t="shared" si="221"/>
        <v>I4679</v>
      </c>
    </row>
    <row r="14165" spans="1:6" x14ac:dyDescent="0.2">
      <c r="A14165" s="29" t="s">
        <v>31856</v>
      </c>
      <c r="B14165" s="30" t="s">
        <v>31857</v>
      </c>
      <c r="C14165" s="29" t="s">
        <v>26</v>
      </c>
      <c r="D14165" s="31">
        <v>3580.33</v>
      </c>
      <c r="F14165" s="3" t="str">
        <f t="shared" si="221"/>
        <v>I4680</v>
      </c>
    </row>
    <row r="14166" spans="1:6" x14ac:dyDescent="0.2">
      <c r="A14166" s="29" t="s">
        <v>31858</v>
      </c>
      <c r="B14166" s="30" t="s">
        <v>31859</v>
      </c>
      <c r="C14166" s="29" t="s">
        <v>26</v>
      </c>
      <c r="D14166" s="31">
        <v>4026.58</v>
      </c>
      <c r="F14166" s="3" t="str">
        <f t="shared" si="221"/>
        <v>I4681</v>
      </c>
    </row>
    <row r="14167" spans="1:6" x14ac:dyDescent="0.2">
      <c r="A14167" s="29" t="s">
        <v>31860</v>
      </c>
      <c r="B14167" s="30" t="s">
        <v>31861</v>
      </c>
      <c r="C14167" s="29" t="s">
        <v>26</v>
      </c>
      <c r="D14167" s="31">
        <v>4476.43</v>
      </c>
      <c r="F14167" s="3" t="str">
        <f t="shared" si="221"/>
        <v>I4682</v>
      </c>
    </row>
    <row r="14168" spans="1:6" x14ac:dyDescent="0.2">
      <c r="A14168" s="29" t="s">
        <v>31862</v>
      </c>
      <c r="B14168" s="30" t="s">
        <v>31863</v>
      </c>
      <c r="C14168" s="29" t="s">
        <v>26</v>
      </c>
      <c r="D14168" s="31">
        <v>4926.88</v>
      </c>
      <c r="F14168" s="3" t="str">
        <f t="shared" si="221"/>
        <v>I4683</v>
      </c>
    </row>
    <row r="14169" spans="1:6" x14ac:dyDescent="0.2">
      <c r="A14169" s="29" t="s">
        <v>31864</v>
      </c>
      <c r="B14169" s="30" t="s">
        <v>31865</v>
      </c>
      <c r="C14169" s="29" t="s">
        <v>26</v>
      </c>
      <c r="D14169" s="31">
        <v>5372.68</v>
      </c>
      <c r="F14169" s="3" t="str">
        <f t="shared" si="221"/>
        <v>I4684</v>
      </c>
    </row>
    <row r="14170" spans="1:6" x14ac:dyDescent="0.2">
      <c r="A14170" s="29" t="s">
        <v>31866</v>
      </c>
      <c r="B14170" s="30" t="s">
        <v>31867</v>
      </c>
      <c r="C14170" s="29" t="s">
        <v>26</v>
      </c>
      <c r="D14170" s="31">
        <v>6158.57</v>
      </c>
      <c r="F14170" s="3" t="str">
        <f t="shared" si="221"/>
        <v>I4685</v>
      </c>
    </row>
    <row r="14171" spans="1:6" x14ac:dyDescent="0.2">
      <c r="A14171" s="29" t="s">
        <v>31868</v>
      </c>
      <c r="B14171" s="30" t="s">
        <v>31869</v>
      </c>
      <c r="C14171" s="29" t="s">
        <v>26</v>
      </c>
      <c r="D14171" s="31">
        <v>6271.94</v>
      </c>
      <c r="F14171" s="3" t="str">
        <f t="shared" si="221"/>
        <v>I4686</v>
      </c>
    </row>
    <row r="14172" spans="1:6" x14ac:dyDescent="0.2">
      <c r="A14172" s="29" t="s">
        <v>31870</v>
      </c>
      <c r="B14172" s="30" t="s">
        <v>31871</v>
      </c>
      <c r="C14172" s="29" t="s">
        <v>26</v>
      </c>
      <c r="D14172" s="31">
        <v>6342.72</v>
      </c>
      <c r="F14172" s="3" t="str">
        <f t="shared" si="221"/>
        <v>I4687</v>
      </c>
    </row>
    <row r="14173" spans="1:6" x14ac:dyDescent="0.2">
      <c r="A14173" s="29" t="s">
        <v>31872</v>
      </c>
      <c r="B14173" s="30" t="s">
        <v>31873</v>
      </c>
      <c r="C14173" s="29" t="s">
        <v>26</v>
      </c>
      <c r="D14173" s="31">
        <v>1496.14</v>
      </c>
      <c r="F14173" s="3" t="str">
        <f t="shared" si="221"/>
        <v>I6670</v>
      </c>
    </row>
    <row r="14174" spans="1:6" x14ac:dyDescent="0.2">
      <c r="A14174" s="29" t="s">
        <v>31874</v>
      </c>
      <c r="B14174" s="30" t="s">
        <v>31875</v>
      </c>
      <c r="C14174" s="29" t="s">
        <v>26</v>
      </c>
      <c r="D14174" s="31">
        <v>2676.98</v>
      </c>
      <c r="F14174" s="3" t="str">
        <f t="shared" si="221"/>
        <v>I4688</v>
      </c>
    </row>
    <row r="14175" spans="1:6" x14ac:dyDescent="0.2">
      <c r="A14175" s="29" t="s">
        <v>31876</v>
      </c>
      <c r="B14175" s="30" t="s">
        <v>31877</v>
      </c>
      <c r="C14175" s="29" t="s">
        <v>26</v>
      </c>
      <c r="D14175" s="31">
        <v>3226.8</v>
      </c>
      <c r="F14175" s="3" t="str">
        <f t="shared" si="221"/>
        <v>I4689</v>
      </c>
    </row>
    <row r="14176" spans="1:6" x14ac:dyDescent="0.2">
      <c r="A14176" s="29" t="s">
        <v>31878</v>
      </c>
      <c r="B14176" s="30" t="s">
        <v>31879</v>
      </c>
      <c r="C14176" s="29" t="s">
        <v>26</v>
      </c>
      <c r="D14176" s="31">
        <v>3781.2</v>
      </c>
      <c r="F14176" s="3" t="str">
        <f t="shared" si="221"/>
        <v>I4690</v>
      </c>
    </row>
    <row r="14177" spans="1:6" x14ac:dyDescent="0.2">
      <c r="A14177" s="29" t="s">
        <v>31880</v>
      </c>
      <c r="B14177" s="30" t="s">
        <v>31881</v>
      </c>
      <c r="C14177" s="29" t="s">
        <v>26</v>
      </c>
      <c r="D14177" s="31">
        <v>4331.04</v>
      </c>
      <c r="F14177" s="3" t="str">
        <f t="shared" si="221"/>
        <v>I4691</v>
      </c>
    </row>
    <row r="14178" spans="1:6" x14ac:dyDescent="0.2">
      <c r="A14178" s="29" t="s">
        <v>31882</v>
      </c>
      <c r="B14178" s="30" t="s">
        <v>31883</v>
      </c>
      <c r="C14178" s="29" t="s">
        <v>26</v>
      </c>
      <c r="D14178" s="31">
        <v>4880.83</v>
      </c>
      <c r="F14178" s="3" t="str">
        <f t="shared" si="221"/>
        <v>I4692</v>
      </c>
    </row>
    <row r="14179" spans="1:6" x14ac:dyDescent="0.2">
      <c r="A14179" s="29" t="s">
        <v>31884</v>
      </c>
      <c r="B14179" s="30" t="s">
        <v>31885</v>
      </c>
      <c r="C14179" s="29" t="s">
        <v>26</v>
      </c>
      <c r="D14179" s="31">
        <v>5430.66</v>
      </c>
      <c r="F14179" s="3" t="str">
        <f t="shared" si="221"/>
        <v>I4693</v>
      </c>
    </row>
    <row r="14180" spans="1:6" x14ac:dyDescent="0.2">
      <c r="A14180" s="29" t="s">
        <v>31886</v>
      </c>
      <c r="B14180" s="30" t="s">
        <v>31887</v>
      </c>
      <c r="C14180" s="29" t="s">
        <v>26</v>
      </c>
      <c r="D14180" s="31">
        <v>5980.4</v>
      </c>
      <c r="F14180" s="3" t="str">
        <f t="shared" si="221"/>
        <v>I4694</v>
      </c>
    </row>
    <row r="14181" spans="1:6" x14ac:dyDescent="0.2">
      <c r="A14181" s="29" t="s">
        <v>31888</v>
      </c>
      <c r="B14181" s="30" t="s">
        <v>31889</v>
      </c>
      <c r="C14181" s="29" t="s">
        <v>26</v>
      </c>
      <c r="D14181" s="31">
        <v>6530.31</v>
      </c>
      <c r="F14181" s="3" t="str">
        <f t="shared" si="221"/>
        <v>I4695</v>
      </c>
    </row>
    <row r="14182" spans="1:6" x14ac:dyDescent="0.2">
      <c r="A14182" s="29" t="s">
        <v>31890</v>
      </c>
      <c r="B14182" s="30" t="s">
        <v>31891</v>
      </c>
      <c r="C14182" s="29" t="s">
        <v>26</v>
      </c>
      <c r="D14182" s="31">
        <v>7487.95</v>
      </c>
      <c r="F14182" s="3" t="str">
        <f t="shared" si="221"/>
        <v>I4696</v>
      </c>
    </row>
    <row r="14183" spans="1:6" x14ac:dyDescent="0.2">
      <c r="A14183" s="29" t="s">
        <v>31892</v>
      </c>
      <c r="B14183" s="30" t="s">
        <v>31893</v>
      </c>
      <c r="C14183" s="29" t="s">
        <v>26</v>
      </c>
      <c r="D14183" s="31">
        <v>7633.58</v>
      </c>
      <c r="F14183" s="3" t="str">
        <f t="shared" si="221"/>
        <v>I4697</v>
      </c>
    </row>
    <row r="14184" spans="1:6" x14ac:dyDescent="0.2">
      <c r="A14184" s="29" t="s">
        <v>31894</v>
      </c>
      <c r="B14184" s="30" t="s">
        <v>31895</v>
      </c>
      <c r="C14184" s="29" t="s">
        <v>26</v>
      </c>
      <c r="D14184" s="31">
        <v>7722.79</v>
      </c>
      <c r="F14184" s="3" t="str">
        <f t="shared" si="221"/>
        <v>I4698</v>
      </c>
    </row>
    <row r="14185" spans="1:6" x14ac:dyDescent="0.2">
      <c r="A14185" s="29" t="s">
        <v>31896</v>
      </c>
      <c r="B14185" s="30" t="s">
        <v>31897</v>
      </c>
      <c r="C14185" s="29" t="s">
        <v>26</v>
      </c>
      <c r="D14185" s="31">
        <v>2251.52</v>
      </c>
      <c r="F14185" s="3" t="str">
        <f t="shared" si="221"/>
        <v>I6671</v>
      </c>
    </row>
    <row r="14186" spans="1:6" x14ac:dyDescent="0.2">
      <c r="A14186" s="29" t="s">
        <v>31898</v>
      </c>
      <c r="B14186" s="30" t="s">
        <v>31899</v>
      </c>
      <c r="C14186" s="29" t="s">
        <v>26</v>
      </c>
      <c r="D14186" s="31">
        <v>3161.4</v>
      </c>
      <c r="F14186" s="3" t="str">
        <f t="shared" si="221"/>
        <v>I4699</v>
      </c>
    </row>
    <row r="14187" spans="1:6" x14ac:dyDescent="0.2">
      <c r="A14187" s="29" t="s">
        <v>31900</v>
      </c>
      <c r="B14187" s="30" t="s">
        <v>31901</v>
      </c>
      <c r="C14187" s="29" t="s">
        <v>26</v>
      </c>
      <c r="D14187" s="31">
        <v>3792.55</v>
      </c>
      <c r="F14187" s="3" t="str">
        <f t="shared" si="221"/>
        <v>I4700</v>
      </c>
    </row>
    <row r="14188" spans="1:6" x14ac:dyDescent="0.2">
      <c r="A14188" s="29" t="s">
        <v>31902</v>
      </c>
      <c r="B14188" s="30" t="s">
        <v>31903</v>
      </c>
      <c r="C14188" s="29" t="s">
        <v>26</v>
      </c>
      <c r="D14188" s="31">
        <v>4423.74</v>
      </c>
      <c r="F14188" s="3" t="str">
        <f t="shared" si="221"/>
        <v>I4701</v>
      </c>
    </row>
    <row r="14189" spans="1:6" x14ac:dyDescent="0.2">
      <c r="A14189" s="29" t="s">
        <v>31904</v>
      </c>
      <c r="B14189" s="30" t="s">
        <v>31905</v>
      </c>
      <c r="C14189" s="29" t="s">
        <v>26</v>
      </c>
      <c r="D14189" s="31">
        <v>5054.9799999999996</v>
      </c>
      <c r="F14189" s="3" t="str">
        <f t="shared" si="221"/>
        <v>I4702</v>
      </c>
    </row>
    <row r="14190" spans="1:6" x14ac:dyDescent="0.2">
      <c r="A14190" s="29" t="s">
        <v>31906</v>
      </c>
      <c r="B14190" s="30" t="s">
        <v>31907</v>
      </c>
      <c r="C14190" s="29" t="s">
        <v>26</v>
      </c>
      <c r="D14190" s="31">
        <v>5686.2</v>
      </c>
      <c r="F14190" s="3" t="str">
        <f t="shared" si="221"/>
        <v>I4703</v>
      </c>
    </row>
    <row r="14191" spans="1:6" x14ac:dyDescent="0.2">
      <c r="A14191" s="29" t="s">
        <v>31908</v>
      </c>
      <c r="B14191" s="30" t="s">
        <v>31909</v>
      </c>
      <c r="C14191" s="29" t="s">
        <v>26</v>
      </c>
      <c r="D14191" s="31">
        <v>6317.39</v>
      </c>
      <c r="F14191" s="3" t="str">
        <f t="shared" si="221"/>
        <v>I4704</v>
      </c>
    </row>
    <row r="14192" spans="1:6" x14ac:dyDescent="0.2">
      <c r="A14192" s="29" t="s">
        <v>31910</v>
      </c>
      <c r="B14192" s="30" t="s">
        <v>31911</v>
      </c>
      <c r="C14192" s="29" t="s">
        <v>26</v>
      </c>
      <c r="D14192" s="31">
        <v>6948.69</v>
      </c>
      <c r="F14192" s="3" t="str">
        <f t="shared" si="221"/>
        <v>I4705</v>
      </c>
    </row>
    <row r="14193" spans="1:6" x14ac:dyDescent="0.2">
      <c r="A14193" s="29" t="s">
        <v>31912</v>
      </c>
      <c r="B14193" s="30" t="s">
        <v>31913</v>
      </c>
      <c r="C14193" s="29" t="s">
        <v>26</v>
      </c>
      <c r="D14193" s="31">
        <v>7579.78</v>
      </c>
      <c r="F14193" s="3" t="str">
        <f t="shared" si="221"/>
        <v>I4706</v>
      </c>
    </row>
    <row r="14194" spans="1:6" x14ac:dyDescent="0.2">
      <c r="A14194" s="29" t="s">
        <v>31914</v>
      </c>
      <c r="B14194" s="30" t="s">
        <v>31915</v>
      </c>
      <c r="C14194" s="29" t="s">
        <v>26</v>
      </c>
      <c r="D14194" s="31">
        <v>8666.2199999999993</v>
      </c>
      <c r="F14194" s="3" t="str">
        <f t="shared" si="221"/>
        <v>I4707</v>
      </c>
    </row>
    <row r="14195" spans="1:6" x14ac:dyDescent="0.2">
      <c r="A14195" s="29" t="s">
        <v>31916</v>
      </c>
      <c r="B14195" s="30" t="s">
        <v>31917</v>
      </c>
      <c r="C14195" s="29" t="s">
        <v>26</v>
      </c>
      <c r="D14195" s="31">
        <v>8846.35</v>
      </c>
      <c r="F14195" s="3" t="str">
        <f t="shared" si="221"/>
        <v>I4708</v>
      </c>
    </row>
    <row r="14196" spans="1:6" x14ac:dyDescent="0.2">
      <c r="A14196" s="29" t="s">
        <v>31918</v>
      </c>
      <c r="B14196" s="30" t="s">
        <v>31919</v>
      </c>
      <c r="C14196" s="29" t="s">
        <v>26</v>
      </c>
      <c r="D14196" s="31">
        <v>8950.76</v>
      </c>
      <c r="F14196" s="3" t="str">
        <f t="shared" si="221"/>
        <v>I4709</v>
      </c>
    </row>
    <row r="14197" spans="1:6" x14ac:dyDescent="0.2">
      <c r="A14197" s="29" t="s">
        <v>31920</v>
      </c>
      <c r="B14197" s="30" t="s">
        <v>31921</v>
      </c>
      <c r="C14197" s="29" t="s">
        <v>26</v>
      </c>
      <c r="D14197" s="31">
        <v>1914.17</v>
      </c>
      <c r="F14197" s="3" t="str">
        <f t="shared" si="221"/>
        <v>I6672</v>
      </c>
    </row>
    <row r="14198" spans="1:6" x14ac:dyDescent="0.2">
      <c r="A14198" s="29" t="s">
        <v>31922</v>
      </c>
      <c r="B14198" s="30" t="s">
        <v>31923</v>
      </c>
      <c r="C14198" s="29" t="s">
        <v>26</v>
      </c>
      <c r="D14198" s="31">
        <v>3456.03</v>
      </c>
      <c r="F14198" s="3" t="str">
        <f t="shared" si="221"/>
        <v>I4710</v>
      </c>
    </row>
    <row r="14199" spans="1:6" x14ac:dyDescent="0.2">
      <c r="A14199" s="29" t="s">
        <v>31924</v>
      </c>
      <c r="B14199" s="30" t="s">
        <v>31925</v>
      </c>
      <c r="C14199" s="29" t="s">
        <v>26</v>
      </c>
      <c r="D14199" s="31">
        <v>4151.99</v>
      </c>
      <c r="F14199" s="3" t="str">
        <f t="shared" si="221"/>
        <v>I4711</v>
      </c>
    </row>
    <row r="14200" spans="1:6" x14ac:dyDescent="0.2">
      <c r="A14200" s="29" t="s">
        <v>31926</v>
      </c>
      <c r="B14200" s="30" t="s">
        <v>31927</v>
      </c>
      <c r="C14200" s="29" t="s">
        <v>26</v>
      </c>
      <c r="D14200" s="31">
        <v>4847.96</v>
      </c>
      <c r="F14200" s="3" t="str">
        <f t="shared" si="221"/>
        <v>I4712</v>
      </c>
    </row>
    <row r="14201" spans="1:6" x14ac:dyDescent="0.2">
      <c r="A14201" s="29" t="s">
        <v>31928</v>
      </c>
      <c r="B14201" s="30" t="s">
        <v>31929</v>
      </c>
      <c r="C14201" s="29" t="s">
        <v>26</v>
      </c>
      <c r="D14201" s="31">
        <v>5543.85</v>
      </c>
      <c r="F14201" s="3" t="str">
        <f t="shared" si="221"/>
        <v>I4713</v>
      </c>
    </row>
    <row r="14202" spans="1:6" x14ac:dyDescent="0.2">
      <c r="A14202" s="29" t="s">
        <v>31930</v>
      </c>
      <c r="B14202" s="30" t="s">
        <v>31931</v>
      </c>
      <c r="C14202" s="29" t="s">
        <v>26</v>
      </c>
      <c r="D14202" s="31">
        <v>6235.19</v>
      </c>
      <c r="F14202" s="3" t="str">
        <f t="shared" si="221"/>
        <v>I4714</v>
      </c>
    </row>
    <row r="14203" spans="1:6" x14ac:dyDescent="0.2">
      <c r="A14203" s="29" t="s">
        <v>31932</v>
      </c>
      <c r="B14203" s="30" t="s">
        <v>31933</v>
      </c>
      <c r="C14203" s="29" t="s">
        <v>26</v>
      </c>
      <c r="D14203" s="31">
        <v>6931.05</v>
      </c>
      <c r="F14203" s="3" t="str">
        <f t="shared" si="221"/>
        <v>I4715</v>
      </c>
    </row>
    <row r="14204" spans="1:6" x14ac:dyDescent="0.2">
      <c r="A14204" s="29" t="s">
        <v>31934</v>
      </c>
      <c r="B14204" s="30" t="s">
        <v>31935</v>
      </c>
      <c r="C14204" s="29" t="s">
        <v>26</v>
      </c>
      <c r="D14204" s="31">
        <v>7627</v>
      </c>
      <c r="F14204" s="3" t="str">
        <f t="shared" si="221"/>
        <v>I4716</v>
      </c>
    </row>
    <row r="14205" spans="1:6" x14ac:dyDescent="0.2">
      <c r="A14205" s="29" t="s">
        <v>31936</v>
      </c>
      <c r="B14205" s="30" t="s">
        <v>31937</v>
      </c>
      <c r="C14205" s="29" t="s">
        <v>26</v>
      </c>
      <c r="D14205" s="31">
        <v>8322.9699999999993</v>
      </c>
      <c r="F14205" s="3" t="str">
        <f t="shared" si="221"/>
        <v>I4717</v>
      </c>
    </row>
    <row r="14206" spans="1:6" x14ac:dyDescent="0.2">
      <c r="A14206" s="29" t="s">
        <v>31938</v>
      </c>
      <c r="B14206" s="30" t="s">
        <v>31939</v>
      </c>
      <c r="C14206" s="29" t="s">
        <v>26</v>
      </c>
      <c r="D14206" s="31">
        <v>9506.6</v>
      </c>
      <c r="F14206" s="3" t="str">
        <f t="shared" si="221"/>
        <v>I4718</v>
      </c>
    </row>
    <row r="14207" spans="1:6" x14ac:dyDescent="0.2">
      <c r="A14207" s="29" t="s">
        <v>31940</v>
      </c>
      <c r="B14207" s="30" t="s">
        <v>31941</v>
      </c>
      <c r="C14207" s="29" t="s">
        <v>26</v>
      </c>
      <c r="D14207" s="31">
        <v>9719.2099999999991</v>
      </c>
      <c r="F14207" s="3" t="str">
        <f t="shared" si="221"/>
        <v>I4719</v>
      </c>
    </row>
    <row r="14208" spans="1:6" x14ac:dyDescent="0.2">
      <c r="A14208" s="29" t="s">
        <v>31942</v>
      </c>
      <c r="B14208" s="30" t="s">
        <v>31943</v>
      </c>
      <c r="C14208" s="29" t="s">
        <v>26</v>
      </c>
      <c r="D14208" s="31">
        <v>9846.83</v>
      </c>
      <c r="F14208" s="3" t="str">
        <f t="shared" si="221"/>
        <v>I4720</v>
      </c>
    </row>
    <row r="14209" spans="1:6" x14ac:dyDescent="0.2">
      <c r="A14209" s="29" t="s">
        <v>31944</v>
      </c>
      <c r="B14209" s="30" t="s">
        <v>31945</v>
      </c>
      <c r="C14209" s="29" t="s">
        <v>26</v>
      </c>
      <c r="D14209" s="31">
        <v>2526.5300000000002</v>
      </c>
      <c r="F14209" s="3" t="str">
        <f t="shared" si="221"/>
        <v>I6673</v>
      </c>
    </row>
    <row r="14210" spans="1:6" x14ac:dyDescent="0.2">
      <c r="A14210" s="29" t="s">
        <v>31946</v>
      </c>
      <c r="B14210" s="30" t="s">
        <v>31947</v>
      </c>
      <c r="C14210" s="29" t="s">
        <v>26</v>
      </c>
      <c r="D14210" s="31">
        <v>4200.8900000000003</v>
      </c>
      <c r="F14210" s="3" t="str">
        <f t="shared" ref="F14210:F14273" si="222">A14210</f>
        <v>I4721</v>
      </c>
    </row>
    <row r="14211" spans="1:6" x14ac:dyDescent="0.2">
      <c r="A14211" s="29" t="s">
        <v>31948</v>
      </c>
      <c r="B14211" s="30" t="s">
        <v>31949</v>
      </c>
      <c r="C14211" s="29" t="s">
        <v>26</v>
      </c>
      <c r="D14211" s="31">
        <v>5011.62</v>
      </c>
      <c r="F14211" s="3" t="str">
        <f t="shared" si="222"/>
        <v>I4722</v>
      </c>
    </row>
    <row r="14212" spans="1:6" x14ac:dyDescent="0.2">
      <c r="A14212" s="29" t="s">
        <v>31950</v>
      </c>
      <c r="B14212" s="30" t="s">
        <v>31951</v>
      </c>
      <c r="C14212" s="29" t="s">
        <v>26</v>
      </c>
      <c r="D14212" s="31">
        <v>5822.24</v>
      </c>
      <c r="F14212" s="3" t="str">
        <f t="shared" si="222"/>
        <v>I4723</v>
      </c>
    </row>
    <row r="14213" spans="1:6" x14ac:dyDescent="0.2">
      <c r="A14213" s="29" t="s">
        <v>31952</v>
      </c>
      <c r="B14213" s="30" t="s">
        <v>31953</v>
      </c>
      <c r="C14213" s="29" t="s">
        <v>26</v>
      </c>
      <c r="D14213" s="31">
        <v>6633.05</v>
      </c>
      <c r="F14213" s="3" t="str">
        <f t="shared" si="222"/>
        <v>I4724</v>
      </c>
    </row>
    <row r="14214" spans="1:6" x14ac:dyDescent="0.2">
      <c r="A14214" s="29" t="s">
        <v>31954</v>
      </c>
      <c r="B14214" s="30" t="s">
        <v>31955</v>
      </c>
      <c r="C14214" s="29" t="s">
        <v>26</v>
      </c>
      <c r="D14214" s="31">
        <v>7443.66</v>
      </c>
      <c r="F14214" s="3" t="str">
        <f t="shared" si="222"/>
        <v>I4725</v>
      </c>
    </row>
    <row r="14215" spans="1:6" x14ac:dyDescent="0.2">
      <c r="A14215" s="29" t="s">
        <v>31956</v>
      </c>
      <c r="B14215" s="30" t="s">
        <v>31957</v>
      </c>
      <c r="C14215" s="29" t="s">
        <v>26</v>
      </c>
      <c r="D14215" s="31">
        <v>8254.34</v>
      </c>
      <c r="F14215" s="3" t="str">
        <f t="shared" si="222"/>
        <v>I4726</v>
      </c>
    </row>
    <row r="14216" spans="1:6" x14ac:dyDescent="0.2">
      <c r="A14216" s="29" t="s">
        <v>31958</v>
      </c>
      <c r="B14216" s="30" t="s">
        <v>31959</v>
      </c>
      <c r="C14216" s="29" t="s">
        <v>26</v>
      </c>
      <c r="D14216" s="31">
        <v>9065.07</v>
      </c>
      <c r="F14216" s="3" t="str">
        <f t="shared" si="222"/>
        <v>I4727</v>
      </c>
    </row>
    <row r="14217" spans="1:6" x14ac:dyDescent="0.2">
      <c r="A14217" s="29" t="s">
        <v>31960</v>
      </c>
      <c r="B14217" s="30" t="s">
        <v>31961</v>
      </c>
      <c r="C14217" s="29" t="s">
        <v>26</v>
      </c>
      <c r="D14217" s="31">
        <v>9875.77</v>
      </c>
      <c r="F14217" s="3" t="str">
        <f t="shared" si="222"/>
        <v>I4728</v>
      </c>
    </row>
    <row r="14218" spans="1:6" x14ac:dyDescent="0.2">
      <c r="A14218" s="29" t="s">
        <v>31962</v>
      </c>
      <c r="B14218" s="30" t="s">
        <v>31963</v>
      </c>
      <c r="C14218" s="29" t="s">
        <v>26</v>
      </c>
      <c r="D14218" s="31">
        <v>11252.77</v>
      </c>
      <c r="F14218" s="3" t="str">
        <f t="shared" si="222"/>
        <v>I4729</v>
      </c>
    </row>
    <row r="14219" spans="1:6" x14ac:dyDescent="0.2">
      <c r="A14219" s="29" t="s">
        <v>31964</v>
      </c>
      <c r="B14219" s="30" t="s">
        <v>31965</v>
      </c>
      <c r="C14219" s="29" t="s">
        <v>26</v>
      </c>
      <c r="D14219" s="31">
        <v>11502.29</v>
      </c>
      <c r="F14219" s="3" t="str">
        <f t="shared" si="222"/>
        <v>I4730</v>
      </c>
    </row>
    <row r="14220" spans="1:6" x14ac:dyDescent="0.2">
      <c r="A14220" s="29" t="s">
        <v>31966</v>
      </c>
      <c r="B14220" s="30" t="s">
        <v>31967</v>
      </c>
      <c r="C14220" s="29" t="s">
        <v>26</v>
      </c>
      <c r="D14220" s="31">
        <v>11652.93</v>
      </c>
      <c r="F14220" s="3" t="str">
        <f t="shared" si="222"/>
        <v>I4731</v>
      </c>
    </row>
    <row r="14221" spans="1:6" x14ac:dyDescent="0.2">
      <c r="A14221" s="29" t="s">
        <v>31968</v>
      </c>
      <c r="B14221" s="30" t="s">
        <v>31969</v>
      </c>
      <c r="C14221" s="29" t="s">
        <v>26</v>
      </c>
      <c r="D14221" s="31">
        <v>2860.9</v>
      </c>
      <c r="F14221" s="3" t="str">
        <f t="shared" si="222"/>
        <v>I6674</v>
      </c>
    </row>
    <row r="14222" spans="1:6" x14ac:dyDescent="0.2">
      <c r="A14222" s="29" t="s">
        <v>31970</v>
      </c>
      <c r="B14222" s="30" t="s">
        <v>31971</v>
      </c>
      <c r="C14222" s="29" t="s">
        <v>26</v>
      </c>
      <c r="D14222" s="31">
        <v>4560.92</v>
      </c>
      <c r="F14222" s="3" t="str">
        <f t="shared" si="222"/>
        <v>I4732</v>
      </c>
    </row>
    <row r="14223" spans="1:6" x14ac:dyDescent="0.2">
      <c r="A14223" s="29" t="s">
        <v>31972</v>
      </c>
      <c r="B14223" s="30" t="s">
        <v>31973</v>
      </c>
      <c r="C14223" s="29" t="s">
        <v>26</v>
      </c>
      <c r="D14223" s="31">
        <v>5473.76</v>
      </c>
      <c r="F14223" s="3" t="str">
        <f t="shared" si="222"/>
        <v>I4733</v>
      </c>
    </row>
    <row r="14224" spans="1:6" x14ac:dyDescent="0.2">
      <c r="A14224" s="29" t="s">
        <v>31974</v>
      </c>
      <c r="B14224" s="30" t="s">
        <v>31975</v>
      </c>
      <c r="C14224" s="29" t="s">
        <v>26</v>
      </c>
      <c r="D14224" s="31">
        <v>6386.54</v>
      </c>
      <c r="F14224" s="3" t="str">
        <f t="shared" si="222"/>
        <v>I4734</v>
      </c>
    </row>
    <row r="14225" spans="1:6" x14ac:dyDescent="0.2">
      <c r="A14225" s="29" t="s">
        <v>31976</v>
      </c>
      <c r="B14225" s="30" t="s">
        <v>31977</v>
      </c>
      <c r="C14225" s="29" t="s">
        <v>26</v>
      </c>
      <c r="D14225" s="31">
        <v>7299.32</v>
      </c>
      <c r="F14225" s="3" t="str">
        <f t="shared" si="222"/>
        <v>I4735</v>
      </c>
    </row>
    <row r="14226" spans="1:6" x14ac:dyDescent="0.2">
      <c r="A14226" s="29" t="s">
        <v>31978</v>
      </c>
      <c r="B14226" s="30" t="s">
        <v>31979</v>
      </c>
      <c r="C14226" s="29" t="s">
        <v>26</v>
      </c>
      <c r="D14226" s="31">
        <v>8211.9699999999993</v>
      </c>
      <c r="F14226" s="3" t="str">
        <f t="shared" si="222"/>
        <v>I4736</v>
      </c>
    </row>
    <row r="14227" spans="1:6" x14ac:dyDescent="0.2">
      <c r="A14227" s="29" t="s">
        <v>31980</v>
      </c>
      <c r="B14227" s="30" t="s">
        <v>31981</v>
      </c>
      <c r="C14227" s="29" t="s">
        <v>26</v>
      </c>
      <c r="D14227" s="31">
        <v>9124.69</v>
      </c>
      <c r="F14227" s="3" t="str">
        <f t="shared" si="222"/>
        <v>I4737</v>
      </c>
    </row>
    <row r="14228" spans="1:6" x14ac:dyDescent="0.2">
      <c r="A14228" s="29" t="s">
        <v>31982</v>
      </c>
      <c r="B14228" s="30" t="s">
        <v>31983</v>
      </c>
      <c r="C14228" s="29" t="s">
        <v>26</v>
      </c>
      <c r="D14228" s="31">
        <v>10042.040000000001</v>
      </c>
      <c r="F14228" s="3" t="str">
        <f t="shared" si="222"/>
        <v>I4738</v>
      </c>
    </row>
    <row r="14229" spans="1:6" x14ac:dyDescent="0.2">
      <c r="A14229" s="29" t="s">
        <v>31984</v>
      </c>
      <c r="B14229" s="30" t="s">
        <v>31985</v>
      </c>
      <c r="C14229" s="29" t="s">
        <v>26</v>
      </c>
      <c r="D14229" s="31">
        <v>10954.82</v>
      </c>
      <c r="F14229" s="3" t="str">
        <f t="shared" si="222"/>
        <v>I4739</v>
      </c>
    </row>
    <row r="14230" spans="1:6" x14ac:dyDescent="0.2">
      <c r="A14230" s="29" t="s">
        <v>31986</v>
      </c>
      <c r="B14230" s="30" t="s">
        <v>31987</v>
      </c>
      <c r="C14230" s="29" t="s">
        <v>26</v>
      </c>
      <c r="D14230" s="31">
        <v>12497.98</v>
      </c>
      <c r="F14230" s="3" t="str">
        <f t="shared" si="222"/>
        <v>I4740</v>
      </c>
    </row>
    <row r="14231" spans="1:6" x14ac:dyDescent="0.2">
      <c r="A14231" s="29" t="s">
        <v>31988</v>
      </c>
      <c r="B14231" s="30" t="s">
        <v>31989</v>
      </c>
      <c r="C14231" s="29" t="s">
        <v>26</v>
      </c>
      <c r="D14231" s="31">
        <v>12786.07</v>
      </c>
      <c r="F14231" s="3" t="str">
        <f t="shared" si="222"/>
        <v>I4741</v>
      </c>
    </row>
    <row r="14232" spans="1:6" x14ac:dyDescent="0.2">
      <c r="A14232" s="29" t="s">
        <v>31990</v>
      </c>
      <c r="B14232" s="30" t="s">
        <v>31991</v>
      </c>
      <c r="C14232" s="29" t="s">
        <v>26</v>
      </c>
      <c r="D14232" s="31">
        <v>12960.68</v>
      </c>
      <c r="F14232" s="3" t="str">
        <f t="shared" si="222"/>
        <v>I4742</v>
      </c>
    </row>
    <row r="14233" spans="1:6" x14ac:dyDescent="0.2">
      <c r="A14233" s="29" t="s">
        <v>31992</v>
      </c>
      <c r="B14233" s="30" t="s">
        <v>31993</v>
      </c>
      <c r="C14233" s="29" t="s">
        <v>26</v>
      </c>
      <c r="D14233" s="31">
        <v>3308.67</v>
      </c>
      <c r="F14233" s="3" t="str">
        <f t="shared" si="222"/>
        <v>I6675</v>
      </c>
    </row>
    <row r="14234" spans="1:6" x14ac:dyDescent="0.2">
      <c r="A14234" s="29" t="s">
        <v>31994</v>
      </c>
      <c r="B14234" s="30" t="s">
        <v>31995</v>
      </c>
      <c r="C14234" s="29" t="s">
        <v>26</v>
      </c>
      <c r="D14234" s="31">
        <v>5598.93</v>
      </c>
      <c r="F14234" s="3" t="str">
        <f t="shared" si="222"/>
        <v>I4743</v>
      </c>
    </row>
    <row r="14235" spans="1:6" x14ac:dyDescent="0.2">
      <c r="A14235" s="29" t="s">
        <v>31996</v>
      </c>
      <c r="B14235" s="30" t="s">
        <v>31997</v>
      </c>
      <c r="C14235" s="29" t="s">
        <v>26</v>
      </c>
      <c r="D14235" s="31">
        <v>6797.15</v>
      </c>
      <c r="F14235" s="3" t="str">
        <f t="shared" si="222"/>
        <v>I4744</v>
      </c>
    </row>
    <row r="14236" spans="1:6" x14ac:dyDescent="0.2">
      <c r="A14236" s="29" t="s">
        <v>31998</v>
      </c>
      <c r="B14236" s="30" t="s">
        <v>31999</v>
      </c>
      <c r="C14236" s="29" t="s">
        <v>26</v>
      </c>
      <c r="D14236" s="31">
        <v>7990.71</v>
      </c>
      <c r="F14236" s="3" t="str">
        <f t="shared" si="222"/>
        <v>I4745</v>
      </c>
    </row>
    <row r="14237" spans="1:6" x14ac:dyDescent="0.2">
      <c r="A14237" s="29" t="s">
        <v>32000</v>
      </c>
      <c r="B14237" s="30" t="s">
        <v>32001</v>
      </c>
      <c r="C14237" s="29" t="s">
        <v>26</v>
      </c>
      <c r="D14237" s="31">
        <v>9184.27</v>
      </c>
      <c r="F14237" s="3" t="str">
        <f t="shared" si="222"/>
        <v>I4746</v>
      </c>
    </row>
    <row r="14238" spans="1:6" x14ac:dyDescent="0.2">
      <c r="A14238" s="29" t="s">
        <v>32002</v>
      </c>
      <c r="B14238" s="30" t="s">
        <v>32003</v>
      </c>
      <c r="C14238" s="29" t="s">
        <v>26</v>
      </c>
      <c r="D14238" s="31">
        <v>10377.68</v>
      </c>
      <c r="F14238" s="3" t="str">
        <f t="shared" si="222"/>
        <v>I4747</v>
      </c>
    </row>
    <row r="14239" spans="1:6" x14ac:dyDescent="0.2">
      <c r="A14239" s="29" t="s">
        <v>32004</v>
      </c>
      <c r="B14239" s="30" t="s">
        <v>32005</v>
      </c>
      <c r="C14239" s="29" t="s">
        <v>26</v>
      </c>
      <c r="D14239" s="31">
        <v>11575.91</v>
      </c>
      <c r="F14239" s="3" t="str">
        <f t="shared" si="222"/>
        <v>I4748</v>
      </c>
    </row>
    <row r="14240" spans="1:6" x14ac:dyDescent="0.2">
      <c r="A14240" s="29" t="s">
        <v>32006</v>
      </c>
      <c r="B14240" s="30" t="s">
        <v>32007</v>
      </c>
      <c r="C14240" s="29" t="s">
        <v>26</v>
      </c>
      <c r="D14240" s="31">
        <v>12769.5</v>
      </c>
      <c r="F14240" s="3" t="str">
        <f t="shared" si="222"/>
        <v>I4749</v>
      </c>
    </row>
    <row r="14241" spans="1:6" x14ac:dyDescent="0.2">
      <c r="A14241" s="29" t="s">
        <v>32008</v>
      </c>
      <c r="B14241" s="30" t="s">
        <v>32009</v>
      </c>
      <c r="C14241" s="29" t="s">
        <v>26</v>
      </c>
      <c r="D14241" s="31">
        <v>13963.13</v>
      </c>
      <c r="F14241" s="3" t="str">
        <f t="shared" si="222"/>
        <v>I4750</v>
      </c>
    </row>
    <row r="14242" spans="1:6" x14ac:dyDescent="0.2">
      <c r="A14242" s="29" t="s">
        <v>32010</v>
      </c>
      <c r="B14242" s="30" t="s">
        <v>32011</v>
      </c>
      <c r="C14242" s="29" t="s">
        <v>26</v>
      </c>
      <c r="D14242" s="31">
        <v>15988.12</v>
      </c>
      <c r="F14242" s="3" t="str">
        <f t="shared" si="222"/>
        <v>I4751</v>
      </c>
    </row>
    <row r="14243" spans="1:6" x14ac:dyDescent="0.2">
      <c r="A14243" s="29" t="s">
        <v>32012</v>
      </c>
      <c r="B14243" s="30" t="s">
        <v>32013</v>
      </c>
      <c r="C14243" s="29" t="s">
        <v>26</v>
      </c>
      <c r="D14243" s="31">
        <v>16362.28</v>
      </c>
      <c r="F14243" s="3" t="str">
        <f t="shared" si="222"/>
        <v>I4752</v>
      </c>
    </row>
    <row r="14244" spans="1:6" x14ac:dyDescent="0.2">
      <c r="A14244" s="29" t="s">
        <v>32014</v>
      </c>
      <c r="B14244" s="30" t="s">
        <v>32015</v>
      </c>
      <c r="C14244" s="29" t="s">
        <v>26</v>
      </c>
      <c r="D14244" s="31">
        <v>16582.23</v>
      </c>
      <c r="F14244" s="3" t="str">
        <f t="shared" si="222"/>
        <v>I4753</v>
      </c>
    </row>
    <row r="14245" spans="1:6" x14ac:dyDescent="0.2">
      <c r="A14245" s="29" t="s">
        <v>32016</v>
      </c>
      <c r="B14245" s="30" t="s">
        <v>32017</v>
      </c>
      <c r="C14245" s="29" t="s">
        <v>26</v>
      </c>
      <c r="D14245" s="31">
        <v>7461.33</v>
      </c>
      <c r="F14245" s="3" t="str">
        <f t="shared" si="222"/>
        <v>I6676</v>
      </c>
    </row>
    <row r="14246" spans="1:6" x14ac:dyDescent="0.2">
      <c r="A14246" s="29" t="s">
        <v>32018</v>
      </c>
      <c r="B14246" s="30" t="s">
        <v>32019</v>
      </c>
      <c r="C14246" s="29" t="s">
        <v>26</v>
      </c>
      <c r="D14246" s="31">
        <v>13477.23</v>
      </c>
      <c r="F14246" s="3" t="str">
        <f t="shared" si="222"/>
        <v>I4754</v>
      </c>
    </row>
    <row r="14247" spans="1:6" x14ac:dyDescent="0.2">
      <c r="A14247" s="29" t="s">
        <v>32020</v>
      </c>
      <c r="B14247" s="30" t="s">
        <v>32021</v>
      </c>
      <c r="C14247" s="29" t="s">
        <v>26</v>
      </c>
      <c r="D14247" s="31">
        <v>14740.93</v>
      </c>
      <c r="F14247" s="3" t="str">
        <f t="shared" si="222"/>
        <v>I4755</v>
      </c>
    </row>
    <row r="14248" spans="1:6" x14ac:dyDescent="0.2">
      <c r="A14248" s="29" t="s">
        <v>32022</v>
      </c>
      <c r="B14248" s="30" t="s">
        <v>32023</v>
      </c>
      <c r="C14248" s="29" t="s">
        <v>26</v>
      </c>
      <c r="D14248" s="31">
        <v>16895.77</v>
      </c>
      <c r="F14248" s="3" t="str">
        <f t="shared" si="222"/>
        <v>I4756</v>
      </c>
    </row>
    <row r="14249" spans="1:6" x14ac:dyDescent="0.2">
      <c r="A14249" s="29" t="s">
        <v>32024</v>
      </c>
      <c r="B14249" s="30" t="s">
        <v>32025</v>
      </c>
      <c r="C14249" s="29" t="s">
        <v>26</v>
      </c>
      <c r="D14249" s="31">
        <v>19050.560000000001</v>
      </c>
      <c r="F14249" s="3" t="str">
        <f t="shared" si="222"/>
        <v>I4757</v>
      </c>
    </row>
    <row r="14250" spans="1:6" x14ac:dyDescent="0.2">
      <c r="A14250" s="29" t="s">
        <v>32026</v>
      </c>
      <c r="B14250" s="30" t="s">
        <v>32027</v>
      </c>
      <c r="C14250" s="29" t="s">
        <v>26</v>
      </c>
      <c r="D14250" s="31">
        <v>21210.16</v>
      </c>
      <c r="F14250" s="3" t="str">
        <f t="shared" si="222"/>
        <v>I4758</v>
      </c>
    </row>
    <row r="14251" spans="1:6" x14ac:dyDescent="0.2">
      <c r="A14251" s="29" t="s">
        <v>32028</v>
      </c>
      <c r="B14251" s="30" t="s">
        <v>32029</v>
      </c>
      <c r="C14251" s="29" t="s">
        <v>26</v>
      </c>
      <c r="D14251" s="31">
        <v>23364.94</v>
      </c>
      <c r="F14251" s="3" t="str">
        <f t="shared" si="222"/>
        <v>I4759</v>
      </c>
    </row>
    <row r="14252" spans="1:6" x14ac:dyDescent="0.2">
      <c r="A14252" s="29" t="s">
        <v>32030</v>
      </c>
      <c r="B14252" s="30" t="s">
        <v>32031</v>
      </c>
      <c r="C14252" s="29" t="s">
        <v>26</v>
      </c>
      <c r="D14252" s="31">
        <v>25524.35</v>
      </c>
      <c r="F14252" s="3" t="str">
        <f t="shared" si="222"/>
        <v>I4760</v>
      </c>
    </row>
    <row r="14253" spans="1:6" x14ac:dyDescent="0.2">
      <c r="A14253" s="29" t="s">
        <v>32032</v>
      </c>
      <c r="B14253" s="30" t="s">
        <v>32033</v>
      </c>
      <c r="C14253" s="29" t="s">
        <v>26</v>
      </c>
      <c r="D14253" s="31">
        <v>27679.1</v>
      </c>
      <c r="F14253" s="3" t="str">
        <f t="shared" si="222"/>
        <v>I4761</v>
      </c>
    </row>
    <row r="14254" spans="1:6" x14ac:dyDescent="0.2">
      <c r="A14254" s="29" t="s">
        <v>32034</v>
      </c>
      <c r="B14254" s="30" t="s">
        <v>32035</v>
      </c>
      <c r="C14254" s="29" t="s">
        <v>26</v>
      </c>
      <c r="D14254" s="31">
        <v>29834.05</v>
      </c>
      <c r="F14254" s="3" t="str">
        <f t="shared" si="222"/>
        <v>I4762</v>
      </c>
    </row>
    <row r="14255" spans="1:6" x14ac:dyDescent="0.2">
      <c r="A14255" s="29" t="s">
        <v>32036</v>
      </c>
      <c r="B14255" s="30" t="s">
        <v>32037</v>
      </c>
      <c r="C14255" s="29" t="s">
        <v>26</v>
      </c>
      <c r="D14255" s="31">
        <v>31993.47</v>
      </c>
      <c r="F14255" s="3" t="str">
        <f t="shared" si="222"/>
        <v>I4763</v>
      </c>
    </row>
    <row r="14256" spans="1:6" x14ac:dyDescent="0.2">
      <c r="A14256" s="29" t="s">
        <v>32038</v>
      </c>
      <c r="B14256" s="30" t="s">
        <v>32039</v>
      </c>
      <c r="C14256" s="29" t="s">
        <v>26</v>
      </c>
      <c r="D14256" s="31">
        <v>35457.589999999997</v>
      </c>
      <c r="F14256" s="3" t="str">
        <f t="shared" si="222"/>
        <v>I4764</v>
      </c>
    </row>
    <row r="14257" spans="1:6" x14ac:dyDescent="0.2">
      <c r="A14257" s="29" t="s">
        <v>32040</v>
      </c>
      <c r="B14257" s="30" t="s">
        <v>32041</v>
      </c>
      <c r="C14257" s="29" t="s">
        <v>26</v>
      </c>
      <c r="D14257" s="31">
        <v>36061.129999999997</v>
      </c>
      <c r="F14257" s="3" t="str">
        <f t="shared" si="222"/>
        <v>I4765</v>
      </c>
    </row>
    <row r="14258" spans="1:6" x14ac:dyDescent="0.2">
      <c r="A14258" s="29" t="s">
        <v>32042</v>
      </c>
      <c r="B14258" s="30" t="s">
        <v>32043</v>
      </c>
      <c r="C14258" s="29" t="s">
        <v>26</v>
      </c>
      <c r="D14258" s="31">
        <v>36427.94</v>
      </c>
      <c r="F14258" s="3" t="str">
        <f t="shared" si="222"/>
        <v>I4766</v>
      </c>
    </row>
    <row r="14259" spans="1:6" x14ac:dyDescent="0.2">
      <c r="A14259" s="29" t="s">
        <v>32044</v>
      </c>
      <c r="B14259" s="30" t="s">
        <v>32045</v>
      </c>
      <c r="C14259" s="29" t="s">
        <v>26</v>
      </c>
      <c r="D14259" s="31">
        <v>11519.25</v>
      </c>
      <c r="F14259" s="3" t="str">
        <f t="shared" si="222"/>
        <v>I6677</v>
      </c>
    </row>
    <row r="14260" spans="1:6" x14ac:dyDescent="0.2">
      <c r="A14260" s="29" t="s">
        <v>32046</v>
      </c>
      <c r="B14260" s="30" t="s">
        <v>32047</v>
      </c>
      <c r="C14260" s="29" t="s">
        <v>26</v>
      </c>
      <c r="D14260" s="31">
        <v>15302.23</v>
      </c>
      <c r="F14260" s="3" t="str">
        <f t="shared" si="222"/>
        <v>I4767</v>
      </c>
    </row>
    <row r="14261" spans="1:6" x14ac:dyDescent="0.2">
      <c r="A14261" s="29" t="s">
        <v>32048</v>
      </c>
      <c r="B14261" s="30" t="s">
        <v>32049</v>
      </c>
      <c r="C14261" s="29" t="s">
        <v>26</v>
      </c>
      <c r="D14261" s="31">
        <v>17900.419999999998</v>
      </c>
      <c r="F14261" s="3" t="str">
        <f t="shared" si="222"/>
        <v>I4768</v>
      </c>
    </row>
    <row r="14262" spans="1:6" x14ac:dyDescent="0.2">
      <c r="A14262" s="29" t="s">
        <v>32050</v>
      </c>
      <c r="B14262" s="30" t="s">
        <v>32051</v>
      </c>
      <c r="C14262" s="29" t="s">
        <v>26</v>
      </c>
      <c r="D14262" s="31">
        <v>20497.419999999998</v>
      </c>
      <c r="F14262" s="3" t="str">
        <f t="shared" si="222"/>
        <v>I4769</v>
      </c>
    </row>
    <row r="14263" spans="1:6" x14ac:dyDescent="0.2">
      <c r="A14263" s="29" t="s">
        <v>32052</v>
      </c>
      <c r="B14263" s="30" t="s">
        <v>32053</v>
      </c>
      <c r="C14263" s="29" t="s">
        <v>26</v>
      </c>
      <c r="D14263" s="31">
        <v>21059.53</v>
      </c>
      <c r="F14263" s="3" t="str">
        <f t="shared" si="222"/>
        <v>I4770</v>
      </c>
    </row>
    <row r="14264" spans="1:6" x14ac:dyDescent="0.2">
      <c r="A14264" s="29" t="s">
        <v>32054</v>
      </c>
      <c r="B14264" s="30" t="s">
        <v>32055</v>
      </c>
      <c r="C14264" s="29" t="s">
        <v>26</v>
      </c>
      <c r="D14264" s="31">
        <v>25699.59</v>
      </c>
      <c r="F14264" s="3" t="str">
        <f t="shared" si="222"/>
        <v>I4771</v>
      </c>
    </row>
    <row r="14265" spans="1:6" x14ac:dyDescent="0.2">
      <c r="A14265" s="29" t="s">
        <v>32056</v>
      </c>
      <c r="B14265" s="30" t="s">
        <v>32057</v>
      </c>
      <c r="C14265" s="29" t="s">
        <v>26</v>
      </c>
      <c r="D14265" s="31">
        <v>28149.45</v>
      </c>
      <c r="F14265" s="3" t="str">
        <f t="shared" si="222"/>
        <v>I4772</v>
      </c>
    </row>
    <row r="14266" spans="1:6" x14ac:dyDescent="0.2">
      <c r="A14266" s="29" t="s">
        <v>32058</v>
      </c>
      <c r="B14266" s="30" t="s">
        <v>32059</v>
      </c>
      <c r="C14266" s="29" t="s">
        <v>26</v>
      </c>
      <c r="D14266" s="31">
        <v>30901.94</v>
      </c>
      <c r="F14266" s="3" t="str">
        <f t="shared" si="222"/>
        <v>I4773</v>
      </c>
    </row>
    <row r="14267" spans="1:6" x14ac:dyDescent="0.2">
      <c r="A14267" s="29" t="s">
        <v>32060</v>
      </c>
      <c r="B14267" s="30" t="s">
        <v>32061</v>
      </c>
      <c r="C14267" s="29" t="s">
        <v>26</v>
      </c>
      <c r="D14267" s="31">
        <v>33503.1</v>
      </c>
      <c r="F14267" s="3" t="str">
        <f t="shared" si="222"/>
        <v>I4774</v>
      </c>
    </row>
    <row r="14268" spans="1:6" x14ac:dyDescent="0.2">
      <c r="A14268" s="29" t="s">
        <v>32062</v>
      </c>
      <c r="B14268" s="30" t="s">
        <v>32063</v>
      </c>
      <c r="C14268" s="29" t="s">
        <v>26</v>
      </c>
      <c r="D14268" s="31">
        <v>36104.199999999997</v>
      </c>
      <c r="F14268" s="3" t="str">
        <f t="shared" si="222"/>
        <v>I4775</v>
      </c>
    </row>
    <row r="14269" spans="1:6" x14ac:dyDescent="0.2">
      <c r="A14269" s="29" t="s">
        <v>32064</v>
      </c>
      <c r="B14269" s="30" t="s">
        <v>32065</v>
      </c>
      <c r="C14269" s="29" t="s">
        <v>26</v>
      </c>
      <c r="D14269" s="31">
        <v>38700.75</v>
      </c>
      <c r="F14269" s="3" t="str">
        <f t="shared" si="222"/>
        <v>I4776</v>
      </c>
    </row>
    <row r="14270" spans="1:6" x14ac:dyDescent="0.2">
      <c r="A14270" s="29" t="s">
        <v>32066</v>
      </c>
      <c r="B14270" s="30" t="s">
        <v>32067</v>
      </c>
      <c r="C14270" s="29" t="s">
        <v>26</v>
      </c>
      <c r="D14270" s="31">
        <v>42874.400000000001</v>
      </c>
      <c r="F14270" s="3" t="str">
        <f t="shared" si="222"/>
        <v>I4777</v>
      </c>
    </row>
    <row r="14271" spans="1:6" x14ac:dyDescent="0.2">
      <c r="A14271" s="29" t="s">
        <v>32068</v>
      </c>
      <c r="B14271" s="30" t="s">
        <v>32069</v>
      </c>
      <c r="C14271" s="29" t="s">
        <v>26</v>
      </c>
      <c r="D14271" s="31">
        <v>42874.400000000001</v>
      </c>
      <c r="F14271" s="3" t="str">
        <f t="shared" si="222"/>
        <v>I4778</v>
      </c>
    </row>
    <row r="14272" spans="1:6" x14ac:dyDescent="0.2">
      <c r="A14272" s="29" t="s">
        <v>32070</v>
      </c>
      <c r="B14272" s="30" t="s">
        <v>32071</v>
      </c>
      <c r="C14272" s="29" t="s">
        <v>26</v>
      </c>
      <c r="D14272" s="31">
        <v>44055.37</v>
      </c>
      <c r="F14272" s="3" t="str">
        <f t="shared" si="222"/>
        <v>I4779</v>
      </c>
    </row>
    <row r="14273" spans="1:6" x14ac:dyDescent="0.2">
      <c r="A14273" s="29" t="s">
        <v>32072</v>
      </c>
      <c r="B14273" s="30" t="s">
        <v>32073</v>
      </c>
      <c r="C14273" s="29" t="s">
        <v>26</v>
      </c>
      <c r="D14273" s="31">
        <v>15497.19</v>
      </c>
      <c r="F14273" s="3" t="str">
        <f t="shared" si="222"/>
        <v>I6678</v>
      </c>
    </row>
    <row r="14274" spans="1:6" x14ac:dyDescent="0.2">
      <c r="A14274" s="29" t="s">
        <v>32074</v>
      </c>
      <c r="B14274" s="30" t="s">
        <v>32075</v>
      </c>
      <c r="C14274" s="29" t="s">
        <v>26</v>
      </c>
      <c r="D14274" s="31">
        <v>20759.75</v>
      </c>
      <c r="F14274" s="3" t="str">
        <f t="shared" ref="F14274:F14337" si="223">A14274</f>
        <v>I4780</v>
      </c>
    </row>
    <row r="14275" spans="1:6" x14ac:dyDescent="0.2">
      <c r="A14275" s="29" t="s">
        <v>32076</v>
      </c>
      <c r="B14275" s="30" t="s">
        <v>32077</v>
      </c>
      <c r="C14275" s="29" t="s">
        <v>26</v>
      </c>
      <c r="D14275" s="31">
        <v>23842.94</v>
      </c>
      <c r="F14275" s="3" t="str">
        <f t="shared" si="223"/>
        <v>I4781</v>
      </c>
    </row>
    <row r="14276" spans="1:6" x14ac:dyDescent="0.2">
      <c r="A14276" s="29" t="s">
        <v>32078</v>
      </c>
      <c r="B14276" s="30" t="s">
        <v>32079</v>
      </c>
      <c r="C14276" s="29" t="s">
        <v>26</v>
      </c>
      <c r="D14276" s="31">
        <v>26926.15</v>
      </c>
      <c r="F14276" s="3" t="str">
        <f t="shared" si="223"/>
        <v>I4782</v>
      </c>
    </row>
    <row r="14277" spans="1:6" x14ac:dyDescent="0.2">
      <c r="A14277" s="29" t="s">
        <v>32080</v>
      </c>
      <c r="B14277" s="30" t="s">
        <v>32081</v>
      </c>
      <c r="C14277" s="29" t="s">
        <v>26</v>
      </c>
      <c r="D14277" s="31">
        <v>30009.33</v>
      </c>
      <c r="F14277" s="3" t="str">
        <f t="shared" si="223"/>
        <v>I4783</v>
      </c>
    </row>
    <row r="14278" spans="1:6" x14ac:dyDescent="0.2">
      <c r="A14278" s="29" t="s">
        <v>32082</v>
      </c>
      <c r="B14278" s="30" t="s">
        <v>32083</v>
      </c>
      <c r="C14278" s="29" t="s">
        <v>26</v>
      </c>
      <c r="D14278" s="31">
        <v>33092.49</v>
      </c>
      <c r="F14278" s="3" t="str">
        <f t="shared" si="223"/>
        <v>I4784</v>
      </c>
    </row>
    <row r="14279" spans="1:6" x14ac:dyDescent="0.2">
      <c r="A14279" s="29" t="s">
        <v>32084</v>
      </c>
      <c r="B14279" s="30" t="s">
        <v>32085</v>
      </c>
      <c r="C14279" s="29" t="s">
        <v>26</v>
      </c>
      <c r="D14279" s="31">
        <v>35973.919999999998</v>
      </c>
      <c r="F14279" s="3" t="str">
        <f t="shared" si="223"/>
        <v>I4785</v>
      </c>
    </row>
    <row r="14280" spans="1:6" x14ac:dyDescent="0.2">
      <c r="A14280" s="29" t="s">
        <v>32086</v>
      </c>
      <c r="B14280" s="30" t="s">
        <v>32087</v>
      </c>
      <c r="C14280" s="29" t="s">
        <v>26</v>
      </c>
      <c r="D14280" s="31">
        <v>39258.85</v>
      </c>
      <c r="F14280" s="3" t="str">
        <f t="shared" si="223"/>
        <v>I4786</v>
      </c>
    </row>
    <row r="14281" spans="1:6" x14ac:dyDescent="0.2">
      <c r="A14281" s="29" t="s">
        <v>32088</v>
      </c>
      <c r="B14281" s="30" t="s">
        <v>32089</v>
      </c>
      <c r="C14281" s="29" t="s">
        <v>26</v>
      </c>
      <c r="D14281" s="31">
        <v>42342.06</v>
      </c>
      <c r="F14281" s="3" t="str">
        <f t="shared" si="223"/>
        <v>I4787</v>
      </c>
    </row>
    <row r="14282" spans="1:6" x14ac:dyDescent="0.2">
      <c r="A14282" s="29" t="s">
        <v>32090</v>
      </c>
      <c r="B14282" s="30" t="s">
        <v>32091</v>
      </c>
      <c r="C14282" s="29" t="s">
        <v>26</v>
      </c>
      <c r="D14282" s="31">
        <v>45425.279999999999</v>
      </c>
      <c r="F14282" s="3" t="str">
        <f t="shared" si="223"/>
        <v>I4788</v>
      </c>
    </row>
    <row r="14283" spans="1:6" x14ac:dyDescent="0.2">
      <c r="A14283" s="29" t="s">
        <v>32092</v>
      </c>
      <c r="B14283" s="30" t="s">
        <v>32093</v>
      </c>
      <c r="C14283" s="29" t="s">
        <v>26</v>
      </c>
      <c r="D14283" s="31">
        <v>48508.44</v>
      </c>
      <c r="F14283" s="3" t="str">
        <f t="shared" si="223"/>
        <v>I4789</v>
      </c>
    </row>
    <row r="14284" spans="1:6" x14ac:dyDescent="0.2">
      <c r="A14284" s="29" t="s">
        <v>32094</v>
      </c>
      <c r="B14284" s="30" t="s">
        <v>32095</v>
      </c>
      <c r="C14284" s="29" t="s">
        <v>26</v>
      </c>
      <c r="D14284" s="31">
        <v>53451.65</v>
      </c>
      <c r="F14284" s="3" t="str">
        <f t="shared" si="223"/>
        <v>I4790</v>
      </c>
    </row>
    <row r="14285" spans="1:6" x14ac:dyDescent="0.2">
      <c r="A14285" s="29" t="s">
        <v>32096</v>
      </c>
      <c r="B14285" s="30" t="s">
        <v>32097</v>
      </c>
      <c r="C14285" s="29" t="s">
        <v>26</v>
      </c>
      <c r="D14285" s="31">
        <v>54331.13</v>
      </c>
      <c r="F14285" s="3" t="str">
        <f t="shared" si="223"/>
        <v>I4791</v>
      </c>
    </row>
    <row r="14286" spans="1:6" x14ac:dyDescent="0.2">
      <c r="A14286" s="29" t="s">
        <v>32098</v>
      </c>
      <c r="B14286" s="30" t="s">
        <v>32099</v>
      </c>
      <c r="C14286" s="29" t="s">
        <v>26</v>
      </c>
      <c r="D14286" s="31">
        <v>54857.94</v>
      </c>
      <c r="F14286" s="3" t="str">
        <f t="shared" si="223"/>
        <v>I4792</v>
      </c>
    </row>
    <row r="14287" spans="1:6" x14ac:dyDescent="0.2">
      <c r="A14287" s="29" t="s">
        <v>32100</v>
      </c>
      <c r="B14287" s="30" t="s">
        <v>32101</v>
      </c>
      <c r="C14287" s="29" t="s">
        <v>26</v>
      </c>
      <c r="D14287" s="31">
        <v>1274.83</v>
      </c>
      <c r="F14287" s="3" t="str">
        <f t="shared" si="223"/>
        <v>I12587</v>
      </c>
    </row>
    <row r="14288" spans="1:6" x14ac:dyDescent="0.2">
      <c r="A14288" s="29" t="s">
        <v>32102</v>
      </c>
      <c r="B14288" s="30" t="s">
        <v>32103</v>
      </c>
      <c r="C14288" s="29" t="s">
        <v>26</v>
      </c>
      <c r="D14288" s="31">
        <v>1501.34</v>
      </c>
      <c r="F14288" s="3" t="str">
        <f t="shared" si="223"/>
        <v>I12588</v>
      </c>
    </row>
    <row r="14289" spans="1:6" x14ac:dyDescent="0.2">
      <c r="A14289" s="29" t="s">
        <v>32104</v>
      </c>
      <c r="B14289" s="30" t="s">
        <v>32105</v>
      </c>
      <c r="C14289" s="29" t="s">
        <v>26</v>
      </c>
      <c r="D14289" s="31">
        <v>1727.77</v>
      </c>
      <c r="F14289" s="3" t="str">
        <f t="shared" si="223"/>
        <v>I12589</v>
      </c>
    </row>
    <row r="14290" spans="1:6" x14ac:dyDescent="0.2">
      <c r="A14290" s="29" t="s">
        <v>32106</v>
      </c>
      <c r="B14290" s="30" t="s">
        <v>32107</v>
      </c>
      <c r="C14290" s="29" t="s">
        <v>26</v>
      </c>
      <c r="D14290" s="31">
        <v>1954.22</v>
      </c>
      <c r="F14290" s="3" t="str">
        <f t="shared" si="223"/>
        <v>I12590</v>
      </c>
    </row>
    <row r="14291" spans="1:6" x14ac:dyDescent="0.2">
      <c r="A14291" s="29" t="s">
        <v>32108</v>
      </c>
      <c r="B14291" s="30" t="s">
        <v>32109</v>
      </c>
      <c r="C14291" s="29" t="s">
        <v>26</v>
      </c>
      <c r="D14291" s="31">
        <v>2180.63</v>
      </c>
      <c r="F14291" s="3" t="str">
        <f t="shared" si="223"/>
        <v>I12591</v>
      </c>
    </row>
    <row r="14292" spans="1:6" x14ac:dyDescent="0.2">
      <c r="A14292" s="29" t="s">
        <v>32110</v>
      </c>
      <c r="B14292" s="30" t="s">
        <v>32111</v>
      </c>
      <c r="C14292" s="29" t="s">
        <v>26</v>
      </c>
      <c r="D14292" s="31">
        <v>2407.16</v>
      </c>
      <c r="F14292" s="3" t="str">
        <f t="shared" si="223"/>
        <v>I12592</v>
      </c>
    </row>
    <row r="14293" spans="1:6" x14ac:dyDescent="0.2">
      <c r="A14293" s="29" t="s">
        <v>32112</v>
      </c>
      <c r="B14293" s="30" t="s">
        <v>32113</v>
      </c>
      <c r="C14293" s="29" t="s">
        <v>26</v>
      </c>
      <c r="D14293" s="31">
        <v>2629.03</v>
      </c>
      <c r="F14293" s="3" t="str">
        <f t="shared" si="223"/>
        <v>I12593</v>
      </c>
    </row>
    <row r="14294" spans="1:6" x14ac:dyDescent="0.2">
      <c r="A14294" s="29" t="s">
        <v>32114</v>
      </c>
      <c r="B14294" s="30" t="s">
        <v>32115</v>
      </c>
      <c r="C14294" s="29" t="s">
        <v>26</v>
      </c>
      <c r="D14294" s="31">
        <v>2855.51</v>
      </c>
      <c r="F14294" s="3" t="str">
        <f t="shared" si="223"/>
        <v>I12594</v>
      </c>
    </row>
    <row r="14295" spans="1:6" x14ac:dyDescent="0.2">
      <c r="A14295" s="29" t="s">
        <v>32116</v>
      </c>
      <c r="B14295" s="30" t="s">
        <v>32117</v>
      </c>
      <c r="C14295" s="29" t="s">
        <v>26</v>
      </c>
      <c r="D14295" s="31">
        <v>3267.3</v>
      </c>
      <c r="F14295" s="3" t="str">
        <f t="shared" si="223"/>
        <v>I12595</v>
      </c>
    </row>
    <row r="14296" spans="1:6" x14ac:dyDescent="0.2">
      <c r="A14296" s="29" t="s">
        <v>32118</v>
      </c>
      <c r="B14296" s="30" t="s">
        <v>32119</v>
      </c>
      <c r="C14296" s="29" t="s">
        <v>26</v>
      </c>
      <c r="D14296" s="31">
        <v>3310.08</v>
      </c>
      <c r="F14296" s="3" t="str">
        <f t="shared" si="223"/>
        <v>I12596</v>
      </c>
    </row>
    <row r="14297" spans="1:6" x14ac:dyDescent="0.2">
      <c r="A14297" s="29" t="s">
        <v>32120</v>
      </c>
      <c r="B14297" s="30" t="s">
        <v>32121</v>
      </c>
      <c r="C14297" s="29" t="s">
        <v>26</v>
      </c>
      <c r="D14297" s="31">
        <v>3333.97</v>
      </c>
      <c r="F14297" s="3" t="str">
        <f t="shared" si="223"/>
        <v>I12597</v>
      </c>
    </row>
    <row r="14298" spans="1:6" x14ac:dyDescent="0.2">
      <c r="A14298" s="29" t="s">
        <v>32122</v>
      </c>
      <c r="B14298" s="30" t="s">
        <v>32123</v>
      </c>
      <c r="C14298" s="29" t="s">
        <v>26</v>
      </c>
      <c r="D14298" s="31">
        <v>22317.42</v>
      </c>
      <c r="F14298" s="3" t="str">
        <f t="shared" si="223"/>
        <v>I4793</v>
      </c>
    </row>
    <row r="14299" spans="1:6" x14ac:dyDescent="0.2">
      <c r="A14299" s="29" t="s">
        <v>32124</v>
      </c>
      <c r="B14299" s="30" t="s">
        <v>32125</v>
      </c>
      <c r="C14299" s="29" t="s">
        <v>26</v>
      </c>
      <c r="D14299" s="31">
        <v>25956.84</v>
      </c>
      <c r="F14299" s="3" t="str">
        <f t="shared" si="223"/>
        <v>I4794</v>
      </c>
    </row>
    <row r="14300" spans="1:6" x14ac:dyDescent="0.2">
      <c r="A14300" s="29" t="s">
        <v>32126</v>
      </c>
      <c r="B14300" s="30" t="s">
        <v>32127</v>
      </c>
      <c r="C14300" s="29" t="s">
        <v>26</v>
      </c>
      <c r="D14300" s="31">
        <v>29596.33</v>
      </c>
      <c r="F14300" s="3" t="str">
        <f t="shared" si="223"/>
        <v>I4795</v>
      </c>
    </row>
    <row r="14301" spans="1:6" x14ac:dyDescent="0.2">
      <c r="A14301" s="29" t="s">
        <v>32128</v>
      </c>
      <c r="B14301" s="30" t="s">
        <v>32129</v>
      </c>
      <c r="C14301" s="29" t="s">
        <v>26</v>
      </c>
      <c r="D14301" s="31">
        <v>33231.050000000003</v>
      </c>
      <c r="F14301" s="3" t="str">
        <f t="shared" si="223"/>
        <v>I4796</v>
      </c>
    </row>
    <row r="14302" spans="1:6" x14ac:dyDescent="0.2">
      <c r="A14302" s="29" t="s">
        <v>32130</v>
      </c>
      <c r="B14302" s="30" t="s">
        <v>32131</v>
      </c>
      <c r="C14302" s="29" t="s">
        <v>26</v>
      </c>
      <c r="D14302" s="31">
        <v>36870.42</v>
      </c>
      <c r="F14302" s="3" t="str">
        <f t="shared" si="223"/>
        <v>I4797</v>
      </c>
    </row>
    <row r="14303" spans="1:6" x14ac:dyDescent="0.2">
      <c r="A14303" s="29" t="s">
        <v>32132</v>
      </c>
      <c r="B14303" s="30" t="s">
        <v>32133</v>
      </c>
      <c r="C14303" s="29" t="s">
        <v>26</v>
      </c>
      <c r="D14303" s="31">
        <v>40486.89</v>
      </c>
      <c r="F14303" s="3" t="str">
        <f t="shared" si="223"/>
        <v>I4798</v>
      </c>
    </row>
    <row r="14304" spans="1:6" x14ac:dyDescent="0.2">
      <c r="A14304" s="29" t="s">
        <v>32134</v>
      </c>
      <c r="B14304" s="30" t="s">
        <v>32135</v>
      </c>
      <c r="C14304" s="29" t="s">
        <v>26</v>
      </c>
      <c r="D14304" s="31">
        <v>44144.6</v>
      </c>
      <c r="F14304" s="3" t="str">
        <f t="shared" si="223"/>
        <v>I4799</v>
      </c>
    </row>
    <row r="14305" spans="1:6" x14ac:dyDescent="0.2">
      <c r="A14305" s="29" t="s">
        <v>32136</v>
      </c>
      <c r="B14305" s="30" t="s">
        <v>32137</v>
      </c>
      <c r="C14305" s="29" t="s">
        <v>26</v>
      </c>
      <c r="D14305" s="31">
        <v>47783.99</v>
      </c>
      <c r="F14305" s="3" t="str">
        <f t="shared" si="223"/>
        <v>I4800</v>
      </c>
    </row>
    <row r="14306" spans="1:6" x14ac:dyDescent="0.2">
      <c r="A14306" s="29" t="s">
        <v>32138</v>
      </c>
      <c r="B14306" s="30" t="s">
        <v>32139</v>
      </c>
      <c r="C14306" s="29" t="s">
        <v>26</v>
      </c>
      <c r="D14306" s="31">
        <v>17118.78</v>
      </c>
      <c r="F14306" s="3" t="str">
        <f t="shared" si="223"/>
        <v>I6679</v>
      </c>
    </row>
    <row r="14307" spans="1:6" x14ac:dyDescent="0.2">
      <c r="A14307" s="29" t="s">
        <v>32140</v>
      </c>
      <c r="B14307" s="30" t="s">
        <v>32141</v>
      </c>
      <c r="C14307" s="29" t="s">
        <v>26</v>
      </c>
      <c r="D14307" s="31">
        <v>51423.43</v>
      </c>
      <c r="F14307" s="3" t="str">
        <f t="shared" si="223"/>
        <v>I4801</v>
      </c>
    </row>
    <row r="14308" spans="1:6" x14ac:dyDescent="0.2">
      <c r="A14308" s="29" t="s">
        <v>32142</v>
      </c>
      <c r="B14308" s="30" t="s">
        <v>32143</v>
      </c>
      <c r="C14308" s="29" t="s">
        <v>26</v>
      </c>
      <c r="D14308" s="31">
        <v>55058.26</v>
      </c>
      <c r="F14308" s="3" t="str">
        <f t="shared" si="223"/>
        <v>I4802</v>
      </c>
    </row>
    <row r="14309" spans="1:6" x14ac:dyDescent="0.2">
      <c r="A14309" s="29" t="s">
        <v>32144</v>
      </c>
      <c r="B14309" s="30" t="s">
        <v>32145</v>
      </c>
      <c r="C14309" s="29" t="s">
        <v>26</v>
      </c>
      <c r="D14309" s="31">
        <v>60887.06</v>
      </c>
      <c r="F14309" s="3" t="str">
        <f t="shared" si="223"/>
        <v>I4803</v>
      </c>
    </row>
    <row r="14310" spans="1:6" x14ac:dyDescent="0.2">
      <c r="A14310" s="29" t="s">
        <v>32146</v>
      </c>
      <c r="B14310" s="30" t="s">
        <v>32147</v>
      </c>
      <c r="C14310" s="29" t="s">
        <v>26</v>
      </c>
      <c r="D14310" s="31">
        <v>61932.5</v>
      </c>
      <c r="F14310" s="3" t="str">
        <f t="shared" si="223"/>
        <v>I4804</v>
      </c>
    </row>
    <row r="14311" spans="1:6" x14ac:dyDescent="0.2">
      <c r="A14311" s="29" t="s">
        <v>32148</v>
      </c>
      <c r="B14311" s="30" t="s">
        <v>32149</v>
      </c>
      <c r="C14311" s="29" t="s">
        <v>26</v>
      </c>
      <c r="D14311" s="31">
        <v>62558.83</v>
      </c>
      <c r="F14311" s="3" t="str">
        <f t="shared" si="223"/>
        <v>I4805</v>
      </c>
    </row>
    <row r="14312" spans="1:6" x14ac:dyDescent="0.2">
      <c r="A14312" s="29" t="s">
        <v>32150</v>
      </c>
      <c r="B14312" s="30" t="s">
        <v>32151</v>
      </c>
      <c r="C14312" s="29" t="s">
        <v>26</v>
      </c>
      <c r="D14312" s="31">
        <v>41523.18</v>
      </c>
      <c r="F14312" s="3" t="str">
        <f t="shared" si="223"/>
        <v>I12810</v>
      </c>
    </row>
    <row r="14313" spans="1:6" x14ac:dyDescent="0.2">
      <c r="A14313" s="29" t="s">
        <v>32152</v>
      </c>
      <c r="B14313" s="30" t="s">
        <v>32153</v>
      </c>
      <c r="C14313" s="29" t="s">
        <v>26</v>
      </c>
      <c r="D14313" s="31">
        <v>48038.92</v>
      </c>
      <c r="F14313" s="3" t="str">
        <f t="shared" si="223"/>
        <v>I12811</v>
      </c>
    </row>
    <row r="14314" spans="1:6" x14ac:dyDescent="0.2">
      <c r="A14314" s="29" t="s">
        <v>32154</v>
      </c>
      <c r="B14314" s="30" t="s">
        <v>32155</v>
      </c>
      <c r="C14314" s="29" t="s">
        <v>26</v>
      </c>
      <c r="D14314" s="31">
        <v>68513.399999999994</v>
      </c>
      <c r="F14314" s="3" t="str">
        <f t="shared" si="223"/>
        <v>I12812</v>
      </c>
    </row>
    <row r="14315" spans="1:6" x14ac:dyDescent="0.2">
      <c r="A14315" s="29" t="s">
        <v>32156</v>
      </c>
      <c r="B14315" s="30" t="s">
        <v>32157</v>
      </c>
      <c r="C14315" s="29" t="s">
        <v>26</v>
      </c>
      <c r="D14315" s="31">
        <v>39307.42</v>
      </c>
      <c r="F14315" s="3" t="str">
        <f t="shared" si="223"/>
        <v>I12813</v>
      </c>
    </row>
    <row r="14316" spans="1:6" x14ac:dyDescent="0.2">
      <c r="A14316" s="29" t="s">
        <v>32158</v>
      </c>
      <c r="B14316" s="30" t="s">
        <v>32159</v>
      </c>
      <c r="C14316" s="29" t="s">
        <v>26</v>
      </c>
      <c r="D14316" s="31">
        <v>29808.71</v>
      </c>
      <c r="F14316" s="3" t="str">
        <f t="shared" si="223"/>
        <v>I12814</v>
      </c>
    </row>
    <row r="14317" spans="1:6" x14ac:dyDescent="0.2">
      <c r="A14317" s="29" t="s">
        <v>32160</v>
      </c>
      <c r="B14317" s="30" t="s">
        <v>32161</v>
      </c>
      <c r="C14317" s="29" t="s">
        <v>26</v>
      </c>
      <c r="D14317" s="31">
        <v>48529.04</v>
      </c>
      <c r="F14317" s="3" t="str">
        <f t="shared" si="223"/>
        <v>I12815</v>
      </c>
    </row>
    <row r="14318" spans="1:6" x14ac:dyDescent="0.2">
      <c r="A14318" s="29" t="s">
        <v>32162</v>
      </c>
      <c r="B14318" s="30" t="s">
        <v>32163</v>
      </c>
      <c r="C14318" s="29" t="s">
        <v>26</v>
      </c>
      <c r="D14318" s="31">
        <v>22014.48</v>
      </c>
      <c r="F14318" s="3" t="str">
        <f t="shared" si="223"/>
        <v>I6680</v>
      </c>
    </row>
    <row r="14319" spans="1:6" x14ac:dyDescent="0.2">
      <c r="A14319" s="29" t="s">
        <v>32164</v>
      </c>
      <c r="B14319" s="30" t="s">
        <v>32165</v>
      </c>
      <c r="C14319" s="29" t="s">
        <v>26</v>
      </c>
      <c r="D14319" s="31">
        <v>30248.92</v>
      </c>
      <c r="F14319" s="3" t="str">
        <f t="shared" si="223"/>
        <v>I4806</v>
      </c>
    </row>
    <row r="14320" spans="1:6" x14ac:dyDescent="0.2">
      <c r="A14320" s="29" t="s">
        <v>32166</v>
      </c>
      <c r="B14320" s="30" t="s">
        <v>32167</v>
      </c>
      <c r="C14320" s="29" t="s">
        <v>26</v>
      </c>
      <c r="D14320" s="31">
        <v>35093</v>
      </c>
      <c r="F14320" s="3" t="str">
        <f t="shared" si="223"/>
        <v>I4807</v>
      </c>
    </row>
    <row r="14321" spans="1:6" x14ac:dyDescent="0.2">
      <c r="A14321" s="29" t="s">
        <v>32168</v>
      </c>
      <c r="B14321" s="30" t="s">
        <v>32169</v>
      </c>
      <c r="C14321" s="29" t="s">
        <v>26</v>
      </c>
      <c r="D14321" s="31">
        <v>39932.53</v>
      </c>
      <c r="F14321" s="3" t="str">
        <f t="shared" si="223"/>
        <v>I4808</v>
      </c>
    </row>
    <row r="14322" spans="1:6" x14ac:dyDescent="0.2">
      <c r="A14322" s="29" t="s">
        <v>32170</v>
      </c>
      <c r="B14322" s="30" t="s">
        <v>32171</v>
      </c>
      <c r="C14322" s="29" t="s">
        <v>26</v>
      </c>
      <c r="D14322" s="31">
        <v>44776.67</v>
      </c>
      <c r="F14322" s="3" t="str">
        <f t="shared" si="223"/>
        <v>I4809</v>
      </c>
    </row>
    <row r="14323" spans="1:6" x14ac:dyDescent="0.2">
      <c r="A14323" s="29" t="s">
        <v>32172</v>
      </c>
      <c r="B14323" s="30" t="s">
        <v>32173</v>
      </c>
      <c r="C14323" s="29" t="s">
        <v>26</v>
      </c>
      <c r="D14323" s="31">
        <v>49616.21</v>
      </c>
      <c r="F14323" s="3" t="str">
        <f t="shared" si="223"/>
        <v>I4810</v>
      </c>
    </row>
    <row r="14324" spans="1:6" x14ac:dyDescent="0.2">
      <c r="A14324" s="29" t="s">
        <v>32174</v>
      </c>
      <c r="B14324" s="30" t="s">
        <v>32175</v>
      </c>
      <c r="C14324" s="29" t="s">
        <v>26</v>
      </c>
      <c r="D14324" s="31">
        <v>54180.51</v>
      </c>
      <c r="F14324" s="3" t="str">
        <f t="shared" si="223"/>
        <v>I4811</v>
      </c>
    </row>
    <row r="14325" spans="1:6" x14ac:dyDescent="0.2">
      <c r="A14325" s="29" t="s">
        <v>32176</v>
      </c>
      <c r="B14325" s="30" t="s">
        <v>32177</v>
      </c>
      <c r="C14325" s="29" t="s">
        <v>26</v>
      </c>
      <c r="D14325" s="31">
        <v>59299.74</v>
      </c>
      <c r="F14325" s="3" t="str">
        <f t="shared" si="223"/>
        <v>I4812</v>
      </c>
    </row>
    <row r="14326" spans="1:6" x14ac:dyDescent="0.2">
      <c r="A14326" s="29" t="s">
        <v>32178</v>
      </c>
      <c r="B14326" s="30" t="s">
        <v>32179</v>
      </c>
      <c r="C14326" s="29" t="s">
        <v>26</v>
      </c>
      <c r="D14326" s="31">
        <v>64143.87</v>
      </c>
      <c r="F14326" s="3" t="str">
        <f t="shared" si="223"/>
        <v>I4813</v>
      </c>
    </row>
    <row r="14327" spans="1:6" x14ac:dyDescent="0.2">
      <c r="A14327" s="29" t="s">
        <v>32180</v>
      </c>
      <c r="B14327" s="30" t="s">
        <v>32181</v>
      </c>
      <c r="C14327" s="29" t="s">
        <v>26</v>
      </c>
      <c r="D14327" s="31">
        <v>68983.39</v>
      </c>
      <c r="F14327" s="3" t="str">
        <f t="shared" si="223"/>
        <v>I4814</v>
      </c>
    </row>
    <row r="14328" spans="1:6" x14ac:dyDescent="0.2">
      <c r="A14328" s="29" t="s">
        <v>32182</v>
      </c>
      <c r="B14328" s="30" t="s">
        <v>32183</v>
      </c>
      <c r="C14328" s="29" t="s">
        <v>26</v>
      </c>
      <c r="D14328" s="31">
        <v>73827.45</v>
      </c>
      <c r="F14328" s="3" t="str">
        <f t="shared" si="223"/>
        <v>I4815</v>
      </c>
    </row>
    <row r="14329" spans="1:6" x14ac:dyDescent="0.2">
      <c r="A14329" s="29" t="s">
        <v>32184</v>
      </c>
      <c r="B14329" s="30" t="s">
        <v>32185</v>
      </c>
      <c r="C14329" s="29" t="s">
        <v>26</v>
      </c>
      <c r="D14329" s="31">
        <v>81569.87</v>
      </c>
      <c r="F14329" s="3" t="str">
        <f t="shared" si="223"/>
        <v>I4816</v>
      </c>
    </row>
    <row r="14330" spans="1:6" x14ac:dyDescent="0.2">
      <c r="A14330" s="29" t="s">
        <v>32186</v>
      </c>
      <c r="B14330" s="30" t="s">
        <v>32187</v>
      </c>
      <c r="C14330" s="29" t="s">
        <v>26</v>
      </c>
      <c r="D14330" s="31">
        <v>82974.720000000001</v>
      </c>
      <c r="F14330" s="3" t="str">
        <f t="shared" si="223"/>
        <v>I4817</v>
      </c>
    </row>
    <row r="14331" spans="1:6" x14ac:dyDescent="0.2">
      <c r="A14331" s="29" t="s">
        <v>32188</v>
      </c>
      <c r="B14331" s="30" t="s">
        <v>32189</v>
      </c>
      <c r="C14331" s="29" t="s">
        <v>26</v>
      </c>
      <c r="D14331" s="31">
        <v>83817.58</v>
      </c>
      <c r="F14331" s="3" t="str">
        <f t="shared" si="223"/>
        <v>I4818</v>
      </c>
    </row>
    <row r="14332" spans="1:6" x14ac:dyDescent="0.2">
      <c r="A14332" s="29" t="s">
        <v>32190</v>
      </c>
      <c r="B14332" s="30" t="s">
        <v>32191</v>
      </c>
      <c r="C14332" s="29" t="s">
        <v>26</v>
      </c>
      <c r="D14332" s="31">
        <v>52880.19</v>
      </c>
      <c r="F14332" s="3" t="str">
        <f t="shared" si="223"/>
        <v>I12816</v>
      </c>
    </row>
    <row r="14333" spans="1:6" x14ac:dyDescent="0.2">
      <c r="A14333" s="29" t="s">
        <v>32192</v>
      </c>
      <c r="B14333" s="30" t="s">
        <v>32193</v>
      </c>
      <c r="C14333" s="29" t="s">
        <v>26</v>
      </c>
      <c r="D14333" s="31">
        <v>65213.71</v>
      </c>
      <c r="F14333" s="3" t="str">
        <f t="shared" si="223"/>
        <v>I12817</v>
      </c>
    </row>
    <row r="14334" spans="1:6" x14ac:dyDescent="0.2">
      <c r="A14334" s="29" t="s">
        <v>32194</v>
      </c>
      <c r="B14334" s="30" t="s">
        <v>32195</v>
      </c>
      <c r="C14334" s="29" t="s">
        <v>26</v>
      </c>
      <c r="D14334" s="31">
        <v>84034.28</v>
      </c>
      <c r="F14334" s="3" t="str">
        <f t="shared" si="223"/>
        <v>I12818</v>
      </c>
    </row>
    <row r="14335" spans="1:6" x14ac:dyDescent="0.2">
      <c r="A14335" s="29" t="s">
        <v>32196</v>
      </c>
      <c r="B14335" s="30" t="s">
        <v>32197</v>
      </c>
      <c r="C14335" s="29" t="s">
        <v>26</v>
      </c>
      <c r="D14335" s="31">
        <v>67739.81</v>
      </c>
      <c r="F14335" s="3" t="str">
        <f t="shared" si="223"/>
        <v>I12819</v>
      </c>
    </row>
    <row r="14336" spans="1:6" x14ac:dyDescent="0.2">
      <c r="A14336" s="29" t="s">
        <v>32198</v>
      </c>
      <c r="B14336" s="30" t="s">
        <v>32199</v>
      </c>
      <c r="C14336" s="29" t="s">
        <v>26</v>
      </c>
      <c r="D14336" s="31">
        <v>86085.79</v>
      </c>
      <c r="F14336" s="3" t="str">
        <f t="shared" si="223"/>
        <v>I12820</v>
      </c>
    </row>
    <row r="14337" spans="1:6" x14ac:dyDescent="0.2">
      <c r="A14337" s="29" t="s">
        <v>32200</v>
      </c>
      <c r="B14337" s="30" t="s">
        <v>32201</v>
      </c>
      <c r="C14337" s="29" t="s">
        <v>26</v>
      </c>
      <c r="D14337" s="31">
        <v>1504.94</v>
      </c>
      <c r="F14337" s="3" t="str">
        <f t="shared" si="223"/>
        <v>I12598</v>
      </c>
    </row>
    <row r="14338" spans="1:6" x14ac:dyDescent="0.2">
      <c r="A14338" s="29" t="s">
        <v>32202</v>
      </c>
      <c r="B14338" s="30" t="s">
        <v>32203</v>
      </c>
      <c r="C14338" s="29" t="s">
        <v>26</v>
      </c>
      <c r="D14338" s="31">
        <v>1784.43</v>
      </c>
      <c r="F14338" s="3" t="str">
        <f t="shared" ref="F14338:F14401" si="224">A14338</f>
        <v>I12599</v>
      </c>
    </row>
    <row r="14339" spans="1:6" x14ac:dyDescent="0.2">
      <c r="A14339" s="29" t="s">
        <v>32204</v>
      </c>
      <c r="B14339" s="30" t="s">
        <v>32205</v>
      </c>
      <c r="C14339" s="29" t="s">
        <v>26</v>
      </c>
      <c r="D14339" s="31">
        <v>2059.37</v>
      </c>
      <c r="F14339" s="3" t="str">
        <f t="shared" si="224"/>
        <v>I12600</v>
      </c>
    </row>
    <row r="14340" spans="1:6" x14ac:dyDescent="0.2">
      <c r="A14340" s="29" t="s">
        <v>32206</v>
      </c>
      <c r="B14340" s="30" t="s">
        <v>32207</v>
      </c>
      <c r="C14340" s="29" t="s">
        <v>26</v>
      </c>
      <c r="D14340" s="31">
        <v>2334.15</v>
      </c>
      <c r="F14340" s="3" t="str">
        <f t="shared" si="224"/>
        <v>I12601</v>
      </c>
    </row>
    <row r="14341" spans="1:6" x14ac:dyDescent="0.2">
      <c r="A14341" s="29" t="s">
        <v>32208</v>
      </c>
      <c r="B14341" s="30" t="s">
        <v>32209</v>
      </c>
      <c r="C14341" s="29" t="s">
        <v>26</v>
      </c>
      <c r="D14341" s="31">
        <v>2613.63</v>
      </c>
      <c r="F14341" s="3" t="str">
        <f t="shared" si="224"/>
        <v>I12602</v>
      </c>
    </row>
    <row r="14342" spans="1:6" x14ac:dyDescent="0.2">
      <c r="A14342" s="29" t="s">
        <v>32210</v>
      </c>
      <c r="B14342" s="30" t="s">
        <v>32211</v>
      </c>
      <c r="C14342" s="29" t="s">
        <v>26</v>
      </c>
      <c r="D14342" s="31">
        <v>2888.51</v>
      </c>
      <c r="F14342" s="3" t="str">
        <f t="shared" si="224"/>
        <v>I12603</v>
      </c>
    </row>
    <row r="14343" spans="1:6" x14ac:dyDescent="0.2">
      <c r="A14343" s="29" t="s">
        <v>32212</v>
      </c>
      <c r="B14343" s="30" t="s">
        <v>32213</v>
      </c>
      <c r="C14343" s="29" t="s">
        <v>26</v>
      </c>
      <c r="D14343" s="31">
        <v>3163.36</v>
      </c>
      <c r="F14343" s="3" t="str">
        <f t="shared" si="224"/>
        <v>I12604</v>
      </c>
    </row>
    <row r="14344" spans="1:6" x14ac:dyDescent="0.2">
      <c r="A14344" s="29" t="s">
        <v>32214</v>
      </c>
      <c r="B14344" s="30" t="s">
        <v>32215</v>
      </c>
      <c r="C14344" s="29" t="s">
        <v>26</v>
      </c>
      <c r="D14344" s="31">
        <v>3442.8</v>
      </c>
      <c r="F14344" s="3" t="str">
        <f t="shared" si="224"/>
        <v>I12605</v>
      </c>
    </row>
    <row r="14345" spans="1:6" x14ac:dyDescent="0.2">
      <c r="A14345" s="29" t="s">
        <v>32216</v>
      </c>
      <c r="B14345" s="30" t="s">
        <v>32217</v>
      </c>
      <c r="C14345" s="29" t="s">
        <v>26</v>
      </c>
      <c r="D14345" s="31">
        <v>3932.66</v>
      </c>
      <c r="F14345" s="3" t="str">
        <f t="shared" si="224"/>
        <v>I12606</v>
      </c>
    </row>
    <row r="14346" spans="1:6" x14ac:dyDescent="0.2">
      <c r="A14346" s="29" t="s">
        <v>32218</v>
      </c>
      <c r="B14346" s="30" t="s">
        <v>32219</v>
      </c>
      <c r="C14346" s="29" t="s">
        <v>26</v>
      </c>
      <c r="D14346" s="31">
        <v>3994.56</v>
      </c>
      <c r="F14346" s="3" t="str">
        <f t="shared" si="224"/>
        <v>I12607</v>
      </c>
    </row>
    <row r="14347" spans="1:6" x14ac:dyDescent="0.2">
      <c r="A14347" s="29" t="s">
        <v>32220</v>
      </c>
      <c r="B14347" s="30" t="s">
        <v>32221</v>
      </c>
      <c r="C14347" s="29" t="s">
        <v>26</v>
      </c>
      <c r="D14347" s="31">
        <v>4032.53</v>
      </c>
      <c r="F14347" s="3" t="str">
        <f t="shared" si="224"/>
        <v>I12608</v>
      </c>
    </row>
    <row r="14348" spans="1:6" x14ac:dyDescent="0.2">
      <c r="A14348" s="29" t="s">
        <v>32222</v>
      </c>
      <c r="B14348" s="30" t="s">
        <v>32223</v>
      </c>
      <c r="C14348" s="29" t="s">
        <v>26</v>
      </c>
      <c r="D14348" s="31">
        <v>1924.91</v>
      </c>
      <c r="F14348" s="3" t="str">
        <f t="shared" si="224"/>
        <v>I12609</v>
      </c>
    </row>
    <row r="14349" spans="1:6" x14ac:dyDescent="0.2">
      <c r="A14349" s="29" t="s">
        <v>32224</v>
      </c>
      <c r="B14349" s="30" t="s">
        <v>32225</v>
      </c>
      <c r="C14349" s="29" t="s">
        <v>26</v>
      </c>
      <c r="D14349" s="31">
        <v>2286.1799999999998</v>
      </c>
      <c r="F14349" s="3" t="str">
        <f t="shared" si="224"/>
        <v>I12610</v>
      </c>
    </row>
    <row r="14350" spans="1:6" x14ac:dyDescent="0.2">
      <c r="A14350" s="29" t="s">
        <v>32226</v>
      </c>
      <c r="B14350" s="30" t="s">
        <v>32227</v>
      </c>
      <c r="C14350" s="29" t="s">
        <v>26</v>
      </c>
      <c r="D14350" s="31">
        <v>2642.88</v>
      </c>
      <c r="F14350" s="3" t="str">
        <f t="shared" si="224"/>
        <v>I12611</v>
      </c>
    </row>
    <row r="14351" spans="1:6" x14ac:dyDescent="0.2">
      <c r="A14351" s="29" t="s">
        <v>32228</v>
      </c>
      <c r="B14351" s="30" t="s">
        <v>32229</v>
      </c>
      <c r="C14351" s="29" t="s">
        <v>26</v>
      </c>
      <c r="D14351" s="31">
        <v>3004.19</v>
      </c>
      <c r="F14351" s="3" t="str">
        <f t="shared" si="224"/>
        <v>I12612</v>
      </c>
    </row>
    <row r="14352" spans="1:6" x14ac:dyDescent="0.2">
      <c r="A14352" s="29" t="s">
        <v>32230</v>
      </c>
      <c r="B14352" s="30" t="s">
        <v>32231</v>
      </c>
      <c r="C14352" s="29" t="s">
        <v>26</v>
      </c>
      <c r="D14352" s="31">
        <v>3365.02</v>
      </c>
      <c r="F14352" s="3" t="str">
        <f t="shared" si="224"/>
        <v>I12613</v>
      </c>
    </row>
    <row r="14353" spans="1:6" x14ac:dyDescent="0.2">
      <c r="A14353" s="29" t="s">
        <v>32232</v>
      </c>
      <c r="B14353" s="30" t="s">
        <v>32233</v>
      </c>
      <c r="C14353" s="29" t="s">
        <v>26</v>
      </c>
      <c r="D14353" s="31">
        <v>3722.19</v>
      </c>
      <c r="F14353" s="3" t="str">
        <f t="shared" si="224"/>
        <v>I12614</v>
      </c>
    </row>
    <row r="14354" spans="1:6" x14ac:dyDescent="0.2">
      <c r="A14354" s="29" t="s">
        <v>32234</v>
      </c>
      <c r="B14354" s="30" t="s">
        <v>32235</v>
      </c>
      <c r="C14354" s="29" t="s">
        <v>26</v>
      </c>
      <c r="D14354" s="31">
        <v>4083.48</v>
      </c>
      <c r="F14354" s="3" t="str">
        <f t="shared" si="224"/>
        <v>I12615</v>
      </c>
    </row>
    <row r="14355" spans="1:6" x14ac:dyDescent="0.2">
      <c r="A14355" s="29" t="s">
        <v>32236</v>
      </c>
      <c r="B14355" s="30" t="s">
        <v>32237</v>
      </c>
      <c r="C14355" s="29" t="s">
        <v>26</v>
      </c>
      <c r="D14355" s="31">
        <v>4444.82</v>
      </c>
      <c r="F14355" s="3" t="str">
        <f t="shared" si="224"/>
        <v>I12616</v>
      </c>
    </row>
    <row r="14356" spans="1:6" x14ac:dyDescent="0.2">
      <c r="A14356" s="29" t="s">
        <v>32238</v>
      </c>
      <c r="B14356" s="30" t="s">
        <v>32239</v>
      </c>
      <c r="C14356" s="29" t="s">
        <v>26</v>
      </c>
      <c r="D14356" s="31">
        <v>5079.87</v>
      </c>
      <c r="F14356" s="3" t="str">
        <f t="shared" si="224"/>
        <v>I12617</v>
      </c>
    </row>
    <row r="14357" spans="1:6" x14ac:dyDescent="0.2">
      <c r="A14357" s="29" t="s">
        <v>32240</v>
      </c>
      <c r="B14357" s="30" t="s">
        <v>32241</v>
      </c>
      <c r="C14357" s="29" t="s">
        <v>26</v>
      </c>
      <c r="D14357" s="31">
        <v>5165.3500000000004</v>
      </c>
      <c r="F14357" s="3" t="str">
        <f t="shared" si="224"/>
        <v>I12618</v>
      </c>
    </row>
    <row r="14358" spans="1:6" x14ac:dyDescent="0.2">
      <c r="A14358" s="29" t="s">
        <v>32242</v>
      </c>
      <c r="B14358" s="30" t="s">
        <v>32243</v>
      </c>
      <c r="C14358" s="29" t="s">
        <v>26</v>
      </c>
      <c r="D14358" s="31">
        <v>5217.46</v>
      </c>
      <c r="F14358" s="3" t="str">
        <f t="shared" si="224"/>
        <v>I12619</v>
      </c>
    </row>
    <row r="14359" spans="1:6" x14ac:dyDescent="0.2">
      <c r="A14359" s="29" t="s">
        <v>32244</v>
      </c>
      <c r="B14359" s="30" t="s">
        <v>32245</v>
      </c>
      <c r="C14359" s="29" t="s">
        <v>26</v>
      </c>
      <c r="D14359" s="31">
        <v>1934.42</v>
      </c>
      <c r="F14359" s="3" t="str">
        <f t="shared" si="224"/>
        <v>I12620</v>
      </c>
    </row>
    <row r="14360" spans="1:6" x14ac:dyDescent="0.2">
      <c r="A14360" s="29" t="s">
        <v>32246</v>
      </c>
      <c r="B14360" s="30" t="s">
        <v>32247</v>
      </c>
      <c r="C14360" s="29" t="s">
        <v>26</v>
      </c>
      <c r="D14360" s="31">
        <v>2296.16</v>
      </c>
      <c r="F14360" s="3" t="str">
        <f t="shared" si="224"/>
        <v>I12621</v>
      </c>
    </row>
    <row r="14361" spans="1:6" x14ac:dyDescent="0.2">
      <c r="A14361" s="29" t="s">
        <v>32248</v>
      </c>
      <c r="B14361" s="30" t="s">
        <v>32249</v>
      </c>
      <c r="C14361" s="29" t="s">
        <v>26</v>
      </c>
      <c r="D14361" s="31">
        <v>2657.45</v>
      </c>
      <c r="F14361" s="3" t="str">
        <f t="shared" si="224"/>
        <v>I12622</v>
      </c>
    </row>
    <row r="14362" spans="1:6" x14ac:dyDescent="0.2">
      <c r="A14362" s="29" t="s">
        <v>32250</v>
      </c>
      <c r="B14362" s="30" t="s">
        <v>32251</v>
      </c>
      <c r="C14362" s="29" t="s">
        <v>26</v>
      </c>
      <c r="D14362" s="31">
        <v>3018.76</v>
      </c>
      <c r="F14362" s="3" t="str">
        <f t="shared" si="224"/>
        <v>I12623</v>
      </c>
    </row>
    <row r="14363" spans="1:6" x14ac:dyDescent="0.2">
      <c r="A14363" s="29" t="s">
        <v>32252</v>
      </c>
      <c r="B14363" s="30" t="s">
        <v>32253</v>
      </c>
      <c r="C14363" s="29" t="s">
        <v>26</v>
      </c>
      <c r="D14363" s="31">
        <v>3375.44</v>
      </c>
      <c r="F14363" s="3" t="str">
        <f t="shared" si="224"/>
        <v>I12624</v>
      </c>
    </row>
    <row r="14364" spans="1:6" x14ac:dyDescent="0.2">
      <c r="A14364" s="29" t="s">
        <v>32254</v>
      </c>
      <c r="B14364" s="30" t="s">
        <v>32255</v>
      </c>
      <c r="C14364" s="29" t="s">
        <v>26</v>
      </c>
      <c r="D14364" s="31">
        <v>3736.74</v>
      </c>
      <c r="F14364" s="3" t="str">
        <f t="shared" si="224"/>
        <v>I12625</v>
      </c>
    </row>
    <row r="14365" spans="1:6" x14ac:dyDescent="0.2">
      <c r="A14365" s="29" t="s">
        <v>32256</v>
      </c>
      <c r="B14365" s="30" t="s">
        <v>32257</v>
      </c>
      <c r="C14365" s="29" t="s">
        <v>26</v>
      </c>
      <c r="D14365" s="31">
        <v>4098.05</v>
      </c>
      <c r="F14365" s="3" t="str">
        <f t="shared" si="224"/>
        <v>I12626</v>
      </c>
    </row>
    <row r="14366" spans="1:6" x14ac:dyDescent="0.2">
      <c r="A14366" s="29" t="s">
        <v>32258</v>
      </c>
      <c r="B14366" s="30" t="s">
        <v>32259</v>
      </c>
      <c r="C14366" s="29" t="s">
        <v>26</v>
      </c>
      <c r="D14366" s="31">
        <v>4454.83</v>
      </c>
      <c r="F14366" s="3" t="str">
        <f t="shared" si="224"/>
        <v>I12627</v>
      </c>
    </row>
    <row r="14367" spans="1:6" x14ac:dyDescent="0.2">
      <c r="A14367" s="29" t="s">
        <v>32260</v>
      </c>
      <c r="B14367" s="30" t="s">
        <v>32261</v>
      </c>
      <c r="C14367" s="29" t="s">
        <v>26</v>
      </c>
      <c r="D14367" s="31">
        <v>5089.8100000000004</v>
      </c>
      <c r="F14367" s="3" t="str">
        <f t="shared" si="224"/>
        <v>I12628</v>
      </c>
    </row>
    <row r="14368" spans="1:6" x14ac:dyDescent="0.2">
      <c r="A14368" s="29" t="s">
        <v>32262</v>
      </c>
      <c r="B14368" s="30" t="s">
        <v>32263</v>
      </c>
      <c r="C14368" s="29" t="s">
        <v>26</v>
      </c>
      <c r="D14368" s="31">
        <v>5179.88</v>
      </c>
      <c r="F14368" s="3" t="str">
        <f t="shared" si="224"/>
        <v>I12629</v>
      </c>
    </row>
    <row r="14369" spans="1:6" x14ac:dyDescent="0.2">
      <c r="A14369" s="29" t="s">
        <v>32264</v>
      </c>
      <c r="B14369" s="30" t="s">
        <v>32265</v>
      </c>
      <c r="C14369" s="29" t="s">
        <v>26</v>
      </c>
      <c r="D14369" s="31">
        <v>5232.03</v>
      </c>
      <c r="F14369" s="3" t="str">
        <f t="shared" si="224"/>
        <v>I12630</v>
      </c>
    </row>
    <row r="14370" spans="1:6" x14ac:dyDescent="0.2">
      <c r="A14370" s="29" t="s">
        <v>32266</v>
      </c>
      <c r="B14370" s="30" t="s">
        <v>32267</v>
      </c>
      <c r="C14370" s="29" t="s">
        <v>26</v>
      </c>
      <c r="D14370" s="31">
        <v>2238.64</v>
      </c>
      <c r="F14370" s="3" t="str">
        <f t="shared" si="224"/>
        <v>I12631</v>
      </c>
    </row>
    <row r="14371" spans="1:6" x14ac:dyDescent="0.2">
      <c r="A14371" s="29" t="s">
        <v>32268</v>
      </c>
      <c r="B14371" s="30" t="s">
        <v>32269</v>
      </c>
      <c r="C14371" s="29" t="s">
        <v>26</v>
      </c>
      <c r="D14371" s="31">
        <v>2684.43</v>
      </c>
      <c r="F14371" s="3" t="str">
        <f t="shared" si="224"/>
        <v>I12632</v>
      </c>
    </row>
    <row r="14372" spans="1:6" x14ac:dyDescent="0.2">
      <c r="A14372" s="29" t="s">
        <v>32270</v>
      </c>
      <c r="B14372" s="30" t="s">
        <v>32271</v>
      </c>
      <c r="C14372" s="29" t="s">
        <v>26</v>
      </c>
      <c r="D14372" s="31">
        <v>3134.96</v>
      </c>
      <c r="F14372" s="3" t="str">
        <f t="shared" si="224"/>
        <v>I12633</v>
      </c>
    </row>
    <row r="14373" spans="1:6" x14ac:dyDescent="0.2">
      <c r="A14373" s="29" t="s">
        <v>32272</v>
      </c>
      <c r="B14373" s="30" t="s">
        <v>32273</v>
      </c>
      <c r="C14373" s="29" t="s">
        <v>26</v>
      </c>
      <c r="D14373" s="31">
        <v>3585.31</v>
      </c>
      <c r="F14373" s="3" t="str">
        <f t="shared" si="224"/>
        <v>I12634</v>
      </c>
    </row>
    <row r="14374" spans="1:6" x14ac:dyDescent="0.2">
      <c r="A14374" s="29" t="s">
        <v>32274</v>
      </c>
      <c r="B14374" s="30" t="s">
        <v>32275</v>
      </c>
      <c r="C14374" s="29" t="s">
        <v>26</v>
      </c>
      <c r="D14374" s="31">
        <v>4031.08</v>
      </c>
      <c r="F14374" s="3" t="str">
        <f t="shared" si="224"/>
        <v>I12635</v>
      </c>
    </row>
    <row r="14375" spans="1:6" x14ac:dyDescent="0.2">
      <c r="A14375" s="29" t="s">
        <v>32276</v>
      </c>
      <c r="B14375" s="30" t="s">
        <v>32277</v>
      </c>
      <c r="C14375" s="29" t="s">
        <v>26</v>
      </c>
      <c r="D14375" s="31">
        <v>4481.4399999999996</v>
      </c>
      <c r="F14375" s="3" t="str">
        <f t="shared" si="224"/>
        <v>I12636</v>
      </c>
    </row>
    <row r="14376" spans="1:6" x14ac:dyDescent="0.2">
      <c r="A14376" s="29" t="s">
        <v>32278</v>
      </c>
      <c r="B14376" s="30" t="s">
        <v>32279</v>
      </c>
      <c r="C14376" s="29" t="s">
        <v>26</v>
      </c>
      <c r="D14376" s="31">
        <v>4931.88</v>
      </c>
      <c r="F14376" s="3" t="str">
        <f t="shared" si="224"/>
        <v>I12637</v>
      </c>
    </row>
    <row r="14377" spans="1:6" x14ac:dyDescent="0.2">
      <c r="A14377" s="29" t="s">
        <v>32280</v>
      </c>
      <c r="B14377" s="30" t="s">
        <v>32281</v>
      </c>
      <c r="C14377" s="29" t="s">
        <v>26</v>
      </c>
      <c r="D14377" s="31">
        <v>5377.68</v>
      </c>
      <c r="F14377" s="3" t="str">
        <f t="shared" si="224"/>
        <v>I12638</v>
      </c>
    </row>
    <row r="14378" spans="1:6" x14ac:dyDescent="0.2">
      <c r="A14378" s="29" t="s">
        <v>32282</v>
      </c>
      <c r="B14378" s="30" t="s">
        <v>32283</v>
      </c>
      <c r="C14378" s="29" t="s">
        <v>26</v>
      </c>
      <c r="D14378" s="31">
        <v>6163.56</v>
      </c>
      <c r="F14378" s="3" t="str">
        <f t="shared" si="224"/>
        <v>I12639</v>
      </c>
    </row>
    <row r="14379" spans="1:6" x14ac:dyDescent="0.2">
      <c r="A14379" s="29" t="s">
        <v>32284</v>
      </c>
      <c r="B14379" s="30" t="s">
        <v>32285</v>
      </c>
      <c r="C14379" s="29" t="s">
        <v>26</v>
      </c>
      <c r="D14379" s="31">
        <v>6276.95</v>
      </c>
      <c r="F14379" s="3" t="str">
        <f t="shared" si="224"/>
        <v>I12640</v>
      </c>
    </row>
    <row r="14380" spans="1:6" x14ac:dyDescent="0.2">
      <c r="A14380" s="29" t="s">
        <v>32286</v>
      </c>
      <c r="B14380" s="30" t="s">
        <v>32287</v>
      </c>
      <c r="C14380" s="29" t="s">
        <v>26</v>
      </c>
      <c r="D14380" s="31">
        <v>6347.72</v>
      </c>
      <c r="F14380" s="3" t="str">
        <f t="shared" si="224"/>
        <v>I12641</v>
      </c>
    </row>
    <row r="14381" spans="1:6" x14ac:dyDescent="0.2">
      <c r="A14381" s="29" t="s">
        <v>32288</v>
      </c>
      <c r="B14381" s="30" t="s">
        <v>32289</v>
      </c>
      <c r="C14381" s="29" t="s">
        <v>26</v>
      </c>
      <c r="D14381" s="31">
        <v>2370.09</v>
      </c>
      <c r="F14381" s="3" t="str">
        <f t="shared" si="224"/>
        <v>I12642</v>
      </c>
    </row>
    <row r="14382" spans="1:6" x14ac:dyDescent="0.2">
      <c r="A14382" s="29" t="s">
        <v>32290</v>
      </c>
      <c r="B14382" s="30" t="s">
        <v>32291</v>
      </c>
      <c r="C14382" s="29" t="s">
        <v>26</v>
      </c>
      <c r="D14382" s="31">
        <v>2815.9</v>
      </c>
      <c r="F14382" s="3" t="str">
        <f t="shared" si="224"/>
        <v>I12643</v>
      </c>
    </row>
    <row r="14383" spans="1:6" x14ac:dyDescent="0.2">
      <c r="A14383" s="29" t="s">
        <v>32292</v>
      </c>
      <c r="B14383" s="30" t="s">
        <v>32293</v>
      </c>
      <c r="C14383" s="29" t="s">
        <v>26</v>
      </c>
      <c r="D14383" s="31">
        <v>3266.4</v>
      </c>
      <c r="F14383" s="3" t="str">
        <f t="shared" si="224"/>
        <v>I12644</v>
      </c>
    </row>
    <row r="14384" spans="1:6" x14ac:dyDescent="0.2">
      <c r="A14384" s="29" t="s">
        <v>32294</v>
      </c>
      <c r="B14384" s="30" t="s">
        <v>32295</v>
      </c>
      <c r="C14384" s="29" t="s">
        <v>26</v>
      </c>
      <c r="D14384" s="31">
        <v>3716.77</v>
      </c>
      <c r="F14384" s="3" t="str">
        <f t="shared" si="224"/>
        <v>I12645</v>
      </c>
    </row>
    <row r="14385" spans="1:6" x14ac:dyDescent="0.2">
      <c r="A14385" s="29" t="s">
        <v>32296</v>
      </c>
      <c r="B14385" s="30" t="s">
        <v>32297</v>
      </c>
      <c r="C14385" s="29" t="s">
        <v>26</v>
      </c>
      <c r="D14385" s="31">
        <v>4162.5200000000004</v>
      </c>
      <c r="F14385" s="3" t="str">
        <f t="shared" si="224"/>
        <v>I12646</v>
      </c>
    </row>
    <row r="14386" spans="1:6" x14ac:dyDescent="0.2">
      <c r="A14386" s="29" t="s">
        <v>32298</v>
      </c>
      <c r="B14386" s="30" t="s">
        <v>32299</v>
      </c>
      <c r="C14386" s="29" t="s">
        <v>26</v>
      </c>
      <c r="D14386" s="31">
        <v>4612.88</v>
      </c>
      <c r="F14386" s="3" t="str">
        <f t="shared" si="224"/>
        <v>I12647</v>
      </c>
    </row>
    <row r="14387" spans="1:6" x14ac:dyDescent="0.2">
      <c r="A14387" s="29" t="s">
        <v>32300</v>
      </c>
      <c r="B14387" s="30" t="s">
        <v>32301</v>
      </c>
      <c r="C14387" s="29" t="s">
        <v>26</v>
      </c>
      <c r="D14387" s="31">
        <v>5058.72</v>
      </c>
      <c r="F14387" s="3" t="str">
        <f t="shared" si="224"/>
        <v>I12648</v>
      </c>
    </row>
    <row r="14388" spans="1:6" x14ac:dyDescent="0.2">
      <c r="A14388" s="29" t="s">
        <v>32302</v>
      </c>
      <c r="B14388" s="30" t="s">
        <v>32303</v>
      </c>
      <c r="C14388" s="29" t="s">
        <v>26</v>
      </c>
      <c r="D14388" s="31">
        <v>5509.14</v>
      </c>
      <c r="F14388" s="3" t="str">
        <f t="shared" si="224"/>
        <v>I12649</v>
      </c>
    </row>
    <row r="14389" spans="1:6" x14ac:dyDescent="0.2">
      <c r="A14389" s="29" t="s">
        <v>32304</v>
      </c>
      <c r="B14389" s="30" t="s">
        <v>32305</v>
      </c>
      <c r="C14389" s="29" t="s">
        <v>26</v>
      </c>
      <c r="D14389" s="31">
        <v>6295.02</v>
      </c>
      <c r="F14389" s="3" t="str">
        <f t="shared" si="224"/>
        <v>I12650</v>
      </c>
    </row>
    <row r="14390" spans="1:6" x14ac:dyDescent="0.2">
      <c r="A14390" s="29" t="s">
        <v>32306</v>
      </c>
      <c r="B14390" s="30" t="s">
        <v>32307</v>
      </c>
      <c r="C14390" s="29" t="s">
        <v>26</v>
      </c>
      <c r="D14390" s="31">
        <v>6408.39</v>
      </c>
      <c r="F14390" s="3" t="str">
        <f t="shared" si="224"/>
        <v>I12651</v>
      </c>
    </row>
    <row r="14391" spans="1:6" x14ac:dyDescent="0.2">
      <c r="A14391" s="29" t="s">
        <v>32308</v>
      </c>
      <c r="B14391" s="30" t="s">
        <v>32309</v>
      </c>
      <c r="C14391" s="29" t="s">
        <v>26</v>
      </c>
      <c r="D14391" s="31">
        <v>6479.19</v>
      </c>
      <c r="F14391" s="3" t="str">
        <f t="shared" si="224"/>
        <v>I12652</v>
      </c>
    </row>
    <row r="14392" spans="1:6" x14ac:dyDescent="0.2">
      <c r="A14392" s="29" t="s">
        <v>32310</v>
      </c>
      <c r="B14392" s="30" t="s">
        <v>32311</v>
      </c>
      <c r="C14392" s="29" t="s">
        <v>26</v>
      </c>
      <c r="D14392" s="31">
        <v>2709.31</v>
      </c>
      <c r="F14392" s="3" t="str">
        <f t="shared" si="224"/>
        <v>I12653</v>
      </c>
    </row>
    <row r="14393" spans="1:6" x14ac:dyDescent="0.2">
      <c r="A14393" s="29" t="s">
        <v>32312</v>
      </c>
      <c r="B14393" s="30" t="s">
        <v>32313</v>
      </c>
      <c r="C14393" s="29" t="s">
        <v>26</v>
      </c>
      <c r="D14393" s="31">
        <v>3259.13</v>
      </c>
      <c r="F14393" s="3" t="str">
        <f t="shared" si="224"/>
        <v>I12654</v>
      </c>
    </row>
    <row r="14394" spans="1:6" x14ac:dyDescent="0.2">
      <c r="A14394" s="29" t="s">
        <v>32314</v>
      </c>
      <c r="B14394" s="30" t="s">
        <v>32315</v>
      </c>
      <c r="C14394" s="29" t="s">
        <v>26</v>
      </c>
      <c r="D14394" s="31">
        <v>3813.55</v>
      </c>
      <c r="F14394" s="3" t="str">
        <f t="shared" si="224"/>
        <v>I12655</v>
      </c>
    </row>
    <row r="14395" spans="1:6" x14ac:dyDescent="0.2">
      <c r="A14395" s="29" t="s">
        <v>32316</v>
      </c>
      <c r="B14395" s="30" t="s">
        <v>32317</v>
      </c>
      <c r="C14395" s="29" t="s">
        <v>26</v>
      </c>
      <c r="D14395" s="31">
        <v>4363.38</v>
      </c>
      <c r="F14395" s="3" t="str">
        <f t="shared" si="224"/>
        <v>I12656</v>
      </c>
    </row>
    <row r="14396" spans="1:6" x14ac:dyDescent="0.2">
      <c r="A14396" s="29" t="s">
        <v>32318</v>
      </c>
      <c r="B14396" s="30" t="s">
        <v>32319</v>
      </c>
      <c r="C14396" s="29" t="s">
        <v>26</v>
      </c>
      <c r="D14396" s="31">
        <v>4913.16</v>
      </c>
      <c r="F14396" s="3" t="str">
        <f t="shared" si="224"/>
        <v>I12657</v>
      </c>
    </row>
    <row r="14397" spans="1:6" x14ac:dyDescent="0.2">
      <c r="A14397" s="29" t="s">
        <v>32320</v>
      </c>
      <c r="B14397" s="30" t="s">
        <v>32321</v>
      </c>
      <c r="C14397" s="29" t="s">
        <v>26</v>
      </c>
      <c r="D14397" s="31">
        <v>5462.99</v>
      </c>
      <c r="F14397" s="3" t="str">
        <f t="shared" si="224"/>
        <v>I12658</v>
      </c>
    </row>
    <row r="14398" spans="1:6" x14ac:dyDescent="0.2">
      <c r="A14398" s="29" t="s">
        <v>32322</v>
      </c>
      <c r="B14398" s="30" t="s">
        <v>32323</v>
      </c>
      <c r="C14398" s="29" t="s">
        <v>26</v>
      </c>
      <c r="D14398" s="31">
        <v>6012.74</v>
      </c>
      <c r="F14398" s="3" t="str">
        <f t="shared" si="224"/>
        <v>I12659</v>
      </c>
    </row>
    <row r="14399" spans="1:6" x14ac:dyDescent="0.2">
      <c r="A14399" s="29" t="s">
        <v>32324</v>
      </c>
      <c r="B14399" s="30" t="s">
        <v>32325</v>
      </c>
      <c r="C14399" s="29" t="s">
        <v>26</v>
      </c>
      <c r="D14399" s="31">
        <v>6562.65</v>
      </c>
      <c r="F14399" s="3" t="str">
        <f t="shared" si="224"/>
        <v>I12660</v>
      </c>
    </row>
    <row r="14400" spans="1:6" x14ac:dyDescent="0.2">
      <c r="A14400" s="29" t="s">
        <v>32326</v>
      </c>
      <c r="B14400" s="30" t="s">
        <v>32327</v>
      </c>
      <c r="C14400" s="29" t="s">
        <v>26</v>
      </c>
      <c r="D14400" s="31">
        <v>7520.28</v>
      </c>
      <c r="F14400" s="3" t="str">
        <f t="shared" si="224"/>
        <v>I12661</v>
      </c>
    </row>
    <row r="14401" spans="1:6" x14ac:dyDescent="0.2">
      <c r="A14401" s="29" t="s">
        <v>32328</v>
      </c>
      <c r="B14401" s="30" t="s">
        <v>32329</v>
      </c>
      <c r="C14401" s="29" t="s">
        <v>26</v>
      </c>
      <c r="D14401" s="31">
        <v>7665.91</v>
      </c>
      <c r="F14401" s="3" t="str">
        <f t="shared" si="224"/>
        <v>I12662</v>
      </c>
    </row>
    <row r="14402" spans="1:6" x14ac:dyDescent="0.2">
      <c r="A14402" s="29" t="s">
        <v>32330</v>
      </c>
      <c r="B14402" s="30" t="s">
        <v>32331</v>
      </c>
      <c r="C14402" s="29" t="s">
        <v>26</v>
      </c>
      <c r="D14402" s="31">
        <v>7755.12</v>
      </c>
      <c r="F14402" s="3" t="str">
        <f t="shared" ref="F14402:F14465" si="225">A14402</f>
        <v>I12663</v>
      </c>
    </row>
    <row r="14403" spans="1:6" x14ac:dyDescent="0.2">
      <c r="A14403" s="29" t="s">
        <v>32332</v>
      </c>
      <c r="B14403" s="30" t="s">
        <v>32333</v>
      </c>
      <c r="C14403" s="29" t="s">
        <v>26</v>
      </c>
      <c r="D14403" s="31">
        <v>2859.37</v>
      </c>
      <c r="F14403" s="3" t="str">
        <f t="shared" si="225"/>
        <v>I12664</v>
      </c>
    </row>
    <row r="14404" spans="1:6" x14ac:dyDescent="0.2">
      <c r="A14404" s="29" t="s">
        <v>32334</v>
      </c>
      <c r="B14404" s="30" t="s">
        <v>32335</v>
      </c>
      <c r="C14404" s="29" t="s">
        <v>26</v>
      </c>
      <c r="D14404" s="31">
        <v>3409.19</v>
      </c>
      <c r="F14404" s="3" t="str">
        <f t="shared" si="225"/>
        <v>I12665</v>
      </c>
    </row>
    <row r="14405" spans="1:6" x14ac:dyDescent="0.2">
      <c r="A14405" s="29" t="s">
        <v>32336</v>
      </c>
      <c r="B14405" s="30" t="s">
        <v>32337</v>
      </c>
      <c r="C14405" s="29" t="s">
        <v>26</v>
      </c>
      <c r="D14405" s="31">
        <v>3958.99</v>
      </c>
      <c r="F14405" s="3" t="str">
        <f t="shared" si="225"/>
        <v>I12666</v>
      </c>
    </row>
    <row r="14406" spans="1:6" x14ac:dyDescent="0.2">
      <c r="A14406" s="29" t="s">
        <v>32338</v>
      </c>
      <c r="B14406" s="30" t="s">
        <v>32339</v>
      </c>
      <c r="C14406" s="29" t="s">
        <v>26</v>
      </c>
      <c r="D14406" s="31">
        <v>4508.87</v>
      </c>
      <c r="F14406" s="3" t="str">
        <f t="shared" si="225"/>
        <v>I12667</v>
      </c>
    </row>
    <row r="14407" spans="1:6" x14ac:dyDescent="0.2">
      <c r="A14407" s="29" t="s">
        <v>32340</v>
      </c>
      <c r="B14407" s="30" t="s">
        <v>32341</v>
      </c>
      <c r="C14407" s="29" t="s">
        <v>26</v>
      </c>
      <c r="D14407" s="31">
        <v>5058.67</v>
      </c>
      <c r="F14407" s="3" t="str">
        <f t="shared" si="225"/>
        <v>I12668</v>
      </c>
    </row>
    <row r="14408" spans="1:6" x14ac:dyDescent="0.2">
      <c r="A14408" s="29" t="s">
        <v>32342</v>
      </c>
      <c r="B14408" s="30" t="s">
        <v>32343</v>
      </c>
      <c r="C14408" s="29" t="s">
        <v>26</v>
      </c>
      <c r="D14408" s="31">
        <v>5608.44</v>
      </c>
      <c r="F14408" s="3" t="str">
        <f t="shared" si="225"/>
        <v>I12669</v>
      </c>
    </row>
    <row r="14409" spans="1:6" x14ac:dyDescent="0.2">
      <c r="A14409" s="29" t="s">
        <v>32344</v>
      </c>
      <c r="B14409" s="30" t="s">
        <v>32345</v>
      </c>
      <c r="C14409" s="29" t="s">
        <v>26</v>
      </c>
      <c r="D14409" s="31">
        <v>6158.22</v>
      </c>
      <c r="F14409" s="3" t="str">
        <f t="shared" si="225"/>
        <v>I12670</v>
      </c>
    </row>
    <row r="14410" spans="1:6" x14ac:dyDescent="0.2">
      <c r="A14410" s="29" t="s">
        <v>32346</v>
      </c>
      <c r="B14410" s="30" t="s">
        <v>32347</v>
      </c>
      <c r="C14410" s="29" t="s">
        <v>26</v>
      </c>
      <c r="D14410" s="31">
        <v>6708.1</v>
      </c>
      <c r="F14410" s="3" t="str">
        <f t="shared" si="225"/>
        <v>I12671</v>
      </c>
    </row>
    <row r="14411" spans="1:6" x14ac:dyDescent="0.2">
      <c r="A14411" s="29" t="s">
        <v>32348</v>
      </c>
      <c r="B14411" s="30" t="s">
        <v>32349</v>
      </c>
      <c r="C14411" s="29" t="s">
        <v>26</v>
      </c>
      <c r="D14411" s="31">
        <v>7665.75</v>
      </c>
      <c r="F14411" s="3" t="str">
        <f t="shared" si="225"/>
        <v>I12672</v>
      </c>
    </row>
    <row r="14412" spans="1:6" x14ac:dyDescent="0.2">
      <c r="A14412" s="29" t="s">
        <v>32350</v>
      </c>
      <c r="B14412" s="30" t="s">
        <v>32351</v>
      </c>
      <c r="C14412" s="29" t="s">
        <v>26</v>
      </c>
      <c r="D14412" s="31">
        <v>7815.96</v>
      </c>
      <c r="F14412" s="3" t="str">
        <f t="shared" si="225"/>
        <v>I12673</v>
      </c>
    </row>
    <row r="14413" spans="1:6" x14ac:dyDescent="0.2">
      <c r="A14413" s="29" t="s">
        <v>32352</v>
      </c>
      <c r="B14413" s="30" t="s">
        <v>32353</v>
      </c>
      <c r="C14413" s="29" t="s">
        <v>26</v>
      </c>
      <c r="D14413" s="31">
        <v>7900.59</v>
      </c>
      <c r="F14413" s="3" t="str">
        <f t="shared" si="225"/>
        <v>I12674</v>
      </c>
    </row>
    <row r="14414" spans="1:6" x14ac:dyDescent="0.2">
      <c r="A14414" s="29" t="s">
        <v>32354</v>
      </c>
      <c r="B14414" s="30" t="s">
        <v>32355</v>
      </c>
      <c r="C14414" s="29" t="s">
        <v>26</v>
      </c>
      <c r="D14414" s="31">
        <v>3189.67</v>
      </c>
      <c r="F14414" s="3" t="str">
        <f t="shared" si="225"/>
        <v>I12675</v>
      </c>
    </row>
    <row r="14415" spans="1:6" x14ac:dyDescent="0.2">
      <c r="A14415" s="29" t="s">
        <v>32356</v>
      </c>
      <c r="B14415" s="30" t="s">
        <v>32357</v>
      </c>
      <c r="C14415" s="29" t="s">
        <v>26</v>
      </c>
      <c r="D14415" s="31">
        <v>3820.79</v>
      </c>
      <c r="F14415" s="3" t="str">
        <f t="shared" si="225"/>
        <v>I12676</v>
      </c>
    </row>
    <row r="14416" spans="1:6" x14ac:dyDescent="0.2">
      <c r="A14416" s="29" t="s">
        <v>32358</v>
      </c>
      <c r="B14416" s="30" t="s">
        <v>32359</v>
      </c>
      <c r="C14416" s="29" t="s">
        <v>26</v>
      </c>
      <c r="D14416" s="31">
        <v>4451.99</v>
      </c>
      <c r="F14416" s="3" t="str">
        <f t="shared" si="225"/>
        <v>I12677</v>
      </c>
    </row>
    <row r="14417" spans="1:6" x14ac:dyDescent="0.2">
      <c r="A14417" s="29" t="s">
        <v>32360</v>
      </c>
      <c r="B14417" s="30" t="s">
        <v>32361</v>
      </c>
      <c r="C14417" s="29" t="s">
        <v>26</v>
      </c>
      <c r="D14417" s="31">
        <v>5083.2700000000004</v>
      </c>
      <c r="F14417" s="3" t="str">
        <f t="shared" si="225"/>
        <v>I12678</v>
      </c>
    </row>
    <row r="14418" spans="1:6" x14ac:dyDescent="0.2">
      <c r="A14418" s="29" t="s">
        <v>32362</v>
      </c>
      <c r="B14418" s="30" t="s">
        <v>32363</v>
      </c>
      <c r="C14418" s="29" t="s">
        <v>26</v>
      </c>
      <c r="D14418" s="31">
        <v>5714.47</v>
      </c>
      <c r="F14418" s="3" t="str">
        <f t="shared" si="225"/>
        <v>I12679</v>
      </c>
    </row>
    <row r="14419" spans="1:6" x14ac:dyDescent="0.2">
      <c r="A14419" s="29" t="s">
        <v>32364</v>
      </c>
      <c r="B14419" s="30" t="s">
        <v>32365</v>
      </c>
      <c r="C14419" s="29" t="s">
        <v>26</v>
      </c>
      <c r="D14419" s="31">
        <v>6345.64</v>
      </c>
      <c r="F14419" s="3" t="str">
        <f t="shared" si="225"/>
        <v>I12680</v>
      </c>
    </row>
    <row r="14420" spans="1:6" x14ac:dyDescent="0.2">
      <c r="A14420" s="29" t="s">
        <v>32366</v>
      </c>
      <c r="B14420" s="30" t="s">
        <v>32367</v>
      </c>
      <c r="C14420" s="29" t="s">
        <v>26</v>
      </c>
      <c r="D14420" s="31">
        <v>6976.94</v>
      </c>
      <c r="F14420" s="3" t="str">
        <f t="shared" si="225"/>
        <v>I12681</v>
      </c>
    </row>
    <row r="14421" spans="1:6" x14ac:dyDescent="0.2">
      <c r="A14421" s="29" t="s">
        <v>32368</v>
      </c>
      <c r="B14421" s="30" t="s">
        <v>32369</v>
      </c>
      <c r="C14421" s="29" t="s">
        <v>26</v>
      </c>
      <c r="D14421" s="31">
        <v>7608.05</v>
      </c>
      <c r="F14421" s="3" t="str">
        <f t="shared" si="225"/>
        <v>I12682</v>
      </c>
    </row>
    <row r="14422" spans="1:6" x14ac:dyDescent="0.2">
      <c r="A14422" s="29" t="s">
        <v>32370</v>
      </c>
      <c r="B14422" s="30" t="s">
        <v>32371</v>
      </c>
      <c r="C14422" s="29" t="s">
        <v>26</v>
      </c>
      <c r="D14422" s="31">
        <v>8694.48</v>
      </c>
      <c r="F14422" s="3" t="str">
        <f t="shared" si="225"/>
        <v>I12683</v>
      </c>
    </row>
    <row r="14423" spans="1:6" x14ac:dyDescent="0.2">
      <c r="A14423" s="29" t="s">
        <v>32372</v>
      </c>
      <c r="B14423" s="30" t="s">
        <v>32373</v>
      </c>
      <c r="C14423" s="29" t="s">
        <v>26</v>
      </c>
      <c r="D14423" s="31">
        <v>8874.6</v>
      </c>
      <c r="F14423" s="3" t="str">
        <f t="shared" si="225"/>
        <v>I12684</v>
      </c>
    </row>
    <row r="14424" spans="1:6" x14ac:dyDescent="0.2">
      <c r="A14424" s="29" t="s">
        <v>32374</v>
      </c>
      <c r="B14424" s="30" t="s">
        <v>32375</v>
      </c>
      <c r="C14424" s="29" t="s">
        <v>26</v>
      </c>
      <c r="D14424" s="31">
        <v>8979.02</v>
      </c>
      <c r="F14424" s="3" t="str">
        <f t="shared" si="225"/>
        <v>I12685</v>
      </c>
    </row>
    <row r="14425" spans="1:6" x14ac:dyDescent="0.2">
      <c r="A14425" s="29" t="s">
        <v>32376</v>
      </c>
      <c r="B14425" s="30" t="s">
        <v>32377</v>
      </c>
      <c r="C14425" s="29" t="s">
        <v>26</v>
      </c>
      <c r="D14425" s="31">
        <v>3334.08</v>
      </c>
      <c r="F14425" s="3" t="str">
        <f t="shared" si="225"/>
        <v>I12686</v>
      </c>
    </row>
    <row r="14426" spans="1:6" x14ac:dyDescent="0.2">
      <c r="A14426" s="29" t="s">
        <v>32378</v>
      </c>
      <c r="B14426" s="30" t="s">
        <v>32379</v>
      </c>
      <c r="C14426" s="29" t="s">
        <v>26</v>
      </c>
      <c r="D14426" s="31">
        <v>3965.21</v>
      </c>
      <c r="F14426" s="3" t="str">
        <f t="shared" si="225"/>
        <v>I12687</v>
      </c>
    </row>
    <row r="14427" spans="1:6" x14ac:dyDescent="0.2">
      <c r="A14427" s="29" t="s">
        <v>32380</v>
      </c>
      <c r="B14427" s="30" t="s">
        <v>32381</v>
      </c>
      <c r="C14427" s="29" t="s">
        <v>26</v>
      </c>
      <c r="D14427" s="31">
        <v>4596.3999999999996</v>
      </c>
      <c r="F14427" s="3" t="str">
        <f t="shared" si="225"/>
        <v>I12688</v>
      </c>
    </row>
    <row r="14428" spans="1:6" x14ac:dyDescent="0.2">
      <c r="A14428" s="29" t="s">
        <v>32382</v>
      </c>
      <c r="B14428" s="30" t="s">
        <v>32383</v>
      </c>
      <c r="C14428" s="29" t="s">
        <v>26</v>
      </c>
      <c r="D14428" s="31">
        <v>5227.66</v>
      </c>
      <c r="F14428" s="3" t="str">
        <f t="shared" si="225"/>
        <v>I12689</v>
      </c>
    </row>
    <row r="14429" spans="1:6" x14ac:dyDescent="0.2">
      <c r="A14429" s="29" t="s">
        <v>32384</v>
      </c>
      <c r="B14429" s="30" t="s">
        <v>32385</v>
      </c>
      <c r="C14429" s="29" t="s">
        <v>26</v>
      </c>
      <c r="D14429" s="31">
        <v>5858.88</v>
      </c>
      <c r="F14429" s="3" t="str">
        <f t="shared" si="225"/>
        <v>I12690</v>
      </c>
    </row>
    <row r="14430" spans="1:6" x14ac:dyDescent="0.2">
      <c r="A14430" s="29" t="s">
        <v>32386</v>
      </c>
      <c r="B14430" s="30" t="s">
        <v>32387</v>
      </c>
      <c r="C14430" s="29" t="s">
        <v>26</v>
      </c>
      <c r="D14430" s="31">
        <v>6490.05</v>
      </c>
      <c r="F14430" s="3" t="str">
        <f t="shared" si="225"/>
        <v>I12691</v>
      </c>
    </row>
    <row r="14431" spans="1:6" x14ac:dyDescent="0.2">
      <c r="A14431" s="29" t="s">
        <v>32388</v>
      </c>
      <c r="B14431" s="30" t="s">
        <v>32389</v>
      </c>
      <c r="C14431" s="29" t="s">
        <v>26</v>
      </c>
      <c r="D14431" s="31">
        <v>7121.35</v>
      </c>
      <c r="F14431" s="3" t="str">
        <f t="shared" si="225"/>
        <v>I12692</v>
      </c>
    </row>
    <row r="14432" spans="1:6" x14ac:dyDescent="0.2">
      <c r="A14432" s="29" t="s">
        <v>32390</v>
      </c>
      <c r="B14432" s="30" t="s">
        <v>32391</v>
      </c>
      <c r="C14432" s="29" t="s">
        <v>26</v>
      </c>
      <c r="D14432" s="31">
        <v>7752.46</v>
      </c>
      <c r="F14432" s="3" t="str">
        <f t="shared" si="225"/>
        <v>I12693</v>
      </c>
    </row>
    <row r="14433" spans="1:6" x14ac:dyDescent="0.2">
      <c r="A14433" s="29" t="s">
        <v>32392</v>
      </c>
      <c r="B14433" s="30" t="s">
        <v>32393</v>
      </c>
      <c r="C14433" s="29" t="s">
        <v>26</v>
      </c>
      <c r="D14433" s="31">
        <v>8838.8799999999992</v>
      </c>
      <c r="F14433" s="3" t="str">
        <f t="shared" si="225"/>
        <v>I12694</v>
      </c>
    </row>
    <row r="14434" spans="1:6" x14ac:dyDescent="0.2">
      <c r="A14434" s="29" t="s">
        <v>32394</v>
      </c>
      <c r="B14434" s="30" t="s">
        <v>32395</v>
      </c>
      <c r="C14434" s="29" t="s">
        <v>26</v>
      </c>
      <c r="D14434" s="31">
        <v>9019.02</v>
      </c>
      <c r="F14434" s="3" t="str">
        <f t="shared" si="225"/>
        <v>I12695</v>
      </c>
    </row>
    <row r="14435" spans="1:6" x14ac:dyDescent="0.2">
      <c r="A14435" s="29" t="s">
        <v>32396</v>
      </c>
      <c r="B14435" s="30" t="s">
        <v>32397</v>
      </c>
      <c r="C14435" s="29" t="s">
        <v>26</v>
      </c>
      <c r="D14435" s="31">
        <v>9123.43</v>
      </c>
      <c r="F14435" s="3" t="str">
        <f t="shared" si="225"/>
        <v>I12696</v>
      </c>
    </row>
    <row r="14436" spans="1:6" x14ac:dyDescent="0.2">
      <c r="A14436" s="29" t="s">
        <v>32398</v>
      </c>
      <c r="B14436" s="30" t="s">
        <v>32399</v>
      </c>
      <c r="C14436" s="29" t="s">
        <v>26</v>
      </c>
      <c r="D14436" s="31">
        <v>3580.33</v>
      </c>
      <c r="F14436" s="3" t="str">
        <f t="shared" si="225"/>
        <v>I12697</v>
      </c>
    </row>
    <row r="14437" spans="1:6" x14ac:dyDescent="0.2">
      <c r="A14437" s="29" t="s">
        <v>32400</v>
      </c>
      <c r="B14437" s="30" t="s">
        <v>32401</v>
      </c>
      <c r="C14437" s="29" t="s">
        <v>26</v>
      </c>
      <c r="D14437" s="31">
        <v>4276.28</v>
      </c>
      <c r="F14437" s="3" t="str">
        <f t="shared" si="225"/>
        <v>I12698</v>
      </c>
    </row>
    <row r="14438" spans="1:6" x14ac:dyDescent="0.2">
      <c r="A14438" s="29" t="s">
        <v>32402</v>
      </c>
      <c r="B14438" s="30" t="s">
        <v>32403</v>
      </c>
      <c r="C14438" s="29" t="s">
        <v>26</v>
      </c>
      <c r="D14438" s="31">
        <v>4972.26</v>
      </c>
      <c r="F14438" s="3" t="str">
        <f t="shared" si="225"/>
        <v>I12699</v>
      </c>
    </row>
    <row r="14439" spans="1:6" x14ac:dyDescent="0.2">
      <c r="A14439" s="29" t="s">
        <v>32404</v>
      </c>
      <c r="B14439" s="30" t="s">
        <v>32405</v>
      </c>
      <c r="C14439" s="29" t="s">
        <v>26</v>
      </c>
      <c r="D14439" s="31">
        <v>5668.14</v>
      </c>
      <c r="F14439" s="3" t="str">
        <f t="shared" si="225"/>
        <v>I12700</v>
      </c>
    </row>
    <row r="14440" spans="1:6" x14ac:dyDescent="0.2">
      <c r="A14440" s="29" t="s">
        <v>32406</v>
      </c>
      <c r="B14440" s="30" t="s">
        <v>32407</v>
      </c>
      <c r="C14440" s="29" t="s">
        <v>26</v>
      </c>
      <c r="D14440" s="31">
        <v>6364.05</v>
      </c>
      <c r="F14440" s="3" t="str">
        <f t="shared" si="225"/>
        <v>I12701</v>
      </c>
    </row>
    <row r="14441" spans="1:6" x14ac:dyDescent="0.2">
      <c r="A14441" s="29" t="s">
        <v>32408</v>
      </c>
      <c r="B14441" s="30" t="s">
        <v>32409</v>
      </c>
      <c r="C14441" s="29" t="s">
        <v>26</v>
      </c>
      <c r="D14441" s="31">
        <v>7059.91</v>
      </c>
      <c r="F14441" s="3" t="str">
        <f t="shared" si="225"/>
        <v>I12702</v>
      </c>
    </row>
    <row r="14442" spans="1:6" x14ac:dyDescent="0.2">
      <c r="A14442" s="29" t="s">
        <v>32410</v>
      </c>
      <c r="B14442" s="30" t="s">
        <v>32411</v>
      </c>
      <c r="C14442" s="29" t="s">
        <v>26</v>
      </c>
      <c r="D14442" s="31">
        <v>7755.89</v>
      </c>
      <c r="F14442" s="3" t="str">
        <f t="shared" si="225"/>
        <v>I12703</v>
      </c>
    </row>
    <row r="14443" spans="1:6" x14ac:dyDescent="0.2">
      <c r="A14443" s="29" t="s">
        <v>32412</v>
      </c>
      <c r="B14443" s="30" t="s">
        <v>32413</v>
      </c>
      <c r="C14443" s="29" t="s">
        <v>26</v>
      </c>
      <c r="D14443" s="31">
        <v>8447.2800000000007</v>
      </c>
      <c r="F14443" s="3" t="str">
        <f t="shared" si="225"/>
        <v>I12704</v>
      </c>
    </row>
    <row r="14444" spans="1:6" x14ac:dyDescent="0.2">
      <c r="A14444" s="29" t="s">
        <v>32414</v>
      </c>
      <c r="B14444" s="30" t="s">
        <v>32415</v>
      </c>
      <c r="C14444" s="29" t="s">
        <v>26</v>
      </c>
      <c r="D14444" s="31">
        <v>9630.8799999999992</v>
      </c>
      <c r="F14444" s="3" t="str">
        <f t="shared" si="225"/>
        <v>I12705</v>
      </c>
    </row>
    <row r="14445" spans="1:6" x14ac:dyDescent="0.2">
      <c r="A14445" s="29" t="s">
        <v>32416</v>
      </c>
      <c r="B14445" s="30" t="s">
        <v>32417</v>
      </c>
      <c r="C14445" s="29" t="s">
        <v>26</v>
      </c>
      <c r="D14445" s="31">
        <v>9843.5</v>
      </c>
      <c r="F14445" s="3" t="str">
        <f t="shared" si="225"/>
        <v>I12706</v>
      </c>
    </row>
    <row r="14446" spans="1:6" x14ac:dyDescent="0.2">
      <c r="A14446" s="29" t="s">
        <v>32418</v>
      </c>
      <c r="B14446" s="30" t="s">
        <v>32419</v>
      </c>
      <c r="C14446" s="29" t="s">
        <v>26</v>
      </c>
      <c r="D14446" s="31">
        <v>9971.11</v>
      </c>
      <c r="F14446" s="3" t="str">
        <f t="shared" si="225"/>
        <v>I12707</v>
      </c>
    </row>
    <row r="14447" spans="1:6" x14ac:dyDescent="0.2">
      <c r="A14447" s="29" t="s">
        <v>32420</v>
      </c>
      <c r="B14447" s="30" t="s">
        <v>32421</v>
      </c>
      <c r="C14447" s="29" t="s">
        <v>26</v>
      </c>
      <c r="D14447" s="31">
        <v>3872.35</v>
      </c>
      <c r="F14447" s="3" t="str">
        <f t="shared" si="225"/>
        <v>I12708</v>
      </c>
    </row>
    <row r="14448" spans="1:6" x14ac:dyDescent="0.2">
      <c r="A14448" s="29" t="s">
        <v>32422</v>
      </c>
      <c r="B14448" s="30" t="s">
        <v>32423</v>
      </c>
      <c r="C14448" s="29" t="s">
        <v>26</v>
      </c>
      <c r="D14448" s="31">
        <v>4568.33</v>
      </c>
      <c r="F14448" s="3" t="str">
        <f t="shared" si="225"/>
        <v>I12709</v>
      </c>
    </row>
    <row r="14449" spans="1:6" x14ac:dyDescent="0.2">
      <c r="A14449" s="29" t="s">
        <v>32424</v>
      </c>
      <c r="B14449" s="30" t="s">
        <v>32425</v>
      </c>
      <c r="C14449" s="29" t="s">
        <v>26</v>
      </c>
      <c r="D14449" s="31">
        <v>5264.3</v>
      </c>
      <c r="F14449" s="3" t="str">
        <f t="shared" si="225"/>
        <v>I12710</v>
      </c>
    </row>
    <row r="14450" spans="1:6" x14ac:dyDescent="0.2">
      <c r="A14450" s="29" t="s">
        <v>32426</v>
      </c>
      <c r="B14450" s="30" t="s">
        <v>32427</v>
      </c>
      <c r="C14450" s="29" t="s">
        <v>26</v>
      </c>
      <c r="D14450" s="31">
        <v>5960.14</v>
      </c>
      <c r="F14450" s="3" t="str">
        <f t="shared" si="225"/>
        <v>I12711</v>
      </c>
    </row>
    <row r="14451" spans="1:6" x14ac:dyDescent="0.2">
      <c r="A14451" s="29" t="s">
        <v>32428</v>
      </c>
      <c r="B14451" s="30" t="s">
        <v>32429</v>
      </c>
      <c r="C14451" s="29" t="s">
        <v>26</v>
      </c>
      <c r="D14451" s="31">
        <v>6656.07</v>
      </c>
      <c r="F14451" s="3" t="str">
        <f t="shared" si="225"/>
        <v>I12712</v>
      </c>
    </row>
    <row r="14452" spans="1:6" x14ac:dyDescent="0.2">
      <c r="A14452" s="29" t="s">
        <v>32430</v>
      </c>
      <c r="B14452" s="30" t="s">
        <v>32431</v>
      </c>
      <c r="C14452" s="29" t="s">
        <v>26</v>
      </c>
      <c r="D14452" s="31">
        <v>7347.34</v>
      </c>
      <c r="F14452" s="3" t="str">
        <f t="shared" si="225"/>
        <v>I12713</v>
      </c>
    </row>
    <row r="14453" spans="1:6" x14ac:dyDescent="0.2">
      <c r="A14453" s="29" t="s">
        <v>32432</v>
      </c>
      <c r="B14453" s="30" t="s">
        <v>32433</v>
      </c>
      <c r="C14453" s="29" t="s">
        <v>26</v>
      </c>
      <c r="D14453" s="31">
        <v>8043.31</v>
      </c>
      <c r="F14453" s="3" t="str">
        <f t="shared" si="225"/>
        <v>I12714</v>
      </c>
    </row>
    <row r="14454" spans="1:6" x14ac:dyDescent="0.2">
      <c r="A14454" s="29" t="s">
        <v>32434</v>
      </c>
      <c r="B14454" s="30" t="s">
        <v>32435</v>
      </c>
      <c r="C14454" s="29" t="s">
        <v>26</v>
      </c>
      <c r="D14454" s="31">
        <v>8739.2900000000009</v>
      </c>
      <c r="F14454" s="3" t="str">
        <f t="shared" si="225"/>
        <v>I12715</v>
      </c>
    </row>
    <row r="14455" spans="1:6" x14ac:dyDescent="0.2">
      <c r="A14455" s="29" t="s">
        <v>32436</v>
      </c>
      <c r="B14455" s="30" t="s">
        <v>32437</v>
      </c>
      <c r="C14455" s="29" t="s">
        <v>26</v>
      </c>
      <c r="D14455" s="31">
        <v>9922.91</v>
      </c>
      <c r="F14455" s="3" t="str">
        <f t="shared" si="225"/>
        <v>I12716</v>
      </c>
    </row>
    <row r="14456" spans="1:6" x14ac:dyDescent="0.2">
      <c r="A14456" s="29" t="s">
        <v>32438</v>
      </c>
      <c r="B14456" s="30" t="s">
        <v>32439</v>
      </c>
      <c r="C14456" s="29" t="s">
        <v>26</v>
      </c>
      <c r="D14456" s="31">
        <v>10135.51</v>
      </c>
      <c r="F14456" s="3" t="str">
        <f t="shared" si="225"/>
        <v>I12717</v>
      </c>
    </row>
    <row r="14457" spans="1:6" x14ac:dyDescent="0.2">
      <c r="A14457" s="29" t="s">
        <v>32440</v>
      </c>
      <c r="B14457" s="30" t="s">
        <v>32441</v>
      </c>
      <c r="C14457" s="29" t="s">
        <v>26</v>
      </c>
      <c r="D14457" s="31">
        <v>10263.1</v>
      </c>
      <c r="F14457" s="3" t="str">
        <f t="shared" si="225"/>
        <v>I12718</v>
      </c>
    </row>
    <row r="14458" spans="1:6" x14ac:dyDescent="0.2">
      <c r="A14458" s="29" t="s">
        <v>32442</v>
      </c>
      <c r="B14458" s="30" t="s">
        <v>32443</v>
      </c>
      <c r="C14458" s="29" t="s">
        <v>26</v>
      </c>
      <c r="D14458" s="31">
        <v>4403.28</v>
      </c>
      <c r="F14458" s="3" t="str">
        <f t="shared" si="225"/>
        <v>I12719</v>
      </c>
    </row>
    <row r="14459" spans="1:6" x14ac:dyDescent="0.2">
      <c r="A14459" s="29" t="s">
        <v>32444</v>
      </c>
      <c r="B14459" s="30" t="s">
        <v>32445</v>
      </c>
      <c r="C14459" s="29" t="s">
        <v>26</v>
      </c>
      <c r="D14459" s="31">
        <v>5213.96</v>
      </c>
      <c r="F14459" s="3" t="str">
        <f t="shared" si="225"/>
        <v>I12720</v>
      </c>
    </row>
    <row r="14460" spans="1:6" x14ac:dyDescent="0.2">
      <c r="A14460" s="29" t="s">
        <v>32446</v>
      </c>
      <c r="B14460" s="30" t="s">
        <v>32447</v>
      </c>
      <c r="C14460" s="29" t="s">
        <v>26</v>
      </c>
      <c r="D14460" s="31">
        <v>6024.61</v>
      </c>
      <c r="F14460" s="3" t="str">
        <f t="shared" si="225"/>
        <v>I12721</v>
      </c>
    </row>
    <row r="14461" spans="1:6" x14ac:dyDescent="0.2">
      <c r="A14461" s="29" t="s">
        <v>32448</v>
      </c>
      <c r="B14461" s="30" t="s">
        <v>32449</v>
      </c>
      <c r="C14461" s="29" t="s">
        <v>26</v>
      </c>
      <c r="D14461" s="31">
        <v>6835.39</v>
      </c>
      <c r="F14461" s="3" t="str">
        <f t="shared" si="225"/>
        <v>I12722</v>
      </c>
    </row>
    <row r="14462" spans="1:6" x14ac:dyDescent="0.2">
      <c r="A14462" s="29" t="s">
        <v>32450</v>
      </c>
      <c r="B14462" s="30" t="s">
        <v>32451</v>
      </c>
      <c r="C14462" s="29" t="s">
        <v>26</v>
      </c>
      <c r="D14462" s="31">
        <v>7646.03</v>
      </c>
      <c r="F14462" s="3" t="str">
        <f t="shared" si="225"/>
        <v>I12723</v>
      </c>
    </row>
    <row r="14463" spans="1:6" x14ac:dyDescent="0.2">
      <c r="A14463" s="29" t="s">
        <v>32452</v>
      </c>
      <c r="B14463" s="30" t="s">
        <v>32453</v>
      </c>
      <c r="C14463" s="29" t="s">
        <v>26</v>
      </c>
      <c r="D14463" s="31">
        <v>8456.68</v>
      </c>
      <c r="F14463" s="3" t="str">
        <f t="shared" si="225"/>
        <v>I12724</v>
      </c>
    </row>
    <row r="14464" spans="1:6" x14ac:dyDescent="0.2">
      <c r="A14464" s="29" t="s">
        <v>32454</v>
      </c>
      <c r="B14464" s="30" t="s">
        <v>32455</v>
      </c>
      <c r="C14464" s="29" t="s">
        <v>26</v>
      </c>
      <c r="D14464" s="31">
        <v>9267.4500000000007</v>
      </c>
      <c r="F14464" s="3" t="str">
        <f t="shared" si="225"/>
        <v>I12725</v>
      </c>
    </row>
    <row r="14465" spans="1:6" x14ac:dyDescent="0.2">
      <c r="A14465" s="29" t="s">
        <v>32456</v>
      </c>
      <c r="B14465" s="30" t="s">
        <v>32457</v>
      </c>
      <c r="C14465" s="29" t="s">
        <v>26</v>
      </c>
      <c r="D14465" s="31">
        <v>10078.09</v>
      </c>
      <c r="F14465" s="3" t="str">
        <f t="shared" si="225"/>
        <v>I12726</v>
      </c>
    </row>
    <row r="14466" spans="1:6" x14ac:dyDescent="0.2">
      <c r="A14466" s="29" t="s">
        <v>32458</v>
      </c>
      <c r="B14466" s="30" t="s">
        <v>32459</v>
      </c>
      <c r="C14466" s="29" t="s">
        <v>26</v>
      </c>
      <c r="D14466" s="31">
        <v>11455.18</v>
      </c>
      <c r="F14466" s="3" t="str">
        <f t="shared" ref="F14466:F14529" si="226">A14466</f>
        <v>I12727</v>
      </c>
    </row>
    <row r="14467" spans="1:6" x14ac:dyDescent="0.2">
      <c r="A14467" s="29" t="s">
        <v>32460</v>
      </c>
      <c r="B14467" s="30" t="s">
        <v>32461</v>
      </c>
      <c r="C14467" s="29" t="s">
        <v>26</v>
      </c>
      <c r="D14467" s="31">
        <v>11700.07</v>
      </c>
      <c r="F14467" s="3" t="str">
        <f t="shared" si="226"/>
        <v>I12728</v>
      </c>
    </row>
    <row r="14468" spans="1:6" x14ac:dyDescent="0.2">
      <c r="A14468" s="29" t="s">
        <v>32462</v>
      </c>
      <c r="B14468" s="30" t="s">
        <v>32463</v>
      </c>
      <c r="C14468" s="29" t="s">
        <v>26</v>
      </c>
      <c r="D14468" s="31">
        <v>11850.69</v>
      </c>
      <c r="F14468" s="3" t="str">
        <f t="shared" si="226"/>
        <v>I12729</v>
      </c>
    </row>
    <row r="14469" spans="1:6" x14ac:dyDescent="0.2">
      <c r="A14469" s="29" t="s">
        <v>32464</v>
      </c>
      <c r="B14469" s="30" t="s">
        <v>32465</v>
      </c>
      <c r="C14469" s="29" t="s">
        <v>26</v>
      </c>
      <c r="D14469" s="31">
        <v>5178.3900000000003</v>
      </c>
      <c r="F14469" s="3" t="str">
        <f t="shared" si="226"/>
        <v>I12730</v>
      </c>
    </row>
    <row r="14470" spans="1:6" x14ac:dyDescent="0.2">
      <c r="A14470" s="29" t="s">
        <v>32466</v>
      </c>
      <c r="B14470" s="30" t="s">
        <v>32467</v>
      </c>
      <c r="C14470" s="29" t="s">
        <v>26</v>
      </c>
      <c r="D14470" s="31">
        <v>5989.13</v>
      </c>
      <c r="F14470" s="3" t="str">
        <f t="shared" si="226"/>
        <v>I12731</v>
      </c>
    </row>
    <row r="14471" spans="1:6" x14ac:dyDescent="0.2">
      <c r="A14471" s="29" t="s">
        <v>32468</v>
      </c>
      <c r="B14471" s="30" t="s">
        <v>32469</v>
      </c>
      <c r="C14471" s="29" t="s">
        <v>26</v>
      </c>
      <c r="D14471" s="31">
        <v>6799.75</v>
      </c>
      <c r="F14471" s="3" t="str">
        <f t="shared" si="226"/>
        <v>I12732</v>
      </c>
    </row>
    <row r="14472" spans="1:6" x14ac:dyDescent="0.2">
      <c r="A14472" s="29" t="s">
        <v>32470</v>
      </c>
      <c r="B14472" s="30" t="s">
        <v>32471</v>
      </c>
      <c r="C14472" s="29" t="s">
        <v>26</v>
      </c>
      <c r="D14472" s="31">
        <v>7610.57</v>
      </c>
      <c r="F14472" s="3" t="str">
        <f t="shared" si="226"/>
        <v>I12733</v>
      </c>
    </row>
    <row r="14473" spans="1:6" x14ac:dyDescent="0.2">
      <c r="A14473" s="29" t="s">
        <v>32472</v>
      </c>
      <c r="B14473" s="30" t="s">
        <v>32473</v>
      </c>
      <c r="C14473" s="29" t="s">
        <v>26</v>
      </c>
      <c r="D14473" s="31">
        <v>8421.17</v>
      </c>
      <c r="F14473" s="3" t="str">
        <f t="shared" si="226"/>
        <v>I12734</v>
      </c>
    </row>
    <row r="14474" spans="1:6" x14ac:dyDescent="0.2">
      <c r="A14474" s="29" t="s">
        <v>32474</v>
      </c>
      <c r="B14474" s="30" t="s">
        <v>32475</v>
      </c>
      <c r="C14474" s="29" t="s">
        <v>26</v>
      </c>
      <c r="D14474" s="31">
        <v>9231.86</v>
      </c>
      <c r="F14474" s="3" t="str">
        <f t="shared" si="226"/>
        <v>I12735</v>
      </c>
    </row>
    <row r="14475" spans="1:6" x14ac:dyDescent="0.2">
      <c r="A14475" s="29" t="s">
        <v>32476</v>
      </c>
      <c r="B14475" s="30" t="s">
        <v>32477</v>
      </c>
      <c r="C14475" s="29" t="s">
        <v>26</v>
      </c>
      <c r="D14475" s="31">
        <v>10042.57</v>
      </c>
      <c r="F14475" s="3" t="str">
        <f t="shared" si="226"/>
        <v>I12736</v>
      </c>
    </row>
    <row r="14476" spans="1:6" x14ac:dyDescent="0.2">
      <c r="A14476" s="29" t="s">
        <v>32478</v>
      </c>
      <c r="B14476" s="30" t="s">
        <v>32479</v>
      </c>
      <c r="C14476" s="29" t="s">
        <v>26</v>
      </c>
      <c r="D14476" s="31">
        <v>10853.26</v>
      </c>
      <c r="F14476" s="3" t="str">
        <f t="shared" si="226"/>
        <v>I12737</v>
      </c>
    </row>
    <row r="14477" spans="1:6" x14ac:dyDescent="0.2">
      <c r="A14477" s="29" t="s">
        <v>32480</v>
      </c>
      <c r="B14477" s="30" t="s">
        <v>32481</v>
      </c>
      <c r="C14477" s="29" t="s">
        <v>26</v>
      </c>
      <c r="D14477" s="31">
        <v>12230.29</v>
      </c>
      <c r="F14477" s="3" t="str">
        <f t="shared" si="226"/>
        <v>I12738</v>
      </c>
    </row>
    <row r="14478" spans="1:6" x14ac:dyDescent="0.2">
      <c r="A14478" s="29" t="s">
        <v>32482</v>
      </c>
      <c r="B14478" s="30" t="s">
        <v>32483</v>
      </c>
      <c r="C14478" s="29" t="s">
        <v>26</v>
      </c>
      <c r="D14478" s="31">
        <v>12479.8</v>
      </c>
      <c r="F14478" s="3" t="str">
        <f t="shared" si="226"/>
        <v>I12739</v>
      </c>
    </row>
    <row r="14479" spans="1:6" x14ac:dyDescent="0.2">
      <c r="A14479" s="29" t="s">
        <v>32484</v>
      </c>
      <c r="B14479" s="30" t="s">
        <v>32485</v>
      </c>
      <c r="C14479" s="29" t="s">
        <v>26</v>
      </c>
      <c r="D14479" s="31">
        <v>12630.38</v>
      </c>
      <c r="F14479" s="3" t="str">
        <f t="shared" si="226"/>
        <v>I12740</v>
      </c>
    </row>
    <row r="14480" spans="1:6" x14ac:dyDescent="0.2">
      <c r="A14480" s="29" t="s">
        <v>32486</v>
      </c>
      <c r="B14480" s="30" t="s">
        <v>32487</v>
      </c>
      <c r="C14480" s="29" t="s">
        <v>26</v>
      </c>
      <c r="D14480" s="31">
        <v>5043.74</v>
      </c>
      <c r="F14480" s="3" t="str">
        <f t="shared" si="226"/>
        <v>I12741</v>
      </c>
    </row>
    <row r="14481" spans="1:6" x14ac:dyDescent="0.2">
      <c r="A14481" s="29" t="s">
        <v>32488</v>
      </c>
      <c r="B14481" s="30" t="s">
        <v>32489</v>
      </c>
      <c r="C14481" s="29" t="s">
        <v>26</v>
      </c>
      <c r="D14481" s="31">
        <v>5956.58</v>
      </c>
      <c r="F14481" s="3" t="str">
        <f t="shared" si="226"/>
        <v>I12742</v>
      </c>
    </row>
    <row r="14482" spans="1:6" x14ac:dyDescent="0.2">
      <c r="A14482" s="29" t="s">
        <v>32490</v>
      </c>
      <c r="B14482" s="30" t="s">
        <v>32491</v>
      </c>
      <c r="C14482" s="29" t="s">
        <v>26</v>
      </c>
      <c r="D14482" s="31">
        <v>6873.95</v>
      </c>
      <c r="F14482" s="3" t="str">
        <f t="shared" si="226"/>
        <v>I12743</v>
      </c>
    </row>
    <row r="14483" spans="1:6" x14ac:dyDescent="0.2">
      <c r="A14483" s="29" t="s">
        <v>32492</v>
      </c>
      <c r="B14483" s="30" t="s">
        <v>32493</v>
      </c>
      <c r="C14483" s="29" t="s">
        <v>26</v>
      </c>
      <c r="D14483" s="31">
        <v>7786.71</v>
      </c>
      <c r="F14483" s="3" t="str">
        <f t="shared" si="226"/>
        <v>I12744</v>
      </c>
    </row>
    <row r="14484" spans="1:6" x14ac:dyDescent="0.2">
      <c r="A14484" s="29" t="s">
        <v>32494</v>
      </c>
      <c r="B14484" s="30" t="s">
        <v>32495</v>
      </c>
      <c r="C14484" s="29" t="s">
        <v>26</v>
      </c>
      <c r="D14484" s="31">
        <v>8699.3700000000008</v>
      </c>
      <c r="F14484" s="3" t="str">
        <f t="shared" si="226"/>
        <v>I12745</v>
      </c>
    </row>
    <row r="14485" spans="1:6" x14ac:dyDescent="0.2">
      <c r="A14485" s="29" t="s">
        <v>32496</v>
      </c>
      <c r="B14485" s="30" t="s">
        <v>32497</v>
      </c>
      <c r="C14485" s="29" t="s">
        <v>26</v>
      </c>
      <c r="D14485" s="31">
        <v>9612.1299999999992</v>
      </c>
      <c r="F14485" s="3" t="str">
        <f t="shared" si="226"/>
        <v>I12746</v>
      </c>
    </row>
    <row r="14486" spans="1:6" x14ac:dyDescent="0.2">
      <c r="A14486" s="29" t="s">
        <v>32498</v>
      </c>
      <c r="B14486" s="30" t="s">
        <v>32499</v>
      </c>
      <c r="C14486" s="29" t="s">
        <v>26</v>
      </c>
      <c r="D14486" s="31">
        <v>10524.86</v>
      </c>
      <c r="F14486" s="3" t="str">
        <f t="shared" si="226"/>
        <v>I12747</v>
      </c>
    </row>
    <row r="14487" spans="1:6" x14ac:dyDescent="0.2">
      <c r="A14487" s="29" t="s">
        <v>32500</v>
      </c>
      <c r="B14487" s="30" t="s">
        <v>32501</v>
      </c>
      <c r="C14487" s="29" t="s">
        <v>26</v>
      </c>
      <c r="D14487" s="31">
        <v>11437.63</v>
      </c>
      <c r="F14487" s="3" t="str">
        <f t="shared" si="226"/>
        <v>I12748</v>
      </c>
    </row>
    <row r="14488" spans="1:6" x14ac:dyDescent="0.2">
      <c r="A14488" s="29" t="s">
        <v>32502</v>
      </c>
      <c r="B14488" s="30" t="s">
        <v>32503</v>
      </c>
      <c r="C14488" s="29" t="s">
        <v>26</v>
      </c>
      <c r="D14488" s="31">
        <v>12980.8</v>
      </c>
      <c r="F14488" s="3" t="str">
        <f t="shared" si="226"/>
        <v>I12749</v>
      </c>
    </row>
    <row r="14489" spans="1:6" x14ac:dyDescent="0.2">
      <c r="A14489" s="29" t="s">
        <v>32504</v>
      </c>
      <c r="B14489" s="30" t="s">
        <v>32505</v>
      </c>
      <c r="C14489" s="29" t="s">
        <v>26</v>
      </c>
      <c r="D14489" s="31">
        <v>13268.88</v>
      </c>
      <c r="F14489" s="3" t="str">
        <f t="shared" si="226"/>
        <v>I12750</v>
      </c>
    </row>
    <row r="14490" spans="1:6" x14ac:dyDescent="0.2">
      <c r="A14490" s="29" t="s">
        <v>32506</v>
      </c>
      <c r="B14490" s="30" t="s">
        <v>32507</v>
      </c>
      <c r="C14490" s="29" t="s">
        <v>26</v>
      </c>
      <c r="D14490" s="31">
        <v>13443.51</v>
      </c>
      <c r="F14490" s="3" t="str">
        <f t="shared" si="226"/>
        <v>I12751</v>
      </c>
    </row>
    <row r="14491" spans="1:6" x14ac:dyDescent="0.2">
      <c r="A14491" s="29" t="s">
        <v>32508</v>
      </c>
      <c r="B14491" s="30" t="s">
        <v>32509</v>
      </c>
      <c r="C14491" s="29" t="s">
        <v>26</v>
      </c>
      <c r="D14491" s="31">
        <v>6293.98</v>
      </c>
      <c r="F14491" s="3" t="str">
        <f t="shared" si="226"/>
        <v>I12752</v>
      </c>
    </row>
    <row r="14492" spans="1:6" x14ac:dyDescent="0.2">
      <c r="A14492" s="29" t="s">
        <v>32510</v>
      </c>
      <c r="B14492" s="30" t="s">
        <v>32511</v>
      </c>
      <c r="C14492" s="29" t="s">
        <v>26</v>
      </c>
      <c r="D14492" s="31">
        <v>7206.82</v>
      </c>
      <c r="F14492" s="3" t="str">
        <f t="shared" si="226"/>
        <v>I12753</v>
      </c>
    </row>
    <row r="14493" spans="1:6" x14ac:dyDescent="0.2">
      <c r="A14493" s="29" t="s">
        <v>32512</v>
      </c>
      <c r="B14493" s="30" t="s">
        <v>32513</v>
      </c>
      <c r="C14493" s="29" t="s">
        <v>26</v>
      </c>
      <c r="D14493" s="31">
        <v>8119.58</v>
      </c>
      <c r="F14493" s="3" t="str">
        <f t="shared" si="226"/>
        <v>I12754</v>
      </c>
    </row>
    <row r="14494" spans="1:6" x14ac:dyDescent="0.2">
      <c r="A14494" s="29" t="s">
        <v>32514</v>
      </c>
      <c r="B14494" s="30" t="s">
        <v>32515</v>
      </c>
      <c r="C14494" s="29" t="s">
        <v>26</v>
      </c>
      <c r="D14494" s="31">
        <v>9032.35</v>
      </c>
      <c r="F14494" s="3" t="str">
        <f t="shared" si="226"/>
        <v>I12755</v>
      </c>
    </row>
    <row r="14495" spans="1:6" x14ac:dyDescent="0.2">
      <c r="A14495" s="29" t="s">
        <v>32516</v>
      </c>
      <c r="B14495" s="30" t="s">
        <v>32517</v>
      </c>
      <c r="C14495" s="29" t="s">
        <v>26</v>
      </c>
      <c r="D14495" s="31">
        <v>9945</v>
      </c>
      <c r="F14495" s="3" t="str">
        <f t="shared" si="226"/>
        <v>I12756</v>
      </c>
    </row>
    <row r="14496" spans="1:6" x14ac:dyDescent="0.2">
      <c r="A14496" s="29" t="s">
        <v>32518</v>
      </c>
      <c r="B14496" s="30" t="s">
        <v>32519</v>
      </c>
      <c r="C14496" s="29" t="s">
        <v>26</v>
      </c>
      <c r="D14496" s="31">
        <v>10857.76</v>
      </c>
      <c r="F14496" s="3" t="str">
        <f t="shared" si="226"/>
        <v>I12757</v>
      </c>
    </row>
    <row r="14497" spans="1:6" x14ac:dyDescent="0.2">
      <c r="A14497" s="29" t="s">
        <v>32520</v>
      </c>
      <c r="B14497" s="30" t="s">
        <v>32521</v>
      </c>
      <c r="C14497" s="29" t="s">
        <v>26</v>
      </c>
      <c r="D14497" s="31">
        <v>11775.12</v>
      </c>
      <c r="F14497" s="3" t="str">
        <f t="shared" si="226"/>
        <v>I12758</v>
      </c>
    </row>
    <row r="14498" spans="1:6" x14ac:dyDescent="0.2">
      <c r="A14498" s="29" t="s">
        <v>32522</v>
      </c>
      <c r="B14498" s="30" t="s">
        <v>32523</v>
      </c>
      <c r="C14498" s="29" t="s">
        <v>26</v>
      </c>
      <c r="D14498" s="31">
        <v>12687.87</v>
      </c>
      <c r="F14498" s="3" t="str">
        <f t="shared" si="226"/>
        <v>I12759</v>
      </c>
    </row>
    <row r="14499" spans="1:6" x14ac:dyDescent="0.2">
      <c r="A14499" s="29" t="s">
        <v>32524</v>
      </c>
      <c r="B14499" s="30" t="s">
        <v>32525</v>
      </c>
      <c r="C14499" s="29" t="s">
        <v>26</v>
      </c>
      <c r="D14499" s="31">
        <v>14231.01</v>
      </c>
      <c r="F14499" s="3" t="str">
        <f t="shared" si="226"/>
        <v>I12760</v>
      </c>
    </row>
    <row r="14500" spans="1:6" x14ac:dyDescent="0.2">
      <c r="A14500" s="29" t="s">
        <v>32526</v>
      </c>
      <c r="B14500" s="30" t="s">
        <v>32527</v>
      </c>
      <c r="C14500" s="29" t="s">
        <v>26</v>
      </c>
      <c r="D14500" s="31">
        <v>14519.1</v>
      </c>
      <c r="F14500" s="3" t="str">
        <f t="shared" si="226"/>
        <v>I12761</v>
      </c>
    </row>
    <row r="14501" spans="1:6" x14ac:dyDescent="0.2">
      <c r="A14501" s="29" t="s">
        <v>32528</v>
      </c>
      <c r="B14501" s="30" t="s">
        <v>32529</v>
      </c>
      <c r="C14501" s="29" t="s">
        <v>26</v>
      </c>
      <c r="D14501" s="31">
        <v>14693.78</v>
      </c>
      <c r="F14501" s="3" t="str">
        <f t="shared" si="226"/>
        <v>I12762</v>
      </c>
    </row>
    <row r="14502" spans="1:6" x14ac:dyDescent="0.2">
      <c r="A14502" s="29" t="s">
        <v>32530</v>
      </c>
      <c r="B14502" s="30" t="s">
        <v>32531</v>
      </c>
      <c r="C14502" s="29" t="s">
        <v>26</v>
      </c>
      <c r="D14502" s="31">
        <v>7087.68</v>
      </c>
      <c r="F14502" s="3" t="str">
        <f t="shared" si="226"/>
        <v>I12763</v>
      </c>
    </row>
    <row r="14503" spans="1:6" x14ac:dyDescent="0.2">
      <c r="A14503" s="29" t="s">
        <v>32532</v>
      </c>
      <c r="B14503" s="30" t="s">
        <v>32533</v>
      </c>
      <c r="C14503" s="29" t="s">
        <v>26</v>
      </c>
      <c r="D14503" s="31">
        <v>8281.33</v>
      </c>
      <c r="F14503" s="3" t="str">
        <f t="shared" si="226"/>
        <v>I12764</v>
      </c>
    </row>
    <row r="14504" spans="1:6" x14ac:dyDescent="0.2">
      <c r="A14504" s="29" t="s">
        <v>32534</v>
      </c>
      <c r="B14504" s="30" t="s">
        <v>32535</v>
      </c>
      <c r="C14504" s="29" t="s">
        <v>26</v>
      </c>
      <c r="D14504" s="31">
        <v>9479.5</v>
      </c>
      <c r="F14504" s="3" t="str">
        <f t="shared" si="226"/>
        <v>I12765</v>
      </c>
    </row>
    <row r="14505" spans="1:6" x14ac:dyDescent="0.2">
      <c r="A14505" s="29" t="s">
        <v>32536</v>
      </c>
      <c r="B14505" s="30" t="s">
        <v>32537</v>
      </c>
      <c r="C14505" s="29" t="s">
        <v>26</v>
      </c>
      <c r="D14505" s="31">
        <v>10672.99</v>
      </c>
      <c r="F14505" s="3" t="str">
        <f t="shared" si="226"/>
        <v>I12766</v>
      </c>
    </row>
    <row r="14506" spans="1:6" x14ac:dyDescent="0.2">
      <c r="A14506" s="29" t="s">
        <v>32538</v>
      </c>
      <c r="B14506" s="30" t="s">
        <v>32539</v>
      </c>
      <c r="C14506" s="29" t="s">
        <v>26</v>
      </c>
      <c r="D14506" s="31">
        <v>11866.45</v>
      </c>
      <c r="F14506" s="3" t="str">
        <f t="shared" si="226"/>
        <v>I12767</v>
      </c>
    </row>
    <row r="14507" spans="1:6" x14ac:dyDescent="0.2">
      <c r="A14507" s="29" t="s">
        <v>32540</v>
      </c>
      <c r="B14507" s="30" t="s">
        <v>32541</v>
      </c>
      <c r="C14507" s="29" t="s">
        <v>26</v>
      </c>
      <c r="D14507" s="31">
        <v>13060.09</v>
      </c>
      <c r="F14507" s="3" t="str">
        <f t="shared" si="226"/>
        <v>I12768</v>
      </c>
    </row>
    <row r="14508" spans="1:6" x14ac:dyDescent="0.2">
      <c r="A14508" s="29" t="s">
        <v>32542</v>
      </c>
      <c r="B14508" s="30" t="s">
        <v>32543</v>
      </c>
      <c r="C14508" s="29" t="s">
        <v>26</v>
      </c>
      <c r="D14508" s="31">
        <v>14258.25</v>
      </c>
      <c r="F14508" s="3" t="str">
        <f t="shared" si="226"/>
        <v>I12769</v>
      </c>
    </row>
    <row r="14509" spans="1:6" x14ac:dyDescent="0.2">
      <c r="A14509" s="29" t="s">
        <v>32544</v>
      </c>
      <c r="B14509" s="30" t="s">
        <v>32545</v>
      </c>
      <c r="C14509" s="29" t="s">
        <v>26</v>
      </c>
      <c r="D14509" s="31">
        <v>15451.9</v>
      </c>
      <c r="F14509" s="3" t="str">
        <f t="shared" si="226"/>
        <v>I12770</v>
      </c>
    </row>
    <row r="14510" spans="1:6" x14ac:dyDescent="0.2">
      <c r="A14510" s="29" t="s">
        <v>32546</v>
      </c>
      <c r="B14510" s="30" t="s">
        <v>32547</v>
      </c>
      <c r="C14510" s="29" t="s">
        <v>26</v>
      </c>
      <c r="D14510" s="31">
        <v>17476.849999999999</v>
      </c>
      <c r="F14510" s="3" t="str">
        <f t="shared" si="226"/>
        <v>I12771</v>
      </c>
    </row>
    <row r="14511" spans="1:6" x14ac:dyDescent="0.2">
      <c r="A14511" s="29" t="s">
        <v>32548</v>
      </c>
      <c r="B14511" s="30" t="s">
        <v>32549</v>
      </c>
      <c r="C14511" s="29" t="s">
        <v>26</v>
      </c>
      <c r="D14511" s="31">
        <v>17846.48</v>
      </c>
      <c r="F14511" s="3" t="str">
        <f t="shared" si="226"/>
        <v>I12772</v>
      </c>
    </row>
    <row r="14512" spans="1:6" x14ac:dyDescent="0.2">
      <c r="A14512" s="29" t="s">
        <v>32550</v>
      </c>
      <c r="B14512" s="30" t="s">
        <v>32551</v>
      </c>
      <c r="C14512" s="29" t="s">
        <v>26</v>
      </c>
      <c r="D14512" s="31">
        <v>18070.97</v>
      </c>
      <c r="F14512" s="3" t="str">
        <f t="shared" si="226"/>
        <v>I12773</v>
      </c>
    </row>
    <row r="14513" spans="1:6" x14ac:dyDescent="0.2">
      <c r="A14513" s="29" t="s">
        <v>32552</v>
      </c>
      <c r="B14513" s="30" t="s">
        <v>32553</v>
      </c>
      <c r="C14513" s="29" t="s">
        <v>26</v>
      </c>
      <c r="D14513" s="31">
        <v>7402.25</v>
      </c>
      <c r="F14513" s="3" t="str">
        <f t="shared" si="226"/>
        <v>I12774</v>
      </c>
    </row>
    <row r="14514" spans="1:6" x14ac:dyDescent="0.2">
      <c r="A14514" s="29" t="s">
        <v>32554</v>
      </c>
      <c r="B14514" s="30" t="s">
        <v>32555</v>
      </c>
      <c r="C14514" s="29" t="s">
        <v>26</v>
      </c>
      <c r="D14514" s="31">
        <v>8595.9</v>
      </c>
      <c r="F14514" s="3" t="str">
        <f t="shared" si="226"/>
        <v>I12775</v>
      </c>
    </row>
    <row r="14515" spans="1:6" x14ac:dyDescent="0.2">
      <c r="A14515" s="29" t="s">
        <v>32556</v>
      </c>
      <c r="B14515" s="30" t="s">
        <v>32557</v>
      </c>
      <c r="C14515" s="29" t="s">
        <v>26</v>
      </c>
      <c r="D14515" s="31">
        <v>9789.43</v>
      </c>
      <c r="F14515" s="3" t="str">
        <f t="shared" si="226"/>
        <v>I12776</v>
      </c>
    </row>
    <row r="14516" spans="1:6" x14ac:dyDescent="0.2">
      <c r="A14516" s="29" t="s">
        <v>32558</v>
      </c>
      <c r="B14516" s="30" t="s">
        <v>32559</v>
      </c>
      <c r="C14516" s="29" t="s">
        <v>26</v>
      </c>
      <c r="D14516" s="31">
        <v>10987.56</v>
      </c>
      <c r="F14516" s="3" t="str">
        <f t="shared" si="226"/>
        <v>I12777</v>
      </c>
    </row>
    <row r="14517" spans="1:6" x14ac:dyDescent="0.2">
      <c r="A14517" s="29" t="s">
        <v>32560</v>
      </c>
      <c r="B14517" s="30" t="s">
        <v>32561</v>
      </c>
      <c r="C14517" s="29" t="s">
        <v>26</v>
      </c>
      <c r="D14517" s="31">
        <v>12181.05</v>
      </c>
      <c r="F14517" s="3" t="str">
        <f t="shared" si="226"/>
        <v>I12778</v>
      </c>
    </row>
    <row r="14518" spans="1:6" x14ac:dyDescent="0.2">
      <c r="A14518" s="29" t="s">
        <v>32562</v>
      </c>
      <c r="B14518" s="30" t="s">
        <v>32563</v>
      </c>
      <c r="C14518" s="29" t="s">
        <v>26</v>
      </c>
      <c r="D14518" s="31">
        <v>13374.65</v>
      </c>
      <c r="F14518" s="3" t="str">
        <f t="shared" si="226"/>
        <v>I12779</v>
      </c>
    </row>
    <row r="14519" spans="1:6" x14ac:dyDescent="0.2">
      <c r="A14519" s="29" t="s">
        <v>32564</v>
      </c>
      <c r="B14519" s="30" t="s">
        <v>32565</v>
      </c>
      <c r="C14519" s="29" t="s">
        <v>26</v>
      </c>
      <c r="D14519" s="31">
        <v>14568.24</v>
      </c>
      <c r="F14519" s="3" t="str">
        <f t="shared" si="226"/>
        <v>I12780</v>
      </c>
    </row>
    <row r="14520" spans="1:6" x14ac:dyDescent="0.2">
      <c r="A14520" s="29" t="s">
        <v>32566</v>
      </c>
      <c r="B14520" s="30" t="s">
        <v>32567</v>
      </c>
      <c r="C14520" s="29" t="s">
        <v>26</v>
      </c>
      <c r="D14520" s="31">
        <v>15766.47</v>
      </c>
      <c r="F14520" s="3" t="str">
        <f t="shared" si="226"/>
        <v>I12781</v>
      </c>
    </row>
    <row r="14521" spans="1:6" x14ac:dyDescent="0.2">
      <c r="A14521" s="29" t="s">
        <v>32568</v>
      </c>
      <c r="B14521" s="30" t="s">
        <v>32569</v>
      </c>
      <c r="C14521" s="29" t="s">
        <v>26</v>
      </c>
      <c r="D14521" s="31">
        <v>17791.419999999998</v>
      </c>
      <c r="F14521" s="3" t="str">
        <f t="shared" si="226"/>
        <v>I12782</v>
      </c>
    </row>
    <row r="14522" spans="1:6" x14ac:dyDescent="0.2">
      <c r="A14522" s="29" t="s">
        <v>32570</v>
      </c>
      <c r="B14522" s="30" t="s">
        <v>32571</v>
      </c>
      <c r="C14522" s="29" t="s">
        <v>26</v>
      </c>
      <c r="D14522" s="31">
        <v>18161.060000000001</v>
      </c>
      <c r="F14522" s="3" t="str">
        <f t="shared" si="226"/>
        <v>I12783</v>
      </c>
    </row>
    <row r="14523" spans="1:6" x14ac:dyDescent="0.2">
      <c r="A14523" s="29" t="s">
        <v>32572</v>
      </c>
      <c r="B14523" s="30" t="s">
        <v>32573</v>
      </c>
      <c r="C14523" s="29" t="s">
        <v>26</v>
      </c>
      <c r="D14523" s="31">
        <v>18385.580000000002</v>
      </c>
      <c r="F14523" s="3" t="str">
        <f t="shared" si="226"/>
        <v>I12784</v>
      </c>
    </row>
    <row r="14524" spans="1:6" x14ac:dyDescent="0.2">
      <c r="A14524" s="29" t="s">
        <v>32574</v>
      </c>
      <c r="B14524" s="30" t="s">
        <v>32575</v>
      </c>
      <c r="C14524" s="29" t="s">
        <v>26</v>
      </c>
      <c r="D14524" s="31">
        <v>12675.45</v>
      </c>
      <c r="F14524" s="3" t="str">
        <f t="shared" si="226"/>
        <v>I12785</v>
      </c>
    </row>
    <row r="14525" spans="1:6" x14ac:dyDescent="0.2">
      <c r="A14525" s="29" t="s">
        <v>32576</v>
      </c>
      <c r="B14525" s="30" t="s">
        <v>32577</v>
      </c>
      <c r="C14525" s="29" t="s">
        <v>26</v>
      </c>
      <c r="D14525" s="31">
        <v>14831.76</v>
      </c>
      <c r="F14525" s="3" t="str">
        <f t="shared" si="226"/>
        <v>I12786</v>
      </c>
    </row>
    <row r="14526" spans="1:6" x14ac:dyDescent="0.2">
      <c r="A14526" s="29" t="s">
        <v>32578</v>
      </c>
      <c r="B14526" s="30" t="s">
        <v>32579</v>
      </c>
      <c r="C14526" s="29" t="s">
        <v>26</v>
      </c>
      <c r="D14526" s="31">
        <v>16988.04</v>
      </c>
      <c r="F14526" s="3" t="str">
        <f t="shared" si="226"/>
        <v>I12787</v>
      </c>
    </row>
    <row r="14527" spans="1:6" x14ac:dyDescent="0.2">
      <c r="A14527" s="29" t="s">
        <v>32580</v>
      </c>
      <c r="B14527" s="30" t="s">
        <v>32581</v>
      </c>
      <c r="C14527" s="29" t="s">
        <v>26</v>
      </c>
      <c r="D14527" s="31">
        <v>19148.91</v>
      </c>
      <c r="F14527" s="3" t="str">
        <f t="shared" si="226"/>
        <v>I12788</v>
      </c>
    </row>
    <row r="14528" spans="1:6" x14ac:dyDescent="0.2">
      <c r="A14528" s="29" t="s">
        <v>32582</v>
      </c>
      <c r="B14528" s="30" t="s">
        <v>32583</v>
      </c>
      <c r="C14528" s="29" t="s">
        <v>26</v>
      </c>
      <c r="D14528" s="31">
        <v>21305.360000000001</v>
      </c>
      <c r="F14528" s="3" t="str">
        <f t="shared" si="226"/>
        <v>I12789</v>
      </c>
    </row>
    <row r="14529" spans="1:6" x14ac:dyDescent="0.2">
      <c r="A14529" s="29" t="s">
        <v>32584</v>
      </c>
      <c r="B14529" s="30" t="s">
        <v>32585</v>
      </c>
      <c r="C14529" s="29" t="s">
        <v>26</v>
      </c>
      <c r="D14529" s="31">
        <v>23466.240000000002</v>
      </c>
      <c r="F14529" s="3" t="str">
        <f t="shared" si="226"/>
        <v>I12790</v>
      </c>
    </row>
    <row r="14530" spans="1:6" x14ac:dyDescent="0.2">
      <c r="A14530" s="29" t="s">
        <v>32586</v>
      </c>
      <c r="B14530" s="30" t="s">
        <v>32587</v>
      </c>
      <c r="C14530" s="29" t="s">
        <v>26</v>
      </c>
      <c r="D14530" s="31">
        <v>25622.51</v>
      </c>
      <c r="F14530" s="3" t="str">
        <f t="shared" ref="F14530:F14593" si="227">A14530</f>
        <v>I12791</v>
      </c>
    </row>
    <row r="14531" spans="1:6" x14ac:dyDescent="0.2">
      <c r="A14531" s="29" t="s">
        <v>32588</v>
      </c>
      <c r="B14531" s="30" t="s">
        <v>32589</v>
      </c>
      <c r="C14531" s="29" t="s">
        <v>26</v>
      </c>
      <c r="D14531" s="31">
        <v>27778.799999999999</v>
      </c>
      <c r="F14531" s="3" t="str">
        <f t="shared" si="227"/>
        <v>I12792</v>
      </c>
    </row>
    <row r="14532" spans="1:6" x14ac:dyDescent="0.2">
      <c r="A14532" s="29" t="s">
        <v>32590</v>
      </c>
      <c r="B14532" s="30" t="s">
        <v>32591</v>
      </c>
      <c r="C14532" s="29" t="s">
        <v>26</v>
      </c>
      <c r="D14532" s="31">
        <v>29939.69</v>
      </c>
      <c r="F14532" s="3" t="str">
        <f t="shared" si="227"/>
        <v>I12793</v>
      </c>
    </row>
    <row r="14533" spans="1:6" x14ac:dyDescent="0.2">
      <c r="A14533" s="29" t="s">
        <v>32592</v>
      </c>
      <c r="B14533" s="30" t="s">
        <v>32593</v>
      </c>
      <c r="C14533" s="29" t="s">
        <v>26</v>
      </c>
      <c r="D14533" s="31">
        <v>32096.07</v>
      </c>
      <c r="F14533" s="3" t="str">
        <f t="shared" si="227"/>
        <v>I12794</v>
      </c>
    </row>
    <row r="14534" spans="1:6" x14ac:dyDescent="0.2">
      <c r="A14534" s="29" t="s">
        <v>32594</v>
      </c>
      <c r="B14534" s="30" t="s">
        <v>32595</v>
      </c>
      <c r="C14534" s="29" t="s">
        <v>26</v>
      </c>
      <c r="D14534" s="31">
        <v>35561.660000000003</v>
      </c>
      <c r="F14534" s="3" t="str">
        <f t="shared" si="227"/>
        <v>I12795</v>
      </c>
    </row>
    <row r="14535" spans="1:6" x14ac:dyDescent="0.2">
      <c r="A14535" s="29" t="s">
        <v>32596</v>
      </c>
      <c r="B14535" s="30" t="s">
        <v>32597</v>
      </c>
      <c r="C14535" s="29" t="s">
        <v>26</v>
      </c>
      <c r="D14535" s="31">
        <v>36171.279999999999</v>
      </c>
      <c r="F14535" s="3" t="str">
        <f t="shared" si="227"/>
        <v>I12796</v>
      </c>
    </row>
    <row r="14536" spans="1:6" x14ac:dyDescent="0.2">
      <c r="A14536" s="29" t="s">
        <v>32598</v>
      </c>
      <c r="B14536" s="30" t="s">
        <v>32599</v>
      </c>
      <c r="C14536" s="29" t="s">
        <v>26</v>
      </c>
      <c r="D14536" s="31">
        <v>36534.35</v>
      </c>
      <c r="F14536" s="3" t="str">
        <f t="shared" si="227"/>
        <v>I12797</v>
      </c>
    </row>
    <row r="14537" spans="1:6" x14ac:dyDescent="0.2">
      <c r="A14537" s="29" t="s">
        <v>32600</v>
      </c>
      <c r="B14537" s="30" t="s">
        <v>32601</v>
      </c>
      <c r="C14537" s="29" t="s">
        <v>26</v>
      </c>
      <c r="D14537" s="31">
        <v>29918.37</v>
      </c>
      <c r="F14537" s="3" t="str">
        <f t="shared" si="227"/>
        <v>I12798</v>
      </c>
    </row>
    <row r="14538" spans="1:6" x14ac:dyDescent="0.2">
      <c r="A14538" s="29" t="s">
        <v>32602</v>
      </c>
      <c r="B14538" s="30" t="s">
        <v>32603</v>
      </c>
      <c r="C14538" s="29" t="s">
        <v>26</v>
      </c>
      <c r="D14538" s="31">
        <v>36749.79</v>
      </c>
      <c r="F14538" s="3" t="str">
        <f t="shared" si="227"/>
        <v>I12799</v>
      </c>
    </row>
    <row r="14539" spans="1:6" x14ac:dyDescent="0.2">
      <c r="A14539" s="29" t="s">
        <v>32604</v>
      </c>
      <c r="B14539" s="30" t="s">
        <v>32605</v>
      </c>
      <c r="C14539" s="29" t="s">
        <v>26</v>
      </c>
      <c r="D14539" s="31">
        <v>52357.51</v>
      </c>
      <c r="F14539" s="3" t="str">
        <f t="shared" si="227"/>
        <v>I12800</v>
      </c>
    </row>
    <row r="14540" spans="1:6" x14ac:dyDescent="0.2">
      <c r="A14540" s="29" t="s">
        <v>32606</v>
      </c>
      <c r="B14540" s="30" t="s">
        <v>32607</v>
      </c>
      <c r="C14540" s="29" t="s">
        <v>26</v>
      </c>
      <c r="D14540" s="31">
        <v>28932.44</v>
      </c>
      <c r="F14540" s="3" t="str">
        <f t="shared" si="227"/>
        <v>I12801</v>
      </c>
    </row>
    <row r="14541" spans="1:6" x14ac:dyDescent="0.2">
      <c r="A14541" s="29" t="s">
        <v>32608</v>
      </c>
      <c r="B14541" s="30" t="s">
        <v>32609</v>
      </c>
      <c r="C14541" s="29" t="s">
        <v>26</v>
      </c>
      <c r="D14541" s="31">
        <v>35645.57</v>
      </c>
      <c r="F14541" s="3" t="str">
        <f t="shared" si="227"/>
        <v>I12802</v>
      </c>
    </row>
    <row r="14542" spans="1:6" x14ac:dyDescent="0.2">
      <c r="A14542" s="29" t="s">
        <v>32610</v>
      </c>
      <c r="B14542" s="30" t="s">
        <v>32611</v>
      </c>
      <c r="C14542" s="29" t="s">
        <v>26</v>
      </c>
      <c r="D14542" s="31">
        <v>55228.6</v>
      </c>
      <c r="F14542" s="3" t="str">
        <f t="shared" si="227"/>
        <v>I12803</v>
      </c>
    </row>
    <row r="14543" spans="1:6" x14ac:dyDescent="0.2">
      <c r="A14543" s="29" t="s">
        <v>32612</v>
      </c>
      <c r="B14543" s="30" t="s">
        <v>32613</v>
      </c>
      <c r="C14543" s="29" t="s">
        <v>26</v>
      </c>
      <c r="D14543" s="31">
        <v>17667.189999999999</v>
      </c>
      <c r="F14543" s="3" t="str">
        <f t="shared" si="227"/>
        <v>I12804</v>
      </c>
    </row>
    <row r="14544" spans="1:6" x14ac:dyDescent="0.2">
      <c r="A14544" s="29" t="s">
        <v>32614</v>
      </c>
      <c r="B14544" s="30" t="s">
        <v>32615</v>
      </c>
      <c r="C14544" s="29" t="s">
        <v>26</v>
      </c>
      <c r="D14544" s="31">
        <v>26148.95</v>
      </c>
      <c r="F14544" s="3" t="str">
        <f t="shared" si="227"/>
        <v>I12805</v>
      </c>
    </row>
    <row r="14545" spans="1:6" x14ac:dyDescent="0.2">
      <c r="A14545" s="29" t="s">
        <v>32616</v>
      </c>
      <c r="B14545" s="30" t="s">
        <v>32617</v>
      </c>
      <c r="C14545" s="29" t="s">
        <v>26</v>
      </c>
      <c r="D14545" s="31">
        <v>40558.339999999997</v>
      </c>
      <c r="F14545" s="3" t="str">
        <f t="shared" si="227"/>
        <v>I12806</v>
      </c>
    </row>
    <row r="14546" spans="1:6" x14ac:dyDescent="0.2">
      <c r="A14546" s="29" t="s">
        <v>32618</v>
      </c>
      <c r="B14546" s="30" t="s">
        <v>32619</v>
      </c>
      <c r="C14546" s="29" t="s">
        <v>26</v>
      </c>
      <c r="D14546" s="31">
        <v>31356.89</v>
      </c>
      <c r="F14546" s="3" t="str">
        <f t="shared" si="227"/>
        <v>I12807</v>
      </c>
    </row>
    <row r="14547" spans="1:6" x14ac:dyDescent="0.2">
      <c r="A14547" s="29" t="s">
        <v>32620</v>
      </c>
      <c r="B14547" s="30" t="s">
        <v>32621</v>
      </c>
      <c r="C14547" s="29" t="s">
        <v>26</v>
      </c>
      <c r="D14547" s="31">
        <v>25569.72</v>
      </c>
      <c r="F14547" s="3" t="str">
        <f t="shared" si="227"/>
        <v>I12808</v>
      </c>
    </row>
    <row r="14548" spans="1:6" x14ac:dyDescent="0.2">
      <c r="A14548" s="29" t="s">
        <v>32622</v>
      </c>
      <c r="B14548" s="30" t="s">
        <v>32623</v>
      </c>
      <c r="C14548" s="29" t="s">
        <v>26</v>
      </c>
      <c r="D14548" s="31">
        <v>61965.62</v>
      </c>
      <c r="F14548" s="3" t="str">
        <f t="shared" si="227"/>
        <v>I12809</v>
      </c>
    </row>
    <row r="14549" spans="1:6" x14ac:dyDescent="0.2">
      <c r="A14549" s="29" t="s">
        <v>32624</v>
      </c>
      <c r="B14549" s="30" t="s">
        <v>32625</v>
      </c>
      <c r="C14549" s="29" t="s">
        <v>26</v>
      </c>
      <c r="D14549" s="31">
        <v>24486.240000000002</v>
      </c>
      <c r="F14549" s="3" t="str">
        <f t="shared" si="227"/>
        <v>I12916</v>
      </c>
    </row>
    <row r="14550" spans="1:6" x14ac:dyDescent="0.2">
      <c r="A14550" s="29" t="s">
        <v>32626</v>
      </c>
      <c r="B14550" s="30" t="s">
        <v>32627</v>
      </c>
      <c r="C14550" s="29" t="s">
        <v>26</v>
      </c>
      <c r="D14550" s="31">
        <v>28737.42</v>
      </c>
      <c r="F14550" s="3" t="str">
        <f t="shared" si="227"/>
        <v>I12917</v>
      </c>
    </row>
    <row r="14551" spans="1:6" x14ac:dyDescent="0.2">
      <c r="A14551" s="29" t="s">
        <v>32628</v>
      </c>
      <c r="B14551" s="30" t="s">
        <v>32629</v>
      </c>
      <c r="C14551" s="29" t="s">
        <v>26</v>
      </c>
      <c r="D14551" s="31">
        <v>32988.54</v>
      </c>
      <c r="F14551" s="3" t="str">
        <f t="shared" si="227"/>
        <v>I12918</v>
      </c>
    </row>
    <row r="14552" spans="1:6" x14ac:dyDescent="0.2">
      <c r="A14552" s="29" t="s">
        <v>32630</v>
      </c>
      <c r="B14552" s="30" t="s">
        <v>32631</v>
      </c>
      <c r="C14552" s="29" t="s">
        <v>26</v>
      </c>
      <c r="D14552" s="31">
        <v>37239.72</v>
      </c>
      <c r="F14552" s="3" t="str">
        <f t="shared" si="227"/>
        <v>I12919</v>
      </c>
    </row>
    <row r="14553" spans="1:6" x14ac:dyDescent="0.2">
      <c r="A14553" s="29" t="s">
        <v>32632</v>
      </c>
      <c r="B14553" s="30" t="s">
        <v>32633</v>
      </c>
      <c r="C14553" s="29" t="s">
        <v>26</v>
      </c>
      <c r="D14553" s="31">
        <v>41490.660000000003</v>
      </c>
      <c r="F14553" s="3" t="str">
        <f t="shared" si="227"/>
        <v>I12920</v>
      </c>
    </row>
    <row r="14554" spans="1:6" x14ac:dyDescent="0.2">
      <c r="A14554" s="29" t="s">
        <v>32634</v>
      </c>
      <c r="B14554" s="30" t="s">
        <v>32635</v>
      </c>
      <c r="C14554" s="29" t="s">
        <v>26</v>
      </c>
      <c r="D14554" s="31">
        <v>45741.9</v>
      </c>
      <c r="F14554" s="3" t="str">
        <f t="shared" si="227"/>
        <v>I12921</v>
      </c>
    </row>
    <row r="14555" spans="1:6" x14ac:dyDescent="0.2">
      <c r="A14555" s="29" t="s">
        <v>32636</v>
      </c>
      <c r="B14555" s="30" t="s">
        <v>32637</v>
      </c>
      <c r="C14555" s="29" t="s">
        <v>26</v>
      </c>
      <c r="D14555" s="31">
        <v>49992.98</v>
      </c>
      <c r="F14555" s="3" t="str">
        <f t="shared" si="227"/>
        <v>I12922</v>
      </c>
    </row>
    <row r="14556" spans="1:6" x14ac:dyDescent="0.2">
      <c r="A14556" s="29" t="s">
        <v>32638</v>
      </c>
      <c r="B14556" s="30" t="s">
        <v>32639</v>
      </c>
      <c r="C14556" s="29" t="s">
        <v>26</v>
      </c>
      <c r="D14556" s="31">
        <v>54244.08</v>
      </c>
      <c r="F14556" s="3" t="str">
        <f t="shared" si="227"/>
        <v>I12923</v>
      </c>
    </row>
    <row r="14557" spans="1:6" x14ac:dyDescent="0.2">
      <c r="A14557" s="29" t="s">
        <v>32640</v>
      </c>
      <c r="B14557" s="30" t="s">
        <v>32641</v>
      </c>
      <c r="C14557" s="29" t="s">
        <v>26</v>
      </c>
      <c r="D14557" s="31">
        <v>58495.14</v>
      </c>
      <c r="F14557" s="3" t="str">
        <f t="shared" si="227"/>
        <v>I12924</v>
      </c>
    </row>
    <row r="14558" spans="1:6" x14ac:dyDescent="0.2">
      <c r="A14558" s="29" t="s">
        <v>32642</v>
      </c>
      <c r="B14558" s="30" t="s">
        <v>32643</v>
      </c>
      <c r="C14558" s="29" t="s">
        <v>26</v>
      </c>
      <c r="D14558" s="31">
        <v>62741.43</v>
      </c>
      <c r="F14558" s="3" t="str">
        <f t="shared" si="227"/>
        <v>I12925</v>
      </c>
    </row>
    <row r="14559" spans="1:6" x14ac:dyDescent="0.2">
      <c r="A14559" s="29" t="s">
        <v>32644</v>
      </c>
      <c r="B14559" s="30" t="s">
        <v>32645</v>
      </c>
      <c r="C14559" s="29" t="s">
        <v>26</v>
      </c>
      <c r="D14559" s="31">
        <v>71426.92</v>
      </c>
      <c r="F14559" s="3" t="str">
        <f t="shared" si="227"/>
        <v>I12926</v>
      </c>
    </row>
    <row r="14560" spans="1:6" x14ac:dyDescent="0.2">
      <c r="A14560" s="29" t="s">
        <v>32646</v>
      </c>
      <c r="B14560" s="30" t="s">
        <v>32647</v>
      </c>
      <c r="C14560" s="29" t="s">
        <v>26</v>
      </c>
      <c r="D14560" s="31">
        <v>33110.14</v>
      </c>
      <c r="F14560" s="3" t="str">
        <f t="shared" si="227"/>
        <v>I12927</v>
      </c>
    </row>
    <row r="14561" spans="1:6" x14ac:dyDescent="0.2">
      <c r="A14561" s="29" t="s">
        <v>32648</v>
      </c>
      <c r="B14561" s="30" t="s">
        <v>32649</v>
      </c>
      <c r="C14561" s="29" t="s">
        <v>26</v>
      </c>
      <c r="D14561" s="31">
        <v>38739.620000000003</v>
      </c>
      <c r="F14561" s="3" t="str">
        <f t="shared" si="227"/>
        <v>I12928</v>
      </c>
    </row>
    <row r="14562" spans="1:6" x14ac:dyDescent="0.2">
      <c r="A14562" s="29" t="s">
        <v>32650</v>
      </c>
      <c r="B14562" s="30" t="s">
        <v>32651</v>
      </c>
      <c r="C14562" s="29" t="s">
        <v>26</v>
      </c>
      <c r="D14562" s="31">
        <v>44368.97</v>
      </c>
      <c r="F14562" s="3" t="str">
        <f t="shared" si="227"/>
        <v>I12929</v>
      </c>
    </row>
    <row r="14563" spans="1:6" x14ac:dyDescent="0.2">
      <c r="A14563" s="29" t="s">
        <v>32652</v>
      </c>
      <c r="B14563" s="30" t="s">
        <v>32653</v>
      </c>
      <c r="C14563" s="29" t="s">
        <v>26</v>
      </c>
      <c r="D14563" s="31">
        <v>66881.55</v>
      </c>
      <c r="F14563" s="3" t="str">
        <f t="shared" si="227"/>
        <v>I12930</v>
      </c>
    </row>
    <row r="14564" spans="1:6" x14ac:dyDescent="0.2">
      <c r="A14564" s="29" t="s">
        <v>32654</v>
      </c>
      <c r="B14564" s="30" t="s">
        <v>32655</v>
      </c>
      <c r="C14564" s="29" t="s">
        <v>26</v>
      </c>
      <c r="D14564" s="31">
        <v>72510.990000000005</v>
      </c>
      <c r="F14564" s="3" t="str">
        <f t="shared" si="227"/>
        <v>I12931</v>
      </c>
    </row>
    <row r="14565" spans="1:6" x14ac:dyDescent="0.2">
      <c r="A14565" s="29" t="s">
        <v>32656</v>
      </c>
      <c r="B14565" s="30" t="s">
        <v>32657</v>
      </c>
      <c r="C14565" s="29" t="s">
        <v>26</v>
      </c>
      <c r="D14565" s="31">
        <v>84646.97</v>
      </c>
      <c r="F14565" s="3" t="str">
        <f t="shared" si="227"/>
        <v>I12932</v>
      </c>
    </row>
    <row r="14566" spans="1:6" x14ac:dyDescent="0.2">
      <c r="A14566" s="29" t="s">
        <v>32658</v>
      </c>
      <c r="B14566" s="30" t="s">
        <v>32659</v>
      </c>
      <c r="C14566" s="29" t="s">
        <v>26</v>
      </c>
      <c r="D14566" s="31">
        <v>92886.56</v>
      </c>
      <c r="F14566" s="3" t="str">
        <f t="shared" si="227"/>
        <v>I12933</v>
      </c>
    </row>
    <row r="14567" spans="1:6" x14ac:dyDescent="0.2">
      <c r="A14567" s="29" t="s">
        <v>32660</v>
      </c>
      <c r="B14567" s="30" t="s">
        <v>32661</v>
      </c>
      <c r="C14567" s="29" t="s">
        <v>26</v>
      </c>
      <c r="D14567" s="31">
        <v>95277.62</v>
      </c>
      <c r="F14567" s="3" t="str">
        <f t="shared" si="227"/>
        <v>I12934</v>
      </c>
    </row>
    <row r="14568" spans="1:6" x14ac:dyDescent="0.2">
      <c r="A14568" s="29" t="s">
        <v>32662</v>
      </c>
      <c r="B14568" s="30" t="s">
        <v>32663</v>
      </c>
      <c r="C14568" s="29" t="s">
        <v>26</v>
      </c>
      <c r="D14568" s="31">
        <v>2144.83</v>
      </c>
      <c r="F14568" s="3" t="str">
        <f t="shared" si="227"/>
        <v>I12821</v>
      </c>
    </row>
    <row r="14569" spans="1:6" x14ac:dyDescent="0.2">
      <c r="A14569" s="29" t="s">
        <v>32664</v>
      </c>
      <c r="B14569" s="30" t="s">
        <v>32665</v>
      </c>
      <c r="C14569" s="29" t="s">
        <v>26</v>
      </c>
      <c r="D14569" s="31">
        <v>2577.23</v>
      </c>
      <c r="F14569" s="3" t="str">
        <f t="shared" si="227"/>
        <v>I12822</v>
      </c>
    </row>
    <row r="14570" spans="1:6" x14ac:dyDescent="0.2">
      <c r="A14570" s="29" t="s">
        <v>32666</v>
      </c>
      <c r="B14570" s="30" t="s">
        <v>32667</v>
      </c>
      <c r="C14570" s="29" t="s">
        <v>26</v>
      </c>
      <c r="D14570" s="31">
        <v>3009.75</v>
      </c>
      <c r="F14570" s="3" t="str">
        <f t="shared" si="227"/>
        <v>I12823</v>
      </c>
    </row>
    <row r="14571" spans="1:6" x14ac:dyDescent="0.2">
      <c r="A14571" s="29" t="s">
        <v>32668</v>
      </c>
      <c r="B14571" s="30" t="s">
        <v>32669</v>
      </c>
      <c r="C14571" s="29" t="s">
        <v>26</v>
      </c>
      <c r="D14571" s="31">
        <v>3442.2</v>
      </c>
      <c r="F14571" s="3" t="str">
        <f t="shared" si="227"/>
        <v>I12824</v>
      </c>
    </row>
    <row r="14572" spans="1:6" x14ac:dyDescent="0.2">
      <c r="A14572" s="29" t="s">
        <v>32670</v>
      </c>
      <c r="B14572" s="30" t="s">
        <v>32671</v>
      </c>
      <c r="C14572" s="29" t="s">
        <v>26</v>
      </c>
      <c r="D14572" s="31">
        <v>3874.75</v>
      </c>
      <c r="F14572" s="3" t="str">
        <f t="shared" si="227"/>
        <v>I12825</v>
      </c>
    </row>
    <row r="14573" spans="1:6" x14ac:dyDescent="0.2">
      <c r="A14573" s="29" t="s">
        <v>32672</v>
      </c>
      <c r="B14573" s="30" t="s">
        <v>32673</v>
      </c>
      <c r="C14573" s="29" t="s">
        <v>26</v>
      </c>
      <c r="D14573" s="31">
        <v>4307.2</v>
      </c>
      <c r="F14573" s="3" t="str">
        <f t="shared" si="227"/>
        <v>I12826</v>
      </c>
    </row>
    <row r="14574" spans="1:6" x14ac:dyDescent="0.2">
      <c r="A14574" s="29" t="s">
        <v>32674</v>
      </c>
      <c r="B14574" s="30" t="s">
        <v>32675</v>
      </c>
      <c r="C14574" s="29" t="s">
        <v>26</v>
      </c>
      <c r="D14574" s="31">
        <v>4739.6899999999996</v>
      </c>
      <c r="F14574" s="3" t="str">
        <f t="shared" si="227"/>
        <v>I12827</v>
      </c>
    </row>
    <row r="14575" spans="1:6" x14ac:dyDescent="0.2">
      <c r="A14575" s="29" t="s">
        <v>32676</v>
      </c>
      <c r="B14575" s="30" t="s">
        <v>32677</v>
      </c>
      <c r="C14575" s="29" t="s">
        <v>26</v>
      </c>
      <c r="D14575" s="31">
        <v>5172.1099999999997</v>
      </c>
      <c r="F14575" s="3" t="str">
        <f t="shared" si="227"/>
        <v>I12828</v>
      </c>
    </row>
    <row r="14576" spans="1:6" x14ac:dyDescent="0.2">
      <c r="A14576" s="29" t="s">
        <v>32678</v>
      </c>
      <c r="B14576" s="30" t="s">
        <v>32679</v>
      </c>
      <c r="C14576" s="29" t="s">
        <v>26</v>
      </c>
      <c r="D14576" s="31">
        <v>5944.23</v>
      </c>
      <c r="F14576" s="3" t="str">
        <f t="shared" si="227"/>
        <v>I12829</v>
      </c>
    </row>
    <row r="14577" spans="1:6" x14ac:dyDescent="0.2">
      <c r="A14577" s="29" t="s">
        <v>32680</v>
      </c>
      <c r="B14577" s="30" t="s">
        <v>32681</v>
      </c>
      <c r="C14577" s="29" t="s">
        <v>26</v>
      </c>
      <c r="D14577" s="31">
        <v>6100.8</v>
      </c>
      <c r="F14577" s="3" t="str">
        <f t="shared" si="227"/>
        <v>I12830</v>
      </c>
    </row>
    <row r="14578" spans="1:6" x14ac:dyDescent="0.2">
      <c r="A14578" s="29" t="s">
        <v>32682</v>
      </c>
      <c r="B14578" s="30" t="s">
        <v>32683</v>
      </c>
      <c r="C14578" s="29" t="s">
        <v>26</v>
      </c>
      <c r="D14578" s="31">
        <v>2468.0700000000002</v>
      </c>
      <c r="F14578" s="3" t="str">
        <f t="shared" si="227"/>
        <v>I12831</v>
      </c>
    </row>
    <row r="14579" spans="1:6" x14ac:dyDescent="0.2">
      <c r="A14579" s="29" t="s">
        <v>32684</v>
      </c>
      <c r="B14579" s="30" t="s">
        <v>32685</v>
      </c>
      <c r="C14579" s="29" t="s">
        <v>26</v>
      </c>
      <c r="D14579" s="31">
        <v>2991.51</v>
      </c>
      <c r="F14579" s="3" t="str">
        <f t="shared" si="227"/>
        <v>I12832</v>
      </c>
    </row>
    <row r="14580" spans="1:6" x14ac:dyDescent="0.2">
      <c r="A14580" s="29" t="s">
        <v>32686</v>
      </c>
      <c r="B14580" s="30" t="s">
        <v>32687</v>
      </c>
      <c r="C14580" s="29" t="s">
        <v>26</v>
      </c>
      <c r="D14580" s="31">
        <v>3515</v>
      </c>
      <c r="F14580" s="3" t="str">
        <f t="shared" si="227"/>
        <v>I12833</v>
      </c>
    </row>
    <row r="14581" spans="1:6" x14ac:dyDescent="0.2">
      <c r="A14581" s="29" t="s">
        <v>32688</v>
      </c>
      <c r="B14581" s="30" t="s">
        <v>32689</v>
      </c>
      <c r="C14581" s="29" t="s">
        <v>26</v>
      </c>
      <c r="D14581" s="31">
        <v>4038.47</v>
      </c>
      <c r="F14581" s="3" t="str">
        <f t="shared" si="227"/>
        <v>I12834</v>
      </c>
    </row>
    <row r="14582" spans="1:6" x14ac:dyDescent="0.2">
      <c r="A14582" s="29" t="s">
        <v>32690</v>
      </c>
      <c r="B14582" s="30" t="s">
        <v>32691</v>
      </c>
      <c r="C14582" s="29" t="s">
        <v>26</v>
      </c>
      <c r="D14582" s="31">
        <v>4561.93</v>
      </c>
      <c r="F14582" s="3" t="str">
        <f t="shared" si="227"/>
        <v>I12835</v>
      </c>
    </row>
    <row r="14583" spans="1:6" x14ac:dyDescent="0.2">
      <c r="A14583" s="29" t="s">
        <v>32692</v>
      </c>
      <c r="B14583" s="30" t="s">
        <v>32693</v>
      </c>
      <c r="C14583" s="29" t="s">
        <v>26</v>
      </c>
      <c r="D14583" s="31">
        <v>5085.37</v>
      </c>
      <c r="F14583" s="3" t="str">
        <f t="shared" si="227"/>
        <v>I12836</v>
      </c>
    </row>
    <row r="14584" spans="1:6" x14ac:dyDescent="0.2">
      <c r="A14584" s="29" t="s">
        <v>32694</v>
      </c>
      <c r="B14584" s="30" t="s">
        <v>32695</v>
      </c>
      <c r="C14584" s="29" t="s">
        <v>26</v>
      </c>
      <c r="D14584" s="31">
        <v>5608.84</v>
      </c>
      <c r="F14584" s="3" t="str">
        <f t="shared" si="227"/>
        <v>I12837</v>
      </c>
    </row>
    <row r="14585" spans="1:6" x14ac:dyDescent="0.2">
      <c r="A14585" s="29" t="s">
        <v>32696</v>
      </c>
      <c r="B14585" s="30" t="s">
        <v>32697</v>
      </c>
      <c r="C14585" s="29" t="s">
        <v>26</v>
      </c>
      <c r="D14585" s="31">
        <v>6137.16</v>
      </c>
      <c r="F14585" s="3" t="str">
        <f t="shared" si="227"/>
        <v>I12838</v>
      </c>
    </row>
    <row r="14586" spans="1:6" x14ac:dyDescent="0.2">
      <c r="A14586" s="29" t="s">
        <v>32698</v>
      </c>
      <c r="B14586" s="30" t="s">
        <v>32699</v>
      </c>
      <c r="C14586" s="29" t="s">
        <v>26</v>
      </c>
      <c r="D14586" s="31">
        <v>7061.89</v>
      </c>
      <c r="F14586" s="3" t="str">
        <f t="shared" si="227"/>
        <v>I12839</v>
      </c>
    </row>
    <row r="14587" spans="1:6" x14ac:dyDescent="0.2">
      <c r="A14587" s="29" t="s">
        <v>32700</v>
      </c>
      <c r="B14587" s="30" t="s">
        <v>32701</v>
      </c>
      <c r="C14587" s="29" t="s">
        <v>26</v>
      </c>
      <c r="D14587" s="31">
        <v>7187.79</v>
      </c>
      <c r="F14587" s="3" t="str">
        <f t="shared" si="227"/>
        <v>I12840</v>
      </c>
    </row>
    <row r="14588" spans="1:6" x14ac:dyDescent="0.2">
      <c r="A14588" s="29" t="s">
        <v>32702</v>
      </c>
      <c r="B14588" s="30" t="s">
        <v>32703</v>
      </c>
      <c r="C14588" s="29" t="s">
        <v>26</v>
      </c>
      <c r="D14588" s="31">
        <v>7263.37</v>
      </c>
      <c r="F14588" s="3" t="str">
        <f t="shared" si="227"/>
        <v>I12841</v>
      </c>
    </row>
    <row r="14589" spans="1:6" x14ac:dyDescent="0.2">
      <c r="A14589" s="29" t="s">
        <v>32704</v>
      </c>
      <c r="B14589" s="30" t="s">
        <v>32705</v>
      </c>
      <c r="C14589" s="29" t="s">
        <v>26</v>
      </c>
      <c r="D14589" s="31">
        <v>2977.36</v>
      </c>
      <c r="F14589" s="3" t="str">
        <f t="shared" si="227"/>
        <v>I12842</v>
      </c>
    </row>
    <row r="14590" spans="1:6" x14ac:dyDescent="0.2">
      <c r="A14590" s="29" t="s">
        <v>32706</v>
      </c>
      <c r="B14590" s="30" t="s">
        <v>32707</v>
      </c>
      <c r="C14590" s="29" t="s">
        <v>26</v>
      </c>
      <c r="D14590" s="31">
        <v>3623.18</v>
      </c>
      <c r="F14590" s="3" t="str">
        <f t="shared" si="227"/>
        <v>I12843</v>
      </c>
    </row>
    <row r="14591" spans="1:6" x14ac:dyDescent="0.2">
      <c r="A14591" s="29" t="s">
        <v>32708</v>
      </c>
      <c r="B14591" s="30" t="s">
        <v>32709</v>
      </c>
      <c r="C14591" s="29" t="s">
        <v>26</v>
      </c>
      <c r="D14591" s="31">
        <v>4273.87</v>
      </c>
      <c r="F14591" s="3" t="str">
        <f t="shared" si="227"/>
        <v>I12844</v>
      </c>
    </row>
    <row r="14592" spans="1:6" x14ac:dyDescent="0.2">
      <c r="A14592" s="29" t="s">
        <v>32710</v>
      </c>
      <c r="B14592" s="30" t="s">
        <v>32711</v>
      </c>
      <c r="C14592" s="29" t="s">
        <v>26</v>
      </c>
      <c r="D14592" s="31">
        <v>4924.54</v>
      </c>
      <c r="F14592" s="3" t="str">
        <f t="shared" si="227"/>
        <v>I12845</v>
      </c>
    </row>
    <row r="14593" spans="1:6" x14ac:dyDescent="0.2">
      <c r="A14593" s="29" t="s">
        <v>32712</v>
      </c>
      <c r="B14593" s="30" t="s">
        <v>32713</v>
      </c>
      <c r="C14593" s="29" t="s">
        <v>26</v>
      </c>
      <c r="D14593" s="31">
        <v>5570.39</v>
      </c>
      <c r="F14593" s="3" t="str">
        <f t="shared" si="227"/>
        <v>I12846</v>
      </c>
    </row>
    <row r="14594" spans="1:6" x14ac:dyDescent="0.2">
      <c r="A14594" s="29" t="s">
        <v>32714</v>
      </c>
      <c r="B14594" s="30" t="s">
        <v>32715</v>
      </c>
      <c r="C14594" s="29" t="s">
        <v>26</v>
      </c>
      <c r="D14594" s="31">
        <v>6221.01</v>
      </c>
      <c r="F14594" s="3" t="str">
        <f t="shared" ref="F14594:F14657" si="228">A14594</f>
        <v>I12847</v>
      </c>
    </row>
    <row r="14595" spans="1:6" x14ac:dyDescent="0.2">
      <c r="A14595" s="29" t="s">
        <v>32716</v>
      </c>
      <c r="B14595" s="30" t="s">
        <v>32717</v>
      </c>
      <c r="C14595" s="29" t="s">
        <v>26</v>
      </c>
      <c r="D14595" s="31">
        <v>6871.67</v>
      </c>
      <c r="F14595" s="3" t="str">
        <f t="shared" si="228"/>
        <v>I12848</v>
      </c>
    </row>
    <row r="14596" spans="1:6" x14ac:dyDescent="0.2">
      <c r="A14596" s="29" t="s">
        <v>32718</v>
      </c>
      <c r="B14596" s="30" t="s">
        <v>32719</v>
      </c>
      <c r="C14596" s="29" t="s">
        <v>26</v>
      </c>
      <c r="D14596" s="31">
        <v>7517.53</v>
      </c>
      <c r="F14596" s="3" t="str">
        <f t="shared" si="228"/>
        <v>I12849</v>
      </c>
    </row>
    <row r="14597" spans="1:6" x14ac:dyDescent="0.2">
      <c r="A14597" s="29" t="s">
        <v>32720</v>
      </c>
      <c r="B14597" s="30" t="s">
        <v>32721</v>
      </c>
      <c r="C14597" s="29" t="s">
        <v>26</v>
      </c>
      <c r="D14597" s="31">
        <v>8663.02</v>
      </c>
      <c r="F14597" s="3" t="str">
        <f t="shared" si="228"/>
        <v>I12850</v>
      </c>
    </row>
    <row r="14598" spans="1:6" x14ac:dyDescent="0.2">
      <c r="A14598" s="29" t="s">
        <v>32722</v>
      </c>
      <c r="B14598" s="30" t="s">
        <v>32723</v>
      </c>
      <c r="C14598" s="29" t="s">
        <v>26</v>
      </c>
      <c r="D14598" s="31">
        <v>8823.4</v>
      </c>
      <c r="F14598" s="3" t="str">
        <f t="shared" si="228"/>
        <v>I12851</v>
      </c>
    </row>
    <row r="14599" spans="1:6" x14ac:dyDescent="0.2">
      <c r="A14599" s="29" t="s">
        <v>32724</v>
      </c>
      <c r="B14599" s="30" t="s">
        <v>32725</v>
      </c>
      <c r="C14599" s="29" t="s">
        <v>26</v>
      </c>
      <c r="D14599" s="31">
        <v>8918.65</v>
      </c>
      <c r="F14599" s="3" t="str">
        <f t="shared" si="228"/>
        <v>I12852</v>
      </c>
    </row>
    <row r="14600" spans="1:6" x14ac:dyDescent="0.2">
      <c r="A14600" s="29" t="s">
        <v>32726</v>
      </c>
      <c r="B14600" s="30" t="s">
        <v>32727</v>
      </c>
      <c r="C14600" s="29" t="s">
        <v>26</v>
      </c>
      <c r="D14600" s="31">
        <v>3523.12</v>
      </c>
      <c r="F14600" s="3" t="str">
        <f t="shared" si="228"/>
        <v>I12853</v>
      </c>
    </row>
    <row r="14601" spans="1:6" x14ac:dyDescent="0.2">
      <c r="A14601" s="29" t="s">
        <v>32728</v>
      </c>
      <c r="B14601" s="30" t="s">
        <v>32729</v>
      </c>
      <c r="C14601" s="29" t="s">
        <v>26</v>
      </c>
      <c r="D14601" s="31">
        <v>4273.25</v>
      </c>
      <c r="F14601" s="3" t="str">
        <f t="shared" si="228"/>
        <v>I12854</v>
      </c>
    </row>
    <row r="14602" spans="1:6" x14ac:dyDescent="0.2">
      <c r="A14602" s="29" t="s">
        <v>32730</v>
      </c>
      <c r="B14602" s="30" t="s">
        <v>32731</v>
      </c>
      <c r="C14602" s="29" t="s">
        <v>26</v>
      </c>
      <c r="D14602" s="31">
        <v>5773.85</v>
      </c>
      <c r="F14602" s="3" t="str">
        <f t="shared" si="228"/>
        <v>I12855</v>
      </c>
    </row>
    <row r="14603" spans="1:6" x14ac:dyDescent="0.2">
      <c r="A14603" s="29" t="s">
        <v>32732</v>
      </c>
      <c r="B14603" s="30" t="s">
        <v>32733</v>
      </c>
      <c r="C14603" s="29" t="s">
        <v>26</v>
      </c>
      <c r="D14603" s="31">
        <v>6524.21</v>
      </c>
      <c r="F14603" s="3" t="str">
        <f t="shared" si="228"/>
        <v>I12856</v>
      </c>
    </row>
    <row r="14604" spans="1:6" x14ac:dyDescent="0.2">
      <c r="A14604" s="29" t="s">
        <v>32734</v>
      </c>
      <c r="B14604" s="30" t="s">
        <v>32735</v>
      </c>
      <c r="C14604" s="29" t="s">
        <v>26</v>
      </c>
      <c r="D14604" s="31">
        <v>10087.620000000001</v>
      </c>
      <c r="F14604" s="3" t="str">
        <f t="shared" si="228"/>
        <v>I12857</v>
      </c>
    </row>
    <row r="14605" spans="1:6" x14ac:dyDescent="0.2">
      <c r="A14605" s="29" t="s">
        <v>32736</v>
      </c>
      <c r="B14605" s="30" t="s">
        <v>32737</v>
      </c>
      <c r="C14605" s="29" t="s">
        <v>26</v>
      </c>
      <c r="D14605" s="31">
        <v>10275.52</v>
      </c>
      <c r="F14605" s="3" t="str">
        <f t="shared" si="228"/>
        <v>I12858</v>
      </c>
    </row>
    <row r="14606" spans="1:6" x14ac:dyDescent="0.2">
      <c r="A14606" s="29" t="s">
        <v>32738</v>
      </c>
      <c r="B14606" s="30" t="s">
        <v>32739</v>
      </c>
      <c r="C14606" s="29" t="s">
        <v>26</v>
      </c>
      <c r="D14606" s="31">
        <v>10392.280000000001</v>
      </c>
      <c r="F14606" s="3" t="str">
        <f t="shared" si="228"/>
        <v>I12859</v>
      </c>
    </row>
    <row r="14607" spans="1:6" x14ac:dyDescent="0.2">
      <c r="A14607" s="29" t="s">
        <v>32740</v>
      </c>
      <c r="B14607" s="30" t="s">
        <v>32741</v>
      </c>
      <c r="C14607" s="29" t="s">
        <v>26</v>
      </c>
      <c r="D14607" s="31">
        <v>3859.62</v>
      </c>
      <c r="F14607" s="3" t="str">
        <f t="shared" si="228"/>
        <v>I12860</v>
      </c>
    </row>
    <row r="14608" spans="1:6" x14ac:dyDescent="0.2">
      <c r="A14608" s="29" t="s">
        <v>32742</v>
      </c>
      <c r="B14608" s="30" t="s">
        <v>32743</v>
      </c>
      <c r="C14608" s="29" t="s">
        <v>26</v>
      </c>
      <c r="D14608" s="31">
        <v>4692.83</v>
      </c>
      <c r="F14608" s="3" t="str">
        <f t="shared" si="228"/>
        <v>I12861</v>
      </c>
    </row>
    <row r="14609" spans="1:6" x14ac:dyDescent="0.2">
      <c r="A14609" s="29" t="s">
        <v>32744</v>
      </c>
      <c r="B14609" s="30" t="s">
        <v>32745</v>
      </c>
      <c r="C14609" s="29" t="s">
        <v>26</v>
      </c>
      <c r="D14609" s="31">
        <v>5525.96</v>
      </c>
      <c r="F14609" s="3" t="str">
        <f t="shared" si="228"/>
        <v>I12862</v>
      </c>
    </row>
    <row r="14610" spans="1:6" x14ac:dyDescent="0.2">
      <c r="A14610" s="29" t="s">
        <v>32746</v>
      </c>
      <c r="B14610" s="30" t="s">
        <v>32747</v>
      </c>
      <c r="C14610" s="29" t="s">
        <v>26</v>
      </c>
      <c r="D14610" s="31">
        <v>6363.97</v>
      </c>
      <c r="F14610" s="3" t="str">
        <f t="shared" si="228"/>
        <v>I12863</v>
      </c>
    </row>
    <row r="14611" spans="1:6" x14ac:dyDescent="0.2">
      <c r="A14611" s="29" t="s">
        <v>32748</v>
      </c>
      <c r="B14611" s="30" t="s">
        <v>32749</v>
      </c>
      <c r="C14611" s="29" t="s">
        <v>26</v>
      </c>
      <c r="D14611" s="31">
        <v>7192.23</v>
      </c>
      <c r="F14611" s="3" t="str">
        <f t="shared" si="228"/>
        <v>I12864</v>
      </c>
    </row>
    <row r="14612" spans="1:6" x14ac:dyDescent="0.2">
      <c r="A14612" s="29" t="s">
        <v>32750</v>
      </c>
      <c r="B14612" s="30" t="s">
        <v>32751</v>
      </c>
      <c r="C14612" s="29" t="s">
        <v>26</v>
      </c>
      <c r="D14612" s="31">
        <v>8025.4</v>
      </c>
      <c r="F14612" s="3" t="str">
        <f t="shared" si="228"/>
        <v>I12865</v>
      </c>
    </row>
    <row r="14613" spans="1:6" x14ac:dyDescent="0.2">
      <c r="A14613" s="29" t="s">
        <v>32752</v>
      </c>
      <c r="B14613" s="30" t="s">
        <v>32753</v>
      </c>
      <c r="C14613" s="29" t="s">
        <v>26</v>
      </c>
      <c r="D14613" s="31">
        <v>8858.61</v>
      </c>
      <c r="F14613" s="3" t="str">
        <f t="shared" si="228"/>
        <v>I12866</v>
      </c>
    </row>
    <row r="14614" spans="1:6" x14ac:dyDescent="0.2">
      <c r="A14614" s="29" t="s">
        <v>32754</v>
      </c>
      <c r="B14614" s="30" t="s">
        <v>32755</v>
      </c>
      <c r="C14614" s="29" t="s">
        <v>26</v>
      </c>
      <c r="D14614" s="31">
        <v>9691.7900000000009</v>
      </c>
      <c r="F14614" s="3" t="str">
        <f t="shared" si="228"/>
        <v>I12867</v>
      </c>
    </row>
    <row r="14615" spans="1:6" x14ac:dyDescent="0.2">
      <c r="A14615" s="29" t="s">
        <v>32756</v>
      </c>
      <c r="B14615" s="30" t="s">
        <v>32757</v>
      </c>
      <c r="C14615" s="29" t="s">
        <v>26</v>
      </c>
      <c r="D14615" s="31">
        <v>11136.07</v>
      </c>
      <c r="F14615" s="3" t="str">
        <f t="shared" si="228"/>
        <v>I12868</v>
      </c>
    </row>
    <row r="14616" spans="1:6" x14ac:dyDescent="0.2">
      <c r="A14616" s="29" t="s">
        <v>32758</v>
      </c>
      <c r="B14616" s="30" t="s">
        <v>32759</v>
      </c>
      <c r="C14616" s="29" t="s">
        <v>26</v>
      </c>
      <c r="D14616" s="31">
        <v>11363.69</v>
      </c>
      <c r="F14616" s="3" t="str">
        <f t="shared" si="228"/>
        <v>I12869</v>
      </c>
    </row>
    <row r="14617" spans="1:6" x14ac:dyDescent="0.2">
      <c r="A14617" s="29" t="s">
        <v>32760</v>
      </c>
      <c r="B14617" s="30" t="s">
        <v>32761</v>
      </c>
      <c r="C14617" s="29" t="s">
        <v>26</v>
      </c>
      <c r="D14617" s="31">
        <v>11500.17</v>
      </c>
      <c r="F14617" s="3" t="str">
        <f t="shared" si="228"/>
        <v>I12870</v>
      </c>
    </row>
    <row r="14618" spans="1:6" x14ac:dyDescent="0.2">
      <c r="A14618" s="29" t="s">
        <v>32762</v>
      </c>
      <c r="B14618" s="30" t="s">
        <v>32763</v>
      </c>
      <c r="C14618" s="29" t="s">
        <v>26</v>
      </c>
      <c r="D14618" s="31">
        <v>5653</v>
      </c>
      <c r="F14618" s="3" t="str">
        <f t="shared" si="228"/>
        <v>I12871</v>
      </c>
    </row>
    <row r="14619" spans="1:6" x14ac:dyDescent="0.2">
      <c r="A14619" s="29" t="s">
        <v>32764</v>
      </c>
      <c r="B14619" s="30" t="s">
        <v>32765</v>
      </c>
      <c r="C14619" s="29" t="s">
        <v>26</v>
      </c>
      <c r="D14619" s="31">
        <v>9529.34</v>
      </c>
      <c r="F14619" s="3" t="str">
        <f t="shared" si="228"/>
        <v>I12872</v>
      </c>
    </row>
    <row r="14620" spans="1:6" x14ac:dyDescent="0.2">
      <c r="A14620" s="29" t="s">
        <v>32766</v>
      </c>
      <c r="B14620" s="30" t="s">
        <v>32767</v>
      </c>
      <c r="C14620" s="29" t="s">
        <v>26</v>
      </c>
      <c r="D14620" s="31">
        <v>13573.28</v>
      </c>
      <c r="F14620" s="3" t="str">
        <f t="shared" si="228"/>
        <v>I12873</v>
      </c>
    </row>
    <row r="14621" spans="1:6" x14ac:dyDescent="0.2">
      <c r="A14621" s="29" t="s">
        <v>32768</v>
      </c>
      <c r="B14621" s="30" t="s">
        <v>32769</v>
      </c>
      <c r="C14621" s="29" t="s">
        <v>26</v>
      </c>
      <c r="D14621" s="31">
        <v>5091.96</v>
      </c>
      <c r="F14621" s="3" t="str">
        <f t="shared" si="228"/>
        <v>I12874</v>
      </c>
    </row>
    <row r="14622" spans="1:6" x14ac:dyDescent="0.2">
      <c r="A14622" s="29" t="s">
        <v>32770</v>
      </c>
      <c r="B14622" s="30" t="s">
        <v>32771</v>
      </c>
      <c r="C14622" s="29" t="s">
        <v>26</v>
      </c>
      <c r="D14622" s="31">
        <v>6184.68</v>
      </c>
      <c r="F14622" s="3" t="str">
        <f t="shared" si="228"/>
        <v>I12875</v>
      </c>
    </row>
    <row r="14623" spans="1:6" x14ac:dyDescent="0.2">
      <c r="A14623" s="29" t="s">
        <v>32772</v>
      </c>
      <c r="B14623" s="30" t="s">
        <v>32773</v>
      </c>
      <c r="C14623" s="29" t="s">
        <v>26</v>
      </c>
      <c r="D14623" s="31">
        <v>7282.37</v>
      </c>
      <c r="F14623" s="3" t="str">
        <f t="shared" si="228"/>
        <v>I12876</v>
      </c>
    </row>
    <row r="14624" spans="1:6" x14ac:dyDescent="0.2">
      <c r="A14624" s="29" t="s">
        <v>32774</v>
      </c>
      <c r="B14624" s="30" t="s">
        <v>32775</v>
      </c>
      <c r="C14624" s="29" t="s">
        <v>26</v>
      </c>
      <c r="D14624" s="31">
        <v>8375.08</v>
      </c>
      <c r="F14624" s="3" t="str">
        <f t="shared" si="228"/>
        <v>I12877</v>
      </c>
    </row>
    <row r="14625" spans="1:6" x14ac:dyDescent="0.2">
      <c r="A14625" s="29" t="s">
        <v>32776</v>
      </c>
      <c r="B14625" s="30" t="s">
        <v>32777</v>
      </c>
      <c r="C14625" s="29" t="s">
        <v>26</v>
      </c>
      <c r="D14625" s="31">
        <v>9467.7099999999991</v>
      </c>
      <c r="F14625" s="3" t="str">
        <f t="shared" si="228"/>
        <v>I12878</v>
      </c>
    </row>
    <row r="14626" spans="1:6" x14ac:dyDescent="0.2">
      <c r="A14626" s="29" t="s">
        <v>32778</v>
      </c>
      <c r="B14626" s="30" t="s">
        <v>32779</v>
      </c>
      <c r="C14626" s="29" t="s">
        <v>26</v>
      </c>
      <c r="D14626" s="31">
        <v>10579.91</v>
      </c>
      <c r="F14626" s="3" t="str">
        <f t="shared" si="228"/>
        <v>I12879</v>
      </c>
    </row>
    <row r="14627" spans="1:6" x14ac:dyDescent="0.2">
      <c r="A14627" s="29" t="s">
        <v>32780</v>
      </c>
      <c r="B14627" s="30" t="s">
        <v>32781</v>
      </c>
      <c r="C14627" s="29" t="s">
        <v>26</v>
      </c>
      <c r="D14627" s="31">
        <v>11658.04</v>
      </c>
      <c r="F14627" s="3" t="str">
        <f t="shared" si="228"/>
        <v>I12880</v>
      </c>
    </row>
    <row r="14628" spans="1:6" x14ac:dyDescent="0.2">
      <c r="A14628" s="29" t="s">
        <v>32782</v>
      </c>
      <c r="B14628" s="30" t="s">
        <v>32783</v>
      </c>
      <c r="C14628" s="29" t="s">
        <v>26</v>
      </c>
      <c r="D14628" s="31">
        <v>12750.75</v>
      </c>
      <c r="F14628" s="3" t="str">
        <f t="shared" si="228"/>
        <v>I12881</v>
      </c>
    </row>
    <row r="14629" spans="1:6" x14ac:dyDescent="0.2">
      <c r="A14629" s="29" t="s">
        <v>32784</v>
      </c>
      <c r="B14629" s="30" t="s">
        <v>32785</v>
      </c>
      <c r="C14629" s="29" t="s">
        <v>26</v>
      </c>
      <c r="D14629" s="31">
        <v>14635.23</v>
      </c>
      <c r="F14629" s="3" t="str">
        <f t="shared" si="228"/>
        <v>I12882</v>
      </c>
    </row>
    <row r="14630" spans="1:6" x14ac:dyDescent="0.2">
      <c r="A14630" s="29" t="s">
        <v>32786</v>
      </c>
      <c r="B14630" s="30" t="s">
        <v>32787</v>
      </c>
      <c r="C14630" s="29" t="s">
        <v>26</v>
      </c>
      <c r="D14630" s="31">
        <v>14943.37</v>
      </c>
      <c r="F14630" s="3" t="str">
        <f t="shared" si="228"/>
        <v>I12883</v>
      </c>
    </row>
    <row r="14631" spans="1:6" x14ac:dyDescent="0.2">
      <c r="A14631" s="29" t="s">
        <v>32788</v>
      </c>
      <c r="B14631" s="30" t="s">
        <v>32789</v>
      </c>
      <c r="C14631" s="29" t="s">
        <v>26</v>
      </c>
      <c r="D14631" s="31">
        <v>15130.22</v>
      </c>
      <c r="F14631" s="3" t="str">
        <f t="shared" si="228"/>
        <v>I12884</v>
      </c>
    </row>
    <row r="14632" spans="1:6" x14ac:dyDescent="0.2">
      <c r="A14632" s="29" t="s">
        <v>32790</v>
      </c>
      <c r="B14632" s="30" t="s">
        <v>32791</v>
      </c>
      <c r="C14632" s="29" t="s">
        <v>26</v>
      </c>
      <c r="D14632" s="31">
        <v>6320.11</v>
      </c>
      <c r="F14632" s="3" t="str">
        <f t="shared" si="228"/>
        <v>I12885</v>
      </c>
    </row>
    <row r="14633" spans="1:6" x14ac:dyDescent="0.2">
      <c r="A14633" s="29" t="s">
        <v>32792</v>
      </c>
      <c r="B14633" s="30" t="s">
        <v>32793</v>
      </c>
      <c r="C14633" s="29" t="s">
        <v>26</v>
      </c>
      <c r="D14633" s="31">
        <v>7771.43</v>
      </c>
      <c r="F14633" s="3" t="str">
        <f t="shared" si="228"/>
        <v>I12886</v>
      </c>
    </row>
    <row r="14634" spans="1:6" x14ac:dyDescent="0.2">
      <c r="A14634" s="29" t="s">
        <v>32794</v>
      </c>
      <c r="B14634" s="30" t="s">
        <v>32795</v>
      </c>
      <c r="C14634" s="29" t="s">
        <v>26</v>
      </c>
      <c r="D14634" s="31">
        <v>9222.73</v>
      </c>
      <c r="F14634" s="3" t="str">
        <f t="shared" si="228"/>
        <v>I12887</v>
      </c>
    </row>
    <row r="14635" spans="1:6" x14ac:dyDescent="0.2">
      <c r="A14635" s="29" t="s">
        <v>32796</v>
      </c>
      <c r="B14635" s="30" t="s">
        <v>32797</v>
      </c>
      <c r="C14635" s="29" t="s">
        <v>26</v>
      </c>
      <c r="D14635" s="31">
        <v>10678.77</v>
      </c>
      <c r="F14635" s="3" t="str">
        <f t="shared" si="228"/>
        <v>I12888</v>
      </c>
    </row>
    <row r="14636" spans="1:6" x14ac:dyDescent="0.2">
      <c r="A14636" s="29" t="s">
        <v>32798</v>
      </c>
      <c r="B14636" s="30" t="s">
        <v>32799</v>
      </c>
      <c r="C14636" s="29" t="s">
        <v>26</v>
      </c>
      <c r="D14636" s="31">
        <v>12129.99</v>
      </c>
      <c r="F14636" s="3" t="str">
        <f t="shared" si="228"/>
        <v>I12889</v>
      </c>
    </row>
    <row r="14637" spans="1:6" x14ac:dyDescent="0.2">
      <c r="A14637" s="29" t="s">
        <v>32800</v>
      </c>
      <c r="B14637" s="30" t="s">
        <v>32801</v>
      </c>
      <c r="C14637" s="29" t="s">
        <v>26</v>
      </c>
      <c r="D14637" s="31">
        <v>13586.16</v>
      </c>
      <c r="F14637" s="3" t="str">
        <f t="shared" si="228"/>
        <v>I12890</v>
      </c>
    </row>
    <row r="14638" spans="1:6" x14ac:dyDescent="0.2">
      <c r="A14638" s="29" t="s">
        <v>32802</v>
      </c>
      <c r="B14638" s="30" t="s">
        <v>32803</v>
      </c>
      <c r="C14638" s="29" t="s">
        <v>26</v>
      </c>
      <c r="D14638" s="31">
        <v>15056.96</v>
      </c>
      <c r="F14638" s="3" t="str">
        <f t="shared" si="228"/>
        <v>I12891</v>
      </c>
    </row>
    <row r="14639" spans="1:6" x14ac:dyDescent="0.2">
      <c r="A14639" s="29" t="s">
        <v>32804</v>
      </c>
      <c r="B14639" s="30" t="s">
        <v>32805</v>
      </c>
      <c r="C14639" s="29" t="s">
        <v>26</v>
      </c>
      <c r="D14639" s="31">
        <v>16488.810000000001</v>
      </c>
      <c r="F14639" s="3" t="str">
        <f t="shared" si="228"/>
        <v>I12892</v>
      </c>
    </row>
    <row r="14640" spans="1:6" x14ac:dyDescent="0.2">
      <c r="A14640" s="29" t="s">
        <v>32806</v>
      </c>
      <c r="B14640" s="30" t="s">
        <v>32807</v>
      </c>
      <c r="C14640" s="29" t="s">
        <v>26</v>
      </c>
      <c r="D14640" s="31">
        <v>19010.72</v>
      </c>
      <c r="F14640" s="3" t="str">
        <f t="shared" si="228"/>
        <v>I12893</v>
      </c>
    </row>
    <row r="14641" spans="1:6" x14ac:dyDescent="0.2">
      <c r="A14641" s="29" t="s">
        <v>32808</v>
      </c>
      <c r="B14641" s="30" t="s">
        <v>32809</v>
      </c>
      <c r="C14641" s="29" t="s">
        <v>26</v>
      </c>
      <c r="D14641" s="31">
        <v>19645.84</v>
      </c>
      <c r="F14641" s="3" t="str">
        <f t="shared" si="228"/>
        <v>I12894</v>
      </c>
    </row>
    <row r="14642" spans="1:6" x14ac:dyDescent="0.2">
      <c r="A14642" s="29" t="s">
        <v>32810</v>
      </c>
      <c r="B14642" s="30" t="s">
        <v>32811</v>
      </c>
      <c r="C14642" s="29" t="s">
        <v>26</v>
      </c>
      <c r="D14642" s="31">
        <v>13797.28</v>
      </c>
      <c r="F14642" s="3" t="str">
        <f t="shared" si="228"/>
        <v>I12895</v>
      </c>
    </row>
    <row r="14643" spans="1:6" x14ac:dyDescent="0.2">
      <c r="A14643" s="29" t="s">
        <v>32812</v>
      </c>
      <c r="B14643" s="30" t="s">
        <v>32813</v>
      </c>
      <c r="C14643" s="29" t="s">
        <v>26</v>
      </c>
      <c r="D14643" s="31">
        <v>16298.9</v>
      </c>
      <c r="F14643" s="3" t="str">
        <f t="shared" si="228"/>
        <v>I12896</v>
      </c>
    </row>
    <row r="14644" spans="1:6" x14ac:dyDescent="0.2">
      <c r="A14644" s="29" t="s">
        <v>32814</v>
      </c>
      <c r="B14644" s="30" t="s">
        <v>32815</v>
      </c>
      <c r="C14644" s="29" t="s">
        <v>26</v>
      </c>
      <c r="D14644" s="31">
        <v>18805.46</v>
      </c>
      <c r="F14644" s="3" t="str">
        <f t="shared" si="228"/>
        <v>I12897</v>
      </c>
    </row>
    <row r="14645" spans="1:6" x14ac:dyDescent="0.2">
      <c r="A14645" s="29" t="s">
        <v>32816</v>
      </c>
      <c r="B14645" s="30" t="s">
        <v>32817</v>
      </c>
      <c r="C14645" s="29" t="s">
        <v>26</v>
      </c>
      <c r="D14645" s="31">
        <v>31328.21</v>
      </c>
      <c r="F14645" s="3" t="str">
        <f t="shared" si="228"/>
        <v>I12898</v>
      </c>
    </row>
    <row r="14646" spans="1:6" x14ac:dyDescent="0.2">
      <c r="A14646" s="29" t="s">
        <v>32818</v>
      </c>
      <c r="B14646" s="30" t="s">
        <v>32819</v>
      </c>
      <c r="C14646" s="29" t="s">
        <v>26</v>
      </c>
      <c r="D14646" s="31">
        <v>40405.9</v>
      </c>
      <c r="F14646" s="3" t="str">
        <f t="shared" si="228"/>
        <v>I12899</v>
      </c>
    </row>
    <row r="14647" spans="1:6" x14ac:dyDescent="0.2">
      <c r="A14647" s="29" t="s">
        <v>32820</v>
      </c>
      <c r="B14647" s="30" t="s">
        <v>32821</v>
      </c>
      <c r="C14647" s="29" t="s">
        <v>26</v>
      </c>
      <c r="D14647" s="31">
        <v>41441.08</v>
      </c>
      <c r="F14647" s="3" t="str">
        <f t="shared" si="228"/>
        <v>I12900</v>
      </c>
    </row>
    <row r="14648" spans="1:6" x14ac:dyDescent="0.2">
      <c r="A14648" s="29" t="s">
        <v>32822</v>
      </c>
      <c r="B14648" s="30" t="s">
        <v>32823</v>
      </c>
      <c r="C14648" s="29" t="s">
        <v>26</v>
      </c>
      <c r="D14648" s="31">
        <v>16751.060000000001</v>
      </c>
      <c r="F14648" s="3" t="str">
        <f t="shared" si="228"/>
        <v>I12901</v>
      </c>
    </row>
    <row r="14649" spans="1:6" x14ac:dyDescent="0.2">
      <c r="A14649" s="29" t="s">
        <v>32824</v>
      </c>
      <c r="B14649" s="30" t="s">
        <v>32825</v>
      </c>
      <c r="C14649" s="29" t="s">
        <v>26</v>
      </c>
      <c r="D14649" s="31">
        <v>19762.349999999999</v>
      </c>
      <c r="F14649" s="3" t="str">
        <f t="shared" si="228"/>
        <v>I12902</v>
      </c>
    </row>
    <row r="14650" spans="1:6" x14ac:dyDescent="0.2">
      <c r="A14650" s="29" t="s">
        <v>32826</v>
      </c>
      <c r="B14650" s="30" t="s">
        <v>32827</v>
      </c>
      <c r="C14650" s="29" t="s">
        <v>26</v>
      </c>
      <c r="D14650" s="31">
        <v>22773.42</v>
      </c>
      <c r="F14650" s="3" t="str">
        <f t="shared" si="228"/>
        <v>I12903</v>
      </c>
    </row>
    <row r="14651" spans="1:6" x14ac:dyDescent="0.2">
      <c r="A14651" s="29" t="s">
        <v>32828</v>
      </c>
      <c r="B14651" s="30" t="s">
        <v>32829</v>
      </c>
      <c r="C14651" s="29" t="s">
        <v>26</v>
      </c>
      <c r="D14651" s="31">
        <v>25784.44</v>
      </c>
      <c r="F14651" s="3" t="str">
        <f t="shared" si="228"/>
        <v>I12904</v>
      </c>
    </row>
    <row r="14652" spans="1:6" x14ac:dyDescent="0.2">
      <c r="A14652" s="29" t="s">
        <v>32830</v>
      </c>
      <c r="B14652" s="30" t="s">
        <v>32831</v>
      </c>
      <c r="C14652" s="29" t="s">
        <v>26</v>
      </c>
      <c r="D14652" s="31">
        <v>28800.46</v>
      </c>
      <c r="F14652" s="3" t="str">
        <f t="shared" si="228"/>
        <v>I12905</v>
      </c>
    </row>
    <row r="14653" spans="1:6" x14ac:dyDescent="0.2">
      <c r="A14653" s="29" t="s">
        <v>32832</v>
      </c>
      <c r="B14653" s="30" t="s">
        <v>32833</v>
      </c>
      <c r="C14653" s="29" t="s">
        <v>26</v>
      </c>
      <c r="D14653" s="31">
        <v>31811.57</v>
      </c>
      <c r="F14653" s="3" t="str">
        <f t="shared" si="228"/>
        <v>I12906</v>
      </c>
    </row>
    <row r="14654" spans="1:6" x14ac:dyDescent="0.2">
      <c r="A14654" s="29" t="s">
        <v>32834</v>
      </c>
      <c r="B14654" s="30" t="s">
        <v>32835</v>
      </c>
      <c r="C14654" s="29" t="s">
        <v>26</v>
      </c>
      <c r="D14654" s="31">
        <v>34822.68</v>
      </c>
      <c r="F14654" s="3" t="str">
        <f t="shared" si="228"/>
        <v>I12907</v>
      </c>
    </row>
    <row r="14655" spans="1:6" x14ac:dyDescent="0.2">
      <c r="A14655" s="29" t="s">
        <v>32836</v>
      </c>
      <c r="B14655" s="30" t="s">
        <v>32837</v>
      </c>
      <c r="C14655" s="29" t="s">
        <v>26</v>
      </c>
      <c r="D14655" s="31">
        <v>37833.81</v>
      </c>
      <c r="F14655" s="3" t="str">
        <f t="shared" si="228"/>
        <v>I12908</v>
      </c>
    </row>
    <row r="14656" spans="1:6" x14ac:dyDescent="0.2">
      <c r="A14656" s="29" t="s">
        <v>32838</v>
      </c>
      <c r="B14656" s="30" t="s">
        <v>32839</v>
      </c>
      <c r="C14656" s="29" t="s">
        <v>26</v>
      </c>
      <c r="D14656" s="31">
        <v>40844.92</v>
      </c>
      <c r="F14656" s="3" t="str">
        <f t="shared" si="228"/>
        <v>I12909</v>
      </c>
    </row>
    <row r="14657" spans="1:6" x14ac:dyDescent="0.2">
      <c r="A14657" s="29" t="s">
        <v>32840</v>
      </c>
      <c r="B14657" s="30" t="s">
        <v>32841</v>
      </c>
      <c r="C14657" s="29" t="s">
        <v>26</v>
      </c>
      <c r="D14657" s="31">
        <v>43856</v>
      </c>
      <c r="F14657" s="3" t="str">
        <f t="shared" si="228"/>
        <v>I12910</v>
      </c>
    </row>
    <row r="14658" spans="1:6" x14ac:dyDescent="0.2">
      <c r="A14658" s="29" t="s">
        <v>32842</v>
      </c>
      <c r="B14658" s="30" t="s">
        <v>32843</v>
      </c>
      <c r="C14658" s="29" t="s">
        <v>26</v>
      </c>
      <c r="D14658" s="31">
        <v>48743.82</v>
      </c>
      <c r="F14658" s="3" t="str">
        <f t="shared" ref="F14658:F14721" si="229">A14658</f>
        <v>I12911</v>
      </c>
    </row>
    <row r="14659" spans="1:6" x14ac:dyDescent="0.2">
      <c r="A14659" s="29" t="s">
        <v>32844</v>
      </c>
      <c r="B14659" s="30" t="s">
        <v>32845</v>
      </c>
      <c r="C14659" s="29" t="s">
        <v>26</v>
      </c>
      <c r="D14659" s="31">
        <v>50004.12</v>
      </c>
      <c r="F14659" s="3" t="str">
        <f t="shared" si="229"/>
        <v>I12912</v>
      </c>
    </row>
    <row r="14660" spans="1:6" x14ac:dyDescent="0.2">
      <c r="A14660" s="29" t="s">
        <v>32846</v>
      </c>
      <c r="B14660" s="30" t="s">
        <v>32847</v>
      </c>
      <c r="C14660" s="29" t="s">
        <v>26</v>
      </c>
      <c r="D14660" s="31">
        <v>22701.599999999999</v>
      </c>
      <c r="F14660" s="3" t="str">
        <f t="shared" si="229"/>
        <v>I12913</v>
      </c>
    </row>
    <row r="14661" spans="1:6" x14ac:dyDescent="0.2">
      <c r="A14661" s="29" t="s">
        <v>32848</v>
      </c>
      <c r="B14661" s="30" t="s">
        <v>32849</v>
      </c>
      <c r="C14661" s="29" t="s">
        <v>26</v>
      </c>
      <c r="D14661" s="31">
        <v>26296.87</v>
      </c>
      <c r="F14661" s="3" t="str">
        <f t="shared" si="229"/>
        <v>I12914</v>
      </c>
    </row>
    <row r="14662" spans="1:6" x14ac:dyDescent="0.2">
      <c r="A14662" s="29" t="s">
        <v>32850</v>
      </c>
      <c r="B14662" s="30" t="s">
        <v>32851</v>
      </c>
      <c r="C14662" s="29" t="s">
        <v>26</v>
      </c>
      <c r="D14662" s="31">
        <v>29892.29</v>
      </c>
      <c r="F14662" s="3" t="str">
        <f t="shared" si="229"/>
        <v>I12915</v>
      </c>
    </row>
    <row r="14663" spans="1:6" x14ac:dyDescent="0.2">
      <c r="A14663" s="29" t="s">
        <v>32852</v>
      </c>
      <c r="B14663" s="30" t="s">
        <v>32853</v>
      </c>
      <c r="C14663" s="29" t="s">
        <v>26</v>
      </c>
      <c r="D14663" s="31">
        <v>4052.08</v>
      </c>
      <c r="F14663" s="3" t="str">
        <f t="shared" si="229"/>
        <v>I8700</v>
      </c>
    </row>
    <row r="14664" spans="1:6" x14ac:dyDescent="0.2">
      <c r="A14664" s="29" t="s">
        <v>32854</v>
      </c>
      <c r="B14664" s="30" t="s">
        <v>32855</v>
      </c>
      <c r="C14664" s="29" t="s">
        <v>26</v>
      </c>
      <c r="D14664" s="31">
        <v>28341.79</v>
      </c>
      <c r="F14664" s="3" t="str">
        <f t="shared" si="229"/>
        <v>I3986</v>
      </c>
    </row>
    <row r="14665" spans="1:6" x14ac:dyDescent="0.2">
      <c r="A14665" s="29" t="s">
        <v>32856</v>
      </c>
      <c r="B14665" s="30" t="s">
        <v>32857</v>
      </c>
      <c r="C14665" s="29" t="s">
        <v>26</v>
      </c>
      <c r="D14665" s="31">
        <v>3452.22</v>
      </c>
      <c r="F14665" s="3" t="str">
        <f t="shared" si="229"/>
        <v>I8054</v>
      </c>
    </row>
    <row r="14666" spans="1:6" x14ac:dyDescent="0.2">
      <c r="A14666" s="29" t="s">
        <v>32858</v>
      </c>
      <c r="B14666" s="30" t="s">
        <v>32859</v>
      </c>
      <c r="C14666" s="29" t="s">
        <v>26</v>
      </c>
      <c r="D14666" s="31">
        <v>3750.94</v>
      </c>
      <c r="F14666" s="3" t="str">
        <f t="shared" si="229"/>
        <v>I8055</v>
      </c>
    </row>
    <row r="14667" spans="1:6" x14ac:dyDescent="0.2">
      <c r="A14667" s="29" t="s">
        <v>32860</v>
      </c>
      <c r="B14667" s="30" t="s">
        <v>32861</v>
      </c>
      <c r="C14667" s="29" t="s">
        <v>26</v>
      </c>
      <c r="D14667" s="31">
        <v>4930.17</v>
      </c>
      <c r="F14667" s="3" t="str">
        <f t="shared" si="229"/>
        <v>I8056</v>
      </c>
    </row>
    <row r="14668" spans="1:6" x14ac:dyDescent="0.2">
      <c r="A14668" s="29" t="s">
        <v>32862</v>
      </c>
      <c r="B14668" s="30" t="s">
        <v>32863</v>
      </c>
      <c r="C14668" s="29" t="s">
        <v>26</v>
      </c>
      <c r="D14668" s="31">
        <v>6222.56</v>
      </c>
      <c r="F14668" s="3" t="str">
        <f t="shared" si="229"/>
        <v>I8057</v>
      </c>
    </row>
    <row r="14669" spans="1:6" x14ac:dyDescent="0.2">
      <c r="A14669" s="29" t="s">
        <v>32864</v>
      </c>
      <c r="B14669" s="30" t="s">
        <v>32865</v>
      </c>
      <c r="C14669" s="29" t="s">
        <v>26</v>
      </c>
      <c r="D14669" s="31">
        <v>8051.67</v>
      </c>
      <c r="F14669" s="3" t="str">
        <f t="shared" si="229"/>
        <v>I8058</v>
      </c>
    </row>
    <row r="14670" spans="1:6" x14ac:dyDescent="0.2">
      <c r="A14670" s="29" t="s">
        <v>32866</v>
      </c>
      <c r="B14670" s="30" t="s">
        <v>32867</v>
      </c>
      <c r="C14670" s="29" t="s">
        <v>26</v>
      </c>
      <c r="D14670" s="31">
        <v>10025.959999999999</v>
      </c>
      <c r="F14670" s="3" t="str">
        <f t="shared" si="229"/>
        <v>I8059</v>
      </c>
    </row>
    <row r="14671" spans="1:6" x14ac:dyDescent="0.2">
      <c r="A14671" s="29" t="s">
        <v>32868</v>
      </c>
      <c r="B14671" s="30" t="s">
        <v>32869</v>
      </c>
      <c r="C14671" s="29" t="s">
        <v>26</v>
      </c>
      <c r="D14671" s="31">
        <v>11142.63</v>
      </c>
      <c r="F14671" s="3" t="str">
        <f t="shared" si="229"/>
        <v>I8060</v>
      </c>
    </row>
    <row r="14672" spans="1:6" x14ac:dyDescent="0.2">
      <c r="A14672" s="29" t="s">
        <v>32870</v>
      </c>
      <c r="B14672" s="30" t="s">
        <v>32871</v>
      </c>
      <c r="C14672" s="29" t="s">
        <v>26</v>
      </c>
      <c r="D14672" s="31">
        <v>13102.76</v>
      </c>
      <c r="F14672" s="3" t="str">
        <f t="shared" si="229"/>
        <v>I8061</v>
      </c>
    </row>
    <row r="14673" spans="1:6" x14ac:dyDescent="0.2">
      <c r="A14673" s="29" t="s">
        <v>32872</v>
      </c>
      <c r="B14673" s="30" t="s">
        <v>32873</v>
      </c>
      <c r="C14673" s="29" t="s">
        <v>26</v>
      </c>
      <c r="D14673" s="31">
        <v>11595.73</v>
      </c>
      <c r="F14673" s="3" t="str">
        <f t="shared" si="229"/>
        <v>I8062</v>
      </c>
    </row>
    <row r="14674" spans="1:6" x14ac:dyDescent="0.2">
      <c r="A14674" s="29" t="s">
        <v>32874</v>
      </c>
      <c r="B14674" s="30" t="s">
        <v>32875</v>
      </c>
      <c r="C14674" s="29" t="s">
        <v>26</v>
      </c>
      <c r="D14674" s="31">
        <v>16938.62</v>
      </c>
      <c r="F14674" s="3" t="str">
        <f t="shared" si="229"/>
        <v>I8063</v>
      </c>
    </row>
    <row r="14675" spans="1:6" x14ac:dyDescent="0.2">
      <c r="A14675" s="29" t="s">
        <v>32876</v>
      </c>
      <c r="B14675" s="30" t="s">
        <v>32877</v>
      </c>
      <c r="C14675" s="29" t="s">
        <v>26</v>
      </c>
      <c r="D14675" s="31">
        <v>22842.22</v>
      </c>
      <c r="F14675" s="3" t="str">
        <f t="shared" si="229"/>
        <v>I8064</v>
      </c>
    </row>
    <row r="14676" spans="1:6" x14ac:dyDescent="0.2">
      <c r="A14676" s="29" t="s">
        <v>32878</v>
      </c>
      <c r="B14676" s="30" t="s">
        <v>32879</v>
      </c>
      <c r="C14676" s="29" t="s">
        <v>26</v>
      </c>
      <c r="D14676" s="31">
        <v>35464.160000000003</v>
      </c>
      <c r="F14676" s="3" t="str">
        <f t="shared" si="229"/>
        <v>I8065</v>
      </c>
    </row>
    <row r="14677" spans="1:6" x14ac:dyDescent="0.2">
      <c r="A14677" s="29" t="s">
        <v>32880</v>
      </c>
      <c r="B14677" s="30" t="s">
        <v>32881</v>
      </c>
      <c r="C14677" s="29" t="s">
        <v>26</v>
      </c>
      <c r="D14677" s="31">
        <v>42999.5</v>
      </c>
      <c r="F14677" s="3" t="str">
        <f t="shared" si="229"/>
        <v>I8066</v>
      </c>
    </row>
    <row r="14678" spans="1:6" x14ac:dyDescent="0.2">
      <c r="A14678" s="29" t="s">
        <v>32882</v>
      </c>
      <c r="B14678" s="30" t="s">
        <v>32883</v>
      </c>
      <c r="C14678" s="29" t="s">
        <v>26</v>
      </c>
      <c r="D14678" s="31">
        <v>54271.92</v>
      </c>
      <c r="F14678" s="3" t="str">
        <f t="shared" si="229"/>
        <v>I8067</v>
      </c>
    </row>
    <row r="14679" spans="1:6" x14ac:dyDescent="0.2">
      <c r="A14679" s="29" t="s">
        <v>32884</v>
      </c>
      <c r="B14679" s="30" t="s">
        <v>32885</v>
      </c>
      <c r="C14679" s="29" t="s">
        <v>26</v>
      </c>
      <c r="D14679" s="31">
        <v>61155.28</v>
      </c>
      <c r="F14679" s="3" t="str">
        <f t="shared" si="229"/>
        <v>I8068</v>
      </c>
    </row>
    <row r="14680" spans="1:6" x14ac:dyDescent="0.2">
      <c r="A14680" s="29" t="s">
        <v>32886</v>
      </c>
      <c r="B14680" s="30" t="s">
        <v>32887</v>
      </c>
      <c r="C14680" s="29" t="s">
        <v>26</v>
      </c>
      <c r="D14680" s="31">
        <v>78366.86</v>
      </c>
      <c r="F14680" s="3" t="str">
        <f t="shared" si="229"/>
        <v>I8069</v>
      </c>
    </row>
    <row r="14681" spans="1:6" x14ac:dyDescent="0.2">
      <c r="A14681" s="29" t="s">
        <v>32888</v>
      </c>
      <c r="B14681" s="30" t="s">
        <v>32889</v>
      </c>
      <c r="C14681" s="29" t="s">
        <v>26</v>
      </c>
      <c r="D14681" s="31">
        <v>3163.82</v>
      </c>
      <c r="F14681" s="3" t="str">
        <f t="shared" si="229"/>
        <v>I8038</v>
      </c>
    </row>
    <row r="14682" spans="1:6" x14ac:dyDescent="0.2">
      <c r="A14682" s="29" t="s">
        <v>32890</v>
      </c>
      <c r="B14682" s="30" t="s">
        <v>32891</v>
      </c>
      <c r="C14682" s="29" t="s">
        <v>26</v>
      </c>
      <c r="D14682" s="31">
        <v>3459.48</v>
      </c>
      <c r="F14682" s="3" t="str">
        <f t="shared" si="229"/>
        <v>I8039</v>
      </c>
    </row>
    <row r="14683" spans="1:6" x14ac:dyDescent="0.2">
      <c r="A14683" s="29" t="s">
        <v>32892</v>
      </c>
      <c r="B14683" s="30" t="s">
        <v>32893</v>
      </c>
      <c r="C14683" s="29" t="s">
        <v>26</v>
      </c>
      <c r="D14683" s="31">
        <v>4421.3599999999997</v>
      </c>
      <c r="F14683" s="3" t="str">
        <f t="shared" si="229"/>
        <v>I8040</v>
      </c>
    </row>
    <row r="14684" spans="1:6" x14ac:dyDescent="0.2">
      <c r="A14684" s="29" t="s">
        <v>32894</v>
      </c>
      <c r="B14684" s="30" t="s">
        <v>32895</v>
      </c>
      <c r="C14684" s="29" t="s">
        <v>26</v>
      </c>
      <c r="D14684" s="31">
        <v>5642.13</v>
      </c>
      <c r="F14684" s="3" t="str">
        <f t="shared" si="229"/>
        <v>I8041</v>
      </c>
    </row>
    <row r="14685" spans="1:6" x14ac:dyDescent="0.2">
      <c r="A14685" s="29" t="s">
        <v>32896</v>
      </c>
      <c r="B14685" s="30" t="s">
        <v>32897</v>
      </c>
      <c r="C14685" s="29" t="s">
        <v>26</v>
      </c>
      <c r="D14685" s="31">
        <v>7292.66</v>
      </c>
      <c r="F14685" s="3" t="str">
        <f t="shared" si="229"/>
        <v>I8042</v>
      </c>
    </row>
    <row r="14686" spans="1:6" x14ac:dyDescent="0.2">
      <c r="A14686" s="29" t="s">
        <v>32898</v>
      </c>
      <c r="B14686" s="30" t="s">
        <v>32899</v>
      </c>
      <c r="C14686" s="29" t="s">
        <v>26</v>
      </c>
      <c r="D14686" s="31">
        <v>8669.2800000000007</v>
      </c>
      <c r="F14686" s="3" t="str">
        <f t="shared" si="229"/>
        <v>I8043</v>
      </c>
    </row>
    <row r="14687" spans="1:6" x14ac:dyDescent="0.2">
      <c r="A14687" s="29" t="s">
        <v>32900</v>
      </c>
      <c r="B14687" s="30" t="s">
        <v>32901</v>
      </c>
      <c r="C14687" s="29" t="s">
        <v>26</v>
      </c>
      <c r="D14687" s="31">
        <v>10201.07</v>
      </c>
      <c r="F14687" s="3" t="str">
        <f t="shared" si="229"/>
        <v>I8044</v>
      </c>
    </row>
    <row r="14688" spans="1:6" x14ac:dyDescent="0.2">
      <c r="A14688" s="29" t="s">
        <v>32902</v>
      </c>
      <c r="B14688" s="30" t="s">
        <v>32903</v>
      </c>
      <c r="C14688" s="29" t="s">
        <v>26</v>
      </c>
      <c r="D14688" s="31">
        <v>11947.18</v>
      </c>
      <c r="F14688" s="3" t="str">
        <f t="shared" si="229"/>
        <v>I8045</v>
      </c>
    </row>
    <row r="14689" spans="1:6" x14ac:dyDescent="0.2">
      <c r="A14689" s="29" t="s">
        <v>32904</v>
      </c>
      <c r="B14689" s="30" t="s">
        <v>32905</v>
      </c>
      <c r="C14689" s="29" t="s">
        <v>26</v>
      </c>
      <c r="D14689" s="31">
        <v>13582.38</v>
      </c>
      <c r="F14689" s="3" t="str">
        <f t="shared" si="229"/>
        <v>I8046</v>
      </c>
    </row>
    <row r="14690" spans="1:6" x14ac:dyDescent="0.2">
      <c r="A14690" s="29" t="s">
        <v>32906</v>
      </c>
      <c r="B14690" s="30" t="s">
        <v>32907</v>
      </c>
      <c r="C14690" s="29" t="s">
        <v>26</v>
      </c>
      <c r="D14690" s="31">
        <v>15544.56</v>
      </c>
      <c r="F14690" s="3" t="str">
        <f t="shared" si="229"/>
        <v>I8047</v>
      </c>
    </row>
    <row r="14691" spans="1:6" x14ac:dyDescent="0.2">
      <c r="A14691" s="29" t="s">
        <v>32908</v>
      </c>
      <c r="B14691" s="30" t="s">
        <v>32909</v>
      </c>
      <c r="C14691" s="29" t="s">
        <v>26</v>
      </c>
      <c r="D14691" s="31">
        <v>20034.150000000001</v>
      </c>
      <c r="F14691" s="3" t="str">
        <f t="shared" si="229"/>
        <v>I8048</v>
      </c>
    </row>
    <row r="14692" spans="1:6" x14ac:dyDescent="0.2">
      <c r="A14692" s="29" t="s">
        <v>32910</v>
      </c>
      <c r="B14692" s="30" t="s">
        <v>32911</v>
      </c>
      <c r="C14692" s="29" t="s">
        <v>26</v>
      </c>
      <c r="D14692" s="31">
        <v>39212.980000000003</v>
      </c>
      <c r="F14692" s="3" t="str">
        <f t="shared" si="229"/>
        <v>I8049</v>
      </c>
    </row>
    <row r="14693" spans="1:6" x14ac:dyDescent="0.2">
      <c r="A14693" s="29" t="s">
        <v>32912</v>
      </c>
      <c r="B14693" s="30" t="s">
        <v>32913</v>
      </c>
      <c r="C14693" s="29" t="s">
        <v>26</v>
      </c>
      <c r="D14693" s="31">
        <v>46551.88</v>
      </c>
      <c r="F14693" s="3" t="str">
        <f t="shared" si="229"/>
        <v>I8050</v>
      </c>
    </row>
    <row r="14694" spans="1:6" x14ac:dyDescent="0.2">
      <c r="A14694" s="29" t="s">
        <v>32914</v>
      </c>
      <c r="B14694" s="30" t="s">
        <v>32915</v>
      </c>
      <c r="C14694" s="29" t="s">
        <v>26</v>
      </c>
      <c r="D14694" s="31">
        <v>58124.97</v>
      </c>
      <c r="F14694" s="3" t="str">
        <f t="shared" si="229"/>
        <v>I8051</v>
      </c>
    </row>
    <row r="14695" spans="1:6" x14ac:dyDescent="0.2">
      <c r="A14695" s="29" t="s">
        <v>32916</v>
      </c>
      <c r="B14695" s="30" t="s">
        <v>32917</v>
      </c>
      <c r="C14695" s="29" t="s">
        <v>26</v>
      </c>
      <c r="D14695" s="31">
        <v>66817.91</v>
      </c>
      <c r="F14695" s="3" t="str">
        <f t="shared" si="229"/>
        <v>I8052</v>
      </c>
    </row>
    <row r="14696" spans="1:6" x14ac:dyDescent="0.2">
      <c r="A14696" s="29" t="s">
        <v>32918</v>
      </c>
      <c r="B14696" s="30" t="s">
        <v>32919</v>
      </c>
      <c r="C14696" s="29" t="s">
        <v>26</v>
      </c>
      <c r="D14696" s="31">
        <v>86614.96</v>
      </c>
      <c r="F14696" s="3" t="str">
        <f t="shared" si="229"/>
        <v>I8053</v>
      </c>
    </row>
    <row r="14697" spans="1:6" x14ac:dyDescent="0.2">
      <c r="A14697" s="29" t="s">
        <v>32920</v>
      </c>
      <c r="B14697" s="30" t="s">
        <v>32921</v>
      </c>
      <c r="C14697" s="29" t="s">
        <v>0</v>
      </c>
      <c r="D14697" s="31">
        <v>364.3</v>
      </c>
      <c r="F14697" s="3" t="str">
        <f t="shared" si="229"/>
        <v>I8536</v>
      </c>
    </row>
    <row r="14698" spans="1:6" x14ac:dyDescent="0.2">
      <c r="A14698" s="29" t="s">
        <v>32922</v>
      </c>
      <c r="B14698" s="30" t="s">
        <v>32923</v>
      </c>
      <c r="C14698" s="29" t="s">
        <v>0</v>
      </c>
      <c r="D14698" s="31">
        <v>401.27</v>
      </c>
      <c r="F14698" s="3" t="str">
        <f t="shared" si="229"/>
        <v>I8537</v>
      </c>
    </row>
    <row r="14699" spans="1:6" x14ac:dyDescent="0.2">
      <c r="A14699" s="29" t="s">
        <v>32924</v>
      </c>
      <c r="B14699" s="30" t="s">
        <v>32925</v>
      </c>
      <c r="C14699" s="29" t="s">
        <v>0</v>
      </c>
      <c r="D14699" s="31">
        <v>522.76</v>
      </c>
      <c r="F14699" s="3" t="str">
        <f t="shared" si="229"/>
        <v>I8538</v>
      </c>
    </row>
    <row r="14700" spans="1:6" x14ac:dyDescent="0.2">
      <c r="A14700" s="29" t="s">
        <v>32926</v>
      </c>
      <c r="B14700" s="30" t="s">
        <v>32927</v>
      </c>
      <c r="C14700" s="29" t="s">
        <v>0</v>
      </c>
      <c r="D14700" s="31">
        <v>676.84</v>
      </c>
      <c r="F14700" s="3" t="str">
        <f t="shared" si="229"/>
        <v>I8539</v>
      </c>
    </row>
    <row r="14701" spans="1:6" x14ac:dyDescent="0.2">
      <c r="A14701" s="29" t="s">
        <v>32928</v>
      </c>
      <c r="B14701" s="30" t="s">
        <v>32929</v>
      </c>
      <c r="C14701" s="29" t="s">
        <v>0</v>
      </c>
      <c r="D14701" s="31">
        <v>819.97</v>
      </c>
      <c r="F14701" s="3" t="str">
        <f t="shared" si="229"/>
        <v>I8540</v>
      </c>
    </row>
    <row r="14702" spans="1:6" x14ac:dyDescent="0.2">
      <c r="A14702" s="29" t="s">
        <v>32930</v>
      </c>
      <c r="B14702" s="30" t="s">
        <v>32931</v>
      </c>
      <c r="C14702" s="29" t="s">
        <v>0</v>
      </c>
      <c r="D14702" s="31">
        <v>1057.68</v>
      </c>
      <c r="F14702" s="3" t="str">
        <f t="shared" si="229"/>
        <v>I8541</v>
      </c>
    </row>
    <row r="14703" spans="1:6" x14ac:dyDescent="0.2">
      <c r="A14703" s="29" t="s">
        <v>32932</v>
      </c>
      <c r="B14703" s="30" t="s">
        <v>32933</v>
      </c>
      <c r="C14703" s="29" t="s">
        <v>0</v>
      </c>
      <c r="D14703" s="31">
        <v>1189.52</v>
      </c>
      <c r="F14703" s="3" t="str">
        <f t="shared" si="229"/>
        <v>I8542</v>
      </c>
    </row>
    <row r="14704" spans="1:6" x14ac:dyDescent="0.2">
      <c r="A14704" s="29" t="s">
        <v>32934</v>
      </c>
      <c r="B14704" s="30" t="s">
        <v>32935</v>
      </c>
      <c r="C14704" s="29" t="s">
        <v>0</v>
      </c>
      <c r="D14704" s="31">
        <v>1376.16</v>
      </c>
      <c r="F14704" s="3" t="str">
        <f t="shared" si="229"/>
        <v>I8543</v>
      </c>
    </row>
    <row r="14705" spans="1:6" x14ac:dyDescent="0.2">
      <c r="A14705" s="29" t="s">
        <v>32936</v>
      </c>
      <c r="B14705" s="30" t="s">
        <v>32937</v>
      </c>
      <c r="C14705" s="29" t="s">
        <v>0</v>
      </c>
      <c r="D14705" s="31">
        <v>1595.91</v>
      </c>
      <c r="F14705" s="3" t="str">
        <f t="shared" si="229"/>
        <v>I8544</v>
      </c>
    </row>
    <row r="14706" spans="1:6" x14ac:dyDescent="0.2">
      <c r="A14706" s="29" t="s">
        <v>32938</v>
      </c>
      <c r="B14706" s="30" t="s">
        <v>32939</v>
      </c>
      <c r="C14706" s="29" t="s">
        <v>0</v>
      </c>
      <c r="D14706" s="31">
        <v>1830.96</v>
      </c>
      <c r="F14706" s="3" t="str">
        <f t="shared" si="229"/>
        <v>I8545</v>
      </c>
    </row>
    <row r="14707" spans="1:6" x14ac:dyDescent="0.2">
      <c r="A14707" s="29" t="s">
        <v>32940</v>
      </c>
      <c r="B14707" s="30" t="s">
        <v>32941</v>
      </c>
      <c r="C14707" s="29" t="s">
        <v>0</v>
      </c>
      <c r="D14707" s="31">
        <v>2359.0500000000002</v>
      </c>
      <c r="F14707" s="3" t="str">
        <f t="shared" si="229"/>
        <v>I8546</v>
      </c>
    </row>
    <row r="14708" spans="1:6" x14ac:dyDescent="0.2">
      <c r="A14708" s="29" t="s">
        <v>32942</v>
      </c>
      <c r="B14708" s="30" t="s">
        <v>32943</v>
      </c>
      <c r="C14708" s="29" t="s">
        <v>0</v>
      </c>
      <c r="D14708" s="31">
        <v>3587.83</v>
      </c>
      <c r="F14708" s="3" t="str">
        <f t="shared" si="229"/>
        <v>I8547</v>
      </c>
    </row>
    <row r="14709" spans="1:6" x14ac:dyDescent="0.2">
      <c r="A14709" s="29" t="s">
        <v>32944</v>
      </c>
      <c r="B14709" s="30" t="s">
        <v>32945</v>
      </c>
      <c r="C14709" s="29" t="s">
        <v>0</v>
      </c>
      <c r="D14709" s="31">
        <v>4321.38</v>
      </c>
      <c r="F14709" s="3" t="str">
        <f t="shared" si="229"/>
        <v>I8548</v>
      </c>
    </row>
    <row r="14710" spans="1:6" x14ac:dyDescent="0.2">
      <c r="A14710" s="29" t="s">
        <v>32946</v>
      </c>
      <c r="B14710" s="30" t="s">
        <v>32947</v>
      </c>
      <c r="C14710" s="29" t="s">
        <v>0</v>
      </c>
      <c r="D14710" s="31">
        <v>4872.78</v>
      </c>
      <c r="F14710" s="3" t="str">
        <f t="shared" si="229"/>
        <v>I8549</v>
      </c>
    </row>
    <row r="14711" spans="1:6" x14ac:dyDescent="0.2">
      <c r="A14711" s="29" t="s">
        <v>32948</v>
      </c>
      <c r="B14711" s="30" t="s">
        <v>32949</v>
      </c>
      <c r="C14711" s="29" t="s">
        <v>0</v>
      </c>
      <c r="D14711" s="31">
        <v>5610.11</v>
      </c>
      <c r="F14711" s="3" t="str">
        <f t="shared" si="229"/>
        <v>I8550</v>
      </c>
    </row>
    <row r="14712" spans="1:6" x14ac:dyDescent="0.2">
      <c r="A14712" s="29" t="s">
        <v>32950</v>
      </c>
      <c r="B14712" s="30" t="s">
        <v>32951</v>
      </c>
      <c r="C14712" s="29" t="s">
        <v>0</v>
      </c>
      <c r="D14712" s="31">
        <v>7245.06</v>
      </c>
      <c r="F14712" s="3" t="str">
        <f t="shared" si="229"/>
        <v>I8551</v>
      </c>
    </row>
    <row r="14713" spans="1:6" x14ac:dyDescent="0.2">
      <c r="A14713" s="29" t="s">
        <v>32952</v>
      </c>
      <c r="B14713" s="30" t="s">
        <v>32953</v>
      </c>
      <c r="C14713" s="29" t="s">
        <v>0</v>
      </c>
      <c r="D14713" s="31">
        <v>435.06</v>
      </c>
      <c r="F14713" s="3" t="str">
        <f t="shared" si="229"/>
        <v>I3208</v>
      </c>
    </row>
    <row r="14714" spans="1:6" x14ac:dyDescent="0.2">
      <c r="A14714" s="29" t="s">
        <v>32954</v>
      </c>
      <c r="B14714" s="30" t="s">
        <v>32955</v>
      </c>
      <c r="C14714" s="29" t="s">
        <v>0</v>
      </c>
      <c r="D14714" s="31">
        <v>564.70000000000005</v>
      </c>
      <c r="F14714" s="3" t="str">
        <f t="shared" si="229"/>
        <v>I3209</v>
      </c>
    </row>
    <row r="14715" spans="1:6" x14ac:dyDescent="0.2">
      <c r="A14715" s="29" t="s">
        <v>32956</v>
      </c>
      <c r="B14715" s="30" t="s">
        <v>32957</v>
      </c>
      <c r="C14715" s="29" t="s">
        <v>0</v>
      </c>
      <c r="D14715" s="31">
        <v>708.58</v>
      </c>
      <c r="F14715" s="3" t="str">
        <f t="shared" si="229"/>
        <v>I3210</v>
      </c>
    </row>
    <row r="14716" spans="1:6" x14ac:dyDescent="0.2">
      <c r="A14716" s="29" t="s">
        <v>32958</v>
      </c>
      <c r="B14716" s="30" t="s">
        <v>32959</v>
      </c>
      <c r="C14716" s="29" t="s">
        <v>0</v>
      </c>
      <c r="D14716" s="31">
        <v>853.32</v>
      </c>
      <c r="F14716" s="3" t="str">
        <f t="shared" si="229"/>
        <v>I3211</v>
      </c>
    </row>
    <row r="14717" spans="1:6" x14ac:dyDescent="0.2">
      <c r="A14717" s="29" t="s">
        <v>32960</v>
      </c>
      <c r="B14717" s="30" t="s">
        <v>32961</v>
      </c>
      <c r="C14717" s="29" t="s">
        <v>0</v>
      </c>
      <c r="D14717" s="31">
        <v>987.72</v>
      </c>
      <c r="F14717" s="3" t="str">
        <f t="shared" si="229"/>
        <v>I3212</v>
      </c>
    </row>
    <row r="14718" spans="1:6" x14ac:dyDescent="0.2">
      <c r="A14718" s="29" t="s">
        <v>32962</v>
      </c>
      <c r="B14718" s="30" t="s">
        <v>32963</v>
      </c>
      <c r="C14718" s="29" t="s">
        <v>0</v>
      </c>
      <c r="D14718" s="31">
        <v>1134.8900000000001</v>
      </c>
      <c r="F14718" s="3" t="str">
        <f t="shared" si="229"/>
        <v>I3213</v>
      </c>
    </row>
    <row r="14719" spans="1:6" x14ac:dyDescent="0.2">
      <c r="A14719" s="29" t="s">
        <v>32964</v>
      </c>
      <c r="B14719" s="30" t="s">
        <v>32965</v>
      </c>
      <c r="C14719" s="29" t="s">
        <v>0</v>
      </c>
      <c r="D14719" s="31">
        <v>1341.76</v>
      </c>
      <c r="F14719" s="3" t="str">
        <f t="shared" si="229"/>
        <v>I3214</v>
      </c>
    </row>
    <row r="14720" spans="1:6" x14ac:dyDescent="0.2">
      <c r="A14720" s="29" t="s">
        <v>32966</v>
      </c>
      <c r="B14720" s="30" t="s">
        <v>32967</v>
      </c>
      <c r="C14720" s="29" t="s">
        <v>0</v>
      </c>
      <c r="D14720" s="31">
        <v>1526.03</v>
      </c>
      <c r="F14720" s="3" t="str">
        <f t="shared" si="229"/>
        <v>I3215</v>
      </c>
    </row>
    <row r="14721" spans="1:6" x14ac:dyDescent="0.2">
      <c r="A14721" s="29" t="s">
        <v>32968</v>
      </c>
      <c r="B14721" s="30" t="s">
        <v>32969</v>
      </c>
      <c r="C14721" s="29" t="s">
        <v>0</v>
      </c>
      <c r="D14721" s="31">
        <v>2007.62</v>
      </c>
      <c r="F14721" s="3" t="str">
        <f t="shared" si="229"/>
        <v>I3216</v>
      </c>
    </row>
    <row r="14722" spans="1:6" x14ac:dyDescent="0.2">
      <c r="A14722" s="29" t="s">
        <v>32970</v>
      </c>
      <c r="B14722" s="30" t="s">
        <v>32971</v>
      </c>
      <c r="C14722" s="29" t="s">
        <v>0</v>
      </c>
      <c r="D14722" s="31">
        <v>2651.02</v>
      </c>
      <c r="F14722" s="3" t="str">
        <f t="shared" ref="F14722:F14785" si="230">A14722</f>
        <v>I3217</v>
      </c>
    </row>
    <row r="14723" spans="1:6" x14ac:dyDescent="0.2">
      <c r="A14723" s="29" t="s">
        <v>32972</v>
      </c>
      <c r="B14723" s="30" t="s">
        <v>32973</v>
      </c>
      <c r="C14723" s="29" t="s">
        <v>0</v>
      </c>
      <c r="D14723" s="31">
        <v>3242.7</v>
      </c>
      <c r="F14723" s="3" t="str">
        <f t="shared" si="230"/>
        <v>I3218</v>
      </c>
    </row>
    <row r="14724" spans="1:6" x14ac:dyDescent="0.2">
      <c r="A14724" s="29" t="s">
        <v>32974</v>
      </c>
      <c r="B14724" s="30" t="s">
        <v>32975</v>
      </c>
      <c r="C14724" s="29" t="s">
        <v>0</v>
      </c>
      <c r="D14724" s="31">
        <v>3633.79</v>
      </c>
      <c r="F14724" s="3" t="str">
        <f t="shared" si="230"/>
        <v>I3219</v>
      </c>
    </row>
    <row r="14725" spans="1:6" x14ac:dyDescent="0.2">
      <c r="A14725" s="29" t="s">
        <v>32976</v>
      </c>
      <c r="B14725" s="30" t="s">
        <v>32977</v>
      </c>
      <c r="C14725" s="29" t="s">
        <v>0</v>
      </c>
      <c r="D14725" s="31">
        <v>4324.25</v>
      </c>
      <c r="F14725" s="3" t="str">
        <f t="shared" si="230"/>
        <v>I3220</v>
      </c>
    </row>
    <row r="14726" spans="1:6" x14ac:dyDescent="0.2">
      <c r="A14726" s="29" t="s">
        <v>32978</v>
      </c>
      <c r="B14726" s="30" t="s">
        <v>32979</v>
      </c>
      <c r="C14726" s="29" t="s">
        <v>0</v>
      </c>
      <c r="D14726" s="31">
        <v>5759.81</v>
      </c>
      <c r="F14726" s="3" t="str">
        <f t="shared" si="230"/>
        <v>I3222</v>
      </c>
    </row>
    <row r="14727" spans="1:6" x14ac:dyDescent="0.2">
      <c r="A14727" s="29" t="s">
        <v>32980</v>
      </c>
      <c r="B14727" s="30" t="s">
        <v>32981</v>
      </c>
      <c r="C14727" s="29" t="s">
        <v>0</v>
      </c>
      <c r="D14727" s="31">
        <v>6627.31</v>
      </c>
      <c r="F14727" s="3" t="str">
        <f t="shared" si="230"/>
        <v>I12939</v>
      </c>
    </row>
    <row r="14728" spans="1:6" x14ac:dyDescent="0.2">
      <c r="A14728" s="29" t="s">
        <v>32982</v>
      </c>
      <c r="B14728" s="30" t="s">
        <v>32983</v>
      </c>
      <c r="C14728" s="29" t="s">
        <v>0</v>
      </c>
      <c r="D14728" s="31">
        <v>8399.14</v>
      </c>
      <c r="F14728" s="3" t="str">
        <f t="shared" si="230"/>
        <v>I12940</v>
      </c>
    </row>
    <row r="14729" spans="1:6" x14ac:dyDescent="0.2">
      <c r="A14729" s="29" t="s">
        <v>32984</v>
      </c>
      <c r="B14729" s="30" t="s">
        <v>32985</v>
      </c>
      <c r="C14729" s="29" t="s">
        <v>0</v>
      </c>
      <c r="D14729" s="31">
        <v>2645.52</v>
      </c>
      <c r="F14729" s="3" t="str">
        <f t="shared" si="230"/>
        <v>I12935</v>
      </c>
    </row>
    <row r="14730" spans="1:6" x14ac:dyDescent="0.2">
      <c r="A14730" s="29" t="s">
        <v>32986</v>
      </c>
      <c r="B14730" s="30" t="s">
        <v>32987</v>
      </c>
      <c r="C14730" s="29" t="s">
        <v>0</v>
      </c>
      <c r="D14730" s="31">
        <v>3953.65</v>
      </c>
      <c r="F14730" s="3" t="str">
        <f t="shared" si="230"/>
        <v>I12936</v>
      </c>
    </row>
    <row r="14731" spans="1:6" x14ac:dyDescent="0.2">
      <c r="A14731" s="29" t="s">
        <v>32988</v>
      </c>
      <c r="B14731" s="30" t="s">
        <v>32989</v>
      </c>
      <c r="C14731" s="29" t="s">
        <v>0</v>
      </c>
      <c r="D14731" s="31">
        <v>4835.57</v>
      </c>
      <c r="F14731" s="3" t="str">
        <f t="shared" si="230"/>
        <v>I12937</v>
      </c>
    </row>
    <row r="14732" spans="1:6" x14ac:dyDescent="0.2">
      <c r="A14732" s="29" t="s">
        <v>32990</v>
      </c>
      <c r="B14732" s="30" t="s">
        <v>32991</v>
      </c>
      <c r="C14732" s="29" t="s">
        <v>0</v>
      </c>
      <c r="D14732" s="31">
        <v>5351.44</v>
      </c>
      <c r="F14732" s="3" t="str">
        <f t="shared" si="230"/>
        <v>I12938</v>
      </c>
    </row>
    <row r="14733" spans="1:6" x14ac:dyDescent="0.2">
      <c r="A14733" s="29" t="s">
        <v>32992</v>
      </c>
      <c r="B14733" s="30" t="s">
        <v>32993</v>
      </c>
      <c r="C14733" s="29" t="s">
        <v>0</v>
      </c>
      <c r="D14733" s="31">
        <v>1306.42</v>
      </c>
      <c r="F14733" s="3" t="str">
        <f t="shared" si="230"/>
        <v>I7087</v>
      </c>
    </row>
    <row r="14734" spans="1:6" x14ac:dyDescent="0.2">
      <c r="A14734" s="29" t="s">
        <v>32994</v>
      </c>
      <c r="B14734" s="30" t="s">
        <v>32995</v>
      </c>
      <c r="C14734" s="29" t="s">
        <v>0</v>
      </c>
      <c r="D14734" s="31">
        <v>1572.94</v>
      </c>
      <c r="F14734" s="3" t="str">
        <f t="shared" si="230"/>
        <v>I7088</v>
      </c>
    </row>
    <row r="14735" spans="1:6" x14ac:dyDescent="0.2">
      <c r="A14735" s="29" t="s">
        <v>32996</v>
      </c>
      <c r="B14735" s="30" t="s">
        <v>32997</v>
      </c>
      <c r="C14735" s="29" t="s">
        <v>0</v>
      </c>
      <c r="D14735" s="31">
        <v>1730.29</v>
      </c>
      <c r="F14735" s="3" t="str">
        <f t="shared" si="230"/>
        <v>I7089</v>
      </c>
    </row>
    <row r="14736" spans="1:6" x14ac:dyDescent="0.2">
      <c r="A14736" s="29" t="s">
        <v>32998</v>
      </c>
      <c r="B14736" s="30" t="s">
        <v>32999</v>
      </c>
      <c r="C14736" s="29" t="s">
        <v>0</v>
      </c>
      <c r="D14736" s="31">
        <v>2390.27</v>
      </c>
      <c r="F14736" s="3" t="str">
        <f t="shared" si="230"/>
        <v>I7886</v>
      </c>
    </row>
    <row r="14737" spans="1:6" x14ac:dyDescent="0.2">
      <c r="A14737" s="29" t="s">
        <v>33000</v>
      </c>
      <c r="B14737" s="30" t="s">
        <v>33001</v>
      </c>
      <c r="C14737" s="29" t="s">
        <v>0</v>
      </c>
      <c r="D14737" s="31">
        <v>3217.36</v>
      </c>
      <c r="F14737" s="3" t="str">
        <f t="shared" si="230"/>
        <v>I7887</v>
      </c>
    </row>
    <row r="14738" spans="1:6" x14ac:dyDescent="0.2">
      <c r="A14738" s="29" t="s">
        <v>33002</v>
      </c>
      <c r="B14738" s="30" t="s">
        <v>33003</v>
      </c>
      <c r="C14738" s="29" t="s">
        <v>0</v>
      </c>
      <c r="D14738" s="31">
        <v>4938.78</v>
      </c>
      <c r="F14738" s="3" t="str">
        <f t="shared" si="230"/>
        <v>I7090</v>
      </c>
    </row>
    <row r="14739" spans="1:6" x14ac:dyDescent="0.2">
      <c r="A14739" s="29" t="s">
        <v>33004</v>
      </c>
      <c r="B14739" s="30" t="s">
        <v>33005</v>
      </c>
      <c r="C14739" s="29" t="s">
        <v>0</v>
      </c>
      <c r="D14739" s="31">
        <v>5717.49</v>
      </c>
      <c r="F14739" s="3" t="str">
        <f t="shared" si="230"/>
        <v>I7091</v>
      </c>
    </row>
    <row r="14740" spans="1:6" x14ac:dyDescent="0.2">
      <c r="A14740" s="29" t="s">
        <v>33006</v>
      </c>
      <c r="B14740" s="30" t="s">
        <v>33007</v>
      </c>
      <c r="C14740" s="29" t="s">
        <v>0</v>
      </c>
      <c r="D14740" s="31">
        <v>6525.59</v>
      </c>
      <c r="F14740" s="3" t="str">
        <f t="shared" si="230"/>
        <v>I7092</v>
      </c>
    </row>
    <row r="14741" spans="1:6" x14ac:dyDescent="0.2">
      <c r="A14741" s="29" t="s">
        <v>33008</v>
      </c>
      <c r="B14741" s="30" t="s">
        <v>33009</v>
      </c>
      <c r="C14741" s="29" t="s">
        <v>0</v>
      </c>
      <c r="D14741" s="31">
        <v>8025.14</v>
      </c>
      <c r="F14741" s="3" t="str">
        <f t="shared" si="230"/>
        <v>I7093</v>
      </c>
    </row>
    <row r="14742" spans="1:6" x14ac:dyDescent="0.2">
      <c r="A14742" s="29" t="s">
        <v>33010</v>
      </c>
      <c r="B14742" s="30" t="s">
        <v>33011</v>
      </c>
      <c r="C14742" s="29" t="s">
        <v>0</v>
      </c>
      <c r="D14742" s="31">
        <v>9783.77</v>
      </c>
      <c r="F14742" s="3" t="str">
        <f t="shared" si="230"/>
        <v>I7094</v>
      </c>
    </row>
    <row r="14743" spans="1:6" x14ac:dyDescent="0.2">
      <c r="A14743" s="29" t="s">
        <v>33012</v>
      </c>
      <c r="B14743" s="30" t="s">
        <v>33013</v>
      </c>
      <c r="C14743" s="29" t="s">
        <v>0</v>
      </c>
      <c r="D14743" s="31">
        <v>2144.33</v>
      </c>
      <c r="F14743" s="3" t="str">
        <f t="shared" si="230"/>
        <v>I12950</v>
      </c>
    </row>
    <row r="14744" spans="1:6" x14ac:dyDescent="0.2">
      <c r="A14744" s="29" t="s">
        <v>33014</v>
      </c>
      <c r="B14744" s="30" t="s">
        <v>33015</v>
      </c>
      <c r="C14744" s="29" t="s">
        <v>0</v>
      </c>
      <c r="D14744" s="31">
        <v>1137.1400000000001</v>
      </c>
      <c r="F14744" s="3" t="str">
        <f t="shared" si="230"/>
        <v>I7085</v>
      </c>
    </row>
    <row r="14745" spans="1:6" x14ac:dyDescent="0.2">
      <c r="A14745" s="29" t="s">
        <v>33016</v>
      </c>
      <c r="B14745" s="30" t="s">
        <v>33017</v>
      </c>
      <c r="C14745" s="29" t="s">
        <v>0</v>
      </c>
      <c r="D14745" s="31">
        <v>1254.8499999999999</v>
      </c>
      <c r="F14745" s="3" t="str">
        <f t="shared" si="230"/>
        <v>I7086</v>
      </c>
    </row>
    <row r="14746" spans="1:6" x14ac:dyDescent="0.2">
      <c r="A14746" s="29" t="s">
        <v>33018</v>
      </c>
      <c r="B14746" s="30" t="s">
        <v>33019</v>
      </c>
      <c r="C14746" s="29" t="s">
        <v>0</v>
      </c>
      <c r="D14746" s="31">
        <v>537.70000000000005</v>
      </c>
      <c r="F14746" s="3" t="str">
        <f t="shared" si="230"/>
        <v>I12941</v>
      </c>
    </row>
    <row r="14747" spans="1:6" x14ac:dyDescent="0.2">
      <c r="A14747" s="29" t="s">
        <v>33020</v>
      </c>
      <c r="B14747" s="30" t="s">
        <v>33021</v>
      </c>
      <c r="C14747" s="29" t="s">
        <v>0</v>
      </c>
      <c r="D14747" s="31">
        <v>720.66</v>
      </c>
      <c r="F14747" s="3" t="str">
        <f t="shared" si="230"/>
        <v>I12942</v>
      </c>
    </row>
    <row r="14748" spans="1:6" x14ac:dyDescent="0.2">
      <c r="A14748" s="29" t="s">
        <v>33022</v>
      </c>
      <c r="B14748" s="30" t="s">
        <v>33023</v>
      </c>
      <c r="C14748" s="29" t="s">
        <v>0</v>
      </c>
      <c r="D14748" s="31">
        <v>909.65</v>
      </c>
      <c r="F14748" s="3" t="str">
        <f t="shared" si="230"/>
        <v>I12943</v>
      </c>
    </row>
    <row r="14749" spans="1:6" x14ac:dyDescent="0.2">
      <c r="A14749" s="29" t="s">
        <v>33024</v>
      </c>
      <c r="B14749" s="30" t="s">
        <v>33025</v>
      </c>
      <c r="C14749" s="29" t="s">
        <v>0</v>
      </c>
      <c r="D14749" s="31">
        <v>1150.67</v>
      </c>
      <c r="F14749" s="3" t="str">
        <f t="shared" si="230"/>
        <v>I12944</v>
      </c>
    </row>
    <row r="14750" spans="1:6" x14ac:dyDescent="0.2">
      <c r="A14750" s="29" t="s">
        <v>33026</v>
      </c>
      <c r="B14750" s="30" t="s">
        <v>33027</v>
      </c>
      <c r="C14750" s="29" t="s">
        <v>0</v>
      </c>
      <c r="D14750" s="31">
        <v>1317.64</v>
      </c>
      <c r="F14750" s="3" t="str">
        <f t="shared" si="230"/>
        <v>I12945</v>
      </c>
    </row>
    <row r="14751" spans="1:6" x14ac:dyDescent="0.2">
      <c r="A14751" s="29" t="s">
        <v>33028</v>
      </c>
      <c r="B14751" s="30" t="s">
        <v>33029</v>
      </c>
      <c r="C14751" s="29" t="s">
        <v>0</v>
      </c>
      <c r="D14751" s="31">
        <v>1483.14</v>
      </c>
      <c r="F14751" s="3" t="str">
        <f t="shared" si="230"/>
        <v>I12946</v>
      </c>
    </row>
    <row r="14752" spans="1:6" x14ac:dyDescent="0.2">
      <c r="A14752" s="29" t="s">
        <v>33030</v>
      </c>
      <c r="B14752" s="30" t="s">
        <v>33031</v>
      </c>
      <c r="C14752" s="29" t="s">
        <v>0</v>
      </c>
      <c r="D14752" s="31">
        <v>1722.35</v>
      </c>
      <c r="F14752" s="3" t="str">
        <f t="shared" si="230"/>
        <v>I12947</v>
      </c>
    </row>
    <row r="14753" spans="1:6" x14ac:dyDescent="0.2">
      <c r="A14753" s="29" t="s">
        <v>33032</v>
      </c>
      <c r="B14753" s="30" t="s">
        <v>33033</v>
      </c>
      <c r="C14753" s="29" t="s">
        <v>0</v>
      </c>
      <c r="D14753" s="31">
        <v>1999.1</v>
      </c>
      <c r="F14753" s="3" t="str">
        <f t="shared" si="230"/>
        <v>I12948</v>
      </c>
    </row>
    <row r="14754" spans="1:6" x14ac:dyDescent="0.2">
      <c r="A14754" s="29" t="s">
        <v>33034</v>
      </c>
      <c r="B14754" s="30" t="s">
        <v>33035</v>
      </c>
      <c r="C14754" s="29" t="s">
        <v>0</v>
      </c>
      <c r="D14754" s="31">
        <v>2758.72</v>
      </c>
      <c r="F14754" s="3" t="str">
        <f t="shared" si="230"/>
        <v>I12949</v>
      </c>
    </row>
    <row r="14755" spans="1:6" x14ac:dyDescent="0.2">
      <c r="A14755" s="29" t="s">
        <v>33036</v>
      </c>
      <c r="B14755" s="30" t="s">
        <v>33037</v>
      </c>
      <c r="C14755" s="29" t="s">
        <v>0</v>
      </c>
      <c r="D14755" s="31">
        <v>445.56</v>
      </c>
      <c r="F14755" s="3" t="str">
        <f t="shared" si="230"/>
        <v>I12952</v>
      </c>
    </row>
    <row r="14756" spans="1:6" x14ac:dyDescent="0.2">
      <c r="A14756" s="29" t="s">
        <v>33038</v>
      </c>
      <c r="B14756" s="30" t="s">
        <v>33039</v>
      </c>
      <c r="C14756" s="29" t="s">
        <v>0</v>
      </c>
      <c r="D14756" s="31">
        <v>755.64</v>
      </c>
      <c r="F14756" s="3" t="str">
        <f t="shared" si="230"/>
        <v>I12953</v>
      </c>
    </row>
    <row r="14757" spans="1:6" x14ac:dyDescent="0.2">
      <c r="A14757" s="29" t="s">
        <v>33040</v>
      </c>
      <c r="B14757" s="30" t="s">
        <v>33041</v>
      </c>
      <c r="C14757" s="29" t="s">
        <v>0</v>
      </c>
      <c r="D14757" s="31">
        <v>793.27</v>
      </c>
      <c r="F14757" s="3" t="str">
        <f t="shared" si="230"/>
        <v>I12954</v>
      </c>
    </row>
    <row r="14758" spans="1:6" x14ac:dyDescent="0.2">
      <c r="A14758" s="29" t="s">
        <v>33042</v>
      </c>
      <c r="B14758" s="30" t="s">
        <v>33043</v>
      </c>
      <c r="C14758" s="29" t="s">
        <v>0</v>
      </c>
      <c r="D14758" s="31">
        <v>1460.8</v>
      </c>
      <c r="F14758" s="3" t="str">
        <f t="shared" si="230"/>
        <v>I12955</v>
      </c>
    </row>
    <row r="14759" spans="1:6" x14ac:dyDescent="0.2">
      <c r="A14759" s="29" t="s">
        <v>33044</v>
      </c>
      <c r="B14759" s="30" t="s">
        <v>33045</v>
      </c>
      <c r="C14759" s="29" t="s">
        <v>0</v>
      </c>
      <c r="D14759" s="31">
        <v>1666.75</v>
      </c>
      <c r="F14759" s="3" t="str">
        <f t="shared" si="230"/>
        <v>I12956</v>
      </c>
    </row>
    <row r="14760" spans="1:6" x14ac:dyDescent="0.2">
      <c r="A14760" s="29" t="s">
        <v>33046</v>
      </c>
      <c r="B14760" s="30" t="s">
        <v>33047</v>
      </c>
      <c r="C14760" s="29" t="s">
        <v>0</v>
      </c>
      <c r="D14760" s="31">
        <v>1990.7</v>
      </c>
      <c r="F14760" s="3" t="str">
        <f t="shared" si="230"/>
        <v>I12957</v>
      </c>
    </row>
    <row r="14761" spans="1:6" x14ac:dyDescent="0.2">
      <c r="A14761" s="29" t="s">
        <v>33048</v>
      </c>
      <c r="B14761" s="30" t="s">
        <v>33049</v>
      </c>
      <c r="C14761" s="29" t="s">
        <v>0</v>
      </c>
      <c r="D14761" s="31">
        <v>2301.2399999999998</v>
      </c>
      <c r="F14761" s="3" t="str">
        <f t="shared" si="230"/>
        <v>I12958</v>
      </c>
    </row>
    <row r="14762" spans="1:6" x14ac:dyDescent="0.2">
      <c r="A14762" s="29" t="s">
        <v>33050</v>
      </c>
      <c r="B14762" s="30" t="s">
        <v>33051</v>
      </c>
      <c r="C14762" s="29" t="s">
        <v>0</v>
      </c>
      <c r="D14762" s="31">
        <v>3172.32</v>
      </c>
      <c r="F14762" s="3" t="str">
        <f t="shared" si="230"/>
        <v>I12959</v>
      </c>
    </row>
    <row r="14763" spans="1:6" x14ac:dyDescent="0.2">
      <c r="A14763" s="29" t="s">
        <v>33052</v>
      </c>
      <c r="B14763" s="30" t="s">
        <v>33053</v>
      </c>
      <c r="C14763" s="29" t="s">
        <v>0</v>
      </c>
      <c r="D14763" s="31">
        <v>494.38</v>
      </c>
      <c r="F14763" s="3" t="str">
        <f t="shared" si="230"/>
        <v>I12951</v>
      </c>
    </row>
    <row r="14764" spans="1:6" x14ac:dyDescent="0.2">
      <c r="A14764" s="29" t="s">
        <v>33054</v>
      </c>
      <c r="B14764" s="30" t="s">
        <v>33055</v>
      </c>
      <c r="C14764" s="29" t="s">
        <v>0</v>
      </c>
      <c r="D14764" s="31">
        <v>556.79</v>
      </c>
      <c r="F14764" s="3" t="str">
        <f t="shared" si="230"/>
        <v>I7266</v>
      </c>
    </row>
    <row r="14765" spans="1:6" x14ac:dyDescent="0.2">
      <c r="A14765" s="29" t="s">
        <v>33056</v>
      </c>
      <c r="B14765" s="30" t="s">
        <v>33057</v>
      </c>
      <c r="C14765" s="29" t="s">
        <v>0</v>
      </c>
      <c r="D14765" s="31">
        <v>719.45</v>
      </c>
      <c r="F14765" s="3" t="str">
        <f t="shared" si="230"/>
        <v>I7267</v>
      </c>
    </row>
    <row r="14766" spans="1:6" x14ac:dyDescent="0.2">
      <c r="A14766" s="29" t="s">
        <v>33058</v>
      </c>
      <c r="B14766" s="30" t="s">
        <v>33059</v>
      </c>
      <c r="C14766" s="29" t="s">
        <v>0</v>
      </c>
      <c r="D14766" s="31">
        <v>893.03</v>
      </c>
      <c r="F14766" s="3" t="str">
        <f t="shared" si="230"/>
        <v>I7268</v>
      </c>
    </row>
    <row r="14767" spans="1:6" x14ac:dyDescent="0.2">
      <c r="A14767" s="29" t="s">
        <v>33060</v>
      </c>
      <c r="B14767" s="30" t="s">
        <v>33061</v>
      </c>
      <c r="C14767" s="29" t="s">
        <v>0</v>
      </c>
      <c r="D14767" s="31">
        <v>1105.1400000000001</v>
      </c>
      <c r="F14767" s="3" t="str">
        <f t="shared" si="230"/>
        <v>I7269</v>
      </c>
    </row>
    <row r="14768" spans="1:6" x14ac:dyDescent="0.2">
      <c r="A14768" s="29" t="s">
        <v>33062</v>
      </c>
      <c r="B14768" s="30" t="s">
        <v>33063</v>
      </c>
      <c r="C14768" s="29" t="s">
        <v>0</v>
      </c>
      <c r="D14768" s="31">
        <v>1289.3499999999999</v>
      </c>
      <c r="F14768" s="3" t="str">
        <f t="shared" si="230"/>
        <v>I7270</v>
      </c>
    </row>
    <row r="14769" spans="1:6" x14ac:dyDescent="0.2">
      <c r="A14769" s="29" t="s">
        <v>33064</v>
      </c>
      <c r="B14769" s="30" t="s">
        <v>33065</v>
      </c>
      <c r="C14769" s="29" t="s">
        <v>0</v>
      </c>
      <c r="D14769" s="31">
        <v>1495.45</v>
      </c>
      <c r="F14769" s="3" t="str">
        <f t="shared" si="230"/>
        <v>I7271</v>
      </c>
    </row>
    <row r="14770" spans="1:6" x14ac:dyDescent="0.2">
      <c r="A14770" s="29" t="s">
        <v>33066</v>
      </c>
      <c r="B14770" s="30" t="s">
        <v>33067</v>
      </c>
      <c r="C14770" s="29" t="s">
        <v>0</v>
      </c>
      <c r="D14770" s="31">
        <v>1710.43</v>
      </c>
      <c r="F14770" s="3" t="str">
        <f t="shared" si="230"/>
        <v>I7272</v>
      </c>
    </row>
    <row r="14771" spans="1:6" x14ac:dyDescent="0.2">
      <c r="A14771" s="29" t="s">
        <v>33068</v>
      </c>
      <c r="B14771" s="30" t="s">
        <v>33069</v>
      </c>
      <c r="C14771" s="29" t="s">
        <v>0</v>
      </c>
      <c r="D14771" s="31">
        <v>1989.29</v>
      </c>
      <c r="F14771" s="3" t="str">
        <f t="shared" si="230"/>
        <v>I7273</v>
      </c>
    </row>
    <row r="14772" spans="1:6" x14ac:dyDescent="0.2">
      <c r="A14772" s="29" t="s">
        <v>33070</v>
      </c>
      <c r="B14772" s="30" t="s">
        <v>33071</v>
      </c>
      <c r="C14772" s="29" t="s">
        <v>0</v>
      </c>
      <c r="D14772" s="31">
        <v>2584.56</v>
      </c>
      <c r="F14772" s="3" t="str">
        <f t="shared" si="230"/>
        <v>I7274</v>
      </c>
    </row>
    <row r="14773" spans="1:6" x14ac:dyDescent="0.2">
      <c r="A14773" s="29" t="s">
        <v>33072</v>
      </c>
      <c r="B14773" s="30" t="s">
        <v>33073</v>
      </c>
      <c r="C14773" s="29" t="s">
        <v>0</v>
      </c>
      <c r="D14773" s="31">
        <v>4092.21</v>
      </c>
      <c r="F14773" s="3" t="str">
        <f t="shared" si="230"/>
        <v>I7275</v>
      </c>
    </row>
    <row r="14774" spans="1:6" x14ac:dyDescent="0.2">
      <c r="A14774" s="29" t="s">
        <v>33074</v>
      </c>
      <c r="B14774" s="30" t="s">
        <v>33075</v>
      </c>
      <c r="C14774" s="29" t="s">
        <v>0</v>
      </c>
      <c r="D14774" s="31">
        <v>5065.12</v>
      </c>
      <c r="F14774" s="3" t="str">
        <f t="shared" si="230"/>
        <v>I7279</v>
      </c>
    </row>
    <row r="14775" spans="1:6" x14ac:dyDescent="0.2">
      <c r="A14775" s="29" t="s">
        <v>33076</v>
      </c>
      <c r="B14775" s="30" t="s">
        <v>33077</v>
      </c>
      <c r="C14775" s="29" t="s">
        <v>0</v>
      </c>
      <c r="D14775" s="31">
        <v>5742.79</v>
      </c>
      <c r="F14775" s="3" t="str">
        <f t="shared" si="230"/>
        <v>I7278</v>
      </c>
    </row>
    <row r="14776" spans="1:6" x14ac:dyDescent="0.2">
      <c r="A14776" s="29" t="s">
        <v>33078</v>
      </c>
      <c r="B14776" s="30" t="s">
        <v>33079</v>
      </c>
      <c r="C14776" s="29" t="s">
        <v>0</v>
      </c>
      <c r="D14776" s="31">
        <v>6559.02</v>
      </c>
      <c r="F14776" s="3" t="str">
        <f t="shared" si="230"/>
        <v>I7264</v>
      </c>
    </row>
    <row r="14777" spans="1:6" x14ac:dyDescent="0.2">
      <c r="A14777" s="29" t="s">
        <v>33080</v>
      </c>
      <c r="B14777" s="30" t="s">
        <v>33081</v>
      </c>
      <c r="C14777" s="29" t="s">
        <v>0</v>
      </c>
      <c r="D14777" s="31">
        <v>8426.19</v>
      </c>
      <c r="F14777" s="3" t="str">
        <f t="shared" si="230"/>
        <v>I7265</v>
      </c>
    </row>
    <row r="14778" spans="1:6" x14ac:dyDescent="0.2">
      <c r="A14778" s="29" t="s">
        <v>33082</v>
      </c>
      <c r="B14778" s="30" t="s">
        <v>33083</v>
      </c>
      <c r="C14778" s="29" t="s">
        <v>0</v>
      </c>
      <c r="D14778" s="31">
        <v>354.23</v>
      </c>
      <c r="F14778" s="3" t="str">
        <f t="shared" si="230"/>
        <v>I7262</v>
      </c>
    </row>
    <row r="14779" spans="1:6" x14ac:dyDescent="0.2">
      <c r="A14779" s="29" t="s">
        <v>33084</v>
      </c>
      <c r="B14779" s="30" t="s">
        <v>33085</v>
      </c>
      <c r="C14779" s="29" t="s">
        <v>0</v>
      </c>
      <c r="D14779" s="31">
        <v>374.85</v>
      </c>
      <c r="F14779" s="3" t="str">
        <f t="shared" si="230"/>
        <v>I3225</v>
      </c>
    </row>
    <row r="14780" spans="1:6" x14ac:dyDescent="0.2">
      <c r="A14780" s="29" t="s">
        <v>33086</v>
      </c>
      <c r="B14780" s="30" t="s">
        <v>33087</v>
      </c>
      <c r="C14780" s="29" t="s">
        <v>0</v>
      </c>
      <c r="D14780" s="31">
        <v>475.07</v>
      </c>
      <c r="F14780" s="3" t="str">
        <f t="shared" si="230"/>
        <v>I3226</v>
      </c>
    </row>
    <row r="14781" spans="1:6" x14ac:dyDescent="0.2">
      <c r="A14781" s="29" t="s">
        <v>33088</v>
      </c>
      <c r="B14781" s="30" t="s">
        <v>33089</v>
      </c>
      <c r="C14781" s="29" t="s">
        <v>0</v>
      </c>
      <c r="D14781" s="31">
        <v>616.75</v>
      </c>
      <c r="F14781" s="3" t="str">
        <f t="shared" si="230"/>
        <v>I3227</v>
      </c>
    </row>
    <row r="14782" spans="1:6" x14ac:dyDescent="0.2">
      <c r="A14782" s="29" t="s">
        <v>33090</v>
      </c>
      <c r="B14782" s="30" t="s">
        <v>33091</v>
      </c>
      <c r="C14782" s="29" t="s">
        <v>0</v>
      </c>
      <c r="D14782" s="31">
        <v>798.61</v>
      </c>
      <c r="F14782" s="3" t="str">
        <f t="shared" si="230"/>
        <v>I3228</v>
      </c>
    </row>
    <row r="14783" spans="1:6" x14ac:dyDescent="0.2">
      <c r="A14783" s="29" t="s">
        <v>33092</v>
      </c>
      <c r="B14783" s="30" t="s">
        <v>33093</v>
      </c>
      <c r="C14783" s="29" t="s">
        <v>0</v>
      </c>
      <c r="D14783" s="31">
        <v>968.52</v>
      </c>
      <c r="F14783" s="3" t="str">
        <f t="shared" si="230"/>
        <v>I3229</v>
      </c>
    </row>
    <row r="14784" spans="1:6" x14ac:dyDescent="0.2">
      <c r="A14784" s="29" t="s">
        <v>33094</v>
      </c>
      <c r="B14784" s="30" t="s">
        <v>33095</v>
      </c>
      <c r="C14784" s="29" t="s">
        <v>0</v>
      </c>
      <c r="D14784" s="31">
        <v>1132.6600000000001</v>
      </c>
      <c r="F14784" s="3" t="str">
        <f t="shared" si="230"/>
        <v>I3230</v>
      </c>
    </row>
    <row r="14785" spans="1:6" x14ac:dyDescent="0.2">
      <c r="A14785" s="29" t="s">
        <v>33096</v>
      </c>
      <c r="B14785" s="30" t="s">
        <v>33097</v>
      </c>
      <c r="C14785" s="29" t="s">
        <v>0</v>
      </c>
      <c r="D14785" s="31">
        <v>1304.75</v>
      </c>
      <c r="F14785" s="3" t="str">
        <f t="shared" si="230"/>
        <v>I3231</v>
      </c>
    </row>
    <row r="14786" spans="1:6" x14ac:dyDescent="0.2">
      <c r="A14786" s="29" t="s">
        <v>33098</v>
      </c>
      <c r="B14786" s="30" t="s">
        <v>33099</v>
      </c>
      <c r="C14786" s="29" t="s">
        <v>0</v>
      </c>
      <c r="D14786" s="31">
        <v>1582.32</v>
      </c>
      <c r="F14786" s="3" t="str">
        <f t="shared" ref="F14786:F14849" si="231">A14786</f>
        <v>I3232</v>
      </c>
    </row>
    <row r="14787" spans="1:6" x14ac:dyDescent="0.2">
      <c r="A14787" s="29" t="s">
        <v>33100</v>
      </c>
      <c r="B14787" s="30" t="s">
        <v>33101</v>
      </c>
      <c r="C14787" s="29" t="s">
        <v>0</v>
      </c>
      <c r="D14787" s="31">
        <v>1801.37</v>
      </c>
      <c r="F14787" s="3" t="str">
        <f t="shared" si="231"/>
        <v>I3233</v>
      </c>
    </row>
    <row r="14788" spans="1:6" x14ac:dyDescent="0.2">
      <c r="A14788" s="29" t="s">
        <v>33102</v>
      </c>
      <c r="B14788" s="30" t="s">
        <v>33103</v>
      </c>
      <c r="C14788" s="29" t="s">
        <v>0</v>
      </c>
      <c r="D14788" s="31">
        <v>2385.85</v>
      </c>
      <c r="F14788" s="3" t="str">
        <f t="shared" si="231"/>
        <v>I3234</v>
      </c>
    </row>
    <row r="14789" spans="1:6" x14ac:dyDescent="0.2">
      <c r="A14789" s="29" t="s">
        <v>33104</v>
      </c>
      <c r="B14789" s="30" t="s">
        <v>33105</v>
      </c>
      <c r="C14789" s="29" t="s">
        <v>0</v>
      </c>
      <c r="D14789" s="31">
        <v>3025.05</v>
      </c>
      <c r="F14789" s="3" t="str">
        <f t="shared" si="231"/>
        <v>I3235</v>
      </c>
    </row>
    <row r="14790" spans="1:6" x14ac:dyDescent="0.2">
      <c r="A14790" s="29" t="s">
        <v>33106</v>
      </c>
      <c r="B14790" s="30" t="s">
        <v>33107</v>
      </c>
      <c r="C14790" s="29" t="s">
        <v>0</v>
      </c>
      <c r="D14790" s="31">
        <v>3813.83</v>
      </c>
      <c r="F14790" s="3" t="str">
        <f t="shared" si="231"/>
        <v>I3236</v>
      </c>
    </row>
    <row r="14791" spans="1:6" x14ac:dyDescent="0.2">
      <c r="A14791" s="29" t="s">
        <v>33108</v>
      </c>
      <c r="B14791" s="30" t="s">
        <v>33109</v>
      </c>
      <c r="C14791" s="29" t="s">
        <v>0</v>
      </c>
      <c r="D14791" s="31">
        <v>4312.43</v>
      </c>
      <c r="F14791" s="3" t="str">
        <f t="shared" si="231"/>
        <v>I3237</v>
      </c>
    </row>
    <row r="14792" spans="1:6" x14ac:dyDescent="0.2">
      <c r="A14792" s="29" t="s">
        <v>33110</v>
      </c>
      <c r="B14792" s="30" t="s">
        <v>33111</v>
      </c>
      <c r="C14792" s="29" t="s">
        <v>0</v>
      </c>
      <c r="D14792" s="31">
        <v>5104.59</v>
      </c>
      <c r="F14792" s="3" t="str">
        <f t="shared" si="231"/>
        <v>I3238</v>
      </c>
    </row>
    <row r="14793" spans="1:6" x14ac:dyDescent="0.2">
      <c r="A14793" s="29" t="s">
        <v>33112</v>
      </c>
      <c r="B14793" s="30" t="s">
        <v>33113</v>
      </c>
      <c r="C14793" s="29" t="s">
        <v>0</v>
      </c>
      <c r="D14793" s="31">
        <v>6722.91</v>
      </c>
      <c r="F14793" s="3" t="str">
        <f t="shared" si="231"/>
        <v>I3240</v>
      </c>
    </row>
    <row r="14794" spans="1:6" ht="33.75" x14ac:dyDescent="0.2">
      <c r="A14794" s="29" t="s">
        <v>33114</v>
      </c>
      <c r="B14794" s="30" t="s">
        <v>33115</v>
      </c>
      <c r="C14794" s="29" t="s">
        <v>0</v>
      </c>
      <c r="D14794" s="31">
        <v>144.16999999999999</v>
      </c>
      <c r="F14794" s="3" t="str">
        <f t="shared" si="231"/>
        <v>I10242</v>
      </c>
    </row>
    <row r="14795" spans="1:6" ht="33.75" x14ac:dyDescent="0.2">
      <c r="A14795" s="29" t="s">
        <v>33116</v>
      </c>
      <c r="B14795" s="30" t="s">
        <v>33117</v>
      </c>
      <c r="C14795" s="29" t="s">
        <v>0</v>
      </c>
      <c r="D14795" s="31">
        <v>210</v>
      </c>
      <c r="F14795" s="3" t="str">
        <f t="shared" si="231"/>
        <v>I10243</v>
      </c>
    </row>
    <row r="14796" spans="1:6" ht="45" x14ac:dyDescent="0.2">
      <c r="A14796" s="29" t="s">
        <v>33118</v>
      </c>
      <c r="B14796" s="30" t="s">
        <v>33119</v>
      </c>
      <c r="C14796" s="29" t="s">
        <v>0</v>
      </c>
      <c r="D14796" s="31">
        <v>325.83</v>
      </c>
      <c r="F14796" s="3" t="str">
        <f t="shared" si="231"/>
        <v>I10244</v>
      </c>
    </row>
    <row r="14797" spans="1:6" ht="22.5" x14ac:dyDescent="0.2">
      <c r="A14797" s="29" t="s">
        <v>33120</v>
      </c>
      <c r="B14797" s="30" t="s">
        <v>33121</v>
      </c>
      <c r="C14797" s="29" t="s">
        <v>0</v>
      </c>
      <c r="D14797" s="31">
        <v>1870</v>
      </c>
      <c r="F14797" s="3" t="str">
        <f t="shared" si="231"/>
        <v>I10248</v>
      </c>
    </row>
    <row r="14798" spans="1:6" ht="33.75" x14ac:dyDescent="0.2">
      <c r="A14798" s="29" t="s">
        <v>33122</v>
      </c>
      <c r="B14798" s="30" t="s">
        <v>33123</v>
      </c>
      <c r="C14798" s="29" t="s">
        <v>0</v>
      </c>
      <c r="D14798" s="31">
        <v>2771.67</v>
      </c>
      <c r="F14798" s="3" t="str">
        <f t="shared" si="231"/>
        <v>I10249</v>
      </c>
    </row>
    <row r="14799" spans="1:6" ht="33.75" x14ac:dyDescent="0.2">
      <c r="A14799" s="29" t="s">
        <v>33124</v>
      </c>
      <c r="B14799" s="30" t="s">
        <v>33125</v>
      </c>
      <c r="C14799" s="29" t="s">
        <v>0</v>
      </c>
      <c r="D14799" s="31">
        <v>533.33000000000004</v>
      </c>
      <c r="F14799" s="3" t="str">
        <f t="shared" si="231"/>
        <v>I10245</v>
      </c>
    </row>
    <row r="14800" spans="1:6" ht="33.75" x14ac:dyDescent="0.2">
      <c r="A14800" s="29" t="s">
        <v>33126</v>
      </c>
      <c r="B14800" s="30" t="s">
        <v>33127</v>
      </c>
      <c r="C14800" s="29" t="s">
        <v>0</v>
      </c>
      <c r="D14800" s="31">
        <v>781.67</v>
      </c>
      <c r="F14800" s="3" t="str">
        <f t="shared" si="231"/>
        <v>I10246</v>
      </c>
    </row>
    <row r="14801" spans="1:6" ht="33.75" x14ac:dyDescent="0.2">
      <c r="A14801" s="29" t="s">
        <v>33128</v>
      </c>
      <c r="B14801" s="30" t="s">
        <v>33129</v>
      </c>
      <c r="C14801" s="29" t="s">
        <v>0</v>
      </c>
      <c r="D14801" s="31">
        <v>1183.33</v>
      </c>
      <c r="F14801" s="3" t="str">
        <f t="shared" si="231"/>
        <v>I10247</v>
      </c>
    </row>
    <row r="14802" spans="1:6" ht="33.75" x14ac:dyDescent="0.2">
      <c r="A14802" s="29" t="s">
        <v>33130</v>
      </c>
      <c r="B14802" s="30" t="s">
        <v>33131</v>
      </c>
      <c r="C14802" s="29" t="s">
        <v>0</v>
      </c>
      <c r="D14802" s="31">
        <v>155.83000000000001</v>
      </c>
      <c r="F14802" s="3" t="str">
        <f t="shared" si="231"/>
        <v>I9531</v>
      </c>
    </row>
    <row r="14803" spans="1:6" ht="33.75" x14ac:dyDescent="0.2">
      <c r="A14803" s="29" t="s">
        <v>33132</v>
      </c>
      <c r="B14803" s="30" t="s">
        <v>33133</v>
      </c>
      <c r="C14803" s="29" t="s">
        <v>0</v>
      </c>
      <c r="D14803" s="31">
        <v>245.83</v>
      </c>
      <c r="F14803" s="3" t="str">
        <f t="shared" si="231"/>
        <v>I9920</v>
      </c>
    </row>
    <row r="14804" spans="1:6" ht="33.75" x14ac:dyDescent="0.2">
      <c r="A14804" s="29" t="s">
        <v>33134</v>
      </c>
      <c r="B14804" s="30" t="s">
        <v>33135</v>
      </c>
      <c r="C14804" s="29" t="s">
        <v>0</v>
      </c>
      <c r="D14804" s="31">
        <v>373.33</v>
      </c>
      <c r="F14804" s="3" t="str">
        <f t="shared" si="231"/>
        <v>I10135</v>
      </c>
    </row>
    <row r="14805" spans="1:6" ht="33.75" x14ac:dyDescent="0.2">
      <c r="A14805" s="29" t="s">
        <v>33136</v>
      </c>
      <c r="B14805" s="30" t="s">
        <v>33137</v>
      </c>
      <c r="C14805" s="29" t="s">
        <v>0</v>
      </c>
      <c r="D14805" s="31">
        <v>600.83000000000004</v>
      </c>
      <c r="F14805" s="3" t="str">
        <f t="shared" si="231"/>
        <v>I10136</v>
      </c>
    </row>
    <row r="14806" spans="1:6" ht="33.75" x14ac:dyDescent="0.2">
      <c r="A14806" s="29" t="s">
        <v>33138</v>
      </c>
      <c r="B14806" s="30" t="s">
        <v>33139</v>
      </c>
      <c r="C14806" s="29" t="s">
        <v>0</v>
      </c>
      <c r="D14806" s="31">
        <v>840</v>
      </c>
      <c r="F14806" s="3" t="str">
        <f t="shared" si="231"/>
        <v>I10238</v>
      </c>
    </row>
    <row r="14807" spans="1:6" ht="22.5" x14ac:dyDescent="0.2">
      <c r="A14807" s="29" t="s">
        <v>33140</v>
      </c>
      <c r="B14807" s="30" t="s">
        <v>33141</v>
      </c>
      <c r="C14807" s="29" t="s">
        <v>0</v>
      </c>
      <c r="D14807" s="31">
        <v>1746.81</v>
      </c>
      <c r="F14807" s="3" t="str">
        <f t="shared" si="231"/>
        <v>I10241</v>
      </c>
    </row>
    <row r="14808" spans="1:6" x14ac:dyDescent="0.2">
      <c r="A14808" s="29" t="s">
        <v>33142</v>
      </c>
      <c r="B14808" s="30" t="s">
        <v>33143</v>
      </c>
      <c r="C14808" s="29" t="s">
        <v>26</v>
      </c>
      <c r="D14808" s="31">
        <v>1800.49</v>
      </c>
      <c r="F14808" s="3" t="str">
        <f t="shared" si="231"/>
        <v>I3300</v>
      </c>
    </row>
    <row r="14809" spans="1:6" x14ac:dyDescent="0.2">
      <c r="A14809" s="29" t="s">
        <v>33144</v>
      </c>
      <c r="B14809" s="30" t="s">
        <v>33145</v>
      </c>
      <c r="C14809" s="29" t="s">
        <v>26</v>
      </c>
      <c r="D14809" s="31">
        <v>2221.48</v>
      </c>
      <c r="F14809" s="3" t="str">
        <f t="shared" si="231"/>
        <v>I3301</v>
      </c>
    </row>
    <row r="14810" spans="1:6" x14ac:dyDescent="0.2">
      <c r="A14810" s="29" t="s">
        <v>33146</v>
      </c>
      <c r="B14810" s="30" t="s">
        <v>33147</v>
      </c>
      <c r="C14810" s="29" t="s">
        <v>26</v>
      </c>
      <c r="D14810" s="31">
        <v>2611.09</v>
      </c>
      <c r="F14810" s="3" t="str">
        <f t="shared" si="231"/>
        <v>I3302</v>
      </c>
    </row>
    <row r="14811" spans="1:6" x14ac:dyDescent="0.2">
      <c r="A14811" s="29" t="s">
        <v>33148</v>
      </c>
      <c r="B14811" s="30" t="s">
        <v>33149</v>
      </c>
      <c r="C14811" s="29" t="s">
        <v>26</v>
      </c>
      <c r="D14811" s="31">
        <v>4277.8100000000004</v>
      </c>
      <c r="F14811" s="3" t="str">
        <f t="shared" si="231"/>
        <v>I3303</v>
      </c>
    </row>
    <row r="14812" spans="1:6" x14ac:dyDescent="0.2">
      <c r="A14812" s="29" t="s">
        <v>33150</v>
      </c>
      <c r="B14812" s="30" t="s">
        <v>33151</v>
      </c>
      <c r="C14812" s="29" t="s">
        <v>26</v>
      </c>
      <c r="D14812" s="31">
        <v>5436.76</v>
      </c>
      <c r="F14812" s="3" t="str">
        <f t="shared" si="231"/>
        <v>I3304</v>
      </c>
    </row>
    <row r="14813" spans="1:6" x14ac:dyDescent="0.2">
      <c r="A14813" s="29" t="s">
        <v>33152</v>
      </c>
      <c r="B14813" s="30" t="s">
        <v>33153</v>
      </c>
      <c r="C14813" s="29" t="s">
        <v>26</v>
      </c>
      <c r="D14813" s="31">
        <v>8244.7800000000007</v>
      </c>
      <c r="F14813" s="3" t="str">
        <f t="shared" si="231"/>
        <v>I3305</v>
      </c>
    </row>
    <row r="14814" spans="1:6" x14ac:dyDescent="0.2">
      <c r="A14814" s="29" t="s">
        <v>33154</v>
      </c>
      <c r="B14814" s="30" t="s">
        <v>33155</v>
      </c>
      <c r="C14814" s="29" t="s">
        <v>26</v>
      </c>
      <c r="D14814" s="31">
        <v>10739.27</v>
      </c>
      <c r="F14814" s="3" t="str">
        <f t="shared" si="231"/>
        <v>I3306</v>
      </c>
    </row>
    <row r="14815" spans="1:6" x14ac:dyDescent="0.2">
      <c r="A14815" s="29" t="s">
        <v>33156</v>
      </c>
      <c r="B14815" s="30" t="s">
        <v>33157</v>
      </c>
      <c r="C14815" s="29" t="s">
        <v>0</v>
      </c>
      <c r="D14815" s="31">
        <v>5772.58</v>
      </c>
      <c r="F14815" s="3" t="str">
        <f t="shared" si="231"/>
        <v>I10321</v>
      </c>
    </row>
    <row r="14816" spans="1:6" x14ac:dyDescent="0.2">
      <c r="A14816" s="29" t="s">
        <v>33158</v>
      </c>
      <c r="B14816" s="30" t="s">
        <v>33159</v>
      </c>
      <c r="C14816" s="29" t="s">
        <v>0</v>
      </c>
      <c r="D14816" s="31">
        <v>68.900000000000006</v>
      </c>
      <c r="F14816" s="3" t="str">
        <f t="shared" si="231"/>
        <v>I9364</v>
      </c>
    </row>
    <row r="14817" spans="1:6" x14ac:dyDescent="0.2">
      <c r="A14817" s="29" t="s">
        <v>33160</v>
      </c>
      <c r="B14817" s="30" t="s">
        <v>33161</v>
      </c>
      <c r="C14817" s="29" t="s">
        <v>0</v>
      </c>
      <c r="D14817" s="31">
        <v>8366.9699999999993</v>
      </c>
      <c r="F14817" s="3" t="str">
        <f t="shared" si="231"/>
        <v>I10322</v>
      </c>
    </row>
    <row r="14818" spans="1:6" x14ac:dyDescent="0.2">
      <c r="A14818" s="29" t="s">
        <v>33162</v>
      </c>
      <c r="B14818" s="30" t="s">
        <v>33163</v>
      </c>
      <c r="C14818" s="29" t="s">
        <v>0</v>
      </c>
      <c r="D14818" s="31">
        <v>87.87</v>
      </c>
      <c r="F14818" s="3" t="str">
        <f t="shared" si="231"/>
        <v>I10317</v>
      </c>
    </row>
    <row r="14819" spans="1:6" x14ac:dyDescent="0.2">
      <c r="A14819" s="29" t="s">
        <v>33164</v>
      </c>
      <c r="B14819" s="30" t="s">
        <v>33165</v>
      </c>
      <c r="C14819" s="29" t="s">
        <v>0</v>
      </c>
      <c r="D14819" s="31">
        <v>110.31</v>
      </c>
      <c r="F14819" s="3" t="str">
        <f t="shared" si="231"/>
        <v>I10318</v>
      </c>
    </row>
    <row r="14820" spans="1:6" x14ac:dyDescent="0.2">
      <c r="A14820" s="29" t="s">
        <v>33166</v>
      </c>
      <c r="B14820" s="30" t="s">
        <v>33167</v>
      </c>
      <c r="C14820" s="29" t="s">
        <v>0</v>
      </c>
      <c r="D14820" s="31">
        <v>144.13</v>
      </c>
      <c r="F14820" s="3" t="str">
        <f t="shared" si="231"/>
        <v>I9365</v>
      </c>
    </row>
    <row r="14821" spans="1:6" x14ac:dyDescent="0.2">
      <c r="A14821" s="29" t="s">
        <v>33168</v>
      </c>
      <c r="B14821" s="30" t="s">
        <v>33169</v>
      </c>
      <c r="C14821" s="29" t="s">
        <v>0</v>
      </c>
      <c r="D14821" s="31">
        <v>182.37</v>
      </c>
      <c r="F14821" s="3" t="str">
        <f t="shared" si="231"/>
        <v>I9366</v>
      </c>
    </row>
    <row r="14822" spans="1:6" x14ac:dyDescent="0.2">
      <c r="A14822" s="29" t="s">
        <v>33170</v>
      </c>
      <c r="B14822" s="30" t="s">
        <v>33171</v>
      </c>
      <c r="C14822" s="29" t="s">
        <v>0</v>
      </c>
      <c r="D14822" s="31">
        <v>224.73</v>
      </c>
      <c r="F14822" s="3" t="str">
        <f t="shared" si="231"/>
        <v>I9367</v>
      </c>
    </row>
    <row r="14823" spans="1:6" x14ac:dyDescent="0.2">
      <c r="A14823" s="29" t="s">
        <v>33172</v>
      </c>
      <c r="B14823" s="30" t="s">
        <v>33173</v>
      </c>
      <c r="C14823" s="29" t="s">
        <v>0</v>
      </c>
      <c r="D14823" s="31">
        <v>285.10000000000002</v>
      </c>
      <c r="F14823" s="3" t="str">
        <f t="shared" si="231"/>
        <v>I9368</v>
      </c>
    </row>
    <row r="14824" spans="1:6" x14ac:dyDescent="0.2">
      <c r="A14824" s="29" t="s">
        <v>33174</v>
      </c>
      <c r="B14824" s="30" t="s">
        <v>33175</v>
      </c>
      <c r="C14824" s="29" t="s">
        <v>0</v>
      </c>
      <c r="D14824" s="31">
        <v>350.21</v>
      </c>
      <c r="F14824" s="3" t="str">
        <f t="shared" si="231"/>
        <v>I9369</v>
      </c>
    </row>
    <row r="14825" spans="1:6" x14ac:dyDescent="0.2">
      <c r="A14825" s="29" t="s">
        <v>33176</v>
      </c>
      <c r="B14825" s="30" t="s">
        <v>33177</v>
      </c>
      <c r="C14825" s="29" t="s">
        <v>0</v>
      </c>
      <c r="D14825" s="31">
        <v>439.34</v>
      </c>
      <c r="F14825" s="3" t="str">
        <f t="shared" si="231"/>
        <v>I9370</v>
      </c>
    </row>
    <row r="14826" spans="1:6" x14ac:dyDescent="0.2">
      <c r="A14826" s="29" t="s">
        <v>33178</v>
      </c>
      <c r="B14826" s="30" t="s">
        <v>33179</v>
      </c>
      <c r="C14826" s="29" t="s">
        <v>0</v>
      </c>
      <c r="D14826" s="31">
        <v>556.29</v>
      </c>
      <c r="F14826" s="3" t="str">
        <f t="shared" si="231"/>
        <v>I9371</v>
      </c>
    </row>
    <row r="14827" spans="1:6" x14ac:dyDescent="0.2">
      <c r="A14827" s="29" t="s">
        <v>33180</v>
      </c>
      <c r="B14827" s="30" t="s">
        <v>33181</v>
      </c>
      <c r="C14827" s="29" t="s">
        <v>0</v>
      </c>
      <c r="D14827" s="31">
        <v>708</v>
      </c>
      <c r="F14827" s="3" t="str">
        <f t="shared" si="231"/>
        <v>I9372</v>
      </c>
    </row>
    <row r="14828" spans="1:6" x14ac:dyDescent="0.2">
      <c r="A14828" s="29" t="s">
        <v>33182</v>
      </c>
      <c r="B14828" s="30" t="s">
        <v>33183</v>
      </c>
      <c r="C14828" s="29" t="s">
        <v>26</v>
      </c>
      <c r="D14828" s="31">
        <v>17659.560000000001</v>
      </c>
      <c r="F14828" s="3" t="str">
        <f t="shared" si="231"/>
        <v>I9343</v>
      </c>
    </row>
    <row r="14829" spans="1:6" x14ac:dyDescent="0.2">
      <c r="A14829" s="29" t="s">
        <v>33184</v>
      </c>
      <c r="B14829" s="30" t="s">
        <v>33185</v>
      </c>
      <c r="C14829" s="29" t="s">
        <v>0</v>
      </c>
      <c r="D14829" s="31">
        <v>1156.82</v>
      </c>
      <c r="F14829" s="3" t="str">
        <f t="shared" si="231"/>
        <v>I9161</v>
      </c>
    </row>
    <row r="14830" spans="1:6" x14ac:dyDescent="0.2">
      <c r="A14830" s="29" t="s">
        <v>33186</v>
      </c>
      <c r="B14830" s="30" t="s">
        <v>33187</v>
      </c>
      <c r="C14830" s="29" t="s">
        <v>0</v>
      </c>
      <c r="D14830" s="31">
        <v>1425.48</v>
      </c>
      <c r="F14830" s="3" t="str">
        <f t="shared" si="231"/>
        <v>I9162</v>
      </c>
    </row>
    <row r="14831" spans="1:6" x14ac:dyDescent="0.2">
      <c r="A14831" s="29" t="s">
        <v>33188</v>
      </c>
      <c r="B14831" s="30" t="s">
        <v>33189</v>
      </c>
      <c r="C14831" s="29" t="s">
        <v>0</v>
      </c>
      <c r="D14831" s="31">
        <v>1788.96</v>
      </c>
      <c r="F14831" s="3" t="str">
        <f t="shared" si="231"/>
        <v>I9163</v>
      </c>
    </row>
    <row r="14832" spans="1:6" x14ac:dyDescent="0.2">
      <c r="A14832" s="29" t="s">
        <v>33190</v>
      </c>
      <c r="B14832" s="30" t="s">
        <v>33191</v>
      </c>
      <c r="C14832" s="29" t="s">
        <v>0</v>
      </c>
      <c r="D14832" s="31">
        <v>22.28</v>
      </c>
      <c r="F14832" s="3" t="str">
        <f t="shared" si="231"/>
        <v>I9362</v>
      </c>
    </row>
    <row r="14833" spans="1:6" x14ac:dyDescent="0.2">
      <c r="A14833" s="29" t="s">
        <v>33192</v>
      </c>
      <c r="B14833" s="30" t="s">
        <v>33193</v>
      </c>
      <c r="C14833" s="29" t="s">
        <v>0</v>
      </c>
      <c r="D14833" s="31">
        <v>2269.39</v>
      </c>
      <c r="F14833" s="3" t="str">
        <f t="shared" si="231"/>
        <v>I9164</v>
      </c>
    </row>
    <row r="14834" spans="1:6" x14ac:dyDescent="0.2">
      <c r="A14834" s="29" t="s">
        <v>33194</v>
      </c>
      <c r="B14834" s="30" t="s">
        <v>33195</v>
      </c>
      <c r="C14834" s="29" t="s">
        <v>0</v>
      </c>
      <c r="D14834" s="31">
        <v>2911.9</v>
      </c>
      <c r="F14834" s="3" t="str">
        <f t="shared" si="231"/>
        <v>I9165</v>
      </c>
    </row>
    <row r="14835" spans="1:6" x14ac:dyDescent="0.2">
      <c r="A14835" s="29" t="s">
        <v>33196</v>
      </c>
      <c r="B14835" s="30" t="s">
        <v>33197</v>
      </c>
      <c r="C14835" s="29" t="s">
        <v>0</v>
      </c>
      <c r="D14835" s="31">
        <v>3699.3</v>
      </c>
      <c r="F14835" s="3" t="str">
        <f t="shared" si="231"/>
        <v>I10319</v>
      </c>
    </row>
    <row r="14836" spans="1:6" x14ac:dyDescent="0.2">
      <c r="A14836" s="29" t="s">
        <v>33198</v>
      </c>
      <c r="B14836" s="30" t="s">
        <v>33199</v>
      </c>
      <c r="C14836" s="29" t="s">
        <v>0</v>
      </c>
      <c r="D14836" s="31">
        <v>45.18</v>
      </c>
      <c r="F14836" s="3" t="str">
        <f t="shared" si="231"/>
        <v>I9363</v>
      </c>
    </row>
    <row r="14837" spans="1:6" x14ac:dyDescent="0.2">
      <c r="A14837" s="29" t="s">
        <v>33200</v>
      </c>
      <c r="B14837" s="30" t="s">
        <v>33201</v>
      </c>
      <c r="C14837" s="29" t="s">
        <v>0</v>
      </c>
      <c r="D14837" s="31">
        <v>4678.5200000000004</v>
      </c>
      <c r="F14837" s="3" t="str">
        <f t="shared" si="231"/>
        <v>I10320</v>
      </c>
    </row>
    <row r="14838" spans="1:6" x14ac:dyDescent="0.2">
      <c r="A14838" s="29" t="s">
        <v>33202</v>
      </c>
      <c r="B14838" s="30" t="s">
        <v>33203</v>
      </c>
      <c r="C14838" s="29" t="s">
        <v>0</v>
      </c>
      <c r="D14838" s="31">
        <v>6962.75</v>
      </c>
      <c r="F14838" s="3" t="str">
        <f t="shared" si="231"/>
        <v>I10327</v>
      </c>
    </row>
    <row r="14839" spans="1:6" x14ac:dyDescent="0.2">
      <c r="A14839" s="29" t="s">
        <v>33204</v>
      </c>
      <c r="B14839" s="30" t="s">
        <v>33205</v>
      </c>
      <c r="C14839" s="29" t="s">
        <v>0</v>
      </c>
      <c r="D14839" s="31">
        <v>83.44</v>
      </c>
      <c r="F14839" s="3" t="str">
        <f t="shared" si="231"/>
        <v>I9430</v>
      </c>
    </row>
    <row r="14840" spans="1:6" x14ac:dyDescent="0.2">
      <c r="A14840" s="29" t="s">
        <v>33206</v>
      </c>
      <c r="B14840" s="30" t="s">
        <v>33207</v>
      </c>
      <c r="C14840" s="29" t="s">
        <v>0</v>
      </c>
      <c r="D14840" s="31">
        <v>10414.879999999999</v>
      </c>
      <c r="F14840" s="3" t="str">
        <f t="shared" si="231"/>
        <v>I10328</v>
      </c>
    </row>
    <row r="14841" spans="1:6" x14ac:dyDescent="0.2">
      <c r="A14841" s="29" t="s">
        <v>33208</v>
      </c>
      <c r="B14841" s="30" t="s">
        <v>33209</v>
      </c>
      <c r="C14841" s="29" t="s">
        <v>0</v>
      </c>
      <c r="D14841" s="31">
        <v>107.46</v>
      </c>
      <c r="F14841" s="3" t="str">
        <f t="shared" si="231"/>
        <v>I10323</v>
      </c>
    </row>
    <row r="14842" spans="1:6" x14ac:dyDescent="0.2">
      <c r="A14842" s="29" t="s">
        <v>33210</v>
      </c>
      <c r="B14842" s="30" t="s">
        <v>33211</v>
      </c>
      <c r="C14842" s="29" t="s">
        <v>0</v>
      </c>
      <c r="D14842" s="31">
        <v>134.65</v>
      </c>
      <c r="F14842" s="3" t="str">
        <f t="shared" si="231"/>
        <v>I10324</v>
      </c>
    </row>
    <row r="14843" spans="1:6" x14ac:dyDescent="0.2">
      <c r="A14843" s="29" t="s">
        <v>33212</v>
      </c>
      <c r="B14843" s="30" t="s">
        <v>33213</v>
      </c>
      <c r="C14843" s="29" t="s">
        <v>0</v>
      </c>
      <c r="D14843" s="31">
        <v>27.05</v>
      </c>
      <c r="F14843" s="3" t="str">
        <f t="shared" si="231"/>
        <v>I9166</v>
      </c>
    </row>
    <row r="14844" spans="1:6" x14ac:dyDescent="0.2">
      <c r="A14844" s="29" t="s">
        <v>33214</v>
      </c>
      <c r="B14844" s="30" t="s">
        <v>33215</v>
      </c>
      <c r="C14844" s="29" t="s">
        <v>0</v>
      </c>
      <c r="D14844" s="31">
        <v>4541.29</v>
      </c>
      <c r="F14844" s="3" t="str">
        <f t="shared" si="231"/>
        <v>I10325</v>
      </c>
    </row>
    <row r="14845" spans="1:6" x14ac:dyDescent="0.2">
      <c r="A14845" s="29" t="s">
        <v>33216</v>
      </c>
      <c r="B14845" s="30" t="s">
        <v>33217</v>
      </c>
      <c r="C14845" s="29" t="s">
        <v>0</v>
      </c>
      <c r="D14845" s="31">
        <v>54.9</v>
      </c>
      <c r="F14845" s="3" t="str">
        <f t="shared" si="231"/>
        <v>I9429</v>
      </c>
    </row>
    <row r="14846" spans="1:6" x14ac:dyDescent="0.2">
      <c r="A14846" s="29" t="s">
        <v>33218</v>
      </c>
      <c r="B14846" s="30" t="s">
        <v>33219</v>
      </c>
      <c r="C14846" s="29" t="s">
        <v>0</v>
      </c>
      <c r="D14846" s="31">
        <v>5716.7</v>
      </c>
      <c r="F14846" s="3" t="str">
        <f t="shared" si="231"/>
        <v>I10326</v>
      </c>
    </row>
    <row r="14847" spans="1:6" x14ac:dyDescent="0.2">
      <c r="A14847" s="29" t="s">
        <v>33220</v>
      </c>
      <c r="B14847" s="30" t="s">
        <v>33221</v>
      </c>
      <c r="C14847" s="29" t="s">
        <v>0</v>
      </c>
      <c r="D14847" s="31">
        <v>3837</v>
      </c>
      <c r="F14847" s="3" t="str">
        <f t="shared" si="231"/>
        <v>I10299</v>
      </c>
    </row>
    <row r="14848" spans="1:6" x14ac:dyDescent="0.2">
      <c r="A14848" s="29" t="s">
        <v>33222</v>
      </c>
      <c r="B14848" s="30" t="s">
        <v>33223</v>
      </c>
      <c r="C14848" s="29" t="s">
        <v>0</v>
      </c>
      <c r="D14848" s="31">
        <v>45.51</v>
      </c>
      <c r="F14848" s="3" t="str">
        <f t="shared" si="231"/>
        <v>I10287</v>
      </c>
    </row>
    <row r="14849" spans="1:6" x14ac:dyDescent="0.2">
      <c r="A14849" s="29" t="s">
        <v>33224</v>
      </c>
      <c r="B14849" s="30" t="s">
        <v>33225</v>
      </c>
      <c r="C14849" s="29" t="s">
        <v>0</v>
      </c>
      <c r="D14849" s="31">
        <v>5525.28</v>
      </c>
      <c r="F14849" s="3" t="str">
        <f t="shared" si="231"/>
        <v>I10300</v>
      </c>
    </row>
    <row r="14850" spans="1:6" x14ac:dyDescent="0.2">
      <c r="A14850" s="29" t="s">
        <v>33226</v>
      </c>
      <c r="B14850" s="30" t="s">
        <v>33227</v>
      </c>
      <c r="C14850" s="29" t="s">
        <v>0</v>
      </c>
      <c r="D14850" s="31">
        <v>58.47</v>
      </c>
      <c r="F14850" s="3" t="str">
        <f t="shared" ref="F14850:F14913" si="232">A14850</f>
        <v>I10288</v>
      </c>
    </row>
    <row r="14851" spans="1:6" x14ac:dyDescent="0.2">
      <c r="A14851" s="29" t="s">
        <v>33228</v>
      </c>
      <c r="B14851" s="30" t="s">
        <v>33229</v>
      </c>
      <c r="C14851" s="29" t="s">
        <v>0</v>
      </c>
      <c r="D14851" s="31">
        <v>73.64</v>
      </c>
      <c r="F14851" s="3" t="str">
        <f t="shared" si="232"/>
        <v>I10289</v>
      </c>
    </row>
    <row r="14852" spans="1:6" x14ac:dyDescent="0.2">
      <c r="A14852" s="29" t="s">
        <v>33230</v>
      </c>
      <c r="B14852" s="30" t="s">
        <v>33231</v>
      </c>
      <c r="C14852" s="29" t="s">
        <v>0</v>
      </c>
      <c r="D14852" s="31">
        <v>96.72</v>
      </c>
      <c r="F14852" s="3" t="str">
        <f t="shared" si="232"/>
        <v>I10290</v>
      </c>
    </row>
    <row r="14853" spans="1:6" x14ac:dyDescent="0.2">
      <c r="A14853" s="29" t="s">
        <v>33232</v>
      </c>
      <c r="B14853" s="30" t="s">
        <v>33233</v>
      </c>
      <c r="C14853" s="29" t="s">
        <v>0</v>
      </c>
      <c r="D14853" s="31">
        <v>120.42</v>
      </c>
      <c r="F14853" s="3" t="str">
        <f t="shared" si="232"/>
        <v>I10291</v>
      </c>
    </row>
    <row r="14854" spans="1:6" x14ac:dyDescent="0.2">
      <c r="A14854" s="29" t="s">
        <v>33234</v>
      </c>
      <c r="B14854" s="30" t="s">
        <v>33235</v>
      </c>
      <c r="C14854" s="29" t="s">
        <v>0</v>
      </c>
      <c r="D14854" s="31">
        <v>149.5</v>
      </c>
      <c r="F14854" s="3" t="str">
        <f t="shared" si="232"/>
        <v>I10292</v>
      </c>
    </row>
    <row r="14855" spans="1:6" x14ac:dyDescent="0.2">
      <c r="A14855" s="29" t="s">
        <v>33236</v>
      </c>
      <c r="B14855" s="30" t="s">
        <v>33237</v>
      </c>
      <c r="C14855" s="29" t="s">
        <v>0</v>
      </c>
      <c r="D14855" s="31">
        <v>187.75</v>
      </c>
      <c r="F14855" s="3" t="str">
        <f t="shared" si="232"/>
        <v>I10293</v>
      </c>
    </row>
    <row r="14856" spans="1:6" x14ac:dyDescent="0.2">
      <c r="A14856" s="29" t="s">
        <v>33238</v>
      </c>
      <c r="B14856" s="30" t="s">
        <v>33239</v>
      </c>
      <c r="C14856" s="29" t="s">
        <v>0</v>
      </c>
      <c r="D14856" s="31">
        <v>232.63</v>
      </c>
      <c r="F14856" s="3" t="str">
        <f t="shared" si="232"/>
        <v>I10294</v>
      </c>
    </row>
    <row r="14857" spans="1:6" x14ac:dyDescent="0.2">
      <c r="A14857" s="29" t="s">
        <v>33240</v>
      </c>
      <c r="B14857" s="30" t="s">
        <v>33241</v>
      </c>
      <c r="C14857" s="29" t="s">
        <v>0</v>
      </c>
      <c r="D14857" s="31">
        <v>290.14999999999998</v>
      </c>
      <c r="F14857" s="3" t="str">
        <f t="shared" si="232"/>
        <v>I10295</v>
      </c>
    </row>
    <row r="14858" spans="1:6" x14ac:dyDescent="0.2">
      <c r="A14858" s="29" t="s">
        <v>33242</v>
      </c>
      <c r="B14858" s="30" t="s">
        <v>33243</v>
      </c>
      <c r="C14858" s="29" t="s">
        <v>0</v>
      </c>
      <c r="D14858" s="31">
        <v>369.8</v>
      </c>
      <c r="F14858" s="3" t="str">
        <f t="shared" si="232"/>
        <v>I10296</v>
      </c>
    </row>
    <row r="14859" spans="1:6" ht="22.5" x14ac:dyDescent="0.2">
      <c r="A14859" s="29" t="s">
        <v>33244</v>
      </c>
      <c r="B14859" s="30" t="s">
        <v>33245</v>
      </c>
      <c r="C14859" s="29" t="s">
        <v>0</v>
      </c>
      <c r="D14859" s="31">
        <v>467.79</v>
      </c>
      <c r="F14859" s="3" t="str">
        <f t="shared" si="232"/>
        <v>I9355</v>
      </c>
    </row>
    <row r="14860" spans="1:6" x14ac:dyDescent="0.2">
      <c r="A14860" s="29" t="s">
        <v>33246</v>
      </c>
      <c r="B14860" s="30" t="s">
        <v>33247</v>
      </c>
      <c r="C14860" s="29" t="s">
        <v>0</v>
      </c>
      <c r="D14860" s="31">
        <v>603.70000000000005</v>
      </c>
      <c r="F14860" s="3" t="str">
        <f t="shared" si="232"/>
        <v>I9356</v>
      </c>
    </row>
    <row r="14861" spans="1:6" x14ac:dyDescent="0.2">
      <c r="A14861" s="29" t="s">
        <v>33248</v>
      </c>
      <c r="B14861" s="30" t="s">
        <v>33249</v>
      </c>
      <c r="C14861" s="29" t="s">
        <v>0</v>
      </c>
      <c r="D14861" s="31">
        <v>764.89</v>
      </c>
      <c r="F14861" s="3" t="str">
        <f t="shared" si="232"/>
        <v>I9357</v>
      </c>
    </row>
    <row r="14862" spans="1:6" x14ac:dyDescent="0.2">
      <c r="A14862" s="29" t="s">
        <v>33250</v>
      </c>
      <c r="B14862" s="30" t="s">
        <v>33251</v>
      </c>
      <c r="C14862" s="29" t="s">
        <v>0</v>
      </c>
      <c r="D14862" s="31">
        <v>945.05</v>
      </c>
      <c r="F14862" s="3" t="str">
        <f t="shared" si="232"/>
        <v>I9358</v>
      </c>
    </row>
    <row r="14863" spans="1:6" x14ac:dyDescent="0.2">
      <c r="A14863" s="29" t="s">
        <v>33252</v>
      </c>
      <c r="B14863" s="30" t="s">
        <v>33253</v>
      </c>
      <c r="C14863" s="29" t="s">
        <v>0</v>
      </c>
      <c r="D14863" s="31">
        <v>1466.76</v>
      </c>
      <c r="F14863" s="3" t="str">
        <f t="shared" si="232"/>
        <v>I9359</v>
      </c>
    </row>
    <row r="14864" spans="1:6" x14ac:dyDescent="0.2">
      <c r="A14864" s="29" t="s">
        <v>33254</v>
      </c>
      <c r="B14864" s="30" t="s">
        <v>33255</v>
      </c>
      <c r="C14864" s="29" t="s">
        <v>0</v>
      </c>
      <c r="D14864" s="31">
        <v>1498.18</v>
      </c>
      <c r="F14864" s="3" t="str">
        <f t="shared" si="232"/>
        <v>I9360</v>
      </c>
    </row>
    <row r="14865" spans="1:6" x14ac:dyDescent="0.2">
      <c r="A14865" s="29" t="s">
        <v>33256</v>
      </c>
      <c r="B14865" s="30" t="s">
        <v>33257</v>
      </c>
      <c r="C14865" s="29" t="s">
        <v>0</v>
      </c>
      <c r="D14865" s="31">
        <v>1940.35</v>
      </c>
      <c r="F14865" s="3" t="str">
        <f t="shared" si="232"/>
        <v>I9361</v>
      </c>
    </row>
    <row r="14866" spans="1:6" x14ac:dyDescent="0.2">
      <c r="A14866" s="29" t="s">
        <v>33258</v>
      </c>
      <c r="B14866" s="30" t="s">
        <v>33259</v>
      </c>
      <c r="C14866" s="29" t="s">
        <v>0</v>
      </c>
      <c r="D14866" s="31">
        <v>2455.6999999999998</v>
      </c>
      <c r="F14866" s="3" t="str">
        <f t="shared" si="232"/>
        <v>I10297</v>
      </c>
    </row>
    <row r="14867" spans="1:6" x14ac:dyDescent="0.2">
      <c r="A14867" s="29" t="s">
        <v>33260</v>
      </c>
      <c r="B14867" s="30" t="s">
        <v>33261</v>
      </c>
      <c r="C14867" s="29" t="s">
        <v>0</v>
      </c>
      <c r="D14867" s="31">
        <v>3112.06</v>
      </c>
      <c r="F14867" s="3" t="str">
        <f t="shared" si="232"/>
        <v>I10298</v>
      </c>
    </row>
    <row r="14868" spans="1:6" x14ac:dyDescent="0.2">
      <c r="A14868" s="29" t="s">
        <v>33262</v>
      </c>
      <c r="B14868" s="30" t="s">
        <v>33263</v>
      </c>
      <c r="C14868" s="29" t="s">
        <v>0</v>
      </c>
      <c r="D14868" s="31">
        <v>4703.47</v>
      </c>
      <c r="F14868" s="3" t="str">
        <f t="shared" si="232"/>
        <v>I10171</v>
      </c>
    </row>
    <row r="14869" spans="1:6" ht="22.5" x14ac:dyDescent="0.2">
      <c r="A14869" s="29" t="s">
        <v>33264</v>
      </c>
      <c r="B14869" s="30" t="s">
        <v>33265</v>
      </c>
      <c r="C14869" s="29" t="s">
        <v>0</v>
      </c>
      <c r="D14869" s="31">
        <v>56.26</v>
      </c>
      <c r="F14869" s="3" t="str">
        <f t="shared" si="232"/>
        <v>I10167</v>
      </c>
    </row>
    <row r="14870" spans="1:6" x14ac:dyDescent="0.2">
      <c r="A14870" s="29" t="s">
        <v>33266</v>
      </c>
      <c r="B14870" s="30" t="s">
        <v>33267</v>
      </c>
      <c r="C14870" s="29" t="s">
        <v>0</v>
      </c>
      <c r="D14870" s="31">
        <v>6769.8</v>
      </c>
      <c r="F14870" s="3" t="str">
        <f t="shared" si="232"/>
        <v>I10316</v>
      </c>
    </row>
    <row r="14871" spans="1:6" x14ac:dyDescent="0.2">
      <c r="A14871" s="29" t="s">
        <v>33268</v>
      </c>
      <c r="B14871" s="30" t="s">
        <v>33269</v>
      </c>
      <c r="C14871" s="29" t="s">
        <v>0</v>
      </c>
      <c r="D14871" s="31">
        <v>70.42</v>
      </c>
      <c r="F14871" s="3" t="str">
        <f t="shared" si="232"/>
        <v>I10301</v>
      </c>
    </row>
    <row r="14872" spans="1:6" x14ac:dyDescent="0.2">
      <c r="A14872" s="29" t="s">
        <v>33270</v>
      </c>
      <c r="B14872" s="30" t="s">
        <v>33271</v>
      </c>
      <c r="C14872" s="29" t="s">
        <v>0</v>
      </c>
      <c r="D14872" s="31">
        <v>90.08</v>
      </c>
      <c r="F14872" s="3" t="str">
        <f t="shared" si="232"/>
        <v>I10302</v>
      </c>
    </row>
    <row r="14873" spans="1:6" x14ac:dyDescent="0.2">
      <c r="A14873" s="29" t="s">
        <v>33272</v>
      </c>
      <c r="B14873" s="30" t="s">
        <v>33273</v>
      </c>
      <c r="C14873" s="29" t="s">
        <v>0</v>
      </c>
      <c r="D14873" s="31">
        <v>116.95</v>
      </c>
      <c r="F14873" s="3" t="str">
        <f t="shared" si="232"/>
        <v>I10303</v>
      </c>
    </row>
    <row r="14874" spans="1:6" x14ac:dyDescent="0.2">
      <c r="A14874" s="29" t="s">
        <v>33274</v>
      </c>
      <c r="B14874" s="30" t="s">
        <v>33275</v>
      </c>
      <c r="C14874" s="29" t="s">
        <v>0</v>
      </c>
      <c r="D14874" s="31">
        <v>148.55000000000001</v>
      </c>
      <c r="F14874" s="3" t="str">
        <f t="shared" si="232"/>
        <v>I10304</v>
      </c>
    </row>
    <row r="14875" spans="1:6" x14ac:dyDescent="0.2">
      <c r="A14875" s="29" t="s">
        <v>33276</v>
      </c>
      <c r="B14875" s="30" t="s">
        <v>33277</v>
      </c>
      <c r="C14875" s="29" t="s">
        <v>0</v>
      </c>
      <c r="D14875" s="31">
        <v>184.27</v>
      </c>
      <c r="F14875" s="3" t="str">
        <f t="shared" si="232"/>
        <v>I10305</v>
      </c>
    </row>
    <row r="14876" spans="1:6" x14ac:dyDescent="0.2">
      <c r="A14876" s="29" t="s">
        <v>33278</v>
      </c>
      <c r="B14876" s="30" t="s">
        <v>33279</v>
      </c>
      <c r="C14876" s="29" t="s">
        <v>0</v>
      </c>
      <c r="D14876" s="31">
        <v>232.63</v>
      </c>
      <c r="F14876" s="3" t="str">
        <f t="shared" si="232"/>
        <v>I10306</v>
      </c>
    </row>
    <row r="14877" spans="1:6" x14ac:dyDescent="0.2">
      <c r="A14877" s="29" t="s">
        <v>33280</v>
      </c>
      <c r="B14877" s="30" t="s">
        <v>33281</v>
      </c>
      <c r="C14877" s="29" t="s">
        <v>0</v>
      </c>
      <c r="D14877" s="31">
        <v>284.77999999999997</v>
      </c>
      <c r="F14877" s="3" t="str">
        <f t="shared" si="232"/>
        <v>I10307</v>
      </c>
    </row>
    <row r="14878" spans="1:6" x14ac:dyDescent="0.2">
      <c r="A14878" s="29" t="s">
        <v>33282</v>
      </c>
      <c r="B14878" s="30" t="s">
        <v>33283</v>
      </c>
      <c r="C14878" s="29" t="s">
        <v>0</v>
      </c>
      <c r="D14878" s="31">
        <v>360.32</v>
      </c>
      <c r="F14878" s="3" t="str">
        <f t="shared" si="232"/>
        <v>I10308</v>
      </c>
    </row>
    <row r="14879" spans="1:6" x14ac:dyDescent="0.2">
      <c r="A14879" s="29" t="s">
        <v>33284</v>
      </c>
      <c r="B14879" s="30" t="s">
        <v>33285</v>
      </c>
      <c r="C14879" s="29" t="s">
        <v>0</v>
      </c>
      <c r="D14879" s="31">
        <v>451.98</v>
      </c>
      <c r="F14879" s="3" t="str">
        <f t="shared" si="232"/>
        <v>I10309</v>
      </c>
    </row>
    <row r="14880" spans="1:6" x14ac:dyDescent="0.2">
      <c r="A14880" s="29" t="s">
        <v>33286</v>
      </c>
      <c r="B14880" s="30" t="s">
        <v>33287</v>
      </c>
      <c r="C14880" s="29" t="s">
        <v>0</v>
      </c>
      <c r="D14880" s="31">
        <v>575.25</v>
      </c>
      <c r="F14880" s="3" t="str">
        <f t="shared" si="232"/>
        <v>I10310</v>
      </c>
    </row>
    <row r="14881" spans="1:6" x14ac:dyDescent="0.2">
      <c r="A14881" s="29" t="s">
        <v>33288</v>
      </c>
      <c r="B14881" s="30" t="s">
        <v>33289</v>
      </c>
      <c r="C14881" s="29" t="s">
        <v>0</v>
      </c>
      <c r="D14881" s="31">
        <v>745.93</v>
      </c>
      <c r="F14881" s="3" t="str">
        <f t="shared" si="232"/>
        <v>I10311</v>
      </c>
    </row>
    <row r="14882" spans="1:6" x14ac:dyDescent="0.2">
      <c r="A14882" s="29" t="s">
        <v>33290</v>
      </c>
      <c r="B14882" s="30" t="s">
        <v>33291</v>
      </c>
      <c r="C14882" s="29" t="s">
        <v>0</v>
      </c>
      <c r="D14882" s="31">
        <v>941.89</v>
      </c>
      <c r="F14882" s="3" t="str">
        <f t="shared" si="232"/>
        <v>I10312</v>
      </c>
    </row>
    <row r="14883" spans="1:6" x14ac:dyDescent="0.2">
      <c r="A14883" s="29" t="s">
        <v>33292</v>
      </c>
      <c r="B14883" s="30" t="s">
        <v>33293</v>
      </c>
      <c r="C14883" s="29" t="s">
        <v>0</v>
      </c>
      <c r="D14883" s="31">
        <v>1166.3</v>
      </c>
      <c r="F14883" s="3" t="str">
        <f t="shared" si="232"/>
        <v>I10313</v>
      </c>
    </row>
    <row r="14884" spans="1:6" x14ac:dyDescent="0.2">
      <c r="A14884" s="29" t="s">
        <v>33294</v>
      </c>
      <c r="B14884" s="30" t="s">
        <v>33295</v>
      </c>
      <c r="C14884" s="29" t="s">
        <v>0</v>
      </c>
      <c r="D14884" s="31">
        <v>1460.25</v>
      </c>
      <c r="F14884" s="3" t="str">
        <f t="shared" si="232"/>
        <v>I10314</v>
      </c>
    </row>
    <row r="14885" spans="1:6" x14ac:dyDescent="0.2">
      <c r="A14885" s="29" t="s">
        <v>33296</v>
      </c>
      <c r="B14885" s="30" t="s">
        <v>33297</v>
      </c>
      <c r="C14885" s="29" t="s">
        <v>0</v>
      </c>
      <c r="D14885" s="31">
        <v>1842.7</v>
      </c>
      <c r="F14885" s="3" t="str">
        <f t="shared" si="232"/>
        <v>I10315</v>
      </c>
    </row>
    <row r="14886" spans="1:6" x14ac:dyDescent="0.2">
      <c r="A14886" s="29" t="s">
        <v>33298</v>
      </c>
      <c r="B14886" s="30" t="s">
        <v>33299</v>
      </c>
      <c r="C14886" s="29" t="s">
        <v>0</v>
      </c>
      <c r="D14886" s="31">
        <v>2373.75</v>
      </c>
      <c r="F14886" s="3" t="str">
        <f t="shared" si="232"/>
        <v>I10168</v>
      </c>
    </row>
    <row r="14887" spans="1:6" x14ac:dyDescent="0.2">
      <c r="A14887" s="29" t="s">
        <v>33300</v>
      </c>
      <c r="B14887" s="30" t="s">
        <v>33301</v>
      </c>
      <c r="C14887" s="29" t="s">
        <v>0</v>
      </c>
      <c r="D14887" s="31">
        <v>3008.8</v>
      </c>
      <c r="F14887" s="3" t="str">
        <f t="shared" si="232"/>
        <v>I10169</v>
      </c>
    </row>
    <row r="14888" spans="1:6" x14ac:dyDescent="0.2">
      <c r="A14888" s="29" t="s">
        <v>33302</v>
      </c>
      <c r="B14888" s="30" t="s">
        <v>33303</v>
      </c>
      <c r="C14888" s="29" t="s">
        <v>0</v>
      </c>
      <c r="D14888" s="31">
        <v>3807.02</v>
      </c>
      <c r="F14888" s="3" t="str">
        <f t="shared" si="232"/>
        <v>I10170</v>
      </c>
    </row>
    <row r="14889" spans="1:6" x14ac:dyDescent="0.2">
      <c r="A14889" s="29" t="s">
        <v>33304</v>
      </c>
      <c r="B14889" s="30" t="s">
        <v>33305</v>
      </c>
      <c r="C14889" s="29" t="s">
        <v>0</v>
      </c>
      <c r="D14889" s="31">
        <v>175.74</v>
      </c>
      <c r="F14889" s="3" t="str">
        <f t="shared" si="232"/>
        <v>I9431</v>
      </c>
    </row>
    <row r="14890" spans="1:6" x14ac:dyDescent="0.2">
      <c r="A14890" s="29" t="s">
        <v>33306</v>
      </c>
      <c r="B14890" s="30" t="s">
        <v>33307</v>
      </c>
      <c r="C14890" s="29" t="s">
        <v>0</v>
      </c>
      <c r="D14890" s="31">
        <v>222.83</v>
      </c>
      <c r="F14890" s="3" t="str">
        <f t="shared" si="232"/>
        <v>I9432</v>
      </c>
    </row>
    <row r="14891" spans="1:6" x14ac:dyDescent="0.2">
      <c r="A14891" s="29" t="s">
        <v>33308</v>
      </c>
      <c r="B14891" s="30" t="s">
        <v>33309</v>
      </c>
      <c r="C14891" s="29" t="s">
        <v>0</v>
      </c>
      <c r="D14891" s="31">
        <v>273.39999999999998</v>
      </c>
      <c r="F14891" s="3" t="str">
        <f t="shared" si="232"/>
        <v>I9433</v>
      </c>
    </row>
    <row r="14892" spans="1:6" x14ac:dyDescent="0.2">
      <c r="A14892" s="29" t="s">
        <v>33310</v>
      </c>
      <c r="B14892" s="30" t="s">
        <v>33311</v>
      </c>
      <c r="C14892" s="29" t="s">
        <v>0</v>
      </c>
      <c r="D14892" s="31">
        <v>347.68</v>
      </c>
      <c r="F14892" s="3" t="str">
        <f t="shared" si="232"/>
        <v>I9434</v>
      </c>
    </row>
    <row r="14893" spans="1:6" x14ac:dyDescent="0.2">
      <c r="A14893" s="29" t="s">
        <v>33312</v>
      </c>
      <c r="B14893" s="30" t="s">
        <v>33313</v>
      </c>
      <c r="C14893" s="29" t="s">
        <v>0</v>
      </c>
      <c r="D14893" s="31">
        <v>426.7</v>
      </c>
      <c r="F14893" s="3" t="str">
        <f t="shared" si="232"/>
        <v>I9435</v>
      </c>
    </row>
    <row r="14894" spans="1:6" x14ac:dyDescent="0.2">
      <c r="A14894" s="29" t="s">
        <v>33314</v>
      </c>
      <c r="B14894" s="30" t="s">
        <v>33315</v>
      </c>
      <c r="C14894" s="29" t="s">
        <v>26</v>
      </c>
      <c r="D14894" s="31">
        <v>537.32000000000005</v>
      </c>
      <c r="F14894" s="3" t="str">
        <f t="shared" si="232"/>
        <v>I9436</v>
      </c>
    </row>
    <row r="14895" spans="1:6" x14ac:dyDescent="0.2">
      <c r="A14895" s="29" t="s">
        <v>33316</v>
      </c>
      <c r="B14895" s="30" t="s">
        <v>33317</v>
      </c>
      <c r="C14895" s="29" t="s">
        <v>0</v>
      </c>
      <c r="D14895" s="31">
        <v>682.71</v>
      </c>
      <c r="F14895" s="3" t="str">
        <f t="shared" si="232"/>
        <v>I9437</v>
      </c>
    </row>
    <row r="14896" spans="1:6" x14ac:dyDescent="0.2">
      <c r="A14896" s="29" t="s">
        <v>33318</v>
      </c>
      <c r="B14896" s="30" t="s">
        <v>33319</v>
      </c>
      <c r="C14896" s="29" t="s">
        <v>0</v>
      </c>
      <c r="D14896" s="31">
        <v>859.71</v>
      </c>
      <c r="F14896" s="3" t="str">
        <f t="shared" si="232"/>
        <v>I9438</v>
      </c>
    </row>
    <row r="14897" spans="1:6" x14ac:dyDescent="0.2">
      <c r="A14897" s="29" t="s">
        <v>33320</v>
      </c>
      <c r="B14897" s="30" t="s">
        <v>33321</v>
      </c>
      <c r="C14897" s="29" t="s">
        <v>0</v>
      </c>
      <c r="D14897" s="31">
        <v>1112.57</v>
      </c>
      <c r="F14897" s="3" t="str">
        <f t="shared" si="232"/>
        <v>I9439</v>
      </c>
    </row>
    <row r="14898" spans="1:6" x14ac:dyDescent="0.2">
      <c r="A14898" s="29" t="s">
        <v>33322</v>
      </c>
      <c r="B14898" s="30" t="s">
        <v>33323</v>
      </c>
      <c r="C14898" s="29" t="s">
        <v>0</v>
      </c>
      <c r="D14898" s="31">
        <v>1409.68</v>
      </c>
      <c r="F14898" s="3" t="str">
        <f t="shared" si="232"/>
        <v>I9440</v>
      </c>
    </row>
    <row r="14899" spans="1:6" x14ac:dyDescent="0.2">
      <c r="A14899" s="29" t="s">
        <v>33324</v>
      </c>
      <c r="B14899" s="30" t="s">
        <v>33325</v>
      </c>
      <c r="C14899" s="29" t="s">
        <v>0</v>
      </c>
      <c r="D14899" s="31">
        <v>1738.39</v>
      </c>
      <c r="F14899" s="3" t="str">
        <f t="shared" si="232"/>
        <v>I9441</v>
      </c>
    </row>
    <row r="14900" spans="1:6" x14ac:dyDescent="0.2">
      <c r="A14900" s="29" t="s">
        <v>33326</v>
      </c>
      <c r="B14900" s="30" t="s">
        <v>33327</v>
      </c>
      <c r="C14900" s="29" t="s">
        <v>0</v>
      </c>
      <c r="D14900" s="31">
        <v>2180.89</v>
      </c>
      <c r="F14900" s="3" t="str">
        <f t="shared" si="232"/>
        <v>I9442</v>
      </c>
    </row>
    <row r="14901" spans="1:6" x14ac:dyDescent="0.2">
      <c r="A14901" s="29" t="s">
        <v>33328</v>
      </c>
      <c r="B14901" s="30" t="s">
        <v>33329</v>
      </c>
      <c r="C14901" s="29" t="s">
        <v>0</v>
      </c>
      <c r="D14901" s="31">
        <v>2759.3</v>
      </c>
      <c r="F14901" s="3" t="str">
        <f t="shared" si="232"/>
        <v>I9443</v>
      </c>
    </row>
    <row r="14902" spans="1:6" x14ac:dyDescent="0.2">
      <c r="A14902" s="29" t="s">
        <v>33330</v>
      </c>
      <c r="B14902" s="30" t="s">
        <v>33331</v>
      </c>
      <c r="C14902" s="29" t="s">
        <v>0</v>
      </c>
      <c r="D14902" s="31">
        <v>3574.87</v>
      </c>
      <c r="F14902" s="3" t="str">
        <f t="shared" si="232"/>
        <v>I9444</v>
      </c>
    </row>
    <row r="14903" spans="1:6" x14ac:dyDescent="0.2">
      <c r="A14903" s="29" t="s">
        <v>33332</v>
      </c>
      <c r="B14903" s="30" t="s">
        <v>33333</v>
      </c>
      <c r="C14903" s="29" t="s">
        <v>0</v>
      </c>
      <c r="D14903" s="31">
        <v>913.45</v>
      </c>
      <c r="F14903" s="3" t="str">
        <f t="shared" si="232"/>
        <v>I9373</v>
      </c>
    </row>
    <row r="14904" spans="1:6" x14ac:dyDescent="0.2">
      <c r="A14904" s="29" t="s">
        <v>33334</v>
      </c>
      <c r="B14904" s="30" t="s">
        <v>33335</v>
      </c>
      <c r="C14904" s="29" t="s">
        <v>0</v>
      </c>
      <c r="D14904" s="31">
        <v>1161.1099999999999</v>
      </c>
      <c r="F14904" s="3" t="str">
        <f t="shared" si="232"/>
        <v>I9351</v>
      </c>
    </row>
    <row r="14905" spans="1:6" x14ac:dyDescent="0.2">
      <c r="A14905" s="29" t="s">
        <v>33336</v>
      </c>
      <c r="B14905" s="30" t="s">
        <v>33337</v>
      </c>
      <c r="C14905" s="29" t="s">
        <v>0</v>
      </c>
      <c r="D14905" s="31">
        <v>1459.39</v>
      </c>
      <c r="F14905" s="3" t="str">
        <f t="shared" si="232"/>
        <v>I9352</v>
      </c>
    </row>
    <row r="14906" spans="1:6" x14ac:dyDescent="0.2">
      <c r="A14906" s="29" t="s">
        <v>33338</v>
      </c>
      <c r="B14906" s="30" t="s">
        <v>33339</v>
      </c>
      <c r="C14906" s="29" t="s">
        <v>0</v>
      </c>
      <c r="D14906" s="31">
        <v>1675.67</v>
      </c>
      <c r="F14906" s="3" t="str">
        <f t="shared" si="232"/>
        <v>I9353</v>
      </c>
    </row>
    <row r="14907" spans="1:6" x14ac:dyDescent="0.2">
      <c r="A14907" s="29" t="s">
        <v>33340</v>
      </c>
      <c r="B14907" s="30" t="s">
        <v>33341</v>
      </c>
      <c r="C14907" s="29" t="s">
        <v>0</v>
      </c>
      <c r="D14907" s="31">
        <v>2621.31</v>
      </c>
      <c r="F14907" s="3" t="str">
        <f t="shared" si="232"/>
        <v>I9354</v>
      </c>
    </row>
    <row r="14908" spans="1:6" x14ac:dyDescent="0.2">
      <c r="A14908" s="29" t="s">
        <v>33342</v>
      </c>
      <c r="B14908" s="30" t="s">
        <v>33343</v>
      </c>
      <c r="C14908" s="29" t="s">
        <v>0</v>
      </c>
      <c r="D14908" s="31">
        <v>1903.8</v>
      </c>
      <c r="F14908" s="3" t="str">
        <f t="shared" si="232"/>
        <v>I10173</v>
      </c>
    </row>
    <row r="14909" spans="1:6" x14ac:dyDescent="0.2">
      <c r="A14909" s="29" t="s">
        <v>33344</v>
      </c>
      <c r="B14909" s="30" t="s">
        <v>33345</v>
      </c>
      <c r="C14909" s="29" t="s">
        <v>0</v>
      </c>
      <c r="D14909" s="31">
        <v>2181.2800000000002</v>
      </c>
      <c r="F14909" s="3" t="str">
        <f t="shared" si="232"/>
        <v>I10174</v>
      </c>
    </row>
    <row r="14910" spans="1:6" x14ac:dyDescent="0.2">
      <c r="A14910" s="29" t="s">
        <v>33346</v>
      </c>
      <c r="B14910" s="30" t="s">
        <v>33347</v>
      </c>
      <c r="C14910" s="29" t="s">
        <v>0</v>
      </c>
      <c r="D14910" s="31">
        <v>2736.29</v>
      </c>
      <c r="F14910" s="3" t="str">
        <f t="shared" si="232"/>
        <v>I10175</v>
      </c>
    </row>
    <row r="14911" spans="1:6" x14ac:dyDescent="0.2">
      <c r="A14911" s="29" t="s">
        <v>33348</v>
      </c>
      <c r="B14911" s="30" t="s">
        <v>33349</v>
      </c>
      <c r="C14911" s="29" t="s">
        <v>0</v>
      </c>
      <c r="D14911" s="31">
        <v>11469.79</v>
      </c>
      <c r="F14911" s="3" t="str">
        <f t="shared" si="232"/>
        <v>I10176</v>
      </c>
    </row>
    <row r="14912" spans="1:6" x14ac:dyDescent="0.2">
      <c r="A14912" s="29" t="s">
        <v>33350</v>
      </c>
      <c r="B14912" s="30" t="s">
        <v>33351</v>
      </c>
      <c r="C14912" s="29" t="s">
        <v>0</v>
      </c>
      <c r="D14912" s="31">
        <v>11835.88</v>
      </c>
      <c r="F14912" s="3" t="str">
        <f t="shared" si="232"/>
        <v>I10177</v>
      </c>
    </row>
    <row r="14913" spans="1:6" x14ac:dyDescent="0.2">
      <c r="A14913" s="29" t="s">
        <v>33352</v>
      </c>
      <c r="B14913" s="30" t="s">
        <v>33353</v>
      </c>
      <c r="C14913" s="29" t="s">
        <v>0</v>
      </c>
      <c r="D14913" s="31">
        <v>296.82</v>
      </c>
      <c r="F14913" s="3" t="str">
        <f t="shared" si="232"/>
        <v>I10178</v>
      </c>
    </row>
    <row r="14914" spans="1:6" x14ac:dyDescent="0.2">
      <c r="A14914" s="29" t="s">
        <v>33354</v>
      </c>
      <c r="B14914" s="30" t="s">
        <v>33355</v>
      </c>
      <c r="C14914" s="29" t="s">
        <v>0</v>
      </c>
      <c r="D14914" s="31">
        <v>314.12</v>
      </c>
      <c r="F14914" s="3" t="str">
        <f t="shared" ref="F14914:F14977" si="233">A14914</f>
        <v>I10179</v>
      </c>
    </row>
    <row r="14915" spans="1:6" x14ac:dyDescent="0.2">
      <c r="A14915" s="29" t="s">
        <v>33356</v>
      </c>
      <c r="B14915" s="30" t="s">
        <v>33357</v>
      </c>
      <c r="C14915" s="29" t="s">
        <v>0</v>
      </c>
      <c r="D14915" s="31">
        <v>358.26</v>
      </c>
      <c r="F14915" s="3" t="str">
        <f t="shared" si="233"/>
        <v>I6957</v>
      </c>
    </row>
    <row r="14916" spans="1:6" x14ac:dyDescent="0.2">
      <c r="A14916" s="29" t="s">
        <v>33358</v>
      </c>
      <c r="B14916" s="30" t="s">
        <v>33359</v>
      </c>
      <c r="C14916" s="29" t="s">
        <v>0</v>
      </c>
      <c r="D14916" s="31">
        <v>435.96</v>
      </c>
      <c r="F14916" s="3" t="str">
        <f t="shared" si="233"/>
        <v>I6958</v>
      </c>
    </row>
    <row r="14917" spans="1:6" x14ac:dyDescent="0.2">
      <c r="A14917" s="29" t="s">
        <v>33360</v>
      </c>
      <c r="B14917" s="30" t="s">
        <v>33361</v>
      </c>
      <c r="C14917" s="29" t="s">
        <v>0</v>
      </c>
      <c r="D14917" s="31">
        <v>528.72</v>
      </c>
      <c r="F14917" s="3" t="str">
        <f t="shared" si="233"/>
        <v>I6959</v>
      </c>
    </row>
    <row r="14918" spans="1:6" x14ac:dyDescent="0.2">
      <c r="A14918" s="29" t="s">
        <v>33362</v>
      </c>
      <c r="B14918" s="30" t="s">
        <v>33363</v>
      </c>
      <c r="C14918" s="29" t="s">
        <v>0</v>
      </c>
      <c r="D14918" s="31">
        <v>741.54</v>
      </c>
      <c r="F14918" s="3" t="str">
        <f t="shared" si="233"/>
        <v>I6960</v>
      </c>
    </row>
    <row r="14919" spans="1:6" x14ac:dyDescent="0.2">
      <c r="A14919" s="29" t="s">
        <v>33364</v>
      </c>
      <c r="B14919" s="30" t="s">
        <v>33365</v>
      </c>
      <c r="C14919" s="29" t="s">
        <v>0</v>
      </c>
      <c r="D14919" s="31">
        <v>1519.53</v>
      </c>
      <c r="F14919" s="3" t="str">
        <f t="shared" si="233"/>
        <v>I10180</v>
      </c>
    </row>
    <row r="14920" spans="1:6" x14ac:dyDescent="0.2">
      <c r="A14920" s="29" t="s">
        <v>33366</v>
      </c>
      <c r="B14920" s="30" t="s">
        <v>33367</v>
      </c>
      <c r="C14920" s="29" t="s">
        <v>0</v>
      </c>
      <c r="D14920" s="31">
        <v>607.77</v>
      </c>
      <c r="F14920" s="3" t="str">
        <f t="shared" si="233"/>
        <v>I10181</v>
      </c>
    </row>
    <row r="14921" spans="1:6" x14ac:dyDescent="0.2">
      <c r="A14921" s="29" t="s">
        <v>33368</v>
      </c>
      <c r="B14921" s="30" t="s">
        <v>33369</v>
      </c>
      <c r="C14921" s="29" t="s">
        <v>0</v>
      </c>
      <c r="D14921" s="31">
        <v>772.09</v>
      </c>
      <c r="F14921" s="3" t="str">
        <f t="shared" si="233"/>
        <v>I10182</v>
      </c>
    </row>
    <row r="14922" spans="1:6" x14ac:dyDescent="0.2">
      <c r="A14922" s="29" t="s">
        <v>33370</v>
      </c>
      <c r="B14922" s="30" t="s">
        <v>33371</v>
      </c>
      <c r="C14922" s="29" t="s">
        <v>0</v>
      </c>
      <c r="D14922" s="31">
        <v>2645.93</v>
      </c>
      <c r="F14922" s="3" t="str">
        <f t="shared" si="233"/>
        <v>I8983</v>
      </c>
    </row>
    <row r="14923" spans="1:6" x14ac:dyDescent="0.2">
      <c r="A14923" s="29" t="s">
        <v>33372</v>
      </c>
      <c r="B14923" s="30" t="s">
        <v>33373</v>
      </c>
      <c r="C14923" s="29" t="s">
        <v>0</v>
      </c>
      <c r="D14923" s="31">
        <v>358.26</v>
      </c>
      <c r="F14923" s="3" t="str">
        <f t="shared" si="233"/>
        <v>I6961</v>
      </c>
    </row>
    <row r="14924" spans="1:6" x14ac:dyDescent="0.2">
      <c r="A14924" s="29" t="s">
        <v>33374</v>
      </c>
      <c r="B14924" s="30" t="s">
        <v>33375</v>
      </c>
      <c r="C14924" s="29" t="s">
        <v>0</v>
      </c>
      <c r="D14924" s="31">
        <v>435.96</v>
      </c>
      <c r="F14924" s="3" t="str">
        <f t="shared" si="233"/>
        <v>I6962</v>
      </c>
    </row>
    <row r="14925" spans="1:6" x14ac:dyDescent="0.2">
      <c r="A14925" s="29" t="s">
        <v>33376</v>
      </c>
      <c r="B14925" s="30" t="s">
        <v>33377</v>
      </c>
      <c r="C14925" s="29" t="s">
        <v>0</v>
      </c>
      <c r="D14925" s="31">
        <v>528.72</v>
      </c>
      <c r="F14925" s="3" t="str">
        <f t="shared" si="233"/>
        <v>I6963</v>
      </c>
    </row>
    <row r="14926" spans="1:6" x14ac:dyDescent="0.2">
      <c r="A14926" s="29" t="s">
        <v>33378</v>
      </c>
      <c r="B14926" s="30" t="s">
        <v>33379</v>
      </c>
      <c r="C14926" s="29" t="s">
        <v>0</v>
      </c>
      <c r="D14926" s="31">
        <v>654.04999999999995</v>
      </c>
      <c r="F14926" s="3" t="str">
        <f t="shared" si="233"/>
        <v>I6964</v>
      </c>
    </row>
    <row r="14927" spans="1:6" x14ac:dyDescent="0.2">
      <c r="A14927" s="29" t="s">
        <v>33380</v>
      </c>
      <c r="B14927" s="30" t="s">
        <v>33381</v>
      </c>
      <c r="C14927" s="29" t="s">
        <v>0</v>
      </c>
      <c r="D14927" s="31">
        <v>782.44</v>
      </c>
      <c r="F14927" s="3" t="str">
        <f t="shared" si="233"/>
        <v>I8992</v>
      </c>
    </row>
    <row r="14928" spans="1:6" x14ac:dyDescent="0.2">
      <c r="A14928" s="29" t="s">
        <v>33382</v>
      </c>
      <c r="B14928" s="30" t="s">
        <v>33383</v>
      </c>
      <c r="C14928" s="29" t="s">
        <v>0</v>
      </c>
      <c r="D14928" s="31">
        <v>720.87</v>
      </c>
      <c r="F14928" s="3" t="str">
        <f t="shared" si="233"/>
        <v>I8993</v>
      </c>
    </row>
    <row r="14929" spans="1:6" x14ac:dyDescent="0.2">
      <c r="A14929" s="29" t="s">
        <v>33384</v>
      </c>
      <c r="B14929" s="30" t="s">
        <v>33385</v>
      </c>
      <c r="C14929" s="29" t="s">
        <v>0</v>
      </c>
      <c r="D14929" s="31">
        <v>1019.76</v>
      </c>
      <c r="F14929" s="3" t="str">
        <f t="shared" si="233"/>
        <v>I8994</v>
      </c>
    </row>
    <row r="14930" spans="1:6" x14ac:dyDescent="0.2">
      <c r="A14930" s="29" t="s">
        <v>33386</v>
      </c>
      <c r="B14930" s="30" t="s">
        <v>33387</v>
      </c>
      <c r="C14930" s="29" t="s">
        <v>0</v>
      </c>
      <c r="D14930" s="31">
        <v>939.67</v>
      </c>
      <c r="F14930" s="3" t="str">
        <f t="shared" si="233"/>
        <v>I8995</v>
      </c>
    </row>
    <row r="14931" spans="1:6" x14ac:dyDescent="0.2">
      <c r="A14931" s="29" t="s">
        <v>33388</v>
      </c>
      <c r="B14931" s="30" t="s">
        <v>33389</v>
      </c>
      <c r="C14931" s="29" t="s">
        <v>0</v>
      </c>
      <c r="D14931" s="31">
        <v>1338.3</v>
      </c>
      <c r="F14931" s="3" t="str">
        <f t="shared" si="233"/>
        <v>I8996</v>
      </c>
    </row>
    <row r="14932" spans="1:6" x14ac:dyDescent="0.2">
      <c r="A14932" s="29" t="s">
        <v>33390</v>
      </c>
      <c r="B14932" s="30" t="s">
        <v>33391</v>
      </c>
      <c r="C14932" s="29" t="s">
        <v>0</v>
      </c>
      <c r="D14932" s="31">
        <v>1228.67</v>
      </c>
      <c r="F14932" s="3" t="str">
        <f t="shared" si="233"/>
        <v>I8997</v>
      </c>
    </row>
    <row r="14933" spans="1:6" x14ac:dyDescent="0.2">
      <c r="A14933" s="29" t="s">
        <v>33392</v>
      </c>
      <c r="B14933" s="30" t="s">
        <v>33393</v>
      </c>
      <c r="C14933" s="29" t="s">
        <v>0</v>
      </c>
      <c r="D14933" s="31">
        <v>1581.93</v>
      </c>
      <c r="F14933" s="3" t="str">
        <f t="shared" si="233"/>
        <v>I8998</v>
      </c>
    </row>
    <row r="14934" spans="1:6" x14ac:dyDescent="0.2">
      <c r="A14934" s="29" t="s">
        <v>33394</v>
      </c>
      <c r="B14934" s="30" t="s">
        <v>33395</v>
      </c>
      <c r="C14934" s="29" t="s">
        <v>0</v>
      </c>
      <c r="D14934" s="31">
        <v>1558.84</v>
      </c>
      <c r="F14934" s="3" t="str">
        <f t="shared" si="233"/>
        <v>I8999</v>
      </c>
    </row>
    <row r="14935" spans="1:6" x14ac:dyDescent="0.2">
      <c r="A14935" s="29" t="s">
        <v>33396</v>
      </c>
      <c r="B14935" s="30" t="s">
        <v>33397</v>
      </c>
      <c r="C14935" s="29" t="s">
        <v>0</v>
      </c>
      <c r="D14935" s="31">
        <v>1641.97</v>
      </c>
      <c r="F14935" s="3" t="str">
        <f t="shared" si="233"/>
        <v>I9000</v>
      </c>
    </row>
    <row r="14936" spans="1:6" x14ac:dyDescent="0.2">
      <c r="A14936" s="29" t="s">
        <v>33398</v>
      </c>
      <c r="B14936" s="30" t="s">
        <v>33399</v>
      </c>
      <c r="C14936" s="29" t="s">
        <v>0</v>
      </c>
      <c r="D14936" s="31">
        <v>1860.34</v>
      </c>
      <c r="F14936" s="3" t="str">
        <f t="shared" si="233"/>
        <v>I9001</v>
      </c>
    </row>
    <row r="14937" spans="1:6" x14ac:dyDescent="0.2">
      <c r="A14937" s="29" t="s">
        <v>33400</v>
      </c>
      <c r="B14937" s="30" t="s">
        <v>33401</v>
      </c>
      <c r="C14937" s="29" t="s">
        <v>0</v>
      </c>
      <c r="D14937" s="31">
        <v>2228.67</v>
      </c>
      <c r="F14937" s="3" t="str">
        <f t="shared" si="233"/>
        <v>I9002</v>
      </c>
    </row>
    <row r="14938" spans="1:6" x14ac:dyDescent="0.2">
      <c r="A14938" s="29" t="s">
        <v>33402</v>
      </c>
      <c r="B14938" s="30" t="s">
        <v>33403</v>
      </c>
      <c r="C14938" s="29" t="s">
        <v>0</v>
      </c>
      <c r="D14938" s="31">
        <v>3236.37</v>
      </c>
      <c r="F14938" s="3" t="str">
        <f t="shared" si="233"/>
        <v>I8984</v>
      </c>
    </row>
    <row r="14939" spans="1:6" x14ac:dyDescent="0.2">
      <c r="A14939" s="29" t="s">
        <v>33404</v>
      </c>
      <c r="B14939" s="30" t="s">
        <v>33405</v>
      </c>
      <c r="C14939" s="29" t="s">
        <v>0</v>
      </c>
      <c r="D14939" s="31">
        <v>3235.79</v>
      </c>
      <c r="F14939" s="3" t="str">
        <f t="shared" si="233"/>
        <v>I8985</v>
      </c>
    </row>
    <row r="14940" spans="1:6" x14ac:dyDescent="0.2">
      <c r="A14940" s="29" t="s">
        <v>33406</v>
      </c>
      <c r="B14940" s="30" t="s">
        <v>33407</v>
      </c>
      <c r="C14940" s="29" t="s">
        <v>0</v>
      </c>
      <c r="D14940" s="31">
        <v>3638.06</v>
      </c>
      <c r="F14940" s="3" t="str">
        <f t="shared" si="233"/>
        <v>I8986</v>
      </c>
    </row>
    <row r="14941" spans="1:6" x14ac:dyDescent="0.2">
      <c r="A14941" s="29" t="s">
        <v>33408</v>
      </c>
      <c r="B14941" s="30" t="s">
        <v>33409</v>
      </c>
      <c r="C14941" s="29" t="s">
        <v>0</v>
      </c>
      <c r="D14941" s="31">
        <v>4410.07</v>
      </c>
      <c r="F14941" s="3" t="str">
        <f t="shared" si="233"/>
        <v>I8987</v>
      </c>
    </row>
    <row r="14942" spans="1:6" x14ac:dyDescent="0.2">
      <c r="A14942" s="29" t="s">
        <v>33410</v>
      </c>
      <c r="B14942" s="30" t="s">
        <v>33411</v>
      </c>
      <c r="C14942" s="29" t="s">
        <v>0</v>
      </c>
      <c r="D14942" s="31">
        <v>4010.58</v>
      </c>
      <c r="F14942" s="3" t="str">
        <f t="shared" si="233"/>
        <v>I8988</v>
      </c>
    </row>
    <row r="14943" spans="1:6" x14ac:dyDescent="0.2">
      <c r="A14943" s="29" t="s">
        <v>33412</v>
      </c>
      <c r="B14943" s="30" t="s">
        <v>33413</v>
      </c>
      <c r="C14943" s="29" t="s">
        <v>0</v>
      </c>
      <c r="D14943" s="31">
        <v>4823.8100000000004</v>
      </c>
      <c r="F14943" s="3" t="str">
        <f t="shared" si="233"/>
        <v>I8989</v>
      </c>
    </row>
    <row r="14944" spans="1:6" x14ac:dyDescent="0.2">
      <c r="A14944" s="29" t="s">
        <v>33414</v>
      </c>
      <c r="B14944" s="30" t="s">
        <v>33415</v>
      </c>
      <c r="C14944" s="29" t="s">
        <v>0</v>
      </c>
      <c r="D14944" s="31">
        <v>5486.28</v>
      </c>
      <c r="F14944" s="3" t="str">
        <f t="shared" si="233"/>
        <v>I8990</v>
      </c>
    </row>
    <row r="14945" spans="1:6" x14ac:dyDescent="0.2">
      <c r="A14945" s="29" t="s">
        <v>33416</v>
      </c>
      <c r="B14945" s="30" t="s">
        <v>33417</v>
      </c>
      <c r="C14945" s="29" t="s">
        <v>0</v>
      </c>
      <c r="D14945" s="31">
        <v>6089.81</v>
      </c>
      <c r="F14945" s="3" t="str">
        <f t="shared" si="233"/>
        <v>I8991</v>
      </c>
    </row>
    <row r="14946" spans="1:6" x14ac:dyDescent="0.2">
      <c r="A14946" s="29" t="s">
        <v>33418</v>
      </c>
      <c r="B14946" s="30" t="s">
        <v>33419</v>
      </c>
      <c r="C14946" s="29" t="s">
        <v>0</v>
      </c>
      <c r="D14946" s="31">
        <v>358.26</v>
      </c>
      <c r="F14946" s="3" t="str">
        <f t="shared" si="233"/>
        <v>I6965</v>
      </c>
    </row>
    <row r="14947" spans="1:6" x14ac:dyDescent="0.2">
      <c r="A14947" s="29" t="s">
        <v>33420</v>
      </c>
      <c r="B14947" s="30" t="s">
        <v>33421</v>
      </c>
      <c r="C14947" s="29" t="s">
        <v>0</v>
      </c>
      <c r="D14947" s="31">
        <v>435.96</v>
      </c>
      <c r="F14947" s="3" t="str">
        <f t="shared" si="233"/>
        <v>I6966</v>
      </c>
    </row>
    <row r="14948" spans="1:6" x14ac:dyDescent="0.2">
      <c r="A14948" s="29" t="s">
        <v>33422</v>
      </c>
      <c r="B14948" s="30" t="s">
        <v>33423</v>
      </c>
      <c r="C14948" s="29" t="s">
        <v>0</v>
      </c>
      <c r="D14948" s="31">
        <v>528.72</v>
      </c>
      <c r="F14948" s="3" t="str">
        <f t="shared" si="233"/>
        <v>I6967</v>
      </c>
    </row>
    <row r="14949" spans="1:6" x14ac:dyDescent="0.2">
      <c r="A14949" s="29" t="s">
        <v>33424</v>
      </c>
      <c r="B14949" s="30" t="s">
        <v>33425</v>
      </c>
      <c r="C14949" s="29" t="s">
        <v>0</v>
      </c>
      <c r="D14949" s="31">
        <v>654.04999999999995</v>
      </c>
      <c r="F14949" s="3" t="str">
        <f t="shared" si="233"/>
        <v>I6968</v>
      </c>
    </row>
    <row r="14950" spans="1:6" x14ac:dyDescent="0.2">
      <c r="A14950" s="29" t="s">
        <v>33426</v>
      </c>
      <c r="B14950" s="30" t="s">
        <v>33427</v>
      </c>
      <c r="C14950" s="29" t="s">
        <v>0</v>
      </c>
      <c r="D14950" s="31">
        <v>784.54</v>
      </c>
      <c r="F14950" s="3" t="str">
        <f t="shared" si="233"/>
        <v>I9012</v>
      </c>
    </row>
    <row r="14951" spans="1:6" x14ac:dyDescent="0.2">
      <c r="A14951" s="29" t="s">
        <v>33428</v>
      </c>
      <c r="B14951" s="30" t="s">
        <v>33429</v>
      </c>
      <c r="C14951" s="29" t="s">
        <v>0</v>
      </c>
      <c r="D14951" s="31">
        <v>890.3</v>
      </c>
      <c r="F14951" s="3" t="str">
        <f t="shared" si="233"/>
        <v>I6969</v>
      </c>
    </row>
    <row r="14952" spans="1:6" x14ac:dyDescent="0.2">
      <c r="A14952" s="29" t="s">
        <v>33430</v>
      </c>
      <c r="B14952" s="30" t="s">
        <v>33431</v>
      </c>
      <c r="C14952" s="29" t="s">
        <v>0</v>
      </c>
      <c r="D14952" s="31">
        <v>1023.17</v>
      </c>
      <c r="F14952" s="3" t="str">
        <f t="shared" si="233"/>
        <v>I9013</v>
      </c>
    </row>
    <row r="14953" spans="1:6" x14ac:dyDescent="0.2">
      <c r="A14953" s="29" t="s">
        <v>33432</v>
      </c>
      <c r="B14953" s="30" t="s">
        <v>33433</v>
      </c>
      <c r="C14953" s="29" t="s">
        <v>0</v>
      </c>
      <c r="D14953" s="31">
        <v>1079.22</v>
      </c>
      <c r="F14953" s="3" t="str">
        <f t="shared" si="233"/>
        <v>I6970</v>
      </c>
    </row>
    <row r="14954" spans="1:6" x14ac:dyDescent="0.2">
      <c r="A14954" s="29" t="s">
        <v>33434</v>
      </c>
      <c r="B14954" s="30" t="s">
        <v>33435</v>
      </c>
      <c r="C14954" s="29" t="s">
        <v>0</v>
      </c>
      <c r="D14954" s="31">
        <v>1415.76</v>
      </c>
      <c r="F14954" s="3" t="str">
        <f t="shared" si="233"/>
        <v>I9014</v>
      </c>
    </row>
    <row r="14955" spans="1:6" x14ac:dyDescent="0.2">
      <c r="A14955" s="29" t="s">
        <v>33436</v>
      </c>
      <c r="B14955" s="30" t="s">
        <v>33437</v>
      </c>
      <c r="C14955" s="29" t="s">
        <v>0</v>
      </c>
      <c r="D14955" s="31">
        <v>1343.62</v>
      </c>
      <c r="F14955" s="3" t="str">
        <f t="shared" si="233"/>
        <v>I9015</v>
      </c>
    </row>
    <row r="14956" spans="1:6" x14ac:dyDescent="0.2">
      <c r="A14956" s="29" t="s">
        <v>33438</v>
      </c>
      <c r="B14956" s="30" t="s">
        <v>33439</v>
      </c>
      <c r="C14956" s="29" t="s">
        <v>0</v>
      </c>
      <c r="D14956" s="31">
        <v>1681.82</v>
      </c>
      <c r="F14956" s="3" t="str">
        <f t="shared" si="233"/>
        <v>I9016</v>
      </c>
    </row>
    <row r="14957" spans="1:6" x14ac:dyDescent="0.2">
      <c r="A14957" s="29" t="s">
        <v>33440</v>
      </c>
      <c r="B14957" s="30" t="s">
        <v>33441</v>
      </c>
      <c r="C14957" s="29" t="s">
        <v>0</v>
      </c>
      <c r="D14957" s="31">
        <v>1662.74</v>
      </c>
      <c r="F14957" s="3" t="str">
        <f t="shared" si="233"/>
        <v>I9017</v>
      </c>
    </row>
    <row r="14958" spans="1:6" x14ac:dyDescent="0.2">
      <c r="A14958" s="29" t="s">
        <v>33442</v>
      </c>
      <c r="B14958" s="30" t="s">
        <v>33443</v>
      </c>
      <c r="C14958" s="29" t="s">
        <v>0</v>
      </c>
      <c r="D14958" s="31">
        <v>2079.5</v>
      </c>
      <c r="F14958" s="3" t="str">
        <f t="shared" si="233"/>
        <v>I9018</v>
      </c>
    </row>
    <row r="14959" spans="1:6" x14ac:dyDescent="0.2">
      <c r="A14959" s="29" t="s">
        <v>33444</v>
      </c>
      <c r="B14959" s="30" t="s">
        <v>33445</v>
      </c>
      <c r="C14959" s="29" t="s">
        <v>0</v>
      </c>
      <c r="D14959" s="31">
        <v>1990.83</v>
      </c>
      <c r="F14959" s="3" t="str">
        <f t="shared" si="233"/>
        <v>I9019</v>
      </c>
    </row>
    <row r="14960" spans="1:6" x14ac:dyDescent="0.2">
      <c r="A14960" s="29" t="s">
        <v>33446</v>
      </c>
      <c r="B14960" s="30" t="s">
        <v>33447</v>
      </c>
      <c r="C14960" s="29" t="s">
        <v>0</v>
      </c>
      <c r="D14960" s="31">
        <v>2393.62</v>
      </c>
      <c r="F14960" s="3" t="str">
        <f t="shared" si="233"/>
        <v>I9020</v>
      </c>
    </row>
    <row r="14961" spans="1:6" x14ac:dyDescent="0.2">
      <c r="A14961" s="29" t="s">
        <v>33448</v>
      </c>
      <c r="B14961" s="30" t="s">
        <v>33449</v>
      </c>
      <c r="C14961" s="29" t="s">
        <v>0</v>
      </c>
      <c r="D14961" s="31">
        <v>2862.72</v>
      </c>
      <c r="F14961" s="3" t="str">
        <f t="shared" si="233"/>
        <v>I9003</v>
      </c>
    </row>
    <row r="14962" spans="1:6" x14ac:dyDescent="0.2">
      <c r="A14962" s="29" t="s">
        <v>33450</v>
      </c>
      <c r="B14962" s="30" t="s">
        <v>33451</v>
      </c>
      <c r="C14962" s="29" t="s">
        <v>0</v>
      </c>
      <c r="D14962" s="31">
        <v>3506.76</v>
      </c>
      <c r="F14962" s="3" t="str">
        <f t="shared" si="233"/>
        <v>I9004</v>
      </c>
    </row>
    <row r="14963" spans="1:6" x14ac:dyDescent="0.2">
      <c r="A14963" s="29" t="s">
        <v>33452</v>
      </c>
      <c r="B14963" s="30" t="s">
        <v>33453</v>
      </c>
      <c r="C14963" s="29" t="s">
        <v>0</v>
      </c>
      <c r="D14963" s="31">
        <v>3249.2</v>
      </c>
      <c r="F14963" s="3" t="str">
        <f t="shared" si="233"/>
        <v>I9005</v>
      </c>
    </row>
    <row r="14964" spans="1:6" x14ac:dyDescent="0.2">
      <c r="A14964" s="29" t="s">
        <v>33454</v>
      </c>
      <c r="B14964" s="30" t="s">
        <v>33455</v>
      </c>
      <c r="C14964" s="29" t="s">
        <v>0</v>
      </c>
      <c r="D14964" s="31">
        <v>3948.76</v>
      </c>
      <c r="F14964" s="3" t="str">
        <f t="shared" si="233"/>
        <v>I9006</v>
      </c>
    </row>
    <row r="14965" spans="1:6" x14ac:dyDescent="0.2">
      <c r="A14965" s="29" t="s">
        <v>33456</v>
      </c>
      <c r="B14965" s="30" t="s">
        <v>33457</v>
      </c>
      <c r="C14965" s="29" t="s">
        <v>0</v>
      </c>
      <c r="D14965" s="31">
        <v>4827.93</v>
      </c>
      <c r="F14965" s="3" t="str">
        <f t="shared" si="233"/>
        <v>I9007</v>
      </c>
    </row>
    <row r="14966" spans="1:6" x14ac:dyDescent="0.2">
      <c r="A14966" s="29" t="s">
        <v>33458</v>
      </c>
      <c r="B14966" s="30" t="s">
        <v>33459</v>
      </c>
      <c r="C14966" s="29" t="s">
        <v>0</v>
      </c>
      <c r="D14966" s="31">
        <v>4359.72</v>
      </c>
      <c r="F14966" s="3" t="str">
        <f t="shared" si="233"/>
        <v>I9008</v>
      </c>
    </row>
    <row r="14967" spans="1:6" x14ac:dyDescent="0.2">
      <c r="A14967" s="29" t="s">
        <v>33460</v>
      </c>
      <c r="B14967" s="30" t="s">
        <v>33461</v>
      </c>
      <c r="C14967" s="29" t="s">
        <v>0</v>
      </c>
      <c r="D14967" s="31">
        <v>5233.97</v>
      </c>
      <c r="F14967" s="3" t="str">
        <f t="shared" si="233"/>
        <v>I9009</v>
      </c>
    </row>
    <row r="14968" spans="1:6" x14ac:dyDescent="0.2">
      <c r="A14968" s="29" t="s">
        <v>33462</v>
      </c>
      <c r="B14968" s="30" t="s">
        <v>33463</v>
      </c>
      <c r="C14968" s="29" t="s">
        <v>0</v>
      </c>
      <c r="D14968" s="31">
        <v>5949.34</v>
      </c>
      <c r="F14968" s="3" t="str">
        <f t="shared" si="233"/>
        <v>I9010</v>
      </c>
    </row>
    <row r="14969" spans="1:6" x14ac:dyDescent="0.2">
      <c r="A14969" s="29" t="s">
        <v>33464</v>
      </c>
      <c r="B14969" s="30" t="s">
        <v>33465</v>
      </c>
      <c r="C14969" s="29" t="s">
        <v>0</v>
      </c>
      <c r="D14969" s="31">
        <v>6702.31</v>
      </c>
      <c r="F14969" s="3" t="str">
        <f t="shared" si="233"/>
        <v>I9011</v>
      </c>
    </row>
    <row r="14970" spans="1:6" x14ac:dyDescent="0.2">
      <c r="A14970" s="29" t="s">
        <v>33466</v>
      </c>
      <c r="B14970" s="30" t="s">
        <v>33467</v>
      </c>
      <c r="C14970" s="29" t="s">
        <v>0</v>
      </c>
      <c r="D14970" s="31">
        <v>358.26</v>
      </c>
      <c r="F14970" s="3" t="str">
        <f t="shared" si="233"/>
        <v>I6971</v>
      </c>
    </row>
    <row r="14971" spans="1:6" x14ac:dyDescent="0.2">
      <c r="A14971" s="29" t="s">
        <v>33468</v>
      </c>
      <c r="B14971" s="30" t="s">
        <v>33469</v>
      </c>
      <c r="C14971" s="29" t="s">
        <v>0</v>
      </c>
      <c r="D14971" s="31">
        <v>435.96</v>
      </c>
      <c r="F14971" s="3" t="str">
        <f t="shared" si="233"/>
        <v>I6972</v>
      </c>
    </row>
    <row r="14972" spans="1:6" x14ac:dyDescent="0.2">
      <c r="A14972" s="29" t="s">
        <v>33470</v>
      </c>
      <c r="B14972" s="30" t="s">
        <v>33471</v>
      </c>
      <c r="C14972" s="29" t="s">
        <v>0</v>
      </c>
      <c r="D14972" s="31">
        <v>528.72</v>
      </c>
      <c r="F14972" s="3" t="str">
        <f t="shared" si="233"/>
        <v>I6973</v>
      </c>
    </row>
    <row r="14973" spans="1:6" x14ac:dyDescent="0.2">
      <c r="A14973" s="29" t="s">
        <v>33472</v>
      </c>
      <c r="B14973" s="30" t="s">
        <v>33473</v>
      </c>
      <c r="C14973" s="29" t="s">
        <v>0</v>
      </c>
      <c r="D14973" s="31">
        <v>671.54</v>
      </c>
      <c r="F14973" s="3" t="str">
        <f t="shared" si="233"/>
        <v>I6974</v>
      </c>
    </row>
    <row r="14974" spans="1:6" x14ac:dyDescent="0.2">
      <c r="A14974" s="29" t="s">
        <v>33474</v>
      </c>
      <c r="B14974" s="30" t="s">
        <v>33475</v>
      </c>
      <c r="C14974" s="29" t="s">
        <v>0</v>
      </c>
      <c r="D14974" s="31">
        <v>2235.2800000000002</v>
      </c>
      <c r="F14974" s="3" t="str">
        <f t="shared" si="233"/>
        <v>I6990</v>
      </c>
    </row>
    <row r="14975" spans="1:6" x14ac:dyDescent="0.2">
      <c r="A14975" s="29" t="s">
        <v>33476</v>
      </c>
      <c r="B14975" s="30" t="s">
        <v>33477</v>
      </c>
      <c r="C14975" s="29" t="s">
        <v>0</v>
      </c>
      <c r="D14975" s="31">
        <v>3011.44</v>
      </c>
      <c r="F14975" s="3" t="str">
        <f t="shared" si="233"/>
        <v>I6991</v>
      </c>
    </row>
    <row r="14976" spans="1:6" x14ac:dyDescent="0.2">
      <c r="A14976" s="29" t="s">
        <v>33478</v>
      </c>
      <c r="B14976" s="30" t="s">
        <v>33479</v>
      </c>
      <c r="C14976" s="29" t="s">
        <v>0</v>
      </c>
      <c r="D14976" s="31">
        <v>3549.85</v>
      </c>
      <c r="F14976" s="3" t="str">
        <f t="shared" si="233"/>
        <v>I6992</v>
      </c>
    </row>
    <row r="14977" spans="1:6" x14ac:dyDescent="0.2">
      <c r="A14977" s="29" t="s">
        <v>33480</v>
      </c>
      <c r="B14977" s="30" t="s">
        <v>33481</v>
      </c>
      <c r="C14977" s="29" t="s">
        <v>0</v>
      </c>
      <c r="D14977" s="31">
        <v>4473.6400000000003</v>
      </c>
      <c r="F14977" s="3" t="str">
        <f t="shared" si="233"/>
        <v>I6993</v>
      </c>
    </row>
    <row r="14978" spans="1:6" x14ac:dyDescent="0.2">
      <c r="A14978" s="29" t="s">
        <v>33482</v>
      </c>
      <c r="B14978" s="30" t="s">
        <v>33483</v>
      </c>
      <c r="C14978" s="29" t="s">
        <v>0</v>
      </c>
      <c r="D14978" s="31">
        <v>654.57000000000005</v>
      </c>
      <c r="F14978" s="3" t="str">
        <f t="shared" ref="F14978:F15041" si="234">A14978</f>
        <v>I9021</v>
      </c>
    </row>
    <row r="14979" spans="1:6" x14ac:dyDescent="0.2">
      <c r="A14979" s="29" t="s">
        <v>33484</v>
      </c>
      <c r="B14979" s="30" t="s">
        <v>33485</v>
      </c>
      <c r="C14979" s="29" t="s">
        <v>0</v>
      </c>
      <c r="D14979" s="31">
        <v>781.66</v>
      </c>
      <c r="F14979" s="3" t="str">
        <f t="shared" si="234"/>
        <v>I9022</v>
      </c>
    </row>
    <row r="14980" spans="1:6" x14ac:dyDescent="0.2">
      <c r="A14980" s="29" t="s">
        <v>33486</v>
      </c>
      <c r="B14980" s="30" t="s">
        <v>33487</v>
      </c>
      <c r="C14980" s="29" t="s">
        <v>0</v>
      </c>
      <c r="D14980" s="31">
        <v>886.38</v>
      </c>
      <c r="F14980" s="3" t="str">
        <f t="shared" si="234"/>
        <v>I6975</v>
      </c>
    </row>
    <row r="14981" spans="1:6" x14ac:dyDescent="0.2">
      <c r="A14981" s="29" t="s">
        <v>33488</v>
      </c>
      <c r="B14981" s="30" t="s">
        <v>33489</v>
      </c>
      <c r="C14981" s="29" t="s">
        <v>0</v>
      </c>
      <c r="D14981" s="31">
        <v>1018.17</v>
      </c>
      <c r="F14981" s="3" t="str">
        <f t="shared" si="234"/>
        <v>I9023</v>
      </c>
    </row>
    <row r="14982" spans="1:6" x14ac:dyDescent="0.2">
      <c r="A14982" s="29" t="s">
        <v>33490</v>
      </c>
      <c r="B14982" s="30" t="s">
        <v>33491</v>
      </c>
      <c r="C14982" s="29" t="s">
        <v>0</v>
      </c>
      <c r="D14982" s="31">
        <v>1179.1199999999999</v>
      </c>
      <c r="F14982" s="3" t="str">
        <f t="shared" si="234"/>
        <v>I6976</v>
      </c>
    </row>
    <row r="14983" spans="1:6" x14ac:dyDescent="0.2">
      <c r="A14983" s="29" t="s">
        <v>33492</v>
      </c>
      <c r="B14983" s="30" t="s">
        <v>33493</v>
      </c>
      <c r="C14983" s="29" t="s">
        <v>0</v>
      </c>
      <c r="D14983" s="31">
        <v>1288.2</v>
      </c>
      <c r="F14983" s="3" t="str">
        <f t="shared" si="234"/>
        <v>I9024</v>
      </c>
    </row>
    <row r="14984" spans="1:6" x14ac:dyDescent="0.2">
      <c r="A14984" s="29" t="s">
        <v>33494</v>
      </c>
      <c r="B14984" s="30" t="s">
        <v>33495</v>
      </c>
      <c r="C14984" s="29" t="s">
        <v>0</v>
      </c>
      <c r="D14984" s="31">
        <v>1485.69</v>
      </c>
      <c r="F14984" s="3" t="str">
        <f t="shared" si="234"/>
        <v>I6977</v>
      </c>
    </row>
    <row r="14985" spans="1:6" x14ac:dyDescent="0.2">
      <c r="A14985" s="29" t="s">
        <v>33496</v>
      </c>
      <c r="B14985" s="30" t="s">
        <v>33497</v>
      </c>
      <c r="C14985" s="29" t="s">
        <v>0</v>
      </c>
      <c r="D14985" s="31">
        <v>76.45</v>
      </c>
      <c r="F14985" s="3" t="str">
        <f t="shared" si="234"/>
        <v>I3180</v>
      </c>
    </row>
    <row r="14986" spans="1:6" x14ac:dyDescent="0.2">
      <c r="A14986" s="29" t="s">
        <v>33498</v>
      </c>
      <c r="B14986" s="30" t="s">
        <v>33499</v>
      </c>
      <c r="C14986" s="29" t="s">
        <v>0</v>
      </c>
      <c r="D14986" s="31">
        <v>48.8</v>
      </c>
      <c r="F14986" s="3" t="str">
        <f t="shared" si="234"/>
        <v>I3181</v>
      </c>
    </row>
    <row r="14987" spans="1:6" x14ac:dyDescent="0.2">
      <c r="A14987" s="29" t="s">
        <v>33500</v>
      </c>
      <c r="B14987" s="30" t="s">
        <v>33501</v>
      </c>
      <c r="C14987" s="29" t="s">
        <v>0</v>
      </c>
      <c r="D14987" s="31">
        <v>49.48</v>
      </c>
      <c r="F14987" s="3" t="str">
        <f t="shared" si="234"/>
        <v>I6523</v>
      </c>
    </row>
    <row r="14988" spans="1:6" x14ac:dyDescent="0.2">
      <c r="A14988" s="29" t="s">
        <v>33502</v>
      </c>
      <c r="B14988" s="30" t="s">
        <v>33503</v>
      </c>
      <c r="C14988" s="29" t="s">
        <v>0</v>
      </c>
      <c r="D14988" s="31">
        <v>133.16999999999999</v>
      </c>
      <c r="F14988" s="3" t="str">
        <f t="shared" si="234"/>
        <v>I6524</v>
      </c>
    </row>
    <row r="14989" spans="1:6" x14ac:dyDescent="0.2">
      <c r="A14989" s="29" t="s">
        <v>33504</v>
      </c>
      <c r="B14989" s="30" t="s">
        <v>33505</v>
      </c>
      <c r="C14989" s="29" t="s">
        <v>0</v>
      </c>
      <c r="D14989" s="31">
        <v>225.69</v>
      </c>
      <c r="F14989" s="3" t="str">
        <f t="shared" si="234"/>
        <v>I6525</v>
      </c>
    </row>
    <row r="14990" spans="1:6" x14ac:dyDescent="0.2">
      <c r="A14990" s="29" t="s">
        <v>33506</v>
      </c>
      <c r="B14990" s="30" t="s">
        <v>33507</v>
      </c>
      <c r="C14990" s="29" t="s">
        <v>0</v>
      </c>
      <c r="D14990" s="31">
        <v>343.57</v>
      </c>
      <c r="F14990" s="3" t="str">
        <f t="shared" si="234"/>
        <v>I6527</v>
      </c>
    </row>
    <row r="14991" spans="1:6" x14ac:dyDescent="0.2">
      <c r="A14991" s="29" t="s">
        <v>33508</v>
      </c>
      <c r="B14991" s="30" t="s">
        <v>33509</v>
      </c>
      <c r="C14991" s="29" t="s">
        <v>0</v>
      </c>
      <c r="D14991" s="31">
        <v>487.88</v>
      </c>
      <c r="F14991" s="3" t="str">
        <f t="shared" si="234"/>
        <v>I6528</v>
      </c>
    </row>
    <row r="14992" spans="1:6" x14ac:dyDescent="0.2">
      <c r="A14992" s="29" t="s">
        <v>33510</v>
      </c>
      <c r="B14992" s="30" t="s">
        <v>33511</v>
      </c>
      <c r="C14992" s="29" t="s">
        <v>0</v>
      </c>
      <c r="D14992" s="31">
        <v>653.16999999999996</v>
      </c>
      <c r="F14992" s="3" t="str">
        <f t="shared" si="234"/>
        <v>I10184</v>
      </c>
    </row>
    <row r="14993" spans="1:6" x14ac:dyDescent="0.2">
      <c r="A14993" s="29" t="s">
        <v>33512</v>
      </c>
      <c r="B14993" s="30" t="s">
        <v>33513</v>
      </c>
      <c r="C14993" s="29" t="s">
        <v>0</v>
      </c>
      <c r="D14993" s="31">
        <v>1279.07</v>
      </c>
      <c r="F14993" s="3" t="str">
        <f t="shared" si="234"/>
        <v>I8552</v>
      </c>
    </row>
    <row r="14994" spans="1:6" x14ac:dyDescent="0.2">
      <c r="A14994" s="29" t="s">
        <v>33514</v>
      </c>
      <c r="B14994" s="30" t="s">
        <v>33515</v>
      </c>
      <c r="C14994" s="29" t="s">
        <v>0</v>
      </c>
      <c r="D14994" s="31">
        <v>1979.97</v>
      </c>
      <c r="F14994" s="3" t="str">
        <f t="shared" si="234"/>
        <v>I8553</v>
      </c>
    </row>
    <row r="14995" spans="1:6" x14ac:dyDescent="0.2">
      <c r="A14995" s="29" t="s">
        <v>33516</v>
      </c>
      <c r="B14995" s="30" t="s">
        <v>33517</v>
      </c>
      <c r="C14995" s="29" t="s">
        <v>0</v>
      </c>
      <c r="D14995" s="31">
        <v>43.27</v>
      </c>
      <c r="F14995" s="3" t="str">
        <f t="shared" si="234"/>
        <v>I10183</v>
      </c>
    </row>
    <row r="14996" spans="1:6" x14ac:dyDescent="0.2">
      <c r="A14996" s="29" t="s">
        <v>33518</v>
      </c>
      <c r="B14996" s="30" t="s">
        <v>33519</v>
      </c>
      <c r="C14996" s="29" t="s">
        <v>0</v>
      </c>
      <c r="D14996" s="31">
        <v>23.37</v>
      </c>
      <c r="F14996" s="3" t="str">
        <f t="shared" si="234"/>
        <v>I6203</v>
      </c>
    </row>
    <row r="14997" spans="1:6" x14ac:dyDescent="0.2">
      <c r="A14997" s="29" t="s">
        <v>33520</v>
      </c>
      <c r="B14997" s="30" t="s">
        <v>33521</v>
      </c>
      <c r="C14997" s="29" t="s">
        <v>0</v>
      </c>
      <c r="D14997" s="31">
        <v>57.23</v>
      </c>
      <c r="F14997" s="3" t="str">
        <f t="shared" si="234"/>
        <v>I6204</v>
      </c>
    </row>
    <row r="14998" spans="1:6" x14ac:dyDescent="0.2">
      <c r="A14998" s="29" t="s">
        <v>33522</v>
      </c>
      <c r="B14998" s="30" t="s">
        <v>33523</v>
      </c>
      <c r="C14998" s="29" t="s">
        <v>0</v>
      </c>
      <c r="D14998" s="31">
        <v>48.94</v>
      </c>
      <c r="F14998" s="3" t="str">
        <f t="shared" si="234"/>
        <v>I6205</v>
      </c>
    </row>
    <row r="14999" spans="1:6" x14ac:dyDescent="0.2">
      <c r="A14999" s="29" t="s">
        <v>33524</v>
      </c>
      <c r="B14999" s="30" t="s">
        <v>33525</v>
      </c>
      <c r="C14999" s="29" t="s">
        <v>0</v>
      </c>
      <c r="D14999" s="31">
        <v>92.48</v>
      </c>
      <c r="F14999" s="3" t="str">
        <f t="shared" si="234"/>
        <v>I6206</v>
      </c>
    </row>
    <row r="15000" spans="1:6" x14ac:dyDescent="0.2">
      <c r="A15000" s="29" t="s">
        <v>33526</v>
      </c>
      <c r="B15000" s="30" t="s">
        <v>33527</v>
      </c>
      <c r="C15000" s="29" t="s">
        <v>26</v>
      </c>
      <c r="D15000" s="31">
        <v>145.81</v>
      </c>
      <c r="F15000" s="3" t="str">
        <f t="shared" si="234"/>
        <v>I7590</v>
      </c>
    </row>
    <row r="15001" spans="1:6" x14ac:dyDescent="0.2">
      <c r="A15001" s="29" t="s">
        <v>33528</v>
      </c>
      <c r="B15001" s="30" t="s">
        <v>33529</v>
      </c>
      <c r="C15001" s="29" t="s">
        <v>26</v>
      </c>
      <c r="D15001" s="31">
        <v>291.64</v>
      </c>
      <c r="F15001" s="3" t="str">
        <f t="shared" si="234"/>
        <v>I7591</v>
      </c>
    </row>
    <row r="15002" spans="1:6" x14ac:dyDescent="0.2">
      <c r="A15002" s="29" t="s">
        <v>33530</v>
      </c>
      <c r="B15002" s="30" t="s">
        <v>33531</v>
      </c>
      <c r="C15002" s="29" t="s">
        <v>26</v>
      </c>
      <c r="D15002" s="31">
        <v>517.45000000000005</v>
      </c>
      <c r="F15002" s="3" t="str">
        <f t="shared" si="234"/>
        <v>I7596</v>
      </c>
    </row>
    <row r="15003" spans="1:6" x14ac:dyDescent="0.2">
      <c r="A15003" s="29" t="s">
        <v>33532</v>
      </c>
      <c r="B15003" s="30" t="s">
        <v>33533</v>
      </c>
      <c r="C15003" s="29" t="s">
        <v>26</v>
      </c>
      <c r="D15003" s="31">
        <v>989.84</v>
      </c>
      <c r="F15003" s="3" t="str">
        <f t="shared" si="234"/>
        <v>I7597</v>
      </c>
    </row>
    <row r="15004" spans="1:6" x14ac:dyDescent="0.2">
      <c r="A15004" s="29" t="s">
        <v>33534</v>
      </c>
      <c r="B15004" s="30" t="s">
        <v>33535</v>
      </c>
      <c r="C15004" s="29" t="s">
        <v>26</v>
      </c>
      <c r="D15004" s="31">
        <v>206.2</v>
      </c>
      <c r="F15004" s="3" t="str">
        <f t="shared" si="234"/>
        <v>I7592</v>
      </c>
    </row>
    <row r="15005" spans="1:6" x14ac:dyDescent="0.2">
      <c r="A15005" s="29" t="s">
        <v>33536</v>
      </c>
      <c r="B15005" s="30" t="s">
        <v>33537</v>
      </c>
      <c r="C15005" s="29" t="s">
        <v>26</v>
      </c>
      <c r="D15005" s="31">
        <v>408.4</v>
      </c>
      <c r="F15005" s="3" t="str">
        <f t="shared" si="234"/>
        <v>I7593</v>
      </c>
    </row>
    <row r="15006" spans="1:6" x14ac:dyDescent="0.2">
      <c r="A15006" s="29" t="s">
        <v>33538</v>
      </c>
      <c r="B15006" s="30" t="s">
        <v>33539</v>
      </c>
      <c r="C15006" s="29" t="s">
        <v>26</v>
      </c>
      <c r="D15006" s="31">
        <v>701.98</v>
      </c>
      <c r="F15006" s="3" t="str">
        <f t="shared" si="234"/>
        <v>I7594</v>
      </c>
    </row>
    <row r="15007" spans="1:6" x14ac:dyDescent="0.2">
      <c r="A15007" s="29" t="s">
        <v>33540</v>
      </c>
      <c r="B15007" s="30" t="s">
        <v>33541</v>
      </c>
      <c r="C15007" s="29" t="s">
        <v>26</v>
      </c>
      <c r="D15007" s="31">
        <v>1385.47</v>
      </c>
      <c r="F15007" s="3" t="str">
        <f t="shared" si="234"/>
        <v>I7595</v>
      </c>
    </row>
    <row r="15008" spans="1:6" x14ac:dyDescent="0.2">
      <c r="A15008" s="29" t="s">
        <v>33542</v>
      </c>
      <c r="B15008" s="30" t="s">
        <v>33543</v>
      </c>
      <c r="C15008" s="29" t="s">
        <v>0</v>
      </c>
      <c r="D15008" s="31">
        <v>204.11</v>
      </c>
      <c r="F15008" s="3" t="str">
        <f t="shared" si="234"/>
        <v>I3070</v>
      </c>
    </row>
    <row r="15009" spans="1:6" x14ac:dyDescent="0.2">
      <c r="A15009" s="29" t="s">
        <v>33544</v>
      </c>
      <c r="B15009" s="30" t="s">
        <v>33545</v>
      </c>
      <c r="C15009" s="29" t="s">
        <v>0</v>
      </c>
      <c r="D15009" s="31">
        <v>9.59</v>
      </c>
      <c r="F15009" s="3" t="str">
        <f t="shared" si="234"/>
        <v>I3150</v>
      </c>
    </row>
    <row r="15010" spans="1:6" x14ac:dyDescent="0.2">
      <c r="A15010" s="29" t="s">
        <v>33546</v>
      </c>
      <c r="B15010" s="30" t="s">
        <v>33547</v>
      </c>
      <c r="C15010" s="29" t="s">
        <v>0</v>
      </c>
      <c r="D15010" s="31">
        <v>19.690000000000001</v>
      </c>
      <c r="F15010" s="3" t="str">
        <f t="shared" si="234"/>
        <v>I3151</v>
      </c>
    </row>
    <row r="15011" spans="1:6" x14ac:dyDescent="0.2">
      <c r="A15011" s="29" t="s">
        <v>33548</v>
      </c>
      <c r="B15011" s="30" t="s">
        <v>33549</v>
      </c>
      <c r="C15011" s="29" t="s">
        <v>0</v>
      </c>
      <c r="D15011" s="31">
        <v>32.18</v>
      </c>
      <c r="F15011" s="3" t="str">
        <f t="shared" si="234"/>
        <v>I3152</v>
      </c>
    </row>
    <row r="15012" spans="1:6" x14ac:dyDescent="0.2">
      <c r="A15012" s="29" t="s">
        <v>33550</v>
      </c>
      <c r="B15012" s="30" t="s">
        <v>33551</v>
      </c>
      <c r="C15012" s="29" t="s">
        <v>0</v>
      </c>
      <c r="D15012" s="31">
        <v>14.38</v>
      </c>
      <c r="F15012" s="3" t="str">
        <f t="shared" si="234"/>
        <v>I3153</v>
      </c>
    </row>
    <row r="15013" spans="1:6" x14ac:dyDescent="0.2">
      <c r="A15013" s="29" t="s">
        <v>33552</v>
      </c>
      <c r="B15013" s="30" t="s">
        <v>33553</v>
      </c>
      <c r="C15013" s="29" t="s">
        <v>0</v>
      </c>
      <c r="D15013" s="31">
        <v>26.84</v>
      </c>
      <c r="F15013" s="3" t="str">
        <f t="shared" si="234"/>
        <v>I3154</v>
      </c>
    </row>
    <row r="15014" spans="1:6" x14ac:dyDescent="0.2">
      <c r="A15014" s="29" t="s">
        <v>33554</v>
      </c>
      <c r="B15014" s="30" t="s">
        <v>33555</v>
      </c>
      <c r="C15014" s="29" t="s">
        <v>0</v>
      </c>
      <c r="D15014" s="31">
        <v>48.57</v>
      </c>
      <c r="F15014" s="3" t="str">
        <f t="shared" si="234"/>
        <v>I3155</v>
      </c>
    </row>
    <row r="15015" spans="1:6" x14ac:dyDescent="0.2">
      <c r="A15015" s="29" t="s">
        <v>33556</v>
      </c>
      <c r="B15015" s="30" t="s">
        <v>33557</v>
      </c>
      <c r="C15015" s="29" t="s">
        <v>0</v>
      </c>
      <c r="D15015" s="31">
        <v>17.97</v>
      </c>
      <c r="F15015" s="3" t="str">
        <f t="shared" si="234"/>
        <v>I3156</v>
      </c>
    </row>
    <row r="15016" spans="1:6" x14ac:dyDescent="0.2">
      <c r="A15016" s="29" t="s">
        <v>33558</v>
      </c>
      <c r="B15016" s="30" t="s">
        <v>33559</v>
      </c>
      <c r="C15016" s="29" t="s">
        <v>0</v>
      </c>
      <c r="D15016" s="31">
        <v>35.51</v>
      </c>
      <c r="F15016" s="3" t="str">
        <f t="shared" si="234"/>
        <v>I3157</v>
      </c>
    </row>
    <row r="15017" spans="1:6" x14ac:dyDescent="0.2">
      <c r="A15017" s="29" t="s">
        <v>33560</v>
      </c>
      <c r="B15017" s="30" t="s">
        <v>33561</v>
      </c>
      <c r="C15017" s="29" t="s">
        <v>0</v>
      </c>
      <c r="D15017" s="31">
        <v>58.84</v>
      </c>
      <c r="F15017" s="3" t="str">
        <f t="shared" si="234"/>
        <v>I3158</v>
      </c>
    </row>
    <row r="15018" spans="1:6" x14ac:dyDescent="0.2">
      <c r="A15018" s="29" t="s">
        <v>33562</v>
      </c>
      <c r="B15018" s="30" t="s">
        <v>33563</v>
      </c>
      <c r="C15018" s="29" t="s">
        <v>0</v>
      </c>
      <c r="D15018" s="31">
        <v>17.57</v>
      </c>
      <c r="F15018" s="3" t="str">
        <f t="shared" si="234"/>
        <v>I3159</v>
      </c>
    </row>
    <row r="15019" spans="1:6" x14ac:dyDescent="0.2">
      <c r="A15019" s="29" t="s">
        <v>33564</v>
      </c>
      <c r="B15019" s="30" t="s">
        <v>33565</v>
      </c>
      <c r="C15019" s="29" t="s">
        <v>0</v>
      </c>
      <c r="D15019" s="31">
        <v>36.49</v>
      </c>
      <c r="F15019" s="3" t="str">
        <f t="shared" si="234"/>
        <v>I3160</v>
      </c>
    </row>
    <row r="15020" spans="1:6" x14ac:dyDescent="0.2">
      <c r="A15020" s="29" t="s">
        <v>33566</v>
      </c>
      <c r="B15020" s="30" t="s">
        <v>33567</v>
      </c>
      <c r="C15020" s="29" t="s">
        <v>0</v>
      </c>
      <c r="D15020" s="31">
        <v>59.31</v>
      </c>
      <c r="F15020" s="3" t="str">
        <f t="shared" si="234"/>
        <v>I3161</v>
      </c>
    </row>
    <row r="15021" spans="1:6" x14ac:dyDescent="0.2">
      <c r="A15021" s="29" t="s">
        <v>33568</v>
      </c>
      <c r="B15021" s="30" t="s">
        <v>33569</v>
      </c>
      <c r="C15021" s="29" t="s">
        <v>0</v>
      </c>
      <c r="D15021" s="31">
        <v>21.68</v>
      </c>
      <c r="F15021" s="3" t="str">
        <f t="shared" si="234"/>
        <v>I3162</v>
      </c>
    </row>
    <row r="15022" spans="1:6" x14ac:dyDescent="0.2">
      <c r="A15022" s="29" t="s">
        <v>33570</v>
      </c>
      <c r="B15022" s="30" t="s">
        <v>33571</v>
      </c>
      <c r="C15022" s="29" t="s">
        <v>0</v>
      </c>
      <c r="D15022" s="31">
        <v>42.58</v>
      </c>
      <c r="F15022" s="3" t="str">
        <f t="shared" si="234"/>
        <v>I3163</v>
      </c>
    </row>
    <row r="15023" spans="1:6" x14ac:dyDescent="0.2">
      <c r="A15023" s="29" t="s">
        <v>33572</v>
      </c>
      <c r="B15023" s="30" t="s">
        <v>33573</v>
      </c>
      <c r="C15023" s="29" t="s">
        <v>0</v>
      </c>
      <c r="D15023" s="31">
        <v>71.14</v>
      </c>
      <c r="F15023" s="3" t="str">
        <f t="shared" si="234"/>
        <v>I3164</v>
      </c>
    </row>
    <row r="15024" spans="1:6" x14ac:dyDescent="0.2">
      <c r="A15024" s="29" t="s">
        <v>33574</v>
      </c>
      <c r="B15024" s="30" t="s">
        <v>33575</v>
      </c>
      <c r="C15024" s="29" t="s">
        <v>0</v>
      </c>
      <c r="D15024" s="31">
        <v>26.65</v>
      </c>
      <c r="F15024" s="3" t="str">
        <f t="shared" si="234"/>
        <v>I3165</v>
      </c>
    </row>
    <row r="15025" spans="1:6" x14ac:dyDescent="0.2">
      <c r="A15025" s="29" t="s">
        <v>33576</v>
      </c>
      <c r="B15025" s="30" t="s">
        <v>33577</v>
      </c>
      <c r="C15025" s="29" t="s">
        <v>0</v>
      </c>
      <c r="D15025" s="31">
        <v>53.73</v>
      </c>
      <c r="F15025" s="3" t="str">
        <f t="shared" si="234"/>
        <v>I3166</v>
      </c>
    </row>
    <row r="15026" spans="1:6" x14ac:dyDescent="0.2">
      <c r="A15026" s="29" t="s">
        <v>33578</v>
      </c>
      <c r="B15026" s="30" t="s">
        <v>33579</v>
      </c>
      <c r="C15026" s="29" t="s">
        <v>0</v>
      </c>
      <c r="D15026" s="31">
        <v>88.95</v>
      </c>
      <c r="F15026" s="3" t="str">
        <f t="shared" si="234"/>
        <v>I3167</v>
      </c>
    </row>
    <row r="15027" spans="1:6" x14ac:dyDescent="0.2">
      <c r="A15027" s="29" t="s">
        <v>33580</v>
      </c>
      <c r="B15027" s="30" t="s">
        <v>33581</v>
      </c>
      <c r="C15027" s="29" t="s">
        <v>0</v>
      </c>
      <c r="D15027" s="31">
        <v>180.62</v>
      </c>
      <c r="F15027" s="3" t="str">
        <f t="shared" si="234"/>
        <v>I6941</v>
      </c>
    </row>
    <row r="15028" spans="1:6" x14ac:dyDescent="0.2">
      <c r="A15028" s="29" t="s">
        <v>33582</v>
      </c>
      <c r="B15028" s="30" t="s">
        <v>33583</v>
      </c>
      <c r="C15028" s="29" t="s">
        <v>0</v>
      </c>
      <c r="D15028" s="31">
        <v>328.89</v>
      </c>
      <c r="F15028" s="3" t="str">
        <f t="shared" si="234"/>
        <v>I6942</v>
      </c>
    </row>
    <row r="15029" spans="1:6" x14ac:dyDescent="0.2">
      <c r="A15029" s="29" t="s">
        <v>33584</v>
      </c>
      <c r="B15029" s="30" t="s">
        <v>33585</v>
      </c>
      <c r="C15029" s="29" t="s">
        <v>0</v>
      </c>
      <c r="D15029" s="31">
        <v>190.36</v>
      </c>
      <c r="F15029" s="3" t="str">
        <f t="shared" si="234"/>
        <v>I6943</v>
      </c>
    </row>
    <row r="15030" spans="1:6" x14ac:dyDescent="0.2">
      <c r="A15030" s="29" t="s">
        <v>33586</v>
      </c>
      <c r="B15030" s="30" t="s">
        <v>33587</v>
      </c>
      <c r="C15030" s="29" t="s">
        <v>0</v>
      </c>
      <c r="D15030" s="31">
        <v>363.61</v>
      </c>
      <c r="F15030" s="3" t="str">
        <f t="shared" si="234"/>
        <v>I6944</v>
      </c>
    </row>
    <row r="15031" spans="1:6" x14ac:dyDescent="0.2">
      <c r="A15031" s="29" t="s">
        <v>33588</v>
      </c>
      <c r="B15031" s="30" t="s">
        <v>33589</v>
      </c>
      <c r="C15031" s="29" t="s">
        <v>0</v>
      </c>
      <c r="D15031" s="31">
        <v>33.83</v>
      </c>
      <c r="F15031" s="3" t="str">
        <f t="shared" si="234"/>
        <v>I6948</v>
      </c>
    </row>
    <row r="15032" spans="1:6" x14ac:dyDescent="0.2">
      <c r="A15032" s="29" t="s">
        <v>33590</v>
      </c>
      <c r="B15032" s="30" t="s">
        <v>33591</v>
      </c>
      <c r="C15032" s="29" t="s">
        <v>0</v>
      </c>
      <c r="D15032" s="31">
        <v>65.319999999999993</v>
      </c>
      <c r="F15032" s="3" t="str">
        <f t="shared" si="234"/>
        <v>I6949</v>
      </c>
    </row>
    <row r="15033" spans="1:6" x14ac:dyDescent="0.2">
      <c r="A15033" s="29" t="s">
        <v>33592</v>
      </c>
      <c r="B15033" s="30" t="s">
        <v>33593</v>
      </c>
      <c r="C15033" s="29" t="s">
        <v>0</v>
      </c>
      <c r="D15033" s="31">
        <v>108.29</v>
      </c>
      <c r="F15033" s="3" t="str">
        <f t="shared" si="234"/>
        <v>I6945</v>
      </c>
    </row>
    <row r="15034" spans="1:6" x14ac:dyDescent="0.2">
      <c r="A15034" s="29" t="s">
        <v>33594</v>
      </c>
      <c r="B15034" s="30" t="s">
        <v>33595</v>
      </c>
      <c r="C15034" s="29" t="s">
        <v>0</v>
      </c>
      <c r="D15034" s="31">
        <v>224.23</v>
      </c>
      <c r="F15034" s="3" t="str">
        <f t="shared" si="234"/>
        <v>I6946</v>
      </c>
    </row>
    <row r="15035" spans="1:6" x14ac:dyDescent="0.2">
      <c r="A15035" s="29" t="s">
        <v>33596</v>
      </c>
      <c r="B15035" s="30" t="s">
        <v>33597</v>
      </c>
      <c r="C15035" s="29" t="s">
        <v>0</v>
      </c>
      <c r="D15035" s="31">
        <v>237.18</v>
      </c>
      <c r="F15035" s="3" t="str">
        <f t="shared" si="234"/>
        <v>I6947</v>
      </c>
    </row>
    <row r="15036" spans="1:6" x14ac:dyDescent="0.2">
      <c r="A15036" s="29" t="s">
        <v>33598</v>
      </c>
      <c r="B15036" s="30" t="s">
        <v>33599</v>
      </c>
      <c r="C15036" s="29" t="s">
        <v>0</v>
      </c>
      <c r="D15036" s="31">
        <v>61.38</v>
      </c>
      <c r="F15036" s="3" t="str">
        <f t="shared" si="234"/>
        <v>I6207</v>
      </c>
    </row>
    <row r="15037" spans="1:6" x14ac:dyDescent="0.2">
      <c r="A15037" s="29" t="s">
        <v>33600</v>
      </c>
      <c r="B15037" s="30" t="s">
        <v>33601</v>
      </c>
      <c r="C15037" s="29" t="s">
        <v>0</v>
      </c>
      <c r="D15037" s="31">
        <v>19.64</v>
      </c>
      <c r="F15037" s="3" t="str">
        <f t="shared" si="234"/>
        <v>I6208</v>
      </c>
    </row>
    <row r="15038" spans="1:6" x14ac:dyDescent="0.2">
      <c r="A15038" s="29" t="s">
        <v>33602</v>
      </c>
      <c r="B15038" s="30" t="s">
        <v>33603</v>
      </c>
      <c r="C15038" s="29" t="s">
        <v>0</v>
      </c>
      <c r="D15038" s="31">
        <v>40.29</v>
      </c>
      <c r="F15038" s="3" t="str">
        <f t="shared" si="234"/>
        <v>I6209</v>
      </c>
    </row>
    <row r="15039" spans="1:6" x14ac:dyDescent="0.2">
      <c r="A15039" s="29" t="s">
        <v>33604</v>
      </c>
      <c r="B15039" s="30" t="s">
        <v>33605</v>
      </c>
      <c r="C15039" s="29" t="s">
        <v>0</v>
      </c>
      <c r="D15039" s="31">
        <v>172.07</v>
      </c>
      <c r="F15039" s="3" t="str">
        <f t="shared" si="234"/>
        <v>I6210</v>
      </c>
    </row>
    <row r="15040" spans="1:6" x14ac:dyDescent="0.2">
      <c r="A15040" s="29" t="s">
        <v>33606</v>
      </c>
      <c r="B15040" s="30" t="s">
        <v>33607</v>
      </c>
      <c r="C15040" s="29" t="s">
        <v>0</v>
      </c>
      <c r="D15040" s="31">
        <v>216.3</v>
      </c>
      <c r="F15040" s="3" t="str">
        <f t="shared" si="234"/>
        <v>I6211</v>
      </c>
    </row>
    <row r="15041" spans="1:6" x14ac:dyDescent="0.2">
      <c r="A15041" s="29" t="s">
        <v>33608</v>
      </c>
      <c r="B15041" s="30" t="s">
        <v>33609</v>
      </c>
      <c r="C15041" s="29" t="s">
        <v>0</v>
      </c>
      <c r="D15041" s="31">
        <v>512.20000000000005</v>
      </c>
      <c r="F15041" s="3" t="str">
        <f t="shared" si="234"/>
        <v>I6212</v>
      </c>
    </row>
    <row r="15042" spans="1:6" x14ac:dyDescent="0.2">
      <c r="A15042" s="29" t="s">
        <v>33610</v>
      </c>
      <c r="B15042" s="30" t="s">
        <v>33611</v>
      </c>
      <c r="C15042" s="29" t="s">
        <v>0</v>
      </c>
      <c r="D15042" s="31">
        <v>216.09</v>
      </c>
      <c r="F15042" s="3" t="str">
        <f t="shared" ref="F15042:F15105" si="235">A15042</f>
        <v>I6213</v>
      </c>
    </row>
    <row r="15043" spans="1:6" x14ac:dyDescent="0.2">
      <c r="A15043" s="29" t="s">
        <v>33612</v>
      </c>
      <c r="B15043" s="30" t="s">
        <v>33613</v>
      </c>
      <c r="C15043" s="29" t="s">
        <v>0</v>
      </c>
      <c r="D15043" s="31">
        <v>14.02</v>
      </c>
      <c r="F15043" s="3" t="str">
        <f t="shared" si="235"/>
        <v>I3062</v>
      </c>
    </row>
    <row r="15044" spans="1:6" x14ac:dyDescent="0.2">
      <c r="A15044" s="29" t="s">
        <v>33614</v>
      </c>
      <c r="B15044" s="30" t="s">
        <v>33615</v>
      </c>
      <c r="C15044" s="29" t="s">
        <v>0</v>
      </c>
      <c r="D15044" s="31">
        <v>28.95</v>
      </c>
      <c r="F15044" s="3" t="str">
        <f t="shared" si="235"/>
        <v>I3063</v>
      </c>
    </row>
    <row r="15045" spans="1:6" x14ac:dyDescent="0.2">
      <c r="A15045" s="29" t="s">
        <v>33616</v>
      </c>
      <c r="B15045" s="30" t="s">
        <v>33617</v>
      </c>
      <c r="C15045" s="29" t="s">
        <v>0</v>
      </c>
      <c r="D15045" s="31">
        <v>29.86</v>
      </c>
      <c r="F15045" s="3" t="str">
        <f t="shared" si="235"/>
        <v>I3064</v>
      </c>
    </row>
    <row r="15046" spans="1:6" x14ac:dyDescent="0.2">
      <c r="A15046" s="29" t="s">
        <v>33618</v>
      </c>
      <c r="B15046" s="30" t="s">
        <v>33619</v>
      </c>
      <c r="C15046" s="29" t="s">
        <v>0</v>
      </c>
      <c r="D15046" s="31">
        <v>46.01</v>
      </c>
      <c r="F15046" s="3" t="str">
        <f t="shared" si="235"/>
        <v>I3065</v>
      </c>
    </row>
    <row r="15047" spans="1:6" x14ac:dyDescent="0.2">
      <c r="A15047" s="29" t="s">
        <v>33620</v>
      </c>
      <c r="B15047" s="30" t="s">
        <v>33621</v>
      </c>
      <c r="C15047" s="29" t="s">
        <v>0</v>
      </c>
      <c r="D15047" s="31">
        <v>79.069999999999993</v>
      </c>
      <c r="F15047" s="3" t="str">
        <f t="shared" si="235"/>
        <v>I3066</v>
      </c>
    </row>
    <row r="15048" spans="1:6" x14ac:dyDescent="0.2">
      <c r="A15048" s="29" t="s">
        <v>33622</v>
      </c>
      <c r="B15048" s="30" t="s">
        <v>33623</v>
      </c>
      <c r="C15048" s="29" t="s">
        <v>0</v>
      </c>
      <c r="D15048" s="31">
        <v>126.84</v>
      </c>
      <c r="F15048" s="3" t="str">
        <f t="shared" si="235"/>
        <v>I3067</v>
      </c>
    </row>
    <row r="15049" spans="1:6" x14ac:dyDescent="0.2">
      <c r="A15049" s="29" t="s">
        <v>33624</v>
      </c>
      <c r="B15049" s="30" t="s">
        <v>33625</v>
      </c>
      <c r="C15049" s="29" t="s">
        <v>0</v>
      </c>
      <c r="D15049" s="31">
        <v>199.76</v>
      </c>
      <c r="F15049" s="3" t="str">
        <f t="shared" si="235"/>
        <v>I3068</v>
      </c>
    </row>
    <row r="15050" spans="1:6" x14ac:dyDescent="0.2">
      <c r="A15050" s="29" t="s">
        <v>33626</v>
      </c>
      <c r="B15050" s="30" t="s">
        <v>33627</v>
      </c>
      <c r="C15050" s="29" t="s">
        <v>0</v>
      </c>
      <c r="D15050" s="31">
        <v>213.89</v>
      </c>
      <c r="F15050" s="3" t="str">
        <f t="shared" si="235"/>
        <v>I3069</v>
      </c>
    </row>
    <row r="15051" spans="1:6" x14ac:dyDescent="0.2">
      <c r="A15051" s="29" t="s">
        <v>33628</v>
      </c>
      <c r="B15051" s="30" t="s">
        <v>33629</v>
      </c>
      <c r="C15051" s="29" t="s">
        <v>0</v>
      </c>
      <c r="D15051" s="31">
        <v>38.83</v>
      </c>
      <c r="F15051" s="3" t="str">
        <f t="shared" si="235"/>
        <v>I6950</v>
      </c>
    </row>
    <row r="15052" spans="1:6" x14ac:dyDescent="0.2">
      <c r="A15052" s="29" t="s">
        <v>33630</v>
      </c>
      <c r="B15052" s="30" t="s">
        <v>33631</v>
      </c>
      <c r="C15052" s="29" t="s">
        <v>0</v>
      </c>
      <c r="D15052" s="31">
        <v>76.16</v>
      </c>
      <c r="F15052" s="3" t="str">
        <f t="shared" si="235"/>
        <v>I6951</v>
      </c>
    </row>
    <row r="15053" spans="1:6" x14ac:dyDescent="0.2">
      <c r="A15053" s="29" t="s">
        <v>33632</v>
      </c>
      <c r="B15053" s="30" t="s">
        <v>33633</v>
      </c>
      <c r="C15053" s="29" t="s">
        <v>0</v>
      </c>
      <c r="D15053" s="31">
        <v>129.35</v>
      </c>
      <c r="F15053" s="3" t="str">
        <f t="shared" si="235"/>
        <v>I6952</v>
      </c>
    </row>
    <row r="15054" spans="1:6" x14ac:dyDescent="0.2">
      <c r="A15054" s="29" t="s">
        <v>33634</v>
      </c>
      <c r="B15054" s="30" t="s">
        <v>33635</v>
      </c>
      <c r="C15054" s="29" t="s">
        <v>0</v>
      </c>
      <c r="D15054" s="31">
        <v>202.59</v>
      </c>
      <c r="F15054" s="3" t="str">
        <f t="shared" si="235"/>
        <v>I6953</v>
      </c>
    </row>
    <row r="15055" spans="1:6" x14ac:dyDescent="0.2">
      <c r="A15055" s="29" t="s">
        <v>33636</v>
      </c>
      <c r="B15055" s="30" t="s">
        <v>33637</v>
      </c>
      <c r="C15055" s="29" t="s">
        <v>0</v>
      </c>
      <c r="D15055" s="31">
        <v>311.83</v>
      </c>
      <c r="F15055" s="3" t="str">
        <f t="shared" si="235"/>
        <v>I6954</v>
      </c>
    </row>
    <row r="15056" spans="1:6" x14ac:dyDescent="0.2">
      <c r="A15056" s="29" t="s">
        <v>33638</v>
      </c>
      <c r="B15056" s="30" t="s">
        <v>33639</v>
      </c>
      <c r="C15056" s="29" t="s">
        <v>0</v>
      </c>
      <c r="D15056" s="31">
        <v>440.68</v>
      </c>
      <c r="F15056" s="3" t="str">
        <f t="shared" si="235"/>
        <v>I6955</v>
      </c>
    </row>
    <row r="15057" spans="1:6" x14ac:dyDescent="0.2">
      <c r="A15057" s="29" t="s">
        <v>33640</v>
      </c>
      <c r="B15057" s="30" t="s">
        <v>33641</v>
      </c>
      <c r="C15057" s="29" t="s">
        <v>0</v>
      </c>
      <c r="D15057" s="31">
        <v>513.23</v>
      </c>
      <c r="F15057" s="3" t="str">
        <f t="shared" si="235"/>
        <v>I6956</v>
      </c>
    </row>
    <row r="15058" spans="1:6" x14ac:dyDescent="0.2">
      <c r="A15058" s="29" t="s">
        <v>33642</v>
      </c>
      <c r="B15058" s="30" t="s">
        <v>33643</v>
      </c>
      <c r="C15058" s="29" t="s">
        <v>0</v>
      </c>
      <c r="D15058" s="31">
        <v>143.69999999999999</v>
      </c>
      <c r="F15058" s="3" t="str">
        <f t="shared" si="235"/>
        <v>I10189</v>
      </c>
    </row>
    <row r="15059" spans="1:6" x14ac:dyDescent="0.2">
      <c r="A15059" s="29" t="s">
        <v>33644</v>
      </c>
      <c r="B15059" s="30" t="s">
        <v>33645</v>
      </c>
      <c r="C15059" s="29" t="s">
        <v>0</v>
      </c>
      <c r="D15059" s="31">
        <v>185.8</v>
      </c>
      <c r="F15059" s="3" t="str">
        <f t="shared" si="235"/>
        <v>I10190</v>
      </c>
    </row>
    <row r="15060" spans="1:6" x14ac:dyDescent="0.2">
      <c r="A15060" s="29" t="s">
        <v>33646</v>
      </c>
      <c r="B15060" s="30" t="s">
        <v>33647</v>
      </c>
      <c r="C15060" s="29" t="s">
        <v>0</v>
      </c>
      <c r="D15060" s="31">
        <v>192.03</v>
      </c>
      <c r="F15060" s="3" t="str">
        <f t="shared" si="235"/>
        <v>I10191</v>
      </c>
    </row>
    <row r="15061" spans="1:6" x14ac:dyDescent="0.2">
      <c r="A15061" s="29" t="s">
        <v>33648</v>
      </c>
      <c r="B15061" s="30" t="s">
        <v>33649</v>
      </c>
      <c r="C15061" s="29" t="s">
        <v>0</v>
      </c>
      <c r="D15061" s="31">
        <v>272.81</v>
      </c>
      <c r="F15061" s="3" t="str">
        <f t="shared" si="235"/>
        <v>I10192</v>
      </c>
    </row>
    <row r="15062" spans="1:6" x14ac:dyDescent="0.2">
      <c r="A15062" s="29" t="s">
        <v>33650</v>
      </c>
      <c r="B15062" s="30" t="s">
        <v>33651</v>
      </c>
      <c r="C15062" s="29" t="s">
        <v>0</v>
      </c>
      <c r="D15062" s="31">
        <v>312.5</v>
      </c>
      <c r="F15062" s="3" t="str">
        <f t="shared" si="235"/>
        <v>I10193</v>
      </c>
    </row>
    <row r="15063" spans="1:6" x14ac:dyDescent="0.2">
      <c r="A15063" s="29" t="s">
        <v>33652</v>
      </c>
      <c r="B15063" s="30" t="s">
        <v>33653</v>
      </c>
      <c r="C15063" s="29" t="s">
        <v>0</v>
      </c>
      <c r="D15063" s="31">
        <v>391.89</v>
      </c>
      <c r="F15063" s="3" t="str">
        <f t="shared" si="235"/>
        <v>I10194</v>
      </c>
    </row>
    <row r="15064" spans="1:6" x14ac:dyDescent="0.2">
      <c r="A15064" s="29" t="s">
        <v>33654</v>
      </c>
      <c r="B15064" s="30" t="s">
        <v>33655</v>
      </c>
      <c r="C15064" s="29" t="s">
        <v>0</v>
      </c>
      <c r="D15064" s="31">
        <v>101.9</v>
      </c>
      <c r="F15064" s="3" t="str">
        <f t="shared" si="235"/>
        <v>I10195</v>
      </c>
    </row>
    <row r="15065" spans="1:6" x14ac:dyDescent="0.2">
      <c r="A15065" s="29" t="s">
        <v>33656</v>
      </c>
      <c r="B15065" s="30" t="s">
        <v>33657</v>
      </c>
      <c r="C15065" s="29" t="s">
        <v>0</v>
      </c>
      <c r="D15065" s="31">
        <v>211.63</v>
      </c>
      <c r="F15065" s="3" t="str">
        <f t="shared" si="235"/>
        <v>I10196</v>
      </c>
    </row>
    <row r="15066" spans="1:6" x14ac:dyDescent="0.2">
      <c r="A15066" s="29" t="s">
        <v>33658</v>
      </c>
      <c r="B15066" s="30" t="s">
        <v>33659</v>
      </c>
      <c r="C15066" s="29" t="s">
        <v>0</v>
      </c>
      <c r="D15066" s="31">
        <v>224.87</v>
      </c>
      <c r="F15066" s="3" t="str">
        <f t="shared" si="235"/>
        <v>I10197</v>
      </c>
    </row>
    <row r="15067" spans="1:6" x14ac:dyDescent="0.2">
      <c r="A15067" s="29" t="s">
        <v>33660</v>
      </c>
      <c r="B15067" s="30" t="s">
        <v>33661</v>
      </c>
      <c r="C15067" s="29" t="s">
        <v>0</v>
      </c>
      <c r="D15067" s="31">
        <v>238.13</v>
      </c>
      <c r="F15067" s="3" t="str">
        <f t="shared" si="235"/>
        <v>I10198</v>
      </c>
    </row>
    <row r="15068" spans="1:6" x14ac:dyDescent="0.2">
      <c r="A15068" s="29" t="s">
        <v>33662</v>
      </c>
      <c r="B15068" s="30" t="s">
        <v>33663</v>
      </c>
      <c r="C15068" s="29" t="s">
        <v>26</v>
      </c>
      <c r="D15068" s="31">
        <v>1320.64</v>
      </c>
      <c r="F15068" s="3" t="str">
        <f t="shared" si="235"/>
        <v>I11371</v>
      </c>
    </row>
    <row r="15069" spans="1:6" x14ac:dyDescent="0.2">
      <c r="A15069" s="29" t="s">
        <v>33664</v>
      </c>
      <c r="B15069" s="30" t="s">
        <v>33665</v>
      </c>
      <c r="C15069" s="29" t="s">
        <v>26</v>
      </c>
      <c r="D15069" s="31">
        <v>2243.4299999999998</v>
      </c>
      <c r="F15069" s="3" t="str">
        <f t="shared" si="235"/>
        <v>I11372</v>
      </c>
    </row>
    <row r="15070" spans="1:6" x14ac:dyDescent="0.2">
      <c r="A15070" s="29" t="s">
        <v>33666</v>
      </c>
      <c r="B15070" s="30" t="s">
        <v>33667</v>
      </c>
      <c r="C15070" s="29" t="s">
        <v>26</v>
      </c>
      <c r="D15070" s="31">
        <v>2594.23</v>
      </c>
      <c r="F15070" s="3" t="str">
        <f t="shared" si="235"/>
        <v>I11373</v>
      </c>
    </row>
    <row r="15071" spans="1:6" x14ac:dyDescent="0.2">
      <c r="A15071" s="29" t="s">
        <v>33668</v>
      </c>
      <c r="B15071" s="30" t="s">
        <v>33669</v>
      </c>
      <c r="C15071" s="29" t="s">
        <v>26</v>
      </c>
      <c r="D15071" s="31">
        <v>5023.41</v>
      </c>
      <c r="F15071" s="3" t="str">
        <f t="shared" si="235"/>
        <v>I11374</v>
      </c>
    </row>
    <row r="15072" spans="1:6" x14ac:dyDescent="0.2">
      <c r="A15072" s="29" t="s">
        <v>33670</v>
      </c>
      <c r="B15072" s="30" t="s">
        <v>33671</v>
      </c>
      <c r="C15072" s="29" t="s">
        <v>26</v>
      </c>
      <c r="D15072" s="31">
        <v>6545.74</v>
      </c>
      <c r="F15072" s="3" t="str">
        <f t="shared" si="235"/>
        <v>I11375</v>
      </c>
    </row>
    <row r="15073" spans="1:6" x14ac:dyDescent="0.2">
      <c r="A15073" s="29" t="s">
        <v>33672</v>
      </c>
      <c r="B15073" s="30" t="s">
        <v>33673</v>
      </c>
      <c r="C15073" s="29" t="s">
        <v>26</v>
      </c>
      <c r="D15073" s="31">
        <v>7018.57</v>
      </c>
      <c r="F15073" s="3" t="str">
        <f t="shared" si="235"/>
        <v>I11376</v>
      </c>
    </row>
    <row r="15074" spans="1:6" x14ac:dyDescent="0.2">
      <c r="A15074" s="29" t="s">
        <v>33674</v>
      </c>
      <c r="B15074" s="30" t="s">
        <v>33675</v>
      </c>
      <c r="C15074" s="29" t="s">
        <v>26</v>
      </c>
      <c r="D15074" s="31">
        <v>95721.52</v>
      </c>
      <c r="F15074" s="3" t="str">
        <f t="shared" si="235"/>
        <v>I11370</v>
      </c>
    </row>
    <row r="15075" spans="1:6" x14ac:dyDescent="0.2">
      <c r="A15075" s="29" t="s">
        <v>33676</v>
      </c>
      <c r="B15075" s="30" t="s">
        <v>33677</v>
      </c>
      <c r="C15075" s="29" t="s">
        <v>26</v>
      </c>
      <c r="D15075" s="31">
        <v>1240.02</v>
      </c>
      <c r="F15075" s="3" t="str">
        <f t="shared" si="235"/>
        <v>I11338</v>
      </c>
    </row>
    <row r="15076" spans="1:6" x14ac:dyDescent="0.2">
      <c r="A15076" s="29" t="s">
        <v>33678</v>
      </c>
      <c r="B15076" s="30" t="s">
        <v>33679</v>
      </c>
      <c r="C15076" s="29" t="s">
        <v>26</v>
      </c>
      <c r="D15076" s="31">
        <v>1957.94</v>
      </c>
      <c r="F15076" s="3" t="str">
        <f t="shared" si="235"/>
        <v>I11339</v>
      </c>
    </row>
    <row r="15077" spans="1:6" x14ac:dyDescent="0.2">
      <c r="A15077" s="29" t="s">
        <v>33680</v>
      </c>
      <c r="B15077" s="30" t="s">
        <v>33681</v>
      </c>
      <c r="C15077" s="29" t="s">
        <v>26</v>
      </c>
      <c r="D15077" s="31">
        <v>3094.03</v>
      </c>
      <c r="F15077" s="3" t="str">
        <f t="shared" si="235"/>
        <v>I11340</v>
      </c>
    </row>
    <row r="15078" spans="1:6" x14ac:dyDescent="0.2">
      <c r="A15078" s="29" t="s">
        <v>33682</v>
      </c>
      <c r="B15078" s="30" t="s">
        <v>33683</v>
      </c>
      <c r="C15078" s="29" t="s">
        <v>26</v>
      </c>
      <c r="D15078" s="31">
        <v>4641.05</v>
      </c>
      <c r="F15078" s="3" t="str">
        <f t="shared" si="235"/>
        <v>I11341</v>
      </c>
    </row>
    <row r="15079" spans="1:6" x14ac:dyDescent="0.2">
      <c r="A15079" s="29" t="s">
        <v>33684</v>
      </c>
      <c r="B15079" s="30" t="s">
        <v>33685</v>
      </c>
      <c r="C15079" s="29" t="s">
        <v>26</v>
      </c>
      <c r="D15079" s="31">
        <v>3819.19</v>
      </c>
      <c r="F15079" s="3" t="str">
        <f t="shared" si="235"/>
        <v>I11342</v>
      </c>
    </row>
    <row r="15080" spans="1:6" x14ac:dyDescent="0.2">
      <c r="A15080" s="29" t="s">
        <v>33686</v>
      </c>
      <c r="B15080" s="30" t="s">
        <v>33687</v>
      </c>
      <c r="C15080" s="29" t="s">
        <v>26</v>
      </c>
      <c r="D15080" s="31">
        <v>4302.6400000000003</v>
      </c>
      <c r="F15080" s="3" t="str">
        <f t="shared" si="235"/>
        <v>I11343</v>
      </c>
    </row>
    <row r="15081" spans="1:6" x14ac:dyDescent="0.2">
      <c r="A15081" s="29" t="s">
        <v>33688</v>
      </c>
      <c r="B15081" s="30" t="s">
        <v>33689</v>
      </c>
      <c r="C15081" s="29" t="s">
        <v>26</v>
      </c>
      <c r="D15081" s="31">
        <v>4467.01</v>
      </c>
      <c r="F15081" s="3" t="str">
        <f t="shared" si="235"/>
        <v>I11344</v>
      </c>
    </row>
    <row r="15082" spans="1:6" x14ac:dyDescent="0.2">
      <c r="A15082" s="29" t="s">
        <v>33690</v>
      </c>
      <c r="B15082" s="30" t="s">
        <v>33691</v>
      </c>
      <c r="C15082" s="29" t="s">
        <v>26</v>
      </c>
      <c r="D15082" s="31">
        <v>4370.5600000000004</v>
      </c>
      <c r="F15082" s="3" t="str">
        <f t="shared" si="235"/>
        <v>I11345</v>
      </c>
    </row>
    <row r="15083" spans="1:6" x14ac:dyDescent="0.2">
      <c r="A15083" s="29" t="s">
        <v>33692</v>
      </c>
      <c r="B15083" s="30" t="s">
        <v>33693</v>
      </c>
      <c r="C15083" s="29" t="s">
        <v>26</v>
      </c>
      <c r="D15083" s="31">
        <v>6091.38</v>
      </c>
      <c r="F15083" s="3" t="str">
        <f t="shared" si="235"/>
        <v>I11346</v>
      </c>
    </row>
    <row r="15084" spans="1:6" x14ac:dyDescent="0.2">
      <c r="A15084" s="29" t="s">
        <v>33694</v>
      </c>
      <c r="B15084" s="30" t="s">
        <v>33695</v>
      </c>
      <c r="C15084" s="29" t="s">
        <v>26</v>
      </c>
      <c r="D15084" s="31">
        <v>6802.03</v>
      </c>
      <c r="F15084" s="3" t="str">
        <f t="shared" si="235"/>
        <v>I11347</v>
      </c>
    </row>
    <row r="15085" spans="1:6" x14ac:dyDescent="0.2">
      <c r="A15085" s="29" t="s">
        <v>33696</v>
      </c>
      <c r="B15085" s="30" t="s">
        <v>33697</v>
      </c>
      <c r="C15085" s="29" t="s">
        <v>26</v>
      </c>
      <c r="D15085" s="31">
        <v>6243.65</v>
      </c>
      <c r="F15085" s="3" t="str">
        <f t="shared" si="235"/>
        <v>I11348</v>
      </c>
    </row>
    <row r="15086" spans="1:6" x14ac:dyDescent="0.2">
      <c r="A15086" s="29" t="s">
        <v>33698</v>
      </c>
      <c r="B15086" s="30" t="s">
        <v>33699</v>
      </c>
      <c r="C15086" s="29" t="s">
        <v>26</v>
      </c>
      <c r="D15086" s="31">
        <v>5015.78</v>
      </c>
      <c r="F15086" s="3" t="str">
        <f t="shared" si="235"/>
        <v>I11349</v>
      </c>
    </row>
    <row r="15087" spans="1:6" x14ac:dyDescent="0.2">
      <c r="A15087" s="29" t="s">
        <v>33700</v>
      </c>
      <c r="B15087" s="30" t="s">
        <v>33701</v>
      </c>
      <c r="C15087" s="29" t="s">
        <v>26</v>
      </c>
      <c r="D15087" s="31">
        <v>5772</v>
      </c>
      <c r="F15087" s="3" t="str">
        <f t="shared" si="235"/>
        <v>I11350</v>
      </c>
    </row>
    <row r="15088" spans="1:6" x14ac:dyDescent="0.2">
      <c r="A15088" s="29" t="s">
        <v>33702</v>
      </c>
      <c r="B15088" s="30" t="s">
        <v>33703</v>
      </c>
      <c r="C15088" s="29" t="s">
        <v>26</v>
      </c>
      <c r="D15088" s="31">
        <v>7817.26</v>
      </c>
      <c r="F15088" s="3" t="str">
        <f t="shared" si="235"/>
        <v>I11351</v>
      </c>
    </row>
    <row r="15089" spans="1:6" x14ac:dyDescent="0.2">
      <c r="A15089" s="29" t="s">
        <v>33704</v>
      </c>
      <c r="B15089" s="30" t="s">
        <v>33705</v>
      </c>
      <c r="C15089" s="29" t="s">
        <v>26</v>
      </c>
      <c r="D15089" s="31">
        <v>7360.4</v>
      </c>
      <c r="F15089" s="3" t="str">
        <f t="shared" si="235"/>
        <v>I11352</v>
      </c>
    </row>
    <row r="15090" spans="1:6" x14ac:dyDescent="0.2">
      <c r="A15090" s="29" t="s">
        <v>33706</v>
      </c>
      <c r="B15090" s="30" t="s">
        <v>33707</v>
      </c>
      <c r="C15090" s="29" t="s">
        <v>26</v>
      </c>
      <c r="D15090" s="31">
        <v>10304.56</v>
      </c>
      <c r="F15090" s="3" t="str">
        <f t="shared" si="235"/>
        <v>I11353</v>
      </c>
    </row>
    <row r="15091" spans="1:6" x14ac:dyDescent="0.2">
      <c r="A15091" s="29" t="s">
        <v>33708</v>
      </c>
      <c r="B15091" s="30" t="s">
        <v>33709</v>
      </c>
      <c r="C15091" s="29" t="s">
        <v>26</v>
      </c>
      <c r="D15091" s="31">
        <v>14590.29</v>
      </c>
      <c r="F15091" s="3" t="str">
        <f t="shared" si="235"/>
        <v>I11354</v>
      </c>
    </row>
    <row r="15092" spans="1:6" x14ac:dyDescent="0.2">
      <c r="A15092" s="29" t="s">
        <v>33710</v>
      </c>
      <c r="B15092" s="30" t="s">
        <v>33711</v>
      </c>
      <c r="C15092" s="29" t="s">
        <v>26</v>
      </c>
      <c r="D15092" s="31">
        <v>12539.28</v>
      </c>
      <c r="F15092" s="3" t="str">
        <f t="shared" si="235"/>
        <v>I11355</v>
      </c>
    </row>
    <row r="15093" spans="1:6" x14ac:dyDescent="0.2">
      <c r="A15093" s="29" t="s">
        <v>33712</v>
      </c>
      <c r="B15093" s="30" t="s">
        <v>33713</v>
      </c>
      <c r="C15093" s="29" t="s">
        <v>26</v>
      </c>
      <c r="D15093" s="31">
        <v>16116.76</v>
      </c>
      <c r="F15093" s="3" t="str">
        <f t="shared" si="235"/>
        <v>I11356</v>
      </c>
    </row>
    <row r="15094" spans="1:6" x14ac:dyDescent="0.2">
      <c r="A15094" s="29" t="s">
        <v>33714</v>
      </c>
      <c r="B15094" s="30" t="s">
        <v>33715</v>
      </c>
      <c r="C15094" s="29" t="s">
        <v>26</v>
      </c>
      <c r="D15094" s="31">
        <v>19478.330000000002</v>
      </c>
      <c r="F15094" s="3" t="str">
        <f t="shared" si="235"/>
        <v>I11357</v>
      </c>
    </row>
    <row r="15095" spans="1:6" x14ac:dyDescent="0.2">
      <c r="A15095" s="29" t="s">
        <v>33716</v>
      </c>
      <c r="B15095" s="30" t="s">
        <v>33717</v>
      </c>
      <c r="C15095" s="29" t="s">
        <v>26</v>
      </c>
      <c r="D15095" s="31">
        <v>12607.21</v>
      </c>
      <c r="F15095" s="3" t="str">
        <f t="shared" si="235"/>
        <v>I11358</v>
      </c>
    </row>
    <row r="15096" spans="1:6" x14ac:dyDescent="0.2">
      <c r="A15096" s="29" t="s">
        <v>33718</v>
      </c>
      <c r="B15096" s="30" t="s">
        <v>33719</v>
      </c>
      <c r="C15096" s="29" t="s">
        <v>26</v>
      </c>
      <c r="D15096" s="31">
        <v>12129.57</v>
      </c>
      <c r="F15096" s="3" t="str">
        <f t="shared" si="235"/>
        <v>I11359</v>
      </c>
    </row>
    <row r="15097" spans="1:6" x14ac:dyDescent="0.2">
      <c r="A15097" s="29" t="s">
        <v>33720</v>
      </c>
      <c r="B15097" s="30" t="s">
        <v>33721</v>
      </c>
      <c r="C15097" s="29" t="s">
        <v>26</v>
      </c>
      <c r="D15097" s="31">
        <v>12443.81</v>
      </c>
      <c r="F15097" s="3" t="str">
        <f t="shared" si="235"/>
        <v>I11360</v>
      </c>
    </row>
    <row r="15098" spans="1:6" x14ac:dyDescent="0.2">
      <c r="A15098" s="29" t="s">
        <v>33722</v>
      </c>
      <c r="B15098" s="30" t="s">
        <v>33723</v>
      </c>
      <c r="C15098" s="29" t="s">
        <v>26</v>
      </c>
      <c r="D15098" s="31">
        <v>14706.3</v>
      </c>
      <c r="F15098" s="3" t="str">
        <f t="shared" si="235"/>
        <v>I11361</v>
      </c>
    </row>
    <row r="15099" spans="1:6" x14ac:dyDescent="0.2">
      <c r="A15099" s="29" t="s">
        <v>33724</v>
      </c>
      <c r="B15099" s="30" t="s">
        <v>33725</v>
      </c>
      <c r="C15099" s="29" t="s">
        <v>26</v>
      </c>
      <c r="D15099" s="31">
        <v>15837.56</v>
      </c>
      <c r="F15099" s="3" t="str">
        <f t="shared" si="235"/>
        <v>I11362</v>
      </c>
    </row>
    <row r="15100" spans="1:6" x14ac:dyDescent="0.2">
      <c r="A15100" s="29" t="s">
        <v>33726</v>
      </c>
      <c r="B15100" s="30" t="s">
        <v>33727</v>
      </c>
      <c r="C15100" s="29" t="s">
        <v>26</v>
      </c>
      <c r="D15100" s="31">
        <v>22625.08</v>
      </c>
      <c r="F15100" s="3" t="str">
        <f t="shared" si="235"/>
        <v>I11363</v>
      </c>
    </row>
    <row r="15101" spans="1:6" x14ac:dyDescent="0.2">
      <c r="A15101" s="29" t="s">
        <v>33728</v>
      </c>
      <c r="B15101" s="30" t="s">
        <v>33729</v>
      </c>
      <c r="C15101" s="29" t="s">
        <v>26</v>
      </c>
      <c r="D15101" s="31">
        <v>22555.96</v>
      </c>
      <c r="F15101" s="3" t="str">
        <f t="shared" si="235"/>
        <v>I11364</v>
      </c>
    </row>
    <row r="15102" spans="1:6" x14ac:dyDescent="0.2">
      <c r="A15102" s="29" t="s">
        <v>33730</v>
      </c>
      <c r="B15102" s="30" t="s">
        <v>33731</v>
      </c>
      <c r="C15102" s="29" t="s">
        <v>26</v>
      </c>
      <c r="D15102" s="31">
        <v>17597.29</v>
      </c>
      <c r="F15102" s="3" t="str">
        <f t="shared" si="235"/>
        <v>I11365</v>
      </c>
    </row>
    <row r="15103" spans="1:6" x14ac:dyDescent="0.2">
      <c r="A15103" s="29" t="s">
        <v>33732</v>
      </c>
      <c r="B15103" s="30" t="s">
        <v>33733</v>
      </c>
      <c r="C15103" s="29" t="s">
        <v>26</v>
      </c>
      <c r="D15103" s="31">
        <v>37225.03</v>
      </c>
      <c r="F15103" s="3" t="str">
        <f t="shared" si="235"/>
        <v>I11366</v>
      </c>
    </row>
    <row r="15104" spans="1:6" x14ac:dyDescent="0.2">
      <c r="A15104" s="29" t="s">
        <v>33734</v>
      </c>
      <c r="B15104" s="30" t="s">
        <v>33735</v>
      </c>
      <c r="C15104" s="29" t="s">
        <v>26</v>
      </c>
      <c r="D15104" s="31">
        <v>21754.880000000001</v>
      </c>
      <c r="F15104" s="3" t="str">
        <f t="shared" si="235"/>
        <v>I11367</v>
      </c>
    </row>
    <row r="15105" spans="1:6" x14ac:dyDescent="0.2">
      <c r="A15105" s="29" t="s">
        <v>33736</v>
      </c>
      <c r="B15105" s="30" t="s">
        <v>33737</v>
      </c>
      <c r="C15105" s="29" t="s">
        <v>26</v>
      </c>
      <c r="D15105" s="31">
        <v>40609.129999999997</v>
      </c>
      <c r="F15105" s="3" t="str">
        <f t="shared" si="235"/>
        <v>I11368</v>
      </c>
    </row>
    <row r="15106" spans="1:6" x14ac:dyDescent="0.2">
      <c r="A15106" s="29" t="s">
        <v>33738</v>
      </c>
      <c r="B15106" s="30" t="s">
        <v>33739</v>
      </c>
      <c r="C15106" s="29" t="s">
        <v>26</v>
      </c>
      <c r="D15106" s="31">
        <v>68890.490000000005</v>
      </c>
      <c r="F15106" s="3" t="str">
        <f t="shared" ref="F15106:F15169" si="236">A15106</f>
        <v>I11369</v>
      </c>
    </row>
    <row r="15107" spans="1:6" x14ac:dyDescent="0.2">
      <c r="A15107" s="29" t="s">
        <v>33740</v>
      </c>
      <c r="B15107" s="30" t="s">
        <v>33741</v>
      </c>
      <c r="C15107" s="29" t="s">
        <v>26</v>
      </c>
      <c r="D15107" s="31">
        <v>865.31</v>
      </c>
      <c r="F15107" s="3" t="str">
        <f t="shared" si="236"/>
        <v>I11464</v>
      </c>
    </row>
    <row r="15108" spans="1:6" x14ac:dyDescent="0.2">
      <c r="A15108" s="29" t="s">
        <v>33742</v>
      </c>
      <c r="B15108" s="30" t="s">
        <v>33743</v>
      </c>
      <c r="C15108" s="29" t="s">
        <v>26</v>
      </c>
      <c r="D15108" s="31">
        <v>83231.19</v>
      </c>
      <c r="F15108" s="3" t="str">
        <f t="shared" si="236"/>
        <v>I11457</v>
      </c>
    </row>
    <row r="15109" spans="1:6" x14ac:dyDescent="0.2">
      <c r="A15109" s="29" t="s">
        <v>33744</v>
      </c>
      <c r="B15109" s="30" t="s">
        <v>33745</v>
      </c>
      <c r="C15109" s="29" t="s">
        <v>26</v>
      </c>
      <c r="D15109" s="31">
        <v>92137.54</v>
      </c>
      <c r="F15109" s="3" t="str">
        <f t="shared" si="236"/>
        <v>I11536</v>
      </c>
    </row>
    <row r="15110" spans="1:6" x14ac:dyDescent="0.2">
      <c r="A15110" s="29" t="s">
        <v>33746</v>
      </c>
      <c r="B15110" s="30" t="s">
        <v>33747</v>
      </c>
      <c r="C15110" s="29" t="s">
        <v>26</v>
      </c>
      <c r="D15110" s="31">
        <v>40451.75</v>
      </c>
      <c r="F15110" s="3" t="str">
        <f t="shared" si="236"/>
        <v>I11453</v>
      </c>
    </row>
    <row r="15111" spans="1:6" x14ac:dyDescent="0.2">
      <c r="A15111" s="29" t="s">
        <v>33748</v>
      </c>
      <c r="B15111" s="30" t="s">
        <v>33749</v>
      </c>
      <c r="C15111" s="29" t="s">
        <v>26</v>
      </c>
      <c r="D15111" s="31">
        <v>41048.18</v>
      </c>
      <c r="F15111" s="3" t="str">
        <f t="shared" si="236"/>
        <v>I11532</v>
      </c>
    </row>
    <row r="15112" spans="1:6" x14ac:dyDescent="0.2">
      <c r="A15112" s="29" t="s">
        <v>33750</v>
      </c>
      <c r="B15112" s="30" t="s">
        <v>33751</v>
      </c>
      <c r="C15112" s="29" t="s">
        <v>26</v>
      </c>
      <c r="D15112" s="31">
        <v>48324.66</v>
      </c>
      <c r="F15112" s="3" t="str">
        <f t="shared" si="236"/>
        <v>I11454</v>
      </c>
    </row>
    <row r="15113" spans="1:6" x14ac:dyDescent="0.2">
      <c r="A15113" s="29" t="s">
        <v>33752</v>
      </c>
      <c r="B15113" s="30" t="s">
        <v>33753</v>
      </c>
      <c r="C15113" s="29" t="s">
        <v>26</v>
      </c>
      <c r="D15113" s="31">
        <v>49640.03</v>
      </c>
      <c r="F15113" s="3" t="str">
        <f t="shared" si="236"/>
        <v>I11533</v>
      </c>
    </row>
    <row r="15114" spans="1:6" x14ac:dyDescent="0.2">
      <c r="A15114" s="29" t="s">
        <v>33754</v>
      </c>
      <c r="B15114" s="30" t="s">
        <v>33755</v>
      </c>
      <c r="C15114" s="29" t="s">
        <v>26</v>
      </c>
      <c r="D15114" s="31">
        <v>72147.12</v>
      </c>
      <c r="F15114" s="3" t="str">
        <f t="shared" si="236"/>
        <v>I11455</v>
      </c>
    </row>
    <row r="15115" spans="1:6" x14ac:dyDescent="0.2">
      <c r="A15115" s="29" t="s">
        <v>33756</v>
      </c>
      <c r="B15115" s="30" t="s">
        <v>33757</v>
      </c>
      <c r="C15115" s="29" t="s">
        <v>26</v>
      </c>
      <c r="D15115" s="31">
        <v>73611.27</v>
      </c>
      <c r="F15115" s="3" t="str">
        <f t="shared" si="236"/>
        <v>I11534</v>
      </c>
    </row>
    <row r="15116" spans="1:6" x14ac:dyDescent="0.2">
      <c r="A15116" s="29" t="s">
        <v>33758</v>
      </c>
      <c r="B15116" s="30" t="s">
        <v>33759</v>
      </c>
      <c r="C15116" s="29" t="s">
        <v>26</v>
      </c>
      <c r="D15116" s="31">
        <v>79694.47</v>
      </c>
      <c r="F15116" s="3" t="str">
        <f t="shared" si="236"/>
        <v>I11456</v>
      </c>
    </row>
    <row r="15117" spans="1:6" x14ac:dyDescent="0.2">
      <c r="A15117" s="29" t="s">
        <v>33760</v>
      </c>
      <c r="B15117" s="30" t="s">
        <v>33761</v>
      </c>
      <c r="C15117" s="29" t="s">
        <v>26</v>
      </c>
      <c r="D15117" s="31">
        <v>82452.72</v>
      </c>
      <c r="F15117" s="3" t="str">
        <f t="shared" si="236"/>
        <v>I11535</v>
      </c>
    </row>
    <row r="15118" spans="1:6" x14ac:dyDescent="0.2">
      <c r="A15118" s="29" t="s">
        <v>33762</v>
      </c>
      <c r="B15118" s="30" t="s">
        <v>33763</v>
      </c>
      <c r="C15118" s="29" t="s">
        <v>26</v>
      </c>
      <c r="D15118" s="31">
        <v>109680.91</v>
      </c>
      <c r="F15118" s="3" t="str">
        <f t="shared" si="236"/>
        <v>I11462</v>
      </c>
    </row>
    <row r="15119" spans="1:6" x14ac:dyDescent="0.2">
      <c r="A15119" s="29" t="s">
        <v>33764</v>
      </c>
      <c r="B15119" s="30" t="s">
        <v>33765</v>
      </c>
      <c r="C15119" s="29" t="s">
        <v>26</v>
      </c>
      <c r="D15119" s="31">
        <v>119651.9</v>
      </c>
      <c r="F15119" s="3" t="str">
        <f t="shared" si="236"/>
        <v>I11542</v>
      </c>
    </row>
    <row r="15120" spans="1:6" x14ac:dyDescent="0.2">
      <c r="A15120" s="29" t="s">
        <v>33766</v>
      </c>
      <c r="B15120" s="30" t="s">
        <v>33767</v>
      </c>
      <c r="C15120" s="29" t="s">
        <v>26</v>
      </c>
      <c r="D15120" s="31">
        <v>200416.92</v>
      </c>
      <c r="F15120" s="3" t="str">
        <f t="shared" si="236"/>
        <v>I11463</v>
      </c>
    </row>
    <row r="15121" spans="1:6" x14ac:dyDescent="0.2">
      <c r="A15121" s="29" t="s">
        <v>33768</v>
      </c>
      <c r="B15121" s="30" t="s">
        <v>33769</v>
      </c>
      <c r="C15121" s="29" t="s">
        <v>26</v>
      </c>
      <c r="D15121" s="31">
        <v>218636.65</v>
      </c>
      <c r="F15121" s="3" t="str">
        <f t="shared" si="236"/>
        <v>I11543</v>
      </c>
    </row>
    <row r="15122" spans="1:6" x14ac:dyDescent="0.2">
      <c r="A15122" s="29" t="s">
        <v>33770</v>
      </c>
      <c r="B15122" s="30" t="s">
        <v>33771</v>
      </c>
      <c r="C15122" s="29" t="s">
        <v>26</v>
      </c>
      <c r="D15122" s="31">
        <v>48275.199999999997</v>
      </c>
      <c r="F15122" s="3" t="str">
        <f t="shared" si="236"/>
        <v>I11458</v>
      </c>
    </row>
    <row r="15123" spans="1:6" x14ac:dyDescent="0.2">
      <c r="A15123" s="29" t="s">
        <v>33772</v>
      </c>
      <c r="B15123" s="30" t="s">
        <v>33773</v>
      </c>
      <c r="C15123" s="29" t="s">
        <v>26</v>
      </c>
      <c r="D15123" s="31">
        <v>50393.07</v>
      </c>
      <c r="F15123" s="3" t="str">
        <f t="shared" si="236"/>
        <v>I11537</v>
      </c>
    </row>
    <row r="15124" spans="1:6" x14ac:dyDescent="0.2">
      <c r="A15124" s="29" t="s">
        <v>33774</v>
      </c>
      <c r="B15124" s="30" t="s">
        <v>33775</v>
      </c>
      <c r="C15124" s="29" t="s">
        <v>26</v>
      </c>
      <c r="D15124" s="31">
        <v>25400.35</v>
      </c>
      <c r="F15124" s="3" t="str">
        <f t="shared" si="236"/>
        <v>I11538</v>
      </c>
    </row>
    <row r="15125" spans="1:6" x14ac:dyDescent="0.2">
      <c r="A15125" s="29" t="s">
        <v>33776</v>
      </c>
      <c r="B15125" s="30" t="s">
        <v>33777</v>
      </c>
      <c r="C15125" s="29" t="s">
        <v>26</v>
      </c>
      <c r="D15125" s="31">
        <v>60096.43</v>
      </c>
      <c r="F15125" s="3" t="str">
        <f t="shared" si="236"/>
        <v>I11459</v>
      </c>
    </row>
    <row r="15126" spans="1:6" x14ac:dyDescent="0.2">
      <c r="A15126" s="29" t="s">
        <v>33778</v>
      </c>
      <c r="B15126" s="30" t="s">
        <v>33779</v>
      </c>
      <c r="C15126" s="29" t="s">
        <v>26</v>
      </c>
      <c r="D15126" s="31">
        <v>59394.37</v>
      </c>
      <c r="F15126" s="3" t="str">
        <f t="shared" si="236"/>
        <v>I11539</v>
      </c>
    </row>
    <row r="15127" spans="1:6" x14ac:dyDescent="0.2">
      <c r="A15127" s="29" t="s">
        <v>33780</v>
      </c>
      <c r="B15127" s="30" t="s">
        <v>33781</v>
      </c>
      <c r="C15127" s="29" t="s">
        <v>26</v>
      </c>
      <c r="D15127" s="31">
        <v>90161.22</v>
      </c>
      <c r="F15127" s="3" t="str">
        <f t="shared" si="236"/>
        <v>I11460</v>
      </c>
    </row>
    <row r="15128" spans="1:6" x14ac:dyDescent="0.2">
      <c r="A15128" s="29" t="s">
        <v>33782</v>
      </c>
      <c r="B15128" s="30" t="s">
        <v>33783</v>
      </c>
      <c r="C15128" s="29" t="s">
        <v>26</v>
      </c>
      <c r="D15128" s="31">
        <v>93148.53</v>
      </c>
      <c r="F15128" s="3" t="str">
        <f t="shared" si="236"/>
        <v>I11540</v>
      </c>
    </row>
    <row r="15129" spans="1:6" x14ac:dyDescent="0.2">
      <c r="A15129" s="29" t="s">
        <v>33784</v>
      </c>
      <c r="B15129" s="30" t="s">
        <v>33785</v>
      </c>
      <c r="C15129" s="29" t="s">
        <v>26</v>
      </c>
      <c r="D15129" s="31">
        <v>105244.45</v>
      </c>
      <c r="F15129" s="3" t="str">
        <f t="shared" si="236"/>
        <v>I11461</v>
      </c>
    </row>
    <row r="15130" spans="1:6" x14ac:dyDescent="0.2">
      <c r="A15130" s="29" t="s">
        <v>33786</v>
      </c>
      <c r="B15130" s="30" t="s">
        <v>33787</v>
      </c>
      <c r="C15130" s="29" t="s">
        <v>26</v>
      </c>
      <c r="D15130" s="31">
        <v>106572.3</v>
      </c>
      <c r="F15130" s="3" t="str">
        <f t="shared" si="236"/>
        <v>I11541</v>
      </c>
    </row>
    <row r="15131" spans="1:6" x14ac:dyDescent="0.2">
      <c r="A15131" s="29" t="s">
        <v>33788</v>
      </c>
      <c r="B15131" s="30" t="s">
        <v>33789</v>
      </c>
      <c r="C15131" s="29" t="s">
        <v>26</v>
      </c>
      <c r="D15131" s="31">
        <v>923.53</v>
      </c>
      <c r="F15131" s="3" t="str">
        <f t="shared" si="236"/>
        <v>I11465</v>
      </c>
    </row>
    <row r="15132" spans="1:6" x14ac:dyDescent="0.2">
      <c r="A15132" s="29" t="s">
        <v>33790</v>
      </c>
      <c r="B15132" s="30" t="s">
        <v>33791</v>
      </c>
      <c r="C15132" s="29" t="s">
        <v>26</v>
      </c>
      <c r="D15132" s="31">
        <v>1082.27</v>
      </c>
      <c r="F15132" s="3" t="str">
        <f t="shared" si="236"/>
        <v>I11466</v>
      </c>
    </row>
    <row r="15133" spans="1:6" x14ac:dyDescent="0.2">
      <c r="A15133" s="29" t="s">
        <v>33792</v>
      </c>
      <c r="B15133" s="30" t="s">
        <v>33793</v>
      </c>
      <c r="C15133" s="29" t="s">
        <v>26</v>
      </c>
      <c r="D15133" s="31">
        <v>1357.37</v>
      </c>
      <c r="F15133" s="3" t="str">
        <f t="shared" si="236"/>
        <v>I11467</v>
      </c>
    </row>
    <row r="15134" spans="1:6" x14ac:dyDescent="0.2">
      <c r="A15134" s="29" t="s">
        <v>33794</v>
      </c>
      <c r="B15134" s="30" t="s">
        <v>33795</v>
      </c>
      <c r="C15134" s="29" t="s">
        <v>26</v>
      </c>
      <c r="D15134" s="31">
        <v>1350.25</v>
      </c>
      <c r="F15134" s="3" t="str">
        <f t="shared" si="236"/>
        <v>I11468</v>
      </c>
    </row>
    <row r="15135" spans="1:6" x14ac:dyDescent="0.2">
      <c r="A15135" s="29" t="s">
        <v>33796</v>
      </c>
      <c r="B15135" s="30" t="s">
        <v>33797</v>
      </c>
      <c r="C15135" s="29" t="s">
        <v>26</v>
      </c>
      <c r="D15135" s="31">
        <v>1286.26</v>
      </c>
      <c r="F15135" s="3" t="str">
        <f t="shared" si="236"/>
        <v>I11404</v>
      </c>
    </row>
    <row r="15136" spans="1:6" x14ac:dyDescent="0.2">
      <c r="A15136" s="29" t="s">
        <v>33798</v>
      </c>
      <c r="B15136" s="30" t="s">
        <v>33799</v>
      </c>
      <c r="C15136" s="29" t="s">
        <v>26</v>
      </c>
      <c r="D15136" s="31">
        <v>1372.2</v>
      </c>
      <c r="F15136" s="3" t="str">
        <f t="shared" si="236"/>
        <v>I11469</v>
      </c>
    </row>
    <row r="15137" spans="1:6" x14ac:dyDescent="0.2">
      <c r="A15137" s="29" t="s">
        <v>33800</v>
      </c>
      <c r="B15137" s="30" t="s">
        <v>33801</v>
      </c>
      <c r="C15137" s="29" t="s">
        <v>26</v>
      </c>
      <c r="D15137" s="31">
        <v>1561.84</v>
      </c>
      <c r="F15137" s="3" t="str">
        <f t="shared" si="236"/>
        <v>I11470</v>
      </c>
    </row>
    <row r="15138" spans="1:6" x14ac:dyDescent="0.2">
      <c r="A15138" s="29" t="s">
        <v>33802</v>
      </c>
      <c r="B15138" s="30" t="s">
        <v>33803</v>
      </c>
      <c r="C15138" s="29" t="s">
        <v>26</v>
      </c>
      <c r="D15138" s="31">
        <v>2026.82</v>
      </c>
      <c r="F15138" s="3" t="str">
        <f t="shared" si="236"/>
        <v>I11377</v>
      </c>
    </row>
    <row r="15139" spans="1:6" x14ac:dyDescent="0.2">
      <c r="A15139" s="29" t="s">
        <v>33804</v>
      </c>
      <c r="B15139" s="30" t="s">
        <v>33805</v>
      </c>
      <c r="C15139" s="29" t="s">
        <v>26</v>
      </c>
      <c r="D15139" s="31">
        <v>2432.1999999999998</v>
      </c>
      <c r="F15139" s="3" t="str">
        <f t="shared" si="236"/>
        <v>I11471</v>
      </c>
    </row>
    <row r="15140" spans="1:6" x14ac:dyDescent="0.2">
      <c r="A15140" s="29" t="s">
        <v>33806</v>
      </c>
      <c r="B15140" s="30" t="s">
        <v>33807</v>
      </c>
      <c r="C15140" s="29" t="s">
        <v>26</v>
      </c>
      <c r="D15140" s="31">
        <v>2781</v>
      </c>
      <c r="F15140" s="3" t="str">
        <f t="shared" si="236"/>
        <v>I11378</v>
      </c>
    </row>
    <row r="15141" spans="1:6" x14ac:dyDescent="0.2">
      <c r="A15141" s="29" t="s">
        <v>33808</v>
      </c>
      <c r="B15141" s="30" t="s">
        <v>33809</v>
      </c>
      <c r="C15141" s="29" t="s">
        <v>26</v>
      </c>
      <c r="D15141" s="31">
        <v>3059.1</v>
      </c>
      <c r="F15141" s="3" t="str">
        <f t="shared" si="236"/>
        <v>I11405</v>
      </c>
    </row>
    <row r="15142" spans="1:6" x14ac:dyDescent="0.2">
      <c r="A15142" s="29" t="s">
        <v>33810</v>
      </c>
      <c r="B15142" s="30" t="s">
        <v>33811</v>
      </c>
      <c r="C15142" s="29" t="s">
        <v>26</v>
      </c>
      <c r="D15142" s="31">
        <v>3337.2</v>
      </c>
      <c r="F15142" s="3" t="str">
        <f t="shared" si="236"/>
        <v>I11472</v>
      </c>
    </row>
    <row r="15143" spans="1:6" x14ac:dyDescent="0.2">
      <c r="A15143" s="29" t="s">
        <v>33812</v>
      </c>
      <c r="B15143" s="30" t="s">
        <v>33813</v>
      </c>
      <c r="C15143" s="29" t="s">
        <v>26</v>
      </c>
      <c r="D15143" s="31">
        <v>2012.19</v>
      </c>
      <c r="F15143" s="3" t="str">
        <f t="shared" si="236"/>
        <v>I11406</v>
      </c>
    </row>
    <row r="15144" spans="1:6" x14ac:dyDescent="0.2">
      <c r="A15144" s="29" t="s">
        <v>33814</v>
      </c>
      <c r="B15144" s="30" t="s">
        <v>33815</v>
      </c>
      <c r="C15144" s="29" t="s">
        <v>26</v>
      </c>
      <c r="D15144" s="31">
        <v>2020.62</v>
      </c>
      <c r="F15144" s="3" t="str">
        <f t="shared" si="236"/>
        <v>I11473</v>
      </c>
    </row>
    <row r="15145" spans="1:6" x14ac:dyDescent="0.2">
      <c r="A15145" s="29" t="s">
        <v>33816</v>
      </c>
      <c r="B15145" s="30" t="s">
        <v>33817</v>
      </c>
      <c r="C15145" s="29" t="s">
        <v>26</v>
      </c>
      <c r="D15145" s="31">
        <v>2157.81</v>
      </c>
      <c r="F15145" s="3" t="str">
        <f t="shared" si="236"/>
        <v>I11474</v>
      </c>
    </row>
    <row r="15146" spans="1:6" x14ac:dyDescent="0.2">
      <c r="A15146" s="29" t="s">
        <v>33818</v>
      </c>
      <c r="B15146" s="30" t="s">
        <v>33819</v>
      </c>
      <c r="C15146" s="29" t="s">
        <v>26</v>
      </c>
      <c r="D15146" s="31">
        <v>2686.73</v>
      </c>
      <c r="F15146" s="3" t="str">
        <f t="shared" si="236"/>
        <v>I11379</v>
      </c>
    </row>
    <row r="15147" spans="1:6" x14ac:dyDescent="0.2">
      <c r="A15147" s="29" t="s">
        <v>33820</v>
      </c>
      <c r="B15147" s="30" t="s">
        <v>33821</v>
      </c>
      <c r="C15147" s="29" t="s">
        <v>26</v>
      </c>
      <c r="D15147" s="31">
        <v>3224.07</v>
      </c>
      <c r="F15147" s="3" t="str">
        <f t="shared" si="236"/>
        <v>I11475</v>
      </c>
    </row>
    <row r="15148" spans="1:6" x14ac:dyDescent="0.2">
      <c r="A15148" s="29" t="s">
        <v>33822</v>
      </c>
      <c r="B15148" s="30" t="s">
        <v>33823</v>
      </c>
      <c r="C15148" s="29" t="s">
        <v>26</v>
      </c>
      <c r="D15148" s="31">
        <v>2237.69</v>
      </c>
      <c r="F15148" s="3" t="str">
        <f t="shared" si="236"/>
        <v>I11407</v>
      </c>
    </row>
    <row r="15149" spans="1:6" x14ac:dyDescent="0.2">
      <c r="A15149" s="29" t="s">
        <v>33824</v>
      </c>
      <c r="B15149" s="30" t="s">
        <v>33825</v>
      </c>
      <c r="C15149" s="29" t="s">
        <v>26</v>
      </c>
      <c r="D15149" s="31">
        <v>2367.25</v>
      </c>
      <c r="F15149" s="3" t="str">
        <f t="shared" si="236"/>
        <v>I11476</v>
      </c>
    </row>
    <row r="15150" spans="1:6" x14ac:dyDescent="0.2">
      <c r="A15150" s="29" t="s">
        <v>33826</v>
      </c>
      <c r="B15150" s="30" t="s">
        <v>33827</v>
      </c>
      <c r="C15150" s="29" t="s">
        <v>26</v>
      </c>
      <c r="D15150" s="31">
        <v>3107.53</v>
      </c>
      <c r="F15150" s="3" t="str">
        <f t="shared" si="236"/>
        <v>I11380</v>
      </c>
    </row>
    <row r="15151" spans="1:6" x14ac:dyDescent="0.2">
      <c r="A15151" s="29" t="s">
        <v>33828</v>
      </c>
      <c r="B15151" s="30" t="s">
        <v>33829</v>
      </c>
      <c r="C15151" s="29" t="s">
        <v>26</v>
      </c>
      <c r="D15151" s="31">
        <v>3167.77</v>
      </c>
      <c r="F15151" s="3" t="str">
        <f t="shared" si="236"/>
        <v>I11408</v>
      </c>
    </row>
    <row r="15152" spans="1:6" x14ac:dyDescent="0.2">
      <c r="A15152" s="29" t="s">
        <v>33830</v>
      </c>
      <c r="B15152" s="30" t="s">
        <v>33831</v>
      </c>
      <c r="C15152" s="29" t="s">
        <v>26</v>
      </c>
      <c r="D15152" s="31">
        <v>3363.31</v>
      </c>
      <c r="F15152" s="3" t="str">
        <f t="shared" si="236"/>
        <v>I11477</v>
      </c>
    </row>
    <row r="15153" spans="1:6" x14ac:dyDescent="0.2">
      <c r="A15153" s="29" t="s">
        <v>33832</v>
      </c>
      <c r="B15153" s="30" t="s">
        <v>33833</v>
      </c>
      <c r="C15153" s="29" t="s">
        <v>26</v>
      </c>
      <c r="D15153" s="31">
        <v>2347.13</v>
      </c>
      <c r="F15153" s="3" t="str">
        <f t="shared" si="236"/>
        <v>I11409</v>
      </c>
    </row>
    <row r="15154" spans="1:6" x14ac:dyDescent="0.2">
      <c r="A15154" s="29" t="s">
        <v>33834</v>
      </c>
      <c r="B15154" s="30" t="s">
        <v>33835</v>
      </c>
      <c r="C15154" s="29" t="s">
        <v>26</v>
      </c>
      <c r="D15154" s="31">
        <v>2558.0700000000002</v>
      </c>
      <c r="F15154" s="3" t="str">
        <f t="shared" si="236"/>
        <v>I11478</v>
      </c>
    </row>
    <row r="15155" spans="1:6" x14ac:dyDescent="0.2">
      <c r="A15155" s="29" t="s">
        <v>33836</v>
      </c>
      <c r="B15155" s="30" t="s">
        <v>33837</v>
      </c>
      <c r="C15155" s="29" t="s">
        <v>26</v>
      </c>
      <c r="D15155" s="31">
        <v>2979.94</v>
      </c>
      <c r="F15155" s="3" t="str">
        <f t="shared" si="236"/>
        <v>I11479</v>
      </c>
    </row>
    <row r="15156" spans="1:6" x14ac:dyDescent="0.2">
      <c r="A15156" s="29" t="s">
        <v>33838</v>
      </c>
      <c r="B15156" s="30" t="s">
        <v>33839</v>
      </c>
      <c r="C15156" s="29" t="s">
        <v>26</v>
      </c>
      <c r="D15156" s="31">
        <v>3144.19</v>
      </c>
      <c r="F15156" s="3" t="str">
        <f t="shared" si="236"/>
        <v>I11381</v>
      </c>
    </row>
    <row r="15157" spans="1:6" x14ac:dyDescent="0.2">
      <c r="A15157" s="29" t="s">
        <v>33840</v>
      </c>
      <c r="B15157" s="30" t="s">
        <v>33841</v>
      </c>
      <c r="C15157" s="29" t="s">
        <v>26</v>
      </c>
      <c r="D15157" s="31">
        <v>3773.03</v>
      </c>
      <c r="F15157" s="3" t="str">
        <f t="shared" si="236"/>
        <v>I11480</v>
      </c>
    </row>
    <row r="15158" spans="1:6" x14ac:dyDescent="0.2">
      <c r="A15158" s="29" t="s">
        <v>33842</v>
      </c>
      <c r="B15158" s="30" t="s">
        <v>33843</v>
      </c>
      <c r="C15158" s="29" t="s">
        <v>26</v>
      </c>
      <c r="D15158" s="31">
        <v>3568.08</v>
      </c>
      <c r="F15158" s="3" t="str">
        <f t="shared" si="236"/>
        <v>I11410</v>
      </c>
    </row>
    <row r="15159" spans="1:6" x14ac:dyDescent="0.2">
      <c r="A15159" s="29" t="s">
        <v>33844</v>
      </c>
      <c r="B15159" s="30" t="s">
        <v>33845</v>
      </c>
      <c r="C15159" s="29" t="s">
        <v>26</v>
      </c>
      <c r="D15159" s="31">
        <v>3588.29</v>
      </c>
      <c r="F15159" s="3" t="str">
        <f t="shared" si="236"/>
        <v>I11481</v>
      </c>
    </row>
    <row r="15160" spans="1:6" x14ac:dyDescent="0.2">
      <c r="A15160" s="29" t="s">
        <v>33846</v>
      </c>
      <c r="B15160" s="30" t="s">
        <v>33847</v>
      </c>
      <c r="C15160" s="29" t="s">
        <v>26</v>
      </c>
      <c r="D15160" s="31">
        <v>3717.22</v>
      </c>
      <c r="F15160" s="3" t="str">
        <f t="shared" si="236"/>
        <v>I11382</v>
      </c>
    </row>
    <row r="15161" spans="1:6" x14ac:dyDescent="0.2">
      <c r="A15161" s="29" t="s">
        <v>33848</v>
      </c>
      <c r="B15161" s="30" t="s">
        <v>33849</v>
      </c>
      <c r="C15161" s="29" t="s">
        <v>26</v>
      </c>
      <c r="D15161" s="31">
        <v>3737.02</v>
      </c>
      <c r="F15161" s="3" t="str">
        <f t="shared" si="236"/>
        <v>I11411</v>
      </c>
    </row>
    <row r="15162" spans="1:6" x14ac:dyDescent="0.2">
      <c r="A15162" s="29" t="s">
        <v>33850</v>
      </c>
      <c r="B15162" s="30" t="s">
        <v>33851</v>
      </c>
      <c r="C15162" s="29" t="s">
        <v>26</v>
      </c>
      <c r="D15162" s="31">
        <v>3841.58</v>
      </c>
      <c r="F15162" s="3" t="str">
        <f t="shared" si="236"/>
        <v>I11482</v>
      </c>
    </row>
    <row r="15163" spans="1:6" x14ac:dyDescent="0.2">
      <c r="A15163" s="29" t="s">
        <v>33852</v>
      </c>
      <c r="B15163" s="30" t="s">
        <v>33853</v>
      </c>
      <c r="C15163" s="29" t="s">
        <v>26</v>
      </c>
      <c r="D15163" s="31">
        <v>4677.3</v>
      </c>
      <c r="F15163" s="3" t="str">
        <f t="shared" si="236"/>
        <v>I11383</v>
      </c>
    </row>
    <row r="15164" spans="1:6" x14ac:dyDescent="0.2">
      <c r="A15164" s="29" t="s">
        <v>33854</v>
      </c>
      <c r="B15164" s="30" t="s">
        <v>33855</v>
      </c>
      <c r="C15164" s="29" t="s">
        <v>26</v>
      </c>
      <c r="D15164" s="31">
        <v>5145.03</v>
      </c>
      <c r="F15164" s="3" t="str">
        <f t="shared" si="236"/>
        <v>I11412</v>
      </c>
    </row>
    <row r="15165" spans="1:6" x14ac:dyDescent="0.2">
      <c r="A15165" s="29" t="s">
        <v>33856</v>
      </c>
      <c r="B15165" s="30" t="s">
        <v>33857</v>
      </c>
      <c r="C15165" s="29" t="s">
        <v>26</v>
      </c>
      <c r="D15165" s="31">
        <v>5612.77</v>
      </c>
      <c r="F15165" s="3" t="str">
        <f t="shared" si="236"/>
        <v>I11483</v>
      </c>
    </row>
    <row r="15166" spans="1:6" x14ac:dyDescent="0.2">
      <c r="A15166" s="29" t="s">
        <v>33858</v>
      </c>
      <c r="B15166" s="30" t="s">
        <v>33859</v>
      </c>
      <c r="C15166" s="29" t="s">
        <v>26</v>
      </c>
      <c r="D15166" s="31">
        <v>11477.37</v>
      </c>
      <c r="F15166" s="3" t="str">
        <f t="shared" si="236"/>
        <v>I11413</v>
      </c>
    </row>
    <row r="15167" spans="1:6" x14ac:dyDescent="0.2">
      <c r="A15167" s="29" t="s">
        <v>33860</v>
      </c>
      <c r="B15167" s="30" t="s">
        <v>33861</v>
      </c>
      <c r="C15167" s="29" t="s">
        <v>26</v>
      </c>
      <c r="D15167" s="31">
        <v>11855.5</v>
      </c>
      <c r="F15167" s="3" t="str">
        <f t="shared" si="236"/>
        <v>I11484</v>
      </c>
    </row>
    <row r="15168" spans="1:6" x14ac:dyDescent="0.2">
      <c r="A15168" s="29" t="s">
        <v>33862</v>
      </c>
      <c r="B15168" s="30" t="s">
        <v>33863</v>
      </c>
      <c r="C15168" s="29" t="s">
        <v>26</v>
      </c>
      <c r="D15168" s="31">
        <v>3530.58</v>
      </c>
      <c r="F15168" s="3" t="str">
        <f t="shared" si="236"/>
        <v>I11485</v>
      </c>
    </row>
    <row r="15169" spans="1:6" x14ac:dyDescent="0.2">
      <c r="A15169" s="29" t="s">
        <v>33864</v>
      </c>
      <c r="B15169" s="30" t="s">
        <v>33865</v>
      </c>
      <c r="C15169" s="29" t="s">
        <v>26</v>
      </c>
      <c r="D15169" s="31">
        <v>4105.63</v>
      </c>
      <c r="F15169" s="3" t="str">
        <f t="shared" si="236"/>
        <v>I11384</v>
      </c>
    </row>
    <row r="15170" spans="1:6" x14ac:dyDescent="0.2">
      <c r="A15170" s="29" t="s">
        <v>33866</v>
      </c>
      <c r="B15170" s="30" t="s">
        <v>33867</v>
      </c>
      <c r="C15170" s="29" t="s">
        <v>26</v>
      </c>
      <c r="D15170" s="31">
        <v>4926.75</v>
      </c>
      <c r="F15170" s="3" t="str">
        <f t="shared" ref="F15170:F15233" si="237">A15170</f>
        <v>I11486</v>
      </c>
    </row>
    <row r="15171" spans="1:6" x14ac:dyDescent="0.2">
      <c r="A15171" s="29" t="s">
        <v>33868</v>
      </c>
      <c r="B15171" s="30" t="s">
        <v>33869</v>
      </c>
      <c r="C15171" s="29" t="s">
        <v>26</v>
      </c>
      <c r="D15171" s="31">
        <v>4110.08</v>
      </c>
      <c r="F15171" s="3" t="str">
        <f t="shared" si="237"/>
        <v>I11414</v>
      </c>
    </row>
    <row r="15172" spans="1:6" x14ac:dyDescent="0.2">
      <c r="A15172" s="29" t="s">
        <v>33870</v>
      </c>
      <c r="B15172" s="30" t="s">
        <v>33871</v>
      </c>
      <c r="C15172" s="29" t="s">
        <v>26</v>
      </c>
      <c r="D15172" s="31">
        <v>4166.7299999999996</v>
      </c>
      <c r="F15172" s="3" t="str">
        <f t="shared" si="237"/>
        <v>I11487</v>
      </c>
    </row>
    <row r="15173" spans="1:6" x14ac:dyDescent="0.2">
      <c r="A15173" s="29" t="s">
        <v>33872</v>
      </c>
      <c r="B15173" s="30" t="s">
        <v>33873</v>
      </c>
      <c r="C15173" s="29" t="s">
        <v>26</v>
      </c>
      <c r="D15173" s="31">
        <v>5976.55</v>
      </c>
      <c r="F15173" s="3" t="str">
        <f t="shared" si="237"/>
        <v>I11385</v>
      </c>
    </row>
    <row r="15174" spans="1:6" x14ac:dyDescent="0.2">
      <c r="A15174" s="29" t="s">
        <v>33874</v>
      </c>
      <c r="B15174" s="30" t="s">
        <v>33875</v>
      </c>
      <c r="C15174" s="29" t="s">
        <v>26</v>
      </c>
      <c r="D15174" s="31">
        <v>6574.2</v>
      </c>
      <c r="F15174" s="3" t="str">
        <f t="shared" si="237"/>
        <v>I11415</v>
      </c>
    </row>
    <row r="15175" spans="1:6" x14ac:dyDescent="0.2">
      <c r="A15175" s="29" t="s">
        <v>33876</v>
      </c>
      <c r="B15175" s="30" t="s">
        <v>33877</v>
      </c>
      <c r="C15175" s="29" t="s">
        <v>26</v>
      </c>
      <c r="D15175" s="31">
        <v>7171.86</v>
      </c>
      <c r="F15175" s="3" t="str">
        <f t="shared" si="237"/>
        <v>I11488</v>
      </c>
    </row>
    <row r="15176" spans="1:6" x14ac:dyDescent="0.2">
      <c r="A15176" s="29" t="s">
        <v>33878</v>
      </c>
      <c r="B15176" s="30" t="s">
        <v>33879</v>
      </c>
      <c r="C15176" s="29" t="s">
        <v>26</v>
      </c>
      <c r="D15176" s="31">
        <v>4722.13</v>
      </c>
      <c r="F15176" s="3" t="str">
        <f t="shared" si="237"/>
        <v>I11416</v>
      </c>
    </row>
    <row r="15177" spans="1:6" x14ac:dyDescent="0.2">
      <c r="A15177" s="29" t="s">
        <v>33880</v>
      </c>
      <c r="B15177" s="30" t="s">
        <v>33881</v>
      </c>
      <c r="C15177" s="29" t="s">
        <v>26</v>
      </c>
      <c r="D15177" s="31">
        <v>4804.66</v>
      </c>
      <c r="F15177" s="3" t="str">
        <f t="shared" si="237"/>
        <v>I11489</v>
      </c>
    </row>
    <row r="15178" spans="1:6" x14ac:dyDescent="0.2">
      <c r="A15178" s="29" t="s">
        <v>33882</v>
      </c>
      <c r="B15178" s="30" t="s">
        <v>33883</v>
      </c>
      <c r="C15178" s="29" t="s">
        <v>26</v>
      </c>
      <c r="D15178" s="31">
        <v>15076.84</v>
      </c>
      <c r="F15178" s="3" t="str">
        <f t="shared" si="237"/>
        <v>I11417</v>
      </c>
    </row>
    <row r="15179" spans="1:6" x14ac:dyDescent="0.2">
      <c r="A15179" s="29" t="s">
        <v>33884</v>
      </c>
      <c r="B15179" s="30" t="s">
        <v>33885</v>
      </c>
      <c r="C15179" s="29" t="s">
        <v>26</v>
      </c>
      <c r="D15179" s="31">
        <v>14934.14</v>
      </c>
      <c r="F15179" s="3" t="str">
        <f t="shared" si="237"/>
        <v>I11490</v>
      </c>
    </row>
    <row r="15180" spans="1:6" x14ac:dyDescent="0.2">
      <c r="A15180" s="29" t="s">
        <v>33886</v>
      </c>
      <c r="B15180" s="30" t="s">
        <v>33887</v>
      </c>
      <c r="C15180" s="29" t="s">
        <v>26</v>
      </c>
      <c r="D15180" s="31">
        <v>8783.66</v>
      </c>
      <c r="F15180" s="3" t="str">
        <f t="shared" si="237"/>
        <v>I11386</v>
      </c>
    </row>
    <row r="15181" spans="1:6" x14ac:dyDescent="0.2">
      <c r="A15181" s="29" t="s">
        <v>33888</v>
      </c>
      <c r="B15181" s="30" t="s">
        <v>33889</v>
      </c>
      <c r="C15181" s="29" t="s">
        <v>26</v>
      </c>
      <c r="D15181" s="31">
        <v>8076.5</v>
      </c>
      <c r="F15181" s="3" t="str">
        <f t="shared" si="237"/>
        <v>I11418</v>
      </c>
    </row>
    <row r="15182" spans="1:6" x14ac:dyDescent="0.2">
      <c r="A15182" s="29" t="s">
        <v>33890</v>
      </c>
      <c r="B15182" s="30" t="s">
        <v>33891</v>
      </c>
      <c r="C15182" s="29" t="s">
        <v>26</v>
      </c>
      <c r="D15182" s="31">
        <v>8810.73</v>
      </c>
      <c r="F15182" s="3" t="str">
        <f t="shared" si="237"/>
        <v>I11491</v>
      </c>
    </row>
    <row r="15183" spans="1:6" x14ac:dyDescent="0.2">
      <c r="A15183" s="29" t="s">
        <v>33892</v>
      </c>
      <c r="B15183" s="30" t="s">
        <v>33893</v>
      </c>
      <c r="C15183" s="29" t="s">
        <v>26</v>
      </c>
      <c r="D15183" s="31">
        <v>10141.950000000001</v>
      </c>
      <c r="F15183" s="3" t="str">
        <f t="shared" si="237"/>
        <v>I11387</v>
      </c>
    </row>
    <row r="15184" spans="1:6" x14ac:dyDescent="0.2">
      <c r="A15184" s="29" t="s">
        <v>33894</v>
      </c>
      <c r="B15184" s="30" t="s">
        <v>33895</v>
      </c>
      <c r="C15184" s="29" t="s">
        <v>26</v>
      </c>
      <c r="D15184" s="31">
        <v>10180.35</v>
      </c>
      <c r="F15184" s="3" t="str">
        <f t="shared" si="237"/>
        <v>I11419</v>
      </c>
    </row>
    <row r="15185" spans="1:6" x14ac:dyDescent="0.2">
      <c r="A15185" s="29" t="s">
        <v>33896</v>
      </c>
      <c r="B15185" s="30" t="s">
        <v>33897</v>
      </c>
      <c r="C15185" s="29" t="s">
        <v>26</v>
      </c>
      <c r="D15185" s="31">
        <v>10228.99</v>
      </c>
      <c r="F15185" s="3" t="str">
        <f t="shared" si="237"/>
        <v>I11492</v>
      </c>
    </row>
    <row r="15186" spans="1:6" x14ac:dyDescent="0.2">
      <c r="A15186" s="29" t="s">
        <v>33898</v>
      </c>
      <c r="B15186" s="30" t="s">
        <v>33899</v>
      </c>
      <c r="C15186" s="29" t="s">
        <v>26</v>
      </c>
      <c r="D15186" s="31">
        <v>4797.0200000000004</v>
      </c>
      <c r="F15186" s="3" t="str">
        <f t="shared" si="237"/>
        <v>I11493</v>
      </c>
    </row>
    <row r="15187" spans="1:6" x14ac:dyDescent="0.2">
      <c r="A15187" s="29" t="s">
        <v>33900</v>
      </c>
      <c r="B15187" s="30" t="s">
        <v>33901</v>
      </c>
      <c r="C15187" s="29" t="s">
        <v>26</v>
      </c>
      <c r="D15187" s="31">
        <v>6308.93</v>
      </c>
      <c r="F15187" s="3" t="str">
        <f t="shared" si="237"/>
        <v>I11388</v>
      </c>
    </row>
    <row r="15188" spans="1:6" x14ac:dyDescent="0.2">
      <c r="A15188" s="29" t="s">
        <v>33902</v>
      </c>
      <c r="B15188" s="30" t="s">
        <v>33903</v>
      </c>
      <c r="C15188" s="29" t="s">
        <v>26</v>
      </c>
      <c r="D15188" s="31">
        <v>7570.7</v>
      </c>
      <c r="F15188" s="3" t="str">
        <f t="shared" si="237"/>
        <v>I11494</v>
      </c>
    </row>
    <row r="15189" spans="1:6" x14ac:dyDescent="0.2">
      <c r="A15189" s="29" t="s">
        <v>33904</v>
      </c>
      <c r="B15189" s="30" t="s">
        <v>33905</v>
      </c>
      <c r="C15189" s="29" t="s">
        <v>26</v>
      </c>
      <c r="D15189" s="31">
        <v>5287.56</v>
      </c>
      <c r="F15189" s="3" t="str">
        <f t="shared" si="237"/>
        <v>I11420</v>
      </c>
    </row>
    <row r="15190" spans="1:6" x14ac:dyDescent="0.2">
      <c r="A15190" s="29" t="s">
        <v>33906</v>
      </c>
      <c r="B15190" s="30" t="s">
        <v>33907</v>
      </c>
      <c r="C15190" s="29" t="s">
        <v>26</v>
      </c>
      <c r="D15190" s="31">
        <v>5252.47</v>
      </c>
      <c r="F15190" s="3" t="str">
        <f t="shared" si="237"/>
        <v>I11495</v>
      </c>
    </row>
    <row r="15191" spans="1:6" x14ac:dyDescent="0.2">
      <c r="A15191" s="29" t="s">
        <v>33908</v>
      </c>
      <c r="B15191" s="30" t="s">
        <v>33909</v>
      </c>
      <c r="C15191" s="29" t="s">
        <v>26</v>
      </c>
      <c r="D15191" s="31">
        <v>8375.64</v>
      </c>
      <c r="F15191" s="3" t="str">
        <f t="shared" si="237"/>
        <v>I11389</v>
      </c>
    </row>
    <row r="15192" spans="1:6" x14ac:dyDescent="0.2">
      <c r="A15192" s="29" t="s">
        <v>33910</v>
      </c>
      <c r="B15192" s="30" t="s">
        <v>33911</v>
      </c>
      <c r="C15192" s="29" t="s">
        <v>26</v>
      </c>
      <c r="D15192" s="31">
        <v>9213.2099999999991</v>
      </c>
      <c r="F15192" s="3" t="str">
        <f t="shared" si="237"/>
        <v>I11421</v>
      </c>
    </row>
    <row r="15193" spans="1:6" x14ac:dyDescent="0.2">
      <c r="A15193" s="29" t="s">
        <v>33912</v>
      </c>
      <c r="B15193" s="30" t="s">
        <v>33913</v>
      </c>
      <c r="C15193" s="29" t="s">
        <v>26</v>
      </c>
      <c r="D15193" s="31">
        <v>10050.76</v>
      </c>
      <c r="F15193" s="3" t="str">
        <f t="shared" si="237"/>
        <v>I11496</v>
      </c>
    </row>
    <row r="15194" spans="1:6" x14ac:dyDescent="0.2">
      <c r="A15194" s="29" t="s">
        <v>33914</v>
      </c>
      <c r="B15194" s="30" t="s">
        <v>33915</v>
      </c>
      <c r="C15194" s="29" t="s">
        <v>26</v>
      </c>
      <c r="D15194" s="31">
        <v>6247.09</v>
      </c>
      <c r="F15194" s="3" t="str">
        <f t="shared" si="237"/>
        <v>I11422</v>
      </c>
    </row>
    <row r="15195" spans="1:6" x14ac:dyDescent="0.2">
      <c r="A15195" s="29" t="s">
        <v>33916</v>
      </c>
      <c r="B15195" s="30" t="s">
        <v>33917</v>
      </c>
      <c r="C15195" s="29" t="s">
        <v>26</v>
      </c>
      <c r="D15195" s="31">
        <v>6339.51</v>
      </c>
      <c r="F15195" s="3" t="str">
        <f t="shared" si="237"/>
        <v>I11497</v>
      </c>
    </row>
    <row r="15196" spans="1:6" x14ac:dyDescent="0.2">
      <c r="A15196" s="29" t="s">
        <v>33918</v>
      </c>
      <c r="B15196" s="30" t="s">
        <v>33919</v>
      </c>
      <c r="C15196" s="29" t="s">
        <v>26</v>
      </c>
      <c r="D15196" s="31">
        <v>8375.64</v>
      </c>
      <c r="F15196" s="3" t="str">
        <f t="shared" si="237"/>
        <v>I11390</v>
      </c>
    </row>
    <row r="15197" spans="1:6" x14ac:dyDescent="0.2">
      <c r="A15197" s="29" t="s">
        <v>33920</v>
      </c>
      <c r="B15197" s="30" t="s">
        <v>33921</v>
      </c>
      <c r="C15197" s="29" t="s">
        <v>26</v>
      </c>
      <c r="D15197" s="31">
        <v>9213.2099999999991</v>
      </c>
      <c r="F15197" s="3" t="str">
        <f t="shared" si="237"/>
        <v>I11423</v>
      </c>
    </row>
    <row r="15198" spans="1:6" x14ac:dyDescent="0.2">
      <c r="A15198" s="29" t="s">
        <v>33922</v>
      </c>
      <c r="B15198" s="30" t="s">
        <v>33923</v>
      </c>
      <c r="C15198" s="29" t="s">
        <v>26</v>
      </c>
      <c r="D15198" s="31">
        <v>10050.76</v>
      </c>
      <c r="F15198" s="3" t="str">
        <f t="shared" si="237"/>
        <v>I11498</v>
      </c>
    </row>
    <row r="15199" spans="1:6" x14ac:dyDescent="0.2">
      <c r="A15199" s="29" t="s">
        <v>33924</v>
      </c>
      <c r="B15199" s="30" t="s">
        <v>33925</v>
      </c>
      <c r="C15199" s="29" t="s">
        <v>26</v>
      </c>
      <c r="D15199" s="31">
        <v>17284.3</v>
      </c>
      <c r="F15199" s="3" t="str">
        <f t="shared" si="237"/>
        <v>I11424</v>
      </c>
    </row>
    <row r="15200" spans="1:6" x14ac:dyDescent="0.2">
      <c r="A15200" s="29" t="s">
        <v>33926</v>
      </c>
      <c r="B15200" s="30" t="s">
        <v>33927</v>
      </c>
      <c r="C15200" s="29" t="s">
        <v>26</v>
      </c>
      <c r="D15200" s="31">
        <v>19040.09</v>
      </c>
      <c r="F15200" s="3" t="str">
        <f t="shared" si="237"/>
        <v>I11499</v>
      </c>
    </row>
    <row r="15201" spans="1:6" x14ac:dyDescent="0.2">
      <c r="A15201" s="29" t="s">
        <v>33928</v>
      </c>
      <c r="B15201" s="30" t="s">
        <v>33929</v>
      </c>
      <c r="C15201" s="29" t="s">
        <v>26</v>
      </c>
      <c r="D15201" s="31">
        <v>20634.97</v>
      </c>
      <c r="F15201" s="3" t="str">
        <f t="shared" si="237"/>
        <v>I11425</v>
      </c>
    </row>
    <row r="15202" spans="1:6" x14ac:dyDescent="0.2">
      <c r="A15202" s="29" t="s">
        <v>33930</v>
      </c>
      <c r="B15202" s="30" t="s">
        <v>33931</v>
      </c>
      <c r="C15202" s="29" t="s">
        <v>26</v>
      </c>
      <c r="D15202" s="31">
        <v>20840.48</v>
      </c>
      <c r="F15202" s="3" t="str">
        <f t="shared" si="237"/>
        <v>I11500</v>
      </c>
    </row>
    <row r="15203" spans="1:6" x14ac:dyDescent="0.2">
      <c r="A15203" s="29" t="s">
        <v>33932</v>
      </c>
      <c r="B15203" s="30" t="s">
        <v>33933</v>
      </c>
      <c r="C15203" s="29" t="s">
        <v>26</v>
      </c>
      <c r="D15203" s="31">
        <v>16765.759999999998</v>
      </c>
      <c r="F15203" s="3" t="str">
        <f t="shared" si="237"/>
        <v>I11391</v>
      </c>
    </row>
    <row r="15204" spans="1:6" x14ac:dyDescent="0.2">
      <c r="A15204" s="29" t="s">
        <v>33934</v>
      </c>
      <c r="B15204" s="30" t="s">
        <v>33935</v>
      </c>
      <c r="C15204" s="29" t="s">
        <v>26</v>
      </c>
      <c r="D15204" s="31">
        <v>18442.34</v>
      </c>
      <c r="F15204" s="3" t="str">
        <f t="shared" si="237"/>
        <v>I11426</v>
      </c>
    </row>
    <row r="15205" spans="1:6" x14ac:dyDescent="0.2">
      <c r="A15205" s="29" t="s">
        <v>33936</v>
      </c>
      <c r="B15205" s="30" t="s">
        <v>33937</v>
      </c>
      <c r="C15205" s="29" t="s">
        <v>26</v>
      </c>
      <c r="D15205" s="31">
        <v>20118.91</v>
      </c>
      <c r="F15205" s="3" t="str">
        <f t="shared" si="237"/>
        <v>I11501</v>
      </c>
    </row>
    <row r="15206" spans="1:6" x14ac:dyDescent="0.2">
      <c r="A15206" s="29" t="s">
        <v>33938</v>
      </c>
      <c r="B15206" s="30" t="s">
        <v>33939</v>
      </c>
      <c r="C15206" s="29" t="s">
        <v>26</v>
      </c>
      <c r="D15206" s="31">
        <v>13754.2</v>
      </c>
      <c r="F15206" s="3" t="str">
        <f t="shared" si="237"/>
        <v>I11502</v>
      </c>
    </row>
    <row r="15207" spans="1:6" x14ac:dyDescent="0.2">
      <c r="A15207" s="29" t="s">
        <v>33940</v>
      </c>
      <c r="B15207" s="30" t="s">
        <v>33941</v>
      </c>
      <c r="C15207" s="29" t="s">
        <v>26</v>
      </c>
      <c r="D15207" s="31">
        <v>10047.14</v>
      </c>
      <c r="F15207" s="3" t="str">
        <f t="shared" si="237"/>
        <v>I11392</v>
      </c>
    </row>
    <row r="15208" spans="1:6" x14ac:dyDescent="0.2">
      <c r="A15208" s="29" t="s">
        <v>33942</v>
      </c>
      <c r="B15208" s="30" t="s">
        <v>33943</v>
      </c>
      <c r="C15208" s="29" t="s">
        <v>26</v>
      </c>
      <c r="D15208" s="31">
        <v>12056.56</v>
      </c>
      <c r="F15208" s="3" t="str">
        <f t="shared" si="237"/>
        <v>I11503</v>
      </c>
    </row>
    <row r="15209" spans="1:6" x14ac:dyDescent="0.2">
      <c r="A15209" s="29" t="s">
        <v>33944</v>
      </c>
      <c r="B15209" s="30" t="s">
        <v>33945</v>
      </c>
      <c r="C15209" s="29" t="s">
        <v>26</v>
      </c>
      <c r="D15209" s="31">
        <v>15183.17</v>
      </c>
      <c r="F15209" s="3" t="str">
        <f t="shared" si="237"/>
        <v>I11427</v>
      </c>
    </row>
    <row r="15210" spans="1:6" x14ac:dyDescent="0.2">
      <c r="A15210" s="29" t="s">
        <v>33946</v>
      </c>
      <c r="B15210" s="30" t="s">
        <v>33947</v>
      </c>
      <c r="C15210" s="29" t="s">
        <v>26</v>
      </c>
      <c r="D15210" s="31">
        <v>16277.32</v>
      </c>
      <c r="F15210" s="3" t="str">
        <f t="shared" si="237"/>
        <v>I11504</v>
      </c>
    </row>
    <row r="15211" spans="1:6" x14ac:dyDescent="0.2">
      <c r="A15211" s="29" t="s">
        <v>33948</v>
      </c>
      <c r="B15211" s="30" t="s">
        <v>33949</v>
      </c>
      <c r="C15211" s="29" t="s">
        <v>26</v>
      </c>
      <c r="D15211" s="31">
        <v>10601.89</v>
      </c>
      <c r="F15211" s="3" t="str">
        <f t="shared" si="237"/>
        <v>I11393</v>
      </c>
    </row>
    <row r="15212" spans="1:6" x14ac:dyDescent="0.2">
      <c r="A15212" s="29" t="s">
        <v>33950</v>
      </c>
      <c r="B15212" s="30" t="s">
        <v>33951</v>
      </c>
      <c r="C15212" s="29" t="s">
        <v>26</v>
      </c>
      <c r="D15212" s="31">
        <v>11662.08</v>
      </c>
      <c r="F15212" s="3" t="str">
        <f t="shared" si="237"/>
        <v>I11428</v>
      </c>
    </row>
    <row r="15213" spans="1:6" x14ac:dyDescent="0.2">
      <c r="A15213" s="29" t="s">
        <v>33952</v>
      </c>
      <c r="B15213" s="30" t="s">
        <v>33953</v>
      </c>
      <c r="C15213" s="29" t="s">
        <v>26</v>
      </c>
      <c r="D15213" s="31">
        <v>12722.27</v>
      </c>
      <c r="F15213" s="3" t="str">
        <f t="shared" si="237"/>
        <v>I11505</v>
      </c>
    </row>
    <row r="15214" spans="1:6" x14ac:dyDescent="0.2">
      <c r="A15214" s="29" t="s">
        <v>33954</v>
      </c>
      <c r="B15214" s="30" t="s">
        <v>33955</v>
      </c>
      <c r="C15214" s="29" t="s">
        <v>26</v>
      </c>
      <c r="D15214" s="31">
        <v>22507.99</v>
      </c>
      <c r="F15214" s="3" t="str">
        <f t="shared" si="237"/>
        <v>I11429</v>
      </c>
    </row>
    <row r="15215" spans="1:6" x14ac:dyDescent="0.2">
      <c r="A15215" s="29" t="s">
        <v>33956</v>
      </c>
      <c r="B15215" s="30" t="s">
        <v>33957</v>
      </c>
      <c r="C15215" s="29" t="s">
        <v>26</v>
      </c>
      <c r="D15215" s="31">
        <v>23210.3</v>
      </c>
      <c r="F15215" s="3" t="str">
        <f t="shared" si="237"/>
        <v>I11506</v>
      </c>
    </row>
    <row r="15216" spans="1:6" x14ac:dyDescent="0.2">
      <c r="A15216" s="29" t="s">
        <v>33958</v>
      </c>
      <c r="B15216" s="30" t="s">
        <v>33959</v>
      </c>
      <c r="C15216" s="29" t="s">
        <v>26</v>
      </c>
      <c r="D15216" s="31">
        <v>15039.87</v>
      </c>
      <c r="F15216" s="3" t="str">
        <f t="shared" si="237"/>
        <v>I11394</v>
      </c>
    </row>
    <row r="15217" spans="1:6" x14ac:dyDescent="0.2">
      <c r="A15217" s="29" t="s">
        <v>33960</v>
      </c>
      <c r="B15217" s="30" t="s">
        <v>33961</v>
      </c>
      <c r="C15217" s="29" t="s">
        <v>26</v>
      </c>
      <c r="D15217" s="31">
        <v>16543.86</v>
      </c>
      <c r="F15217" s="3" t="str">
        <f t="shared" si="237"/>
        <v>I11430</v>
      </c>
    </row>
    <row r="15218" spans="1:6" x14ac:dyDescent="0.2">
      <c r="A15218" s="29" t="s">
        <v>33962</v>
      </c>
      <c r="B15218" s="30" t="s">
        <v>33963</v>
      </c>
      <c r="C15218" s="29" t="s">
        <v>26</v>
      </c>
      <c r="D15218" s="31">
        <v>18047.849999999999</v>
      </c>
      <c r="F15218" s="3" t="str">
        <f t="shared" si="237"/>
        <v>I11507</v>
      </c>
    </row>
    <row r="15219" spans="1:6" x14ac:dyDescent="0.2">
      <c r="A15219" s="29" t="s">
        <v>33964</v>
      </c>
      <c r="B15219" s="30" t="s">
        <v>33965</v>
      </c>
      <c r="C15219" s="29" t="s">
        <v>26</v>
      </c>
      <c r="D15219" s="31">
        <v>24691.7</v>
      </c>
      <c r="F15219" s="3" t="str">
        <f t="shared" si="237"/>
        <v>I11431</v>
      </c>
    </row>
    <row r="15220" spans="1:6" x14ac:dyDescent="0.2">
      <c r="A15220" s="29" t="s">
        <v>33966</v>
      </c>
      <c r="B15220" s="30" t="s">
        <v>33967</v>
      </c>
      <c r="C15220" s="29" t="s">
        <v>26</v>
      </c>
      <c r="D15220" s="31">
        <v>25759.13</v>
      </c>
      <c r="F15220" s="3" t="str">
        <f t="shared" si="237"/>
        <v>I11508</v>
      </c>
    </row>
    <row r="15221" spans="1:6" x14ac:dyDescent="0.2">
      <c r="A15221" s="29" t="s">
        <v>33968</v>
      </c>
      <c r="B15221" s="30" t="s">
        <v>33969</v>
      </c>
      <c r="C15221" s="29" t="s">
        <v>26</v>
      </c>
      <c r="D15221" s="31">
        <v>14854.96</v>
      </c>
      <c r="F15221" s="3" t="str">
        <f t="shared" si="237"/>
        <v>I11395</v>
      </c>
    </row>
    <row r="15222" spans="1:6" x14ac:dyDescent="0.2">
      <c r="A15222" s="29" t="s">
        <v>33970</v>
      </c>
      <c r="B15222" s="30" t="s">
        <v>33971</v>
      </c>
      <c r="C15222" s="29" t="s">
        <v>26</v>
      </c>
      <c r="D15222" s="31">
        <v>16340.46</v>
      </c>
      <c r="F15222" s="3" t="str">
        <f t="shared" si="237"/>
        <v>I11432</v>
      </c>
    </row>
    <row r="15223" spans="1:6" x14ac:dyDescent="0.2">
      <c r="A15223" s="29" t="s">
        <v>33972</v>
      </c>
      <c r="B15223" s="30" t="s">
        <v>33973</v>
      </c>
      <c r="C15223" s="29" t="s">
        <v>26</v>
      </c>
      <c r="D15223" s="31">
        <v>17825.95</v>
      </c>
      <c r="F15223" s="3" t="str">
        <f t="shared" si="237"/>
        <v>I11509</v>
      </c>
    </row>
    <row r="15224" spans="1:6" x14ac:dyDescent="0.2">
      <c r="A15224" s="29" t="s">
        <v>33974</v>
      </c>
      <c r="B15224" s="30" t="s">
        <v>33975</v>
      </c>
      <c r="C15224" s="29" t="s">
        <v>26</v>
      </c>
      <c r="D15224" s="31">
        <v>31040.95</v>
      </c>
      <c r="F15224" s="3" t="str">
        <f t="shared" si="237"/>
        <v>I11433</v>
      </c>
    </row>
    <row r="15225" spans="1:6" x14ac:dyDescent="0.2">
      <c r="A15225" s="29" t="s">
        <v>33976</v>
      </c>
      <c r="B15225" s="30" t="s">
        <v>33977</v>
      </c>
      <c r="C15225" s="29" t="s">
        <v>26</v>
      </c>
      <c r="D15225" s="31">
        <v>32288.06</v>
      </c>
      <c r="F15225" s="3" t="str">
        <f t="shared" si="237"/>
        <v>I11510</v>
      </c>
    </row>
    <row r="15226" spans="1:6" x14ac:dyDescent="0.2">
      <c r="A15226" s="29" t="s">
        <v>33978</v>
      </c>
      <c r="B15226" s="30" t="s">
        <v>33979</v>
      </c>
      <c r="C15226" s="29" t="s">
        <v>26</v>
      </c>
      <c r="D15226" s="31">
        <v>13560.54</v>
      </c>
      <c r="F15226" s="3" t="str">
        <f t="shared" si="237"/>
        <v>I11396</v>
      </c>
    </row>
    <row r="15227" spans="1:6" x14ac:dyDescent="0.2">
      <c r="A15227" s="29" t="s">
        <v>33980</v>
      </c>
      <c r="B15227" s="30" t="s">
        <v>33981</v>
      </c>
      <c r="C15227" s="29" t="s">
        <v>26</v>
      </c>
      <c r="D15227" s="31">
        <v>16272.66</v>
      </c>
      <c r="F15227" s="3" t="str">
        <f t="shared" si="237"/>
        <v>I11511</v>
      </c>
    </row>
    <row r="15228" spans="1:6" x14ac:dyDescent="0.2">
      <c r="A15228" s="29" t="s">
        <v>33982</v>
      </c>
      <c r="B15228" s="30" t="s">
        <v>33983</v>
      </c>
      <c r="C15228" s="29" t="s">
        <v>26</v>
      </c>
      <c r="D15228" s="31">
        <v>23675.15</v>
      </c>
      <c r="F15228" s="3" t="str">
        <f t="shared" si="237"/>
        <v>I11434</v>
      </c>
    </row>
    <row r="15229" spans="1:6" x14ac:dyDescent="0.2">
      <c r="A15229" s="29" t="s">
        <v>33984</v>
      </c>
      <c r="B15229" s="30" t="s">
        <v>33985</v>
      </c>
      <c r="C15229" s="29" t="s">
        <v>26</v>
      </c>
      <c r="D15229" s="31">
        <v>23986.3</v>
      </c>
      <c r="F15229" s="3" t="str">
        <f t="shared" si="237"/>
        <v>I11512</v>
      </c>
    </row>
    <row r="15230" spans="1:6" x14ac:dyDescent="0.2">
      <c r="A15230" s="29" t="s">
        <v>33986</v>
      </c>
      <c r="B15230" s="30" t="s">
        <v>33987</v>
      </c>
      <c r="C15230" s="29" t="s">
        <v>26</v>
      </c>
      <c r="D15230" s="31">
        <v>17615.419999999998</v>
      </c>
      <c r="F15230" s="3" t="str">
        <f t="shared" si="237"/>
        <v>I11397</v>
      </c>
    </row>
    <row r="15231" spans="1:6" x14ac:dyDescent="0.2">
      <c r="A15231" s="29" t="s">
        <v>33988</v>
      </c>
      <c r="B15231" s="30" t="s">
        <v>33989</v>
      </c>
      <c r="C15231" s="29" t="s">
        <v>26</v>
      </c>
      <c r="D15231" s="31">
        <v>19376.96</v>
      </c>
      <c r="F15231" s="3" t="str">
        <f t="shared" si="237"/>
        <v>I11435</v>
      </c>
    </row>
    <row r="15232" spans="1:6" x14ac:dyDescent="0.2">
      <c r="A15232" s="29" t="s">
        <v>33990</v>
      </c>
      <c r="B15232" s="30" t="s">
        <v>33991</v>
      </c>
      <c r="C15232" s="29" t="s">
        <v>26</v>
      </c>
      <c r="D15232" s="31">
        <v>21138.5</v>
      </c>
      <c r="F15232" s="3" t="str">
        <f t="shared" si="237"/>
        <v>I11513</v>
      </c>
    </row>
    <row r="15233" spans="1:6" x14ac:dyDescent="0.2">
      <c r="A15233" s="29" t="s">
        <v>33992</v>
      </c>
      <c r="B15233" s="30" t="s">
        <v>33993</v>
      </c>
      <c r="C15233" s="29" t="s">
        <v>26</v>
      </c>
      <c r="D15233" s="31">
        <v>15953.59</v>
      </c>
      <c r="F15233" s="3" t="str">
        <f t="shared" si="237"/>
        <v>I11398</v>
      </c>
    </row>
    <row r="15234" spans="1:6" x14ac:dyDescent="0.2">
      <c r="A15234" s="29" t="s">
        <v>33994</v>
      </c>
      <c r="B15234" s="30" t="s">
        <v>33995</v>
      </c>
      <c r="C15234" s="29" t="s">
        <v>26</v>
      </c>
      <c r="D15234" s="31">
        <v>17548.939999999999</v>
      </c>
      <c r="F15234" s="3" t="str">
        <f t="shared" ref="F15234:F15297" si="238">A15234</f>
        <v>I11436</v>
      </c>
    </row>
    <row r="15235" spans="1:6" x14ac:dyDescent="0.2">
      <c r="A15235" s="29" t="s">
        <v>33996</v>
      </c>
      <c r="B15235" s="30" t="s">
        <v>33997</v>
      </c>
      <c r="C15235" s="29" t="s">
        <v>26</v>
      </c>
      <c r="D15235" s="31">
        <v>19144.3</v>
      </c>
      <c r="F15235" s="3" t="str">
        <f t="shared" si="238"/>
        <v>I11514</v>
      </c>
    </row>
    <row r="15236" spans="1:6" x14ac:dyDescent="0.2">
      <c r="A15236" s="29" t="s">
        <v>33998</v>
      </c>
      <c r="B15236" s="30" t="s">
        <v>33999</v>
      </c>
      <c r="C15236" s="29" t="s">
        <v>26</v>
      </c>
      <c r="D15236" s="31">
        <v>17914.54</v>
      </c>
      <c r="F15236" s="3" t="str">
        <f t="shared" si="238"/>
        <v>I11437</v>
      </c>
    </row>
    <row r="15237" spans="1:6" x14ac:dyDescent="0.2">
      <c r="A15237" s="29" t="s">
        <v>34000</v>
      </c>
      <c r="B15237" s="30" t="s">
        <v>34001</v>
      </c>
      <c r="C15237" s="29" t="s">
        <v>26</v>
      </c>
      <c r="D15237" s="31">
        <v>19543.14</v>
      </c>
      <c r="F15237" s="3" t="str">
        <f t="shared" si="238"/>
        <v>I11515</v>
      </c>
    </row>
    <row r="15238" spans="1:6" x14ac:dyDescent="0.2">
      <c r="A15238" s="29" t="s">
        <v>34002</v>
      </c>
      <c r="B15238" s="30" t="s">
        <v>34003</v>
      </c>
      <c r="C15238" s="29" t="s">
        <v>26</v>
      </c>
      <c r="D15238" s="31">
        <v>24861.01</v>
      </c>
      <c r="F15238" s="3" t="str">
        <f t="shared" si="238"/>
        <v>I11399</v>
      </c>
    </row>
    <row r="15239" spans="1:6" x14ac:dyDescent="0.2">
      <c r="A15239" s="29" t="s">
        <v>34004</v>
      </c>
      <c r="B15239" s="30" t="s">
        <v>34005</v>
      </c>
      <c r="C15239" s="29" t="s">
        <v>26</v>
      </c>
      <c r="D15239" s="31">
        <v>27347.11</v>
      </c>
      <c r="F15239" s="3" t="str">
        <f t="shared" si="238"/>
        <v>I11438</v>
      </c>
    </row>
    <row r="15240" spans="1:6" x14ac:dyDescent="0.2">
      <c r="A15240" s="29" t="s">
        <v>34006</v>
      </c>
      <c r="B15240" s="30" t="s">
        <v>34007</v>
      </c>
      <c r="C15240" s="29" t="s">
        <v>26</v>
      </c>
      <c r="D15240" s="31">
        <v>29833.22</v>
      </c>
      <c r="F15240" s="3" t="str">
        <f t="shared" si="238"/>
        <v>I11516</v>
      </c>
    </row>
    <row r="15241" spans="1:6" x14ac:dyDescent="0.2">
      <c r="A15241" s="29" t="s">
        <v>34008</v>
      </c>
      <c r="B15241" s="30" t="s">
        <v>34009</v>
      </c>
      <c r="C15241" s="29" t="s">
        <v>26</v>
      </c>
      <c r="D15241" s="31">
        <v>37268.32</v>
      </c>
      <c r="F15241" s="3" t="str">
        <f t="shared" si="238"/>
        <v>I11439</v>
      </c>
    </row>
    <row r="15242" spans="1:6" x14ac:dyDescent="0.2">
      <c r="A15242" s="29" t="s">
        <v>34010</v>
      </c>
      <c r="B15242" s="30" t="s">
        <v>34011</v>
      </c>
      <c r="C15242" s="29" t="s">
        <v>26</v>
      </c>
      <c r="D15242" s="31">
        <v>38248</v>
      </c>
      <c r="F15242" s="3" t="str">
        <f t="shared" si="238"/>
        <v>I11517</v>
      </c>
    </row>
    <row r="15243" spans="1:6" x14ac:dyDescent="0.2">
      <c r="A15243" s="29" t="s">
        <v>34012</v>
      </c>
      <c r="B15243" s="30" t="s">
        <v>34013</v>
      </c>
      <c r="C15243" s="29" t="s">
        <v>26</v>
      </c>
      <c r="D15243" s="31">
        <v>45279.74</v>
      </c>
      <c r="F15243" s="3" t="str">
        <f t="shared" si="238"/>
        <v>I11440</v>
      </c>
    </row>
    <row r="15244" spans="1:6" x14ac:dyDescent="0.2">
      <c r="A15244" s="29" t="s">
        <v>34014</v>
      </c>
      <c r="B15244" s="30" t="s">
        <v>34015</v>
      </c>
      <c r="C15244" s="29" t="s">
        <v>26</v>
      </c>
      <c r="D15244" s="31">
        <v>47216.07</v>
      </c>
      <c r="F15244" s="3" t="str">
        <f t="shared" si="238"/>
        <v>I11518</v>
      </c>
    </row>
    <row r="15245" spans="1:6" x14ac:dyDescent="0.2">
      <c r="A15245" s="29" t="s">
        <v>34016</v>
      </c>
      <c r="B15245" s="30" t="s">
        <v>34017</v>
      </c>
      <c r="C15245" s="29" t="s">
        <v>26</v>
      </c>
      <c r="D15245" s="31">
        <v>17541.689999999999</v>
      </c>
      <c r="F15245" s="3" t="str">
        <f t="shared" si="238"/>
        <v>I11400</v>
      </c>
    </row>
    <row r="15246" spans="1:6" x14ac:dyDescent="0.2">
      <c r="A15246" s="29" t="s">
        <v>34018</v>
      </c>
      <c r="B15246" s="30" t="s">
        <v>34019</v>
      </c>
      <c r="C15246" s="29" t="s">
        <v>26</v>
      </c>
      <c r="D15246" s="31">
        <v>21050.03</v>
      </c>
      <c r="F15246" s="3" t="str">
        <f t="shared" si="238"/>
        <v>I11519</v>
      </c>
    </row>
    <row r="15247" spans="1:6" x14ac:dyDescent="0.2">
      <c r="A15247" s="29" t="s">
        <v>34020</v>
      </c>
      <c r="B15247" s="30" t="s">
        <v>34021</v>
      </c>
      <c r="C15247" s="29" t="s">
        <v>26</v>
      </c>
      <c r="D15247" s="31">
        <v>28104.44</v>
      </c>
      <c r="F15247" s="3" t="str">
        <f t="shared" si="238"/>
        <v>I11441</v>
      </c>
    </row>
    <row r="15248" spans="1:6" x14ac:dyDescent="0.2">
      <c r="A15248" s="29" t="s">
        <v>34022</v>
      </c>
      <c r="B15248" s="30" t="s">
        <v>34023</v>
      </c>
      <c r="C15248" s="29" t="s">
        <v>26</v>
      </c>
      <c r="D15248" s="31">
        <v>28104.44</v>
      </c>
      <c r="F15248" s="3" t="str">
        <f t="shared" si="238"/>
        <v>I11520</v>
      </c>
    </row>
    <row r="15249" spans="1:6" x14ac:dyDescent="0.2">
      <c r="A15249" s="29" t="s">
        <v>34024</v>
      </c>
      <c r="B15249" s="30" t="s">
        <v>34025</v>
      </c>
      <c r="C15249" s="29" t="s">
        <v>26</v>
      </c>
      <c r="D15249" s="31">
        <v>24957.68</v>
      </c>
      <c r="F15249" s="3" t="str">
        <f t="shared" si="238"/>
        <v>I11401</v>
      </c>
    </row>
    <row r="15250" spans="1:6" x14ac:dyDescent="0.2">
      <c r="A15250" s="29" t="s">
        <v>34026</v>
      </c>
      <c r="B15250" s="30" t="s">
        <v>34027</v>
      </c>
      <c r="C15250" s="29" t="s">
        <v>26</v>
      </c>
      <c r="D15250" s="31">
        <v>27453.46</v>
      </c>
      <c r="F15250" s="3" t="str">
        <f t="shared" si="238"/>
        <v>I11442</v>
      </c>
    </row>
    <row r="15251" spans="1:6" x14ac:dyDescent="0.2">
      <c r="A15251" s="29" t="s">
        <v>34028</v>
      </c>
      <c r="B15251" s="30" t="s">
        <v>34029</v>
      </c>
      <c r="C15251" s="29" t="s">
        <v>26</v>
      </c>
      <c r="D15251" s="31">
        <v>29949.22</v>
      </c>
      <c r="F15251" s="3" t="str">
        <f t="shared" si="238"/>
        <v>I11521</v>
      </c>
    </row>
    <row r="15252" spans="1:6" x14ac:dyDescent="0.2">
      <c r="A15252" s="29" t="s">
        <v>34030</v>
      </c>
      <c r="B15252" s="30" t="s">
        <v>34031</v>
      </c>
      <c r="C15252" s="29" t="s">
        <v>26</v>
      </c>
      <c r="D15252" s="31">
        <v>39265.79</v>
      </c>
      <c r="F15252" s="3" t="str">
        <f t="shared" si="238"/>
        <v>I11443</v>
      </c>
    </row>
    <row r="15253" spans="1:6" x14ac:dyDescent="0.2">
      <c r="A15253" s="29" t="s">
        <v>34032</v>
      </c>
      <c r="B15253" s="30" t="s">
        <v>34033</v>
      </c>
      <c r="C15253" s="29" t="s">
        <v>26</v>
      </c>
      <c r="D15253" s="31">
        <v>38331.03</v>
      </c>
      <c r="F15253" s="3" t="str">
        <f t="shared" si="238"/>
        <v>I11522</v>
      </c>
    </row>
    <row r="15254" spans="1:6" x14ac:dyDescent="0.2">
      <c r="A15254" s="29" t="s">
        <v>34034</v>
      </c>
      <c r="B15254" s="30" t="s">
        <v>34035</v>
      </c>
      <c r="C15254" s="29" t="s">
        <v>26</v>
      </c>
      <c r="D15254" s="31">
        <v>37436.54</v>
      </c>
      <c r="F15254" s="3" t="str">
        <f t="shared" si="238"/>
        <v>I11402</v>
      </c>
    </row>
    <row r="15255" spans="1:6" x14ac:dyDescent="0.2">
      <c r="A15255" s="29" t="s">
        <v>34036</v>
      </c>
      <c r="B15255" s="30" t="s">
        <v>34037</v>
      </c>
      <c r="C15255" s="29" t="s">
        <v>26</v>
      </c>
      <c r="D15255" s="31">
        <v>41180.199999999997</v>
      </c>
      <c r="F15255" s="3" t="str">
        <f t="shared" si="238"/>
        <v>I11444</v>
      </c>
    </row>
    <row r="15256" spans="1:6" x14ac:dyDescent="0.2">
      <c r="A15256" s="29" t="s">
        <v>34038</v>
      </c>
      <c r="B15256" s="30" t="s">
        <v>34039</v>
      </c>
      <c r="C15256" s="29" t="s">
        <v>26</v>
      </c>
      <c r="D15256" s="31">
        <v>44923.85</v>
      </c>
      <c r="F15256" s="3" t="str">
        <f t="shared" si="238"/>
        <v>I11523</v>
      </c>
    </row>
    <row r="15257" spans="1:6" x14ac:dyDescent="0.2">
      <c r="A15257" s="29" t="s">
        <v>34040</v>
      </c>
      <c r="B15257" s="30" t="s">
        <v>34041</v>
      </c>
      <c r="C15257" s="29" t="s">
        <v>26</v>
      </c>
      <c r="D15257" s="31">
        <v>49781.8</v>
      </c>
      <c r="F15257" s="3" t="str">
        <f t="shared" si="238"/>
        <v>I11445</v>
      </c>
    </row>
    <row r="15258" spans="1:6" x14ac:dyDescent="0.2">
      <c r="A15258" s="29" t="s">
        <v>34042</v>
      </c>
      <c r="B15258" s="30" t="s">
        <v>34043</v>
      </c>
      <c r="C15258" s="29" t="s">
        <v>26</v>
      </c>
      <c r="D15258" s="31">
        <v>50817.69</v>
      </c>
      <c r="F15258" s="3" t="str">
        <f t="shared" si="238"/>
        <v>I11524</v>
      </c>
    </row>
    <row r="15259" spans="1:6" x14ac:dyDescent="0.2">
      <c r="A15259" s="29" t="s">
        <v>34044</v>
      </c>
      <c r="B15259" s="30" t="s">
        <v>34045</v>
      </c>
      <c r="C15259" s="29" t="s">
        <v>26</v>
      </c>
      <c r="D15259" s="31">
        <v>44567.31</v>
      </c>
      <c r="F15259" s="3" t="str">
        <f t="shared" si="238"/>
        <v>I11403</v>
      </c>
    </row>
    <row r="15260" spans="1:6" x14ac:dyDescent="0.2">
      <c r="A15260" s="29" t="s">
        <v>34046</v>
      </c>
      <c r="B15260" s="30" t="s">
        <v>34047</v>
      </c>
      <c r="C15260" s="29" t="s">
        <v>26</v>
      </c>
      <c r="D15260" s="31">
        <v>49024.04</v>
      </c>
      <c r="F15260" s="3" t="str">
        <f t="shared" si="238"/>
        <v>I11446</v>
      </c>
    </row>
    <row r="15261" spans="1:6" x14ac:dyDescent="0.2">
      <c r="A15261" s="29" t="s">
        <v>34048</v>
      </c>
      <c r="B15261" s="30" t="s">
        <v>34049</v>
      </c>
      <c r="C15261" s="29" t="s">
        <v>26</v>
      </c>
      <c r="D15261" s="31">
        <v>53480.77</v>
      </c>
      <c r="F15261" s="3" t="str">
        <f t="shared" si="238"/>
        <v>I11525</v>
      </c>
    </row>
    <row r="15262" spans="1:6" x14ac:dyDescent="0.2">
      <c r="A15262" s="29" t="s">
        <v>34050</v>
      </c>
      <c r="B15262" s="30" t="s">
        <v>34051</v>
      </c>
      <c r="C15262" s="29" t="s">
        <v>26</v>
      </c>
      <c r="D15262" s="31">
        <v>53020.01</v>
      </c>
      <c r="F15262" s="3" t="str">
        <f t="shared" si="238"/>
        <v>I11447</v>
      </c>
    </row>
    <row r="15263" spans="1:6" x14ac:dyDescent="0.2">
      <c r="A15263" s="29" t="s">
        <v>34052</v>
      </c>
      <c r="B15263" s="30" t="s">
        <v>34053</v>
      </c>
      <c r="C15263" s="29" t="s">
        <v>26</v>
      </c>
      <c r="D15263" s="31">
        <v>55093.85</v>
      </c>
      <c r="F15263" s="3" t="str">
        <f t="shared" si="238"/>
        <v>I11526</v>
      </c>
    </row>
    <row r="15264" spans="1:6" x14ac:dyDescent="0.2">
      <c r="A15264" s="29" t="s">
        <v>34054</v>
      </c>
      <c r="B15264" s="30" t="s">
        <v>34055</v>
      </c>
      <c r="C15264" s="29" t="s">
        <v>26</v>
      </c>
      <c r="D15264" s="31">
        <v>28788.16</v>
      </c>
      <c r="F15264" s="3" t="str">
        <f t="shared" si="238"/>
        <v>I11448</v>
      </c>
    </row>
    <row r="15265" spans="1:6" x14ac:dyDescent="0.2">
      <c r="A15265" s="29" t="s">
        <v>34056</v>
      </c>
      <c r="B15265" s="30" t="s">
        <v>34057</v>
      </c>
      <c r="C15265" s="29" t="s">
        <v>26</v>
      </c>
      <c r="D15265" s="31">
        <v>32380.98</v>
      </c>
      <c r="F15265" s="3" t="str">
        <f t="shared" si="238"/>
        <v>I11527</v>
      </c>
    </row>
    <row r="15266" spans="1:6" x14ac:dyDescent="0.2">
      <c r="A15266" s="29" t="s">
        <v>34058</v>
      </c>
      <c r="B15266" s="30" t="s">
        <v>34059</v>
      </c>
      <c r="C15266" s="29" t="s">
        <v>26</v>
      </c>
      <c r="D15266" s="31">
        <v>42101.66</v>
      </c>
      <c r="F15266" s="3" t="str">
        <f t="shared" si="238"/>
        <v>I11449</v>
      </c>
    </row>
    <row r="15267" spans="1:6" x14ac:dyDescent="0.2">
      <c r="A15267" s="29" t="s">
        <v>34060</v>
      </c>
      <c r="B15267" s="30" t="s">
        <v>34061</v>
      </c>
      <c r="C15267" s="29" t="s">
        <v>26</v>
      </c>
      <c r="D15267" s="31">
        <v>42835.040000000001</v>
      </c>
      <c r="F15267" s="3" t="str">
        <f t="shared" si="238"/>
        <v>I11528</v>
      </c>
    </row>
    <row r="15268" spans="1:6" x14ac:dyDescent="0.2">
      <c r="A15268" s="29" t="s">
        <v>34062</v>
      </c>
      <c r="B15268" s="30" t="s">
        <v>34063</v>
      </c>
      <c r="C15268" s="29" t="s">
        <v>26</v>
      </c>
      <c r="D15268" s="31">
        <v>44893.39</v>
      </c>
      <c r="F15268" s="3" t="str">
        <f t="shared" si="238"/>
        <v>I11450</v>
      </c>
    </row>
    <row r="15269" spans="1:6" x14ac:dyDescent="0.2">
      <c r="A15269" s="29" t="s">
        <v>34064</v>
      </c>
      <c r="B15269" s="30" t="s">
        <v>34065</v>
      </c>
      <c r="C15269" s="29" t="s">
        <v>26</v>
      </c>
      <c r="D15269" s="31">
        <v>51855.58</v>
      </c>
      <c r="F15269" s="3" t="str">
        <f t="shared" si="238"/>
        <v>I11529</v>
      </c>
    </row>
    <row r="15270" spans="1:6" x14ac:dyDescent="0.2">
      <c r="A15270" s="29" t="s">
        <v>34066</v>
      </c>
      <c r="B15270" s="30" t="s">
        <v>34067</v>
      </c>
      <c r="C15270" s="29" t="s">
        <v>26</v>
      </c>
      <c r="D15270" s="31">
        <v>67066</v>
      </c>
      <c r="F15270" s="3" t="str">
        <f t="shared" si="238"/>
        <v>I11451</v>
      </c>
    </row>
    <row r="15271" spans="1:6" x14ac:dyDescent="0.2">
      <c r="A15271" s="29" t="s">
        <v>34068</v>
      </c>
      <c r="B15271" s="30" t="s">
        <v>34069</v>
      </c>
      <c r="C15271" s="29" t="s">
        <v>26</v>
      </c>
      <c r="D15271" s="31">
        <v>69268.5</v>
      </c>
      <c r="F15271" s="3" t="str">
        <f t="shared" si="238"/>
        <v>I11530</v>
      </c>
    </row>
    <row r="15272" spans="1:6" x14ac:dyDescent="0.2">
      <c r="A15272" s="29" t="s">
        <v>34070</v>
      </c>
      <c r="B15272" s="30" t="s">
        <v>34071</v>
      </c>
      <c r="C15272" s="29" t="s">
        <v>26</v>
      </c>
      <c r="D15272" s="31">
        <v>70957.070000000007</v>
      </c>
      <c r="F15272" s="3" t="str">
        <f t="shared" si="238"/>
        <v>I11452</v>
      </c>
    </row>
    <row r="15273" spans="1:6" x14ac:dyDescent="0.2">
      <c r="A15273" s="29" t="s">
        <v>34072</v>
      </c>
      <c r="B15273" s="30" t="s">
        <v>34073</v>
      </c>
      <c r="C15273" s="29" t="s">
        <v>26</v>
      </c>
      <c r="D15273" s="31">
        <v>73994.009999999995</v>
      </c>
      <c r="F15273" s="3" t="str">
        <f t="shared" si="238"/>
        <v>I11531</v>
      </c>
    </row>
    <row r="15274" spans="1:6" x14ac:dyDescent="0.2">
      <c r="A15274" s="29" t="s">
        <v>34074</v>
      </c>
      <c r="B15274" s="30" t="s">
        <v>34075</v>
      </c>
      <c r="C15274" s="29" t="s">
        <v>26</v>
      </c>
      <c r="D15274" s="31">
        <v>89268.09</v>
      </c>
      <c r="F15274" s="3" t="str">
        <f t="shared" si="238"/>
        <v>I11576</v>
      </c>
    </row>
    <row r="15275" spans="1:6" x14ac:dyDescent="0.2">
      <c r="A15275" s="29" t="s">
        <v>34076</v>
      </c>
      <c r="B15275" s="30" t="s">
        <v>34077</v>
      </c>
      <c r="C15275" s="29" t="s">
        <v>26</v>
      </c>
      <c r="D15275" s="31">
        <v>90649.86</v>
      </c>
      <c r="F15275" s="3" t="str">
        <f t="shared" si="238"/>
        <v>I11610</v>
      </c>
    </row>
    <row r="15276" spans="1:6" x14ac:dyDescent="0.2">
      <c r="A15276" s="29" t="s">
        <v>34078</v>
      </c>
      <c r="B15276" s="30" t="s">
        <v>34079</v>
      </c>
      <c r="C15276" s="29" t="s">
        <v>26</v>
      </c>
      <c r="D15276" s="31">
        <v>91246.29</v>
      </c>
      <c r="F15276" s="3" t="str">
        <f t="shared" si="238"/>
        <v>I11648</v>
      </c>
    </row>
    <row r="15277" spans="1:6" x14ac:dyDescent="0.2">
      <c r="A15277" s="29" t="s">
        <v>34080</v>
      </c>
      <c r="B15277" s="30" t="s">
        <v>34081</v>
      </c>
      <c r="C15277" s="29" t="s">
        <v>26</v>
      </c>
      <c r="D15277" s="31">
        <v>96535.02</v>
      </c>
      <c r="F15277" s="3" t="str">
        <f t="shared" si="238"/>
        <v>I11577</v>
      </c>
    </row>
    <row r="15278" spans="1:6" x14ac:dyDescent="0.2">
      <c r="A15278" s="29" t="s">
        <v>34082</v>
      </c>
      <c r="B15278" s="30" t="s">
        <v>34083</v>
      </c>
      <c r="C15278" s="29" t="s">
        <v>26</v>
      </c>
      <c r="D15278" s="31">
        <v>98522.77</v>
      </c>
      <c r="F15278" s="3" t="str">
        <f t="shared" si="238"/>
        <v>I11611</v>
      </c>
    </row>
    <row r="15279" spans="1:6" x14ac:dyDescent="0.2">
      <c r="A15279" s="29" t="s">
        <v>34084</v>
      </c>
      <c r="B15279" s="30" t="s">
        <v>34085</v>
      </c>
      <c r="C15279" s="29" t="s">
        <v>26</v>
      </c>
      <c r="D15279" s="31">
        <v>99838.15</v>
      </c>
      <c r="F15279" s="3" t="str">
        <f t="shared" si="238"/>
        <v>I11649</v>
      </c>
    </row>
    <row r="15280" spans="1:6" x14ac:dyDescent="0.2">
      <c r="A15280" s="29" t="s">
        <v>34086</v>
      </c>
      <c r="B15280" s="30" t="s">
        <v>34087</v>
      </c>
      <c r="C15280" s="29" t="s">
        <v>26</v>
      </c>
      <c r="D15280" s="31">
        <v>123102.52</v>
      </c>
      <c r="F15280" s="3" t="str">
        <f t="shared" si="238"/>
        <v>I11578</v>
      </c>
    </row>
    <row r="15281" spans="1:6" x14ac:dyDescent="0.2">
      <c r="A15281" s="29" t="s">
        <v>34088</v>
      </c>
      <c r="B15281" s="30" t="s">
        <v>34089</v>
      </c>
      <c r="C15281" s="29" t="s">
        <v>26</v>
      </c>
      <c r="D15281" s="31">
        <v>122345.25</v>
      </c>
      <c r="F15281" s="3" t="str">
        <f t="shared" si="238"/>
        <v>I11612</v>
      </c>
    </row>
    <row r="15282" spans="1:6" x14ac:dyDescent="0.2">
      <c r="A15282" s="29" t="s">
        <v>34090</v>
      </c>
      <c r="B15282" s="30" t="s">
        <v>34091</v>
      </c>
      <c r="C15282" s="29" t="s">
        <v>26</v>
      </c>
      <c r="D15282" s="31">
        <v>123809.38</v>
      </c>
      <c r="F15282" s="3" t="str">
        <f t="shared" si="238"/>
        <v>I11650</v>
      </c>
    </row>
    <row r="15283" spans="1:6" x14ac:dyDescent="0.2">
      <c r="A15283" s="29" t="s">
        <v>34092</v>
      </c>
      <c r="B15283" s="30" t="s">
        <v>34093</v>
      </c>
      <c r="C15283" s="29" t="s">
        <v>26</v>
      </c>
      <c r="D15283" s="31">
        <v>126636.14</v>
      </c>
      <c r="F15283" s="3" t="str">
        <f t="shared" si="238"/>
        <v>I11579</v>
      </c>
    </row>
    <row r="15284" spans="1:6" x14ac:dyDescent="0.2">
      <c r="A15284" s="29" t="s">
        <v>34094</v>
      </c>
      <c r="B15284" s="30" t="s">
        <v>34095</v>
      </c>
      <c r="C15284" s="29" t="s">
        <v>26</v>
      </c>
      <c r="D15284" s="31">
        <v>129892.59</v>
      </c>
      <c r="F15284" s="3" t="str">
        <f t="shared" si="238"/>
        <v>I11613</v>
      </c>
    </row>
    <row r="15285" spans="1:6" x14ac:dyDescent="0.2">
      <c r="A15285" s="29" t="s">
        <v>34096</v>
      </c>
      <c r="B15285" s="30" t="s">
        <v>34097</v>
      </c>
      <c r="C15285" s="29" t="s">
        <v>26</v>
      </c>
      <c r="D15285" s="31">
        <v>132650.84</v>
      </c>
      <c r="F15285" s="3" t="str">
        <f t="shared" si="238"/>
        <v>I11651</v>
      </c>
    </row>
    <row r="15286" spans="1:6" x14ac:dyDescent="0.2">
      <c r="A15286" s="29" t="s">
        <v>34098</v>
      </c>
      <c r="B15286" s="30" t="s">
        <v>34099</v>
      </c>
      <c r="C15286" s="29" t="s">
        <v>26</v>
      </c>
      <c r="D15286" s="31">
        <v>98560.6</v>
      </c>
      <c r="F15286" s="3" t="str">
        <f t="shared" si="238"/>
        <v>I11580</v>
      </c>
    </row>
    <row r="15287" spans="1:6" x14ac:dyDescent="0.2">
      <c r="A15287" s="29" t="s">
        <v>34100</v>
      </c>
      <c r="B15287" s="30" t="s">
        <v>34101</v>
      </c>
      <c r="C15287" s="29" t="s">
        <v>26</v>
      </c>
      <c r="D15287" s="31">
        <v>98560.6</v>
      </c>
      <c r="F15287" s="3" t="str">
        <f t="shared" si="238"/>
        <v>I11614</v>
      </c>
    </row>
    <row r="15288" spans="1:6" x14ac:dyDescent="0.2">
      <c r="A15288" s="29" t="s">
        <v>34102</v>
      </c>
      <c r="B15288" s="30" t="s">
        <v>34103</v>
      </c>
      <c r="C15288" s="29" t="s">
        <v>26</v>
      </c>
      <c r="D15288" s="31">
        <v>100678.47</v>
      </c>
      <c r="F15288" s="3" t="str">
        <f t="shared" si="238"/>
        <v>I11652</v>
      </c>
    </row>
    <row r="15289" spans="1:6" x14ac:dyDescent="0.2">
      <c r="A15289" s="29" t="s">
        <v>34104</v>
      </c>
      <c r="B15289" s="30" t="s">
        <v>34105</v>
      </c>
      <c r="C15289" s="29" t="s">
        <v>26</v>
      </c>
      <c r="D15289" s="31">
        <v>129251.01</v>
      </c>
      <c r="F15289" s="3" t="str">
        <f t="shared" si="238"/>
        <v>I11581</v>
      </c>
    </row>
    <row r="15290" spans="1:6" x14ac:dyDescent="0.2">
      <c r="A15290" s="29" t="s">
        <v>34106</v>
      </c>
      <c r="B15290" s="30" t="s">
        <v>34107</v>
      </c>
      <c r="C15290" s="29" t="s">
        <v>26</v>
      </c>
      <c r="D15290" s="31">
        <v>140446.63</v>
      </c>
      <c r="F15290" s="3" t="str">
        <f t="shared" si="238"/>
        <v>I11615</v>
      </c>
    </row>
    <row r="15291" spans="1:6" x14ac:dyDescent="0.2">
      <c r="A15291" s="29" t="s">
        <v>34108</v>
      </c>
      <c r="B15291" s="30" t="s">
        <v>34109</v>
      </c>
      <c r="C15291" s="29" t="s">
        <v>26</v>
      </c>
      <c r="D15291" s="31">
        <v>143433.92000000001</v>
      </c>
      <c r="F15291" s="3" t="str">
        <f t="shared" si="238"/>
        <v>I11653</v>
      </c>
    </row>
    <row r="15292" spans="1:6" x14ac:dyDescent="0.2">
      <c r="A15292" s="29" t="s">
        <v>34110</v>
      </c>
      <c r="B15292" s="30" t="s">
        <v>34111</v>
      </c>
      <c r="C15292" s="29" t="s">
        <v>26</v>
      </c>
      <c r="D15292" s="31">
        <v>153655.89000000001</v>
      </c>
      <c r="F15292" s="3" t="str">
        <f t="shared" si="238"/>
        <v>I11582</v>
      </c>
    </row>
    <row r="15293" spans="1:6" x14ac:dyDescent="0.2">
      <c r="A15293" s="29" t="s">
        <v>34112</v>
      </c>
      <c r="B15293" s="30" t="s">
        <v>34113</v>
      </c>
      <c r="C15293" s="29" t="s">
        <v>26</v>
      </c>
      <c r="D15293" s="31">
        <v>155529.87</v>
      </c>
      <c r="F15293" s="3" t="str">
        <f t="shared" si="238"/>
        <v>I11616</v>
      </c>
    </row>
    <row r="15294" spans="1:6" x14ac:dyDescent="0.2">
      <c r="A15294" s="29" t="s">
        <v>34114</v>
      </c>
      <c r="B15294" s="30" t="s">
        <v>34115</v>
      </c>
      <c r="C15294" s="29" t="s">
        <v>26</v>
      </c>
      <c r="D15294" s="31">
        <v>156857.69</v>
      </c>
      <c r="F15294" s="3" t="str">
        <f t="shared" si="238"/>
        <v>I11654</v>
      </c>
    </row>
    <row r="15295" spans="1:6" x14ac:dyDescent="0.2">
      <c r="A15295" s="29" t="s">
        <v>34116</v>
      </c>
      <c r="B15295" s="30" t="s">
        <v>34117</v>
      </c>
      <c r="C15295" s="29" t="s">
        <v>26</v>
      </c>
      <c r="D15295" s="31">
        <v>5482.31</v>
      </c>
      <c r="F15295" s="3" t="str">
        <f t="shared" si="238"/>
        <v>I11544</v>
      </c>
    </row>
    <row r="15296" spans="1:6" x14ac:dyDescent="0.2">
      <c r="A15296" s="29" t="s">
        <v>34118</v>
      </c>
      <c r="B15296" s="30" t="s">
        <v>34119</v>
      </c>
      <c r="C15296" s="29" t="s">
        <v>26</v>
      </c>
      <c r="D15296" s="31">
        <v>5678.83</v>
      </c>
      <c r="F15296" s="3" t="str">
        <f t="shared" si="238"/>
        <v>I11545</v>
      </c>
    </row>
    <row r="15297" spans="1:6" x14ac:dyDescent="0.2">
      <c r="A15297" s="29" t="s">
        <v>34120</v>
      </c>
      <c r="B15297" s="30" t="s">
        <v>34121</v>
      </c>
      <c r="C15297" s="29" t="s">
        <v>26</v>
      </c>
      <c r="D15297" s="31">
        <v>5682.11</v>
      </c>
      <c r="F15297" s="3" t="str">
        <f t="shared" si="238"/>
        <v>I11583</v>
      </c>
    </row>
    <row r="15298" spans="1:6" x14ac:dyDescent="0.2">
      <c r="A15298" s="29" t="s">
        <v>34122</v>
      </c>
      <c r="B15298" s="30" t="s">
        <v>34123</v>
      </c>
      <c r="C15298" s="29" t="s">
        <v>26</v>
      </c>
      <c r="D15298" s="31">
        <v>5811.67</v>
      </c>
      <c r="F15298" s="3" t="str">
        <f t="shared" ref="F15298:F15361" si="239">A15298</f>
        <v>I11617</v>
      </c>
    </row>
    <row r="15299" spans="1:6" x14ac:dyDescent="0.2">
      <c r="A15299" s="29" t="s">
        <v>34124</v>
      </c>
      <c r="B15299" s="30" t="s">
        <v>34125</v>
      </c>
      <c r="C15299" s="29" t="s">
        <v>26</v>
      </c>
      <c r="D15299" s="31">
        <v>5761.89</v>
      </c>
      <c r="F15299" s="3" t="str">
        <f t="shared" si="239"/>
        <v>I11546</v>
      </c>
    </row>
    <row r="15300" spans="1:6" x14ac:dyDescent="0.2">
      <c r="A15300" s="29" t="s">
        <v>34126</v>
      </c>
      <c r="B15300" s="30" t="s">
        <v>34127</v>
      </c>
      <c r="C15300" s="29" t="s">
        <v>26</v>
      </c>
      <c r="D15300" s="31">
        <v>5791.55</v>
      </c>
      <c r="F15300" s="3" t="str">
        <f t="shared" si="239"/>
        <v>I11584</v>
      </c>
    </row>
    <row r="15301" spans="1:6" x14ac:dyDescent="0.2">
      <c r="A15301" s="29" t="s">
        <v>34128</v>
      </c>
      <c r="B15301" s="30" t="s">
        <v>34129</v>
      </c>
      <c r="C15301" s="29" t="s">
        <v>26</v>
      </c>
      <c r="D15301" s="31">
        <v>6002.48</v>
      </c>
      <c r="F15301" s="3" t="str">
        <f t="shared" si="239"/>
        <v>I11618</v>
      </c>
    </row>
    <row r="15302" spans="1:6" x14ac:dyDescent="0.2">
      <c r="A15302" s="29" t="s">
        <v>34130</v>
      </c>
      <c r="B15302" s="30" t="s">
        <v>34131</v>
      </c>
      <c r="C15302" s="29" t="s">
        <v>26</v>
      </c>
      <c r="D15302" s="31">
        <v>6703.2</v>
      </c>
      <c r="F15302" s="3" t="str">
        <f t="shared" si="239"/>
        <v>I11547</v>
      </c>
    </row>
    <row r="15303" spans="1:6" x14ac:dyDescent="0.2">
      <c r="A15303" s="29" t="s">
        <v>34132</v>
      </c>
      <c r="B15303" s="30" t="s">
        <v>34133</v>
      </c>
      <c r="C15303" s="29" t="s">
        <v>26</v>
      </c>
      <c r="D15303" s="31">
        <v>5339</v>
      </c>
      <c r="F15303" s="3" t="str">
        <f t="shared" si="239"/>
        <v>I11619</v>
      </c>
    </row>
    <row r="15304" spans="1:6" x14ac:dyDescent="0.2">
      <c r="A15304" s="29" t="s">
        <v>34134</v>
      </c>
      <c r="B15304" s="30" t="s">
        <v>34135</v>
      </c>
      <c r="C15304" s="29" t="s">
        <v>26</v>
      </c>
      <c r="D15304" s="31">
        <v>7136.99</v>
      </c>
      <c r="F15304" s="3" t="str">
        <f t="shared" si="239"/>
        <v>I11548</v>
      </c>
    </row>
    <row r="15305" spans="1:6" x14ac:dyDescent="0.2">
      <c r="A15305" s="29" t="s">
        <v>34136</v>
      </c>
      <c r="B15305" s="30" t="s">
        <v>34137</v>
      </c>
      <c r="C15305" s="29" t="s">
        <v>26</v>
      </c>
      <c r="D15305" s="31">
        <v>7180.71</v>
      </c>
      <c r="F15305" s="3" t="str">
        <f t="shared" si="239"/>
        <v>I11585</v>
      </c>
    </row>
    <row r="15306" spans="1:6" x14ac:dyDescent="0.2">
      <c r="A15306" s="29" t="s">
        <v>34138</v>
      </c>
      <c r="B15306" s="30" t="s">
        <v>34139</v>
      </c>
      <c r="C15306" s="29" t="s">
        <v>26</v>
      </c>
      <c r="D15306" s="31">
        <v>5947.34</v>
      </c>
      <c r="F15306" s="3" t="str">
        <f t="shared" si="239"/>
        <v>I11620</v>
      </c>
    </row>
    <row r="15307" spans="1:6" x14ac:dyDescent="0.2">
      <c r="A15307" s="29" t="s">
        <v>34140</v>
      </c>
      <c r="B15307" s="30" t="s">
        <v>34141</v>
      </c>
      <c r="C15307" s="29" t="s">
        <v>26</v>
      </c>
      <c r="D15307" s="31">
        <v>16428.39</v>
      </c>
      <c r="F15307" s="3" t="str">
        <f t="shared" si="239"/>
        <v>I11549</v>
      </c>
    </row>
    <row r="15308" spans="1:6" x14ac:dyDescent="0.2">
      <c r="A15308" s="29" t="s">
        <v>34142</v>
      </c>
      <c r="B15308" s="30" t="s">
        <v>34143</v>
      </c>
      <c r="C15308" s="29" t="s">
        <v>26</v>
      </c>
      <c r="D15308" s="31">
        <v>16797.419999999998</v>
      </c>
      <c r="F15308" s="3" t="str">
        <f t="shared" si="239"/>
        <v>I11586</v>
      </c>
    </row>
    <row r="15309" spans="1:6" x14ac:dyDescent="0.2">
      <c r="A15309" s="29" t="s">
        <v>34144</v>
      </c>
      <c r="B15309" s="30" t="s">
        <v>34145</v>
      </c>
      <c r="C15309" s="29" t="s">
        <v>26</v>
      </c>
      <c r="D15309" s="31">
        <v>17175.57</v>
      </c>
      <c r="F15309" s="3" t="str">
        <f t="shared" si="239"/>
        <v>I11621</v>
      </c>
    </row>
    <row r="15310" spans="1:6" x14ac:dyDescent="0.2">
      <c r="A15310" s="29" t="s">
        <v>34146</v>
      </c>
      <c r="B15310" s="30" t="s">
        <v>34147</v>
      </c>
      <c r="C15310" s="29" t="s">
        <v>26</v>
      </c>
      <c r="D15310" s="31">
        <v>7548.21</v>
      </c>
      <c r="F15310" s="3" t="str">
        <f t="shared" si="239"/>
        <v>I11550</v>
      </c>
    </row>
    <row r="15311" spans="1:6" x14ac:dyDescent="0.2">
      <c r="A15311" s="29" t="s">
        <v>34148</v>
      </c>
      <c r="B15311" s="30" t="s">
        <v>34149</v>
      </c>
      <c r="C15311" s="29" t="s">
        <v>26</v>
      </c>
      <c r="D15311" s="31">
        <v>7412.99</v>
      </c>
      <c r="F15311" s="3" t="str">
        <f t="shared" si="239"/>
        <v>I11622</v>
      </c>
    </row>
    <row r="15312" spans="1:6" x14ac:dyDescent="0.2">
      <c r="A15312" s="29" t="s">
        <v>34150</v>
      </c>
      <c r="B15312" s="30" t="s">
        <v>34151</v>
      </c>
      <c r="C15312" s="29" t="s">
        <v>26</v>
      </c>
      <c r="D15312" s="31">
        <v>7933.08</v>
      </c>
      <c r="F15312" s="3" t="str">
        <f t="shared" si="239"/>
        <v>I11551</v>
      </c>
    </row>
    <row r="15313" spans="1:6" x14ac:dyDescent="0.2">
      <c r="A15313" s="29" t="s">
        <v>34152</v>
      </c>
      <c r="B15313" s="30" t="s">
        <v>34153</v>
      </c>
      <c r="C15313" s="29" t="s">
        <v>26</v>
      </c>
      <c r="D15313" s="31">
        <v>7992.48</v>
      </c>
      <c r="F15313" s="3" t="str">
        <f t="shared" si="239"/>
        <v>I11587</v>
      </c>
    </row>
    <row r="15314" spans="1:6" x14ac:dyDescent="0.2">
      <c r="A15314" s="29" t="s">
        <v>34154</v>
      </c>
      <c r="B15314" s="30" t="s">
        <v>34155</v>
      </c>
      <c r="C15314" s="29" t="s">
        <v>26</v>
      </c>
      <c r="D15314" s="31">
        <v>8049.12</v>
      </c>
      <c r="F15314" s="3" t="str">
        <f t="shared" si="239"/>
        <v>I11623</v>
      </c>
    </row>
    <row r="15315" spans="1:6" x14ac:dyDescent="0.2">
      <c r="A15315" s="29" t="s">
        <v>34156</v>
      </c>
      <c r="B15315" s="30" t="s">
        <v>34157</v>
      </c>
      <c r="C15315" s="29" t="s">
        <v>26</v>
      </c>
      <c r="D15315" s="31">
        <v>8543.48</v>
      </c>
      <c r="F15315" s="3" t="str">
        <f t="shared" si="239"/>
        <v>I11552</v>
      </c>
    </row>
    <row r="15316" spans="1:6" x14ac:dyDescent="0.2">
      <c r="A15316" s="29" t="s">
        <v>34158</v>
      </c>
      <c r="B15316" s="30" t="s">
        <v>34159</v>
      </c>
      <c r="C15316" s="29" t="s">
        <v>26</v>
      </c>
      <c r="D15316" s="31">
        <v>8604.5400000000009</v>
      </c>
      <c r="F15316" s="3" t="str">
        <f t="shared" si="239"/>
        <v>I11588</v>
      </c>
    </row>
    <row r="15317" spans="1:6" x14ac:dyDescent="0.2">
      <c r="A15317" s="29" t="s">
        <v>34160</v>
      </c>
      <c r="B15317" s="30" t="s">
        <v>34161</v>
      </c>
      <c r="C15317" s="29" t="s">
        <v>26</v>
      </c>
      <c r="D15317" s="31">
        <v>8687.02</v>
      </c>
      <c r="F15317" s="3" t="str">
        <f t="shared" si="239"/>
        <v>I11624</v>
      </c>
    </row>
    <row r="15318" spans="1:6" x14ac:dyDescent="0.2">
      <c r="A15318" s="29" t="s">
        <v>34162</v>
      </c>
      <c r="B15318" s="30" t="s">
        <v>34163</v>
      </c>
      <c r="C15318" s="29" t="s">
        <v>26</v>
      </c>
      <c r="D15318" s="31">
        <v>19370.150000000001</v>
      </c>
      <c r="F15318" s="3" t="str">
        <f t="shared" si="239"/>
        <v>I11553</v>
      </c>
    </row>
    <row r="15319" spans="1:6" x14ac:dyDescent="0.2">
      <c r="A15319" s="29" t="s">
        <v>34164</v>
      </c>
      <c r="B15319" s="30" t="s">
        <v>34165</v>
      </c>
      <c r="C15319" s="29" t="s">
        <v>26</v>
      </c>
      <c r="D15319" s="31">
        <v>20816.259999999998</v>
      </c>
      <c r="F15319" s="3" t="str">
        <f t="shared" si="239"/>
        <v>I11589</v>
      </c>
    </row>
    <row r="15320" spans="1:6" x14ac:dyDescent="0.2">
      <c r="A15320" s="29" t="s">
        <v>34166</v>
      </c>
      <c r="B15320" s="30" t="s">
        <v>34167</v>
      </c>
      <c r="C15320" s="29" t="s">
        <v>26</v>
      </c>
      <c r="D15320" s="31">
        <v>20673.57</v>
      </c>
      <c r="F15320" s="3" t="str">
        <f t="shared" si="239"/>
        <v>I11625</v>
      </c>
    </row>
    <row r="15321" spans="1:6" x14ac:dyDescent="0.2">
      <c r="A15321" s="29" t="s">
        <v>34168</v>
      </c>
      <c r="B15321" s="30" t="s">
        <v>34169</v>
      </c>
      <c r="C15321" s="29" t="s">
        <v>26</v>
      </c>
      <c r="D15321" s="31">
        <v>10715.08</v>
      </c>
      <c r="F15321" s="3" t="str">
        <f t="shared" si="239"/>
        <v>I11554</v>
      </c>
    </row>
    <row r="15322" spans="1:6" x14ac:dyDescent="0.2">
      <c r="A15322" s="29" t="s">
        <v>34170</v>
      </c>
      <c r="B15322" s="30" t="s">
        <v>34171</v>
      </c>
      <c r="C15322" s="29" t="s">
        <v>26</v>
      </c>
      <c r="D15322" s="31">
        <v>10496.91</v>
      </c>
      <c r="F15322" s="3" t="str">
        <f t="shared" si="239"/>
        <v>I11626</v>
      </c>
    </row>
    <row r="15323" spans="1:6" x14ac:dyDescent="0.2">
      <c r="A15323" s="29" t="s">
        <v>34172</v>
      </c>
      <c r="B15323" s="30" t="s">
        <v>34173</v>
      </c>
      <c r="C15323" s="29" t="s">
        <v>26</v>
      </c>
      <c r="D15323" s="31">
        <v>10809.14</v>
      </c>
      <c r="F15323" s="3" t="str">
        <f t="shared" si="239"/>
        <v>I11555</v>
      </c>
    </row>
    <row r="15324" spans="1:6" x14ac:dyDescent="0.2">
      <c r="A15324" s="29" t="s">
        <v>34174</v>
      </c>
      <c r="B15324" s="30" t="s">
        <v>34175</v>
      </c>
      <c r="C15324" s="29" t="s">
        <v>26</v>
      </c>
      <c r="D15324" s="31">
        <v>10987.44</v>
      </c>
      <c r="F15324" s="3" t="str">
        <f t="shared" si="239"/>
        <v>I11590</v>
      </c>
    </row>
    <row r="15325" spans="1:6" x14ac:dyDescent="0.2">
      <c r="A15325" s="29" t="s">
        <v>34176</v>
      </c>
      <c r="B15325" s="30" t="s">
        <v>34177</v>
      </c>
      <c r="C15325" s="29" t="s">
        <v>26</v>
      </c>
      <c r="D15325" s="31">
        <v>10952.36</v>
      </c>
      <c r="F15325" s="3" t="str">
        <f t="shared" si="239"/>
        <v>I11627</v>
      </c>
    </row>
    <row r="15326" spans="1:6" x14ac:dyDescent="0.2">
      <c r="A15326" s="29" t="s">
        <v>34178</v>
      </c>
      <c r="B15326" s="30" t="s">
        <v>34179</v>
      </c>
      <c r="C15326" s="29" t="s">
        <v>26</v>
      </c>
      <c r="D15326" s="31">
        <v>11937.85</v>
      </c>
      <c r="F15326" s="3" t="str">
        <f t="shared" si="239"/>
        <v>I11556</v>
      </c>
    </row>
    <row r="15327" spans="1:6" x14ac:dyDescent="0.2">
      <c r="A15327" s="29" t="s">
        <v>34180</v>
      </c>
      <c r="B15327" s="30" t="s">
        <v>34181</v>
      </c>
      <c r="C15327" s="29" t="s">
        <v>26</v>
      </c>
      <c r="D15327" s="31">
        <v>11946.96</v>
      </c>
      <c r="F15327" s="3" t="str">
        <f t="shared" si="239"/>
        <v>I11591</v>
      </c>
    </row>
    <row r="15328" spans="1:6" x14ac:dyDescent="0.2">
      <c r="A15328" s="29" t="s">
        <v>34182</v>
      </c>
      <c r="B15328" s="30" t="s">
        <v>34183</v>
      </c>
      <c r="C15328" s="29" t="s">
        <v>26</v>
      </c>
      <c r="D15328" s="31">
        <v>12039.39</v>
      </c>
      <c r="F15328" s="3" t="str">
        <f t="shared" si="239"/>
        <v>I11628</v>
      </c>
    </row>
    <row r="15329" spans="1:6" x14ac:dyDescent="0.2">
      <c r="A15329" s="29" t="s">
        <v>34184</v>
      </c>
      <c r="B15329" s="30" t="s">
        <v>34185</v>
      </c>
      <c r="C15329" s="29" t="s">
        <v>26</v>
      </c>
      <c r="D15329" s="31">
        <v>25678.400000000001</v>
      </c>
      <c r="F15329" s="3" t="str">
        <f t="shared" si="239"/>
        <v>I11557</v>
      </c>
    </row>
    <row r="15330" spans="1:6" x14ac:dyDescent="0.2">
      <c r="A15330" s="29" t="s">
        <v>34186</v>
      </c>
      <c r="B15330" s="30" t="s">
        <v>34187</v>
      </c>
      <c r="C15330" s="29" t="s">
        <v>26</v>
      </c>
      <c r="D15330" s="31">
        <v>25731.73</v>
      </c>
      <c r="F15330" s="3" t="str">
        <f t="shared" si="239"/>
        <v>I11592</v>
      </c>
    </row>
    <row r="15331" spans="1:6" x14ac:dyDescent="0.2">
      <c r="A15331" s="29" t="s">
        <v>34188</v>
      </c>
      <c r="B15331" s="30" t="s">
        <v>34189</v>
      </c>
      <c r="C15331" s="29" t="s">
        <v>26</v>
      </c>
      <c r="D15331" s="31">
        <v>27487.52</v>
      </c>
      <c r="F15331" s="3" t="str">
        <f t="shared" si="239"/>
        <v>I11629</v>
      </c>
    </row>
    <row r="15332" spans="1:6" x14ac:dyDescent="0.2">
      <c r="A15332" s="29" t="s">
        <v>34190</v>
      </c>
      <c r="B15332" s="30" t="s">
        <v>34191</v>
      </c>
      <c r="C15332" s="29" t="s">
        <v>26</v>
      </c>
      <c r="D15332" s="31">
        <v>28067.69</v>
      </c>
      <c r="F15332" s="3" t="str">
        <f t="shared" si="239"/>
        <v>I11558</v>
      </c>
    </row>
    <row r="15333" spans="1:6" x14ac:dyDescent="0.2">
      <c r="A15333" s="29" t="s">
        <v>34192</v>
      </c>
      <c r="B15333" s="30" t="s">
        <v>34193</v>
      </c>
      <c r="C15333" s="29" t="s">
        <v>26</v>
      </c>
      <c r="D15333" s="31">
        <v>29082.42</v>
      </c>
      <c r="F15333" s="3" t="str">
        <f t="shared" si="239"/>
        <v>I11593</v>
      </c>
    </row>
    <row r="15334" spans="1:6" x14ac:dyDescent="0.2">
      <c r="A15334" s="29" t="s">
        <v>34194</v>
      </c>
      <c r="B15334" s="30" t="s">
        <v>34195</v>
      </c>
      <c r="C15334" s="29" t="s">
        <v>26</v>
      </c>
      <c r="D15334" s="31">
        <v>29287.93</v>
      </c>
      <c r="F15334" s="3" t="str">
        <f t="shared" si="239"/>
        <v>I11630</v>
      </c>
    </row>
    <row r="15335" spans="1:6" x14ac:dyDescent="0.2">
      <c r="A15335" s="29" t="s">
        <v>34196</v>
      </c>
      <c r="B15335" s="30" t="s">
        <v>34197</v>
      </c>
      <c r="C15335" s="29" t="s">
        <v>26</v>
      </c>
      <c r="D15335" s="31">
        <v>24608.27</v>
      </c>
      <c r="F15335" s="3" t="str">
        <f t="shared" si="239"/>
        <v>I11559</v>
      </c>
    </row>
    <row r="15336" spans="1:6" x14ac:dyDescent="0.2">
      <c r="A15336" s="29" t="s">
        <v>34198</v>
      </c>
      <c r="B15336" s="30" t="s">
        <v>34199</v>
      </c>
      <c r="C15336" s="29" t="s">
        <v>26</v>
      </c>
      <c r="D15336" s="31">
        <v>24069.279999999999</v>
      </c>
      <c r="F15336" s="3" t="str">
        <f t="shared" si="239"/>
        <v>I11631</v>
      </c>
    </row>
    <row r="15337" spans="1:6" x14ac:dyDescent="0.2">
      <c r="A15337" s="29" t="s">
        <v>34200</v>
      </c>
      <c r="B15337" s="30" t="s">
        <v>34201</v>
      </c>
      <c r="C15337" s="29" t="s">
        <v>26</v>
      </c>
      <c r="D15337" s="31">
        <v>25773.85</v>
      </c>
      <c r="F15337" s="3" t="str">
        <f t="shared" si="239"/>
        <v>I11560</v>
      </c>
    </row>
    <row r="15338" spans="1:6" x14ac:dyDescent="0.2">
      <c r="A15338" s="29" t="s">
        <v>34202</v>
      </c>
      <c r="B15338" s="30" t="s">
        <v>34203</v>
      </c>
      <c r="C15338" s="29" t="s">
        <v>26</v>
      </c>
      <c r="D15338" s="31">
        <v>25498.26</v>
      </c>
      <c r="F15338" s="3" t="str">
        <f t="shared" si="239"/>
        <v>I11594</v>
      </c>
    </row>
    <row r="15339" spans="1:6" x14ac:dyDescent="0.2">
      <c r="A15339" s="29" t="s">
        <v>34204</v>
      </c>
      <c r="B15339" s="30" t="s">
        <v>34205</v>
      </c>
      <c r="C15339" s="29" t="s">
        <v>26</v>
      </c>
      <c r="D15339" s="31">
        <v>26592.42</v>
      </c>
      <c r="F15339" s="3" t="str">
        <f t="shared" si="239"/>
        <v>I11632</v>
      </c>
    </row>
    <row r="15340" spans="1:6" x14ac:dyDescent="0.2">
      <c r="A15340" s="29" t="s">
        <v>34206</v>
      </c>
      <c r="B15340" s="30" t="s">
        <v>34207</v>
      </c>
      <c r="C15340" s="29" t="s">
        <v>26</v>
      </c>
      <c r="D15340" s="31">
        <v>32823.050000000003</v>
      </c>
      <c r="F15340" s="3" t="str">
        <f t="shared" si="239"/>
        <v>I11561</v>
      </c>
    </row>
    <row r="15341" spans="1:6" x14ac:dyDescent="0.2">
      <c r="A15341" s="29" t="s">
        <v>34208</v>
      </c>
      <c r="B15341" s="30" t="s">
        <v>34209</v>
      </c>
      <c r="C15341" s="29" t="s">
        <v>26</v>
      </c>
      <c r="D15341" s="31">
        <v>32823.050000000003</v>
      </c>
      <c r="F15341" s="3" t="str">
        <f t="shared" si="239"/>
        <v>I11595</v>
      </c>
    </row>
    <row r="15342" spans="1:6" x14ac:dyDescent="0.2">
      <c r="A15342" s="29" t="s">
        <v>34210</v>
      </c>
      <c r="B15342" s="30" t="s">
        <v>34211</v>
      </c>
      <c r="C15342" s="29" t="s">
        <v>26</v>
      </c>
      <c r="D15342" s="31">
        <v>33525.379999999997</v>
      </c>
      <c r="F15342" s="3" t="str">
        <f t="shared" si="239"/>
        <v>I11633</v>
      </c>
    </row>
    <row r="15343" spans="1:6" x14ac:dyDescent="0.2">
      <c r="A15343" s="29" t="s">
        <v>34212</v>
      </c>
      <c r="B15343" s="30" t="s">
        <v>34213</v>
      </c>
      <c r="C15343" s="29" t="s">
        <v>26</v>
      </c>
      <c r="D15343" s="31">
        <v>34815.5</v>
      </c>
      <c r="F15343" s="3" t="str">
        <f t="shared" si="239"/>
        <v>I11562</v>
      </c>
    </row>
    <row r="15344" spans="1:6" x14ac:dyDescent="0.2">
      <c r="A15344" s="29" t="s">
        <v>34214</v>
      </c>
      <c r="B15344" s="30" t="s">
        <v>34215</v>
      </c>
      <c r="C15344" s="29" t="s">
        <v>26</v>
      </c>
      <c r="D15344" s="31">
        <v>35006.78</v>
      </c>
      <c r="F15344" s="3" t="str">
        <f t="shared" si="239"/>
        <v>I11596</v>
      </c>
    </row>
    <row r="15345" spans="1:6" x14ac:dyDescent="0.2">
      <c r="A15345" s="29" t="s">
        <v>34216</v>
      </c>
      <c r="B15345" s="30" t="s">
        <v>34217</v>
      </c>
      <c r="C15345" s="29" t="s">
        <v>26</v>
      </c>
      <c r="D15345" s="31">
        <v>36074.21</v>
      </c>
      <c r="F15345" s="3" t="str">
        <f t="shared" si="239"/>
        <v>I11634</v>
      </c>
    </row>
    <row r="15346" spans="1:6" x14ac:dyDescent="0.2">
      <c r="A15346" s="29" t="s">
        <v>34218</v>
      </c>
      <c r="B15346" s="30" t="s">
        <v>34219</v>
      </c>
      <c r="C15346" s="29" t="s">
        <v>26</v>
      </c>
      <c r="D15346" s="31">
        <v>38799.42</v>
      </c>
      <c r="F15346" s="3" t="str">
        <f t="shared" si="239"/>
        <v>I11563</v>
      </c>
    </row>
    <row r="15347" spans="1:6" x14ac:dyDescent="0.2">
      <c r="A15347" s="29" t="s">
        <v>34220</v>
      </c>
      <c r="B15347" s="30" t="s">
        <v>34221</v>
      </c>
      <c r="C15347" s="29" t="s">
        <v>26</v>
      </c>
      <c r="D15347" s="31">
        <v>41356.03</v>
      </c>
      <c r="F15347" s="3" t="str">
        <f t="shared" si="239"/>
        <v>I11597</v>
      </c>
    </row>
    <row r="15348" spans="1:6" x14ac:dyDescent="0.2">
      <c r="A15348" s="29" t="s">
        <v>34222</v>
      </c>
      <c r="B15348" s="30" t="s">
        <v>34223</v>
      </c>
      <c r="C15348" s="29" t="s">
        <v>26</v>
      </c>
      <c r="D15348" s="31">
        <v>42603.15</v>
      </c>
      <c r="F15348" s="3" t="str">
        <f t="shared" si="239"/>
        <v>I11635</v>
      </c>
    </row>
    <row r="15349" spans="1:6" x14ac:dyDescent="0.2">
      <c r="A15349" s="29" t="s">
        <v>34224</v>
      </c>
      <c r="B15349" s="30" t="s">
        <v>34225</v>
      </c>
      <c r="C15349" s="29" t="s">
        <v>26</v>
      </c>
      <c r="D15349" s="31">
        <v>49928.73</v>
      </c>
      <c r="F15349" s="3" t="str">
        <f t="shared" si="239"/>
        <v>I11564</v>
      </c>
    </row>
    <row r="15350" spans="1:6" x14ac:dyDescent="0.2">
      <c r="A15350" s="29" t="s">
        <v>34226</v>
      </c>
      <c r="B15350" s="30" t="s">
        <v>34227</v>
      </c>
      <c r="C15350" s="29" t="s">
        <v>26</v>
      </c>
      <c r="D15350" s="31">
        <v>48212.51</v>
      </c>
      <c r="F15350" s="3" t="str">
        <f t="shared" si="239"/>
        <v>I11598</v>
      </c>
    </row>
    <row r="15351" spans="1:6" x14ac:dyDescent="0.2">
      <c r="A15351" s="29" t="s">
        <v>34228</v>
      </c>
      <c r="B15351" s="30" t="s">
        <v>34229</v>
      </c>
      <c r="C15351" s="29" t="s">
        <v>26</v>
      </c>
      <c r="D15351" s="31">
        <v>48523.65</v>
      </c>
      <c r="F15351" s="3" t="str">
        <f t="shared" si="239"/>
        <v>I11636</v>
      </c>
    </row>
    <row r="15352" spans="1:6" x14ac:dyDescent="0.2">
      <c r="A15352" s="29" t="s">
        <v>34230</v>
      </c>
      <c r="B15352" s="30" t="s">
        <v>34231</v>
      </c>
      <c r="C15352" s="29" t="s">
        <v>26</v>
      </c>
      <c r="D15352" s="31">
        <v>62947.23</v>
      </c>
      <c r="F15352" s="3" t="str">
        <f t="shared" si="239"/>
        <v>I11565</v>
      </c>
    </row>
    <row r="15353" spans="1:6" x14ac:dyDescent="0.2">
      <c r="A15353" s="29" t="s">
        <v>34232</v>
      </c>
      <c r="B15353" s="30" t="s">
        <v>34233</v>
      </c>
      <c r="C15353" s="29" t="s">
        <v>26</v>
      </c>
      <c r="D15353" s="31">
        <v>61805.67</v>
      </c>
      <c r="F15353" s="3" t="str">
        <f t="shared" si="239"/>
        <v>I11599</v>
      </c>
    </row>
    <row r="15354" spans="1:6" x14ac:dyDescent="0.2">
      <c r="A15354" s="29" t="s">
        <v>34234</v>
      </c>
      <c r="B15354" s="30" t="s">
        <v>34235</v>
      </c>
      <c r="C15354" s="29" t="s">
        <v>26</v>
      </c>
      <c r="D15354" s="31">
        <v>62785.34</v>
      </c>
      <c r="F15354" s="3" t="str">
        <f t="shared" si="239"/>
        <v>I11637</v>
      </c>
    </row>
    <row r="15355" spans="1:6" x14ac:dyDescent="0.2">
      <c r="A15355" s="29" t="s">
        <v>34236</v>
      </c>
      <c r="B15355" s="30" t="s">
        <v>34237</v>
      </c>
      <c r="C15355" s="29" t="s">
        <v>26</v>
      </c>
      <c r="D15355" s="31">
        <v>72266.100000000006</v>
      </c>
      <c r="F15355" s="3" t="str">
        <f t="shared" si="239"/>
        <v>I11566</v>
      </c>
    </row>
    <row r="15356" spans="1:6" x14ac:dyDescent="0.2">
      <c r="A15356" s="29" t="s">
        <v>34238</v>
      </c>
      <c r="B15356" s="30" t="s">
        <v>34239</v>
      </c>
      <c r="C15356" s="29" t="s">
        <v>26</v>
      </c>
      <c r="D15356" s="31">
        <v>69817.100000000006</v>
      </c>
      <c r="F15356" s="3" t="str">
        <f t="shared" si="239"/>
        <v>I11600</v>
      </c>
    </row>
    <row r="15357" spans="1:6" x14ac:dyDescent="0.2">
      <c r="A15357" s="29" t="s">
        <v>34240</v>
      </c>
      <c r="B15357" s="30" t="s">
        <v>34241</v>
      </c>
      <c r="C15357" s="29" t="s">
        <v>26</v>
      </c>
      <c r="D15357" s="31">
        <v>71753.45</v>
      </c>
      <c r="F15357" s="3" t="str">
        <f t="shared" si="239"/>
        <v>I11638</v>
      </c>
    </row>
    <row r="15358" spans="1:6" x14ac:dyDescent="0.2">
      <c r="A15358" s="29" t="s">
        <v>34242</v>
      </c>
      <c r="B15358" s="30" t="s">
        <v>34243</v>
      </c>
      <c r="C15358" s="29" t="s">
        <v>26</v>
      </c>
      <c r="D15358" s="31">
        <v>57643.49</v>
      </c>
      <c r="F15358" s="3" t="str">
        <f t="shared" si="239"/>
        <v>I11567</v>
      </c>
    </row>
    <row r="15359" spans="1:6" x14ac:dyDescent="0.2">
      <c r="A15359" s="29" t="s">
        <v>34244</v>
      </c>
      <c r="B15359" s="30" t="s">
        <v>34245</v>
      </c>
      <c r="C15359" s="29" t="s">
        <v>26</v>
      </c>
      <c r="D15359" s="31">
        <v>60801.2</v>
      </c>
      <c r="F15359" s="3" t="str">
        <f t="shared" si="239"/>
        <v>I11601</v>
      </c>
    </row>
    <row r="15360" spans="1:6" x14ac:dyDescent="0.2">
      <c r="A15360" s="29" t="s">
        <v>34246</v>
      </c>
      <c r="B15360" s="30" t="s">
        <v>34247</v>
      </c>
      <c r="C15360" s="29" t="s">
        <v>26</v>
      </c>
      <c r="D15360" s="31">
        <v>60801.2</v>
      </c>
      <c r="F15360" s="3" t="str">
        <f t="shared" si="239"/>
        <v>I11639</v>
      </c>
    </row>
    <row r="15361" spans="1:6" x14ac:dyDescent="0.2">
      <c r="A15361" s="29" t="s">
        <v>34248</v>
      </c>
      <c r="B15361" s="30" t="s">
        <v>34249</v>
      </c>
      <c r="C15361" s="29" t="s">
        <v>26</v>
      </c>
      <c r="D15361" s="31">
        <v>71918.58</v>
      </c>
      <c r="F15361" s="3" t="str">
        <f t="shared" si="239"/>
        <v>I11568</v>
      </c>
    </row>
    <row r="15362" spans="1:6" x14ac:dyDescent="0.2">
      <c r="A15362" s="29" t="s">
        <v>34250</v>
      </c>
      <c r="B15362" s="30" t="s">
        <v>34251</v>
      </c>
      <c r="C15362" s="29" t="s">
        <v>26</v>
      </c>
      <c r="D15362" s="31">
        <v>71962.55</v>
      </c>
      <c r="F15362" s="3" t="str">
        <f t="shared" ref="F15362:F15425" si="240">A15362</f>
        <v>I11602</v>
      </c>
    </row>
    <row r="15363" spans="1:6" x14ac:dyDescent="0.2">
      <c r="A15363" s="29" t="s">
        <v>34252</v>
      </c>
      <c r="B15363" s="30" t="s">
        <v>34253</v>
      </c>
      <c r="C15363" s="29" t="s">
        <v>26</v>
      </c>
      <c r="D15363" s="31">
        <v>71027.789999999994</v>
      </c>
      <c r="F15363" s="3" t="str">
        <f t="shared" si="240"/>
        <v>I11640</v>
      </c>
    </row>
    <row r="15364" spans="1:6" x14ac:dyDescent="0.2">
      <c r="A15364" s="29" t="s">
        <v>34254</v>
      </c>
      <c r="B15364" s="30" t="s">
        <v>34255</v>
      </c>
      <c r="C15364" s="29" t="s">
        <v>26</v>
      </c>
      <c r="D15364" s="31">
        <v>80752.820000000007</v>
      </c>
      <c r="F15364" s="3" t="str">
        <f t="shared" si="240"/>
        <v>I11569</v>
      </c>
    </row>
    <row r="15365" spans="1:6" x14ac:dyDescent="0.2">
      <c r="A15365" s="29" t="s">
        <v>34256</v>
      </c>
      <c r="B15365" s="30" t="s">
        <v>34257</v>
      </c>
      <c r="C15365" s="29" t="s">
        <v>26</v>
      </c>
      <c r="D15365" s="31">
        <v>82478.52</v>
      </c>
      <c r="F15365" s="3" t="str">
        <f t="shared" si="240"/>
        <v>I11603</v>
      </c>
    </row>
    <row r="15366" spans="1:6" x14ac:dyDescent="0.2">
      <c r="A15366" s="29" t="s">
        <v>34258</v>
      </c>
      <c r="B15366" s="30" t="s">
        <v>34259</v>
      </c>
      <c r="C15366" s="29" t="s">
        <v>26</v>
      </c>
      <c r="D15366" s="31">
        <v>83514.44</v>
      </c>
      <c r="F15366" s="3" t="str">
        <f t="shared" si="240"/>
        <v>I11641</v>
      </c>
    </row>
    <row r="15367" spans="1:6" x14ac:dyDescent="0.2">
      <c r="A15367" s="29" t="s">
        <v>34260</v>
      </c>
      <c r="B15367" s="30" t="s">
        <v>34261</v>
      </c>
      <c r="C15367" s="29" t="s">
        <v>26</v>
      </c>
      <c r="D15367" s="31">
        <v>81625.81</v>
      </c>
      <c r="F15367" s="3" t="str">
        <f t="shared" si="240"/>
        <v>I11570</v>
      </c>
    </row>
    <row r="15368" spans="1:6" x14ac:dyDescent="0.2">
      <c r="A15368" s="29" t="s">
        <v>34262</v>
      </c>
      <c r="B15368" s="30" t="s">
        <v>34263</v>
      </c>
      <c r="C15368" s="29" t="s">
        <v>26</v>
      </c>
      <c r="D15368" s="31">
        <v>85716.75</v>
      </c>
      <c r="F15368" s="3" t="str">
        <f t="shared" si="240"/>
        <v>I11604</v>
      </c>
    </row>
    <row r="15369" spans="1:6" x14ac:dyDescent="0.2">
      <c r="A15369" s="29" t="s">
        <v>34264</v>
      </c>
      <c r="B15369" s="30" t="s">
        <v>34265</v>
      </c>
      <c r="C15369" s="29" t="s">
        <v>26</v>
      </c>
      <c r="D15369" s="31">
        <v>87790.59</v>
      </c>
      <c r="F15369" s="3" t="str">
        <f t="shared" si="240"/>
        <v>I11642</v>
      </c>
    </row>
    <row r="15370" spans="1:6" x14ac:dyDescent="0.2">
      <c r="A15370" s="29" t="s">
        <v>34266</v>
      </c>
      <c r="B15370" s="30" t="s">
        <v>34267</v>
      </c>
      <c r="C15370" s="29" t="s">
        <v>26</v>
      </c>
      <c r="D15370" s="31">
        <v>66261.77</v>
      </c>
      <c r="F15370" s="3" t="str">
        <f t="shared" si="240"/>
        <v>I11571</v>
      </c>
    </row>
    <row r="15371" spans="1:6" x14ac:dyDescent="0.2">
      <c r="A15371" s="29" t="s">
        <v>34268</v>
      </c>
      <c r="B15371" s="30" t="s">
        <v>34269</v>
      </c>
      <c r="C15371" s="29" t="s">
        <v>26</v>
      </c>
      <c r="D15371" s="31">
        <v>64344.99</v>
      </c>
      <c r="F15371" s="3" t="str">
        <f t="shared" si="240"/>
        <v>I11605</v>
      </c>
    </row>
    <row r="15372" spans="1:6" x14ac:dyDescent="0.2">
      <c r="A15372" s="29" t="s">
        <v>34270</v>
      </c>
      <c r="B15372" s="30" t="s">
        <v>34271</v>
      </c>
      <c r="C15372" s="29" t="s">
        <v>26</v>
      </c>
      <c r="D15372" s="31">
        <v>67937.83</v>
      </c>
      <c r="F15372" s="3" t="str">
        <f t="shared" si="240"/>
        <v>I11643</v>
      </c>
    </row>
    <row r="15373" spans="1:6" x14ac:dyDescent="0.2">
      <c r="A15373" s="29" t="s">
        <v>34272</v>
      </c>
      <c r="B15373" s="30" t="s">
        <v>34273</v>
      </c>
      <c r="C15373" s="29" t="s">
        <v>26</v>
      </c>
      <c r="D15373" s="31">
        <v>77299.75</v>
      </c>
      <c r="F15373" s="3" t="str">
        <f t="shared" si="240"/>
        <v>I11572</v>
      </c>
    </row>
    <row r="15374" spans="1:6" x14ac:dyDescent="0.2">
      <c r="A15374" s="29" t="s">
        <v>34274</v>
      </c>
      <c r="B15374" s="30" t="s">
        <v>34275</v>
      </c>
      <c r="C15374" s="29" t="s">
        <v>26</v>
      </c>
      <c r="D15374" s="31">
        <v>77658.52</v>
      </c>
      <c r="F15374" s="3" t="str">
        <f t="shared" si="240"/>
        <v>I11606</v>
      </c>
    </row>
    <row r="15375" spans="1:6" x14ac:dyDescent="0.2">
      <c r="A15375" s="29" t="s">
        <v>34276</v>
      </c>
      <c r="B15375" s="30" t="s">
        <v>34277</v>
      </c>
      <c r="C15375" s="29" t="s">
        <v>26</v>
      </c>
      <c r="D15375" s="31">
        <v>78391.88</v>
      </c>
      <c r="F15375" s="3" t="str">
        <f t="shared" si="240"/>
        <v>I11644</v>
      </c>
    </row>
    <row r="15376" spans="1:6" x14ac:dyDescent="0.2">
      <c r="A15376" s="29" t="s">
        <v>34278</v>
      </c>
      <c r="B15376" s="30" t="s">
        <v>34279</v>
      </c>
      <c r="C15376" s="29" t="s">
        <v>26</v>
      </c>
      <c r="D15376" s="31">
        <v>96056.31</v>
      </c>
      <c r="F15376" s="3" t="str">
        <f t="shared" si="240"/>
        <v>I11573</v>
      </c>
    </row>
    <row r="15377" spans="1:6" x14ac:dyDescent="0.2">
      <c r="A15377" s="29" t="s">
        <v>34280</v>
      </c>
      <c r="B15377" s="30" t="s">
        <v>34281</v>
      </c>
      <c r="C15377" s="29" t="s">
        <v>26</v>
      </c>
      <c r="D15377" s="31">
        <v>97455.32</v>
      </c>
      <c r="F15377" s="3" t="str">
        <f t="shared" si="240"/>
        <v>I11607</v>
      </c>
    </row>
    <row r="15378" spans="1:6" x14ac:dyDescent="0.2">
      <c r="A15378" s="29" t="s">
        <v>34282</v>
      </c>
      <c r="B15378" s="30" t="s">
        <v>34283</v>
      </c>
      <c r="C15378" s="29" t="s">
        <v>26</v>
      </c>
      <c r="D15378" s="31">
        <v>98369.07</v>
      </c>
      <c r="F15378" s="3" t="str">
        <f t="shared" si="240"/>
        <v>I11645</v>
      </c>
    </row>
    <row r="15379" spans="1:6" x14ac:dyDescent="0.2">
      <c r="A15379" s="29" t="s">
        <v>34284</v>
      </c>
      <c r="B15379" s="30" t="s">
        <v>34285</v>
      </c>
      <c r="C15379" s="29" t="s">
        <v>26</v>
      </c>
      <c r="D15379" s="31">
        <v>101111.08</v>
      </c>
      <c r="F15379" s="3" t="str">
        <f t="shared" si="240"/>
        <v>I11574</v>
      </c>
    </row>
    <row r="15380" spans="1:6" x14ac:dyDescent="0.2">
      <c r="A15380" s="29" t="s">
        <v>34286</v>
      </c>
      <c r="B15380" s="30" t="s">
        <v>34287</v>
      </c>
      <c r="C15380" s="29" t="s">
        <v>26</v>
      </c>
      <c r="D15380" s="31">
        <v>102622.84</v>
      </c>
      <c r="F15380" s="3" t="str">
        <f t="shared" si="240"/>
        <v>I11608</v>
      </c>
    </row>
    <row r="15381" spans="1:6" x14ac:dyDescent="0.2">
      <c r="A15381" s="29" t="s">
        <v>34288</v>
      </c>
      <c r="B15381" s="30" t="s">
        <v>34289</v>
      </c>
      <c r="C15381" s="29" t="s">
        <v>26</v>
      </c>
      <c r="D15381" s="31">
        <v>104825.35</v>
      </c>
      <c r="F15381" s="3" t="str">
        <f t="shared" si="240"/>
        <v>I11646</v>
      </c>
    </row>
    <row r="15382" spans="1:6" x14ac:dyDescent="0.2">
      <c r="A15382" s="29" t="s">
        <v>34290</v>
      </c>
      <c r="B15382" s="30" t="s">
        <v>34291</v>
      </c>
      <c r="C15382" s="29" t="s">
        <v>26</v>
      </c>
      <c r="D15382" s="31">
        <v>105971.19</v>
      </c>
      <c r="F15382" s="3" t="str">
        <f t="shared" si="240"/>
        <v>I11575</v>
      </c>
    </row>
    <row r="15383" spans="1:6" x14ac:dyDescent="0.2">
      <c r="A15383" s="29" t="s">
        <v>34292</v>
      </c>
      <c r="B15383" s="30" t="s">
        <v>34293</v>
      </c>
      <c r="C15383" s="29" t="s">
        <v>26</v>
      </c>
      <c r="D15383" s="31">
        <v>106513.92</v>
      </c>
      <c r="F15383" s="3" t="str">
        <f t="shared" si="240"/>
        <v>I11609</v>
      </c>
    </row>
    <row r="15384" spans="1:6" x14ac:dyDescent="0.2">
      <c r="A15384" s="29" t="s">
        <v>34294</v>
      </c>
      <c r="B15384" s="30" t="s">
        <v>34295</v>
      </c>
      <c r="C15384" s="29" t="s">
        <v>26</v>
      </c>
      <c r="D15384" s="31">
        <v>109550.86</v>
      </c>
      <c r="F15384" s="3" t="str">
        <f t="shared" si="240"/>
        <v>I11647</v>
      </c>
    </row>
    <row r="15385" spans="1:6" x14ac:dyDescent="0.2">
      <c r="A15385" s="29" t="s">
        <v>34296</v>
      </c>
      <c r="B15385" s="30" t="s">
        <v>34297</v>
      </c>
      <c r="C15385" s="29" t="s">
        <v>26</v>
      </c>
      <c r="D15385" s="31">
        <v>627.44000000000005</v>
      </c>
      <c r="F15385" s="3" t="str">
        <f t="shared" si="240"/>
        <v>I11748</v>
      </c>
    </row>
    <row r="15386" spans="1:6" x14ac:dyDescent="0.2">
      <c r="A15386" s="29" t="s">
        <v>34298</v>
      </c>
      <c r="B15386" s="30" t="s">
        <v>34299</v>
      </c>
      <c r="C15386" s="29" t="s">
        <v>26</v>
      </c>
      <c r="D15386" s="31">
        <v>544.83000000000004</v>
      </c>
      <c r="F15386" s="3" t="str">
        <f t="shared" si="240"/>
        <v>I11746</v>
      </c>
    </row>
    <row r="15387" spans="1:6" x14ac:dyDescent="0.2">
      <c r="A15387" s="29" t="s">
        <v>34300</v>
      </c>
      <c r="B15387" s="30" t="s">
        <v>34301</v>
      </c>
      <c r="C15387" s="29" t="s">
        <v>26</v>
      </c>
      <c r="D15387" s="31">
        <v>607.01</v>
      </c>
      <c r="F15387" s="3" t="str">
        <f t="shared" si="240"/>
        <v>I11747</v>
      </c>
    </row>
    <row r="15388" spans="1:6" x14ac:dyDescent="0.2">
      <c r="A15388" s="29" t="s">
        <v>34302</v>
      </c>
      <c r="B15388" s="30" t="s">
        <v>34303</v>
      </c>
      <c r="C15388" s="29" t="s">
        <v>26</v>
      </c>
      <c r="D15388" s="31">
        <v>96813.21</v>
      </c>
      <c r="F15388" s="3" t="str">
        <f t="shared" si="240"/>
        <v>I11740</v>
      </c>
    </row>
    <row r="15389" spans="1:6" x14ac:dyDescent="0.2">
      <c r="A15389" s="29" t="s">
        <v>34304</v>
      </c>
      <c r="B15389" s="30" t="s">
        <v>34305</v>
      </c>
      <c r="C15389" s="29" t="s">
        <v>26</v>
      </c>
      <c r="D15389" s="31">
        <v>105154.39</v>
      </c>
      <c r="F15389" s="3" t="str">
        <f t="shared" si="240"/>
        <v>I11822</v>
      </c>
    </row>
    <row r="15390" spans="1:6" x14ac:dyDescent="0.2">
      <c r="A15390" s="29" t="s">
        <v>34306</v>
      </c>
      <c r="B15390" s="30" t="s">
        <v>34307</v>
      </c>
      <c r="C15390" s="29" t="s">
        <v>26</v>
      </c>
      <c r="D15390" s="31">
        <v>52605.38</v>
      </c>
      <c r="F15390" s="3" t="str">
        <f t="shared" si="240"/>
        <v>I11736</v>
      </c>
    </row>
    <row r="15391" spans="1:6" x14ac:dyDescent="0.2">
      <c r="A15391" s="29" t="s">
        <v>34308</v>
      </c>
      <c r="B15391" s="30" t="s">
        <v>34309</v>
      </c>
      <c r="C15391" s="29" t="s">
        <v>26</v>
      </c>
      <c r="D15391" s="31">
        <v>60503.19</v>
      </c>
      <c r="F15391" s="3" t="str">
        <f t="shared" si="240"/>
        <v>I11818</v>
      </c>
    </row>
    <row r="15392" spans="1:6" x14ac:dyDescent="0.2">
      <c r="A15392" s="29" t="s">
        <v>34310</v>
      </c>
      <c r="B15392" s="30" t="s">
        <v>34311</v>
      </c>
      <c r="C15392" s="29" t="s">
        <v>26</v>
      </c>
      <c r="D15392" s="31">
        <v>68295.91</v>
      </c>
      <c r="F15392" s="3" t="str">
        <f t="shared" si="240"/>
        <v>I11737</v>
      </c>
    </row>
    <row r="15393" spans="1:6" x14ac:dyDescent="0.2">
      <c r="A15393" s="29" t="s">
        <v>34312</v>
      </c>
      <c r="B15393" s="30" t="s">
        <v>34313</v>
      </c>
      <c r="C15393" s="29" t="s">
        <v>26</v>
      </c>
      <c r="D15393" s="31">
        <v>72786.38</v>
      </c>
      <c r="F15393" s="3" t="str">
        <f t="shared" si="240"/>
        <v>I11819</v>
      </c>
    </row>
    <row r="15394" spans="1:6" x14ac:dyDescent="0.2">
      <c r="A15394" s="29" t="s">
        <v>34314</v>
      </c>
      <c r="B15394" s="30" t="s">
        <v>34315</v>
      </c>
      <c r="C15394" s="29" t="s">
        <v>26</v>
      </c>
      <c r="D15394" s="31">
        <v>95772.86</v>
      </c>
      <c r="F15394" s="3" t="str">
        <f t="shared" si="240"/>
        <v>I11738</v>
      </c>
    </row>
    <row r="15395" spans="1:6" x14ac:dyDescent="0.2">
      <c r="A15395" s="29" t="s">
        <v>34316</v>
      </c>
      <c r="B15395" s="30" t="s">
        <v>34317</v>
      </c>
      <c r="C15395" s="29" t="s">
        <v>26</v>
      </c>
      <c r="D15395" s="31">
        <v>94412.21</v>
      </c>
      <c r="F15395" s="3" t="str">
        <f t="shared" si="240"/>
        <v>I11820</v>
      </c>
    </row>
    <row r="15396" spans="1:6" x14ac:dyDescent="0.2">
      <c r="A15396" s="29" t="s">
        <v>34318</v>
      </c>
      <c r="B15396" s="30" t="s">
        <v>34319</v>
      </c>
      <c r="C15396" s="29" t="s">
        <v>26</v>
      </c>
      <c r="D15396" s="31">
        <v>81880.210000000006</v>
      </c>
      <c r="F15396" s="3" t="str">
        <f t="shared" si="240"/>
        <v>I11670</v>
      </c>
    </row>
    <row r="15397" spans="1:6" x14ac:dyDescent="0.2">
      <c r="A15397" s="29" t="s">
        <v>34320</v>
      </c>
      <c r="B15397" s="30" t="s">
        <v>34321</v>
      </c>
      <c r="C15397" s="29" t="s">
        <v>26</v>
      </c>
      <c r="D15397" s="31">
        <v>89636.54</v>
      </c>
      <c r="F15397" s="3" t="str">
        <f t="shared" si="240"/>
        <v>I11739</v>
      </c>
    </row>
    <row r="15398" spans="1:6" x14ac:dyDescent="0.2">
      <c r="A15398" s="29" t="s">
        <v>34322</v>
      </c>
      <c r="B15398" s="30" t="s">
        <v>34323</v>
      </c>
      <c r="C15398" s="29" t="s">
        <v>26</v>
      </c>
      <c r="D15398" s="31">
        <v>99667.8</v>
      </c>
      <c r="F15398" s="3" t="str">
        <f t="shared" si="240"/>
        <v>I11821</v>
      </c>
    </row>
    <row r="15399" spans="1:6" x14ac:dyDescent="0.2">
      <c r="A15399" s="29" t="s">
        <v>34324</v>
      </c>
      <c r="B15399" s="30" t="s">
        <v>34325</v>
      </c>
      <c r="C15399" s="29" t="s">
        <v>26</v>
      </c>
      <c r="D15399" s="31">
        <v>155547.46</v>
      </c>
      <c r="F15399" s="3" t="str">
        <f t="shared" si="240"/>
        <v>I11744</v>
      </c>
    </row>
    <row r="15400" spans="1:6" x14ac:dyDescent="0.2">
      <c r="A15400" s="29" t="s">
        <v>34326</v>
      </c>
      <c r="B15400" s="30" t="s">
        <v>34327</v>
      </c>
      <c r="C15400" s="29" t="s">
        <v>26</v>
      </c>
      <c r="D15400" s="31">
        <v>169688.14</v>
      </c>
      <c r="F15400" s="3" t="str">
        <f t="shared" si="240"/>
        <v>I11826</v>
      </c>
    </row>
    <row r="15401" spans="1:6" x14ac:dyDescent="0.2">
      <c r="A15401" s="29" t="s">
        <v>34328</v>
      </c>
      <c r="B15401" s="30" t="s">
        <v>34329</v>
      </c>
      <c r="C15401" s="29" t="s">
        <v>26</v>
      </c>
      <c r="D15401" s="31">
        <v>190355.29</v>
      </c>
      <c r="F15401" s="3" t="str">
        <f t="shared" si="240"/>
        <v>I11745</v>
      </c>
    </row>
    <row r="15402" spans="1:6" x14ac:dyDescent="0.2">
      <c r="A15402" s="29" t="s">
        <v>34330</v>
      </c>
      <c r="B15402" s="30" t="s">
        <v>34331</v>
      </c>
      <c r="C15402" s="29" t="s">
        <v>26</v>
      </c>
      <c r="D15402" s="31">
        <v>226250.87</v>
      </c>
      <c r="F15402" s="3" t="str">
        <f t="shared" si="240"/>
        <v>I11827</v>
      </c>
    </row>
    <row r="15403" spans="1:6" x14ac:dyDescent="0.2">
      <c r="A15403" s="29" t="s">
        <v>34332</v>
      </c>
      <c r="B15403" s="30" t="s">
        <v>34333</v>
      </c>
      <c r="C15403" s="29" t="s">
        <v>26</v>
      </c>
      <c r="D15403" s="31">
        <v>81363.289999999994</v>
      </c>
      <c r="F15403" s="3" t="str">
        <f t="shared" si="240"/>
        <v>I11741</v>
      </c>
    </row>
    <row r="15404" spans="1:6" x14ac:dyDescent="0.2">
      <c r="A15404" s="29" t="s">
        <v>34334</v>
      </c>
      <c r="B15404" s="30" t="s">
        <v>34335</v>
      </c>
      <c r="C15404" s="29" t="s">
        <v>26</v>
      </c>
      <c r="D15404" s="31">
        <v>88759.95</v>
      </c>
      <c r="F15404" s="3" t="str">
        <f t="shared" si="240"/>
        <v>I11823</v>
      </c>
    </row>
    <row r="15405" spans="1:6" x14ac:dyDescent="0.2">
      <c r="A15405" s="29" t="s">
        <v>34336</v>
      </c>
      <c r="B15405" s="30" t="s">
        <v>34337</v>
      </c>
      <c r="C15405" s="29" t="s">
        <v>26</v>
      </c>
      <c r="D15405" s="31">
        <v>92530.8</v>
      </c>
      <c r="F15405" s="3" t="str">
        <f t="shared" si="240"/>
        <v>I11742</v>
      </c>
    </row>
    <row r="15406" spans="1:6" x14ac:dyDescent="0.2">
      <c r="A15406" s="29" t="s">
        <v>34338</v>
      </c>
      <c r="B15406" s="30" t="s">
        <v>34339</v>
      </c>
      <c r="C15406" s="29" t="s">
        <v>26</v>
      </c>
      <c r="D15406" s="31">
        <v>100942.69</v>
      </c>
      <c r="F15406" s="3" t="str">
        <f t="shared" si="240"/>
        <v>I11824</v>
      </c>
    </row>
    <row r="15407" spans="1:6" x14ac:dyDescent="0.2">
      <c r="A15407" s="29" t="s">
        <v>34340</v>
      </c>
      <c r="B15407" s="30" t="s">
        <v>34341</v>
      </c>
      <c r="C15407" s="29" t="s">
        <v>26</v>
      </c>
      <c r="D15407" s="31">
        <v>84753.43</v>
      </c>
      <c r="F15407" s="3" t="str">
        <f t="shared" si="240"/>
        <v>I11743</v>
      </c>
    </row>
    <row r="15408" spans="1:6" x14ac:dyDescent="0.2">
      <c r="A15408" s="29" t="s">
        <v>34342</v>
      </c>
      <c r="B15408" s="30" t="s">
        <v>34343</v>
      </c>
      <c r="C15408" s="29" t="s">
        <v>26</v>
      </c>
      <c r="D15408" s="31">
        <v>92458.29</v>
      </c>
      <c r="F15408" s="3" t="str">
        <f t="shared" si="240"/>
        <v>I11825</v>
      </c>
    </row>
    <row r="15409" spans="1:6" x14ac:dyDescent="0.2">
      <c r="A15409" s="29" t="s">
        <v>34344</v>
      </c>
      <c r="B15409" s="30" t="s">
        <v>34345</v>
      </c>
      <c r="C15409" s="29" t="s">
        <v>26</v>
      </c>
      <c r="D15409" s="31">
        <v>808.84</v>
      </c>
      <c r="F15409" s="3" t="str">
        <f t="shared" si="240"/>
        <v>I11752</v>
      </c>
    </row>
    <row r="15410" spans="1:6" x14ac:dyDescent="0.2">
      <c r="A15410" s="29" t="s">
        <v>34346</v>
      </c>
      <c r="B15410" s="30" t="s">
        <v>34347</v>
      </c>
      <c r="C15410" s="29" t="s">
        <v>26</v>
      </c>
      <c r="D15410" s="31">
        <v>930.72</v>
      </c>
      <c r="F15410" s="3" t="str">
        <f t="shared" si="240"/>
        <v>I11753</v>
      </c>
    </row>
    <row r="15411" spans="1:6" x14ac:dyDescent="0.2">
      <c r="A15411" s="29" t="s">
        <v>34348</v>
      </c>
      <c r="B15411" s="30" t="s">
        <v>34349</v>
      </c>
      <c r="C15411" s="29" t="s">
        <v>26</v>
      </c>
      <c r="D15411" s="31">
        <v>949.19</v>
      </c>
      <c r="F15411" s="3" t="str">
        <f t="shared" si="240"/>
        <v>I11749</v>
      </c>
    </row>
    <row r="15412" spans="1:6" x14ac:dyDescent="0.2">
      <c r="A15412" s="29" t="s">
        <v>34350</v>
      </c>
      <c r="B15412" s="30" t="s">
        <v>34351</v>
      </c>
      <c r="C15412" s="29" t="s">
        <v>26</v>
      </c>
      <c r="D15412" s="31">
        <v>834.81</v>
      </c>
      <c r="F15412" s="3" t="str">
        <f t="shared" si="240"/>
        <v>I11750</v>
      </c>
    </row>
    <row r="15413" spans="1:6" x14ac:dyDescent="0.2">
      <c r="A15413" s="29" t="s">
        <v>34352</v>
      </c>
      <c r="B15413" s="30" t="s">
        <v>34353</v>
      </c>
      <c r="C15413" s="29" t="s">
        <v>26</v>
      </c>
      <c r="D15413" s="31">
        <v>834.81</v>
      </c>
      <c r="F15413" s="3" t="str">
        <f t="shared" si="240"/>
        <v>I11751</v>
      </c>
    </row>
    <row r="15414" spans="1:6" x14ac:dyDescent="0.2">
      <c r="A15414" s="29" t="s">
        <v>34354</v>
      </c>
      <c r="B15414" s="30" t="s">
        <v>34355</v>
      </c>
      <c r="C15414" s="29" t="s">
        <v>26</v>
      </c>
      <c r="D15414" s="31">
        <v>1214.8699999999999</v>
      </c>
      <c r="F15414" s="3" t="str">
        <f t="shared" si="240"/>
        <v>I11674</v>
      </c>
    </row>
    <row r="15415" spans="1:6" x14ac:dyDescent="0.2">
      <c r="A15415" s="29" t="s">
        <v>34356</v>
      </c>
      <c r="B15415" s="30" t="s">
        <v>34357</v>
      </c>
      <c r="C15415" s="29" t="s">
        <v>26</v>
      </c>
      <c r="D15415" s="31">
        <v>1462.69</v>
      </c>
      <c r="F15415" s="3" t="str">
        <f t="shared" si="240"/>
        <v>I11756</v>
      </c>
    </row>
    <row r="15416" spans="1:6" x14ac:dyDescent="0.2">
      <c r="A15416" s="29" t="s">
        <v>34358</v>
      </c>
      <c r="B15416" s="30" t="s">
        <v>34359</v>
      </c>
      <c r="C15416" s="29" t="s">
        <v>26</v>
      </c>
      <c r="D15416" s="31">
        <v>1465.24</v>
      </c>
      <c r="F15416" s="3" t="str">
        <f t="shared" si="240"/>
        <v>I11675</v>
      </c>
    </row>
    <row r="15417" spans="1:6" x14ac:dyDescent="0.2">
      <c r="A15417" s="29" t="s">
        <v>34360</v>
      </c>
      <c r="B15417" s="30" t="s">
        <v>34361</v>
      </c>
      <c r="C15417" s="29" t="s">
        <v>26</v>
      </c>
      <c r="D15417" s="31">
        <v>1695.53</v>
      </c>
      <c r="F15417" s="3" t="str">
        <f t="shared" si="240"/>
        <v>I11757</v>
      </c>
    </row>
    <row r="15418" spans="1:6" x14ac:dyDescent="0.2">
      <c r="A15418" s="29" t="s">
        <v>34362</v>
      </c>
      <c r="B15418" s="30" t="s">
        <v>34363</v>
      </c>
      <c r="C15418" s="29" t="s">
        <v>26</v>
      </c>
      <c r="D15418" s="31">
        <v>1412.66</v>
      </c>
      <c r="F15418" s="3" t="str">
        <f t="shared" si="240"/>
        <v>I11676</v>
      </c>
    </row>
    <row r="15419" spans="1:6" x14ac:dyDescent="0.2">
      <c r="A15419" s="29" t="s">
        <v>34364</v>
      </c>
      <c r="B15419" s="30" t="s">
        <v>34365</v>
      </c>
      <c r="C15419" s="29" t="s">
        <v>26</v>
      </c>
      <c r="D15419" s="31">
        <v>1649.06</v>
      </c>
      <c r="F15419" s="3" t="str">
        <f t="shared" si="240"/>
        <v>I11758</v>
      </c>
    </row>
    <row r="15420" spans="1:6" x14ac:dyDescent="0.2">
      <c r="A15420" s="29" t="s">
        <v>34366</v>
      </c>
      <c r="B15420" s="30" t="s">
        <v>34367</v>
      </c>
      <c r="C15420" s="29" t="s">
        <v>26</v>
      </c>
      <c r="D15420" s="31">
        <v>1288.08</v>
      </c>
      <c r="F15420" s="3" t="str">
        <f t="shared" si="240"/>
        <v>I11671</v>
      </c>
    </row>
    <row r="15421" spans="1:6" x14ac:dyDescent="0.2">
      <c r="A15421" s="29" t="s">
        <v>34368</v>
      </c>
      <c r="B15421" s="30" t="s">
        <v>34369</v>
      </c>
      <c r="C15421" s="29" t="s">
        <v>26</v>
      </c>
      <c r="D15421" s="31">
        <v>1384.22</v>
      </c>
      <c r="F15421" s="3" t="str">
        <f t="shared" si="240"/>
        <v>I11754</v>
      </c>
    </row>
    <row r="15422" spans="1:6" x14ac:dyDescent="0.2">
      <c r="A15422" s="29" t="s">
        <v>34370</v>
      </c>
      <c r="B15422" s="30" t="s">
        <v>34371</v>
      </c>
      <c r="C15422" s="29" t="s">
        <v>26</v>
      </c>
      <c r="D15422" s="31">
        <v>1196.3800000000001</v>
      </c>
      <c r="F15422" s="3" t="str">
        <f t="shared" si="240"/>
        <v>I11672</v>
      </c>
    </row>
    <row r="15423" spans="1:6" x14ac:dyDescent="0.2">
      <c r="A15423" s="29" t="s">
        <v>34372</v>
      </c>
      <c r="B15423" s="30" t="s">
        <v>34373</v>
      </c>
      <c r="C15423" s="29" t="s">
        <v>26</v>
      </c>
      <c r="D15423" s="31">
        <v>1196.3800000000001</v>
      </c>
      <c r="F15423" s="3" t="str">
        <f t="shared" si="240"/>
        <v>I11673</v>
      </c>
    </row>
    <row r="15424" spans="1:6" x14ac:dyDescent="0.2">
      <c r="A15424" s="29" t="s">
        <v>34374</v>
      </c>
      <c r="B15424" s="30" t="s">
        <v>34375</v>
      </c>
      <c r="C15424" s="29" t="s">
        <v>26</v>
      </c>
      <c r="D15424" s="31">
        <v>1460.71</v>
      </c>
      <c r="F15424" s="3" t="str">
        <f t="shared" si="240"/>
        <v>I11755</v>
      </c>
    </row>
    <row r="15425" spans="1:6" x14ac:dyDescent="0.2">
      <c r="A15425" s="29" t="s">
        <v>34376</v>
      </c>
      <c r="B15425" s="30" t="s">
        <v>34377</v>
      </c>
      <c r="C15425" s="29" t="s">
        <v>26</v>
      </c>
      <c r="D15425" s="31">
        <v>2089.85</v>
      </c>
      <c r="F15425" s="3" t="str">
        <f t="shared" si="240"/>
        <v>I11680</v>
      </c>
    </row>
    <row r="15426" spans="1:6" x14ac:dyDescent="0.2">
      <c r="A15426" s="29" t="s">
        <v>34378</v>
      </c>
      <c r="B15426" s="30" t="s">
        <v>34379</v>
      </c>
      <c r="C15426" s="29" t="s">
        <v>26</v>
      </c>
      <c r="D15426" s="31">
        <v>2325.6</v>
      </c>
      <c r="F15426" s="3" t="str">
        <f t="shared" ref="F15426:F15489" si="241">A15426</f>
        <v>I11762</v>
      </c>
    </row>
    <row r="15427" spans="1:6" x14ac:dyDescent="0.2">
      <c r="A15427" s="29" t="s">
        <v>34380</v>
      </c>
      <c r="B15427" s="30" t="s">
        <v>34381</v>
      </c>
      <c r="C15427" s="29" t="s">
        <v>26</v>
      </c>
      <c r="D15427" s="31">
        <v>2172.2399999999998</v>
      </c>
      <c r="F15427" s="3" t="str">
        <f t="shared" si="241"/>
        <v>I11655</v>
      </c>
    </row>
    <row r="15428" spans="1:6" x14ac:dyDescent="0.2">
      <c r="A15428" s="29" t="s">
        <v>34382</v>
      </c>
      <c r="B15428" s="30" t="s">
        <v>34383</v>
      </c>
      <c r="C15428" s="29" t="s">
        <v>26</v>
      </c>
      <c r="D15428" s="31">
        <v>2181.79</v>
      </c>
      <c r="F15428" s="3" t="str">
        <f t="shared" si="241"/>
        <v>I11681</v>
      </c>
    </row>
    <row r="15429" spans="1:6" x14ac:dyDescent="0.2">
      <c r="A15429" s="29" t="s">
        <v>34384</v>
      </c>
      <c r="B15429" s="30" t="s">
        <v>34385</v>
      </c>
      <c r="C15429" s="29" t="s">
        <v>26</v>
      </c>
      <c r="D15429" s="31">
        <v>2415.15</v>
      </c>
      <c r="F15429" s="3" t="str">
        <f t="shared" si="241"/>
        <v>I11763</v>
      </c>
    </row>
    <row r="15430" spans="1:6" x14ac:dyDescent="0.2">
      <c r="A15430" s="29" t="s">
        <v>34386</v>
      </c>
      <c r="B15430" s="30" t="s">
        <v>34387</v>
      </c>
      <c r="C15430" s="29" t="s">
        <v>26</v>
      </c>
      <c r="D15430" s="31">
        <v>2273.73</v>
      </c>
      <c r="F15430" s="3" t="str">
        <f t="shared" si="241"/>
        <v>I11682</v>
      </c>
    </row>
    <row r="15431" spans="1:6" x14ac:dyDescent="0.2">
      <c r="A15431" s="29" t="s">
        <v>34388</v>
      </c>
      <c r="B15431" s="30" t="s">
        <v>34389</v>
      </c>
      <c r="C15431" s="29" t="s">
        <v>26</v>
      </c>
      <c r="D15431" s="31">
        <v>2504.6999999999998</v>
      </c>
      <c r="F15431" s="3" t="str">
        <f t="shared" si="241"/>
        <v>I11764</v>
      </c>
    </row>
    <row r="15432" spans="1:6" x14ac:dyDescent="0.2">
      <c r="A15432" s="29" t="s">
        <v>34390</v>
      </c>
      <c r="B15432" s="30" t="s">
        <v>34391</v>
      </c>
      <c r="C15432" s="29" t="s">
        <v>26</v>
      </c>
      <c r="D15432" s="31">
        <v>2445.14</v>
      </c>
      <c r="F15432" s="3" t="str">
        <f t="shared" si="241"/>
        <v>I11683</v>
      </c>
    </row>
    <row r="15433" spans="1:6" x14ac:dyDescent="0.2">
      <c r="A15433" s="29" t="s">
        <v>34392</v>
      </c>
      <c r="B15433" s="30" t="s">
        <v>34393</v>
      </c>
      <c r="C15433" s="29" t="s">
        <v>26</v>
      </c>
      <c r="D15433" s="31">
        <v>2730.69</v>
      </c>
      <c r="F15433" s="3" t="str">
        <f t="shared" si="241"/>
        <v>I11765</v>
      </c>
    </row>
    <row r="15434" spans="1:6" x14ac:dyDescent="0.2">
      <c r="A15434" s="29" t="s">
        <v>34394</v>
      </c>
      <c r="B15434" s="30" t="s">
        <v>34395</v>
      </c>
      <c r="C15434" s="29" t="s">
        <v>26</v>
      </c>
      <c r="D15434" s="31">
        <v>3082.14</v>
      </c>
      <c r="F15434" s="3" t="str">
        <f t="shared" si="241"/>
        <v>I11677</v>
      </c>
    </row>
    <row r="15435" spans="1:6" x14ac:dyDescent="0.2">
      <c r="A15435" s="29" t="s">
        <v>34396</v>
      </c>
      <c r="B15435" s="30" t="s">
        <v>34397</v>
      </c>
      <c r="C15435" s="29" t="s">
        <v>26</v>
      </c>
      <c r="D15435" s="31">
        <v>3345.04</v>
      </c>
      <c r="F15435" s="3" t="str">
        <f t="shared" si="241"/>
        <v>I11759</v>
      </c>
    </row>
    <row r="15436" spans="1:6" x14ac:dyDescent="0.2">
      <c r="A15436" s="29" t="s">
        <v>34398</v>
      </c>
      <c r="B15436" s="30" t="s">
        <v>34399</v>
      </c>
      <c r="C15436" s="29" t="s">
        <v>26</v>
      </c>
      <c r="D15436" s="31">
        <v>3040.98</v>
      </c>
      <c r="F15436" s="3" t="str">
        <f t="shared" si="241"/>
        <v>I11678</v>
      </c>
    </row>
    <row r="15437" spans="1:6" x14ac:dyDescent="0.2">
      <c r="A15437" s="29" t="s">
        <v>34400</v>
      </c>
      <c r="B15437" s="30" t="s">
        <v>34401</v>
      </c>
      <c r="C15437" s="29" t="s">
        <v>26</v>
      </c>
      <c r="D15437" s="31">
        <v>3338.92</v>
      </c>
      <c r="F15437" s="3" t="str">
        <f t="shared" si="241"/>
        <v>I11760</v>
      </c>
    </row>
    <row r="15438" spans="1:6" x14ac:dyDescent="0.2">
      <c r="A15438" s="29" t="s">
        <v>34402</v>
      </c>
      <c r="B15438" s="30" t="s">
        <v>34403</v>
      </c>
      <c r="C15438" s="29" t="s">
        <v>26</v>
      </c>
      <c r="D15438" s="31">
        <v>3040.98</v>
      </c>
      <c r="F15438" s="3" t="str">
        <f t="shared" si="241"/>
        <v>I11679</v>
      </c>
    </row>
    <row r="15439" spans="1:6" x14ac:dyDescent="0.2">
      <c r="A15439" s="29" t="s">
        <v>34404</v>
      </c>
      <c r="B15439" s="30" t="s">
        <v>34405</v>
      </c>
      <c r="C15439" s="29" t="s">
        <v>26</v>
      </c>
      <c r="D15439" s="31">
        <v>3338.92</v>
      </c>
      <c r="F15439" s="3" t="str">
        <f t="shared" si="241"/>
        <v>I11761</v>
      </c>
    </row>
    <row r="15440" spans="1:6" x14ac:dyDescent="0.2">
      <c r="A15440" s="29" t="s">
        <v>34406</v>
      </c>
      <c r="B15440" s="30" t="s">
        <v>34407</v>
      </c>
      <c r="C15440" s="29" t="s">
        <v>26</v>
      </c>
      <c r="D15440" s="31">
        <v>3747.02</v>
      </c>
      <c r="F15440" s="3" t="str">
        <f t="shared" si="241"/>
        <v>I11684</v>
      </c>
    </row>
    <row r="15441" spans="1:6" x14ac:dyDescent="0.2">
      <c r="A15441" s="29" t="s">
        <v>34408</v>
      </c>
      <c r="B15441" s="30" t="s">
        <v>34409</v>
      </c>
      <c r="C15441" s="29" t="s">
        <v>26</v>
      </c>
      <c r="D15441" s="31">
        <v>3921.06</v>
      </c>
      <c r="F15441" s="3" t="str">
        <f t="shared" si="241"/>
        <v>I11766</v>
      </c>
    </row>
    <row r="15442" spans="1:6" x14ac:dyDescent="0.2">
      <c r="A15442" s="29" t="s">
        <v>34410</v>
      </c>
      <c r="B15442" s="30" t="s">
        <v>34411</v>
      </c>
      <c r="C15442" s="29" t="s">
        <v>26</v>
      </c>
      <c r="D15442" s="31">
        <v>3857.97</v>
      </c>
      <c r="F15442" s="3" t="str">
        <f t="shared" si="241"/>
        <v>I11656</v>
      </c>
    </row>
    <row r="15443" spans="1:6" x14ac:dyDescent="0.2">
      <c r="A15443" s="29" t="s">
        <v>34412</v>
      </c>
      <c r="B15443" s="30" t="s">
        <v>34413</v>
      </c>
      <c r="C15443" s="29" t="s">
        <v>26</v>
      </c>
      <c r="D15443" s="31">
        <v>3874.84</v>
      </c>
      <c r="F15443" s="3" t="str">
        <f t="shared" si="241"/>
        <v>I11685</v>
      </c>
    </row>
    <row r="15444" spans="1:6" x14ac:dyDescent="0.2">
      <c r="A15444" s="29" t="s">
        <v>34414</v>
      </c>
      <c r="B15444" s="30" t="s">
        <v>34415</v>
      </c>
      <c r="C15444" s="29" t="s">
        <v>26</v>
      </c>
      <c r="D15444" s="31">
        <v>4154.95</v>
      </c>
      <c r="F15444" s="3" t="str">
        <f t="shared" si="241"/>
        <v>I11767</v>
      </c>
    </row>
    <row r="15445" spans="1:6" x14ac:dyDescent="0.2">
      <c r="A15445" s="29" t="s">
        <v>34416</v>
      </c>
      <c r="B15445" s="30" t="s">
        <v>34417</v>
      </c>
      <c r="C15445" s="29" t="s">
        <v>26</v>
      </c>
      <c r="D15445" s="31">
        <v>4002.66</v>
      </c>
      <c r="F15445" s="3" t="str">
        <f t="shared" si="241"/>
        <v>I11686</v>
      </c>
    </row>
    <row r="15446" spans="1:6" x14ac:dyDescent="0.2">
      <c r="A15446" s="29" t="s">
        <v>34418</v>
      </c>
      <c r="B15446" s="30" t="s">
        <v>34419</v>
      </c>
      <c r="C15446" s="29" t="s">
        <v>26</v>
      </c>
      <c r="D15446" s="31">
        <v>4388.84</v>
      </c>
      <c r="F15446" s="3" t="str">
        <f t="shared" si="241"/>
        <v>I11768</v>
      </c>
    </row>
    <row r="15447" spans="1:6" x14ac:dyDescent="0.2">
      <c r="A15447" s="29" t="s">
        <v>34420</v>
      </c>
      <c r="B15447" s="30" t="s">
        <v>34421</v>
      </c>
      <c r="C15447" s="29" t="s">
        <v>26</v>
      </c>
      <c r="D15447" s="31">
        <v>4181.45</v>
      </c>
      <c r="F15447" s="3" t="str">
        <f t="shared" si="241"/>
        <v>I11657</v>
      </c>
    </row>
    <row r="15448" spans="1:6" x14ac:dyDescent="0.2">
      <c r="A15448" s="29" t="s">
        <v>34422</v>
      </c>
      <c r="B15448" s="30" t="s">
        <v>34423</v>
      </c>
      <c r="C15448" s="29" t="s">
        <v>26</v>
      </c>
      <c r="D15448" s="31">
        <v>4204.1899999999996</v>
      </c>
      <c r="F15448" s="3" t="str">
        <f t="shared" si="241"/>
        <v>I11687</v>
      </c>
    </row>
    <row r="15449" spans="1:6" x14ac:dyDescent="0.2">
      <c r="A15449" s="29" t="s">
        <v>34424</v>
      </c>
      <c r="B15449" s="30" t="s">
        <v>34425</v>
      </c>
      <c r="C15449" s="29" t="s">
        <v>26</v>
      </c>
      <c r="D15449" s="31">
        <v>4655.21</v>
      </c>
      <c r="F15449" s="3" t="str">
        <f t="shared" si="241"/>
        <v>I11769</v>
      </c>
    </row>
    <row r="15450" spans="1:6" x14ac:dyDescent="0.2">
      <c r="A15450" s="29" t="s">
        <v>34426</v>
      </c>
      <c r="B15450" s="30" t="s">
        <v>34427</v>
      </c>
      <c r="C15450" s="29" t="s">
        <v>26</v>
      </c>
      <c r="D15450" s="31">
        <v>4405.71</v>
      </c>
      <c r="F15450" s="3" t="str">
        <f t="shared" si="241"/>
        <v>I11688</v>
      </c>
    </row>
    <row r="15451" spans="1:6" x14ac:dyDescent="0.2">
      <c r="A15451" s="29" t="s">
        <v>34428</v>
      </c>
      <c r="B15451" s="30" t="s">
        <v>34429</v>
      </c>
      <c r="C15451" s="29" t="s">
        <v>26</v>
      </c>
      <c r="D15451" s="31">
        <v>4921.57</v>
      </c>
      <c r="F15451" s="3" t="str">
        <f t="shared" si="241"/>
        <v>I11770</v>
      </c>
    </row>
    <row r="15452" spans="1:6" x14ac:dyDescent="0.2">
      <c r="A15452" s="29" t="s">
        <v>34430</v>
      </c>
      <c r="B15452" s="30" t="s">
        <v>34431</v>
      </c>
      <c r="C15452" s="29" t="s">
        <v>26</v>
      </c>
      <c r="D15452" s="31">
        <v>4752.1400000000003</v>
      </c>
      <c r="F15452" s="3" t="str">
        <f t="shared" si="241"/>
        <v>I11689</v>
      </c>
    </row>
    <row r="15453" spans="1:6" x14ac:dyDescent="0.2">
      <c r="A15453" s="29" t="s">
        <v>34432</v>
      </c>
      <c r="B15453" s="30" t="s">
        <v>34433</v>
      </c>
      <c r="C15453" s="29" t="s">
        <v>26</v>
      </c>
      <c r="D15453" s="31">
        <v>5115.2299999999996</v>
      </c>
      <c r="F15453" s="3" t="str">
        <f t="shared" si="241"/>
        <v>I11771</v>
      </c>
    </row>
    <row r="15454" spans="1:6" x14ac:dyDescent="0.2">
      <c r="A15454" s="29" t="s">
        <v>34434</v>
      </c>
      <c r="B15454" s="30" t="s">
        <v>34435</v>
      </c>
      <c r="C15454" s="29" t="s">
        <v>26</v>
      </c>
      <c r="D15454" s="31">
        <v>4871.43</v>
      </c>
      <c r="F15454" s="3" t="str">
        <f t="shared" si="241"/>
        <v>I11658</v>
      </c>
    </row>
    <row r="15455" spans="1:6" x14ac:dyDescent="0.2">
      <c r="A15455" s="29" t="s">
        <v>34436</v>
      </c>
      <c r="B15455" s="30" t="s">
        <v>34437</v>
      </c>
      <c r="C15455" s="29" t="s">
        <v>26</v>
      </c>
      <c r="D15455" s="31">
        <v>4919</v>
      </c>
      <c r="F15455" s="3" t="str">
        <f t="shared" si="241"/>
        <v>I11690</v>
      </c>
    </row>
    <row r="15456" spans="1:6" x14ac:dyDescent="0.2">
      <c r="A15456" s="29" t="s">
        <v>34438</v>
      </c>
      <c r="B15456" s="30" t="s">
        <v>34439</v>
      </c>
      <c r="C15456" s="29" t="s">
        <v>26</v>
      </c>
      <c r="D15456" s="31">
        <v>5267.23</v>
      </c>
      <c r="F15456" s="3" t="str">
        <f t="shared" si="241"/>
        <v>I11772</v>
      </c>
    </row>
    <row r="15457" spans="1:6" x14ac:dyDescent="0.2">
      <c r="A15457" s="29" t="s">
        <v>34440</v>
      </c>
      <c r="B15457" s="30" t="s">
        <v>34441</v>
      </c>
      <c r="C15457" s="29" t="s">
        <v>26</v>
      </c>
      <c r="D15457" s="31">
        <v>5085.8599999999997</v>
      </c>
      <c r="F15457" s="3" t="str">
        <f t="shared" si="241"/>
        <v>I11691</v>
      </c>
    </row>
    <row r="15458" spans="1:6" x14ac:dyDescent="0.2">
      <c r="A15458" s="29" t="s">
        <v>34442</v>
      </c>
      <c r="B15458" s="30" t="s">
        <v>34443</v>
      </c>
      <c r="C15458" s="29" t="s">
        <v>26</v>
      </c>
      <c r="D15458" s="31">
        <v>5419.23</v>
      </c>
      <c r="F15458" s="3" t="str">
        <f t="shared" si="241"/>
        <v>I11773</v>
      </c>
    </row>
    <row r="15459" spans="1:6" x14ac:dyDescent="0.2">
      <c r="A15459" s="29" t="s">
        <v>34444</v>
      </c>
      <c r="B15459" s="30" t="s">
        <v>34445</v>
      </c>
      <c r="C15459" s="29" t="s">
        <v>26</v>
      </c>
      <c r="D15459" s="31">
        <v>5232.49</v>
      </c>
      <c r="F15459" s="3" t="str">
        <f t="shared" si="241"/>
        <v>I11659</v>
      </c>
    </row>
    <row r="15460" spans="1:6" x14ac:dyDescent="0.2">
      <c r="A15460" s="29" t="s">
        <v>34446</v>
      </c>
      <c r="B15460" s="30" t="s">
        <v>34447</v>
      </c>
      <c r="C15460" s="29" t="s">
        <v>26</v>
      </c>
      <c r="D15460" s="31">
        <v>5281.75</v>
      </c>
      <c r="F15460" s="3" t="str">
        <f t="shared" si="241"/>
        <v>I11692</v>
      </c>
    </row>
    <row r="15461" spans="1:6" x14ac:dyDescent="0.2">
      <c r="A15461" s="29" t="s">
        <v>34448</v>
      </c>
      <c r="B15461" s="30" t="s">
        <v>34449</v>
      </c>
      <c r="C15461" s="29" t="s">
        <v>26</v>
      </c>
      <c r="D15461" s="31">
        <v>5665.02</v>
      </c>
      <c r="F15461" s="3" t="str">
        <f t="shared" si="241"/>
        <v>I11774</v>
      </c>
    </row>
    <row r="15462" spans="1:6" x14ac:dyDescent="0.2">
      <c r="A15462" s="29" t="s">
        <v>34450</v>
      </c>
      <c r="B15462" s="30" t="s">
        <v>34451</v>
      </c>
      <c r="C15462" s="29" t="s">
        <v>26</v>
      </c>
      <c r="D15462" s="31">
        <v>5477.63</v>
      </c>
      <c r="F15462" s="3" t="str">
        <f t="shared" si="241"/>
        <v>I11693</v>
      </c>
    </row>
    <row r="15463" spans="1:6" x14ac:dyDescent="0.2">
      <c r="A15463" s="29" t="s">
        <v>34452</v>
      </c>
      <c r="B15463" s="30" t="s">
        <v>34453</v>
      </c>
      <c r="C15463" s="29" t="s">
        <v>26</v>
      </c>
      <c r="D15463" s="31">
        <v>5910.81</v>
      </c>
      <c r="F15463" s="3" t="str">
        <f t="shared" si="241"/>
        <v>I11775</v>
      </c>
    </row>
    <row r="15464" spans="1:6" x14ac:dyDescent="0.2">
      <c r="A15464" s="29" t="s">
        <v>34454</v>
      </c>
      <c r="B15464" s="30" t="s">
        <v>34455</v>
      </c>
      <c r="C15464" s="29" t="s">
        <v>26</v>
      </c>
      <c r="D15464" s="31">
        <v>5716.9</v>
      </c>
      <c r="F15464" s="3" t="str">
        <f t="shared" si="241"/>
        <v>I11694</v>
      </c>
    </row>
    <row r="15465" spans="1:6" x14ac:dyDescent="0.2">
      <c r="A15465" s="29" t="s">
        <v>34456</v>
      </c>
      <c r="B15465" s="30" t="s">
        <v>34457</v>
      </c>
      <c r="C15465" s="29" t="s">
        <v>26</v>
      </c>
      <c r="D15465" s="31">
        <v>6214.08</v>
      </c>
      <c r="F15465" s="3" t="str">
        <f t="shared" si="241"/>
        <v>I11776</v>
      </c>
    </row>
    <row r="15466" spans="1:6" x14ac:dyDescent="0.2">
      <c r="A15466" s="29" t="s">
        <v>34458</v>
      </c>
      <c r="B15466" s="30" t="s">
        <v>34459</v>
      </c>
      <c r="C15466" s="29" t="s">
        <v>26</v>
      </c>
      <c r="D15466" s="31">
        <v>15871.75</v>
      </c>
      <c r="F15466" s="3" t="str">
        <f t="shared" si="241"/>
        <v>I11695</v>
      </c>
    </row>
    <row r="15467" spans="1:6" x14ac:dyDescent="0.2">
      <c r="A15467" s="29" t="s">
        <v>34460</v>
      </c>
      <c r="B15467" s="30" t="s">
        <v>34461</v>
      </c>
      <c r="C15467" s="29" t="s">
        <v>26</v>
      </c>
      <c r="D15467" s="31">
        <v>17178.21</v>
      </c>
      <c r="F15467" s="3" t="str">
        <f t="shared" si="241"/>
        <v>I11777</v>
      </c>
    </row>
    <row r="15468" spans="1:6" x14ac:dyDescent="0.2">
      <c r="A15468" s="29" t="s">
        <v>34462</v>
      </c>
      <c r="B15468" s="30" t="s">
        <v>34463</v>
      </c>
      <c r="C15468" s="29" t="s">
        <v>26</v>
      </c>
      <c r="D15468" s="31">
        <v>16779.759999999998</v>
      </c>
      <c r="F15468" s="3" t="str">
        <f t="shared" si="241"/>
        <v>I11660</v>
      </c>
    </row>
    <row r="15469" spans="1:6" x14ac:dyDescent="0.2">
      <c r="A15469" s="29" t="s">
        <v>34464</v>
      </c>
      <c r="B15469" s="30" t="s">
        <v>34465</v>
      </c>
      <c r="C15469" s="29" t="s">
        <v>26</v>
      </c>
      <c r="D15469" s="31">
        <v>16663.400000000001</v>
      </c>
      <c r="F15469" s="3" t="str">
        <f t="shared" si="241"/>
        <v>I11696</v>
      </c>
    </row>
    <row r="15470" spans="1:6" x14ac:dyDescent="0.2">
      <c r="A15470" s="29" t="s">
        <v>34466</v>
      </c>
      <c r="B15470" s="30" t="s">
        <v>34467</v>
      </c>
      <c r="C15470" s="29" t="s">
        <v>26</v>
      </c>
      <c r="D15470" s="31">
        <v>17650.400000000001</v>
      </c>
      <c r="F15470" s="3" t="str">
        <f t="shared" si="241"/>
        <v>I11778</v>
      </c>
    </row>
    <row r="15471" spans="1:6" x14ac:dyDescent="0.2">
      <c r="A15471" s="29" t="s">
        <v>34468</v>
      </c>
      <c r="B15471" s="30" t="s">
        <v>34469</v>
      </c>
      <c r="C15471" s="29" t="s">
        <v>26</v>
      </c>
      <c r="D15471" s="31">
        <v>17455.05</v>
      </c>
      <c r="F15471" s="3" t="str">
        <f t="shared" si="241"/>
        <v>I11697</v>
      </c>
    </row>
    <row r="15472" spans="1:6" x14ac:dyDescent="0.2">
      <c r="A15472" s="29" t="s">
        <v>34470</v>
      </c>
      <c r="B15472" s="30" t="s">
        <v>34471</v>
      </c>
      <c r="C15472" s="29" t="s">
        <v>26</v>
      </c>
      <c r="D15472" s="31">
        <v>18122.59</v>
      </c>
      <c r="F15472" s="3" t="str">
        <f t="shared" si="241"/>
        <v>I11779</v>
      </c>
    </row>
    <row r="15473" spans="1:6" x14ac:dyDescent="0.2">
      <c r="A15473" s="29" t="s">
        <v>34472</v>
      </c>
      <c r="B15473" s="30" t="s">
        <v>34473</v>
      </c>
      <c r="C15473" s="29" t="s">
        <v>26</v>
      </c>
      <c r="D15473" s="31">
        <v>17081.43</v>
      </c>
      <c r="F15473" s="3" t="str">
        <f t="shared" si="241"/>
        <v>I11661</v>
      </c>
    </row>
    <row r="15474" spans="1:6" x14ac:dyDescent="0.2">
      <c r="A15474" s="29" t="s">
        <v>34474</v>
      </c>
      <c r="B15474" s="30" t="s">
        <v>34475</v>
      </c>
      <c r="C15474" s="29" t="s">
        <v>26</v>
      </c>
      <c r="D15474" s="31">
        <v>17459.2</v>
      </c>
      <c r="F15474" s="3" t="str">
        <f t="shared" si="241"/>
        <v>I11698</v>
      </c>
    </row>
    <row r="15475" spans="1:6" x14ac:dyDescent="0.2">
      <c r="A15475" s="29" t="s">
        <v>34476</v>
      </c>
      <c r="B15475" s="30" t="s">
        <v>34477</v>
      </c>
      <c r="C15475" s="29" t="s">
        <v>26</v>
      </c>
      <c r="D15475" s="31">
        <v>18112.52</v>
      </c>
      <c r="F15475" s="3" t="str">
        <f t="shared" si="241"/>
        <v>I11780</v>
      </c>
    </row>
    <row r="15476" spans="1:6" x14ac:dyDescent="0.2">
      <c r="A15476" s="29" t="s">
        <v>34478</v>
      </c>
      <c r="B15476" s="30" t="s">
        <v>34479</v>
      </c>
      <c r="C15476" s="29" t="s">
        <v>26</v>
      </c>
      <c r="D15476" s="31">
        <v>17463.34</v>
      </c>
      <c r="F15476" s="3" t="str">
        <f t="shared" si="241"/>
        <v>I11699</v>
      </c>
    </row>
    <row r="15477" spans="1:6" x14ac:dyDescent="0.2">
      <c r="A15477" s="29" t="s">
        <v>34480</v>
      </c>
      <c r="B15477" s="30" t="s">
        <v>34481</v>
      </c>
      <c r="C15477" s="29" t="s">
        <v>26</v>
      </c>
      <c r="D15477" s="31">
        <v>18102.46</v>
      </c>
      <c r="F15477" s="3" t="str">
        <f t="shared" si="241"/>
        <v>I11781</v>
      </c>
    </row>
    <row r="15478" spans="1:6" x14ac:dyDescent="0.2">
      <c r="A15478" s="29" t="s">
        <v>34482</v>
      </c>
      <c r="B15478" s="30" t="s">
        <v>34483</v>
      </c>
      <c r="C15478" s="29" t="s">
        <v>26</v>
      </c>
      <c r="D15478" s="31">
        <v>17887.38</v>
      </c>
      <c r="F15478" s="3" t="str">
        <f t="shared" si="241"/>
        <v>I11662</v>
      </c>
    </row>
    <row r="15479" spans="1:6" x14ac:dyDescent="0.2">
      <c r="A15479" s="29" t="s">
        <v>34484</v>
      </c>
      <c r="B15479" s="30" t="s">
        <v>34485</v>
      </c>
      <c r="C15479" s="29" t="s">
        <v>26</v>
      </c>
      <c r="D15479" s="31">
        <v>18236.349999999999</v>
      </c>
      <c r="F15479" s="3" t="str">
        <f t="shared" si="241"/>
        <v>I11700</v>
      </c>
    </row>
    <row r="15480" spans="1:6" x14ac:dyDescent="0.2">
      <c r="A15480" s="29" t="s">
        <v>34486</v>
      </c>
      <c r="B15480" s="30" t="s">
        <v>34487</v>
      </c>
      <c r="C15480" s="29" t="s">
        <v>26</v>
      </c>
      <c r="D15480" s="31">
        <v>18883.34</v>
      </c>
      <c r="F15480" s="3" t="str">
        <f t="shared" si="241"/>
        <v>I11782</v>
      </c>
    </row>
    <row r="15481" spans="1:6" x14ac:dyDescent="0.2">
      <c r="A15481" s="29" t="s">
        <v>34488</v>
      </c>
      <c r="B15481" s="30" t="s">
        <v>34489</v>
      </c>
      <c r="C15481" s="29" t="s">
        <v>26</v>
      </c>
      <c r="D15481" s="31">
        <v>19009.349999999999</v>
      </c>
      <c r="F15481" s="3" t="str">
        <f t="shared" si="241"/>
        <v>I11701</v>
      </c>
    </row>
    <row r="15482" spans="1:6" x14ac:dyDescent="0.2">
      <c r="A15482" s="29" t="s">
        <v>34490</v>
      </c>
      <c r="B15482" s="30" t="s">
        <v>34491</v>
      </c>
      <c r="C15482" s="29" t="s">
        <v>26</v>
      </c>
      <c r="D15482" s="31">
        <v>19664.22</v>
      </c>
      <c r="F15482" s="3" t="str">
        <f t="shared" si="241"/>
        <v>I11783</v>
      </c>
    </row>
    <row r="15483" spans="1:6" x14ac:dyDescent="0.2">
      <c r="A15483" s="29" t="s">
        <v>34492</v>
      </c>
      <c r="B15483" s="30" t="s">
        <v>34493</v>
      </c>
      <c r="C15483" s="29" t="s">
        <v>26</v>
      </c>
      <c r="D15483" s="31">
        <v>18949.64</v>
      </c>
      <c r="F15483" s="3" t="str">
        <f t="shared" si="241"/>
        <v>I11702</v>
      </c>
    </row>
    <row r="15484" spans="1:6" x14ac:dyDescent="0.2">
      <c r="A15484" s="29" t="s">
        <v>34494</v>
      </c>
      <c r="B15484" s="30" t="s">
        <v>34495</v>
      </c>
      <c r="C15484" s="29" t="s">
        <v>26</v>
      </c>
      <c r="D15484" s="31">
        <v>20343.16</v>
      </c>
      <c r="F15484" s="3" t="str">
        <f t="shared" si="241"/>
        <v>I11784</v>
      </c>
    </row>
    <row r="15485" spans="1:6" x14ac:dyDescent="0.2">
      <c r="A15485" s="29" t="s">
        <v>34496</v>
      </c>
      <c r="B15485" s="30" t="s">
        <v>34497</v>
      </c>
      <c r="C15485" s="29" t="s">
        <v>26</v>
      </c>
      <c r="D15485" s="31">
        <v>22877.26</v>
      </c>
      <c r="F15485" s="3" t="str">
        <f t="shared" si="241"/>
        <v>I11703</v>
      </c>
    </row>
    <row r="15486" spans="1:6" x14ac:dyDescent="0.2">
      <c r="A15486" s="29" t="s">
        <v>34498</v>
      </c>
      <c r="B15486" s="30" t="s">
        <v>34499</v>
      </c>
      <c r="C15486" s="29" t="s">
        <v>26</v>
      </c>
      <c r="D15486" s="31">
        <v>24341.47</v>
      </c>
      <c r="F15486" s="3" t="str">
        <f t="shared" si="241"/>
        <v>I11785</v>
      </c>
    </row>
    <row r="15487" spans="1:6" x14ac:dyDescent="0.2">
      <c r="A15487" s="29" t="s">
        <v>34500</v>
      </c>
      <c r="B15487" s="30" t="s">
        <v>34501</v>
      </c>
      <c r="C15487" s="29" t="s">
        <v>26</v>
      </c>
      <c r="D15487" s="31">
        <v>21009.88</v>
      </c>
      <c r="F15487" s="3" t="str">
        <f t="shared" si="241"/>
        <v>I11663</v>
      </c>
    </row>
    <row r="15488" spans="1:6" x14ac:dyDescent="0.2">
      <c r="A15488" s="29" t="s">
        <v>34502</v>
      </c>
      <c r="B15488" s="30" t="s">
        <v>34503</v>
      </c>
      <c r="C15488" s="29" t="s">
        <v>26</v>
      </c>
      <c r="D15488" s="31">
        <v>22537.33</v>
      </c>
      <c r="F15488" s="3" t="str">
        <f t="shared" si="241"/>
        <v>I11704</v>
      </c>
    </row>
    <row r="15489" spans="1:6" x14ac:dyDescent="0.2">
      <c r="A15489" s="29" t="s">
        <v>34504</v>
      </c>
      <c r="B15489" s="30" t="s">
        <v>34505</v>
      </c>
      <c r="C15489" s="29" t="s">
        <v>26</v>
      </c>
      <c r="D15489" s="31">
        <v>25273.3</v>
      </c>
      <c r="F15489" s="3" t="str">
        <f t="shared" si="241"/>
        <v>I11786</v>
      </c>
    </row>
    <row r="15490" spans="1:6" x14ac:dyDescent="0.2">
      <c r="A15490" s="29" t="s">
        <v>34506</v>
      </c>
      <c r="B15490" s="30" t="s">
        <v>34507</v>
      </c>
      <c r="C15490" s="29" t="s">
        <v>26</v>
      </c>
      <c r="D15490" s="31">
        <v>22197.4</v>
      </c>
      <c r="F15490" s="3" t="str">
        <f t="shared" ref="F15490:F15553" si="242">A15490</f>
        <v>I11705</v>
      </c>
    </row>
    <row r="15491" spans="1:6" x14ac:dyDescent="0.2">
      <c r="A15491" s="29" t="s">
        <v>34508</v>
      </c>
      <c r="B15491" s="30" t="s">
        <v>34509</v>
      </c>
      <c r="C15491" s="29" t="s">
        <v>26</v>
      </c>
      <c r="D15491" s="31">
        <v>26205.14</v>
      </c>
      <c r="F15491" s="3" t="str">
        <f t="shared" si="242"/>
        <v>I11787</v>
      </c>
    </row>
    <row r="15492" spans="1:6" x14ac:dyDescent="0.2">
      <c r="A15492" s="29" t="s">
        <v>34510</v>
      </c>
      <c r="B15492" s="30" t="s">
        <v>34511</v>
      </c>
      <c r="C15492" s="29" t="s">
        <v>26</v>
      </c>
      <c r="D15492" s="31">
        <v>23365.39</v>
      </c>
      <c r="F15492" s="3" t="str">
        <f t="shared" si="242"/>
        <v>I11706</v>
      </c>
    </row>
    <row r="15493" spans="1:6" x14ac:dyDescent="0.2">
      <c r="A15493" s="29" t="s">
        <v>34512</v>
      </c>
      <c r="B15493" s="30" t="s">
        <v>34513</v>
      </c>
      <c r="C15493" s="29" t="s">
        <v>26</v>
      </c>
      <c r="D15493" s="31">
        <v>25385.49</v>
      </c>
      <c r="F15493" s="3" t="str">
        <f t="shared" si="242"/>
        <v>I11788</v>
      </c>
    </row>
    <row r="15494" spans="1:6" x14ac:dyDescent="0.2">
      <c r="A15494" s="29" t="s">
        <v>34514</v>
      </c>
      <c r="B15494" s="30" t="s">
        <v>34515</v>
      </c>
      <c r="C15494" s="29" t="s">
        <v>26</v>
      </c>
      <c r="D15494" s="31">
        <v>21773.29</v>
      </c>
      <c r="F15494" s="3" t="str">
        <f t="shared" si="242"/>
        <v>I11707</v>
      </c>
    </row>
    <row r="15495" spans="1:6" x14ac:dyDescent="0.2">
      <c r="A15495" s="29" t="s">
        <v>34516</v>
      </c>
      <c r="B15495" s="30" t="s">
        <v>34517</v>
      </c>
      <c r="C15495" s="29" t="s">
        <v>26</v>
      </c>
      <c r="D15495" s="31">
        <v>23750.74</v>
      </c>
      <c r="F15495" s="3" t="str">
        <f t="shared" si="242"/>
        <v>I11789</v>
      </c>
    </row>
    <row r="15496" spans="1:6" x14ac:dyDescent="0.2">
      <c r="A15496" s="29" t="s">
        <v>34518</v>
      </c>
      <c r="B15496" s="30" t="s">
        <v>34519</v>
      </c>
      <c r="C15496" s="29" t="s">
        <v>26</v>
      </c>
      <c r="D15496" s="31">
        <v>23139.89</v>
      </c>
      <c r="F15496" s="3" t="str">
        <f t="shared" si="242"/>
        <v>I11708</v>
      </c>
    </row>
    <row r="15497" spans="1:6" x14ac:dyDescent="0.2">
      <c r="A15497" s="29" t="s">
        <v>34520</v>
      </c>
      <c r="B15497" s="30" t="s">
        <v>34521</v>
      </c>
      <c r="C15497" s="29" t="s">
        <v>26</v>
      </c>
      <c r="D15497" s="31">
        <v>22707.48</v>
      </c>
      <c r="F15497" s="3" t="str">
        <f t="shared" si="242"/>
        <v>I11790</v>
      </c>
    </row>
    <row r="15498" spans="1:6" x14ac:dyDescent="0.2">
      <c r="A15498" s="29" t="s">
        <v>34522</v>
      </c>
      <c r="B15498" s="30" t="s">
        <v>34523</v>
      </c>
      <c r="C15498" s="29" t="s">
        <v>26</v>
      </c>
      <c r="D15498" s="31">
        <v>23030.59</v>
      </c>
      <c r="F15498" s="3" t="str">
        <f t="shared" si="242"/>
        <v>I11709</v>
      </c>
    </row>
    <row r="15499" spans="1:6" x14ac:dyDescent="0.2">
      <c r="A15499" s="29" t="s">
        <v>34524</v>
      </c>
      <c r="B15499" s="30" t="s">
        <v>34525</v>
      </c>
      <c r="C15499" s="29" t="s">
        <v>26</v>
      </c>
      <c r="D15499" s="31">
        <v>22908.080000000002</v>
      </c>
      <c r="F15499" s="3" t="str">
        <f t="shared" si="242"/>
        <v>I11791</v>
      </c>
    </row>
    <row r="15500" spans="1:6" x14ac:dyDescent="0.2">
      <c r="A15500" s="29" t="s">
        <v>34526</v>
      </c>
      <c r="B15500" s="30" t="s">
        <v>34527</v>
      </c>
      <c r="C15500" s="29" t="s">
        <v>26</v>
      </c>
      <c r="D15500" s="31">
        <v>21892.44</v>
      </c>
      <c r="F15500" s="3" t="str">
        <f t="shared" si="242"/>
        <v>I11664</v>
      </c>
    </row>
    <row r="15501" spans="1:6" x14ac:dyDescent="0.2">
      <c r="A15501" s="29" t="s">
        <v>34528</v>
      </c>
      <c r="B15501" s="30" t="s">
        <v>34529</v>
      </c>
      <c r="C15501" s="29" t="s">
        <v>26</v>
      </c>
      <c r="D15501" s="31">
        <v>23196.32</v>
      </c>
      <c r="F15501" s="3" t="str">
        <f t="shared" si="242"/>
        <v>I11710</v>
      </c>
    </row>
    <row r="15502" spans="1:6" x14ac:dyDescent="0.2">
      <c r="A15502" s="29" t="s">
        <v>34530</v>
      </c>
      <c r="B15502" s="30" t="s">
        <v>34531</v>
      </c>
      <c r="C15502" s="29" t="s">
        <v>26</v>
      </c>
      <c r="D15502" s="31">
        <v>24041.29</v>
      </c>
      <c r="F15502" s="3" t="str">
        <f t="shared" si="242"/>
        <v>I11792</v>
      </c>
    </row>
    <row r="15503" spans="1:6" x14ac:dyDescent="0.2">
      <c r="A15503" s="29" t="s">
        <v>34532</v>
      </c>
      <c r="B15503" s="30" t="s">
        <v>34533</v>
      </c>
      <c r="C15503" s="29" t="s">
        <v>26</v>
      </c>
      <c r="D15503" s="31">
        <v>23362.05</v>
      </c>
      <c r="F15503" s="3" t="str">
        <f t="shared" si="242"/>
        <v>I11711</v>
      </c>
    </row>
    <row r="15504" spans="1:6" x14ac:dyDescent="0.2">
      <c r="A15504" s="29" t="s">
        <v>34534</v>
      </c>
      <c r="B15504" s="30" t="s">
        <v>34535</v>
      </c>
      <c r="C15504" s="29" t="s">
        <v>26</v>
      </c>
      <c r="D15504" s="31">
        <v>25174.5</v>
      </c>
      <c r="F15504" s="3" t="str">
        <f t="shared" si="242"/>
        <v>I11793</v>
      </c>
    </row>
    <row r="15505" spans="1:6" x14ac:dyDescent="0.2">
      <c r="A15505" s="29" t="s">
        <v>34536</v>
      </c>
      <c r="B15505" s="30" t="s">
        <v>34537</v>
      </c>
      <c r="C15505" s="29" t="s">
        <v>26</v>
      </c>
      <c r="D15505" s="31">
        <v>23264.99</v>
      </c>
      <c r="F15505" s="3" t="str">
        <f t="shared" si="242"/>
        <v>I11665</v>
      </c>
    </row>
    <row r="15506" spans="1:6" x14ac:dyDescent="0.2">
      <c r="A15506" s="29" t="s">
        <v>34538</v>
      </c>
      <c r="B15506" s="30" t="s">
        <v>34539</v>
      </c>
      <c r="C15506" s="29" t="s">
        <v>26</v>
      </c>
      <c r="D15506" s="31">
        <v>24640.44</v>
      </c>
      <c r="F15506" s="3" t="str">
        <f t="shared" si="242"/>
        <v>I11712</v>
      </c>
    </row>
    <row r="15507" spans="1:6" x14ac:dyDescent="0.2">
      <c r="A15507" s="29" t="s">
        <v>34540</v>
      </c>
      <c r="B15507" s="30" t="s">
        <v>34541</v>
      </c>
      <c r="C15507" s="29" t="s">
        <v>26</v>
      </c>
      <c r="D15507" s="31">
        <v>25872.04</v>
      </c>
      <c r="F15507" s="3" t="str">
        <f t="shared" si="242"/>
        <v>I11794</v>
      </c>
    </row>
    <row r="15508" spans="1:6" x14ac:dyDescent="0.2">
      <c r="A15508" s="29" t="s">
        <v>34542</v>
      </c>
      <c r="B15508" s="30" t="s">
        <v>34543</v>
      </c>
      <c r="C15508" s="29" t="s">
        <v>26</v>
      </c>
      <c r="D15508" s="31">
        <v>25918.83</v>
      </c>
      <c r="F15508" s="3" t="str">
        <f t="shared" si="242"/>
        <v>I11713</v>
      </c>
    </row>
    <row r="15509" spans="1:6" x14ac:dyDescent="0.2">
      <c r="A15509" s="29" t="s">
        <v>34544</v>
      </c>
      <c r="B15509" s="30" t="s">
        <v>34545</v>
      </c>
      <c r="C15509" s="29" t="s">
        <v>26</v>
      </c>
      <c r="D15509" s="31">
        <v>26569.58</v>
      </c>
      <c r="F15509" s="3" t="str">
        <f t="shared" si="242"/>
        <v>I11795</v>
      </c>
    </row>
    <row r="15510" spans="1:6" x14ac:dyDescent="0.2">
      <c r="A15510" s="29" t="s">
        <v>34546</v>
      </c>
      <c r="B15510" s="30" t="s">
        <v>34547</v>
      </c>
      <c r="C15510" s="29" t="s">
        <v>26</v>
      </c>
      <c r="D15510" s="31">
        <v>25444.18</v>
      </c>
      <c r="F15510" s="3" t="str">
        <f t="shared" si="242"/>
        <v>I11714</v>
      </c>
    </row>
    <row r="15511" spans="1:6" x14ac:dyDescent="0.2">
      <c r="A15511" s="29" t="s">
        <v>34548</v>
      </c>
      <c r="B15511" s="30" t="s">
        <v>34549</v>
      </c>
      <c r="C15511" s="29" t="s">
        <v>26</v>
      </c>
      <c r="D15511" s="31">
        <v>28064.02</v>
      </c>
      <c r="F15511" s="3" t="str">
        <f t="shared" si="242"/>
        <v>I11796</v>
      </c>
    </row>
    <row r="15512" spans="1:6" x14ac:dyDescent="0.2">
      <c r="A15512" s="29" t="s">
        <v>34550</v>
      </c>
      <c r="B15512" s="30" t="s">
        <v>34551</v>
      </c>
      <c r="C15512" s="29" t="s">
        <v>26</v>
      </c>
      <c r="D15512" s="31">
        <v>28042.59</v>
      </c>
      <c r="F15512" s="3" t="str">
        <f t="shared" si="242"/>
        <v>I11715</v>
      </c>
    </row>
    <row r="15513" spans="1:6" x14ac:dyDescent="0.2">
      <c r="A15513" s="29" t="s">
        <v>34552</v>
      </c>
      <c r="B15513" s="30" t="s">
        <v>34553</v>
      </c>
      <c r="C15513" s="29" t="s">
        <v>26</v>
      </c>
      <c r="D15513" s="31">
        <v>31371.84</v>
      </c>
      <c r="F15513" s="3" t="str">
        <f t="shared" si="242"/>
        <v>I11797</v>
      </c>
    </row>
    <row r="15514" spans="1:6" x14ac:dyDescent="0.2">
      <c r="A15514" s="29" t="s">
        <v>34554</v>
      </c>
      <c r="B15514" s="30" t="s">
        <v>34555</v>
      </c>
      <c r="C15514" s="29" t="s">
        <v>26</v>
      </c>
      <c r="D15514" s="31">
        <v>30165.45</v>
      </c>
      <c r="F15514" s="3" t="str">
        <f t="shared" si="242"/>
        <v>I11666</v>
      </c>
    </row>
    <row r="15515" spans="1:6" x14ac:dyDescent="0.2">
      <c r="A15515" s="29" t="s">
        <v>34556</v>
      </c>
      <c r="B15515" s="30" t="s">
        <v>34557</v>
      </c>
      <c r="C15515" s="29" t="s">
        <v>26</v>
      </c>
      <c r="D15515" s="31">
        <v>31252.639999999999</v>
      </c>
      <c r="F15515" s="3" t="str">
        <f t="shared" si="242"/>
        <v>I11716</v>
      </c>
    </row>
    <row r="15516" spans="1:6" x14ac:dyDescent="0.2">
      <c r="A15516" s="29" t="s">
        <v>34558</v>
      </c>
      <c r="B15516" s="30" t="s">
        <v>34559</v>
      </c>
      <c r="C15516" s="29" t="s">
        <v>26</v>
      </c>
      <c r="D15516" s="31">
        <v>33562.54</v>
      </c>
      <c r="F15516" s="3" t="str">
        <f t="shared" si="242"/>
        <v>I11798</v>
      </c>
    </row>
    <row r="15517" spans="1:6" x14ac:dyDescent="0.2">
      <c r="A15517" s="29" t="s">
        <v>34560</v>
      </c>
      <c r="B15517" s="30" t="s">
        <v>34561</v>
      </c>
      <c r="C15517" s="29" t="s">
        <v>26</v>
      </c>
      <c r="D15517" s="31">
        <v>34462.68</v>
      </c>
      <c r="F15517" s="3" t="str">
        <f t="shared" si="242"/>
        <v>I11717</v>
      </c>
    </row>
    <row r="15518" spans="1:6" x14ac:dyDescent="0.2">
      <c r="A15518" s="29" t="s">
        <v>34562</v>
      </c>
      <c r="B15518" s="30" t="s">
        <v>34563</v>
      </c>
      <c r="C15518" s="29" t="s">
        <v>26</v>
      </c>
      <c r="D15518" s="31">
        <v>35753.24</v>
      </c>
      <c r="F15518" s="3" t="str">
        <f t="shared" si="242"/>
        <v>I11799</v>
      </c>
    </row>
    <row r="15519" spans="1:6" x14ac:dyDescent="0.2">
      <c r="A15519" s="29" t="s">
        <v>34564</v>
      </c>
      <c r="B15519" s="30" t="s">
        <v>34565</v>
      </c>
      <c r="C15519" s="29" t="s">
        <v>26</v>
      </c>
      <c r="D15519" s="31">
        <v>32330.93</v>
      </c>
      <c r="F15519" s="3" t="str">
        <f t="shared" si="242"/>
        <v>I11667</v>
      </c>
    </row>
    <row r="15520" spans="1:6" x14ac:dyDescent="0.2">
      <c r="A15520" s="29" t="s">
        <v>34566</v>
      </c>
      <c r="B15520" s="30" t="s">
        <v>34567</v>
      </c>
      <c r="C15520" s="29" t="s">
        <v>26</v>
      </c>
      <c r="D15520" s="31">
        <v>35086.15</v>
      </c>
      <c r="F15520" s="3" t="str">
        <f t="shared" si="242"/>
        <v>I11718</v>
      </c>
    </row>
    <row r="15521" spans="1:6" x14ac:dyDescent="0.2">
      <c r="A15521" s="29" t="s">
        <v>34568</v>
      </c>
      <c r="B15521" s="30" t="s">
        <v>34569</v>
      </c>
      <c r="C15521" s="29" t="s">
        <v>26</v>
      </c>
      <c r="D15521" s="31">
        <v>36185.019999999997</v>
      </c>
      <c r="F15521" s="3" t="str">
        <f t="shared" si="242"/>
        <v>I11800</v>
      </c>
    </row>
    <row r="15522" spans="1:6" x14ac:dyDescent="0.2">
      <c r="A15522" s="29" t="s">
        <v>34570</v>
      </c>
      <c r="B15522" s="30" t="s">
        <v>34571</v>
      </c>
      <c r="C15522" s="29" t="s">
        <v>26</v>
      </c>
      <c r="D15522" s="31">
        <v>35709.620000000003</v>
      </c>
      <c r="F15522" s="3" t="str">
        <f t="shared" si="242"/>
        <v>I11719</v>
      </c>
    </row>
    <row r="15523" spans="1:6" x14ac:dyDescent="0.2">
      <c r="A15523" s="29" t="s">
        <v>34572</v>
      </c>
      <c r="B15523" s="30" t="s">
        <v>34573</v>
      </c>
      <c r="C15523" s="29" t="s">
        <v>26</v>
      </c>
      <c r="D15523" s="31">
        <v>36616.79</v>
      </c>
      <c r="F15523" s="3" t="str">
        <f t="shared" si="242"/>
        <v>I11801</v>
      </c>
    </row>
    <row r="15524" spans="1:6" x14ac:dyDescent="0.2">
      <c r="A15524" s="29" t="s">
        <v>34574</v>
      </c>
      <c r="B15524" s="30" t="s">
        <v>34575</v>
      </c>
      <c r="C15524" s="29" t="s">
        <v>26</v>
      </c>
      <c r="D15524" s="31">
        <v>32535.34</v>
      </c>
      <c r="F15524" s="3" t="str">
        <f t="shared" si="242"/>
        <v>I11668</v>
      </c>
    </row>
    <row r="15525" spans="1:6" x14ac:dyDescent="0.2">
      <c r="A15525" s="29" t="s">
        <v>34576</v>
      </c>
      <c r="B15525" s="30" t="s">
        <v>34577</v>
      </c>
      <c r="C15525" s="29" t="s">
        <v>26</v>
      </c>
      <c r="D15525" s="31">
        <v>35048.92</v>
      </c>
      <c r="F15525" s="3" t="str">
        <f t="shared" si="242"/>
        <v>I11720</v>
      </c>
    </row>
    <row r="15526" spans="1:6" x14ac:dyDescent="0.2">
      <c r="A15526" s="29" t="s">
        <v>34578</v>
      </c>
      <c r="B15526" s="30" t="s">
        <v>34579</v>
      </c>
      <c r="C15526" s="29" t="s">
        <v>26</v>
      </c>
      <c r="D15526" s="31">
        <v>36800.01</v>
      </c>
      <c r="F15526" s="3" t="str">
        <f t="shared" si="242"/>
        <v>I11802</v>
      </c>
    </row>
    <row r="15527" spans="1:6" x14ac:dyDescent="0.2">
      <c r="A15527" s="29" t="s">
        <v>34580</v>
      </c>
      <c r="B15527" s="30" t="s">
        <v>34581</v>
      </c>
      <c r="C15527" s="29" t="s">
        <v>26</v>
      </c>
      <c r="D15527" s="31">
        <v>34388.230000000003</v>
      </c>
      <c r="F15527" s="3" t="str">
        <f t="shared" si="242"/>
        <v>I11721</v>
      </c>
    </row>
    <row r="15528" spans="1:6" x14ac:dyDescent="0.2">
      <c r="A15528" s="29" t="s">
        <v>34582</v>
      </c>
      <c r="B15528" s="30" t="s">
        <v>34583</v>
      </c>
      <c r="C15528" s="29" t="s">
        <v>26</v>
      </c>
      <c r="D15528" s="31">
        <v>36983.230000000003</v>
      </c>
      <c r="F15528" s="3" t="str">
        <f t="shared" si="242"/>
        <v>I11803</v>
      </c>
    </row>
    <row r="15529" spans="1:6" x14ac:dyDescent="0.2">
      <c r="A15529" s="29" t="s">
        <v>34584</v>
      </c>
      <c r="B15529" s="30" t="s">
        <v>34585</v>
      </c>
      <c r="C15529" s="29" t="s">
        <v>26</v>
      </c>
      <c r="D15529" s="31">
        <v>36665.440000000002</v>
      </c>
      <c r="F15529" s="3" t="str">
        <f t="shared" si="242"/>
        <v>I11722</v>
      </c>
    </row>
    <row r="15530" spans="1:6" x14ac:dyDescent="0.2">
      <c r="A15530" s="29" t="s">
        <v>34586</v>
      </c>
      <c r="B15530" s="30" t="s">
        <v>34587</v>
      </c>
      <c r="C15530" s="29" t="s">
        <v>26</v>
      </c>
      <c r="D15530" s="31">
        <v>38512.769999999997</v>
      </c>
      <c r="F15530" s="3" t="str">
        <f t="shared" si="242"/>
        <v>I11804</v>
      </c>
    </row>
    <row r="15531" spans="1:6" x14ac:dyDescent="0.2">
      <c r="A15531" s="29" t="s">
        <v>34588</v>
      </c>
      <c r="B15531" s="30" t="s">
        <v>34589</v>
      </c>
      <c r="C15531" s="29" t="s">
        <v>26</v>
      </c>
      <c r="D15531" s="31">
        <v>38804.239999999998</v>
      </c>
      <c r="F15531" s="3" t="str">
        <f t="shared" si="242"/>
        <v>I11723</v>
      </c>
    </row>
    <row r="15532" spans="1:6" x14ac:dyDescent="0.2">
      <c r="A15532" s="29" t="s">
        <v>34590</v>
      </c>
      <c r="B15532" s="30" t="s">
        <v>34591</v>
      </c>
      <c r="C15532" s="29" t="s">
        <v>26</v>
      </c>
      <c r="D15532" s="31">
        <v>43102.35</v>
      </c>
      <c r="F15532" s="3" t="str">
        <f t="shared" si="242"/>
        <v>I11805</v>
      </c>
    </row>
    <row r="15533" spans="1:6" x14ac:dyDescent="0.2">
      <c r="A15533" s="29" t="s">
        <v>34592</v>
      </c>
      <c r="B15533" s="30" t="s">
        <v>34593</v>
      </c>
      <c r="C15533" s="29" t="s">
        <v>26</v>
      </c>
      <c r="D15533" s="31">
        <v>32971.89</v>
      </c>
      <c r="F15533" s="3" t="str">
        <f t="shared" si="242"/>
        <v>I11724</v>
      </c>
    </row>
    <row r="15534" spans="1:6" x14ac:dyDescent="0.2">
      <c r="A15534" s="29" t="s">
        <v>34594</v>
      </c>
      <c r="B15534" s="30" t="s">
        <v>34595</v>
      </c>
      <c r="C15534" s="29" t="s">
        <v>26</v>
      </c>
      <c r="D15534" s="31">
        <v>36100.39</v>
      </c>
      <c r="F15534" s="3" t="str">
        <f t="shared" si="242"/>
        <v>I11806</v>
      </c>
    </row>
    <row r="15535" spans="1:6" x14ac:dyDescent="0.2">
      <c r="A15535" s="29" t="s">
        <v>34596</v>
      </c>
      <c r="B15535" s="30" t="s">
        <v>34597</v>
      </c>
      <c r="C15535" s="29" t="s">
        <v>26</v>
      </c>
      <c r="D15535" s="31">
        <v>35240.07</v>
      </c>
      <c r="F15535" s="3" t="str">
        <f t="shared" si="242"/>
        <v>I11725</v>
      </c>
    </row>
    <row r="15536" spans="1:6" x14ac:dyDescent="0.2">
      <c r="A15536" s="29" t="s">
        <v>34598</v>
      </c>
      <c r="B15536" s="30" t="s">
        <v>34599</v>
      </c>
      <c r="C15536" s="29" t="s">
        <v>26</v>
      </c>
      <c r="D15536" s="31">
        <v>38607.089999999997</v>
      </c>
      <c r="F15536" s="3" t="str">
        <f t="shared" si="242"/>
        <v>I11807</v>
      </c>
    </row>
    <row r="15537" spans="1:6" x14ac:dyDescent="0.2">
      <c r="A15537" s="29" t="s">
        <v>34600</v>
      </c>
      <c r="B15537" s="30" t="s">
        <v>34601</v>
      </c>
      <c r="C15537" s="29" t="s">
        <v>26</v>
      </c>
      <c r="D15537" s="31">
        <v>51195.88</v>
      </c>
      <c r="F15537" s="3" t="str">
        <f t="shared" si="242"/>
        <v>I11726</v>
      </c>
    </row>
    <row r="15538" spans="1:6" x14ac:dyDescent="0.2">
      <c r="A15538" s="29" t="s">
        <v>34602</v>
      </c>
      <c r="B15538" s="30" t="s">
        <v>34603</v>
      </c>
      <c r="C15538" s="29" t="s">
        <v>26</v>
      </c>
      <c r="D15538" s="31">
        <v>52377.4</v>
      </c>
      <c r="F15538" s="3" t="str">
        <f t="shared" si="242"/>
        <v>I11808</v>
      </c>
    </row>
    <row r="15539" spans="1:6" x14ac:dyDescent="0.2">
      <c r="A15539" s="29" t="s">
        <v>34604</v>
      </c>
      <c r="B15539" s="30" t="s">
        <v>34605</v>
      </c>
      <c r="C15539" s="29" t="s">
        <v>26</v>
      </c>
      <c r="D15539" s="31">
        <v>36827.67</v>
      </c>
      <c r="F15539" s="3" t="str">
        <f t="shared" si="242"/>
        <v>I11727</v>
      </c>
    </row>
    <row r="15540" spans="1:6" x14ac:dyDescent="0.2">
      <c r="A15540" s="29" t="s">
        <v>34606</v>
      </c>
      <c r="B15540" s="30" t="s">
        <v>34607</v>
      </c>
      <c r="C15540" s="29" t="s">
        <v>26</v>
      </c>
      <c r="D15540" s="31">
        <v>40313.730000000003</v>
      </c>
      <c r="F15540" s="3" t="str">
        <f t="shared" si="242"/>
        <v>I11809</v>
      </c>
    </row>
    <row r="15541" spans="1:6" x14ac:dyDescent="0.2">
      <c r="A15541" s="29" t="s">
        <v>34608</v>
      </c>
      <c r="B15541" s="30" t="s">
        <v>34609</v>
      </c>
      <c r="C15541" s="29" t="s">
        <v>26</v>
      </c>
      <c r="D15541" s="31">
        <v>37499</v>
      </c>
      <c r="F15541" s="3" t="str">
        <f t="shared" si="242"/>
        <v>I11669</v>
      </c>
    </row>
    <row r="15542" spans="1:6" x14ac:dyDescent="0.2">
      <c r="A15542" s="29" t="s">
        <v>34610</v>
      </c>
      <c r="B15542" s="30" t="s">
        <v>34611</v>
      </c>
      <c r="C15542" s="29" t="s">
        <v>26</v>
      </c>
      <c r="D15542" s="31">
        <v>36827.67</v>
      </c>
      <c r="F15542" s="3" t="str">
        <f t="shared" si="242"/>
        <v>I11728</v>
      </c>
    </row>
    <row r="15543" spans="1:6" x14ac:dyDescent="0.2">
      <c r="A15543" s="29" t="s">
        <v>34612</v>
      </c>
      <c r="B15543" s="30" t="s">
        <v>34613</v>
      </c>
      <c r="C15543" s="29" t="s">
        <v>26</v>
      </c>
      <c r="D15543" s="31">
        <v>43078.28</v>
      </c>
      <c r="F15543" s="3" t="str">
        <f t="shared" si="242"/>
        <v>I11810</v>
      </c>
    </row>
    <row r="15544" spans="1:6" x14ac:dyDescent="0.2">
      <c r="A15544" s="29" t="s">
        <v>34614</v>
      </c>
      <c r="B15544" s="30" t="s">
        <v>34615</v>
      </c>
      <c r="C15544" s="29" t="s">
        <v>26</v>
      </c>
      <c r="D15544" s="31">
        <v>40016.14</v>
      </c>
      <c r="F15544" s="3" t="str">
        <f t="shared" si="242"/>
        <v>I11729</v>
      </c>
    </row>
    <row r="15545" spans="1:6" x14ac:dyDescent="0.2">
      <c r="A15545" s="29" t="s">
        <v>34616</v>
      </c>
      <c r="B15545" s="30" t="s">
        <v>34617</v>
      </c>
      <c r="C15545" s="29" t="s">
        <v>26</v>
      </c>
      <c r="D15545" s="31">
        <v>45842.83</v>
      </c>
      <c r="F15545" s="3" t="str">
        <f t="shared" si="242"/>
        <v>I11811</v>
      </c>
    </row>
    <row r="15546" spans="1:6" x14ac:dyDescent="0.2">
      <c r="A15546" s="29" t="s">
        <v>34618</v>
      </c>
      <c r="B15546" s="30" t="s">
        <v>34619</v>
      </c>
      <c r="C15546" s="29" t="s">
        <v>26</v>
      </c>
      <c r="D15546" s="31">
        <v>62719.37</v>
      </c>
      <c r="F15546" s="3" t="str">
        <f t="shared" si="242"/>
        <v>I11730</v>
      </c>
    </row>
    <row r="15547" spans="1:6" x14ac:dyDescent="0.2">
      <c r="A15547" s="29" t="s">
        <v>34620</v>
      </c>
      <c r="B15547" s="30" t="s">
        <v>34621</v>
      </c>
      <c r="C15547" s="29" t="s">
        <v>26</v>
      </c>
      <c r="D15547" s="31">
        <v>66025.34</v>
      </c>
      <c r="F15547" s="3" t="str">
        <f t="shared" si="242"/>
        <v>I11812</v>
      </c>
    </row>
    <row r="15548" spans="1:6" x14ac:dyDescent="0.2">
      <c r="A15548" s="29" t="s">
        <v>34622</v>
      </c>
      <c r="B15548" s="30" t="s">
        <v>34623</v>
      </c>
      <c r="C15548" s="29" t="s">
        <v>26</v>
      </c>
      <c r="D15548" s="31">
        <v>61428.94</v>
      </c>
      <c r="F15548" s="3" t="str">
        <f t="shared" si="242"/>
        <v>I11731</v>
      </c>
    </row>
    <row r="15549" spans="1:6" x14ac:dyDescent="0.2">
      <c r="A15549" s="29" t="s">
        <v>34624</v>
      </c>
      <c r="B15549" s="30" t="s">
        <v>34625</v>
      </c>
      <c r="C15549" s="29" t="s">
        <v>26</v>
      </c>
      <c r="D15549" s="31">
        <v>68832.63</v>
      </c>
      <c r="F15549" s="3" t="str">
        <f t="shared" si="242"/>
        <v>I11813</v>
      </c>
    </row>
    <row r="15550" spans="1:6" x14ac:dyDescent="0.2">
      <c r="A15550" s="29" t="s">
        <v>34626</v>
      </c>
      <c r="B15550" s="30" t="s">
        <v>34627</v>
      </c>
      <c r="C15550" s="29" t="s">
        <v>26</v>
      </c>
      <c r="D15550" s="31">
        <v>42831.31</v>
      </c>
      <c r="F15550" s="3" t="str">
        <f t="shared" si="242"/>
        <v>I11732</v>
      </c>
    </row>
    <row r="15551" spans="1:6" x14ac:dyDescent="0.2">
      <c r="A15551" s="29" t="s">
        <v>34628</v>
      </c>
      <c r="B15551" s="30" t="s">
        <v>34629</v>
      </c>
      <c r="C15551" s="29" t="s">
        <v>26</v>
      </c>
      <c r="D15551" s="31">
        <v>49412.639999999999</v>
      </c>
      <c r="F15551" s="3" t="str">
        <f t="shared" si="242"/>
        <v>I11814</v>
      </c>
    </row>
    <row r="15552" spans="1:6" x14ac:dyDescent="0.2">
      <c r="A15552" s="29" t="s">
        <v>34630</v>
      </c>
      <c r="B15552" s="30" t="s">
        <v>34631</v>
      </c>
      <c r="C15552" s="29" t="s">
        <v>26</v>
      </c>
      <c r="D15552" s="31">
        <v>51220.480000000003</v>
      </c>
      <c r="F15552" s="3" t="str">
        <f t="shared" si="242"/>
        <v>I11733</v>
      </c>
    </row>
    <row r="15553" spans="1:6" x14ac:dyDescent="0.2">
      <c r="A15553" s="29" t="s">
        <v>34632</v>
      </c>
      <c r="B15553" s="30" t="s">
        <v>34633</v>
      </c>
      <c r="C15553" s="29" t="s">
        <v>26</v>
      </c>
      <c r="D15553" s="31">
        <v>53472.84</v>
      </c>
      <c r="F15553" s="3" t="str">
        <f t="shared" si="242"/>
        <v>I11815</v>
      </c>
    </row>
    <row r="15554" spans="1:6" x14ac:dyDescent="0.2">
      <c r="A15554" s="29" t="s">
        <v>34634</v>
      </c>
      <c r="B15554" s="30" t="s">
        <v>34635</v>
      </c>
      <c r="C15554" s="29" t="s">
        <v>26</v>
      </c>
      <c r="D15554" s="31">
        <v>73292.77</v>
      </c>
      <c r="F15554" s="3" t="str">
        <f t="shared" ref="F15554:F15617" si="243">A15554</f>
        <v>I11734</v>
      </c>
    </row>
    <row r="15555" spans="1:6" x14ac:dyDescent="0.2">
      <c r="A15555" s="29" t="s">
        <v>34636</v>
      </c>
      <c r="B15555" s="30" t="s">
        <v>34637</v>
      </c>
      <c r="C15555" s="29" t="s">
        <v>26</v>
      </c>
      <c r="D15555" s="31">
        <v>75291.73</v>
      </c>
      <c r="F15555" s="3" t="str">
        <f t="shared" si="243"/>
        <v>I11816</v>
      </c>
    </row>
    <row r="15556" spans="1:6" x14ac:dyDescent="0.2">
      <c r="A15556" s="29" t="s">
        <v>34638</v>
      </c>
      <c r="B15556" s="30" t="s">
        <v>34639</v>
      </c>
      <c r="C15556" s="29" t="s">
        <v>26</v>
      </c>
      <c r="D15556" s="31">
        <v>81664.570000000007</v>
      </c>
      <c r="F15556" s="3" t="str">
        <f t="shared" si="243"/>
        <v>I11735</v>
      </c>
    </row>
    <row r="15557" spans="1:6" x14ac:dyDescent="0.2">
      <c r="A15557" s="29" t="s">
        <v>34640</v>
      </c>
      <c r="B15557" s="30" t="s">
        <v>34641</v>
      </c>
      <c r="C15557" s="29" t="s">
        <v>26</v>
      </c>
      <c r="D15557" s="31">
        <v>83427.09</v>
      </c>
      <c r="F15557" s="3" t="str">
        <f t="shared" si="243"/>
        <v>I11817</v>
      </c>
    </row>
    <row r="15558" spans="1:6" ht="22.5" x14ac:dyDescent="0.2">
      <c r="A15558" s="29" t="s">
        <v>34642</v>
      </c>
      <c r="B15558" s="30" t="s">
        <v>34643</v>
      </c>
      <c r="C15558" s="29" t="s">
        <v>26</v>
      </c>
      <c r="D15558" s="31">
        <v>110449.03</v>
      </c>
      <c r="F15558" s="3" t="str">
        <f t="shared" si="243"/>
        <v>I6321</v>
      </c>
    </row>
    <row r="15559" spans="1:6" ht="22.5" x14ac:dyDescent="0.2">
      <c r="A15559" s="29" t="s">
        <v>34644</v>
      </c>
      <c r="B15559" s="30" t="s">
        <v>34645</v>
      </c>
      <c r="C15559" s="29" t="s">
        <v>26</v>
      </c>
      <c r="D15559" s="31">
        <v>110763.84</v>
      </c>
      <c r="F15559" s="3" t="str">
        <f t="shared" si="243"/>
        <v>I6322</v>
      </c>
    </row>
    <row r="15560" spans="1:6" ht="22.5" x14ac:dyDescent="0.2">
      <c r="A15560" s="29" t="s">
        <v>34646</v>
      </c>
      <c r="B15560" s="30" t="s">
        <v>34647</v>
      </c>
      <c r="C15560" s="29" t="s">
        <v>26</v>
      </c>
      <c r="D15560" s="31">
        <v>106249.58</v>
      </c>
      <c r="F15560" s="3" t="str">
        <f t="shared" si="243"/>
        <v>I6323</v>
      </c>
    </row>
    <row r="15561" spans="1:6" ht="22.5" x14ac:dyDescent="0.2">
      <c r="A15561" s="29" t="s">
        <v>34648</v>
      </c>
      <c r="B15561" s="30" t="s">
        <v>34649</v>
      </c>
      <c r="C15561" s="29" t="s">
        <v>26</v>
      </c>
      <c r="D15561" s="31">
        <v>108783.64</v>
      </c>
      <c r="F15561" s="3" t="str">
        <f t="shared" si="243"/>
        <v>I6324</v>
      </c>
    </row>
    <row r="15562" spans="1:6" ht="22.5" x14ac:dyDescent="0.2">
      <c r="A15562" s="29" t="s">
        <v>34650</v>
      </c>
      <c r="B15562" s="30" t="s">
        <v>34651</v>
      </c>
      <c r="C15562" s="29" t="s">
        <v>26</v>
      </c>
      <c r="D15562" s="31">
        <v>133661.9</v>
      </c>
      <c r="F15562" s="3" t="str">
        <f t="shared" si="243"/>
        <v>I6325</v>
      </c>
    </row>
    <row r="15563" spans="1:6" ht="22.5" x14ac:dyDescent="0.2">
      <c r="A15563" s="29" t="s">
        <v>34652</v>
      </c>
      <c r="B15563" s="30" t="s">
        <v>34653</v>
      </c>
      <c r="C15563" s="29" t="s">
        <v>26</v>
      </c>
      <c r="D15563" s="31">
        <v>163980.32999999999</v>
      </c>
      <c r="F15563" s="3" t="str">
        <f t="shared" si="243"/>
        <v>I6326</v>
      </c>
    </row>
    <row r="15564" spans="1:6" ht="22.5" x14ac:dyDescent="0.2">
      <c r="A15564" s="29" t="s">
        <v>34654</v>
      </c>
      <c r="B15564" s="30" t="s">
        <v>34655</v>
      </c>
      <c r="C15564" s="29" t="s">
        <v>26</v>
      </c>
      <c r="D15564" s="31">
        <v>182596.34</v>
      </c>
      <c r="F15564" s="3" t="str">
        <f t="shared" si="243"/>
        <v>I6327</v>
      </c>
    </row>
    <row r="15565" spans="1:6" ht="22.5" x14ac:dyDescent="0.2">
      <c r="A15565" s="29" t="s">
        <v>34656</v>
      </c>
      <c r="B15565" s="30" t="s">
        <v>34657</v>
      </c>
      <c r="C15565" s="29" t="s">
        <v>26</v>
      </c>
      <c r="D15565" s="31">
        <v>236438.17</v>
      </c>
      <c r="F15565" s="3" t="str">
        <f t="shared" si="243"/>
        <v>I6328</v>
      </c>
    </row>
    <row r="15566" spans="1:6" ht="22.5" x14ac:dyDescent="0.2">
      <c r="A15566" s="29" t="s">
        <v>34658</v>
      </c>
      <c r="B15566" s="30" t="s">
        <v>34659</v>
      </c>
      <c r="C15566" s="29" t="s">
        <v>26</v>
      </c>
      <c r="D15566" s="31">
        <v>311520.55</v>
      </c>
      <c r="F15566" s="3" t="str">
        <f t="shared" si="243"/>
        <v>I6329</v>
      </c>
    </row>
    <row r="15567" spans="1:6" ht="22.5" x14ac:dyDescent="0.2">
      <c r="A15567" s="29" t="s">
        <v>34660</v>
      </c>
      <c r="B15567" s="30" t="s">
        <v>34661</v>
      </c>
      <c r="C15567" s="29" t="s">
        <v>26</v>
      </c>
      <c r="D15567" s="31">
        <v>409559.12</v>
      </c>
      <c r="F15567" s="3" t="str">
        <f t="shared" si="243"/>
        <v>I7061</v>
      </c>
    </row>
    <row r="15568" spans="1:6" x14ac:dyDescent="0.2">
      <c r="A15568" s="29" t="s">
        <v>34662</v>
      </c>
      <c r="B15568" s="30" t="s">
        <v>34663</v>
      </c>
      <c r="C15568" s="29" t="s">
        <v>26</v>
      </c>
      <c r="D15568" s="31">
        <v>5.62</v>
      </c>
      <c r="F15568" s="3" t="str">
        <f t="shared" si="243"/>
        <v>I2963</v>
      </c>
    </row>
    <row r="15569" spans="1:6" x14ac:dyDescent="0.2">
      <c r="A15569" s="29" t="s">
        <v>34664</v>
      </c>
      <c r="B15569" s="30" t="s">
        <v>34665</v>
      </c>
      <c r="C15569" s="29" t="s">
        <v>26</v>
      </c>
      <c r="D15569" s="31">
        <v>14131.71</v>
      </c>
      <c r="F15569" s="3" t="str">
        <f t="shared" si="243"/>
        <v>I5599</v>
      </c>
    </row>
    <row r="15570" spans="1:6" x14ac:dyDescent="0.2">
      <c r="A15570" s="29" t="s">
        <v>34666</v>
      </c>
      <c r="B15570" s="30" t="s">
        <v>34667</v>
      </c>
      <c r="C15570" s="29" t="s">
        <v>26</v>
      </c>
      <c r="D15570" s="31">
        <v>935.03</v>
      </c>
      <c r="F15570" s="3" t="str">
        <f t="shared" si="243"/>
        <v>I5687</v>
      </c>
    </row>
    <row r="15571" spans="1:6" x14ac:dyDescent="0.2">
      <c r="A15571" s="29" t="s">
        <v>34668</v>
      </c>
      <c r="B15571" s="30" t="s">
        <v>34669</v>
      </c>
      <c r="C15571" s="29" t="s">
        <v>26</v>
      </c>
      <c r="D15571" s="31">
        <v>1126.32</v>
      </c>
      <c r="F15571" s="3" t="str">
        <f t="shared" si="243"/>
        <v>I5688</v>
      </c>
    </row>
    <row r="15572" spans="1:6" x14ac:dyDescent="0.2">
      <c r="A15572" s="29" t="s">
        <v>34670</v>
      </c>
      <c r="B15572" s="30" t="s">
        <v>34671</v>
      </c>
      <c r="C15572" s="29" t="s">
        <v>26</v>
      </c>
      <c r="D15572" s="31">
        <v>1274.77</v>
      </c>
      <c r="F15572" s="3" t="str">
        <f t="shared" si="243"/>
        <v>I5689</v>
      </c>
    </row>
    <row r="15573" spans="1:6" x14ac:dyDescent="0.2">
      <c r="A15573" s="29" t="s">
        <v>34672</v>
      </c>
      <c r="B15573" s="30" t="s">
        <v>34673</v>
      </c>
      <c r="C15573" s="29" t="s">
        <v>26</v>
      </c>
      <c r="D15573" s="31">
        <v>2563.3000000000002</v>
      </c>
      <c r="F15573" s="3" t="str">
        <f t="shared" si="243"/>
        <v>I5690</v>
      </c>
    </row>
    <row r="15574" spans="1:6" x14ac:dyDescent="0.2">
      <c r="A15574" s="29" t="s">
        <v>34674</v>
      </c>
      <c r="B15574" s="30" t="s">
        <v>34675</v>
      </c>
      <c r="C15574" s="29" t="s">
        <v>26</v>
      </c>
      <c r="D15574" s="31">
        <v>3799.83</v>
      </c>
      <c r="F15574" s="3" t="str">
        <f t="shared" si="243"/>
        <v>I5679</v>
      </c>
    </row>
    <row r="15575" spans="1:6" x14ac:dyDescent="0.2">
      <c r="A15575" s="29" t="s">
        <v>34676</v>
      </c>
      <c r="B15575" s="30" t="s">
        <v>34677</v>
      </c>
      <c r="C15575" s="29" t="s">
        <v>26</v>
      </c>
      <c r="D15575" s="31">
        <v>3799.83</v>
      </c>
      <c r="F15575" s="3" t="str">
        <f t="shared" si="243"/>
        <v>I5691</v>
      </c>
    </row>
    <row r="15576" spans="1:6" x14ac:dyDescent="0.2">
      <c r="A15576" s="29" t="s">
        <v>34678</v>
      </c>
      <c r="B15576" s="30" t="s">
        <v>34679</v>
      </c>
      <c r="C15576" s="29" t="s">
        <v>26</v>
      </c>
      <c r="D15576" s="31">
        <v>6154.99</v>
      </c>
      <c r="F15576" s="3" t="str">
        <f t="shared" si="243"/>
        <v>I5680</v>
      </c>
    </row>
    <row r="15577" spans="1:6" x14ac:dyDescent="0.2">
      <c r="A15577" s="29" t="s">
        <v>34680</v>
      </c>
      <c r="B15577" s="30" t="s">
        <v>34681</v>
      </c>
      <c r="C15577" s="29" t="s">
        <v>26</v>
      </c>
      <c r="D15577" s="31">
        <v>6154.99</v>
      </c>
      <c r="F15577" s="3" t="str">
        <f t="shared" si="243"/>
        <v>I5692</v>
      </c>
    </row>
    <row r="15578" spans="1:6" x14ac:dyDescent="0.2">
      <c r="A15578" s="29" t="s">
        <v>34682</v>
      </c>
      <c r="B15578" s="30" t="s">
        <v>34683</v>
      </c>
      <c r="C15578" s="29" t="s">
        <v>26</v>
      </c>
      <c r="D15578" s="31">
        <v>9129.9699999999993</v>
      </c>
      <c r="F15578" s="3" t="str">
        <f t="shared" si="243"/>
        <v>I5681</v>
      </c>
    </row>
    <row r="15579" spans="1:6" x14ac:dyDescent="0.2">
      <c r="A15579" s="29" t="s">
        <v>34684</v>
      </c>
      <c r="B15579" s="30" t="s">
        <v>34685</v>
      </c>
      <c r="C15579" s="29" t="s">
        <v>26</v>
      </c>
      <c r="D15579" s="31">
        <v>8623.61</v>
      </c>
      <c r="F15579" s="3" t="str">
        <f t="shared" si="243"/>
        <v>I5693</v>
      </c>
    </row>
    <row r="15580" spans="1:6" x14ac:dyDescent="0.2">
      <c r="A15580" s="29" t="s">
        <v>34686</v>
      </c>
      <c r="B15580" s="30" t="s">
        <v>34687</v>
      </c>
      <c r="C15580" s="29" t="s">
        <v>26</v>
      </c>
      <c r="D15580" s="31">
        <v>13044.58</v>
      </c>
      <c r="F15580" s="3" t="str">
        <f t="shared" si="243"/>
        <v>I5683</v>
      </c>
    </row>
    <row r="15581" spans="1:6" x14ac:dyDescent="0.2">
      <c r="A15581" s="29" t="s">
        <v>34688</v>
      </c>
      <c r="B15581" s="30" t="s">
        <v>34689</v>
      </c>
      <c r="C15581" s="29" t="s">
        <v>26</v>
      </c>
      <c r="D15581" s="31">
        <v>13044.58</v>
      </c>
      <c r="F15581" s="3" t="str">
        <f t="shared" si="243"/>
        <v>I5695</v>
      </c>
    </row>
    <row r="15582" spans="1:6" x14ac:dyDescent="0.2">
      <c r="A15582" s="29" t="s">
        <v>34690</v>
      </c>
      <c r="B15582" s="30" t="s">
        <v>34691</v>
      </c>
      <c r="C15582" s="29" t="s">
        <v>26</v>
      </c>
      <c r="D15582" s="31">
        <v>991.88</v>
      </c>
      <c r="F15582" s="3" t="str">
        <f t="shared" si="243"/>
        <v>I5707</v>
      </c>
    </row>
    <row r="15583" spans="1:6" x14ac:dyDescent="0.2">
      <c r="A15583" s="29" t="s">
        <v>34692</v>
      </c>
      <c r="B15583" s="30" t="s">
        <v>34693</v>
      </c>
      <c r="C15583" s="29" t="s">
        <v>26</v>
      </c>
      <c r="D15583" s="31">
        <v>994.92</v>
      </c>
      <c r="F15583" s="3" t="str">
        <f t="shared" si="243"/>
        <v>I5708</v>
      </c>
    </row>
    <row r="15584" spans="1:6" x14ac:dyDescent="0.2">
      <c r="A15584" s="29" t="s">
        <v>34694</v>
      </c>
      <c r="B15584" s="30" t="s">
        <v>34695</v>
      </c>
      <c r="C15584" s="29" t="s">
        <v>26</v>
      </c>
      <c r="D15584" s="31">
        <v>1331.27</v>
      </c>
      <c r="F15584" s="3" t="str">
        <f t="shared" si="243"/>
        <v>I5709</v>
      </c>
    </row>
    <row r="15585" spans="1:6" x14ac:dyDescent="0.2">
      <c r="A15585" s="29" t="s">
        <v>34696</v>
      </c>
      <c r="B15585" s="30" t="s">
        <v>34697</v>
      </c>
      <c r="C15585" s="29" t="s">
        <v>26</v>
      </c>
      <c r="D15585" s="31">
        <v>2519.92</v>
      </c>
      <c r="F15585" s="3" t="str">
        <f t="shared" si="243"/>
        <v>I5710</v>
      </c>
    </row>
    <row r="15586" spans="1:6" x14ac:dyDescent="0.2">
      <c r="A15586" s="29" t="s">
        <v>34698</v>
      </c>
      <c r="B15586" s="30" t="s">
        <v>34699</v>
      </c>
      <c r="C15586" s="29" t="s">
        <v>26</v>
      </c>
      <c r="D15586" s="31">
        <v>3774.29</v>
      </c>
      <c r="F15586" s="3" t="str">
        <f t="shared" si="243"/>
        <v>I5699</v>
      </c>
    </row>
    <row r="15587" spans="1:6" x14ac:dyDescent="0.2">
      <c r="A15587" s="29" t="s">
        <v>34700</v>
      </c>
      <c r="B15587" s="30" t="s">
        <v>34701</v>
      </c>
      <c r="C15587" s="29" t="s">
        <v>26</v>
      </c>
      <c r="D15587" s="31">
        <v>3774.29</v>
      </c>
      <c r="F15587" s="3" t="str">
        <f t="shared" si="243"/>
        <v>I5711</v>
      </c>
    </row>
    <row r="15588" spans="1:6" x14ac:dyDescent="0.2">
      <c r="A15588" s="29" t="s">
        <v>34702</v>
      </c>
      <c r="B15588" s="30" t="s">
        <v>34703</v>
      </c>
      <c r="C15588" s="29" t="s">
        <v>26</v>
      </c>
      <c r="D15588" s="31">
        <v>5843.29</v>
      </c>
      <c r="F15588" s="3" t="str">
        <f t="shared" si="243"/>
        <v>I5700</v>
      </c>
    </row>
    <row r="15589" spans="1:6" x14ac:dyDescent="0.2">
      <c r="A15589" s="29" t="s">
        <v>34704</v>
      </c>
      <c r="B15589" s="30" t="s">
        <v>34705</v>
      </c>
      <c r="C15589" s="29" t="s">
        <v>26</v>
      </c>
      <c r="D15589" s="31">
        <v>10442.129999999999</v>
      </c>
      <c r="F15589" s="3" t="str">
        <f t="shared" si="243"/>
        <v>I5712</v>
      </c>
    </row>
    <row r="15590" spans="1:6" x14ac:dyDescent="0.2">
      <c r="A15590" s="29" t="s">
        <v>34706</v>
      </c>
      <c r="B15590" s="30" t="s">
        <v>34707</v>
      </c>
      <c r="C15590" s="29" t="s">
        <v>26</v>
      </c>
      <c r="D15590" s="31">
        <v>10918.56</v>
      </c>
      <c r="F15590" s="3" t="str">
        <f t="shared" si="243"/>
        <v>I5701</v>
      </c>
    </row>
    <row r="15591" spans="1:6" x14ac:dyDescent="0.2">
      <c r="A15591" s="29" t="s">
        <v>34708</v>
      </c>
      <c r="B15591" s="30" t="s">
        <v>34709</v>
      </c>
      <c r="C15591" s="29" t="s">
        <v>26</v>
      </c>
      <c r="D15591" s="31">
        <v>10918.56</v>
      </c>
      <c r="F15591" s="3" t="str">
        <f t="shared" si="243"/>
        <v>I5713</v>
      </c>
    </row>
    <row r="15592" spans="1:6" x14ac:dyDescent="0.2">
      <c r="A15592" s="29" t="s">
        <v>34710</v>
      </c>
      <c r="B15592" s="30" t="s">
        <v>34711</v>
      </c>
      <c r="C15592" s="29" t="s">
        <v>26</v>
      </c>
      <c r="D15592" s="31">
        <v>8638.14</v>
      </c>
      <c r="F15592" s="3" t="str">
        <f t="shared" si="243"/>
        <v>I5703</v>
      </c>
    </row>
    <row r="15593" spans="1:6" x14ac:dyDescent="0.2">
      <c r="A15593" s="29" t="s">
        <v>34712</v>
      </c>
      <c r="B15593" s="30" t="s">
        <v>34713</v>
      </c>
      <c r="C15593" s="29" t="s">
        <v>26</v>
      </c>
      <c r="D15593" s="31">
        <v>8638.14</v>
      </c>
      <c r="F15593" s="3" t="str">
        <f t="shared" si="243"/>
        <v>I5715</v>
      </c>
    </row>
    <row r="15594" spans="1:6" x14ac:dyDescent="0.2">
      <c r="A15594" s="29" t="s">
        <v>34714</v>
      </c>
      <c r="B15594" s="30" t="s">
        <v>34715</v>
      </c>
      <c r="C15594" s="29" t="s">
        <v>26</v>
      </c>
      <c r="D15594" s="31">
        <v>5538.99</v>
      </c>
      <c r="F15594" s="3" t="str">
        <f t="shared" si="243"/>
        <v>I5734</v>
      </c>
    </row>
    <row r="15595" spans="1:6" x14ac:dyDescent="0.2">
      <c r="A15595" s="29" t="s">
        <v>34716</v>
      </c>
      <c r="B15595" s="30" t="s">
        <v>34717</v>
      </c>
      <c r="C15595" s="29" t="s">
        <v>26</v>
      </c>
      <c r="D15595" s="31">
        <v>6163.87</v>
      </c>
      <c r="F15595" s="3" t="str">
        <f t="shared" si="243"/>
        <v>I5735</v>
      </c>
    </row>
    <row r="15596" spans="1:6" x14ac:dyDescent="0.2">
      <c r="A15596" s="29" t="s">
        <v>34718</v>
      </c>
      <c r="B15596" s="30" t="s">
        <v>34719</v>
      </c>
      <c r="C15596" s="29" t="s">
        <v>26</v>
      </c>
      <c r="D15596" s="31">
        <v>7001.25</v>
      </c>
      <c r="F15596" s="3" t="str">
        <f t="shared" si="243"/>
        <v>I5736</v>
      </c>
    </row>
    <row r="15597" spans="1:6" x14ac:dyDescent="0.2">
      <c r="A15597" s="29" t="s">
        <v>34720</v>
      </c>
      <c r="B15597" s="30" t="s">
        <v>34721</v>
      </c>
      <c r="C15597" s="29" t="s">
        <v>26</v>
      </c>
      <c r="D15597" s="31">
        <v>8523.02</v>
      </c>
      <c r="F15597" s="3" t="str">
        <f t="shared" si="243"/>
        <v>I5737</v>
      </c>
    </row>
    <row r="15598" spans="1:6" x14ac:dyDescent="0.2">
      <c r="A15598" s="29" t="s">
        <v>34722</v>
      </c>
      <c r="B15598" s="30" t="s">
        <v>34723</v>
      </c>
      <c r="C15598" s="29" t="s">
        <v>26</v>
      </c>
      <c r="D15598" s="31">
        <v>4966.0600000000004</v>
      </c>
      <c r="F15598" s="3" t="str">
        <f t="shared" si="243"/>
        <v>I10199</v>
      </c>
    </row>
    <row r="15599" spans="1:6" x14ac:dyDescent="0.2">
      <c r="A15599" s="29" t="s">
        <v>34724</v>
      </c>
      <c r="B15599" s="30" t="s">
        <v>34725</v>
      </c>
      <c r="C15599" s="29" t="s">
        <v>26</v>
      </c>
      <c r="D15599" s="31">
        <v>4715.29</v>
      </c>
      <c r="F15599" s="3" t="str">
        <f t="shared" si="243"/>
        <v>I10200</v>
      </c>
    </row>
    <row r="15600" spans="1:6" x14ac:dyDescent="0.2">
      <c r="A15600" s="29" t="s">
        <v>34726</v>
      </c>
      <c r="B15600" s="30" t="s">
        <v>34727</v>
      </c>
      <c r="C15600" s="29" t="s">
        <v>26</v>
      </c>
      <c r="D15600" s="31">
        <v>69141.11</v>
      </c>
      <c r="F15600" s="3" t="str">
        <f t="shared" si="243"/>
        <v>I10203</v>
      </c>
    </row>
    <row r="15601" spans="1:6" x14ac:dyDescent="0.2">
      <c r="A15601" s="29" t="s">
        <v>34728</v>
      </c>
      <c r="B15601" s="30" t="s">
        <v>34729</v>
      </c>
      <c r="C15601" s="29" t="s">
        <v>26</v>
      </c>
      <c r="D15601" s="31">
        <v>17089.86</v>
      </c>
      <c r="F15601" s="3" t="str">
        <f t="shared" si="243"/>
        <v>I10201</v>
      </c>
    </row>
    <row r="15602" spans="1:6" x14ac:dyDescent="0.2">
      <c r="A15602" s="29" t="s">
        <v>34730</v>
      </c>
      <c r="B15602" s="30" t="s">
        <v>34731</v>
      </c>
      <c r="C15602" s="29" t="s">
        <v>26</v>
      </c>
      <c r="D15602" s="31">
        <v>46330.720000000001</v>
      </c>
      <c r="F15602" s="3" t="str">
        <f t="shared" si="243"/>
        <v>I10202</v>
      </c>
    </row>
    <row r="15603" spans="1:6" x14ac:dyDescent="0.2">
      <c r="A15603" s="29" t="s">
        <v>34732</v>
      </c>
      <c r="B15603" s="30" t="s">
        <v>34733</v>
      </c>
      <c r="C15603" s="29" t="s">
        <v>26</v>
      </c>
      <c r="D15603" s="31">
        <v>1268.1400000000001</v>
      </c>
      <c r="F15603" s="3" t="str">
        <f t="shared" si="243"/>
        <v>I8701</v>
      </c>
    </row>
    <row r="15604" spans="1:6" x14ac:dyDescent="0.2">
      <c r="A15604" s="29" t="s">
        <v>34734</v>
      </c>
      <c r="B15604" s="30" t="s">
        <v>34735</v>
      </c>
      <c r="C15604" s="29" t="s">
        <v>26</v>
      </c>
      <c r="D15604" s="31">
        <v>1289.72</v>
      </c>
      <c r="F15604" s="3" t="str">
        <f t="shared" si="243"/>
        <v>I8702</v>
      </c>
    </row>
    <row r="15605" spans="1:6" x14ac:dyDescent="0.2">
      <c r="A15605" s="29" t="s">
        <v>34736</v>
      </c>
      <c r="B15605" s="30" t="s">
        <v>34737</v>
      </c>
      <c r="C15605" s="29" t="s">
        <v>26</v>
      </c>
      <c r="D15605" s="31">
        <v>5119.8100000000004</v>
      </c>
      <c r="F15605" s="3" t="str">
        <f t="shared" si="243"/>
        <v>I5608</v>
      </c>
    </row>
    <row r="15606" spans="1:6" x14ac:dyDescent="0.2">
      <c r="A15606" s="29" t="s">
        <v>34738</v>
      </c>
      <c r="B15606" s="30" t="s">
        <v>34739</v>
      </c>
      <c r="C15606" s="29" t="s">
        <v>26</v>
      </c>
      <c r="D15606" s="31">
        <v>6909.06</v>
      </c>
      <c r="F15606" s="3" t="str">
        <f t="shared" si="243"/>
        <v>I5609</v>
      </c>
    </row>
    <row r="15607" spans="1:6" x14ac:dyDescent="0.2">
      <c r="A15607" s="29" t="s">
        <v>34740</v>
      </c>
      <c r="B15607" s="30" t="s">
        <v>34741</v>
      </c>
      <c r="C15607" s="29" t="s">
        <v>26</v>
      </c>
      <c r="D15607" s="31">
        <v>10275.02</v>
      </c>
      <c r="F15607" s="3" t="str">
        <f t="shared" si="243"/>
        <v>I5610</v>
      </c>
    </row>
    <row r="15608" spans="1:6" x14ac:dyDescent="0.2">
      <c r="A15608" s="29" t="s">
        <v>34742</v>
      </c>
      <c r="B15608" s="30" t="s">
        <v>34743</v>
      </c>
      <c r="C15608" s="29" t="s">
        <v>26</v>
      </c>
      <c r="D15608" s="31">
        <v>7097.84</v>
      </c>
      <c r="F15608" s="3" t="str">
        <f t="shared" si="243"/>
        <v>I8703</v>
      </c>
    </row>
    <row r="15609" spans="1:6" x14ac:dyDescent="0.2">
      <c r="A15609" s="29" t="s">
        <v>34744</v>
      </c>
      <c r="B15609" s="30" t="s">
        <v>34745</v>
      </c>
      <c r="C15609" s="29" t="s">
        <v>26</v>
      </c>
      <c r="D15609" s="31">
        <v>4429.1400000000003</v>
      </c>
      <c r="F15609" s="3" t="str">
        <f t="shared" si="243"/>
        <v>I8711</v>
      </c>
    </row>
    <row r="15610" spans="1:6" x14ac:dyDescent="0.2">
      <c r="A15610" s="29" t="s">
        <v>34746</v>
      </c>
      <c r="B15610" s="30" t="s">
        <v>34747</v>
      </c>
      <c r="C15610" s="29" t="s">
        <v>26</v>
      </c>
      <c r="D15610" s="31">
        <v>5777.79</v>
      </c>
      <c r="F15610" s="3" t="str">
        <f t="shared" si="243"/>
        <v>I8712</v>
      </c>
    </row>
    <row r="15611" spans="1:6" x14ac:dyDescent="0.2">
      <c r="A15611" s="29" t="s">
        <v>34748</v>
      </c>
      <c r="B15611" s="30" t="s">
        <v>34749</v>
      </c>
      <c r="C15611" s="29" t="s">
        <v>26</v>
      </c>
      <c r="D15611" s="31">
        <v>7885.36</v>
      </c>
      <c r="F15611" s="3" t="str">
        <f t="shared" si="243"/>
        <v>I8713</v>
      </c>
    </row>
    <row r="15612" spans="1:6" x14ac:dyDescent="0.2">
      <c r="A15612" s="29" t="s">
        <v>34750</v>
      </c>
      <c r="B15612" s="30" t="s">
        <v>34751</v>
      </c>
      <c r="C15612" s="29" t="s">
        <v>26</v>
      </c>
      <c r="D15612" s="31">
        <v>7615.39</v>
      </c>
      <c r="F15612" s="3" t="str">
        <f t="shared" si="243"/>
        <v>I8714</v>
      </c>
    </row>
    <row r="15613" spans="1:6" x14ac:dyDescent="0.2">
      <c r="A15613" s="29" t="s">
        <v>34752</v>
      </c>
      <c r="B15613" s="30" t="s">
        <v>34753</v>
      </c>
      <c r="C15613" s="29" t="s">
        <v>26</v>
      </c>
      <c r="D15613" s="31">
        <v>11036.15</v>
      </c>
      <c r="F15613" s="3" t="str">
        <f t="shared" si="243"/>
        <v>I10207</v>
      </c>
    </row>
    <row r="15614" spans="1:6" x14ac:dyDescent="0.2">
      <c r="A15614" s="29" t="s">
        <v>34754</v>
      </c>
      <c r="B15614" s="30" t="s">
        <v>34755</v>
      </c>
      <c r="C15614" s="29" t="s">
        <v>26</v>
      </c>
      <c r="D15614" s="31">
        <v>24663.33</v>
      </c>
      <c r="F15614" s="3" t="str">
        <f t="shared" si="243"/>
        <v>I10208</v>
      </c>
    </row>
    <row r="15615" spans="1:6" x14ac:dyDescent="0.2">
      <c r="A15615" s="29" t="s">
        <v>34756</v>
      </c>
      <c r="B15615" s="30" t="s">
        <v>34757</v>
      </c>
      <c r="C15615" s="29" t="s">
        <v>26</v>
      </c>
      <c r="D15615" s="31">
        <v>14524.1</v>
      </c>
      <c r="F15615" s="3" t="str">
        <f t="shared" si="243"/>
        <v>I8715</v>
      </c>
    </row>
    <row r="15616" spans="1:6" x14ac:dyDescent="0.2">
      <c r="A15616" s="29" t="s">
        <v>34758</v>
      </c>
      <c r="B15616" s="30" t="s">
        <v>34759</v>
      </c>
      <c r="C15616" s="29" t="s">
        <v>26</v>
      </c>
      <c r="D15616" s="31">
        <v>18842.509999999998</v>
      </c>
      <c r="F15616" s="3" t="str">
        <f t="shared" si="243"/>
        <v>I8716</v>
      </c>
    </row>
    <row r="15617" spans="1:6" x14ac:dyDescent="0.2">
      <c r="A15617" s="29" t="s">
        <v>34760</v>
      </c>
      <c r="B15617" s="30" t="s">
        <v>34761</v>
      </c>
      <c r="C15617" s="29" t="s">
        <v>26</v>
      </c>
      <c r="D15617" s="31">
        <v>19850.259999999998</v>
      </c>
      <c r="F15617" s="3" t="str">
        <f t="shared" si="243"/>
        <v>I8717</v>
      </c>
    </row>
    <row r="15618" spans="1:6" x14ac:dyDescent="0.2">
      <c r="A15618" s="29" t="s">
        <v>34762</v>
      </c>
      <c r="B15618" s="30" t="s">
        <v>34763</v>
      </c>
      <c r="C15618" s="29" t="s">
        <v>26</v>
      </c>
      <c r="D15618" s="31">
        <v>2858.66</v>
      </c>
      <c r="F15618" s="3" t="str">
        <f t="shared" ref="F15618:F15681" si="244">A15618</f>
        <v>I10205</v>
      </c>
    </row>
    <row r="15619" spans="1:6" x14ac:dyDescent="0.2">
      <c r="A15619" s="29" t="s">
        <v>34764</v>
      </c>
      <c r="B15619" s="30" t="s">
        <v>34765</v>
      </c>
      <c r="C15619" s="29" t="s">
        <v>26</v>
      </c>
      <c r="D15619" s="31">
        <v>4429.1400000000003</v>
      </c>
      <c r="F15619" s="3" t="str">
        <f t="shared" si="244"/>
        <v>I8704</v>
      </c>
    </row>
    <row r="15620" spans="1:6" x14ac:dyDescent="0.2">
      <c r="A15620" s="29" t="s">
        <v>34766</v>
      </c>
      <c r="B15620" s="30" t="s">
        <v>34767</v>
      </c>
      <c r="C15620" s="29" t="s">
        <v>26</v>
      </c>
      <c r="D15620" s="31">
        <v>5777.79</v>
      </c>
      <c r="F15620" s="3" t="str">
        <f t="shared" si="244"/>
        <v>I8705</v>
      </c>
    </row>
    <row r="15621" spans="1:6" x14ac:dyDescent="0.2">
      <c r="A15621" s="29" t="s">
        <v>34768</v>
      </c>
      <c r="B15621" s="30" t="s">
        <v>34769</v>
      </c>
      <c r="C15621" s="29" t="s">
        <v>26</v>
      </c>
      <c r="D15621" s="31">
        <v>7885.36</v>
      </c>
      <c r="F15621" s="3" t="str">
        <f t="shared" si="244"/>
        <v>I8706</v>
      </c>
    </row>
    <row r="15622" spans="1:6" x14ac:dyDescent="0.2">
      <c r="A15622" s="29" t="s">
        <v>34770</v>
      </c>
      <c r="B15622" s="30" t="s">
        <v>34771</v>
      </c>
      <c r="C15622" s="29" t="s">
        <v>26</v>
      </c>
      <c r="D15622" s="31">
        <v>14106.06</v>
      </c>
      <c r="F15622" s="3" t="str">
        <f t="shared" si="244"/>
        <v>I8707</v>
      </c>
    </row>
    <row r="15623" spans="1:6" x14ac:dyDescent="0.2">
      <c r="A15623" s="29" t="s">
        <v>34772</v>
      </c>
      <c r="B15623" s="30" t="s">
        <v>34773</v>
      </c>
      <c r="C15623" s="29" t="s">
        <v>26</v>
      </c>
      <c r="D15623" s="31">
        <v>14320.05</v>
      </c>
      <c r="F15623" s="3" t="str">
        <f t="shared" si="244"/>
        <v>I8708</v>
      </c>
    </row>
    <row r="15624" spans="1:6" x14ac:dyDescent="0.2">
      <c r="A15624" s="29" t="s">
        <v>34774</v>
      </c>
      <c r="B15624" s="30" t="s">
        <v>34775</v>
      </c>
      <c r="C15624" s="29" t="s">
        <v>26</v>
      </c>
      <c r="D15624" s="31">
        <v>22790.16</v>
      </c>
      <c r="F15624" s="3" t="str">
        <f t="shared" si="244"/>
        <v>I8709</v>
      </c>
    </row>
    <row r="15625" spans="1:6" x14ac:dyDescent="0.2">
      <c r="A15625" s="29" t="s">
        <v>34776</v>
      </c>
      <c r="B15625" s="30" t="s">
        <v>34777</v>
      </c>
      <c r="C15625" s="29" t="s">
        <v>26</v>
      </c>
      <c r="D15625" s="31">
        <v>23602.58</v>
      </c>
      <c r="F15625" s="3" t="str">
        <f t="shared" si="244"/>
        <v>I8710</v>
      </c>
    </row>
    <row r="15626" spans="1:6" x14ac:dyDescent="0.2">
      <c r="A15626" s="29" t="s">
        <v>34778</v>
      </c>
      <c r="B15626" s="30" t="s">
        <v>34779</v>
      </c>
      <c r="C15626" s="29" t="s">
        <v>26</v>
      </c>
      <c r="D15626" s="31">
        <v>1804</v>
      </c>
      <c r="F15626" s="3" t="str">
        <f t="shared" si="244"/>
        <v>I10204</v>
      </c>
    </row>
    <row r="15627" spans="1:6" x14ac:dyDescent="0.2">
      <c r="A15627" s="29" t="s">
        <v>34780</v>
      </c>
      <c r="B15627" s="30" t="s">
        <v>34781</v>
      </c>
      <c r="C15627" s="29" t="s">
        <v>26</v>
      </c>
      <c r="D15627" s="31">
        <v>688.41</v>
      </c>
      <c r="F15627" s="3" t="str">
        <f t="shared" si="244"/>
        <v>I10209</v>
      </c>
    </row>
    <row r="15628" spans="1:6" x14ac:dyDescent="0.2">
      <c r="A15628" s="29" t="s">
        <v>34782</v>
      </c>
      <c r="B15628" s="30" t="s">
        <v>34783</v>
      </c>
      <c r="C15628" s="29" t="s">
        <v>26</v>
      </c>
      <c r="D15628" s="31">
        <v>2230.1999999999998</v>
      </c>
      <c r="F15628" s="3" t="str">
        <f t="shared" si="244"/>
        <v>I10210</v>
      </c>
    </row>
    <row r="15629" spans="1:6" x14ac:dyDescent="0.2">
      <c r="A15629" s="29" t="s">
        <v>34784</v>
      </c>
      <c r="B15629" s="30" t="s">
        <v>34785</v>
      </c>
      <c r="C15629" s="29" t="s">
        <v>26</v>
      </c>
      <c r="D15629" s="31">
        <v>11472.22</v>
      </c>
      <c r="F15629" s="3" t="str">
        <f t="shared" si="244"/>
        <v>I5759</v>
      </c>
    </row>
    <row r="15630" spans="1:6" x14ac:dyDescent="0.2">
      <c r="A15630" s="29" t="s">
        <v>34786</v>
      </c>
      <c r="B15630" s="30" t="s">
        <v>34787</v>
      </c>
      <c r="C15630" s="29" t="s">
        <v>26</v>
      </c>
      <c r="D15630" s="31">
        <v>17079.560000000001</v>
      </c>
      <c r="F15630" s="3" t="str">
        <f t="shared" si="244"/>
        <v>I5760</v>
      </c>
    </row>
    <row r="15631" spans="1:6" x14ac:dyDescent="0.2">
      <c r="A15631" s="29" t="s">
        <v>34788</v>
      </c>
      <c r="B15631" s="30" t="s">
        <v>34789</v>
      </c>
      <c r="C15631" s="29" t="s">
        <v>26</v>
      </c>
      <c r="D15631" s="31">
        <v>26736.57</v>
      </c>
      <c r="F15631" s="3" t="str">
        <f t="shared" si="244"/>
        <v>I5761</v>
      </c>
    </row>
    <row r="15632" spans="1:6" x14ac:dyDescent="0.2">
      <c r="A15632" s="29" t="s">
        <v>34790</v>
      </c>
      <c r="B15632" s="30" t="s">
        <v>34791</v>
      </c>
      <c r="C15632" s="29" t="s">
        <v>26</v>
      </c>
      <c r="D15632" s="31">
        <v>12800</v>
      </c>
      <c r="F15632" s="3" t="str">
        <f t="shared" si="244"/>
        <v>I10214</v>
      </c>
    </row>
    <row r="15633" spans="1:6" x14ac:dyDescent="0.2">
      <c r="A15633" s="29" t="s">
        <v>34792</v>
      </c>
      <c r="B15633" s="30" t="s">
        <v>34793</v>
      </c>
      <c r="C15633" s="29" t="s">
        <v>26</v>
      </c>
      <c r="D15633" s="31">
        <v>14420</v>
      </c>
      <c r="F15633" s="3" t="str">
        <f t="shared" si="244"/>
        <v>I10215</v>
      </c>
    </row>
    <row r="15634" spans="1:6" x14ac:dyDescent="0.2">
      <c r="A15634" s="29" t="s">
        <v>34794</v>
      </c>
      <c r="B15634" s="30" t="s">
        <v>34795</v>
      </c>
      <c r="C15634" s="29" t="s">
        <v>26</v>
      </c>
      <c r="D15634" s="31">
        <v>8200</v>
      </c>
      <c r="F15634" s="3" t="str">
        <f t="shared" si="244"/>
        <v>I5738</v>
      </c>
    </row>
    <row r="15635" spans="1:6" x14ac:dyDescent="0.2">
      <c r="A15635" s="29" t="s">
        <v>34796</v>
      </c>
      <c r="B15635" s="30" t="s">
        <v>34797</v>
      </c>
      <c r="C15635" s="29" t="s">
        <v>26</v>
      </c>
      <c r="D15635" s="31">
        <v>13950</v>
      </c>
      <c r="F15635" s="3" t="str">
        <f t="shared" si="244"/>
        <v>I5739</v>
      </c>
    </row>
    <row r="15636" spans="1:6" x14ac:dyDescent="0.2">
      <c r="A15636" s="29" t="s">
        <v>34798</v>
      </c>
      <c r="B15636" s="30" t="s">
        <v>34799</v>
      </c>
      <c r="C15636" s="29" t="s">
        <v>26</v>
      </c>
      <c r="D15636" s="31">
        <v>335.74</v>
      </c>
      <c r="F15636" s="3" t="str">
        <f t="shared" si="244"/>
        <v>I10216</v>
      </c>
    </row>
    <row r="15637" spans="1:6" x14ac:dyDescent="0.2">
      <c r="A15637" s="29" t="s">
        <v>34800</v>
      </c>
      <c r="B15637" s="30" t="s">
        <v>34801</v>
      </c>
      <c r="C15637" s="29" t="s">
        <v>26</v>
      </c>
      <c r="D15637" s="31">
        <v>156130.09</v>
      </c>
      <c r="F15637" s="3" t="str">
        <f t="shared" si="244"/>
        <v>I10219</v>
      </c>
    </row>
    <row r="15638" spans="1:6" x14ac:dyDescent="0.2">
      <c r="A15638" s="29" t="s">
        <v>34802</v>
      </c>
      <c r="B15638" s="30" t="s">
        <v>34803</v>
      </c>
      <c r="C15638" s="29" t="s">
        <v>26</v>
      </c>
      <c r="D15638" s="31">
        <v>96108.479999999996</v>
      </c>
      <c r="F15638" s="3" t="str">
        <f t="shared" si="244"/>
        <v>I10217</v>
      </c>
    </row>
    <row r="15639" spans="1:6" x14ac:dyDescent="0.2">
      <c r="A15639" s="29" t="s">
        <v>34804</v>
      </c>
      <c r="B15639" s="30" t="s">
        <v>34805</v>
      </c>
      <c r="C15639" s="29" t="s">
        <v>26</v>
      </c>
      <c r="D15639" s="31">
        <v>101254.83</v>
      </c>
      <c r="F15639" s="3" t="str">
        <f t="shared" si="244"/>
        <v>I10218</v>
      </c>
    </row>
    <row r="15640" spans="1:6" x14ac:dyDescent="0.2">
      <c r="A15640" s="29" t="s">
        <v>34806</v>
      </c>
      <c r="B15640" s="30" t="s">
        <v>34807</v>
      </c>
      <c r="C15640" s="29" t="s">
        <v>26</v>
      </c>
      <c r="D15640" s="31">
        <v>2586.2600000000002</v>
      </c>
      <c r="F15640" s="3" t="str">
        <f t="shared" si="244"/>
        <v>I10220</v>
      </c>
    </row>
    <row r="15641" spans="1:6" x14ac:dyDescent="0.2">
      <c r="A15641" s="29" t="s">
        <v>34808</v>
      </c>
      <c r="B15641" s="30" t="s">
        <v>34809</v>
      </c>
      <c r="C15641" s="29" t="s">
        <v>26</v>
      </c>
      <c r="D15641" s="31">
        <v>840.96</v>
      </c>
      <c r="F15641" s="3" t="str">
        <f t="shared" si="244"/>
        <v>I5619</v>
      </c>
    </row>
    <row r="15642" spans="1:6" x14ac:dyDescent="0.2">
      <c r="A15642" s="29" t="s">
        <v>34810</v>
      </c>
      <c r="B15642" s="30" t="s">
        <v>34811</v>
      </c>
      <c r="C15642" s="29" t="s">
        <v>26</v>
      </c>
      <c r="D15642" s="31">
        <v>995.12</v>
      </c>
      <c r="F15642" s="3" t="str">
        <f t="shared" si="244"/>
        <v>I5620</v>
      </c>
    </row>
    <row r="15643" spans="1:6" x14ac:dyDescent="0.2">
      <c r="A15643" s="29" t="s">
        <v>34812</v>
      </c>
      <c r="B15643" s="30" t="s">
        <v>34813</v>
      </c>
      <c r="C15643" s="29" t="s">
        <v>26</v>
      </c>
      <c r="D15643" s="31">
        <v>1159.4000000000001</v>
      </c>
      <c r="F15643" s="3" t="str">
        <f t="shared" si="244"/>
        <v>I5621</v>
      </c>
    </row>
    <row r="15644" spans="1:6" x14ac:dyDescent="0.2">
      <c r="A15644" s="29" t="s">
        <v>34814</v>
      </c>
      <c r="B15644" s="30" t="s">
        <v>34815</v>
      </c>
      <c r="C15644" s="29" t="s">
        <v>26</v>
      </c>
      <c r="D15644" s="31">
        <v>1532.17</v>
      </c>
      <c r="F15644" s="3" t="str">
        <f t="shared" si="244"/>
        <v>I5611</v>
      </c>
    </row>
    <row r="15645" spans="1:6" x14ac:dyDescent="0.2">
      <c r="A15645" s="29" t="s">
        <v>34816</v>
      </c>
      <c r="B15645" s="30" t="s">
        <v>34817</v>
      </c>
      <c r="C15645" s="29" t="s">
        <v>26</v>
      </c>
      <c r="D15645" s="31">
        <v>1685.36</v>
      </c>
      <c r="F15645" s="3" t="str">
        <f t="shared" si="244"/>
        <v>I5622</v>
      </c>
    </row>
    <row r="15646" spans="1:6" x14ac:dyDescent="0.2">
      <c r="A15646" s="29" t="s">
        <v>34818</v>
      </c>
      <c r="B15646" s="30" t="s">
        <v>34819</v>
      </c>
      <c r="C15646" s="29" t="s">
        <v>26</v>
      </c>
      <c r="D15646" s="31">
        <v>2603.04</v>
      </c>
      <c r="F15646" s="3" t="str">
        <f t="shared" si="244"/>
        <v>I5612</v>
      </c>
    </row>
    <row r="15647" spans="1:6" x14ac:dyDescent="0.2">
      <c r="A15647" s="29" t="s">
        <v>34820</v>
      </c>
      <c r="B15647" s="30" t="s">
        <v>34821</v>
      </c>
      <c r="C15647" s="29" t="s">
        <v>26</v>
      </c>
      <c r="D15647" s="31">
        <v>2863.37</v>
      </c>
      <c r="F15647" s="3" t="str">
        <f t="shared" si="244"/>
        <v>I5623</v>
      </c>
    </row>
    <row r="15648" spans="1:6" x14ac:dyDescent="0.2">
      <c r="A15648" s="29" t="s">
        <v>34822</v>
      </c>
      <c r="B15648" s="30" t="s">
        <v>34823</v>
      </c>
      <c r="C15648" s="29" t="s">
        <v>26</v>
      </c>
      <c r="D15648" s="31">
        <v>3424.43</v>
      </c>
      <c r="F15648" s="3" t="str">
        <f t="shared" si="244"/>
        <v>I5613</v>
      </c>
    </row>
    <row r="15649" spans="1:6" x14ac:dyDescent="0.2">
      <c r="A15649" s="29" t="s">
        <v>34824</v>
      </c>
      <c r="B15649" s="30" t="s">
        <v>34825</v>
      </c>
      <c r="C15649" s="29" t="s">
        <v>26</v>
      </c>
      <c r="D15649" s="31">
        <v>3766.85</v>
      </c>
      <c r="F15649" s="3" t="str">
        <f t="shared" si="244"/>
        <v>I5624</v>
      </c>
    </row>
    <row r="15650" spans="1:6" x14ac:dyDescent="0.2">
      <c r="A15650" s="29" t="s">
        <v>34826</v>
      </c>
      <c r="B15650" s="30" t="s">
        <v>34827</v>
      </c>
      <c r="C15650" s="29" t="s">
        <v>26</v>
      </c>
      <c r="D15650" s="31">
        <v>11357.1</v>
      </c>
      <c r="F15650" s="3" t="str">
        <f t="shared" si="244"/>
        <v>I5614</v>
      </c>
    </row>
    <row r="15651" spans="1:6" x14ac:dyDescent="0.2">
      <c r="A15651" s="29" t="s">
        <v>34828</v>
      </c>
      <c r="B15651" s="30" t="s">
        <v>34829</v>
      </c>
      <c r="C15651" s="29" t="s">
        <v>26</v>
      </c>
      <c r="D15651" s="31">
        <v>12492.65</v>
      </c>
      <c r="F15651" s="3" t="str">
        <f t="shared" si="244"/>
        <v>I5625</v>
      </c>
    </row>
    <row r="15652" spans="1:6" x14ac:dyDescent="0.2">
      <c r="A15652" s="29" t="s">
        <v>34830</v>
      </c>
      <c r="B15652" s="30" t="s">
        <v>34831</v>
      </c>
      <c r="C15652" s="29" t="s">
        <v>26</v>
      </c>
      <c r="D15652" s="31">
        <v>11470.82</v>
      </c>
      <c r="F15652" s="3" t="str">
        <f t="shared" si="244"/>
        <v>I5615</v>
      </c>
    </row>
    <row r="15653" spans="1:6" x14ac:dyDescent="0.2">
      <c r="A15653" s="29" t="s">
        <v>34832</v>
      </c>
      <c r="B15653" s="30" t="s">
        <v>34833</v>
      </c>
      <c r="C15653" s="29" t="s">
        <v>26</v>
      </c>
      <c r="D15653" s="31">
        <v>12617.9</v>
      </c>
      <c r="F15653" s="3" t="str">
        <f t="shared" si="244"/>
        <v>I5626</v>
      </c>
    </row>
    <row r="15654" spans="1:6" x14ac:dyDescent="0.2">
      <c r="A15654" s="29" t="s">
        <v>34834</v>
      </c>
      <c r="B15654" s="30" t="s">
        <v>34835</v>
      </c>
      <c r="C15654" s="29" t="s">
        <v>26</v>
      </c>
      <c r="D15654" s="31">
        <v>16250.25</v>
      </c>
      <c r="F15654" s="3" t="str">
        <f t="shared" si="244"/>
        <v>I5616</v>
      </c>
    </row>
    <row r="15655" spans="1:6" x14ac:dyDescent="0.2">
      <c r="A15655" s="29" t="s">
        <v>34836</v>
      </c>
      <c r="B15655" s="30" t="s">
        <v>34837</v>
      </c>
      <c r="C15655" s="29" t="s">
        <v>26</v>
      </c>
      <c r="D15655" s="31">
        <v>17911.93</v>
      </c>
      <c r="F15655" s="3" t="str">
        <f t="shared" si="244"/>
        <v>I5627</v>
      </c>
    </row>
    <row r="15656" spans="1:6" x14ac:dyDescent="0.2">
      <c r="A15656" s="29" t="s">
        <v>34838</v>
      </c>
      <c r="B15656" s="30" t="s">
        <v>34839</v>
      </c>
      <c r="C15656" s="29" t="s">
        <v>26</v>
      </c>
      <c r="D15656" s="31">
        <v>16552.29</v>
      </c>
      <c r="F15656" s="3" t="str">
        <f t="shared" si="244"/>
        <v>I5617</v>
      </c>
    </row>
    <row r="15657" spans="1:6" x14ac:dyDescent="0.2">
      <c r="A15657" s="29" t="s">
        <v>34840</v>
      </c>
      <c r="B15657" s="30" t="s">
        <v>34841</v>
      </c>
      <c r="C15657" s="29" t="s">
        <v>26</v>
      </c>
      <c r="D15657" s="31">
        <v>18262.740000000002</v>
      </c>
      <c r="F15657" s="3" t="str">
        <f t="shared" si="244"/>
        <v>I5628</v>
      </c>
    </row>
    <row r="15658" spans="1:6" x14ac:dyDescent="0.2">
      <c r="A15658" s="29" t="s">
        <v>34842</v>
      </c>
      <c r="B15658" s="30" t="s">
        <v>34843</v>
      </c>
      <c r="C15658" s="29" t="s">
        <v>26</v>
      </c>
      <c r="D15658" s="31">
        <v>21632.67</v>
      </c>
      <c r="F15658" s="3" t="str">
        <f t="shared" si="244"/>
        <v>I5618</v>
      </c>
    </row>
    <row r="15659" spans="1:6" x14ac:dyDescent="0.2">
      <c r="A15659" s="29" t="s">
        <v>34844</v>
      </c>
      <c r="B15659" s="30" t="s">
        <v>34845</v>
      </c>
      <c r="C15659" s="29" t="s">
        <v>26</v>
      </c>
      <c r="D15659" s="31">
        <v>23876.51</v>
      </c>
      <c r="F15659" s="3" t="str">
        <f t="shared" si="244"/>
        <v>I5629</v>
      </c>
    </row>
    <row r="15660" spans="1:6" x14ac:dyDescent="0.2">
      <c r="A15660" s="29" t="s">
        <v>34846</v>
      </c>
      <c r="B15660" s="30" t="s">
        <v>34847</v>
      </c>
      <c r="C15660" s="29" t="s">
        <v>26</v>
      </c>
      <c r="D15660" s="31">
        <v>1020.18</v>
      </c>
      <c r="F15660" s="3" t="str">
        <f t="shared" si="244"/>
        <v>I5638</v>
      </c>
    </row>
    <row r="15661" spans="1:6" x14ac:dyDescent="0.2">
      <c r="A15661" s="29" t="s">
        <v>34848</v>
      </c>
      <c r="B15661" s="30" t="s">
        <v>34849</v>
      </c>
      <c r="C15661" s="29" t="s">
        <v>26</v>
      </c>
      <c r="D15661" s="31">
        <v>1263.6400000000001</v>
      </c>
      <c r="F15661" s="3" t="str">
        <f t="shared" si="244"/>
        <v>I5639</v>
      </c>
    </row>
    <row r="15662" spans="1:6" x14ac:dyDescent="0.2">
      <c r="A15662" s="29" t="s">
        <v>34850</v>
      </c>
      <c r="B15662" s="30" t="s">
        <v>34851</v>
      </c>
      <c r="C15662" s="29" t="s">
        <v>26</v>
      </c>
      <c r="D15662" s="31">
        <v>1477.44</v>
      </c>
      <c r="F15662" s="3" t="str">
        <f t="shared" si="244"/>
        <v>I5640</v>
      </c>
    </row>
    <row r="15663" spans="1:6" x14ac:dyDescent="0.2">
      <c r="A15663" s="29" t="s">
        <v>34852</v>
      </c>
      <c r="B15663" s="30" t="s">
        <v>34853</v>
      </c>
      <c r="C15663" s="29" t="s">
        <v>26</v>
      </c>
      <c r="D15663" s="31">
        <v>1956.08</v>
      </c>
      <c r="F15663" s="3" t="str">
        <f t="shared" si="244"/>
        <v>I5630</v>
      </c>
    </row>
    <row r="15664" spans="1:6" x14ac:dyDescent="0.2">
      <c r="A15664" s="29" t="s">
        <v>34854</v>
      </c>
      <c r="B15664" s="30" t="s">
        <v>34855</v>
      </c>
      <c r="C15664" s="29" t="s">
        <v>26</v>
      </c>
      <c r="D15664" s="31">
        <v>2151.6999999999998</v>
      </c>
      <c r="F15664" s="3" t="str">
        <f t="shared" si="244"/>
        <v>I5641</v>
      </c>
    </row>
    <row r="15665" spans="1:6" x14ac:dyDescent="0.2">
      <c r="A15665" s="29" t="s">
        <v>34856</v>
      </c>
      <c r="B15665" s="30" t="s">
        <v>34857</v>
      </c>
      <c r="C15665" s="29" t="s">
        <v>26</v>
      </c>
      <c r="D15665" s="31">
        <v>3315.4</v>
      </c>
      <c r="F15665" s="3" t="str">
        <f t="shared" si="244"/>
        <v>I5631</v>
      </c>
    </row>
    <row r="15666" spans="1:6" x14ac:dyDescent="0.2">
      <c r="A15666" s="29" t="s">
        <v>34858</v>
      </c>
      <c r="B15666" s="30" t="s">
        <v>34859</v>
      </c>
      <c r="C15666" s="29" t="s">
        <v>26</v>
      </c>
      <c r="D15666" s="31">
        <v>3646.95</v>
      </c>
      <c r="F15666" s="3" t="str">
        <f t="shared" si="244"/>
        <v>I5642</v>
      </c>
    </row>
    <row r="15667" spans="1:6" x14ac:dyDescent="0.2">
      <c r="A15667" s="29" t="s">
        <v>34860</v>
      </c>
      <c r="B15667" s="30" t="s">
        <v>34861</v>
      </c>
      <c r="C15667" s="29" t="s">
        <v>26</v>
      </c>
      <c r="D15667" s="31">
        <v>5202.8100000000004</v>
      </c>
      <c r="F15667" s="3" t="str">
        <f t="shared" si="244"/>
        <v>I5632</v>
      </c>
    </row>
    <row r="15668" spans="1:6" x14ac:dyDescent="0.2">
      <c r="A15668" s="29" t="s">
        <v>34862</v>
      </c>
      <c r="B15668" s="30" t="s">
        <v>34863</v>
      </c>
      <c r="C15668" s="29" t="s">
        <v>26</v>
      </c>
      <c r="D15668" s="31">
        <v>5906.73</v>
      </c>
      <c r="F15668" s="3" t="str">
        <f t="shared" si="244"/>
        <v>I5643</v>
      </c>
    </row>
    <row r="15669" spans="1:6" x14ac:dyDescent="0.2">
      <c r="A15669" s="29" t="s">
        <v>34864</v>
      </c>
      <c r="B15669" s="30" t="s">
        <v>34865</v>
      </c>
      <c r="C15669" s="29" t="s">
        <v>26</v>
      </c>
      <c r="D15669" s="31">
        <v>9494.4</v>
      </c>
      <c r="F15669" s="3" t="str">
        <f t="shared" si="244"/>
        <v>I5633</v>
      </c>
    </row>
    <row r="15670" spans="1:6" x14ac:dyDescent="0.2">
      <c r="A15670" s="29" t="s">
        <v>34866</v>
      </c>
      <c r="B15670" s="30" t="s">
        <v>34867</v>
      </c>
      <c r="C15670" s="29" t="s">
        <v>26</v>
      </c>
      <c r="D15670" s="31">
        <v>10443.84</v>
      </c>
      <c r="F15670" s="3" t="str">
        <f t="shared" si="244"/>
        <v>I5644</v>
      </c>
    </row>
    <row r="15671" spans="1:6" x14ac:dyDescent="0.2">
      <c r="A15671" s="29" t="s">
        <v>34868</v>
      </c>
      <c r="B15671" s="30" t="s">
        <v>34869</v>
      </c>
      <c r="C15671" s="29" t="s">
        <v>26</v>
      </c>
      <c r="D15671" s="31">
        <v>9704.9500000000007</v>
      </c>
      <c r="F15671" s="3" t="str">
        <f t="shared" si="244"/>
        <v>I5634</v>
      </c>
    </row>
    <row r="15672" spans="1:6" x14ac:dyDescent="0.2">
      <c r="A15672" s="29" t="s">
        <v>34870</v>
      </c>
      <c r="B15672" s="30" t="s">
        <v>34871</v>
      </c>
      <c r="C15672" s="29" t="s">
        <v>26</v>
      </c>
      <c r="D15672" s="31">
        <v>10675.45</v>
      </c>
      <c r="F15672" s="3" t="str">
        <f t="shared" si="244"/>
        <v>I5645</v>
      </c>
    </row>
    <row r="15673" spans="1:6" x14ac:dyDescent="0.2">
      <c r="A15673" s="29" t="s">
        <v>34872</v>
      </c>
      <c r="B15673" s="30" t="s">
        <v>34873</v>
      </c>
      <c r="C15673" s="29" t="s">
        <v>26</v>
      </c>
      <c r="D15673" s="31">
        <v>10131.19</v>
      </c>
      <c r="F15673" s="3" t="str">
        <f t="shared" si="244"/>
        <v>I5635</v>
      </c>
    </row>
    <row r="15674" spans="1:6" x14ac:dyDescent="0.2">
      <c r="A15674" s="29" t="s">
        <v>34874</v>
      </c>
      <c r="B15674" s="30" t="s">
        <v>34875</v>
      </c>
      <c r="C15674" s="29" t="s">
        <v>26</v>
      </c>
      <c r="D15674" s="31">
        <v>11179.88</v>
      </c>
      <c r="F15674" s="3" t="str">
        <f t="shared" si="244"/>
        <v>I5646</v>
      </c>
    </row>
    <row r="15675" spans="1:6" x14ac:dyDescent="0.2">
      <c r="A15675" s="29" t="s">
        <v>34876</v>
      </c>
      <c r="B15675" s="30" t="s">
        <v>34877</v>
      </c>
      <c r="C15675" s="29" t="s">
        <v>26</v>
      </c>
      <c r="D15675" s="31">
        <v>11278.85</v>
      </c>
      <c r="F15675" s="3" t="str">
        <f t="shared" si="244"/>
        <v>I5636</v>
      </c>
    </row>
    <row r="15676" spans="1:6" x14ac:dyDescent="0.2">
      <c r="A15676" s="29" t="s">
        <v>34878</v>
      </c>
      <c r="B15676" s="30" t="s">
        <v>34879</v>
      </c>
      <c r="C15676" s="29" t="s">
        <v>26</v>
      </c>
      <c r="D15676" s="31">
        <v>12268.2</v>
      </c>
      <c r="F15676" s="3" t="str">
        <f t="shared" si="244"/>
        <v>I5647</v>
      </c>
    </row>
    <row r="15677" spans="1:6" x14ac:dyDescent="0.2">
      <c r="A15677" s="29" t="s">
        <v>34880</v>
      </c>
      <c r="B15677" s="30" t="s">
        <v>34881</v>
      </c>
      <c r="C15677" s="29" t="s">
        <v>26</v>
      </c>
      <c r="D15677" s="31">
        <v>14781.19</v>
      </c>
      <c r="F15677" s="3" t="str">
        <f t="shared" si="244"/>
        <v>I5637</v>
      </c>
    </row>
    <row r="15678" spans="1:6" x14ac:dyDescent="0.2">
      <c r="A15678" s="29" t="s">
        <v>34882</v>
      </c>
      <c r="B15678" s="30" t="s">
        <v>34883</v>
      </c>
      <c r="C15678" s="29" t="s">
        <v>26</v>
      </c>
      <c r="D15678" s="31">
        <v>16225.67</v>
      </c>
      <c r="F15678" s="3" t="str">
        <f t="shared" si="244"/>
        <v>I5648</v>
      </c>
    </row>
    <row r="15679" spans="1:6" x14ac:dyDescent="0.2">
      <c r="A15679" s="29" t="s">
        <v>34884</v>
      </c>
      <c r="B15679" s="30" t="s">
        <v>34885</v>
      </c>
      <c r="C15679" s="29" t="s">
        <v>26</v>
      </c>
      <c r="D15679" s="31">
        <v>205.67</v>
      </c>
      <c r="F15679" s="3" t="str">
        <f t="shared" si="244"/>
        <v>I5649</v>
      </c>
    </row>
    <row r="15680" spans="1:6" x14ac:dyDescent="0.2">
      <c r="A15680" s="29" t="s">
        <v>34886</v>
      </c>
      <c r="B15680" s="30" t="s">
        <v>34887</v>
      </c>
      <c r="C15680" s="29" t="s">
        <v>26</v>
      </c>
      <c r="D15680" s="31">
        <v>479.93</v>
      </c>
      <c r="F15680" s="3" t="str">
        <f t="shared" si="244"/>
        <v>I5650</v>
      </c>
    </row>
    <row r="15681" spans="1:6" x14ac:dyDescent="0.2">
      <c r="A15681" s="29" t="s">
        <v>34888</v>
      </c>
      <c r="B15681" s="30" t="s">
        <v>34889</v>
      </c>
      <c r="C15681" s="29" t="s">
        <v>26</v>
      </c>
      <c r="D15681" s="31">
        <v>138.65</v>
      </c>
      <c r="F15681" s="3" t="str">
        <f t="shared" si="244"/>
        <v>I6055</v>
      </c>
    </row>
    <row r="15682" spans="1:6" x14ac:dyDescent="0.2">
      <c r="A15682" s="29" t="s">
        <v>34890</v>
      </c>
      <c r="B15682" s="30" t="s">
        <v>34891</v>
      </c>
      <c r="C15682" s="29" t="s">
        <v>26</v>
      </c>
      <c r="D15682" s="31">
        <v>316.45999999999998</v>
      </c>
      <c r="F15682" s="3" t="str">
        <f t="shared" ref="F15682:F15745" si="245">A15682</f>
        <v>I6056</v>
      </c>
    </row>
    <row r="15683" spans="1:6" x14ac:dyDescent="0.2">
      <c r="A15683" s="29" t="s">
        <v>34892</v>
      </c>
      <c r="B15683" s="30" t="s">
        <v>34893</v>
      </c>
      <c r="C15683" s="29" t="s">
        <v>26</v>
      </c>
      <c r="D15683" s="31">
        <v>5527.63</v>
      </c>
      <c r="F15683" s="3" t="str">
        <f t="shared" si="245"/>
        <v>I5755</v>
      </c>
    </row>
    <row r="15684" spans="1:6" x14ac:dyDescent="0.2">
      <c r="A15684" s="29" t="s">
        <v>34894</v>
      </c>
      <c r="B15684" s="30" t="s">
        <v>34895</v>
      </c>
      <c r="C15684" s="29" t="s">
        <v>26</v>
      </c>
      <c r="D15684" s="31">
        <v>8474.2900000000009</v>
      </c>
      <c r="F15684" s="3" t="str">
        <f t="shared" si="245"/>
        <v>I5756</v>
      </c>
    </row>
    <row r="15685" spans="1:6" x14ac:dyDescent="0.2">
      <c r="A15685" s="29" t="s">
        <v>34896</v>
      </c>
      <c r="B15685" s="30" t="s">
        <v>34897</v>
      </c>
      <c r="C15685" s="29" t="s">
        <v>26</v>
      </c>
      <c r="D15685" s="31">
        <v>13431.45</v>
      </c>
      <c r="F15685" s="3" t="str">
        <f t="shared" si="245"/>
        <v>I5757</v>
      </c>
    </row>
    <row r="15686" spans="1:6" x14ac:dyDescent="0.2">
      <c r="A15686" s="29" t="s">
        <v>34898</v>
      </c>
      <c r="B15686" s="30" t="s">
        <v>34899</v>
      </c>
      <c r="C15686" s="29" t="s">
        <v>26</v>
      </c>
      <c r="D15686" s="31">
        <v>17256.84</v>
      </c>
      <c r="F15686" s="3" t="str">
        <f t="shared" si="245"/>
        <v>I5758</v>
      </c>
    </row>
    <row r="15687" spans="1:6" x14ac:dyDescent="0.2">
      <c r="A15687" s="29" t="s">
        <v>34900</v>
      </c>
      <c r="B15687" s="30" t="s">
        <v>34901</v>
      </c>
      <c r="C15687" s="29" t="s">
        <v>26</v>
      </c>
      <c r="D15687" s="31">
        <v>7332.96</v>
      </c>
      <c r="F15687" s="3" t="str">
        <f t="shared" si="245"/>
        <v>I10224</v>
      </c>
    </row>
    <row r="15688" spans="1:6" x14ac:dyDescent="0.2">
      <c r="A15688" s="29" t="s">
        <v>34902</v>
      </c>
      <c r="B15688" s="30" t="s">
        <v>34903</v>
      </c>
      <c r="C15688" s="29" t="s">
        <v>26</v>
      </c>
      <c r="D15688" s="31">
        <v>1465.42</v>
      </c>
      <c r="F15688" s="3" t="str">
        <f t="shared" si="245"/>
        <v>I5749</v>
      </c>
    </row>
    <row r="15689" spans="1:6" x14ac:dyDescent="0.2">
      <c r="A15689" s="29" t="s">
        <v>34904</v>
      </c>
      <c r="B15689" s="30" t="s">
        <v>34905</v>
      </c>
      <c r="C15689" s="29" t="s">
        <v>26</v>
      </c>
      <c r="D15689" s="31">
        <v>2659.51</v>
      </c>
      <c r="F15689" s="3" t="str">
        <f t="shared" si="245"/>
        <v>I5750</v>
      </c>
    </row>
    <row r="15690" spans="1:6" x14ac:dyDescent="0.2">
      <c r="A15690" s="29" t="s">
        <v>34906</v>
      </c>
      <c r="B15690" s="30" t="s">
        <v>34907</v>
      </c>
      <c r="C15690" s="29" t="s">
        <v>26</v>
      </c>
      <c r="D15690" s="31">
        <v>2992.83</v>
      </c>
      <c r="F15690" s="3" t="str">
        <f t="shared" si="245"/>
        <v>I5751</v>
      </c>
    </row>
    <row r="15691" spans="1:6" x14ac:dyDescent="0.2">
      <c r="A15691" s="29" t="s">
        <v>34908</v>
      </c>
      <c r="B15691" s="30" t="s">
        <v>34909</v>
      </c>
      <c r="C15691" s="29" t="s">
        <v>26</v>
      </c>
      <c r="D15691" s="31">
        <v>4431.83</v>
      </c>
      <c r="F15691" s="3" t="str">
        <f t="shared" si="245"/>
        <v>I5752</v>
      </c>
    </row>
    <row r="15692" spans="1:6" x14ac:dyDescent="0.2">
      <c r="A15692" s="29" t="s">
        <v>34910</v>
      </c>
      <c r="B15692" s="30" t="s">
        <v>34911</v>
      </c>
      <c r="C15692" s="29" t="s">
        <v>26</v>
      </c>
      <c r="D15692" s="31">
        <v>6249.89</v>
      </c>
      <c r="F15692" s="3" t="str">
        <f t="shared" si="245"/>
        <v>I5753</v>
      </c>
    </row>
    <row r="15693" spans="1:6" x14ac:dyDescent="0.2">
      <c r="A15693" s="29" t="s">
        <v>34912</v>
      </c>
      <c r="B15693" s="30" t="s">
        <v>34913</v>
      </c>
      <c r="C15693" s="29" t="s">
        <v>26</v>
      </c>
      <c r="D15693" s="31">
        <v>10258.969999999999</v>
      </c>
      <c r="F15693" s="3" t="str">
        <f t="shared" si="245"/>
        <v>I5754</v>
      </c>
    </row>
    <row r="15694" spans="1:6" x14ac:dyDescent="0.2">
      <c r="A15694" s="29" t="s">
        <v>34914</v>
      </c>
      <c r="B15694" s="30" t="s">
        <v>34915</v>
      </c>
      <c r="C15694" s="29" t="s">
        <v>26</v>
      </c>
      <c r="D15694" s="31">
        <v>915.69</v>
      </c>
      <c r="F15694" s="3" t="str">
        <f t="shared" si="245"/>
        <v>I10227</v>
      </c>
    </row>
    <row r="15695" spans="1:6" x14ac:dyDescent="0.2">
      <c r="A15695" s="29" t="s">
        <v>34916</v>
      </c>
      <c r="B15695" s="30" t="s">
        <v>34917</v>
      </c>
      <c r="C15695" s="29" t="s">
        <v>26</v>
      </c>
      <c r="D15695" s="31">
        <v>7048.92</v>
      </c>
      <c r="F15695" s="3" t="str">
        <f t="shared" si="245"/>
        <v>I10228</v>
      </c>
    </row>
    <row r="15696" spans="1:6" x14ac:dyDescent="0.2">
      <c r="A15696" s="29" t="s">
        <v>34918</v>
      </c>
      <c r="B15696" s="30" t="s">
        <v>34919</v>
      </c>
      <c r="C15696" s="29" t="s">
        <v>26</v>
      </c>
      <c r="D15696" s="31">
        <v>14075.94</v>
      </c>
      <c r="F15696" s="3" t="str">
        <f t="shared" si="245"/>
        <v>I10229</v>
      </c>
    </row>
    <row r="15697" spans="1:6" x14ac:dyDescent="0.2">
      <c r="A15697" s="29" t="s">
        <v>34920</v>
      </c>
      <c r="B15697" s="30" t="s">
        <v>34921</v>
      </c>
      <c r="C15697" s="29" t="s">
        <v>26</v>
      </c>
      <c r="D15697" s="31">
        <v>36353.78</v>
      </c>
      <c r="F15697" s="3" t="str">
        <f t="shared" si="245"/>
        <v>I10230</v>
      </c>
    </row>
    <row r="15698" spans="1:6" x14ac:dyDescent="0.2">
      <c r="A15698" s="29" t="s">
        <v>34922</v>
      </c>
      <c r="B15698" s="30" t="s">
        <v>34923</v>
      </c>
      <c r="C15698" s="29" t="s">
        <v>26</v>
      </c>
      <c r="D15698" s="31">
        <v>3086.1</v>
      </c>
      <c r="F15698" s="3" t="str">
        <f t="shared" si="245"/>
        <v>I10231</v>
      </c>
    </row>
    <row r="15699" spans="1:6" x14ac:dyDescent="0.2">
      <c r="A15699" s="29" t="s">
        <v>34924</v>
      </c>
      <c r="B15699" s="30" t="s">
        <v>34925</v>
      </c>
      <c r="C15699" s="29" t="s">
        <v>26</v>
      </c>
      <c r="D15699" s="31">
        <v>877.83</v>
      </c>
      <c r="F15699" s="3" t="str">
        <f t="shared" si="245"/>
        <v>I10460</v>
      </c>
    </row>
    <row r="15700" spans="1:6" x14ac:dyDescent="0.2">
      <c r="A15700" s="29" t="s">
        <v>34926</v>
      </c>
      <c r="B15700" s="30" t="s">
        <v>34927</v>
      </c>
      <c r="C15700" s="29" t="s">
        <v>26</v>
      </c>
      <c r="D15700" s="31">
        <v>1017.21</v>
      </c>
      <c r="F15700" s="3" t="str">
        <f t="shared" si="245"/>
        <v>I5719</v>
      </c>
    </row>
    <row r="15701" spans="1:6" x14ac:dyDescent="0.2">
      <c r="A15701" s="29" t="s">
        <v>34928</v>
      </c>
      <c r="B15701" s="30" t="s">
        <v>34929</v>
      </c>
      <c r="C15701" s="29" t="s">
        <v>26</v>
      </c>
      <c r="D15701" s="31">
        <v>830.13</v>
      </c>
      <c r="F15701" s="3" t="str">
        <f t="shared" si="245"/>
        <v>I5720</v>
      </c>
    </row>
    <row r="15702" spans="1:6" x14ac:dyDescent="0.2">
      <c r="A15702" s="29" t="s">
        <v>34930</v>
      </c>
      <c r="B15702" s="30" t="s">
        <v>34931</v>
      </c>
      <c r="C15702" s="29" t="s">
        <v>26</v>
      </c>
      <c r="D15702" s="31">
        <v>816.04</v>
      </c>
      <c r="F15702" s="3" t="str">
        <f t="shared" si="245"/>
        <v>I5721</v>
      </c>
    </row>
    <row r="15703" spans="1:6" x14ac:dyDescent="0.2">
      <c r="A15703" s="29" t="s">
        <v>34932</v>
      </c>
      <c r="B15703" s="30" t="s">
        <v>34933</v>
      </c>
      <c r="C15703" s="29" t="s">
        <v>26</v>
      </c>
      <c r="D15703" s="31">
        <v>788.72</v>
      </c>
      <c r="F15703" s="3" t="str">
        <f t="shared" si="245"/>
        <v>I5722</v>
      </c>
    </row>
    <row r="15704" spans="1:6" x14ac:dyDescent="0.2">
      <c r="A15704" s="29" t="s">
        <v>34934</v>
      </c>
      <c r="B15704" s="30" t="s">
        <v>34935</v>
      </c>
      <c r="C15704" s="29" t="s">
        <v>26</v>
      </c>
      <c r="D15704" s="31">
        <v>788.72</v>
      </c>
      <c r="F15704" s="3" t="str">
        <f t="shared" si="245"/>
        <v>I5723</v>
      </c>
    </row>
    <row r="15705" spans="1:6" x14ac:dyDescent="0.2">
      <c r="A15705" s="29" t="s">
        <v>34936</v>
      </c>
      <c r="B15705" s="30" t="s">
        <v>34937</v>
      </c>
      <c r="C15705" s="29" t="s">
        <v>26</v>
      </c>
      <c r="D15705" s="31">
        <v>768.4</v>
      </c>
      <c r="F15705" s="3" t="str">
        <f t="shared" si="245"/>
        <v>I5724</v>
      </c>
    </row>
    <row r="15706" spans="1:6" x14ac:dyDescent="0.2">
      <c r="A15706" s="29" t="s">
        <v>34938</v>
      </c>
      <c r="B15706" s="30" t="s">
        <v>34939</v>
      </c>
      <c r="C15706" s="29" t="s">
        <v>26</v>
      </c>
      <c r="D15706" s="31">
        <v>2075.27</v>
      </c>
      <c r="F15706" s="3" t="str">
        <f t="shared" si="245"/>
        <v>I5729</v>
      </c>
    </row>
    <row r="15707" spans="1:6" x14ac:dyDescent="0.2">
      <c r="A15707" s="29" t="s">
        <v>34940</v>
      </c>
      <c r="B15707" s="30" t="s">
        <v>34941</v>
      </c>
      <c r="C15707" s="29" t="s">
        <v>26</v>
      </c>
      <c r="D15707" s="31">
        <v>2817</v>
      </c>
      <c r="F15707" s="3" t="str">
        <f t="shared" si="245"/>
        <v>I7329</v>
      </c>
    </row>
    <row r="15708" spans="1:6" x14ac:dyDescent="0.2">
      <c r="A15708" s="29" t="s">
        <v>34942</v>
      </c>
      <c r="B15708" s="30" t="s">
        <v>34943</v>
      </c>
      <c r="C15708" s="29" t="s">
        <v>26</v>
      </c>
      <c r="D15708" s="31">
        <v>2813.19</v>
      </c>
      <c r="F15708" s="3" t="str">
        <f t="shared" si="245"/>
        <v>I7328</v>
      </c>
    </row>
    <row r="15709" spans="1:6" x14ac:dyDescent="0.2">
      <c r="A15709" s="29" t="s">
        <v>34944</v>
      </c>
      <c r="B15709" s="30" t="s">
        <v>34945</v>
      </c>
      <c r="C15709" s="29" t="s">
        <v>26</v>
      </c>
      <c r="D15709" s="31">
        <v>2911.07</v>
      </c>
      <c r="F15709" s="3" t="str">
        <f t="shared" si="245"/>
        <v>I5726</v>
      </c>
    </row>
    <row r="15710" spans="1:6" x14ac:dyDescent="0.2">
      <c r="A15710" s="29" t="s">
        <v>34946</v>
      </c>
      <c r="B15710" s="30" t="s">
        <v>34947</v>
      </c>
      <c r="C15710" s="29" t="s">
        <v>26</v>
      </c>
      <c r="D15710" s="31">
        <v>3031.58</v>
      </c>
      <c r="F15710" s="3" t="str">
        <f t="shared" si="245"/>
        <v>I5730</v>
      </c>
    </row>
    <row r="15711" spans="1:6" x14ac:dyDescent="0.2">
      <c r="A15711" s="29" t="s">
        <v>34948</v>
      </c>
      <c r="B15711" s="30" t="s">
        <v>34949</v>
      </c>
      <c r="C15711" s="29" t="s">
        <v>26</v>
      </c>
      <c r="D15711" s="31">
        <v>8532.2099999999991</v>
      </c>
      <c r="F15711" s="3" t="str">
        <f t="shared" si="245"/>
        <v>I5727</v>
      </c>
    </row>
    <row r="15712" spans="1:6" x14ac:dyDescent="0.2">
      <c r="A15712" s="29" t="s">
        <v>34950</v>
      </c>
      <c r="B15712" s="30" t="s">
        <v>34951</v>
      </c>
      <c r="C15712" s="29" t="s">
        <v>26</v>
      </c>
      <c r="D15712" s="31">
        <v>8694.73</v>
      </c>
      <c r="F15712" s="3" t="str">
        <f t="shared" si="245"/>
        <v>I5731</v>
      </c>
    </row>
    <row r="15713" spans="1:6" x14ac:dyDescent="0.2">
      <c r="A15713" s="29" t="s">
        <v>34952</v>
      </c>
      <c r="B15713" s="30" t="s">
        <v>34953</v>
      </c>
      <c r="C15713" s="29" t="s">
        <v>26</v>
      </c>
      <c r="D15713" s="31">
        <v>8125.92</v>
      </c>
      <c r="F15713" s="3" t="str">
        <f t="shared" si="245"/>
        <v>I5725</v>
      </c>
    </row>
    <row r="15714" spans="1:6" x14ac:dyDescent="0.2">
      <c r="A15714" s="29" t="s">
        <v>34954</v>
      </c>
      <c r="B15714" s="30" t="s">
        <v>34955</v>
      </c>
      <c r="C15714" s="29" t="s">
        <v>26</v>
      </c>
      <c r="D15714" s="31">
        <v>8258.08</v>
      </c>
      <c r="F15714" s="3" t="str">
        <f t="shared" si="245"/>
        <v>I5728</v>
      </c>
    </row>
    <row r="15715" spans="1:6" x14ac:dyDescent="0.2">
      <c r="A15715" s="29" t="s">
        <v>34956</v>
      </c>
      <c r="B15715" s="30" t="s">
        <v>34957</v>
      </c>
      <c r="C15715" s="29" t="s">
        <v>26</v>
      </c>
      <c r="D15715" s="31">
        <v>9129.4699999999993</v>
      </c>
      <c r="F15715" s="3" t="str">
        <f t="shared" si="245"/>
        <v>I5732</v>
      </c>
    </row>
    <row r="15716" spans="1:6" x14ac:dyDescent="0.2">
      <c r="A15716" s="29" t="s">
        <v>34958</v>
      </c>
      <c r="B15716" s="30" t="s">
        <v>34959</v>
      </c>
      <c r="C15716" s="29" t="s">
        <v>26</v>
      </c>
      <c r="D15716" s="31">
        <v>3107.25</v>
      </c>
      <c r="F15716" s="3" t="str">
        <f t="shared" si="245"/>
        <v>I10233</v>
      </c>
    </row>
    <row r="15717" spans="1:6" x14ac:dyDescent="0.2">
      <c r="A15717" s="29" t="s">
        <v>34960</v>
      </c>
      <c r="B15717" s="30" t="s">
        <v>34961</v>
      </c>
      <c r="C15717" s="29" t="s">
        <v>26</v>
      </c>
      <c r="D15717" s="31">
        <v>4500.67</v>
      </c>
      <c r="F15717" s="3" t="str">
        <f t="shared" si="245"/>
        <v>I10234</v>
      </c>
    </row>
    <row r="15718" spans="1:6" x14ac:dyDescent="0.2">
      <c r="A15718" s="29" t="s">
        <v>34962</v>
      </c>
      <c r="B15718" s="30" t="s">
        <v>34963</v>
      </c>
      <c r="C15718" s="29" t="s">
        <v>26</v>
      </c>
      <c r="D15718" s="31">
        <v>6040.3</v>
      </c>
      <c r="F15718" s="3" t="str">
        <f t="shared" si="245"/>
        <v>I10235</v>
      </c>
    </row>
    <row r="15719" spans="1:6" x14ac:dyDescent="0.2">
      <c r="A15719" s="29" t="s">
        <v>34964</v>
      </c>
      <c r="B15719" s="30" t="s">
        <v>34965</v>
      </c>
      <c r="C15719" s="29" t="s">
        <v>26</v>
      </c>
      <c r="D15719" s="31">
        <v>347.07</v>
      </c>
      <c r="F15719" s="3" t="str">
        <f t="shared" si="245"/>
        <v>I7471</v>
      </c>
    </row>
    <row r="15720" spans="1:6" x14ac:dyDescent="0.2">
      <c r="A15720" s="29" t="s">
        <v>34966</v>
      </c>
      <c r="B15720" s="30" t="s">
        <v>34967</v>
      </c>
      <c r="C15720" s="29" t="s">
        <v>26</v>
      </c>
      <c r="D15720" s="31">
        <v>489.58</v>
      </c>
      <c r="F15720" s="3" t="str">
        <f t="shared" si="245"/>
        <v>I7472</v>
      </c>
    </row>
    <row r="15721" spans="1:6" x14ac:dyDescent="0.2">
      <c r="A15721" s="29" t="s">
        <v>34968</v>
      </c>
      <c r="B15721" s="30" t="s">
        <v>34969</v>
      </c>
      <c r="C15721" s="29" t="s">
        <v>26</v>
      </c>
      <c r="D15721" s="31">
        <v>706.12</v>
      </c>
      <c r="F15721" s="3" t="str">
        <f t="shared" si="245"/>
        <v>I7473</v>
      </c>
    </row>
    <row r="15722" spans="1:6" ht="22.5" x14ac:dyDescent="0.2">
      <c r="A15722" s="29" t="s">
        <v>34970</v>
      </c>
      <c r="B15722" s="30" t="s">
        <v>34971</v>
      </c>
      <c r="C15722" s="29" t="s">
        <v>26</v>
      </c>
      <c r="D15722" s="31">
        <v>10345.549999999999</v>
      </c>
      <c r="F15722" s="3" t="str">
        <f t="shared" si="245"/>
        <v>I10364</v>
      </c>
    </row>
    <row r="15723" spans="1:6" ht="22.5" x14ac:dyDescent="0.2">
      <c r="A15723" s="29" t="s">
        <v>34972</v>
      </c>
      <c r="B15723" s="30" t="s">
        <v>34973</v>
      </c>
      <c r="C15723" s="29" t="s">
        <v>26</v>
      </c>
      <c r="D15723" s="31">
        <v>276231.65000000002</v>
      </c>
      <c r="F15723" s="3" t="str">
        <f t="shared" si="245"/>
        <v>I10377</v>
      </c>
    </row>
    <row r="15724" spans="1:6" ht="22.5" x14ac:dyDescent="0.2">
      <c r="A15724" s="29" t="s">
        <v>34974</v>
      </c>
      <c r="B15724" s="30" t="s">
        <v>34975</v>
      </c>
      <c r="C15724" s="29" t="s">
        <v>26</v>
      </c>
      <c r="D15724" s="31">
        <v>11807.11</v>
      </c>
      <c r="F15724" s="3" t="str">
        <f t="shared" si="245"/>
        <v>I10365</v>
      </c>
    </row>
    <row r="15725" spans="1:6" ht="22.5" x14ac:dyDescent="0.2">
      <c r="A15725" s="29" t="s">
        <v>34976</v>
      </c>
      <c r="B15725" s="30" t="s">
        <v>34977</v>
      </c>
      <c r="C15725" s="29" t="s">
        <v>26</v>
      </c>
      <c r="D15725" s="31">
        <v>15601.35</v>
      </c>
      <c r="F15725" s="3" t="str">
        <f t="shared" si="245"/>
        <v>I10366</v>
      </c>
    </row>
    <row r="15726" spans="1:6" ht="22.5" x14ac:dyDescent="0.2">
      <c r="A15726" s="29" t="s">
        <v>34978</v>
      </c>
      <c r="B15726" s="30" t="s">
        <v>34979</v>
      </c>
      <c r="C15726" s="29" t="s">
        <v>26</v>
      </c>
      <c r="D15726" s="31">
        <v>17633.84</v>
      </c>
      <c r="F15726" s="3" t="str">
        <f t="shared" si="245"/>
        <v>I10367</v>
      </c>
    </row>
    <row r="15727" spans="1:6" ht="22.5" x14ac:dyDescent="0.2">
      <c r="A15727" s="29" t="s">
        <v>34980</v>
      </c>
      <c r="B15727" s="30" t="s">
        <v>34981</v>
      </c>
      <c r="C15727" s="29" t="s">
        <v>26</v>
      </c>
      <c r="D15727" s="31">
        <v>27847.78</v>
      </c>
      <c r="F15727" s="3" t="str">
        <f t="shared" si="245"/>
        <v>I10368</v>
      </c>
    </row>
    <row r="15728" spans="1:6" ht="22.5" x14ac:dyDescent="0.2">
      <c r="A15728" s="29" t="s">
        <v>34982</v>
      </c>
      <c r="B15728" s="30" t="s">
        <v>34983</v>
      </c>
      <c r="C15728" s="29" t="s">
        <v>26</v>
      </c>
      <c r="D15728" s="31">
        <v>36514.910000000003</v>
      </c>
      <c r="F15728" s="3" t="str">
        <f t="shared" si="245"/>
        <v>I10369</v>
      </c>
    </row>
    <row r="15729" spans="1:6" ht="22.5" x14ac:dyDescent="0.2">
      <c r="A15729" s="29" t="s">
        <v>34984</v>
      </c>
      <c r="B15729" s="30" t="s">
        <v>34985</v>
      </c>
      <c r="C15729" s="29" t="s">
        <v>26</v>
      </c>
      <c r="D15729" s="31">
        <v>41427.53</v>
      </c>
      <c r="F15729" s="3" t="str">
        <f t="shared" si="245"/>
        <v>I10370</v>
      </c>
    </row>
    <row r="15730" spans="1:6" ht="22.5" x14ac:dyDescent="0.2">
      <c r="A15730" s="29" t="s">
        <v>34986</v>
      </c>
      <c r="B15730" s="30" t="s">
        <v>34987</v>
      </c>
      <c r="C15730" s="29" t="s">
        <v>26</v>
      </c>
      <c r="D15730" s="31">
        <v>44614.46</v>
      </c>
      <c r="F15730" s="3" t="str">
        <f t="shared" si="245"/>
        <v>I10371</v>
      </c>
    </row>
    <row r="15731" spans="1:6" ht="22.5" x14ac:dyDescent="0.2">
      <c r="A15731" s="29" t="s">
        <v>34988</v>
      </c>
      <c r="B15731" s="30" t="s">
        <v>34989</v>
      </c>
      <c r="C15731" s="29" t="s">
        <v>26</v>
      </c>
      <c r="D15731" s="31">
        <v>55974.63</v>
      </c>
      <c r="F15731" s="3" t="str">
        <f t="shared" si="245"/>
        <v>I10372</v>
      </c>
    </row>
    <row r="15732" spans="1:6" ht="22.5" x14ac:dyDescent="0.2">
      <c r="A15732" s="29" t="s">
        <v>34990</v>
      </c>
      <c r="B15732" s="30" t="s">
        <v>34991</v>
      </c>
      <c r="C15732" s="29" t="s">
        <v>26</v>
      </c>
      <c r="D15732" s="31">
        <v>92125.62</v>
      </c>
      <c r="F15732" s="3" t="str">
        <f t="shared" si="245"/>
        <v>I10373</v>
      </c>
    </row>
    <row r="15733" spans="1:6" ht="22.5" x14ac:dyDescent="0.2">
      <c r="A15733" s="29" t="s">
        <v>34992</v>
      </c>
      <c r="B15733" s="30" t="s">
        <v>34993</v>
      </c>
      <c r="C15733" s="29" t="s">
        <v>26</v>
      </c>
      <c r="D15733" s="31">
        <v>150147.78</v>
      </c>
      <c r="F15733" s="3" t="str">
        <f t="shared" si="245"/>
        <v>I10374</v>
      </c>
    </row>
    <row r="15734" spans="1:6" ht="22.5" x14ac:dyDescent="0.2">
      <c r="A15734" s="29" t="s">
        <v>34994</v>
      </c>
      <c r="B15734" s="30" t="s">
        <v>34995</v>
      </c>
      <c r="C15734" s="29" t="s">
        <v>26</v>
      </c>
      <c r="D15734" s="31">
        <v>171005.34</v>
      </c>
      <c r="F15734" s="3" t="str">
        <f t="shared" si="245"/>
        <v>I10375</v>
      </c>
    </row>
    <row r="15735" spans="1:6" ht="22.5" x14ac:dyDescent="0.2">
      <c r="A15735" s="29" t="s">
        <v>34996</v>
      </c>
      <c r="B15735" s="30" t="s">
        <v>34997</v>
      </c>
      <c r="C15735" s="29" t="s">
        <v>26</v>
      </c>
      <c r="D15735" s="31">
        <v>221288.61</v>
      </c>
      <c r="F15735" s="3" t="str">
        <f t="shared" si="245"/>
        <v>I10376</v>
      </c>
    </row>
    <row r="15736" spans="1:6" ht="22.5" x14ac:dyDescent="0.2">
      <c r="A15736" s="29" t="s">
        <v>34998</v>
      </c>
      <c r="B15736" s="30" t="s">
        <v>34999</v>
      </c>
      <c r="C15736" s="29" t="s">
        <v>26</v>
      </c>
      <c r="D15736" s="31">
        <v>10345.549999999999</v>
      </c>
      <c r="F15736" s="3" t="str">
        <f t="shared" si="245"/>
        <v>I10378</v>
      </c>
    </row>
    <row r="15737" spans="1:6" ht="22.5" x14ac:dyDescent="0.2">
      <c r="A15737" s="29" t="s">
        <v>35000</v>
      </c>
      <c r="B15737" s="30" t="s">
        <v>35001</v>
      </c>
      <c r="C15737" s="29" t="s">
        <v>26</v>
      </c>
      <c r="D15737" s="31">
        <v>290043.3</v>
      </c>
      <c r="F15737" s="3" t="str">
        <f t="shared" si="245"/>
        <v>I10391</v>
      </c>
    </row>
    <row r="15738" spans="1:6" ht="22.5" x14ac:dyDescent="0.2">
      <c r="A15738" s="29" t="s">
        <v>35002</v>
      </c>
      <c r="B15738" s="30" t="s">
        <v>35003</v>
      </c>
      <c r="C15738" s="29" t="s">
        <v>26</v>
      </c>
      <c r="D15738" s="31">
        <v>11807.11</v>
      </c>
      <c r="F15738" s="3" t="str">
        <f t="shared" si="245"/>
        <v>I10379</v>
      </c>
    </row>
    <row r="15739" spans="1:6" ht="22.5" x14ac:dyDescent="0.2">
      <c r="A15739" s="29" t="s">
        <v>35004</v>
      </c>
      <c r="B15739" s="30" t="s">
        <v>35005</v>
      </c>
      <c r="C15739" s="29" t="s">
        <v>26</v>
      </c>
      <c r="D15739" s="31">
        <v>16536.7</v>
      </c>
      <c r="F15739" s="3" t="str">
        <f t="shared" si="245"/>
        <v>I10380</v>
      </c>
    </row>
    <row r="15740" spans="1:6" ht="22.5" x14ac:dyDescent="0.2">
      <c r="A15740" s="29" t="s">
        <v>35006</v>
      </c>
      <c r="B15740" s="30" t="s">
        <v>35007</v>
      </c>
      <c r="C15740" s="29" t="s">
        <v>26</v>
      </c>
      <c r="D15740" s="31">
        <v>17879.36</v>
      </c>
      <c r="F15740" s="3" t="str">
        <f t="shared" si="245"/>
        <v>I10381</v>
      </c>
    </row>
    <row r="15741" spans="1:6" ht="22.5" x14ac:dyDescent="0.2">
      <c r="A15741" s="29" t="s">
        <v>35008</v>
      </c>
      <c r="B15741" s="30" t="s">
        <v>35009</v>
      </c>
      <c r="C15741" s="29" t="s">
        <v>26</v>
      </c>
      <c r="D15741" s="31">
        <v>28820.94</v>
      </c>
      <c r="F15741" s="3" t="str">
        <f t="shared" si="245"/>
        <v>I10382</v>
      </c>
    </row>
    <row r="15742" spans="1:6" ht="22.5" x14ac:dyDescent="0.2">
      <c r="A15742" s="29" t="s">
        <v>35010</v>
      </c>
      <c r="B15742" s="30" t="s">
        <v>35011</v>
      </c>
      <c r="C15742" s="29" t="s">
        <v>26</v>
      </c>
      <c r="D15742" s="31">
        <v>38706.230000000003</v>
      </c>
      <c r="F15742" s="3" t="str">
        <f t="shared" si="245"/>
        <v>I10383</v>
      </c>
    </row>
    <row r="15743" spans="1:6" ht="22.5" x14ac:dyDescent="0.2">
      <c r="A15743" s="29" t="s">
        <v>35012</v>
      </c>
      <c r="B15743" s="30" t="s">
        <v>35013</v>
      </c>
      <c r="C15743" s="29" t="s">
        <v>26</v>
      </c>
      <c r="D15743" s="31">
        <v>43912.95</v>
      </c>
      <c r="F15743" s="3" t="str">
        <f t="shared" si="245"/>
        <v>I10384</v>
      </c>
    </row>
    <row r="15744" spans="1:6" ht="22.5" x14ac:dyDescent="0.2">
      <c r="A15744" s="29" t="s">
        <v>35014</v>
      </c>
      <c r="B15744" s="30" t="s">
        <v>35015</v>
      </c>
      <c r="C15744" s="29" t="s">
        <v>26</v>
      </c>
      <c r="D15744" s="31">
        <v>47292.36</v>
      </c>
      <c r="F15744" s="3" t="str">
        <f t="shared" si="245"/>
        <v>I10385</v>
      </c>
    </row>
    <row r="15745" spans="1:6" ht="22.5" x14ac:dyDescent="0.2">
      <c r="A15745" s="29" t="s">
        <v>35016</v>
      </c>
      <c r="B15745" s="30" t="s">
        <v>35017</v>
      </c>
      <c r="C15745" s="29" t="s">
        <v>26</v>
      </c>
      <c r="D15745" s="31">
        <v>59333.21</v>
      </c>
      <c r="F15745" s="3" t="str">
        <f t="shared" si="245"/>
        <v>I10386</v>
      </c>
    </row>
    <row r="15746" spans="1:6" ht="22.5" x14ac:dyDescent="0.2">
      <c r="A15746" s="29" t="s">
        <v>35018</v>
      </c>
      <c r="B15746" s="30" t="s">
        <v>35019</v>
      </c>
      <c r="C15746" s="29" t="s">
        <v>26</v>
      </c>
      <c r="D15746" s="31">
        <v>97652.97</v>
      </c>
      <c r="F15746" s="3" t="str">
        <f t="shared" ref="F15746:F15809" si="246">A15746</f>
        <v>I10387</v>
      </c>
    </row>
    <row r="15747" spans="1:6" ht="22.5" x14ac:dyDescent="0.2">
      <c r="A15747" s="29" t="s">
        <v>35020</v>
      </c>
      <c r="B15747" s="30" t="s">
        <v>35021</v>
      </c>
      <c r="C15747" s="29" t="s">
        <v>26</v>
      </c>
      <c r="D15747" s="31">
        <v>157003.25</v>
      </c>
      <c r="F15747" s="3" t="str">
        <f t="shared" si="246"/>
        <v>I10388</v>
      </c>
    </row>
    <row r="15748" spans="1:6" ht="22.5" x14ac:dyDescent="0.2">
      <c r="A15748" s="29" t="s">
        <v>35022</v>
      </c>
      <c r="B15748" s="30" t="s">
        <v>35023</v>
      </c>
      <c r="C15748" s="29" t="s">
        <v>26</v>
      </c>
      <c r="D15748" s="31">
        <v>181266.03</v>
      </c>
      <c r="F15748" s="3" t="str">
        <f t="shared" si="246"/>
        <v>I10389</v>
      </c>
    </row>
    <row r="15749" spans="1:6" ht="22.5" x14ac:dyDescent="0.2">
      <c r="A15749" s="29" t="s">
        <v>35024</v>
      </c>
      <c r="B15749" s="30" t="s">
        <v>35025</v>
      </c>
      <c r="C15749" s="29" t="s">
        <v>26</v>
      </c>
      <c r="D15749" s="31">
        <v>234564.7</v>
      </c>
      <c r="F15749" s="3" t="str">
        <f t="shared" si="246"/>
        <v>I10390</v>
      </c>
    </row>
    <row r="15750" spans="1:6" ht="22.5" x14ac:dyDescent="0.2">
      <c r="A15750" s="29" t="s">
        <v>35026</v>
      </c>
      <c r="B15750" s="30" t="s">
        <v>35027</v>
      </c>
      <c r="C15750" s="29" t="s">
        <v>26</v>
      </c>
      <c r="D15750" s="31">
        <v>13587.26</v>
      </c>
      <c r="F15750" s="3" t="str">
        <f t="shared" si="246"/>
        <v>I10392</v>
      </c>
    </row>
    <row r="15751" spans="1:6" ht="22.5" x14ac:dyDescent="0.2">
      <c r="A15751" s="29" t="s">
        <v>35028</v>
      </c>
      <c r="B15751" s="30" t="s">
        <v>35029</v>
      </c>
      <c r="C15751" s="29" t="s">
        <v>26</v>
      </c>
      <c r="D15751" s="31">
        <v>321664.59000000003</v>
      </c>
      <c r="F15751" s="3" t="str">
        <f t="shared" si="246"/>
        <v>I10405</v>
      </c>
    </row>
    <row r="15752" spans="1:6" ht="22.5" x14ac:dyDescent="0.2">
      <c r="A15752" s="29" t="s">
        <v>35030</v>
      </c>
      <c r="B15752" s="30" t="s">
        <v>35031</v>
      </c>
      <c r="C15752" s="29" t="s">
        <v>26</v>
      </c>
      <c r="D15752" s="31">
        <v>15605.21</v>
      </c>
      <c r="F15752" s="3" t="str">
        <f t="shared" si="246"/>
        <v>I10393</v>
      </c>
    </row>
    <row r="15753" spans="1:6" ht="22.5" x14ac:dyDescent="0.2">
      <c r="A15753" s="29" t="s">
        <v>35032</v>
      </c>
      <c r="B15753" s="30" t="s">
        <v>35033</v>
      </c>
      <c r="C15753" s="29" t="s">
        <v>26</v>
      </c>
      <c r="D15753" s="31">
        <v>21502.06</v>
      </c>
      <c r="F15753" s="3" t="str">
        <f t="shared" si="246"/>
        <v>I10394</v>
      </c>
    </row>
    <row r="15754" spans="1:6" ht="22.5" x14ac:dyDescent="0.2">
      <c r="A15754" s="29" t="s">
        <v>35034</v>
      </c>
      <c r="B15754" s="30" t="s">
        <v>35035</v>
      </c>
      <c r="C15754" s="29" t="s">
        <v>26</v>
      </c>
      <c r="D15754" s="31">
        <v>24383.52</v>
      </c>
      <c r="F15754" s="3" t="str">
        <f t="shared" si="246"/>
        <v>I10395</v>
      </c>
    </row>
    <row r="15755" spans="1:6" ht="22.5" x14ac:dyDescent="0.2">
      <c r="A15755" s="29" t="s">
        <v>35036</v>
      </c>
      <c r="B15755" s="30" t="s">
        <v>35037</v>
      </c>
      <c r="C15755" s="29" t="s">
        <v>26</v>
      </c>
      <c r="D15755" s="31">
        <v>38085.82</v>
      </c>
      <c r="F15755" s="3" t="str">
        <f t="shared" si="246"/>
        <v>I10396</v>
      </c>
    </row>
    <row r="15756" spans="1:6" ht="22.5" x14ac:dyDescent="0.2">
      <c r="A15756" s="29" t="s">
        <v>35038</v>
      </c>
      <c r="B15756" s="30" t="s">
        <v>35039</v>
      </c>
      <c r="C15756" s="29" t="s">
        <v>26</v>
      </c>
      <c r="D15756" s="31">
        <v>44286.42</v>
      </c>
      <c r="F15756" s="3" t="str">
        <f t="shared" si="246"/>
        <v>I10397</v>
      </c>
    </row>
    <row r="15757" spans="1:6" ht="22.5" x14ac:dyDescent="0.2">
      <c r="A15757" s="29" t="s">
        <v>35040</v>
      </c>
      <c r="B15757" s="30" t="s">
        <v>35041</v>
      </c>
      <c r="C15757" s="29" t="s">
        <v>26</v>
      </c>
      <c r="D15757" s="31">
        <v>52866.86</v>
      </c>
      <c r="F15757" s="3" t="str">
        <f t="shared" si="246"/>
        <v>I10398</v>
      </c>
    </row>
    <row r="15758" spans="1:6" ht="22.5" x14ac:dyDescent="0.2">
      <c r="A15758" s="29" t="s">
        <v>35042</v>
      </c>
      <c r="B15758" s="30" t="s">
        <v>35043</v>
      </c>
      <c r="C15758" s="29" t="s">
        <v>26</v>
      </c>
      <c r="D15758" s="31">
        <v>60968.24</v>
      </c>
      <c r="F15758" s="3" t="str">
        <f t="shared" si="246"/>
        <v>I10399</v>
      </c>
    </row>
    <row r="15759" spans="1:6" ht="22.5" x14ac:dyDescent="0.2">
      <c r="A15759" s="29" t="s">
        <v>35044</v>
      </c>
      <c r="B15759" s="30" t="s">
        <v>35045</v>
      </c>
      <c r="C15759" s="29" t="s">
        <v>26</v>
      </c>
      <c r="D15759" s="31">
        <v>67430.02</v>
      </c>
      <c r="F15759" s="3" t="str">
        <f t="shared" si="246"/>
        <v>I10400</v>
      </c>
    </row>
    <row r="15760" spans="1:6" ht="22.5" x14ac:dyDescent="0.2">
      <c r="A15760" s="29" t="s">
        <v>35046</v>
      </c>
      <c r="B15760" s="30" t="s">
        <v>35047</v>
      </c>
      <c r="C15760" s="29" t="s">
        <v>26</v>
      </c>
      <c r="D15760" s="31">
        <v>109795.64</v>
      </c>
      <c r="F15760" s="3" t="str">
        <f t="shared" si="246"/>
        <v>I10401</v>
      </c>
    </row>
    <row r="15761" spans="1:6" ht="22.5" x14ac:dyDescent="0.2">
      <c r="A15761" s="29" t="s">
        <v>35048</v>
      </c>
      <c r="B15761" s="30" t="s">
        <v>35049</v>
      </c>
      <c r="C15761" s="29" t="s">
        <v>26</v>
      </c>
      <c r="D15761" s="31">
        <v>179872.36</v>
      </c>
      <c r="F15761" s="3" t="str">
        <f t="shared" si="246"/>
        <v>I10402</v>
      </c>
    </row>
    <row r="15762" spans="1:6" ht="22.5" x14ac:dyDescent="0.2">
      <c r="A15762" s="29" t="s">
        <v>35050</v>
      </c>
      <c r="B15762" s="30" t="s">
        <v>35051</v>
      </c>
      <c r="C15762" s="29" t="s">
        <v>26</v>
      </c>
      <c r="D15762" s="31">
        <v>206741.4</v>
      </c>
      <c r="F15762" s="3" t="str">
        <f t="shared" si="246"/>
        <v>I10403</v>
      </c>
    </row>
    <row r="15763" spans="1:6" ht="22.5" x14ac:dyDescent="0.2">
      <c r="A15763" s="29" t="s">
        <v>35052</v>
      </c>
      <c r="B15763" s="30" t="s">
        <v>35053</v>
      </c>
      <c r="C15763" s="29" t="s">
        <v>26</v>
      </c>
      <c r="D15763" s="31">
        <v>265763.53999999998</v>
      </c>
      <c r="F15763" s="3" t="str">
        <f t="shared" si="246"/>
        <v>I10404</v>
      </c>
    </row>
    <row r="15764" spans="1:6" ht="22.5" x14ac:dyDescent="0.2">
      <c r="A15764" s="29" t="s">
        <v>35054</v>
      </c>
      <c r="B15764" s="30" t="s">
        <v>35055</v>
      </c>
      <c r="C15764" s="29" t="s">
        <v>26</v>
      </c>
      <c r="D15764" s="31">
        <v>36492.35</v>
      </c>
      <c r="F15764" s="3" t="str">
        <f t="shared" si="246"/>
        <v>I10406</v>
      </c>
    </row>
    <row r="15765" spans="1:6" ht="22.5" x14ac:dyDescent="0.2">
      <c r="A15765" s="29" t="s">
        <v>35056</v>
      </c>
      <c r="B15765" s="30" t="s">
        <v>35057</v>
      </c>
      <c r="C15765" s="29" t="s">
        <v>26</v>
      </c>
      <c r="D15765" s="31">
        <v>302542.46999999997</v>
      </c>
      <c r="F15765" s="3" t="str">
        <f t="shared" si="246"/>
        <v>I10419</v>
      </c>
    </row>
    <row r="15766" spans="1:6" ht="22.5" x14ac:dyDescent="0.2">
      <c r="A15766" s="29" t="s">
        <v>35058</v>
      </c>
      <c r="B15766" s="30" t="s">
        <v>35059</v>
      </c>
      <c r="C15766" s="29" t="s">
        <v>26</v>
      </c>
      <c r="D15766" s="31">
        <v>38406.44</v>
      </c>
      <c r="F15766" s="3" t="str">
        <f t="shared" si="246"/>
        <v>I10407</v>
      </c>
    </row>
    <row r="15767" spans="1:6" ht="22.5" x14ac:dyDescent="0.2">
      <c r="A15767" s="29" t="s">
        <v>35060</v>
      </c>
      <c r="B15767" s="30" t="s">
        <v>35061</v>
      </c>
      <c r="C15767" s="29" t="s">
        <v>26</v>
      </c>
      <c r="D15767" s="31">
        <v>43083.19</v>
      </c>
      <c r="F15767" s="3" t="str">
        <f t="shared" si="246"/>
        <v>I10408</v>
      </c>
    </row>
    <row r="15768" spans="1:6" ht="22.5" x14ac:dyDescent="0.2">
      <c r="A15768" s="29" t="s">
        <v>35062</v>
      </c>
      <c r="B15768" s="30" t="s">
        <v>35063</v>
      </c>
      <c r="C15768" s="29" t="s">
        <v>26</v>
      </c>
      <c r="D15768" s="31">
        <v>45402.76</v>
      </c>
      <c r="F15768" s="3" t="str">
        <f t="shared" si="246"/>
        <v>I10409</v>
      </c>
    </row>
    <row r="15769" spans="1:6" ht="22.5" x14ac:dyDescent="0.2">
      <c r="A15769" s="29" t="s">
        <v>35064</v>
      </c>
      <c r="B15769" s="30" t="s">
        <v>35065</v>
      </c>
      <c r="C15769" s="29" t="s">
        <v>26</v>
      </c>
      <c r="D15769" s="31">
        <v>55369.25</v>
      </c>
      <c r="F15769" s="3" t="str">
        <f t="shared" si="246"/>
        <v>I10410</v>
      </c>
    </row>
    <row r="15770" spans="1:6" ht="22.5" x14ac:dyDescent="0.2">
      <c r="A15770" s="29" t="s">
        <v>35066</v>
      </c>
      <c r="B15770" s="30" t="s">
        <v>35067</v>
      </c>
      <c r="C15770" s="29" t="s">
        <v>26</v>
      </c>
      <c r="D15770" s="31">
        <v>60823.02</v>
      </c>
      <c r="F15770" s="3" t="str">
        <f t="shared" si="246"/>
        <v>I10411</v>
      </c>
    </row>
    <row r="15771" spans="1:6" ht="22.5" x14ac:dyDescent="0.2">
      <c r="A15771" s="29" t="s">
        <v>35068</v>
      </c>
      <c r="B15771" s="30" t="s">
        <v>35069</v>
      </c>
      <c r="C15771" s="29" t="s">
        <v>26</v>
      </c>
      <c r="D15771" s="31">
        <v>68368.210000000006</v>
      </c>
      <c r="F15771" s="3" t="str">
        <f t="shared" si="246"/>
        <v>I10412</v>
      </c>
    </row>
    <row r="15772" spans="1:6" ht="22.5" x14ac:dyDescent="0.2">
      <c r="A15772" s="29" t="s">
        <v>35070</v>
      </c>
      <c r="B15772" s="30" t="s">
        <v>35071</v>
      </c>
      <c r="C15772" s="29" t="s">
        <v>26</v>
      </c>
      <c r="D15772" s="31">
        <v>75492.78</v>
      </c>
      <c r="F15772" s="3" t="str">
        <f t="shared" si="246"/>
        <v>I10413</v>
      </c>
    </row>
    <row r="15773" spans="1:6" ht="22.5" x14ac:dyDescent="0.2">
      <c r="A15773" s="29" t="s">
        <v>35072</v>
      </c>
      <c r="B15773" s="30" t="s">
        <v>35073</v>
      </c>
      <c r="C15773" s="29" t="s">
        <v>26</v>
      </c>
      <c r="D15773" s="31">
        <v>81174.7</v>
      </c>
      <c r="F15773" s="3" t="str">
        <f t="shared" si="246"/>
        <v>I10414</v>
      </c>
    </row>
    <row r="15774" spans="1:6" ht="22.5" x14ac:dyDescent="0.2">
      <c r="A15774" s="29" t="s">
        <v>35074</v>
      </c>
      <c r="B15774" s="30" t="s">
        <v>35075</v>
      </c>
      <c r="C15774" s="29" t="s">
        <v>26</v>
      </c>
      <c r="D15774" s="31">
        <v>118434.51</v>
      </c>
      <c r="F15774" s="3" t="str">
        <f t="shared" si="246"/>
        <v>I10415</v>
      </c>
    </row>
    <row r="15775" spans="1:6" ht="22.5" x14ac:dyDescent="0.2">
      <c r="A15775" s="29" t="s">
        <v>35076</v>
      </c>
      <c r="B15775" s="30" t="s">
        <v>35077</v>
      </c>
      <c r="C15775" s="29" t="s">
        <v>26</v>
      </c>
      <c r="D15775" s="31">
        <v>174426.22</v>
      </c>
      <c r="F15775" s="3" t="str">
        <f t="shared" si="246"/>
        <v>I10416</v>
      </c>
    </row>
    <row r="15776" spans="1:6" ht="22.5" x14ac:dyDescent="0.2">
      <c r="A15776" s="29" t="s">
        <v>35078</v>
      </c>
      <c r="B15776" s="30" t="s">
        <v>35079</v>
      </c>
      <c r="C15776" s="29" t="s">
        <v>26</v>
      </c>
      <c r="D15776" s="31">
        <v>197316.16</v>
      </c>
      <c r="F15776" s="3" t="str">
        <f t="shared" si="246"/>
        <v>I10417</v>
      </c>
    </row>
    <row r="15777" spans="1:6" ht="22.5" x14ac:dyDescent="0.2">
      <c r="A15777" s="29" t="s">
        <v>35080</v>
      </c>
      <c r="B15777" s="30" t="s">
        <v>35081</v>
      </c>
      <c r="C15777" s="29" t="s">
        <v>26</v>
      </c>
      <c r="D15777" s="31">
        <v>247597.5</v>
      </c>
      <c r="F15777" s="3" t="str">
        <f t="shared" si="246"/>
        <v>I10418</v>
      </c>
    </row>
    <row r="15778" spans="1:6" ht="22.5" x14ac:dyDescent="0.2">
      <c r="A15778" s="29" t="s">
        <v>35082</v>
      </c>
      <c r="B15778" s="30" t="s">
        <v>35083</v>
      </c>
      <c r="C15778" s="29" t="s">
        <v>26</v>
      </c>
      <c r="D15778" s="31">
        <v>36492.35</v>
      </c>
      <c r="F15778" s="3" t="str">
        <f t="shared" si="246"/>
        <v>I10420</v>
      </c>
    </row>
    <row r="15779" spans="1:6" ht="22.5" x14ac:dyDescent="0.2">
      <c r="A15779" s="29" t="s">
        <v>35084</v>
      </c>
      <c r="B15779" s="30" t="s">
        <v>35085</v>
      </c>
      <c r="C15779" s="29" t="s">
        <v>26</v>
      </c>
      <c r="D15779" s="31">
        <v>313514.13</v>
      </c>
      <c r="F15779" s="3" t="str">
        <f t="shared" si="246"/>
        <v>I10433</v>
      </c>
    </row>
    <row r="15780" spans="1:6" ht="22.5" x14ac:dyDescent="0.2">
      <c r="A15780" s="29" t="s">
        <v>35086</v>
      </c>
      <c r="B15780" s="30" t="s">
        <v>35087</v>
      </c>
      <c r="C15780" s="29" t="s">
        <v>26</v>
      </c>
      <c r="D15780" s="31">
        <v>38406.44</v>
      </c>
      <c r="F15780" s="3" t="str">
        <f t="shared" si="246"/>
        <v>I10421</v>
      </c>
    </row>
    <row r="15781" spans="1:6" ht="22.5" x14ac:dyDescent="0.2">
      <c r="A15781" s="29" t="s">
        <v>35088</v>
      </c>
      <c r="B15781" s="30" t="s">
        <v>35089</v>
      </c>
      <c r="C15781" s="29" t="s">
        <v>26</v>
      </c>
      <c r="D15781" s="31">
        <v>44001.67</v>
      </c>
      <c r="F15781" s="3" t="str">
        <f t="shared" si="246"/>
        <v>I10422</v>
      </c>
    </row>
    <row r="15782" spans="1:6" ht="22.5" x14ac:dyDescent="0.2">
      <c r="A15782" s="29" t="s">
        <v>35090</v>
      </c>
      <c r="B15782" s="30" t="s">
        <v>35091</v>
      </c>
      <c r="C15782" s="29" t="s">
        <v>26</v>
      </c>
      <c r="D15782" s="31">
        <v>46736.07</v>
      </c>
      <c r="F15782" s="3" t="str">
        <f t="shared" si="246"/>
        <v>I10423</v>
      </c>
    </row>
    <row r="15783" spans="1:6" ht="22.5" x14ac:dyDescent="0.2">
      <c r="A15783" s="29" t="s">
        <v>35092</v>
      </c>
      <c r="B15783" s="30" t="s">
        <v>35093</v>
      </c>
      <c r="C15783" s="29" t="s">
        <v>26</v>
      </c>
      <c r="D15783" s="31">
        <v>57585.07</v>
      </c>
      <c r="F15783" s="3" t="str">
        <f t="shared" si="246"/>
        <v>I10424</v>
      </c>
    </row>
    <row r="15784" spans="1:6" ht="22.5" x14ac:dyDescent="0.2">
      <c r="A15784" s="29" t="s">
        <v>35094</v>
      </c>
      <c r="B15784" s="30" t="s">
        <v>35095</v>
      </c>
      <c r="C15784" s="29" t="s">
        <v>26</v>
      </c>
      <c r="D15784" s="31">
        <v>63255.7</v>
      </c>
      <c r="F15784" s="3" t="str">
        <f t="shared" si="246"/>
        <v>I10425</v>
      </c>
    </row>
    <row r="15785" spans="1:6" ht="22.5" x14ac:dyDescent="0.2">
      <c r="A15785" s="29" t="s">
        <v>35096</v>
      </c>
      <c r="B15785" s="30" t="s">
        <v>35097</v>
      </c>
      <c r="C15785" s="29" t="s">
        <v>26</v>
      </c>
      <c r="D15785" s="31">
        <v>71104.45</v>
      </c>
      <c r="F15785" s="3" t="str">
        <f t="shared" si="246"/>
        <v>I10426</v>
      </c>
    </row>
    <row r="15786" spans="1:6" ht="22.5" x14ac:dyDescent="0.2">
      <c r="A15786" s="29" t="s">
        <v>35098</v>
      </c>
      <c r="B15786" s="30" t="s">
        <v>35099</v>
      </c>
      <c r="C15786" s="29" t="s">
        <v>26</v>
      </c>
      <c r="D15786" s="31">
        <v>78513.87</v>
      </c>
      <c r="F15786" s="3" t="str">
        <f t="shared" si="246"/>
        <v>I10427</v>
      </c>
    </row>
    <row r="15787" spans="1:6" ht="22.5" x14ac:dyDescent="0.2">
      <c r="A15787" s="29" t="s">
        <v>35100</v>
      </c>
      <c r="B15787" s="30" t="s">
        <v>35101</v>
      </c>
      <c r="C15787" s="29" t="s">
        <v>26</v>
      </c>
      <c r="D15787" s="31">
        <v>84422.1</v>
      </c>
      <c r="F15787" s="3" t="str">
        <f t="shared" si="246"/>
        <v>I10428</v>
      </c>
    </row>
    <row r="15788" spans="1:6" ht="22.5" x14ac:dyDescent="0.2">
      <c r="A15788" s="29" t="s">
        <v>35102</v>
      </c>
      <c r="B15788" s="30" t="s">
        <v>35103</v>
      </c>
      <c r="C15788" s="29" t="s">
        <v>26</v>
      </c>
      <c r="D15788" s="31">
        <v>123170.71</v>
      </c>
      <c r="F15788" s="3" t="str">
        <f t="shared" si="246"/>
        <v>I10429</v>
      </c>
    </row>
    <row r="15789" spans="1:6" ht="22.5" x14ac:dyDescent="0.2">
      <c r="A15789" s="29" t="s">
        <v>35104</v>
      </c>
      <c r="B15789" s="30" t="s">
        <v>35105</v>
      </c>
      <c r="C15789" s="29" t="s">
        <v>26</v>
      </c>
      <c r="D15789" s="31">
        <v>180751.21</v>
      </c>
      <c r="F15789" s="3" t="str">
        <f t="shared" si="246"/>
        <v>I10430</v>
      </c>
    </row>
    <row r="15790" spans="1:6" ht="22.5" x14ac:dyDescent="0.2">
      <c r="A15790" s="29" t="s">
        <v>35106</v>
      </c>
      <c r="B15790" s="30" t="s">
        <v>35107</v>
      </c>
      <c r="C15790" s="29" t="s">
        <v>26</v>
      </c>
      <c r="D15790" s="31">
        <v>204472.74</v>
      </c>
      <c r="F15790" s="3" t="str">
        <f t="shared" si="246"/>
        <v>I10431</v>
      </c>
    </row>
    <row r="15791" spans="1:6" ht="22.5" x14ac:dyDescent="0.2">
      <c r="A15791" s="29" t="s">
        <v>35108</v>
      </c>
      <c r="B15791" s="30" t="s">
        <v>35109</v>
      </c>
      <c r="C15791" s="29" t="s">
        <v>26</v>
      </c>
      <c r="D15791" s="31">
        <v>256577.72</v>
      </c>
      <c r="F15791" s="3" t="str">
        <f t="shared" si="246"/>
        <v>I10432</v>
      </c>
    </row>
    <row r="15792" spans="1:6" ht="22.5" x14ac:dyDescent="0.2">
      <c r="A15792" s="29" t="s">
        <v>35110</v>
      </c>
      <c r="B15792" s="30" t="s">
        <v>35111</v>
      </c>
      <c r="C15792" s="29" t="s">
        <v>26</v>
      </c>
      <c r="D15792" s="31">
        <v>39047.589999999997</v>
      </c>
      <c r="F15792" s="3" t="str">
        <f t="shared" si="246"/>
        <v>I10434</v>
      </c>
    </row>
    <row r="15793" spans="1:6" ht="22.5" x14ac:dyDescent="0.2">
      <c r="A15793" s="29" t="s">
        <v>35112</v>
      </c>
      <c r="B15793" s="30" t="s">
        <v>35113</v>
      </c>
      <c r="C15793" s="29" t="s">
        <v>26</v>
      </c>
      <c r="D15793" s="31">
        <v>360542.47</v>
      </c>
      <c r="F15793" s="3" t="str">
        <f t="shared" si="246"/>
        <v>I10447</v>
      </c>
    </row>
    <row r="15794" spans="1:6" ht="22.5" x14ac:dyDescent="0.2">
      <c r="A15794" s="29" t="s">
        <v>35114</v>
      </c>
      <c r="B15794" s="30" t="s">
        <v>35115</v>
      </c>
      <c r="C15794" s="29" t="s">
        <v>26</v>
      </c>
      <c r="D15794" s="31">
        <v>41093.69</v>
      </c>
      <c r="F15794" s="3" t="str">
        <f t="shared" si="246"/>
        <v>I10435</v>
      </c>
    </row>
    <row r="15795" spans="1:6" ht="22.5" x14ac:dyDescent="0.2">
      <c r="A15795" s="29" t="s">
        <v>35116</v>
      </c>
      <c r="B15795" s="30" t="s">
        <v>35117</v>
      </c>
      <c r="C15795" s="29" t="s">
        <v>26</v>
      </c>
      <c r="D15795" s="31">
        <v>47083.02</v>
      </c>
      <c r="F15795" s="3" t="str">
        <f t="shared" si="246"/>
        <v>I10436</v>
      </c>
    </row>
    <row r="15796" spans="1:6" ht="22.5" x14ac:dyDescent="0.2">
      <c r="A15796" s="29" t="s">
        <v>35118</v>
      </c>
      <c r="B15796" s="30" t="s">
        <v>35119</v>
      </c>
      <c r="C15796" s="29" t="s">
        <v>26</v>
      </c>
      <c r="D15796" s="31">
        <v>50007.97</v>
      </c>
      <c r="F15796" s="3" t="str">
        <f t="shared" si="246"/>
        <v>I10437</v>
      </c>
    </row>
    <row r="15797" spans="1:6" ht="22.5" x14ac:dyDescent="0.2">
      <c r="A15797" s="29" t="s">
        <v>35120</v>
      </c>
      <c r="B15797" s="30" t="s">
        <v>35121</v>
      </c>
      <c r="C15797" s="29" t="s">
        <v>26</v>
      </c>
      <c r="D15797" s="31">
        <v>63917.68</v>
      </c>
      <c r="F15797" s="3" t="str">
        <f t="shared" si="246"/>
        <v>I10438</v>
      </c>
    </row>
    <row r="15798" spans="1:6" ht="22.5" x14ac:dyDescent="0.2">
      <c r="A15798" s="29" t="s">
        <v>35122</v>
      </c>
      <c r="B15798" s="30" t="s">
        <v>35123</v>
      </c>
      <c r="C15798" s="29" t="s">
        <v>26</v>
      </c>
      <c r="D15798" s="31">
        <v>70214.42</v>
      </c>
      <c r="F15798" s="3" t="str">
        <f t="shared" si="246"/>
        <v>I10439</v>
      </c>
    </row>
    <row r="15799" spans="1:6" ht="22.5" x14ac:dyDescent="0.2">
      <c r="A15799" s="29" t="s">
        <v>35124</v>
      </c>
      <c r="B15799" s="30" t="s">
        <v>35125</v>
      </c>
      <c r="C15799" s="29" t="s">
        <v>26</v>
      </c>
      <c r="D15799" s="31">
        <v>78924.94</v>
      </c>
      <c r="F15799" s="3" t="str">
        <f t="shared" si="246"/>
        <v>I10440</v>
      </c>
    </row>
    <row r="15800" spans="1:6" ht="22.5" x14ac:dyDescent="0.2">
      <c r="A15800" s="29" t="s">
        <v>35126</v>
      </c>
      <c r="B15800" s="30" t="s">
        <v>35127</v>
      </c>
      <c r="C15800" s="29" t="s">
        <v>26</v>
      </c>
      <c r="D15800" s="31">
        <v>87148.98</v>
      </c>
      <c r="F15800" s="3" t="str">
        <f t="shared" si="246"/>
        <v>I10441</v>
      </c>
    </row>
    <row r="15801" spans="1:6" ht="22.5" x14ac:dyDescent="0.2">
      <c r="A15801" s="29" t="s">
        <v>35128</v>
      </c>
      <c r="B15801" s="30" t="s">
        <v>35129</v>
      </c>
      <c r="C15801" s="29" t="s">
        <v>26</v>
      </c>
      <c r="D15801" s="31">
        <v>93709.74</v>
      </c>
      <c r="F15801" s="3" t="str">
        <f t="shared" si="246"/>
        <v>I10442</v>
      </c>
    </row>
    <row r="15802" spans="1:6" ht="22.5" x14ac:dyDescent="0.2">
      <c r="A15802" s="29" t="s">
        <v>35130</v>
      </c>
      <c r="B15802" s="30" t="s">
        <v>35131</v>
      </c>
      <c r="C15802" s="29" t="s">
        <v>26</v>
      </c>
      <c r="D15802" s="31">
        <v>136721.29</v>
      </c>
      <c r="F15802" s="3" t="str">
        <f t="shared" si="246"/>
        <v>I10443</v>
      </c>
    </row>
    <row r="15803" spans="1:6" ht="22.5" x14ac:dyDescent="0.2">
      <c r="A15803" s="29" t="s">
        <v>35132</v>
      </c>
      <c r="B15803" s="30" t="s">
        <v>35133</v>
      </c>
      <c r="C15803" s="29" t="s">
        <v>26</v>
      </c>
      <c r="D15803" s="31">
        <v>207865.37</v>
      </c>
      <c r="F15803" s="3" t="str">
        <f t="shared" si="246"/>
        <v>I10444</v>
      </c>
    </row>
    <row r="15804" spans="1:6" ht="22.5" x14ac:dyDescent="0.2">
      <c r="A15804" s="29" t="s">
        <v>35134</v>
      </c>
      <c r="B15804" s="30" t="s">
        <v>35135</v>
      </c>
      <c r="C15804" s="29" t="s">
        <v>26</v>
      </c>
      <c r="D15804" s="31">
        <v>235143.65</v>
      </c>
      <c r="F15804" s="3" t="str">
        <f t="shared" si="246"/>
        <v>I10445</v>
      </c>
    </row>
    <row r="15805" spans="1:6" ht="22.5" x14ac:dyDescent="0.2">
      <c r="A15805" s="29" t="s">
        <v>35136</v>
      </c>
      <c r="B15805" s="30" t="s">
        <v>35137</v>
      </c>
      <c r="C15805" s="29" t="s">
        <v>26</v>
      </c>
      <c r="D15805" s="31">
        <v>295065.26</v>
      </c>
      <c r="F15805" s="3" t="str">
        <f t="shared" si="246"/>
        <v>I10446</v>
      </c>
    </row>
    <row r="15806" spans="1:6" x14ac:dyDescent="0.2">
      <c r="A15806" s="29" t="s">
        <v>35138</v>
      </c>
      <c r="B15806" s="30" t="s">
        <v>35139</v>
      </c>
      <c r="C15806" s="29" t="s">
        <v>26</v>
      </c>
      <c r="D15806" s="31">
        <v>3028.68</v>
      </c>
      <c r="F15806" s="3" t="str">
        <f t="shared" si="246"/>
        <v>I7077</v>
      </c>
    </row>
    <row r="15807" spans="1:6" x14ac:dyDescent="0.2">
      <c r="A15807" s="29" t="s">
        <v>35140</v>
      </c>
      <c r="B15807" s="30" t="s">
        <v>35141</v>
      </c>
      <c r="C15807" s="29" t="s">
        <v>26</v>
      </c>
      <c r="D15807" s="31">
        <v>7932.26</v>
      </c>
      <c r="F15807" s="3" t="str">
        <f t="shared" si="246"/>
        <v>I7304</v>
      </c>
    </row>
    <row r="15808" spans="1:6" x14ac:dyDescent="0.2">
      <c r="A15808" s="29" t="s">
        <v>35142</v>
      </c>
      <c r="B15808" s="30" t="s">
        <v>35143</v>
      </c>
      <c r="C15808" s="29" t="s">
        <v>26</v>
      </c>
      <c r="D15808" s="31">
        <v>9760.69</v>
      </c>
      <c r="F15808" s="3" t="str">
        <f t="shared" si="246"/>
        <v>I7280</v>
      </c>
    </row>
    <row r="15809" spans="1:6" x14ac:dyDescent="0.2">
      <c r="A15809" s="29" t="s">
        <v>35144</v>
      </c>
      <c r="B15809" s="30" t="s">
        <v>35145</v>
      </c>
      <c r="C15809" s="29" t="s">
        <v>26</v>
      </c>
      <c r="D15809" s="31">
        <v>10082.77</v>
      </c>
      <c r="F15809" s="3" t="str">
        <f t="shared" si="246"/>
        <v>I7285</v>
      </c>
    </row>
    <row r="15810" spans="1:6" x14ac:dyDescent="0.2">
      <c r="A15810" s="29" t="s">
        <v>35146</v>
      </c>
      <c r="B15810" s="30" t="s">
        <v>35147</v>
      </c>
      <c r="C15810" s="29" t="s">
        <v>26</v>
      </c>
      <c r="D15810" s="31">
        <v>11427.13</v>
      </c>
      <c r="F15810" s="3" t="str">
        <f t="shared" ref="F15810:F15873" si="247">A15810</f>
        <v>I7286</v>
      </c>
    </row>
    <row r="15811" spans="1:6" x14ac:dyDescent="0.2">
      <c r="A15811" s="29" t="s">
        <v>35148</v>
      </c>
      <c r="B15811" s="30" t="s">
        <v>35149</v>
      </c>
      <c r="C15811" s="29" t="s">
        <v>26</v>
      </c>
      <c r="D15811" s="31">
        <v>11978.31</v>
      </c>
      <c r="F15811" s="3" t="str">
        <f t="shared" si="247"/>
        <v>I7287</v>
      </c>
    </row>
    <row r="15812" spans="1:6" x14ac:dyDescent="0.2">
      <c r="A15812" s="29" t="s">
        <v>35150</v>
      </c>
      <c r="B15812" s="30" t="s">
        <v>35151</v>
      </c>
      <c r="C15812" s="29" t="s">
        <v>26</v>
      </c>
      <c r="D15812" s="31">
        <v>14957.51</v>
      </c>
      <c r="F15812" s="3" t="str">
        <f t="shared" si="247"/>
        <v>I7288</v>
      </c>
    </row>
    <row r="15813" spans="1:6" x14ac:dyDescent="0.2">
      <c r="A15813" s="29" t="s">
        <v>35152</v>
      </c>
      <c r="B15813" s="30" t="s">
        <v>35153</v>
      </c>
      <c r="C15813" s="29" t="s">
        <v>26</v>
      </c>
      <c r="D15813" s="31">
        <v>15027.51</v>
      </c>
      <c r="F15813" s="3" t="str">
        <f t="shared" si="247"/>
        <v>I7289</v>
      </c>
    </row>
    <row r="15814" spans="1:6" x14ac:dyDescent="0.2">
      <c r="A15814" s="29" t="s">
        <v>35154</v>
      </c>
      <c r="B15814" s="30" t="s">
        <v>35155</v>
      </c>
      <c r="C15814" s="29" t="s">
        <v>26</v>
      </c>
      <c r="D15814" s="31">
        <v>15693.45</v>
      </c>
      <c r="F15814" s="3" t="str">
        <f t="shared" si="247"/>
        <v>I7290</v>
      </c>
    </row>
    <row r="15815" spans="1:6" x14ac:dyDescent="0.2">
      <c r="A15815" s="29" t="s">
        <v>35156</v>
      </c>
      <c r="B15815" s="30" t="s">
        <v>35157</v>
      </c>
      <c r="C15815" s="29" t="s">
        <v>26</v>
      </c>
      <c r="D15815" s="31">
        <v>16997.78</v>
      </c>
      <c r="F15815" s="3" t="str">
        <f t="shared" si="247"/>
        <v>I7291</v>
      </c>
    </row>
    <row r="15816" spans="1:6" x14ac:dyDescent="0.2">
      <c r="A15816" s="29" t="s">
        <v>35158</v>
      </c>
      <c r="B15816" s="30" t="s">
        <v>35159</v>
      </c>
      <c r="C15816" s="29" t="s">
        <v>26</v>
      </c>
      <c r="D15816" s="31">
        <v>19432.38</v>
      </c>
      <c r="F15816" s="3" t="str">
        <f t="shared" si="247"/>
        <v>I7292</v>
      </c>
    </row>
    <row r="15817" spans="1:6" x14ac:dyDescent="0.2">
      <c r="A15817" s="29" t="s">
        <v>35160</v>
      </c>
      <c r="B15817" s="30" t="s">
        <v>35161</v>
      </c>
      <c r="C15817" s="29" t="s">
        <v>26</v>
      </c>
      <c r="D15817" s="31">
        <v>20557.09</v>
      </c>
      <c r="F15817" s="3" t="str">
        <f t="shared" si="247"/>
        <v>I7293</v>
      </c>
    </row>
    <row r="15818" spans="1:6" x14ac:dyDescent="0.2">
      <c r="A15818" s="29" t="s">
        <v>35162</v>
      </c>
      <c r="B15818" s="30" t="s">
        <v>35163</v>
      </c>
      <c r="C15818" s="29" t="s">
        <v>26</v>
      </c>
      <c r="D15818" s="31">
        <v>22914.1</v>
      </c>
      <c r="F15818" s="3" t="str">
        <f t="shared" si="247"/>
        <v>I7294</v>
      </c>
    </row>
    <row r="15819" spans="1:6" x14ac:dyDescent="0.2">
      <c r="A15819" s="29" t="s">
        <v>35164</v>
      </c>
      <c r="B15819" s="30" t="s">
        <v>35165</v>
      </c>
      <c r="C15819" s="29" t="s">
        <v>26</v>
      </c>
      <c r="D15819" s="31">
        <v>25730.54</v>
      </c>
      <c r="F15819" s="3" t="str">
        <f t="shared" si="247"/>
        <v>I7295</v>
      </c>
    </row>
    <row r="15820" spans="1:6" x14ac:dyDescent="0.2">
      <c r="A15820" s="29" t="s">
        <v>35166</v>
      </c>
      <c r="B15820" s="30" t="s">
        <v>35167</v>
      </c>
      <c r="C15820" s="29" t="s">
        <v>26</v>
      </c>
      <c r="D15820" s="31">
        <v>26176.73</v>
      </c>
      <c r="F15820" s="3" t="str">
        <f t="shared" si="247"/>
        <v>I7296</v>
      </c>
    </row>
    <row r="15821" spans="1:6" x14ac:dyDescent="0.2">
      <c r="A15821" s="29" t="s">
        <v>35168</v>
      </c>
      <c r="B15821" s="30" t="s">
        <v>35169</v>
      </c>
      <c r="C15821" s="29" t="s">
        <v>26</v>
      </c>
      <c r="D15821" s="31">
        <v>29322.5</v>
      </c>
      <c r="F15821" s="3" t="str">
        <f t="shared" si="247"/>
        <v>I7297</v>
      </c>
    </row>
    <row r="15822" spans="1:6" x14ac:dyDescent="0.2">
      <c r="A15822" s="29" t="s">
        <v>35170</v>
      </c>
      <c r="B15822" s="30" t="s">
        <v>35171</v>
      </c>
      <c r="C15822" s="29" t="s">
        <v>26</v>
      </c>
      <c r="D15822" s="31">
        <v>29829.94</v>
      </c>
      <c r="F15822" s="3" t="str">
        <f t="shared" si="247"/>
        <v>I7298</v>
      </c>
    </row>
    <row r="15823" spans="1:6" x14ac:dyDescent="0.2">
      <c r="A15823" s="29" t="s">
        <v>35172</v>
      </c>
      <c r="B15823" s="30" t="s">
        <v>35173</v>
      </c>
      <c r="C15823" s="29" t="s">
        <v>26</v>
      </c>
      <c r="D15823" s="31">
        <v>30040.03</v>
      </c>
      <c r="F15823" s="3" t="str">
        <f t="shared" si="247"/>
        <v>I7299</v>
      </c>
    </row>
    <row r="15824" spans="1:6" x14ac:dyDescent="0.2">
      <c r="A15824" s="29" t="s">
        <v>35174</v>
      </c>
      <c r="B15824" s="30" t="s">
        <v>35175</v>
      </c>
      <c r="C15824" s="29" t="s">
        <v>26</v>
      </c>
      <c r="D15824" s="31">
        <v>34448.769999999997</v>
      </c>
      <c r="F15824" s="3" t="str">
        <f t="shared" si="247"/>
        <v>I7300</v>
      </c>
    </row>
    <row r="15825" spans="1:6" x14ac:dyDescent="0.2">
      <c r="A15825" s="29" t="s">
        <v>35176</v>
      </c>
      <c r="B15825" s="30" t="s">
        <v>35177</v>
      </c>
      <c r="C15825" s="29" t="s">
        <v>26</v>
      </c>
      <c r="D15825" s="31">
        <v>35664.639999999999</v>
      </c>
      <c r="F15825" s="3" t="str">
        <f t="shared" si="247"/>
        <v>I7301</v>
      </c>
    </row>
    <row r="15826" spans="1:6" x14ac:dyDescent="0.2">
      <c r="A15826" s="29" t="s">
        <v>35178</v>
      </c>
      <c r="B15826" s="30" t="s">
        <v>35179</v>
      </c>
      <c r="C15826" s="29" t="s">
        <v>26</v>
      </c>
      <c r="D15826" s="31">
        <v>50935.68</v>
      </c>
      <c r="F15826" s="3" t="str">
        <f t="shared" si="247"/>
        <v>I7302</v>
      </c>
    </row>
    <row r="15827" spans="1:6" x14ac:dyDescent="0.2">
      <c r="A15827" s="29" t="s">
        <v>35180</v>
      </c>
      <c r="B15827" s="30" t="s">
        <v>35181</v>
      </c>
      <c r="C15827" s="29" t="s">
        <v>26</v>
      </c>
      <c r="D15827" s="31">
        <v>56036.33</v>
      </c>
      <c r="F15827" s="3" t="str">
        <f t="shared" si="247"/>
        <v>I7303</v>
      </c>
    </row>
    <row r="15828" spans="1:6" x14ac:dyDescent="0.2">
      <c r="A15828" s="29" t="s">
        <v>35182</v>
      </c>
      <c r="B15828" s="30" t="s">
        <v>35183</v>
      </c>
      <c r="C15828" s="29" t="s">
        <v>26</v>
      </c>
      <c r="D15828" s="31">
        <v>47684.32</v>
      </c>
      <c r="F15828" s="3" t="str">
        <f t="shared" si="247"/>
        <v>I7305</v>
      </c>
    </row>
    <row r="15829" spans="1:6" x14ac:dyDescent="0.2">
      <c r="A15829" s="29" t="s">
        <v>35184</v>
      </c>
      <c r="B15829" s="30" t="s">
        <v>35185</v>
      </c>
      <c r="C15829" s="29" t="s">
        <v>26</v>
      </c>
      <c r="D15829" s="31">
        <v>56998.91</v>
      </c>
      <c r="F15829" s="3" t="str">
        <f t="shared" si="247"/>
        <v>I7306</v>
      </c>
    </row>
    <row r="15830" spans="1:6" x14ac:dyDescent="0.2">
      <c r="A15830" s="29" t="s">
        <v>35186</v>
      </c>
      <c r="B15830" s="30" t="s">
        <v>35187</v>
      </c>
      <c r="C15830" s="29" t="s">
        <v>26</v>
      </c>
      <c r="D15830" s="31">
        <v>60769.63</v>
      </c>
      <c r="F15830" s="3" t="str">
        <f t="shared" si="247"/>
        <v>I7307</v>
      </c>
    </row>
    <row r="15831" spans="1:6" x14ac:dyDescent="0.2">
      <c r="A15831" s="29" t="s">
        <v>35188</v>
      </c>
      <c r="B15831" s="30" t="s">
        <v>35189</v>
      </c>
      <c r="C15831" s="29" t="s">
        <v>26</v>
      </c>
      <c r="D15831" s="31">
        <v>61001.16</v>
      </c>
      <c r="F15831" s="3" t="str">
        <f t="shared" si="247"/>
        <v>I7308</v>
      </c>
    </row>
    <row r="15832" spans="1:6" x14ac:dyDescent="0.2">
      <c r="A15832" s="29" t="s">
        <v>35190</v>
      </c>
      <c r="B15832" s="30" t="s">
        <v>35191</v>
      </c>
      <c r="C15832" s="29" t="s">
        <v>26</v>
      </c>
      <c r="D15832" s="31">
        <v>74761.759999999995</v>
      </c>
      <c r="F15832" s="3" t="str">
        <f t="shared" si="247"/>
        <v>I7309</v>
      </c>
    </row>
    <row r="15833" spans="1:6" x14ac:dyDescent="0.2">
      <c r="A15833" s="29" t="s">
        <v>35192</v>
      </c>
      <c r="B15833" s="30" t="s">
        <v>35193</v>
      </c>
      <c r="C15833" s="29" t="s">
        <v>26</v>
      </c>
      <c r="D15833" s="31">
        <v>78336.960000000006</v>
      </c>
      <c r="F15833" s="3" t="str">
        <f t="shared" si="247"/>
        <v>I7310</v>
      </c>
    </row>
    <row r="15834" spans="1:6" x14ac:dyDescent="0.2">
      <c r="A15834" s="29" t="s">
        <v>35194</v>
      </c>
      <c r="B15834" s="30" t="s">
        <v>35195</v>
      </c>
      <c r="C15834" s="29" t="s">
        <v>26</v>
      </c>
      <c r="D15834" s="31">
        <v>95548.03</v>
      </c>
      <c r="F15834" s="3" t="str">
        <f t="shared" si="247"/>
        <v>I7281</v>
      </c>
    </row>
    <row r="15835" spans="1:6" x14ac:dyDescent="0.2">
      <c r="A15835" s="29" t="s">
        <v>35196</v>
      </c>
      <c r="B15835" s="30" t="s">
        <v>35197</v>
      </c>
      <c r="C15835" s="29" t="s">
        <v>26</v>
      </c>
      <c r="D15835" s="31">
        <v>102417.89</v>
      </c>
      <c r="F15835" s="3" t="str">
        <f t="shared" si="247"/>
        <v>I7282</v>
      </c>
    </row>
    <row r="15836" spans="1:6" x14ac:dyDescent="0.2">
      <c r="A15836" s="29" t="s">
        <v>35198</v>
      </c>
      <c r="B15836" s="30" t="s">
        <v>35199</v>
      </c>
      <c r="C15836" s="29" t="s">
        <v>26</v>
      </c>
      <c r="D15836" s="31">
        <v>126602.51</v>
      </c>
      <c r="F15836" s="3" t="str">
        <f t="shared" si="247"/>
        <v>I7283</v>
      </c>
    </row>
    <row r="15837" spans="1:6" x14ac:dyDescent="0.2">
      <c r="A15837" s="29" t="s">
        <v>35200</v>
      </c>
      <c r="B15837" s="30" t="s">
        <v>35201</v>
      </c>
      <c r="C15837" s="29" t="s">
        <v>26</v>
      </c>
      <c r="D15837" s="31">
        <v>128004.57</v>
      </c>
      <c r="F15837" s="3" t="str">
        <f t="shared" si="247"/>
        <v>I7284</v>
      </c>
    </row>
    <row r="15838" spans="1:6" x14ac:dyDescent="0.2">
      <c r="A15838" s="29" t="s">
        <v>35202</v>
      </c>
      <c r="B15838" s="30" t="s">
        <v>35203</v>
      </c>
      <c r="C15838" s="29" t="s">
        <v>26</v>
      </c>
      <c r="D15838" s="31">
        <v>10975.35</v>
      </c>
      <c r="F15838" s="3" t="str">
        <f t="shared" si="247"/>
        <v>I8001</v>
      </c>
    </row>
    <row r="15839" spans="1:6" x14ac:dyDescent="0.2">
      <c r="A15839" s="29" t="s">
        <v>35204</v>
      </c>
      <c r="B15839" s="30" t="s">
        <v>35205</v>
      </c>
      <c r="C15839" s="29" t="s">
        <v>26</v>
      </c>
      <c r="D15839" s="31">
        <v>14564.16</v>
      </c>
      <c r="F15839" s="3" t="str">
        <f t="shared" si="247"/>
        <v>I8002</v>
      </c>
    </row>
    <row r="15840" spans="1:6" x14ac:dyDescent="0.2">
      <c r="A15840" s="29" t="s">
        <v>35206</v>
      </c>
      <c r="B15840" s="30" t="s">
        <v>35207</v>
      </c>
      <c r="C15840" s="29" t="s">
        <v>26</v>
      </c>
      <c r="D15840" s="31">
        <v>15185.85</v>
      </c>
      <c r="F15840" s="3" t="str">
        <f t="shared" si="247"/>
        <v>I8003</v>
      </c>
    </row>
    <row r="15841" spans="1:6" x14ac:dyDescent="0.2">
      <c r="A15841" s="29" t="s">
        <v>35208</v>
      </c>
      <c r="B15841" s="30" t="s">
        <v>35209</v>
      </c>
      <c r="C15841" s="29" t="s">
        <v>26</v>
      </c>
      <c r="D15841" s="31">
        <v>18929.34</v>
      </c>
      <c r="F15841" s="3" t="str">
        <f t="shared" si="247"/>
        <v>I8004</v>
      </c>
    </row>
    <row r="15842" spans="1:6" x14ac:dyDescent="0.2">
      <c r="A15842" s="29" t="s">
        <v>35210</v>
      </c>
      <c r="B15842" s="30" t="s">
        <v>35211</v>
      </c>
      <c r="C15842" s="29" t="s">
        <v>26</v>
      </c>
      <c r="D15842" s="31">
        <v>22460.69</v>
      </c>
      <c r="F15842" s="3" t="str">
        <f t="shared" si="247"/>
        <v>I8005</v>
      </c>
    </row>
    <row r="15843" spans="1:6" x14ac:dyDescent="0.2">
      <c r="A15843" s="29" t="s">
        <v>35212</v>
      </c>
      <c r="B15843" s="30" t="s">
        <v>35213</v>
      </c>
      <c r="C15843" s="29" t="s">
        <v>26</v>
      </c>
      <c r="D15843" s="31">
        <v>25707.279999999999</v>
      </c>
      <c r="F15843" s="3" t="str">
        <f t="shared" si="247"/>
        <v>I8006</v>
      </c>
    </row>
    <row r="15844" spans="1:6" x14ac:dyDescent="0.2">
      <c r="A15844" s="29" t="s">
        <v>35214</v>
      </c>
      <c r="B15844" s="30" t="s">
        <v>35215</v>
      </c>
      <c r="C15844" s="29" t="s">
        <v>26</v>
      </c>
      <c r="D15844" s="31">
        <v>29467.02</v>
      </c>
      <c r="F15844" s="3" t="str">
        <f t="shared" si="247"/>
        <v>I8007</v>
      </c>
    </row>
    <row r="15845" spans="1:6" x14ac:dyDescent="0.2">
      <c r="A15845" s="29" t="s">
        <v>35216</v>
      </c>
      <c r="B15845" s="30" t="s">
        <v>35217</v>
      </c>
      <c r="C15845" s="29" t="s">
        <v>26</v>
      </c>
      <c r="D15845" s="31">
        <v>34028.85</v>
      </c>
      <c r="F15845" s="3" t="str">
        <f t="shared" si="247"/>
        <v>I8008</v>
      </c>
    </row>
    <row r="15846" spans="1:6" x14ac:dyDescent="0.2">
      <c r="A15846" s="29" t="s">
        <v>35218</v>
      </c>
      <c r="B15846" s="30" t="s">
        <v>35219</v>
      </c>
      <c r="C15846" s="29" t="s">
        <v>26</v>
      </c>
      <c r="D15846" s="31">
        <v>50561.2</v>
      </c>
      <c r="F15846" s="3" t="str">
        <f t="shared" si="247"/>
        <v>I8009</v>
      </c>
    </row>
    <row r="15847" spans="1:6" x14ac:dyDescent="0.2">
      <c r="A15847" s="29" t="s">
        <v>35220</v>
      </c>
      <c r="B15847" s="30" t="s">
        <v>35221</v>
      </c>
      <c r="C15847" s="29" t="s">
        <v>26</v>
      </c>
      <c r="D15847" s="31">
        <v>53089.25</v>
      </c>
      <c r="F15847" s="3" t="str">
        <f t="shared" si="247"/>
        <v>I8010</v>
      </c>
    </row>
    <row r="15848" spans="1:6" x14ac:dyDescent="0.2">
      <c r="A15848" s="29" t="s">
        <v>35222</v>
      </c>
      <c r="B15848" s="30" t="s">
        <v>35223</v>
      </c>
      <c r="C15848" s="29" t="s">
        <v>26</v>
      </c>
      <c r="D15848" s="31">
        <v>60338.23</v>
      </c>
      <c r="F15848" s="3" t="str">
        <f t="shared" si="247"/>
        <v>I8011</v>
      </c>
    </row>
    <row r="15849" spans="1:6" x14ac:dyDescent="0.2">
      <c r="A15849" s="29" t="s">
        <v>35224</v>
      </c>
      <c r="B15849" s="30" t="s">
        <v>35225</v>
      </c>
      <c r="C15849" s="29" t="s">
        <v>26</v>
      </c>
      <c r="D15849" s="31">
        <v>74250.73</v>
      </c>
      <c r="F15849" s="3" t="str">
        <f t="shared" si="247"/>
        <v>I8012</v>
      </c>
    </row>
    <row r="15850" spans="1:6" x14ac:dyDescent="0.2">
      <c r="A15850" s="29" t="s">
        <v>35226</v>
      </c>
      <c r="B15850" s="30" t="s">
        <v>35227</v>
      </c>
      <c r="C15850" s="29" t="s">
        <v>26</v>
      </c>
      <c r="D15850" s="31">
        <v>9308.26</v>
      </c>
      <c r="F15850" s="3" t="str">
        <f t="shared" si="247"/>
        <v>I12960</v>
      </c>
    </row>
    <row r="15851" spans="1:6" x14ac:dyDescent="0.2">
      <c r="A15851" s="29" t="s">
        <v>35228</v>
      </c>
      <c r="B15851" s="30" t="s">
        <v>35229</v>
      </c>
      <c r="C15851" s="29" t="s">
        <v>26</v>
      </c>
      <c r="D15851" s="31">
        <v>94327.62</v>
      </c>
      <c r="F15851" s="3" t="str">
        <f t="shared" si="247"/>
        <v>I8013</v>
      </c>
    </row>
    <row r="15852" spans="1:6" x14ac:dyDescent="0.2">
      <c r="A15852" s="29" t="s">
        <v>35230</v>
      </c>
      <c r="B15852" s="30" t="s">
        <v>35231</v>
      </c>
      <c r="C15852" s="29" t="s">
        <v>26</v>
      </c>
      <c r="D15852" s="31">
        <v>102121.96</v>
      </c>
      <c r="F15852" s="3" t="str">
        <f t="shared" si="247"/>
        <v>I12974</v>
      </c>
    </row>
    <row r="15853" spans="1:6" x14ac:dyDescent="0.2">
      <c r="A15853" s="29" t="s">
        <v>35232</v>
      </c>
      <c r="B15853" s="30" t="s">
        <v>35233</v>
      </c>
      <c r="C15853" s="29" t="s">
        <v>26</v>
      </c>
      <c r="D15853" s="31">
        <v>126401.61</v>
      </c>
      <c r="F15853" s="3" t="str">
        <f t="shared" si="247"/>
        <v>I8014</v>
      </c>
    </row>
    <row r="15854" spans="1:6" x14ac:dyDescent="0.2">
      <c r="A15854" s="29" t="s">
        <v>35234</v>
      </c>
      <c r="B15854" s="30" t="s">
        <v>35235</v>
      </c>
      <c r="C15854" s="29" t="s">
        <v>26</v>
      </c>
      <c r="D15854" s="31">
        <v>127708.66</v>
      </c>
      <c r="F15854" s="3" t="str">
        <f t="shared" si="247"/>
        <v>I12975</v>
      </c>
    </row>
    <row r="15855" spans="1:6" x14ac:dyDescent="0.2">
      <c r="A15855" s="29" t="s">
        <v>35236</v>
      </c>
      <c r="B15855" s="30" t="s">
        <v>35237</v>
      </c>
      <c r="C15855" s="29" t="s">
        <v>26</v>
      </c>
      <c r="D15855" s="31">
        <v>9690.73</v>
      </c>
      <c r="F15855" s="3" t="str">
        <f t="shared" si="247"/>
        <v>I12961</v>
      </c>
    </row>
    <row r="15856" spans="1:6" x14ac:dyDescent="0.2">
      <c r="A15856" s="29" t="s">
        <v>35238</v>
      </c>
      <c r="B15856" s="30" t="s">
        <v>35239</v>
      </c>
      <c r="C15856" s="29" t="s">
        <v>26</v>
      </c>
      <c r="D15856" s="31">
        <v>10954.48</v>
      </c>
      <c r="F15856" s="3" t="str">
        <f t="shared" si="247"/>
        <v>I12962</v>
      </c>
    </row>
    <row r="15857" spans="1:6" x14ac:dyDescent="0.2">
      <c r="A15857" s="29" t="s">
        <v>35240</v>
      </c>
      <c r="B15857" s="30" t="s">
        <v>35241</v>
      </c>
      <c r="C15857" s="29" t="s">
        <v>26</v>
      </c>
      <c r="D15857" s="31">
        <v>14574.09</v>
      </c>
      <c r="F15857" s="3" t="str">
        <f t="shared" si="247"/>
        <v>I12963</v>
      </c>
    </row>
    <row r="15858" spans="1:6" x14ac:dyDescent="0.2">
      <c r="A15858" s="29" t="s">
        <v>35242</v>
      </c>
      <c r="B15858" s="30" t="s">
        <v>35243</v>
      </c>
      <c r="C15858" s="29" t="s">
        <v>26</v>
      </c>
      <c r="D15858" s="31">
        <v>16490.18</v>
      </c>
      <c r="F15858" s="3" t="str">
        <f t="shared" si="247"/>
        <v>I12964</v>
      </c>
    </row>
    <row r="15859" spans="1:6" x14ac:dyDescent="0.2">
      <c r="A15859" s="29" t="s">
        <v>35244</v>
      </c>
      <c r="B15859" s="30" t="s">
        <v>35245</v>
      </c>
      <c r="C15859" s="29" t="s">
        <v>26</v>
      </c>
      <c r="D15859" s="31">
        <v>20103.64</v>
      </c>
      <c r="F15859" s="3" t="str">
        <f t="shared" si="247"/>
        <v>I12965</v>
      </c>
    </row>
    <row r="15860" spans="1:6" x14ac:dyDescent="0.2">
      <c r="A15860" s="29" t="s">
        <v>35246</v>
      </c>
      <c r="B15860" s="30" t="s">
        <v>35247</v>
      </c>
      <c r="C15860" s="29" t="s">
        <v>26</v>
      </c>
      <c r="D15860" s="31">
        <v>25310.55</v>
      </c>
      <c r="F15860" s="3" t="str">
        <f t="shared" si="247"/>
        <v>I12966</v>
      </c>
    </row>
    <row r="15861" spans="1:6" x14ac:dyDescent="0.2">
      <c r="A15861" s="29" t="s">
        <v>35248</v>
      </c>
      <c r="B15861" s="30" t="s">
        <v>35249</v>
      </c>
      <c r="C15861" s="29" t="s">
        <v>26</v>
      </c>
      <c r="D15861" s="31">
        <v>28902.93</v>
      </c>
      <c r="F15861" s="3" t="str">
        <f t="shared" si="247"/>
        <v>I12967</v>
      </c>
    </row>
    <row r="15862" spans="1:6" x14ac:dyDescent="0.2">
      <c r="A15862" s="29" t="s">
        <v>35250</v>
      </c>
      <c r="B15862" s="30" t="s">
        <v>35251</v>
      </c>
      <c r="C15862" s="29" t="s">
        <v>26</v>
      </c>
      <c r="D15862" s="31">
        <v>29626.45</v>
      </c>
      <c r="F15862" s="3" t="str">
        <f t="shared" si="247"/>
        <v>I12968</v>
      </c>
    </row>
    <row r="15863" spans="1:6" x14ac:dyDescent="0.2">
      <c r="A15863" s="29" t="s">
        <v>35252</v>
      </c>
      <c r="B15863" s="30" t="s">
        <v>35253</v>
      </c>
      <c r="C15863" s="29" t="s">
        <v>26</v>
      </c>
      <c r="D15863" s="31">
        <v>33730.15</v>
      </c>
      <c r="F15863" s="3" t="str">
        <f t="shared" si="247"/>
        <v>I12969</v>
      </c>
    </row>
    <row r="15864" spans="1:6" x14ac:dyDescent="0.2">
      <c r="A15864" s="29" t="s">
        <v>35254</v>
      </c>
      <c r="B15864" s="30" t="s">
        <v>35255</v>
      </c>
      <c r="C15864" s="29" t="s">
        <v>26</v>
      </c>
      <c r="D15864" s="31">
        <v>55559.78</v>
      </c>
      <c r="F15864" s="3" t="str">
        <f t="shared" si="247"/>
        <v>I12970</v>
      </c>
    </row>
    <row r="15865" spans="1:6" x14ac:dyDescent="0.2">
      <c r="A15865" s="29" t="s">
        <v>35256</v>
      </c>
      <c r="B15865" s="30" t="s">
        <v>35257</v>
      </c>
      <c r="C15865" s="29" t="s">
        <v>26</v>
      </c>
      <c r="D15865" s="31">
        <v>53865.11</v>
      </c>
      <c r="F15865" s="3" t="str">
        <f t="shared" si="247"/>
        <v>I12971</v>
      </c>
    </row>
    <row r="15866" spans="1:6" x14ac:dyDescent="0.2">
      <c r="A15866" s="29" t="s">
        <v>35258</v>
      </c>
      <c r="B15866" s="30" t="s">
        <v>35259</v>
      </c>
      <c r="C15866" s="29" t="s">
        <v>26</v>
      </c>
      <c r="D15866" s="31">
        <v>60524.33</v>
      </c>
      <c r="F15866" s="3" t="str">
        <f t="shared" si="247"/>
        <v>I12972</v>
      </c>
    </row>
    <row r="15867" spans="1:6" x14ac:dyDescent="0.2">
      <c r="A15867" s="29" t="s">
        <v>35260</v>
      </c>
      <c r="B15867" s="30" t="s">
        <v>35261</v>
      </c>
      <c r="C15867" s="29" t="s">
        <v>26</v>
      </c>
      <c r="D15867" s="31">
        <v>74111.820000000007</v>
      </c>
      <c r="F15867" s="3" t="str">
        <f t="shared" si="247"/>
        <v>I12973</v>
      </c>
    </row>
    <row r="15868" spans="1:6" x14ac:dyDescent="0.2">
      <c r="A15868" s="29" t="s">
        <v>35262</v>
      </c>
      <c r="B15868" s="30" t="s">
        <v>35263</v>
      </c>
      <c r="C15868" s="29" t="s">
        <v>26</v>
      </c>
      <c r="D15868" s="31">
        <v>20504.099999999999</v>
      </c>
      <c r="F15868" s="3" t="str">
        <f t="shared" si="247"/>
        <v>I7327</v>
      </c>
    </row>
    <row r="15869" spans="1:6" x14ac:dyDescent="0.2">
      <c r="A15869" s="29" t="s">
        <v>35264</v>
      </c>
      <c r="B15869" s="30" t="s">
        <v>35265</v>
      </c>
      <c r="C15869" s="29" t="s">
        <v>26</v>
      </c>
      <c r="D15869" s="31">
        <v>21358.400000000001</v>
      </c>
      <c r="F15869" s="3" t="str">
        <f t="shared" si="247"/>
        <v>I7311</v>
      </c>
    </row>
    <row r="15870" spans="1:6" x14ac:dyDescent="0.2">
      <c r="A15870" s="29" t="s">
        <v>35266</v>
      </c>
      <c r="B15870" s="30" t="s">
        <v>35267</v>
      </c>
      <c r="C15870" s="29" t="s">
        <v>26</v>
      </c>
      <c r="D15870" s="31">
        <v>22583.759999999998</v>
      </c>
      <c r="F15870" s="3" t="str">
        <f t="shared" si="247"/>
        <v>I7312</v>
      </c>
    </row>
    <row r="15871" spans="1:6" x14ac:dyDescent="0.2">
      <c r="A15871" s="29" t="s">
        <v>35268</v>
      </c>
      <c r="B15871" s="30" t="s">
        <v>35269</v>
      </c>
      <c r="C15871" s="29" t="s">
        <v>26</v>
      </c>
      <c r="D15871" s="31">
        <v>22242.11</v>
      </c>
      <c r="F15871" s="3" t="str">
        <f t="shared" si="247"/>
        <v>I7313</v>
      </c>
    </row>
    <row r="15872" spans="1:6" x14ac:dyDescent="0.2">
      <c r="A15872" s="29" t="s">
        <v>35270</v>
      </c>
      <c r="B15872" s="30" t="s">
        <v>35271</v>
      </c>
      <c r="C15872" s="29" t="s">
        <v>26</v>
      </c>
      <c r="D15872" s="31">
        <v>22720.02</v>
      </c>
      <c r="F15872" s="3" t="str">
        <f t="shared" si="247"/>
        <v>I7314</v>
      </c>
    </row>
    <row r="15873" spans="1:6" x14ac:dyDescent="0.2">
      <c r="A15873" s="29" t="s">
        <v>35272</v>
      </c>
      <c r="B15873" s="30" t="s">
        <v>35273</v>
      </c>
      <c r="C15873" s="29" t="s">
        <v>26</v>
      </c>
      <c r="D15873" s="31">
        <v>23974.35</v>
      </c>
      <c r="F15873" s="3" t="str">
        <f t="shared" si="247"/>
        <v>I7315</v>
      </c>
    </row>
    <row r="15874" spans="1:6" x14ac:dyDescent="0.2">
      <c r="A15874" s="29" t="s">
        <v>35274</v>
      </c>
      <c r="B15874" s="30" t="s">
        <v>35275</v>
      </c>
      <c r="C15874" s="29" t="s">
        <v>26</v>
      </c>
      <c r="D15874" s="31">
        <v>24541.78</v>
      </c>
      <c r="F15874" s="3" t="str">
        <f t="shared" ref="F15874:F15937" si="248">A15874</f>
        <v>I7316</v>
      </c>
    </row>
    <row r="15875" spans="1:6" x14ac:dyDescent="0.2">
      <c r="A15875" s="29" t="s">
        <v>35276</v>
      </c>
      <c r="B15875" s="30" t="s">
        <v>35277</v>
      </c>
      <c r="C15875" s="29" t="s">
        <v>26</v>
      </c>
      <c r="D15875" s="31">
        <v>26223.4</v>
      </c>
      <c r="F15875" s="3" t="str">
        <f t="shared" si="248"/>
        <v>I7317</v>
      </c>
    </row>
    <row r="15876" spans="1:6" x14ac:dyDescent="0.2">
      <c r="A15876" s="29" t="s">
        <v>35278</v>
      </c>
      <c r="B15876" s="30" t="s">
        <v>35279</v>
      </c>
      <c r="C15876" s="29" t="s">
        <v>26</v>
      </c>
      <c r="D15876" s="31">
        <v>29082.95</v>
      </c>
      <c r="F15876" s="3" t="str">
        <f t="shared" si="248"/>
        <v>I7318</v>
      </c>
    </row>
    <row r="15877" spans="1:6" x14ac:dyDescent="0.2">
      <c r="A15877" s="29" t="s">
        <v>35280</v>
      </c>
      <c r="B15877" s="30" t="s">
        <v>35281</v>
      </c>
      <c r="C15877" s="29" t="s">
        <v>26</v>
      </c>
      <c r="D15877" s="31">
        <v>34285.39</v>
      </c>
      <c r="F15877" s="3" t="str">
        <f t="shared" si="248"/>
        <v>I7319</v>
      </c>
    </row>
    <row r="15878" spans="1:6" x14ac:dyDescent="0.2">
      <c r="A15878" s="29" t="s">
        <v>35282</v>
      </c>
      <c r="B15878" s="30" t="s">
        <v>35283</v>
      </c>
      <c r="C15878" s="29" t="s">
        <v>26</v>
      </c>
      <c r="D15878" s="31">
        <v>37675.199999999997</v>
      </c>
      <c r="F15878" s="3" t="str">
        <f t="shared" si="248"/>
        <v>I7320</v>
      </c>
    </row>
    <row r="15879" spans="1:6" x14ac:dyDescent="0.2">
      <c r="A15879" s="29" t="s">
        <v>35284</v>
      </c>
      <c r="B15879" s="30" t="s">
        <v>35285</v>
      </c>
      <c r="C15879" s="29" t="s">
        <v>26</v>
      </c>
      <c r="D15879" s="31">
        <v>43896.05</v>
      </c>
      <c r="F15879" s="3" t="str">
        <f t="shared" si="248"/>
        <v>I7321</v>
      </c>
    </row>
    <row r="15880" spans="1:6" x14ac:dyDescent="0.2">
      <c r="A15880" s="29" t="s">
        <v>35286</v>
      </c>
      <c r="B15880" s="30" t="s">
        <v>35287</v>
      </c>
      <c r="C15880" s="29" t="s">
        <v>26</v>
      </c>
      <c r="D15880" s="31">
        <v>43514.39</v>
      </c>
      <c r="F15880" s="3" t="str">
        <f t="shared" si="248"/>
        <v>I7322</v>
      </c>
    </row>
    <row r="15881" spans="1:6" x14ac:dyDescent="0.2">
      <c r="A15881" s="29" t="s">
        <v>35288</v>
      </c>
      <c r="B15881" s="30" t="s">
        <v>35289</v>
      </c>
      <c r="C15881" s="29" t="s">
        <v>26</v>
      </c>
      <c r="D15881" s="31">
        <v>46530.95</v>
      </c>
      <c r="F15881" s="3" t="str">
        <f t="shared" si="248"/>
        <v>I7323</v>
      </c>
    </row>
    <row r="15882" spans="1:6" x14ac:dyDescent="0.2">
      <c r="A15882" s="29" t="s">
        <v>35290</v>
      </c>
      <c r="B15882" s="30" t="s">
        <v>35291</v>
      </c>
      <c r="C15882" s="29" t="s">
        <v>26</v>
      </c>
      <c r="D15882" s="31">
        <v>43782.57</v>
      </c>
      <c r="F15882" s="3" t="str">
        <f t="shared" si="248"/>
        <v>I7324</v>
      </c>
    </row>
    <row r="15883" spans="1:6" x14ac:dyDescent="0.2">
      <c r="A15883" s="29" t="s">
        <v>35292</v>
      </c>
      <c r="B15883" s="30" t="s">
        <v>35293</v>
      </c>
      <c r="C15883" s="29" t="s">
        <v>26</v>
      </c>
      <c r="D15883" s="31">
        <v>53831.22</v>
      </c>
      <c r="F15883" s="3" t="str">
        <f t="shared" si="248"/>
        <v>I7325</v>
      </c>
    </row>
    <row r="15884" spans="1:6" x14ac:dyDescent="0.2">
      <c r="A15884" s="29" t="s">
        <v>35294</v>
      </c>
      <c r="B15884" s="30" t="s">
        <v>35295</v>
      </c>
      <c r="C15884" s="29" t="s">
        <v>26</v>
      </c>
      <c r="D15884" s="31">
        <v>71655</v>
      </c>
      <c r="F15884" s="3" t="str">
        <f t="shared" si="248"/>
        <v>I7326</v>
      </c>
    </row>
    <row r="15885" spans="1:6" x14ac:dyDescent="0.2">
      <c r="A15885" s="29" t="s">
        <v>35296</v>
      </c>
      <c r="B15885" s="30" t="s">
        <v>35297</v>
      </c>
      <c r="C15885" s="29" t="s">
        <v>26</v>
      </c>
      <c r="D15885" s="31">
        <v>20273.54</v>
      </c>
      <c r="F15885" s="3" t="str">
        <f t="shared" si="248"/>
        <v>I8015</v>
      </c>
    </row>
    <row r="15886" spans="1:6" x14ac:dyDescent="0.2">
      <c r="A15886" s="29" t="s">
        <v>35298</v>
      </c>
      <c r="B15886" s="30" t="s">
        <v>35299</v>
      </c>
      <c r="C15886" s="29" t="s">
        <v>26</v>
      </c>
      <c r="D15886" s="31">
        <v>21147.06</v>
      </c>
      <c r="F15886" s="3" t="str">
        <f t="shared" si="248"/>
        <v>I8016</v>
      </c>
    </row>
    <row r="15887" spans="1:6" x14ac:dyDescent="0.2">
      <c r="A15887" s="29" t="s">
        <v>35300</v>
      </c>
      <c r="B15887" s="30" t="s">
        <v>35301</v>
      </c>
      <c r="C15887" s="29" t="s">
        <v>26</v>
      </c>
      <c r="D15887" s="31">
        <v>22669.09</v>
      </c>
      <c r="F15887" s="3" t="str">
        <f t="shared" si="248"/>
        <v>I8017</v>
      </c>
    </row>
    <row r="15888" spans="1:6" x14ac:dyDescent="0.2">
      <c r="A15888" s="29" t="s">
        <v>35302</v>
      </c>
      <c r="B15888" s="30" t="s">
        <v>35303</v>
      </c>
      <c r="C15888" s="29" t="s">
        <v>26</v>
      </c>
      <c r="D15888" s="31">
        <v>22526.240000000002</v>
      </c>
      <c r="F15888" s="3" t="str">
        <f t="shared" si="248"/>
        <v>I8018</v>
      </c>
    </row>
    <row r="15889" spans="1:6" x14ac:dyDescent="0.2">
      <c r="A15889" s="29" t="s">
        <v>35304</v>
      </c>
      <c r="B15889" s="30" t="s">
        <v>35305</v>
      </c>
      <c r="C15889" s="29" t="s">
        <v>26</v>
      </c>
      <c r="D15889" s="31">
        <v>25002.15</v>
      </c>
      <c r="F15889" s="3" t="str">
        <f t="shared" si="248"/>
        <v>I8019</v>
      </c>
    </row>
    <row r="15890" spans="1:6" x14ac:dyDescent="0.2">
      <c r="A15890" s="29" t="s">
        <v>35306</v>
      </c>
      <c r="B15890" s="30" t="s">
        <v>35307</v>
      </c>
      <c r="C15890" s="29" t="s">
        <v>26</v>
      </c>
      <c r="D15890" s="31">
        <v>29114.98</v>
      </c>
      <c r="F15890" s="3" t="str">
        <f t="shared" si="248"/>
        <v>I8020</v>
      </c>
    </row>
    <row r="15891" spans="1:6" x14ac:dyDescent="0.2">
      <c r="A15891" s="29" t="s">
        <v>35308</v>
      </c>
      <c r="B15891" s="30" t="s">
        <v>35309</v>
      </c>
      <c r="C15891" s="29" t="s">
        <v>26</v>
      </c>
      <c r="D15891" s="31">
        <v>37820.769999999997</v>
      </c>
      <c r="F15891" s="3" t="str">
        <f t="shared" si="248"/>
        <v>I8021</v>
      </c>
    </row>
    <row r="15892" spans="1:6" x14ac:dyDescent="0.2">
      <c r="A15892" s="29" t="s">
        <v>35310</v>
      </c>
      <c r="B15892" s="30" t="s">
        <v>35311</v>
      </c>
      <c r="C15892" s="29" t="s">
        <v>26</v>
      </c>
      <c r="D15892" s="31">
        <v>43477.84</v>
      </c>
      <c r="F15892" s="3" t="str">
        <f t="shared" si="248"/>
        <v>I8022</v>
      </c>
    </row>
    <row r="15893" spans="1:6" x14ac:dyDescent="0.2">
      <c r="A15893" s="29" t="s">
        <v>35312</v>
      </c>
      <c r="B15893" s="30" t="s">
        <v>35313</v>
      </c>
      <c r="C15893" s="29" t="s">
        <v>26</v>
      </c>
      <c r="D15893" s="31">
        <v>44011.48</v>
      </c>
      <c r="F15893" s="3" t="str">
        <f t="shared" si="248"/>
        <v>I8023</v>
      </c>
    </row>
    <row r="15894" spans="1:6" x14ac:dyDescent="0.2">
      <c r="A15894" s="29" t="s">
        <v>35314</v>
      </c>
      <c r="B15894" s="30" t="s">
        <v>35315</v>
      </c>
      <c r="C15894" s="29" t="s">
        <v>26</v>
      </c>
      <c r="D15894" s="31">
        <v>26808.74</v>
      </c>
      <c r="F15894" s="3" t="str">
        <f t="shared" si="248"/>
        <v>I8718</v>
      </c>
    </row>
    <row r="15895" spans="1:6" x14ac:dyDescent="0.2">
      <c r="A15895" s="29" t="s">
        <v>35316</v>
      </c>
      <c r="B15895" s="30" t="s">
        <v>35317</v>
      </c>
      <c r="C15895" s="29" t="s">
        <v>26</v>
      </c>
      <c r="D15895" s="31">
        <v>31571.31</v>
      </c>
      <c r="F15895" s="3" t="str">
        <f t="shared" si="248"/>
        <v>I8719</v>
      </c>
    </row>
    <row r="15896" spans="1:6" x14ac:dyDescent="0.2">
      <c r="A15896" s="29" t="s">
        <v>35318</v>
      </c>
      <c r="B15896" s="30" t="s">
        <v>35319</v>
      </c>
      <c r="C15896" s="29" t="s">
        <v>26</v>
      </c>
      <c r="D15896" s="31">
        <v>2020.29</v>
      </c>
      <c r="F15896" s="3" t="str">
        <f t="shared" si="248"/>
        <v>I10450</v>
      </c>
    </row>
    <row r="15897" spans="1:6" x14ac:dyDescent="0.2">
      <c r="A15897" s="29" t="s">
        <v>35320</v>
      </c>
      <c r="B15897" s="30" t="s">
        <v>35321</v>
      </c>
      <c r="C15897" s="29" t="s">
        <v>26</v>
      </c>
      <c r="D15897" s="31">
        <v>3455.22</v>
      </c>
      <c r="F15897" s="3" t="str">
        <f t="shared" si="248"/>
        <v>I10451</v>
      </c>
    </row>
    <row r="15898" spans="1:6" x14ac:dyDescent="0.2">
      <c r="A15898" s="29" t="s">
        <v>35322</v>
      </c>
      <c r="B15898" s="30" t="s">
        <v>35323</v>
      </c>
      <c r="C15898" s="29" t="s">
        <v>26</v>
      </c>
      <c r="D15898" s="31">
        <v>4979.59</v>
      </c>
      <c r="F15898" s="3" t="str">
        <f t="shared" si="248"/>
        <v>I10452</v>
      </c>
    </row>
    <row r="15899" spans="1:6" x14ac:dyDescent="0.2">
      <c r="A15899" s="29" t="s">
        <v>35324</v>
      </c>
      <c r="B15899" s="30" t="s">
        <v>35325</v>
      </c>
      <c r="C15899" s="29" t="s">
        <v>26</v>
      </c>
      <c r="D15899" s="31">
        <v>6991.75</v>
      </c>
      <c r="F15899" s="3" t="str">
        <f t="shared" si="248"/>
        <v>I10453</v>
      </c>
    </row>
    <row r="15900" spans="1:6" x14ac:dyDescent="0.2">
      <c r="A15900" s="29" t="s">
        <v>35326</v>
      </c>
      <c r="B15900" s="30" t="s">
        <v>35327</v>
      </c>
      <c r="C15900" s="29" t="s">
        <v>26</v>
      </c>
      <c r="D15900" s="31">
        <v>9044.56</v>
      </c>
      <c r="F15900" s="3" t="str">
        <f t="shared" si="248"/>
        <v>I10454</v>
      </c>
    </row>
    <row r="15901" spans="1:6" x14ac:dyDescent="0.2">
      <c r="A15901" s="29" t="s">
        <v>35328</v>
      </c>
      <c r="B15901" s="30" t="s">
        <v>35329</v>
      </c>
      <c r="C15901" s="29" t="s">
        <v>26</v>
      </c>
      <c r="D15901" s="31">
        <v>9816.9</v>
      </c>
      <c r="F15901" s="3" t="str">
        <f t="shared" si="248"/>
        <v>I10455</v>
      </c>
    </row>
    <row r="15902" spans="1:6" x14ac:dyDescent="0.2">
      <c r="A15902" s="29" t="s">
        <v>35330</v>
      </c>
      <c r="B15902" s="30" t="s">
        <v>35331</v>
      </c>
      <c r="C15902" s="29" t="s">
        <v>26</v>
      </c>
      <c r="D15902" s="31">
        <v>16056.63</v>
      </c>
      <c r="F15902" s="3" t="str">
        <f t="shared" si="248"/>
        <v>I10456</v>
      </c>
    </row>
    <row r="15903" spans="1:6" x14ac:dyDescent="0.2">
      <c r="A15903" s="29" t="s">
        <v>35332</v>
      </c>
      <c r="B15903" s="30" t="s">
        <v>35333</v>
      </c>
      <c r="C15903" s="29" t="s">
        <v>26</v>
      </c>
      <c r="D15903" s="31">
        <v>19206.98</v>
      </c>
      <c r="F15903" s="3" t="str">
        <f t="shared" si="248"/>
        <v>I10457</v>
      </c>
    </row>
    <row r="15904" spans="1:6" x14ac:dyDescent="0.2">
      <c r="A15904" s="29" t="s">
        <v>35334</v>
      </c>
      <c r="B15904" s="30" t="s">
        <v>35335</v>
      </c>
      <c r="C15904" s="29" t="s">
        <v>26</v>
      </c>
      <c r="D15904" s="31">
        <v>1484.73</v>
      </c>
      <c r="F15904" s="3" t="str">
        <f t="shared" si="248"/>
        <v>I10448</v>
      </c>
    </row>
    <row r="15905" spans="1:6" x14ac:dyDescent="0.2">
      <c r="A15905" s="29" t="s">
        <v>35336</v>
      </c>
      <c r="B15905" s="30" t="s">
        <v>35337</v>
      </c>
      <c r="C15905" s="29" t="s">
        <v>26</v>
      </c>
      <c r="D15905" s="31">
        <v>23068.7</v>
      </c>
      <c r="F15905" s="3" t="str">
        <f t="shared" si="248"/>
        <v>I10458</v>
      </c>
    </row>
    <row r="15906" spans="1:6" x14ac:dyDescent="0.2">
      <c r="A15906" s="29" t="s">
        <v>35338</v>
      </c>
      <c r="B15906" s="30" t="s">
        <v>35339</v>
      </c>
      <c r="C15906" s="29" t="s">
        <v>26</v>
      </c>
      <c r="D15906" s="31">
        <v>29775.9</v>
      </c>
      <c r="F15906" s="3" t="str">
        <f t="shared" si="248"/>
        <v>I10459</v>
      </c>
    </row>
    <row r="15907" spans="1:6" x14ac:dyDescent="0.2">
      <c r="A15907" s="29" t="s">
        <v>35340</v>
      </c>
      <c r="B15907" s="30" t="s">
        <v>35341</v>
      </c>
      <c r="C15907" s="29" t="s">
        <v>26</v>
      </c>
      <c r="D15907" s="31">
        <v>1522.33</v>
      </c>
      <c r="F15907" s="3" t="str">
        <f t="shared" si="248"/>
        <v>I10449</v>
      </c>
    </row>
    <row r="15908" spans="1:6" ht="22.5" x14ac:dyDescent="0.2">
      <c r="A15908" s="29" t="s">
        <v>35342</v>
      </c>
      <c r="B15908" s="30" t="s">
        <v>35343</v>
      </c>
      <c r="C15908" s="29" t="s">
        <v>26</v>
      </c>
      <c r="D15908" s="31">
        <v>48736.71</v>
      </c>
      <c r="F15908" s="3" t="str">
        <f t="shared" si="248"/>
        <v>I8731</v>
      </c>
    </row>
    <row r="15909" spans="1:6" x14ac:dyDescent="0.2">
      <c r="A15909" s="29" t="s">
        <v>35344</v>
      </c>
      <c r="B15909" s="30" t="s">
        <v>35345</v>
      </c>
      <c r="C15909" s="29" t="s">
        <v>26</v>
      </c>
      <c r="D15909" s="31">
        <v>356.74</v>
      </c>
      <c r="F15909" s="3" t="str">
        <f t="shared" si="248"/>
        <v>I8724</v>
      </c>
    </row>
    <row r="15910" spans="1:6" x14ac:dyDescent="0.2">
      <c r="A15910" s="29" t="s">
        <v>35346</v>
      </c>
      <c r="B15910" s="30" t="s">
        <v>35347</v>
      </c>
      <c r="C15910" s="29" t="s">
        <v>26</v>
      </c>
      <c r="D15910" s="31">
        <v>435.12</v>
      </c>
      <c r="F15910" s="3" t="str">
        <f t="shared" si="248"/>
        <v>I8725</v>
      </c>
    </row>
    <row r="15911" spans="1:6" x14ac:dyDescent="0.2">
      <c r="A15911" s="29" t="s">
        <v>35348</v>
      </c>
      <c r="B15911" s="30" t="s">
        <v>35349</v>
      </c>
      <c r="C15911" s="29" t="s">
        <v>26</v>
      </c>
      <c r="D15911" s="31">
        <v>737.6</v>
      </c>
      <c r="F15911" s="3" t="str">
        <f t="shared" si="248"/>
        <v>I8726</v>
      </c>
    </row>
    <row r="15912" spans="1:6" x14ac:dyDescent="0.2">
      <c r="A15912" s="29" t="s">
        <v>35350</v>
      </c>
      <c r="B15912" s="30" t="s">
        <v>35351</v>
      </c>
      <c r="C15912" s="29" t="s">
        <v>26</v>
      </c>
      <c r="D15912" s="31">
        <v>473.29</v>
      </c>
      <c r="F15912" s="3" t="str">
        <f t="shared" si="248"/>
        <v>I8720</v>
      </c>
    </row>
    <row r="15913" spans="1:6" x14ac:dyDescent="0.2">
      <c r="A15913" s="29" t="s">
        <v>35352</v>
      </c>
      <c r="B15913" s="30" t="s">
        <v>35353</v>
      </c>
      <c r="C15913" s="29" t="s">
        <v>26</v>
      </c>
      <c r="D15913" s="31">
        <v>550.12</v>
      </c>
      <c r="F15913" s="3" t="str">
        <f t="shared" si="248"/>
        <v>I8721</v>
      </c>
    </row>
    <row r="15914" spans="1:6" x14ac:dyDescent="0.2">
      <c r="A15914" s="29" t="s">
        <v>35354</v>
      </c>
      <c r="B15914" s="30" t="s">
        <v>35355</v>
      </c>
      <c r="C15914" s="29" t="s">
        <v>26</v>
      </c>
      <c r="D15914" s="31">
        <v>596.94000000000005</v>
      </c>
      <c r="F15914" s="3" t="str">
        <f t="shared" si="248"/>
        <v>I8722</v>
      </c>
    </row>
    <row r="15915" spans="1:6" x14ac:dyDescent="0.2">
      <c r="A15915" s="29" t="s">
        <v>35356</v>
      </c>
      <c r="B15915" s="30" t="s">
        <v>35357</v>
      </c>
      <c r="C15915" s="29" t="s">
        <v>26</v>
      </c>
      <c r="D15915" s="31">
        <v>828.53</v>
      </c>
      <c r="F15915" s="3" t="str">
        <f t="shared" si="248"/>
        <v>I8723</v>
      </c>
    </row>
    <row r="15916" spans="1:6" ht="22.5" x14ac:dyDescent="0.2">
      <c r="A15916" s="29" t="s">
        <v>35358</v>
      </c>
      <c r="B15916" s="30" t="s">
        <v>35359</v>
      </c>
      <c r="C15916" s="29" t="s">
        <v>26</v>
      </c>
      <c r="D15916" s="31">
        <v>31535.11</v>
      </c>
      <c r="F15916" s="3" t="str">
        <f t="shared" si="248"/>
        <v>I8728</v>
      </c>
    </row>
    <row r="15917" spans="1:6" ht="22.5" x14ac:dyDescent="0.2">
      <c r="A15917" s="29" t="s">
        <v>35360</v>
      </c>
      <c r="B15917" s="30" t="s">
        <v>35361</v>
      </c>
      <c r="C15917" s="29" t="s">
        <v>26</v>
      </c>
      <c r="D15917" s="31">
        <v>44114.080000000002</v>
      </c>
      <c r="F15917" s="3" t="str">
        <f t="shared" si="248"/>
        <v>I8729</v>
      </c>
    </row>
    <row r="15918" spans="1:6" ht="22.5" x14ac:dyDescent="0.2">
      <c r="A15918" s="29" t="s">
        <v>35362</v>
      </c>
      <c r="B15918" s="30" t="s">
        <v>35363</v>
      </c>
      <c r="C15918" s="29" t="s">
        <v>26</v>
      </c>
      <c r="D15918" s="31">
        <v>57765.29</v>
      </c>
      <c r="F15918" s="3" t="str">
        <f t="shared" si="248"/>
        <v>I8730</v>
      </c>
    </row>
    <row r="15919" spans="1:6" ht="22.5" x14ac:dyDescent="0.2">
      <c r="A15919" s="29" t="s">
        <v>35364</v>
      </c>
      <c r="B15919" s="30" t="s">
        <v>35365</v>
      </c>
      <c r="C15919" s="29" t="s">
        <v>26</v>
      </c>
      <c r="D15919" s="31">
        <v>66295.5</v>
      </c>
      <c r="F15919" s="3" t="str">
        <f t="shared" si="248"/>
        <v>I8727</v>
      </c>
    </row>
    <row r="15920" spans="1:6" x14ac:dyDescent="0.2">
      <c r="A15920" s="29" t="s">
        <v>35366</v>
      </c>
      <c r="B15920" s="30" t="s">
        <v>35367</v>
      </c>
      <c r="C15920" s="29" t="s">
        <v>26</v>
      </c>
      <c r="D15920" s="31">
        <v>9074.76</v>
      </c>
      <c r="F15920" s="3" t="str">
        <f t="shared" si="248"/>
        <v>I8732</v>
      </c>
    </row>
    <row r="15921" spans="1:6" x14ac:dyDescent="0.2">
      <c r="A15921" s="29" t="s">
        <v>35368</v>
      </c>
      <c r="B15921" s="30" t="s">
        <v>35369</v>
      </c>
      <c r="C15921" s="29" t="s">
        <v>26</v>
      </c>
      <c r="D15921" s="31">
        <v>2668.68</v>
      </c>
      <c r="F15921" s="3" t="str">
        <f t="shared" si="248"/>
        <v>I8733</v>
      </c>
    </row>
    <row r="15922" spans="1:6" x14ac:dyDescent="0.2">
      <c r="A15922" s="29" t="s">
        <v>35370</v>
      </c>
      <c r="B15922" s="30" t="s">
        <v>35371</v>
      </c>
      <c r="C15922" s="29" t="s">
        <v>26</v>
      </c>
      <c r="D15922" s="31">
        <v>3430.09</v>
      </c>
      <c r="F15922" s="3" t="str">
        <f t="shared" si="248"/>
        <v>I8734</v>
      </c>
    </row>
    <row r="15923" spans="1:6" x14ac:dyDescent="0.2">
      <c r="A15923" s="29" t="s">
        <v>35372</v>
      </c>
      <c r="B15923" s="30" t="s">
        <v>35373</v>
      </c>
      <c r="C15923" s="29" t="s">
        <v>26</v>
      </c>
      <c r="D15923" s="31">
        <v>5884.79</v>
      </c>
      <c r="F15923" s="3" t="str">
        <f t="shared" si="248"/>
        <v>I8735</v>
      </c>
    </row>
    <row r="15924" spans="1:6" x14ac:dyDescent="0.2">
      <c r="A15924" s="29" t="s">
        <v>35374</v>
      </c>
      <c r="B15924" s="30" t="s">
        <v>35375</v>
      </c>
      <c r="C15924" s="29" t="s">
        <v>26</v>
      </c>
      <c r="D15924" s="31">
        <v>11472.22</v>
      </c>
      <c r="F15924" s="3" t="str">
        <f t="shared" si="248"/>
        <v>I8736</v>
      </c>
    </row>
    <row r="15925" spans="1:6" x14ac:dyDescent="0.2">
      <c r="A15925" s="29" t="s">
        <v>35376</v>
      </c>
      <c r="B15925" s="30" t="s">
        <v>35377</v>
      </c>
      <c r="C15925" s="29" t="s">
        <v>26</v>
      </c>
      <c r="D15925" s="31">
        <v>17079.560000000001</v>
      </c>
      <c r="F15925" s="3" t="str">
        <f t="shared" si="248"/>
        <v>I8737</v>
      </c>
    </row>
    <row r="15926" spans="1:6" x14ac:dyDescent="0.2">
      <c r="A15926" s="29" t="s">
        <v>35378</v>
      </c>
      <c r="B15926" s="30" t="s">
        <v>35379</v>
      </c>
      <c r="C15926" s="29" t="s">
        <v>26</v>
      </c>
      <c r="D15926" s="31">
        <v>26736.57</v>
      </c>
      <c r="F15926" s="3" t="str">
        <f t="shared" si="248"/>
        <v>I8738</v>
      </c>
    </row>
    <row r="15927" spans="1:6" x14ac:dyDescent="0.2">
      <c r="A15927" s="29" t="s">
        <v>35380</v>
      </c>
      <c r="B15927" s="30" t="s">
        <v>35381</v>
      </c>
      <c r="C15927" s="29" t="s">
        <v>26</v>
      </c>
      <c r="D15927" s="31">
        <v>52489.85</v>
      </c>
      <c r="F15927" s="3" t="str">
        <f t="shared" si="248"/>
        <v>I8739</v>
      </c>
    </row>
    <row r="15928" spans="1:6" x14ac:dyDescent="0.2">
      <c r="A15928" s="29" t="s">
        <v>35382</v>
      </c>
      <c r="B15928" s="30" t="s">
        <v>35383</v>
      </c>
      <c r="C15928" s="29" t="s">
        <v>26</v>
      </c>
      <c r="D15928" s="31">
        <v>17680</v>
      </c>
      <c r="F15928" s="3" t="str">
        <f t="shared" si="248"/>
        <v>I10333</v>
      </c>
    </row>
    <row r="15929" spans="1:6" x14ac:dyDescent="0.2">
      <c r="A15929" s="29" t="s">
        <v>35384</v>
      </c>
      <c r="B15929" s="30" t="s">
        <v>35385</v>
      </c>
      <c r="C15929" s="29" t="s">
        <v>26</v>
      </c>
      <c r="D15929" s="31">
        <v>5358.51</v>
      </c>
      <c r="F15929" s="3" t="str">
        <f t="shared" si="248"/>
        <v>I8740</v>
      </c>
    </row>
    <row r="15930" spans="1:6" x14ac:dyDescent="0.2">
      <c r="A15930" s="29" t="s">
        <v>35386</v>
      </c>
      <c r="B15930" s="30" t="s">
        <v>35387</v>
      </c>
      <c r="C15930" s="29" t="s">
        <v>26</v>
      </c>
      <c r="D15930" s="31">
        <v>5252.76</v>
      </c>
      <c r="F15930" s="3" t="str">
        <f t="shared" si="248"/>
        <v>I8741</v>
      </c>
    </row>
    <row r="15931" spans="1:6" x14ac:dyDescent="0.2">
      <c r="A15931" s="29" t="s">
        <v>35388</v>
      </c>
      <c r="B15931" s="30" t="s">
        <v>35389</v>
      </c>
      <c r="C15931" s="29" t="s">
        <v>26</v>
      </c>
      <c r="D15931" s="31">
        <v>7188.64</v>
      </c>
      <c r="F15931" s="3" t="str">
        <f t="shared" si="248"/>
        <v>I8742</v>
      </c>
    </row>
    <row r="15932" spans="1:6" x14ac:dyDescent="0.2">
      <c r="A15932" s="29" t="s">
        <v>35390</v>
      </c>
      <c r="B15932" s="30" t="s">
        <v>35391</v>
      </c>
      <c r="C15932" s="29" t="s">
        <v>26</v>
      </c>
      <c r="D15932" s="31">
        <v>15790</v>
      </c>
      <c r="F15932" s="3" t="str">
        <f t="shared" si="248"/>
        <v>I10334</v>
      </c>
    </row>
    <row r="15933" spans="1:6" ht="22.5" x14ac:dyDescent="0.2">
      <c r="A15933" s="29" t="s">
        <v>35392</v>
      </c>
      <c r="B15933" s="30" t="s">
        <v>35393</v>
      </c>
      <c r="C15933" s="29" t="s">
        <v>26</v>
      </c>
      <c r="D15933" s="31">
        <v>70393.58</v>
      </c>
      <c r="F15933" s="3" t="str">
        <f t="shared" si="248"/>
        <v>I10335</v>
      </c>
    </row>
    <row r="15934" spans="1:6" ht="22.5" x14ac:dyDescent="0.2">
      <c r="A15934" s="29" t="s">
        <v>35394</v>
      </c>
      <c r="B15934" s="30" t="s">
        <v>35395</v>
      </c>
      <c r="C15934" s="29" t="s">
        <v>26</v>
      </c>
      <c r="D15934" s="31">
        <v>81927.22</v>
      </c>
      <c r="F15934" s="3" t="str">
        <f t="shared" si="248"/>
        <v>I10336</v>
      </c>
    </row>
    <row r="15935" spans="1:6" ht="22.5" x14ac:dyDescent="0.2">
      <c r="A15935" s="29" t="s">
        <v>35396</v>
      </c>
      <c r="B15935" s="30" t="s">
        <v>35397</v>
      </c>
      <c r="C15935" s="29" t="s">
        <v>26</v>
      </c>
      <c r="D15935" s="31">
        <v>143732.75</v>
      </c>
      <c r="F15935" s="3" t="str">
        <f t="shared" si="248"/>
        <v>I10337</v>
      </c>
    </row>
    <row r="15936" spans="1:6" ht="22.5" x14ac:dyDescent="0.2">
      <c r="A15936" s="29" t="s">
        <v>35398</v>
      </c>
      <c r="B15936" s="30" t="s">
        <v>35399</v>
      </c>
      <c r="C15936" s="29" t="s">
        <v>26</v>
      </c>
      <c r="D15936" s="31">
        <v>220907.72</v>
      </c>
      <c r="F15936" s="3" t="str">
        <f t="shared" si="248"/>
        <v>I10338</v>
      </c>
    </row>
    <row r="15937" spans="1:6" x14ac:dyDescent="0.2">
      <c r="A15937" s="29" t="s">
        <v>35400</v>
      </c>
      <c r="B15937" s="30" t="s">
        <v>35401</v>
      </c>
      <c r="C15937" s="29" t="s">
        <v>26</v>
      </c>
      <c r="D15937" s="31">
        <v>1941.51</v>
      </c>
      <c r="F15937" s="3" t="str">
        <f t="shared" si="248"/>
        <v>I8771</v>
      </c>
    </row>
    <row r="15938" spans="1:6" x14ac:dyDescent="0.2">
      <c r="A15938" s="29" t="s">
        <v>35402</v>
      </c>
      <c r="B15938" s="30" t="s">
        <v>35403</v>
      </c>
      <c r="C15938" s="29" t="s">
        <v>26</v>
      </c>
      <c r="D15938" s="31">
        <v>18943.77</v>
      </c>
      <c r="F15938" s="3" t="str">
        <f t="shared" ref="F15938:F16001" si="249">A15938</f>
        <v>I10349</v>
      </c>
    </row>
    <row r="15939" spans="1:6" x14ac:dyDescent="0.2">
      <c r="A15939" s="29" t="s">
        <v>35404</v>
      </c>
      <c r="B15939" s="30" t="s">
        <v>35405</v>
      </c>
      <c r="C15939" s="29" t="s">
        <v>26</v>
      </c>
      <c r="D15939" s="31">
        <v>49657.67</v>
      </c>
      <c r="F15939" s="3" t="str">
        <f t="shared" si="249"/>
        <v>I10350</v>
      </c>
    </row>
    <row r="15940" spans="1:6" x14ac:dyDescent="0.2">
      <c r="A15940" s="29" t="s">
        <v>35406</v>
      </c>
      <c r="B15940" s="30" t="s">
        <v>35407</v>
      </c>
      <c r="C15940" s="29" t="s">
        <v>26</v>
      </c>
      <c r="D15940" s="31">
        <v>98980.99</v>
      </c>
      <c r="F15940" s="3" t="str">
        <f t="shared" si="249"/>
        <v>I10351</v>
      </c>
    </row>
    <row r="15941" spans="1:6" x14ac:dyDescent="0.2">
      <c r="A15941" s="29" t="s">
        <v>35408</v>
      </c>
      <c r="B15941" s="30" t="s">
        <v>35409</v>
      </c>
      <c r="C15941" s="29" t="s">
        <v>26</v>
      </c>
      <c r="D15941" s="31">
        <v>128691.85</v>
      </c>
      <c r="F15941" s="3" t="str">
        <f t="shared" si="249"/>
        <v>I10352</v>
      </c>
    </row>
    <row r="15942" spans="1:6" ht="22.5" x14ac:dyDescent="0.2">
      <c r="A15942" s="29" t="s">
        <v>35410</v>
      </c>
      <c r="B15942" s="30" t="s">
        <v>35411</v>
      </c>
      <c r="C15942" s="29" t="s">
        <v>26</v>
      </c>
      <c r="D15942" s="31">
        <v>34968.9</v>
      </c>
      <c r="F15942" s="3" t="str">
        <f t="shared" si="249"/>
        <v>I10330</v>
      </c>
    </row>
    <row r="15943" spans="1:6" ht="22.5" x14ac:dyDescent="0.2">
      <c r="A15943" s="29" t="s">
        <v>35412</v>
      </c>
      <c r="B15943" s="30" t="s">
        <v>35413</v>
      </c>
      <c r="C15943" s="29" t="s">
        <v>26</v>
      </c>
      <c r="D15943" s="31">
        <v>53280.2</v>
      </c>
      <c r="F15943" s="3" t="str">
        <f t="shared" si="249"/>
        <v>I10331</v>
      </c>
    </row>
    <row r="15944" spans="1:6" ht="22.5" x14ac:dyDescent="0.2">
      <c r="A15944" s="29" t="s">
        <v>35414</v>
      </c>
      <c r="B15944" s="30" t="s">
        <v>35415</v>
      </c>
      <c r="C15944" s="29" t="s">
        <v>26</v>
      </c>
      <c r="D15944" s="31">
        <v>80720.63</v>
      </c>
      <c r="F15944" s="3" t="str">
        <f t="shared" si="249"/>
        <v>I10332</v>
      </c>
    </row>
    <row r="15945" spans="1:6" x14ac:dyDescent="0.2">
      <c r="A15945" s="29" t="s">
        <v>35416</v>
      </c>
      <c r="B15945" s="30" t="s">
        <v>35417</v>
      </c>
      <c r="C15945" s="29" t="s">
        <v>26</v>
      </c>
      <c r="D15945" s="31">
        <v>4070</v>
      </c>
      <c r="F15945" s="3" t="str">
        <f t="shared" si="249"/>
        <v>I10353</v>
      </c>
    </row>
    <row r="15946" spans="1:6" x14ac:dyDescent="0.2">
      <c r="A15946" s="29" t="s">
        <v>35418</v>
      </c>
      <c r="B15946" s="30" t="s">
        <v>35419</v>
      </c>
      <c r="C15946" s="29" t="s">
        <v>26</v>
      </c>
      <c r="D15946" s="31">
        <v>4070</v>
      </c>
      <c r="F15946" s="3" t="str">
        <f t="shared" si="249"/>
        <v>I10362</v>
      </c>
    </row>
    <row r="15947" spans="1:6" x14ac:dyDescent="0.2">
      <c r="A15947" s="29" t="s">
        <v>35420</v>
      </c>
      <c r="B15947" s="30" t="s">
        <v>35421</v>
      </c>
      <c r="C15947" s="29" t="s">
        <v>26</v>
      </c>
      <c r="D15947" s="31">
        <v>7330</v>
      </c>
      <c r="F15947" s="3" t="str">
        <f t="shared" si="249"/>
        <v>I10354</v>
      </c>
    </row>
    <row r="15948" spans="1:6" x14ac:dyDescent="0.2">
      <c r="A15948" s="29" t="s">
        <v>35422</v>
      </c>
      <c r="B15948" s="30" t="s">
        <v>35423</v>
      </c>
      <c r="C15948" s="29" t="s">
        <v>26</v>
      </c>
      <c r="D15948" s="31">
        <v>7150</v>
      </c>
      <c r="F15948" s="3" t="str">
        <f t="shared" si="249"/>
        <v>I10363</v>
      </c>
    </row>
    <row r="15949" spans="1:6" x14ac:dyDescent="0.2">
      <c r="A15949" s="29" t="s">
        <v>35424</v>
      </c>
      <c r="B15949" s="30" t="s">
        <v>35425</v>
      </c>
      <c r="C15949" s="29" t="s">
        <v>26</v>
      </c>
      <c r="D15949" s="31">
        <v>17425</v>
      </c>
      <c r="F15949" s="3" t="str">
        <f t="shared" si="249"/>
        <v>I10355</v>
      </c>
    </row>
    <row r="15950" spans="1:6" x14ac:dyDescent="0.2">
      <c r="A15950" s="29" t="s">
        <v>35426</v>
      </c>
      <c r="B15950" s="30" t="s">
        <v>35427</v>
      </c>
      <c r="C15950" s="29" t="s">
        <v>26</v>
      </c>
      <c r="D15950" s="31">
        <v>30560</v>
      </c>
      <c r="F15950" s="3" t="str">
        <f t="shared" si="249"/>
        <v>I10356</v>
      </c>
    </row>
    <row r="15951" spans="1:6" x14ac:dyDescent="0.2">
      <c r="A15951" s="29" t="s">
        <v>35428</v>
      </c>
      <c r="B15951" s="30" t="s">
        <v>35429</v>
      </c>
      <c r="C15951" s="29" t="s">
        <v>26</v>
      </c>
      <c r="D15951" s="31">
        <v>45780</v>
      </c>
      <c r="F15951" s="3" t="str">
        <f t="shared" si="249"/>
        <v>I10357</v>
      </c>
    </row>
    <row r="15952" spans="1:6" x14ac:dyDescent="0.2">
      <c r="A15952" s="29" t="s">
        <v>35430</v>
      </c>
      <c r="B15952" s="30" t="s">
        <v>35431</v>
      </c>
      <c r="C15952" s="29" t="s">
        <v>26</v>
      </c>
      <c r="D15952" s="31">
        <v>82285</v>
      </c>
      <c r="F15952" s="3" t="str">
        <f t="shared" si="249"/>
        <v>I10358</v>
      </c>
    </row>
    <row r="15953" spans="1:6" x14ac:dyDescent="0.2">
      <c r="A15953" s="29" t="s">
        <v>35432</v>
      </c>
      <c r="B15953" s="30" t="s">
        <v>35433</v>
      </c>
      <c r="C15953" s="29" t="s">
        <v>26</v>
      </c>
      <c r="D15953" s="31">
        <v>2650</v>
      </c>
      <c r="F15953" s="3" t="str">
        <f t="shared" si="249"/>
        <v>I10361</v>
      </c>
    </row>
    <row r="15954" spans="1:6" x14ac:dyDescent="0.2">
      <c r="A15954" s="29" t="s">
        <v>35434</v>
      </c>
      <c r="B15954" s="30" t="s">
        <v>35435</v>
      </c>
      <c r="C15954" s="29" t="s">
        <v>26</v>
      </c>
      <c r="D15954" s="31">
        <v>211280</v>
      </c>
      <c r="F15954" s="3" t="str">
        <f t="shared" si="249"/>
        <v>I10359</v>
      </c>
    </row>
    <row r="15955" spans="1:6" x14ac:dyDescent="0.2">
      <c r="A15955" s="29" t="s">
        <v>35436</v>
      </c>
      <c r="B15955" s="30" t="s">
        <v>35437</v>
      </c>
      <c r="C15955" s="29" t="s">
        <v>26</v>
      </c>
      <c r="D15955" s="31">
        <v>340170</v>
      </c>
      <c r="F15955" s="3" t="str">
        <f t="shared" si="249"/>
        <v>I10360</v>
      </c>
    </row>
    <row r="15956" spans="1:6" x14ac:dyDescent="0.2">
      <c r="A15956" s="29" t="s">
        <v>35438</v>
      </c>
      <c r="B15956" s="30" t="s">
        <v>35439</v>
      </c>
      <c r="C15956" s="29" t="s">
        <v>26</v>
      </c>
      <c r="D15956" s="31">
        <v>2258.5500000000002</v>
      </c>
      <c r="F15956" s="3" t="str">
        <f t="shared" si="249"/>
        <v>I8753</v>
      </c>
    </row>
    <row r="15957" spans="1:6" x14ac:dyDescent="0.2">
      <c r="A15957" s="29" t="s">
        <v>35440</v>
      </c>
      <c r="B15957" s="30" t="s">
        <v>35441</v>
      </c>
      <c r="C15957" s="29" t="s">
        <v>26</v>
      </c>
      <c r="D15957" s="31">
        <v>5040</v>
      </c>
      <c r="F15957" s="3" t="str">
        <f t="shared" si="249"/>
        <v>I8754</v>
      </c>
    </row>
    <row r="15958" spans="1:6" x14ac:dyDescent="0.2">
      <c r="A15958" s="29" t="s">
        <v>35442</v>
      </c>
      <c r="B15958" s="30" t="s">
        <v>35443</v>
      </c>
      <c r="C15958" s="29" t="s">
        <v>26</v>
      </c>
      <c r="D15958" s="31">
        <v>5565</v>
      </c>
      <c r="F15958" s="3" t="str">
        <f t="shared" si="249"/>
        <v>I8755</v>
      </c>
    </row>
    <row r="15959" spans="1:6" x14ac:dyDescent="0.2">
      <c r="A15959" s="29" t="s">
        <v>35444</v>
      </c>
      <c r="B15959" s="30" t="s">
        <v>35445</v>
      </c>
      <c r="C15959" s="29" t="s">
        <v>26</v>
      </c>
      <c r="D15959" s="31">
        <v>6720</v>
      </c>
      <c r="F15959" s="3" t="str">
        <f t="shared" si="249"/>
        <v>I8756</v>
      </c>
    </row>
    <row r="15960" spans="1:6" x14ac:dyDescent="0.2">
      <c r="A15960" s="29" t="s">
        <v>35446</v>
      </c>
      <c r="B15960" s="30" t="s">
        <v>35447</v>
      </c>
      <c r="C15960" s="29" t="s">
        <v>26</v>
      </c>
      <c r="D15960" s="31">
        <v>8505</v>
      </c>
      <c r="F15960" s="3" t="str">
        <f t="shared" si="249"/>
        <v>I8757</v>
      </c>
    </row>
    <row r="15961" spans="1:6" x14ac:dyDescent="0.2">
      <c r="A15961" s="29" t="s">
        <v>35448</v>
      </c>
      <c r="B15961" s="30" t="s">
        <v>35449</v>
      </c>
      <c r="C15961" s="29" t="s">
        <v>26</v>
      </c>
      <c r="D15961" s="31">
        <v>10605</v>
      </c>
      <c r="F15961" s="3" t="str">
        <f t="shared" si="249"/>
        <v>I8758</v>
      </c>
    </row>
    <row r="15962" spans="1:6" x14ac:dyDescent="0.2">
      <c r="A15962" s="29" t="s">
        <v>35450</v>
      </c>
      <c r="B15962" s="30" t="s">
        <v>35451</v>
      </c>
      <c r="C15962" s="29" t="s">
        <v>26</v>
      </c>
      <c r="D15962" s="31">
        <v>11445</v>
      </c>
      <c r="F15962" s="3" t="str">
        <f t="shared" si="249"/>
        <v>I10339</v>
      </c>
    </row>
    <row r="15963" spans="1:6" x14ac:dyDescent="0.2">
      <c r="A15963" s="29" t="s">
        <v>35452</v>
      </c>
      <c r="B15963" s="30" t="s">
        <v>35453</v>
      </c>
      <c r="C15963" s="29" t="s">
        <v>26</v>
      </c>
      <c r="D15963" s="31">
        <v>17115</v>
      </c>
      <c r="F15963" s="3" t="str">
        <f t="shared" si="249"/>
        <v>I8759</v>
      </c>
    </row>
    <row r="15964" spans="1:6" x14ac:dyDescent="0.2">
      <c r="A15964" s="29" t="s">
        <v>35454</v>
      </c>
      <c r="B15964" s="30" t="s">
        <v>35455</v>
      </c>
      <c r="C15964" s="29" t="s">
        <v>26</v>
      </c>
      <c r="D15964" s="31">
        <v>20370</v>
      </c>
      <c r="F15964" s="3" t="str">
        <f t="shared" si="249"/>
        <v>I10340</v>
      </c>
    </row>
    <row r="15965" spans="1:6" x14ac:dyDescent="0.2">
      <c r="A15965" s="29" t="s">
        <v>35456</v>
      </c>
      <c r="B15965" s="30" t="s">
        <v>35457</v>
      </c>
      <c r="C15965" s="29" t="s">
        <v>26</v>
      </c>
      <c r="D15965" s="31">
        <v>21735</v>
      </c>
      <c r="F15965" s="3" t="str">
        <f t="shared" si="249"/>
        <v>I10341</v>
      </c>
    </row>
    <row r="15966" spans="1:6" x14ac:dyDescent="0.2">
      <c r="A15966" s="29" t="s">
        <v>35458</v>
      </c>
      <c r="B15966" s="30" t="s">
        <v>35459</v>
      </c>
      <c r="C15966" s="29" t="s">
        <v>26</v>
      </c>
      <c r="D15966" s="31">
        <v>26460</v>
      </c>
      <c r="F15966" s="3" t="str">
        <f t="shared" si="249"/>
        <v>I10342</v>
      </c>
    </row>
    <row r="15967" spans="1:6" x14ac:dyDescent="0.2">
      <c r="A15967" s="29" t="s">
        <v>35460</v>
      </c>
      <c r="B15967" s="30" t="s">
        <v>35461</v>
      </c>
      <c r="C15967" s="29" t="s">
        <v>26</v>
      </c>
      <c r="D15967" s="31">
        <v>30030</v>
      </c>
      <c r="F15967" s="3" t="str">
        <f t="shared" si="249"/>
        <v>I8760</v>
      </c>
    </row>
    <row r="15968" spans="1:6" x14ac:dyDescent="0.2">
      <c r="A15968" s="29" t="s">
        <v>35462</v>
      </c>
      <c r="B15968" s="30" t="s">
        <v>35463</v>
      </c>
      <c r="C15968" s="29" t="s">
        <v>26</v>
      </c>
      <c r="D15968" s="31">
        <v>40950</v>
      </c>
      <c r="F15968" s="3" t="str">
        <f t="shared" si="249"/>
        <v>I10343</v>
      </c>
    </row>
    <row r="15969" spans="1:6" x14ac:dyDescent="0.2">
      <c r="A15969" s="29" t="s">
        <v>35464</v>
      </c>
      <c r="B15969" s="30" t="s">
        <v>35465</v>
      </c>
      <c r="C15969" s="29" t="s">
        <v>26</v>
      </c>
      <c r="D15969" s="31">
        <v>35194.81</v>
      </c>
      <c r="F15969" s="3" t="str">
        <f t="shared" si="249"/>
        <v>I10344</v>
      </c>
    </row>
    <row r="15970" spans="1:6" x14ac:dyDescent="0.2">
      <c r="A15970" s="29" t="s">
        <v>35466</v>
      </c>
      <c r="B15970" s="30" t="s">
        <v>35467</v>
      </c>
      <c r="C15970" s="29" t="s">
        <v>26</v>
      </c>
      <c r="D15970" s="31">
        <v>43460.32</v>
      </c>
      <c r="F15970" s="3" t="str">
        <f t="shared" si="249"/>
        <v>I10345</v>
      </c>
    </row>
    <row r="15971" spans="1:6" x14ac:dyDescent="0.2">
      <c r="A15971" s="29" t="s">
        <v>35468</v>
      </c>
      <c r="B15971" s="30" t="s">
        <v>35469</v>
      </c>
      <c r="C15971" s="29" t="s">
        <v>26</v>
      </c>
      <c r="D15971" s="31">
        <v>49804.79</v>
      </c>
      <c r="F15971" s="3" t="str">
        <f t="shared" si="249"/>
        <v>I10346</v>
      </c>
    </row>
    <row r="15972" spans="1:6" x14ac:dyDescent="0.2">
      <c r="A15972" s="29" t="s">
        <v>35470</v>
      </c>
      <c r="B15972" s="30" t="s">
        <v>35471</v>
      </c>
      <c r="C15972" s="29" t="s">
        <v>26</v>
      </c>
      <c r="D15972" s="31">
        <v>88932.91</v>
      </c>
      <c r="F15972" s="3" t="str">
        <f t="shared" si="249"/>
        <v>I10347</v>
      </c>
    </row>
    <row r="15973" spans="1:6" x14ac:dyDescent="0.2">
      <c r="A15973" s="29" t="s">
        <v>35472</v>
      </c>
      <c r="B15973" s="30" t="s">
        <v>35473</v>
      </c>
      <c r="C15973" s="29" t="s">
        <v>26</v>
      </c>
      <c r="D15973" s="31">
        <v>98347.82</v>
      </c>
      <c r="F15973" s="3" t="str">
        <f t="shared" si="249"/>
        <v>I10348</v>
      </c>
    </row>
    <row r="15974" spans="1:6" x14ac:dyDescent="0.2">
      <c r="A15974" s="29" t="s">
        <v>35474</v>
      </c>
      <c r="B15974" s="30" t="s">
        <v>35475</v>
      </c>
      <c r="C15974" s="29" t="s">
        <v>26</v>
      </c>
      <c r="D15974" s="31">
        <v>3639.11</v>
      </c>
      <c r="F15974" s="3" t="str">
        <f t="shared" si="249"/>
        <v>I8761</v>
      </c>
    </row>
    <row r="15975" spans="1:6" x14ac:dyDescent="0.2">
      <c r="A15975" s="29" t="s">
        <v>35476</v>
      </c>
      <c r="B15975" s="30" t="s">
        <v>35477</v>
      </c>
      <c r="C15975" s="29" t="s">
        <v>26</v>
      </c>
      <c r="D15975" s="31">
        <v>4059</v>
      </c>
      <c r="F15975" s="3" t="str">
        <f t="shared" si="249"/>
        <v>I8762</v>
      </c>
    </row>
    <row r="15976" spans="1:6" x14ac:dyDescent="0.2">
      <c r="A15976" s="29" t="s">
        <v>35478</v>
      </c>
      <c r="B15976" s="30" t="s">
        <v>35479</v>
      </c>
      <c r="C15976" s="29" t="s">
        <v>26</v>
      </c>
      <c r="D15976" s="31">
        <v>6261.14</v>
      </c>
      <c r="F15976" s="3" t="str">
        <f t="shared" si="249"/>
        <v>I8763</v>
      </c>
    </row>
    <row r="15977" spans="1:6" x14ac:dyDescent="0.2">
      <c r="A15977" s="29" t="s">
        <v>35480</v>
      </c>
      <c r="B15977" s="30" t="s">
        <v>35481</v>
      </c>
      <c r="C15977" s="29" t="s">
        <v>26</v>
      </c>
      <c r="D15977" s="31">
        <v>11295.78</v>
      </c>
      <c r="F15977" s="3" t="str">
        <f t="shared" si="249"/>
        <v>I8764</v>
      </c>
    </row>
    <row r="15978" spans="1:6" x14ac:dyDescent="0.2">
      <c r="A15978" s="29" t="s">
        <v>35482</v>
      </c>
      <c r="B15978" s="30" t="s">
        <v>35483</v>
      </c>
      <c r="C15978" s="29" t="s">
        <v>26</v>
      </c>
      <c r="D15978" s="31">
        <v>16586.57</v>
      </c>
      <c r="F15978" s="3" t="str">
        <f t="shared" si="249"/>
        <v>I8765</v>
      </c>
    </row>
    <row r="15979" spans="1:6" x14ac:dyDescent="0.2">
      <c r="A15979" s="29" t="s">
        <v>35484</v>
      </c>
      <c r="B15979" s="30" t="s">
        <v>35485</v>
      </c>
      <c r="C15979" s="29" t="s">
        <v>26</v>
      </c>
      <c r="D15979" s="31">
        <v>25946.66</v>
      </c>
      <c r="F15979" s="3" t="str">
        <f t="shared" si="249"/>
        <v>I8766</v>
      </c>
    </row>
    <row r="15980" spans="1:6" x14ac:dyDescent="0.2">
      <c r="A15980" s="29" t="s">
        <v>35486</v>
      </c>
      <c r="B15980" s="30" t="s">
        <v>35487</v>
      </c>
      <c r="C15980" s="29" t="s">
        <v>26</v>
      </c>
      <c r="D15980" s="31">
        <v>49837.86</v>
      </c>
      <c r="F15980" s="3" t="str">
        <f t="shared" si="249"/>
        <v>I8767</v>
      </c>
    </row>
    <row r="15981" spans="1:6" x14ac:dyDescent="0.2">
      <c r="A15981" s="29" t="s">
        <v>35488</v>
      </c>
      <c r="B15981" s="30" t="s">
        <v>35489</v>
      </c>
      <c r="C15981" s="29" t="s">
        <v>26</v>
      </c>
      <c r="D15981" s="31">
        <v>1456.14</v>
      </c>
      <c r="F15981" s="3" t="str">
        <f t="shared" si="249"/>
        <v>I8772</v>
      </c>
    </row>
    <row r="15982" spans="1:6" x14ac:dyDescent="0.2">
      <c r="A15982" s="29" t="s">
        <v>35490</v>
      </c>
      <c r="B15982" s="30" t="s">
        <v>35491</v>
      </c>
      <c r="C15982" s="29" t="s">
        <v>26</v>
      </c>
      <c r="D15982" s="31">
        <v>11570.51</v>
      </c>
      <c r="F15982" s="3" t="str">
        <f t="shared" si="249"/>
        <v>I10226</v>
      </c>
    </row>
    <row r="15983" spans="1:6" x14ac:dyDescent="0.2">
      <c r="A15983" s="29" t="s">
        <v>35492</v>
      </c>
      <c r="B15983" s="30" t="s">
        <v>35493</v>
      </c>
      <c r="C15983" s="29" t="s">
        <v>26</v>
      </c>
      <c r="D15983" s="31">
        <v>3498.53</v>
      </c>
      <c r="F15983" s="3" t="str">
        <f t="shared" si="249"/>
        <v>I8752</v>
      </c>
    </row>
    <row r="15984" spans="1:6" x14ac:dyDescent="0.2">
      <c r="A15984" s="29" t="s">
        <v>35494</v>
      </c>
      <c r="B15984" s="30" t="s">
        <v>35495</v>
      </c>
      <c r="C15984" s="29" t="s">
        <v>26</v>
      </c>
      <c r="D15984" s="31">
        <v>738.38</v>
      </c>
      <c r="F15984" s="3" t="str">
        <f t="shared" si="249"/>
        <v>I5667</v>
      </c>
    </row>
    <row r="15985" spans="1:6" x14ac:dyDescent="0.2">
      <c r="A15985" s="29" t="s">
        <v>35496</v>
      </c>
      <c r="B15985" s="30" t="s">
        <v>35497</v>
      </c>
      <c r="C15985" s="29" t="s">
        <v>26</v>
      </c>
      <c r="D15985" s="31">
        <v>1034.5</v>
      </c>
      <c r="F15985" s="3" t="str">
        <f t="shared" si="249"/>
        <v>I5668</v>
      </c>
    </row>
    <row r="15986" spans="1:6" x14ac:dyDescent="0.2">
      <c r="A15986" s="29" t="s">
        <v>35498</v>
      </c>
      <c r="B15986" s="30" t="s">
        <v>35499</v>
      </c>
      <c r="C15986" s="29" t="s">
        <v>26</v>
      </c>
      <c r="D15986" s="31">
        <v>1102.5999999999999</v>
      </c>
      <c r="F15986" s="3" t="str">
        <f t="shared" si="249"/>
        <v>I5669</v>
      </c>
    </row>
    <row r="15987" spans="1:6" x14ac:dyDescent="0.2">
      <c r="A15987" s="29" t="s">
        <v>35500</v>
      </c>
      <c r="B15987" s="30" t="s">
        <v>35501</v>
      </c>
      <c r="C15987" s="29" t="s">
        <v>26</v>
      </c>
      <c r="D15987" s="31">
        <v>2669.68</v>
      </c>
      <c r="F15987" s="3" t="str">
        <f t="shared" si="249"/>
        <v>I5670</v>
      </c>
    </row>
    <row r="15988" spans="1:6" x14ac:dyDescent="0.2">
      <c r="A15988" s="29" t="s">
        <v>35502</v>
      </c>
      <c r="B15988" s="30" t="s">
        <v>35503</v>
      </c>
      <c r="C15988" s="29" t="s">
        <v>26</v>
      </c>
      <c r="D15988" s="31">
        <v>1168.01</v>
      </c>
      <c r="F15988" s="3" t="str">
        <f t="shared" si="249"/>
        <v>I5654</v>
      </c>
    </row>
    <row r="15989" spans="1:6" x14ac:dyDescent="0.2">
      <c r="A15989" s="29" t="s">
        <v>35504</v>
      </c>
      <c r="B15989" s="30" t="s">
        <v>35505</v>
      </c>
      <c r="C15989" s="29" t="s">
        <v>26</v>
      </c>
      <c r="D15989" s="31">
        <v>3047.83</v>
      </c>
      <c r="F15989" s="3" t="str">
        <f t="shared" si="249"/>
        <v>I5671</v>
      </c>
    </row>
    <row r="15990" spans="1:6" x14ac:dyDescent="0.2">
      <c r="A15990" s="29" t="s">
        <v>35506</v>
      </c>
      <c r="B15990" s="30" t="s">
        <v>35507</v>
      </c>
      <c r="C15990" s="29" t="s">
        <v>26</v>
      </c>
      <c r="D15990" s="31">
        <v>1794.39</v>
      </c>
      <c r="F15990" s="3" t="str">
        <f t="shared" si="249"/>
        <v>I5655</v>
      </c>
    </row>
    <row r="15991" spans="1:6" x14ac:dyDescent="0.2">
      <c r="A15991" s="29" t="s">
        <v>35508</v>
      </c>
      <c r="B15991" s="30" t="s">
        <v>35509</v>
      </c>
      <c r="C15991" s="29" t="s">
        <v>26</v>
      </c>
      <c r="D15991" s="31">
        <v>4085.23</v>
      </c>
      <c r="F15991" s="3" t="str">
        <f t="shared" si="249"/>
        <v>I5672</v>
      </c>
    </row>
    <row r="15992" spans="1:6" x14ac:dyDescent="0.2">
      <c r="A15992" s="29" t="s">
        <v>35510</v>
      </c>
      <c r="B15992" s="30" t="s">
        <v>35511</v>
      </c>
      <c r="C15992" s="29" t="s">
        <v>26</v>
      </c>
      <c r="D15992" s="31">
        <v>2780.75</v>
      </c>
      <c r="F15992" s="3" t="str">
        <f t="shared" si="249"/>
        <v>I5656</v>
      </c>
    </row>
    <row r="15993" spans="1:6" x14ac:dyDescent="0.2">
      <c r="A15993" s="29" t="s">
        <v>35512</v>
      </c>
      <c r="B15993" s="30" t="s">
        <v>35513</v>
      </c>
      <c r="C15993" s="29" t="s">
        <v>26</v>
      </c>
      <c r="D15993" s="31">
        <v>7076.27</v>
      </c>
      <c r="F15993" s="3" t="str">
        <f t="shared" si="249"/>
        <v>I5673</v>
      </c>
    </row>
    <row r="15994" spans="1:6" x14ac:dyDescent="0.2">
      <c r="A15994" s="29" t="s">
        <v>35514</v>
      </c>
      <c r="B15994" s="30" t="s">
        <v>35515</v>
      </c>
      <c r="C15994" s="29" t="s">
        <v>26</v>
      </c>
      <c r="D15994" s="31">
        <v>4187.91</v>
      </c>
      <c r="F15994" s="3" t="str">
        <f t="shared" si="249"/>
        <v>I5657</v>
      </c>
    </row>
    <row r="15995" spans="1:6" x14ac:dyDescent="0.2">
      <c r="A15995" s="29" t="s">
        <v>35516</v>
      </c>
      <c r="B15995" s="30" t="s">
        <v>35517</v>
      </c>
      <c r="C15995" s="29" t="s">
        <v>26</v>
      </c>
      <c r="D15995" s="31">
        <v>12919.69</v>
      </c>
      <c r="F15995" s="3" t="str">
        <f t="shared" si="249"/>
        <v>I5674</v>
      </c>
    </row>
    <row r="15996" spans="1:6" x14ac:dyDescent="0.2">
      <c r="A15996" s="29" t="s">
        <v>35518</v>
      </c>
      <c r="B15996" s="30" t="s">
        <v>35519</v>
      </c>
      <c r="C15996" s="29" t="s">
        <v>26</v>
      </c>
      <c r="D15996" s="31">
        <v>5463.67</v>
      </c>
      <c r="F15996" s="3" t="str">
        <f t="shared" si="249"/>
        <v>I5658</v>
      </c>
    </row>
    <row r="15997" spans="1:6" x14ac:dyDescent="0.2">
      <c r="A15997" s="29" t="s">
        <v>35520</v>
      </c>
      <c r="B15997" s="30" t="s">
        <v>35521</v>
      </c>
      <c r="C15997" s="29" t="s">
        <v>26</v>
      </c>
      <c r="D15997" s="31">
        <v>21295.8</v>
      </c>
      <c r="F15997" s="3" t="str">
        <f t="shared" si="249"/>
        <v>I5675</v>
      </c>
    </row>
    <row r="15998" spans="1:6" x14ac:dyDescent="0.2">
      <c r="A15998" s="29" t="s">
        <v>35522</v>
      </c>
      <c r="B15998" s="30" t="s">
        <v>35523</v>
      </c>
      <c r="C15998" s="29" t="s">
        <v>26</v>
      </c>
      <c r="D15998" s="31">
        <v>6795.54</v>
      </c>
      <c r="F15998" s="3" t="str">
        <f t="shared" si="249"/>
        <v>I5651</v>
      </c>
    </row>
    <row r="15999" spans="1:6" x14ac:dyDescent="0.2">
      <c r="A15999" s="29" t="s">
        <v>35524</v>
      </c>
      <c r="B15999" s="30" t="s">
        <v>35525</v>
      </c>
      <c r="C15999" s="29" t="s">
        <v>26</v>
      </c>
      <c r="D15999" s="31">
        <v>6828.67</v>
      </c>
      <c r="F15999" s="3" t="str">
        <f t="shared" si="249"/>
        <v>I5659</v>
      </c>
    </row>
    <row r="16000" spans="1:6" x14ac:dyDescent="0.2">
      <c r="A16000" s="29" t="s">
        <v>35526</v>
      </c>
      <c r="B16000" s="30" t="s">
        <v>35527</v>
      </c>
      <c r="C16000" s="29" t="s">
        <v>26</v>
      </c>
      <c r="D16000" s="31">
        <v>8928.89</v>
      </c>
      <c r="F16000" s="3" t="str">
        <f t="shared" si="249"/>
        <v>I5652</v>
      </c>
    </row>
    <row r="16001" spans="1:6" x14ac:dyDescent="0.2">
      <c r="A16001" s="29" t="s">
        <v>35528</v>
      </c>
      <c r="B16001" s="30" t="s">
        <v>35529</v>
      </c>
      <c r="C16001" s="29" t="s">
        <v>26</v>
      </c>
      <c r="D16001" s="31">
        <v>8963.7900000000009</v>
      </c>
      <c r="F16001" s="3" t="str">
        <f t="shared" si="249"/>
        <v>I5660</v>
      </c>
    </row>
    <row r="16002" spans="1:6" x14ac:dyDescent="0.2">
      <c r="A16002" s="29" t="s">
        <v>35530</v>
      </c>
      <c r="B16002" s="30" t="s">
        <v>35531</v>
      </c>
      <c r="C16002" s="29" t="s">
        <v>26</v>
      </c>
      <c r="D16002" s="31">
        <v>35387.599999999999</v>
      </c>
      <c r="F16002" s="3" t="str">
        <f t="shared" ref="F16002:F16065" si="250">A16002</f>
        <v>I5677</v>
      </c>
    </row>
    <row r="16003" spans="1:6" x14ac:dyDescent="0.2">
      <c r="A16003" s="29" t="s">
        <v>35532</v>
      </c>
      <c r="B16003" s="30" t="s">
        <v>35533</v>
      </c>
      <c r="C16003" s="29" t="s">
        <v>26</v>
      </c>
      <c r="D16003" s="31">
        <v>12909.16</v>
      </c>
      <c r="F16003" s="3" t="str">
        <f t="shared" si="250"/>
        <v>I5653</v>
      </c>
    </row>
    <row r="16004" spans="1:6" x14ac:dyDescent="0.2">
      <c r="A16004" s="29" t="s">
        <v>35534</v>
      </c>
      <c r="B16004" s="30" t="s">
        <v>35535</v>
      </c>
      <c r="C16004" s="29" t="s">
        <v>26</v>
      </c>
      <c r="D16004" s="31">
        <v>13063.42</v>
      </c>
      <c r="F16004" s="3" t="str">
        <f t="shared" si="250"/>
        <v>I5661</v>
      </c>
    </row>
    <row r="16005" spans="1:6" x14ac:dyDescent="0.2">
      <c r="A16005" s="29" t="s">
        <v>35536</v>
      </c>
      <c r="B16005" s="30" t="s">
        <v>35537</v>
      </c>
      <c r="C16005" s="29" t="s">
        <v>26</v>
      </c>
      <c r="D16005" s="31">
        <v>46649.440000000002</v>
      </c>
      <c r="F16005" s="3" t="str">
        <f t="shared" si="250"/>
        <v>I5678</v>
      </c>
    </row>
    <row r="16006" spans="1:6" x14ac:dyDescent="0.2">
      <c r="A16006" s="29" t="s">
        <v>35538</v>
      </c>
      <c r="B16006" s="30" t="s">
        <v>35539</v>
      </c>
      <c r="C16006" s="29" t="s">
        <v>26</v>
      </c>
      <c r="D16006" s="31">
        <v>24859.06</v>
      </c>
      <c r="F16006" s="3" t="str">
        <f t="shared" si="250"/>
        <v>I5662</v>
      </c>
    </row>
    <row r="16007" spans="1:6" x14ac:dyDescent="0.2">
      <c r="A16007" s="29" t="s">
        <v>35540</v>
      </c>
      <c r="B16007" s="30" t="s">
        <v>35541</v>
      </c>
      <c r="C16007" s="29" t="s">
        <v>26</v>
      </c>
      <c r="D16007" s="31">
        <v>40878.57</v>
      </c>
      <c r="F16007" s="3" t="str">
        <f t="shared" si="250"/>
        <v>I5663</v>
      </c>
    </row>
    <row r="16008" spans="1:6" x14ac:dyDescent="0.2">
      <c r="A16008" s="29" t="s">
        <v>35542</v>
      </c>
      <c r="B16008" s="30" t="s">
        <v>35543</v>
      </c>
      <c r="C16008" s="29" t="s">
        <v>26</v>
      </c>
      <c r="D16008" s="31">
        <v>60396.56</v>
      </c>
      <c r="F16008" s="3" t="str">
        <f t="shared" si="250"/>
        <v>I5664</v>
      </c>
    </row>
    <row r="16009" spans="1:6" x14ac:dyDescent="0.2">
      <c r="A16009" s="29" t="s">
        <v>35544</v>
      </c>
      <c r="B16009" s="30" t="s">
        <v>35545</v>
      </c>
      <c r="C16009" s="29" t="s">
        <v>26</v>
      </c>
      <c r="D16009" s="31">
        <v>84280.43</v>
      </c>
      <c r="F16009" s="3" t="str">
        <f t="shared" si="250"/>
        <v>I5665</v>
      </c>
    </row>
    <row r="16010" spans="1:6" x14ac:dyDescent="0.2">
      <c r="A16010" s="29" t="s">
        <v>35546</v>
      </c>
      <c r="B16010" s="30" t="s">
        <v>35547</v>
      </c>
      <c r="C16010" s="29" t="s">
        <v>26</v>
      </c>
      <c r="D16010" s="31">
        <v>169533.12</v>
      </c>
      <c r="F16010" s="3" t="str">
        <f t="shared" si="250"/>
        <v>I5666</v>
      </c>
    </row>
    <row r="16011" spans="1:6" x14ac:dyDescent="0.2">
      <c r="A16011" s="29" t="s">
        <v>35548</v>
      </c>
      <c r="B16011" s="30" t="s">
        <v>35549</v>
      </c>
      <c r="C16011" s="29" t="s">
        <v>26</v>
      </c>
      <c r="D16011" s="31">
        <v>26664.1</v>
      </c>
      <c r="F16011" s="3" t="str">
        <f t="shared" si="250"/>
        <v>I5676</v>
      </c>
    </row>
    <row r="16012" spans="1:6" x14ac:dyDescent="0.2">
      <c r="A16012" s="29" t="s">
        <v>35550</v>
      </c>
      <c r="B16012" s="30" t="s">
        <v>35551</v>
      </c>
      <c r="C16012" s="29" t="s">
        <v>26</v>
      </c>
      <c r="D16012" s="31">
        <v>1892.33</v>
      </c>
      <c r="F16012" s="3" t="str">
        <f t="shared" si="250"/>
        <v>I8750</v>
      </c>
    </row>
    <row r="16013" spans="1:6" x14ac:dyDescent="0.2">
      <c r="A16013" s="29" t="s">
        <v>35552</v>
      </c>
      <c r="B16013" s="30" t="s">
        <v>35553</v>
      </c>
      <c r="C16013" s="29" t="s">
        <v>26</v>
      </c>
      <c r="D16013" s="31">
        <v>5505.32</v>
      </c>
      <c r="F16013" s="3" t="str">
        <f t="shared" si="250"/>
        <v>I8751</v>
      </c>
    </row>
    <row r="16014" spans="1:6" x14ac:dyDescent="0.2">
      <c r="A16014" s="29" t="s">
        <v>35554</v>
      </c>
      <c r="B16014" s="30" t="s">
        <v>35555</v>
      </c>
      <c r="C16014" s="29" t="s">
        <v>26</v>
      </c>
      <c r="D16014" s="31">
        <v>2573.0300000000002</v>
      </c>
      <c r="F16014" s="3" t="str">
        <f t="shared" si="250"/>
        <v>I8743</v>
      </c>
    </row>
    <row r="16015" spans="1:6" x14ac:dyDescent="0.2">
      <c r="A16015" s="29" t="s">
        <v>35556</v>
      </c>
      <c r="B16015" s="30" t="s">
        <v>35557</v>
      </c>
      <c r="C16015" s="29" t="s">
        <v>26</v>
      </c>
      <c r="D16015" s="31">
        <v>3542.01</v>
      </c>
      <c r="F16015" s="3" t="str">
        <f t="shared" si="250"/>
        <v>I8744</v>
      </c>
    </row>
    <row r="16016" spans="1:6" x14ac:dyDescent="0.2">
      <c r="A16016" s="29" t="s">
        <v>35558</v>
      </c>
      <c r="B16016" s="30" t="s">
        <v>35559</v>
      </c>
      <c r="C16016" s="29" t="s">
        <v>26</v>
      </c>
      <c r="D16016" s="31">
        <v>4873.09</v>
      </c>
      <c r="F16016" s="3" t="str">
        <f t="shared" si="250"/>
        <v>I8745</v>
      </c>
    </row>
    <row r="16017" spans="1:6" x14ac:dyDescent="0.2">
      <c r="A16017" s="29" t="s">
        <v>35560</v>
      </c>
      <c r="B16017" s="30" t="s">
        <v>35561</v>
      </c>
      <c r="C16017" s="29" t="s">
        <v>26</v>
      </c>
      <c r="D16017" s="31">
        <v>9962.75</v>
      </c>
      <c r="F16017" s="3" t="str">
        <f t="shared" si="250"/>
        <v>I8746</v>
      </c>
    </row>
    <row r="16018" spans="1:6" x14ac:dyDescent="0.2">
      <c r="A16018" s="29" t="s">
        <v>35562</v>
      </c>
      <c r="B16018" s="30" t="s">
        <v>35563</v>
      </c>
      <c r="C16018" s="29" t="s">
        <v>26</v>
      </c>
      <c r="D16018" s="31">
        <v>9962.75</v>
      </c>
      <c r="F16018" s="3" t="str">
        <f t="shared" si="250"/>
        <v>I8747</v>
      </c>
    </row>
    <row r="16019" spans="1:6" x14ac:dyDescent="0.2">
      <c r="A16019" s="29" t="s">
        <v>35564</v>
      </c>
      <c r="B16019" s="30" t="s">
        <v>35565</v>
      </c>
      <c r="C16019" s="29" t="s">
        <v>26</v>
      </c>
      <c r="D16019" s="31">
        <v>23768.7</v>
      </c>
      <c r="F16019" s="3" t="str">
        <f t="shared" si="250"/>
        <v>I8748</v>
      </c>
    </row>
    <row r="16020" spans="1:6" x14ac:dyDescent="0.2">
      <c r="A16020" s="29" t="s">
        <v>35566</v>
      </c>
      <c r="B16020" s="30" t="s">
        <v>35567</v>
      </c>
      <c r="C16020" s="29" t="s">
        <v>26</v>
      </c>
      <c r="D16020" s="31">
        <v>26200.73</v>
      </c>
      <c r="F16020" s="3" t="str">
        <f t="shared" si="250"/>
        <v>I8749</v>
      </c>
    </row>
    <row r="16021" spans="1:6" x14ac:dyDescent="0.2">
      <c r="A16021" s="29" t="s">
        <v>35568</v>
      </c>
      <c r="B16021" s="30" t="s">
        <v>35569</v>
      </c>
      <c r="C16021" s="29" t="s">
        <v>26</v>
      </c>
      <c r="D16021" s="31">
        <v>3211.61</v>
      </c>
      <c r="F16021" s="3" t="str">
        <f t="shared" si="250"/>
        <v>I8768</v>
      </c>
    </row>
    <row r="16022" spans="1:6" x14ac:dyDescent="0.2">
      <c r="A16022" s="29" t="s">
        <v>35570</v>
      </c>
      <c r="B16022" s="30" t="s">
        <v>35571</v>
      </c>
      <c r="C16022" s="29" t="s">
        <v>26</v>
      </c>
      <c r="D16022" s="31">
        <v>3803.22</v>
      </c>
      <c r="F16022" s="3" t="str">
        <f t="shared" si="250"/>
        <v>I8769</v>
      </c>
    </row>
    <row r="16023" spans="1:6" x14ac:dyDescent="0.2">
      <c r="A16023" s="29" t="s">
        <v>35572</v>
      </c>
      <c r="B16023" s="30" t="s">
        <v>35573</v>
      </c>
      <c r="C16023" s="29" t="s">
        <v>26</v>
      </c>
      <c r="D16023" s="31">
        <v>4901.93</v>
      </c>
      <c r="F16023" s="3" t="str">
        <f t="shared" si="250"/>
        <v>I8770</v>
      </c>
    </row>
    <row r="16024" spans="1:6" x14ac:dyDescent="0.2">
      <c r="A16024" s="29" t="s">
        <v>35574</v>
      </c>
      <c r="B16024" s="30" t="s">
        <v>35575</v>
      </c>
      <c r="C16024" s="29" t="s">
        <v>26</v>
      </c>
      <c r="D16024" s="31">
        <v>5076.09</v>
      </c>
      <c r="F16024" s="3" t="str">
        <f t="shared" si="250"/>
        <v>I6499</v>
      </c>
    </row>
    <row r="16025" spans="1:6" x14ac:dyDescent="0.2">
      <c r="A16025" s="29" t="s">
        <v>35576</v>
      </c>
      <c r="B16025" s="30" t="s">
        <v>35577</v>
      </c>
      <c r="C16025" s="29" t="s">
        <v>26</v>
      </c>
      <c r="D16025" s="31">
        <v>7952.27</v>
      </c>
      <c r="F16025" s="3" t="str">
        <f t="shared" si="250"/>
        <v>I6514</v>
      </c>
    </row>
    <row r="16026" spans="1:6" x14ac:dyDescent="0.2">
      <c r="A16026" s="29" t="s">
        <v>35578</v>
      </c>
      <c r="B16026" s="30" t="s">
        <v>35579</v>
      </c>
      <c r="C16026" s="29" t="s">
        <v>26</v>
      </c>
      <c r="D16026" s="31">
        <v>8686.59</v>
      </c>
      <c r="F16026" s="3" t="str">
        <f t="shared" si="250"/>
        <v>I6515</v>
      </c>
    </row>
    <row r="16027" spans="1:6" x14ac:dyDescent="0.2">
      <c r="A16027" s="29" t="s">
        <v>35580</v>
      </c>
      <c r="B16027" s="30" t="s">
        <v>35581</v>
      </c>
      <c r="C16027" s="29" t="s">
        <v>26</v>
      </c>
      <c r="D16027" s="31">
        <v>23132.3</v>
      </c>
      <c r="F16027" s="3" t="str">
        <f t="shared" si="250"/>
        <v>I6516</v>
      </c>
    </row>
    <row r="16028" spans="1:6" x14ac:dyDescent="0.2">
      <c r="A16028" s="29" t="s">
        <v>35582</v>
      </c>
      <c r="B16028" s="30" t="s">
        <v>35583</v>
      </c>
      <c r="C16028" s="29" t="s">
        <v>26</v>
      </c>
      <c r="D16028" s="31">
        <v>36736.980000000003</v>
      </c>
      <c r="F16028" s="3" t="str">
        <f t="shared" si="250"/>
        <v>I6517</v>
      </c>
    </row>
    <row r="16029" spans="1:6" x14ac:dyDescent="0.2">
      <c r="A16029" s="29" t="s">
        <v>35584</v>
      </c>
      <c r="B16029" s="30" t="s">
        <v>35585</v>
      </c>
      <c r="C16029" s="29" t="s">
        <v>26</v>
      </c>
      <c r="D16029" s="31">
        <v>7.54</v>
      </c>
      <c r="F16029" s="3" t="str">
        <f t="shared" si="250"/>
        <v>I8931</v>
      </c>
    </row>
    <row r="16030" spans="1:6" x14ac:dyDescent="0.2">
      <c r="A16030" s="29" t="s">
        <v>35586</v>
      </c>
      <c r="B16030" s="30" t="s">
        <v>35587</v>
      </c>
      <c r="C16030" s="29" t="s">
        <v>26</v>
      </c>
      <c r="D16030" s="31">
        <v>25.63</v>
      </c>
      <c r="F16030" s="3" t="str">
        <f t="shared" si="250"/>
        <v>I8932</v>
      </c>
    </row>
    <row r="16031" spans="1:6" ht="15.75" customHeight="1" x14ac:dyDescent="0.2">
      <c r="A16031" s="32" t="s">
        <v>35588</v>
      </c>
      <c r="B16031" s="33"/>
      <c r="C16031" s="32">
        <v>0</v>
      </c>
      <c r="D16031" s="34">
        <v>0</v>
      </c>
      <c r="F16031" s="3" t="str">
        <f t="shared" si="250"/>
        <v>COTAÇÃO / MATERIAIS FORNECIDOS TUBO ASTM</v>
      </c>
    </row>
    <row r="16032" spans="1:6" ht="25.5" x14ac:dyDescent="0.2">
      <c r="A16032" s="26" t="s">
        <v>14985</v>
      </c>
      <c r="B16032" s="27" t="s">
        <v>14986</v>
      </c>
      <c r="C16032" s="26" t="s">
        <v>14987</v>
      </c>
      <c r="D16032" s="28" t="e">
        <v>#VALUE!</v>
      </c>
      <c r="F16032" s="3" t="str">
        <f t="shared" si="250"/>
        <v>Insumo</v>
      </c>
    </row>
    <row r="16033" spans="1:6" x14ac:dyDescent="0.2">
      <c r="A16033" s="29" t="s">
        <v>35589</v>
      </c>
      <c r="B16033" s="30" t="s">
        <v>35590</v>
      </c>
      <c r="C16033" s="29" t="s">
        <v>0</v>
      </c>
      <c r="D16033" s="31">
        <v>11690.82</v>
      </c>
      <c r="F16033" s="3" t="str">
        <f t="shared" si="250"/>
        <v>I10105</v>
      </c>
    </row>
    <row r="16034" spans="1:6" x14ac:dyDescent="0.2">
      <c r="A16034" s="29" t="s">
        <v>35591</v>
      </c>
      <c r="B16034" s="30" t="s">
        <v>35592</v>
      </c>
      <c r="C16034" s="29" t="s">
        <v>0</v>
      </c>
      <c r="D16034" s="31">
        <v>4202.8599999999997</v>
      </c>
      <c r="F16034" s="3" t="str">
        <f t="shared" si="250"/>
        <v>I10098</v>
      </c>
    </row>
    <row r="16035" spans="1:6" x14ac:dyDescent="0.2">
      <c r="A16035" s="29" t="s">
        <v>35593</v>
      </c>
      <c r="B16035" s="30" t="s">
        <v>35594</v>
      </c>
      <c r="C16035" s="29" t="s">
        <v>0</v>
      </c>
      <c r="D16035" s="31">
        <v>5564.42</v>
      </c>
      <c r="F16035" s="3" t="str">
        <f t="shared" si="250"/>
        <v>I10099</v>
      </c>
    </row>
    <row r="16036" spans="1:6" x14ac:dyDescent="0.2">
      <c r="A16036" s="29" t="s">
        <v>35595</v>
      </c>
      <c r="B16036" s="30" t="s">
        <v>35596</v>
      </c>
      <c r="C16036" s="29" t="s">
        <v>0</v>
      </c>
      <c r="D16036" s="31">
        <v>5810.58</v>
      </c>
      <c r="F16036" s="3" t="str">
        <f t="shared" si="250"/>
        <v>I10100</v>
      </c>
    </row>
    <row r="16037" spans="1:6" x14ac:dyDescent="0.2">
      <c r="A16037" s="29" t="s">
        <v>35597</v>
      </c>
      <c r="B16037" s="30" t="s">
        <v>35598</v>
      </c>
      <c r="C16037" s="29" t="s">
        <v>0</v>
      </c>
      <c r="D16037" s="31">
        <v>6056.72</v>
      </c>
      <c r="F16037" s="3" t="str">
        <f t="shared" si="250"/>
        <v>I10101</v>
      </c>
    </row>
    <row r="16038" spans="1:6" x14ac:dyDescent="0.2">
      <c r="A16038" s="29" t="s">
        <v>35599</v>
      </c>
      <c r="B16038" s="30" t="s">
        <v>35600</v>
      </c>
      <c r="C16038" s="29" t="s">
        <v>0</v>
      </c>
      <c r="D16038" s="31">
        <v>6302.87</v>
      </c>
      <c r="F16038" s="3" t="str">
        <f t="shared" si="250"/>
        <v>I10102</v>
      </c>
    </row>
    <row r="16039" spans="1:6" x14ac:dyDescent="0.2">
      <c r="A16039" s="29" t="s">
        <v>35601</v>
      </c>
      <c r="B16039" s="30" t="s">
        <v>35602</v>
      </c>
      <c r="C16039" s="29" t="s">
        <v>0</v>
      </c>
      <c r="D16039" s="31">
        <v>6549.02</v>
      </c>
      <c r="F16039" s="3" t="str">
        <f t="shared" si="250"/>
        <v>I10103</v>
      </c>
    </row>
    <row r="16040" spans="1:6" x14ac:dyDescent="0.2">
      <c r="A16040" s="29" t="s">
        <v>35603</v>
      </c>
      <c r="B16040" s="30" t="s">
        <v>35604</v>
      </c>
      <c r="C16040" s="29" t="s">
        <v>0</v>
      </c>
      <c r="D16040" s="31">
        <v>7128.52</v>
      </c>
      <c r="F16040" s="3" t="str">
        <f t="shared" si="250"/>
        <v>I10104</v>
      </c>
    </row>
    <row r="16041" spans="1:6" x14ac:dyDescent="0.2">
      <c r="A16041" s="29" t="s">
        <v>35605</v>
      </c>
      <c r="B16041" s="30" t="s">
        <v>35606</v>
      </c>
      <c r="C16041" s="29" t="s">
        <v>0</v>
      </c>
      <c r="D16041" s="31">
        <v>2994.25</v>
      </c>
      <c r="F16041" s="3" t="str">
        <f t="shared" si="250"/>
        <v>I10106</v>
      </c>
    </row>
    <row r="16042" spans="1:6" x14ac:dyDescent="0.2">
      <c r="A16042" s="29" t="s">
        <v>35607</v>
      </c>
      <c r="B16042" s="30" t="s">
        <v>35608</v>
      </c>
      <c r="C16042" s="29" t="s">
        <v>0</v>
      </c>
      <c r="D16042" s="31">
        <v>3747.98</v>
      </c>
      <c r="F16042" s="3" t="str">
        <f t="shared" si="250"/>
        <v>I10107</v>
      </c>
    </row>
    <row r="16043" spans="1:6" x14ac:dyDescent="0.2">
      <c r="A16043" s="29" t="s">
        <v>35609</v>
      </c>
      <c r="B16043" s="30" t="s">
        <v>35610</v>
      </c>
      <c r="C16043" s="29" t="s">
        <v>0</v>
      </c>
      <c r="D16043" s="31">
        <v>4413.9399999999996</v>
      </c>
      <c r="F16043" s="3" t="str">
        <f t="shared" si="250"/>
        <v>I10108</v>
      </c>
    </row>
    <row r="16044" spans="1:6" x14ac:dyDescent="0.2">
      <c r="A16044" s="29" t="s">
        <v>35611</v>
      </c>
      <c r="B16044" s="30" t="s">
        <v>35612</v>
      </c>
      <c r="C16044" s="29" t="s">
        <v>0</v>
      </c>
      <c r="D16044" s="31">
        <v>5067.51</v>
      </c>
      <c r="F16044" s="3" t="str">
        <f t="shared" si="250"/>
        <v>I10109</v>
      </c>
    </row>
    <row r="16045" spans="1:6" x14ac:dyDescent="0.2">
      <c r="A16045" s="29" t="s">
        <v>35613</v>
      </c>
      <c r="B16045" s="30" t="s">
        <v>35614</v>
      </c>
      <c r="C16045" s="29" t="s">
        <v>0</v>
      </c>
      <c r="D16045" s="31">
        <v>5782</v>
      </c>
      <c r="F16045" s="3" t="str">
        <f t="shared" si="250"/>
        <v>I10110</v>
      </c>
    </row>
    <row r="16046" spans="1:6" x14ac:dyDescent="0.2">
      <c r="A16046" s="29" t="s">
        <v>35615</v>
      </c>
      <c r="B16046" s="30" t="s">
        <v>35616</v>
      </c>
      <c r="C16046" s="29" t="s">
        <v>0</v>
      </c>
      <c r="D16046" s="31">
        <v>6349.88</v>
      </c>
      <c r="F16046" s="3" t="str">
        <f t="shared" si="250"/>
        <v>I10111</v>
      </c>
    </row>
    <row r="16047" spans="1:6" x14ac:dyDescent="0.2">
      <c r="A16047" s="29" t="s">
        <v>35617</v>
      </c>
      <c r="B16047" s="30" t="s">
        <v>35618</v>
      </c>
      <c r="C16047" s="29" t="s">
        <v>0</v>
      </c>
      <c r="D16047" s="31">
        <v>6762.88</v>
      </c>
      <c r="F16047" s="3" t="str">
        <f t="shared" si="250"/>
        <v>I10112</v>
      </c>
    </row>
    <row r="16048" spans="1:6" x14ac:dyDescent="0.2">
      <c r="A16048" s="29" t="s">
        <v>35619</v>
      </c>
      <c r="B16048" s="30" t="s">
        <v>35620</v>
      </c>
      <c r="C16048" s="29" t="s">
        <v>0</v>
      </c>
      <c r="D16048" s="31">
        <v>8156.75</v>
      </c>
      <c r="F16048" s="3" t="str">
        <f t="shared" si="250"/>
        <v>I10113</v>
      </c>
    </row>
    <row r="16049" spans="1:6" x14ac:dyDescent="0.2">
      <c r="A16049" s="29" t="s">
        <v>35621</v>
      </c>
      <c r="B16049" s="30" t="s">
        <v>35622</v>
      </c>
      <c r="C16049" s="29" t="s">
        <v>0</v>
      </c>
      <c r="D16049" s="31">
        <v>10170.129999999999</v>
      </c>
      <c r="F16049" s="3" t="str">
        <f t="shared" si="250"/>
        <v>I10114</v>
      </c>
    </row>
    <row r="16050" spans="1:6" x14ac:dyDescent="0.2">
      <c r="A16050" s="29" t="s">
        <v>35623</v>
      </c>
      <c r="B16050" s="30" t="s">
        <v>35624</v>
      </c>
      <c r="C16050" s="29" t="s">
        <v>0</v>
      </c>
      <c r="D16050" s="31">
        <v>8371.98</v>
      </c>
      <c r="F16050" s="3" t="str">
        <f t="shared" si="250"/>
        <v>I10115</v>
      </c>
    </row>
    <row r="16051" spans="1:6" x14ac:dyDescent="0.2">
      <c r="A16051" s="29" t="s">
        <v>35625</v>
      </c>
      <c r="B16051" s="30" t="s">
        <v>35626</v>
      </c>
      <c r="C16051" s="29" t="s">
        <v>0</v>
      </c>
      <c r="D16051" s="31">
        <v>911.83</v>
      </c>
      <c r="F16051" s="3" t="str">
        <f t="shared" si="250"/>
        <v>I6170</v>
      </c>
    </row>
    <row r="16052" spans="1:6" x14ac:dyDescent="0.2">
      <c r="A16052" s="29" t="s">
        <v>35627</v>
      </c>
      <c r="B16052" s="30" t="s">
        <v>35628</v>
      </c>
      <c r="C16052" s="29" t="s">
        <v>0</v>
      </c>
      <c r="D16052" s="31">
        <v>1216.21</v>
      </c>
      <c r="F16052" s="3" t="str">
        <f t="shared" si="250"/>
        <v>I6171</v>
      </c>
    </row>
    <row r="16053" spans="1:6" x14ac:dyDescent="0.2">
      <c r="A16053" s="29" t="s">
        <v>35629</v>
      </c>
      <c r="B16053" s="30" t="s">
        <v>35630</v>
      </c>
      <c r="C16053" s="29" t="s">
        <v>0</v>
      </c>
      <c r="D16053" s="31">
        <v>1520.59</v>
      </c>
      <c r="F16053" s="3" t="str">
        <f t="shared" si="250"/>
        <v>I6172</v>
      </c>
    </row>
    <row r="16054" spans="1:6" x14ac:dyDescent="0.2">
      <c r="A16054" s="29" t="s">
        <v>35631</v>
      </c>
      <c r="B16054" s="30" t="s">
        <v>35632</v>
      </c>
      <c r="C16054" s="29" t="s">
        <v>0</v>
      </c>
      <c r="D16054" s="31">
        <v>2316.16</v>
      </c>
      <c r="F16054" s="3" t="str">
        <f t="shared" si="250"/>
        <v>I9157</v>
      </c>
    </row>
    <row r="16055" spans="1:6" x14ac:dyDescent="0.2">
      <c r="A16055" s="29" t="s">
        <v>35633</v>
      </c>
      <c r="B16055" s="30" t="s">
        <v>35634</v>
      </c>
      <c r="C16055" s="29" t="s">
        <v>0</v>
      </c>
      <c r="D16055" s="31">
        <v>2702.55</v>
      </c>
      <c r="F16055" s="3" t="str">
        <f t="shared" si="250"/>
        <v>I8085</v>
      </c>
    </row>
    <row r="16056" spans="1:6" x14ac:dyDescent="0.2">
      <c r="A16056" s="29" t="s">
        <v>35635</v>
      </c>
      <c r="B16056" s="30" t="s">
        <v>35636</v>
      </c>
      <c r="C16056" s="29" t="s">
        <v>0</v>
      </c>
      <c r="D16056" s="31">
        <v>3088.21</v>
      </c>
      <c r="F16056" s="3" t="str">
        <f t="shared" si="250"/>
        <v>I9158</v>
      </c>
    </row>
    <row r="16057" spans="1:6" x14ac:dyDescent="0.2">
      <c r="A16057" s="29" t="s">
        <v>35637</v>
      </c>
      <c r="B16057" s="30" t="s">
        <v>35638</v>
      </c>
      <c r="C16057" s="29" t="s">
        <v>0</v>
      </c>
      <c r="D16057" s="31">
        <v>3474.89</v>
      </c>
      <c r="F16057" s="3" t="str">
        <f t="shared" si="250"/>
        <v>I9159</v>
      </c>
    </row>
    <row r="16058" spans="1:6" x14ac:dyDescent="0.2">
      <c r="A16058" s="29" t="s">
        <v>35639</v>
      </c>
      <c r="B16058" s="30" t="s">
        <v>35640</v>
      </c>
      <c r="C16058" s="29" t="s">
        <v>0</v>
      </c>
      <c r="D16058" s="31">
        <v>3860.81</v>
      </c>
      <c r="F16058" s="3" t="str">
        <f t="shared" si="250"/>
        <v>I8579</v>
      </c>
    </row>
    <row r="16059" spans="1:6" ht="22.5" x14ac:dyDescent="0.2">
      <c r="A16059" s="29" t="s">
        <v>35641</v>
      </c>
      <c r="B16059" s="30" t="s">
        <v>35642</v>
      </c>
      <c r="C16059" s="29" t="s">
        <v>0</v>
      </c>
      <c r="D16059" s="31">
        <v>4632.96</v>
      </c>
      <c r="F16059" s="3" t="str">
        <f t="shared" si="250"/>
        <v>I9028</v>
      </c>
    </row>
    <row r="16060" spans="1:6" x14ac:dyDescent="0.2">
      <c r="A16060" s="29" t="s">
        <v>35643</v>
      </c>
      <c r="B16060" s="30" t="s">
        <v>35644</v>
      </c>
      <c r="C16060" s="29" t="s">
        <v>0</v>
      </c>
      <c r="D16060" s="31">
        <v>5791.2</v>
      </c>
      <c r="F16060" s="3" t="str">
        <f t="shared" si="250"/>
        <v>I8580</v>
      </c>
    </row>
    <row r="16061" spans="1:6" x14ac:dyDescent="0.2">
      <c r="A16061" s="29" t="s">
        <v>35645</v>
      </c>
      <c r="B16061" s="30" t="s">
        <v>35646</v>
      </c>
      <c r="C16061" s="29" t="s">
        <v>0</v>
      </c>
      <c r="D16061" s="31">
        <v>7721.59</v>
      </c>
      <c r="F16061" s="3" t="str">
        <f t="shared" si="250"/>
        <v>I8581</v>
      </c>
    </row>
    <row r="16062" spans="1:6" ht="22.5" x14ac:dyDescent="0.2">
      <c r="A16062" s="29" t="s">
        <v>35647</v>
      </c>
      <c r="B16062" s="30" t="s">
        <v>35648</v>
      </c>
      <c r="C16062" s="29" t="s">
        <v>0</v>
      </c>
      <c r="D16062" s="31">
        <v>926.07</v>
      </c>
      <c r="F16062" s="3" t="str">
        <f t="shared" si="250"/>
        <v>I10143</v>
      </c>
    </row>
    <row r="16063" spans="1:6" ht="22.5" x14ac:dyDescent="0.2">
      <c r="A16063" s="29" t="s">
        <v>35649</v>
      </c>
      <c r="B16063" s="30" t="s">
        <v>35650</v>
      </c>
      <c r="C16063" s="29" t="s">
        <v>0</v>
      </c>
      <c r="D16063" s="31">
        <v>712.86</v>
      </c>
      <c r="F16063" s="3" t="str">
        <f t="shared" si="250"/>
        <v>I10142</v>
      </c>
    </row>
    <row r="16064" spans="1:6" x14ac:dyDescent="0.2">
      <c r="A16064" s="29" t="s">
        <v>35651</v>
      </c>
      <c r="B16064" s="30" t="s">
        <v>35652</v>
      </c>
      <c r="C16064" s="29" t="s">
        <v>0</v>
      </c>
      <c r="D16064" s="31">
        <v>5490.79</v>
      </c>
      <c r="F16064" s="3" t="str">
        <f t="shared" si="250"/>
        <v>I9034</v>
      </c>
    </row>
    <row r="16065" spans="1:6" x14ac:dyDescent="0.2">
      <c r="A16065" s="29" t="s">
        <v>35653</v>
      </c>
      <c r="B16065" s="30" t="s">
        <v>35654</v>
      </c>
      <c r="C16065" s="29" t="s">
        <v>0</v>
      </c>
      <c r="D16065" s="31">
        <v>6588.09</v>
      </c>
      <c r="F16065" s="3" t="str">
        <f t="shared" si="250"/>
        <v>I9035</v>
      </c>
    </row>
    <row r="16066" spans="1:6" x14ac:dyDescent="0.2">
      <c r="A16066" s="29" t="s">
        <v>35655</v>
      </c>
      <c r="B16066" s="30" t="s">
        <v>35656</v>
      </c>
      <c r="C16066" s="29" t="s">
        <v>0</v>
      </c>
      <c r="D16066" s="31">
        <v>7686.81</v>
      </c>
      <c r="F16066" s="3" t="str">
        <f t="shared" ref="F16066:F16129" si="251">A16066</f>
        <v>I7883</v>
      </c>
    </row>
    <row r="16067" spans="1:6" x14ac:dyDescent="0.2">
      <c r="A16067" s="29" t="s">
        <v>35657</v>
      </c>
      <c r="B16067" s="30" t="s">
        <v>35658</v>
      </c>
      <c r="C16067" s="29" t="s">
        <v>0</v>
      </c>
      <c r="D16067" s="31">
        <v>8784.1</v>
      </c>
      <c r="F16067" s="3" t="str">
        <f t="shared" si="251"/>
        <v>I7884</v>
      </c>
    </row>
    <row r="16068" spans="1:6" x14ac:dyDescent="0.2">
      <c r="A16068" s="29" t="s">
        <v>35659</v>
      </c>
      <c r="B16068" s="30" t="s">
        <v>35660</v>
      </c>
      <c r="C16068" s="29" t="s">
        <v>0</v>
      </c>
      <c r="D16068" s="31">
        <v>1660.35</v>
      </c>
      <c r="F16068" s="3" t="str">
        <f t="shared" si="251"/>
        <v>I7877</v>
      </c>
    </row>
    <row r="16069" spans="1:6" x14ac:dyDescent="0.2">
      <c r="A16069" s="29" t="s">
        <v>35661</v>
      </c>
      <c r="B16069" s="30" t="s">
        <v>35662</v>
      </c>
      <c r="C16069" s="29" t="s">
        <v>0</v>
      </c>
      <c r="D16069" s="31">
        <v>1936.83</v>
      </c>
      <c r="F16069" s="3" t="str">
        <f t="shared" si="251"/>
        <v>I7878</v>
      </c>
    </row>
    <row r="16070" spans="1:6" x14ac:dyDescent="0.2">
      <c r="A16070" s="29" t="s">
        <v>35663</v>
      </c>
      <c r="B16070" s="30" t="s">
        <v>35664</v>
      </c>
      <c r="C16070" s="29" t="s">
        <v>0</v>
      </c>
      <c r="D16070" s="31">
        <v>2213.31</v>
      </c>
      <c r="F16070" s="3" t="str">
        <f t="shared" si="251"/>
        <v>I7879</v>
      </c>
    </row>
    <row r="16071" spans="1:6" x14ac:dyDescent="0.2">
      <c r="A16071" s="29" t="s">
        <v>35665</v>
      </c>
      <c r="B16071" s="30" t="s">
        <v>35666</v>
      </c>
      <c r="C16071" s="29" t="s">
        <v>0</v>
      </c>
      <c r="D16071" s="31">
        <v>639.36</v>
      </c>
      <c r="F16071" s="3" t="str">
        <f t="shared" si="251"/>
        <v>I9025</v>
      </c>
    </row>
    <row r="16072" spans="1:6" x14ac:dyDescent="0.2">
      <c r="A16072" s="29" t="s">
        <v>35667</v>
      </c>
      <c r="B16072" s="30" t="s">
        <v>35668</v>
      </c>
      <c r="C16072" s="29" t="s">
        <v>0</v>
      </c>
      <c r="D16072" s="31">
        <v>851.05</v>
      </c>
      <c r="F16072" s="3" t="str">
        <f t="shared" si="251"/>
        <v>I7875</v>
      </c>
    </row>
    <row r="16073" spans="1:6" x14ac:dyDescent="0.2">
      <c r="A16073" s="29" t="s">
        <v>35669</v>
      </c>
      <c r="B16073" s="30" t="s">
        <v>35670</v>
      </c>
      <c r="C16073" s="29" t="s">
        <v>0</v>
      </c>
      <c r="D16073" s="31">
        <v>1064.18</v>
      </c>
      <c r="F16073" s="3" t="str">
        <f t="shared" si="251"/>
        <v>I7876</v>
      </c>
    </row>
    <row r="16074" spans="1:6" x14ac:dyDescent="0.2">
      <c r="A16074" s="29" t="s">
        <v>35671</v>
      </c>
      <c r="B16074" s="30" t="s">
        <v>35672</v>
      </c>
      <c r="C16074" s="29" t="s">
        <v>0</v>
      </c>
      <c r="D16074" s="31">
        <v>2504.19</v>
      </c>
      <c r="F16074" s="3" t="str">
        <f t="shared" si="251"/>
        <v>I9029</v>
      </c>
    </row>
    <row r="16075" spans="1:6" x14ac:dyDescent="0.2">
      <c r="A16075" s="29" t="s">
        <v>35673</v>
      </c>
      <c r="B16075" s="30" t="s">
        <v>35674</v>
      </c>
      <c r="C16075" s="29" t="s">
        <v>0</v>
      </c>
      <c r="D16075" s="31">
        <v>2920.36</v>
      </c>
      <c r="F16075" s="3" t="str">
        <f t="shared" si="251"/>
        <v>I9030</v>
      </c>
    </row>
    <row r="16076" spans="1:6" x14ac:dyDescent="0.2">
      <c r="A16076" s="29" t="s">
        <v>35675</v>
      </c>
      <c r="B16076" s="30" t="s">
        <v>35676</v>
      </c>
      <c r="C16076" s="29" t="s">
        <v>0</v>
      </c>
      <c r="D16076" s="31">
        <v>3337.97</v>
      </c>
      <c r="F16076" s="3" t="str">
        <f t="shared" si="251"/>
        <v>I9031</v>
      </c>
    </row>
    <row r="16077" spans="1:6" x14ac:dyDescent="0.2">
      <c r="A16077" s="29" t="s">
        <v>35677</v>
      </c>
      <c r="B16077" s="30" t="s">
        <v>35678</v>
      </c>
      <c r="C16077" s="29" t="s">
        <v>0</v>
      </c>
      <c r="D16077" s="31">
        <v>3755.56</v>
      </c>
      <c r="F16077" s="3" t="str">
        <f t="shared" si="251"/>
        <v>I9032</v>
      </c>
    </row>
    <row r="16078" spans="1:6" x14ac:dyDescent="0.2">
      <c r="A16078" s="29" t="s">
        <v>35679</v>
      </c>
      <c r="B16078" s="30" t="s">
        <v>35680</v>
      </c>
      <c r="C16078" s="29" t="s">
        <v>0</v>
      </c>
      <c r="D16078" s="31">
        <v>4173.17</v>
      </c>
      <c r="F16078" s="3" t="str">
        <f t="shared" si="251"/>
        <v>I9033</v>
      </c>
    </row>
    <row r="16079" spans="1:6" x14ac:dyDescent="0.2">
      <c r="A16079" s="29" t="s">
        <v>35681</v>
      </c>
      <c r="B16079" s="30" t="s">
        <v>35682</v>
      </c>
      <c r="C16079" s="29" t="s">
        <v>0</v>
      </c>
      <c r="D16079" s="31">
        <v>5006.9399999999996</v>
      </c>
      <c r="F16079" s="3" t="str">
        <f t="shared" si="251"/>
        <v>I7882</v>
      </c>
    </row>
    <row r="16080" spans="1:6" x14ac:dyDescent="0.2">
      <c r="A16080" s="29" t="s">
        <v>35683</v>
      </c>
      <c r="B16080" s="30" t="s">
        <v>35684</v>
      </c>
      <c r="C16080" s="29" t="s">
        <v>0</v>
      </c>
      <c r="D16080" s="31">
        <v>2108.1799999999998</v>
      </c>
      <c r="F16080" s="3" t="str">
        <f t="shared" si="251"/>
        <v>I9026</v>
      </c>
    </row>
    <row r="16081" spans="1:6" x14ac:dyDescent="0.2">
      <c r="A16081" s="29" t="s">
        <v>35685</v>
      </c>
      <c r="B16081" s="30" t="s">
        <v>35686</v>
      </c>
      <c r="C16081" s="29" t="s">
        <v>0</v>
      </c>
      <c r="D16081" s="31">
        <v>2810.91</v>
      </c>
      <c r="F16081" s="3" t="str">
        <f t="shared" si="251"/>
        <v>I9027</v>
      </c>
    </row>
    <row r="16082" spans="1:6" x14ac:dyDescent="0.2">
      <c r="A16082" s="29" t="s">
        <v>35687</v>
      </c>
      <c r="B16082" s="30" t="s">
        <v>35688</v>
      </c>
      <c r="C16082" s="29" t="s">
        <v>0</v>
      </c>
      <c r="D16082" s="31">
        <v>3162.28</v>
      </c>
      <c r="F16082" s="3" t="str">
        <f t="shared" si="251"/>
        <v>I7880</v>
      </c>
    </row>
    <row r="16083" spans="1:6" x14ac:dyDescent="0.2">
      <c r="A16083" s="29" t="s">
        <v>35689</v>
      </c>
      <c r="B16083" s="30" t="s">
        <v>35690</v>
      </c>
      <c r="C16083" s="29" t="s">
        <v>0</v>
      </c>
      <c r="D16083" s="31">
        <v>3513.64</v>
      </c>
      <c r="F16083" s="3" t="str">
        <f t="shared" si="251"/>
        <v>I7881</v>
      </c>
    </row>
    <row r="16084" spans="1:6" x14ac:dyDescent="0.2">
      <c r="A16084" s="29" t="s">
        <v>35691</v>
      </c>
      <c r="B16084" s="30" t="s">
        <v>35692</v>
      </c>
      <c r="C16084" s="29" t="s">
        <v>0</v>
      </c>
      <c r="D16084" s="31">
        <v>911.41</v>
      </c>
      <c r="F16084" s="3" t="str">
        <f t="shared" si="251"/>
        <v>I9154</v>
      </c>
    </row>
    <row r="16085" spans="1:6" x14ac:dyDescent="0.2">
      <c r="A16085" s="29" t="s">
        <v>35693</v>
      </c>
      <c r="B16085" s="30" t="s">
        <v>35694</v>
      </c>
      <c r="C16085" s="29" t="s">
        <v>0</v>
      </c>
      <c r="D16085" s="31">
        <v>1216.78</v>
      </c>
      <c r="F16085" s="3" t="str">
        <f t="shared" si="251"/>
        <v>I9155</v>
      </c>
    </row>
    <row r="16086" spans="1:6" x14ac:dyDescent="0.2">
      <c r="A16086" s="29" t="s">
        <v>35695</v>
      </c>
      <c r="B16086" s="30" t="s">
        <v>35696</v>
      </c>
      <c r="C16086" s="29" t="s">
        <v>0</v>
      </c>
      <c r="D16086" s="31">
        <v>1520.59</v>
      </c>
      <c r="F16086" s="3" t="str">
        <f t="shared" si="251"/>
        <v>I9156</v>
      </c>
    </row>
    <row r="16087" spans="1:6" ht="15.75" customHeight="1" x14ac:dyDescent="0.2">
      <c r="A16087" s="32" t="s">
        <v>35697</v>
      </c>
      <c r="B16087" s="33"/>
      <c r="C16087" s="32">
        <v>0</v>
      </c>
      <c r="D16087" s="34">
        <v>0</v>
      </c>
      <c r="F16087" s="3" t="str">
        <f t="shared" si="251"/>
        <v>COTAÇÃO / MATERIAIS GÁS</v>
      </c>
    </row>
    <row r="16088" spans="1:6" ht="25.5" x14ac:dyDescent="0.2">
      <c r="A16088" s="26" t="s">
        <v>14985</v>
      </c>
      <c r="B16088" s="27" t="s">
        <v>14986</v>
      </c>
      <c r="C16088" s="26" t="s">
        <v>14987</v>
      </c>
      <c r="D16088" s="28" t="e">
        <v>#VALUE!</v>
      </c>
      <c r="F16088" s="3" t="str">
        <f t="shared" si="251"/>
        <v>Insumo</v>
      </c>
    </row>
    <row r="16089" spans="1:6" x14ac:dyDescent="0.2">
      <c r="A16089" s="29" t="s">
        <v>35698</v>
      </c>
      <c r="B16089" s="30" t="s">
        <v>35699</v>
      </c>
      <c r="C16089" s="29" t="s">
        <v>6040</v>
      </c>
      <c r="D16089" s="31">
        <v>51.15</v>
      </c>
      <c r="F16089" s="3" t="str">
        <f t="shared" si="251"/>
        <v>G0847</v>
      </c>
    </row>
    <row r="16090" spans="1:6" x14ac:dyDescent="0.2">
      <c r="A16090" s="29" t="s">
        <v>35700</v>
      </c>
      <c r="B16090" s="30" t="s">
        <v>35701</v>
      </c>
      <c r="C16090" s="29" t="s">
        <v>26</v>
      </c>
      <c r="D16090" s="31">
        <v>687.16</v>
      </c>
      <c r="F16090" s="3" t="str">
        <f t="shared" si="251"/>
        <v>G0001</v>
      </c>
    </row>
    <row r="16091" spans="1:6" x14ac:dyDescent="0.2">
      <c r="A16091" s="29" t="s">
        <v>35702</v>
      </c>
      <c r="B16091" s="30" t="s">
        <v>35703</v>
      </c>
      <c r="C16091" s="29" t="s">
        <v>26</v>
      </c>
      <c r="D16091" s="31">
        <v>869.81</v>
      </c>
      <c r="F16091" s="3" t="str">
        <f t="shared" si="251"/>
        <v>G0002</v>
      </c>
    </row>
    <row r="16092" spans="1:6" x14ac:dyDescent="0.2">
      <c r="A16092" s="29" t="s">
        <v>35704</v>
      </c>
      <c r="B16092" s="30" t="s">
        <v>35705</v>
      </c>
      <c r="C16092" s="29" t="s">
        <v>26</v>
      </c>
      <c r="D16092" s="31">
        <v>1081.3900000000001</v>
      </c>
      <c r="F16092" s="3" t="str">
        <f t="shared" si="251"/>
        <v>G0003</v>
      </c>
    </row>
    <row r="16093" spans="1:6" x14ac:dyDescent="0.2">
      <c r="A16093" s="29" t="s">
        <v>35706</v>
      </c>
      <c r="B16093" s="30" t="s">
        <v>35707</v>
      </c>
      <c r="C16093" s="29" t="s">
        <v>26</v>
      </c>
      <c r="D16093" s="31">
        <v>1661.86</v>
      </c>
      <c r="F16093" s="3" t="str">
        <f t="shared" si="251"/>
        <v>G0004</v>
      </c>
    </row>
    <row r="16094" spans="1:6" x14ac:dyDescent="0.2">
      <c r="A16094" s="29" t="s">
        <v>35708</v>
      </c>
      <c r="B16094" s="30" t="s">
        <v>35709</v>
      </c>
      <c r="C16094" s="29" t="s">
        <v>26</v>
      </c>
      <c r="D16094" s="31">
        <v>2207.98</v>
      </c>
      <c r="F16094" s="3" t="str">
        <f t="shared" si="251"/>
        <v>G0005</v>
      </c>
    </row>
    <row r="16095" spans="1:6" x14ac:dyDescent="0.2">
      <c r="A16095" s="29" t="s">
        <v>35710</v>
      </c>
      <c r="B16095" s="30" t="s">
        <v>35711</v>
      </c>
      <c r="C16095" s="29" t="s">
        <v>26</v>
      </c>
      <c r="D16095" s="31">
        <v>2777.6</v>
      </c>
      <c r="F16095" s="3" t="str">
        <f t="shared" si="251"/>
        <v>G0006</v>
      </c>
    </row>
    <row r="16096" spans="1:6" x14ac:dyDescent="0.2">
      <c r="A16096" s="29" t="s">
        <v>35712</v>
      </c>
      <c r="B16096" s="30" t="s">
        <v>35713</v>
      </c>
      <c r="C16096" s="29" t="s">
        <v>26</v>
      </c>
      <c r="D16096" s="31">
        <v>2994.6</v>
      </c>
      <c r="F16096" s="3" t="str">
        <f t="shared" si="251"/>
        <v>G0007</v>
      </c>
    </row>
    <row r="16097" spans="1:6" ht="22.5" x14ac:dyDescent="0.2">
      <c r="A16097" s="29" t="s">
        <v>35714</v>
      </c>
      <c r="B16097" s="30" t="s">
        <v>35715</v>
      </c>
      <c r="C16097" s="29" t="s">
        <v>26</v>
      </c>
      <c r="D16097" s="31">
        <v>52.48</v>
      </c>
      <c r="F16097" s="3" t="str">
        <f t="shared" si="251"/>
        <v>G0629</v>
      </c>
    </row>
    <row r="16098" spans="1:6" ht="22.5" x14ac:dyDescent="0.2">
      <c r="A16098" s="29" t="s">
        <v>35716</v>
      </c>
      <c r="B16098" s="30" t="s">
        <v>35715</v>
      </c>
      <c r="C16098" s="29" t="s">
        <v>26</v>
      </c>
      <c r="D16098" s="31">
        <v>52.48</v>
      </c>
      <c r="F16098" s="3" t="str">
        <f t="shared" si="251"/>
        <v>G0805</v>
      </c>
    </row>
    <row r="16099" spans="1:6" ht="22.5" x14ac:dyDescent="0.2">
      <c r="A16099" s="29" t="s">
        <v>35717</v>
      </c>
      <c r="B16099" s="30" t="s">
        <v>35718</v>
      </c>
      <c r="C16099" s="29" t="s">
        <v>26</v>
      </c>
      <c r="D16099" s="31">
        <v>56.72</v>
      </c>
      <c r="F16099" s="3" t="str">
        <f t="shared" si="251"/>
        <v>G0630</v>
      </c>
    </row>
    <row r="16100" spans="1:6" ht="22.5" x14ac:dyDescent="0.2">
      <c r="A16100" s="29" t="s">
        <v>35719</v>
      </c>
      <c r="B16100" s="30" t="s">
        <v>35718</v>
      </c>
      <c r="C16100" s="29" t="s">
        <v>26</v>
      </c>
      <c r="D16100" s="31">
        <v>56.72</v>
      </c>
      <c r="F16100" s="3" t="str">
        <f t="shared" si="251"/>
        <v>G0806</v>
      </c>
    </row>
    <row r="16101" spans="1:6" x14ac:dyDescent="0.2">
      <c r="A16101" s="29" t="s">
        <v>35720</v>
      </c>
      <c r="B16101" s="30" t="s">
        <v>35721</v>
      </c>
      <c r="C16101" s="29" t="s">
        <v>26</v>
      </c>
      <c r="D16101" s="31">
        <v>18692.38</v>
      </c>
      <c r="F16101" s="3" t="str">
        <f t="shared" si="251"/>
        <v>G0008</v>
      </c>
    </row>
    <row r="16102" spans="1:6" x14ac:dyDescent="0.2">
      <c r="A16102" s="29" t="s">
        <v>35722</v>
      </c>
      <c r="B16102" s="30" t="s">
        <v>35723</v>
      </c>
      <c r="C16102" s="29" t="s">
        <v>26</v>
      </c>
      <c r="D16102" s="31">
        <v>23685.55</v>
      </c>
      <c r="F16102" s="3" t="str">
        <f t="shared" si="251"/>
        <v>G0009</v>
      </c>
    </row>
    <row r="16103" spans="1:6" x14ac:dyDescent="0.2">
      <c r="A16103" s="29" t="s">
        <v>35724</v>
      </c>
      <c r="B16103" s="30" t="s">
        <v>35725</v>
      </c>
      <c r="C16103" s="29" t="s">
        <v>26</v>
      </c>
      <c r="D16103" s="31">
        <v>30727.200000000001</v>
      </c>
      <c r="F16103" s="3" t="str">
        <f t="shared" si="251"/>
        <v>G0010</v>
      </c>
    </row>
    <row r="16104" spans="1:6" x14ac:dyDescent="0.2">
      <c r="A16104" s="29" t="s">
        <v>35726</v>
      </c>
      <c r="B16104" s="30" t="s">
        <v>35727</v>
      </c>
      <c r="C16104" s="29" t="s">
        <v>26</v>
      </c>
      <c r="D16104" s="31">
        <v>41609.75</v>
      </c>
      <c r="F16104" s="3" t="str">
        <f t="shared" si="251"/>
        <v>G0011</v>
      </c>
    </row>
    <row r="16105" spans="1:6" x14ac:dyDescent="0.2">
      <c r="A16105" s="29" t="s">
        <v>35728</v>
      </c>
      <c r="B16105" s="30" t="s">
        <v>35729</v>
      </c>
      <c r="C16105" s="29" t="s">
        <v>26</v>
      </c>
      <c r="D16105" s="31">
        <v>40329.449999999997</v>
      </c>
      <c r="F16105" s="3" t="str">
        <f t="shared" si="251"/>
        <v>G0012</v>
      </c>
    </row>
    <row r="16106" spans="1:6" x14ac:dyDescent="0.2">
      <c r="A16106" s="29" t="s">
        <v>35730</v>
      </c>
      <c r="B16106" s="30" t="s">
        <v>35731</v>
      </c>
      <c r="C16106" s="29" t="s">
        <v>26</v>
      </c>
      <c r="D16106" s="31">
        <v>46090.8</v>
      </c>
      <c r="F16106" s="3" t="str">
        <f t="shared" si="251"/>
        <v>G0013</v>
      </c>
    </row>
    <row r="16107" spans="1:6" x14ac:dyDescent="0.2">
      <c r="A16107" s="29" t="s">
        <v>35732</v>
      </c>
      <c r="B16107" s="30" t="s">
        <v>35733</v>
      </c>
      <c r="C16107" s="29" t="s">
        <v>26</v>
      </c>
      <c r="D16107" s="31">
        <v>57613.5</v>
      </c>
      <c r="F16107" s="3" t="str">
        <f t="shared" si="251"/>
        <v>G0014</v>
      </c>
    </row>
    <row r="16108" spans="1:6" x14ac:dyDescent="0.2">
      <c r="A16108" s="29" t="s">
        <v>35734</v>
      </c>
      <c r="B16108" s="30" t="s">
        <v>35735</v>
      </c>
      <c r="C16108" s="29" t="s">
        <v>26</v>
      </c>
      <c r="D16108" s="31">
        <v>74257.399999999994</v>
      </c>
      <c r="F16108" s="3" t="str">
        <f t="shared" si="251"/>
        <v>G0015</v>
      </c>
    </row>
    <row r="16109" spans="1:6" x14ac:dyDescent="0.2">
      <c r="A16109" s="29" t="s">
        <v>35736</v>
      </c>
      <c r="B16109" s="30" t="s">
        <v>35737</v>
      </c>
      <c r="C16109" s="29" t="s">
        <v>26</v>
      </c>
      <c r="D16109" s="31">
        <v>79338.179999999993</v>
      </c>
      <c r="F16109" s="3" t="str">
        <f t="shared" si="251"/>
        <v>G0016</v>
      </c>
    </row>
    <row r="16110" spans="1:6" x14ac:dyDescent="0.2">
      <c r="A16110" s="29" t="s">
        <v>35738</v>
      </c>
      <c r="B16110" s="30" t="s">
        <v>35739</v>
      </c>
      <c r="C16110" s="29" t="s">
        <v>26</v>
      </c>
      <c r="D16110" s="31">
        <v>18149.259999999998</v>
      </c>
      <c r="F16110" s="3" t="str">
        <f t="shared" si="251"/>
        <v>G0018</v>
      </c>
    </row>
    <row r="16111" spans="1:6" x14ac:dyDescent="0.2">
      <c r="A16111" s="29" t="s">
        <v>35740</v>
      </c>
      <c r="B16111" s="30" t="s">
        <v>35741</v>
      </c>
      <c r="C16111" s="29" t="s">
        <v>26</v>
      </c>
      <c r="D16111" s="31">
        <v>25581.82</v>
      </c>
      <c r="F16111" s="3" t="str">
        <f t="shared" si="251"/>
        <v>G0019</v>
      </c>
    </row>
    <row r="16112" spans="1:6" x14ac:dyDescent="0.2">
      <c r="A16112" s="29" t="s">
        <v>35742</v>
      </c>
      <c r="B16112" s="30" t="s">
        <v>35743</v>
      </c>
      <c r="C16112" s="29" t="s">
        <v>26</v>
      </c>
      <c r="D16112" s="31">
        <v>28520.26</v>
      </c>
      <c r="F16112" s="3" t="str">
        <f t="shared" si="251"/>
        <v>G0020</v>
      </c>
    </row>
    <row r="16113" spans="1:6" x14ac:dyDescent="0.2">
      <c r="A16113" s="29" t="s">
        <v>35744</v>
      </c>
      <c r="B16113" s="30" t="s">
        <v>35745</v>
      </c>
      <c r="C16113" s="29" t="s">
        <v>26</v>
      </c>
      <c r="D16113" s="31">
        <v>32668.67</v>
      </c>
      <c r="F16113" s="3" t="str">
        <f t="shared" si="251"/>
        <v>G0017</v>
      </c>
    </row>
    <row r="16114" spans="1:6" x14ac:dyDescent="0.2">
      <c r="A16114" s="29" t="s">
        <v>35746</v>
      </c>
      <c r="B16114" s="30" t="s">
        <v>35747</v>
      </c>
      <c r="C16114" s="29" t="s">
        <v>26</v>
      </c>
      <c r="D16114" s="31">
        <v>38933.620000000003</v>
      </c>
      <c r="F16114" s="3" t="str">
        <f t="shared" si="251"/>
        <v>G0021</v>
      </c>
    </row>
    <row r="16115" spans="1:6" x14ac:dyDescent="0.2">
      <c r="A16115" s="29" t="s">
        <v>35748</v>
      </c>
      <c r="B16115" s="30" t="s">
        <v>35749</v>
      </c>
      <c r="C16115" s="29" t="s">
        <v>26</v>
      </c>
      <c r="D16115" s="31">
        <v>52333.81</v>
      </c>
      <c r="F16115" s="3" t="str">
        <f t="shared" si="251"/>
        <v>G0022</v>
      </c>
    </row>
    <row r="16116" spans="1:6" x14ac:dyDescent="0.2">
      <c r="A16116" s="29" t="s">
        <v>35750</v>
      </c>
      <c r="B16116" s="30" t="s">
        <v>35751</v>
      </c>
      <c r="C16116" s="29" t="s">
        <v>26</v>
      </c>
      <c r="D16116" s="31">
        <v>71430.3</v>
      </c>
      <c r="F16116" s="3" t="str">
        <f t="shared" si="251"/>
        <v>G0023</v>
      </c>
    </row>
    <row r="16117" spans="1:6" x14ac:dyDescent="0.2">
      <c r="A16117" s="29" t="s">
        <v>35752</v>
      </c>
      <c r="B16117" s="30" t="s">
        <v>35753</v>
      </c>
      <c r="C16117" s="29" t="s">
        <v>26</v>
      </c>
      <c r="D16117" s="31">
        <v>81066.69</v>
      </c>
      <c r="F16117" s="3" t="str">
        <f t="shared" si="251"/>
        <v>G0024</v>
      </c>
    </row>
    <row r="16118" spans="1:6" x14ac:dyDescent="0.2">
      <c r="A16118" s="29" t="s">
        <v>35754</v>
      </c>
      <c r="B16118" s="30" t="s">
        <v>35755</v>
      </c>
      <c r="C16118" s="29" t="s">
        <v>26</v>
      </c>
      <c r="D16118" s="31">
        <v>84523.69</v>
      </c>
      <c r="F16118" s="3" t="str">
        <f t="shared" si="251"/>
        <v>G0025</v>
      </c>
    </row>
    <row r="16119" spans="1:6" ht="22.5" x14ac:dyDescent="0.2">
      <c r="A16119" s="29" t="s">
        <v>35756</v>
      </c>
      <c r="B16119" s="30" t="s">
        <v>35757</v>
      </c>
      <c r="C16119" s="29" t="s">
        <v>26</v>
      </c>
      <c r="D16119" s="31">
        <v>46323.81</v>
      </c>
      <c r="F16119" s="3" t="str">
        <f t="shared" si="251"/>
        <v>G0031</v>
      </c>
    </row>
    <row r="16120" spans="1:6" ht="22.5" x14ac:dyDescent="0.2">
      <c r="A16120" s="29" t="s">
        <v>35758</v>
      </c>
      <c r="B16120" s="30" t="s">
        <v>35759</v>
      </c>
      <c r="C16120" s="29" t="s">
        <v>26</v>
      </c>
      <c r="D16120" s="31">
        <v>21124.95</v>
      </c>
      <c r="F16120" s="3" t="str">
        <f t="shared" si="251"/>
        <v>G0026</v>
      </c>
    </row>
    <row r="16121" spans="1:6" ht="22.5" x14ac:dyDescent="0.2">
      <c r="A16121" s="29" t="s">
        <v>35760</v>
      </c>
      <c r="B16121" s="30" t="s">
        <v>35761</v>
      </c>
      <c r="C16121" s="29" t="s">
        <v>26</v>
      </c>
      <c r="D16121" s="31">
        <v>22853.360000000001</v>
      </c>
      <c r="F16121" s="3" t="str">
        <f t="shared" si="251"/>
        <v>G0027</v>
      </c>
    </row>
    <row r="16122" spans="1:6" ht="22.5" x14ac:dyDescent="0.2">
      <c r="A16122" s="29" t="s">
        <v>35762</v>
      </c>
      <c r="B16122" s="30" t="s">
        <v>35763</v>
      </c>
      <c r="C16122" s="29" t="s">
        <v>26</v>
      </c>
      <c r="D16122" s="31">
        <v>23928.81</v>
      </c>
      <c r="F16122" s="3" t="str">
        <f t="shared" si="251"/>
        <v>G0028</v>
      </c>
    </row>
    <row r="16123" spans="1:6" ht="22.5" x14ac:dyDescent="0.2">
      <c r="A16123" s="29" t="s">
        <v>35764</v>
      </c>
      <c r="B16123" s="30" t="s">
        <v>35765</v>
      </c>
      <c r="C16123" s="29" t="s">
        <v>26</v>
      </c>
      <c r="D16123" s="31">
        <v>39582.68</v>
      </c>
      <c r="F16123" s="3" t="str">
        <f t="shared" si="251"/>
        <v>G0029</v>
      </c>
    </row>
    <row r="16124" spans="1:6" ht="22.5" x14ac:dyDescent="0.2">
      <c r="A16124" s="29" t="s">
        <v>35766</v>
      </c>
      <c r="B16124" s="30" t="s">
        <v>35767</v>
      </c>
      <c r="C16124" s="29" t="s">
        <v>26</v>
      </c>
      <c r="D16124" s="31">
        <v>30727.200000000001</v>
      </c>
      <c r="F16124" s="3" t="str">
        <f t="shared" si="251"/>
        <v>G0030</v>
      </c>
    </row>
    <row r="16125" spans="1:6" ht="22.5" x14ac:dyDescent="0.2">
      <c r="A16125" s="29" t="s">
        <v>35768</v>
      </c>
      <c r="B16125" s="30" t="s">
        <v>35769</v>
      </c>
      <c r="C16125" s="29" t="s">
        <v>26</v>
      </c>
      <c r="D16125" s="31">
        <v>68.14</v>
      </c>
      <c r="F16125" s="3" t="str">
        <f t="shared" si="251"/>
        <v>G0661</v>
      </c>
    </row>
    <row r="16126" spans="1:6" ht="22.5" x14ac:dyDescent="0.2">
      <c r="A16126" s="29" t="s">
        <v>35770</v>
      </c>
      <c r="B16126" s="30" t="s">
        <v>35771</v>
      </c>
      <c r="C16126" s="29" t="s">
        <v>26</v>
      </c>
      <c r="D16126" s="31">
        <v>57.26</v>
      </c>
      <c r="F16126" s="3" t="str">
        <f t="shared" si="251"/>
        <v>G0660</v>
      </c>
    </row>
    <row r="16127" spans="1:6" ht="22.5" x14ac:dyDescent="0.2">
      <c r="A16127" s="29" t="s">
        <v>35772</v>
      </c>
      <c r="B16127" s="30" t="s">
        <v>35773</v>
      </c>
      <c r="C16127" s="29" t="s">
        <v>26</v>
      </c>
      <c r="D16127" s="31">
        <v>58.87</v>
      </c>
      <c r="F16127" s="3" t="str">
        <f t="shared" si="251"/>
        <v>G0662</v>
      </c>
    </row>
    <row r="16128" spans="1:6" ht="33.75" x14ac:dyDescent="0.2">
      <c r="A16128" s="29" t="s">
        <v>35774</v>
      </c>
      <c r="B16128" s="30" t="s">
        <v>35775</v>
      </c>
      <c r="C16128" s="29" t="s">
        <v>26</v>
      </c>
      <c r="D16128" s="31">
        <v>92.34</v>
      </c>
      <c r="F16128" s="3" t="str">
        <f t="shared" si="251"/>
        <v>G0663</v>
      </c>
    </row>
    <row r="16129" spans="1:6" ht="22.5" x14ac:dyDescent="0.2">
      <c r="A16129" s="29" t="s">
        <v>35776</v>
      </c>
      <c r="B16129" s="30" t="s">
        <v>35777</v>
      </c>
      <c r="C16129" s="29" t="s">
        <v>15128</v>
      </c>
      <c r="D16129" s="31">
        <v>86.8</v>
      </c>
      <c r="F16129" s="3" t="str">
        <f t="shared" si="251"/>
        <v>G0838</v>
      </c>
    </row>
    <row r="16130" spans="1:6" ht="22.5" x14ac:dyDescent="0.2">
      <c r="A16130" s="29" t="s">
        <v>35778</v>
      </c>
      <c r="B16130" s="30" t="s">
        <v>35779</v>
      </c>
      <c r="C16130" s="29" t="s">
        <v>26</v>
      </c>
      <c r="D16130" s="31">
        <v>172.7</v>
      </c>
      <c r="F16130" s="3" t="str">
        <f t="shared" ref="F16130:F16193" si="252">A16130</f>
        <v>G0032</v>
      </c>
    </row>
    <row r="16131" spans="1:6" ht="22.5" x14ac:dyDescent="0.2">
      <c r="A16131" s="29" t="s">
        <v>35780</v>
      </c>
      <c r="B16131" s="30" t="s">
        <v>35781</v>
      </c>
      <c r="C16131" s="29" t="s">
        <v>26</v>
      </c>
      <c r="D16131" s="31">
        <v>266.08999999999997</v>
      </c>
      <c r="F16131" s="3" t="str">
        <f t="shared" si="252"/>
        <v>G0033</v>
      </c>
    </row>
    <row r="16132" spans="1:6" ht="22.5" x14ac:dyDescent="0.2">
      <c r="A16132" s="29" t="s">
        <v>35782</v>
      </c>
      <c r="B16132" s="30" t="s">
        <v>35783</v>
      </c>
      <c r="C16132" s="29" t="s">
        <v>26</v>
      </c>
      <c r="D16132" s="31">
        <v>364.53</v>
      </c>
      <c r="F16132" s="3" t="str">
        <f t="shared" si="252"/>
        <v>G0034</v>
      </c>
    </row>
    <row r="16133" spans="1:6" ht="22.5" x14ac:dyDescent="0.2">
      <c r="A16133" s="29" t="s">
        <v>35784</v>
      </c>
      <c r="B16133" s="30" t="s">
        <v>35785</v>
      </c>
      <c r="C16133" s="29" t="s">
        <v>26</v>
      </c>
      <c r="D16133" s="31">
        <v>563.32000000000005</v>
      </c>
      <c r="F16133" s="3" t="str">
        <f t="shared" si="252"/>
        <v>G0035</v>
      </c>
    </row>
    <row r="16134" spans="1:6" ht="22.5" x14ac:dyDescent="0.2">
      <c r="A16134" s="29" t="s">
        <v>35786</v>
      </c>
      <c r="B16134" s="30" t="s">
        <v>35787</v>
      </c>
      <c r="C16134" s="29" t="s">
        <v>26</v>
      </c>
      <c r="D16134" s="31">
        <v>1049.81</v>
      </c>
      <c r="F16134" s="3" t="str">
        <f t="shared" si="252"/>
        <v>G0036</v>
      </c>
    </row>
    <row r="16135" spans="1:6" ht="22.5" x14ac:dyDescent="0.2">
      <c r="A16135" s="29" t="s">
        <v>35788</v>
      </c>
      <c r="B16135" s="30" t="s">
        <v>35789</v>
      </c>
      <c r="C16135" s="29" t="s">
        <v>26</v>
      </c>
      <c r="D16135" s="31">
        <v>1490.07</v>
      </c>
      <c r="F16135" s="3" t="str">
        <f t="shared" si="252"/>
        <v>G0037</v>
      </c>
    </row>
    <row r="16136" spans="1:6" ht="22.5" x14ac:dyDescent="0.2">
      <c r="A16136" s="29" t="s">
        <v>35790</v>
      </c>
      <c r="B16136" s="30" t="s">
        <v>35791</v>
      </c>
      <c r="C16136" s="29" t="s">
        <v>26</v>
      </c>
      <c r="D16136" s="31">
        <v>2485.81</v>
      </c>
      <c r="F16136" s="3" t="str">
        <f t="shared" si="252"/>
        <v>G0038</v>
      </c>
    </row>
    <row r="16137" spans="1:6" x14ac:dyDescent="0.2">
      <c r="A16137" s="29" t="s">
        <v>35792</v>
      </c>
      <c r="B16137" s="30" t="s">
        <v>35793</v>
      </c>
      <c r="C16137" s="29" t="s">
        <v>26</v>
      </c>
      <c r="D16137" s="31">
        <v>9.66</v>
      </c>
      <c r="F16137" s="3" t="str">
        <f t="shared" si="252"/>
        <v>G0631</v>
      </c>
    </row>
    <row r="16138" spans="1:6" x14ac:dyDescent="0.2">
      <c r="A16138" s="29" t="s">
        <v>35794</v>
      </c>
      <c r="B16138" s="30" t="s">
        <v>35793</v>
      </c>
      <c r="C16138" s="29" t="s">
        <v>26</v>
      </c>
      <c r="D16138" s="31">
        <v>9.66</v>
      </c>
      <c r="F16138" s="3" t="str">
        <f t="shared" si="252"/>
        <v>G0807</v>
      </c>
    </row>
    <row r="16139" spans="1:6" x14ac:dyDescent="0.2">
      <c r="A16139" s="29" t="s">
        <v>35795</v>
      </c>
      <c r="B16139" s="30" t="s">
        <v>35796</v>
      </c>
      <c r="C16139" s="29" t="s">
        <v>26</v>
      </c>
      <c r="D16139" s="31">
        <v>12.13</v>
      </c>
      <c r="F16139" s="3" t="str">
        <f t="shared" si="252"/>
        <v>G0634</v>
      </c>
    </row>
    <row r="16140" spans="1:6" x14ac:dyDescent="0.2">
      <c r="A16140" s="29" t="s">
        <v>35797</v>
      </c>
      <c r="B16140" s="30" t="s">
        <v>35796</v>
      </c>
      <c r="C16140" s="29" t="s">
        <v>26</v>
      </c>
      <c r="D16140" s="31">
        <v>12.13</v>
      </c>
      <c r="F16140" s="3" t="str">
        <f t="shared" si="252"/>
        <v>G0808</v>
      </c>
    </row>
    <row r="16141" spans="1:6" x14ac:dyDescent="0.2">
      <c r="A16141" s="29" t="s">
        <v>35798</v>
      </c>
      <c r="B16141" s="30" t="s">
        <v>35799</v>
      </c>
      <c r="C16141" s="29" t="s">
        <v>26</v>
      </c>
      <c r="D16141" s="31">
        <v>12.98</v>
      </c>
      <c r="F16141" s="3" t="str">
        <f t="shared" si="252"/>
        <v>G0637</v>
      </c>
    </row>
    <row r="16142" spans="1:6" x14ac:dyDescent="0.2">
      <c r="A16142" s="29" t="s">
        <v>35800</v>
      </c>
      <c r="B16142" s="30" t="s">
        <v>35799</v>
      </c>
      <c r="C16142" s="29" t="s">
        <v>26</v>
      </c>
      <c r="D16142" s="31">
        <v>12.98</v>
      </c>
      <c r="F16142" s="3" t="str">
        <f t="shared" si="252"/>
        <v>G0809</v>
      </c>
    </row>
    <row r="16143" spans="1:6" x14ac:dyDescent="0.2">
      <c r="A16143" s="29" t="s">
        <v>35801</v>
      </c>
      <c r="B16143" s="30" t="s">
        <v>35802</v>
      </c>
      <c r="C16143" s="29" t="s">
        <v>26</v>
      </c>
      <c r="D16143" s="31">
        <v>9.26</v>
      </c>
      <c r="F16143" s="3" t="str">
        <f t="shared" si="252"/>
        <v>G0632</v>
      </c>
    </row>
    <row r="16144" spans="1:6" x14ac:dyDescent="0.2">
      <c r="A16144" s="29" t="s">
        <v>35803</v>
      </c>
      <c r="B16144" s="30" t="s">
        <v>35802</v>
      </c>
      <c r="C16144" s="29" t="s">
        <v>26</v>
      </c>
      <c r="D16144" s="31">
        <v>9.26</v>
      </c>
      <c r="F16144" s="3" t="str">
        <f t="shared" si="252"/>
        <v>G0810</v>
      </c>
    </row>
    <row r="16145" spans="1:6" x14ac:dyDescent="0.2">
      <c r="A16145" s="29" t="s">
        <v>35804</v>
      </c>
      <c r="B16145" s="30" t="s">
        <v>35805</v>
      </c>
      <c r="C16145" s="29" t="s">
        <v>26</v>
      </c>
      <c r="D16145" s="31">
        <v>12.29</v>
      </c>
      <c r="F16145" s="3" t="str">
        <f t="shared" si="252"/>
        <v>G0635</v>
      </c>
    </row>
    <row r="16146" spans="1:6" x14ac:dyDescent="0.2">
      <c r="A16146" s="29" t="s">
        <v>35806</v>
      </c>
      <c r="B16146" s="30" t="s">
        <v>35805</v>
      </c>
      <c r="C16146" s="29" t="s">
        <v>26</v>
      </c>
      <c r="D16146" s="31">
        <v>12.29</v>
      </c>
      <c r="F16146" s="3" t="str">
        <f t="shared" si="252"/>
        <v>G0811</v>
      </c>
    </row>
    <row r="16147" spans="1:6" x14ac:dyDescent="0.2">
      <c r="A16147" s="29" t="s">
        <v>35807</v>
      </c>
      <c r="B16147" s="30" t="s">
        <v>35808</v>
      </c>
      <c r="C16147" s="29" t="s">
        <v>26</v>
      </c>
      <c r="D16147" s="31">
        <v>11.79</v>
      </c>
      <c r="F16147" s="3" t="str">
        <f t="shared" si="252"/>
        <v>G0638</v>
      </c>
    </row>
    <row r="16148" spans="1:6" x14ac:dyDescent="0.2">
      <c r="A16148" s="29" t="s">
        <v>35809</v>
      </c>
      <c r="B16148" s="30" t="s">
        <v>35808</v>
      </c>
      <c r="C16148" s="29" t="s">
        <v>26</v>
      </c>
      <c r="D16148" s="31">
        <v>11.79</v>
      </c>
      <c r="F16148" s="3" t="str">
        <f t="shared" si="252"/>
        <v>G0812</v>
      </c>
    </row>
    <row r="16149" spans="1:6" ht="33.75" x14ac:dyDescent="0.2">
      <c r="A16149" s="29" t="s">
        <v>35810</v>
      </c>
      <c r="B16149" s="30" t="s">
        <v>35811</v>
      </c>
      <c r="C16149" s="29" t="s">
        <v>26</v>
      </c>
      <c r="D16149" s="31">
        <v>609.77</v>
      </c>
      <c r="F16149" s="3" t="str">
        <f t="shared" si="252"/>
        <v>G0698</v>
      </c>
    </row>
    <row r="16150" spans="1:6" ht="22.5" x14ac:dyDescent="0.2">
      <c r="A16150" s="29" t="s">
        <v>35812</v>
      </c>
      <c r="B16150" s="30" t="s">
        <v>35813</v>
      </c>
      <c r="C16150" s="29" t="s">
        <v>26</v>
      </c>
      <c r="D16150" s="31">
        <v>58.71</v>
      </c>
      <c r="F16150" s="3" t="str">
        <f t="shared" si="252"/>
        <v>G0673</v>
      </c>
    </row>
    <row r="16151" spans="1:6" x14ac:dyDescent="0.2">
      <c r="A16151" s="29" t="s">
        <v>35814</v>
      </c>
      <c r="B16151" s="30" t="s">
        <v>35815</v>
      </c>
      <c r="C16151" s="29" t="s">
        <v>271</v>
      </c>
      <c r="D16151" s="31">
        <v>41.15</v>
      </c>
      <c r="F16151" s="3" t="str">
        <f t="shared" si="252"/>
        <v>G0039</v>
      </c>
    </row>
    <row r="16152" spans="1:6" x14ac:dyDescent="0.2">
      <c r="A16152" s="29" t="s">
        <v>35816</v>
      </c>
      <c r="B16152" s="30" t="s">
        <v>35817</v>
      </c>
      <c r="C16152" s="29" t="s">
        <v>6040</v>
      </c>
      <c r="D16152" s="31">
        <v>175.95</v>
      </c>
      <c r="F16152" s="3" t="str">
        <f t="shared" si="252"/>
        <v>G0846</v>
      </c>
    </row>
    <row r="16153" spans="1:6" ht="33.75" x14ac:dyDescent="0.2">
      <c r="A16153" s="29" t="s">
        <v>35818</v>
      </c>
      <c r="B16153" s="30" t="s">
        <v>35819</v>
      </c>
      <c r="C16153" s="29" t="s">
        <v>26</v>
      </c>
      <c r="D16153" s="31">
        <v>168.55</v>
      </c>
      <c r="F16153" s="3" t="str">
        <f t="shared" si="252"/>
        <v>G0040</v>
      </c>
    </row>
    <row r="16154" spans="1:6" x14ac:dyDescent="0.2">
      <c r="A16154" s="29" t="s">
        <v>35820</v>
      </c>
      <c r="B16154" s="30" t="s">
        <v>35821</v>
      </c>
      <c r="C16154" s="29" t="s">
        <v>1284</v>
      </c>
      <c r="D16154" s="31">
        <v>5.35</v>
      </c>
      <c r="F16154" s="3" t="str">
        <f t="shared" si="252"/>
        <v>G0041</v>
      </c>
    </row>
    <row r="16155" spans="1:6" x14ac:dyDescent="0.2">
      <c r="A16155" s="29" t="s">
        <v>35822</v>
      </c>
      <c r="B16155" s="30" t="s">
        <v>35823</v>
      </c>
      <c r="C16155" s="29" t="s">
        <v>26</v>
      </c>
      <c r="D16155" s="31">
        <v>347.2</v>
      </c>
      <c r="F16155" s="3" t="str">
        <f t="shared" si="252"/>
        <v>G0781</v>
      </c>
    </row>
    <row r="16156" spans="1:6" x14ac:dyDescent="0.2">
      <c r="A16156" s="29" t="s">
        <v>35824</v>
      </c>
      <c r="B16156" s="30" t="s">
        <v>35825</v>
      </c>
      <c r="C16156" s="29" t="s">
        <v>1284</v>
      </c>
      <c r="D16156" s="31">
        <v>1.38</v>
      </c>
      <c r="F16156" s="3" t="str">
        <f t="shared" si="252"/>
        <v>G0042</v>
      </c>
    </row>
    <row r="16157" spans="1:6" x14ac:dyDescent="0.2">
      <c r="A16157" s="29" t="s">
        <v>35826</v>
      </c>
      <c r="B16157" s="30" t="s">
        <v>35827</v>
      </c>
      <c r="C16157" s="29" t="s">
        <v>1284</v>
      </c>
      <c r="D16157" s="31">
        <v>55.83</v>
      </c>
      <c r="F16157" s="3" t="str">
        <f t="shared" si="252"/>
        <v>G0043</v>
      </c>
    </row>
    <row r="16158" spans="1:6" ht="33.75" x14ac:dyDescent="0.2">
      <c r="A16158" s="29" t="s">
        <v>35828</v>
      </c>
      <c r="B16158" s="30" t="s">
        <v>35829</v>
      </c>
      <c r="C16158" s="29" t="s">
        <v>26</v>
      </c>
      <c r="D16158" s="31">
        <v>24.41</v>
      </c>
      <c r="F16158" s="3" t="str">
        <f t="shared" si="252"/>
        <v>G0713</v>
      </c>
    </row>
    <row r="16159" spans="1:6" ht="33.75" x14ac:dyDescent="0.2">
      <c r="A16159" s="29" t="s">
        <v>35830</v>
      </c>
      <c r="B16159" s="30" t="s">
        <v>35831</v>
      </c>
      <c r="C16159" s="29" t="s">
        <v>26</v>
      </c>
      <c r="D16159" s="31">
        <v>24.41</v>
      </c>
      <c r="F16159" s="3" t="str">
        <f t="shared" si="252"/>
        <v>G0707</v>
      </c>
    </row>
    <row r="16160" spans="1:6" ht="33.75" x14ac:dyDescent="0.2">
      <c r="A16160" s="29" t="s">
        <v>35832</v>
      </c>
      <c r="B16160" s="30" t="s">
        <v>35833</v>
      </c>
      <c r="C16160" s="29" t="s">
        <v>26</v>
      </c>
      <c r="D16160" s="31">
        <v>24.41</v>
      </c>
      <c r="F16160" s="3" t="str">
        <f t="shared" si="252"/>
        <v>G0712</v>
      </c>
    </row>
    <row r="16161" spans="1:6" ht="33.75" x14ac:dyDescent="0.2">
      <c r="A16161" s="29" t="s">
        <v>35834</v>
      </c>
      <c r="B16161" s="30" t="s">
        <v>35835</v>
      </c>
      <c r="C16161" s="29" t="s">
        <v>26</v>
      </c>
      <c r="D16161" s="31">
        <v>24.41</v>
      </c>
      <c r="F16161" s="3" t="str">
        <f t="shared" si="252"/>
        <v>G0711</v>
      </c>
    </row>
    <row r="16162" spans="1:6" ht="33.75" x14ac:dyDescent="0.2">
      <c r="A16162" s="29" t="s">
        <v>35836</v>
      </c>
      <c r="B16162" s="30" t="s">
        <v>35837</v>
      </c>
      <c r="C16162" s="29" t="s">
        <v>26</v>
      </c>
      <c r="D16162" s="31">
        <v>17.29</v>
      </c>
      <c r="F16162" s="3" t="str">
        <f t="shared" si="252"/>
        <v>G0710</v>
      </c>
    </row>
    <row r="16163" spans="1:6" ht="33.75" x14ac:dyDescent="0.2">
      <c r="A16163" s="29" t="s">
        <v>35838</v>
      </c>
      <c r="B16163" s="30" t="s">
        <v>35839</v>
      </c>
      <c r="C16163" s="29" t="s">
        <v>26</v>
      </c>
      <c r="D16163" s="31">
        <v>17.72</v>
      </c>
      <c r="F16163" s="3" t="str">
        <f t="shared" si="252"/>
        <v>G0708</v>
      </c>
    </row>
    <row r="16164" spans="1:6" ht="33.75" x14ac:dyDescent="0.2">
      <c r="A16164" s="29" t="s">
        <v>35840</v>
      </c>
      <c r="B16164" s="30" t="s">
        <v>35841</v>
      </c>
      <c r="C16164" s="29" t="s">
        <v>26</v>
      </c>
      <c r="D16164" s="31">
        <v>17.72</v>
      </c>
      <c r="F16164" s="3" t="str">
        <f t="shared" si="252"/>
        <v>G0709</v>
      </c>
    </row>
    <row r="16165" spans="1:6" ht="33.75" x14ac:dyDescent="0.2">
      <c r="A16165" s="29" t="s">
        <v>35842</v>
      </c>
      <c r="B16165" s="30" t="s">
        <v>35843</v>
      </c>
      <c r="C16165" s="29" t="s">
        <v>26</v>
      </c>
      <c r="D16165" s="31">
        <v>10.92</v>
      </c>
      <c r="F16165" s="3" t="str">
        <f t="shared" si="252"/>
        <v>G0705</v>
      </c>
    </row>
    <row r="16166" spans="1:6" ht="33.75" x14ac:dyDescent="0.2">
      <c r="A16166" s="29" t="s">
        <v>35844</v>
      </c>
      <c r="B16166" s="30" t="s">
        <v>35845</v>
      </c>
      <c r="C16166" s="29" t="s">
        <v>26</v>
      </c>
      <c r="D16166" s="31">
        <v>10.119999999999999</v>
      </c>
      <c r="F16166" s="3" t="str">
        <f t="shared" si="252"/>
        <v>G0706</v>
      </c>
    </row>
    <row r="16167" spans="1:6" ht="33.75" x14ac:dyDescent="0.2">
      <c r="A16167" s="29" t="s">
        <v>35846</v>
      </c>
      <c r="B16167" s="30" t="s">
        <v>35847</v>
      </c>
      <c r="C16167" s="29" t="s">
        <v>26</v>
      </c>
      <c r="D16167" s="31">
        <v>7.66</v>
      </c>
      <c r="F16167" s="3" t="str">
        <f t="shared" si="252"/>
        <v>G0704</v>
      </c>
    </row>
    <row r="16168" spans="1:6" ht="33.75" x14ac:dyDescent="0.2">
      <c r="A16168" s="29" t="s">
        <v>35848</v>
      </c>
      <c r="B16168" s="30" t="s">
        <v>35849</v>
      </c>
      <c r="C16168" s="29" t="s">
        <v>26</v>
      </c>
      <c r="D16168" s="31">
        <v>7.23</v>
      </c>
      <c r="F16168" s="3" t="str">
        <f t="shared" si="252"/>
        <v>G0703</v>
      </c>
    </row>
    <row r="16169" spans="1:6" ht="22.5" x14ac:dyDescent="0.2">
      <c r="A16169" s="29" t="s">
        <v>35850</v>
      </c>
      <c r="B16169" s="30" t="s">
        <v>35851</v>
      </c>
      <c r="C16169" s="29" t="s">
        <v>26</v>
      </c>
      <c r="D16169" s="31">
        <v>15.44</v>
      </c>
      <c r="F16169" s="3" t="str">
        <f t="shared" si="252"/>
        <v>G0719</v>
      </c>
    </row>
    <row r="16170" spans="1:6" ht="22.5" x14ac:dyDescent="0.2">
      <c r="A16170" s="29" t="s">
        <v>35852</v>
      </c>
      <c r="B16170" s="30" t="s">
        <v>35853</v>
      </c>
      <c r="C16170" s="29" t="s">
        <v>26</v>
      </c>
      <c r="D16170" s="31">
        <v>13.26</v>
      </c>
      <c r="F16170" s="3" t="str">
        <f t="shared" si="252"/>
        <v>G0718</v>
      </c>
    </row>
    <row r="16171" spans="1:6" ht="22.5" x14ac:dyDescent="0.2">
      <c r="A16171" s="29" t="s">
        <v>35854</v>
      </c>
      <c r="B16171" s="30" t="s">
        <v>35855</v>
      </c>
      <c r="C16171" s="29" t="s">
        <v>26</v>
      </c>
      <c r="D16171" s="31">
        <v>8.1999999999999993</v>
      </c>
      <c r="F16171" s="3" t="str">
        <f t="shared" si="252"/>
        <v>G0717</v>
      </c>
    </row>
    <row r="16172" spans="1:6" ht="22.5" x14ac:dyDescent="0.2">
      <c r="A16172" s="29" t="s">
        <v>35856</v>
      </c>
      <c r="B16172" s="30" t="s">
        <v>35857</v>
      </c>
      <c r="C16172" s="29" t="s">
        <v>26</v>
      </c>
      <c r="D16172" s="31">
        <v>3.83</v>
      </c>
      <c r="F16172" s="3" t="str">
        <f t="shared" si="252"/>
        <v>G0715</v>
      </c>
    </row>
    <row r="16173" spans="1:6" ht="22.5" x14ac:dyDescent="0.2">
      <c r="A16173" s="29" t="s">
        <v>35858</v>
      </c>
      <c r="B16173" s="30" t="s">
        <v>35859</v>
      </c>
      <c r="C16173" s="29" t="s">
        <v>26</v>
      </c>
      <c r="D16173" s="31">
        <v>9.9499999999999993</v>
      </c>
      <c r="F16173" s="3" t="str">
        <f t="shared" si="252"/>
        <v>G0714</v>
      </c>
    </row>
    <row r="16174" spans="1:6" ht="22.5" x14ac:dyDescent="0.2">
      <c r="A16174" s="29" t="s">
        <v>35860</v>
      </c>
      <c r="B16174" s="30" t="s">
        <v>35861</v>
      </c>
      <c r="C16174" s="29" t="s">
        <v>26</v>
      </c>
      <c r="D16174" s="31">
        <v>5.67</v>
      </c>
      <c r="F16174" s="3" t="str">
        <f t="shared" si="252"/>
        <v>G0716</v>
      </c>
    </row>
    <row r="16175" spans="1:6" x14ac:dyDescent="0.2">
      <c r="A16175" s="29" t="s">
        <v>35862</v>
      </c>
      <c r="B16175" s="30" t="s">
        <v>35863</v>
      </c>
      <c r="C16175" s="29" t="s">
        <v>26</v>
      </c>
      <c r="D16175" s="31">
        <v>32.64</v>
      </c>
      <c r="F16175" s="3" t="str">
        <f t="shared" si="252"/>
        <v>G0044</v>
      </c>
    </row>
    <row r="16176" spans="1:6" x14ac:dyDescent="0.2">
      <c r="A16176" s="29" t="s">
        <v>35864</v>
      </c>
      <c r="B16176" s="30" t="s">
        <v>35865</v>
      </c>
      <c r="C16176" s="29" t="s">
        <v>26</v>
      </c>
      <c r="D16176" s="31">
        <v>12</v>
      </c>
      <c r="F16176" s="3" t="str">
        <f t="shared" si="252"/>
        <v>G0045</v>
      </c>
    </row>
    <row r="16177" spans="1:6" x14ac:dyDescent="0.2">
      <c r="A16177" s="29" t="s">
        <v>35866</v>
      </c>
      <c r="B16177" s="30" t="s">
        <v>35867</v>
      </c>
      <c r="C16177" s="29" t="s">
        <v>26</v>
      </c>
      <c r="D16177" s="31">
        <v>14.16</v>
      </c>
      <c r="F16177" s="3" t="str">
        <f t="shared" si="252"/>
        <v>G0046</v>
      </c>
    </row>
    <row r="16178" spans="1:6" x14ac:dyDescent="0.2">
      <c r="A16178" s="29" t="s">
        <v>35868</v>
      </c>
      <c r="B16178" s="30" t="s">
        <v>35869</v>
      </c>
      <c r="C16178" s="29" t="s">
        <v>26</v>
      </c>
      <c r="D16178" s="31">
        <v>96.11</v>
      </c>
      <c r="F16178" s="3" t="str">
        <f t="shared" si="252"/>
        <v>G0047</v>
      </c>
    </row>
    <row r="16179" spans="1:6" ht="22.5" x14ac:dyDescent="0.2">
      <c r="A16179" s="29" t="s">
        <v>35870</v>
      </c>
      <c r="B16179" s="30" t="s">
        <v>35871</v>
      </c>
      <c r="C16179" s="29" t="s">
        <v>26</v>
      </c>
      <c r="D16179" s="31">
        <v>189.04</v>
      </c>
      <c r="F16179" s="3" t="str">
        <f t="shared" si="252"/>
        <v>G0667</v>
      </c>
    </row>
    <row r="16180" spans="1:6" ht="22.5" x14ac:dyDescent="0.2">
      <c r="A16180" s="29" t="s">
        <v>35872</v>
      </c>
      <c r="B16180" s="30" t="s">
        <v>35873</v>
      </c>
      <c r="C16180" s="29" t="s">
        <v>1284</v>
      </c>
      <c r="D16180" s="31">
        <v>6.82</v>
      </c>
      <c r="F16180" s="3" t="str">
        <f t="shared" si="252"/>
        <v>G0470</v>
      </c>
    </row>
    <row r="16181" spans="1:6" x14ac:dyDescent="0.2">
      <c r="A16181" s="29" t="s">
        <v>35874</v>
      </c>
      <c r="B16181" s="30" t="s">
        <v>35875</v>
      </c>
      <c r="C16181" s="29" t="s">
        <v>26</v>
      </c>
      <c r="D16181" s="31">
        <v>36.369999999999997</v>
      </c>
      <c r="F16181" s="3" t="str">
        <f t="shared" si="252"/>
        <v>G0048</v>
      </c>
    </row>
    <row r="16182" spans="1:6" x14ac:dyDescent="0.2">
      <c r="A16182" s="29" t="s">
        <v>35876</v>
      </c>
      <c r="B16182" s="30" t="s">
        <v>35877</v>
      </c>
      <c r="C16182" s="29" t="s">
        <v>26</v>
      </c>
      <c r="D16182" s="31">
        <v>20.25</v>
      </c>
      <c r="F16182" s="3" t="str">
        <f t="shared" si="252"/>
        <v>G0049</v>
      </c>
    </row>
    <row r="16183" spans="1:6" x14ac:dyDescent="0.2">
      <c r="A16183" s="29" t="s">
        <v>35878</v>
      </c>
      <c r="B16183" s="30" t="s">
        <v>35879</v>
      </c>
      <c r="C16183" s="29" t="s">
        <v>26</v>
      </c>
      <c r="D16183" s="31">
        <v>27.97</v>
      </c>
      <c r="F16183" s="3" t="str">
        <f t="shared" si="252"/>
        <v>G0050</v>
      </c>
    </row>
    <row r="16184" spans="1:6" x14ac:dyDescent="0.2">
      <c r="A16184" s="29" t="s">
        <v>35880</v>
      </c>
      <c r="B16184" s="30" t="s">
        <v>35881</v>
      </c>
      <c r="C16184" s="29" t="s">
        <v>26</v>
      </c>
      <c r="D16184" s="31">
        <v>44.59</v>
      </c>
      <c r="F16184" s="3" t="str">
        <f t="shared" si="252"/>
        <v>G0051</v>
      </c>
    </row>
    <row r="16185" spans="1:6" x14ac:dyDescent="0.2">
      <c r="A16185" s="29" t="s">
        <v>35882</v>
      </c>
      <c r="B16185" s="30" t="s">
        <v>35883</v>
      </c>
      <c r="C16185" s="29" t="s">
        <v>26</v>
      </c>
      <c r="D16185" s="31">
        <v>50.13</v>
      </c>
      <c r="F16185" s="3" t="str">
        <f t="shared" si="252"/>
        <v>G0052</v>
      </c>
    </row>
    <row r="16186" spans="1:6" x14ac:dyDescent="0.2">
      <c r="A16186" s="29" t="s">
        <v>35884</v>
      </c>
      <c r="B16186" s="30" t="s">
        <v>35885</v>
      </c>
      <c r="C16186" s="29" t="s">
        <v>26</v>
      </c>
      <c r="D16186" s="31">
        <v>170.94</v>
      </c>
      <c r="F16186" s="3" t="str">
        <f t="shared" si="252"/>
        <v>G0053</v>
      </c>
    </row>
    <row r="16187" spans="1:6" x14ac:dyDescent="0.2">
      <c r="A16187" s="29" t="s">
        <v>35886</v>
      </c>
      <c r="B16187" s="30" t="s">
        <v>35887</v>
      </c>
      <c r="C16187" s="29" t="s">
        <v>26</v>
      </c>
      <c r="D16187" s="31">
        <v>208.35</v>
      </c>
      <c r="F16187" s="3" t="str">
        <f t="shared" si="252"/>
        <v>G0054</v>
      </c>
    </row>
    <row r="16188" spans="1:6" x14ac:dyDescent="0.2">
      <c r="A16188" s="29" t="s">
        <v>35888</v>
      </c>
      <c r="B16188" s="30" t="s">
        <v>35889</v>
      </c>
      <c r="C16188" s="29" t="s">
        <v>26</v>
      </c>
      <c r="D16188" s="31">
        <v>297.81</v>
      </c>
      <c r="F16188" s="3" t="str">
        <f t="shared" si="252"/>
        <v>G0824</v>
      </c>
    </row>
    <row r="16189" spans="1:6" x14ac:dyDescent="0.2">
      <c r="A16189" s="29" t="s">
        <v>35890</v>
      </c>
      <c r="B16189" s="30" t="s">
        <v>35891</v>
      </c>
      <c r="C16189" s="29" t="s">
        <v>26</v>
      </c>
      <c r="D16189" s="31">
        <v>580.89</v>
      </c>
      <c r="F16189" s="3" t="str">
        <f t="shared" si="252"/>
        <v>G0825</v>
      </c>
    </row>
    <row r="16190" spans="1:6" ht="22.5" x14ac:dyDescent="0.2">
      <c r="A16190" s="29" t="s">
        <v>35892</v>
      </c>
      <c r="B16190" s="30" t="s">
        <v>35893</v>
      </c>
      <c r="C16190" s="29" t="s">
        <v>26</v>
      </c>
      <c r="D16190" s="31">
        <v>78.989999999999995</v>
      </c>
      <c r="F16190" s="3" t="str">
        <f t="shared" si="252"/>
        <v>G0655</v>
      </c>
    </row>
    <row r="16191" spans="1:6" ht="22.5" x14ac:dyDescent="0.2">
      <c r="A16191" s="29" t="s">
        <v>35894</v>
      </c>
      <c r="B16191" s="30" t="s">
        <v>35895</v>
      </c>
      <c r="C16191" s="29" t="s">
        <v>26</v>
      </c>
      <c r="D16191" s="31">
        <v>63.1</v>
      </c>
      <c r="F16191" s="3" t="str">
        <f t="shared" si="252"/>
        <v>G0654</v>
      </c>
    </row>
    <row r="16192" spans="1:6" ht="33.75" x14ac:dyDescent="0.2">
      <c r="A16192" s="29" t="s">
        <v>35896</v>
      </c>
      <c r="B16192" s="30" t="s">
        <v>35897</v>
      </c>
      <c r="C16192" s="29" t="s">
        <v>26</v>
      </c>
      <c r="D16192" s="31">
        <v>52.2</v>
      </c>
      <c r="F16192" s="3" t="str">
        <f t="shared" si="252"/>
        <v>G0683</v>
      </c>
    </row>
    <row r="16193" spans="1:6" ht="33.75" x14ac:dyDescent="0.2">
      <c r="A16193" s="29" t="s">
        <v>35898</v>
      </c>
      <c r="B16193" s="30" t="s">
        <v>35899</v>
      </c>
      <c r="C16193" s="29" t="s">
        <v>26</v>
      </c>
      <c r="D16193" s="31">
        <v>48.23</v>
      </c>
      <c r="F16193" s="3" t="str">
        <f t="shared" si="252"/>
        <v>G0684</v>
      </c>
    </row>
    <row r="16194" spans="1:6" ht="33.75" x14ac:dyDescent="0.2">
      <c r="A16194" s="29" t="s">
        <v>35900</v>
      </c>
      <c r="B16194" s="30" t="s">
        <v>35901</v>
      </c>
      <c r="C16194" s="29" t="s">
        <v>26</v>
      </c>
      <c r="D16194" s="31">
        <v>54.46</v>
      </c>
      <c r="F16194" s="3" t="str">
        <f t="shared" ref="F16194:F16257" si="253">A16194</f>
        <v>G0685</v>
      </c>
    </row>
    <row r="16195" spans="1:6" ht="33.75" x14ac:dyDescent="0.2">
      <c r="A16195" s="29" t="s">
        <v>35902</v>
      </c>
      <c r="B16195" s="30" t="s">
        <v>35903</v>
      </c>
      <c r="C16195" s="29" t="s">
        <v>26</v>
      </c>
      <c r="D16195" s="31">
        <v>63.94</v>
      </c>
      <c r="F16195" s="3" t="str">
        <f t="shared" si="253"/>
        <v>G0686</v>
      </c>
    </row>
    <row r="16196" spans="1:6" ht="33.75" x14ac:dyDescent="0.2">
      <c r="A16196" s="29" t="s">
        <v>35904</v>
      </c>
      <c r="B16196" s="30" t="s">
        <v>35905</v>
      </c>
      <c r="C16196" s="29" t="s">
        <v>26</v>
      </c>
      <c r="D16196" s="31">
        <v>63.06</v>
      </c>
      <c r="F16196" s="3" t="str">
        <f t="shared" si="253"/>
        <v>G0687</v>
      </c>
    </row>
    <row r="16197" spans="1:6" ht="33.75" x14ac:dyDescent="0.2">
      <c r="A16197" s="29" t="s">
        <v>35906</v>
      </c>
      <c r="B16197" s="30" t="s">
        <v>35907</v>
      </c>
      <c r="C16197" s="29" t="s">
        <v>26</v>
      </c>
      <c r="D16197" s="31">
        <v>72.39</v>
      </c>
      <c r="F16197" s="3" t="str">
        <f t="shared" si="253"/>
        <v>G0688</v>
      </c>
    </row>
    <row r="16198" spans="1:6" ht="33.75" x14ac:dyDescent="0.2">
      <c r="A16198" s="29" t="s">
        <v>35908</v>
      </c>
      <c r="B16198" s="30" t="s">
        <v>35909</v>
      </c>
      <c r="C16198" s="29" t="s">
        <v>26</v>
      </c>
      <c r="D16198" s="31">
        <v>75.27</v>
      </c>
      <c r="F16198" s="3" t="str">
        <f t="shared" si="253"/>
        <v>G0689</v>
      </c>
    </row>
    <row r="16199" spans="1:6" ht="33.75" x14ac:dyDescent="0.2">
      <c r="A16199" s="29" t="s">
        <v>35910</v>
      </c>
      <c r="B16199" s="30" t="s">
        <v>35911</v>
      </c>
      <c r="C16199" s="29" t="s">
        <v>26</v>
      </c>
      <c r="D16199" s="31">
        <v>81.44</v>
      </c>
      <c r="F16199" s="3" t="str">
        <f t="shared" si="253"/>
        <v>G0690</v>
      </c>
    </row>
    <row r="16200" spans="1:6" ht="33.75" x14ac:dyDescent="0.2">
      <c r="A16200" s="29" t="s">
        <v>35912</v>
      </c>
      <c r="B16200" s="30" t="s">
        <v>35913</v>
      </c>
      <c r="C16200" s="29" t="s">
        <v>26</v>
      </c>
      <c r="D16200" s="31">
        <v>70.09</v>
      </c>
      <c r="F16200" s="3" t="str">
        <f t="shared" si="253"/>
        <v>G0691</v>
      </c>
    </row>
    <row r="16201" spans="1:6" ht="33.75" x14ac:dyDescent="0.2">
      <c r="A16201" s="29" t="s">
        <v>35914</v>
      </c>
      <c r="B16201" s="30" t="s">
        <v>35915</v>
      </c>
      <c r="C16201" s="29" t="s">
        <v>26</v>
      </c>
      <c r="D16201" s="31">
        <v>80.88</v>
      </c>
      <c r="F16201" s="3" t="str">
        <f t="shared" si="253"/>
        <v>G0692</v>
      </c>
    </row>
    <row r="16202" spans="1:6" ht="33.75" x14ac:dyDescent="0.2">
      <c r="A16202" s="29" t="s">
        <v>35916</v>
      </c>
      <c r="B16202" s="30" t="s">
        <v>35917</v>
      </c>
      <c r="C16202" s="29" t="s">
        <v>26</v>
      </c>
      <c r="D16202" s="31">
        <v>118.16</v>
      </c>
      <c r="F16202" s="3" t="str">
        <f t="shared" si="253"/>
        <v>G0693</v>
      </c>
    </row>
    <row r="16203" spans="1:6" ht="33.75" x14ac:dyDescent="0.2">
      <c r="A16203" s="29" t="s">
        <v>35918</v>
      </c>
      <c r="B16203" s="30" t="s">
        <v>35919</v>
      </c>
      <c r="C16203" s="29" t="s">
        <v>26</v>
      </c>
      <c r="D16203" s="31">
        <v>138.53</v>
      </c>
      <c r="F16203" s="3" t="str">
        <f t="shared" si="253"/>
        <v>G0694</v>
      </c>
    </row>
    <row r="16204" spans="1:6" ht="33.75" x14ac:dyDescent="0.2">
      <c r="A16204" s="29" t="s">
        <v>35920</v>
      </c>
      <c r="B16204" s="30" t="s">
        <v>35921</v>
      </c>
      <c r="C16204" s="29" t="s">
        <v>26</v>
      </c>
      <c r="D16204" s="31">
        <v>149.72999999999999</v>
      </c>
      <c r="F16204" s="3" t="str">
        <f t="shared" si="253"/>
        <v>G0695</v>
      </c>
    </row>
    <row r="16205" spans="1:6" ht="33.75" x14ac:dyDescent="0.2">
      <c r="A16205" s="29" t="s">
        <v>35922</v>
      </c>
      <c r="B16205" s="30" t="s">
        <v>35923</v>
      </c>
      <c r="C16205" s="29" t="s">
        <v>26</v>
      </c>
      <c r="D16205" s="31">
        <v>174.24</v>
      </c>
      <c r="F16205" s="3" t="str">
        <f t="shared" si="253"/>
        <v>G0696</v>
      </c>
    </row>
    <row r="16206" spans="1:6" ht="33.75" x14ac:dyDescent="0.2">
      <c r="A16206" s="29" t="s">
        <v>35924</v>
      </c>
      <c r="B16206" s="30" t="s">
        <v>35925</v>
      </c>
      <c r="C16206" s="29" t="s">
        <v>26</v>
      </c>
      <c r="D16206" s="31">
        <v>56.38</v>
      </c>
      <c r="F16206" s="3" t="str">
        <f t="shared" si="253"/>
        <v>G0681</v>
      </c>
    </row>
    <row r="16207" spans="1:6" ht="33.75" x14ac:dyDescent="0.2">
      <c r="A16207" s="29" t="s">
        <v>35926</v>
      </c>
      <c r="B16207" s="30" t="s">
        <v>35927</v>
      </c>
      <c r="C16207" s="29" t="s">
        <v>26</v>
      </c>
      <c r="D16207" s="31">
        <v>50.75</v>
      </c>
      <c r="F16207" s="3" t="str">
        <f t="shared" si="253"/>
        <v>G0682</v>
      </c>
    </row>
    <row r="16208" spans="1:6" x14ac:dyDescent="0.2">
      <c r="A16208" s="29" t="s">
        <v>35928</v>
      </c>
      <c r="B16208" s="30" t="s">
        <v>35929</v>
      </c>
      <c r="C16208" s="29" t="s">
        <v>26</v>
      </c>
      <c r="D16208" s="31">
        <v>65.180000000000007</v>
      </c>
      <c r="F16208" s="3" t="str">
        <f t="shared" si="253"/>
        <v>G0641</v>
      </c>
    </row>
    <row r="16209" spans="1:6" x14ac:dyDescent="0.2">
      <c r="A16209" s="29" t="s">
        <v>35930</v>
      </c>
      <c r="B16209" s="30" t="s">
        <v>35931</v>
      </c>
      <c r="C16209" s="29" t="s">
        <v>26</v>
      </c>
      <c r="D16209" s="31">
        <v>81.680000000000007</v>
      </c>
      <c r="F16209" s="3" t="str">
        <f t="shared" si="253"/>
        <v>G0642</v>
      </c>
    </row>
    <row r="16210" spans="1:6" x14ac:dyDescent="0.2">
      <c r="A16210" s="29" t="s">
        <v>35932</v>
      </c>
      <c r="B16210" s="30" t="s">
        <v>35933</v>
      </c>
      <c r="C16210" s="29" t="s">
        <v>26</v>
      </c>
      <c r="D16210" s="31">
        <v>165.71</v>
      </c>
      <c r="F16210" s="3" t="str">
        <f t="shared" si="253"/>
        <v>G0644</v>
      </c>
    </row>
    <row r="16211" spans="1:6" x14ac:dyDescent="0.2">
      <c r="A16211" s="29" t="s">
        <v>35934</v>
      </c>
      <c r="B16211" s="30" t="s">
        <v>35935</v>
      </c>
      <c r="C16211" s="29" t="s">
        <v>26</v>
      </c>
      <c r="D16211" s="31">
        <v>136.46</v>
      </c>
      <c r="F16211" s="3" t="str">
        <f t="shared" si="253"/>
        <v>G0643</v>
      </c>
    </row>
    <row r="16212" spans="1:6" x14ac:dyDescent="0.2">
      <c r="A16212" s="29" t="s">
        <v>35936</v>
      </c>
      <c r="B16212" s="30" t="s">
        <v>35937</v>
      </c>
      <c r="C16212" s="29" t="s">
        <v>26</v>
      </c>
      <c r="D16212" s="31">
        <v>20.83</v>
      </c>
      <c r="F16212" s="3" t="str">
        <f t="shared" si="253"/>
        <v>G0645</v>
      </c>
    </row>
    <row r="16213" spans="1:6" x14ac:dyDescent="0.2">
      <c r="A16213" s="29" t="s">
        <v>35938</v>
      </c>
      <c r="B16213" s="30" t="s">
        <v>35939</v>
      </c>
      <c r="C16213" s="29" t="s">
        <v>26</v>
      </c>
      <c r="D16213" s="31">
        <v>45.98</v>
      </c>
      <c r="F16213" s="3" t="str">
        <f t="shared" si="253"/>
        <v>G0646</v>
      </c>
    </row>
    <row r="16214" spans="1:6" x14ac:dyDescent="0.2">
      <c r="A16214" s="29" t="s">
        <v>35940</v>
      </c>
      <c r="B16214" s="30" t="s">
        <v>35941</v>
      </c>
      <c r="C16214" s="29" t="s">
        <v>26</v>
      </c>
      <c r="D16214" s="31">
        <v>69.569999999999993</v>
      </c>
      <c r="F16214" s="3" t="str">
        <f t="shared" si="253"/>
        <v>G0647</v>
      </c>
    </row>
    <row r="16215" spans="1:6" x14ac:dyDescent="0.2">
      <c r="A16215" s="29" t="s">
        <v>35942</v>
      </c>
      <c r="B16215" s="30" t="s">
        <v>35943</v>
      </c>
      <c r="C16215" s="29" t="s">
        <v>26</v>
      </c>
      <c r="D16215" s="31">
        <v>64.42</v>
      </c>
      <c r="F16215" s="3" t="str">
        <f t="shared" si="253"/>
        <v>G0648</v>
      </c>
    </row>
    <row r="16216" spans="1:6" x14ac:dyDescent="0.2">
      <c r="A16216" s="29" t="s">
        <v>35944</v>
      </c>
      <c r="B16216" s="30" t="s">
        <v>35945</v>
      </c>
      <c r="C16216" s="29" t="s">
        <v>26</v>
      </c>
      <c r="D16216" s="31">
        <v>89.63</v>
      </c>
      <c r="F16216" s="3" t="str">
        <f t="shared" si="253"/>
        <v>G0649</v>
      </c>
    </row>
    <row r="16217" spans="1:6" x14ac:dyDescent="0.2">
      <c r="A16217" s="29" t="s">
        <v>35946</v>
      </c>
      <c r="B16217" s="30" t="s">
        <v>35947</v>
      </c>
      <c r="C16217" s="29" t="s">
        <v>26</v>
      </c>
      <c r="D16217" s="31">
        <v>112.75</v>
      </c>
      <c r="F16217" s="3" t="str">
        <f t="shared" si="253"/>
        <v>G0650</v>
      </c>
    </row>
    <row r="16218" spans="1:6" x14ac:dyDescent="0.2">
      <c r="A16218" s="29" t="s">
        <v>35948</v>
      </c>
      <c r="B16218" s="30" t="s">
        <v>35949</v>
      </c>
      <c r="C16218" s="29" t="s">
        <v>26</v>
      </c>
      <c r="D16218" s="31">
        <v>33.42</v>
      </c>
      <c r="F16218" s="3" t="str">
        <f t="shared" si="253"/>
        <v>G0640</v>
      </c>
    </row>
    <row r="16219" spans="1:6" ht="22.5" x14ac:dyDescent="0.2">
      <c r="A16219" s="29" t="s">
        <v>35950</v>
      </c>
      <c r="B16219" s="30" t="s">
        <v>35951</v>
      </c>
      <c r="C16219" s="29" t="s">
        <v>26</v>
      </c>
      <c r="D16219" s="31">
        <v>113.87</v>
      </c>
      <c r="F16219" s="3" t="str">
        <f t="shared" si="253"/>
        <v>G0651</v>
      </c>
    </row>
    <row r="16220" spans="1:6" ht="22.5" x14ac:dyDescent="0.2">
      <c r="A16220" s="29" t="s">
        <v>35952</v>
      </c>
      <c r="B16220" s="30" t="s">
        <v>35953</v>
      </c>
      <c r="C16220" s="29" t="s">
        <v>26</v>
      </c>
      <c r="D16220" s="31">
        <v>143.84</v>
      </c>
      <c r="F16220" s="3" t="str">
        <f t="shared" si="253"/>
        <v>G0652</v>
      </c>
    </row>
    <row r="16221" spans="1:6" ht="33.75" x14ac:dyDescent="0.2">
      <c r="A16221" s="29" t="s">
        <v>35954</v>
      </c>
      <c r="B16221" s="30" t="s">
        <v>35955</v>
      </c>
      <c r="C16221" s="29" t="s">
        <v>26</v>
      </c>
      <c r="D16221" s="31">
        <v>8.0299999999999994</v>
      </c>
      <c r="F16221" s="3" t="str">
        <f t="shared" si="253"/>
        <v>G0676</v>
      </c>
    </row>
    <row r="16222" spans="1:6" ht="33.75" x14ac:dyDescent="0.2">
      <c r="A16222" s="29" t="s">
        <v>35956</v>
      </c>
      <c r="B16222" s="30" t="s">
        <v>35957</v>
      </c>
      <c r="C16222" s="29" t="s">
        <v>26</v>
      </c>
      <c r="D16222" s="31">
        <v>10.64</v>
      </c>
      <c r="F16222" s="3" t="str">
        <f t="shared" si="253"/>
        <v>G0678</v>
      </c>
    </row>
    <row r="16223" spans="1:6" ht="33.75" x14ac:dyDescent="0.2">
      <c r="A16223" s="29" t="s">
        <v>35958</v>
      </c>
      <c r="B16223" s="30" t="s">
        <v>35959</v>
      </c>
      <c r="C16223" s="29" t="s">
        <v>26</v>
      </c>
      <c r="D16223" s="31">
        <v>18.34</v>
      </c>
      <c r="F16223" s="3" t="str">
        <f t="shared" si="253"/>
        <v>G0677</v>
      </c>
    </row>
    <row r="16224" spans="1:6" ht="33.75" x14ac:dyDescent="0.2">
      <c r="A16224" s="29" t="s">
        <v>35960</v>
      </c>
      <c r="B16224" s="30" t="s">
        <v>35961</v>
      </c>
      <c r="C16224" s="29" t="s">
        <v>26</v>
      </c>
      <c r="D16224" s="31">
        <v>8.27</v>
      </c>
      <c r="F16224" s="3" t="str">
        <f t="shared" si="253"/>
        <v>G0656</v>
      </c>
    </row>
    <row r="16225" spans="1:6" ht="33.75" x14ac:dyDescent="0.2">
      <c r="A16225" s="29" t="s">
        <v>35962</v>
      </c>
      <c r="B16225" s="30" t="s">
        <v>35963</v>
      </c>
      <c r="C16225" s="29" t="s">
        <v>26</v>
      </c>
      <c r="D16225" s="31">
        <v>8.3699999999999992</v>
      </c>
      <c r="F16225" s="3" t="str">
        <f t="shared" si="253"/>
        <v>G0659</v>
      </c>
    </row>
    <row r="16226" spans="1:6" ht="22.5" x14ac:dyDescent="0.2">
      <c r="A16226" s="29" t="s">
        <v>35964</v>
      </c>
      <c r="B16226" s="30" t="s">
        <v>35965</v>
      </c>
      <c r="C16226" s="29" t="s">
        <v>26</v>
      </c>
      <c r="D16226" s="31">
        <v>10</v>
      </c>
      <c r="F16226" s="3" t="str">
        <f t="shared" si="253"/>
        <v>G0657</v>
      </c>
    </row>
    <row r="16227" spans="1:6" ht="22.5" x14ac:dyDescent="0.2">
      <c r="A16227" s="29" t="s">
        <v>35966</v>
      </c>
      <c r="B16227" s="30" t="s">
        <v>35967</v>
      </c>
      <c r="C16227" s="29" t="s">
        <v>26</v>
      </c>
      <c r="D16227" s="31">
        <v>18.079999999999998</v>
      </c>
      <c r="F16227" s="3" t="str">
        <f t="shared" si="253"/>
        <v>G0658</v>
      </c>
    </row>
    <row r="16228" spans="1:6" ht="33.75" x14ac:dyDescent="0.2">
      <c r="A16228" s="29" t="s">
        <v>35968</v>
      </c>
      <c r="B16228" s="30" t="s">
        <v>35969</v>
      </c>
      <c r="C16228" s="29" t="s">
        <v>26</v>
      </c>
      <c r="D16228" s="31">
        <v>131.47</v>
      </c>
      <c r="F16228" s="3" t="str">
        <f t="shared" si="253"/>
        <v>G0664</v>
      </c>
    </row>
    <row r="16229" spans="1:6" ht="33.75" x14ac:dyDescent="0.2">
      <c r="A16229" s="29" t="s">
        <v>35970</v>
      </c>
      <c r="B16229" s="30" t="s">
        <v>35971</v>
      </c>
      <c r="C16229" s="29" t="s">
        <v>26</v>
      </c>
      <c r="D16229" s="31">
        <v>176.76</v>
      </c>
      <c r="F16229" s="3" t="str">
        <f t="shared" si="253"/>
        <v>G0665</v>
      </c>
    </row>
    <row r="16230" spans="1:6" ht="33.75" x14ac:dyDescent="0.2">
      <c r="A16230" s="29" t="s">
        <v>35972</v>
      </c>
      <c r="B16230" s="30" t="s">
        <v>35973</v>
      </c>
      <c r="C16230" s="29" t="s">
        <v>26</v>
      </c>
      <c r="D16230" s="31">
        <v>276.5</v>
      </c>
      <c r="F16230" s="3" t="str">
        <f t="shared" si="253"/>
        <v>G0666</v>
      </c>
    </row>
    <row r="16231" spans="1:6" x14ac:dyDescent="0.2">
      <c r="A16231" s="29" t="s">
        <v>35974</v>
      </c>
      <c r="B16231" s="30" t="s">
        <v>35975</v>
      </c>
      <c r="C16231" s="29" t="s">
        <v>26</v>
      </c>
      <c r="D16231" s="31">
        <v>1057.8800000000001</v>
      </c>
      <c r="F16231" s="3" t="str">
        <f t="shared" si="253"/>
        <v>G0479</v>
      </c>
    </row>
    <row r="16232" spans="1:6" x14ac:dyDescent="0.2">
      <c r="A16232" s="29" t="s">
        <v>35976</v>
      </c>
      <c r="B16232" s="30" t="s">
        <v>35977</v>
      </c>
      <c r="C16232" s="29" t="s">
        <v>26</v>
      </c>
      <c r="D16232" s="31">
        <v>1258.5999999999999</v>
      </c>
      <c r="F16232" s="3" t="str">
        <f t="shared" si="253"/>
        <v>G0480</v>
      </c>
    </row>
    <row r="16233" spans="1:6" x14ac:dyDescent="0.2">
      <c r="A16233" s="29" t="s">
        <v>35978</v>
      </c>
      <c r="B16233" s="30" t="s">
        <v>35979</v>
      </c>
      <c r="C16233" s="29" t="s">
        <v>26</v>
      </c>
      <c r="D16233" s="31">
        <v>287.52999999999997</v>
      </c>
      <c r="F16233" s="3" t="str">
        <f t="shared" si="253"/>
        <v>G0474</v>
      </c>
    </row>
    <row r="16234" spans="1:6" x14ac:dyDescent="0.2">
      <c r="A16234" s="29" t="s">
        <v>35980</v>
      </c>
      <c r="B16234" s="30" t="s">
        <v>35981</v>
      </c>
      <c r="C16234" s="29" t="s">
        <v>26</v>
      </c>
      <c r="D16234" s="31">
        <v>387.35</v>
      </c>
      <c r="F16234" s="3" t="str">
        <f t="shared" si="253"/>
        <v>G0475</v>
      </c>
    </row>
    <row r="16235" spans="1:6" x14ac:dyDescent="0.2">
      <c r="A16235" s="29" t="s">
        <v>35982</v>
      </c>
      <c r="B16235" s="30" t="s">
        <v>35983</v>
      </c>
      <c r="C16235" s="29" t="s">
        <v>26</v>
      </c>
      <c r="D16235" s="31">
        <v>504.53</v>
      </c>
      <c r="F16235" s="3" t="str">
        <f t="shared" si="253"/>
        <v>G0476</v>
      </c>
    </row>
    <row r="16236" spans="1:6" x14ac:dyDescent="0.2">
      <c r="A16236" s="29" t="s">
        <v>35984</v>
      </c>
      <c r="B16236" s="30" t="s">
        <v>35985</v>
      </c>
      <c r="C16236" s="29" t="s">
        <v>26</v>
      </c>
      <c r="D16236" s="31">
        <v>656.43</v>
      </c>
      <c r="F16236" s="3" t="str">
        <f t="shared" si="253"/>
        <v>G0477</v>
      </c>
    </row>
    <row r="16237" spans="1:6" x14ac:dyDescent="0.2">
      <c r="A16237" s="29" t="s">
        <v>35986</v>
      </c>
      <c r="B16237" s="30" t="s">
        <v>35987</v>
      </c>
      <c r="C16237" s="29" t="s">
        <v>26</v>
      </c>
      <c r="D16237" s="31">
        <v>857.15</v>
      </c>
      <c r="F16237" s="3" t="str">
        <f t="shared" si="253"/>
        <v>G0478</v>
      </c>
    </row>
    <row r="16238" spans="1:6" x14ac:dyDescent="0.2">
      <c r="A16238" s="29" t="s">
        <v>35988</v>
      </c>
      <c r="B16238" s="30" t="s">
        <v>35989</v>
      </c>
      <c r="C16238" s="29" t="s">
        <v>9</v>
      </c>
      <c r="D16238" s="31">
        <v>5.92</v>
      </c>
      <c r="F16238" s="3" t="str">
        <f t="shared" si="253"/>
        <v>G0842</v>
      </c>
    </row>
    <row r="16239" spans="1:6" x14ac:dyDescent="0.2">
      <c r="A16239" s="29" t="s">
        <v>35990</v>
      </c>
      <c r="B16239" s="30" t="s">
        <v>35991</v>
      </c>
      <c r="C16239" s="29" t="s">
        <v>1284</v>
      </c>
      <c r="D16239" s="31">
        <v>19.100000000000001</v>
      </c>
      <c r="F16239" s="3" t="str">
        <f t="shared" si="253"/>
        <v>G0473</v>
      </c>
    </row>
    <row r="16240" spans="1:6" ht="22.5" x14ac:dyDescent="0.2">
      <c r="A16240" s="29" t="s">
        <v>35992</v>
      </c>
      <c r="B16240" s="30" t="s">
        <v>35993</v>
      </c>
      <c r="C16240" s="29" t="s">
        <v>26</v>
      </c>
      <c r="D16240" s="31">
        <v>194.33</v>
      </c>
      <c r="F16240" s="3" t="str">
        <f t="shared" si="253"/>
        <v>G0055</v>
      </c>
    </row>
    <row r="16241" spans="1:6" ht="22.5" x14ac:dyDescent="0.2">
      <c r="A16241" s="29" t="s">
        <v>35994</v>
      </c>
      <c r="B16241" s="30" t="s">
        <v>35995</v>
      </c>
      <c r="C16241" s="29" t="s">
        <v>26</v>
      </c>
      <c r="D16241" s="31">
        <v>218.86</v>
      </c>
      <c r="F16241" s="3" t="str">
        <f t="shared" si="253"/>
        <v>G0056</v>
      </c>
    </row>
    <row r="16242" spans="1:6" ht="22.5" x14ac:dyDescent="0.2">
      <c r="A16242" s="29" t="s">
        <v>35996</v>
      </c>
      <c r="B16242" s="30" t="s">
        <v>35997</v>
      </c>
      <c r="C16242" s="29" t="s">
        <v>26</v>
      </c>
      <c r="D16242" s="31">
        <v>121.47</v>
      </c>
      <c r="F16242" s="3" t="str">
        <f t="shared" si="253"/>
        <v>G0057</v>
      </c>
    </row>
    <row r="16243" spans="1:6" ht="22.5" x14ac:dyDescent="0.2">
      <c r="A16243" s="29" t="s">
        <v>35998</v>
      </c>
      <c r="B16243" s="30" t="s">
        <v>35999</v>
      </c>
      <c r="C16243" s="29" t="s">
        <v>26</v>
      </c>
      <c r="D16243" s="31">
        <v>237.3</v>
      </c>
      <c r="F16243" s="3" t="str">
        <f t="shared" si="253"/>
        <v>G0058</v>
      </c>
    </row>
    <row r="16244" spans="1:6" ht="22.5" x14ac:dyDescent="0.2">
      <c r="A16244" s="29" t="s">
        <v>36000</v>
      </c>
      <c r="B16244" s="30" t="s">
        <v>36001</v>
      </c>
      <c r="C16244" s="29" t="s">
        <v>26</v>
      </c>
      <c r="D16244" s="31">
        <v>123.86</v>
      </c>
      <c r="F16244" s="3" t="str">
        <f t="shared" si="253"/>
        <v>G0059</v>
      </c>
    </row>
    <row r="16245" spans="1:6" ht="22.5" x14ac:dyDescent="0.2">
      <c r="A16245" s="29" t="s">
        <v>36002</v>
      </c>
      <c r="B16245" s="30" t="s">
        <v>36003</v>
      </c>
      <c r="C16245" s="29" t="s">
        <v>26</v>
      </c>
      <c r="D16245" s="31">
        <v>313.77</v>
      </c>
      <c r="F16245" s="3" t="str">
        <f t="shared" si="253"/>
        <v>G0060</v>
      </c>
    </row>
    <row r="16246" spans="1:6" ht="22.5" x14ac:dyDescent="0.2">
      <c r="A16246" s="29" t="s">
        <v>36004</v>
      </c>
      <c r="B16246" s="30" t="s">
        <v>36005</v>
      </c>
      <c r="C16246" s="29" t="s">
        <v>26</v>
      </c>
      <c r="D16246" s="31">
        <v>125.48</v>
      </c>
      <c r="F16246" s="3" t="str">
        <f t="shared" si="253"/>
        <v>G0061</v>
      </c>
    </row>
    <row r="16247" spans="1:6" ht="22.5" x14ac:dyDescent="0.2">
      <c r="A16247" s="29" t="s">
        <v>36006</v>
      </c>
      <c r="B16247" s="30" t="s">
        <v>36007</v>
      </c>
      <c r="C16247" s="29" t="s">
        <v>26</v>
      </c>
      <c r="D16247" s="31">
        <v>177.16</v>
      </c>
      <c r="F16247" s="3" t="str">
        <f t="shared" si="253"/>
        <v>G0826</v>
      </c>
    </row>
    <row r="16248" spans="1:6" ht="22.5" x14ac:dyDescent="0.2">
      <c r="A16248" s="29" t="s">
        <v>36008</v>
      </c>
      <c r="B16248" s="30" t="s">
        <v>36009</v>
      </c>
      <c r="C16248" s="29" t="s">
        <v>26</v>
      </c>
      <c r="D16248" s="31">
        <v>279.79000000000002</v>
      </c>
      <c r="F16248" s="3" t="str">
        <f t="shared" si="253"/>
        <v>G0827</v>
      </c>
    </row>
    <row r="16249" spans="1:6" ht="22.5" x14ac:dyDescent="0.2">
      <c r="A16249" s="29" t="s">
        <v>36010</v>
      </c>
      <c r="B16249" s="30" t="s">
        <v>36011</v>
      </c>
      <c r="C16249" s="29" t="s">
        <v>26</v>
      </c>
      <c r="D16249" s="31">
        <v>156.91999999999999</v>
      </c>
      <c r="F16249" s="3" t="str">
        <f t="shared" si="253"/>
        <v>G0062</v>
      </c>
    </row>
    <row r="16250" spans="1:6" ht="22.5" x14ac:dyDescent="0.2">
      <c r="A16250" s="29" t="s">
        <v>36012</v>
      </c>
      <c r="B16250" s="30" t="s">
        <v>36013</v>
      </c>
      <c r="C16250" s="29" t="s">
        <v>26</v>
      </c>
      <c r="D16250" s="31">
        <v>318.95999999999998</v>
      </c>
      <c r="F16250" s="3" t="str">
        <f t="shared" si="253"/>
        <v>G0063</v>
      </c>
    </row>
    <row r="16251" spans="1:6" ht="22.5" x14ac:dyDescent="0.2">
      <c r="A16251" s="29" t="s">
        <v>36014</v>
      </c>
      <c r="B16251" s="30" t="s">
        <v>36015</v>
      </c>
      <c r="C16251" s="29" t="s">
        <v>26</v>
      </c>
      <c r="D16251" s="31">
        <v>357.63</v>
      </c>
      <c r="F16251" s="3" t="str">
        <f t="shared" si="253"/>
        <v>G0064</v>
      </c>
    </row>
    <row r="16252" spans="1:6" ht="22.5" x14ac:dyDescent="0.2">
      <c r="A16252" s="29" t="s">
        <v>36016</v>
      </c>
      <c r="B16252" s="30" t="s">
        <v>36017</v>
      </c>
      <c r="C16252" s="29" t="s">
        <v>26</v>
      </c>
      <c r="D16252" s="31">
        <v>46.56</v>
      </c>
      <c r="F16252" s="3" t="str">
        <f t="shared" si="253"/>
        <v>G0624</v>
      </c>
    </row>
    <row r="16253" spans="1:6" ht="22.5" x14ac:dyDescent="0.2">
      <c r="A16253" s="29" t="s">
        <v>36018</v>
      </c>
      <c r="B16253" s="30" t="s">
        <v>36017</v>
      </c>
      <c r="C16253" s="29" t="s">
        <v>26</v>
      </c>
      <c r="D16253" s="31">
        <v>46.56</v>
      </c>
      <c r="F16253" s="3" t="str">
        <f t="shared" si="253"/>
        <v>G0800</v>
      </c>
    </row>
    <row r="16254" spans="1:6" ht="22.5" x14ac:dyDescent="0.2">
      <c r="A16254" s="29" t="s">
        <v>36019</v>
      </c>
      <c r="B16254" s="30" t="s">
        <v>36020</v>
      </c>
      <c r="C16254" s="29" t="s">
        <v>26</v>
      </c>
      <c r="D16254" s="31">
        <v>77.680000000000007</v>
      </c>
      <c r="F16254" s="3" t="str">
        <f t="shared" si="253"/>
        <v>G0627</v>
      </c>
    </row>
    <row r="16255" spans="1:6" ht="22.5" x14ac:dyDescent="0.2">
      <c r="A16255" s="29" t="s">
        <v>36021</v>
      </c>
      <c r="B16255" s="30" t="s">
        <v>36020</v>
      </c>
      <c r="C16255" s="29" t="s">
        <v>26</v>
      </c>
      <c r="D16255" s="31">
        <v>77.680000000000007</v>
      </c>
      <c r="F16255" s="3" t="str">
        <f t="shared" si="253"/>
        <v>G0803</v>
      </c>
    </row>
    <row r="16256" spans="1:6" ht="22.5" x14ac:dyDescent="0.2">
      <c r="A16256" s="29" t="s">
        <v>36022</v>
      </c>
      <c r="B16256" s="30" t="s">
        <v>36023</v>
      </c>
      <c r="C16256" s="29" t="s">
        <v>26</v>
      </c>
      <c r="D16256" s="31">
        <v>72.290000000000006</v>
      </c>
      <c r="F16256" s="3" t="str">
        <f t="shared" si="253"/>
        <v>G0626</v>
      </c>
    </row>
    <row r="16257" spans="1:6" ht="22.5" x14ac:dyDescent="0.2">
      <c r="A16257" s="29" t="s">
        <v>36024</v>
      </c>
      <c r="B16257" s="30" t="s">
        <v>36023</v>
      </c>
      <c r="C16257" s="29" t="s">
        <v>26</v>
      </c>
      <c r="D16257" s="31">
        <v>72.290000000000006</v>
      </c>
      <c r="F16257" s="3" t="str">
        <f t="shared" si="253"/>
        <v>G0801</v>
      </c>
    </row>
    <row r="16258" spans="1:6" ht="22.5" x14ac:dyDescent="0.2">
      <c r="A16258" s="29" t="s">
        <v>36025</v>
      </c>
      <c r="B16258" s="30" t="s">
        <v>36026</v>
      </c>
      <c r="C16258" s="29" t="s">
        <v>26</v>
      </c>
      <c r="D16258" s="31">
        <v>61.63</v>
      </c>
      <c r="F16258" s="3" t="str">
        <f t="shared" ref="F16258:F16321" si="254">A16258</f>
        <v>G0625</v>
      </c>
    </row>
    <row r="16259" spans="1:6" ht="22.5" x14ac:dyDescent="0.2">
      <c r="A16259" s="29" t="s">
        <v>36027</v>
      </c>
      <c r="B16259" s="30" t="s">
        <v>36026</v>
      </c>
      <c r="C16259" s="29" t="s">
        <v>26</v>
      </c>
      <c r="D16259" s="31">
        <v>61.63</v>
      </c>
      <c r="F16259" s="3" t="str">
        <f t="shared" si="254"/>
        <v>G0802</v>
      </c>
    </row>
    <row r="16260" spans="1:6" ht="22.5" x14ac:dyDescent="0.2">
      <c r="A16260" s="29" t="s">
        <v>36028</v>
      </c>
      <c r="B16260" s="30" t="s">
        <v>36029</v>
      </c>
      <c r="C16260" s="29" t="s">
        <v>26</v>
      </c>
      <c r="D16260" s="31">
        <v>59.69</v>
      </c>
      <c r="F16260" s="3" t="str">
        <f t="shared" si="254"/>
        <v>G0628</v>
      </c>
    </row>
    <row r="16261" spans="1:6" ht="22.5" x14ac:dyDescent="0.2">
      <c r="A16261" s="29" t="s">
        <v>36030</v>
      </c>
      <c r="B16261" s="30" t="s">
        <v>36029</v>
      </c>
      <c r="C16261" s="29" t="s">
        <v>26</v>
      </c>
      <c r="D16261" s="31">
        <v>59.69</v>
      </c>
      <c r="F16261" s="3" t="str">
        <f t="shared" si="254"/>
        <v>G0804</v>
      </c>
    </row>
    <row r="16262" spans="1:6" x14ac:dyDescent="0.2">
      <c r="A16262" s="29" t="s">
        <v>36031</v>
      </c>
      <c r="B16262" s="30" t="s">
        <v>36032</v>
      </c>
      <c r="C16262" s="29" t="s">
        <v>26</v>
      </c>
      <c r="D16262" s="31">
        <v>151.9</v>
      </c>
      <c r="F16262" s="3" t="str">
        <f t="shared" si="254"/>
        <v>G0486</v>
      </c>
    </row>
    <row r="16263" spans="1:6" x14ac:dyDescent="0.2">
      <c r="A16263" s="29" t="s">
        <v>36033</v>
      </c>
      <c r="B16263" s="30" t="s">
        <v>36034</v>
      </c>
      <c r="C16263" s="29" t="s">
        <v>26</v>
      </c>
      <c r="D16263" s="31">
        <v>292.95</v>
      </c>
      <c r="F16263" s="3" t="str">
        <f t="shared" si="254"/>
        <v>G0487</v>
      </c>
    </row>
    <row r="16264" spans="1:6" x14ac:dyDescent="0.2">
      <c r="A16264" s="29" t="s">
        <v>36035</v>
      </c>
      <c r="B16264" s="30" t="s">
        <v>36036</v>
      </c>
      <c r="C16264" s="29" t="s">
        <v>26</v>
      </c>
      <c r="D16264" s="31">
        <v>3.8</v>
      </c>
      <c r="F16264" s="3" t="str">
        <f t="shared" si="254"/>
        <v>G0481</v>
      </c>
    </row>
    <row r="16265" spans="1:6" x14ac:dyDescent="0.2">
      <c r="A16265" s="29" t="s">
        <v>36037</v>
      </c>
      <c r="B16265" s="30" t="s">
        <v>36038</v>
      </c>
      <c r="C16265" s="29" t="s">
        <v>26</v>
      </c>
      <c r="D16265" s="31">
        <v>6.56</v>
      </c>
      <c r="F16265" s="3" t="str">
        <f t="shared" si="254"/>
        <v>G0482</v>
      </c>
    </row>
    <row r="16266" spans="1:6" x14ac:dyDescent="0.2">
      <c r="A16266" s="29" t="s">
        <v>36039</v>
      </c>
      <c r="B16266" s="30" t="s">
        <v>36040</v>
      </c>
      <c r="C16266" s="29" t="s">
        <v>26</v>
      </c>
      <c r="D16266" s="31">
        <v>10.85</v>
      </c>
      <c r="F16266" s="3" t="str">
        <f t="shared" si="254"/>
        <v>G0483</v>
      </c>
    </row>
    <row r="16267" spans="1:6" x14ac:dyDescent="0.2">
      <c r="A16267" s="29" t="s">
        <v>36041</v>
      </c>
      <c r="B16267" s="30" t="s">
        <v>36042</v>
      </c>
      <c r="C16267" s="29" t="s">
        <v>26</v>
      </c>
      <c r="D16267" s="31">
        <v>41.23</v>
      </c>
      <c r="F16267" s="3" t="str">
        <f t="shared" si="254"/>
        <v>G0484</v>
      </c>
    </row>
    <row r="16268" spans="1:6" x14ac:dyDescent="0.2">
      <c r="A16268" s="29" t="s">
        <v>36043</v>
      </c>
      <c r="B16268" s="30" t="s">
        <v>36044</v>
      </c>
      <c r="C16268" s="29" t="s">
        <v>26</v>
      </c>
      <c r="D16268" s="31">
        <v>87.89</v>
      </c>
      <c r="F16268" s="3" t="str">
        <f t="shared" si="254"/>
        <v>G0485</v>
      </c>
    </row>
    <row r="16269" spans="1:6" ht="22.5" x14ac:dyDescent="0.2">
      <c r="A16269" s="29" t="s">
        <v>36045</v>
      </c>
      <c r="B16269" s="30" t="s">
        <v>36046</v>
      </c>
      <c r="C16269" s="29" t="s">
        <v>26</v>
      </c>
      <c r="D16269" s="31">
        <v>296.31</v>
      </c>
      <c r="F16269" s="3" t="str">
        <f t="shared" si="254"/>
        <v>G0068</v>
      </c>
    </row>
    <row r="16270" spans="1:6" x14ac:dyDescent="0.2">
      <c r="A16270" s="29" t="s">
        <v>36047</v>
      </c>
      <c r="B16270" s="30" t="s">
        <v>36048</v>
      </c>
      <c r="C16270" s="29" t="s">
        <v>26</v>
      </c>
      <c r="D16270" s="31">
        <v>38.69</v>
      </c>
      <c r="F16270" s="3" t="str">
        <f t="shared" si="254"/>
        <v>G0065</v>
      </c>
    </row>
    <row r="16271" spans="1:6" x14ac:dyDescent="0.2">
      <c r="A16271" s="29" t="s">
        <v>36049</v>
      </c>
      <c r="B16271" s="30" t="s">
        <v>36050</v>
      </c>
      <c r="C16271" s="29" t="s">
        <v>26</v>
      </c>
      <c r="D16271" s="31">
        <v>47.87</v>
      </c>
      <c r="F16271" s="3" t="str">
        <f t="shared" si="254"/>
        <v>G0066</v>
      </c>
    </row>
    <row r="16272" spans="1:6" x14ac:dyDescent="0.2">
      <c r="A16272" s="29" t="s">
        <v>36051</v>
      </c>
      <c r="B16272" s="30" t="s">
        <v>36052</v>
      </c>
      <c r="C16272" s="29" t="s">
        <v>26</v>
      </c>
      <c r="D16272" s="31">
        <v>105.75</v>
      </c>
      <c r="F16272" s="3" t="str">
        <f t="shared" si="254"/>
        <v>G0067</v>
      </c>
    </row>
    <row r="16273" spans="1:6" ht="22.5" x14ac:dyDescent="0.2">
      <c r="A16273" s="29" t="s">
        <v>36053</v>
      </c>
      <c r="B16273" s="30" t="s">
        <v>36054</v>
      </c>
      <c r="C16273" s="29" t="s">
        <v>26</v>
      </c>
      <c r="D16273" s="31">
        <v>298.79000000000002</v>
      </c>
      <c r="F16273" s="3" t="str">
        <f t="shared" si="254"/>
        <v>G0072</v>
      </c>
    </row>
    <row r="16274" spans="1:6" x14ac:dyDescent="0.2">
      <c r="A16274" s="29" t="s">
        <v>36055</v>
      </c>
      <c r="B16274" s="30" t="s">
        <v>36056</v>
      </c>
      <c r="C16274" s="29" t="s">
        <v>26</v>
      </c>
      <c r="D16274" s="31">
        <v>48.28</v>
      </c>
      <c r="F16274" s="3" t="str">
        <f t="shared" si="254"/>
        <v>G0069</v>
      </c>
    </row>
    <row r="16275" spans="1:6" x14ac:dyDescent="0.2">
      <c r="A16275" s="29" t="s">
        <v>36057</v>
      </c>
      <c r="B16275" s="30" t="s">
        <v>36058</v>
      </c>
      <c r="C16275" s="29" t="s">
        <v>26</v>
      </c>
      <c r="D16275" s="31">
        <v>116.18</v>
      </c>
      <c r="F16275" s="3" t="str">
        <f t="shared" si="254"/>
        <v>G0070</v>
      </c>
    </row>
    <row r="16276" spans="1:6" x14ac:dyDescent="0.2">
      <c r="A16276" s="29" t="s">
        <v>36059</v>
      </c>
      <c r="B16276" s="30" t="s">
        <v>36060</v>
      </c>
      <c r="C16276" s="29" t="s">
        <v>26</v>
      </c>
      <c r="D16276" s="31">
        <v>109.42</v>
      </c>
      <c r="F16276" s="3" t="str">
        <f t="shared" si="254"/>
        <v>G0071</v>
      </c>
    </row>
    <row r="16277" spans="1:6" ht="33.75" x14ac:dyDescent="0.2">
      <c r="A16277" s="29" t="s">
        <v>36061</v>
      </c>
      <c r="B16277" s="30" t="s">
        <v>36062</v>
      </c>
      <c r="C16277" s="29" t="s">
        <v>26</v>
      </c>
      <c r="D16277" s="31">
        <v>37.520000000000003</v>
      </c>
      <c r="F16277" s="3" t="str">
        <f t="shared" si="254"/>
        <v>G0724</v>
      </c>
    </row>
    <row r="16278" spans="1:6" ht="33.75" x14ac:dyDescent="0.2">
      <c r="A16278" s="29" t="s">
        <v>36063</v>
      </c>
      <c r="B16278" s="30" t="s">
        <v>36064</v>
      </c>
      <c r="C16278" s="29" t="s">
        <v>26</v>
      </c>
      <c r="D16278" s="31">
        <v>27.05</v>
      </c>
      <c r="F16278" s="3" t="str">
        <f t="shared" si="254"/>
        <v>G0723</v>
      </c>
    </row>
    <row r="16279" spans="1:6" ht="33.75" x14ac:dyDescent="0.2">
      <c r="A16279" s="29" t="s">
        <v>36065</v>
      </c>
      <c r="B16279" s="30" t="s">
        <v>36066</v>
      </c>
      <c r="C16279" s="29" t="s">
        <v>26</v>
      </c>
      <c r="D16279" s="31">
        <v>7.62</v>
      </c>
      <c r="F16279" s="3" t="str">
        <f t="shared" si="254"/>
        <v>G0721</v>
      </c>
    </row>
    <row r="16280" spans="1:6" ht="33.75" x14ac:dyDescent="0.2">
      <c r="A16280" s="29" t="s">
        <v>36067</v>
      </c>
      <c r="B16280" s="30" t="s">
        <v>36068</v>
      </c>
      <c r="C16280" s="29" t="s">
        <v>26</v>
      </c>
      <c r="D16280" s="31">
        <v>7.58</v>
      </c>
      <c r="F16280" s="3" t="str">
        <f t="shared" si="254"/>
        <v>G0720</v>
      </c>
    </row>
    <row r="16281" spans="1:6" ht="33.75" x14ac:dyDescent="0.2">
      <c r="A16281" s="29" t="s">
        <v>36069</v>
      </c>
      <c r="B16281" s="30" t="s">
        <v>36070</v>
      </c>
      <c r="C16281" s="29" t="s">
        <v>26</v>
      </c>
      <c r="D16281" s="31">
        <v>11.9</v>
      </c>
      <c r="F16281" s="3" t="str">
        <f t="shared" si="254"/>
        <v>G0722</v>
      </c>
    </row>
    <row r="16282" spans="1:6" ht="22.5" x14ac:dyDescent="0.2">
      <c r="A16282" s="29" t="s">
        <v>36071</v>
      </c>
      <c r="B16282" s="30" t="s">
        <v>36072</v>
      </c>
      <c r="C16282" s="29" t="s">
        <v>26</v>
      </c>
      <c r="D16282" s="31">
        <v>167.63</v>
      </c>
      <c r="F16282" s="3" t="str">
        <f t="shared" si="254"/>
        <v>G0614</v>
      </c>
    </row>
    <row r="16283" spans="1:6" ht="22.5" x14ac:dyDescent="0.2">
      <c r="A16283" s="29" t="s">
        <v>36073</v>
      </c>
      <c r="B16283" s="30" t="s">
        <v>36072</v>
      </c>
      <c r="C16283" s="29" t="s">
        <v>26</v>
      </c>
      <c r="D16283" s="31">
        <v>167.63</v>
      </c>
      <c r="F16283" s="3" t="str">
        <f t="shared" si="254"/>
        <v>G0789</v>
      </c>
    </row>
    <row r="16284" spans="1:6" ht="22.5" x14ac:dyDescent="0.2">
      <c r="A16284" s="29" t="s">
        <v>36074</v>
      </c>
      <c r="B16284" s="30" t="s">
        <v>36075</v>
      </c>
      <c r="C16284" s="29" t="s">
        <v>26</v>
      </c>
      <c r="D16284" s="31">
        <v>89.95</v>
      </c>
      <c r="F16284" s="3" t="str">
        <f t="shared" si="254"/>
        <v>G0612</v>
      </c>
    </row>
    <row r="16285" spans="1:6" ht="22.5" x14ac:dyDescent="0.2">
      <c r="A16285" s="29" t="s">
        <v>36076</v>
      </c>
      <c r="B16285" s="30" t="s">
        <v>36075</v>
      </c>
      <c r="C16285" s="29" t="s">
        <v>26</v>
      </c>
      <c r="D16285" s="31">
        <v>89.95</v>
      </c>
      <c r="F16285" s="3" t="str">
        <f t="shared" si="254"/>
        <v>G0788</v>
      </c>
    </row>
    <row r="16286" spans="1:6" ht="22.5" x14ac:dyDescent="0.2">
      <c r="A16286" s="29" t="s">
        <v>36077</v>
      </c>
      <c r="B16286" s="30" t="s">
        <v>36078</v>
      </c>
      <c r="C16286" s="29" t="s">
        <v>26</v>
      </c>
      <c r="D16286" s="31">
        <v>152.43</v>
      </c>
      <c r="F16286" s="3" t="str">
        <f t="shared" si="254"/>
        <v>G0615</v>
      </c>
    </row>
    <row r="16287" spans="1:6" ht="22.5" x14ac:dyDescent="0.2">
      <c r="A16287" s="29" t="s">
        <v>36079</v>
      </c>
      <c r="B16287" s="30" t="s">
        <v>36078</v>
      </c>
      <c r="C16287" s="29" t="s">
        <v>26</v>
      </c>
      <c r="D16287" s="31">
        <v>152.43</v>
      </c>
      <c r="F16287" s="3" t="str">
        <f t="shared" si="254"/>
        <v>G0792</v>
      </c>
    </row>
    <row r="16288" spans="1:6" ht="22.5" x14ac:dyDescent="0.2">
      <c r="A16288" s="29" t="s">
        <v>36080</v>
      </c>
      <c r="B16288" s="30" t="s">
        <v>36081</v>
      </c>
      <c r="C16288" s="29" t="s">
        <v>26</v>
      </c>
      <c r="D16288" s="31">
        <v>106.77</v>
      </c>
      <c r="F16288" s="3" t="str">
        <f t="shared" si="254"/>
        <v>G0613</v>
      </c>
    </row>
    <row r="16289" spans="1:6" ht="22.5" x14ac:dyDescent="0.2">
      <c r="A16289" s="29" t="s">
        <v>36082</v>
      </c>
      <c r="B16289" s="30" t="s">
        <v>36081</v>
      </c>
      <c r="C16289" s="29" t="s">
        <v>26</v>
      </c>
      <c r="D16289" s="31">
        <v>106.77</v>
      </c>
      <c r="F16289" s="3" t="str">
        <f t="shared" si="254"/>
        <v>G0791</v>
      </c>
    </row>
    <row r="16290" spans="1:6" ht="22.5" x14ac:dyDescent="0.2">
      <c r="A16290" s="29" t="s">
        <v>36083</v>
      </c>
      <c r="B16290" s="30" t="s">
        <v>36084</v>
      </c>
      <c r="C16290" s="29" t="s">
        <v>26</v>
      </c>
      <c r="D16290" s="31">
        <v>110.59</v>
      </c>
      <c r="F16290" s="3" t="str">
        <f t="shared" si="254"/>
        <v>G0616</v>
      </c>
    </row>
    <row r="16291" spans="1:6" ht="22.5" x14ac:dyDescent="0.2">
      <c r="A16291" s="29" t="s">
        <v>36085</v>
      </c>
      <c r="B16291" s="30" t="s">
        <v>36084</v>
      </c>
      <c r="C16291" s="29" t="s">
        <v>26</v>
      </c>
      <c r="D16291" s="31">
        <v>110.59</v>
      </c>
      <c r="F16291" s="3" t="str">
        <f t="shared" si="254"/>
        <v>G0790</v>
      </c>
    </row>
    <row r="16292" spans="1:6" ht="22.5" x14ac:dyDescent="0.2">
      <c r="A16292" s="29" t="s">
        <v>36086</v>
      </c>
      <c r="B16292" s="30" t="s">
        <v>36087</v>
      </c>
      <c r="C16292" s="29" t="s">
        <v>26</v>
      </c>
      <c r="D16292" s="31">
        <v>125.66</v>
      </c>
      <c r="F16292" s="3" t="str">
        <f t="shared" si="254"/>
        <v>G0617</v>
      </c>
    </row>
    <row r="16293" spans="1:6" ht="22.5" x14ac:dyDescent="0.2">
      <c r="A16293" s="29" t="s">
        <v>36088</v>
      </c>
      <c r="B16293" s="30" t="s">
        <v>36087</v>
      </c>
      <c r="C16293" s="29" t="s">
        <v>26</v>
      </c>
      <c r="D16293" s="31">
        <v>125.66</v>
      </c>
      <c r="F16293" s="3" t="str">
        <f t="shared" si="254"/>
        <v>G0793</v>
      </c>
    </row>
    <row r="16294" spans="1:6" x14ac:dyDescent="0.2">
      <c r="A16294" s="29" t="s">
        <v>36089</v>
      </c>
      <c r="B16294" s="30" t="s">
        <v>36090</v>
      </c>
      <c r="C16294" s="29" t="s">
        <v>26</v>
      </c>
      <c r="D16294" s="31">
        <v>39.65</v>
      </c>
      <c r="F16294" s="3" t="str">
        <f t="shared" si="254"/>
        <v>G0073</v>
      </c>
    </row>
    <row r="16295" spans="1:6" x14ac:dyDescent="0.2">
      <c r="A16295" s="29" t="s">
        <v>36091</v>
      </c>
      <c r="B16295" s="30" t="s">
        <v>36092</v>
      </c>
      <c r="C16295" s="29" t="s">
        <v>26</v>
      </c>
      <c r="D16295" s="31">
        <v>227.45</v>
      </c>
      <c r="F16295" s="3" t="str">
        <f t="shared" si="254"/>
        <v>G0074</v>
      </c>
    </row>
    <row r="16296" spans="1:6" x14ac:dyDescent="0.2">
      <c r="A16296" s="29" t="s">
        <v>36093</v>
      </c>
      <c r="B16296" s="30" t="s">
        <v>36094</v>
      </c>
      <c r="C16296" s="29" t="s">
        <v>26</v>
      </c>
      <c r="D16296" s="31">
        <v>356.66</v>
      </c>
      <c r="F16296" s="3" t="str">
        <f t="shared" si="254"/>
        <v>G0075</v>
      </c>
    </row>
    <row r="16297" spans="1:6" x14ac:dyDescent="0.2">
      <c r="A16297" s="29" t="s">
        <v>36095</v>
      </c>
      <c r="B16297" s="30" t="s">
        <v>36096</v>
      </c>
      <c r="C16297" s="29" t="s">
        <v>26</v>
      </c>
      <c r="D16297" s="31">
        <v>741.26</v>
      </c>
      <c r="F16297" s="3" t="str">
        <f t="shared" si="254"/>
        <v>G0076</v>
      </c>
    </row>
    <row r="16298" spans="1:6" x14ac:dyDescent="0.2">
      <c r="A16298" s="29" t="s">
        <v>36097</v>
      </c>
      <c r="B16298" s="30" t="s">
        <v>36098</v>
      </c>
      <c r="C16298" s="29" t="s">
        <v>26</v>
      </c>
      <c r="D16298" s="31">
        <v>1087.05</v>
      </c>
      <c r="F16298" s="3" t="str">
        <f t="shared" si="254"/>
        <v>G0077</v>
      </c>
    </row>
    <row r="16299" spans="1:6" x14ac:dyDescent="0.2">
      <c r="A16299" s="29" t="s">
        <v>36099</v>
      </c>
      <c r="B16299" s="30" t="s">
        <v>36100</v>
      </c>
      <c r="C16299" s="29" t="s">
        <v>26</v>
      </c>
      <c r="D16299" s="31">
        <v>1525.4</v>
      </c>
      <c r="F16299" s="3" t="str">
        <f t="shared" si="254"/>
        <v>G0078</v>
      </c>
    </row>
    <row r="16300" spans="1:6" x14ac:dyDescent="0.2">
      <c r="A16300" s="29" t="s">
        <v>36101</v>
      </c>
      <c r="B16300" s="30" t="s">
        <v>36102</v>
      </c>
      <c r="C16300" s="29" t="s">
        <v>26</v>
      </c>
      <c r="D16300" s="31">
        <v>2267.9</v>
      </c>
      <c r="F16300" s="3" t="str">
        <f t="shared" si="254"/>
        <v>G0079</v>
      </c>
    </row>
    <row r="16301" spans="1:6" x14ac:dyDescent="0.2">
      <c r="A16301" s="29" t="s">
        <v>36103</v>
      </c>
      <c r="B16301" s="30" t="s">
        <v>36104</v>
      </c>
      <c r="C16301" s="29" t="s">
        <v>26</v>
      </c>
      <c r="D16301" s="31">
        <v>1087.05</v>
      </c>
      <c r="F16301" s="3" t="str">
        <f t="shared" si="254"/>
        <v>G0080</v>
      </c>
    </row>
    <row r="16302" spans="1:6" x14ac:dyDescent="0.2">
      <c r="A16302" s="29" t="s">
        <v>36105</v>
      </c>
      <c r="B16302" s="30" t="s">
        <v>36106</v>
      </c>
      <c r="C16302" s="29" t="s">
        <v>26</v>
      </c>
      <c r="D16302" s="31">
        <v>1525.4</v>
      </c>
      <c r="F16302" s="3" t="str">
        <f t="shared" si="254"/>
        <v>G0081</v>
      </c>
    </row>
    <row r="16303" spans="1:6" x14ac:dyDescent="0.2">
      <c r="A16303" s="29" t="s">
        <v>36107</v>
      </c>
      <c r="B16303" s="30" t="s">
        <v>36108</v>
      </c>
      <c r="C16303" s="29" t="s">
        <v>26</v>
      </c>
      <c r="D16303" s="31">
        <v>2267.9</v>
      </c>
      <c r="F16303" s="3" t="str">
        <f t="shared" si="254"/>
        <v>G0082</v>
      </c>
    </row>
    <row r="16304" spans="1:6" x14ac:dyDescent="0.2">
      <c r="A16304" s="29" t="s">
        <v>36109</v>
      </c>
      <c r="B16304" s="30" t="s">
        <v>36110</v>
      </c>
      <c r="C16304" s="29" t="s">
        <v>26</v>
      </c>
      <c r="D16304" s="31">
        <v>45.62</v>
      </c>
      <c r="F16304" s="3" t="str">
        <f t="shared" si="254"/>
        <v>G0084</v>
      </c>
    </row>
    <row r="16305" spans="1:6" x14ac:dyDescent="0.2">
      <c r="A16305" s="29" t="s">
        <v>36111</v>
      </c>
      <c r="B16305" s="30" t="s">
        <v>36112</v>
      </c>
      <c r="C16305" s="29" t="s">
        <v>26</v>
      </c>
      <c r="D16305" s="31">
        <v>83.01</v>
      </c>
      <c r="F16305" s="3" t="str">
        <f t="shared" si="254"/>
        <v>G0085</v>
      </c>
    </row>
    <row r="16306" spans="1:6" x14ac:dyDescent="0.2">
      <c r="A16306" s="29" t="s">
        <v>36113</v>
      </c>
      <c r="B16306" s="30" t="s">
        <v>36114</v>
      </c>
      <c r="C16306" s="29" t="s">
        <v>26</v>
      </c>
      <c r="D16306" s="31">
        <v>204.66</v>
      </c>
      <c r="F16306" s="3" t="str">
        <f t="shared" si="254"/>
        <v>G0086</v>
      </c>
    </row>
    <row r="16307" spans="1:6" x14ac:dyDescent="0.2">
      <c r="A16307" s="29" t="s">
        <v>36115</v>
      </c>
      <c r="B16307" s="30" t="s">
        <v>36116</v>
      </c>
      <c r="C16307" s="29" t="s">
        <v>26</v>
      </c>
      <c r="D16307" s="31">
        <v>386.73</v>
      </c>
      <c r="F16307" s="3" t="str">
        <f t="shared" si="254"/>
        <v>G0087</v>
      </c>
    </row>
    <row r="16308" spans="1:6" x14ac:dyDescent="0.2">
      <c r="A16308" s="29" t="s">
        <v>36117</v>
      </c>
      <c r="B16308" s="30" t="s">
        <v>36118</v>
      </c>
      <c r="C16308" s="29" t="s">
        <v>26</v>
      </c>
      <c r="D16308" s="31">
        <v>743.12</v>
      </c>
      <c r="F16308" s="3" t="str">
        <f t="shared" si="254"/>
        <v>G0088</v>
      </c>
    </row>
    <row r="16309" spans="1:6" x14ac:dyDescent="0.2">
      <c r="A16309" s="29" t="s">
        <v>36119</v>
      </c>
      <c r="B16309" s="30" t="s">
        <v>36120</v>
      </c>
      <c r="C16309" s="29" t="s">
        <v>26</v>
      </c>
      <c r="D16309" s="31">
        <v>888.86</v>
      </c>
      <c r="F16309" s="3" t="str">
        <f t="shared" si="254"/>
        <v>G0089</v>
      </c>
    </row>
    <row r="16310" spans="1:6" x14ac:dyDescent="0.2">
      <c r="A16310" s="29" t="s">
        <v>36121</v>
      </c>
      <c r="B16310" s="30" t="s">
        <v>36122</v>
      </c>
      <c r="C16310" s="29" t="s">
        <v>26</v>
      </c>
      <c r="D16310" s="31">
        <v>16.47</v>
      </c>
      <c r="F16310" s="3" t="str">
        <f t="shared" si="254"/>
        <v>G0090</v>
      </c>
    </row>
    <row r="16311" spans="1:6" x14ac:dyDescent="0.2">
      <c r="A16311" s="29" t="s">
        <v>36123</v>
      </c>
      <c r="B16311" s="30" t="s">
        <v>36124</v>
      </c>
      <c r="C16311" s="29" t="s">
        <v>26</v>
      </c>
      <c r="D16311" s="31">
        <v>44.41</v>
      </c>
      <c r="F16311" s="3" t="str">
        <f t="shared" si="254"/>
        <v>G0091</v>
      </c>
    </row>
    <row r="16312" spans="1:6" x14ac:dyDescent="0.2">
      <c r="A16312" s="29" t="s">
        <v>36125</v>
      </c>
      <c r="B16312" s="30" t="s">
        <v>36126</v>
      </c>
      <c r="C16312" s="29" t="s">
        <v>26</v>
      </c>
      <c r="D16312" s="31">
        <v>79.88</v>
      </c>
      <c r="F16312" s="3" t="str">
        <f t="shared" si="254"/>
        <v>G0092</v>
      </c>
    </row>
    <row r="16313" spans="1:6" x14ac:dyDescent="0.2">
      <c r="A16313" s="29" t="s">
        <v>36127</v>
      </c>
      <c r="B16313" s="30" t="s">
        <v>36128</v>
      </c>
      <c r="C16313" s="29" t="s">
        <v>26</v>
      </c>
      <c r="D16313" s="31">
        <v>190.18</v>
      </c>
      <c r="F16313" s="3" t="str">
        <f t="shared" si="254"/>
        <v>G0093</v>
      </c>
    </row>
    <row r="16314" spans="1:6" x14ac:dyDescent="0.2">
      <c r="A16314" s="29" t="s">
        <v>36129</v>
      </c>
      <c r="B16314" s="30" t="s">
        <v>36130</v>
      </c>
      <c r="C16314" s="29" t="s">
        <v>26</v>
      </c>
      <c r="D16314" s="31">
        <v>366.72</v>
      </c>
      <c r="F16314" s="3" t="str">
        <f t="shared" si="254"/>
        <v>G0094</v>
      </c>
    </row>
    <row r="16315" spans="1:6" x14ac:dyDescent="0.2">
      <c r="A16315" s="29" t="s">
        <v>36131</v>
      </c>
      <c r="B16315" s="30" t="s">
        <v>36132</v>
      </c>
      <c r="C16315" s="29" t="s">
        <v>26</v>
      </c>
      <c r="D16315" s="31">
        <v>688.29</v>
      </c>
      <c r="F16315" s="3" t="str">
        <f t="shared" si="254"/>
        <v>G0095</v>
      </c>
    </row>
    <row r="16316" spans="1:6" x14ac:dyDescent="0.2">
      <c r="A16316" s="29" t="s">
        <v>36133</v>
      </c>
      <c r="B16316" s="30" t="s">
        <v>36134</v>
      </c>
      <c r="C16316" s="29" t="s">
        <v>26</v>
      </c>
      <c r="D16316" s="31">
        <v>1177.27</v>
      </c>
      <c r="F16316" s="3" t="str">
        <f t="shared" si="254"/>
        <v>G0096</v>
      </c>
    </row>
    <row r="16317" spans="1:6" x14ac:dyDescent="0.2">
      <c r="A16317" s="29" t="s">
        <v>36135</v>
      </c>
      <c r="B16317" s="30" t="s">
        <v>36136</v>
      </c>
      <c r="C16317" s="29" t="s">
        <v>26</v>
      </c>
      <c r="D16317" s="31">
        <v>79.31</v>
      </c>
      <c r="F16317" s="3" t="str">
        <f t="shared" si="254"/>
        <v>G0098</v>
      </c>
    </row>
    <row r="16318" spans="1:6" x14ac:dyDescent="0.2">
      <c r="A16318" s="29" t="s">
        <v>36137</v>
      </c>
      <c r="B16318" s="30" t="s">
        <v>36138</v>
      </c>
      <c r="C16318" s="29" t="s">
        <v>26</v>
      </c>
      <c r="D16318" s="31">
        <v>454.92</v>
      </c>
      <c r="F16318" s="3" t="str">
        <f t="shared" si="254"/>
        <v>G0099</v>
      </c>
    </row>
    <row r="16319" spans="1:6" x14ac:dyDescent="0.2">
      <c r="A16319" s="29" t="s">
        <v>36139</v>
      </c>
      <c r="B16319" s="30" t="s">
        <v>36140</v>
      </c>
      <c r="C16319" s="29" t="s">
        <v>26</v>
      </c>
      <c r="D16319" s="31">
        <v>713.33</v>
      </c>
      <c r="F16319" s="3" t="str">
        <f t="shared" si="254"/>
        <v>G0100</v>
      </c>
    </row>
    <row r="16320" spans="1:6" x14ac:dyDescent="0.2">
      <c r="A16320" s="29" t="s">
        <v>36141</v>
      </c>
      <c r="B16320" s="30" t="s">
        <v>36142</v>
      </c>
      <c r="C16320" s="29" t="s">
        <v>26</v>
      </c>
      <c r="D16320" s="31">
        <v>1482.54</v>
      </c>
      <c r="F16320" s="3" t="str">
        <f t="shared" si="254"/>
        <v>G0101</v>
      </c>
    </row>
    <row r="16321" spans="1:6" x14ac:dyDescent="0.2">
      <c r="A16321" s="29" t="s">
        <v>36143</v>
      </c>
      <c r="B16321" s="30" t="s">
        <v>36144</v>
      </c>
      <c r="C16321" s="29" t="s">
        <v>26</v>
      </c>
      <c r="D16321" s="31">
        <v>2174.11</v>
      </c>
      <c r="F16321" s="3" t="str">
        <f t="shared" si="254"/>
        <v>G0102</v>
      </c>
    </row>
    <row r="16322" spans="1:6" x14ac:dyDescent="0.2">
      <c r="A16322" s="29" t="s">
        <v>36145</v>
      </c>
      <c r="B16322" s="30" t="s">
        <v>36146</v>
      </c>
      <c r="C16322" s="29" t="s">
        <v>26</v>
      </c>
      <c r="D16322" s="31">
        <v>3050.8</v>
      </c>
      <c r="F16322" s="3" t="str">
        <f t="shared" ref="F16322:F16385" si="255">A16322</f>
        <v>G0103</v>
      </c>
    </row>
    <row r="16323" spans="1:6" x14ac:dyDescent="0.2">
      <c r="A16323" s="29" t="s">
        <v>36147</v>
      </c>
      <c r="B16323" s="30" t="s">
        <v>36148</v>
      </c>
      <c r="C16323" s="29" t="s">
        <v>26</v>
      </c>
      <c r="D16323" s="31">
        <v>4535.82</v>
      </c>
      <c r="F16323" s="3" t="str">
        <f t="shared" si="255"/>
        <v>G0104</v>
      </c>
    </row>
    <row r="16324" spans="1:6" ht="22.5" x14ac:dyDescent="0.2">
      <c r="A16324" s="29" t="s">
        <v>36149</v>
      </c>
      <c r="B16324" s="30" t="s">
        <v>36150</v>
      </c>
      <c r="C16324" s="29" t="s">
        <v>26</v>
      </c>
      <c r="D16324" s="31">
        <v>2174.11</v>
      </c>
      <c r="F16324" s="3" t="str">
        <f t="shared" si="255"/>
        <v>G0097</v>
      </c>
    </row>
    <row r="16325" spans="1:6" x14ac:dyDescent="0.2">
      <c r="A16325" s="29" t="s">
        <v>36151</v>
      </c>
      <c r="B16325" s="30" t="s">
        <v>36152</v>
      </c>
      <c r="C16325" s="29" t="s">
        <v>26</v>
      </c>
      <c r="D16325" s="31">
        <v>9.07</v>
      </c>
      <c r="F16325" s="3" t="str">
        <f t="shared" si="255"/>
        <v>G0105</v>
      </c>
    </row>
    <row r="16326" spans="1:6" x14ac:dyDescent="0.2">
      <c r="A16326" s="29" t="s">
        <v>36153</v>
      </c>
      <c r="B16326" s="30" t="s">
        <v>36154</v>
      </c>
      <c r="C16326" s="29" t="s">
        <v>26</v>
      </c>
      <c r="D16326" s="31">
        <v>15.07</v>
      </c>
      <c r="F16326" s="3" t="str">
        <f t="shared" si="255"/>
        <v>G0107</v>
      </c>
    </row>
    <row r="16327" spans="1:6" x14ac:dyDescent="0.2">
      <c r="A16327" s="29" t="s">
        <v>36155</v>
      </c>
      <c r="B16327" s="30" t="s">
        <v>36156</v>
      </c>
      <c r="C16327" s="29" t="s">
        <v>26</v>
      </c>
      <c r="D16327" s="31">
        <v>67.87</v>
      </c>
      <c r="F16327" s="3" t="str">
        <f t="shared" si="255"/>
        <v>G0108</v>
      </c>
    </row>
    <row r="16328" spans="1:6" x14ac:dyDescent="0.2">
      <c r="A16328" s="29" t="s">
        <v>36157</v>
      </c>
      <c r="B16328" s="30" t="s">
        <v>36158</v>
      </c>
      <c r="C16328" s="29" t="s">
        <v>26</v>
      </c>
      <c r="D16328" s="31">
        <v>120.38</v>
      </c>
      <c r="F16328" s="3" t="str">
        <f t="shared" si="255"/>
        <v>G0109</v>
      </c>
    </row>
    <row r="16329" spans="1:6" x14ac:dyDescent="0.2">
      <c r="A16329" s="29" t="s">
        <v>36159</v>
      </c>
      <c r="B16329" s="30" t="s">
        <v>36160</v>
      </c>
      <c r="C16329" s="29" t="s">
        <v>26</v>
      </c>
      <c r="D16329" s="31">
        <v>310.72000000000003</v>
      </c>
      <c r="F16329" s="3" t="str">
        <f t="shared" si="255"/>
        <v>G0110</v>
      </c>
    </row>
    <row r="16330" spans="1:6" x14ac:dyDescent="0.2">
      <c r="A16330" s="29" t="s">
        <v>36161</v>
      </c>
      <c r="B16330" s="30" t="s">
        <v>36162</v>
      </c>
      <c r="C16330" s="29" t="s">
        <v>26</v>
      </c>
      <c r="D16330" s="31">
        <v>544.67999999999995</v>
      </c>
      <c r="F16330" s="3" t="str">
        <f t="shared" si="255"/>
        <v>G0111</v>
      </c>
    </row>
    <row r="16331" spans="1:6" x14ac:dyDescent="0.2">
      <c r="A16331" s="29" t="s">
        <v>36163</v>
      </c>
      <c r="B16331" s="30" t="s">
        <v>36164</v>
      </c>
      <c r="C16331" s="29" t="s">
        <v>26</v>
      </c>
      <c r="D16331" s="31">
        <v>16.95</v>
      </c>
      <c r="F16331" s="3" t="str">
        <f t="shared" si="255"/>
        <v>G0106</v>
      </c>
    </row>
    <row r="16332" spans="1:6" x14ac:dyDescent="0.2">
      <c r="A16332" s="29" t="s">
        <v>36165</v>
      </c>
      <c r="B16332" s="30" t="s">
        <v>36166</v>
      </c>
      <c r="C16332" s="29" t="s">
        <v>26</v>
      </c>
      <c r="D16332" s="31">
        <v>536.54999999999995</v>
      </c>
      <c r="F16332" s="3" t="str">
        <f t="shared" si="255"/>
        <v>G0112</v>
      </c>
    </row>
    <row r="16333" spans="1:6" x14ac:dyDescent="0.2">
      <c r="A16333" s="29" t="s">
        <v>36167</v>
      </c>
      <c r="B16333" s="30" t="s">
        <v>36168</v>
      </c>
      <c r="C16333" s="29" t="s">
        <v>26</v>
      </c>
      <c r="D16333" s="31">
        <v>1004.11</v>
      </c>
      <c r="F16333" s="3" t="str">
        <f t="shared" si="255"/>
        <v>G0113</v>
      </c>
    </row>
    <row r="16334" spans="1:6" x14ac:dyDescent="0.2">
      <c r="A16334" s="29" t="s">
        <v>36169</v>
      </c>
      <c r="B16334" s="30" t="s">
        <v>36170</v>
      </c>
      <c r="C16334" s="29" t="s">
        <v>26</v>
      </c>
      <c r="D16334" s="31">
        <v>10.17</v>
      </c>
      <c r="F16334" s="3" t="str">
        <f t="shared" si="255"/>
        <v>G0114</v>
      </c>
    </row>
    <row r="16335" spans="1:6" x14ac:dyDescent="0.2">
      <c r="A16335" s="29" t="s">
        <v>36171</v>
      </c>
      <c r="B16335" s="30" t="s">
        <v>36172</v>
      </c>
      <c r="C16335" s="29" t="s">
        <v>26</v>
      </c>
      <c r="D16335" s="31">
        <v>25.1</v>
      </c>
      <c r="F16335" s="3" t="str">
        <f t="shared" si="255"/>
        <v>G0116</v>
      </c>
    </row>
    <row r="16336" spans="1:6" x14ac:dyDescent="0.2">
      <c r="A16336" s="29" t="s">
        <v>36173</v>
      </c>
      <c r="B16336" s="30" t="s">
        <v>36174</v>
      </c>
      <c r="C16336" s="29" t="s">
        <v>26</v>
      </c>
      <c r="D16336" s="31">
        <v>70.760000000000005</v>
      </c>
      <c r="F16336" s="3" t="str">
        <f t="shared" si="255"/>
        <v>G0117</v>
      </c>
    </row>
    <row r="16337" spans="1:6" x14ac:dyDescent="0.2">
      <c r="A16337" s="29" t="s">
        <v>36175</v>
      </c>
      <c r="B16337" s="30" t="s">
        <v>36176</v>
      </c>
      <c r="C16337" s="29" t="s">
        <v>26</v>
      </c>
      <c r="D16337" s="31">
        <v>126.9</v>
      </c>
      <c r="F16337" s="3" t="str">
        <f t="shared" si="255"/>
        <v>G0118</v>
      </c>
    </row>
    <row r="16338" spans="1:6" x14ac:dyDescent="0.2">
      <c r="A16338" s="29" t="s">
        <v>36177</v>
      </c>
      <c r="B16338" s="30" t="s">
        <v>36178</v>
      </c>
      <c r="C16338" s="29" t="s">
        <v>26</v>
      </c>
      <c r="D16338" s="31">
        <v>302.91000000000003</v>
      </c>
      <c r="F16338" s="3" t="str">
        <f t="shared" si="255"/>
        <v>G0119</v>
      </c>
    </row>
    <row r="16339" spans="1:6" x14ac:dyDescent="0.2">
      <c r="A16339" s="29" t="s">
        <v>36179</v>
      </c>
      <c r="B16339" s="30" t="s">
        <v>36180</v>
      </c>
      <c r="C16339" s="29" t="s">
        <v>26</v>
      </c>
      <c r="D16339" s="31">
        <v>604.41999999999996</v>
      </c>
      <c r="F16339" s="3" t="str">
        <f t="shared" si="255"/>
        <v>G0120</v>
      </c>
    </row>
    <row r="16340" spans="1:6" x14ac:dyDescent="0.2">
      <c r="A16340" s="29" t="s">
        <v>36181</v>
      </c>
      <c r="B16340" s="30" t="s">
        <v>36182</v>
      </c>
      <c r="C16340" s="29" t="s">
        <v>26</v>
      </c>
      <c r="D16340" s="31">
        <v>1134.8800000000001</v>
      </c>
      <c r="F16340" s="3" t="str">
        <f t="shared" si="255"/>
        <v>G0121</v>
      </c>
    </row>
    <row r="16341" spans="1:6" x14ac:dyDescent="0.2">
      <c r="A16341" s="29" t="s">
        <v>36183</v>
      </c>
      <c r="B16341" s="30" t="s">
        <v>36184</v>
      </c>
      <c r="C16341" s="29" t="s">
        <v>26</v>
      </c>
      <c r="D16341" s="31">
        <v>1415.72</v>
      </c>
      <c r="F16341" s="3" t="str">
        <f t="shared" si="255"/>
        <v>G0122</v>
      </c>
    </row>
    <row r="16342" spans="1:6" ht="22.5" x14ac:dyDescent="0.2">
      <c r="A16342" s="29" t="s">
        <v>36185</v>
      </c>
      <c r="B16342" s="30" t="s">
        <v>36186</v>
      </c>
      <c r="C16342" s="29" t="s">
        <v>26</v>
      </c>
      <c r="D16342" s="31">
        <v>3050.8</v>
      </c>
      <c r="F16342" s="3" t="str">
        <f t="shared" si="255"/>
        <v>G0123</v>
      </c>
    </row>
    <row r="16343" spans="1:6" ht="22.5" x14ac:dyDescent="0.2">
      <c r="A16343" s="29" t="s">
        <v>36187</v>
      </c>
      <c r="B16343" s="30" t="s">
        <v>36188</v>
      </c>
      <c r="C16343" s="29" t="s">
        <v>26</v>
      </c>
      <c r="D16343" s="31">
        <v>4535.82</v>
      </c>
      <c r="F16343" s="3" t="str">
        <f t="shared" si="255"/>
        <v>G0124</v>
      </c>
    </row>
    <row r="16344" spans="1:6" x14ac:dyDescent="0.2">
      <c r="A16344" s="29" t="s">
        <v>36189</v>
      </c>
      <c r="B16344" s="30" t="s">
        <v>36190</v>
      </c>
      <c r="C16344" s="29" t="s">
        <v>26</v>
      </c>
      <c r="D16344" s="31">
        <v>19.03</v>
      </c>
      <c r="F16344" s="3" t="str">
        <f t="shared" si="255"/>
        <v>G0115</v>
      </c>
    </row>
    <row r="16345" spans="1:6" ht="33.75" x14ac:dyDescent="0.2">
      <c r="A16345" s="29" t="s">
        <v>36191</v>
      </c>
      <c r="B16345" s="30" t="s">
        <v>36192</v>
      </c>
      <c r="C16345" s="29" t="s">
        <v>26</v>
      </c>
      <c r="D16345" s="31">
        <v>13.06</v>
      </c>
      <c r="F16345" s="3" t="str">
        <f t="shared" si="255"/>
        <v>G0725</v>
      </c>
    </row>
    <row r="16346" spans="1:6" ht="33.75" x14ac:dyDescent="0.2">
      <c r="A16346" s="29" t="s">
        <v>36193</v>
      </c>
      <c r="B16346" s="30" t="s">
        <v>36194</v>
      </c>
      <c r="C16346" s="29" t="s">
        <v>26</v>
      </c>
      <c r="D16346" s="31">
        <v>93.34</v>
      </c>
      <c r="F16346" s="3" t="str">
        <f t="shared" si="255"/>
        <v>G0728</v>
      </c>
    </row>
    <row r="16347" spans="1:6" ht="33.75" x14ac:dyDescent="0.2">
      <c r="A16347" s="29" t="s">
        <v>36195</v>
      </c>
      <c r="B16347" s="30" t="s">
        <v>36196</v>
      </c>
      <c r="C16347" s="29" t="s">
        <v>26</v>
      </c>
      <c r="D16347" s="31">
        <v>81.56</v>
      </c>
      <c r="F16347" s="3" t="str">
        <f t="shared" si="255"/>
        <v>G0727</v>
      </c>
    </row>
    <row r="16348" spans="1:6" ht="33.75" x14ac:dyDescent="0.2">
      <c r="A16348" s="29" t="s">
        <v>36197</v>
      </c>
      <c r="B16348" s="30" t="s">
        <v>36198</v>
      </c>
      <c r="C16348" s="29" t="s">
        <v>26</v>
      </c>
      <c r="D16348" s="31">
        <v>28.43</v>
      </c>
      <c r="F16348" s="3" t="str">
        <f t="shared" si="255"/>
        <v>G0726</v>
      </c>
    </row>
    <row r="16349" spans="1:6" x14ac:dyDescent="0.2">
      <c r="A16349" s="29" t="s">
        <v>36199</v>
      </c>
      <c r="B16349" s="30" t="s">
        <v>36200</v>
      </c>
      <c r="C16349" s="29" t="s">
        <v>26</v>
      </c>
      <c r="D16349" s="31">
        <v>6409.74</v>
      </c>
      <c r="F16349" s="3" t="str">
        <f t="shared" si="255"/>
        <v>G0699</v>
      </c>
    </row>
    <row r="16350" spans="1:6" x14ac:dyDescent="0.2">
      <c r="A16350" s="29" t="s">
        <v>36201</v>
      </c>
      <c r="B16350" s="30" t="s">
        <v>36202</v>
      </c>
      <c r="C16350" s="29" t="s">
        <v>26</v>
      </c>
      <c r="D16350" s="31">
        <v>6095.66</v>
      </c>
      <c r="F16350" s="3" t="str">
        <f t="shared" si="255"/>
        <v>G0700</v>
      </c>
    </row>
    <row r="16351" spans="1:6" x14ac:dyDescent="0.2">
      <c r="A16351" s="29" t="s">
        <v>36203</v>
      </c>
      <c r="B16351" s="30" t="s">
        <v>36204</v>
      </c>
      <c r="C16351" s="29" t="s">
        <v>9</v>
      </c>
      <c r="D16351" s="31">
        <v>77.709999999999994</v>
      </c>
      <c r="F16351" s="3" t="str">
        <f t="shared" si="255"/>
        <v>G0125</v>
      </c>
    </row>
    <row r="16352" spans="1:6" x14ac:dyDescent="0.2">
      <c r="A16352" s="29" t="s">
        <v>36205</v>
      </c>
      <c r="B16352" s="30" t="s">
        <v>36206</v>
      </c>
      <c r="C16352" s="29" t="s">
        <v>26</v>
      </c>
      <c r="D16352" s="31">
        <v>7.77</v>
      </c>
      <c r="F16352" s="3" t="str">
        <f t="shared" si="255"/>
        <v>G0126</v>
      </c>
    </row>
    <row r="16353" spans="1:6" ht="22.5" x14ac:dyDescent="0.2">
      <c r="A16353" s="29" t="s">
        <v>36207</v>
      </c>
      <c r="B16353" s="30" t="s">
        <v>36208</v>
      </c>
      <c r="C16353" s="29" t="s">
        <v>26</v>
      </c>
      <c r="D16353" s="31">
        <v>526.6</v>
      </c>
      <c r="F16353" s="3" t="str">
        <f t="shared" si="255"/>
        <v>G0839</v>
      </c>
    </row>
    <row r="16354" spans="1:6" x14ac:dyDescent="0.2">
      <c r="A16354" s="29" t="s">
        <v>36209</v>
      </c>
      <c r="B16354" s="30" t="s">
        <v>36210</v>
      </c>
      <c r="C16354" s="29" t="s">
        <v>26</v>
      </c>
      <c r="D16354" s="31">
        <v>93.31</v>
      </c>
      <c r="F16354" s="3" t="str">
        <f t="shared" si="255"/>
        <v>G0493</v>
      </c>
    </row>
    <row r="16355" spans="1:6" x14ac:dyDescent="0.2">
      <c r="A16355" s="29" t="s">
        <v>36211</v>
      </c>
      <c r="B16355" s="30" t="s">
        <v>36212</v>
      </c>
      <c r="C16355" s="29" t="s">
        <v>26</v>
      </c>
      <c r="D16355" s="31">
        <v>179.03</v>
      </c>
      <c r="F16355" s="3" t="str">
        <f t="shared" si="255"/>
        <v>G0494</v>
      </c>
    </row>
    <row r="16356" spans="1:6" x14ac:dyDescent="0.2">
      <c r="A16356" s="29" t="s">
        <v>36213</v>
      </c>
      <c r="B16356" s="30" t="s">
        <v>36214</v>
      </c>
      <c r="C16356" s="29" t="s">
        <v>26</v>
      </c>
      <c r="D16356" s="31">
        <v>4.88</v>
      </c>
      <c r="F16356" s="3" t="str">
        <f t="shared" si="255"/>
        <v>G0488</v>
      </c>
    </row>
    <row r="16357" spans="1:6" x14ac:dyDescent="0.2">
      <c r="A16357" s="29" t="s">
        <v>36215</v>
      </c>
      <c r="B16357" s="30" t="s">
        <v>36216</v>
      </c>
      <c r="C16357" s="29" t="s">
        <v>26</v>
      </c>
      <c r="D16357" s="31">
        <v>6.56</v>
      </c>
      <c r="F16357" s="3" t="str">
        <f t="shared" si="255"/>
        <v>G0489</v>
      </c>
    </row>
    <row r="16358" spans="1:6" x14ac:dyDescent="0.2">
      <c r="A16358" s="29" t="s">
        <v>36217</v>
      </c>
      <c r="B16358" s="30" t="s">
        <v>36218</v>
      </c>
      <c r="C16358" s="29" t="s">
        <v>26</v>
      </c>
      <c r="D16358" s="31">
        <v>10.31</v>
      </c>
      <c r="F16358" s="3" t="str">
        <f t="shared" si="255"/>
        <v>G0490</v>
      </c>
    </row>
    <row r="16359" spans="1:6" x14ac:dyDescent="0.2">
      <c r="A16359" s="29" t="s">
        <v>36219</v>
      </c>
      <c r="B16359" s="30" t="s">
        <v>36220</v>
      </c>
      <c r="C16359" s="29" t="s">
        <v>26</v>
      </c>
      <c r="D16359" s="31">
        <v>24.96</v>
      </c>
      <c r="F16359" s="3" t="str">
        <f t="shared" si="255"/>
        <v>G0491</v>
      </c>
    </row>
    <row r="16360" spans="1:6" x14ac:dyDescent="0.2">
      <c r="A16360" s="29" t="s">
        <v>36221</v>
      </c>
      <c r="B16360" s="30" t="s">
        <v>36222</v>
      </c>
      <c r="C16360" s="29" t="s">
        <v>26</v>
      </c>
      <c r="D16360" s="31">
        <v>45.57</v>
      </c>
      <c r="F16360" s="3" t="str">
        <f t="shared" si="255"/>
        <v>G0492</v>
      </c>
    </row>
    <row r="16361" spans="1:6" ht="33.75" x14ac:dyDescent="0.2">
      <c r="A16361" s="29" t="s">
        <v>36223</v>
      </c>
      <c r="B16361" s="30" t="s">
        <v>36224</v>
      </c>
      <c r="C16361" s="29" t="s">
        <v>1284</v>
      </c>
      <c r="D16361" s="31">
        <v>21.54</v>
      </c>
      <c r="F16361" s="3" t="str">
        <f t="shared" si="255"/>
        <v>G0127</v>
      </c>
    </row>
    <row r="16362" spans="1:6" x14ac:dyDescent="0.2">
      <c r="A16362" s="29" t="s">
        <v>36225</v>
      </c>
      <c r="B16362" s="30" t="s">
        <v>36226</v>
      </c>
      <c r="C16362" s="29" t="s">
        <v>26</v>
      </c>
      <c r="D16362" s="31">
        <v>477.4</v>
      </c>
      <c r="F16362" s="3" t="str">
        <f t="shared" si="255"/>
        <v>G0780</v>
      </c>
    </row>
    <row r="16363" spans="1:6" x14ac:dyDescent="0.2">
      <c r="A16363" s="29" t="s">
        <v>36227</v>
      </c>
      <c r="B16363" s="30" t="s">
        <v>36228</v>
      </c>
      <c r="C16363" s="29" t="s">
        <v>26</v>
      </c>
      <c r="D16363" s="31">
        <v>385.18</v>
      </c>
      <c r="F16363" s="3" t="str">
        <f t="shared" si="255"/>
        <v>G0500</v>
      </c>
    </row>
    <row r="16364" spans="1:6" x14ac:dyDescent="0.2">
      <c r="A16364" s="29" t="s">
        <v>36229</v>
      </c>
      <c r="B16364" s="30" t="s">
        <v>36230</v>
      </c>
      <c r="C16364" s="29" t="s">
        <v>26</v>
      </c>
      <c r="D16364" s="31">
        <v>569.63</v>
      </c>
      <c r="F16364" s="3" t="str">
        <f t="shared" si="255"/>
        <v>G0501</v>
      </c>
    </row>
    <row r="16365" spans="1:6" x14ac:dyDescent="0.2">
      <c r="A16365" s="29" t="s">
        <v>36231</v>
      </c>
      <c r="B16365" s="30" t="s">
        <v>36232</v>
      </c>
      <c r="C16365" s="29" t="s">
        <v>26</v>
      </c>
      <c r="D16365" s="31">
        <v>96.57</v>
      </c>
      <c r="F16365" s="3" t="str">
        <f t="shared" si="255"/>
        <v>G0495</v>
      </c>
    </row>
    <row r="16366" spans="1:6" x14ac:dyDescent="0.2">
      <c r="A16366" s="29" t="s">
        <v>36233</v>
      </c>
      <c r="B16366" s="30" t="s">
        <v>36234</v>
      </c>
      <c r="C16366" s="29" t="s">
        <v>26</v>
      </c>
      <c r="D16366" s="31">
        <v>124.78</v>
      </c>
      <c r="F16366" s="3" t="str">
        <f t="shared" si="255"/>
        <v>G0496</v>
      </c>
    </row>
    <row r="16367" spans="1:6" x14ac:dyDescent="0.2">
      <c r="A16367" s="29" t="s">
        <v>36235</v>
      </c>
      <c r="B16367" s="30" t="s">
        <v>36236</v>
      </c>
      <c r="C16367" s="29" t="s">
        <v>26</v>
      </c>
      <c r="D16367" s="31">
        <v>168.18</v>
      </c>
      <c r="F16367" s="3" t="str">
        <f t="shared" si="255"/>
        <v>G0497</v>
      </c>
    </row>
    <row r="16368" spans="1:6" x14ac:dyDescent="0.2">
      <c r="A16368" s="29" t="s">
        <v>36237</v>
      </c>
      <c r="B16368" s="30" t="s">
        <v>36238</v>
      </c>
      <c r="C16368" s="29" t="s">
        <v>26</v>
      </c>
      <c r="D16368" s="31">
        <v>206.15</v>
      </c>
      <c r="F16368" s="3" t="str">
        <f t="shared" si="255"/>
        <v>G0498</v>
      </c>
    </row>
    <row r="16369" spans="1:6" x14ac:dyDescent="0.2">
      <c r="A16369" s="29" t="s">
        <v>36239</v>
      </c>
      <c r="B16369" s="30" t="s">
        <v>36240</v>
      </c>
      <c r="C16369" s="29" t="s">
        <v>26</v>
      </c>
      <c r="D16369" s="31">
        <v>314.64999999999998</v>
      </c>
      <c r="F16369" s="3" t="str">
        <f t="shared" si="255"/>
        <v>G0499</v>
      </c>
    </row>
    <row r="16370" spans="1:6" x14ac:dyDescent="0.2">
      <c r="A16370" s="29" t="s">
        <v>36241</v>
      </c>
      <c r="B16370" s="30" t="s">
        <v>36242</v>
      </c>
      <c r="C16370" s="29" t="s">
        <v>26</v>
      </c>
      <c r="D16370" s="31">
        <v>33.15</v>
      </c>
      <c r="F16370" s="3" t="str">
        <f t="shared" si="255"/>
        <v>G0128</v>
      </c>
    </row>
    <row r="16371" spans="1:6" ht="22.5" x14ac:dyDescent="0.2">
      <c r="A16371" s="29" t="s">
        <v>36243</v>
      </c>
      <c r="B16371" s="30" t="s">
        <v>36244</v>
      </c>
      <c r="C16371" s="29" t="s">
        <v>26</v>
      </c>
      <c r="D16371" s="31">
        <v>30.17</v>
      </c>
      <c r="F16371" s="3" t="str">
        <f t="shared" si="255"/>
        <v>G0129</v>
      </c>
    </row>
    <row r="16372" spans="1:6" ht="45" x14ac:dyDescent="0.2">
      <c r="A16372" s="29" t="s">
        <v>36245</v>
      </c>
      <c r="B16372" s="30" t="s">
        <v>36246</v>
      </c>
      <c r="C16372" s="29" t="s">
        <v>26</v>
      </c>
      <c r="D16372" s="31">
        <v>7.89</v>
      </c>
      <c r="F16372" s="3" t="str">
        <f t="shared" si="255"/>
        <v>G0130</v>
      </c>
    </row>
    <row r="16373" spans="1:6" ht="22.5" x14ac:dyDescent="0.2">
      <c r="A16373" s="29" t="s">
        <v>36247</v>
      </c>
      <c r="B16373" s="30" t="s">
        <v>36248</v>
      </c>
      <c r="C16373" s="29" t="s">
        <v>26</v>
      </c>
      <c r="D16373" s="31">
        <v>10.96</v>
      </c>
      <c r="F16373" s="3" t="str">
        <f t="shared" si="255"/>
        <v>G0131</v>
      </c>
    </row>
    <row r="16374" spans="1:6" x14ac:dyDescent="0.2">
      <c r="A16374" s="29" t="s">
        <v>36249</v>
      </c>
      <c r="B16374" s="30" t="s">
        <v>36250</v>
      </c>
      <c r="C16374" s="29" t="s">
        <v>1284</v>
      </c>
      <c r="D16374" s="31">
        <v>16.63</v>
      </c>
      <c r="F16374" s="3" t="str">
        <f t="shared" si="255"/>
        <v>G0840</v>
      </c>
    </row>
    <row r="16375" spans="1:6" ht="22.5" x14ac:dyDescent="0.2">
      <c r="A16375" s="29" t="s">
        <v>36251</v>
      </c>
      <c r="B16375" s="30" t="s">
        <v>36252</v>
      </c>
      <c r="C16375" s="29" t="s">
        <v>26</v>
      </c>
      <c r="D16375" s="31">
        <v>150.65</v>
      </c>
      <c r="F16375" s="3" t="str">
        <f t="shared" si="255"/>
        <v>G0133</v>
      </c>
    </row>
    <row r="16376" spans="1:6" ht="22.5" x14ac:dyDescent="0.2">
      <c r="A16376" s="29" t="s">
        <v>36253</v>
      </c>
      <c r="B16376" s="30" t="s">
        <v>36254</v>
      </c>
      <c r="C16376" s="29" t="s">
        <v>26</v>
      </c>
      <c r="D16376" s="31">
        <v>255.79</v>
      </c>
      <c r="F16376" s="3" t="str">
        <f t="shared" si="255"/>
        <v>G0134</v>
      </c>
    </row>
    <row r="16377" spans="1:6" ht="22.5" x14ac:dyDescent="0.2">
      <c r="A16377" s="29" t="s">
        <v>36255</v>
      </c>
      <c r="B16377" s="30" t="s">
        <v>36256</v>
      </c>
      <c r="C16377" s="29" t="s">
        <v>26</v>
      </c>
      <c r="D16377" s="31">
        <v>493.19</v>
      </c>
      <c r="F16377" s="3" t="str">
        <f t="shared" si="255"/>
        <v>G0135</v>
      </c>
    </row>
    <row r="16378" spans="1:6" ht="22.5" x14ac:dyDescent="0.2">
      <c r="A16378" s="29" t="s">
        <v>36257</v>
      </c>
      <c r="B16378" s="30" t="s">
        <v>36258</v>
      </c>
      <c r="C16378" s="29" t="s">
        <v>26</v>
      </c>
      <c r="D16378" s="31">
        <v>1014.2</v>
      </c>
      <c r="F16378" s="3" t="str">
        <f t="shared" si="255"/>
        <v>G0136</v>
      </c>
    </row>
    <row r="16379" spans="1:6" ht="22.5" x14ac:dyDescent="0.2">
      <c r="A16379" s="29" t="s">
        <v>36259</v>
      </c>
      <c r="B16379" s="30" t="s">
        <v>36260</v>
      </c>
      <c r="C16379" s="29" t="s">
        <v>26</v>
      </c>
      <c r="D16379" s="31">
        <v>1800.11</v>
      </c>
      <c r="F16379" s="3" t="str">
        <f t="shared" si="255"/>
        <v>G0137</v>
      </c>
    </row>
    <row r="16380" spans="1:6" ht="22.5" x14ac:dyDescent="0.2">
      <c r="A16380" s="29" t="s">
        <v>36261</v>
      </c>
      <c r="B16380" s="30" t="s">
        <v>36262</v>
      </c>
      <c r="C16380" s="29" t="s">
        <v>26</v>
      </c>
      <c r="D16380" s="31">
        <v>2829.48</v>
      </c>
      <c r="F16380" s="3" t="str">
        <f t="shared" si="255"/>
        <v>G0132</v>
      </c>
    </row>
    <row r="16381" spans="1:6" ht="22.5" x14ac:dyDescent="0.2">
      <c r="A16381" s="29" t="s">
        <v>36263</v>
      </c>
      <c r="B16381" s="30" t="s">
        <v>36264</v>
      </c>
      <c r="C16381" s="29" t="s">
        <v>26</v>
      </c>
      <c r="D16381" s="31">
        <v>4415.3500000000004</v>
      </c>
      <c r="F16381" s="3" t="str">
        <f t="shared" si="255"/>
        <v>G0138</v>
      </c>
    </row>
    <row r="16382" spans="1:6" x14ac:dyDescent="0.2">
      <c r="A16382" s="29" t="s">
        <v>36265</v>
      </c>
      <c r="B16382" s="30" t="s">
        <v>36266</v>
      </c>
      <c r="C16382" s="29" t="s">
        <v>0</v>
      </c>
      <c r="D16382" s="31">
        <v>6.01</v>
      </c>
      <c r="F16382" s="3" t="str">
        <f t="shared" si="255"/>
        <v>G0139</v>
      </c>
    </row>
    <row r="16383" spans="1:6" x14ac:dyDescent="0.2">
      <c r="A16383" s="29" t="s">
        <v>36267</v>
      </c>
      <c r="B16383" s="30" t="s">
        <v>36268</v>
      </c>
      <c r="C16383" s="29" t="s">
        <v>26</v>
      </c>
      <c r="D16383" s="31">
        <v>19.91</v>
      </c>
      <c r="F16383" s="3" t="str">
        <f t="shared" si="255"/>
        <v>G0633</v>
      </c>
    </row>
    <row r="16384" spans="1:6" x14ac:dyDescent="0.2">
      <c r="A16384" s="29" t="s">
        <v>36269</v>
      </c>
      <c r="B16384" s="30" t="s">
        <v>36268</v>
      </c>
      <c r="C16384" s="29" t="s">
        <v>26</v>
      </c>
      <c r="D16384" s="31">
        <v>19.91</v>
      </c>
      <c r="F16384" s="3" t="str">
        <f t="shared" si="255"/>
        <v>G0814</v>
      </c>
    </row>
    <row r="16385" spans="1:6" x14ac:dyDescent="0.2">
      <c r="A16385" s="29" t="s">
        <v>36270</v>
      </c>
      <c r="B16385" s="30" t="s">
        <v>36271</v>
      </c>
      <c r="C16385" s="29" t="s">
        <v>26</v>
      </c>
      <c r="D16385" s="31">
        <v>24.66</v>
      </c>
      <c r="F16385" s="3" t="str">
        <f t="shared" si="255"/>
        <v>G0636</v>
      </c>
    </row>
    <row r="16386" spans="1:6" x14ac:dyDescent="0.2">
      <c r="A16386" s="29" t="s">
        <v>36272</v>
      </c>
      <c r="B16386" s="30" t="s">
        <v>36271</v>
      </c>
      <c r="C16386" s="29" t="s">
        <v>26</v>
      </c>
      <c r="D16386" s="31">
        <v>24.66</v>
      </c>
      <c r="F16386" s="3" t="str">
        <f t="shared" ref="F16386:F16449" si="256">A16386</f>
        <v>G0813</v>
      </c>
    </row>
    <row r="16387" spans="1:6" ht="22.5" x14ac:dyDescent="0.2">
      <c r="A16387" s="29" t="s">
        <v>36273</v>
      </c>
      <c r="B16387" s="30" t="s">
        <v>36274</v>
      </c>
      <c r="C16387" s="29" t="s">
        <v>26</v>
      </c>
      <c r="D16387" s="31">
        <v>25.41</v>
      </c>
      <c r="F16387" s="3" t="str">
        <f t="shared" si="256"/>
        <v>G0639</v>
      </c>
    </row>
    <row r="16388" spans="1:6" ht="22.5" x14ac:dyDescent="0.2">
      <c r="A16388" s="29" t="s">
        <v>36275</v>
      </c>
      <c r="B16388" s="30" t="s">
        <v>36274</v>
      </c>
      <c r="C16388" s="29" t="s">
        <v>26</v>
      </c>
      <c r="D16388" s="31">
        <v>25.41</v>
      </c>
      <c r="F16388" s="3" t="str">
        <f t="shared" si="256"/>
        <v>G0815</v>
      </c>
    </row>
    <row r="16389" spans="1:6" ht="33.75" x14ac:dyDescent="0.2">
      <c r="A16389" s="29" t="s">
        <v>36276</v>
      </c>
      <c r="B16389" s="30" t="s">
        <v>36277</v>
      </c>
      <c r="C16389" s="29" t="s">
        <v>26</v>
      </c>
      <c r="D16389" s="31">
        <v>46.2</v>
      </c>
      <c r="F16389" s="3" t="str">
        <f t="shared" si="256"/>
        <v>G0140</v>
      </c>
    </row>
    <row r="16390" spans="1:6" ht="33.75" x14ac:dyDescent="0.2">
      <c r="A16390" s="29" t="s">
        <v>36278</v>
      </c>
      <c r="B16390" s="30" t="s">
        <v>36279</v>
      </c>
      <c r="C16390" s="29" t="s">
        <v>26</v>
      </c>
      <c r="D16390" s="31">
        <v>80.94</v>
      </c>
      <c r="F16390" s="3" t="str">
        <f t="shared" si="256"/>
        <v>G0141</v>
      </c>
    </row>
    <row r="16391" spans="1:6" ht="33.75" x14ac:dyDescent="0.2">
      <c r="A16391" s="29" t="s">
        <v>36280</v>
      </c>
      <c r="B16391" s="30" t="s">
        <v>36281</v>
      </c>
      <c r="C16391" s="29" t="s">
        <v>26</v>
      </c>
      <c r="D16391" s="31">
        <v>199.36</v>
      </c>
      <c r="F16391" s="3" t="str">
        <f t="shared" si="256"/>
        <v>G0142</v>
      </c>
    </row>
    <row r="16392" spans="1:6" ht="33.75" x14ac:dyDescent="0.2">
      <c r="A16392" s="29" t="s">
        <v>36282</v>
      </c>
      <c r="B16392" s="30" t="s">
        <v>36283</v>
      </c>
      <c r="C16392" s="29" t="s">
        <v>26</v>
      </c>
      <c r="D16392" s="31">
        <v>394.63</v>
      </c>
      <c r="F16392" s="3" t="str">
        <f t="shared" si="256"/>
        <v>G0143</v>
      </c>
    </row>
    <row r="16393" spans="1:6" ht="33.75" x14ac:dyDescent="0.2">
      <c r="A16393" s="29" t="s">
        <v>36284</v>
      </c>
      <c r="B16393" s="30" t="s">
        <v>36285</v>
      </c>
      <c r="C16393" s="29" t="s">
        <v>26</v>
      </c>
      <c r="D16393" s="31">
        <v>563.80999999999995</v>
      </c>
      <c r="F16393" s="3" t="str">
        <f t="shared" si="256"/>
        <v>G0144</v>
      </c>
    </row>
    <row r="16394" spans="1:6" ht="33.75" x14ac:dyDescent="0.2">
      <c r="A16394" s="29" t="s">
        <v>36286</v>
      </c>
      <c r="B16394" s="30" t="s">
        <v>36287</v>
      </c>
      <c r="C16394" s="29" t="s">
        <v>26</v>
      </c>
      <c r="D16394" s="31">
        <v>1073.54</v>
      </c>
      <c r="F16394" s="3" t="str">
        <f t="shared" si="256"/>
        <v>G0145</v>
      </c>
    </row>
    <row r="16395" spans="1:6" ht="33.75" x14ac:dyDescent="0.2">
      <c r="A16395" s="29" t="s">
        <v>36288</v>
      </c>
      <c r="B16395" s="30" t="s">
        <v>36289</v>
      </c>
      <c r="C16395" s="29" t="s">
        <v>26</v>
      </c>
      <c r="D16395" s="31">
        <v>1650.76</v>
      </c>
      <c r="F16395" s="3" t="str">
        <f t="shared" si="256"/>
        <v>G0146</v>
      </c>
    </row>
    <row r="16396" spans="1:6" ht="22.5" x14ac:dyDescent="0.2">
      <c r="A16396" s="29" t="s">
        <v>36290</v>
      </c>
      <c r="B16396" s="30" t="s">
        <v>36291</v>
      </c>
      <c r="C16396" s="29" t="s">
        <v>26</v>
      </c>
      <c r="D16396" s="31">
        <v>39.42</v>
      </c>
      <c r="F16396" s="3" t="str">
        <f t="shared" si="256"/>
        <v>G0147</v>
      </c>
    </row>
    <row r="16397" spans="1:6" ht="22.5" x14ac:dyDescent="0.2">
      <c r="A16397" s="29" t="s">
        <v>36292</v>
      </c>
      <c r="B16397" s="30" t="s">
        <v>36293</v>
      </c>
      <c r="C16397" s="29" t="s">
        <v>26</v>
      </c>
      <c r="D16397" s="31">
        <v>60.21</v>
      </c>
      <c r="F16397" s="3" t="str">
        <f t="shared" si="256"/>
        <v>G0149</v>
      </c>
    </row>
    <row r="16398" spans="1:6" ht="22.5" x14ac:dyDescent="0.2">
      <c r="A16398" s="29" t="s">
        <v>36294</v>
      </c>
      <c r="B16398" s="30" t="s">
        <v>36295</v>
      </c>
      <c r="C16398" s="29" t="s">
        <v>26</v>
      </c>
      <c r="D16398" s="31">
        <v>78.959999999999994</v>
      </c>
      <c r="F16398" s="3" t="str">
        <f t="shared" si="256"/>
        <v>G0148</v>
      </c>
    </row>
    <row r="16399" spans="1:6" ht="22.5" x14ac:dyDescent="0.2">
      <c r="A16399" s="29" t="s">
        <v>36296</v>
      </c>
      <c r="B16399" s="30" t="s">
        <v>36297</v>
      </c>
      <c r="C16399" s="29" t="s">
        <v>26</v>
      </c>
      <c r="D16399" s="31">
        <v>131.87</v>
      </c>
      <c r="F16399" s="3" t="str">
        <f t="shared" si="256"/>
        <v>G0150</v>
      </c>
    </row>
    <row r="16400" spans="1:6" ht="33.75" x14ac:dyDescent="0.2">
      <c r="A16400" s="29" t="s">
        <v>36298</v>
      </c>
      <c r="B16400" s="30" t="s">
        <v>36299</v>
      </c>
      <c r="C16400" s="29" t="s">
        <v>26</v>
      </c>
      <c r="D16400" s="31">
        <v>56.11</v>
      </c>
      <c r="F16400" s="3" t="str">
        <f t="shared" si="256"/>
        <v>G0151</v>
      </c>
    </row>
    <row r="16401" spans="1:6" ht="33.75" x14ac:dyDescent="0.2">
      <c r="A16401" s="29" t="s">
        <v>36300</v>
      </c>
      <c r="B16401" s="30" t="s">
        <v>36301</v>
      </c>
      <c r="C16401" s="29" t="s">
        <v>26</v>
      </c>
      <c r="D16401" s="31">
        <v>75.02</v>
      </c>
      <c r="F16401" s="3" t="str">
        <f t="shared" si="256"/>
        <v>G0153</v>
      </c>
    </row>
    <row r="16402" spans="1:6" ht="33.75" x14ac:dyDescent="0.2">
      <c r="A16402" s="29" t="s">
        <v>36302</v>
      </c>
      <c r="B16402" s="30" t="s">
        <v>36303</v>
      </c>
      <c r="C16402" s="29" t="s">
        <v>26</v>
      </c>
      <c r="D16402" s="31">
        <v>84.81</v>
      </c>
      <c r="F16402" s="3" t="str">
        <f t="shared" si="256"/>
        <v>G0152</v>
      </c>
    </row>
    <row r="16403" spans="1:6" ht="33.75" x14ac:dyDescent="0.2">
      <c r="A16403" s="29" t="s">
        <v>36304</v>
      </c>
      <c r="B16403" s="30" t="s">
        <v>36305</v>
      </c>
      <c r="C16403" s="29" t="s">
        <v>26</v>
      </c>
      <c r="D16403" s="31">
        <v>136.43</v>
      </c>
      <c r="F16403" s="3" t="str">
        <f t="shared" si="256"/>
        <v>G0154</v>
      </c>
    </row>
    <row r="16404" spans="1:6" ht="33.75" x14ac:dyDescent="0.2">
      <c r="A16404" s="29" t="s">
        <v>36306</v>
      </c>
      <c r="B16404" s="30" t="s">
        <v>36307</v>
      </c>
      <c r="C16404" s="29" t="s">
        <v>26</v>
      </c>
      <c r="D16404" s="31">
        <v>90.96</v>
      </c>
      <c r="F16404" s="3" t="str">
        <f t="shared" si="256"/>
        <v>G0155</v>
      </c>
    </row>
    <row r="16405" spans="1:6" ht="33.75" x14ac:dyDescent="0.2">
      <c r="A16405" s="29" t="s">
        <v>36308</v>
      </c>
      <c r="B16405" s="30" t="s">
        <v>36309</v>
      </c>
      <c r="C16405" s="29" t="s">
        <v>26</v>
      </c>
      <c r="D16405" s="31">
        <v>238.47</v>
      </c>
      <c r="F16405" s="3" t="str">
        <f t="shared" si="256"/>
        <v>G0156</v>
      </c>
    </row>
    <row r="16406" spans="1:6" ht="33.75" x14ac:dyDescent="0.2">
      <c r="A16406" s="29" t="s">
        <v>36310</v>
      </c>
      <c r="B16406" s="30" t="s">
        <v>36311</v>
      </c>
      <c r="C16406" s="29" t="s">
        <v>26</v>
      </c>
      <c r="D16406" s="31">
        <v>369.76</v>
      </c>
      <c r="F16406" s="3" t="str">
        <f t="shared" si="256"/>
        <v>G0157</v>
      </c>
    </row>
    <row r="16407" spans="1:6" ht="33.75" x14ac:dyDescent="0.2">
      <c r="A16407" s="29" t="s">
        <v>36312</v>
      </c>
      <c r="B16407" s="30" t="s">
        <v>36313</v>
      </c>
      <c r="C16407" s="29" t="s">
        <v>26</v>
      </c>
      <c r="D16407" s="31">
        <v>522.9</v>
      </c>
      <c r="F16407" s="3" t="str">
        <f t="shared" si="256"/>
        <v>G0158</v>
      </c>
    </row>
    <row r="16408" spans="1:6" ht="33.75" x14ac:dyDescent="0.2">
      <c r="A16408" s="29" t="s">
        <v>36314</v>
      </c>
      <c r="B16408" s="30" t="s">
        <v>36315</v>
      </c>
      <c r="C16408" s="29" t="s">
        <v>26</v>
      </c>
      <c r="D16408" s="31">
        <v>871.9</v>
      </c>
      <c r="F16408" s="3" t="str">
        <f t="shared" si="256"/>
        <v>G0159</v>
      </c>
    </row>
    <row r="16409" spans="1:6" ht="33.75" x14ac:dyDescent="0.2">
      <c r="A16409" s="29" t="s">
        <v>36316</v>
      </c>
      <c r="B16409" s="30" t="s">
        <v>36317</v>
      </c>
      <c r="C16409" s="29" t="s">
        <v>26</v>
      </c>
      <c r="D16409" s="31">
        <v>1157.47</v>
      </c>
      <c r="F16409" s="3" t="str">
        <f t="shared" si="256"/>
        <v>G0160</v>
      </c>
    </row>
    <row r="16410" spans="1:6" ht="33.75" x14ac:dyDescent="0.2">
      <c r="A16410" s="29" t="s">
        <v>36318</v>
      </c>
      <c r="B16410" s="30" t="s">
        <v>36319</v>
      </c>
      <c r="C16410" s="29" t="s">
        <v>26</v>
      </c>
      <c r="D16410" s="31">
        <v>1969.75</v>
      </c>
      <c r="F16410" s="3" t="str">
        <f t="shared" si="256"/>
        <v>G0161</v>
      </c>
    </row>
    <row r="16411" spans="1:6" x14ac:dyDescent="0.2">
      <c r="A16411" s="29" t="s">
        <v>36320</v>
      </c>
      <c r="B16411" s="30" t="s">
        <v>36321</v>
      </c>
      <c r="C16411" s="29" t="s">
        <v>1284</v>
      </c>
      <c r="D16411" s="31">
        <v>39.82</v>
      </c>
      <c r="F16411" s="3" t="str">
        <f t="shared" si="256"/>
        <v>G0841</v>
      </c>
    </row>
    <row r="16412" spans="1:6" ht="22.5" x14ac:dyDescent="0.2">
      <c r="A16412" s="29" t="s">
        <v>36322</v>
      </c>
      <c r="B16412" s="30" t="s">
        <v>36323</v>
      </c>
      <c r="C16412" s="29" t="s">
        <v>26</v>
      </c>
      <c r="D16412" s="31">
        <v>8199.25</v>
      </c>
      <c r="F16412" s="3" t="str">
        <f t="shared" si="256"/>
        <v>G0162</v>
      </c>
    </row>
    <row r="16413" spans="1:6" x14ac:dyDescent="0.2">
      <c r="A16413" s="29" t="s">
        <v>36324</v>
      </c>
      <c r="B16413" s="30" t="s">
        <v>36325</v>
      </c>
      <c r="C16413" s="29" t="s">
        <v>26</v>
      </c>
      <c r="D16413" s="31">
        <v>25.29</v>
      </c>
      <c r="F16413" s="3" t="str">
        <f t="shared" si="256"/>
        <v>G0164</v>
      </c>
    </row>
    <row r="16414" spans="1:6" x14ac:dyDescent="0.2">
      <c r="A16414" s="29" t="s">
        <v>36326</v>
      </c>
      <c r="B16414" s="30" t="s">
        <v>36327</v>
      </c>
      <c r="C16414" s="29" t="s">
        <v>26</v>
      </c>
      <c r="D16414" s="31">
        <v>39.35</v>
      </c>
      <c r="F16414" s="3" t="str">
        <f t="shared" si="256"/>
        <v>G0165</v>
      </c>
    </row>
    <row r="16415" spans="1:6" x14ac:dyDescent="0.2">
      <c r="A16415" s="29" t="s">
        <v>36328</v>
      </c>
      <c r="B16415" s="30" t="s">
        <v>36329</v>
      </c>
      <c r="C16415" s="29" t="s">
        <v>26</v>
      </c>
      <c r="D16415" s="31">
        <v>50.63</v>
      </c>
      <c r="F16415" s="3" t="str">
        <f t="shared" si="256"/>
        <v>G0166</v>
      </c>
    </row>
    <row r="16416" spans="1:6" x14ac:dyDescent="0.2">
      <c r="A16416" s="29" t="s">
        <v>36330</v>
      </c>
      <c r="B16416" s="30" t="s">
        <v>36331</v>
      </c>
      <c r="C16416" s="29" t="s">
        <v>26</v>
      </c>
      <c r="D16416" s="31">
        <v>23.11</v>
      </c>
      <c r="F16416" s="3" t="str">
        <f t="shared" si="256"/>
        <v>G0163</v>
      </c>
    </row>
    <row r="16417" spans="1:6" x14ac:dyDescent="0.2">
      <c r="A16417" s="29" t="s">
        <v>36332</v>
      </c>
      <c r="B16417" s="30" t="s">
        <v>36333</v>
      </c>
      <c r="C16417" s="29" t="s">
        <v>26</v>
      </c>
      <c r="D16417" s="31">
        <v>31.99</v>
      </c>
      <c r="F16417" s="3" t="str">
        <f t="shared" si="256"/>
        <v>G0167</v>
      </c>
    </row>
    <row r="16418" spans="1:6" x14ac:dyDescent="0.2">
      <c r="A16418" s="29" t="s">
        <v>36334</v>
      </c>
      <c r="B16418" s="30" t="s">
        <v>36335</v>
      </c>
      <c r="C16418" s="29" t="s">
        <v>26</v>
      </c>
      <c r="D16418" s="31">
        <v>81.56</v>
      </c>
      <c r="F16418" s="3" t="str">
        <f t="shared" si="256"/>
        <v>G0168</v>
      </c>
    </row>
    <row r="16419" spans="1:6" x14ac:dyDescent="0.2">
      <c r="A16419" s="29" t="s">
        <v>36336</v>
      </c>
      <c r="B16419" s="30" t="s">
        <v>36337</v>
      </c>
      <c r="C16419" s="29" t="s">
        <v>26</v>
      </c>
      <c r="D16419" s="31">
        <v>46.19</v>
      </c>
      <c r="F16419" s="3" t="str">
        <f t="shared" si="256"/>
        <v>G0169</v>
      </c>
    </row>
    <row r="16420" spans="1:6" ht="123.75" x14ac:dyDescent="0.2">
      <c r="A16420" s="29" t="s">
        <v>36338</v>
      </c>
      <c r="B16420" s="30" t="s">
        <v>36339</v>
      </c>
      <c r="C16420" s="29" t="s">
        <v>26</v>
      </c>
      <c r="D16420" s="31">
        <v>383.8</v>
      </c>
      <c r="F16420" s="3" t="str">
        <f t="shared" si="256"/>
        <v>G0675</v>
      </c>
    </row>
    <row r="16421" spans="1:6" ht="33.75" x14ac:dyDescent="0.2">
      <c r="A16421" s="29" t="s">
        <v>36340</v>
      </c>
      <c r="B16421" s="30" t="s">
        <v>36341</v>
      </c>
      <c r="C16421" s="29" t="s">
        <v>26</v>
      </c>
      <c r="D16421" s="31">
        <v>261.76</v>
      </c>
      <c r="F16421" s="3" t="str">
        <f t="shared" si="256"/>
        <v>G0680</v>
      </c>
    </row>
    <row r="16422" spans="1:6" ht="22.5" x14ac:dyDescent="0.2">
      <c r="A16422" s="29" t="s">
        <v>36342</v>
      </c>
      <c r="B16422" s="30" t="s">
        <v>36343</v>
      </c>
      <c r="C16422" s="29" t="s">
        <v>26</v>
      </c>
      <c r="D16422" s="31">
        <v>837.79</v>
      </c>
      <c r="F16422" s="3" t="str">
        <f t="shared" si="256"/>
        <v>G0653</v>
      </c>
    </row>
    <row r="16423" spans="1:6" ht="45" x14ac:dyDescent="0.2">
      <c r="A16423" s="29" t="s">
        <v>36344</v>
      </c>
      <c r="B16423" s="30" t="s">
        <v>36345</v>
      </c>
      <c r="C16423" s="29" t="s">
        <v>26</v>
      </c>
      <c r="D16423" s="31">
        <v>320.39999999999998</v>
      </c>
      <c r="F16423" s="3" t="str">
        <f t="shared" si="256"/>
        <v>G0674</v>
      </c>
    </row>
    <row r="16424" spans="1:6" ht="90" x14ac:dyDescent="0.2">
      <c r="A16424" s="29" t="s">
        <v>36346</v>
      </c>
      <c r="B16424" s="30" t="s">
        <v>36347</v>
      </c>
      <c r="C16424" s="29" t="s">
        <v>26</v>
      </c>
      <c r="D16424" s="31">
        <v>1064.0999999999999</v>
      </c>
      <c r="F16424" s="3" t="str">
        <f t="shared" si="256"/>
        <v>G0679</v>
      </c>
    </row>
    <row r="16425" spans="1:6" ht="45" x14ac:dyDescent="0.2">
      <c r="A16425" s="29" t="s">
        <v>36348</v>
      </c>
      <c r="B16425" s="30" t="s">
        <v>36349</v>
      </c>
      <c r="C16425" s="29" t="s">
        <v>26</v>
      </c>
      <c r="D16425" s="31">
        <v>59.01</v>
      </c>
      <c r="F16425" s="3" t="str">
        <f t="shared" si="256"/>
        <v>G0170</v>
      </c>
    </row>
    <row r="16426" spans="1:6" ht="45" x14ac:dyDescent="0.2">
      <c r="A16426" s="29" t="s">
        <v>36350</v>
      </c>
      <c r="B16426" s="30" t="s">
        <v>36351</v>
      </c>
      <c r="C16426" s="29" t="s">
        <v>26</v>
      </c>
      <c r="D16426" s="31">
        <v>92.24</v>
      </c>
      <c r="F16426" s="3" t="str">
        <f t="shared" si="256"/>
        <v>G0171</v>
      </c>
    </row>
    <row r="16427" spans="1:6" ht="45" x14ac:dyDescent="0.2">
      <c r="A16427" s="29" t="s">
        <v>36352</v>
      </c>
      <c r="B16427" s="30" t="s">
        <v>36353</v>
      </c>
      <c r="C16427" s="29" t="s">
        <v>26</v>
      </c>
      <c r="D16427" s="31">
        <v>125.56</v>
      </c>
      <c r="F16427" s="3" t="str">
        <f t="shared" si="256"/>
        <v>G0172</v>
      </c>
    </row>
    <row r="16428" spans="1:6" ht="45" x14ac:dyDescent="0.2">
      <c r="A16428" s="29" t="s">
        <v>36354</v>
      </c>
      <c r="B16428" s="30" t="s">
        <v>36355</v>
      </c>
      <c r="C16428" s="29" t="s">
        <v>26</v>
      </c>
      <c r="D16428" s="31">
        <v>194.71</v>
      </c>
      <c r="F16428" s="3" t="str">
        <f t="shared" si="256"/>
        <v>G0173</v>
      </c>
    </row>
    <row r="16429" spans="1:6" ht="45" x14ac:dyDescent="0.2">
      <c r="A16429" s="29" t="s">
        <v>36356</v>
      </c>
      <c r="B16429" s="30" t="s">
        <v>36357</v>
      </c>
      <c r="C16429" s="29" t="s">
        <v>26</v>
      </c>
      <c r="D16429" s="31">
        <v>222.99</v>
      </c>
      <c r="F16429" s="3" t="str">
        <f t="shared" si="256"/>
        <v>G0174</v>
      </c>
    </row>
    <row r="16430" spans="1:6" ht="45" x14ac:dyDescent="0.2">
      <c r="A16430" s="29" t="s">
        <v>36358</v>
      </c>
      <c r="B16430" s="30" t="s">
        <v>36359</v>
      </c>
      <c r="C16430" s="29" t="s">
        <v>26</v>
      </c>
      <c r="D16430" s="31">
        <v>282.14</v>
      </c>
      <c r="F16430" s="3" t="str">
        <f t="shared" si="256"/>
        <v>G0175</v>
      </c>
    </row>
    <row r="16431" spans="1:6" ht="45" x14ac:dyDescent="0.2">
      <c r="A16431" s="29" t="s">
        <v>36360</v>
      </c>
      <c r="B16431" s="30" t="s">
        <v>36361</v>
      </c>
      <c r="C16431" s="29" t="s">
        <v>26</v>
      </c>
      <c r="D16431" s="31">
        <v>373.66</v>
      </c>
      <c r="F16431" s="3" t="str">
        <f t="shared" si="256"/>
        <v>G0176</v>
      </c>
    </row>
    <row r="16432" spans="1:6" ht="33.75" x14ac:dyDescent="0.2">
      <c r="A16432" s="29" t="s">
        <v>36362</v>
      </c>
      <c r="B16432" s="30" t="s">
        <v>36363</v>
      </c>
      <c r="C16432" s="29" t="s">
        <v>26</v>
      </c>
      <c r="D16432" s="31">
        <v>1.1200000000000001</v>
      </c>
      <c r="F16432" s="3" t="str">
        <f t="shared" si="256"/>
        <v>G0697</v>
      </c>
    </row>
    <row r="16433" spans="1:6" x14ac:dyDescent="0.2">
      <c r="A16433" s="29" t="s">
        <v>36364</v>
      </c>
      <c r="B16433" s="30" t="s">
        <v>36365</v>
      </c>
      <c r="C16433" s="29" t="s">
        <v>9</v>
      </c>
      <c r="D16433" s="31">
        <v>48.79</v>
      </c>
      <c r="F16433" s="3" t="str">
        <f t="shared" si="256"/>
        <v>G0843</v>
      </c>
    </row>
    <row r="16434" spans="1:6" x14ac:dyDescent="0.2">
      <c r="A16434" s="29" t="s">
        <v>36366</v>
      </c>
      <c r="B16434" s="30" t="s">
        <v>36367</v>
      </c>
      <c r="C16434" s="29" t="s">
        <v>9</v>
      </c>
      <c r="D16434" s="31">
        <v>36.9</v>
      </c>
      <c r="F16434" s="3" t="str">
        <f t="shared" si="256"/>
        <v>G0177</v>
      </c>
    </row>
    <row r="16435" spans="1:6" ht="33.75" x14ac:dyDescent="0.2">
      <c r="A16435" s="29" t="s">
        <v>36368</v>
      </c>
      <c r="B16435" s="30" t="s">
        <v>36369</v>
      </c>
      <c r="C16435" s="29" t="s">
        <v>26</v>
      </c>
      <c r="D16435" s="31">
        <v>9.7200000000000006</v>
      </c>
      <c r="F16435" s="3" t="str">
        <f t="shared" si="256"/>
        <v>G0770</v>
      </c>
    </row>
    <row r="16436" spans="1:6" ht="33.75" x14ac:dyDescent="0.2">
      <c r="A16436" s="29" t="s">
        <v>36370</v>
      </c>
      <c r="B16436" s="30" t="s">
        <v>36371</v>
      </c>
      <c r="C16436" s="29" t="s">
        <v>26</v>
      </c>
      <c r="D16436" s="31">
        <v>4.5599999999999996</v>
      </c>
      <c r="F16436" s="3" t="str">
        <f t="shared" si="256"/>
        <v>G0768</v>
      </c>
    </row>
    <row r="16437" spans="1:6" ht="33.75" x14ac:dyDescent="0.2">
      <c r="A16437" s="29" t="s">
        <v>36372</v>
      </c>
      <c r="B16437" s="30" t="s">
        <v>36373</v>
      </c>
      <c r="C16437" s="29" t="s">
        <v>26</v>
      </c>
      <c r="D16437" s="31">
        <v>6.37</v>
      </c>
      <c r="F16437" s="3" t="str">
        <f t="shared" si="256"/>
        <v>G0767</v>
      </c>
    </row>
    <row r="16438" spans="1:6" ht="33.75" x14ac:dyDescent="0.2">
      <c r="A16438" s="29" t="s">
        <v>36374</v>
      </c>
      <c r="B16438" s="30" t="s">
        <v>36375</v>
      </c>
      <c r="C16438" s="29" t="s">
        <v>26</v>
      </c>
      <c r="D16438" s="31">
        <v>5.77</v>
      </c>
      <c r="F16438" s="3" t="str">
        <f t="shared" si="256"/>
        <v>G0769</v>
      </c>
    </row>
    <row r="16439" spans="1:6" ht="33.75" x14ac:dyDescent="0.2">
      <c r="A16439" s="29" t="s">
        <v>36376</v>
      </c>
      <c r="B16439" s="30" t="s">
        <v>36377</v>
      </c>
      <c r="C16439" s="29" t="s">
        <v>26</v>
      </c>
      <c r="D16439" s="31">
        <v>28.49</v>
      </c>
      <c r="F16439" s="3" t="str">
        <f t="shared" si="256"/>
        <v>G0734</v>
      </c>
    </row>
    <row r="16440" spans="1:6" ht="33.75" x14ac:dyDescent="0.2">
      <c r="A16440" s="29" t="s">
        <v>36378</v>
      </c>
      <c r="B16440" s="30" t="s">
        <v>36379</v>
      </c>
      <c r="C16440" s="29" t="s">
        <v>26</v>
      </c>
      <c r="D16440" s="31">
        <v>15.01</v>
      </c>
      <c r="F16440" s="3" t="str">
        <f t="shared" si="256"/>
        <v>G0730</v>
      </c>
    </row>
    <row r="16441" spans="1:6" ht="33.75" x14ac:dyDescent="0.2">
      <c r="A16441" s="29" t="s">
        <v>36380</v>
      </c>
      <c r="B16441" s="30" t="s">
        <v>36381</v>
      </c>
      <c r="C16441" s="29" t="s">
        <v>26</v>
      </c>
      <c r="D16441" s="31">
        <v>28.49</v>
      </c>
      <c r="F16441" s="3" t="str">
        <f t="shared" si="256"/>
        <v>G0733</v>
      </c>
    </row>
    <row r="16442" spans="1:6" ht="33.75" x14ac:dyDescent="0.2">
      <c r="A16442" s="29" t="s">
        <v>36382</v>
      </c>
      <c r="B16442" s="30" t="s">
        <v>36383</v>
      </c>
      <c r="C16442" s="29" t="s">
        <v>26</v>
      </c>
      <c r="D16442" s="31">
        <v>23.2</v>
      </c>
      <c r="F16442" s="3" t="str">
        <f t="shared" si="256"/>
        <v>G0732</v>
      </c>
    </row>
    <row r="16443" spans="1:6" ht="33.75" x14ac:dyDescent="0.2">
      <c r="A16443" s="29" t="s">
        <v>36384</v>
      </c>
      <c r="B16443" s="30" t="s">
        <v>36385</v>
      </c>
      <c r="C16443" s="29" t="s">
        <v>26</v>
      </c>
      <c r="D16443" s="31">
        <v>15.23</v>
      </c>
      <c r="F16443" s="3" t="str">
        <f t="shared" si="256"/>
        <v>G0731</v>
      </c>
    </row>
    <row r="16444" spans="1:6" ht="33.75" x14ac:dyDescent="0.2">
      <c r="A16444" s="29" t="s">
        <v>36386</v>
      </c>
      <c r="B16444" s="30" t="s">
        <v>36387</v>
      </c>
      <c r="C16444" s="29" t="s">
        <v>26</v>
      </c>
      <c r="D16444" s="31">
        <v>10.45</v>
      </c>
      <c r="F16444" s="3" t="str">
        <f t="shared" si="256"/>
        <v>G0729</v>
      </c>
    </row>
    <row r="16445" spans="1:6" ht="22.5" x14ac:dyDescent="0.2">
      <c r="A16445" s="29" t="s">
        <v>36388</v>
      </c>
      <c r="B16445" s="30" t="s">
        <v>36389</v>
      </c>
      <c r="C16445" s="29" t="s">
        <v>26</v>
      </c>
      <c r="D16445" s="31">
        <v>154.41</v>
      </c>
      <c r="F16445" s="3" t="str">
        <f t="shared" si="256"/>
        <v>G0178</v>
      </c>
    </row>
    <row r="16446" spans="1:6" ht="22.5" x14ac:dyDescent="0.2">
      <c r="A16446" s="29" t="s">
        <v>36390</v>
      </c>
      <c r="B16446" s="30" t="s">
        <v>36391</v>
      </c>
      <c r="C16446" s="29" t="s">
        <v>26</v>
      </c>
      <c r="D16446" s="31">
        <v>248.76</v>
      </c>
      <c r="F16446" s="3" t="str">
        <f t="shared" si="256"/>
        <v>G0179</v>
      </c>
    </row>
    <row r="16447" spans="1:6" ht="22.5" x14ac:dyDescent="0.2">
      <c r="A16447" s="29" t="s">
        <v>36392</v>
      </c>
      <c r="B16447" s="30" t="s">
        <v>36393</v>
      </c>
      <c r="C16447" s="29" t="s">
        <v>26</v>
      </c>
      <c r="D16447" s="31">
        <v>262.70999999999998</v>
      </c>
      <c r="F16447" s="3" t="str">
        <f t="shared" si="256"/>
        <v>G0180</v>
      </c>
    </row>
    <row r="16448" spans="1:6" ht="22.5" x14ac:dyDescent="0.2">
      <c r="A16448" s="29" t="s">
        <v>36394</v>
      </c>
      <c r="B16448" s="30" t="s">
        <v>36395</v>
      </c>
      <c r="C16448" s="29" t="s">
        <v>26</v>
      </c>
      <c r="D16448" s="31">
        <v>157.08000000000001</v>
      </c>
      <c r="F16448" s="3" t="str">
        <f t="shared" si="256"/>
        <v>G0828</v>
      </c>
    </row>
    <row r="16449" spans="1:6" ht="22.5" x14ac:dyDescent="0.2">
      <c r="A16449" s="29" t="s">
        <v>36396</v>
      </c>
      <c r="B16449" s="30" t="s">
        <v>36397</v>
      </c>
      <c r="C16449" s="29" t="s">
        <v>26</v>
      </c>
      <c r="D16449" s="31">
        <v>256.07</v>
      </c>
      <c r="F16449" s="3" t="str">
        <f t="shared" si="256"/>
        <v>G0829</v>
      </c>
    </row>
    <row r="16450" spans="1:6" ht="22.5" x14ac:dyDescent="0.2">
      <c r="A16450" s="29" t="s">
        <v>36398</v>
      </c>
      <c r="B16450" s="30" t="s">
        <v>36399</v>
      </c>
      <c r="C16450" s="29" t="s">
        <v>26</v>
      </c>
      <c r="D16450" s="31">
        <v>153.52000000000001</v>
      </c>
      <c r="F16450" s="3" t="str">
        <f t="shared" ref="F16450:F16513" si="257">A16450</f>
        <v>G0181</v>
      </c>
    </row>
    <row r="16451" spans="1:6" ht="33.75" x14ac:dyDescent="0.2">
      <c r="A16451" s="29" t="s">
        <v>36400</v>
      </c>
      <c r="B16451" s="30" t="s">
        <v>36401</v>
      </c>
      <c r="C16451" s="29" t="s">
        <v>26</v>
      </c>
      <c r="D16451" s="31">
        <v>158.91</v>
      </c>
      <c r="F16451" s="3" t="str">
        <f t="shared" si="257"/>
        <v>G0182</v>
      </c>
    </row>
    <row r="16452" spans="1:6" ht="33.75" x14ac:dyDescent="0.2">
      <c r="A16452" s="29" t="s">
        <v>36402</v>
      </c>
      <c r="B16452" s="30" t="s">
        <v>36403</v>
      </c>
      <c r="C16452" s="29" t="s">
        <v>26</v>
      </c>
      <c r="D16452" s="31">
        <v>117.62</v>
      </c>
      <c r="F16452" s="3" t="str">
        <f t="shared" si="257"/>
        <v>G0183</v>
      </c>
    </row>
    <row r="16453" spans="1:6" ht="33.75" x14ac:dyDescent="0.2">
      <c r="A16453" s="29" t="s">
        <v>36404</v>
      </c>
      <c r="B16453" s="30" t="s">
        <v>36405</v>
      </c>
      <c r="C16453" s="29" t="s">
        <v>26</v>
      </c>
      <c r="D16453" s="31">
        <v>267.98</v>
      </c>
      <c r="F16453" s="3" t="str">
        <f t="shared" si="257"/>
        <v>G0184</v>
      </c>
    </row>
    <row r="16454" spans="1:6" ht="33.75" x14ac:dyDescent="0.2">
      <c r="A16454" s="29" t="s">
        <v>36406</v>
      </c>
      <c r="B16454" s="30" t="s">
        <v>36407</v>
      </c>
      <c r="C16454" s="29" t="s">
        <v>26</v>
      </c>
      <c r="D16454" s="31">
        <v>640.20000000000005</v>
      </c>
      <c r="F16454" s="3" t="str">
        <f t="shared" si="257"/>
        <v>G0185</v>
      </c>
    </row>
    <row r="16455" spans="1:6" ht="22.5" x14ac:dyDescent="0.2">
      <c r="A16455" s="29" t="s">
        <v>36408</v>
      </c>
      <c r="B16455" s="30" t="s">
        <v>36409</v>
      </c>
      <c r="C16455" s="29" t="s">
        <v>26</v>
      </c>
      <c r="D16455" s="31">
        <v>88.68</v>
      </c>
      <c r="F16455" s="3" t="str">
        <f t="shared" si="257"/>
        <v>G0186</v>
      </c>
    </row>
    <row r="16456" spans="1:6" ht="22.5" x14ac:dyDescent="0.2">
      <c r="A16456" s="29" t="s">
        <v>36410</v>
      </c>
      <c r="B16456" s="30" t="s">
        <v>36411</v>
      </c>
      <c r="C16456" s="29" t="s">
        <v>26</v>
      </c>
      <c r="D16456" s="31">
        <v>172.85</v>
      </c>
      <c r="F16456" s="3" t="str">
        <f t="shared" si="257"/>
        <v>G0187</v>
      </c>
    </row>
    <row r="16457" spans="1:6" x14ac:dyDescent="0.2">
      <c r="A16457" s="29" t="s">
        <v>36412</v>
      </c>
      <c r="B16457" s="30" t="s">
        <v>36413</v>
      </c>
      <c r="C16457" s="29" t="s">
        <v>26</v>
      </c>
      <c r="D16457" s="31">
        <v>86.37</v>
      </c>
      <c r="F16457" s="3" t="str">
        <f t="shared" si="257"/>
        <v>G0188</v>
      </c>
    </row>
    <row r="16458" spans="1:6" ht="33.75" x14ac:dyDescent="0.2">
      <c r="A16458" s="29" t="s">
        <v>36414</v>
      </c>
      <c r="B16458" s="30" t="s">
        <v>36415</v>
      </c>
      <c r="C16458" s="29" t="s">
        <v>26</v>
      </c>
      <c r="D16458" s="31">
        <v>36.81</v>
      </c>
      <c r="F16458" s="3" t="str">
        <f t="shared" si="257"/>
        <v>G0739</v>
      </c>
    </row>
    <row r="16459" spans="1:6" ht="33.75" x14ac:dyDescent="0.2">
      <c r="A16459" s="29" t="s">
        <v>36416</v>
      </c>
      <c r="B16459" s="30" t="s">
        <v>36417</v>
      </c>
      <c r="C16459" s="29" t="s">
        <v>26</v>
      </c>
      <c r="D16459" s="31">
        <v>22.5</v>
      </c>
      <c r="F16459" s="3" t="str">
        <f t="shared" si="257"/>
        <v>G0737</v>
      </c>
    </row>
    <row r="16460" spans="1:6" ht="33.75" x14ac:dyDescent="0.2">
      <c r="A16460" s="29" t="s">
        <v>36418</v>
      </c>
      <c r="B16460" s="30" t="s">
        <v>36419</v>
      </c>
      <c r="C16460" s="29" t="s">
        <v>26</v>
      </c>
      <c r="D16460" s="31">
        <v>22.63</v>
      </c>
      <c r="F16460" s="3" t="str">
        <f t="shared" si="257"/>
        <v>G0738</v>
      </c>
    </row>
    <row r="16461" spans="1:6" ht="33.75" x14ac:dyDescent="0.2">
      <c r="A16461" s="29" t="s">
        <v>36420</v>
      </c>
      <c r="B16461" s="30" t="s">
        <v>36421</v>
      </c>
      <c r="C16461" s="29" t="s">
        <v>26</v>
      </c>
      <c r="D16461" s="31">
        <v>13.87</v>
      </c>
      <c r="F16461" s="3" t="str">
        <f t="shared" si="257"/>
        <v>G0735</v>
      </c>
    </row>
    <row r="16462" spans="1:6" ht="33.75" x14ac:dyDescent="0.2">
      <c r="A16462" s="29" t="s">
        <v>36422</v>
      </c>
      <c r="B16462" s="30" t="s">
        <v>36423</v>
      </c>
      <c r="C16462" s="29" t="s">
        <v>26</v>
      </c>
      <c r="D16462" s="31">
        <v>15.2</v>
      </c>
      <c r="F16462" s="3" t="str">
        <f t="shared" si="257"/>
        <v>G0736</v>
      </c>
    </row>
    <row r="16463" spans="1:6" x14ac:dyDescent="0.2">
      <c r="A16463" s="29" t="s">
        <v>36424</v>
      </c>
      <c r="B16463" s="30" t="s">
        <v>36425</v>
      </c>
      <c r="C16463" s="29" t="s">
        <v>26</v>
      </c>
      <c r="D16463" s="31">
        <v>12.27</v>
      </c>
      <c r="F16463" s="3" t="str">
        <f t="shared" si="257"/>
        <v>G0189</v>
      </c>
    </row>
    <row r="16464" spans="1:6" x14ac:dyDescent="0.2">
      <c r="A16464" s="29" t="s">
        <v>36426</v>
      </c>
      <c r="B16464" s="30" t="s">
        <v>36427</v>
      </c>
      <c r="C16464" s="29" t="s">
        <v>26</v>
      </c>
      <c r="D16464" s="31">
        <v>25.62</v>
      </c>
      <c r="F16464" s="3" t="str">
        <f t="shared" si="257"/>
        <v>G0190</v>
      </c>
    </row>
    <row r="16465" spans="1:6" x14ac:dyDescent="0.2">
      <c r="A16465" s="29" t="s">
        <v>36428</v>
      </c>
      <c r="B16465" s="30" t="s">
        <v>36429</v>
      </c>
      <c r="C16465" s="29" t="s">
        <v>26</v>
      </c>
      <c r="D16465" s="31">
        <v>18.38</v>
      </c>
      <c r="F16465" s="3" t="str">
        <f t="shared" si="257"/>
        <v>G0191</v>
      </c>
    </row>
    <row r="16466" spans="1:6" ht="22.5" x14ac:dyDescent="0.2">
      <c r="A16466" s="29" t="s">
        <v>36430</v>
      </c>
      <c r="B16466" s="30" t="s">
        <v>36431</v>
      </c>
      <c r="C16466" s="29" t="s">
        <v>26</v>
      </c>
      <c r="D16466" s="31">
        <v>75.930000000000007</v>
      </c>
      <c r="F16466" s="3" t="str">
        <f t="shared" si="257"/>
        <v>G0830</v>
      </c>
    </row>
    <row r="16467" spans="1:6" ht="22.5" x14ac:dyDescent="0.2">
      <c r="A16467" s="29" t="s">
        <v>36432</v>
      </c>
      <c r="B16467" s="30" t="s">
        <v>36433</v>
      </c>
      <c r="C16467" s="29" t="s">
        <v>26</v>
      </c>
      <c r="D16467" s="31">
        <v>148.75</v>
      </c>
      <c r="F16467" s="3" t="str">
        <f t="shared" si="257"/>
        <v>G0831</v>
      </c>
    </row>
    <row r="16468" spans="1:6" ht="22.5" x14ac:dyDescent="0.2">
      <c r="A16468" s="29" t="s">
        <v>36434</v>
      </c>
      <c r="B16468" s="30" t="s">
        <v>36435</v>
      </c>
      <c r="C16468" s="29" t="s">
        <v>26</v>
      </c>
      <c r="D16468" s="31">
        <v>20.6</v>
      </c>
      <c r="F16468" s="3" t="str">
        <f t="shared" si="257"/>
        <v>G0192</v>
      </c>
    </row>
    <row r="16469" spans="1:6" ht="22.5" x14ac:dyDescent="0.2">
      <c r="A16469" s="29" t="s">
        <v>36436</v>
      </c>
      <c r="B16469" s="30" t="s">
        <v>36437</v>
      </c>
      <c r="C16469" s="29" t="s">
        <v>26</v>
      </c>
      <c r="D16469" s="31">
        <v>36.79</v>
      </c>
      <c r="F16469" s="3" t="str">
        <f t="shared" si="257"/>
        <v>G0193</v>
      </c>
    </row>
    <row r="16470" spans="1:6" ht="22.5" x14ac:dyDescent="0.2">
      <c r="A16470" s="29" t="s">
        <v>36438</v>
      </c>
      <c r="B16470" s="30" t="s">
        <v>36439</v>
      </c>
      <c r="C16470" s="29" t="s">
        <v>26</v>
      </c>
      <c r="D16470" s="31">
        <v>44.55</v>
      </c>
      <c r="F16470" s="3" t="str">
        <f t="shared" si="257"/>
        <v>G0194</v>
      </c>
    </row>
    <row r="16471" spans="1:6" ht="22.5" x14ac:dyDescent="0.2">
      <c r="A16471" s="29" t="s">
        <v>36440</v>
      </c>
      <c r="B16471" s="30" t="s">
        <v>36441</v>
      </c>
      <c r="C16471" s="29" t="s">
        <v>26</v>
      </c>
      <c r="D16471" s="31">
        <v>57.52</v>
      </c>
      <c r="F16471" s="3" t="str">
        <f t="shared" si="257"/>
        <v>G0195</v>
      </c>
    </row>
    <row r="16472" spans="1:6" x14ac:dyDescent="0.2">
      <c r="A16472" s="29" t="s">
        <v>36442</v>
      </c>
      <c r="B16472" s="30" t="s">
        <v>36443</v>
      </c>
      <c r="C16472" s="29" t="s">
        <v>26</v>
      </c>
      <c r="D16472" s="31">
        <v>5195.37</v>
      </c>
      <c r="F16472" s="3" t="str">
        <f t="shared" si="257"/>
        <v>G0701</v>
      </c>
    </row>
    <row r="16473" spans="1:6" ht="22.5" x14ac:dyDescent="0.2">
      <c r="A16473" s="29" t="s">
        <v>36444</v>
      </c>
      <c r="B16473" s="30" t="s">
        <v>36445</v>
      </c>
      <c r="C16473" s="29" t="s">
        <v>26</v>
      </c>
      <c r="D16473" s="31">
        <v>27.29</v>
      </c>
      <c r="F16473" s="3" t="str">
        <f t="shared" si="257"/>
        <v>G0745</v>
      </c>
    </row>
    <row r="16474" spans="1:6" ht="22.5" x14ac:dyDescent="0.2">
      <c r="A16474" s="29" t="s">
        <v>36446</v>
      </c>
      <c r="B16474" s="30" t="s">
        <v>36447</v>
      </c>
      <c r="C16474" s="29" t="s">
        <v>26</v>
      </c>
      <c r="D16474" s="31">
        <v>19.809999999999999</v>
      </c>
      <c r="F16474" s="3" t="str">
        <f t="shared" si="257"/>
        <v>G0744</v>
      </c>
    </row>
    <row r="16475" spans="1:6" ht="22.5" x14ac:dyDescent="0.2">
      <c r="A16475" s="29" t="s">
        <v>36448</v>
      </c>
      <c r="B16475" s="30" t="s">
        <v>36449</v>
      </c>
      <c r="C16475" s="29" t="s">
        <v>26</v>
      </c>
      <c r="D16475" s="31">
        <v>16.2</v>
      </c>
      <c r="F16475" s="3" t="str">
        <f t="shared" si="257"/>
        <v>G0743</v>
      </c>
    </row>
    <row r="16476" spans="1:6" ht="22.5" x14ac:dyDescent="0.2">
      <c r="A16476" s="29" t="s">
        <v>36450</v>
      </c>
      <c r="B16476" s="30" t="s">
        <v>36451</v>
      </c>
      <c r="C16476" s="29" t="s">
        <v>26</v>
      </c>
      <c r="D16476" s="31">
        <v>7.66</v>
      </c>
      <c r="F16476" s="3" t="str">
        <f t="shared" si="257"/>
        <v>G0741</v>
      </c>
    </row>
    <row r="16477" spans="1:6" ht="22.5" x14ac:dyDescent="0.2">
      <c r="A16477" s="29" t="s">
        <v>36452</v>
      </c>
      <c r="B16477" s="30" t="s">
        <v>36453</v>
      </c>
      <c r="C16477" s="29" t="s">
        <v>26</v>
      </c>
      <c r="D16477" s="31">
        <v>6.74</v>
      </c>
      <c r="F16477" s="3" t="str">
        <f t="shared" si="257"/>
        <v>G0740</v>
      </c>
    </row>
    <row r="16478" spans="1:6" ht="22.5" x14ac:dyDescent="0.2">
      <c r="A16478" s="29" t="s">
        <v>36454</v>
      </c>
      <c r="B16478" s="30" t="s">
        <v>36455</v>
      </c>
      <c r="C16478" s="29" t="s">
        <v>26</v>
      </c>
      <c r="D16478" s="31">
        <v>10.37</v>
      </c>
      <c r="F16478" s="3" t="str">
        <f t="shared" si="257"/>
        <v>G0742</v>
      </c>
    </row>
    <row r="16479" spans="1:6" ht="22.5" x14ac:dyDescent="0.2">
      <c r="A16479" s="29" t="s">
        <v>36456</v>
      </c>
      <c r="B16479" s="30" t="s">
        <v>36457</v>
      </c>
      <c r="C16479" s="29" t="s">
        <v>26</v>
      </c>
      <c r="D16479" s="31">
        <v>458.69</v>
      </c>
      <c r="F16479" s="3" t="str">
        <f t="shared" si="257"/>
        <v>G0671</v>
      </c>
    </row>
    <row r="16480" spans="1:6" ht="22.5" x14ac:dyDescent="0.2">
      <c r="A16480" s="29" t="s">
        <v>36458</v>
      </c>
      <c r="B16480" s="30" t="s">
        <v>36459</v>
      </c>
      <c r="C16480" s="29" t="s">
        <v>26</v>
      </c>
      <c r="D16480" s="31">
        <v>216.66</v>
      </c>
      <c r="F16480" s="3" t="str">
        <f t="shared" si="257"/>
        <v>G0670</v>
      </c>
    </row>
    <row r="16481" spans="1:6" ht="22.5" x14ac:dyDescent="0.2">
      <c r="A16481" s="29" t="s">
        <v>36460</v>
      </c>
      <c r="B16481" s="30" t="s">
        <v>36461</v>
      </c>
      <c r="C16481" s="29" t="s">
        <v>26</v>
      </c>
      <c r="D16481" s="31">
        <v>1094.58</v>
      </c>
      <c r="F16481" s="3" t="str">
        <f t="shared" si="257"/>
        <v>G0672</v>
      </c>
    </row>
    <row r="16482" spans="1:6" ht="33.75" x14ac:dyDescent="0.2">
      <c r="A16482" s="29" t="s">
        <v>36462</v>
      </c>
      <c r="B16482" s="30" t="s">
        <v>36463</v>
      </c>
      <c r="C16482" s="29" t="s">
        <v>0</v>
      </c>
      <c r="D16482" s="31">
        <v>223.16</v>
      </c>
      <c r="F16482" s="3" t="str">
        <f t="shared" si="257"/>
        <v>G0196</v>
      </c>
    </row>
    <row r="16483" spans="1:6" ht="78.75" x14ac:dyDescent="0.2">
      <c r="A16483" s="29" t="s">
        <v>36464</v>
      </c>
      <c r="B16483" s="30" t="s">
        <v>36465</v>
      </c>
      <c r="C16483" s="29" t="s">
        <v>26</v>
      </c>
      <c r="D16483" s="31">
        <v>416.82</v>
      </c>
      <c r="F16483" s="3" t="str">
        <f t="shared" si="257"/>
        <v>G0204</v>
      </c>
    </row>
    <row r="16484" spans="1:6" ht="112.5" x14ac:dyDescent="0.2">
      <c r="A16484" s="29" t="s">
        <v>36466</v>
      </c>
      <c r="B16484" s="30" t="s">
        <v>36467</v>
      </c>
      <c r="C16484" s="29" t="s">
        <v>26</v>
      </c>
      <c r="D16484" s="31">
        <v>458.87</v>
      </c>
      <c r="F16484" s="3" t="str">
        <f t="shared" si="257"/>
        <v>G0208</v>
      </c>
    </row>
    <row r="16485" spans="1:6" ht="112.5" x14ac:dyDescent="0.2">
      <c r="A16485" s="29" t="s">
        <v>36468</v>
      </c>
      <c r="B16485" s="30" t="s">
        <v>36469</v>
      </c>
      <c r="C16485" s="29" t="s">
        <v>26</v>
      </c>
      <c r="D16485" s="31">
        <v>518.4</v>
      </c>
      <c r="F16485" s="3" t="str">
        <f t="shared" si="257"/>
        <v>G0209</v>
      </c>
    </row>
    <row r="16486" spans="1:6" ht="78.75" x14ac:dyDescent="0.2">
      <c r="A16486" s="29" t="s">
        <v>36470</v>
      </c>
      <c r="B16486" s="30" t="s">
        <v>36471</v>
      </c>
      <c r="C16486" s="29" t="s">
        <v>26</v>
      </c>
      <c r="D16486" s="31">
        <v>487.2</v>
      </c>
      <c r="F16486" s="3" t="str">
        <f t="shared" si="257"/>
        <v>G0197</v>
      </c>
    </row>
    <row r="16487" spans="1:6" ht="112.5" x14ac:dyDescent="0.2">
      <c r="A16487" s="29" t="s">
        <v>36472</v>
      </c>
      <c r="B16487" s="30" t="s">
        <v>36473</v>
      </c>
      <c r="C16487" s="29" t="s">
        <v>26</v>
      </c>
      <c r="D16487" s="31">
        <v>812.6</v>
      </c>
      <c r="F16487" s="3" t="str">
        <f t="shared" si="257"/>
        <v>G0210</v>
      </c>
    </row>
    <row r="16488" spans="1:6" ht="112.5" x14ac:dyDescent="0.2">
      <c r="A16488" s="29" t="s">
        <v>36474</v>
      </c>
      <c r="B16488" s="30" t="s">
        <v>36475</v>
      </c>
      <c r="C16488" s="29" t="s">
        <v>26</v>
      </c>
      <c r="D16488" s="31">
        <v>1429.51</v>
      </c>
      <c r="F16488" s="3" t="str">
        <f t="shared" si="257"/>
        <v>G0211</v>
      </c>
    </row>
    <row r="16489" spans="1:6" ht="78.75" x14ac:dyDescent="0.2">
      <c r="A16489" s="29" t="s">
        <v>36476</v>
      </c>
      <c r="B16489" s="30" t="s">
        <v>36477</v>
      </c>
      <c r="C16489" s="29" t="s">
        <v>26</v>
      </c>
      <c r="D16489" s="31">
        <v>459.66</v>
      </c>
      <c r="F16489" s="3" t="str">
        <f t="shared" si="257"/>
        <v>G0198</v>
      </c>
    </row>
    <row r="16490" spans="1:6" ht="112.5" x14ac:dyDescent="0.2">
      <c r="A16490" s="29" t="s">
        <v>36478</v>
      </c>
      <c r="B16490" s="30" t="s">
        <v>36479</v>
      </c>
      <c r="C16490" s="29" t="s">
        <v>26</v>
      </c>
      <c r="D16490" s="31">
        <v>520.76</v>
      </c>
      <c r="F16490" s="3" t="str">
        <f t="shared" si="257"/>
        <v>G0212</v>
      </c>
    </row>
    <row r="16491" spans="1:6" ht="78.75" x14ac:dyDescent="0.2">
      <c r="A16491" s="29" t="s">
        <v>36480</v>
      </c>
      <c r="B16491" s="30" t="s">
        <v>36481</v>
      </c>
      <c r="C16491" s="29" t="s">
        <v>26</v>
      </c>
      <c r="D16491" s="31">
        <v>506.8</v>
      </c>
      <c r="F16491" s="3" t="str">
        <f t="shared" si="257"/>
        <v>G0199</v>
      </c>
    </row>
    <row r="16492" spans="1:6" ht="112.5" x14ac:dyDescent="0.2">
      <c r="A16492" s="29" t="s">
        <v>36482</v>
      </c>
      <c r="B16492" s="30" t="s">
        <v>36483</v>
      </c>
      <c r="C16492" s="29" t="s">
        <v>26</v>
      </c>
      <c r="D16492" s="31">
        <v>588.91</v>
      </c>
      <c r="F16492" s="3" t="str">
        <f t="shared" si="257"/>
        <v>G0214</v>
      </c>
    </row>
    <row r="16493" spans="1:6" ht="78.75" x14ac:dyDescent="0.2">
      <c r="A16493" s="29" t="s">
        <v>36484</v>
      </c>
      <c r="B16493" s="30" t="s">
        <v>36485</v>
      </c>
      <c r="C16493" s="29" t="s">
        <v>26</v>
      </c>
      <c r="D16493" s="31">
        <v>551.02</v>
      </c>
      <c r="F16493" s="3" t="str">
        <f t="shared" si="257"/>
        <v>G0200</v>
      </c>
    </row>
    <row r="16494" spans="1:6" ht="112.5" x14ac:dyDescent="0.2">
      <c r="A16494" s="29" t="s">
        <v>36486</v>
      </c>
      <c r="B16494" s="30" t="s">
        <v>36487</v>
      </c>
      <c r="C16494" s="29" t="s">
        <v>26</v>
      </c>
      <c r="D16494" s="31">
        <v>652.91999999999996</v>
      </c>
      <c r="F16494" s="3" t="str">
        <f t="shared" si="257"/>
        <v>G0216</v>
      </c>
    </row>
    <row r="16495" spans="1:6" ht="78.75" x14ac:dyDescent="0.2">
      <c r="A16495" s="29" t="s">
        <v>36488</v>
      </c>
      <c r="B16495" s="30" t="s">
        <v>36489</v>
      </c>
      <c r="C16495" s="29" t="s">
        <v>26</v>
      </c>
      <c r="D16495" s="31">
        <v>631.9</v>
      </c>
      <c r="F16495" s="3" t="str">
        <f t="shared" si="257"/>
        <v>G0201</v>
      </c>
    </row>
    <row r="16496" spans="1:6" ht="112.5" x14ac:dyDescent="0.2">
      <c r="A16496" s="29" t="s">
        <v>36490</v>
      </c>
      <c r="B16496" s="30" t="s">
        <v>36491</v>
      </c>
      <c r="C16496" s="29" t="s">
        <v>26</v>
      </c>
      <c r="D16496" s="31">
        <v>753.92</v>
      </c>
      <c r="F16496" s="3" t="str">
        <f t="shared" si="257"/>
        <v>G0205</v>
      </c>
    </row>
    <row r="16497" spans="1:6" ht="112.5" x14ac:dyDescent="0.2">
      <c r="A16497" s="29" t="s">
        <v>36492</v>
      </c>
      <c r="B16497" s="30" t="s">
        <v>36493</v>
      </c>
      <c r="C16497" s="29" t="s">
        <v>26</v>
      </c>
      <c r="D16497" s="31">
        <v>1632.33</v>
      </c>
      <c r="F16497" s="3" t="str">
        <f t="shared" si="257"/>
        <v>G0206</v>
      </c>
    </row>
    <row r="16498" spans="1:6" ht="78.75" x14ac:dyDescent="0.2">
      <c r="A16498" s="29" t="s">
        <v>36494</v>
      </c>
      <c r="B16498" s="30" t="s">
        <v>36495</v>
      </c>
      <c r="C16498" s="29" t="s">
        <v>26</v>
      </c>
      <c r="D16498" s="31">
        <v>674.8</v>
      </c>
      <c r="F16498" s="3" t="str">
        <f t="shared" si="257"/>
        <v>G0202</v>
      </c>
    </row>
    <row r="16499" spans="1:6" ht="112.5" x14ac:dyDescent="0.2">
      <c r="A16499" s="29" t="s">
        <v>36496</v>
      </c>
      <c r="B16499" s="30" t="s">
        <v>36497</v>
      </c>
      <c r="C16499" s="29" t="s">
        <v>26</v>
      </c>
      <c r="D16499" s="31">
        <v>816.86</v>
      </c>
      <c r="F16499" s="3" t="str">
        <f t="shared" si="257"/>
        <v>G0207</v>
      </c>
    </row>
    <row r="16500" spans="1:6" ht="112.5" x14ac:dyDescent="0.2">
      <c r="A16500" s="29" t="s">
        <v>36498</v>
      </c>
      <c r="B16500" s="30" t="s">
        <v>36499</v>
      </c>
      <c r="C16500" s="29" t="s">
        <v>26</v>
      </c>
      <c r="D16500" s="31">
        <v>1851.91</v>
      </c>
      <c r="F16500" s="3" t="str">
        <f t="shared" si="257"/>
        <v>G0203</v>
      </c>
    </row>
    <row r="16501" spans="1:6" ht="112.5" x14ac:dyDescent="0.2">
      <c r="A16501" s="29" t="s">
        <v>36500</v>
      </c>
      <c r="B16501" s="30" t="s">
        <v>36501</v>
      </c>
      <c r="C16501" s="29" t="s">
        <v>26</v>
      </c>
      <c r="D16501" s="31">
        <v>925.48</v>
      </c>
      <c r="F16501" s="3" t="str">
        <f t="shared" si="257"/>
        <v>G0213</v>
      </c>
    </row>
    <row r="16502" spans="1:6" ht="112.5" x14ac:dyDescent="0.2">
      <c r="A16502" s="29" t="s">
        <v>36502</v>
      </c>
      <c r="B16502" s="30" t="s">
        <v>36503</v>
      </c>
      <c r="C16502" s="29" t="s">
        <v>26</v>
      </c>
      <c r="D16502" s="31">
        <v>1156.6500000000001</v>
      </c>
      <c r="F16502" s="3" t="str">
        <f t="shared" si="257"/>
        <v>G0215</v>
      </c>
    </row>
    <row r="16503" spans="1:6" ht="112.5" x14ac:dyDescent="0.2">
      <c r="A16503" s="29" t="s">
        <v>36504</v>
      </c>
      <c r="B16503" s="30" t="s">
        <v>36505</v>
      </c>
      <c r="C16503" s="29" t="s">
        <v>26</v>
      </c>
      <c r="D16503" s="31">
        <v>1230.17</v>
      </c>
      <c r="F16503" s="3" t="str">
        <f t="shared" si="257"/>
        <v>G0217</v>
      </c>
    </row>
    <row r="16504" spans="1:6" x14ac:dyDescent="0.2">
      <c r="A16504" s="29" t="s">
        <v>36506</v>
      </c>
      <c r="B16504" s="30" t="s">
        <v>36507</v>
      </c>
      <c r="C16504" s="29" t="s">
        <v>26</v>
      </c>
      <c r="D16504" s="31">
        <v>100.26</v>
      </c>
      <c r="F16504" s="3" t="str">
        <f t="shared" si="257"/>
        <v>G0668</v>
      </c>
    </row>
    <row r="16505" spans="1:6" x14ac:dyDescent="0.2">
      <c r="A16505" s="29" t="s">
        <v>36508</v>
      </c>
      <c r="B16505" s="30" t="s">
        <v>36509</v>
      </c>
      <c r="C16505" s="29" t="s">
        <v>26</v>
      </c>
      <c r="D16505" s="31">
        <v>92.78</v>
      </c>
      <c r="F16505" s="3" t="str">
        <f t="shared" si="257"/>
        <v>G0669</v>
      </c>
    </row>
    <row r="16506" spans="1:6" ht="22.5" x14ac:dyDescent="0.2">
      <c r="A16506" s="29" t="s">
        <v>36510</v>
      </c>
      <c r="B16506" s="30" t="s">
        <v>36511</v>
      </c>
      <c r="C16506" s="29" t="s">
        <v>26</v>
      </c>
      <c r="D16506" s="31">
        <v>401.65</v>
      </c>
      <c r="F16506" s="3" t="str">
        <f t="shared" si="257"/>
        <v>G0218</v>
      </c>
    </row>
    <row r="16507" spans="1:6" x14ac:dyDescent="0.2">
      <c r="A16507" s="29" t="s">
        <v>36512</v>
      </c>
      <c r="B16507" s="30" t="s">
        <v>36513</v>
      </c>
      <c r="C16507" s="29" t="s">
        <v>26</v>
      </c>
      <c r="D16507" s="31">
        <v>372.9</v>
      </c>
      <c r="F16507" s="3" t="str">
        <f t="shared" si="257"/>
        <v>G0572</v>
      </c>
    </row>
    <row r="16508" spans="1:6" x14ac:dyDescent="0.2">
      <c r="A16508" s="29" t="s">
        <v>36514</v>
      </c>
      <c r="B16508" s="30" t="s">
        <v>36515</v>
      </c>
      <c r="C16508" s="29" t="s">
        <v>26</v>
      </c>
      <c r="D16508" s="31">
        <v>342.17</v>
      </c>
      <c r="F16508" s="3" t="str">
        <f t="shared" si="257"/>
        <v>G0573</v>
      </c>
    </row>
    <row r="16509" spans="1:6" x14ac:dyDescent="0.2">
      <c r="A16509" s="29" t="s">
        <v>36516</v>
      </c>
      <c r="B16509" s="30" t="s">
        <v>36517</v>
      </c>
      <c r="C16509" s="29" t="s">
        <v>26</v>
      </c>
      <c r="D16509" s="31">
        <v>4932.51</v>
      </c>
      <c r="F16509" s="3" t="str">
        <f t="shared" si="257"/>
        <v>G0577</v>
      </c>
    </row>
    <row r="16510" spans="1:6" x14ac:dyDescent="0.2">
      <c r="A16510" s="29" t="s">
        <v>36518</v>
      </c>
      <c r="B16510" s="30" t="s">
        <v>36519</v>
      </c>
      <c r="C16510" s="29" t="s">
        <v>26</v>
      </c>
      <c r="D16510" s="31">
        <v>5586.43</v>
      </c>
      <c r="F16510" s="3" t="str">
        <f t="shared" si="257"/>
        <v>G0578</v>
      </c>
    </row>
    <row r="16511" spans="1:6" x14ac:dyDescent="0.2">
      <c r="A16511" s="29" t="s">
        <v>36520</v>
      </c>
      <c r="B16511" s="30" t="s">
        <v>36521</v>
      </c>
      <c r="C16511" s="29" t="s">
        <v>26</v>
      </c>
      <c r="D16511" s="31">
        <v>443.47</v>
      </c>
      <c r="F16511" s="3" t="str">
        <f t="shared" si="257"/>
        <v>G0574</v>
      </c>
    </row>
    <row r="16512" spans="1:6" x14ac:dyDescent="0.2">
      <c r="A16512" s="29" t="s">
        <v>36522</v>
      </c>
      <c r="B16512" s="30" t="s">
        <v>36523</v>
      </c>
      <c r="C16512" s="29" t="s">
        <v>26</v>
      </c>
      <c r="D16512" s="31">
        <v>617.92999999999995</v>
      </c>
      <c r="F16512" s="3" t="str">
        <f t="shared" si="257"/>
        <v>G0575</v>
      </c>
    </row>
    <row r="16513" spans="1:6" x14ac:dyDescent="0.2">
      <c r="A16513" s="29" t="s">
        <v>36524</v>
      </c>
      <c r="B16513" s="30" t="s">
        <v>36525</v>
      </c>
      <c r="C16513" s="29" t="s">
        <v>26</v>
      </c>
      <c r="D16513" s="31">
        <v>1132.32</v>
      </c>
      <c r="F16513" s="3" t="str">
        <f t="shared" si="257"/>
        <v>G0576</v>
      </c>
    </row>
    <row r="16514" spans="1:6" x14ac:dyDescent="0.2">
      <c r="A16514" s="29" t="s">
        <v>36526</v>
      </c>
      <c r="B16514" s="30" t="s">
        <v>36527</v>
      </c>
      <c r="C16514" s="29" t="s">
        <v>26</v>
      </c>
      <c r="D16514" s="31">
        <v>8519.2199999999993</v>
      </c>
      <c r="F16514" s="3" t="str">
        <f t="shared" ref="F16514:F16577" si="258">A16514</f>
        <v>G0586</v>
      </c>
    </row>
    <row r="16515" spans="1:6" x14ac:dyDescent="0.2">
      <c r="A16515" s="29" t="s">
        <v>36528</v>
      </c>
      <c r="B16515" s="30" t="s">
        <v>36529</v>
      </c>
      <c r="C16515" s="29" t="s">
        <v>26</v>
      </c>
      <c r="D16515" s="31">
        <v>11392.5</v>
      </c>
      <c r="F16515" s="3" t="str">
        <f t="shared" si="258"/>
        <v>G0585</v>
      </c>
    </row>
    <row r="16516" spans="1:6" x14ac:dyDescent="0.2">
      <c r="A16516" s="29" t="s">
        <v>36530</v>
      </c>
      <c r="B16516" s="30" t="s">
        <v>36531</v>
      </c>
      <c r="C16516" s="29" t="s">
        <v>26</v>
      </c>
      <c r="D16516" s="31">
        <v>11924.15</v>
      </c>
      <c r="F16516" s="3" t="str">
        <f t="shared" si="258"/>
        <v>G0588</v>
      </c>
    </row>
    <row r="16517" spans="1:6" x14ac:dyDescent="0.2">
      <c r="A16517" s="29" t="s">
        <v>36532</v>
      </c>
      <c r="B16517" s="30" t="s">
        <v>36533</v>
      </c>
      <c r="C16517" s="29" t="s">
        <v>26</v>
      </c>
      <c r="D16517" s="31">
        <v>32539.15</v>
      </c>
      <c r="F16517" s="3" t="str">
        <f t="shared" si="258"/>
        <v>G0590</v>
      </c>
    </row>
    <row r="16518" spans="1:6" x14ac:dyDescent="0.2">
      <c r="A16518" s="29" t="s">
        <v>36534</v>
      </c>
      <c r="B16518" s="30" t="s">
        <v>36535</v>
      </c>
      <c r="C16518" s="29" t="s">
        <v>26</v>
      </c>
      <c r="D16518" s="31">
        <v>49869.86</v>
      </c>
      <c r="F16518" s="3" t="str">
        <f t="shared" si="258"/>
        <v>G0600</v>
      </c>
    </row>
    <row r="16519" spans="1:6" x14ac:dyDescent="0.2">
      <c r="A16519" s="29" t="s">
        <v>36536</v>
      </c>
      <c r="B16519" s="30" t="s">
        <v>36537</v>
      </c>
      <c r="C16519" s="29" t="s">
        <v>26</v>
      </c>
      <c r="D16519" s="31">
        <v>8717.98</v>
      </c>
      <c r="F16519" s="3" t="str">
        <f t="shared" si="258"/>
        <v>G0581</v>
      </c>
    </row>
    <row r="16520" spans="1:6" x14ac:dyDescent="0.2">
      <c r="A16520" s="29" t="s">
        <v>36538</v>
      </c>
      <c r="B16520" s="30" t="s">
        <v>36539</v>
      </c>
      <c r="C16520" s="29" t="s">
        <v>26</v>
      </c>
      <c r="D16520" s="31">
        <v>12964.27</v>
      </c>
      <c r="F16520" s="3" t="str">
        <f t="shared" si="258"/>
        <v>G0589</v>
      </c>
    </row>
    <row r="16521" spans="1:6" x14ac:dyDescent="0.2">
      <c r="A16521" s="29" t="s">
        <v>36540</v>
      </c>
      <c r="B16521" s="30" t="s">
        <v>36541</v>
      </c>
      <c r="C16521" s="29" t="s">
        <v>26</v>
      </c>
      <c r="D16521" s="31">
        <v>15056.55</v>
      </c>
      <c r="F16521" s="3" t="str">
        <f t="shared" si="258"/>
        <v>G0593</v>
      </c>
    </row>
    <row r="16522" spans="1:6" x14ac:dyDescent="0.2">
      <c r="A16522" s="29" t="s">
        <v>36542</v>
      </c>
      <c r="B16522" s="30" t="s">
        <v>36543</v>
      </c>
      <c r="C16522" s="29" t="s">
        <v>26</v>
      </c>
      <c r="D16522" s="31">
        <v>29186.5</v>
      </c>
      <c r="F16522" s="3" t="str">
        <f t="shared" si="258"/>
        <v>G0591</v>
      </c>
    </row>
    <row r="16523" spans="1:6" x14ac:dyDescent="0.2">
      <c r="A16523" s="29" t="s">
        <v>36544</v>
      </c>
      <c r="B16523" s="30" t="s">
        <v>36545</v>
      </c>
      <c r="C16523" s="29" t="s">
        <v>26</v>
      </c>
      <c r="D16523" s="31">
        <v>51879.28</v>
      </c>
      <c r="F16523" s="3" t="str">
        <f t="shared" si="258"/>
        <v>G0601</v>
      </c>
    </row>
    <row r="16524" spans="1:6" x14ac:dyDescent="0.2">
      <c r="A16524" s="29" t="s">
        <v>36546</v>
      </c>
      <c r="B16524" s="30" t="s">
        <v>36547</v>
      </c>
      <c r="C16524" s="29" t="s">
        <v>26</v>
      </c>
      <c r="D16524" s="31">
        <v>9265.9</v>
      </c>
      <c r="F16524" s="3" t="str">
        <f t="shared" si="258"/>
        <v>G0582</v>
      </c>
    </row>
    <row r="16525" spans="1:6" x14ac:dyDescent="0.2">
      <c r="A16525" s="29" t="s">
        <v>36548</v>
      </c>
      <c r="B16525" s="30" t="s">
        <v>36549</v>
      </c>
      <c r="C16525" s="29" t="s">
        <v>26</v>
      </c>
      <c r="D16525" s="31">
        <v>9558.85</v>
      </c>
      <c r="F16525" s="3" t="str">
        <f t="shared" si="258"/>
        <v>G0583</v>
      </c>
    </row>
    <row r="16526" spans="1:6" x14ac:dyDescent="0.2">
      <c r="A16526" s="29" t="s">
        <v>36550</v>
      </c>
      <c r="B16526" s="30" t="s">
        <v>36551</v>
      </c>
      <c r="C16526" s="29" t="s">
        <v>26</v>
      </c>
      <c r="D16526" s="31">
        <v>10473.51</v>
      </c>
      <c r="F16526" s="3" t="str">
        <f t="shared" si="258"/>
        <v>G0579</v>
      </c>
    </row>
    <row r="16527" spans="1:6" x14ac:dyDescent="0.2">
      <c r="A16527" s="29" t="s">
        <v>36552</v>
      </c>
      <c r="B16527" s="30" t="s">
        <v>36553</v>
      </c>
      <c r="C16527" s="29" t="s">
        <v>26</v>
      </c>
      <c r="D16527" s="31">
        <v>8353.42</v>
      </c>
      <c r="F16527" s="3" t="str">
        <f t="shared" si="258"/>
        <v>G0584</v>
      </c>
    </row>
    <row r="16528" spans="1:6" x14ac:dyDescent="0.2">
      <c r="A16528" s="29" t="s">
        <v>36554</v>
      </c>
      <c r="B16528" s="30" t="s">
        <v>36555</v>
      </c>
      <c r="C16528" s="29" t="s">
        <v>26</v>
      </c>
      <c r="D16528" s="31">
        <v>9168.25</v>
      </c>
      <c r="F16528" s="3" t="str">
        <f t="shared" si="258"/>
        <v>G0587</v>
      </c>
    </row>
    <row r="16529" spans="1:6" x14ac:dyDescent="0.2">
      <c r="A16529" s="29" t="s">
        <v>36556</v>
      </c>
      <c r="B16529" s="30" t="s">
        <v>36557</v>
      </c>
      <c r="C16529" s="29" t="s">
        <v>26</v>
      </c>
      <c r="D16529" s="31">
        <v>14734.3</v>
      </c>
      <c r="F16529" s="3" t="str">
        <f t="shared" si="258"/>
        <v>G0592</v>
      </c>
    </row>
    <row r="16530" spans="1:6" x14ac:dyDescent="0.2">
      <c r="A16530" s="29" t="s">
        <v>36558</v>
      </c>
      <c r="B16530" s="30" t="s">
        <v>36559</v>
      </c>
      <c r="C16530" s="29" t="s">
        <v>26</v>
      </c>
      <c r="D16530" s="31">
        <v>22416.1</v>
      </c>
      <c r="F16530" s="3" t="str">
        <f t="shared" si="258"/>
        <v>G0598</v>
      </c>
    </row>
    <row r="16531" spans="1:6" x14ac:dyDescent="0.2">
      <c r="A16531" s="29" t="s">
        <v>36560</v>
      </c>
      <c r="B16531" s="30" t="s">
        <v>36561</v>
      </c>
      <c r="C16531" s="29" t="s">
        <v>26</v>
      </c>
      <c r="D16531" s="31">
        <v>16993.27</v>
      </c>
      <c r="F16531" s="3" t="str">
        <f t="shared" si="258"/>
        <v>G0594</v>
      </c>
    </row>
    <row r="16532" spans="1:6" x14ac:dyDescent="0.2">
      <c r="A16532" s="29" t="s">
        <v>36562</v>
      </c>
      <c r="B16532" s="30" t="s">
        <v>36563</v>
      </c>
      <c r="C16532" s="29" t="s">
        <v>26</v>
      </c>
      <c r="D16532" s="31">
        <v>16993.27</v>
      </c>
      <c r="F16532" s="3" t="str">
        <f t="shared" si="258"/>
        <v>G0595</v>
      </c>
    </row>
    <row r="16533" spans="1:6" x14ac:dyDescent="0.2">
      <c r="A16533" s="29" t="s">
        <v>36564</v>
      </c>
      <c r="B16533" s="30" t="s">
        <v>36565</v>
      </c>
      <c r="C16533" s="29" t="s">
        <v>26</v>
      </c>
      <c r="D16533" s="31">
        <v>22325.8</v>
      </c>
      <c r="F16533" s="3" t="str">
        <f t="shared" si="258"/>
        <v>G0596</v>
      </c>
    </row>
    <row r="16534" spans="1:6" x14ac:dyDescent="0.2">
      <c r="A16534" s="29" t="s">
        <v>36566</v>
      </c>
      <c r="B16534" s="30" t="s">
        <v>36567</v>
      </c>
      <c r="C16534" s="29" t="s">
        <v>26</v>
      </c>
      <c r="D16534" s="31">
        <v>12949.79</v>
      </c>
      <c r="F16534" s="3" t="str">
        <f t="shared" si="258"/>
        <v>G0580</v>
      </c>
    </row>
    <row r="16535" spans="1:6" x14ac:dyDescent="0.2">
      <c r="A16535" s="29" t="s">
        <v>36568</v>
      </c>
      <c r="B16535" s="30" t="s">
        <v>36569</v>
      </c>
      <c r="C16535" s="29" t="s">
        <v>26</v>
      </c>
      <c r="D16535" s="31">
        <v>22396.66</v>
      </c>
      <c r="F16535" s="3" t="str">
        <f t="shared" si="258"/>
        <v>G0597</v>
      </c>
    </row>
    <row r="16536" spans="1:6" x14ac:dyDescent="0.2">
      <c r="A16536" s="29" t="s">
        <v>36570</v>
      </c>
      <c r="B16536" s="30" t="s">
        <v>36571</v>
      </c>
      <c r="C16536" s="29" t="s">
        <v>26</v>
      </c>
      <c r="D16536" s="31">
        <v>34815.82</v>
      </c>
      <c r="F16536" s="3" t="str">
        <f t="shared" si="258"/>
        <v>G0599</v>
      </c>
    </row>
    <row r="16537" spans="1:6" x14ac:dyDescent="0.2">
      <c r="A16537" s="29" t="s">
        <v>36572</v>
      </c>
      <c r="B16537" s="30" t="s">
        <v>36573</v>
      </c>
      <c r="C16537" s="29" t="s">
        <v>26</v>
      </c>
      <c r="D16537" s="31">
        <v>10.89</v>
      </c>
      <c r="F16537" s="3" t="str">
        <f t="shared" si="258"/>
        <v>G0219</v>
      </c>
    </row>
    <row r="16538" spans="1:6" x14ac:dyDescent="0.2">
      <c r="A16538" s="29" t="s">
        <v>36574</v>
      </c>
      <c r="B16538" s="30" t="s">
        <v>36575</v>
      </c>
      <c r="C16538" s="29" t="s">
        <v>26</v>
      </c>
      <c r="D16538" s="31">
        <v>10.039999999999999</v>
      </c>
      <c r="F16538" s="3" t="str">
        <f t="shared" si="258"/>
        <v>G0222</v>
      </c>
    </row>
    <row r="16539" spans="1:6" x14ac:dyDescent="0.2">
      <c r="A16539" s="29" t="s">
        <v>36576</v>
      </c>
      <c r="B16539" s="30" t="s">
        <v>36577</v>
      </c>
      <c r="C16539" s="29" t="s">
        <v>26</v>
      </c>
      <c r="D16539" s="31">
        <v>14.99</v>
      </c>
      <c r="F16539" s="3" t="str">
        <f t="shared" si="258"/>
        <v>G0220</v>
      </c>
    </row>
    <row r="16540" spans="1:6" x14ac:dyDescent="0.2">
      <c r="A16540" s="29" t="s">
        <v>36578</v>
      </c>
      <c r="B16540" s="30" t="s">
        <v>36579</v>
      </c>
      <c r="C16540" s="29" t="s">
        <v>26</v>
      </c>
      <c r="D16540" s="31">
        <v>22.93</v>
      </c>
      <c r="F16540" s="3" t="str">
        <f t="shared" si="258"/>
        <v>G0223</v>
      </c>
    </row>
    <row r="16541" spans="1:6" x14ac:dyDescent="0.2">
      <c r="A16541" s="29" t="s">
        <v>36580</v>
      </c>
      <c r="B16541" s="30" t="s">
        <v>36581</v>
      </c>
      <c r="C16541" s="29" t="s">
        <v>26</v>
      </c>
      <c r="D16541" s="31">
        <v>19.89</v>
      </c>
      <c r="F16541" s="3" t="str">
        <f t="shared" si="258"/>
        <v>G0221</v>
      </c>
    </row>
    <row r="16542" spans="1:6" x14ac:dyDescent="0.2">
      <c r="A16542" s="29" t="s">
        <v>36582</v>
      </c>
      <c r="B16542" s="30" t="s">
        <v>36583</v>
      </c>
      <c r="C16542" s="29" t="s">
        <v>26</v>
      </c>
      <c r="D16542" s="31">
        <v>18.71</v>
      </c>
      <c r="F16542" s="3" t="str">
        <f t="shared" si="258"/>
        <v>G0224</v>
      </c>
    </row>
    <row r="16543" spans="1:6" x14ac:dyDescent="0.2">
      <c r="A16543" s="29" t="s">
        <v>36584</v>
      </c>
      <c r="B16543" s="30" t="s">
        <v>36585</v>
      </c>
      <c r="C16543" s="29" t="s">
        <v>26</v>
      </c>
      <c r="D16543" s="31">
        <v>34432.53</v>
      </c>
      <c r="F16543" s="3" t="str">
        <f t="shared" si="258"/>
        <v>G0820</v>
      </c>
    </row>
    <row r="16544" spans="1:6" ht="33.75" x14ac:dyDescent="0.2">
      <c r="A16544" s="29" t="s">
        <v>36586</v>
      </c>
      <c r="B16544" s="30" t="s">
        <v>36587</v>
      </c>
      <c r="C16544" s="29" t="s">
        <v>26</v>
      </c>
      <c r="D16544" s="31">
        <v>33.200000000000003</v>
      </c>
      <c r="F16544" s="3" t="str">
        <f t="shared" si="258"/>
        <v>G0750</v>
      </c>
    </row>
    <row r="16545" spans="1:6" ht="33.75" x14ac:dyDescent="0.2">
      <c r="A16545" s="29" t="s">
        <v>36588</v>
      </c>
      <c r="B16545" s="30" t="s">
        <v>36589</v>
      </c>
      <c r="C16545" s="29" t="s">
        <v>26</v>
      </c>
      <c r="D16545" s="31">
        <v>21.48</v>
      </c>
      <c r="F16545" s="3" t="str">
        <f t="shared" si="258"/>
        <v>G0749</v>
      </c>
    </row>
    <row r="16546" spans="1:6" x14ac:dyDescent="0.2">
      <c r="A16546" s="29" t="s">
        <v>36590</v>
      </c>
      <c r="B16546" s="30" t="s">
        <v>36591</v>
      </c>
      <c r="C16546" s="29" t="s">
        <v>26</v>
      </c>
      <c r="D16546" s="31">
        <v>25.12</v>
      </c>
      <c r="F16546" s="3" t="str">
        <f t="shared" si="258"/>
        <v>G0225</v>
      </c>
    </row>
    <row r="16547" spans="1:6" x14ac:dyDescent="0.2">
      <c r="A16547" s="29" t="s">
        <v>36592</v>
      </c>
      <c r="B16547" s="30" t="s">
        <v>36593</v>
      </c>
      <c r="C16547" s="29" t="s">
        <v>26</v>
      </c>
      <c r="D16547" s="31">
        <v>34.69</v>
      </c>
      <c r="F16547" s="3" t="str">
        <f t="shared" si="258"/>
        <v>G0226</v>
      </c>
    </row>
    <row r="16548" spans="1:6" x14ac:dyDescent="0.2">
      <c r="A16548" s="29" t="s">
        <v>36594</v>
      </c>
      <c r="B16548" s="30" t="s">
        <v>36595</v>
      </c>
      <c r="C16548" s="29" t="s">
        <v>26</v>
      </c>
      <c r="D16548" s="31">
        <v>27.09</v>
      </c>
      <c r="F16548" s="3" t="str">
        <f t="shared" si="258"/>
        <v>G0227</v>
      </c>
    </row>
    <row r="16549" spans="1:6" ht="33.75" x14ac:dyDescent="0.2">
      <c r="A16549" s="29" t="s">
        <v>36596</v>
      </c>
      <c r="B16549" s="30" t="s">
        <v>36597</v>
      </c>
      <c r="C16549" s="29" t="s">
        <v>26</v>
      </c>
      <c r="D16549" s="31">
        <v>33.409999999999997</v>
      </c>
      <c r="F16549" s="3" t="str">
        <f t="shared" si="258"/>
        <v>G0751</v>
      </c>
    </row>
    <row r="16550" spans="1:6" ht="33.75" x14ac:dyDescent="0.2">
      <c r="A16550" s="29" t="s">
        <v>36598</v>
      </c>
      <c r="B16550" s="30" t="s">
        <v>36599</v>
      </c>
      <c r="C16550" s="29" t="s">
        <v>26</v>
      </c>
      <c r="D16550" s="31">
        <v>15.42</v>
      </c>
      <c r="F16550" s="3" t="str">
        <f t="shared" si="258"/>
        <v>G0747</v>
      </c>
    </row>
    <row r="16551" spans="1:6" ht="33.75" x14ac:dyDescent="0.2">
      <c r="A16551" s="29" t="s">
        <v>36600</v>
      </c>
      <c r="B16551" s="30" t="s">
        <v>36601</v>
      </c>
      <c r="C16551" s="29" t="s">
        <v>26</v>
      </c>
      <c r="D16551" s="31">
        <v>25.41</v>
      </c>
      <c r="F16551" s="3" t="str">
        <f t="shared" si="258"/>
        <v>G0748</v>
      </c>
    </row>
    <row r="16552" spans="1:6" ht="33.75" x14ac:dyDescent="0.2">
      <c r="A16552" s="29" t="s">
        <v>36602</v>
      </c>
      <c r="B16552" s="30" t="s">
        <v>36603</v>
      </c>
      <c r="C16552" s="29" t="s">
        <v>26</v>
      </c>
      <c r="D16552" s="31">
        <v>6.6</v>
      </c>
      <c r="F16552" s="3" t="str">
        <f t="shared" si="258"/>
        <v>G0746</v>
      </c>
    </row>
    <row r="16553" spans="1:6" ht="33.75" x14ac:dyDescent="0.2">
      <c r="A16553" s="29" t="s">
        <v>36604</v>
      </c>
      <c r="B16553" s="30" t="s">
        <v>36605</v>
      </c>
      <c r="C16553" s="29" t="s">
        <v>26</v>
      </c>
      <c r="D16553" s="31">
        <v>18.78</v>
      </c>
      <c r="F16553" s="3" t="str">
        <f t="shared" si="258"/>
        <v>G0755</v>
      </c>
    </row>
    <row r="16554" spans="1:6" ht="22.5" x14ac:dyDescent="0.2">
      <c r="A16554" s="29" t="s">
        <v>36606</v>
      </c>
      <c r="B16554" s="30" t="s">
        <v>36607</v>
      </c>
      <c r="C16554" s="29" t="s">
        <v>26</v>
      </c>
      <c r="D16554" s="31">
        <v>13.55</v>
      </c>
      <c r="F16554" s="3" t="str">
        <f t="shared" si="258"/>
        <v>G0754</v>
      </c>
    </row>
    <row r="16555" spans="1:6" ht="22.5" x14ac:dyDescent="0.2">
      <c r="A16555" s="29" t="s">
        <v>36608</v>
      </c>
      <c r="B16555" s="30" t="s">
        <v>36609</v>
      </c>
      <c r="C16555" s="29" t="s">
        <v>26</v>
      </c>
      <c r="D16555" s="31">
        <v>5.85</v>
      </c>
      <c r="F16555" s="3" t="str">
        <f t="shared" si="258"/>
        <v>G0752</v>
      </c>
    </row>
    <row r="16556" spans="1:6" ht="22.5" x14ac:dyDescent="0.2">
      <c r="A16556" s="29" t="s">
        <v>36610</v>
      </c>
      <c r="B16556" s="30" t="s">
        <v>36611</v>
      </c>
      <c r="C16556" s="29" t="s">
        <v>26</v>
      </c>
      <c r="D16556" s="31">
        <v>8.3800000000000008</v>
      </c>
      <c r="F16556" s="3" t="str">
        <f t="shared" si="258"/>
        <v>G0753</v>
      </c>
    </row>
    <row r="16557" spans="1:6" x14ac:dyDescent="0.2">
      <c r="A16557" s="29" t="s">
        <v>36612</v>
      </c>
      <c r="B16557" s="30" t="s">
        <v>36613</v>
      </c>
      <c r="C16557" s="29" t="s">
        <v>271</v>
      </c>
      <c r="D16557" s="31">
        <v>34.299999999999997</v>
      </c>
      <c r="F16557" s="3" t="str">
        <f t="shared" si="258"/>
        <v>G0228</v>
      </c>
    </row>
    <row r="16558" spans="1:6" ht="56.25" x14ac:dyDescent="0.2">
      <c r="A16558" s="29" t="s">
        <v>36614</v>
      </c>
      <c r="B16558" s="30" t="s">
        <v>36615</v>
      </c>
      <c r="C16558" s="29" t="s">
        <v>26</v>
      </c>
      <c r="D16558" s="31">
        <v>17.45</v>
      </c>
      <c r="F16558" s="3" t="str">
        <f t="shared" si="258"/>
        <v>G0230</v>
      </c>
    </row>
    <row r="16559" spans="1:6" ht="56.25" x14ac:dyDescent="0.2">
      <c r="A16559" s="29" t="s">
        <v>36616</v>
      </c>
      <c r="B16559" s="30" t="s">
        <v>36617</v>
      </c>
      <c r="C16559" s="29" t="s">
        <v>26</v>
      </c>
      <c r="D16559" s="31">
        <v>17.82</v>
      </c>
      <c r="F16559" s="3" t="str">
        <f t="shared" si="258"/>
        <v>G0231</v>
      </c>
    </row>
    <row r="16560" spans="1:6" ht="56.25" x14ac:dyDescent="0.2">
      <c r="A16560" s="29" t="s">
        <v>36618</v>
      </c>
      <c r="B16560" s="30" t="s">
        <v>36619</v>
      </c>
      <c r="C16560" s="29" t="s">
        <v>26</v>
      </c>
      <c r="D16560" s="31">
        <v>17.82</v>
      </c>
      <c r="F16560" s="3" t="str">
        <f t="shared" si="258"/>
        <v>G0232</v>
      </c>
    </row>
    <row r="16561" spans="1:6" ht="56.25" x14ac:dyDescent="0.2">
      <c r="A16561" s="29" t="s">
        <v>36620</v>
      </c>
      <c r="B16561" s="30" t="s">
        <v>36621</v>
      </c>
      <c r="C16561" s="29" t="s">
        <v>26</v>
      </c>
      <c r="D16561" s="31">
        <v>40.590000000000003</v>
      </c>
      <c r="F16561" s="3" t="str">
        <f t="shared" si="258"/>
        <v>G0235</v>
      </c>
    </row>
    <row r="16562" spans="1:6" ht="56.25" x14ac:dyDescent="0.2">
      <c r="A16562" s="29" t="s">
        <v>36622</v>
      </c>
      <c r="B16562" s="30" t="s">
        <v>36623</v>
      </c>
      <c r="C16562" s="29" t="s">
        <v>26</v>
      </c>
      <c r="D16562" s="31">
        <v>40.590000000000003</v>
      </c>
      <c r="F16562" s="3" t="str">
        <f t="shared" si="258"/>
        <v>G0236</v>
      </c>
    </row>
    <row r="16563" spans="1:6" ht="56.25" x14ac:dyDescent="0.2">
      <c r="A16563" s="29" t="s">
        <v>36624</v>
      </c>
      <c r="B16563" s="30" t="s">
        <v>36625</v>
      </c>
      <c r="C16563" s="29" t="s">
        <v>26</v>
      </c>
      <c r="D16563" s="31">
        <v>28.54</v>
      </c>
      <c r="F16563" s="3" t="str">
        <f t="shared" si="258"/>
        <v>G0234</v>
      </c>
    </row>
    <row r="16564" spans="1:6" ht="56.25" x14ac:dyDescent="0.2">
      <c r="A16564" s="29" t="s">
        <v>36626</v>
      </c>
      <c r="B16564" s="30" t="s">
        <v>36627</v>
      </c>
      <c r="C16564" s="29" t="s">
        <v>26</v>
      </c>
      <c r="D16564" s="31">
        <v>26.84</v>
      </c>
      <c r="F16564" s="3" t="str">
        <f t="shared" si="258"/>
        <v>G0233</v>
      </c>
    </row>
    <row r="16565" spans="1:6" ht="33.75" x14ac:dyDescent="0.2">
      <c r="A16565" s="29" t="s">
        <v>36628</v>
      </c>
      <c r="B16565" s="30" t="s">
        <v>36629</v>
      </c>
      <c r="C16565" s="29" t="s">
        <v>26</v>
      </c>
      <c r="D16565" s="31">
        <v>998.2</v>
      </c>
      <c r="F16565" s="3" t="str">
        <f t="shared" si="258"/>
        <v>G0563</v>
      </c>
    </row>
    <row r="16566" spans="1:6" ht="33.75" x14ac:dyDescent="0.2">
      <c r="A16566" s="29" t="s">
        <v>36630</v>
      </c>
      <c r="B16566" s="30" t="s">
        <v>36631</v>
      </c>
      <c r="C16566" s="29" t="s">
        <v>26</v>
      </c>
      <c r="D16566" s="31">
        <v>1475.6</v>
      </c>
      <c r="F16566" s="3" t="str">
        <f t="shared" si="258"/>
        <v>G0564</v>
      </c>
    </row>
    <row r="16567" spans="1:6" ht="33.75" x14ac:dyDescent="0.2">
      <c r="A16567" s="29" t="s">
        <v>36632</v>
      </c>
      <c r="B16567" s="30" t="s">
        <v>36633</v>
      </c>
      <c r="C16567" s="29" t="s">
        <v>26</v>
      </c>
      <c r="D16567" s="31">
        <v>108.5</v>
      </c>
      <c r="F16567" s="3" t="str">
        <f t="shared" si="258"/>
        <v>G0558</v>
      </c>
    </row>
    <row r="16568" spans="1:6" ht="33.75" x14ac:dyDescent="0.2">
      <c r="A16568" s="29" t="s">
        <v>36634</v>
      </c>
      <c r="B16568" s="30" t="s">
        <v>36635</v>
      </c>
      <c r="C16568" s="29" t="s">
        <v>26</v>
      </c>
      <c r="D16568" s="31">
        <v>124.78</v>
      </c>
      <c r="F16568" s="3" t="str">
        <f t="shared" si="258"/>
        <v>G0559</v>
      </c>
    </row>
    <row r="16569" spans="1:6" ht="33.75" x14ac:dyDescent="0.2">
      <c r="A16569" s="29" t="s">
        <v>36636</v>
      </c>
      <c r="B16569" s="30" t="s">
        <v>36637</v>
      </c>
      <c r="C16569" s="29" t="s">
        <v>26</v>
      </c>
      <c r="D16569" s="31">
        <v>162.75</v>
      </c>
      <c r="F16569" s="3" t="str">
        <f t="shared" si="258"/>
        <v>G0560</v>
      </c>
    </row>
    <row r="16570" spans="1:6" ht="33.75" x14ac:dyDescent="0.2">
      <c r="A16570" s="29" t="s">
        <v>36638</v>
      </c>
      <c r="B16570" s="30" t="s">
        <v>36639</v>
      </c>
      <c r="C16570" s="29" t="s">
        <v>26</v>
      </c>
      <c r="D16570" s="31">
        <v>325.5</v>
      </c>
      <c r="F16570" s="3" t="str">
        <f t="shared" si="258"/>
        <v>G0561</v>
      </c>
    </row>
    <row r="16571" spans="1:6" ht="33.75" x14ac:dyDescent="0.2">
      <c r="A16571" s="29" t="s">
        <v>36640</v>
      </c>
      <c r="B16571" s="30" t="s">
        <v>36641</v>
      </c>
      <c r="C16571" s="29" t="s">
        <v>26</v>
      </c>
      <c r="D16571" s="31">
        <v>520.79999999999995</v>
      </c>
      <c r="F16571" s="3" t="str">
        <f t="shared" si="258"/>
        <v>G0562</v>
      </c>
    </row>
    <row r="16572" spans="1:6" ht="33.75" x14ac:dyDescent="0.2">
      <c r="A16572" s="29" t="s">
        <v>36642</v>
      </c>
      <c r="B16572" s="30" t="s">
        <v>36643</v>
      </c>
      <c r="C16572" s="29" t="s">
        <v>26</v>
      </c>
      <c r="D16572" s="31">
        <v>26.68</v>
      </c>
      <c r="F16572" s="3" t="str">
        <f t="shared" si="258"/>
        <v>G0237</v>
      </c>
    </row>
    <row r="16573" spans="1:6" ht="33.75" x14ac:dyDescent="0.2">
      <c r="A16573" s="29" t="s">
        <v>36644</v>
      </c>
      <c r="B16573" s="30" t="s">
        <v>36645</v>
      </c>
      <c r="C16573" s="29" t="s">
        <v>26</v>
      </c>
      <c r="D16573" s="31">
        <v>39.04</v>
      </c>
      <c r="F16573" s="3" t="str">
        <f t="shared" si="258"/>
        <v>G0238</v>
      </c>
    </row>
    <row r="16574" spans="1:6" ht="33.75" x14ac:dyDescent="0.2">
      <c r="A16574" s="29" t="s">
        <v>36646</v>
      </c>
      <c r="B16574" s="30" t="s">
        <v>36647</v>
      </c>
      <c r="C16574" s="29" t="s">
        <v>26</v>
      </c>
      <c r="D16574" s="31">
        <v>50.3</v>
      </c>
      <c r="F16574" s="3" t="str">
        <f t="shared" si="258"/>
        <v>G0239</v>
      </c>
    </row>
    <row r="16575" spans="1:6" ht="45" x14ac:dyDescent="0.2">
      <c r="A16575" s="29" t="s">
        <v>36648</v>
      </c>
      <c r="B16575" s="30" t="s">
        <v>36649</v>
      </c>
      <c r="C16575" s="29" t="s">
        <v>26</v>
      </c>
      <c r="D16575" s="31">
        <v>213.26</v>
      </c>
      <c r="F16575" s="3" t="str">
        <f t="shared" si="258"/>
        <v>G0240</v>
      </c>
    </row>
    <row r="16576" spans="1:6" ht="45" x14ac:dyDescent="0.2">
      <c r="A16576" s="29" t="s">
        <v>36650</v>
      </c>
      <c r="B16576" s="30" t="s">
        <v>36651</v>
      </c>
      <c r="C16576" s="29" t="s">
        <v>26</v>
      </c>
      <c r="D16576" s="31">
        <v>243.58</v>
      </c>
      <c r="F16576" s="3" t="str">
        <f t="shared" si="258"/>
        <v>G0241</v>
      </c>
    </row>
    <row r="16577" spans="1:6" ht="45" x14ac:dyDescent="0.2">
      <c r="A16577" s="29" t="s">
        <v>36652</v>
      </c>
      <c r="B16577" s="30" t="s">
        <v>36653</v>
      </c>
      <c r="C16577" s="29" t="s">
        <v>26</v>
      </c>
      <c r="D16577" s="31">
        <v>317.58</v>
      </c>
      <c r="F16577" s="3" t="str">
        <f t="shared" si="258"/>
        <v>G0242</v>
      </c>
    </row>
    <row r="16578" spans="1:6" ht="33.75" x14ac:dyDescent="0.2">
      <c r="A16578" s="29" t="s">
        <v>36654</v>
      </c>
      <c r="B16578" s="30" t="s">
        <v>36655</v>
      </c>
      <c r="C16578" s="29" t="s">
        <v>26</v>
      </c>
      <c r="D16578" s="31">
        <v>752.99</v>
      </c>
      <c r="F16578" s="3" t="str">
        <f t="shared" ref="F16578:F16641" si="259">A16578</f>
        <v>G0514</v>
      </c>
    </row>
    <row r="16579" spans="1:6" ht="33.75" x14ac:dyDescent="0.2">
      <c r="A16579" s="29" t="s">
        <v>36656</v>
      </c>
      <c r="B16579" s="30" t="s">
        <v>36657</v>
      </c>
      <c r="C16579" s="29" t="s">
        <v>26</v>
      </c>
      <c r="D16579" s="31">
        <v>1163.1199999999999</v>
      </c>
      <c r="F16579" s="3" t="str">
        <f t="shared" si="259"/>
        <v>G0515</v>
      </c>
    </row>
    <row r="16580" spans="1:6" ht="33.75" x14ac:dyDescent="0.2">
      <c r="A16580" s="29" t="s">
        <v>36658</v>
      </c>
      <c r="B16580" s="30" t="s">
        <v>36659</v>
      </c>
      <c r="C16580" s="29" t="s">
        <v>26</v>
      </c>
      <c r="D16580" s="31">
        <v>67.27</v>
      </c>
      <c r="F16580" s="3" t="str">
        <f t="shared" si="259"/>
        <v>G0509</v>
      </c>
    </row>
    <row r="16581" spans="1:6" ht="33.75" x14ac:dyDescent="0.2">
      <c r="A16581" s="29" t="s">
        <v>36660</v>
      </c>
      <c r="B16581" s="30" t="s">
        <v>36661</v>
      </c>
      <c r="C16581" s="29" t="s">
        <v>26</v>
      </c>
      <c r="D16581" s="31">
        <v>82.46</v>
      </c>
      <c r="F16581" s="3" t="str">
        <f t="shared" si="259"/>
        <v>G0510</v>
      </c>
    </row>
    <row r="16582" spans="1:6" ht="33.75" x14ac:dyDescent="0.2">
      <c r="A16582" s="29" t="s">
        <v>36662</v>
      </c>
      <c r="B16582" s="30" t="s">
        <v>36663</v>
      </c>
      <c r="C16582" s="29" t="s">
        <v>26</v>
      </c>
      <c r="D16582" s="31">
        <v>151.9</v>
      </c>
      <c r="F16582" s="3" t="str">
        <f t="shared" si="259"/>
        <v>G0511</v>
      </c>
    </row>
    <row r="16583" spans="1:6" ht="33.75" x14ac:dyDescent="0.2">
      <c r="A16583" s="29" t="s">
        <v>36664</v>
      </c>
      <c r="B16583" s="30" t="s">
        <v>36665</v>
      </c>
      <c r="C16583" s="29" t="s">
        <v>26</v>
      </c>
      <c r="D16583" s="31">
        <v>239.79</v>
      </c>
      <c r="F16583" s="3" t="str">
        <f t="shared" si="259"/>
        <v>G0512</v>
      </c>
    </row>
    <row r="16584" spans="1:6" ht="33.75" x14ac:dyDescent="0.2">
      <c r="A16584" s="29" t="s">
        <v>36666</v>
      </c>
      <c r="B16584" s="30" t="s">
        <v>36667</v>
      </c>
      <c r="C16584" s="29" t="s">
        <v>26</v>
      </c>
      <c r="D16584" s="31">
        <v>407.96</v>
      </c>
      <c r="F16584" s="3" t="str">
        <f t="shared" si="259"/>
        <v>G0513</v>
      </c>
    </row>
    <row r="16585" spans="1:6" ht="33.75" x14ac:dyDescent="0.2">
      <c r="A16585" s="29" t="s">
        <v>36668</v>
      </c>
      <c r="B16585" s="30" t="s">
        <v>36669</v>
      </c>
      <c r="C16585" s="29" t="s">
        <v>26</v>
      </c>
      <c r="D16585" s="31">
        <v>238.7</v>
      </c>
      <c r="F16585" s="3" t="str">
        <f t="shared" si="259"/>
        <v>G0535</v>
      </c>
    </row>
    <row r="16586" spans="1:6" ht="33.75" x14ac:dyDescent="0.2">
      <c r="A16586" s="29" t="s">
        <v>36670</v>
      </c>
      <c r="B16586" s="30" t="s">
        <v>36671</v>
      </c>
      <c r="C16586" s="29" t="s">
        <v>26</v>
      </c>
      <c r="D16586" s="31">
        <v>336.35</v>
      </c>
      <c r="F16586" s="3" t="str">
        <f t="shared" si="259"/>
        <v>G0536</v>
      </c>
    </row>
    <row r="16587" spans="1:6" ht="33.75" x14ac:dyDescent="0.2">
      <c r="A16587" s="29" t="s">
        <v>36672</v>
      </c>
      <c r="B16587" s="30" t="s">
        <v>36673</v>
      </c>
      <c r="C16587" s="29" t="s">
        <v>26</v>
      </c>
      <c r="D16587" s="31">
        <v>3.69</v>
      </c>
      <c r="F16587" s="3" t="str">
        <f t="shared" si="259"/>
        <v>G0530</v>
      </c>
    </row>
    <row r="16588" spans="1:6" ht="33.75" x14ac:dyDescent="0.2">
      <c r="A16588" s="29" t="s">
        <v>36674</v>
      </c>
      <c r="B16588" s="30" t="s">
        <v>36675</v>
      </c>
      <c r="C16588" s="29" t="s">
        <v>26</v>
      </c>
      <c r="D16588" s="31">
        <v>6.56</v>
      </c>
      <c r="F16588" s="3" t="str">
        <f t="shared" si="259"/>
        <v>G0531</v>
      </c>
    </row>
    <row r="16589" spans="1:6" ht="33.75" x14ac:dyDescent="0.2">
      <c r="A16589" s="29" t="s">
        <v>36676</v>
      </c>
      <c r="B16589" s="30" t="s">
        <v>36677</v>
      </c>
      <c r="C16589" s="29" t="s">
        <v>26</v>
      </c>
      <c r="D16589" s="31">
        <v>17.36</v>
      </c>
      <c r="F16589" s="3" t="str">
        <f t="shared" si="259"/>
        <v>G0532</v>
      </c>
    </row>
    <row r="16590" spans="1:6" ht="33.75" x14ac:dyDescent="0.2">
      <c r="A16590" s="29" t="s">
        <v>36678</v>
      </c>
      <c r="B16590" s="30" t="s">
        <v>36679</v>
      </c>
      <c r="C16590" s="29" t="s">
        <v>26</v>
      </c>
      <c r="D16590" s="31">
        <v>52.08</v>
      </c>
      <c r="F16590" s="3" t="str">
        <f t="shared" si="259"/>
        <v>G0533</v>
      </c>
    </row>
    <row r="16591" spans="1:6" ht="33.75" x14ac:dyDescent="0.2">
      <c r="A16591" s="29" t="s">
        <v>36680</v>
      </c>
      <c r="B16591" s="30" t="s">
        <v>36681</v>
      </c>
      <c r="C16591" s="29" t="s">
        <v>26</v>
      </c>
      <c r="D16591" s="31">
        <v>124.78</v>
      </c>
      <c r="F16591" s="3" t="str">
        <f t="shared" si="259"/>
        <v>G0534</v>
      </c>
    </row>
    <row r="16592" spans="1:6" ht="33.75" x14ac:dyDescent="0.2">
      <c r="A16592" s="29" t="s">
        <v>36682</v>
      </c>
      <c r="B16592" s="30" t="s">
        <v>36683</v>
      </c>
      <c r="C16592" s="29" t="s">
        <v>26</v>
      </c>
      <c r="D16592" s="31">
        <v>292.95</v>
      </c>
      <c r="F16592" s="3" t="str">
        <f t="shared" si="259"/>
        <v>G0528</v>
      </c>
    </row>
    <row r="16593" spans="1:6" ht="33.75" x14ac:dyDescent="0.2">
      <c r="A16593" s="29" t="s">
        <v>36684</v>
      </c>
      <c r="B16593" s="30" t="s">
        <v>36685</v>
      </c>
      <c r="C16593" s="29" t="s">
        <v>26</v>
      </c>
      <c r="D16593" s="31">
        <v>406.88</v>
      </c>
      <c r="F16593" s="3" t="str">
        <f t="shared" si="259"/>
        <v>G0529</v>
      </c>
    </row>
    <row r="16594" spans="1:6" ht="33.75" x14ac:dyDescent="0.2">
      <c r="A16594" s="29" t="s">
        <v>36686</v>
      </c>
      <c r="B16594" s="30" t="s">
        <v>36687</v>
      </c>
      <c r="C16594" s="29" t="s">
        <v>26</v>
      </c>
      <c r="D16594" s="31">
        <v>3.69</v>
      </c>
      <c r="F16594" s="3" t="str">
        <f t="shared" si="259"/>
        <v>G0523</v>
      </c>
    </row>
    <row r="16595" spans="1:6" ht="33.75" x14ac:dyDescent="0.2">
      <c r="A16595" s="29" t="s">
        <v>36688</v>
      </c>
      <c r="B16595" s="30" t="s">
        <v>36689</v>
      </c>
      <c r="C16595" s="29" t="s">
        <v>26</v>
      </c>
      <c r="D16595" s="31">
        <v>8.68</v>
      </c>
      <c r="F16595" s="3" t="str">
        <f t="shared" si="259"/>
        <v>G0524</v>
      </c>
    </row>
    <row r="16596" spans="1:6" ht="33.75" x14ac:dyDescent="0.2">
      <c r="A16596" s="29" t="s">
        <v>36690</v>
      </c>
      <c r="B16596" s="30" t="s">
        <v>36691</v>
      </c>
      <c r="C16596" s="29" t="s">
        <v>26</v>
      </c>
      <c r="D16596" s="31">
        <v>20.07</v>
      </c>
      <c r="F16596" s="3" t="str">
        <f t="shared" si="259"/>
        <v>G0525</v>
      </c>
    </row>
    <row r="16597" spans="1:6" ht="33.75" x14ac:dyDescent="0.2">
      <c r="A16597" s="29" t="s">
        <v>36692</v>
      </c>
      <c r="B16597" s="30" t="s">
        <v>36693</v>
      </c>
      <c r="C16597" s="29" t="s">
        <v>26</v>
      </c>
      <c r="D16597" s="31">
        <v>62.93</v>
      </c>
      <c r="F16597" s="3" t="str">
        <f t="shared" si="259"/>
        <v>G0526</v>
      </c>
    </row>
    <row r="16598" spans="1:6" ht="33.75" x14ac:dyDescent="0.2">
      <c r="A16598" s="29" t="s">
        <v>36694</v>
      </c>
      <c r="B16598" s="30" t="s">
        <v>36695</v>
      </c>
      <c r="C16598" s="29" t="s">
        <v>26</v>
      </c>
      <c r="D16598" s="31">
        <v>146.47999999999999</v>
      </c>
      <c r="F16598" s="3" t="str">
        <f t="shared" si="259"/>
        <v>G0527</v>
      </c>
    </row>
    <row r="16599" spans="1:6" ht="33.75" x14ac:dyDescent="0.2">
      <c r="A16599" s="29" t="s">
        <v>36696</v>
      </c>
      <c r="B16599" s="30" t="s">
        <v>36697</v>
      </c>
      <c r="C16599" s="29" t="s">
        <v>26</v>
      </c>
      <c r="D16599" s="31">
        <v>651</v>
      </c>
      <c r="F16599" s="3" t="str">
        <f t="shared" si="259"/>
        <v>G0521</v>
      </c>
    </row>
    <row r="16600" spans="1:6" ht="33.75" x14ac:dyDescent="0.2">
      <c r="A16600" s="29" t="s">
        <v>36698</v>
      </c>
      <c r="B16600" s="30" t="s">
        <v>36699</v>
      </c>
      <c r="C16600" s="29" t="s">
        <v>26</v>
      </c>
      <c r="D16600" s="31">
        <v>1052.45</v>
      </c>
      <c r="F16600" s="3" t="str">
        <f t="shared" si="259"/>
        <v>G0522</v>
      </c>
    </row>
    <row r="16601" spans="1:6" ht="33.75" x14ac:dyDescent="0.2">
      <c r="A16601" s="29" t="s">
        <v>36700</v>
      </c>
      <c r="B16601" s="30" t="s">
        <v>36701</v>
      </c>
      <c r="C16601" s="29" t="s">
        <v>26</v>
      </c>
      <c r="D16601" s="31">
        <v>65.64</v>
      </c>
      <c r="F16601" s="3" t="str">
        <f t="shared" si="259"/>
        <v>G0516</v>
      </c>
    </row>
    <row r="16602" spans="1:6" ht="33.75" x14ac:dyDescent="0.2">
      <c r="A16602" s="29" t="s">
        <v>36702</v>
      </c>
      <c r="B16602" s="30" t="s">
        <v>36703</v>
      </c>
      <c r="C16602" s="29" t="s">
        <v>26</v>
      </c>
      <c r="D16602" s="31">
        <v>78.12</v>
      </c>
      <c r="F16602" s="3" t="str">
        <f t="shared" si="259"/>
        <v>G0517</v>
      </c>
    </row>
    <row r="16603" spans="1:6" ht="33.75" x14ac:dyDescent="0.2">
      <c r="A16603" s="29" t="s">
        <v>36704</v>
      </c>
      <c r="B16603" s="30" t="s">
        <v>36705</v>
      </c>
      <c r="C16603" s="29" t="s">
        <v>26</v>
      </c>
      <c r="D16603" s="31">
        <v>102.53</v>
      </c>
      <c r="F16603" s="3" t="str">
        <f t="shared" si="259"/>
        <v>G0518</v>
      </c>
    </row>
    <row r="16604" spans="1:6" ht="33.75" x14ac:dyDescent="0.2">
      <c r="A16604" s="29" t="s">
        <v>36706</v>
      </c>
      <c r="B16604" s="30" t="s">
        <v>36707</v>
      </c>
      <c r="C16604" s="29" t="s">
        <v>26</v>
      </c>
      <c r="D16604" s="31">
        <v>233.28</v>
      </c>
      <c r="F16604" s="3" t="str">
        <f t="shared" si="259"/>
        <v>G0519</v>
      </c>
    </row>
    <row r="16605" spans="1:6" ht="33.75" x14ac:dyDescent="0.2">
      <c r="A16605" s="29" t="s">
        <v>36708</v>
      </c>
      <c r="B16605" s="30" t="s">
        <v>36709</v>
      </c>
      <c r="C16605" s="29" t="s">
        <v>26</v>
      </c>
      <c r="D16605" s="31">
        <v>363.48</v>
      </c>
      <c r="F16605" s="3" t="str">
        <f t="shared" si="259"/>
        <v>G0520</v>
      </c>
    </row>
    <row r="16606" spans="1:6" ht="33.75" x14ac:dyDescent="0.2">
      <c r="A16606" s="29" t="s">
        <v>36710</v>
      </c>
      <c r="B16606" s="30" t="s">
        <v>36711</v>
      </c>
      <c r="C16606" s="29" t="s">
        <v>26</v>
      </c>
      <c r="D16606" s="31">
        <v>2256.8000000000002</v>
      </c>
      <c r="F16606" s="3" t="str">
        <f t="shared" si="259"/>
        <v>G0507</v>
      </c>
    </row>
    <row r="16607" spans="1:6" ht="33.75" x14ac:dyDescent="0.2">
      <c r="A16607" s="29" t="s">
        <v>36712</v>
      </c>
      <c r="B16607" s="30" t="s">
        <v>36713</v>
      </c>
      <c r="C16607" s="29" t="s">
        <v>26</v>
      </c>
      <c r="D16607" s="31">
        <v>3212.69</v>
      </c>
      <c r="F16607" s="3" t="str">
        <f t="shared" si="259"/>
        <v>G0508</v>
      </c>
    </row>
    <row r="16608" spans="1:6" ht="33.75" x14ac:dyDescent="0.2">
      <c r="A16608" s="29" t="s">
        <v>36714</v>
      </c>
      <c r="B16608" s="30" t="s">
        <v>36715</v>
      </c>
      <c r="C16608" s="29" t="s">
        <v>26</v>
      </c>
      <c r="D16608" s="31">
        <v>75.95</v>
      </c>
      <c r="F16608" s="3" t="str">
        <f t="shared" si="259"/>
        <v>G0502</v>
      </c>
    </row>
    <row r="16609" spans="1:6" ht="33.75" x14ac:dyDescent="0.2">
      <c r="A16609" s="29" t="s">
        <v>36716</v>
      </c>
      <c r="B16609" s="30" t="s">
        <v>36717</v>
      </c>
      <c r="C16609" s="29" t="s">
        <v>26</v>
      </c>
      <c r="D16609" s="31">
        <v>135.63</v>
      </c>
      <c r="F16609" s="3" t="str">
        <f t="shared" si="259"/>
        <v>G0503</v>
      </c>
    </row>
    <row r="16610" spans="1:6" ht="33.75" x14ac:dyDescent="0.2">
      <c r="A16610" s="29" t="s">
        <v>36718</v>
      </c>
      <c r="B16610" s="30" t="s">
        <v>36719</v>
      </c>
      <c r="C16610" s="29" t="s">
        <v>26</v>
      </c>
      <c r="D16610" s="31">
        <v>309.23</v>
      </c>
      <c r="F16610" s="3" t="str">
        <f t="shared" si="259"/>
        <v>G0504</v>
      </c>
    </row>
    <row r="16611" spans="1:6" ht="33.75" x14ac:dyDescent="0.2">
      <c r="A16611" s="29" t="s">
        <v>36720</v>
      </c>
      <c r="B16611" s="30" t="s">
        <v>36721</v>
      </c>
      <c r="C16611" s="29" t="s">
        <v>26</v>
      </c>
      <c r="D16611" s="31">
        <v>661.85</v>
      </c>
      <c r="F16611" s="3" t="str">
        <f t="shared" si="259"/>
        <v>G0505</v>
      </c>
    </row>
    <row r="16612" spans="1:6" ht="33.75" x14ac:dyDescent="0.2">
      <c r="A16612" s="29" t="s">
        <v>36722</v>
      </c>
      <c r="B16612" s="30" t="s">
        <v>36723</v>
      </c>
      <c r="C16612" s="29" t="s">
        <v>26</v>
      </c>
      <c r="D16612" s="31">
        <v>1356.25</v>
      </c>
      <c r="F16612" s="3" t="str">
        <f t="shared" si="259"/>
        <v>G0506</v>
      </c>
    </row>
    <row r="16613" spans="1:6" ht="22.5" x14ac:dyDescent="0.2">
      <c r="A16613" s="29" t="s">
        <v>36724</v>
      </c>
      <c r="B16613" s="30" t="s">
        <v>36725</v>
      </c>
      <c r="C16613" s="29" t="s">
        <v>26</v>
      </c>
      <c r="D16613" s="31">
        <v>4791.3599999999997</v>
      </c>
      <c r="F16613" s="3" t="str">
        <f t="shared" si="259"/>
        <v>G0543</v>
      </c>
    </row>
    <row r="16614" spans="1:6" ht="33.75" x14ac:dyDescent="0.2">
      <c r="A16614" s="29" t="s">
        <v>36726</v>
      </c>
      <c r="B16614" s="30" t="s">
        <v>36727</v>
      </c>
      <c r="C16614" s="29" t="s">
        <v>26</v>
      </c>
      <c r="D16614" s="31">
        <v>3797.5</v>
      </c>
      <c r="F16614" s="3" t="str">
        <f t="shared" si="259"/>
        <v>G0556</v>
      </c>
    </row>
    <row r="16615" spans="1:6" ht="33.75" x14ac:dyDescent="0.2">
      <c r="A16615" s="29" t="s">
        <v>36728</v>
      </c>
      <c r="B16615" s="30" t="s">
        <v>36729</v>
      </c>
      <c r="C16615" s="29" t="s">
        <v>26</v>
      </c>
      <c r="D16615" s="31">
        <v>4844.53</v>
      </c>
      <c r="F16615" s="3" t="str">
        <f t="shared" si="259"/>
        <v>G0557</v>
      </c>
    </row>
    <row r="16616" spans="1:6" ht="33.75" x14ac:dyDescent="0.2">
      <c r="A16616" s="29" t="s">
        <v>36730</v>
      </c>
      <c r="B16616" s="30" t="s">
        <v>36731</v>
      </c>
      <c r="C16616" s="29" t="s">
        <v>26</v>
      </c>
      <c r="D16616" s="31">
        <v>526.23</v>
      </c>
      <c r="F16616" s="3" t="str">
        <f t="shared" si="259"/>
        <v>G0551</v>
      </c>
    </row>
    <row r="16617" spans="1:6" ht="33.75" x14ac:dyDescent="0.2">
      <c r="A16617" s="29" t="s">
        <v>36732</v>
      </c>
      <c r="B16617" s="30" t="s">
        <v>36733</v>
      </c>
      <c r="C16617" s="29" t="s">
        <v>26</v>
      </c>
      <c r="D16617" s="31">
        <v>564.20000000000005</v>
      </c>
      <c r="F16617" s="3" t="str">
        <f t="shared" si="259"/>
        <v>G0552</v>
      </c>
    </row>
    <row r="16618" spans="1:6" ht="33.75" x14ac:dyDescent="0.2">
      <c r="A16618" s="29" t="s">
        <v>36734</v>
      </c>
      <c r="B16618" s="30" t="s">
        <v>36735</v>
      </c>
      <c r="C16618" s="29" t="s">
        <v>26</v>
      </c>
      <c r="D16618" s="31">
        <v>661.85</v>
      </c>
      <c r="F16618" s="3" t="str">
        <f t="shared" si="259"/>
        <v>G0553</v>
      </c>
    </row>
    <row r="16619" spans="1:6" ht="33.75" x14ac:dyDescent="0.2">
      <c r="A16619" s="29" t="s">
        <v>36736</v>
      </c>
      <c r="B16619" s="30" t="s">
        <v>36737</v>
      </c>
      <c r="C16619" s="29" t="s">
        <v>26</v>
      </c>
      <c r="D16619" s="31">
        <v>1139.25</v>
      </c>
      <c r="F16619" s="3" t="str">
        <f t="shared" si="259"/>
        <v>G0554</v>
      </c>
    </row>
    <row r="16620" spans="1:6" ht="33.75" x14ac:dyDescent="0.2">
      <c r="A16620" s="29" t="s">
        <v>36738</v>
      </c>
      <c r="B16620" s="30" t="s">
        <v>36739</v>
      </c>
      <c r="C16620" s="29" t="s">
        <v>26</v>
      </c>
      <c r="D16620" s="31">
        <v>1953</v>
      </c>
      <c r="F16620" s="3" t="str">
        <f t="shared" si="259"/>
        <v>G0555</v>
      </c>
    </row>
    <row r="16621" spans="1:6" ht="22.5" x14ac:dyDescent="0.2">
      <c r="A16621" s="29" t="s">
        <v>36740</v>
      </c>
      <c r="B16621" s="30" t="s">
        <v>36741</v>
      </c>
      <c r="C16621" s="29" t="s">
        <v>26</v>
      </c>
      <c r="D16621" s="31">
        <v>4014.5</v>
      </c>
      <c r="F16621" s="3" t="str">
        <f t="shared" si="259"/>
        <v>G0549</v>
      </c>
    </row>
    <row r="16622" spans="1:6" ht="22.5" x14ac:dyDescent="0.2">
      <c r="A16622" s="29" t="s">
        <v>36742</v>
      </c>
      <c r="B16622" s="30" t="s">
        <v>36743</v>
      </c>
      <c r="C16622" s="29" t="s">
        <v>26</v>
      </c>
      <c r="D16622" s="31">
        <v>5236.21</v>
      </c>
      <c r="F16622" s="3" t="str">
        <f t="shared" si="259"/>
        <v>G0550</v>
      </c>
    </row>
    <row r="16623" spans="1:6" ht="22.5" x14ac:dyDescent="0.2">
      <c r="A16623" s="29" t="s">
        <v>36744</v>
      </c>
      <c r="B16623" s="30" t="s">
        <v>36745</v>
      </c>
      <c r="C16623" s="29" t="s">
        <v>26</v>
      </c>
      <c r="D16623" s="31">
        <v>581.55999999999995</v>
      </c>
      <c r="F16623" s="3" t="str">
        <f t="shared" si="259"/>
        <v>G0544</v>
      </c>
    </row>
    <row r="16624" spans="1:6" ht="22.5" x14ac:dyDescent="0.2">
      <c r="A16624" s="29" t="s">
        <v>36746</v>
      </c>
      <c r="B16624" s="30" t="s">
        <v>36747</v>
      </c>
      <c r="C16624" s="29" t="s">
        <v>26</v>
      </c>
      <c r="D16624" s="31">
        <v>798.56</v>
      </c>
      <c r="F16624" s="3" t="str">
        <f t="shared" si="259"/>
        <v>G0545</v>
      </c>
    </row>
    <row r="16625" spans="1:6" ht="22.5" x14ac:dyDescent="0.2">
      <c r="A16625" s="29" t="s">
        <v>36748</v>
      </c>
      <c r="B16625" s="30" t="s">
        <v>36749</v>
      </c>
      <c r="C16625" s="29" t="s">
        <v>26</v>
      </c>
      <c r="D16625" s="31">
        <v>868</v>
      </c>
      <c r="F16625" s="3" t="str">
        <f t="shared" si="259"/>
        <v>G0546</v>
      </c>
    </row>
    <row r="16626" spans="1:6" ht="22.5" x14ac:dyDescent="0.2">
      <c r="A16626" s="29" t="s">
        <v>36750</v>
      </c>
      <c r="B16626" s="30" t="s">
        <v>36751</v>
      </c>
      <c r="C16626" s="29" t="s">
        <v>26</v>
      </c>
      <c r="D16626" s="31">
        <v>1464.75</v>
      </c>
      <c r="F16626" s="3" t="str">
        <f t="shared" si="259"/>
        <v>G0547</v>
      </c>
    </row>
    <row r="16627" spans="1:6" ht="22.5" x14ac:dyDescent="0.2">
      <c r="A16627" s="29" t="s">
        <v>36752</v>
      </c>
      <c r="B16627" s="30" t="s">
        <v>36753</v>
      </c>
      <c r="C16627" s="29" t="s">
        <v>26</v>
      </c>
      <c r="D16627" s="31">
        <v>2332.75</v>
      </c>
      <c r="F16627" s="3" t="str">
        <f t="shared" si="259"/>
        <v>G0548</v>
      </c>
    </row>
    <row r="16628" spans="1:6" ht="22.5" x14ac:dyDescent="0.2">
      <c r="A16628" s="29" t="s">
        <v>36754</v>
      </c>
      <c r="B16628" s="30" t="s">
        <v>36755</v>
      </c>
      <c r="C16628" s="29" t="s">
        <v>26</v>
      </c>
      <c r="D16628" s="31">
        <v>3472</v>
      </c>
      <c r="F16628" s="3" t="str">
        <f t="shared" si="259"/>
        <v>G0542</v>
      </c>
    </row>
    <row r="16629" spans="1:6" ht="22.5" x14ac:dyDescent="0.2">
      <c r="A16629" s="29" t="s">
        <v>36756</v>
      </c>
      <c r="B16629" s="30" t="s">
        <v>36757</v>
      </c>
      <c r="C16629" s="29" t="s">
        <v>26</v>
      </c>
      <c r="D16629" s="31">
        <v>341.78</v>
      </c>
      <c r="F16629" s="3" t="str">
        <f t="shared" si="259"/>
        <v>G0537</v>
      </c>
    </row>
    <row r="16630" spans="1:6" ht="22.5" x14ac:dyDescent="0.2">
      <c r="A16630" s="29" t="s">
        <v>36758</v>
      </c>
      <c r="B16630" s="30" t="s">
        <v>36759</v>
      </c>
      <c r="C16630" s="29" t="s">
        <v>26</v>
      </c>
      <c r="D16630" s="31">
        <v>390.6</v>
      </c>
      <c r="F16630" s="3" t="str">
        <f t="shared" si="259"/>
        <v>G0538</v>
      </c>
    </row>
    <row r="16631" spans="1:6" ht="22.5" x14ac:dyDescent="0.2">
      <c r="A16631" s="29" t="s">
        <v>36760</v>
      </c>
      <c r="B16631" s="30" t="s">
        <v>36761</v>
      </c>
      <c r="C16631" s="29" t="s">
        <v>26</v>
      </c>
      <c r="D16631" s="31">
        <v>439.43</v>
      </c>
      <c r="F16631" s="3" t="str">
        <f t="shared" si="259"/>
        <v>G0539</v>
      </c>
    </row>
    <row r="16632" spans="1:6" ht="22.5" x14ac:dyDescent="0.2">
      <c r="A16632" s="29" t="s">
        <v>36762</v>
      </c>
      <c r="B16632" s="30" t="s">
        <v>36763</v>
      </c>
      <c r="C16632" s="29" t="s">
        <v>26</v>
      </c>
      <c r="D16632" s="31">
        <v>1019.9</v>
      </c>
      <c r="F16632" s="3" t="str">
        <f t="shared" si="259"/>
        <v>G0540</v>
      </c>
    </row>
    <row r="16633" spans="1:6" ht="22.5" x14ac:dyDescent="0.2">
      <c r="A16633" s="29" t="s">
        <v>36764</v>
      </c>
      <c r="B16633" s="30" t="s">
        <v>36765</v>
      </c>
      <c r="C16633" s="29" t="s">
        <v>26</v>
      </c>
      <c r="D16633" s="31">
        <v>1844.5</v>
      </c>
      <c r="F16633" s="3" t="str">
        <f t="shared" si="259"/>
        <v>G0541</v>
      </c>
    </row>
    <row r="16634" spans="1:6" ht="33.75" x14ac:dyDescent="0.2">
      <c r="A16634" s="29" t="s">
        <v>36766</v>
      </c>
      <c r="B16634" s="30" t="s">
        <v>36767</v>
      </c>
      <c r="C16634" s="29" t="s">
        <v>26</v>
      </c>
      <c r="D16634" s="31">
        <v>3.7</v>
      </c>
      <c r="F16634" s="3" t="str">
        <f t="shared" si="259"/>
        <v>G0245</v>
      </c>
    </row>
    <row r="16635" spans="1:6" ht="45" x14ac:dyDescent="0.2">
      <c r="A16635" s="29" t="s">
        <v>36768</v>
      </c>
      <c r="B16635" s="30" t="s">
        <v>36769</v>
      </c>
      <c r="C16635" s="29" t="s">
        <v>26</v>
      </c>
      <c r="D16635" s="31">
        <v>5.49</v>
      </c>
      <c r="F16635" s="3" t="str">
        <f t="shared" si="259"/>
        <v>G0246</v>
      </c>
    </row>
    <row r="16636" spans="1:6" ht="45" x14ac:dyDescent="0.2">
      <c r="A16636" s="29" t="s">
        <v>36770</v>
      </c>
      <c r="B16636" s="30" t="s">
        <v>36771</v>
      </c>
      <c r="C16636" s="29" t="s">
        <v>26</v>
      </c>
      <c r="D16636" s="31">
        <v>2.2400000000000002</v>
      </c>
      <c r="F16636" s="3" t="str">
        <f t="shared" si="259"/>
        <v>G0247</v>
      </c>
    </row>
    <row r="16637" spans="1:6" ht="22.5" x14ac:dyDescent="0.2">
      <c r="A16637" s="29" t="s">
        <v>36772</v>
      </c>
      <c r="B16637" s="30" t="s">
        <v>36773</v>
      </c>
      <c r="C16637" s="29" t="s">
        <v>26</v>
      </c>
      <c r="D16637" s="31">
        <v>5405.27</v>
      </c>
      <c r="F16637" s="3" t="str">
        <f t="shared" si="259"/>
        <v>G0243</v>
      </c>
    </row>
    <row r="16638" spans="1:6" ht="22.5" x14ac:dyDescent="0.2">
      <c r="A16638" s="29" t="s">
        <v>36774</v>
      </c>
      <c r="B16638" s="30" t="s">
        <v>36775</v>
      </c>
      <c r="C16638" s="29" t="s">
        <v>26</v>
      </c>
      <c r="D16638" s="31">
        <v>342.42</v>
      </c>
      <c r="F16638" s="3" t="str">
        <f t="shared" si="259"/>
        <v>G0244</v>
      </c>
    </row>
    <row r="16639" spans="1:6" ht="22.5" x14ac:dyDescent="0.2">
      <c r="A16639" s="29" t="s">
        <v>36776</v>
      </c>
      <c r="B16639" s="30" t="s">
        <v>36777</v>
      </c>
      <c r="C16639" s="29" t="s">
        <v>26</v>
      </c>
      <c r="D16639" s="31">
        <v>461.13</v>
      </c>
      <c r="F16639" s="3" t="str">
        <f t="shared" si="259"/>
        <v>G0570</v>
      </c>
    </row>
    <row r="16640" spans="1:6" ht="22.5" x14ac:dyDescent="0.2">
      <c r="A16640" s="29" t="s">
        <v>36778</v>
      </c>
      <c r="B16640" s="30" t="s">
        <v>36779</v>
      </c>
      <c r="C16640" s="29" t="s">
        <v>26</v>
      </c>
      <c r="D16640" s="31">
        <v>591.33000000000004</v>
      </c>
      <c r="F16640" s="3" t="str">
        <f t="shared" si="259"/>
        <v>G0571</v>
      </c>
    </row>
    <row r="16641" spans="1:6" ht="22.5" x14ac:dyDescent="0.2">
      <c r="A16641" s="29" t="s">
        <v>36780</v>
      </c>
      <c r="B16641" s="30" t="s">
        <v>36781</v>
      </c>
      <c r="C16641" s="29" t="s">
        <v>26</v>
      </c>
      <c r="D16641" s="31">
        <v>93.31</v>
      </c>
      <c r="F16641" s="3" t="str">
        <f t="shared" si="259"/>
        <v>G0565</v>
      </c>
    </row>
    <row r="16642" spans="1:6" ht="22.5" x14ac:dyDescent="0.2">
      <c r="A16642" s="29" t="s">
        <v>36782</v>
      </c>
      <c r="B16642" s="30" t="s">
        <v>36783</v>
      </c>
      <c r="C16642" s="29" t="s">
        <v>26</v>
      </c>
      <c r="D16642" s="31">
        <v>135.63</v>
      </c>
      <c r="F16642" s="3" t="str">
        <f t="shared" ref="F16642:F16705" si="260">A16642</f>
        <v>G0566</v>
      </c>
    </row>
    <row r="16643" spans="1:6" ht="22.5" x14ac:dyDescent="0.2">
      <c r="A16643" s="29" t="s">
        <v>36784</v>
      </c>
      <c r="B16643" s="30" t="s">
        <v>36785</v>
      </c>
      <c r="C16643" s="29" t="s">
        <v>26</v>
      </c>
      <c r="D16643" s="31">
        <v>179.03</v>
      </c>
      <c r="F16643" s="3" t="str">
        <f t="shared" si="260"/>
        <v>G0567</v>
      </c>
    </row>
    <row r="16644" spans="1:6" ht="22.5" x14ac:dyDescent="0.2">
      <c r="A16644" s="29" t="s">
        <v>36786</v>
      </c>
      <c r="B16644" s="30" t="s">
        <v>36787</v>
      </c>
      <c r="C16644" s="29" t="s">
        <v>26</v>
      </c>
      <c r="D16644" s="31">
        <v>239.79</v>
      </c>
      <c r="F16644" s="3" t="str">
        <f t="shared" si="260"/>
        <v>G0568</v>
      </c>
    </row>
    <row r="16645" spans="1:6" ht="22.5" x14ac:dyDescent="0.2">
      <c r="A16645" s="29" t="s">
        <v>36788</v>
      </c>
      <c r="B16645" s="30" t="s">
        <v>36789</v>
      </c>
      <c r="C16645" s="29" t="s">
        <v>26</v>
      </c>
      <c r="D16645" s="31">
        <v>341.78</v>
      </c>
      <c r="F16645" s="3" t="str">
        <f t="shared" si="260"/>
        <v>G0569</v>
      </c>
    </row>
    <row r="16646" spans="1:6" ht="22.5" x14ac:dyDescent="0.2">
      <c r="A16646" s="29" t="s">
        <v>36790</v>
      </c>
      <c r="B16646" s="30" t="s">
        <v>36791</v>
      </c>
      <c r="C16646" s="29" t="s">
        <v>9</v>
      </c>
      <c r="D16646" s="31">
        <v>36.520000000000003</v>
      </c>
      <c r="F16646" s="3" t="str">
        <f t="shared" si="260"/>
        <v>G0248</v>
      </c>
    </row>
    <row r="16647" spans="1:6" ht="22.5" x14ac:dyDescent="0.2">
      <c r="A16647" s="29" t="s">
        <v>36792</v>
      </c>
      <c r="B16647" s="30" t="s">
        <v>36793</v>
      </c>
      <c r="C16647" s="29" t="s">
        <v>1284</v>
      </c>
      <c r="D16647" s="31">
        <v>53.79</v>
      </c>
      <c r="F16647" s="3" t="str">
        <f t="shared" si="260"/>
        <v>G0249</v>
      </c>
    </row>
    <row r="16648" spans="1:6" x14ac:dyDescent="0.2">
      <c r="A16648" s="29" t="s">
        <v>36794</v>
      </c>
      <c r="B16648" s="30" t="s">
        <v>36795</v>
      </c>
      <c r="C16648" s="29" t="s">
        <v>26</v>
      </c>
      <c r="D16648" s="31">
        <v>16.170000000000002</v>
      </c>
      <c r="F16648" s="3" t="str">
        <f t="shared" si="260"/>
        <v>G0250</v>
      </c>
    </row>
    <row r="16649" spans="1:6" ht="22.5" x14ac:dyDescent="0.2">
      <c r="A16649" s="29" t="s">
        <v>36796</v>
      </c>
      <c r="B16649" s="30" t="s">
        <v>36797</v>
      </c>
      <c r="C16649" s="29" t="s">
        <v>9</v>
      </c>
      <c r="D16649" s="31">
        <v>334.43</v>
      </c>
      <c r="F16649" s="3" t="str">
        <f t="shared" si="260"/>
        <v>G0251</v>
      </c>
    </row>
    <row r="16650" spans="1:6" x14ac:dyDescent="0.2">
      <c r="A16650" s="29" t="s">
        <v>36798</v>
      </c>
      <c r="B16650" s="30" t="s">
        <v>36799</v>
      </c>
      <c r="C16650" s="29" t="s">
        <v>26</v>
      </c>
      <c r="D16650" s="31">
        <v>1401.82</v>
      </c>
      <c r="F16650" s="3" t="str">
        <f t="shared" si="260"/>
        <v>G0229</v>
      </c>
    </row>
    <row r="16651" spans="1:6" ht="22.5" x14ac:dyDescent="0.2">
      <c r="A16651" s="29" t="s">
        <v>36800</v>
      </c>
      <c r="B16651" s="30" t="s">
        <v>36801</v>
      </c>
      <c r="C16651" s="29" t="s">
        <v>26</v>
      </c>
      <c r="D16651" s="31">
        <v>170.72</v>
      </c>
      <c r="F16651" s="3" t="str">
        <f t="shared" si="260"/>
        <v>G0252</v>
      </c>
    </row>
    <row r="16652" spans="1:6" ht="22.5" x14ac:dyDescent="0.2">
      <c r="A16652" s="29" t="s">
        <v>36802</v>
      </c>
      <c r="B16652" s="30" t="s">
        <v>36803</v>
      </c>
      <c r="C16652" s="29" t="s">
        <v>26</v>
      </c>
      <c r="D16652" s="31">
        <v>284.43</v>
      </c>
      <c r="F16652" s="3" t="str">
        <f t="shared" si="260"/>
        <v>G0253</v>
      </c>
    </row>
    <row r="16653" spans="1:6" ht="22.5" x14ac:dyDescent="0.2">
      <c r="A16653" s="29" t="s">
        <v>36804</v>
      </c>
      <c r="B16653" s="30" t="s">
        <v>36805</v>
      </c>
      <c r="C16653" s="29" t="s">
        <v>26</v>
      </c>
      <c r="D16653" s="31">
        <v>379.12</v>
      </c>
      <c r="F16653" s="3" t="str">
        <f t="shared" si="260"/>
        <v>G0254</v>
      </c>
    </row>
    <row r="16654" spans="1:6" ht="22.5" x14ac:dyDescent="0.2">
      <c r="A16654" s="29" t="s">
        <v>36806</v>
      </c>
      <c r="B16654" s="30" t="s">
        <v>36807</v>
      </c>
      <c r="C16654" s="29" t="s">
        <v>26</v>
      </c>
      <c r="D16654" s="31">
        <v>576.51</v>
      </c>
      <c r="F16654" s="3" t="str">
        <f t="shared" si="260"/>
        <v>G0255</v>
      </c>
    </row>
    <row r="16655" spans="1:6" ht="22.5" x14ac:dyDescent="0.2">
      <c r="A16655" s="29" t="s">
        <v>36808</v>
      </c>
      <c r="B16655" s="30" t="s">
        <v>36809</v>
      </c>
      <c r="C16655" s="29" t="s">
        <v>26</v>
      </c>
      <c r="D16655" s="31">
        <v>1170.0899999999999</v>
      </c>
      <c r="F16655" s="3" t="str">
        <f t="shared" si="260"/>
        <v>G0256</v>
      </c>
    </row>
    <row r="16656" spans="1:6" ht="22.5" x14ac:dyDescent="0.2">
      <c r="A16656" s="29" t="s">
        <v>36810</v>
      </c>
      <c r="B16656" s="30" t="s">
        <v>36811</v>
      </c>
      <c r="C16656" s="29" t="s">
        <v>26</v>
      </c>
      <c r="D16656" s="31">
        <v>1663.76</v>
      </c>
      <c r="F16656" s="3" t="str">
        <f t="shared" si="260"/>
        <v>G0257</v>
      </c>
    </row>
    <row r="16657" spans="1:6" ht="22.5" x14ac:dyDescent="0.2">
      <c r="A16657" s="29" t="s">
        <v>36812</v>
      </c>
      <c r="B16657" s="30" t="s">
        <v>36813</v>
      </c>
      <c r="C16657" s="29" t="s">
        <v>26</v>
      </c>
      <c r="D16657" s="31">
        <v>2480.41</v>
      </c>
      <c r="F16657" s="3" t="str">
        <f t="shared" si="260"/>
        <v>G0258</v>
      </c>
    </row>
    <row r="16658" spans="1:6" x14ac:dyDescent="0.2">
      <c r="A16658" s="29" t="s">
        <v>36814</v>
      </c>
      <c r="B16658" s="30" t="s">
        <v>36815</v>
      </c>
      <c r="C16658" s="29" t="s">
        <v>26</v>
      </c>
      <c r="D16658" s="31">
        <v>4369.3999999999996</v>
      </c>
      <c r="F16658" s="3" t="str">
        <f t="shared" si="260"/>
        <v>G0259</v>
      </c>
    </row>
    <row r="16659" spans="1:6" x14ac:dyDescent="0.2">
      <c r="A16659" s="29" t="s">
        <v>36816</v>
      </c>
      <c r="B16659" s="30" t="s">
        <v>36817</v>
      </c>
      <c r="C16659" s="29" t="s">
        <v>26</v>
      </c>
      <c r="D16659" s="31">
        <v>121</v>
      </c>
      <c r="F16659" s="3" t="str">
        <f t="shared" si="260"/>
        <v>G0260</v>
      </c>
    </row>
    <row r="16660" spans="1:6" x14ac:dyDescent="0.2">
      <c r="A16660" s="29" t="s">
        <v>36818</v>
      </c>
      <c r="B16660" s="30" t="s">
        <v>36819</v>
      </c>
      <c r="C16660" s="29" t="s">
        <v>26</v>
      </c>
      <c r="D16660" s="31">
        <v>14.79</v>
      </c>
      <c r="F16660" s="3" t="str">
        <f t="shared" si="260"/>
        <v>G0276</v>
      </c>
    </row>
    <row r="16661" spans="1:6" x14ac:dyDescent="0.2">
      <c r="A16661" s="29" t="s">
        <v>36820</v>
      </c>
      <c r="B16661" s="30" t="s">
        <v>36821</v>
      </c>
      <c r="C16661" s="29" t="s">
        <v>26</v>
      </c>
      <c r="D16661" s="31">
        <v>19.14</v>
      </c>
      <c r="F16661" s="3" t="str">
        <f t="shared" si="260"/>
        <v>G0261</v>
      </c>
    </row>
    <row r="16662" spans="1:6" x14ac:dyDescent="0.2">
      <c r="A16662" s="29" t="s">
        <v>36822</v>
      </c>
      <c r="B16662" s="30" t="s">
        <v>36823</v>
      </c>
      <c r="C16662" s="29" t="s">
        <v>26</v>
      </c>
      <c r="D16662" s="31">
        <v>23.61</v>
      </c>
      <c r="F16662" s="3" t="str">
        <f t="shared" si="260"/>
        <v>G0262</v>
      </c>
    </row>
    <row r="16663" spans="1:6" x14ac:dyDescent="0.2">
      <c r="A16663" s="29" t="s">
        <v>36824</v>
      </c>
      <c r="B16663" s="30" t="s">
        <v>36825</v>
      </c>
      <c r="C16663" s="29" t="s">
        <v>26</v>
      </c>
      <c r="D16663" s="31">
        <v>47.66</v>
      </c>
      <c r="F16663" s="3" t="str">
        <f t="shared" si="260"/>
        <v>G0263</v>
      </c>
    </row>
    <row r="16664" spans="1:6" x14ac:dyDescent="0.2">
      <c r="A16664" s="29" t="s">
        <v>36826</v>
      </c>
      <c r="B16664" s="30" t="s">
        <v>36827</v>
      </c>
      <c r="C16664" s="29" t="s">
        <v>26</v>
      </c>
      <c r="D16664" s="31">
        <v>54.92</v>
      </c>
      <c r="F16664" s="3" t="str">
        <f t="shared" si="260"/>
        <v>G0264</v>
      </c>
    </row>
    <row r="16665" spans="1:6" x14ac:dyDescent="0.2">
      <c r="A16665" s="29" t="s">
        <v>36828</v>
      </c>
      <c r="B16665" s="30" t="s">
        <v>36829</v>
      </c>
      <c r="C16665" s="29" t="s">
        <v>26</v>
      </c>
      <c r="D16665" s="31">
        <v>42.69</v>
      </c>
      <c r="F16665" s="3" t="str">
        <f t="shared" si="260"/>
        <v>G0265</v>
      </c>
    </row>
    <row r="16666" spans="1:6" x14ac:dyDescent="0.2">
      <c r="A16666" s="29" t="s">
        <v>36830</v>
      </c>
      <c r="B16666" s="30" t="s">
        <v>36831</v>
      </c>
      <c r="C16666" s="29" t="s">
        <v>26</v>
      </c>
      <c r="D16666" s="31">
        <v>65.69</v>
      </c>
      <c r="F16666" s="3" t="str">
        <f t="shared" si="260"/>
        <v>G0266</v>
      </c>
    </row>
    <row r="16667" spans="1:6" x14ac:dyDescent="0.2">
      <c r="A16667" s="29" t="s">
        <v>36832</v>
      </c>
      <c r="B16667" s="30" t="s">
        <v>36833</v>
      </c>
      <c r="C16667" s="29" t="s">
        <v>26</v>
      </c>
      <c r="D16667" s="31">
        <v>96.5</v>
      </c>
      <c r="F16667" s="3" t="str">
        <f t="shared" si="260"/>
        <v>G0267</v>
      </c>
    </row>
    <row r="16668" spans="1:6" x14ac:dyDescent="0.2">
      <c r="A16668" s="29" t="s">
        <v>36834</v>
      </c>
      <c r="B16668" s="30" t="s">
        <v>36835</v>
      </c>
      <c r="C16668" s="29" t="s">
        <v>26</v>
      </c>
      <c r="D16668" s="31">
        <v>71.86</v>
      </c>
      <c r="F16668" s="3" t="str">
        <f t="shared" si="260"/>
        <v>G0268</v>
      </c>
    </row>
    <row r="16669" spans="1:6" x14ac:dyDescent="0.2">
      <c r="A16669" s="29" t="s">
        <v>36836</v>
      </c>
      <c r="B16669" s="30" t="s">
        <v>36837</v>
      </c>
      <c r="C16669" s="29" t="s">
        <v>26</v>
      </c>
      <c r="D16669" s="31">
        <v>59.77</v>
      </c>
      <c r="F16669" s="3" t="str">
        <f t="shared" si="260"/>
        <v>G0269</v>
      </c>
    </row>
    <row r="16670" spans="1:6" x14ac:dyDescent="0.2">
      <c r="A16670" s="29" t="s">
        <v>36838</v>
      </c>
      <c r="B16670" s="30" t="s">
        <v>36839</v>
      </c>
      <c r="C16670" s="29" t="s">
        <v>26</v>
      </c>
      <c r="D16670" s="31">
        <v>208.14</v>
      </c>
      <c r="F16670" s="3" t="str">
        <f t="shared" si="260"/>
        <v>G0270</v>
      </c>
    </row>
    <row r="16671" spans="1:6" x14ac:dyDescent="0.2">
      <c r="A16671" s="29" t="s">
        <v>36840</v>
      </c>
      <c r="B16671" s="30" t="s">
        <v>36841</v>
      </c>
      <c r="C16671" s="29" t="s">
        <v>26</v>
      </c>
      <c r="D16671" s="31">
        <v>169.55</v>
      </c>
      <c r="F16671" s="3" t="str">
        <f t="shared" si="260"/>
        <v>G0271</v>
      </c>
    </row>
    <row r="16672" spans="1:6" x14ac:dyDescent="0.2">
      <c r="A16672" s="29" t="s">
        <v>36842</v>
      </c>
      <c r="B16672" s="30" t="s">
        <v>36843</v>
      </c>
      <c r="C16672" s="29" t="s">
        <v>26</v>
      </c>
      <c r="D16672" s="31">
        <v>152.63</v>
      </c>
      <c r="F16672" s="3" t="str">
        <f t="shared" si="260"/>
        <v>G0272</v>
      </c>
    </row>
    <row r="16673" spans="1:6" x14ac:dyDescent="0.2">
      <c r="A16673" s="29" t="s">
        <v>36844</v>
      </c>
      <c r="B16673" s="30" t="s">
        <v>36845</v>
      </c>
      <c r="C16673" s="29" t="s">
        <v>26</v>
      </c>
      <c r="D16673" s="31">
        <v>303.66000000000003</v>
      </c>
      <c r="F16673" s="3" t="str">
        <f t="shared" si="260"/>
        <v>G0273</v>
      </c>
    </row>
    <row r="16674" spans="1:6" x14ac:dyDescent="0.2">
      <c r="A16674" s="29" t="s">
        <v>36846</v>
      </c>
      <c r="B16674" s="30" t="s">
        <v>36847</v>
      </c>
      <c r="C16674" s="29" t="s">
        <v>26</v>
      </c>
      <c r="D16674" s="31">
        <v>276.82</v>
      </c>
      <c r="F16674" s="3" t="str">
        <f t="shared" si="260"/>
        <v>G0274</v>
      </c>
    </row>
    <row r="16675" spans="1:6" x14ac:dyDescent="0.2">
      <c r="A16675" s="29" t="s">
        <v>36848</v>
      </c>
      <c r="B16675" s="30" t="s">
        <v>36849</v>
      </c>
      <c r="C16675" s="29" t="s">
        <v>26</v>
      </c>
      <c r="D16675" s="31">
        <v>231.3</v>
      </c>
      <c r="F16675" s="3" t="str">
        <f t="shared" si="260"/>
        <v>G0275</v>
      </c>
    </row>
    <row r="16676" spans="1:6" x14ac:dyDescent="0.2">
      <c r="A16676" s="29" t="s">
        <v>36850</v>
      </c>
      <c r="B16676" s="30" t="s">
        <v>36851</v>
      </c>
      <c r="C16676" s="29" t="s">
        <v>26</v>
      </c>
      <c r="D16676" s="31">
        <v>393.92</v>
      </c>
      <c r="F16676" s="3" t="str">
        <f t="shared" si="260"/>
        <v>G0277</v>
      </c>
    </row>
    <row r="16677" spans="1:6" x14ac:dyDescent="0.2">
      <c r="A16677" s="29" t="s">
        <v>36852</v>
      </c>
      <c r="B16677" s="30" t="s">
        <v>36853</v>
      </c>
      <c r="C16677" s="29" t="s">
        <v>26</v>
      </c>
      <c r="D16677" s="31">
        <v>407.49</v>
      </c>
      <c r="F16677" s="3" t="str">
        <f t="shared" si="260"/>
        <v>G0278</v>
      </c>
    </row>
    <row r="16678" spans="1:6" x14ac:dyDescent="0.2">
      <c r="A16678" s="29" t="s">
        <v>36854</v>
      </c>
      <c r="B16678" s="30" t="s">
        <v>36855</v>
      </c>
      <c r="C16678" s="29" t="s">
        <v>26</v>
      </c>
      <c r="D16678" s="31">
        <v>415.89</v>
      </c>
      <c r="F16678" s="3" t="str">
        <f t="shared" si="260"/>
        <v>G0279</v>
      </c>
    </row>
    <row r="16679" spans="1:6" x14ac:dyDescent="0.2">
      <c r="A16679" s="29" t="s">
        <v>36856</v>
      </c>
      <c r="B16679" s="30" t="s">
        <v>36857</v>
      </c>
      <c r="C16679" s="29" t="s">
        <v>26</v>
      </c>
      <c r="D16679" s="31">
        <v>617.26</v>
      </c>
      <c r="F16679" s="3" t="str">
        <f t="shared" si="260"/>
        <v>G0280</v>
      </c>
    </row>
    <row r="16680" spans="1:6" x14ac:dyDescent="0.2">
      <c r="A16680" s="29" t="s">
        <v>36858</v>
      </c>
      <c r="B16680" s="30" t="s">
        <v>36859</v>
      </c>
      <c r="C16680" s="29" t="s">
        <v>26</v>
      </c>
      <c r="D16680" s="31">
        <v>590.92999999999995</v>
      </c>
      <c r="F16680" s="3" t="str">
        <f t="shared" si="260"/>
        <v>G0281</v>
      </c>
    </row>
    <row r="16681" spans="1:6" x14ac:dyDescent="0.2">
      <c r="A16681" s="29" t="s">
        <v>36860</v>
      </c>
      <c r="B16681" s="30" t="s">
        <v>36861</v>
      </c>
      <c r="C16681" s="29" t="s">
        <v>26</v>
      </c>
      <c r="D16681" s="31">
        <v>435.12</v>
      </c>
      <c r="F16681" s="3" t="str">
        <f t="shared" si="260"/>
        <v>G0282</v>
      </c>
    </row>
    <row r="16682" spans="1:6" x14ac:dyDescent="0.2">
      <c r="A16682" s="29" t="s">
        <v>36862</v>
      </c>
      <c r="B16682" s="30" t="s">
        <v>36863</v>
      </c>
      <c r="C16682" s="29" t="s">
        <v>26</v>
      </c>
      <c r="D16682" s="31">
        <v>15582.17</v>
      </c>
      <c r="F16682" s="3" t="str">
        <f t="shared" si="260"/>
        <v>G0848</v>
      </c>
    </row>
    <row r="16683" spans="1:6" x14ac:dyDescent="0.2">
      <c r="A16683" s="29" t="s">
        <v>36864</v>
      </c>
      <c r="B16683" s="30" t="s">
        <v>36865</v>
      </c>
      <c r="C16683" s="29" t="s">
        <v>26</v>
      </c>
      <c r="D16683" s="31">
        <v>19.96</v>
      </c>
      <c r="F16683" s="3" t="str">
        <f t="shared" si="260"/>
        <v>G0283</v>
      </c>
    </row>
    <row r="16684" spans="1:6" x14ac:dyDescent="0.2">
      <c r="A16684" s="29" t="s">
        <v>36866</v>
      </c>
      <c r="B16684" s="30" t="s">
        <v>36867</v>
      </c>
      <c r="C16684" s="29" t="s">
        <v>26</v>
      </c>
      <c r="D16684" s="31">
        <v>12.24</v>
      </c>
      <c r="F16684" s="3" t="str">
        <f t="shared" si="260"/>
        <v>G0284</v>
      </c>
    </row>
    <row r="16685" spans="1:6" ht="22.5" x14ac:dyDescent="0.2">
      <c r="A16685" s="29" t="s">
        <v>36868</v>
      </c>
      <c r="B16685" s="30" t="s">
        <v>36869</v>
      </c>
      <c r="C16685" s="29" t="s">
        <v>26</v>
      </c>
      <c r="D16685" s="31">
        <v>7.25</v>
      </c>
      <c r="F16685" s="3" t="str">
        <f t="shared" si="260"/>
        <v>G0285</v>
      </c>
    </row>
    <row r="16686" spans="1:6" ht="22.5" x14ac:dyDescent="0.2">
      <c r="A16686" s="29" t="s">
        <v>36870</v>
      </c>
      <c r="B16686" s="30" t="s">
        <v>36871</v>
      </c>
      <c r="C16686" s="29" t="s">
        <v>26</v>
      </c>
      <c r="D16686" s="31">
        <v>5.57</v>
      </c>
      <c r="F16686" s="3" t="str">
        <f t="shared" si="260"/>
        <v>G0286</v>
      </c>
    </row>
    <row r="16687" spans="1:6" ht="22.5" x14ac:dyDescent="0.2">
      <c r="A16687" s="29" t="s">
        <v>36872</v>
      </c>
      <c r="B16687" s="30" t="s">
        <v>36873</v>
      </c>
      <c r="C16687" s="29" t="s">
        <v>0</v>
      </c>
      <c r="D16687" s="31">
        <v>16.87</v>
      </c>
      <c r="F16687" s="3" t="str">
        <f t="shared" si="260"/>
        <v>G0837</v>
      </c>
    </row>
    <row r="16688" spans="1:6" ht="22.5" x14ac:dyDescent="0.2">
      <c r="A16688" s="29" t="s">
        <v>36874</v>
      </c>
      <c r="B16688" s="30" t="s">
        <v>36875</v>
      </c>
      <c r="C16688" s="29" t="s">
        <v>26</v>
      </c>
      <c r="D16688" s="31">
        <v>10.63</v>
      </c>
      <c r="F16688" s="3" t="str">
        <f t="shared" si="260"/>
        <v>G0836</v>
      </c>
    </row>
    <row r="16689" spans="1:6" x14ac:dyDescent="0.2">
      <c r="A16689" s="29" t="s">
        <v>36876</v>
      </c>
      <c r="B16689" s="30" t="s">
        <v>36877</v>
      </c>
      <c r="C16689" s="29" t="s">
        <v>26</v>
      </c>
      <c r="D16689" s="31">
        <v>19287.87</v>
      </c>
      <c r="F16689" s="3" t="str">
        <f t="shared" si="260"/>
        <v>G0287</v>
      </c>
    </row>
    <row r="16690" spans="1:6" x14ac:dyDescent="0.2">
      <c r="A16690" s="29" t="s">
        <v>36878</v>
      </c>
      <c r="B16690" s="30" t="s">
        <v>36879</v>
      </c>
      <c r="C16690" s="29" t="s">
        <v>9</v>
      </c>
      <c r="D16690" s="31">
        <v>16.510000000000002</v>
      </c>
      <c r="F16690" s="3" t="str">
        <f t="shared" si="260"/>
        <v>G0289</v>
      </c>
    </row>
    <row r="16691" spans="1:6" x14ac:dyDescent="0.2">
      <c r="A16691" s="29" t="s">
        <v>36880</v>
      </c>
      <c r="B16691" s="30" t="s">
        <v>36881</v>
      </c>
      <c r="C16691" s="29" t="s">
        <v>26</v>
      </c>
      <c r="D16691" s="31">
        <v>22.75</v>
      </c>
      <c r="F16691" s="3" t="str">
        <f t="shared" si="260"/>
        <v>G0290</v>
      </c>
    </row>
    <row r="16692" spans="1:6" ht="22.5" x14ac:dyDescent="0.2">
      <c r="A16692" s="29" t="s">
        <v>36882</v>
      </c>
      <c r="B16692" s="30" t="s">
        <v>36883</v>
      </c>
      <c r="C16692" s="29" t="s">
        <v>26</v>
      </c>
      <c r="D16692" s="31">
        <v>25.52</v>
      </c>
      <c r="F16692" s="3" t="str">
        <f t="shared" si="260"/>
        <v>G0759</v>
      </c>
    </row>
    <row r="16693" spans="1:6" ht="22.5" x14ac:dyDescent="0.2">
      <c r="A16693" s="29" t="s">
        <v>36884</v>
      </c>
      <c r="B16693" s="30" t="s">
        <v>36885</v>
      </c>
      <c r="C16693" s="29" t="s">
        <v>26</v>
      </c>
      <c r="D16693" s="31">
        <v>20.94</v>
      </c>
      <c r="F16693" s="3" t="str">
        <f t="shared" si="260"/>
        <v>G0760</v>
      </c>
    </row>
    <row r="16694" spans="1:6" ht="22.5" x14ac:dyDescent="0.2">
      <c r="A16694" s="29" t="s">
        <v>36886</v>
      </c>
      <c r="B16694" s="30" t="s">
        <v>36887</v>
      </c>
      <c r="C16694" s="29" t="s">
        <v>26</v>
      </c>
      <c r="D16694" s="31">
        <v>12.99</v>
      </c>
      <c r="F16694" s="3" t="str">
        <f t="shared" si="260"/>
        <v>G0758</v>
      </c>
    </row>
    <row r="16695" spans="1:6" ht="22.5" x14ac:dyDescent="0.2">
      <c r="A16695" s="29" t="s">
        <v>36888</v>
      </c>
      <c r="B16695" s="30" t="s">
        <v>36889</v>
      </c>
      <c r="C16695" s="29" t="s">
        <v>26</v>
      </c>
      <c r="D16695" s="31">
        <v>5.37</v>
      </c>
      <c r="F16695" s="3" t="str">
        <f t="shared" si="260"/>
        <v>G0756</v>
      </c>
    </row>
    <row r="16696" spans="1:6" ht="22.5" x14ac:dyDescent="0.2">
      <c r="A16696" s="29" t="s">
        <v>36890</v>
      </c>
      <c r="B16696" s="30" t="s">
        <v>36891</v>
      </c>
      <c r="C16696" s="29" t="s">
        <v>26</v>
      </c>
      <c r="D16696" s="31">
        <v>10.47</v>
      </c>
      <c r="F16696" s="3" t="str">
        <f t="shared" si="260"/>
        <v>G0757</v>
      </c>
    </row>
    <row r="16697" spans="1:6" x14ac:dyDescent="0.2">
      <c r="A16697" s="29" t="s">
        <v>36892</v>
      </c>
      <c r="B16697" s="30" t="s">
        <v>36893</v>
      </c>
      <c r="C16697" s="29" t="s">
        <v>26</v>
      </c>
      <c r="D16697" s="31">
        <v>211.93</v>
      </c>
      <c r="F16697" s="3" t="str">
        <f t="shared" si="260"/>
        <v>G0832</v>
      </c>
    </row>
    <row r="16698" spans="1:6" ht="22.5" x14ac:dyDescent="0.2">
      <c r="A16698" s="29" t="s">
        <v>36894</v>
      </c>
      <c r="B16698" s="30" t="s">
        <v>36895</v>
      </c>
      <c r="C16698" s="29" t="s">
        <v>26</v>
      </c>
      <c r="D16698" s="31">
        <v>47.47</v>
      </c>
      <c r="F16698" s="3" t="str">
        <f t="shared" si="260"/>
        <v>G0766</v>
      </c>
    </row>
    <row r="16699" spans="1:6" ht="22.5" x14ac:dyDescent="0.2">
      <c r="A16699" s="29" t="s">
        <v>36896</v>
      </c>
      <c r="B16699" s="30" t="s">
        <v>36897</v>
      </c>
      <c r="C16699" s="29" t="s">
        <v>26</v>
      </c>
      <c r="D16699" s="31">
        <v>37.81</v>
      </c>
      <c r="F16699" s="3" t="str">
        <f t="shared" si="260"/>
        <v>G0765</v>
      </c>
    </row>
    <row r="16700" spans="1:6" ht="22.5" x14ac:dyDescent="0.2">
      <c r="A16700" s="29" t="s">
        <v>36898</v>
      </c>
      <c r="B16700" s="30" t="s">
        <v>36899</v>
      </c>
      <c r="C16700" s="29" t="s">
        <v>26</v>
      </c>
      <c r="D16700" s="31">
        <v>24.34</v>
      </c>
      <c r="F16700" s="3" t="str">
        <f t="shared" si="260"/>
        <v>G0764</v>
      </c>
    </row>
    <row r="16701" spans="1:6" ht="22.5" x14ac:dyDescent="0.2">
      <c r="A16701" s="29" t="s">
        <v>36900</v>
      </c>
      <c r="B16701" s="30" t="s">
        <v>36901</v>
      </c>
      <c r="C16701" s="29" t="s">
        <v>26</v>
      </c>
      <c r="D16701" s="31">
        <v>11.25</v>
      </c>
      <c r="F16701" s="3" t="str">
        <f t="shared" si="260"/>
        <v>G0762</v>
      </c>
    </row>
    <row r="16702" spans="1:6" ht="22.5" x14ac:dyDescent="0.2">
      <c r="A16702" s="29" t="s">
        <v>36902</v>
      </c>
      <c r="B16702" s="30" t="s">
        <v>36903</v>
      </c>
      <c r="C16702" s="29" t="s">
        <v>26</v>
      </c>
      <c r="D16702" s="31">
        <v>14.07</v>
      </c>
      <c r="F16702" s="3" t="str">
        <f t="shared" si="260"/>
        <v>G0761</v>
      </c>
    </row>
    <row r="16703" spans="1:6" ht="22.5" x14ac:dyDescent="0.2">
      <c r="A16703" s="29" t="s">
        <v>36904</v>
      </c>
      <c r="B16703" s="30" t="s">
        <v>36905</v>
      </c>
      <c r="C16703" s="29" t="s">
        <v>26</v>
      </c>
      <c r="D16703" s="31">
        <v>14.86</v>
      </c>
      <c r="F16703" s="3" t="str">
        <f t="shared" si="260"/>
        <v>G0763</v>
      </c>
    </row>
    <row r="16704" spans="1:6" ht="22.5" x14ac:dyDescent="0.2">
      <c r="A16704" s="29" t="s">
        <v>36906</v>
      </c>
      <c r="B16704" s="30" t="s">
        <v>36907</v>
      </c>
      <c r="C16704" s="29" t="s">
        <v>26</v>
      </c>
      <c r="D16704" s="31">
        <v>390.71</v>
      </c>
      <c r="F16704" s="3" t="str">
        <f t="shared" si="260"/>
        <v>G0619</v>
      </c>
    </row>
    <row r="16705" spans="1:6" ht="22.5" x14ac:dyDescent="0.2">
      <c r="A16705" s="29" t="s">
        <v>36908</v>
      </c>
      <c r="B16705" s="30" t="s">
        <v>36907</v>
      </c>
      <c r="C16705" s="29" t="s">
        <v>26</v>
      </c>
      <c r="D16705" s="31">
        <v>390.71</v>
      </c>
      <c r="F16705" s="3" t="str">
        <f t="shared" si="260"/>
        <v>G0795</v>
      </c>
    </row>
    <row r="16706" spans="1:6" ht="22.5" x14ac:dyDescent="0.2">
      <c r="A16706" s="29" t="s">
        <v>36909</v>
      </c>
      <c r="B16706" s="30" t="s">
        <v>36910</v>
      </c>
      <c r="C16706" s="29" t="s">
        <v>26</v>
      </c>
      <c r="D16706" s="31">
        <v>197.31</v>
      </c>
      <c r="F16706" s="3" t="str">
        <f t="shared" ref="F16706:F16769" si="261">A16706</f>
        <v>G0618</v>
      </c>
    </row>
    <row r="16707" spans="1:6" ht="22.5" x14ac:dyDescent="0.2">
      <c r="A16707" s="29" t="s">
        <v>36911</v>
      </c>
      <c r="B16707" s="30" t="s">
        <v>36910</v>
      </c>
      <c r="C16707" s="29" t="s">
        <v>26</v>
      </c>
      <c r="D16707" s="31">
        <v>197.31</v>
      </c>
      <c r="F16707" s="3" t="str">
        <f t="shared" si="261"/>
        <v>G0794</v>
      </c>
    </row>
    <row r="16708" spans="1:6" ht="22.5" x14ac:dyDescent="0.2">
      <c r="A16708" s="29" t="s">
        <v>36912</v>
      </c>
      <c r="B16708" s="30" t="s">
        <v>36913</v>
      </c>
      <c r="C16708" s="29" t="s">
        <v>26</v>
      </c>
      <c r="D16708" s="31">
        <v>593.29999999999995</v>
      </c>
      <c r="F16708" s="3" t="str">
        <f t="shared" si="261"/>
        <v>G0621</v>
      </c>
    </row>
    <row r="16709" spans="1:6" ht="22.5" x14ac:dyDescent="0.2">
      <c r="A16709" s="29" t="s">
        <v>36914</v>
      </c>
      <c r="B16709" s="30" t="s">
        <v>36913</v>
      </c>
      <c r="C16709" s="29" t="s">
        <v>26</v>
      </c>
      <c r="D16709" s="31">
        <v>593.29999999999995</v>
      </c>
      <c r="F16709" s="3" t="str">
        <f t="shared" si="261"/>
        <v>G0797</v>
      </c>
    </row>
    <row r="16710" spans="1:6" ht="22.5" x14ac:dyDescent="0.2">
      <c r="A16710" s="29" t="s">
        <v>36915</v>
      </c>
      <c r="B16710" s="30" t="s">
        <v>36916</v>
      </c>
      <c r="C16710" s="29" t="s">
        <v>26</v>
      </c>
      <c r="D16710" s="31">
        <v>206.61</v>
      </c>
      <c r="F16710" s="3" t="str">
        <f t="shared" si="261"/>
        <v>G0620</v>
      </c>
    </row>
    <row r="16711" spans="1:6" ht="22.5" x14ac:dyDescent="0.2">
      <c r="A16711" s="29" t="s">
        <v>36917</v>
      </c>
      <c r="B16711" s="30" t="s">
        <v>36916</v>
      </c>
      <c r="C16711" s="29" t="s">
        <v>26</v>
      </c>
      <c r="D16711" s="31">
        <v>206.61</v>
      </c>
      <c r="F16711" s="3" t="str">
        <f t="shared" si="261"/>
        <v>G0796</v>
      </c>
    </row>
    <row r="16712" spans="1:6" ht="22.5" x14ac:dyDescent="0.2">
      <c r="A16712" s="29" t="s">
        <v>36918</v>
      </c>
      <c r="B16712" s="30" t="s">
        <v>36919</v>
      </c>
      <c r="C16712" s="29" t="s">
        <v>26</v>
      </c>
      <c r="D16712" s="31">
        <v>144.58000000000001</v>
      </c>
      <c r="F16712" s="3" t="str">
        <f t="shared" si="261"/>
        <v>G0622</v>
      </c>
    </row>
    <row r="16713" spans="1:6" ht="22.5" x14ac:dyDescent="0.2">
      <c r="A16713" s="29" t="s">
        <v>36920</v>
      </c>
      <c r="B16713" s="30" t="s">
        <v>36919</v>
      </c>
      <c r="C16713" s="29" t="s">
        <v>26</v>
      </c>
      <c r="D16713" s="31">
        <v>144.58000000000001</v>
      </c>
      <c r="F16713" s="3" t="str">
        <f t="shared" si="261"/>
        <v>G0798</v>
      </c>
    </row>
    <row r="16714" spans="1:6" ht="22.5" x14ac:dyDescent="0.2">
      <c r="A16714" s="29" t="s">
        <v>36921</v>
      </c>
      <c r="B16714" s="30" t="s">
        <v>36922</v>
      </c>
      <c r="C16714" s="29" t="s">
        <v>26</v>
      </c>
      <c r="D16714" s="31">
        <v>181.08</v>
      </c>
      <c r="F16714" s="3" t="str">
        <f t="shared" si="261"/>
        <v>G0623</v>
      </c>
    </row>
    <row r="16715" spans="1:6" ht="22.5" x14ac:dyDescent="0.2">
      <c r="A16715" s="29" t="s">
        <v>36923</v>
      </c>
      <c r="B16715" s="30" t="s">
        <v>36922</v>
      </c>
      <c r="C16715" s="29" t="s">
        <v>26</v>
      </c>
      <c r="D16715" s="31">
        <v>181.08</v>
      </c>
      <c r="F16715" s="3" t="str">
        <f t="shared" si="261"/>
        <v>G0799</v>
      </c>
    </row>
    <row r="16716" spans="1:6" ht="22.5" x14ac:dyDescent="0.2">
      <c r="A16716" s="29" t="s">
        <v>36924</v>
      </c>
      <c r="B16716" s="30" t="s">
        <v>36925</v>
      </c>
      <c r="C16716" s="29" t="s">
        <v>0</v>
      </c>
      <c r="D16716" s="31">
        <v>2.02</v>
      </c>
      <c r="F16716" s="3" t="str">
        <f t="shared" si="261"/>
        <v>G0845</v>
      </c>
    </row>
    <row r="16717" spans="1:6" ht="22.5" x14ac:dyDescent="0.2">
      <c r="A16717" s="29" t="s">
        <v>36926</v>
      </c>
      <c r="B16717" s="30" t="s">
        <v>36927</v>
      </c>
      <c r="C16717" s="29" t="s">
        <v>26</v>
      </c>
      <c r="D16717" s="31">
        <v>195.3</v>
      </c>
      <c r="F16717" s="3" t="str">
        <f t="shared" si="261"/>
        <v>G0337</v>
      </c>
    </row>
    <row r="16718" spans="1:6" ht="22.5" x14ac:dyDescent="0.2">
      <c r="A16718" s="29" t="s">
        <v>36928</v>
      </c>
      <c r="B16718" s="30" t="s">
        <v>36929</v>
      </c>
      <c r="C16718" s="29" t="s">
        <v>26</v>
      </c>
      <c r="D16718" s="31">
        <v>195.3</v>
      </c>
      <c r="F16718" s="3" t="str">
        <f t="shared" si="261"/>
        <v>G0338</v>
      </c>
    </row>
    <row r="16719" spans="1:6" ht="22.5" x14ac:dyDescent="0.2">
      <c r="A16719" s="29" t="s">
        <v>36930</v>
      </c>
      <c r="B16719" s="30" t="s">
        <v>36931</v>
      </c>
      <c r="C16719" s="29" t="s">
        <v>26</v>
      </c>
      <c r="D16719" s="31">
        <v>272.04000000000002</v>
      </c>
      <c r="F16719" s="3" t="str">
        <f t="shared" si="261"/>
        <v>G0339</v>
      </c>
    </row>
    <row r="16720" spans="1:6" ht="22.5" x14ac:dyDescent="0.2">
      <c r="A16720" s="29" t="s">
        <v>36932</v>
      </c>
      <c r="B16720" s="30" t="s">
        <v>36933</v>
      </c>
      <c r="C16720" s="29" t="s">
        <v>26</v>
      </c>
      <c r="D16720" s="31">
        <v>272.04000000000002</v>
      </c>
      <c r="F16720" s="3" t="str">
        <f t="shared" si="261"/>
        <v>G0340</v>
      </c>
    </row>
    <row r="16721" spans="1:6" ht="22.5" x14ac:dyDescent="0.2">
      <c r="A16721" s="29" t="s">
        <v>36934</v>
      </c>
      <c r="B16721" s="30" t="s">
        <v>36935</v>
      </c>
      <c r="C16721" s="29" t="s">
        <v>26</v>
      </c>
      <c r="D16721" s="31">
        <v>374.05</v>
      </c>
      <c r="F16721" s="3" t="str">
        <f t="shared" si="261"/>
        <v>G0341</v>
      </c>
    </row>
    <row r="16722" spans="1:6" ht="22.5" x14ac:dyDescent="0.2">
      <c r="A16722" s="29" t="s">
        <v>36936</v>
      </c>
      <c r="B16722" s="30" t="s">
        <v>36937</v>
      </c>
      <c r="C16722" s="29" t="s">
        <v>26</v>
      </c>
      <c r="D16722" s="31">
        <v>374.05</v>
      </c>
      <c r="F16722" s="3" t="str">
        <f t="shared" si="261"/>
        <v>G0342</v>
      </c>
    </row>
    <row r="16723" spans="1:6" ht="22.5" x14ac:dyDescent="0.2">
      <c r="A16723" s="29" t="s">
        <v>36938</v>
      </c>
      <c r="B16723" s="30" t="s">
        <v>36939</v>
      </c>
      <c r="C16723" s="29" t="s">
        <v>26</v>
      </c>
      <c r="D16723" s="31">
        <v>371.57</v>
      </c>
      <c r="F16723" s="3" t="str">
        <f t="shared" si="261"/>
        <v>G0343</v>
      </c>
    </row>
    <row r="16724" spans="1:6" ht="22.5" x14ac:dyDescent="0.2">
      <c r="A16724" s="29" t="s">
        <v>36940</v>
      </c>
      <c r="B16724" s="30" t="s">
        <v>36941</v>
      </c>
      <c r="C16724" s="29" t="s">
        <v>26</v>
      </c>
      <c r="D16724" s="31">
        <v>371.57</v>
      </c>
      <c r="F16724" s="3" t="str">
        <f t="shared" si="261"/>
        <v>G0344</v>
      </c>
    </row>
    <row r="16725" spans="1:6" ht="22.5" x14ac:dyDescent="0.2">
      <c r="A16725" s="29" t="s">
        <v>36942</v>
      </c>
      <c r="B16725" s="30" t="s">
        <v>36943</v>
      </c>
      <c r="C16725" s="29" t="s">
        <v>26</v>
      </c>
      <c r="D16725" s="31">
        <v>440.4</v>
      </c>
      <c r="F16725" s="3" t="str">
        <f t="shared" si="261"/>
        <v>G0345</v>
      </c>
    </row>
    <row r="16726" spans="1:6" ht="22.5" x14ac:dyDescent="0.2">
      <c r="A16726" s="29" t="s">
        <v>36944</v>
      </c>
      <c r="B16726" s="30" t="s">
        <v>36945</v>
      </c>
      <c r="C16726" s="29" t="s">
        <v>26</v>
      </c>
      <c r="D16726" s="31">
        <v>472.33</v>
      </c>
      <c r="F16726" s="3" t="str">
        <f t="shared" si="261"/>
        <v>G0346</v>
      </c>
    </row>
    <row r="16727" spans="1:6" ht="22.5" x14ac:dyDescent="0.2">
      <c r="A16727" s="29" t="s">
        <v>36946</v>
      </c>
      <c r="B16727" s="30" t="s">
        <v>36947</v>
      </c>
      <c r="C16727" s="29" t="s">
        <v>26</v>
      </c>
      <c r="D16727" s="31">
        <v>537.02</v>
      </c>
      <c r="F16727" s="3" t="str">
        <f t="shared" si="261"/>
        <v>G0347</v>
      </c>
    </row>
    <row r="16728" spans="1:6" ht="22.5" x14ac:dyDescent="0.2">
      <c r="A16728" s="29" t="s">
        <v>36948</v>
      </c>
      <c r="B16728" s="30" t="s">
        <v>36949</v>
      </c>
      <c r="C16728" s="29" t="s">
        <v>26</v>
      </c>
      <c r="D16728" s="31">
        <v>678.02</v>
      </c>
      <c r="F16728" s="3" t="str">
        <f t="shared" si="261"/>
        <v>G0348</v>
      </c>
    </row>
    <row r="16729" spans="1:6" ht="22.5" x14ac:dyDescent="0.2">
      <c r="A16729" s="29" t="s">
        <v>36950</v>
      </c>
      <c r="B16729" s="30" t="s">
        <v>36951</v>
      </c>
      <c r="C16729" s="29" t="s">
        <v>26</v>
      </c>
      <c r="D16729" s="31">
        <v>969.12</v>
      </c>
      <c r="F16729" s="3" t="str">
        <f t="shared" si="261"/>
        <v>G0349</v>
      </c>
    </row>
    <row r="16730" spans="1:6" ht="22.5" x14ac:dyDescent="0.2">
      <c r="A16730" s="29" t="s">
        <v>36952</v>
      </c>
      <c r="B16730" s="30" t="s">
        <v>36953</v>
      </c>
      <c r="C16730" s="29" t="s">
        <v>26</v>
      </c>
      <c r="D16730" s="31">
        <v>1219.18</v>
      </c>
      <c r="F16730" s="3" t="str">
        <f t="shared" si="261"/>
        <v>G0350</v>
      </c>
    </row>
    <row r="16731" spans="1:6" ht="22.5" x14ac:dyDescent="0.2">
      <c r="A16731" s="29" t="s">
        <v>36954</v>
      </c>
      <c r="B16731" s="30" t="s">
        <v>36955</v>
      </c>
      <c r="C16731" s="29" t="s">
        <v>26</v>
      </c>
      <c r="D16731" s="31">
        <v>1375.93</v>
      </c>
      <c r="F16731" s="3" t="str">
        <f t="shared" si="261"/>
        <v>G0351</v>
      </c>
    </row>
    <row r="16732" spans="1:6" ht="45" x14ac:dyDescent="0.2">
      <c r="A16732" s="29" t="s">
        <v>36956</v>
      </c>
      <c r="B16732" s="30" t="s">
        <v>36957</v>
      </c>
      <c r="C16732" s="29" t="s">
        <v>9</v>
      </c>
      <c r="D16732" s="31">
        <v>51.99</v>
      </c>
      <c r="F16732" s="3" t="str">
        <f t="shared" si="261"/>
        <v>G0352</v>
      </c>
    </row>
    <row r="16733" spans="1:6" ht="45" x14ac:dyDescent="0.2">
      <c r="A16733" s="29" t="s">
        <v>36958</v>
      </c>
      <c r="B16733" s="30" t="s">
        <v>36959</v>
      </c>
      <c r="C16733" s="29" t="s">
        <v>9</v>
      </c>
      <c r="D16733" s="31">
        <v>47.26</v>
      </c>
      <c r="F16733" s="3" t="str">
        <f t="shared" si="261"/>
        <v>G0353</v>
      </c>
    </row>
    <row r="16734" spans="1:6" ht="67.5" x14ac:dyDescent="0.2">
      <c r="A16734" s="29" t="s">
        <v>36960</v>
      </c>
      <c r="B16734" s="30" t="s">
        <v>36961</v>
      </c>
      <c r="C16734" s="29" t="s">
        <v>9</v>
      </c>
      <c r="D16734" s="31">
        <v>96.83</v>
      </c>
      <c r="F16734" s="3" t="str">
        <f t="shared" si="261"/>
        <v>G0355</v>
      </c>
    </row>
    <row r="16735" spans="1:6" x14ac:dyDescent="0.2">
      <c r="A16735" s="29" t="s">
        <v>36962</v>
      </c>
      <c r="B16735" s="30" t="s">
        <v>36963</v>
      </c>
      <c r="C16735" s="29" t="s">
        <v>9</v>
      </c>
      <c r="D16735" s="31">
        <v>97.11</v>
      </c>
      <c r="F16735" s="3" t="str">
        <f t="shared" si="261"/>
        <v>G0469</v>
      </c>
    </row>
    <row r="16736" spans="1:6" x14ac:dyDescent="0.2">
      <c r="A16736" s="29" t="s">
        <v>36964</v>
      </c>
      <c r="B16736" s="30" t="s">
        <v>36965</v>
      </c>
      <c r="C16736" s="29" t="s">
        <v>9</v>
      </c>
      <c r="D16736" s="31">
        <v>48.37</v>
      </c>
      <c r="F16736" s="3" t="str">
        <f t="shared" si="261"/>
        <v>G0356</v>
      </c>
    </row>
    <row r="16737" spans="1:6" x14ac:dyDescent="0.2">
      <c r="A16737" s="29" t="s">
        <v>36966</v>
      </c>
      <c r="B16737" s="30" t="s">
        <v>36967</v>
      </c>
      <c r="C16737" s="29" t="s">
        <v>9</v>
      </c>
      <c r="D16737" s="31">
        <v>41.53</v>
      </c>
      <c r="F16737" s="3" t="str">
        <f t="shared" si="261"/>
        <v>G0357</v>
      </c>
    </row>
    <row r="16738" spans="1:6" x14ac:dyDescent="0.2">
      <c r="A16738" s="29" t="s">
        <v>36968</v>
      </c>
      <c r="B16738" s="30" t="s">
        <v>36969</v>
      </c>
      <c r="C16738" s="29" t="s">
        <v>9</v>
      </c>
      <c r="D16738" s="31">
        <v>70.33</v>
      </c>
      <c r="F16738" s="3" t="str">
        <f t="shared" si="261"/>
        <v>G0471</v>
      </c>
    </row>
    <row r="16739" spans="1:6" x14ac:dyDescent="0.2">
      <c r="A16739" s="29" t="s">
        <v>36970</v>
      </c>
      <c r="B16739" s="30" t="s">
        <v>36971</v>
      </c>
      <c r="C16739" s="29" t="s">
        <v>26</v>
      </c>
      <c r="D16739" s="31">
        <v>27.44</v>
      </c>
      <c r="F16739" s="3" t="str">
        <f t="shared" si="261"/>
        <v>G0468</v>
      </c>
    </row>
    <row r="16740" spans="1:6" x14ac:dyDescent="0.2">
      <c r="A16740" s="29" t="s">
        <v>36972</v>
      </c>
      <c r="B16740" s="30" t="s">
        <v>36973</v>
      </c>
      <c r="C16740" s="29" t="s">
        <v>9</v>
      </c>
      <c r="D16740" s="31">
        <v>58.5</v>
      </c>
      <c r="F16740" s="3" t="str">
        <f t="shared" si="261"/>
        <v>G0472</v>
      </c>
    </row>
    <row r="16741" spans="1:6" ht="45" x14ac:dyDescent="0.2">
      <c r="A16741" s="29" t="s">
        <v>36974</v>
      </c>
      <c r="B16741" s="30" t="s">
        <v>36975</v>
      </c>
      <c r="C16741" s="29" t="s">
        <v>9</v>
      </c>
      <c r="D16741" s="31">
        <v>46.18</v>
      </c>
      <c r="F16741" s="3" t="str">
        <f t="shared" si="261"/>
        <v>G0358</v>
      </c>
    </row>
    <row r="16742" spans="1:6" ht="45" x14ac:dyDescent="0.2">
      <c r="A16742" s="29" t="s">
        <v>36976</v>
      </c>
      <c r="B16742" s="30" t="s">
        <v>36977</v>
      </c>
      <c r="C16742" s="29" t="s">
        <v>9</v>
      </c>
      <c r="D16742" s="31">
        <v>47.18</v>
      </c>
      <c r="F16742" s="3" t="str">
        <f t="shared" si="261"/>
        <v>G0359</v>
      </c>
    </row>
    <row r="16743" spans="1:6" x14ac:dyDescent="0.2">
      <c r="A16743" s="29" t="s">
        <v>36978</v>
      </c>
      <c r="B16743" s="30" t="s">
        <v>36979</v>
      </c>
      <c r="C16743" s="29" t="s">
        <v>26</v>
      </c>
      <c r="D16743" s="31">
        <v>6772.35</v>
      </c>
      <c r="F16743" s="3" t="str">
        <f t="shared" si="261"/>
        <v>G0702</v>
      </c>
    </row>
    <row r="16744" spans="1:6" ht="33.75" x14ac:dyDescent="0.2">
      <c r="A16744" s="29" t="s">
        <v>36980</v>
      </c>
      <c r="B16744" s="30" t="s">
        <v>36981</v>
      </c>
      <c r="C16744" s="29" t="s">
        <v>0</v>
      </c>
      <c r="D16744" s="31">
        <v>99.13</v>
      </c>
      <c r="F16744" s="3" t="str">
        <f t="shared" si="261"/>
        <v>G0821</v>
      </c>
    </row>
    <row r="16745" spans="1:6" ht="33.75" x14ac:dyDescent="0.2">
      <c r="A16745" s="29" t="s">
        <v>36982</v>
      </c>
      <c r="B16745" s="30" t="s">
        <v>36983</v>
      </c>
      <c r="C16745" s="29" t="s">
        <v>0</v>
      </c>
      <c r="D16745" s="31">
        <v>128.30000000000001</v>
      </c>
      <c r="F16745" s="3" t="str">
        <f t="shared" si="261"/>
        <v>G0822</v>
      </c>
    </row>
    <row r="16746" spans="1:6" ht="33.75" x14ac:dyDescent="0.2">
      <c r="A16746" s="29" t="s">
        <v>36984</v>
      </c>
      <c r="B16746" s="30" t="s">
        <v>36985</v>
      </c>
      <c r="C16746" s="29" t="s">
        <v>0</v>
      </c>
      <c r="D16746" s="31">
        <v>265.94</v>
      </c>
      <c r="F16746" s="3" t="str">
        <f t="shared" si="261"/>
        <v>G0823</v>
      </c>
    </row>
    <row r="16747" spans="1:6" x14ac:dyDescent="0.2">
      <c r="A16747" s="29" t="s">
        <v>36986</v>
      </c>
      <c r="B16747" s="30" t="s">
        <v>36987</v>
      </c>
      <c r="C16747" s="29" t="s">
        <v>0</v>
      </c>
      <c r="D16747" s="31">
        <v>190.74</v>
      </c>
      <c r="F16747" s="3" t="str">
        <f t="shared" si="261"/>
        <v>G0360</v>
      </c>
    </row>
    <row r="16748" spans="1:6" ht="22.5" x14ac:dyDescent="0.2">
      <c r="A16748" s="29" t="s">
        <v>36988</v>
      </c>
      <c r="B16748" s="30" t="s">
        <v>36989</v>
      </c>
      <c r="C16748" s="29" t="s">
        <v>26</v>
      </c>
      <c r="D16748" s="31">
        <v>355.8</v>
      </c>
      <c r="F16748" s="3" t="str">
        <f t="shared" si="261"/>
        <v>G0606</v>
      </c>
    </row>
    <row r="16749" spans="1:6" ht="22.5" x14ac:dyDescent="0.2">
      <c r="A16749" s="29" t="s">
        <v>36990</v>
      </c>
      <c r="B16749" s="30" t="s">
        <v>36989</v>
      </c>
      <c r="C16749" s="29" t="s">
        <v>26</v>
      </c>
      <c r="D16749" s="31">
        <v>355.8</v>
      </c>
      <c r="F16749" s="3" t="str">
        <f t="shared" si="261"/>
        <v>G0782</v>
      </c>
    </row>
    <row r="16750" spans="1:6" ht="22.5" x14ac:dyDescent="0.2">
      <c r="A16750" s="29" t="s">
        <v>36991</v>
      </c>
      <c r="B16750" s="30" t="s">
        <v>36992</v>
      </c>
      <c r="C16750" s="29" t="s">
        <v>26</v>
      </c>
      <c r="D16750" s="31">
        <v>487.83</v>
      </c>
      <c r="F16750" s="3" t="str">
        <f t="shared" si="261"/>
        <v>G0607</v>
      </c>
    </row>
    <row r="16751" spans="1:6" ht="22.5" x14ac:dyDescent="0.2">
      <c r="A16751" s="29" t="s">
        <v>36993</v>
      </c>
      <c r="B16751" s="30" t="s">
        <v>36992</v>
      </c>
      <c r="C16751" s="29" t="s">
        <v>26</v>
      </c>
      <c r="D16751" s="31">
        <v>487.83</v>
      </c>
      <c r="F16751" s="3" t="str">
        <f t="shared" si="261"/>
        <v>G0783</v>
      </c>
    </row>
    <row r="16752" spans="1:6" ht="22.5" x14ac:dyDescent="0.2">
      <c r="A16752" s="29" t="s">
        <v>36994</v>
      </c>
      <c r="B16752" s="30" t="s">
        <v>36995</v>
      </c>
      <c r="C16752" s="29" t="s">
        <v>26</v>
      </c>
      <c r="D16752" s="31">
        <v>384.68</v>
      </c>
      <c r="F16752" s="3" t="str">
        <f t="shared" si="261"/>
        <v>G0608</v>
      </c>
    </row>
    <row r="16753" spans="1:6" ht="22.5" x14ac:dyDescent="0.2">
      <c r="A16753" s="29" t="s">
        <v>36996</v>
      </c>
      <c r="B16753" s="30" t="s">
        <v>36995</v>
      </c>
      <c r="C16753" s="29" t="s">
        <v>26</v>
      </c>
      <c r="D16753" s="31">
        <v>384.68</v>
      </c>
      <c r="F16753" s="3" t="str">
        <f t="shared" si="261"/>
        <v>G0784</v>
      </c>
    </row>
    <row r="16754" spans="1:6" x14ac:dyDescent="0.2">
      <c r="A16754" s="29" t="s">
        <v>36997</v>
      </c>
      <c r="B16754" s="30" t="s">
        <v>36998</v>
      </c>
      <c r="C16754" s="29" t="s">
        <v>26</v>
      </c>
      <c r="D16754" s="31">
        <v>581.09</v>
      </c>
      <c r="F16754" s="3" t="str">
        <f t="shared" si="261"/>
        <v>G0833</v>
      </c>
    </row>
    <row r="16755" spans="1:6" x14ac:dyDescent="0.2">
      <c r="A16755" s="29" t="s">
        <v>36999</v>
      </c>
      <c r="B16755" s="30" t="s">
        <v>37000</v>
      </c>
      <c r="C16755" s="29" t="s">
        <v>26</v>
      </c>
      <c r="D16755" s="31">
        <v>47.45</v>
      </c>
      <c r="F16755" s="3" t="str">
        <f t="shared" si="261"/>
        <v>G0304</v>
      </c>
    </row>
    <row r="16756" spans="1:6" ht="22.5" x14ac:dyDescent="0.2">
      <c r="A16756" s="29" t="s">
        <v>37001</v>
      </c>
      <c r="B16756" s="30" t="s">
        <v>37002</v>
      </c>
      <c r="C16756" s="29" t="s">
        <v>26</v>
      </c>
      <c r="D16756" s="31">
        <v>45.58</v>
      </c>
      <c r="F16756" s="3" t="str">
        <f t="shared" si="261"/>
        <v>G0305</v>
      </c>
    </row>
    <row r="16757" spans="1:6" ht="22.5" x14ac:dyDescent="0.2">
      <c r="A16757" s="29" t="s">
        <v>37003</v>
      </c>
      <c r="B16757" s="30" t="s">
        <v>37004</v>
      </c>
      <c r="C16757" s="29" t="s">
        <v>26</v>
      </c>
      <c r="D16757" s="31">
        <v>88.75</v>
      </c>
      <c r="F16757" s="3" t="str">
        <f t="shared" si="261"/>
        <v>G0306</v>
      </c>
    </row>
    <row r="16758" spans="1:6" ht="22.5" x14ac:dyDescent="0.2">
      <c r="A16758" s="29" t="s">
        <v>37005</v>
      </c>
      <c r="B16758" s="30" t="s">
        <v>37006</v>
      </c>
      <c r="C16758" s="29" t="s">
        <v>26</v>
      </c>
      <c r="D16758" s="31">
        <v>108.15</v>
      </c>
      <c r="F16758" s="3" t="str">
        <f t="shared" si="261"/>
        <v>G0307</v>
      </c>
    </row>
    <row r="16759" spans="1:6" ht="22.5" x14ac:dyDescent="0.2">
      <c r="A16759" s="29" t="s">
        <v>37007</v>
      </c>
      <c r="B16759" s="30" t="s">
        <v>37008</v>
      </c>
      <c r="C16759" s="29" t="s">
        <v>26</v>
      </c>
      <c r="D16759" s="31">
        <v>178.4</v>
      </c>
      <c r="F16759" s="3" t="str">
        <f t="shared" si="261"/>
        <v>G0308</v>
      </c>
    </row>
    <row r="16760" spans="1:6" ht="22.5" x14ac:dyDescent="0.2">
      <c r="A16760" s="29" t="s">
        <v>37009</v>
      </c>
      <c r="B16760" s="30" t="s">
        <v>37010</v>
      </c>
      <c r="C16760" s="29" t="s">
        <v>26</v>
      </c>
      <c r="D16760" s="31">
        <v>182.56</v>
      </c>
      <c r="F16760" s="3" t="str">
        <f t="shared" si="261"/>
        <v>G0309</v>
      </c>
    </row>
    <row r="16761" spans="1:6" ht="22.5" x14ac:dyDescent="0.2">
      <c r="A16761" s="29" t="s">
        <v>37011</v>
      </c>
      <c r="B16761" s="30" t="s">
        <v>37012</v>
      </c>
      <c r="C16761" s="29" t="s">
        <v>26</v>
      </c>
      <c r="D16761" s="31">
        <v>188.91</v>
      </c>
      <c r="F16761" s="3" t="str">
        <f t="shared" si="261"/>
        <v>G0310</v>
      </c>
    </row>
    <row r="16762" spans="1:6" ht="22.5" x14ac:dyDescent="0.2">
      <c r="A16762" s="29" t="s">
        <v>37013</v>
      </c>
      <c r="B16762" s="30" t="s">
        <v>37014</v>
      </c>
      <c r="C16762" s="29" t="s">
        <v>26</v>
      </c>
      <c r="D16762" s="31">
        <v>827.7</v>
      </c>
      <c r="F16762" s="3" t="str">
        <f t="shared" si="261"/>
        <v>G0312</v>
      </c>
    </row>
    <row r="16763" spans="1:6" ht="22.5" x14ac:dyDescent="0.2">
      <c r="A16763" s="29" t="s">
        <v>37015</v>
      </c>
      <c r="B16763" s="30" t="s">
        <v>37016</v>
      </c>
      <c r="C16763" s="29" t="s">
        <v>26</v>
      </c>
      <c r="D16763" s="31">
        <v>23.65</v>
      </c>
      <c r="F16763" s="3" t="str">
        <f t="shared" si="261"/>
        <v>G0301</v>
      </c>
    </row>
    <row r="16764" spans="1:6" ht="22.5" x14ac:dyDescent="0.2">
      <c r="A16764" s="29" t="s">
        <v>37017</v>
      </c>
      <c r="B16764" s="30" t="s">
        <v>37018</v>
      </c>
      <c r="C16764" s="29" t="s">
        <v>26</v>
      </c>
      <c r="D16764" s="31">
        <v>58.45</v>
      </c>
      <c r="F16764" s="3" t="str">
        <f t="shared" si="261"/>
        <v>G0298</v>
      </c>
    </row>
    <row r="16765" spans="1:6" ht="22.5" x14ac:dyDescent="0.2">
      <c r="A16765" s="29" t="s">
        <v>37019</v>
      </c>
      <c r="B16765" s="30" t="s">
        <v>37020</v>
      </c>
      <c r="C16765" s="29" t="s">
        <v>26</v>
      </c>
      <c r="D16765" s="31">
        <v>245.95</v>
      </c>
      <c r="F16765" s="3" t="str">
        <f t="shared" si="261"/>
        <v>G0302</v>
      </c>
    </row>
    <row r="16766" spans="1:6" x14ac:dyDescent="0.2">
      <c r="A16766" s="29" t="s">
        <v>37021</v>
      </c>
      <c r="B16766" s="30" t="s">
        <v>37022</v>
      </c>
      <c r="C16766" s="29" t="s">
        <v>26</v>
      </c>
      <c r="D16766" s="31">
        <v>65.97</v>
      </c>
      <c r="F16766" s="3" t="str">
        <f t="shared" si="261"/>
        <v>G0303</v>
      </c>
    </row>
    <row r="16767" spans="1:6" ht="22.5" x14ac:dyDescent="0.2">
      <c r="A16767" s="29" t="s">
        <v>37023</v>
      </c>
      <c r="B16767" s="30" t="s">
        <v>37024</v>
      </c>
      <c r="C16767" s="29" t="s">
        <v>26</v>
      </c>
      <c r="D16767" s="31">
        <v>149.29</v>
      </c>
      <c r="F16767" s="3" t="str">
        <f t="shared" si="261"/>
        <v>G0299</v>
      </c>
    </row>
    <row r="16768" spans="1:6" ht="22.5" x14ac:dyDescent="0.2">
      <c r="A16768" s="29" t="s">
        <v>37025</v>
      </c>
      <c r="B16768" s="30" t="s">
        <v>37026</v>
      </c>
      <c r="C16768" s="29" t="s">
        <v>26</v>
      </c>
      <c r="D16768" s="31">
        <v>1203.55</v>
      </c>
      <c r="F16768" s="3" t="str">
        <f t="shared" si="261"/>
        <v>G0315</v>
      </c>
    </row>
    <row r="16769" spans="1:6" ht="22.5" x14ac:dyDescent="0.2">
      <c r="A16769" s="29" t="s">
        <v>37027</v>
      </c>
      <c r="B16769" s="30" t="s">
        <v>37028</v>
      </c>
      <c r="C16769" s="29" t="s">
        <v>26</v>
      </c>
      <c r="D16769" s="31">
        <v>1922.64</v>
      </c>
      <c r="F16769" s="3" t="str">
        <f t="shared" si="261"/>
        <v>G0318</v>
      </c>
    </row>
    <row r="16770" spans="1:6" ht="22.5" x14ac:dyDescent="0.2">
      <c r="A16770" s="29" t="s">
        <v>37029</v>
      </c>
      <c r="B16770" s="30" t="s">
        <v>37030</v>
      </c>
      <c r="C16770" s="29" t="s">
        <v>26</v>
      </c>
      <c r="D16770" s="31">
        <v>1933.65</v>
      </c>
      <c r="F16770" s="3" t="str">
        <f t="shared" ref="F16770:F16833" si="262">A16770</f>
        <v>G0319</v>
      </c>
    </row>
    <row r="16771" spans="1:6" ht="33.75" x14ac:dyDescent="0.2">
      <c r="A16771" s="29" t="s">
        <v>37031</v>
      </c>
      <c r="B16771" s="30" t="s">
        <v>37032</v>
      </c>
      <c r="C16771" s="29" t="s">
        <v>26</v>
      </c>
      <c r="D16771" s="31">
        <v>381.37</v>
      </c>
      <c r="F16771" s="3" t="str">
        <f t="shared" si="262"/>
        <v>G0295</v>
      </c>
    </row>
    <row r="16772" spans="1:6" ht="22.5" x14ac:dyDescent="0.2">
      <c r="A16772" s="29" t="s">
        <v>37033</v>
      </c>
      <c r="B16772" s="30" t="s">
        <v>37034</v>
      </c>
      <c r="C16772" s="29" t="s">
        <v>26</v>
      </c>
      <c r="D16772" s="31">
        <v>457.54</v>
      </c>
      <c r="F16772" s="3" t="str">
        <f t="shared" si="262"/>
        <v>G0296</v>
      </c>
    </row>
    <row r="16773" spans="1:6" ht="33.75" x14ac:dyDescent="0.2">
      <c r="A16773" s="29" t="s">
        <v>37035</v>
      </c>
      <c r="B16773" s="30" t="s">
        <v>37036</v>
      </c>
      <c r="C16773" s="29" t="s">
        <v>26</v>
      </c>
      <c r="D16773" s="31">
        <v>816.87</v>
      </c>
      <c r="F16773" s="3" t="str">
        <f t="shared" si="262"/>
        <v>G0297</v>
      </c>
    </row>
    <row r="16774" spans="1:6" x14ac:dyDescent="0.2">
      <c r="A16774" s="29" t="s">
        <v>37037</v>
      </c>
      <c r="B16774" s="30" t="s">
        <v>37038</v>
      </c>
      <c r="C16774" s="29" t="s">
        <v>26</v>
      </c>
      <c r="D16774" s="31">
        <v>37.94</v>
      </c>
      <c r="F16774" s="3" t="str">
        <f t="shared" si="262"/>
        <v>G0300</v>
      </c>
    </row>
    <row r="16775" spans="1:6" ht="22.5" x14ac:dyDescent="0.2">
      <c r="A16775" s="29" t="s">
        <v>37039</v>
      </c>
      <c r="B16775" s="30" t="s">
        <v>37040</v>
      </c>
      <c r="C16775" s="29" t="s">
        <v>26</v>
      </c>
      <c r="D16775" s="31">
        <v>396.62</v>
      </c>
      <c r="F16775" s="3" t="str">
        <f t="shared" si="262"/>
        <v>G0834</v>
      </c>
    </row>
    <row r="16776" spans="1:6" ht="22.5" x14ac:dyDescent="0.2">
      <c r="A16776" s="29" t="s">
        <v>37041</v>
      </c>
      <c r="B16776" s="30" t="s">
        <v>37042</v>
      </c>
      <c r="C16776" s="29" t="s">
        <v>26</v>
      </c>
      <c r="D16776" s="31">
        <v>923.77</v>
      </c>
      <c r="F16776" s="3" t="str">
        <f t="shared" si="262"/>
        <v>G0835</v>
      </c>
    </row>
    <row r="16777" spans="1:6" x14ac:dyDescent="0.2">
      <c r="A16777" s="29" t="s">
        <v>37043</v>
      </c>
      <c r="B16777" s="30" t="s">
        <v>37044</v>
      </c>
      <c r="C16777" s="29" t="s">
        <v>26</v>
      </c>
      <c r="D16777" s="31">
        <v>34.11</v>
      </c>
      <c r="F16777" s="3" t="str">
        <f t="shared" si="262"/>
        <v>G0292</v>
      </c>
    </row>
    <row r="16778" spans="1:6" x14ac:dyDescent="0.2">
      <c r="A16778" s="29" t="s">
        <v>37045</v>
      </c>
      <c r="B16778" s="30" t="s">
        <v>37046</v>
      </c>
      <c r="C16778" s="29" t="s">
        <v>26</v>
      </c>
      <c r="D16778" s="31">
        <v>191.39</v>
      </c>
      <c r="F16778" s="3" t="str">
        <f t="shared" si="262"/>
        <v>G0294</v>
      </c>
    </row>
    <row r="16779" spans="1:6" x14ac:dyDescent="0.2">
      <c r="A16779" s="29" t="s">
        <v>37047</v>
      </c>
      <c r="B16779" s="30" t="s">
        <v>37048</v>
      </c>
      <c r="C16779" s="29" t="s">
        <v>26</v>
      </c>
      <c r="D16779" s="31">
        <v>19.309999999999999</v>
      </c>
      <c r="F16779" s="3" t="str">
        <f t="shared" si="262"/>
        <v>G0291</v>
      </c>
    </row>
    <row r="16780" spans="1:6" x14ac:dyDescent="0.2">
      <c r="A16780" s="29" t="s">
        <v>37049</v>
      </c>
      <c r="B16780" s="30" t="s">
        <v>37050</v>
      </c>
      <c r="C16780" s="29" t="s">
        <v>26</v>
      </c>
      <c r="D16780" s="31">
        <v>97.25</v>
      </c>
      <c r="F16780" s="3" t="str">
        <f t="shared" si="262"/>
        <v>G0293</v>
      </c>
    </row>
    <row r="16781" spans="1:6" ht="22.5" x14ac:dyDescent="0.2">
      <c r="A16781" s="29" t="s">
        <v>37051</v>
      </c>
      <c r="B16781" s="30" t="s">
        <v>37052</v>
      </c>
      <c r="C16781" s="29" t="s">
        <v>26</v>
      </c>
      <c r="D16781" s="31">
        <v>108.7</v>
      </c>
      <c r="F16781" s="3" t="str">
        <f t="shared" si="262"/>
        <v>G0320</v>
      </c>
    </row>
    <row r="16782" spans="1:6" ht="22.5" x14ac:dyDescent="0.2">
      <c r="A16782" s="29" t="s">
        <v>37053</v>
      </c>
      <c r="B16782" s="30" t="s">
        <v>37054</v>
      </c>
      <c r="C16782" s="29" t="s">
        <v>26</v>
      </c>
      <c r="D16782" s="31">
        <v>308.43</v>
      </c>
      <c r="F16782" s="3" t="str">
        <f t="shared" si="262"/>
        <v>G0321</v>
      </c>
    </row>
    <row r="16783" spans="1:6" ht="22.5" x14ac:dyDescent="0.2">
      <c r="A16783" s="29" t="s">
        <v>37055</v>
      </c>
      <c r="B16783" s="30" t="s">
        <v>37056</v>
      </c>
      <c r="C16783" s="29" t="s">
        <v>26</v>
      </c>
      <c r="D16783" s="31">
        <v>186.73</v>
      </c>
      <c r="F16783" s="3" t="str">
        <f t="shared" si="262"/>
        <v>G0322</v>
      </c>
    </row>
    <row r="16784" spans="1:6" ht="22.5" x14ac:dyDescent="0.2">
      <c r="A16784" s="29" t="s">
        <v>37057</v>
      </c>
      <c r="B16784" s="30" t="s">
        <v>37058</v>
      </c>
      <c r="C16784" s="29" t="s">
        <v>26</v>
      </c>
      <c r="D16784" s="31">
        <v>392.6</v>
      </c>
      <c r="F16784" s="3" t="str">
        <f t="shared" si="262"/>
        <v>G0323</v>
      </c>
    </row>
    <row r="16785" spans="1:6" ht="22.5" x14ac:dyDescent="0.2">
      <c r="A16785" s="29" t="s">
        <v>37059</v>
      </c>
      <c r="B16785" s="30" t="s">
        <v>37060</v>
      </c>
      <c r="C16785" s="29" t="s">
        <v>26</v>
      </c>
      <c r="D16785" s="31">
        <v>197.29</v>
      </c>
      <c r="F16785" s="3" t="str">
        <f t="shared" si="262"/>
        <v>G0324</v>
      </c>
    </row>
    <row r="16786" spans="1:6" ht="22.5" x14ac:dyDescent="0.2">
      <c r="A16786" s="29" t="s">
        <v>37061</v>
      </c>
      <c r="B16786" s="30" t="s">
        <v>37062</v>
      </c>
      <c r="C16786" s="29" t="s">
        <v>26</v>
      </c>
      <c r="D16786" s="31">
        <v>327.94</v>
      </c>
      <c r="F16786" s="3" t="str">
        <f t="shared" si="262"/>
        <v>G0325</v>
      </c>
    </row>
    <row r="16787" spans="1:6" x14ac:dyDescent="0.2">
      <c r="A16787" s="29" t="s">
        <v>37063</v>
      </c>
      <c r="B16787" s="30" t="s">
        <v>37064</v>
      </c>
      <c r="C16787" s="29" t="s">
        <v>26</v>
      </c>
      <c r="D16787" s="31">
        <v>44.52</v>
      </c>
      <c r="F16787" s="3" t="str">
        <f t="shared" si="262"/>
        <v>G0326</v>
      </c>
    </row>
    <row r="16788" spans="1:6" x14ac:dyDescent="0.2">
      <c r="A16788" s="29" t="s">
        <v>37065</v>
      </c>
      <c r="B16788" s="30" t="s">
        <v>37066</v>
      </c>
      <c r="C16788" s="29" t="s">
        <v>26</v>
      </c>
      <c r="D16788" s="31">
        <v>107.45</v>
      </c>
      <c r="F16788" s="3" t="str">
        <f t="shared" si="262"/>
        <v>G0327</v>
      </c>
    </row>
    <row r="16789" spans="1:6" x14ac:dyDescent="0.2">
      <c r="A16789" s="29" t="s">
        <v>37067</v>
      </c>
      <c r="B16789" s="30" t="s">
        <v>37068</v>
      </c>
      <c r="C16789" s="29" t="s">
        <v>26</v>
      </c>
      <c r="D16789" s="31">
        <v>168.72</v>
      </c>
      <c r="F16789" s="3" t="str">
        <f t="shared" si="262"/>
        <v>G0328</v>
      </c>
    </row>
    <row r="16790" spans="1:6" x14ac:dyDescent="0.2">
      <c r="A16790" s="29" t="s">
        <v>37069</v>
      </c>
      <c r="B16790" s="30" t="s">
        <v>37070</v>
      </c>
      <c r="C16790" s="29" t="s">
        <v>26</v>
      </c>
      <c r="D16790" s="31">
        <v>393.76</v>
      </c>
      <c r="F16790" s="3" t="str">
        <f t="shared" si="262"/>
        <v>G0329</v>
      </c>
    </row>
    <row r="16791" spans="1:6" x14ac:dyDescent="0.2">
      <c r="A16791" s="29" t="s">
        <v>37071</v>
      </c>
      <c r="B16791" s="30" t="s">
        <v>37072</v>
      </c>
      <c r="C16791" s="29" t="s">
        <v>26</v>
      </c>
      <c r="D16791" s="31">
        <v>754.23</v>
      </c>
      <c r="F16791" s="3" t="str">
        <f t="shared" si="262"/>
        <v>G0330</v>
      </c>
    </row>
    <row r="16792" spans="1:6" x14ac:dyDescent="0.2">
      <c r="A16792" s="29" t="s">
        <v>37073</v>
      </c>
      <c r="B16792" s="30" t="s">
        <v>37074</v>
      </c>
      <c r="C16792" s="29" t="s">
        <v>26</v>
      </c>
      <c r="D16792" s="31">
        <v>1352.44</v>
      </c>
      <c r="F16792" s="3" t="str">
        <f t="shared" si="262"/>
        <v>G0331</v>
      </c>
    </row>
    <row r="16793" spans="1:6" x14ac:dyDescent="0.2">
      <c r="A16793" s="29" t="s">
        <v>37075</v>
      </c>
      <c r="B16793" s="30" t="s">
        <v>37076</v>
      </c>
      <c r="C16793" s="29" t="s">
        <v>26</v>
      </c>
      <c r="D16793" s="31">
        <v>2128.02</v>
      </c>
      <c r="F16793" s="3" t="str">
        <f t="shared" si="262"/>
        <v>G0332</v>
      </c>
    </row>
    <row r="16794" spans="1:6" ht="22.5" x14ac:dyDescent="0.2">
      <c r="A16794" s="29" t="s">
        <v>37077</v>
      </c>
      <c r="B16794" s="30" t="s">
        <v>37078</v>
      </c>
      <c r="C16794" s="29" t="s">
        <v>26</v>
      </c>
      <c r="D16794" s="31">
        <v>110.63</v>
      </c>
      <c r="F16794" s="3" t="str">
        <f t="shared" si="262"/>
        <v>G0333</v>
      </c>
    </row>
    <row r="16795" spans="1:6" ht="22.5" x14ac:dyDescent="0.2">
      <c r="A16795" s="29" t="s">
        <v>37079</v>
      </c>
      <c r="B16795" s="30" t="s">
        <v>37080</v>
      </c>
      <c r="C16795" s="29" t="s">
        <v>26</v>
      </c>
      <c r="D16795" s="31">
        <v>148.54</v>
      </c>
      <c r="F16795" s="3" t="str">
        <f t="shared" si="262"/>
        <v>G0334</v>
      </c>
    </row>
    <row r="16796" spans="1:6" ht="22.5" x14ac:dyDescent="0.2">
      <c r="A16796" s="29" t="s">
        <v>37081</v>
      </c>
      <c r="B16796" s="30" t="s">
        <v>37082</v>
      </c>
      <c r="C16796" s="29" t="s">
        <v>26</v>
      </c>
      <c r="D16796" s="31">
        <v>152.36000000000001</v>
      </c>
      <c r="F16796" s="3" t="str">
        <f t="shared" si="262"/>
        <v>G0335</v>
      </c>
    </row>
    <row r="16797" spans="1:6" ht="22.5" x14ac:dyDescent="0.2">
      <c r="A16797" s="29" t="s">
        <v>37083</v>
      </c>
      <c r="B16797" s="30" t="s">
        <v>37084</v>
      </c>
      <c r="C16797" s="29" t="s">
        <v>26</v>
      </c>
      <c r="D16797" s="31">
        <v>146.82</v>
      </c>
      <c r="F16797" s="3" t="str">
        <f t="shared" si="262"/>
        <v>G0336</v>
      </c>
    </row>
    <row r="16798" spans="1:6" ht="33.75" x14ac:dyDescent="0.2">
      <c r="A16798" s="29" t="s">
        <v>37085</v>
      </c>
      <c r="B16798" s="30" t="s">
        <v>37086</v>
      </c>
      <c r="C16798" s="29" t="s">
        <v>26</v>
      </c>
      <c r="D16798" s="31">
        <v>52.59</v>
      </c>
      <c r="F16798" s="3" t="str">
        <f t="shared" si="262"/>
        <v>G0771</v>
      </c>
    </row>
    <row r="16799" spans="1:6" ht="33.75" x14ac:dyDescent="0.2">
      <c r="A16799" s="29" t="s">
        <v>37087</v>
      </c>
      <c r="B16799" s="30" t="s">
        <v>37088</v>
      </c>
      <c r="C16799" s="29" t="s">
        <v>26</v>
      </c>
      <c r="D16799" s="31">
        <v>63.55</v>
      </c>
      <c r="F16799" s="3" t="str">
        <f t="shared" si="262"/>
        <v>G0772</v>
      </c>
    </row>
    <row r="16800" spans="1:6" ht="33.75" x14ac:dyDescent="0.2">
      <c r="A16800" s="29" t="s">
        <v>37089</v>
      </c>
      <c r="B16800" s="30" t="s">
        <v>37090</v>
      </c>
      <c r="C16800" s="29" t="s">
        <v>26</v>
      </c>
      <c r="D16800" s="31">
        <v>110.9</v>
      </c>
      <c r="F16800" s="3" t="str">
        <f t="shared" si="262"/>
        <v>G0773</v>
      </c>
    </row>
    <row r="16801" spans="1:6" ht="33.75" x14ac:dyDescent="0.2">
      <c r="A16801" s="29" t="s">
        <v>37091</v>
      </c>
      <c r="B16801" s="30" t="s">
        <v>37092</v>
      </c>
      <c r="C16801" s="29" t="s">
        <v>26</v>
      </c>
      <c r="D16801" s="31">
        <v>82.88</v>
      </c>
      <c r="F16801" s="3" t="str">
        <f t="shared" si="262"/>
        <v>G0776</v>
      </c>
    </row>
    <row r="16802" spans="1:6" ht="33.75" x14ac:dyDescent="0.2">
      <c r="A16802" s="29" t="s">
        <v>37093</v>
      </c>
      <c r="B16802" s="30" t="s">
        <v>37094</v>
      </c>
      <c r="C16802" s="29" t="s">
        <v>26</v>
      </c>
      <c r="D16802" s="31">
        <v>54.83</v>
      </c>
      <c r="F16802" s="3" t="str">
        <f t="shared" si="262"/>
        <v>G0774</v>
      </c>
    </row>
    <row r="16803" spans="1:6" ht="33.75" x14ac:dyDescent="0.2">
      <c r="A16803" s="29" t="s">
        <v>37095</v>
      </c>
      <c r="B16803" s="30" t="s">
        <v>37096</v>
      </c>
      <c r="C16803" s="29" t="s">
        <v>26</v>
      </c>
      <c r="D16803" s="31">
        <v>62.5</v>
      </c>
      <c r="F16803" s="3" t="str">
        <f t="shared" si="262"/>
        <v>G0775</v>
      </c>
    </row>
    <row r="16804" spans="1:6" ht="33.75" x14ac:dyDescent="0.2">
      <c r="A16804" s="29" t="s">
        <v>37097</v>
      </c>
      <c r="B16804" s="30" t="s">
        <v>37098</v>
      </c>
      <c r="C16804" s="29" t="s">
        <v>26</v>
      </c>
      <c r="D16804" s="31">
        <v>169.98</v>
      </c>
      <c r="F16804" s="3" t="str">
        <f t="shared" si="262"/>
        <v>G0779</v>
      </c>
    </row>
    <row r="16805" spans="1:6" ht="33.75" x14ac:dyDescent="0.2">
      <c r="A16805" s="29" t="s">
        <v>37099</v>
      </c>
      <c r="B16805" s="30" t="s">
        <v>37100</v>
      </c>
      <c r="C16805" s="29" t="s">
        <v>26</v>
      </c>
      <c r="D16805" s="31">
        <v>74.02</v>
      </c>
      <c r="F16805" s="3" t="str">
        <f t="shared" si="262"/>
        <v>G0777</v>
      </c>
    </row>
    <row r="16806" spans="1:6" ht="33.75" x14ac:dyDescent="0.2">
      <c r="A16806" s="29" t="s">
        <v>37101</v>
      </c>
      <c r="B16806" s="30" t="s">
        <v>37102</v>
      </c>
      <c r="C16806" s="29" t="s">
        <v>26</v>
      </c>
      <c r="D16806" s="31">
        <v>133.26</v>
      </c>
      <c r="F16806" s="3" t="str">
        <f t="shared" si="262"/>
        <v>G0778</v>
      </c>
    </row>
    <row r="16807" spans="1:6" ht="22.5" x14ac:dyDescent="0.2">
      <c r="A16807" s="29" t="s">
        <v>37103</v>
      </c>
      <c r="B16807" s="30" t="s">
        <v>37104</v>
      </c>
      <c r="C16807" s="29" t="s">
        <v>26</v>
      </c>
      <c r="D16807" s="31">
        <v>120.64</v>
      </c>
      <c r="F16807" s="3" t="str">
        <f t="shared" si="262"/>
        <v>G0611</v>
      </c>
    </row>
    <row r="16808" spans="1:6" ht="22.5" x14ac:dyDescent="0.2">
      <c r="A16808" s="29" t="s">
        <v>37105</v>
      </c>
      <c r="B16808" s="30" t="s">
        <v>37104</v>
      </c>
      <c r="C16808" s="29" t="s">
        <v>26</v>
      </c>
      <c r="D16808" s="31">
        <v>120.64</v>
      </c>
      <c r="F16808" s="3" t="str">
        <f t="shared" si="262"/>
        <v>G0787</v>
      </c>
    </row>
    <row r="16809" spans="1:6" x14ac:dyDescent="0.2">
      <c r="A16809" s="29" t="s">
        <v>37106</v>
      </c>
      <c r="B16809" s="30" t="s">
        <v>37107</v>
      </c>
      <c r="C16809" s="29" t="s">
        <v>26</v>
      </c>
      <c r="D16809" s="31">
        <v>77.78</v>
      </c>
      <c r="F16809" s="3" t="str">
        <f t="shared" si="262"/>
        <v>G0609</v>
      </c>
    </row>
    <row r="16810" spans="1:6" x14ac:dyDescent="0.2">
      <c r="A16810" s="29" t="s">
        <v>37108</v>
      </c>
      <c r="B16810" s="30" t="s">
        <v>37107</v>
      </c>
      <c r="C16810" s="29" t="s">
        <v>26</v>
      </c>
      <c r="D16810" s="31">
        <v>77.78</v>
      </c>
      <c r="F16810" s="3" t="str">
        <f t="shared" si="262"/>
        <v>G0785</v>
      </c>
    </row>
    <row r="16811" spans="1:6" x14ac:dyDescent="0.2">
      <c r="A16811" s="29" t="s">
        <v>37109</v>
      </c>
      <c r="B16811" s="30" t="s">
        <v>37110</v>
      </c>
      <c r="C16811" s="29" t="s">
        <v>26</v>
      </c>
      <c r="D16811" s="31">
        <v>106.15</v>
      </c>
      <c r="F16811" s="3" t="str">
        <f t="shared" si="262"/>
        <v>G0610</v>
      </c>
    </row>
    <row r="16812" spans="1:6" x14ac:dyDescent="0.2">
      <c r="A16812" s="29" t="s">
        <v>37111</v>
      </c>
      <c r="B16812" s="30" t="s">
        <v>37110</v>
      </c>
      <c r="C16812" s="29" t="s">
        <v>26</v>
      </c>
      <c r="D16812" s="31">
        <v>106.15</v>
      </c>
      <c r="F16812" s="3" t="str">
        <f t="shared" si="262"/>
        <v>G0786</v>
      </c>
    </row>
    <row r="16813" spans="1:6" x14ac:dyDescent="0.2">
      <c r="A16813" s="29" t="s">
        <v>37112</v>
      </c>
      <c r="B16813" s="30" t="s">
        <v>37113</v>
      </c>
      <c r="C16813" s="29" t="s">
        <v>1284</v>
      </c>
      <c r="D16813" s="31">
        <v>27.27</v>
      </c>
      <c r="F16813" s="3" t="str">
        <f t="shared" si="262"/>
        <v>G0404</v>
      </c>
    </row>
    <row r="16814" spans="1:6" ht="45" x14ac:dyDescent="0.2">
      <c r="A16814" s="29" t="s">
        <v>37114</v>
      </c>
      <c r="B16814" s="30" t="s">
        <v>37115</v>
      </c>
      <c r="C16814" s="29" t="s">
        <v>26</v>
      </c>
      <c r="D16814" s="31">
        <v>1468.56</v>
      </c>
      <c r="F16814" s="3" t="str">
        <f t="shared" si="262"/>
        <v>G0604</v>
      </c>
    </row>
    <row r="16815" spans="1:6" ht="45" x14ac:dyDescent="0.2">
      <c r="A16815" s="29" t="s">
        <v>37116</v>
      </c>
      <c r="B16815" s="30" t="s">
        <v>37115</v>
      </c>
      <c r="C16815" s="29" t="s">
        <v>26</v>
      </c>
      <c r="D16815" s="31">
        <v>1468.56</v>
      </c>
      <c r="F16815" s="3" t="str">
        <f t="shared" si="262"/>
        <v>G0818</v>
      </c>
    </row>
    <row r="16816" spans="1:6" ht="45" x14ac:dyDescent="0.2">
      <c r="A16816" s="29" t="s">
        <v>37117</v>
      </c>
      <c r="B16816" s="30" t="s">
        <v>37118</v>
      </c>
      <c r="C16816" s="29" t="s">
        <v>26</v>
      </c>
      <c r="D16816" s="31">
        <v>655.27</v>
      </c>
      <c r="F16816" s="3" t="str">
        <f t="shared" si="262"/>
        <v>G0602</v>
      </c>
    </row>
    <row r="16817" spans="1:6" ht="56.25" x14ac:dyDescent="0.2">
      <c r="A16817" s="29" t="s">
        <v>37119</v>
      </c>
      <c r="B16817" s="30" t="s">
        <v>37120</v>
      </c>
      <c r="C16817" s="29" t="s">
        <v>26</v>
      </c>
      <c r="D16817" s="31">
        <v>655.27</v>
      </c>
      <c r="F16817" s="3" t="str">
        <f t="shared" si="262"/>
        <v>G0816</v>
      </c>
    </row>
    <row r="16818" spans="1:6" ht="45" x14ac:dyDescent="0.2">
      <c r="A16818" s="29" t="s">
        <v>37121</v>
      </c>
      <c r="B16818" s="30" t="s">
        <v>37122</v>
      </c>
      <c r="C16818" s="29" t="s">
        <v>26</v>
      </c>
      <c r="D16818" s="31">
        <v>1060.3399999999999</v>
      </c>
      <c r="F16818" s="3" t="str">
        <f t="shared" si="262"/>
        <v>G0603</v>
      </c>
    </row>
    <row r="16819" spans="1:6" ht="45" x14ac:dyDescent="0.2">
      <c r="A16819" s="29" t="s">
        <v>37123</v>
      </c>
      <c r="B16819" s="30" t="s">
        <v>37122</v>
      </c>
      <c r="C16819" s="29" t="s">
        <v>26</v>
      </c>
      <c r="D16819" s="31">
        <v>1060.3399999999999</v>
      </c>
      <c r="F16819" s="3" t="str">
        <f t="shared" si="262"/>
        <v>G0817</v>
      </c>
    </row>
    <row r="16820" spans="1:6" ht="45" x14ac:dyDescent="0.2">
      <c r="A16820" s="29" t="s">
        <v>37124</v>
      </c>
      <c r="B16820" s="30" t="s">
        <v>37125</v>
      </c>
      <c r="C16820" s="29" t="s">
        <v>26</v>
      </c>
      <c r="D16820" s="31">
        <v>1993.56</v>
      </c>
      <c r="F16820" s="3" t="str">
        <f t="shared" si="262"/>
        <v>G0605</v>
      </c>
    </row>
    <row r="16821" spans="1:6" ht="45" x14ac:dyDescent="0.2">
      <c r="A16821" s="29" t="s">
        <v>37126</v>
      </c>
      <c r="B16821" s="30" t="s">
        <v>37125</v>
      </c>
      <c r="C16821" s="29" t="s">
        <v>26</v>
      </c>
      <c r="D16821" s="31">
        <v>1993.56</v>
      </c>
      <c r="F16821" s="3" t="str">
        <f t="shared" si="262"/>
        <v>G0819</v>
      </c>
    </row>
    <row r="16822" spans="1:6" ht="78.75" x14ac:dyDescent="0.2">
      <c r="A16822" s="29" t="s">
        <v>37127</v>
      </c>
      <c r="B16822" s="30" t="s">
        <v>37128</v>
      </c>
      <c r="C16822" s="29" t="s">
        <v>26</v>
      </c>
      <c r="D16822" s="31">
        <v>1264.94</v>
      </c>
      <c r="F16822" s="3" t="str">
        <f t="shared" si="262"/>
        <v>G0361</v>
      </c>
    </row>
    <row r="16823" spans="1:6" ht="78.75" x14ac:dyDescent="0.2">
      <c r="A16823" s="29" t="s">
        <v>37129</v>
      </c>
      <c r="B16823" s="30" t="s">
        <v>37130</v>
      </c>
      <c r="C16823" s="29" t="s">
        <v>26</v>
      </c>
      <c r="D16823" s="31">
        <v>2344.8200000000002</v>
      </c>
      <c r="F16823" s="3" t="str">
        <f t="shared" si="262"/>
        <v>G0362</v>
      </c>
    </row>
    <row r="16824" spans="1:6" ht="78.75" x14ac:dyDescent="0.2">
      <c r="A16824" s="29" t="s">
        <v>37131</v>
      </c>
      <c r="B16824" s="30" t="s">
        <v>37132</v>
      </c>
      <c r="C16824" s="29" t="s">
        <v>26</v>
      </c>
      <c r="D16824" s="31">
        <v>3926.83</v>
      </c>
      <c r="F16824" s="3" t="str">
        <f t="shared" si="262"/>
        <v>G0363</v>
      </c>
    </row>
    <row r="16825" spans="1:6" ht="78.75" x14ac:dyDescent="0.2">
      <c r="A16825" s="29" t="s">
        <v>37133</v>
      </c>
      <c r="B16825" s="30" t="s">
        <v>37134</v>
      </c>
      <c r="C16825" s="29" t="s">
        <v>26</v>
      </c>
      <c r="D16825" s="31">
        <v>14795.58</v>
      </c>
      <c r="F16825" s="3" t="str">
        <f t="shared" si="262"/>
        <v>G0364</v>
      </c>
    </row>
    <row r="16826" spans="1:6" ht="78.75" x14ac:dyDescent="0.2">
      <c r="A16826" s="29" t="s">
        <v>37135</v>
      </c>
      <c r="B16826" s="30" t="s">
        <v>37136</v>
      </c>
      <c r="C16826" s="29" t="s">
        <v>26</v>
      </c>
      <c r="D16826" s="31">
        <v>23089.32</v>
      </c>
      <c r="F16826" s="3" t="str">
        <f t="shared" si="262"/>
        <v>G0365</v>
      </c>
    </row>
    <row r="16827" spans="1:6" ht="78.75" x14ac:dyDescent="0.2">
      <c r="A16827" s="29" t="s">
        <v>37137</v>
      </c>
      <c r="B16827" s="30" t="s">
        <v>37138</v>
      </c>
      <c r="C16827" s="29" t="s">
        <v>26</v>
      </c>
      <c r="D16827" s="31">
        <v>37234.94</v>
      </c>
      <c r="F16827" s="3" t="str">
        <f t="shared" si="262"/>
        <v>G0366</v>
      </c>
    </row>
    <row r="16828" spans="1:6" ht="78.75" x14ac:dyDescent="0.2">
      <c r="A16828" s="29" t="s">
        <v>37139</v>
      </c>
      <c r="B16828" s="30" t="s">
        <v>37140</v>
      </c>
      <c r="C16828" s="29" t="s">
        <v>26</v>
      </c>
      <c r="D16828" s="31">
        <v>53655.42</v>
      </c>
      <c r="F16828" s="3" t="str">
        <f t="shared" si="262"/>
        <v>G0367</v>
      </c>
    </row>
    <row r="16829" spans="1:6" ht="78.75" x14ac:dyDescent="0.2">
      <c r="A16829" s="29" t="s">
        <v>37141</v>
      </c>
      <c r="B16829" s="30" t="s">
        <v>37142</v>
      </c>
      <c r="C16829" s="29" t="s">
        <v>26</v>
      </c>
      <c r="D16829" s="31">
        <v>1944.68</v>
      </c>
      <c r="F16829" s="3" t="str">
        <f t="shared" si="262"/>
        <v>G0371</v>
      </c>
    </row>
    <row r="16830" spans="1:6" ht="78.75" x14ac:dyDescent="0.2">
      <c r="A16830" s="29" t="s">
        <v>37143</v>
      </c>
      <c r="B16830" s="30" t="s">
        <v>37144</v>
      </c>
      <c r="C16830" s="29" t="s">
        <v>26</v>
      </c>
      <c r="D16830" s="31">
        <v>891.77</v>
      </c>
      <c r="F16830" s="3" t="str">
        <f t="shared" si="262"/>
        <v>G0368</v>
      </c>
    </row>
    <row r="16831" spans="1:6" ht="78.75" x14ac:dyDescent="0.2">
      <c r="A16831" s="29" t="s">
        <v>37145</v>
      </c>
      <c r="B16831" s="30" t="s">
        <v>37146</v>
      </c>
      <c r="C16831" s="29" t="s">
        <v>26</v>
      </c>
      <c r="D16831" s="31">
        <v>1031.3399999999999</v>
      </c>
      <c r="F16831" s="3" t="str">
        <f t="shared" si="262"/>
        <v>G0369</v>
      </c>
    </row>
    <row r="16832" spans="1:6" ht="78.75" x14ac:dyDescent="0.2">
      <c r="A16832" s="29" t="s">
        <v>37147</v>
      </c>
      <c r="B16832" s="30" t="s">
        <v>37148</v>
      </c>
      <c r="C16832" s="29" t="s">
        <v>26</v>
      </c>
      <c r="D16832" s="31">
        <v>965.29</v>
      </c>
      <c r="F16832" s="3" t="str">
        <f t="shared" si="262"/>
        <v>G0370</v>
      </c>
    </row>
    <row r="16833" spans="1:6" ht="22.5" x14ac:dyDescent="0.2">
      <c r="A16833" s="29" t="s">
        <v>37149</v>
      </c>
      <c r="B16833" s="30" t="s">
        <v>37150</v>
      </c>
      <c r="C16833" s="29" t="s">
        <v>26</v>
      </c>
      <c r="D16833" s="31">
        <v>14.04</v>
      </c>
      <c r="F16833" s="3" t="str">
        <f t="shared" si="262"/>
        <v>G0844</v>
      </c>
    </row>
    <row r="16834" spans="1:6" ht="22.5" x14ac:dyDescent="0.2">
      <c r="A16834" s="29" t="s">
        <v>37151</v>
      </c>
      <c r="B16834" s="30" t="s">
        <v>37152</v>
      </c>
      <c r="C16834" s="29" t="s">
        <v>26</v>
      </c>
      <c r="D16834" s="31">
        <v>633.39</v>
      </c>
      <c r="F16834" s="3" t="str">
        <f t="shared" ref="F16834:F16897" si="263">A16834</f>
        <v>G0372</v>
      </c>
    </row>
    <row r="16835" spans="1:6" ht="22.5" x14ac:dyDescent="0.2">
      <c r="A16835" s="29" t="s">
        <v>37153</v>
      </c>
      <c r="B16835" s="30" t="s">
        <v>37154</v>
      </c>
      <c r="C16835" s="29" t="s">
        <v>26</v>
      </c>
      <c r="D16835" s="31">
        <v>1025.94</v>
      </c>
      <c r="F16835" s="3" t="str">
        <f t="shared" si="263"/>
        <v>G0373</v>
      </c>
    </row>
    <row r="16836" spans="1:6" ht="22.5" x14ac:dyDescent="0.2">
      <c r="A16836" s="29" t="s">
        <v>37155</v>
      </c>
      <c r="B16836" s="30" t="s">
        <v>37156</v>
      </c>
      <c r="C16836" s="29" t="s">
        <v>26</v>
      </c>
      <c r="D16836" s="31">
        <v>2637.52</v>
      </c>
      <c r="F16836" s="3" t="str">
        <f t="shared" si="263"/>
        <v>G0374</v>
      </c>
    </row>
    <row r="16837" spans="1:6" ht="22.5" x14ac:dyDescent="0.2">
      <c r="A16837" s="29" t="s">
        <v>37157</v>
      </c>
      <c r="B16837" s="30" t="s">
        <v>37158</v>
      </c>
      <c r="C16837" s="29" t="s">
        <v>26</v>
      </c>
      <c r="D16837" s="31">
        <v>2789.69</v>
      </c>
      <c r="F16837" s="3" t="str">
        <f t="shared" si="263"/>
        <v>G0375</v>
      </c>
    </row>
    <row r="16838" spans="1:6" x14ac:dyDescent="0.2">
      <c r="A16838" s="29" t="s">
        <v>37159</v>
      </c>
      <c r="B16838" s="30" t="s">
        <v>37160</v>
      </c>
      <c r="C16838" s="29" t="s">
        <v>26</v>
      </c>
      <c r="D16838" s="31">
        <v>6403.31</v>
      </c>
      <c r="F16838" s="3" t="str">
        <f t="shared" si="263"/>
        <v>G0402</v>
      </c>
    </row>
    <row r="16839" spans="1:6" x14ac:dyDescent="0.2">
      <c r="A16839" s="29" t="s">
        <v>37161</v>
      </c>
      <c r="B16839" s="30" t="s">
        <v>37162</v>
      </c>
      <c r="C16839" s="29" t="s">
        <v>26</v>
      </c>
      <c r="D16839" s="31">
        <v>1394.91</v>
      </c>
      <c r="F16839" s="3" t="str">
        <f t="shared" si="263"/>
        <v>G0377</v>
      </c>
    </row>
    <row r="16840" spans="1:6" x14ac:dyDescent="0.2">
      <c r="A16840" s="29" t="s">
        <v>37163</v>
      </c>
      <c r="B16840" s="30" t="s">
        <v>37164</v>
      </c>
      <c r="C16840" s="29" t="s">
        <v>26</v>
      </c>
      <c r="D16840" s="31">
        <v>2142.46</v>
      </c>
      <c r="F16840" s="3" t="str">
        <f t="shared" si="263"/>
        <v>G0378</v>
      </c>
    </row>
    <row r="16841" spans="1:6" x14ac:dyDescent="0.2">
      <c r="A16841" s="29" t="s">
        <v>37165</v>
      </c>
      <c r="B16841" s="30" t="s">
        <v>37166</v>
      </c>
      <c r="C16841" s="29" t="s">
        <v>26</v>
      </c>
      <c r="D16841" s="31">
        <v>1309.6400000000001</v>
      </c>
      <c r="F16841" s="3" t="str">
        <f t="shared" si="263"/>
        <v>G0376</v>
      </c>
    </row>
    <row r="16842" spans="1:6" x14ac:dyDescent="0.2">
      <c r="A16842" s="29" t="s">
        <v>37167</v>
      </c>
      <c r="B16842" s="30" t="s">
        <v>37168</v>
      </c>
      <c r="C16842" s="29" t="s">
        <v>26</v>
      </c>
      <c r="D16842" s="31">
        <v>1461.87</v>
      </c>
      <c r="F16842" s="3" t="str">
        <f t="shared" si="263"/>
        <v>G0379</v>
      </c>
    </row>
    <row r="16843" spans="1:6" x14ac:dyDescent="0.2">
      <c r="A16843" s="29" t="s">
        <v>37169</v>
      </c>
      <c r="B16843" s="30" t="s">
        <v>37170</v>
      </c>
      <c r="C16843" s="29" t="s">
        <v>26</v>
      </c>
      <c r="D16843" s="31">
        <v>1754.8</v>
      </c>
      <c r="F16843" s="3" t="str">
        <f t="shared" si="263"/>
        <v>G0380</v>
      </c>
    </row>
    <row r="16844" spans="1:6" ht="22.5" x14ac:dyDescent="0.2">
      <c r="A16844" s="29" t="s">
        <v>37171</v>
      </c>
      <c r="B16844" s="30" t="s">
        <v>37172</v>
      </c>
      <c r="C16844" s="29" t="s">
        <v>26</v>
      </c>
      <c r="D16844" s="31">
        <v>7842.52</v>
      </c>
      <c r="F16844" s="3" t="str">
        <f t="shared" si="263"/>
        <v>G0403</v>
      </c>
    </row>
    <row r="16845" spans="1:6" x14ac:dyDescent="0.2">
      <c r="A16845" s="29" t="s">
        <v>37173</v>
      </c>
      <c r="B16845" s="30" t="s">
        <v>37174</v>
      </c>
      <c r="C16845" s="29" t="s">
        <v>26</v>
      </c>
      <c r="D16845" s="31">
        <v>2046.19</v>
      </c>
      <c r="F16845" s="3" t="str">
        <f t="shared" si="263"/>
        <v>G0381</v>
      </c>
    </row>
    <row r="16846" spans="1:6" x14ac:dyDescent="0.2">
      <c r="A16846" s="29" t="s">
        <v>37175</v>
      </c>
      <c r="B16846" s="30" t="s">
        <v>37176</v>
      </c>
      <c r="C16846" s="29" t="s">
        <v>26</v>
      </c>
      <c r="D16846" s="31">
        <v>3637.12</v>
      </c>
      <c r="F16846" s="3" t="str">
        <f t="shared" si="263"/>
        <v>G0382</v>
      </c>
    </row>
    <row r="16847" spans="1:6" x14ac:dyDescent="0.2">
      <c r="A16847" s="29" t="s">
        <v>37177</v>
      </c>
      <c r="B16847" s="30" t="s">
        <v>37178</v>
      </c>
      <c r="C16847" s="29" t="s">
        <v>26</v>
      </c>
      <c r="D16847" s="31">
        <v>2438.66</v>
      </c>
      <c r="F16847" s="3" t="str">
        <f t="shared" si="263"/>
        <v>G0383</v>
      </c>
    </row>
    <row r="16848" spans="1:6" x14ac:dyDescent="0.2">
      <c r="A16848" s="29" t="s">
        <v>37179</v>
      </c>
      <c r="B16848" s="30" t="s">
        <v>37180</v>
      </c>
      <c r="C16848" s="29" t="s">
        <v>26</v>
      </c>
      <c r="D16848" s="31">
        <v>2858.1</v>
      </c>
      <c r="F16848" s="3" t="str">
        <f t="shared" si="263"/>
        <v>G0384</v>
      </c>
    </row>
    <row r="16849" spans="1:6" x14ac:dyDescent="0.2">
      <c r="A16849" s="29" t="s">
        <v>37181</v>
      </c>
      <c r="B16849" s="30" t="s">
        <v>37182</v>
      </c>
      <c r="C16849" s="29" t="s">
        <v>26</v>
      </c>
      <c r="D16849" s="31">
        <v>2131.4499999999998</v>
      </c>
      <c r="F16849" s="3" t="str">
        <f t="shared" si="263"/>
        <v>G0385</v>
      </c>
    </row>
    <row r="16850" spans="1:6" x14ac:dyDescent="0.2">
      <c r="A16850" s="29" t="s">
        <v>37183</v>
      </c>
      <c r="B16850" s="30" t="s">
        <v>37184</v>
      </c>
      <c r="C16850" s="29" t="s">
        <v>26</v>
      </c>
      <c r="D16850" s="31">
        <v>2152.1</v>
      </c>
      <c r="F16850" s="3" t="str">
        <f t="shared" si="263"/>
        <v>G0386</v>
      </c>
    </row>
    <row r="16851" spans="1:6" x14ac:dyDescent="0.2">
      <c r="A16851" s="29" t="s">
        <v>37185</v>
      </c>
      <c r="B16851" s="30" t="s">
        <v>37186</v>
      </c>
      <c r="C16851" s="29" t="s">
        <v>26</v>
      </c>
      <c r="D16851" s="31">
        <v>222.5</v>
      </c>
      <c r="F16851" s="3" t="str">
        <f t="shared" si="263"/>
        <v>G0387</v>
      </c>
    </row>
    <row r="16852" spans="1:6" x14ac:dyDescent="0.2">
      <c r="A16852" s="29" t="s">
        <v>37187</v>
      </c>
      <c r="B16852" s="30" t="s">
        <v>37188</v>
      </c>
      <c r="C16852" s="29" t="s">
        <v>26</v>
      </c>
      <c r="D16852" s="31">
        <v>394.41</v>
      </c>
      <c r="F16852" s="3" t="str">
        <f t="shared" si="263"/>
        <v>G0388</v>
      </c>
    </row>
    <row r="16853" spans="1:6" x14ac:dyDescent="0.2">
      <c r="A16853" s="29" t="s">
        <v>37189</v>
      </c>
      <c r="B16853" s="30" t="s">
        <v>37190</v>
      </c>
      <c r="C16853" s="29" t="s">
        <v>26</v>
      </c>
      <c r="D16853" s="31">
        <v>222.5</v>
      </c>
      <c r="F16853" s="3" t="str">
        <f t="shared" si="263"/>
        <v>G0389</v>
      </c>
    </row>
    <row r="16854" spans="1:6" x14ac:dyDescent="0.2">
      <c r="A16854" s="29" t="s">
        <v>37191</v>
      </c>
      <c r="B16854" s="30" t="s">
        <v>37192</v>
      </c>
      <c r="C16854" s="29" t="s">
        <v>26</v>
      </c>
      <c r="D16854" s="31">
        <v>360.71</v>
      </c>
      <c r="F16854" s="3" t="str">
        <f t="shared" si="263"/>
        <v>G0390</v>
      </c>
    </row>
    <row r="16855" spans="1:6" x14ac:dyDescent="0.2">
      <c r="A16855" s="29" t="s">
        <v>37193</v>
      </c>
      <c r="B16855" s="30" t="s">
        <v>37194</v>
      </c>
      <c r="C16855" s="29" t="s">
        <v>26</v>
      </c>
      <c r="D16855" s="31">
        <v>612.70000000000005</v>
      </c>
      <c r="F16855" s="3" t="str">
        <f t="shared" si="263"/>
        <v>G0391</v>
      </c>
    </row>
    <row r="16856" spans="1:6" x14ac:dyDescent="0.2">
      <c r="A16856" s="29" t="s">
        <v>37195</v>
      </c>
      <c r="B16856" s="30" t="s">
        <v>37196</v>
      </c>
      <c r="C16856" s="29" t="s">
        <v>26</v>
      </c>
      <c r="D16856" s="31">
        <v>394.41</v>
      </c>
      <c r="F16856" s="3" t="str">
        <f t="shared" si="263"/>
        <v>G0392</v>
      </c>
    </row>
    <row r="16857" spans="1:6" x14ac:dyDescent="0.2">
      <c r="A16857" s="29" t="s">
        <v>37197</v>
      </c>
      <c r="B16857" s="30" t="s">
        <v>37198</v>
      </c>
      <c r="C16857" s="29" t="s">
        <v>26</v>
      </c>
      <c r="D16857" s="31">
        <v>624.41999999999996</v>
      </c>
      <c r="F16857" s="3" t="str">
        <f t="shared" si="263"/>
        <v>G0393</v>
      </c>
    </row>
    <row r="16858" spans="1:6" x14ac:dyDescent="0.2">
      <c r="A16858" s="29" t="s">
        <v>37199</v>
      </c>
      <c r="B16858" s="30" t="s">
        <v>37200</v>
      </c>
      <c r="C16858" s="29" t="s">
        <v>26</v>
      </c>
      <c r="D16858" s="31">
        <v>733.69</v>
      </c>
      <c r="F16858" s="3" t="str">
        <f t="shared" si="263"/>
        <v>G0394</v>
      </c>
    </row>
    <row r="16859" spans="1:6" x14ac:dyDescent="0.2">
      <c r="A16859" s="29" t="s">
        <v>37201</v>
      </c>
      <c r="B16859" s="30" t="s">
        <v>37202</v>
      </c>
      <c r="C16859" s="29" t="s">
        <v>26</v>
      </c>
      <c r="D16859" s="31">
        <v>1754.8</v>
      </c>
      <c r="F16859" s="3" t="str">
        <f t="shared" si="263"/>
        <v>G0395</v>
      </c>
    </row>
    <row r="16860" spans="1:6" x14ac:dyDescent="0.2">
      <c r="A16860" s="29" t="s">
        <v>37203</v>
      </c>
      <c r="B16860" s="30" t="s">
        <v>37204</v>
      </c>
      <c r="C16860" s="29" t="s">
        <v>26</v>
      </c>
      <c r="D16860" s="31">
        <v>846.93</v>
      </c>
      <c r="F16860" s="3" t="str">
        <f t="shared" si="263"/>
        <v>G0396</v>
      </c>
    </row>
    <row r="16861" spans="1:6" x14ac:dyDescent="0.2">
      <c r="A16861" s="29" t="s">
        <v>37205</v>
      </c>
      <c r="B16861" s="30" t="s">
        <v>37206</v>
      </c>
      <c r="C16861" s="29" t="s">
        <v>26</v>
      </c>
      <c r="D16861" s="31">
        <v>2024.08</v>
      </c>
      <c r="F16861" s="3" t="str">
        <f t="shared" si="263"/>
        <v>G0397</v>
      </c>
    </row>
    <row r="16862" spans="1:6" x14ac:dyDescent="0.2">
      <c r="A16862" s="29" t="s">
        <v>37207</v>
      </c>
      <c r="B16862" s="30" t="s">
        <v>37208</v>
      </c>
      <c r="C16862" s="29" t="s">
        <v>26</v>
      </c>
      <c r="D16862" s="31">
        <v>1754.8</v>
      </c>
      <c r="F16862" s="3" t="str">
        <f t="shared" si="263"/>
        <v>G0398</v>
      </c>
    </row>
    <row r="16863" spans="1:6" x14ac:dyDescent="0.2">
      <c r="A16863" s="29" t="s">
        <v>37209</v>
      </c>
      <c r="B16863" s="30" t="s">
        <v>37210</v>
      </c>
      <c r="C16863" s="29" t="s">
        <v>26</v>
      </c>
      <c r="D16863" s="31">
        <v>959.02</v>
      </c>
      <c r="F16863" s="3" t="str">
        <f t="shared" si="263"/>
        <v>G0399</v>
      </c>
    </row>
    <row r="16864" spans="1:6" x14ac:dyDescent="0.2">
      <c r="A16864" s="29" t="s">
        <v>37211</v>
      </c>
      <c r="B16864" s="30" t="s">
        <v>37212</v>
      </c>
      <c r="C16864" s="29" t="s">
        <v>26</v>
      </c>
      <c r="D16864" s="31">
        <v>879.59</v>
      </c>
      <c r="F16864" s="3" t="str">
        <f t="shared" si="263"/>
        <v>G0400</v>
      </c>
    </row>
    <row r="16865" spans="1:6" x14ac:dyDescent="0.2">
      <c r="A16865" s="29" t="s">
        <v>37213</v>
      </c>
      <c r="B16865" s="30" t="s">
        <v>37214</v>
      </c>
      <c r="C16865" s="29" t="s">
        <v>26</v>
      </c>
      <c r="D16865" s="31">
        <v>1025.98</v>
      </c>
      <c r="F16865" s="3" t="str">
        <f t="shared" si="263"/>
        <v>G0401</v>
      </c>
    </row>
    <row r="16866" spans="1:6" ht="15.75" customHeight="1" x14ac:dyDescent="0.2">
      <c r="A16866" s="32" t="s">
        <v>37215</v>
      </c>
      <c r="B16866" s="33"/>
      <c r="C16866" s="32">
        <v>0</v>
      </c>
      <c r="D16866" s="34">
        <v>0</v>
      </c>
      <c r="F16866" s="3" t="str">
        <f t="shared" si="263"/>
        <v>COTAÇÃO / MATERIAIS PADRÃO MUTIRÃO</v>
      </c>
    </row>
    <row r="16867" spans="1:6" ht="25.5" x14ac:dyDescent="0.2">
      <c r="A16867" s="26" t="s">
        <v>14985</v>
      </c>
      <c r="B16867" s="27" t="s">
        <v>14986</v>
      </c>
      <c r="C16867" s="26" t="s">
        <v>14987</v>
      </c>
      <c r="D16867" s="28" t="e">
        <v>#VALUE!</v>
      </c>
      <c r="F16867" s="3" t="str">
        <f t="shared" si="263"/>
        <v>Insumo</v>
      </c>
    </row>
    <row r="16868" spans="1:6" x14ac:dyDescent="0.2">
      <c r="A16868" s="29" t="s">
        <v>37216</v>
      </c>
      <c r="B16868" s="30" t="s">
        <v>37217</v>
      </c>
      <c r="C16868" s="29" t="s">
        <v>26</v>
      </c>
      <c r="D16868" s="31">
        <v>5.29</v>
      </c>
      <c r="F16868" s="3" t="str">
        <f t="shared" si="263"/>
        <v>I6118</v>
      </c>
    </row>
    <row r="16869" spans="1:6" x14ac:dyDescent="0.2">
      <c r="A16869" s="29" t="s">
        <v>37218</v>
      </c>
      <c r="B16869" s="30" t="s">
        <v>37219</v>
      </c>
      <c r="C16869" s="29" t="s">
        <v>0</v>
      </c>
      <c r="D16869" s="31">
        <v>2.77</v>
      </c>
      <c r="F16869" s="3" t="str">
        <f t="shared" si="263"/>
        <v>I6108</v>
      </c>
    </row>
    <row r="16870" spans="1:6" x14ac:dyDescent="0.2">
      <c r="A16870" s="29" t="s">
        <v>37220</v>
      </c>
      <c r="B16870" s="30" t="s">
        <v>37221</v>
      </c>
      <c r="C16870" s="29" t="s">
        <v>26</v>
      </c>
      <c r="D16870" s="31">
        <v>74.39</v>
      </c>
      <c r="F16870" s="3" t="str">
        <f t="shared" si="263"/>
        <v>I6123</v>
      </c>
    </row>
    <row r="16871" spans="1:6" x14ac:dyDescent="0.2">
      <c r="A16871" s="29" t="s">
        <v>37222</v>
      </c>
      <c r="B16871" s="30" t="s">
        <v>37223</v>
      </c>
      <c r="C16871" s="29" t="s">
        <v>26</v>
      </c>
      <c r="D16871" s="31">
        <v>2.36</v>
      </c>
      <c r="F16871" s="3" t="str">
        <f t="shared" si="263"/>
        <v>I6124</v>
      </c>
    </row>
    <row r="16872" spans="1:6" x14ac:dyDescent="0.2">
      <c r="A16872" s="29" t="s">
        <v>37224</v>
      </c>
      <c r="B16872" s="30" t="s">
        <v>37225</v>
      </c>
      <c r="C16872" s="29" t="s">
        <v>26</v>
      </c>
      <c r="D16872" s="31">
        <v>2.87</v>
      </c>
      <c r="F16872" s="3" t="str">
        <f t="shared" si="263"/>
        <v>I6114</v>
      </c>
    </row>
    <row r="16873" spans="1:6" x14ac:dyDescent="0.2">
      <c r="A16873" s="29" t="s">
        <v>37226</v>
      </c>
      <c r="B16873" s="30" t="s">
        <v>37227</v>
      </c>
      <c r="C16873" s="29" t="s">
        <v>0</v>
      </c>
      <c r="D16873" s="31">
        <v>1.57</v>
      </c>
      <c r="F16873" s="3" t="str">
        <f t="shared" si="263"/>
        <v>I6125</v>
      </c>
    </row>
    <row r="16874" spans="1:6" x14ac:dyDescent="0.2">
      <c r="A16874" s="29" t="s">
        <v>37228</v>
      </c>
      <c r="B16874" s="30" t="s">
        <v>37229</v>
      </c>
      <c r="C16874" s="29" t="s">
        <v>26</v>
      </c>
      <c r="D16874" s="31">
        <v>3.52</v>
      </c>
      <c r="F16874" s="3" t="str">
        <f t="shared" si="263"/>
        <v>I6115</v>
      </c>
    </row>
    <row r="16875" spans="1:6" x14ac:dyDescent="0.2">
      <c r="A16875" s="29" t="s">
        <v>37230</v>
      </c>
      <c r="B16875" s="30" t="s">
        <v>37231</v>
      </c>
      <c r="C16875" s="29" t="s">
        <v>0</v>
      </c>
      <c r="D16875" s="31">
        <v>1.45</v>
      </c>
      <c r="F16875" s="3" t="str">
        <f t="shared" si="263"/>
        <v>I6126</v>
      </c>
    </row>
    <row r="16876" spans="1:6" x14ac:dyDescent="0.2">
      <c r="A16876" s="29" t="s">
        <v>37232</v>
      </c>
      <c r="B16876" s="30" t="s">
        <v>37233</v>
      </c>
      <c r="C16876" s="29" t="s">
        <v>0</v>
      </c>
      <c r="D16876" s="31">
        <v>14.82</v>
      </c>
      <c r="F16876" s="3" t="str">
        <f t="shared" si="263"/>
        <v>I6109</v>
      </c>
    </row>
    <row r="16877" spans="1:6" x14ac:dyDescent="0.2">
      <c r="A16877" s="29" t="s">
        <v>37234</v>
      </c>
      <c r="B16877" s="30" t="s">
        <v>37235</v>
      </c>
      <c r="C16877" s="29" t="s">
        <v>26</v>
      </c>
      <c r="D16877" s="31">
        <v>16.739999999999998</v>
      </c>
      <c r="F16877" s="3" t="str">
        <f t="shared" si="263"/>
        <v>I6127</v>
      </c>
    </row>
    <row r="16878" spans="1:6" x14ac:dyDescent="0.2">
      <c r="A16878" s="29" t="s">
        <v>37236</v>
      </c>
      <c r="B16878" s="30" t="s">
        <v>37237</v>
      </c>
      <c r="C16878" s="29" t="s">
        <v>26</v>
      </c>
      <c r="D16878" s="31">
        <v>76.8</v>
      </c>
      <c r="F16878" s="3" t="str">
        <f t="shared" si="263"/>
        <v>I6110</v>
      </c>
    </row>
    <row r="16879" spans="1:6" x14ac:dyDescent="0.2">
      <c r="A16879" s="29" t="s">
        <v>37238</v>
      </c>
      <c r="B16879" s="30" t="s">
        <v>37239</v>
      </c>
      <c r="C16879" s="29" t="s">
        <v>0</v>
      </c>
      <c r="D16879" s="31">
        <v>4.22</v>
      </c>
      <c r="F16879" s="3" t="str">
        <f t="shared" si="263"/>
        <v>I6111</v>
      </c>
    </row>
    <row r="16880" spans="1:6" x14ac:dyDescent="0.2">
      <c r="A16880" s="29" t="s">
        <v>37240</v>
      </c>
      <c r="B16880" s="30" t="s">
        <v>37241</v>
      </c>
      <c r="C16880" s="29" t="s">
        <v>26</v>
      </c>
      <c r="D16880" s="31">
        <v>26.54</v>
      </c>
      <c r="F16880" s="3" t="str">
        <f t="shared" si="263"/>
        <v>I6128</v>
      </c>
    </row>
    <row r="16881" spans="1:6" x14ac:dyDescent="0.2">
      <c r="A16881" s="29" t="s">
        <v>37242</v>
      </c>
      <c r="B16881" s="30" t="s">
        <v>37243</v>
      </c>
      <c r="C16881" s="29" t="s">
        <v>26</v>
      </c>
      <c r="D16881" s="31">
        <v>45.24</v>
      </c>
      <c r="F16881" s="3" t="str">
        <f t="shared" si="263"/>
        <v>I6119</v>
      </c>
    </row>
    <row r="16882" spans="1:6" x14ac:dyDescent="0.2">
      <c r="A16882" s="29" t="s">
        <v>37244</v>
      </c>
      <c r="B16882" s="30" t="s">
        <v>37245</v>
      </c>
      <c r="C16882" s="29" t="s">
        <v>1284</v>
      </c>
      <c r="D16882" s="31">
        <v>6.75</v>
      </c>
      <c r="F16882" s="3" t="str">
        <f t="shared" si="263"/>
        <v>I6131</v>
      </c>
    </row>
    <row r="16883" spans="1:6" x14ac:dyDescent="0.2">
      <c r="A16883" s="29" t="s">
        <v>37246</v>
      </c>
      <c r="B16883" s="30" t="s">
        <v>37247</v>
      </c>
      <c r="C16883" s="29" t="s">
        <v>26</v>
      </c>
      <c r="D16883" s="31">
        <v>108.37</v>
      </c>
      <c r="F16883" s="3" t="str">
        <f t="shared" si="263"/>
        <v>I6112</v>
      </c>
    </row>
    <row r="16884" spans="1:6" x14ac:dyDescent="0.2">
      <c r="A16884" s="29" t="s">
        <v>37248</v>
      </c>
      <c r="B16884" s="30" t="s">
        <v>37249</v>
      </c>
      <c r="C16884" s="29" t="s">
        <v>26</v>
      </c>
      <c r="D16884" s="31">
        <v>116.17</v>
      </c>
      <c r="F16884" s="3" t="str">
        <f t="shared" si="263"/>
        <v>I6113</v>
      </c>
    </row>
    <row r="16885" spans="1:6" x14ac:dyDescent="0.2">
      <c r="A16885" s="29" t="s">
        <v>37250</v>
      </c>
      <c r="B16885" s="30" t="s">
        <v>37251</v>
      </c>
      <c r="C16885" s="29" t="s">
        <v>26</v>
      </c>
      <c r="D16885" s="31">
        <v>63.01</v>
      </c>
      <c r="F16885" s="3" t="str">
        <f t="shared" si="263"/>
        <v>I6129</v>
      </c>
    </row>
    <row r="16886" spans="1:6" x14ac:dyDescent="0.2">
      <c r="A16886" s="29" t="s">
        <v>37252</v>
      </c>
      <c r="B16886" s="30" t="s">
        <v>37253</v>
      </c>
      <c r="C16886" s="29" t="s">
        <v>26</v>
      </c>
      <c r="D16886" s="31">
        <v>19.86</v>
      </c>
      <c r="F16886" s="3" t="str">
        <f t="shared" si="263"/>
        <v>I6121</v>
      </c>
    </row>
    <row r="16887" spans="1:6" x14ac:dyDescent="0.2">
      <c r="A16887" s="29" t="s">
        <v>37254</v>
      </c>
      <c r="B16887" s="30" t="s">
        <v>37255</v>
      </c>
      <c r="C16887" s="29" t="s">
        <v>0</v>
      </c>
      <c r="D16887" s="31">
        <v>2.5</v>
      </c>
      <c r="F16887" s="3" t="str">
        <f t="shared" si="263"/>
        <v>I6116</v>
      </c>
    </row>
    <row r="16888" spans="1:6" x14ac:dyDescent="0.2">
      <c r="A16888" s="29" t="s">
        <v>37256</v>
      </c>
      <c r="B16888" s="30" t="s">
        <v>37257</v>
      </c>
      <c r="C16888" s="29" t="s">
        <v>26</v>
      </c>
      <c r="D16888" s="31">
        <v>3</v>
      </c>
      <c r="F16888" s="3" t="str">
        <f t="shared" si="263"/>
        <v>I6130</v>
      </c>
    </row>
    <row r="16889" spans="1:6" x14ac:dyDescent="0.2">
      <c r="A16889" s="29" t="s">
        <v>37258</v>
      </c>
      <c r="B16889" s="30" t="s">
        <v>37259</v>
      </c>
      <c r="C16889" s="29" t="s">
        <v>26</v>
      </c>
      <c r="D16889" s="31">
        <v>6.33</v>
      </c>
      <c r="F16889" s="3" t="str">
        <f t="shared" si="263"/>
        <v>I6117</v>
      </c>
    </row>
    <row r="16890" spans="1:6" x14ac:dyDescent="0.2">
      <c r="A16890" s="29" t="s">
        <v>37260</v>
      </c>
      <c r="B16890" s="30" t="s">
        <v>37261</v>
      </c>
      <c r="C16890" s="29" t="s">
        <v>26</v>
      </c>
      <c r="D16890" s="31">
        <v>13.13</v>
      </c>
      <c r="F16890" s="3" t="str">
        <f t="shared" si="263"/>
        <v>I6120</v>
      </c>
    </row>
    <row r="16891" spans="1:6" x14ac:dyDescent="0.2">
      <c r="A16891" s="29" t="s">
        <v>37262</v>
      </c>
      <c r="B16891" s="30" t="s">
        <v>37263</v>
      </c>
      <c r="C16891" s="29" t="s">
        <v>26</v>
      </c>
      <c r="D16891" s="31">
        <v>13.13</v>
      </c>
      <c r="F16891" s="3" t="str">
        <f t="shared" si="263"/>
        <v>I6122</v>
      </c>
    </row>
    <row r="16892" spans="1:6" x14ac:dyDescent="0.2">
      <c r="A16892" s="29" t="s">
        <v>37264</v>
      </c>
      <c r="B16892" s="30" t="s">
        <v>37265</v>
      </c>
      <c r="C16892" s="29" t="s">
        <v>26</v>
      </c>
      <c r="D16892" s="31">
        <v>12.43</v>
      </c>
      <c r="F16892" s="3" t="str">
        <f t="shared" si="263"/>
        <v>I6105</v>
      </c>
    </row>
    <row r="16893" spans="1:6" x14ac:dyDescent="0.2">
      <c r="A16893" s="29" t="s">
        <v>37266</v>
      </c>
      <c r="B16893" s="30" t="s">
        <v>37267</v>
      </c>
      <c r="C16893" s="29" t="s">
        <v>26</v>
      </c>
      <c r="D16893" s="31">
        <v>14.91</v>
      </c>
      <c r="F16893" s="3" t="str">
        <f t="shared" si="263"/>
        <v>I6106</v>
      </c>
    </row>
    <row r="16894" spans="1:6" x14ac:dyDescent="0.2">
      <c r="A16894" s="29" t="s">
        <v>37268</v>
      </c>
      <c r="B16894" s="30" t="s">
        <v>37269</v>
      </c>
      <c r="C16894" s="29" t="s">
        <v>26</v>
      </c>
      <c r="D16894" s="31">
        <v>21.11</v>
      </c>
      <c r="F16894" s="3" t="str">
        <f t="shared" si="263"/>
        <v>I6107</v>
      </c>
    </row>
    <row r="16895" spans="1:6" ht="15.75" customHeight="1" x14ac:dyDescent="0.2">
      <c r="A16895" s="32" t="s">
        <v>37270</v>
      </c>
      <c r="B16895" s="33"/>
      <c r="C16895" s="32">
        <v>0</v>
      </c>
      <c r="D16895" s="34">
        <v>0</v>
      </c>
      <c r="F16895" s="3" t="str">
        <f t="shared" si="263"/>
        <v>COTAÇÃO / MATERIAL BETUMINOSO - ADITIVOS</v>
      </c>
    </row>
    <row r="16896" spans="1:6" ht="25.5" x14ac:dyDescent="0.2">
      <c r="A16896" s="26" t="s">
        <v>14985</v>
      </c>
      <c r="B16896" s="27" t="s">
        <v>14986</v>
      </c>
      <c r="C16896" s="26" t="s">
        <v>14987</v>
      </c>
      <c r="D16896" s="28" t="e">
        <v>#VALUE!</v>
      </c>
      <c r="F16896" s="3" t="str">
        <f t="shared" si="263"/>
        <v>Insumo</v>
      </c>
    </row>
    <row r="16897" spans="1:6" x14ac:dyDescent="0.2">
      <c r="A16897" s="29" t="s">
        <v>37271</v>
      </c>
      <c r="B16897" s="30" t="s">
        <v>37272</v>
      </c>
      <c r="C16897" s="29" t="s">
        <v>1284</v>
      </c>
      <c r="D16897" s="31">
        <v>8.73</v>
      </c>
      <c r="F16897" s="3" t="str">
        <f t="shared" si="263"/>
        <v>I8423</v>
      </c>
    </row>
    <row r="16898" spans="1:6" x14ac:dyDescent="0.2">
      <c r="A16898" s="29" t="s">
        <v>37273</v>
      </c>
      <c r="B16898" s="30" t="s">
        <v>37274</v>
      </c>
      <c r="C16898" s="29" t="s">
        <v>1284</v>
      </c>
      <c r="D16898" s="31">
        <v>45.72</v>
      </c>
      <c r="F16898" s="3" t="str">
        <f t="shared" ref="F16898:F16961" si="264">A16898</f>
        <v>I8425</v>
      </c>
    </row>
    <row r="16899" spans="1:6" x14ac:dyDescent="0.2">
      <c r="A16899" s="29" t="s">
        <v>37275</v>
      </c>
      <c r="B16899" s="30" t="s">
        <v>37276</v>
      </c>
      <c r="C16899" s="29" t="s">
        <v>9</v>
      </c>
      <c r="D16899" s="31">
        <v>64.010000000000005</v>
      </c>
      <c r="F16899" s="3" t="str">
        <f t="shared" si="264"/>
        <v>I8411</v>
      </c>
    </row>
    <row r="16900" spans="1:6" ht="15.75" customHeight="1" x14ac:dyDescent="0.2">
      <c r="A16900" s="32" t="s">
        <v>37277</v>
      </c>
      <c r="B16900" s="33"/>
      <c r="C16900" s="32">
        <v>0</v>
      </c>
      <c r="D16900" s="34">
        <v>0</v>
      </c>
      <c r="F16900" s="3" t="str">
        <f t="shared" si="264"/>
        <v>COTAÇÃO / MISTURAS USINADAS</v>
      </c>
    </row>
    <row r="16901" spans="1:6" ht="25.5" x14ac:dyDescent="0.2">
      <c r="A16901" s="26" t="s">
        <v>14985</v>
      </c>
      <c r="B16901" s="27" t="s">
        <v>14986</v>
      </c>
      <c r="C16901" s="26" t="s">
        <v>14987</v>
      </c>
      <c r="D16901" s="28" t="e">
        <v>#VALUE!</v>
      </c>
      <c r="F16901" s="3" t="str">
        <f t="shared" si="264"/>
        <v>Insumo</v>
      </c>
    </row>
    <row r="16902" spans="1:6" x14ac:dyDescent="0.2">
      <c r="A16902" s="29" t="s">
        <v>37278</v>
      </c>
      <c r="B16902" s="30" t="s">
        <v>37279</v>
      </c>
      <c r="C16902" s="29" t="s">
        <v>5477</v>
      </c>
      <c r="D16902" s="31">
        <v>378.93</v>
      </c>
      <c r="F16902" s="3" t="str">
        <f t="shared" si="264"/>
        <v>I0106</v>
      </c>
    </row>
    <row r="16903" spans="1:6" x14ac:dyDescent="0.2">
      <c r="A16903" s="29" t="s">
        <v>37280</v>
      </c>
      <c r="B16903" s="30" t="s">
        <v>37281</v>
      </c>
      <c r="C16903" s="29" t="s">
        <v>5477</v>
      </c>
      <c r="D16903" s="31">
        <v>335.5</v>
      </c>
      <c r="F16903" s="3" t="str">
        <f t="shared" si="264"/>
        <v>I0826</v>
      </c>
    </row>
    <row r="16904" spans="1:6" x14ac:dyDescent="0.2">
      <c r="A16904" s="29" t="s">
        <v>37282</v>
      </c>
      <c r="B16904" s="30" t="s">
        <v>37283</v>
      </c>
      <c r="C16904" s="29" t="s">
        <v>271</v>
      </c>
      <c r="D16904" s="31">
        <v>362.63</v>
      </c>
      <c r="F16904" s="3" t="str">
        <f t="shared" si="264"/>
        <v>I0827</v>
      </c>
    </row>
    <row r="16905" spans="1:6" x14ac:dyDescent="0.2">
      <c r="A16905" s="29" t="s">
        <v>37284</v>
      </c>
      <c r="B16905" s="30" t="s">
        <v>37285</v>
      </c>
      <c r="C16905" s="29" t="s">
        <v>271</v>
      </c>
      <c r="D16905" s="31">
        <v>368.55</v>
      </c>
      <c r="F16905" s="3" t="str">
        <f t="shared" si="264"/>
        <v>I0834</v>
      </c>
    </row>
    <row r="16906" spans="1:6" x14ac:dyDescent="0.2">
      <c r="A16906" s="29" t="s">
        <v>37286</v>
      </c>
      <c r="B16906" s="30" t="s">
        <v>37287</v>
      </c>
      <c r="C16906" s="29" t="s">
        <v>271</v>
      </c>
      <c r="D16906" s="31">
        <v>371.33</v>
      </c>
      <c r="F16906" s="3" t="str">
        <f t="shared" si="264"/>
        <v>I0835</v>
      </c>
    </row>
    <row r="16907" spans="1:6" x14ac:dyDescent="0.2">
      <c r="A16907" s="29" t="s">
        <v>37288</v>
      </c>
      <c r="B16907" s="30" t="s">
        <v>37289</v>
      </c>
      <c r="C16907" s="29" t="s">
        <v>271</v>
      </c>
      <c r="D16907" s="31">
        <v>384.05</v>
      </c>
      <c r="F16907" s="3" t="str">
        <f t="shared" si="264"/>
        <v>I0836</v>
      </c>
    </row>
    <row r="16908" spans="1:6" x14ac:dyDescent="0.2">
      <c r="A16908" s="29" t="s">
        <v>37290</v>
      </c>
      <c r="B16908" s="30" t="s">
        <v>37291</v>
      </c>
      <c r="C16908" s="29" t="s">
        <v>271</v>
      </c>
      <c r="D16908" s="31">
        <v>394.89</v>
      </c>
      <c r="F16908" s="3" t="str">
        <f t="shared" si="264"/>
        <v>I0828</v>
      </c>
    </row>
    <row r="16909" spans="1:6" x14ac:dyDescent="0.2">
      <c r="A16909" s="29" t="s">
        <v>37292</v>
      </c>
      <c r="B16909" s="30" t="s">
        <v>37293</v>
      </c>
      <c r="C16909" s="29" t="s">
        <v>271</v>
      </c>
      <c r="D16909" s="31">
        <v>408.05</v>
      </c>
      <c r="F16909" s="3" t="str">
        <f t="shared" si="264"/>
        <v>I0829</v>
      </c>
    </row>
    <row r="16910" spans="1:6" x14ac:dyDescent="0.2">
      <c r="A16910" s="29" t="s">
        <v>37294</v>
      </c>
      <c r="B16910" s="30" t="s">
        <v>37295</v>
      </c>
      <c r="C16910" s="29" t="s">
        <v>271</v>
      </c>
      <c r="D16910" s="31">
        <v>421.21</v>
      </c>
      <c r="F16910" s="3" t="str">
        <f t="shared" si="264"/>
        <v>I0830</v>
      </c>
    </row>
    <row r="16911" spans="1:6" x14ac:dyDescent="0.2">
      <c r="A16911" s="29" t="s">
        <v>37296</v>
      </c>
      <c r="B16911" s="30" t="s">
        <v>37297</v>
      </c>
      <c r="C16911" s="29" t="s">
        <v>271</v>
      </c>
      <c r="D16911" s="31">
        <v>439.4</v>
      </c>
      <c r="F16911" s="3" t="str">
        <f t="shared" si="264"/>
        <v>I0831</v>
      </c>
    </row>
    <row r="16912" spans="1:6" x14ac:dyDescent="0.2">
      <c r="A16912" s="29" t="s">
        <v>37298</v>
      </c>
      <c r="B16912" s="30" t="s">
        <v>37299</v>
      </c>
      <c r="C16912" s="29" t="s">
        <v>271</v>
      </c>
      <c r="D16912" s="31">
        <v>482.18</v>
      </c>
      <c r="F16912" s="3" t="str">
        <f t="shared" si="264"/>
        <v>I7971</v>
      </c>
    </row>
    <row r="16913" spans="1:6" x14ac:dyDescent="0.2">
      <c r="A16913" s="29" t="s">
        <v>37300</v>
      </c>
      <c r="B16913" s="30" t="s">
        <v>37301</v>
      </c>
      <c r="C16913" s="29" t="s">
        <v>271</v>
      </c>
      <c r="D16913" s="31">
        <v>653.79999999999995</v>
      </c>
      <c r="F16913" s="3" t="str">
        <f t="shared" si="264"/>
        <v>I7972</v>
      </c>
    </row>
    <row r="16914" spans="1:6" x14ac:dyDescent="0.2">
      <c r="A16914" s="29" t="s">
        <v>37302</v>
      </c>
      <c r="B16914" s="30" t="s">
        <v>37303</v>
      </c>
      <c r="C16914" s="29" t="s">
        <v>271</v>
      </c>
      <c r="D16914" s="31">
        <v>721.9</v>
      </c>
      <c r="F16914" s="3" t="str">
        <f t="shared" si="264"/>
        <v>I7973</v>
      </c>
    </row>
    <row r="16915" spans="1:6" ht="15.75" customHeight="1" x14ac:dyDescent="0.2">
      <c r="A16915" s="32" t="s">
        <v>37304</v>
      </c>
      <c r="B16915" s="33"/>
      <c r="C16915" s="32">
        <v>0</v>
      </c>
      <c r="D16915" s="34">
        <v>0</v>
      </c>
      <c r="F16915" s="3" t="str">
        <f t="shared" si="264"/>
        <v>COTAÇÃO / PAISAGISMO</v>
      </c>
    </row>
    <row r="16916" spans="1:6" ht="25.5" x14ac:dyDescent="0.2">
      <c r="A16916" s="26" t="s">
        <v>14985</v>
      </c>
      <c r="B16916" s="27" t="s">
        <v>14986</v>
      </c>
      <c r="C16916" s="26" t="s">
        <v>14987</v>
      </c>
      <c r="D16916" s="28" t="e">
        <v>#VALUE!</v>
      </c>
      <c r="F16916" s="3" t="str">
        <f t="shared" si="264"/>
        <v>Insumo</v>
      </c>
    </row>
    <row r="16917" spans="1:6" x14ac:dyDescent="0.2">
      <c r="A16917" s="29" t="s">
        <v>37305</v>
      </c>
      <c r="B16917" s="30" t="s">
        <v>37306</v>
      </c>
      <c r="C16917" s="29" t="s">
        <v>1284</v>
      </c>
      <c r="D16917" s="31">
        <v>4.4400000000000004</v>
      </c>
      <c r="F16917" s="3" t="str">
        <f t="shared" si="264"/>
        <v>I0030</v>
      </c>
    </row>
    <row r="16918" spans="1:6" x14ac:dyDescent="0.2">
      <c r="A16918" s="29" t="s">
        <v>37307</v>
      </c>
      <c r="B16918" s="30" t="s">
        <v>37308</v>
      </c>
      <c r="C16918" s="29" t="s">
        <v>271</v>
      </c>
      <c r="D16918" s="31">
        <v>170.73</v>
      </c>
      <c r="F16918" s="3" t="str">
        <f t="shared" si="264"/>
        <v>I0031</v>
      </c>
    </row>
    <row r="16919" spans="1:6" x14ac:dyDescent="0.2">
      <c r="A16919" s="29" t="s">
        <v>37309</v>
      </c>
      <c r="B16919" s="30" t="s">
        <v>37310</v>
      </c>
      <c r="C16919" s="29" t="s">
        <v>26</v>
      </c>
      <c r="D16919" s="31">
        <v>44.56</v>
      </c>
      <c r="F16919" s="3" t="str">
        <f t="shared" si="264"/>
        <v>I0105</v>
      </c>
    </row>
    <row r="16920" spans="1:6" x14ac:dyDescent="0.2">
      <c r="A16920" s="29" t="s">
        <v>37311</v>
      </c>
      <c r="B16920" s="30" t="s">
        <v>37312</v>
      </c>
      <c r="C16920" s="29" t="s">
        <v>26</v>
      </c>
      <c r="D16920" s="31">
        <v>103.57</v>
      </c>
      <c r="F16920" s="3" t="str">
        <f t="shared" si="264"/>
        <v>I0142</v>
      </c>
    </row>
    <row r="16921" spans="1:6" x14ac:dyDescent="0.2">
      <c r="A16921" s="29" t="s">
        <v>37313</v>
      </c>
      <c r="B16921" s="30" t="s">
        <v>37314</v>
      </c>
      <c r="C16921" s="29" t="s">
        <v>26</v>
      </c>
      <c r="D16921" s="31">
        <v>48.06</v>
      </c>
      <c r="F16921" s="3" t="str">
        <f t="shared" si="264"/>
        <v>I0143</v>
      </c>
    </row>
    <row r="16922" spans="1:6" x14ac:dyDescent="0.2">
      <c r="A16922" s="29" t="s">
        <v>37315</v>
      </c>
      <c r="B16922" s="30" t="s">
        <v>37316</v>
      </c>
      <c r="C16922" s="29" t="s">
        <v>1284</v>
      </c>
      <c r="D16922" s="31">
        <v>0.13</v>
      </c>
      <c r="F16922" s="3" t="str">
        <f t="shared" si="264"/>
        <v>I0444</v>
      </c>
    </row>
    <row r="16923" spans="1:6" x14ac:dyDescent="0.2">
      <c r="A16923" s="29" t="s">
        <v>37317</v>
      </c>
      <c r="B16923" s="30" t="s">
        <v>37318</v>
      </c>
      <c r="C16923" s="29" t="s">
        <v>255</v>
      </c>
      <c r="D16923" s="31">
        <v>8.19</v>
      </c>
      <c r="F16923" s="3" t="str">
        <f t="shared" si="264"/>
        <v>I2479</v>
      </c>
    </row>
    <row r="16924" spans="1:6" x14ac:dyDescent="0.2">
      <c r="A16924" s="29" t="s">
        <v>37319</v>
      </c>
      <c r="B16924" s="30" t="s">
        <v>37320</v>
      </c>
      <c r="C16924" s="29" t="s">
        <v>255</v>
      </c>
      <c r="D16924" s="31">
        <v>8.8699999999999992</v>
      </c>
      <c r="F16924" s="3" t="str">
        <f t="shared" si="264"/>
        <v>I6228</v>
      </c>
    </row>
    <row r="16925" spans="1:6" ht="45" x14ac:dyDescent="0.2">
      <c r="A16925" s="29" t="s">
        <v>37321</v>
      </c>
      <c r="B16925" s="30" t="s">
        <v>37322</v>
      </c>
      <c r="C16925" s="29" t="s">
        <v>255</v>
      </c>
      <c r="D16925" s="31">
        <v>169.73</v>
      </c>
      <c r="F16925" s="3" t="str">
        <f t="shared" si="264"/>
        <v>I9149</v>
      </c>
    </row>
    <row r="16926" spans="1:6" x14ac:dyDescent="0.2">
      <c r="A16926" s="29" t="s">
        <v>37323</v>
      </c>
      <c r="B16926" s="30" t="s">
        <v>37324</v>
      </c>
      <c r="C16926" s="29" t="s">
        <v>255</v>
      </c>
      <c r="D16926" s="31">
        <v>8.19</v>
      </c>
      <c r="F16926" s="3" t="str">
        <f t="shared" si="264"/>
        <v>I1225</v>
      </c>
    </row>
    <row r="16927" spans="1:6" x14ac:dyDescent="0.2">
      <c r="A16927" s="29" t="s">
        <v>37325</v>
      </c>
      <c r="B16927" s="30" t="s">
        <v>37326</v>
      </c>
      <c r="C16927" s="29" t="s">
        <v>26</v>
      </c>
      <c r="D16927" s="31">
        <v>7.73</v>
      </c>
      <c r="F16927" s="3" t="str">
        <f t="shared" si="264"/>
        <v>I1245</v>
      </c>
    </row>
    <row r="16928" spans="1:6" x14ac:dyDescent="0.2">
      <c r="A16928" s="29" t="s">
        <v>37327</v>
      </c>
      <c r="B16928" s="30" t="s">
        <v>37328</v>
      </c>
      <c r="C16928" s="29" t="s">
        <v>6052</v>
      </c>
      <c r="D16928" s="31">
        <v>21405.91</v>
      </c>
      <c r="F16928" s="3" t="str">
        <f t="shared" si="264"/>
        <v>I1859</v>
      </c>
    </row>
    <row r="16929" spans="1:6" x14ac:dyDescent="0.2">
      <c r="A16929" s="29" t="s">
        <v>37329</v>
      </c>
      <c r="B16929" s="30" t="s">
        <v>37330</v>
      </c>
      <c r="C16929" s="29" t="s">
        <v>9</v>
      </c>
      <c r="D16929" s="31">
        <v>24.07</v>
      </c>
      <c r="F16929" s="3" t="str">
        <f t="shared" si="264"/>
        <v>I1887</v>
      </c>
    </row>
    <row r="16930" spans="1:6" x14ac:dyDescent="0.2">
      <c r="A16930" s="29" t="s">
        <v>37331</v>
      </c>
      <c r="B16930" s="30" t="s">
        <v>37332</v>
      </c>
      <c r="C16930" s="29" t="s">
        <v>271</v>
      </c>
      <c r="D16930" s="31">
        <v>136.69</v>
      </c>
      <c r="F16930" s="3" t="str">
        <f t="shared" si="264"/>
        <v>I2077</v>
      </c>
    </row>
    <row r="16931" spans="1:6" x14ac:dyDescent="0.2">
      <c r="A16931" s="29" t="s">
        <v>37333</v>
      </c>
      <c r="B16931" s="30" t="s">
        <v>37334</v>
      </c>
      <c r="C16931" s="29" t="s">
        <v>271</v>
      </c>
      <c r="D16931" s="31">
        <v>5.97</v>
      </c>
      <c r="F16931" s="3" t="str">
        <f t="shared" si="264"/>
        <v>I2294</v>
      </c>
    </row>
    <row r="16932" spans="1:6" ht="15.75" customHeight="1" x14ac:dyDescent="0.2">
      <c r="A16932" s="32" t="s">
        <v>37335</v>
      </c>
      <c r="B16932" s="33"/>
      <c r="C16932" s="32">
        <v>0</v>
      </c>
      <c r="D16932" s="34">
        <v>0</v>
      </c>
      <c r="F16932" s="3" t="str">
        <f t="shared" si="264"/>
        <v>COTAÇÃO / PAVIMENTAÇÃO E DRENAGEM</v>
      </c>
    </row>
    <row r="16933" spans="1:6" ht="25.5" x14ac:dyDescent="0.2">
      <c r="A16933" s="26" t="s">
        <v>14985</v>
      </c>
      <c r="B16933" s="27" t="s">
        <v>14986</v>
      </c>
      <c r="C16933" s="26" t="s">
        <v>14987</v>
      </c>
      <c r="D16933" s="28" t="e">
        <v>#VALUE!</v>
      </c>
      <c r="F16933" s="3" t="str">
        <f t="shared" si="264"/>
        <v>Insumo</v>
      </c>
    </row>
    <row r="16934" spans="1:6" ht="22.5" x14ac:dyDescent="0.2">
      <c r="A16934" s="29" t="s">
        <v>37336</v>
      </c>
      <c r="B16934" s="30" t="s">
        <v>7127</v>
      </c>
      <c r="C16934" s="29" t="s">
        <v>255</v>
      </c>
      <c r="D16934" s="31">
        <v>9.7799999999999994</v>
      </c>
      <c r="F16934" s="3" t="str">
        <f t="shared" si="264"/>
        <v>I8570</v>
      </c>
    </row>
    <row r="16935" spans="1:6" ht="22.5" x14ac:dyDescent="0.2">
      <c r="A16935" s="29" t="s">
        <v>37337</v>
      </c>
      <c r="B16935" s="30" t="s">
        <v>7129</v>
      </c>
      <c r="C16935" s="29" t="s">
        <v>255</v>
      </c>
      <c r="D16935" s="31">
        <v>12.2</v>
      </c>
      <c r="F16935" s="3" t="str">
        <f t="shared" si="264"/>
        <v>I8655</v>
      </c>
    </row>
    <row r="16936" spans="1:6" ht="22.5" x14ac:dyDescent="0.2">
      <c r="A16936" s="29" t="s">
        <v>37338</v>
      </c>
      <c r="B16936" s="30" t="s">
        <v>7131</v>
      </c>
      <c r="C16936" s="29" t="s">
        <v>255</v>
      </c>
      <c r="D16936" s="31">
        <v>14.65</v>
      </c>
      <c r="F16936" s="3" t="str">
        <f t="shared" si="264"/>
        <v>I8656</v>
      </c>
    </row>
    <row r="16937" spans="1:6" ht="22.5" x14ac:dyDescent="0.2">
      <c r="A16937" s="29" t="s">
        <v>37339</v>
      </c>
      <c r="B16937" s="30" t="s">
        <v>7133</v>
      </c>
      <c r="C16937" s="29" t="s">
        <v>255</v>
      </c>
      <c r="D16937" s="31">
        <v>19.63</v>
      </c>
      <c r="F16937" s="3" t="str">
        <f t="shared" si="264"/>
        <v>I8657</v>
      </c>
    </row>
    <row r="16938" spans="1:6" ht="22.5" x14ac:dyDescent="0.2">
      <c r="A16938" s="29" t="s">
        <v>37340</v>
      </c>
      <c r="B16938" s="30" t="s">
        <v>7135</v>
      </c>
      <c r="C16938" s="29" t="s">
        <v>255</v>
      </c>
      <c r="D16938" s="31">
        <v>24.58</v>
      </c>
      <c r="F16938" s="3" t="str">
        <f t="shared" si="264"/>
        <v>I8658</v>
      </c>
    </row>
    <row r="16939" spans="1:6" ht="22.5" x14ac:dyDescent="0.2">
      <c r="A16939" s="29" t="s">
        <v>37341</v>
      </c>
      <c r="B16939" s="30" t="s">
        <v>7137</v>
      </c>
      <c r="C16939" s="29" t="s">
        <v>255</v>
      </c>
      <c r="D16939" s="31">
        <v>29.45</v>
      </c>
      <c r="F16939" s="3" t="str">
        <f t="shared" si="264"/>
        <v>I8659</v>
      </c>
    </row>
    <row r="16940" spans="1:6" ht="22.5" x14ac:dyDescent="0.2">
      <c r="A16940" s="29" t="s">
        <v>37342</v>
      </c>
      <c r="B16940" s="30" t="s">
        <v>7121</v>
      </c>
      <c r="C16940" s="29" t="s">
        <v>255</v>
      </c>
      <c r="D16940" s="31">
        <v>6.69</v>
      </c>
      <c r="F16940" s="3" t="str">
        <f t="shared" si="264"/>
        <v>I8652</v>
      </c>
    </row>
    <row r="16941" spans="1:6" ht="22.5" x14ac:dyDescent="0.2">
      <c r="A16941" s="29" t="s">
        <v>37343</v>
      </c>
      <c r="B16941" s="30" t="s">
        <v>7123</v>
      </c>
      <c r="C16941" s="29" t="s">
        <v>255</v>
      </c>
      <c r="D16941" s="31">
        <v>7.56</v>
      </c>
      <c r="F16941" s="3" t="str">
        <f t="shared" si="264"/>
        <v>I8653</v>
      </c>
    </row>
    <row r="16942" spans="1:6" ht="22.5" x14ac:dyDescent="0.2">
      <c r="A16942" s="29" t="s">
        <v>37344</v>
      </c>
      <c r="B16942" s="30" t="s">
        <v>7125</v>
      </c>
      <c r="C16942" s="29" t="s">
        <v>255</v>
      </c>
      <c r="D16942" s="31">
        <v>8.76</v>
      </c>
      <c r="F16942" s="3" t="str">
        <f t="shared" si="264"/>
        <v>I8654</v>
      </c>
    </row>
    <row r="16943" spans="1:6" x14ac:dyDescent="0.2">
      <c r="A16943" s="29" t="s">
        <v>37345</v>
      </c>
      <c r="B16943" s="30" t="s">
        <v>37346</v>
      </c>
      <c r="C16943" s="29" t="s">
        <v>271</v>
      </c>
      <c r="D16943" s="31">
        <v>1347.5</v>
      </c>
      <c r="F16943" s="3" t="str">
        <f t="shared" si="264"/>
        <v>I1601</v>
      </c>
    </row>
    <row r="16944" spans="1:6" x14ac:dyDescent="0.2">
      <c r="A16944" s="29" t="s">
        <v>37347</v>
      </c>
      <c r="B16944" s="30" t="s">
        <v>37348</v>
      </c>
      <c r="C16944" s="29" t="s">
        <v>271</v>
      </c>
      <c r="D16944" s="31">
        <v>1347.5</v>
      </c>
      <c r="F16944" s="3" t="str">
        <f t="shared" si="264"/>
        <v>I1602</v>
      </c>
    </row>
    <row r="16945" spans="1:6" x14ac:dyDescent="0.2">
      <c r="A16945" s="29" t="s">
        <v>37349</v>
      </c>
      <c r="B16945" s="30" t="s">
        <v>37350</v>
      </c>
      <c r="C16945" s="29" t="s">
        <v>0</v>
      </c>
      <c r="D16945" s="31">
        <v>1391.03</v>
      </c>
      <c r="F16945" s="3" t="str">
        <f t="shared" si="264"/>
        <v>I8677</v>
      </c>
    </row>
    <row r="16946" spans="1:6" x14ac:dyDescent="0.2">
      <c r="A16946" s="29" t="s">
        <v>37351</v>
      </c>
      <c r="B16946" s="30" t="s">
        <v>37352</v>
      </c>
      <c r="C16946" s="29" t="s">
        <v>0</v>
      </c>
      <c r="D16946" s="31">
        <v>1757.66</v>
      </c>
      <c r="F16946" s="3" t="str">
        <f t="shared" si="264"/>
        <v>I8678</v>
      </c>
    </row>
    <row r="16947" spans="1:6" x14ac:dyDescent="0.2">
      <c r="A16947" s="29" t="s">
        <v>37353</v>
      </c>
      <c r="B16947" s="30" t="s">
        <v>37354</v>
      </c>
      <c r="C16947" s="29" t="s">
        <v>0</v>
      </c>
      <c r="D16947" s="31">
        <v>168.69</v>
      </c>
      <c r="F16947" s="3" t="str">
        <f t="shared" si="264"/>
        <v>I8672</v>
      </c>
    </row>
    <row r="16948" spans="1:6" x14ac:dyDescent="0.2">
      <c r="A16948" s="29" t="s">
        <v>37355</v>
      </c>
      <c r="B16948" s="30" t="s">
        <v>37356</v>
      </c>
      <c r="C16948" s="29" t="s">
        <v>0</v>
      </c>
      <c r="D16948" s="31">
        <v>212.21</v>
      </c>
      <c r="F16948" s="3" t="str">
        <f t="shared" si="264"/>
        <v>I9473</v>
      </c>
    </row>
    <row r="16949" spans="1:6" x14ac:dyDescent="0.2">
      <c r="A16949" s="29" t="s">
        <v>37357</v>
      </c>
      <c r="B16949" s="30" t="s">
        <v>37358</v>
      </c>
      <c r="C16949" s="29" t="s">
        <v>0</v>
      </c>
      <c r="D16949" s="31">
        <v>285.37</v>
      </c>
      <c r="F16949" s="3" t="str">
        <f t="shared" si="264"/>
        <v>I8673</v>
      </c>
    </row>
    <row r="16950" spans="1:6" x14ac:dyDescent="0.2">
      <c r="A16950" s="29" t="s">
        <v>37359</v>
      </c>
      <c r="B16950" s="30" t="s">
        <v>37360</v>
      </c>
      <c r="C16950" s="29" t="s">
        <v>0</v>
      </c>
      <c r="D16950" s="31">
        <v>507.49</v>
      </c>
      <c r="F16950" s="3" t="str">
        <f t="shared" si="264"/>
        <v>I8674</v>
      </c>
    </row>
    <row r="16951" spans="1:6" x14ac:dyDescent="0.2">
      <c r="A16951" s="29" t="s">
        <v>37361</v>
      </c>
      <c r="B16951" s="30" t="s">
        <v>37362</v>
      </c>
      <c r="C16951" s="29" t="s">
        <v>0</v>
      </c>
      <c r="D16951" s="31">
        <v>769</v>
      </c>
      <c r="F16951" s="3" t="str">
        <f t="shared" si="264"/>
        <v>I8675</v>
      </c>
    </row>
    <row r="16952" spans="1:6" x14ac:dyDescent="0.2">
      <c r="A16952" s="29" t="s">
        <v>37363</v>
      </c>
      <c r="B16952" s="30" t="s">
        <v>37364</v>
      </c>
      <c r="C16952" s="29" t="s">
        <v>0</v>
      </c>
      <c r="D16952" s="31">
        <v>992.74</v>
      </c>
      <c r="F16952" s="3" t="str">
        <f t="shared" si="264"/>
        <v>I8676</v>
      </c>
    </row>
    <row r="16953" spans="1:6" x14ac:dyDescent="0.2">
      <c r="A16953" s="29" t="s">
        <v>37365</v>
      </c>
      <c r="B16953" s="30" t="s">
        <v>37366</v>
      </c>
      <c r="C16953" s="29" t="s">
        <v>0</v>
      </c>
      <c r="D16953" s="31">
        <v>204.41</v>
      </c>
      <c r="F16953" s="3" t="str">
        <f t="shared" si="264"/>
        <v>I6706</v>
      </c>
    </row>
    <row r="16954" spans="1:6" x14ac:dyDescent="0.2">
      <c r="A16954" s="29" t="s">
        <v>37367</v>
      </c>
      <c r="B16954" s="30" t="s">
        <v>37368</v>
      </c>
      <c r="C16954" s="29" t="s">
        <v>0</v>
      </c>
      <c r="D16954" s="31">
        <v>258.66000000000003</v>
      </c>
      <c r="F16954" s="3" t="str">
        <f t="shared" si="264"/>
        <v>I6707</v>
      </c>
    </row>
    <row r="16955" spans="1:6" x14ac:dyDescent="0.2">
      <c r="A16955" s="29" t="s">
        <v>37369</v>
      </c>
      <c r="B16955" s="30" t="s">
        <v>37370</v>
      </c>
      <c r="C16955" s="29" t="s">
        <v>0</v>
      </c>
      <c r="D16955" s="31">
        <v>372.72</v>
      </c>
      <c r="F16955" s="3" t="str">
        <f t="shared" si="264"/>
        <v>I6708</v>
      </c>
    </row>
    <row r="16956" spans="1:6" x14ac:dyDescent="0.2">
      <c r="A16956" s="29" t="s">
        <v>37371</v>
      </c>
      <c r="B16956" s="30" t="s">
        <v>37372</v>
      </c>
      <c r="C16956" s="29" t="s">
        <v>0</v>
      </c>
      <c r="D16956" s="31">
        <v>523.84</v>
      </c>
      <c r="F16956" s="3" t="str">
        <f t="shared" si="264"/>
        <v>I6709</v>
      </c>
    </row>
    <row r="16957" spans="1:6" x14ac:dyDescent="0.2">
      <c r="A16957" s="29" t="s">
        <v>37373</v>
      </c>
      <c r="B16957" s="30" t="s">
        <v>37374</v>
      </c>
      <c r="C16957" s="29" t="s">
        <v>0</v>
      </c>
      <c r="D16957" s="31">
        <v>597.13</v>
      </c>
      <c r="F16957" s="3" t="str">
        <f t="shared" si="264"/>
        <v>I6710</v>
      </c>
    </row>
    <row r="16958" spans="1:6" x14ac:dyDescent="0.2">
      <c r="A16958" s="29" t="s">
        <v>37375</v>
      </c>
      <c r="B16958" s="30" t="s">
        <v>37376</v>
      </c>
      <c r="C16958" s="29" t="s">
        <v>0</v>
      </c>
      <c r="D16958" s="31">
        <v>678.15</v>
      </c>
      <c r="F16958" s="3" t="str">
        <f t="shared" si="264"/>
        <v>I6711</v>
      </c>
    </row>
    <row r="16959" spans="1:6" x14ac:dyDescent="0.2">
      <c r="A16959" s="29" t="s">
        <v>37377</v>
      </c>
      <c r="B16959" s="30" t="s">
        <v>37378</v>
      </c>
      <c r="C16959" s="29" t="s">
        <v>0</v>
      </c>
      <c r="D16959" s="31">
        <v>972.43</v>
      </c>
      <c r="F16959" s="3" t="str">
        <f t="shared" si="264"/>
        <v>I6712</v>
      </c>
    </row>
    <row r="16960" spans="1:6" x14ac:dyDescent="0.2">
      <c r="A16960" s="29" t="s">
        <v>37379</v>
      </c>
      <c r="B16960" s="30" t="s">
        <v>37380</v>
      </c>
      <c r="C16960" s="29" t="s">
        <v>0</v>
      </c>
      <c r="D16960" s="31">
        <v>1182.03</v>
      </c>
      <c r="F16960" s="3" t="str">
        <f t="shared" si="264"/>
        <v>I6713</v>
      </c>
    </row>
    <row r="16961" spans="1:6" ht="15.75" customHeight="1" x14ac:dyDescent="0.2">
      <c r="A16961" s="32" t="s">
        <v>37381</v>
      </c>
      <c r="B16961" s="33"/>
      <c r="C16961" s="32">
        <v>0</v>
      </c>
      <c r="D16961" s="34">
        <v>0</v>
      </c>
      <c r="F16961" s="3" t="str">
        <f t="shared" si="264"/>
        <v>COTAÇÃO / PRODUTOS INDUSTRIALIZADOS</v>
      </c>
    </row>
    <row r="16962" spans="1:6" ht="25.5" x14ac:dyDescent="0.2">
      <c r="A16962" s="26" t="s">
        <v>14985</v>
      </c>
      <c r="B16962" s="27" t="s">
        <v>14986</v>
      </c>
      <c r="C16962" s="26" t="s">
        <v>14987</v>
      </c>
      <c r="D16962" s="28" t="e">
        <v>#VALUE!</v>
      </c>
      <c r="F16962" s="3" t="str">
        <f t="shared" ref="F16962:F17025" si="265">A16962</f>
        <v>Insumo</v>
      </c>
    </row>
    <row r="16963" spans="1:6" x14ac:dyDescent="0.2">
      <c r="A16963" s="29" t="s">
        <v>37382</v>
      </c>
      <c r="B16963" s="30" t="s">
        <v>37383</v>
      </c>
      <c r="C16963" s="29" t="s">
        <v>1284</v>
      </c>
      <c r="D16963" s="31">
        <v>8.73</v>
      </c>
      <c r="F16963" s="3" t="str">
        <f t="shared" si="265"/>
        <v>I6801</v>
      </c>
    </row>
    <row r="16964" spans="1:6" x14ac:dyDescent="0.2">
      <c r="A16964" s="29" t="s">
        <v>37384</v>
      </c>
      <c r="B16964" s="30" t="s">
        <v>37385</v>
      </c>
      <c r="C16964" s="29" t="s">
        <v>1284</v>
      </c>
      <c r="D16964" s="31">
        <v>14.45</v>
      </c>
      <c r="F16964" s="3" t="str">
        <f t="shared" si="265"/>
        <v>I6802</v>
      </c>
    </row>
    <row r="16965" spans="1:6" x14ac:dyDescent="0.2">
      <c r="A16965" s="29" t="s">
        <v>37386</v>
      </c>
      <c r="B16965" s="30" t="s">
        <v>37387</v>
      </c>
      <c r="C16965" s="29" t="s">
        <v>1284</v>
      </c>
      <c r="D16965" s="31">
        <v>1.56</v>
      </c>
      <c r="F16965" s="3" t="str">
        <f t="shared" si="265"/>
        <v>I0113</v>
      </c>
    </row>
    <row r="16966" spans="1:6" x14ac:dyDescent="0.2">
      <c r="A16966" s="29" t="s">
        <v>37388</v>
      </c>
      <c r="B16966" s="30" t="s">
        <v>37389</v>
      </c>
      <c r="C16966" s="29" t="s">
        <v>1284</v>
      </c>
      <c r="D16966" s="31">
        <v>2.42</v>
      </c>
      <c r="F16966" s="3" t="str">
        <f t="shared" si="265"/>
        <v>I6508</v>
      </c>
    </row>
    <row r="16967" spans="1:6" x14ac:dyDescent="0.2">
      <c r="A16967" s="29" t="s">
        <v>37390</v>
      </c>
      <c r="B16967" s="30" t="s">
        <v>37391</v>
      </c>
      <c r="C16967" s="29" t="s">
        <v>1284</v>
      </c>
      <c r="D16967" s="31">
        <v>2.0699999999999998</v>
      </c>
      <c r="F16967" s="3" t="str">
        <f t="shared" si="265"/>
        <v>I0114</v>
      </c>
    </row>
    <row r="16968" spans="1:6" x14ac:dyDescent="0.2">
      <c r="A16968" s="29" t="s">
        <v>37392</v>
      </c>
      <c r="B16968" s="30" t="s">
        <v>37393</v>
      </c>
      <c r="C16968" s="29" t="s">
        <v>1284</v>
      </c>
      <c r="D16968" s="31">
        <v>2.77</v>
      </c>
      <c r="F16968" s="3" t="str">
        <f t="shared" si="265"/>
        <v>I8359</v>
      </c>
    </row>
    <row r="16969" spans="1:6" x14ac:dyDescent="0.2">
      <c r="A16969" s="29" t="s">
        <v>37394</v>
      </c>
      <c r="B16969" s="30" t="s">
        <v>37395</v>
      </c>
      <c r="C16969" s="29" t="s">
        <v>1284</v>
      </c>
      <c r="D16969" s="31">
        <v>5.01</v>
      </c>
      <c r="F16969" s="3" t="str">
        <f t="shared" si="265"/>
        <v>I9059</v>
      </c>
    </row>
    <row r="16970" spans="1:6" ht="22.5" x14ac:dyDescent="0.2">
      <c r="A16970" s="29" t="s">
        <v>37396</v>
      </c>
      <c r="B16970" s="30" t="s">
        <v>37397</v>
      </c>
      <c r="C16970" s="29" t="s">
        <v>1284</v>
      </c>
      <c r="D16970" s="31">
        <v>5.49</v>
      </c>
      <c r="F16970" s="3" t="str">
        <f t="shared" si="265"/>
        <v>I9058</v>
      </c>
    </row>
    <row r="16971" spans="1:6" x14ac:dyDescent="0.2">
      <c r="A16971" s="29" t="s">
        <v>37398</v>
      </c>
      <c r="B16971" s="30" t="s">
        <v>37399</v>
      </c>
      <c r="C16971" s="29" t="s">
        <v>1284</v>
      </c>
      <c r="D16971" s="31">
        <v>3.33</v>
      </c>
      <c r="F16971" s="3" t="str">
        <f t="shared" si="265"/>
        <v>I0119</v>
      </c>
    </row>
    <row r="16972" spans="1:6" x14ac:dyDescent="0.2">
      <c r="A16972" s="29" t="s">
        <v>37400</v>
      </c>
      <c r="B16972" s="30" t="s">
        <v>37401</v>
      </c>
      <c r="C16972" s="29" t="s">
        <v>1284</v>
      </c>
      <c r="D16972" s="31">
        <v>1.22</v>
      </c>
      <c r="F16972" s="3" t="str">
        <f t="shared" si="265"/>
        <v>I0117</v>
      </c>
    </row>
    <row r="16973" spans="1:6" x14ac:dyDescent="0.2">
      <c r="A16973" s="29" t="s">
        <v>37402</v>
      </c>
      <c r="B16973" s="30" t="s">
        <v>37403</v>
      </c>
      <c r="C16973" s="29" t="s">
        <v>1284</v>
      </c>
      <c r="D16973" s="31">
        <v>6.57</v>
      </c>
      <c r="F16973" s="3" t="str">
        <f t="shared" si="265"/>
        <v>I0118</v>
      </c>
    </row>
    <row r="16974" spans="1:6" x14ac:dyDescent="0.2">
      <c r="A16974" s="29" t="s">
        <v>37404</v>
      </c>
      <c r="B16974" s="30" t="s">
        <v>37405</v>
      </c>
      <c r="C16974" s="29" t="s">
        <v>1284</v>
      </c>
      <c r="D16974" s="31">
        <v>76.900000000000006</v>
      </c>
      <c r="F16974" s="3" t="str">
        <f t="shared" si="265"/>
        <v>I8287</v>
      </c>
    </row>
    <row r="16975" spans="1:6" x14ac:dyDescent="0.2">
      <c r="A16975" s="29" t="s">
        <v>37406</v>
      </c>
      <c r="B16975" s="30" t="s">
        <v>37407</v>
      </c>
      <c r="C16975" s="29" t="s">
        <v>1284</v>
      </c>
      <c r="D16975" s="31">
        <v>1.1200000000000001</v>
      </c>
      <c r="F16975" s="3" t="str">
        <f t="shared" si="265"/>
        <v>I0800</v>
      </c>
    </row>
    <row r="16976" spans="1:6" x14ac:dyDescent="0.2">
      <c r="A16976" s="29" t="s">
        <v>37408</v>
      </c>
      <c r="B16976" s="30" t="s">
        <v>37409</v>
      </c>
      <c r="C16976" s="29" t="s">
        <v>1284</v>
      </c>
      <c r="D16976" s="31">
        <v>17.940000000000001</v>
      </c>
      <c r="F16976" s="3" t="str">
        <f t="shared" si="265"/>
        <v>I0814</v>
      </c>
    </row>
    <row r="16977" spans="1:6" x14ac:dyDescent="0.2">
      <c r="A16977" s="29" t="s">
        <v>37410</v>
      </c>
      <c r="B16977" s="30" t="s">
        <v>37411</v>
      </c>
      <c r="C16977" s="29" t="s">
        <v>1284</v>
      </c>
      <c r="D16977" s="31">
        <v>25.53</v>
      </c>
      <c r="F16977" s="3" t="str">
        <f t="shared" si="265"/>
        <v>I0815</v>
      </c>
    </row>
    <row r="16978" spans="1:6" x14ac:dyDescent="0.2">
      <c r="A16978" s="29" t="s">
        <v>37412</v>
      </c>
      <c r="B16978" s="30" t="s">
        <v>37413</v>
      </c>
      <c r="C16978" s="29" t="s">
        <v>26</v>
      </c>
      <c r="D16978" s="31">
        <v>504</v>
      </c>
      <c r="F16978" s="3" t="str">
        <f t="shared" si="265"/>
        <v>I8200</v>
      </c>
    </row>
    <row r="16979" spans="1:6" x14ac:dyDescent="0.2">
      <c r="A16979" s="29" t="s">
        <v>37414</v>
      </c>
      <c r="B16979" s="30" t="s">
        <v>37415</v>
      </c>
      <c r="C16979" s="29" t="s">
        <v>1284</v>
      </c>
      <c r="D16979" s="31">
        <v>80.38</v>
      </c>
      <c r="F16979" s="3" t="str">
        <f t="shared" si="265"/>
        <v>I9056</v>
      </c>
    </row>
    <row r="16980" spans="1:6" x14ac:dyDescent="0.2">
      <c r="A16980" s="29" t="s">
        <v>37416</v>
      </c>
      <c r="B16980" s="30" t="s">
        <v>37417</v>
      </c>
      <c r="C16980" s="29" t="s">
        <v>1284</v>
      </c>
      <c r="D16980" s="31">
        <v>4.04</v>
      </c>
      <c r="F16980" s="3" t="str">
        <f t="shared" si="265"/>
        <v>I9057</v>
      </c>
    </row>
    <row r="16981" spans="1:6" x14ac:dyDescent="0.2">
      <c r="A16981" s="29" t="s">
        <v>37418</v>
      </c>
      <c r="B16981" s="30" t="s">
        <v>37419</v>
      </c>
      <c r="C16981" s="29" t="s">
        <v>1284</v>
      </c>
      <c r="D16981" s="31">
        <v>7.04</v>
      </c>
      <c r="F16981" s="3" t="str">
        <f t="shared" si="265"/>
        <v>I9055</v>
      </c>
    </row>
    <row r="16982" spans="1:6" x14ac:dyDescent="0.2">
      <c r="A16982" s="29" t="s">
        <v>37420</v>
      </c>
      <c r="B16982" s="30" t="s">
        <v>37421</v>
      </c>
      <c r="C16982" s="29" t="s">
        <v>1284</v>
      </c>
      <c r="D16982" s="31">
        <v>6.57</v>
      </c>
      <c r="F16982" s="3" t="str">
        <f t="shared" si="265"/>
        <v>I7890</v>
      </c>
    </row>
    <row r="16983" spans="1:6" x14ac:dyDescent="0.2">
      <c r="A16983" s="29" t="s">
        <v>37422</v>
      </c>
      <c r="B16983" s="30" t="s">
        <v>37423</v>
      </c>
      <c r="C16983" s="29" t="s">
        <v>9</v>
      </c>
      <c r="D16983" s="31">
        <v>60.79</v>
      </c>
      <c r="F16983" s="3" t="str">
        <f t="shared" si="265"/>
        <v>I1886</v>
      </c>
    </row>
    <row r="16984" spans="1:6" x14ac:dyDescent="0.2">
      <c r="A16984" s="29" t="s">
        <v>37424</v>
      </c>
      <c r="B16984" s="30" t="s">
        <v>37425</v>
      </c>
      <c r="C16984" s="29" t="s">
        <v>9</v>
      </c>
      <c r="D16984" s="31">
        <v>45.72</v>
      </c>
      <c r="F16984" s="3" t="str">
        <f t="shared" si="265"/>
        <v>I1889</v>
      </c>
    </row>
    <row r="16985" spans="1:6" x14ac:dyDescent="0.2">
      <c r="A16985" s="29" t="s">
        <v>37426</v>
      </c>
      <c r="B16985" s="30" t="s">
        <v>37427</v>
      </c>
      <c r="C16985" s="29" t="s">
        <v>1284</v>
      </c>
      <c r="D16985" s="31">
        <v>4.3099999999999996</v>
      </c>
      <c r="F16985" s="3" t="str">
        <f t="shared" si="265"/>
        <v>I2428</v>
      </c>
    </row>
    <row r="16986" spans="1:6" x14ac:dyDescent="0.2">
      <c r="A16986" s="29" t="s">
        <v>37428</v>
      </c>
      <c r="B16986" s="30" t="s">
        <v>37429</v>
      </c>
      <c r="C16986" s="29" t="s">
        <v>1284</v>
      </c>
      <c r="D16986" s="31">
        <v>3.55</v>
      </c>
      <c r="F16986" s="3" t="str">
        <f t="shared" si="265"/>
        <v>I6803</v>
      </c>
    </row>
    <row r="16987" spans="1:6" x14ac:dyDescent="0.2">
      <c r="A16987" s="29" t="s">
        <v>37430</v>
      </c>
      <c r="B16987" s="30" t="s">
        <v>37431</v>
      </c>
      <c r="C16987" s="29" t="s">
        <v>26</v>
      </c>
      <c r="D16987" s="31">
        <v>496.18</v>
      </c>
      <c r="F16987" s="3" t="str">
        <f t="shared" si="265"/>
        <v>I2431</v>
      </c>
    </row>
    <row r="16988" spans="1:6" ht="15.75" customHeight="1" x14ac:dyDescent="0.2">
      <c r="A16988" s="32" t="s">
        <v>37432</v>
      </c>
      <c r="B16988" s="33"/>
      <c r="C16988" s="32">
        <v>0</v>
      </c>
      <c r="D16988" s="34">
        <v>0</v>
      </c>
      <c r="F16988" s="3" t="str">
        <f t="shared" si="265"/>
        <v>COTAÇÃO / PRODUTOS MANUFATURADOS</v>
      </c>
    </row>
    <row r="16989" spans="1:6" ht="25.5" x14ac:dyDescent="0.2">
      <c r="A16989" s="26" t="s">
        <v>14985</v>
      </c>
      <c r="B16989" s="27" t="s">
        <v>14986</v>
      </c>
      <c r="C16989" s="26" t="s">
        <v>14987</v>
      </c>
      <c r="D16989" s="28" t="e">
        <v>#VALUE!</v>
      </c>
      <c r="F16989" s="3" t="str">
        <f t="shared" si="265"/>
        <v>Insumo</v>
      </c>
    </row>
    <row r="16990" spans="1:6" x14ac:dyDescent="0.2">
      <c r="A16990" s="29" t="s">
        <v>37433</v>
      </c>
      <c r="B16990" s="30" t="s">
        <v>37434</v>
      </c>
      <c r="C16990" s="29" t="s">
        <v>255</v>
      </c>
      <c r="D16990" s="31">
        <v>92.46</v>
      </c>
      <c r="F16990" s="3" t="str">
        <f t="shared" si="265"/>
        <v>I0818</v>
      </c>
    </row>
    <row r="16991" spans="1:6" x14ac:dyDescent="0.2">
      <c r="A16991" s="29" t="s">
        <v>37435</v>
      </c>
      <c r="B16991" s="30" t="s">
        <v>37436</v>
      </c>
      <c r="C16991" s="29" t="s">
        <v>255</v>
      </c>
      <c r="D16991" s="31">
        <v>100.04</v>
      </c>
      <c r="F16991" s="3" t="str">
        <f t="shared" si="265"/>
        <v>I0819</v>
      </c>
    </row>
    <row r="16992" spans="1:6" x14ac:dyDescent="0.2">
      <c r="A16992" s="29" t="s">
        <v>37437</v>
      </c>
      <c r="B16992" s="30" t="s">
        <v>37438</v>
      </c>
      <c r="C16992" s="29" t="s">
        <v>255</v>
      </c>
      <c r="D16992" s="31">
        <v>109.73</v>
      </c>
      <c r="F16992" s="3" t="str">
        <f t="shared" si="265"/>
        <v>I0820</v>
      </c>
    </row>
    <row r="16993" spans="1:6" x14ac:dyDescent="0.2">
      <c r="A16993" s="29" t="s">
        <v>37439</v>
      </c>
      <c r="B16993" s="30" t="s">
        <v>37440</v>
      </c>
      <c r="C16993" s="29" t="s">
        <v>271</v>
      </c>
      <c r="D16993" s="31">
        <v>350.93</v>
      </c>
      <c r="F16993" s="3" t="str">
        <f t="shared" si="265"/>
        <v>I2346</v>
      </c>
    </row>
    <row r="16994" spans="1:6" x14ac:dyDescent="0.2">
      <c r="A16994" s="29" t="s">
        <v>37441</v>
      </c>
      <c r="B16994" s="30" t="s">
        <v>37442</v>
      </c>
      <c r="C16994" s="29" t="s">
        <v>271</v>
      </c>
      <c r="D16994" s="31">
        <v>341.61</v>
      </c>
      <c r="F16994" s="3" t="str">
        <f t="shared" si="265"/>
        <v>I2347</v>
      </c>
    </row>
    <row r="16995" spans="1:6" x14ac:dyDescent="0.2">
      <c r="A16995" s="29" t="s">
        <v>37443</v>
      </c>
      <c r="B16995" s="30" t="s">
        <v>37444</v>
      </c>
      <c r="C16995" s="29" t="s">
        <v>255</v>
      </c>
      <c r="D16995" s="31">
        <v>168.9</v>
      </c>
      <c r="F16995" s="3" t="str">
        <f t="shared" si="265"/>
        <v>I1211</v>
      </c>
    </row>
    <row r="16996" spans="1:6" x14ac:dyDescent="0.2">
      <c r="A16996" s="29" t="s">
        <v>37445</v>
      </c>
      <c r="B16996" s="30" t="s">
        <v>37446</v>
      </c>
      <c r="C16996" s="29" t="s">
        <v>271</v>
      </c>
      <c r="D16996" s="31">
        <v>430.8</v>
      </c>
      <c r="F16996" s="3" t="str">
        <f t="shared" si="265"/>
        <v>I1213</v>
      </c>
    </row>
    <row r="16997" spans="1:6" x14ac:dyDescent="0.2">
      <c r="A16997" s="29" t="s">
        <v>37447</v>
      </c>
      <c r="B16997" s="30" t="s">
        <v>37448</v>
      </c>
      <c r="C16997" s="29" t="s">
        <v>271</v>
      </c>
      <c r="D16997" s="31">
        <v>331.4</v>
      </c>
      <c r="F16997" s="3" t="str">
        <f t="shared" si="265"/>
        <v>I9054</v>
      </c>
    </row>
    <row r="16998" spans="1:6" x14ac:dyDescent="0.2">
      <c r="A16998" s="29" t="s">
        <v>37449</v>
      </c>
      <c r="B16998" s="30" t="s">
        <v>37450</v>
      </c>
      <c r="C16998" s="29" t="s">
        <v>26</v>
      </c>
      <c r="D16998" s="31">
        <v>281.95</v>
      </c>
      <c r="F16998" s="3" t="str">
        <f t="shared" si="265"/>
        <v>I0974</v>
      </c>
    </row>
    <row r="16999" spans="1:6" x14ac:dyDescent="0.2">
      <c r="A16999" s="29" t="s">
        <v>37451</v>
      </c>
      <c r="B16999" s="30" t="s">
        <v>37452</v>
      </c>
      <c r="C16999" s="29" t="s">
        <v>0</v>
      </c>
      <c r="D16999" s="31">
        <v>11.61</v>
      </c>
      <c r="F16999" s="3" t="str">
        <f t="shared" si="265"/>
        <v>I2520</v>
      </c>
    </row>
    <row r="17000" spans="1:6" x14ac:dyDescent="0.2">
      <c r="A17000" s="29" t="s">
        <v>37453</v>
      </c>
      <c r="B17000" s="30" t="s">
        <v>37454</v>
      </c>
      <c r="C17000" s="29" t="s">
        <v>26</v>
      </c>
      <c r="D17000" s="31">
        <v>0.98</v>
      </c>
      <c r="F17000" s="3" t="str">
        <f t="shared" si="265"/>
        <v>I2527</v>
      </c>
    </row>
    <row r="17001" spans="1:6" x14ac:dyDescent="0.2">
      <c r="A17001" s="29" t="s">
        <v>37455</v>
      </c>
      <c r="B17001" s="30" t="s">
        <v>37456</v>
      </c>
      <c r="C17001" s="29" t="s">
        <v>255</v>
      </c>
      <c r="D17001" s="31">
        <v>90</v>
      </c>
      <c r="F17001" s="3" t="str">
        <f t="shared" si="265"/>
        <v>I2105</v>
      </c>
    </row>
    <row r="17002" spans="1:6" ht="15.75" customHeight="1" x14ac:dyDescent="0.2">
      <c r="A17002" s="32" t="s">
        <v>37457</v>
      </c>
      <c r="B17002" s="33"/>
      <c r="C17002" s="32">
        <v>0</v>
      </c>
      <c r="D17002" s="34">
        <v>0</v>
      </c>
      <c r="F17002" s="3" t="str">
        <f t="shared" si="265"/>
        <v>COTAÇÃO / PRODUTOS METALICOS</v>
      </c>
    </row>
    <row r="17003" spans="1:6" ht="25.5" x14ac:dyDescent="0.2">
      <c r="A17003" s="26" t="s">
        <v>14985</v>
      </c>
      <c r="B17003" s="27" t="s">
        <v>14986</v>
      </c>
      <c r="C17003" s="26" t="s">
        <v>14987</v>
      </c>
      <c r="D17003" s="28" t="e">
        <v>#VALUE!</v>
      </c>
      <c r="F17003" s="3" t="str">
        <f t="shared" si="265"/>
        <v>Insumo</v>
      </c>
    </row>
    <row r="17004" spans="1:6" x14ac:dyDescent="0.2">
      <c r="A17004" s="29" t="s">
        <v>37458</v>
      </c>
      <c r="B17004" s="30" t="s">
        <v>37459</v>
      </c>
      <c r="C17004" s="29" t="s">
        <v>1284</v>
      </c>
      <c r="D17004" s="31">
        <v>32.630000000000003</v>
      </c>
      <c r="F17004" s="3" t="str">
        <f t="shared" si="265"/>
        <v>I0050</v>
      </c>
    </row>
    <row r="17005" spans="1:6" x14ac:dyDescent="0.2">
      <c r="A17005" s="29" t="s">
        <v>37460</v>
      </c>
      <c r="B17005" s="30" t="s">
        <v>37461</v>
      </c>
      <c r="C17005" s="29" t="s">
        <v>0</v>
      </c>
      <c r="D17005" s="31">
        <v>17.11</v>
      </c>
      <c r="F17005" s="3" t="str">
        <f t="shared" si="265"/>
        <v>I0464</v>
      </c>
    </row>
    <row r="17006" spans="1:6" x14ac:dyDescent="0.2">
      <c r="A17006" s="29" t="s">
        <v>37462</v>
      </c>
      <c r="B17006" s="30" t="s">
        <v>37463</v>
      </c>
      <c r="C17006" s="29" t="s">
        <v>0</v>
      </c>
      <c r="D17006" s="31">
        <v>3.16</v>
      </c>
      <c r="F17006" s="3" t="str">
        <f t="shared" si="265"/>
        <v>I0465</v>
      </c>
    </row>
    <row r="17007" spans="1:6" x14ac:dyDescent="0.2">
      <c r="A17007" s="29" t="s">
        <v>37464</v>
      </c>
      <c r="B17007" s="30" t="s">
        <v>37465</v>
      </c>
      <c r="C17007" s="29" t="s">
        <v>0</v>
      </c>
      <c r="D17007" s="31">
        <v>96.35</v>
      </c>
      <c r="F17007" s="3" t="str">
        <f t="shared" si="265"/>
        <v>I0522</v>
      </c>
    </row>
    <row r="17008" spans="1:6" x14ac:dyDescent="0.2">
      <c r="A17008" s="29" t="s">
        <v>37466</v>
      </c>
      <c r="B17008" s="30" t="s">
        <v>37467</v>
      </c>
      <c r="C17008" s="29" t="s">
        <v>0</v>
      </c>
      <c r="D17008" s="31">
        <v>121.43</v>
      </c>
      <c r="F17008" s="3" t="str">
        <f t="shared" si="265"/>
        <v>I0523</v>
      </c>
    </row>
    <row r="17009" spans="1:6" x14ac:dyDescent="0.2">
      <c r="A17009" s="29" t="s">
        <v>37468</v>
      </c>
      <c r="B17009" s="30" t="s">
        <v>37469</v>
      </c>
      <c r="C17009" s="29" t="s">
        <v>26</v>
      </c>
      <c r="D17009" s="31">
        <v>378</v>
      </c>
      <c r="F17009" s="3" t="str">
        <f t="shared" si="265"/>
        <v>I0530</v>
      </c>
    </row>
    <row r="17010" spans="1:6" x14ac:dyDescent="0.2">
      <c r="A17010" s="29" t="s">
        <v>37470</v>
      </c>
      <c r="B17010" s="30" t="s">
        <v>37471</v>
      </c>
      <c r="C17010" s="29" t="s">
        <v>1284</v>
      </c>
      <c r="D17010" s="31">
        <v>35</v>
      </c>
      <c r="F17010" s="3" t="str">
        <f t="shared" si="265"/>
        <v>I9375</v>
      </c>
    </row>
    <row r="17011" spans="1:6" x14ac:dyDescent="0.2">
      <c r="A17011" s="29" t="s">
        <v>37472</v>
      </c>
      <c r="B17011" s="30" t="s">
        <v>37473</v>
      </c>
      <c r="C17011" s="29" t="s">
        <v>255</v>
      </c>
      <c r="D17011" s="31">
        <v>294.86</v>
      </c>
      <c r="F17011" s="3" t="str">
        <f t="shared" si="265"/>
        <v>I8618</v>
      </c>
    </row>
    <row r="17012" spans="1:6" x14ac:dyDescent="0.2">
      <c r="A17012" s="29" t="s">
        <v>37474</v>
      </c>
      <c r="B17012" s="30" t="s">
        <v>37475</v>
      </c>
      <c r="C17012" s="29" t="s">
        <v>255</v>
      </c>
      <c r="D17012" s="31">
        <v>294.86</v>
      </c>
      <c r="F17012" s="3" t="str">
        <f t="shared" si="265"/>
        <v>I7546</v>
      </c>
    </row>
    <row r="17013" spans="1:6" x14ac:dyDescent="0.2">
      <c r="A17013" s="29" t="s">
        <v>37476</v>
      </c>
      <c r="B17013" s="30" t="s">
        <v>37477</v>
      </c>
      <c r="C17013" s="29" t="s">
        <v>255</v>
      </c>
      <c r="D17013" s="31">
        <v>147.41999999999999</v>
      </c>
      <c r="F17013" s="3" t="str">
        <f t="shared" si="265"/>
        <v>I8624</v>
      </c>
    </row>
    <row r="17014" spans="1:6" x14ac:dyDescent="0.2">
      <c r="A17014" s="29" t="s">
        <v>37478</v>
      </c>
      <c r="B17014" s="30" t="s">
        <v>37479</v>
      </c>
      <c r="C17014" s="29" t="s">
        <v>1284</v>
      </c>
      <c r="D17014" s="31">
        <v>9.43</v>
      </c>
      <c r="F17014" s="3" t="str">
        <f t="shared" si="265"/>
        <v>I0824</v>
      </c>
    </row>
    <row r="17015" spans="1:6" x14ac:dyDescent="0.2">
      <c r="A17015" s="29" t="s">
        <v>37480</v>
      </c>
      <c r="B17015" s="30" t="s">
        <v>37481</v>
      </c>
      <c r="C17015" s="29" t="s">
        <v>1284</v>
      </c>
      <c r="D17015" s="31">
        <v>13.32</v>
      </c>
      <c r="F17015" s="3" t="str">
        <f t="shared" si="265"/>
        <v>I6202</v>
      </c>
    </row>
    <row r="17016" spans="1:6" ht="22.5" x14ac:dyDescent="0.2">
      <c r="A17016" s="29" t="s">
        <v>37482</v>
      </c>
      <c r="B17016" s="30" t="s">
        <v>37483</v>
      </c>
      <c r="C17016" s="29" t="s">
        <v>26</v>
      </c>
      <c r="D17016" s="31">
        <v>66.34</v>
      </c>
      <c r="F17016" s="3" t="str">
        <f t="shared" si="265"/>
        <v>I6021</v>
      </c>
    </row>
    <row r="17017" spans="1:6" ht="22.5" x14ac:dyDescent="0.2">
      <c r="A17017" s="29" t="s">
        <v>37484</v>
      </c>
      <c r="B17017" s="30" t="s">
        <v>37485</v>
      </c>
      <c r="C17017" s="29" t="s">
        <v>26</v>
      </c>
      <c r="D17017" s="31">
        <v>85.3</v>
      </c>
      <c r="F17017" s="3" t="str">
        <f t="shared" si="265"/>
        <v>I6022</v>
      </c>
    </row>
    <row r="17018" spans="1:6" x14ac:dyDescent="0.2">
      <c r="A17018" s="29" t="s">
        <v>37486</v>
      </c>
      <c r="B17018" s="30" t="s">
        <v>37487</v>
      </c>
      <c r="C17018" s="29" t="s">
        <v>0</v>
      </c>
      <c r="D17018" s="31">
        <v>1.78</v>
      </c>
      <c r="F17018" s="3" t="str">
        <f t="shared" si="265"/>
        <v>I1614</v>
      </c>
    </row>
    <row r="17019" spans="1:6" x14ac:dyDescent="0.2">
      <c r="A17019" s="29" t="s">
        <v>37488</v>
      </c>
      <c r="B17019" s="30" t="s">
        <v>37489</v>
      </c>
      <c r="C17019" s="29" t="s">
        <v>0</v>
      </c>
      <c r="D17019" s="31">
        <v>8.7799999999999994</v>
      </c>
      <c r="F17019" s="3" t="str">
        <f t="shared" si="265"/>
        <v>I8247</v>
      </c>
    </row>
    <row r="17020" spans="1:6" x14ac:dyDescent="0.2">
      <c r="A17020" s="29" t="s">
        <v>37490</v>
      </c>
      <c r="B17020" s="30" t="s">
        <v>37491</v>
      </c>
      <c r="C17020" s="29" t="s">
        <v>1284</v>
      </c>
      <c r="D17020" s="31">
        <v>10.41</v>
      </c>
      <c r="F17020" s="3" t="str">
        <f t="shared" si="265"/>
        <v>I1135</v>
      </c>
    </row>
    <row r="17021" spans="1:6" x14ac:dyDescent="0.2">
      <c r="A17021" s="29" t="s">
        <v>37492</v>
      </c>
      <c r="B17021" s="30" t="s">
        <v>37493</v>
      </c>
      <c r="C17021" s="29" t="s">
        <v>1284</v>
      </c>
      <c r="D17021" s="31">
        <v>38.68</v>
      </c>
      <c r="F17021" s="3" t="str">
        <f t="shared" si="265"/>
        <v>I1623</v>
      </c>
    </row>
    <row r="17022" spans="1:6" x14ac:dyDescent="0.2">
      <c r="A17022" s="29" t="s">
        <v>37494</v>
      </c>
      <c r="B17022" s="30" t="s">
        <v>37495</v>
      </c>
      <c r="C17022" s="29" t="s">
        <v>0</v>
      </c>
      <c r="D17022" s="31">
        <v>7.86</v>
      </c>
      <c r="F17022" s="3" t="str">
        <f t="shared" si="265"/>
        <v>I1624</v>
      </c>
    </row>
    <row r="17023" spans="1:6" x14ac:dyDescent="0.2">
      <c r="A17023" s="29" t="s">
        <v>37496</v>
      </c>
      <c r="B17023" s="30" t="s">
        <v>37497</v>
      </c>
      <c r="C17023" s="29" t="s">
        <v>0</v>
      </c>
      <c r="D17023" s="31">
        <v>31.13</v>
      </c>
      <c r="F17023" s="3" t="str">
        <f t="shared" si="265"/>
        <v>I6809</v>
      </c>
    </row>
    <row r="17024" spans="1:6" x14ac:dyDescent="0.2">
      <c r="A17024" s="29" t="s">
        <v>37498</v>
      </c>
      <c r="B17024" s="30" t="s">
        <v>37499</v>
      </c>
      <c r="C17024" s="29" t="s">
        <v>255</v>
      </c>
      <c r="D17024" s="31">
        <v>42.05</v>
      </c>
      <c r="F17024" s="3" t="str">
        <f t="shared" si="265"/>
        <v>I2035</v>
      </c>
    </row>
    <row r="17025" spans="1:6" x14ac:dyDescent="0.2">
      <c r="A17025" s="29" t="s">
        <v>37500</v>
      </c>
      <c r="B17025" s="30" t="s">
        <v>37501</v>
      </c>
      <c r="C17025" s="29" t="s">
        <v>255</v>
      </c>
      <c r="D17025" s="31">
        <v>28.61</v>
      </c>
      <c r="F17025" s="3" t="str">
        <f t="shared" si="265"/>
        <v>I2036</v>
      </c>
    </row>
    <row r="17026" spans="1:6" x14ac:dyDescent="0.2">
      <c r="A17026" s="29" t="s">
        <v>37502</v>
      </c>
      <c r="B17026" s="30" t="s">
        <v>37503</v>
      </c>
      <c r="C17026" s="29" t="s">
        <v>1284</v>
      </c>
      <c r="D17026" s="31">
        <v>8.25</v>
      </c>
      <c r="F17026" s="3" t="str">
        <f t="shared" ref="F17026:F17089" si="266">A17026</f>
        <v>I8252</v>
      </c>
    </row>
    <row r="17027" spans="1:6" x14ac:dyDescent="0.2">
      <c r="A17027" s="29" t="s">
        <v>37504</v>
      </c>
      <c r="B17027" s="30" t="s">
        <v>37505</v>
      </c>
      <c r="C17027" s="29" t="s">
        <v>1284</v>
      </c>
      <c r="D17027" s="31">
        <v>7.68</v>
      </c>
      <c r="F17027" s="3" t="str">
        <f t="shared" si="266"/>
        <v>I8253</v>
      </c>
    </row>
    <row r="17028" spans="1:6" x14ac:dyDescent="0.2">
      <c r="A17028" s="29" t="s">
        <v>37506</v>
      </c>
      <c r="B17028" s="30" t="s">
        <v>37507</v>
      </c>
      <c r="C17028" s="29" t="s">
        <v>255</v>
      </c>
      <c r="D17028" s="31">
        <v>15.9</v>
      </c>
      <c r="F17028" s="3" t="str">
        <f t="shared" si="266"/>
        <v>I2039</v>
      </c>
    </row>
    <row r="17029" spans="1:6" x14ac:dyDescent="0.2">
      <c r="A17029" s="29" t="s">
        <v>37508</v>
      </c>
      <c r="B17029" s="30" t="s">
        <v>37509</v>
      </c>
      <c r="C17029" s="29" t="s">
        <v>255</v>
      </c>
      <c r="D17029" s="31">
        <v>43.33</v>
      </c>
      <c r="F17029" s="3" t="str">
        <f t="shared" si="266"/>
        <v>I6810</v>
      </c>
    </row>
    <row r="17030" spans="1:6" x14ac:dyDescent="0.2">
      <c r="A17030" s="29" t="s">
        <v>37510</v>
      </c>
      <c r="B17030" s="30" t="s">
        <v>37511</v>
      </c>
      <c r="C17030" s="29" t="s">
        <v>26</v>
      </c>
      <c r="D17030" s="31">
        <v>2760.21</v>
      </c>
      <c r="F17030" s="3" t="str">
        <f t="shared" si="266"/>
        <v>I2579</v>
      </c>
    </row>
    <row r="17031" spans="1:6" x14ac:dyDescent="0.2">
      <c r="A17031" s="29" t="s">
        <v>37512</v>
      </c>
      <c r="B17031" s="30" t="s">
        <v>37513</v>
      </c>
      <c r="C17031" s="29" t="s">
        <v>37514</v>
      </c>
      <c r="D17031" s="31">
        <v>15224.27</v>
      </c>
      <c r="F17031" s="3" t="str">
        <f t="shared" si="266"/>
        <v>I7953</v>
      </c>
    </row>
    <row r="17032" spans="1:6" ht="15.75" customHeight="1" x14ac:dyDescent="0.2">
      <c r="A17032" s="32" t="s">
        <v>37515</v>
      </c>
      <c r="B17032" s="33"/>
      <c r="C17032" s="32">
        <v>0</v>
      </c>
      <c r="D17032" s="34">
        <v>0</v>
      </c>
      <c r="F17032" s="3" t="str">
        <f t="shared" si="266"/>
        <v>COTAÇÃO / RECICLADOS</v>
      </c>
    </row>
    <row r="17033" spans="1:6" ht="25.5" x14ac:dyDescent="0.2">
      <c r="A17033" s="26" t="s">
        <v>14985</v>
      </c>
      <c r="B17033" s="27" t="s">
        <v>14986</v>
      </c>
      <c r="C17033" s="26" t="s">
        <v>14987</v>
      </c>
      <c r="D17033" s="28" t="e">
        <v>#VALUE!</v>
      </c>
      <c r="F17033" s="3" t="str">
        <f t="shared" si="266"/>
        <v>Insumo</v>
      </c>
    </row>
    <row r="17034" spans="1:6" x14ac:dyDescent="0.2">
      <c r="A17034" s="29" t="s">
        <v>37516</v>
      </c>
      <c r="B17034" s="30" t="s">
        <v>37517</v>
      </c>
      <c r="C17034" s="29" t="s">
        <v>271</v>
      </c>
      <c r="D17034" s="31">
        <v>58.79</v>
      </c>
      <c r="F17034" s="3" t="str">
        <f t="shared" si="266"/>
        <v>R0003</v>
      </c>
    </row>
    <row r="17035" spans="1:6" x14ac:dyDescent="0.2">
      <c r="A17035" s="29" t="s">
        <v>37518</v>
      </c>
      <c r="B17035" s="30" t="s">
        <v>37519</v>
      </c>
      <c r="C17035" s="29" t="s">
        <v>271</v>
      </c>
      <c r="D17035" s="31">
        <v>35.58</v>
      </c>
      <c r="F17035" s="3" t="str">
        <f t="shared" si="266"/>
        <v>R0005</v>
      </c>
    </row>
    <row r="17036" spans="1:6" x14ac:dyDescent="0.2">
      <c r="A17036" s="29" t="s">
        <v>37520</v>
      </c>
      <c r="B17036" s="30" t="s">
        <v>37521</v>
      </c>
      <c r="C17036" s="29" t="s">
        <v>271</v>
      </c>
      <c r="D17036" s="31">
        <v>40.49</v>
      </c>
      <c r="F17036" s="3" t="str">
        <f t="shared" si="266"/>
        <v>R0002</v>
      </c>
    </row>
    <row r="17037" spans="1:6" x14ac:dyDescent="0.2">
      <c r="A17037" s="29" t="s">
        <v>37522</v>
      </c>
      <c r="B17037" s="30" t="s">
        <v>37523</v>
      </c>
      <c r="C17037" s="29" t="s">
        <v>271</v>
      </c>
      <c r="D17037" s="31">
        <v>29.39</v>
      </c>
      <c r="F17037" s="3" t="str">
        <f t="shared" si="266"/>
        <v>R0001</v>
      </c>
    </row>
    <row r="17038" spans="1:6" x14ac:dyDescent="0.2">
      <c r="A17038" s="29" t="s">
        <v>37524</v>
      </c>
      <c r="B17038" s="30" t="s">
        <v>37525</v>
      </c>
      <c r="C17038" s="29" t="s">
        <v>271</v>
      </c>
      <c r="D17038" s="31">
        <v>41.77</v>
      </c>
      <c r="F17038" s="3" t="str">
        <f t="shared" si="266"/>
        <v>R0008</v>
      </c>
    </row>
    <row r="17039" spans="1:6" x14ac:dyDescent="0.2">
      <c r="A17039" s="29" t="s">
        <v>37526</v>
      </c>
      <c r="B17039" s="30" t="s">
        <v>37527</v>
      </c>
      <c r="C17039" s="29" t="s">
        <v>271</v>
      </c>
      <c r="D17039" s="31">
        <v>47.97</v>
      </c>
      <c r="F17039" s="3" t="str">
        <f t="shared" si="266"/>
        <v>R0007</v>
      </c>
    </row>
    <row r="17040" spans="1:6" x14ac:dyDescent="0.2">
      <c r="A17040" s="29" t="s">
        <v>37528</v>
      </c>
      <c r="B17040" s="30" t="s">
        <v>37529</v>
      </c>
      <c r="C17040" s="29" t="s">
        <v>271</v>
      </c>
      <c r="D17040" s="31">
        <v>52.6</v>
      </c>
      <c r="F17040" s="3" t="str">
        <f t="shared" si="266"/>
        <v>R0006</v>
      </c>
    </row>
    <row r="17041" spans="1:6" x14ac:dyDescent="0.2">
      <c r="A17041" s="29" t="s">
        <v>37530</v>
      </c>
      <c r="B17041" s="30" t="s">
        <v>37531</v>
      </c>
      <c r="C17041" s="29" t="s">
        <v>271</v>
      </c>
      <c r="D17041" s="31">
        <v>26.31</v>
      </c>
      <c r="F17041" s="3" t="str">
        <f t="shared" si="266"/>
        <v>R0004</v>
      </c>
    </row>
    <row r="17042" spans="1:6" ht="15.75" customHeight="1" x14ac:dyDescent="0.2">
      <c r="A17042" s="32" t="s">
        <v>37532</v>
      </c>
      <c r="B17042" s="33"/>
      <c r="C17042" s="32">
        <v>0</v>
      </c>
      <c r="D17042" s="34">
        <v>0</v>
      </c>
      <c r="F17042" s="3" t="str">
        <f t="shared" si="266"/>
        <v>COTAÇÃO / REVESTIMENTO</v>
      </c>
    </row>
    <row r="17043" spans="1:6" ht="25.5" x14ac:dyDescent="0.2">
      <c r="A17043" s="26" t="s">
        <v>14985</v>
      </c>
      <c r="B17043" s="27" t="s">
        <v>14986</v>
      </c>
      <c r="C17043" s="26" t="s">
        <v>14987</v>
      </c>
      <c r="D17043" s="28" t="e">
        <v>#VALUE!</v>
      </c>
      <c r="F17043" s="3" t="str">
        <f t="shared" si="266"/>
        <v>Insumo</v>
      </c>
    </row>
    <row r="17044" spans="1:6" x14ac:dyDescent="0.2">
      <c r="A17044" s="29" t="s">
        <v>37533</v>
      </c>
      <c r="B17044" s="30" t="s">
        <v>37534</v>
      </c>
      <c r="C17044" s="29" t="s">
        <v>255</v>
      </c>
      <c r="D17044" s="31">
        <v>44.39</v>
      </c>
      <c r="F17044" s="3" t="str">
        <f t="shared" si="266"/>
        <v>I0153</v>
      </c>
    </row>
    <row r="17045" spans="1:6" x14ac:dyDescent="0.2">
      <c r="A17045" s="29" t="s">
        <v>37535</v>
      </c>
      <c r="B17045" s="30" t="s">
        <v>37536</v>
      </c>
      <c r="C17045" s="29" t="s">
        <v>255</v>
      </c>
      <c r="D17045" s="31">
        <v>342.58</v>
      </c>
      <c r="F17045" s="3" t="str">
        <f t="shared" si="266"/>
        <v>I7893</v>
      </c>
    </row>
    <row r="17046" spans="1:6" x14ac:dyDescent="0.2">
      <c r="A17046" s="29" t="s">
        <v>37537</v>
      </c>
      <c r="B17046" s="30" t="s">
        <v>37538</v>
      </c>
      <c r="C17046" s="29" t="s">
        <v>255</v>
      </c>
      <c r="D17046" s="31">
        <v>429.7</v>
      </c>
      <c r="F17046" s="3" t="str">
        <f t="shared" si="266"/>
        <v>I7894</v>
      </c>
    </row>
    <row r="17047" spans="1:6" x14ac:dyDescent="0.2">
      <c r="A17047" s="29" t="s">
        <v>37539</v>
      </c>
      <c r="B17047" s="30" t="s">
        <v>37540</v>
      </c>
      <c r="C17047" s="29" t="s">
        <v>255</v>
      </c>
      <c r="D17047" s="31">
        <v>539.20000000000005</v>
      </c>
      <c r="F17047" s="3" t="str">
        <f t="shared" si="266"/>
        <v>I1230</v>
      </c>
    </row>
    <row r="17048" spans="1:6" x14ac:dyDescent="0.2">
      <c r="A17048" s="29" t="s">
        <v>37541</v>
      </c>
      <c r="B17048" s="30" t="s">
        <v>37542</v>
      </c>
      <c r="C17048" s="29" t="s">
        <v>255</v>
      </c>
      <c r="D17048" s="31">
        <v>408.96</v>
      </c>
      <c r="F17048" s="3" t="str">
        <f t="shared" si="266"/>
        <v>I9533</v>
      </c>
    </row>
    <row r="17049" spans="1:6" x14ac:dyDescent="0.2">
      <c r="A17049" s="29" t="s">
        <v>37543</v>
      </c>
      <c r="B17049" s="30" t="s">
        <v>37544</v>
      </c>
      <c r="C17049" s="29" t="s">
        <v>26</v>
      </c>
      <c r="D17049" s="31">
        <v>5.0599999999999996</v>
      </c>
      <c r="F17049" s="3" t="str">
        <f t="shared" si="266"/>
        <v>I0462</v>
      </c>
    </row>
    <row r="17050" spans="1:6" x14ac:dyDescent="0.2">
      <c r="A17050" s="29" t="s">
        <v>37545</v>
      </c>
      <c r="B17050" s="30" t="s">
        <v>37546</v>
      </c>
      <c r="C17050" s="29" t="s">
        <v>0</v>
      </c>
      <c r="D17050" s="31">
        <v>4.8099999999999996</v>
      </c>
      <c r="F17050" s="3" t="str">
        <f t="shared" si="266"/>
        <v>I0463</v>
      </c>
    </row>
    <row r="17051" spans="1:6" x14ac:dyDescent="0.2">
      <c r="A17051" s="29" t="s">
        <v>37547</v>
      </c>
      <c r="B17051" s="30" t="s">
        <v>37548</v>
      </c>
      <c r="C17051" s="29" t="s">
        <v>255</v>
      </c>
      <c r="D17051" s="31">
        <v>39.380000000000003</v>
      </c>
      <c r="F17051" s="3" t="str">
        <f t="shared" si="266"/>
        <v>I0497</v>
      </c>
    </row>
    <row r="17052" spans="1:6" x14ac:dyDescent="0.2">
      <c r="A17052" s="29" t="s">
        <v>37549</v>
      </c>
      <c r="B17052" s="30" t="s">
        <v>37550</v>
      </c>
      <c r="C17052" s="29" t="s">
        <v>255</v>
      </c>
      <c r="D17052" s="31">
        <v>42.52</v>
      </c>
      <c r="F17052" s="3" t="str">
        <f t="shared" si="266"/>
        <v>I6497</v>
      </c>
    </row>
    <row r="17053" spans="1:6" ht="22.5" x14ac:dyDescent="0.2">
      <c r="A17053" s="29" t="s">
        <v>37551</v>
      </c>
      <c r="B17053" s="30" t="s">
        <v>37552</v>
      </c>
      <c r="C17053" s="29" t="s">
        <v>255</v>
      </c>
      <c r="D17053" s="31">
        <v>25.95</v>
      </c>
      <c r="F17053" s="3" t="str">
        <f t="shared" si="266"/>
        <v>I6498</v>
      </c>
    </row>
    <row r="17054" spans="1:6" ht="22.5" x14ac:dyDescent="0.2">
      <c r="A17054" s="29" t="s">
        <v>37553</v>
      </c>
      <c r="B17054" s="30" t="s">
        <v>37554</v>
      </c>
      <c r="C17054" s="29" t="s">
        <v>255</v>
      </c>
      <c r="D17054" s="31">
        <v>52.9</v>
      </c>
      <c r="F17054" s="3" t="str">
        <f t="shared" si="266"/>
        <v>I6500</v>
      </c>
    </row>
    <row r="17055" spans="1:6" x14ac:dyDescent="0.2">
      <c r="A17055" s="29" t="s">
        <v>37555</v>
      </c>
      <c r="B17055" s="30" t="s">
        <v>37556</v>
      </c>
      <c r="C17055" s="29" t="s">
        <v>255</v>
      </c>
      <c r="D17055" s="31">
        <v>17.43</v>
      </c>
      <c r="F17055" s="3" t="str">
        <f t="shared" si="266"/>
        <v>I0519</v>
      </c>
    </row>
    <row r="17056" spans="1:6" x14ac:dyDescent="0.2">
      <c r="A17056" s="29" t="s">
        <v>37557</v>
      </c>
      <c r="B17056" s="30" t="s">
        <v>37558</v>
      </c>
      <c r="C17056" s="29" t="s">
        <v>255</v>
      </c>
      <c r="D17056" s="31">
        <v>46.79</v>
      </c>
      <c r="F17056" s="3" t="str">
        <f t="shared" si="266"/>
        <v>I0540</v>
      </c>
    </row>
    <row r="17057" spans="1:6" x14ac:dyDescent="0.2">
      <c r="A17057" s="29" t="s">
        <v>37559</v>
      </c>
      <c r="B17057" s="30" t="s">
        <v>37560</v>
      </c>
      <c r="C17057" s="29" t="s">
        <v>255</v>
      </c>
      <c r="D17057" s="31">
        <v>320.83</v>
      </c>
      <c r="F17057" s="3" t="str">
        <f t="shared" si="266"/>
        <v>I6619</v>
      </c>
    </row>
    <row r="17058" spans="1:6" x14ac:dyDescent="0.2">
      <c r="A17058" s="29" t="s">
        <v>37561</v>
      </c>
      <c r="B17058" s="30" t="s">
        <v>37562</v>
      </c>
      <c r="C17058" s="29" t="s">
        <v>255</v>
      </c>
      <c r="D17058" s="31">
        <v>134.72999999999999</v>
      </c>
      <c r="F17058" s="3" t="str">
        <f t="shared" si="266"/>
        <v>I0870</v>
      </c>
    </row>
    <row r="17059" spans="1:6" x14ac:dyDescent="0.2">
      <c r="A17059" s="29" t="s">
        <v>37563</v>
      </c>
      <c r="B17059" s="30" t="s">
        <v>37564</v>
      </c>
      <c r="C17059" s="29" t="s">
        <v>0</v>
      </c>
      <c r="D17059" s="31">
        <v>122.77</v>
      </c>
      <c r="F17059" s="3" t="str">
        <f t="shared" si="266"/>
        <v>I0962</v>
      </c>
    </row>
    <row r="17060" spans="1:6" x14ac:dyDescent="0.2">
      <c r="A17060" s="29" t="s">
        <v>37565</v>
      </c>
      <c r="B17060" s="30" t="s">
        <v>37566</v>
      </c>
      <c r="C17060" s="29" t="s">
        <v>26</v>
      </c>
      <c r="D17060" s="31">
        <v>38.159999999999997</v>
      </c>
      <c r="F17060" s="3" t="str">
        <f t="shared" si="266"/>
        <v>I0963</v>
      </c>
    </row>
    <row r="17061" spans="1:6" x14ac:dyDescent="0.2">
      <c r="A17061" s="29" t="s">
        <v>37567</v>
      </c>
      <c r="B17061" s="30" t="s">
        <v>8008</v>
      </c>
      <c r="C17061" s="29" t="s">
        <v>255</v>
      </c>
      <c r="D17061" s="31">
        <v>316.05</v>
      </c>
      <c r="F17061" s="3" t="str">
        <f t="shared" si="266"/>
        <v>I7895</v>
      </c>
    </row>
    <row r="17062" spans="1:6" x14ac:dyDescent="0.2">
      <c r="A17062" s="29" t="s">
        <v>37568</v>
      </c>
      <c r="B17062" s="30" t="s">
        <v>37569</v>
      </c>
      <c r="C17062" s="29" t="s">
        <v>255</v>
      </c>
      <c r="D17062" s="31">
        <v>347.29</v>
      </c>
      <c r="F17062" s="3" t="str">
        <f t="shared" si="266"/>
        <v>I7917</v>
      </c>
    </row>
    <row r="17063" spans="1:6" x14ac:dyDescent="0.2">
      <c r="A17063" s="29" t="s">
        <v>37570</v>
      </c>
      <c r="B17063" s="30" t="s">
        <v>37571</v>
      </c>
      <c r="C17063" s="29" t="s">
        <v>0</v>
      </c>
      <c r="D17063" s="31">
        <v>31.05</v>
      </c>
      <c r="F17063" s="3" t="str">
        <f t="shared" si="266"/>
        <v>I8634</v>
      </c>
    </row>
    <row r="17064" spans="1:6" x14ac:dyDescent="0.2">
      <c r="A17064" s="29" t="s">
        <v>37572</v>
      </c>
      <c r="B17064" s="30" t="s">
        <v>37573</v>
      </c>
      <c r="C17064" s="29" t="s">
        <v>0</v>
      </c>
      <c r="D17064" s="31">
        <v>13.5</v>
      </c>
      <c r="F17064" s="3" t="str">
        <f t="shared" si="266"/>
        <v>I1165</v>
      </c>
    </row>
    <row r="17065" spans="1:6" x14ac:dyDescent="0.2">
      <c r="A17065" s="29" t="s">
        <v>37574</v>
      </c>
      <c r="B17065" s="30" t="s">
        <v>37575</v>
      </c>
      <c r="C17065" s="29" t="s">
        <v>255</v>
      </c>
      <c r="D17065" s="31">
        <v>146.75</v>
      </c>
      <c r="F17065" s="3" t="str">
        <f t="shared" si="266"/>
        <v>I1645</v>
      </c>
    </row>
    <row r="17066" spans="1:6" x14ac:dyDescent="0.2">
      <c r="A17066" s="29" t="s">
        <v>37576</v>
      </c>
      <c r="B17066" s="30" t="s">
        <v>37577</v>
      </c>
      <c r="C17066" s="29" t="s">
        <v>255</v>
      </c>
      <c r="D17066" s="31">
        <v>146.75</v>
      </c>
      <c r="F17066" s="3" t="str">
        <f t="shared" si="266"/>
        <v>I1672</v>
      </c>
    </row>
    <row r="17067" spans="1:6" x14ac:dyDescent="0.2">
      <c r="A17067" s="29" t="s">
        <v>37578</v>
      </c>
      <c r="B17067" s="30" t="s">
        <v>37579</v>
      </c>
      <c r="C17067" s="29" t="s">
        <v>255</v>
      </c>
      <c r="D17067" s="31">
        <v>168.34</v>
      </c>
      <c r="F17067" s="3" t="str">
        <f t="shared" si="266"/>
        <v>I1647</v>
      </c>
    </row>
    <row r="17068" spans="1:6" x14ac:dyDescent="0.2">
      <c r="A17068" s="29" t="s">
        <v>37580</v>
      </c>
      <c r="B17068" s="30" t="s">
        <v>37581</v>
      </c>
      <c r="C17068" s="29" t="s">
        <v>1284</v>
      </c>
      <c r="D17068" s="31">
        <v>0.48</v>
      </c>
      <c r="F17068" s="3" t="str">
        <f t="shared" si="266"/>
        <v>I2351</v>
      </c>
    </row>
    <row r="17069" spans="1:6" x14ac:dyDescent="0.2">
      <c r="A17069" s="29" t="s">
        <v>37582</v>
      </c>
      <c r="B17069" s="30" t="s">
        <v>37583</v>
      </c>
      <c r="C17069" s="29" t="s">
        <v>255</v>
      </c>
      <c r="D17069" s="31">
        <v>435.27</v>
      </c>
      <c r="F17069" s="3" t="str">
        <f t="shared" si="266"/>
        <v>I7892</v>
      </c>
    </row>
    <row r="17070" spans="1:6" x14ac:dyDescent="0.2">
      <c r="A17070" s="29" t="s">
        <v>37584</v>
      </c>
      <c r="B17070" s="30" t="s">
        <v>37585</v>
      </c>
      <c r="C17070" s="29" t="s">
        <v>255</v>
      </c>
      <c r="D17070" s="31">
        <v>271.69</v>
      </c>
      <c r="F17070" s="3" t="str">
        <f t="shared" si="266"/>
        <v>I1659</v>
      </c>
    </row>
    <row r="17071" spans="1:6" x14ac:dyDescent="0.2">
      <c r="A17071" s="29" t="s">
        <v>37586</v>
      </c>
      <c r="B17071" s="30" t="s">
        <v>37587</v>
      </c>
      <c r="C17071" s="29" t="s">
        <v>255</v>
      </c>
      <c r="D17071" s="31">
        <v>347.15</v>
      </c>
      <c r="F17071" s="3" t="str">
        <f t="shared" si="266"/>
        <v>I1229</v>
      </c>
    </row>
    <row r="17072" spans="1:6" x14ac:dyDescent="0.2">
      <c r="A17072" s="29" t="s">
        <v>37588</v>
      </c>
      <c r="B17072" s="30" t="s">
        <v>37589</v>
      </c>
      <c r="C17072" s="29" t="s">
        <v>255</v>
      </c>
      <c r="D17072" s="31">
        <v>392.45</v>
      </c>
      <c r="F17072" s="3" t="str">
        <f t="shared" si="266"/>
        <v>I1231</v>
      </c>
    </row>
    <row r="17073" spans="1:6" x14ac:dyDescent="0.2">
      <c r="A17073" s="29" t="s">
        <v>37590</v>
      </c>
      <c r="B17073" s="30" t="s">
        <v>37591</v>
      </c>
      <c r="C17073" s="29" t="s">
        <v>255</v>
      </c>
      <c r="D17073" s="31">
        <v>72.900000000000006</v>
      </c>
      <c r="F17073" s="3" t="str">
        <f t="shared" si="266"/>
        <v>I1332</v>
      </c>
    </row>
    <row r="17074" spans="1:6" x14ac:dyDescent="0.2">
      <c r="A17074" s="29" t="s">
        <v>37592</v>
      </c>
      <c r="B17074" s="30" t="s">
        <v>37593</v>
      </c>
      <c r="C17074" s="29" t="s">
        <v>255</v>
      </c>
      <c r="D17074" s="31">
        <v>89.6</v>
      </c>
      <c r="F17074" s="3" t="str">
        <f t="shared" si="266"/>
        <v>I2480</v>
      </c>
    </row>
    <row r="17075" spans="1:6" x14ac:dyDescent="0.2">
      <c r="A17075" s="29" t="s">
        <v>37594</v>
      </c>
      <c r="B17075" s="30" t="s">
        <v>37595</v>
      </c>
      <c r="C17075" s="29" t="s">
        <v>255</v>
      </c>
      <c r="D17075" s="31">
        <v>43.25</v>
      </c>
      <c r="F17075" s="3" t="str">
        <f t="shared" si="266"/>
        <v>I1342</v>
      </c>
    </row>
    <row r="17076" spans="1:6" x14ac:dyDescent="0.2">
      <c r="A17076" s="29" t="s">
        <v>37596</v>
      </c>
      <c r="B17076" s="30" t="s">
        <v>37597</v>
      </c>
      <c r="C17076" s="29" t="s">
        <v>255</v>
      </c>
      <c r="D17076" s="31">
        <v>21.4</v>
      </c>
      <c r="F17076" s="3" t="str">
        <f t="shared" si="266"/>
        <v>I1506</v>
      </c>
    </row>
    <row r="17077" spans="1:6" ht="22.5" x14ac:dyDescent="0.2">
      <c r="A17077" s="29" t="s">
        <v>37598</v>
      </c>
      <c r="B17077" s="30" t="s">
        <v>7772</v>
      </c>
      <c r="C17077" s="29" t="s">
        <v>1284</v>
      </c>
      <c r="D17077" s="31">
        <v>31.78</v>
      </c>
      <c r="F17077" s="3" t="str">
        <f t="shared" si="266"/>
        <v>I8554</v>
      </c>
    </row>
    <row r="17078" spans="1:6" x14ac:dyDescent="0.2">
      <c r="A17078" s="29" t="s">
        <v>37599</v>
      </c>
      <c r="B17078" s="30" t="s">
        <v>37600</v>
      </c>
      <c r="C17078" s="29" t="s">
        <v>255</v>
      </c>
      <c r="D17078" s="31">
        <v>46.34</v>
      </c>
      <c r="F17078" s="3" t="str">
        <f t="shared" si="266"/>
        <v>I1561</v>
      </c>
    </row>
    <row r="17079" spans="1:6" x14ac:dyDescent="0.2">
      <c r="A17079" s="29" t="s">
        <v>37601</v>
      </c>
      <c r="B17079" s="30" t="s">
        <v>37602</v>
      </c>
      <c r="C17079" s="29" t="s">
        <v>1284</v>
      </c>
      <c r="D17079" s="31">
        <v>3.93</v>
      </c>
      <c r="F17079" s="3" t="str">
        <f t="shared" si="266"/>
        <v>I1595</v>
      </c>
    </row>
    <row r="17080" spans="1:6" x14ac:dyDescent="0.2">
      <c r="A17080" s="29" t="s">
        <v>37603</v>
      </c>
      <c r="B17080" s="30" t="s">
        <v>37604</v>
      </c>
      <c r="C17080" s="29" t="s">
        <v>255</v>
      </c>
      <c r="D17080" s="31">
        <v>103.94</v>
      </c>
      <c r="F17080" s="3" t="str">
        <f t="shared" si="266"/>
        <v>I8349</v>
      </c>
    </row>
    <row r="17081" spans="1:6" x14ac:dyDescent="0.2">
      <c r="A17081" s="29" t="s">
        <v>37605</v>
      </c>
      <c r="B17081" s="30" t="s">
        <v>37606</v>
      </c>
      <c r="C17081" s="29" t="s">
        <v>255</v>
      </c>
      <c r="D17081" s="31">
        <v>120.82</v>
      </c>
      <c r="F17081" s="3" t="str">
        <f t="shared" si="266"/>
        <v>I1598</v>
      </c>
    </row>
    <row r="17082" spans="1:6" x14ac:dyDescent="0.2">
      <c r="A17082" s="29" t="s">
        <v>37607</v>
      </c>
      <c r="B17082" s="30" t="s">
        <v>37608</v>
      </c>
      <c r="C17082" s="29" t="s">
        <v>255</v>
      </c>
      <c r="D17082" s="31">
        <v>293.70999999999998</v>
      </c>
      <c r="F17082" s="3" t="str">
        <f t="shared" si="266"/>
        <v>I1531</v>
      </c>
    </row>
    <row r="17083" spans="1:6" x14ac:dyDescent="0.2">
      <c r="A17083" s="29" t="s">
        <v>37609</v>
      </c>
      <c r="B17083" s="30" t="s">
        <v>9438</v>
      </c>
      <c r="C17083" s="29" t="s">
        <v>255</v>
      </c>
      <c r="D17083" s="31">
        <v>197.55</v>
      </c>
      <c r="F17083" s="3" t="str">
        <f t="shared" si="266"/>
        <v>I2484</v>
      </c>
    </row>
    <row r="17084" spans="1:6" x14ac:dyDescent="0.2">
      <c r="A17084" s="29" t="s">
        <v>37610</v>
      </c>
      <c r="B17084" s="30" t="s">
        <v>37611</v>
      </c>
      <c r="C17084" s="29" t="s">
        <v>255</v>
      </c>
      <c r="D17084" s="31">
        <v>39.35</v>
      </c>
      <c r="F17084" s="3" t="str">
        <f t="shared" si="266"/>
        <v>I1603</v>
      </c>
    </row>
    <row r="17085" spans="1:6" x14ac:dyDescent="0.2">
      <c r="A17085" s="29" t="s">
        <v>37612</v>
      </c>
      <c r="B17085" s="30" t="s">
        <v>37613</v>
      </c>
      <c r="C17085" s="29" t="s">
        <v>255</v>
      </c>
      <c r="D17085" s="31">
        <v>45.66</v>
      </c>
      <c r="F17085" s="3" t="str">
        <f t="shared" si="266"/>
        <v>I1604</v>
      </c>
    </row>
    <row r="17086" spans="1:6" x14ac:dyDescent="0.2">
      <c r="A17086" s="29" t="s">
        <v>37614</v>
      </c>
      <c r="B17086" s="30" t="s">
        <v>37615</v>
      </c>
      <c r="C17086" s="29" t="s">
        <v>0</v>
      </c>
      <c r="D17086" s="31">
        <v>119.5</v>
      </c>
      <c r="F17086" s="3" t="str">
        <f t="shared" si="266"/>
        <v>I1608</v>
      </c>
    </row>
    <row r="17087" spans="1:6" x14ac:dyDescent="0.2">
      <c r="A17087" s="29" t="s">
        <v>37616</v>
      </c>
      <c r="B17087" s="30" t="s">
        <v>37617</v>
      </c>
      <c r="C17087" s="29" t="s">
        <v>0</v>
      </c>
      <c r="D17087" s="31">
        <v>86.33</v>
      </c>
      <c r="F17087" s="3" t="str">
        <f t="shared" si="266"/>
        <v>I1607</v>
      </c>
    </row>
    <row r="17088" spans="1:6" x14ac:dyDescent="0.2">
      <c r="A17088" s="29" t="s">
        <v>37618</v>
      </c>
      <c r="B17088" s="30" t="s">
        <v>9304</v>
      </c>
      <c r="C17088" s="29" t="s">
        <v>255</v>
      </c>
      <c r="D17088" s="31">
        <v>116.86</v>
      </c>
      <c r="F17088" s="3" t="str">
        <f t="shared" si="266"/>
        <v>I2485</v>
      </c>
    </row>
    <row r="17089" spans="1:6" x14ac:dyDescent="0.2">
      <c r="A17089" s="29" t="s">
        <v>37619</v>
      </c>
      <c r="B17089" s="30" t="s">
        <v>37620</v>
      </c>
      <c r="C17089" s="29" t="s">
        <v>0</v>
      </c>
      <c r="D17089" s="31">
        <v>29.59</v>
      </c>
      <c r="F17089" s="3" t="str">
        <f t="shared" si="266"/>
        <v>I1609</v>
      </c>
    </row>
    <row r="17090" spans="1:6" x14ac:dyDescent="0.2">
      <c r="A17090" s="29" t="s">
        <v>37621</v>
      </c>
      <c r="B17090" s="30" t="s">
        <v>37622</v>
      </c>
      <c r="C17090" s="29" t="s">
        <v>0</v>
      </c>
      <c r="D17090" s="31">
        <v>75.84</v>
      </c>
      <c r="F17090" s="3" t="str">
        <f t="shared" ref="F17090:F17153" si="267">A17090</f>
        <v>I1610</v>
      </c>
    </row>
    <row r="17091" spans="1:6" x14ac:dyDescent="0.2">
      <c r="A17091" s="29" t="s">
        <v>37623</v>
      </c>
      <c r="B17091" s="30" t="s">
        <v>37624</v>
      </c>
      <c r="C17091" s="29" t="s">
        <v>26</v>
      </c>
      <c r="D17091" s="31">
        <v>0.42</v>
      </c>
      <c r="F17091" s="3" t="str">
        <f t="shared" si="267"/>
        <v>I1644</v>
      </c>
    </row>
    <row r="17092" spans="1:6" x14ac:dyDescent="0.2">
      <c r="A17092" s="29" t="s">
        <v>37625</v>
      </c>
      <c r="B17092" s="30" t="s">
        <v>37626</v>
      </c>
      <c r="C17092" s="29" t="s">
        <v>255</v>
      </c>
      <c r="D17092" s="31">
        <v>151.35</v>
      </c>
      <c r="F17092" s="3" t="str">
        <f t="shared" si="267"/>
        <v>I1653</v>
      </c>
    </row>
    <row r="17093" spans="1:6" x14ac:dyDescent="0.2">
      <c r="A17093" s="29" t="s">
        <v>37627</v>
      </c>
      <c r="B17093" s="30" t="s">
        <v>37628</v>
      </c>
      <c r="C17093" s="29" t="s">
        <v>255</v>
      </c>
      <c r="D17093" s="31">
        <v>126.56</v>
      </c>
      <c r="F17093" s="3" t="str">
        <f t="shared" si="267"/>
        <v>I1655</v>
      </c>
    </row>
    <row r="17094" spans="1:6" x14ac:dyDescent="0.2">
      <c r="A17094" s="29" t="s">
        <v>37629</v>
      </c>
      <c r="B17094" s="30" t="s">
        <v>37630</v>
      </c>
      <c r="C17094" s="29" t="s">
        <v>255</v>
      </c>
      <c r="D17094" s="31">
        <v>115.97</v>
      </c>
      <c r="F17094" s="3" t="str">
        <f t="shared" si="267"/>
        <v>I1660</v>
      </c>
    </row>
    <row r="17095" spans="1:6" x14ac:dyDescent="0.2">
      <c r="A17095" s="29" t="s">
        <v>37631</v>
      </c>
      <c r="B17095" s="30" t="s">
        <v>37632</v>
      </c>
      <c r="C17095" s="29" t="s">
        <v>255</v>
      </c>
      <c r="D17095" s="31">
        <v>263.02999999999997</v>
      </c>
      <c r="F17095" s="3" t="str">
        <f t="shared" si="267"/>
        <v>I1657</v>
      </c>
    </row>
    <row r="17096" spans="1:6" x14ac:dyDescent="0.2">
      <c r="A17096" s="29" t="s">
        <v>37633</v>
      </c>
      <c r="B17096" s="30" t="s">
        <v>37634</v>
      </c>
      <c r="C17096" s="29" t="s">
        <v>255</v>
      </c>
      <c r="D17096" s="31">
        <v>208.17</v>
      </c>
      <c r="F17096" s="3" t="str">
        <f t="shared" si="267"/>
        <v>I1656</v>
      </c>
    </row>
    <row r="17097" spans="1:6" x14ac:dyDescent="0.2">
      <c r="A17097" s="29" t="s">
        <v>37635</v>
      </c>
      <c r="B17097" s="30" t="s">
        <v>9318</v>
      </c>
      <c r="C17097" s="29" t="s">
        <v>255</v>
      </c>
      <c r="D17097" s="31">
        <v>196.52</v>
      </c>
      <c r="F17097" s="3" t="str">
        <f t="shared" si="267"/>
        <v>I2396</v>
      </c>
    </row>
    <row r="17098" spans="1:6" x14ac:dyDescent="0.2">
      <c r="A17098" s="29" t="s">
        <v>37636</v>
      </c>
      <c r="B17098" s="30" t="s">
        <v>37637</v>
      </c>
      <c r="C17098" s="29" t="s">
        <v>255</v>
      </c>
      <c r="D17098" s="31">
        <v>33.76</v>
      </c>
      <c r="F17098" s="3" t="str">
        <f t="shared" si="267"/>
        <v>I1661</v>
      </c>
    </row>
    <row r="17099" spans="1:6" x14ac:dyDescent="0.2">
      <c r="A17099" s="29" t="s">
        <v>37638</v>
      </c>
      <c r="B17099" s="30" t="s">
        <v>37639</v>
      </c>
      <c r="C17099" s="29" t="s">
        <v>255</v>
      </c>
      <c r="D17099" s="31">
        <v>67.38</v>
      </c>
      <c r="F17099" s="3" t="str">
        <f t="shared" si="267"/>
        <v>I8623</v>
      </c>
    </row>
    <row r="17100" spans="1:6" x14ac:dyDescent="0.2">
      <c r="A17100" s="29" t="s">
        <v>37640</v>
      </c>
      <c r="B17100" s="30" t="s">
        <v>37641</v>
      </c>
      <c r="C17100" s="29" t="s">
        <v>255</v>
      </c>
      <c r="D17100" s="31">
        <v>189.81</v>
      </c>
      <c r="F17100" s="3" t="str">
        <f t="shared" si="267"/>
        <v>I8622</v>
      </c>
    </row>
    <row r="17101" spans="1:6" ht="22.5" x14ac:dyDescent="0.2">
      <c r="A17101" s="29" t="s">
        <v>37642</v>
      </c>
      <c r="B17101" s="30" t="s">
        <v>37643</v>
      </c>
      <c r="C17101" s="29" t="s">
        <v>255</v>
      </c>
      <c r="D17101" s="31">
        <v>340</v>
      </c>
      <c r="F17101" s="3" t="str">
        <f t="shared" si="267"/>
        <v>I1509</v>
      </c>
    </row>
    <row r="17102" spans="1:6" x14ac:dyDescent="0.2">
      <c r="A17102" s="29" t="s">
        <v>37644</v>
      </c>
      <c r="B17102" s="30" t="s">
        <v>37645</v>
      </c>
      <c r="C17102" s="29" t="s">
        <v>255</v>
      </c>
      <c r="D17102" s="31">
        <v>246.15</v>
      </c>
      <c r="F17102" s="3" t="str">
        <f t="shared" si="267"/>
        <v>I1670</v>
      </c>
    </row>
    <row r="17103" spans="1:6" x14ac:dyDescent="0.2">
      <c r="A17103" s="29" t="s">
        <v>37646</v>
      </c>
      <c r="B17103" s="30" t="s">
        <v>37647</v>
      </c>
      <c r="C17103" s="29" t="s">
        <v>255</v>
      </c>
      <c r="D17103" s="31">
        <v>151.35</v>
      </c>
      <c r="F17103" s="3" t="str">
        <f t="shared" si="267"/>
        <v>I6632</v>
      </c>
    </row>
    <row r="17104" spans="1:6" ht="22.5" x14ac:dyDescent="0.2">
      <c r="A17104" s="29" t="s">
        <v>37648</v>
      </c>
      <c r="B17104" s="30" t="s">
        <v>37649</v>
      </c>
      <c r="C17104" s="29" t="s">
        <v>255</v>
      </c>
      <c r="D17104" s="31">
        <v>82.37</v>
      </c>
      <c r="F17104" s="3" t="str">
        <f t="shared" si="267"/>
        <v>I6503</v>
      </c>
    </row>
    <row r="17105" spans="1:6" ht="22.5" x14ac:dyDescent="0.2">
      <c r="A17105" s="29" t="s">
        <v>37650</v>
      </c>
      <c r="B17105" s="30" t="s">
        <v>37651</v>
      </c>
      <c r="C17105" s="29" t="s">
        <v>255</v>
      </c>
      <c r="D17105" s="31">
        <v>70.5</v>
      </c>
      <c r="F17105" s="3" t="str">
        <f t="shared" si="267"/>
        <v>I6501</v>
      </c>
    </row>
    <row r="17106" spans="1:6" x14ac:dyDescent="0.2">
      <c r="A17106" s="29" t="s">
        <v>37652</v>
      </c>
      <c r="B17106" s="30" t="s">
        <v>37653</v>
      </c>
      <c r="C17106" s="29" t="s">
        <v>255</v>
      </c>
      <c r="D17106" s="31">
        <v>340</v>
      </c>
      <c r="F17106" s="3" t="str">
        <f t="shared" si="267"/>
        <v>I9532</v>
      </c>
    </row>
    <row r="17107" spans="1:6" x14ac:dyDescent="0.2">
      <c r="A17107" s="29" t="s">
        <v>37654</v>
      </c>
      <c r="B17107" s="30" t="s">
        <v>37655</v>
      </c>
      <c r="C17107" s="29" t="s">
        <v>1284</v>
      </c>
      <c r="D17107" s="31">
        <v>66</v>
      </c>
      <c r="F17107" s="3" t="str">
        <f t="shared" si="267"/>
        <v>I1820</v>
      </c>
    </row>
    <row r="17108" spans="1:6" x14ac:dyDescent="0.2">
      <c r="A17108" s="29" t="s">
        <v>37656</v>
      </c>
      <c r="B17108" s="30" t="s">
        <v>37657</v>
      </c>
      <c r="C17108" s="29" t="s">
        <v>255</v>
      </c>
      <c r="D17108" s="31">
        <v>170.69</v>
      </c>
      <c r="F17108" s="3" t="str">
        <f t="shared" si="267"/>
        <v>I1821</v>
      </c>
    </row>
    <row r="17109" spans="1:6" x14ac:dyDescent="0.2">
      <c r="A17109" s="29" t="s">
        <v>37658</v>
      </c>
      <c r="B17109" s="30" t="s">
        <v>37659</v>
      </c>
      <c r="C17109" s="29" t="s">
        <v>1284</v>
      </c>
      <c r="D17109" s="31">
        <v>9.43</v>
      </c>
      <c r="F17109" s="3" t="str">
        <f t="shared" si="267"/>
        <v>I1822</v>
      </c>
    </row>
    <row r="17110" spans="1:6" x14ac:dyDescent="0.2">
      <c r="A17110" s="29" t="s">
        <v>37660</v>
      </c>
      <c r="B17110" s="30" t="s">
        <v>37661</v>
      </c>
      <c r="C17110" s="29" t="s">
        <v>1284</v>
      </c>
      <c r="D17110" s="31">
        <v>9.43</v>
      </c>
      <c r="F17110" s="3" t="str">
        <f t="shared" si="267"/>
        <v>I1823</v>
      </c>
    </row>
    <row r="17111" spans="1:6" x14ac:dyDescent="0.2">
      <c r="A17111" s="29" t="s">
        <v>37662</v>
      </c>
      <c r="B17111" s="30" t="s">
        <v>9386</v>
      </c>
      <c r="C17111" s="29" t="s">
        <v>0</v>
      </c>
      <c r="D17111" s="31">
        <v>46.4</v>
      </c>
      <c r="F17111" s="3" t="str">
        <f t="shared" si="267"/>
        <v>I7497</v>
      </c>
    </row>
    <row r="17112" spans="1:6" x14ac:dyDescent="0.2">
      <c r="A17112" s="29" t="s">
        <v>37663</v>
      </c>
      <c r="B17112" s="30" t="s">
        <v>37664</v>
      </c>
      <c r="C17112" s="29" t="s">
        <v>0</v>
      </c>
      <c r="D17112" s="31">
        <v>36.619999999999997</v>
      </c>
      <c r="F17112" s="3" t="str">
        <f t="shared" si="267"/>
        <v>I1828</v>
      </c>
    </row>
    <row r="17113" spans="1:6" x14ac:dyDescent="0.2">
      <c r="A17113" s="29" t="s">
        <v>37665</v>
      </c>
      <c r="B17113" s="30" t="s">
        <v>37666</v>
      </c>
      <c r="C17113" s="29" t="s">
        <v>0</v>
      </c>
      <c r="D17113" s="31">
        <v>31.97</v>
      </c>
      <c r="F17113" s="3" t="str">
        <f t="shared" si="267"/>
        <v>I1830</v>
      </c>
    </row>
    <row r="17114" spans="1:6" x14ac:dyDescent="0.2">
      <c r="A17114" s="29" t="s">
        <v>37667</v>
      </c>
      <c r="B17114" s="30" t="s">
        <v>37668</v>
      </c>
      <c r="C17114" s="29" t="s">
        <v>0</v>
      </c>
      <c r="D17114" s="31">
        <v>75.84</v>
      </c>
      <c r="F17114" s="3" t="str">
        <f t="shared" si="267"/>
        <v>I1880</v>
      </c>
    </row>
    <row r="17115" spans="1:6" x14ac:dyDescent="0.2">
      <c r="A17115" s="29" t="s">
        <v>37669</v>
      </c>
      <c r="B17115" s="30" t="s">
        <v>37670</v>
      </c>
      <c r="C17115" s="29" t="s">
        <v>0</v>
      </c>
      <c r="D17115" s="31">
        <v>145.69999999999999</v>
      </c>
      <c r="F17115" s="3" t="str">
        <f t="shared" si="267"/>
        <v>I1881</v>
      </c>
    </row>
    <row r="17116" spans="1:6" x14ac:dyDescent="0.2">
      <c r="A17116" s="29" t="s">
        <v>37671</v>
      </c>
      <c r="B17116" s="30" t="s">
        <v>37672</v>
      </c>
      <c r="C17116" s="29" t="s">
        <v>0</v>
      </c>
      <c r="D17116" s="31">
        <v>60.41</v>
      </c>
      <c r="F17116" s="3" t="str">
        <f t="shared" si="267"/>
        <v>I1882</v>
      </c>
    </row>
    <row r="17117" spans="1:6" x14ac:dyDescent="0.2">
      <c r="A17117" s="29" t="s">
        <v>37673</v>
      </c>
      <c r="B17117" s="30" t="s">
        <v>37674</v>
      </c>
      <c r="C17117" s="29" t="s">
        <v>0</v>
      </c>
      <c r="D17117" s="31">
        <v>100.68</v>
      </c>
      <c r="F17117" s="3" t="str">
        <f t="shared" si="267"/>
        <v>I1883</v>
      </c>
    </row>
    <row r="17118" spans="1:6" x14ac:dyDescent="0.2">
      <c r="A17118" s="29" t="s">
        <v>37675</v>
      </c>
      <c r="B17118" s="30" t="s">
        <v>9408</v>
      </c>
      <c r="C17118" s="29" t="s">
        <v>255</v>
      </c>
      <c r="D17118" s="31">
        <v>109.42</v>
      </c>
      <c r="F17118" s="3" t="str">
        <f t="shared" si="267"/>
        <v>I2495</v>
      </c>
    </row>
    <row r="17119" spans="1:6" x14ac:dyDescent="0.2">
      <c r="A17119" s="29" t="s">
        <v>37676</v>
      </c>
      <c r="B17119" s="30" t="s">
        <v>37677</v>
      </c>
      <c r="C17119" s="29" t="s">
        <v>0</v>
      </c>
      <c r="D17119" s="31">
        <v>43.65</v>
      </c>
      <c r="F17119" s="3" t="str">
        <f t="shared" si="267"/>
        <v>I1884</v>
      </c>
    </row>
    <row r="17120" spans="1:6" x14ac:dyDescent="0.2">
      <c r="A17120" s="29" t="s">
        <v>37678</v>
      </c>
      <c r="B17120" s="30" t="s">
        <v>37679</v>
      </c>
      <c r="C17120" s="29" t="s">
        <v>0</v>
      </c>
      <c r="D17120" s="31">
        <v>72.77</v>
      </c>
      <c r="F17120" s="3" t="str">
        <f t="shared" si="267"/>
        <v>I1885</v>
      </c>
    </row>
    <row r="17121" spans="1:6" x14ac:dyDescent="0.2">
      <c r="A17121" s="29" t="s">
        <v>37680</v>
      </c>
      <c r="B17121" s="30" t="s">
        <v>37681</v>
      </c>
      <c r="C17121" s="29" t="s">
        <v>26</v>
      </c>
      <c r="D17121" s="31">
        <v>46.56</v>
      </c>
      <c r="F17121" s="3" t="str">
        <f t="shared" si="267"/>
        <v>I1900</v>
      </c>
    </row>
    <row r="17122" spans="1:6" x14ac:dyDescent="0.2">
      <c r="A17122" s="29" t="s">
        <v>37682</v>
      </c>
      <c r="B17122" s="30" t="s">
        <v>37683</v>
      </c>
      <c r="C17122" s="29" t="s">
        <v>255</v>
      </c>
      <c r="D17122" s="31">
        <v>108.03</v>
      </c>
      <c r="F17122" s="3" t="str">
        <f t="shared" si="267"/>
        <v>I1938</v>
      </c>
    </row>
    <row r="17123" spans="1:6" x14ac:dyDescent="0.2">
      <c r="A17123" s="29" t="s">
        <v>37684</v>
      </c>
      <c r="B17123" s="30" t="s">
        <v>37685</v>
      </c>
      <c r="C17123" s="29" t="s">
        <v>255</v>
      </c>
      <c r="D17123" s="31">
        <v>87.21</v>
      </c>
      <c r="F17123" s="3" t="str">
        <f t="shared" si="267"/>
        <v>I1939</v>
      </c>
    </row>
    <row r="17124" spans="1:6" x14ac:dyDescent="0.2">
      <c r="A17124" s="29" t="s">
        <v>37686</v>
      </c>
      <c r="B17124" s="30" t="s">
        <v>37687</v>
      </c>
      <c r="C17124" s="29" t="s">
        <v>26</v>
      </c>
      <c r="D17124" s="31">
        <v>81.260000000000005</v>
      </c>
      <c r="F17124" s="3" t="str">
        <f t="shared" si="267"/>
        <v>I2034</v>
      </c>
    </row>
    <row r="17125" spans="1:6" x14ac:dyDescent="0.2">
      <c r="A17125" s="29" t="s">
        <v>37688</v>
      </c>
      <c r="B17125" s="30" t="s">
        <v>37689</v>
      </c>
      <c r="C17125" s="29" t="s">
        <v>0</v>
      </c>
      <c r="D17125" s="31">
        <v>7.59</v>
      </c>
      <c r="F17125" s="3" t="str">
        <f t="shared" si="267"/>
        <v>I2078</v>
      </c>
    </row>
    <row r="17126" spans="1:6" x14ac:dyDescent="0.2">
      <c r="A17126" s="29" t="s">
        <v>37690</v>
      </c>
      <c r="B17126" s="30" t="s">
        <v>37691</v>
      </c>
      <c r="C17126" s="29" t="s">
        <v>0</v>
      </c>
      <c r="D17126" s="31">
        <v>9.01</v>
      </c>
      <c r="F17126" s="3" t="str">
        <f t="shared" si="267"/>
        <v>I2157</v>
      </c>
    </row>
    <row r="17127" spans="1:6" ht="15.75" customHeight="1" x14ac:dyDescent="0.2">
      <c r="A17127" s="32" t="s">
        <v>37692</v>
      </c>
      <c r="B17127" s="33"/>
      <c r="C17127" s="32">
        <v>0</v>
      </c>
      <c r="D17127" s="34">
        <v>0</v>
      </c>
      <c r="F17127" s="3" t="str">
        <f t="shared" si="267"/>
        <v>COTAÇÃO / SERVIÇOS EMPREITADOS</v>
      </c>
    </row>
    <row r="17128" spans="1:6" ht="25.5" x14ac:dyDescent="0.2">
      <c r="A17128" s="26" t="s">
        <v>14985</v>
      </c>
      <c r="B17128" s="27" t="s">
        <v>14986</v>
      </c>
      <c r="C17128" s="26" t="s">
        <v>14987</v>
      </c>
      <c r="D17128" s="28" t="e">
        <v>#VALUE!</v>
      </c>
      <c r="F17128" s="3" t="str">
        <f t="shared" si="267"/>
        <v>Insumo</v>
      </c>
    </row>
    <row r="17129" spans="1:6" x14ac:dyDescent="0.2">
      <c r="A17129" s="29" t="s">
        <v>37693</v>
      </c>
      <c r="B17129" s="30" t="s">
        <v>37694</v>
      </c>
      <c r="C17129" s="29" t="s">
        <v>26</v>
      </c>
      <c r="D17129" s="31">
        <v>186588</v>
      </c>
      <c r="F17129" s="3" t="str">
        <f t="shared" si="267"/>
        <v>I8224</v>
      </c>
    </row>
    <row r="17130" spans="1:6" x14ac:dyDescent="0.2">
      <c r="A17130" s="29" t="s">
        <v>37695</v>
      </c>
      <c r="B17130" s="30" t="s">
        <v>37696</v>
      </c>
      <c r="C17130" s="29" t="s">
        <v>26</v>
      </c>
      <c r="D17130" s="31">
        <v>6690</v>
      </c>
      <c r="F17130" s="3" t="str">
        <f t="shared" si="267"/>
        <v>I7545</v>
      </c>
    </row>
    <row r="17131" spans="1:6" ht="22.5" x14ac:dyDescent="0.2">
      <c r="A17131" s="29" t="s">
        <v>37697</v>
      </c>
      <c r="B17131" s="30" t="s">
        <v>13305</v>
      </c>
      <c r="C17131" s="29" t="s">
        <v>26</v>
      </c>
      <c r="D17131" s="31">
        <v>985.19</v>
      </c>
      <c r="F17131" s="3" t="str">
        <f t="shared" si="267"/>
        <v>I7975</v>
      </c>
    </row>
    <row r="17132" spans="1:6" x14ac:dyDescent="0.2">
      <c r="A17132" s="29" t="s">
        <v>37698</v>
      </c>
      <c r="B17132" s="30" t="s">
        <v>37699</v>
      </c>
      <c r="C17132" s="29" t="s">
        <v>26</v>
      </c>
      <c r="D17132" s="31">
        <v>74.95</v>
      </c>
      <c r="F17132" s="3" t="str">
        <f t="shared" si="267"/>
        <v>I0865</v>
      </c>
    </row>
    <row r="17133" spans="1:6" x14ac:dyDescent="0.2">
      <c r="A17133" s="29" t="s">
        <v>37700</v>
      </c>
      <c r="B17133" s="30" t="s">
        <v>37701</v>
      </c>
      <c r="C17133" s="29" t="s">
        <v>26</v>
      </c>
      <c r="D17133" s="31">
        <v>89.6</v>
      </c>
      <c r="F17133" s="3" t="str">
        <f t="shared" si="267"/>
        <v>I0866</v>
      </c>
    </row>
    <row r="17134" spans="1:6" x14ac:dyDescent="0.2">
      <c r="A17134" s="29" t="s">
        <v>37702</v>
      </c>
      <c r="B17134" s="30" t="s">
        <v>37703</v>
      </c>
      <c r="C17134" s="29" t="s">
        <v>26</v>
      </c>
      <c r="D17134" s="31">
        <v>41.02</v>
      </c>
      <c r="F17134" s="3" t="str">
        <f t="shared" si="267"/>
        <v>I0867</v>
      </c>
    </row>
    <row r="17135" spans="1:6" x14ac:dyDescent="0.2">
      <c r="A17135" s="29" t="s">
        <v>37704</v>
      </c>
      <c r="B17135" s="30" t="s">
        <v>37705</v>
      </c>
      <c r="C17135" s="29" t="s">
        <v>26</v>
      </c>
      <c r="D17135" s="31">
        <v>49.21</v>
      </c>
      <c r="F17135" s="3" t="str">
        <f t="shared" si="267"/>
        <v>I0868</v>
      </c>
    </row>
    <row r="17136" spans="1:6" x14ac:dyDescent="0.2">
      <c r="A17136" s="29" t="s">
        <v>37706</v>
      </c>
      <c r="B17136" s="30" t="s">
        <v>37707</v>
      </c>
      <c r="C17136" s="29" t="s">
        <v>255</v>
      </c>
      <c r="D17136" s="31">
        <v>0.73</v>
      </c>
      <c r="F17136" s="3" t="str">
        <f t="shared" si="267"/>
        <v>I0869</v>
      </c>
    </row>
    <row r="17137" spans="1:6" x14ac:dyDescent="0.2">
      <c r="A17137" s="29" t="s">
        <v>37708</v>
      </c>
      <c r="B17137" s="30" t="s">
        <v>37709</v>
      </c>
      <c r="C17137" s="29" t="s">
        <v>1284</v>
      </c>
      <c r="D17137" s="31">
        <v>2.44</v>
      </c>
      <c r="F17137" s="3" t="str">
        <f t="shared" si="267"/>
        <v>I8686</v>
      </c>
    </row>
    <row r="17138" spans="1:6" ht="22.5" x14ac:dyDescent="0.2">
      <c r="A17138" s="29" t="s">
        <v>37710</v>
      </c>
      <c r="B17138" s="30" t="s">
        <v>13307</v>
      </c>
      <c r="C17138" s="29" t="s">
        <v>26</v>
      </c>
      <c r="D17138" s="31">
        <v>357.06</v>
      </c>
      <c r="F17138" s="3" t="str">
        <f t="shared" si="267"/>
        <v>I7976</v>
      </c>
    </row>
    <row r="17139" spans="1:6" x14ac:dyDescent="0.2">
      <c r="A17139" s="29" t="s">
        <v>37711</v>
      </c>
      <c r="B17139" s="30" t="s">
        <v>14663</v>
      </c>
      <c r="C17139" s="29" t="s">
        <v>0</v>
      </c>
      <c r="D17139" s="31">
        <v>281.61</v>
      </c>
      <c r="F17139" s="3" t="str">
        <f t="shared" si="267"/>
        <v>I7942</v>
      </c>
    </row>
    <row r="17140" spans="1:6" x14ac:dyDescent="0.2">
      <c r="A17140" s="29" t="s">
        <v>37712</v>
      </c>
      <c r="B17140" s="30" t="s">
        <v>37713</v>
      </c>
      <c r="C17140" s="29" t="s">
        <v>255</v>
      </c>
      <c r="D17140" s="31">
        <v>121.15</v>
      </c>
      <c r="F17140" s="3" t="str">
        <f t="shared" si="267"/>
        <v>I8320</v>
      </c>
    </row>
    <row r="17141" spans="1:6" x14ac:dyDescent="0.2">
      <c r="A17141" s="29" t="s">
        <v>37714</v>
      </c>
      <c r="B17141" s="30" t="s">
        <v>37715</v>
      </c>
      <c r="C17141" s="29" t="s">
        <v>255</v>
      </c>
      <c r="D17141" s="31">
        <v>123.5</v>
      </c>
      <c r="F17141" s="3" t="str">
        <f t="shared" si="267"/>
        <v>I8321</v>
      </c>
    </row>
    <row r="17142" spans="1:6" x14ac:dyDescent="0.2">
      <c r="A17142" s="29" t="s">
        <v>37716</v>
      </c>
      <c r="B17142" s="30" t="s">
        <v>37717</v>
      </c>
      <c r="C17142" s="29" t="s">
        <v>255</v>
      </c>
      <c r="D17142" s="31">
        <v>136.63999999999999</v>
      </c>
      <c r="F17142" s="3" t="str">
        <f t="shared" si="267"/>
        <v>I8314</v>
      </c>
    </row>
    <row r="17143" spans="1:6" x14ac:dyDescent="0.2">
      <c r="A17143" s="29" t="s">
        <v>37718</v>
      </c>
      <c r="B17143" s="30" t="s">
        <v>37719</v>
      </c>
      <c r="C17143" s="29" t="s">
        <v>255</v>
      </c>
      <c r="D17143" s="31">
        <v>128.09</v>
      </c>
      <c r="F17143" s="3" t="str">
        <f t="shared" si="267"/>
        <v>I8312</v>
      </c>
    </row>
    <row r="17144" spans="1:6" x14ac:dyDescent="0.2">
      <c r="A17144" s="29" t="s">
        <v>37720</v>
      </c>
      <c r="B17144" s="30" t="s">
        <v>37721</v>
      </c>
      <c r="C17144" s="29" t="s">
        <v>255</v>
      </c>
      <c r="D17144" s="31">
        <v>109.31</v>
      </c>
      <c r="F17144" s="3" t="str">
        <f t="shared" si="267"/>
        <v>I8313</v>
      </c>
    </row>
    <row r="17145" spans="1:6" x14ac:dyDescent="0.2">
      <c r="A17145" s="29" t="s">
        <v>37722</v>
      </c>
      <c r="B17145" s="30" t="s">
        <v>37723</v>
      </c>
      <c r="C17145" s="29" t="s">
        <v>255</v>
      </c>
      <c r="D17145" s="31">
        <v>107.41</v>
      </c>
      <c r="F17145" s="3" t="str">
        <f t="shared" si="267"/>
        <v>I8311</v>
      </c>
    </row>
    <row r="17146" spans="1:6" x14ac:dyDescent="0.2">
      <c r="A17146" s="29" t="s">
        <v>37724</v>
      </c>
      <c r="B17146" s="30" t="s">
        <v>37725</v>
      </c>
      <c r="C17146" s="29" t="s">
        <v>255</v>
      </c>
      <c r="D17146" s="31">
        <v>311.35000000000002</v>
      </c>
      <c r="F17146" s="3" t="str">
        <f t="shared" si="267"/>
        <v>I8325</v>
      </c>
    </row>
    <row r="17147" spans="1:6" x14ac:dyDescent="0.2">
      <c r="A17147" s="29" t="s">
        <v>37726</v>
      </c>
      <c r="B17147" s="30" t="s">
        <v>37727</v>
      </c>
      <c r="C17147" s="29" t="s">
        <v>255</v>
      </c>
      <c r="D17147" s="31">
        <v>277.08999999999997</v>
      </c>
      <c r="F17147" s="3" t="str">
        <f t="shared" si="267"/>
        <v>I8324</v>
      </c>
    </row>
    <row r="17148" spans="1:6" x14ac:dyDescent="0.2">
      <c r="A17148" s="29" t="s">
        <v>37728</v>
      </c>
      <c r="B17148" s="30" t="s">
        <v>37729</v>
      </c>
      <c r="C17148" s="29" t="s">
        <v>255</v>
      </c>
      <c r="D17148" s="31">
        <v>299.38</v>
      </c>
      <c r="F17148" s="3" t="str">
        <f t="shared" si="267"/>
        <v>I8323</v>
      </c>
    </row>
    <row r="17149" spans="1:6" x14ac:dyDescent="0.2">
      <c r="A17149" s="29" t="s">
        <v>37730</v>
      </c>
      <c r="B17149" s="30" t="s">
        <v>37731</v>
      </c>
      <c r="C17149" s="29" t="s">
        <v>255</v>
      </c>
      <c r="D17149" s="31">
        <v>266.44</v>
      </c>
      <c r="F17149" s="3" t="str">
        <f t="shared" si="267"/>
        <v>I8322</v>
      </c>
    </row>
    <row r="17150" spans="1:6" x14ac:dyDescent="0.2">
      <c r="A17150" s="29" t="s">
        <v>37732</v>
      </c>
      <c r="B17150" s="30" t="s">
        <v>37733</v>
      </c>
      <c r="C17150" s="29" t="s">
        <v>255</v>
      </c>
      <c r="D17150" s="31">
        <v>272.64</v>
      </c>
      <c r="F17150" s="3" t="str">
        <f t="shared" si="267"/>
        <v>I8319</v>
      </c>
    </row>
    <row r="17151" spans="1:6" x14ac:dyDescent="0.2">
      <c r="A17151" s="29" t="s">
        <v>37734</v>
      </c>
      <c r="B17151" s="30" t="s">
        <v>37735</v>
      </c>
      <c r="C17151" s="29" t="s">
        <v>255</v>
      </c>
      <c r="D17151" s="31">
        <v>224.21</v>
      </c>
      <c r="F17151" s="3" t="str">
        <f t="shared" si="267"/>
        <v>I8318</v>
      </c>
    </row>
    <row r="17152" spans="1:6" x14ac:dyDescent="0.2">
      <c r="A17152" s="29" t="s">
        <v>37736</v>
      </c>
      <c r="B17152" s="30" t="s">
        <v>14169</v>
      </c>
      <c r="C17152" s="29" t="s">
        <v>271</v>
      </c>
      <c r="D17152" s="31">
        <v>29.88</v>
      </c>
      <c r="F17152" s="3" t="str">
        <f t="shared" si="267"/>
        <v>I8189</v>
      </c>
    </row>
    <row r="17153" spans="1:6" x14ac:dyDescent="0.2">
      <c r="A17153" s="29" t="s">
        <v>37737</v>
      </c>
      <c r="B17153" s="30" t="s">
        <v>14601</v>
      </c>
      <c r="C17153" s="29" t="s">
        <v>26</v>
      </c>
      <c r="D17153" s="31">
        <v>4027.6</v>
      </c>
      <c r="F17153" s="3" t="str">
        <f t="shared" si="267"/>
        <v>I8235</v>
      </c>
    </row>
    <row r="17154" spans="1:6" ht="22.5" x14ac:dyDescent="0.2">
      <c r="A17154" s="29" t="s">
        <v>37738</v>
      </c>
      <c r="B17154" s="30" t="s">
        <v>37739</v>
      </c>
      <c r="C17154" s="29" t="s">
        <v>1284</v>
      </c>
      <c r="D17154" s="31">
        <v>39.979999999999997</v>
      </c>
      <c r="F17154" s="3" t="str">
        <f t="shared" ref="F17154:F17217" si="268">A17154</f>
        <v>I8238</v>
      </c>
    </row>
    <row r="17155" spans="1:6" x14ac:dyDescent="0.2">
      <c r="A17155" s="29" t="s">
        <v>37740</v>
      </c>
      <c r="B17155" s="30" t="s">
        <v>7794</v>
      </c>
      <c r="C17155" s="29" t="s">
        <v>0</v>
      </c>
      <c r="D17155" s="31">
        <v>110.23</v>
      </c>
      <c r="F17155" s="3" t="str">
        <f t="shared" si="268"/>
        <v>I8261</v>
      </c>
    </row>
    <row r="17156" spans="1:6" x14ac:dyDescent="0.2">
      <c r="A17156" s="29" t="s">
        <v>37741</v>
      </c>
      <c r="B17156" s="30" t="s">
        <v>37742</v>
      </c>
      <c r="C17156" s="29" t="s">
        <v>26</v>
      </c>
      <c r="D17156" s="31">
        <v>7.03</v>
      </c>
      <c r="F17156" s="3" t="str">
        <f t="shared" si="268"/>
        <v>I9048</v>
      </c>
    </row>
    <row r="17157" spans="1:6" ht="22.5" x14ac:dyDescent="0.2">
      <c r="A17157" s="29" t="s">
        <v>37743</v>
      </c>
      <c r="B17157" s="30" t="s">
        <v>37744</v>
      </c>
      <c r="C17157" s="29" t="s">
        <v>0</v>
      </c>
      <c r="D17157" s="31">
        <v>220.48</v>
      </c>
      <c r="F17157" s="3" t="str">
        <f t="shared" si="268"/>
        <v>I7456</v>
      </c>
    </row>
    <row r="17158" spans="1:6" x14ac:dyDescent="0.2">
      <c r="A17158" s="29" t="s">
        <v>37745</v>
      </c>
      <c r="B17158" s="30" t="s">
        <v>37746</v>
      </c>
      <c r="C17158" s="29" t="s">
        <v>255</v>
      </c>
      <c r="D17158" s="31">
        <v>104.86</v>
      </c>
      <c r="F17158" s="3" t="str">
        <f t="shared" si="268"/>
        <v>I8306</v>
      </c>
    </row>
    <row r="17159" spans="1:6" x14ac:dyDescent="0.2">
      <c r="A17159" s="29" t="s">
        <v>37747</v>
      </c>
      <c r="B17159" s="30" t="s">
        <v>37748</v>
      </c>
      <c r="C17159" s="29" t="s">
        <v>255</v>
      </c>
      <c r="D17159" s="31">
        <v>101.88</v>
      </c>
      <c r="F17159" s="3" t="str">
        <f t="shared" si="268"/>
        <v>I8305</v>
      </c>
    </row>
    <row r="17160" spans="1:6" x14ac:dyDescent="0.2">
      <c r="A17160" s="29" t="s">
        <v>37749</v>
      </c>
      <c r="B17160" s="30" t="s">
        <v>37750</v>
      </c>
      <c r="C17160" s="29" t="s">
        <v>255</v>
      </c>
      <c r="D17160" s="31">
        <v>120.58</v>
      </c>
      <c r="F17160" s="3" t="str">
        <f t="shared" si="268"/>
        <v>I8304</v>
      </c>
    </row>
    <row r="17161" spans="1:6" ht="33.75" x14ac:dyDescent="0.2">
      <c r="A17161" s="29" t="s">
        <v>37751</v>
      </c>
      <c r="B17161" s="30" t="s">
        <v>37752</v>
      </c>
      <c r="C17161" s="29" t="s">
        <v>255</v>
      </c>
      <c r="D17161" s="31">
        <v>90.67</v>
      </c>
      <c r="F17161" s="3" t="str">
        <f t="shared" si="268"/>
        <v>I9105</v>
      </c>
    </row>
    <row r="17162" spans="1:6" x14ac:dyDescent="0.2">
      <c r="A17162" s="29" t="s">
        <v>37753</v>
      </c>
      <c r="B17162" s="30" t="s">
        <v>37754</v>
      </c>
      <c r="C17162" s="29" t="s">
        <v>255</v>
      </c>
      <c r="D17162" s="31">
        <v>54.69</v>
      </c>
      <c r="F17162" s="3" t="str">
        <f t="shared" si="268"/>
        <v>I8291</v>
      </c>
    </row>
    <row r="17163" spans="1:6" x14ac:dyDescent="0.2">
      <c r="A17163" s="29" t="s">
        <v>37755</v>
      </c>
      <c r="B17163" s="30" t="s">
        <v>37756</v>
      </c>
      <c r="C17163" s="29" t="s">
        <v>255</v>
      </c>
      <c r="D17163" s="31">
        <v>71.94</v>
      </c>
      <c r="F17163" s="3" t="str">
        <f t="shared" si="268"/>
        <v>I8292</v>
      </c>
    </row>
    <row r="17164" spans="1:6" ht="22.5" x14ac:dyDescent="0.2">
      <c r="A17164" s="29" t="s">
        <v>37757</v>
      </c>
      <c r="B17164" s="30" t="s">
        <v>37758</v>
      </c>
      <c r="C17164" s="29" t="s">
        <v>255</v>
      </c>
      <c r="D17164" s="31">
        <v>38.78</v>
      </c>
      <c r="F17164" s="3" t="str">
        <f t="shared" si="268"/>
        <v>I8288</v>
      </c>
    </row>
    <row r="17165" spans="1:6" ht="22.5" x14ac:dyDescent="0.2">
      <c r="A17165" s="29" t="s">
        <v>37759</v>
      </c>
      <c r="B17165" s="30" t="s">
        <v>37760</v>
      </c>
      <c r="C17165" s="29" t="s">
        <v>255</v>
      </c>
      <c r="D17165" s="31">
        <v>31.03</v>
      </c>
      <c r="F17165" s="3" t="str">
        <f t="shared" si="268"/>
        <v>I8289</v>
      </c>
    </row>
    <row r="17166" spans="1:6" x14ac:dyDescent="0.2">
      <c r="A17166" s="29" t="s">
        <v>37761</v>
      </c>
      <c r="B17166" s="30" t="s">
        <v>37762</v>
      </c>
      <c r="C17166" s="29" t="s">
        <v>255</v>
      </c>
      <c r="D17166" s="31">
        <v>118.85</v>
      </c>
      <c r="F17166" s="3" t="str">
        <f t="shared" si="268"/>
        <v>I8310</v>
      </c>
    </row>
    <row r="17167" spans="1:6" x14ac:dyDescent="0.2">
      <c r="A17167" s="29" t="s">
        <v>37763</v>
      </c>
      <c r="B17167" s="30" t="s">
        <v>37764</v>
      </c>
      <c r="C17167" s="29" t="s">
        <v>255</v>
      </c>
      <c r="D17167" s="31">
        <v>86.28</v>
      </c>
      <c r="F17167" s="3" t="str">
        <f t="shared" si="268"/>
        <v>I8309</v>
      </c>
    </row>
    <row r="17168" spans="1:6" x14ac:dyDescent="0.2">
      <c r="A17168" s="29" t="s">
        <v>37765</v>
      </c>
      <c r="B17168" s="30" t="s">
        <v>37766</v>
      </c>
      <c r="C17168" s="29" t="s">
        <v>255</v>
      </c>
      <c r="D17168" s="31">
        <v>76.69</v>
      </c>
      <c r="F17168" s="3" t="str">
        <f t="shared" si="268"/>
        <v>I8308</v>
      </c>
    </row>
    <row r="17169" spans="1:6" x14ac:dyDescent="0.2">
      <c r="A17169" s="29" t="s">
        <v>37767</v>
      </c>
      <c r="B17169" s="30" t="s">
        <v>37768</v>
      </c>
      <c r="C17169" s="29" t="s">
        <v>255</v>
      </c>
      <c r="D17169" s="31">
        <v>70.930000000000007</v>
      </c>
      <c r="F17169" s="3" t="str">
        <f t="shared" si="268"/>
        <v>I8307</v>
      </c>
    </row>
    <row r="17170" spans="1:6" x14ac:dyDescent="0.2">
      <c r="A17170" s="29" t="s">
        <v>37769</v>
      </c>
      <c r="B17170" s="30" t="s">
        <v>37770</v>
      </c>
      <c r="C17170" s="29" t="s">
        <v>255</v>
      </c>
      <c r="D17170" s="31">
        <v>196.35</v>
      </c>
      <c r="F17170" s="3" t="str">
        <f t="shared" si="268"/>
        <v>I8297</v>
      </c>
    </row>
    <row r="17171" spans="1:6" ht="22.5" x14ac:dyDescent="0.2">
      <c r="A17171" s="29" t="s">
        <v>37771</v>
      </c>
      <c r="B17171" s="30" t="s">
        <v>37772</v>
      </c>
      <c r="C17171" s="29" t="s">
        <v>255</v>
      </c>
      <c r="D17171" s="31">
        <v>69.540000000000006</v>
      </c>
      <c r="F17171" s="3" t="str">
        <f t="shared" si="268"/>
        <v>I8293</v>
      </c>
    </row>
    <row r="17172" spans="1:6" x14ac:dyDescent="0.2">
      <c r="A17172" s="29" t="s">
        <v>37773</v>
      </c>
      <c r="B17172" s="30" t="s">
        <v>37774</v>
      </c>
      <c r="C17172" s="29" t="s">
        <v>255</v>
      </c>
      <c r="D17172" s="31">
        <v>125.67</v>
      </c>
      <c r="F17172" s="3" t="str">
        <f t="shared" si="268"/>
        <v>I8296</v>
      </c>
    </row>
    <row r="17173" spans="1:6" x14ac:dyDescent="0.2">
      <c r="A17173" s="29" t="s">
        <v>37775</v>
      </c>
      <c r="B17173" s="30" t="s">
        <v>37776</v>
      </c>
      <c r="C17173" s="29" t="s">
        <v>255</v>
      </c>
      <c r="D17173" s="31">
        <v>91.51</v>
      </c>
      <c r="F17173" s="3" t="str">
        <f t="shared" si="268"/>
        <v>I8295</v>
      </c>
    </row>
    <row r="17174" spans="1:6" x14ac:dyDescent="0.2">
      <c r="A17174" s="29" t="s">
        <v>37777</v>
      </c>
      <c r="B17174" s="30" t="s">
        <v>37778</v>
      </c>
      <c r="C17174" s="29" t="s">
        <v>255</v>
      </c>
      <c r="D17174" s="31">
        <v>88.88</v>
      </c>
      <c r="F17174" s="3" t="str">
        <f t="shared" si="268"/>
        <v>I8294</v>
      </c>
    </row>
    <row r="17175" spans="1:6" ht="22.5" x14ac:dyDescent="0.2">
      <c r="A17175" s="29" t="s">
        <v>37779</v>
      </c>
      <c r="B17175" s="30" t="s">
        <v>37780</v>
      </c>
      <c r="C17175" s="29" t="s">
        <v>255</v>
      </c>
      <c r="D17175" s="31">
        <v>20.96</v>
      </c>
      <c r="F17175" s="3" t="str">
        <f t="shared" si="268"/>
        <v>I7540</v>
      </c>
    </row>
    <row r="17176" spans="1:6" ht="22.5" x14ac:dyDescent="0.2">
      <c r="A17176" s="29" t="s">
        <v>37781</v>
      </c>
      <c r="B17176" s="30" t="s">
        <v>37782</v>
      </c>
      <c r="C17176" s="29" t="s">
        <v>255</v>
      </c>
      <c r="D17176" s="31">
        <v>366.28</v>
      </c>
      <c r="F17176" s="3" t="str">
        <f t="shared" si="268"/>
        <v>I8339</v>
      </c>
    </row>
    <row r="17177" spans="1:6" ht="22.5" x14ac:dyDescent="0.2">
      <c r="A17177" s="29" t="s">
        <v>37783</v>
      </c>
      <c r="B17177" s="30" t="s">
        <v>37784</v>
      </c>
      <c r="C17177" s="29" t="s">
        <v>255</v>
      </c>
      <c r="D17177" s="31">
        <v>311.95</v>
      </c>
      <c r="F17177" s="3" t="str">
        <f t="shared" si="268"/>
        <v>I8337</v>
      </c>
    </row>
    <row r="17178" spans="1:6" ht="22.5" x14ac:dyDescent="0.2">
      <c r="A17178" s="29" t="s">
        <v>37785</v>
      </c>
      <c r="B17178" s="30" t="s">
        <v>37786</v>
      </c>
      <c r="C17178" s="29" t="s">
        <v>255</v>
      </c>
      <c r="D17178" s="31">
        <v>397.68</v>
      </c>
      <c r="F17178" s="3" t="str">
        <f t="shared" si="268"/>
        <v>I8345</v>
      </c>
    </row>
    <row r="17179" spans="1:6" ht="22.5" x14ac:dyDescent="0.2">
      <c r="A17179" s="29" t="s">
        <v>37787</v>
      </c>
      <c r="B17179" s="30" t="s">
        <v>37788</v>
      </c>
      <c r="C17179" s="29" t="s">
        <v>255</v>
      </c>
      <c r="D17179" s="31">
        <v>344.72</v>
      </c>
      <c r="F17179" s="3" t="str">
        <f t="shared" si="268"/>
        <v>I8343</v>
      </c>
    </row>
    <row r="17180" spans="1:6" x14ac:dyDescent="0.2">
      <c r="A17180" s="29" t="s">
        <v>37789</v>
      </c>
      <c r="B17180" s="30" t="s">
        <v>5929</v>
      </c>
      <c r="C17180" s="29" t="s">
        <v>255</v>
      </c>
      <c r="D17180" s="31">
        <v>0.56000000000000005</v>
      </c>
      <c r="F17180" s="3" t="str">
        <f t="shared" si="268"/>
        <v>I0175</v>
      </c>
    </row>
    <row r="17181" spans="1:6" x14ac:dyDescent="0.2">
      <c r="A17181" s="29" t="s">
        <v>37790</v>
      </c>
      <c r="B17181" s="30" t="s">
        <v>6060</v>
      </c>
      <c r="C17181" s="29" t="s">
        <v>255</v>
      </c>
      <c r="D17181" s="31">
        <v>0.65</v>
      </c>
      <c r="F17181" s="3" t="str">
        <f t="shared" si="268"/>
        <v>I0499</v>
      </c>
    </row>
    <row r="17182" spans="1:6" x14ac:dyDescent="0.2">
      <c r="A17182" s="29" t="s">
        <v>37791</v>
      </c>
      <c r="B17182" s="30" t="s">
        <v>6058</v>
      </c>
      <c r="C17182" s="29" t="s">
        <v>255</v>
      </c>
      <c r="D17182" s="31">
        <v>0.56000000000000005</v>
      </c>
      <c r="F17182" s="3" t="str">
        <f t="shared" si="268"/>
        <v>I0472</v>
      </c>
    </row>
    <row r="17183" spans="1:6" x14ac:dyDescent="0.2">
      <c r="A17183" s="29" t="s">
        <v>37792</v>
      </c>
      <c r="B17183" s="30" t="s">
        <v>13321</v>
      </c>
      <c r="C17183" s="29" t="s">
        <v>26</v>
      </c>
      <c r="D17183" s="31">
        <v>2293.86</v>
      </c>
      <c r="F17183" s="3" t="str">
        <f t="shared" si="268"/>
        <v>I7980</v>
      </c>
    </row>
    <row r="17184" spans="1:6" ht="22.5" x14ac:dyDescent="0.2">
      <c r="A17184" s="29" t="s">
        <v>37793</v>
      </c>
      <c r="B17184" s="30" t="s">
        <v>37794</v>
      </c>
      <c r="C17184" s="29" t="s">
        <v>26</v>
      </c>
      <c r="D17184" s="31">
        <v>301.01</v>
      </c>
      <c r="F17184" s="3" t="str">
        <f t="shared" si="268"/>
        <v>I9151</v>
      </c>
    </row>
    <row r="17185" spans="1:6" ht="22.5" x14ac:dyDescent="0.2">
      <c r="A17185" s="29" t="s">
        <v>37795</v>
      </c>
      <c r="B17185" s="30" t="s">
        <v>37796</v>
      </c>
      <c r="C17185" s="29" t="s">
        <v>26</v>
      </c>
      <c r="D17185" s="31">
        <v>375.84</v>
      </c>
      <c r="F17185" s="3" t="str">
        <f t="shared" si="268"/>
        <v>I9153</v>
      </c>
    </row>
    <row r="17186" spans="1:6" ht="22.5" x14ac:dyDescent="0.2">
      <c r="A17186" s="29" t="s">
        <v>37797</v>
      </c>
      <c r="B17186" s="30" t="s">
        <v>37798</v>
      </c>
      <c r="C17186" s="29" t="s">
        <v>26</v>
      </c>
      <c r="D17186" s="31">
        <v>471.2</v>
      </c>
      <c r="F17186" s="3" t="str">
        <f t="shared" si="268"/>
        <v>I9044</v>
      </c>
    </row>
    <row r="17187" spans="1:6" ht="22.5" x14ac:dyDescent="0.2">
      <c r="A17187" s="29" t="s">
        <v>37799</v>
      </c>
      <c r="B17187" s="30" t="s">
        <v>37800</v>
      </c>
      <c r="C17187" s="29" t="s">
        <v>26</v>
      </c>
      <c r="D17187" s="31">
        <v>557</v>
      </c>
      <c r="F17187" s="3" t="str">
        <f t="shared" si="268"/>
        <v>I9041</v>
      </c>
    </row>
    <row r="17188" spans="1:6" ht="22.5" x14ac:dyDescent="0.2">
      <c r="A17188" s="29" t="s">
        <v>37801</v>
      </c>
      <c r="B17188" s="30" t="s">
        <v>37802</v>
      </c>
      <c r="C17188" s="29" t="s">
        <v>26</v>
      </c>
      <c r="D17188" s="31">
        <v>541.53</v>
      </c>
      <c r="F17188" s="3" t="str">
        <f t="shared" si="268"/>
        <v>I9043</v>
      </c>
    </row>
    <row r="17189" spans="1:6" ht="22.5" x14ac:dyDescent="0.2">
      <c r="A17189" s="29" t="s">
        <v>37803</v>
      </c>
      <c r="B17189" s="30" t="s">
        <v>37804</v>
      </c>
      <c r="C17189" s="29" t="s">
        <v>26</v>
      </c>
      <c r="D17189" s="31">
        <v>675.15</v>
      </c>
      <c r="F17189" s="3" t="str">
        <f t="shared" si="268"/>
        <v>I9040</v>
      </c>
    </row>
    <row r="17190" spans="1:6" ht="22.5" x14ac:dyDescent="0.2">
      <c r="A17190" s="29" t="s">
        <v>37805</v>
      </c>
      <c r="B17190" s="30" t="s">
        <v>37806</v>
      </c>
      <c r="C17190" s="29" t="s">
        <v>26</v>
      </c>
      <c r="D17190" s="31">
        <v>675.15</v>
      </c>
      <c r="F17190" s="3" t="str">
        <f t="shared" si="268"/>
        <v>I9042</v>
      </c>
    </row>
    <row r="17191" spans="1:6" ht="45" x14ac:dyDescent="0.2">
      <c r="A17191" s="29" t="s">
        <v>37807</v>
      </c>
      <c r="B17191" s="30" t="s">
        <v>37808</v>
      </c>
      <c r="C17191" s="29" t="s">
        <v>26</v>
      </c>
      <c r="D17191" s="31">
        <v>805.96</v>
      </c>
      <c r="F17191" s="3" t="str">
        <f t="shared" si="268"/>
        <v>I9039</v>
      </c>
    </row>
    <row r="17192" spans="1:6" x14ac:dyDescent="0.2">
      <c r="A17192" s="29" t="s">
        <v>37809</v>
      </c>
      <c r="B17192" s="30" t="s">
        <v>37810</v>
      </c>
      <c r="C17192" s="29" t="s">
        <v>255</v>
      </c>
      <c r="D17192" s="31">
        <v>89.31</v>
      </c>
      <c r="F17192" s="3" t="str">
        <f t="shared" si="268"/>
        <v>I8333</v>
      </c>
    </row>
    <row r="17193" spans="1:6" x14ac:dyDescent="0.2">
      <c r="A17193" s="29" t="s">
        <v>37811</v>
      </c>
      <c r="B17193" s="30" t="s">
        <v>37812</v>
      </c>
      <c r="C17193" s="29" t="s">
        <v>255</v>
      </c>
      <c r="D17193" s="31">
        <v>70.17</v>
      </c>
      <c r="F17193" s="3" t="str">
        <f t="shared" si="268"/>
        <v>I8332</v>
      </c>
    </row>
    <row r="17194" spans="1:6" ht="22.5" x14ac:dyDescent="0.2">
      <c r="A17194" s="29" t="s">
        <v>37813</v>
      </c>
      <c r="B17194" s="30" t="s">
        <v>37814</v>
      </c>
      <c r="C17194" s="29" t="s">
        <v>0</v>
      </c>
      <c r="D17194" s="31">
        <v>372.74</v>
      </c>
      <c r="F17194" s="3" t="str">
        <f t="shared" si="268"/>
        <v>I7332</v>
      </c>
    </row>
    <row r="17195" spans="1:6" ht="22.5" x14ac:dyDescent="0.2">
      <c r="A17195" s="29" t="s">
        <v>37815</v>
      </c>
      <c r="B17195" s="30" t="s">
        <v>37816</v>
      </c>
      <c r="C17195" s="29" t="s">
        <v>255</v>
      </c>
      <c r="D17195" s="31">
        <v>448</v>
      </c>
      <c r="F17195" s="3" t="str">
        <f t="shared" si="268"/>
        <v>I13299</v>
      </c>
    </row>
    <row r="17196" spans="1:6" ht="22.5" x14ac:dyDescent="0.2">
      <c r="A17196" s="29" t="s">
        <v>37817</v>
      </c>
      <c r="B17196" s="30" t="s">
        <v>37818</v>
      </c>
      <c r="C17196" s="29" t="s">
        <v>255</v>
      </c>
      <c r="D17196" s="31">
        <v>284.12</v>
      </c>
      <c r="F17196" s="3" t="str">
        <f t="shared" si="268"/>
        <v>I9143</v>
      </c>
    </row>
    <row r="17197" spans="1:6" x14ac:dyDescent="0.2">
      <c r="A17197" s="29" t="s">
        <v>37819</v>
      </c>
      <c r="B17197" s="30" t="s">
        <v>37820</v>
      </c>
      <c r="C17197" s="29" t="s">
        <v>255</v>
      </c>
      <c r="D17197" s="31">
        <v>205.53</v>
      </c>
      <c r="F17197" s="3" t="str">
        <f t="shared" si="268"/>
        <v>I7969</v>
      </c>
    </row>
    <row r="17198" spans="1:6" ht="22.5" x14ac:dyDescent="0.2">
      <c r="A17198" s="29" t="s">
        <v>37821</v>
      </c>
      <c r="B17198" s="30" t="s">
        <v>37822</v>
      </c>
      <c r="C17198" s="29" t="s">
        <v>255</v>
      </c>
      <c r="D17198" s="31">
        <v>299.97000000000003</v>
      </c>
      <c r="F17198" s="3" t="str">
        <f t="shared" si="268"/>
        <v>I7541</v>
      </c>
    </row>
    <row r="17199" spans="1:6" x14ac:dyDescent="0.2">
      <c r="A17199" s="29" t="s">
        <v>37823</v>
      </c>
      <c r="B17199" s="30" t="s">
        <v>37824</v>
      </c>
      <c r="C17199" s="29" t="s">
        <v>255</v>
      </c>
      <c r="D17199" s="31">
        <v>89.23</v>
      </c>
      <c r="F17199" s="3" t="str">
        <f t="shared" si="268"/>
        <v>I8328</v>
      </c>
    </row>
    <row r="17200" spans="1:6" x14ac:dyDescent="0.2">
      <c r="A17200" s="29" t="s">
        <v>37825</v>
      </c>
      <c r="B17200" s="30" t="s">
        <v>37826</v>
      </c>
      <c r="C17200" s="29" t="s">
        <v>255</v>
      </c>
      <c r="D17200" s="31">
        <v>111.54</v>
      </c>
      <c r="F17200" s="3" t="str">
        <f t="shared" si="268"/>
        <v>I8329</v>
      </c>
    </row>
    <row r="17201" spans="1:6" x14ac:dyDescent="0.2">
      <c r="A17201" s="29" t="s">
        <v>37827</v>
      </c>
      <c r="B17201" s="30" t="s">
        <v>9352</v>
      </c>
      <c r="C17201" s="29" t="s">
        <v>255</v>
      </c>
      <c r="D17201" s="31">
        <v>16.16</v>
      </c>
      <c r="F17201" s="3" t="str">
        <f t="shared" si="268"/>
        <v>I7920</v>
      </c>
    </row>
    <row r="17202" spans="1:6" x14ac:dyDescent="0.2">
      <c r="A17202" s="29" t="s">
        <v>37828</v>
      </c>
      <c r="B17202" s="30" t="s">
        <v>37829</v>
      </c>
      <c r="C17202" s="29" t="s">
        <v>26</v>
      </c>
      <c r="D17202" s="31">
        <v>385.1</v>
      </c>
      <c r="F17202" s="3" t="str">
        <f t="shared" si="268"/>
        <v>I8248</v>
      </c>
    </row>
    <row r="17203" spans="1:6" ht="22.5" x14ac:dyDescent="0.2">
      <c r="A17203" s="29" t="s">
        <v>37830</v>
      </c>
      <c r="B17203" s="30" t="s">
        <v>37831</v>
      </c>
      <c r="C17203" s="29" t="s">
        <v>255</v>
      </c>
      <c r="D17203" s="31">
        <v>449.4</v>
      </c>
      <c r="F17203" s="3" t="str">
        <f t="shared" si="268"/>
        <v>I8342</v>
      </c>
    </row>
    <row r="17204" spans="1:6" ht="22.5" x14ac:dyDescent="0.2">
      <c r="A17204" s="29" t="s">
        <v>37832</v>
      </c>
      <c r="B17204" s="30" t="s">
        <v>37833</v>
      </c>
      <c r="C17204" s="29" t="s">
        <v>255</v>
      </c>
      <c r="D17204" s="31">
        <v>407.91</v>
      </c>
      <c r="F17204" s="3" t="str">
        <f t="shared" si="268"/>
        <v>I8341</v>
      </c>
    </row>
    <row r="17205" spans="1:6" ht="22.5" x14ac:dyDescent="0.2">
      <c r="A17205" s="29" t="s">
        <v>37834</v>
      </c>
      <c r="B17205" s="30" t="s">
        <v>37835</v>
      </c>
      <c r="C17205" s="29" t="s">
        <v>255</v>
      </c>
      <c r="D17205" s="31">
        <v>438.25</v>
      </c>
      <c r="F17205" s="3" t="str">
        <f t="shared" si="268"/>
        <v>I8340</v>
      </c>
    </row>
    <row r="17206" spans="1:6" ht="22.5" x14ac:dyDescent="0.2">
      <c r="A17206" s="29" t="s">
        <v>37836</v>
      </c>
      <c r="B17206" s="30" t="s">
        <v>37837</v>
      </c>
      <c r="C17206" s="29" t="s">
        <v>255</v>
      </c>
      <c r="D17206" s="31">
        <v>404.39</v>
      </c>
      <c r="F17206" s="3" t="str">
        <f t="shared" si="268"/>
        <v>I8338</v>
      </c>
    </row>
    <row r="17207" spans="1:6" x14ac:dyDescent="0.2">
      <c r="A17207" s="29" t="s">
        <v>37838</v>
      </c>
      <c r="B17207" s="30" t="s">
        <v>37839</v>
      </c>
      <c r="C17207" s="29" t="s">
        <v>255</v>
      </c>
      <c r="D17207" s="31">
        <v>494.41</v>
      </c>
      <c r="F17207" s="3" t="str">
        <f t="shared" si="268"/>
        <v>I8348</v>
      </c>
    </row>
    <row r="17208" spans="1:6" x14ac:dyDescent="0.2">
      <c r="A17208" s="29" t="s">
        <v>37840</v>
      </c>
      <c r="B17208" s="30" t="s">
        <v>37841</v>
      </c>
      <c r="C17208" s="29" t="s">
        <v>255</v>
      </c>
      <c r="D17208" s="31">
        <v>451.93</v>
      </c>
      <c r="F17208" s="3" t="str">
        <f t="shared" si="268"/>
        <v>I8347</v>
      </c>
    </row>
    <row r="17209" spans="1:6" x14ac:dyDescent="0.2">
      <c r="A17209" s="29" t="s">
        <v>37842</v>
      </c>
      <c r="B17209" s="30" t="s">
        <v>37843</v>
      </c>
      <c r="C17209" s="29" t="s">
        <v>255</v>
      </c>
      <c r="D17209" s="31">
        <v>464.45</v>
      </c>
      <c r="F17209" s="3" t="str">
        <f t="shared" si="268"/>
        <v>I8346</v>
      </c>
    </row>
    <row r="17210" spans="1:6" x14ac:dyDescent="0.2">
      <c r="A17210" s="29" t="s">
        <v>37844</v>
      </c>
      <c r="B17210" s="30" t="s">
        <v>37845</v>
      </c>
      <c r="C17210" s="29" t="s">
        <v>255</v>
      </c>
      <c r="D17210" s="31">
        <v>449.4</v>
      </c>
      <c r="F17210" s="3" t="str">
        <f t="shared" si="268"/>
        <v>I8344</v>
      </c>
    </row>
    <row r="17211" spans="1:6" ht="45" x14ac:dyDescent="0.2">
      <c r="A17211" s="29" t="s">
        <v>37846</v>
      </c>
      <c r="B17211" s="30" t="s">
        <v>37847</v>
      </c>
      <c r="C17211" s="29" t="s">
        <v>255</v>
      </c>
      <c r="D17211" s="31">
        <v>630.91</v>
      </c>
      <c r="F17211" s="3" t="str">
        <f t="shared" si="268"/>
        <v>I8437</v>
      </c>
    </row>
    <row r="17212" spans="1:6" x14ac:dyDescent="0.2">
      <c r="A17212" s="29" t="s">
        <v>37848</v>
      </c>
      <c r="B17212" s="30" t="s">
        <v>37849</v>
      </c>
      <c r="C17212" s="29" t="s">
        <v>255</v>
      </c>
      <c r="D17212" s="31">
        <v>448.84</v>
      </c>
      <c r="F17212" s="3" t="str">
        <f t="shared" si="268"/>
        <v>I8249</v>
      </c>
    </row>
    <row r="17213" spans="1:6" ht="45" x14ac:dyDescent="0.2">
      <c r="A17213" s="29" t="s">
        <v>37850</v>
      </c>
      <c r="B17213" s="30" t="s">
        <v>37851</v>
      </c>
      <c r="C17213" s="29" t="s">
        <v>255</v>
      </c>
      <c r="D17213" s="31">
        <v>630.91</v>
      </c>
      <c r="F17213" s="3" t="str">
        <f t="shared" si="268"/>
        <v>I8436</v>
      </c>
    </row>
    <row r="17214" spans="1:6" ht="22.5" x14ac:dyDescent="0.2">
      <c r="A17214" s="29" t="s">
        <v>37852</v>
      </c>
      <c r="B17214" s="30" t="s">
        <v>37853</v>
      </c>
      <c r="C17214" s="29" t="s">
        <v>26</v>
      </c>
      <c r="D17214" s="31">
        <v>119.56</v>
      </c>
      <c r="F17214" s="3" t="str">
        <f t="shared" si="268"/>
        <v>I9046</v>
      </c>
    </row>
    <row r="17215" spans="1:6" ht="22.5" x14ac:dyDescent="0.2">
      <c r="A17215" s="29" t="s">
        <v>37854</v>
      </c>
      <c r="B17215" s="30" t="s">
        <v>37855</v>
      </c>
      <c r="C17215" s="29" t="s">
        <v>26</v>
      </c>
      <c r="D17215" s="31">
        <v>89.8</v>
      </c>
      <c r="F17215" s="3" t="str">
        <f t="shared" si="268"/>
        <v>I9152</v>
      </c>
    </row>
    <row r="17216" spans="1:6" ht="22.5" x14ac:dyDescent="0.2">
      <c r="A17216" s="29" t="s">
        <v>37856</v>
      </c>
      <c r="B17216" s="30" t="s">
        <v>37857</v>
      </c>
      <c r="C17216" s="29" t="s">
        <v>26</v>
      </c>
      <c r="D17216" s="31">
        <v>95.65</v>
      </c>
      <c r="F17216" s="3" t="str">
        <f t="shared" si="268"/>
        <v>I9047</v>
      </c>
    </row>
    <row r="17217" spans="1:6" ht="22.5" x14ac:dyDescent="0.2">
      <c r="A17217" s="29" t="s">
        <v>37858</v>
      </c>
      <c r="B17217" s="30" t="s">
        <v>37859</v>
      </c>
      <c r="C17217" s="29" t="s">
        <v>26</v>
      </c>
      <c r="D17217" s="31">
        <v>154.72999999999999</v>
      </c>
      <c r="F17217" s="3" t="str">
        <f t="shared" si="268"/>
        <v>I9045</v>
      </c>
    </row>
    <row r="17218" spans="1:6" ht="22.5" x14ac:dyDescent="0.2">
      <c r="A17218" s="29" t="s">
        <v>37860</v>
      </c>
      <c r="B17218" s="30" t="s">
        <v>37861</v>
      </c>
      <c r="C17218" s="29" t="s">
        <v>26</v>
      </c>
      <c r="D17218" s="31">
        <v>37274.089999999997</v>
      </c>
      <c r="F17218" s="3" t="str">
        <f t="shared" ref="F17218:F17281" si="269">A17218</f>
        <v>I9069</v>
      </c>
    </row>
    <row r="17219" spans="1:6" ht="22.5" x14ac:dyDescent="0.2">
      <c r="A17219" s="29" t="s">
        <v>37862</v>
      </c>
      <c r="B17219" s="30" t="s">
        <v>14321</v>
      </c>
      <c r="C17219" s="29" t="s">
        <v>26</v>
      </c>
      <c r="D17219" s="31">
        <v>56334.22</v>
      </c>
      <c r="F17219" s="3" t="str">
        <f t="shared" si="269"/>
        <v>I9488</v>
      </c>
    </row>
    <row r="17220" spans="1:6" ht="22.5" x14ac:dyDescent="0.2">
      <c r="A17220" s="29" t="s">
        <v>37863</v>
      </c>
      <c r="B17220" s="30" t="s">
        <v>14323</v>
      </c>
      <c r="C17220" s="29" t="s">
        <v>26</v>
      </c>
      <c r="D17220" s="31">
        <v>79019.22</v>
      </c>
      <c r="F17220" s="3" t="str">
        <f t="shared" si="269"/>
        <v>I9489</v>
      </c>
    </row>
    <row r="17221" spans="1:6" x14ac:dyDescent="0.2">
      <c r="A17221" s="29" t="s">
        <v>37864</v>
      </c>
      <c r="B17221" s="30" t="s">
        <v>37865</v>
      </c>
      <c r="C17221" s="29" t="s">
        <v>255</v>
      </c>
      <c r="D17221" s="31">
        <v>21.69</v>
      </c>
      <c r="F17221" s="3" t="str">
        <f t="shared" si="269"/>
        <v>I8335</v>
      </c>
    </row>
    <row r="17222" spans="1:6" x14ac:dyDescent="0.2">
      <c r="A17222" s="29" t="s">
        <v>37866</v>
      </c>
      <c r="B17222" s="30" t="s">
        <v>37867</v>
      </c>
      <c r="C17222" s="29" t="s">
        <v>255</v>
      </c>
      <c r="D17222" s="31">
        <v>16.89</v>
      </c>
      <c r="F17222" s="3" t="str">
        <f t="shared" si="269"/>
        <v>I8334</v>
      </c>
    </row>
    <row r="17223" spans="1:6" x14ac:dyDescent="0.2">
      <c r="A17223" s="29" t="s">
        <v>37868</v>
      </c>
      <c r="B17223" s="30" t="s">
        <v>37869</v>
      </c>
      <c r="C17223" s="29" t="s">
        <v>0</v>
      </c>
      <c r="D17223" s="31">
        <v>25.2</v>
      </c>
      <c r="F17223" s="3" t="str">
        <f t="shared" si="269"/>
        <v>I7509</v>
      </c>
    </row>
    <row r="17224" spans="1:6" ht="33.75" x14ac:dyDescent="0.2">
      <c r="A17224" s="29" t="s">
        <v>37870</v>
      </c>
      <c r="B17224" s="30" t="s">
        <v>14675</v>
      </c>
      <c r="C17224" s="29" t="s">
        <v>1284</v>
      </c>
      <c r="D17224" s="31">
        <v>15.35</v>
      </c>
      <c r="F17224" s="3" t="str">
        <f t="shared" si="269"/>
        <v>I7944</v>
      </c>
    </row>
    <row r="17225" spans="1:6" ht="33.75" x14ac:dyDescent="0.2">
      <c r="A17225" s="29" t="s">
        <v>37871</v>
      </c>
      <c r="B17225" s="30" t="s">
        <v>14677</v>
      </c>
      <c r="C17225" s="29" t="s">
        <v>1284</v>
      </c>
      <c r="D17225" s="31">
        <v>19.809999999999999</v>
      </c>
      <c r="F17225" s="3" t="str">
        <f t="shared" si="269"/>
        <v>I7940</v>
      </c>
    </row>
    <row r="17226" spans="1:6" ht="22.5" x14ac:dyDescent="0.2">
      <c r="A17226" s="29" t="s">
        <v>37872</v>
      </c>
      <c r="B17226" s="30" t="s">
        <v>14679</v>
      </c>
      <c r="C17226" s="29" t="s">
        <v>26</v>
      </c>
      <c r="D17226" s="31">
        <v>1379.8</v>
      </c>
      <c r="F17226" s="3" t="str">
        <f t="shared" si="269"/>
        <v>I6807</v>
      </c>
    </row>
    <row r="17227" spans="1:6" x14ac:dyDescent="0.2">
      <c r="A17227" s="29" t="s">
        <v>37873</v>
      </c>
      <c r="B17227" s="30" t="s">
        <v>37874</v>
      </c>
      <c r="C17227" s="29" t="s">
        <v>255</v>
      </c>
      <c r="D17227" s="31">
        <v>15.34</v>
      </c>
      <c r="F17227" s="3" t="str">
        <f t="shared" si="269"/>
        <v>I8336</v>
      </c>
    </row>
    <row r="17228" spans="1:6" x14ac:dyDescent="0.2">
      <c r="A17228" s="29" t="s">
        <v>37875</v>
      </c>
      <c r="B17228" s="30" t="s">
        <v>37876</v>
      </c>
      <c r="C17228" s="29" t="s">
        <v>26</v>
      </c>
      <c r="D17228" s="31">
        <v>35.99</v>
      </c>
      <c r="F17228" s="3" t="str">
        <f t="shared" si="269"/>
        <v>I7368</v>
      </c>
    </row>
    <row r="17229" spans="1:6" x14ac:dyDescent="0.2">
      <c r="A17229" s="29" t="s">
        <v>37877</v>
      </c>
      <c r="B17229" s="30" t="s">
        <v>37878</v>
      </c>
      <c r="C17229" s="29" t="s">
        <v>26</v>
      </c>
      <c r="D17229" s="31">
        <v>73.03</v>
      </c>
      <c r="F17229" s="3" t="str">
        <f t="shared" si="269"/>
        <v>I7369</v>
      </c>
    </row>
    <row r="17230" spans="1:6" x14ac:dyDescent="0.2">
      <c r="A17230" s="29" t="s">
        <v>37879</v>
      </c>
      <c r="B17230" s="30" t="s">
        <v>37880</v>
      </c>
      <c r="C17230" s="29" t="s">
        <v>26</v>
      </c>
      <c r="D17230" s="31">
        <v>90.01</v>
      </c>
      <c r="F17230" s="3" t="str">
        <f t="shared" si="269"/>
        <v>I7370</v>
      </c>
    </row>
    <row r="17231" spans="1:6" x14ac:dyDescent="0.2">
      <c r="A17231" s="29" t="s">
        <v>37881</v>
      </c>
      <c r="B17231" s="30" t="s">
        <v>37882</v>
      </c>
      <c r="C17231" s="29" t="s">
        <v>26</v>
      </c>
      <c r="D17231" s="31">
        <v>113.97</v>
      </c>
      <c r="F17231" s="3" t="str">
        <f t="shared" si="269"/>
        <v>I7371</v>
      </c>
    </row>
    <row r="17232" spans="1:6" x14ac:dyDescent="0.2">
      <c r="A17232" s="29" t="s">
        <v>37883</v>
      </c>
      <c r="B17232" s="30" t="s">
        <v>37884</v>
      </c>
      <c r="C17232" s="29" t="s">
        <v>26</v>
      </c>
      <c r="D17232" s="31">
        <v>139.97999999999999</v>
      </c>
      <c r="F17232" s="3" t="str">
        <f t="shared" si="269"/>
        <v>I7372</v>
      </c>
    </row>
    <row r="17233" spans="1:6" x14ac:dyDescent="0.2">
      <c r="A17233" s="29" t="s">
        <v>37885</v>
      </c>
      <c r="B17233" s="30" t="s">
        <v>37886</v>
      </c>
      <c r="C17233" s="29" t="s">
        <v>0</v>
      </c>
      <c r="D17233" s="31">
        <v>27.12</v>
      </c>
      <c r="F17233" s="3" t="str">
        <f t="shared" si="269"/>
        <v>I8330</v>
      </c>
    </row>
    <row r="17234" spans="1:6" x14ac:dyDescent="0.2">
      <c r="A17234" s="29" t="s">
        <v>37887</v>
      </c>
      <c r="B17234" s="30" t="s">
        <v>37888</v>
      </c>
      <c r="C17234" s="29" t="s">
        <v>0</v>
      </c>
      <c r="D17234" s="31">
        <v>19.39</v>
      </c>
      <c r="F17234" s="3" t="str">
        <f t="shared" si="269"/>
        <v>I8331</v>
      </c>
    </row>
    <row r="17235" spans="1:6" x14ac:dyDescent="0.2">
      <c r="A17235" s="29" t="s">
        <v>37889</v>
      </c>
      <c r="B17235" s="30" t="s">
        <v>37890</v>
      </c>
      <c r="C17235" s="29" t="s">
        <v>0</v>
      </c>
      <c r="D17235" s="31">
        <v>19.39</v>
      </c>
      <c r="F17235" s="3" t="str">
        <f t="shared" si="269"/>
        <v>I8290</v>
      </c>
    </row>
    <row r="17236" spans="1:6" ht="22.5" x14ac:dyDescent="0.2">
      <c r="A17236" s="29" t="s">
        <v>37891</v>
      </c>
      <c r="B17236" s="30" t="s">
        <v>14329</v>
      </c>
      <c r="C17236" s="29" t="s">
        <v>26</v>
      </c>
      <c r="D17236" s="31">
        <v>55224.28</v>
      </c>
      <c r="F17236" s="3" t="str">
        <f t="shared" si="269"/>
        <v>I9492</v>
      </c>
    </row>
    <row r="17237" spans="1:6" ht="22.5" x14ac:dyDescent="0.2">
      <c r="A17237" s="29" t="s">
        <v>37892</v>
      </c>
      <c r="B17237" s="30" t="s">
        <v>14325</v>
      </c>
      <c r="C17237" s="29" t="s">
        <v>26</v>
      </c>
      <c r="D17237" s="31">
        <v>24485.15</v>
      </c>
      <c r="F17237" s="3" t="str">
        <f t="shared" si="269"/>
        <v>I9490</v>
      </c>
    </row>
    <row r="17238" spans="1:6" ht="22.5" x14ac:dyDescent="0.2">
      <c r="A17238" s="29" t="s">
        <v>37893</v>
      </c>
      <c r="B17238" s="30" t="s">
        <v>14327</v>
      </c>
      <c r="C17238" s="29" t="s">
        <v>26</v>
      </c>
      <c r="D17238" s="31">
        <v>32698.75</v>
      </c>
      <c r="F17238" s="3" t="str">
        <f t="shared" si="269"/>
        <v>I9491</v>
      </c>
    </row>
    <row r="17239" spans="1:6" x14ac:dyDescent="0.2">
      <c r="A17239" s="29" t="s">
        <v>37894</v>
      </c>
      <c r="B17239" s="30" t="s">
        <v>37895</v>
      </c>
      <c r="C17239" s="29" t="s">
        <v>255</v>
      </c>
      <c r="D17239" s="31">
        <v>21.1</v>
      </c>
      <c r="F17239" s="3" t="str">
        <f t="shared" si="269"/>
        <v>I9049</v>
      </c>
    </row>
    <row r="17240" spans="1:6" x14ac:dyDescent="0.2">
      <c r="A17240" s="29" t="s">
        <v>37896</v>
      </c>
      <c r="B17240" s="30" t="s">
        <v>37897</v>
      </c>
      <c r="C17240" s="29" t="s">
        <v>0</v>
      </c>
      <c r="D17240" s="31">
        <v>391.25</v>
      </c>
      <c r="F17240" s="3" t="str">
        <f t="shared" si="269"/>
        <v>I7406</v>
      </c>
    </row>
    <row r="17241" spans="1:6" x14ac:dyDescent="0.2">
      <c r="A17241" s="29" t="s">
        <v>37898</v>
      </c>
      <c r="B17241" s="30" t="s">
        <v>5933</v>
      </c>
      <c r="C17241" s="29" t="s">
        <v>0</v>
      </c>
      <c r="D17241" s="31">
        <v>1251.98</v>
      </c>
      <c r="F17241" s="3" t="str">
        <f t="shared" si="269"/>
        <v>I0454</v>
      </c>
    </row>
    <row r="17242" spans="1:6" x14ac:dyDescent="0.2">
      <c r="A17242" s="29" t="s">
        <v>37899</v>
      </c>
      <c r="B17242" s="30" t="s">
        <v>5935</v>
      </c>
      <c r="C17242" s="29" t="s">
        <v>0</v>
      </c>
      <c r="D17242" s="31">
        <v>299.97000000000003</v>
      </c>
      <c r="F17242" s="3" t="str">
        <f t="shared" si="269"/>
        <v>I0412</v>
      </c>
    </row>
    <row r="17243" spans="1:6" x14ac:dyDescent="0.2">
      <c r="A17243" s="29" t="s">
        <v>37900</v>
      </c>
      <c r="B17243" s="30" t="s">
        <v>37901</v>
      </c>
      <c r="C17243" s="29" t="s">
        <v>0</v>
      </c>
      <c r="D17243" s="31">
        <v>69.56</v>
      </c>
      <c r="F17243" s="3" t="str">
        <f t="shared" si="269"/>
        <v>I1860</v>
      </c>
    </row>
    <row r="17244" spans="1:6" ht="22.5" x14ac:dyDescent="0.2">
      <c r="A17244" s="29" t="s">
        <v>37902</v>
      </c>
      <c r="B17244" s="30" t="s">
        <v>13397</v>
      </c>
      <c r="C17244" s="29" t="s">
        <v>26</v>
      </c>
      <c r="D17244" s="31">
        <v>6912.16</v>
      </c>
      <c r="F17244" s="3" t="str">
        <f t="shared" si="269"/>
        <v>I7979</v>
      </c>
    </row>
    <row r="17245" spans="1:6" x14ac:dyDescent="0.2">
      <c r="A17245" s="29" t="s">
        <v>37903</v>
      </c>
      <c r="B17245" s="30" t="s">
        <v>37904</v>
      </c>
      <c r="C17245" s="29" t="s">
        <v>26</v>
      </c>
      <c r="D17245" s="31">
        <v>242.89</v>
      </c>
      <c r="F17245" s="3" t="str">
        <f t="shared" si="269"/>
        <v>I8687</v>
      </c>
    </row>
    <row r="17246" spans="1:6" x14ac:dyDescent="0.2">
      <c r="A17246" s="29" t="s">
        <v>37905</v>
      </c>
      <c r="B17246" s="30" t="s">
        <v>37906</v>
      </c>
      <c r="C17246" s="29" t="s">
        <v>0</v>
      </c>
      <c r="D17246" s="31">
        <v>34.090000000000003</v>
      </c>
      <c r="F17246" s="3" t="str">
        <f t="shared" si="269"/>
        <v>I1878</v>
      </c>
    </row>
    <row r="17247" spans="1:6" ht="22.5" x14ac:dyDescent="0.2">
      <c r="A17247" s="29" t="s">
        <v>37907</v>
      </c>
      <c r="B17247" s="30" t="s">
        <v>37908</v>
      </c>
      <c r="C17247" s="29" t="s">
        <v>26</v>
      </c>
      <c r="D17247" s="31">
        <v>228.83</v>
      </c>
      <c r="F17247" s="3" t="str">
        <f t="shared" si="269"/>
        <v>I8316</v>
      </c>
    </row>
    <row r="17248" spans="1:6" ht="22.5" x14ac:dyDescent="0.2">
      <c r="A17248" s="29" t="s">
        <v>37909</v>
      </c>
      <c r="B17248" s="30" t="s">
        <v>37910</v>
      </c>
      <c r="C17248" s="29" t="s">
        <v>26</v>
      </c>
      <c r="D17248" s="31">
        <v>212.82</v>
      </c>
      <c r="F17248" s="3" t="str">
        <f t="shared" si="269"/>
        <v>I8315</v>
      </c>
    </row>
    <row r="17249" spans="1:6" ht="15.75" customHeight="1" x14ac:dyDescent="0.2">
      <c r="A17249" s="32" t="s">
        <v>37911</v>
      </c>
      <c r="B17249" s="33"/>
      <c r="C17249" s="32">
        <v>0</v>
      </c>
      <c r="D17249" s="34">
        <v>0</v>
      </c>
      <c r="F17249" s="3" t="str">
        <f t="shared" si="269"/>
        <v>COTAÇÃO / SINALIZAÇÃO</v>
      </c>
    </row>
    <row r="17250" spans="1:6" ht="25.5" x14ac:dyDescent="0.2">
      <c r="A17250" s="26" t="s">
        <v>14985</v>
      </c>
      <c r="B17250" s="27" t="s">
        <v>14986</v>
      </c>
      <c r="C17250" s="26" t="s">
        <v>14987</v>
      </c>
      <c r="D17250" s="28" t="e">
        <v>#VALUE!</v>
      </c>
      <c r="F17250" s="3" t="str">
        <f t="shared" si="269"/>
        <v>Insumo</v>
      </c>
    </row>
    <row r="17251" spans="1:6" x14ac:dyDescent="0.2">
      <c r="A17251" s="29" t="s">
        <v>37912</v>
      </c>
      <c r="B17251" s="30" t="s">
        <v>37913</v>
      </c>
      <c r="C17251" s="29" t="s">
        <v>37914</v>
      </c>
      <c r="D17251" s="31">
        <v>341.52</v>
      </c>
      <c r="F17251" s="3" t="str">
        <f t="shared" si="269"/>
        <v>I2505</v>
      </c>
    </row>
    <row r="17252" spans="1:6" x14ac:dyDescent="0.2">
      <c r="A17252" s="29" t="s">
        <v>37915</v>
      </c>
      <c r="B17252" s="30" t="s">
        <v>37916</v>
      </c>
      <c r="C17252" s="29" t="s">
        <v>255</v>
      </c>
      <c r="D17252" s="31">
        <v>348.43</v>
      </c>
      <c r="F17252" s="3" t="str">
        <f t="shared" si="269"/>
        <v>I2515</v>
      </c>
    </row>
    <row r="17253" spans="1:6" x14ac:dyDescent="0.2">
      <c r="A17253" s="29" t="s">
        <v>37917</v>
      </c>
      <c r="B17253" s="30" t="s">
        <v>37918</v>
      </c>
      <c r="C17253" s="29" t="s">
        <v>1284</v>
      </c>
      <c r="D17253" s="31">
        <v>7.28</v>
      </c>
      <c r="F17253" s="3" t="str">
        <f t="shared" si="269"/>
        <v>I2521</v>
      </c>
    </row>
    <row r="17254" spans="1:6" x14ac:dyDescent="0.2">
      <c r="A17254" s="29" t="s">
        <v>37919</v>
      </c>
      <c r="B17254" s="30" t="s">
        <v>37920</v>
      </c>
      <c r="C17254" s="29" t="s">
        <v>255</v>
      </c>
      <c r="D17254" s="31">
        <v>193.7</v>
      </c>
      <c r="F17254" s="3" t="str">
        <f t="shared" si="269"/>
        <v>I8430</v>
      </c>
    </row>
    <row r="17255" spans="1:6" x14ac:dyDescent="0.2">
      <c r="A17255" s="29" t="s">
        <v>37921</v>
      </c>
      <c r="B17255" s="30" t="s">
        <v>37922</v>
      </c>
      <c r="C17255" s="29" t="s">
        <v>255</v>
      </c>
      <c r="D17255" s="31">
        <v>125.83</v>
      </c>
      <c r="F17255" s="3" t="str">
        <f t="shared" si="269"/>
        <v>I8429</v>
      </c>
    </row>
    <row r="17256" spans="1:6" x14ac:dyDescent="0.2">
      <c r="A17256" s="29" t="s">
        <v>37923</v>
      </c>
      <c r="B17256" s="30" t="s">
        <v>37924</v>
      </c>
      <c r="C17256" s="29" t="s">
        <v>255</v>
      </c>
      <c r="D17256" s="31">
        <v>577.5</v>
      </c>
      <c r="F17256" s="3" t="str">
        <f t="shared" si="269"/>
        <v>I2695</v>
      </c>
    </row>
    <row r="17257" spans="1:6" x14ac:dyDescent="0.2">
      <c r="A17257" s="29" t="s">
        <v>37925</v>
      </c>
      <c r="B17257" s="30" t="s">
        <v>37926</v>
      </c>
      <c r="C17257" s="29" t="s">
        <v>255</v>
      </c>
      <c r="D17257" s="31">
        <v>836.83</v>
      </c>
      <c r="F17257" s="3" t="str">
        <f t="shared" si="269"/>
        <v>I2572</v>
      </c>
    </row>
    <row r="17258" spans="1:6" x14ac:dyDescent="0.2">
      <c r="A17258" s="29" t="s">
        <v>37927</v>
      </c>
      <c r="B17258" s="30" t="s">
        <v>37928</v>
      </c>
      <c r="C17258" s="29" t="s">
        <v>255</v>
      </c>
      <c r="D17258" s="31">
        <v>720</v>
      </c>
      <c r="F17258" s="3" t="str">
        <f t="shared" si="269"/>
        <v>I2696</v>
      </c>
    </row>
    <row r="17259" spans="1:6" x14ac:dyDescent="0.2">
      <c r="A17259" s="29" t="s">
        <v>37929</v>
      </c>
      <c r="B17259" s="30" t="s">
        <v>37930</v>
      </c>
      <c r="C17259" s="29" t="s">
        <v>255</v>
      </c>
      <c r="D17259" s="31">
        <v>671.21</v>
      </c>
      <c r="F17259" s="3" t="str">
        <f t="shared" si="269"/>
        <v>I2573</v>
      </c>
    </row>
    <row r="17260" spans="1:6" x14ac:dyDescent="0.2">
      <c r="A17260" s="29" t="s">
        <v>37931</v>
      </c>
      <c r="B17260" s="30" t="s">
        <v>37932</v>
      </c>
      <c r="C17260" s="29" t="s">
        <v>255</v>
      </c>
      <c r="D17260" s="31">
        <v>1193.96</v>
      </c>
      <c r="F17260" s="3" t="str">
        <f t="shared" si="269"/>
        <v>I2574</v>
      </c>
    </row>
    <row r="17261" spans="1:6" x14ac:dyDescent="0.2">
      <c r="A17261" s="29" t="s">
        <v>37933</v>
      </c>
      <c r="B17261" s="30" t="s">
        <v>37934</v>
      </c>
      <c r="C17261" s="29" t="s">
        <v>255</v>
      </c>
      <c r="D17261" s="31">
        <v>1147</v>
      </c>
      <c r="F17261" s="3" t="str">
        <f t="shared" si="269"/>
        <v>I2697</v>
      </c>
    </row>
    <row r="17262" spans="1:6" x14ac:dyDescent="0.2">
      <c r="A17262" s="29" t="s">
        <v>37935</v>
      </c>
      <c r="B17262" s="30" t="s">
        <v>37936</v>
      </c>
      <c r="C17262" s="29" t="s">
        <v>255</v>
      </c>
      <c r="D17262" s="31">
        <v>723.49</v>
      </c>
      <c r="F17262" s="3" t="str">
        <f t="shared" si="269"/>
        <v>I2575</v>
      </c>
    </row>
    <row r="17263" spans="1:6" x14ac:dyDescent="0.2">
      <c r="A17263" s="29" t="s">
        <v>37937</v>
      </c>
      <c r="B17263" s="30" t="s">
        <v>37938</v>
      </c>
      <c r="C17263" s="29" t="s">
        <v>255</v>
      </c>
      <c r="D17263" s="31">
        <v>671.93</v>
      </c>
      <c r="F17263" s="3" t="str">
        <f t="shared" si="269"/>
        <v>I2699</v>
      </c>
    </row>
    <row r="17264" spans="1:6" x14ac:dyDescent="0.2">
      <c r="A17264" s="29" t="s">
        <v>37939</v>
      </c>
      <c r="B17264" s="30" t="s">
        <v>37940</v>
      </c>
      <c r="C17264" s="29" t="s">
        <v>255</v>
      </c>
      <c r="D17264" s="31">
        <v>423.68</v>
      </c>
      <c r="F17264" s="3" t="str">
        <f t="shared" si="269"/>
        <v>I2698</v>
      </c>
    </row>
    <row r="17265" spans="1:6" x14ac:dyDescent="0.2">
      <c r="A17265" s="29" t="s">
        <v>37941</v>
      </c>
      <c r="B17265" s="30" t="s">
        <v>37942</v>
      </c>
      <c r="C17265" s="29" t="s">
        <v>255</v>
      </c>
      <c r="D17265" s="31">
        <v>470.77</v>
      </c>
      <c r="F17265" s="3" t="str">
        <f t="shared" si="269"/>
        <v>I2576</v>
      </c>
    </row>
    <row r="17266" spans="1:6" x14ac:dyDescent="0.2">
      <c r="A17266" s="29" t="s">
        <v>37943</v>
      </c>
      <c r="B17266" s="30" t="s">
        <v>37944</v>
      </c>
      <c r="C17266" s="29" t="s">
        <v>255</v>
      </c>
      <c r="D17266" s="31">
        <v>998.11</v>
      </c>
      <c r="F17266" s="3" t="str">
        <f t="shared" si="269"/>
        <v>I2700</v>
      </c>
    </row>
    <row r="17267" spans="1:6" x14ac:dyDescent="0.2">
      <c r="A17267" s="29" t="s">
        <v>37945</v>
      </c>
      <c r="B17267" s="30" t="s">
        <v>37946</v>
      </c>
      <c r="C17267" s="29" t="s">
        <v>255</v>
      </c>
      <c r="D17267" s="31">
        <v>1045.1199999999999</v>
      </c>
      <c r="F17267" s="3" t="str">
        <f t="shared" si="269"/>
        <v>I2577</v>
      </c>
    </row>
    <row r="17268" spans="1:6" x14ac:dyDescent="0.2">
      <c r="A17268" s="29" t="s">
        <v>37947</v>
      </c>
      <c r="B17268" s="30" t="s">
        <v>37948</v>
      </c>
      <c r="C17268" s="29" t="s">
        <v>26</v>
      </c>
      <c r="D17268" s="31">
        <v>132.99</v>
      </c>
      <c r="F17268" s="3" t="str">
        <f t="shared" si="269"/>
        <v>I6685</v>
      </c>
    </row>
    <row r="17269" spans="1:6" x14ac:dyDescent="0.2">
      <c r="A17269" s="29" t="s">
        <v>37949</v>
      </c>
      <c r="B17269" s="30" t="s">
        <v>37950</v>
      </c>
      <c r="C17269" s="29" t="s">
        <v>9</v>
      </c>
      <c r="D17269" s="31">
        <v>13.34</v>
      </c>
      <c r="F17269" s="3" t="str">
        <f t="shared" si="269"/>
        <v>I2533</v>
      </c>
    </row>
    <row r="17270" spans="1:6" x14ac:dyDescent="0.2">
      <c r="A17270" s="29" t="s">
        <v>37951</v>
      </c>
      <c r="B17270" s="30" t="s">
        <v>37952</v>
      </c>
      <c r="C17270" s="29" t="s">
        <v>26</v>
      </c>
      <c r="D17270" s="31">
        <v>20.440000000000001</v>
      </c>
      <c r="F17270" s="3" t="str">
        <f t="shared" si="269"/>
        <v>I8362</v>
      </c>
    </row>
    <row r="17271" spans="1:6" x14ac:dyDescent="0.2">
      <c r="A17271" s="29" t="s">
        <v>37953</v>
      </c>
      <c r="B17271" s="30" t="s">
        <v>37954</v>
      </c>
      <c r="C17271" s="29" t="s">
        <v>26</v>
      </c>
      <c r="D17271" s="31">
        <v>18.64</v>
      </c>
      <c r="F17271" s="3" t="str">
        <f t="shared" si="269"/>
        <v>I2536</v>
      </c>
    </row>
    <row r="17272" spans="1:6" x14ac:dyDescent="0.2">
      <c r="A17272" s="29" t="s">
        <v>37955</v>
      </c>
      <c r="B17272" s="30" t="s">
        <v>37956</v>
      </c>
      <c r="C17272" s="29" t="s">
        <v>26</v>
      </c>
      <c r="D17272" s="31">
        <v>51.89</v>
      </c>
      <c r="F17272" s="3" t="str">
        <f t="shared" si="269"/>
        <v>I8363</v>
      </c>
    </row>
    <row r="17273" spans="1:6" x14ac:dyDescent="0.2">
      <c r="A17273" s="29" t="s">
        <v>37957</v>
      </c>
      <c r="B17273" s="30" t="s">
        <v>37958</v>
      </c>
      <c r="C17273" s="29" t="s">
        <v>26</v>
      </c>
      <c r="D17273" s="31">
        <v>48.12</v>
      </c>
      <c r="F17273" s="3" t="str">
        <f t="shared" si="269"/>
        <v>I2537</v>
      </c>
    </row>
    <row r="17274" spans="1:6" x14ac:dyDescent="0.2">
      <c r="A17274" s="29" t="s">
        <v>37959</v>
      </c>
      <c r="B17274" s="30" t="s">
        <v>37960</v>
      </c>
      <c r="C17274" s="29" t="s">
        <v>26</v>
      </c>
      <c r="D17274" s="31">
        <v>41.22</v>
      </c>
      <c r="F17274" s="3" t="str">
        <f t="shared" si="269"/>
        <v>I2539</v>
      </c>
    </row>
    <row r="17275" spans="1:6" x14ac:dyDescent="0.2">
      <c r="A17275" s="29" t="s">
        <v>37961</v>
      </c>
      <c r="B17275" s="30" t="s">
        <v>37962</v>
      </c>
      <c r="C17275" s="29" t="s">
        <v>9</v>
      </c>
      <c r="D17275" s="31">
        <v>30.4</v>
      </c>
      <c r="F17275" s="3" t="str">
        <f t="shared" si="269"/>
        <v>I2540</v>
      </c>
    </row>
    <row r="17276" spans="1:6" x14ac:dyDescent="0.2">
      <c r="A17276" s="29" t="s">
        <v>37963</v>
      </c>
      <c r="B17276" s="30" t="s">
        <v>37964</v>
      </c>
      <c r="C17276" s="29" t="s">
        <v>9</v>
      </c>
      <c r="D17276" s="31">
        <v>15.99</v>
      </c>
      <c r="F17276" s="3" t="str">
        <f t="shared" si="269"/>
        <v>I2541</v>
      </c>
    </row>
    <row r="17277" spans="1:6" ht="15.75" customHeight="1" x14ac:dyDescent="0.2">
      <c r="A17277" s="32" t="s">
        <v>37965</v>
      </c>
      <c r="B17277" s="33"/>
      <c r="C17277" s="32">
        <v>0</v>
      </c>
      <c r="D17277" s="34">
        <v>0</v>
      </c>
      <c r="F17277" s="3" t="str">
        <f t="shared" si="269"/>
        <v>COTAÇÃO / TELHAS</v>
      </c>
    </row>
    <row r="17278" spans="1:6" ht="25.5" x14ac:dyDescent="0.2">
      <c r="A17278" s="26" t="s">
        <v>14985</v>
      </c>
      <c r="B17278" s="27" t="s">
        <v>14986</v>
      </c>
      <c r="C17278" s="26" t="s">
        <v>14987</v>
      </c>
      <c r="D17278" s="28" t="e">
        <v>#VALUE!</v>
      </c>
      <c r="F17278" s="3" t="str">
        <f t="shared" si="269"/>
        <v>Insumo</v>
      </c>
    </row>
    <row r="17279" spans="1:6" x14ac:dyDescent="0.2">
      <c r="A17279" s="29" t="s">
        <v>37966</v>
      </c>
      <c r="B17279" s="30" t="s">
        <v>37967</v>
      </c>
      <c r="C17279" s="29" t="s">
        <v>255</v>
      </c>
      <c r="D17279" s="31">
        <v>597.48</v>
      </c>
      <c r="F17279" s="3" t="str">
        <f t="shared" si="269"/>
        <v>I8222</v>
      </c>
    </row>
    <row r="17280" spans="1:6" x14ac:dyDescent="0.2">
      <c r="A17280" s="29" t="s">
        <v>37968</v>
      </c>
      <c r="B17280" s="30" t="s">
        <v>37969</v>
      </c>
      <c r="C17280" s="29" t="s">
        <v>26</v>
      </c>
      <c r="D17280" s="31">
        <v>5.08</v>
      </c>
      <c r="F17280" s="3" t="str">
        <f t="shared" si="269"/>
        <v>I0032</v>
      </c>
    </row>
    <row r="17281" spans="1:6" x14ac:dyDescent="0.2">
      <c r="A17281" s="29" t="s">
        <v>37970</v>
      </c>
      <c r="B17281" s="30" t="s">
        <v>37971</v>
      </c>
      <c r="C17281" s="29" t="s">
        <v>26</v>
      </c>
      <c r="D17281" s="31">
        <v>1.39</v>
      </c>
      <c r="F17281" s="3" t="str">
        <f t="shared" si="269"/>
        <v>I0136</v>
      </c>
    </row>
    <row r="17282" spans="1:6" x14ac:dyDescent="0.2">
      <c r="A17282" s="29" t="s">
        <v>37972</v>
      </c>
      <c r="B17282" s="30" t="s">
        <v>37973</v>
      </c>
      <c r="C17282" s="29" t="s">
        <v>26</v>
      </c>
      <c r="D17282" s="31">
        <v>0.26</v>
      </c>
      <c r="F17282" s="3" t="str">
        <f t="shared" ref="F17282:F17345" si="270">A17282</f>
        <v>I0139</v>
      </c>
    </row>
    <row r="17283" spans="1:6" x14ac:dyDescent="0.2">
      <c r="A17283" s="29" t="s">
        <v>37974</v>
      </c>
      <c r="B17283" s="30" t="s">
        <v>37975</v>
      </c>
      <c r="C17283" s="29" t="s">
        <v>26</v>
      </c>
      <c r="D17283" s="31">
        <v>0.83</v>
      </c>
      <c r="F17283" s="3" t="str">
        <f t="shared" si="270"/>
        <v>I0446</v>
      </c>
    </row>
    <row r="17284" spans="1:6" x14ac:dyDescent="0.2">
      <c r="A17284" s="29" t="s">
        <v>37976</v>
      </c>
      <c r="B17284" s="30" t="s">
        <v>37977</v>
      </c>
      <c r="C17284" s="29" t="s">
        <v>0</v>
      </c>
      <c r="D17284" s="31">
        <v>38.78</v>
      </c>
      <c r="F17284" s="3" t="str">
        <f t="shared" si="270"/>
        <v>I0470</v>
      </c>
    </row>
    <row r="17285" spans="1:6" x14ac:dyDescent="0.2">
      <c r="A17285" s="29" t="s">
        <v>37978</v>
      </c>
      <c r="B17285" s="30" t="s">
        <v>37979</v>
      </c>
      <c r="C17285" s="29" t="s">
        <v>255</v>
      </c>
      <c r="D17285" s="31">
        <v>53.35</v>
      </c>
      <c r="F17285" s="3" t="str">
        <f t="shared" si="270"/>
        <v>I0542</v>
      </c>
    </row>
    <row r="17286" spans="1:6" x14ac:dyDescent="0.2">
      <c r="A17286" s="29" t="s">
        <v>37980</v>
      </c>
      <c r="B17286" s="30" t="s">
        <v>37981</v>
      </c>
      <c r="C17286" s="29" t="s">
        <v>255</v>
      </c>
      <c r="D17286" s="31">
        <v>84.79</v>
      </c>
      <c r="F17286" s="3" t="str">
        <f t="shared" si="270"/>
        <v>I0544</v>
      </c>
    </row>
    <row r="17287" spans="1:6" x14ac:dyDescent="0.2">
      <c r="A17287" s="29" t="s">
        <v>37982</v>
      </c>
      <c r="B17287" s="30" t="s">
        <v>37983</v>
      </c>
      <c r="C17287" s="29" t="s">
        <v>255</v>
      </c>
      <c r="D17287" s="31">
        <v>481.69</v>
      </c>
      <c r="F17287" s="3" t="str">
        <f t="shared" si="270"/>
        <v>I0545</v>
      </c>
    </row>
    <row r="17288" spans="1:6" x14ac:dyDescent="0.2">
      <c r="A17288" s="29" t="s">
        <v>37984</v>
      </c>
      <c r="B17288" s="30" t="s">
        <v>37985</v>
      </c>
      <c r="C17288" s="29" t="s">
        <v>0</v>
      </c>
      <c r="D17288" s="31">
        <v>40</v>
      </c>
      <c r="F17288" s="3" t="str">
        <f t="shared" si="270"/>
        <v>I0917</v>
      </c>
    </row>
    <row r="17289" spans="1:6" x14ac:dyDescent="0.2">
      <c r="A17289" s="29" t="s">
        <v>37986</v>
      </c>
      <c r="B17289" s="30" t="s">
        <v>37987</v>
      </c>
      <c r="C17289" s="29" t="s">
        <v>0</v>
      </c>
      <c r="D17289" s="31">
        <v>23.76</v>
      </c>
      <c r="F17289" s="3" t="str">
        <f t="shared" si="270"/>
        <v>I0918</v>
      </c>
    </row>
    <row r="17290" spans="1:6" x14ac:dyDescent="0.2">
      <c r="A17290" s="29" t="s">
        <v>37988</v>
      </c>
      <c r="B17290" s="30" t="s">
        <v>37989</v>
      </c>
      <c r="C17290" s="29" t="s">
        <v>26</v>
      </c>
      <c r="D17290" s="31">
        <v>51.03</v>
      </c>
      <c r="F17290" s="3" t="str">
        <f t="shared" si="270"/>
        <v>I0919</v>
      </c>
    </row>
    <row r="17291" spans="1:6" x14ac:dyDescent="0.2">
      <c r="A17291" s="29" t="s">
        <v>37990</v>
      </c>
      <c r="B17291" s="30" t="s">
        <v>37991</v>
      </c>
      <c r="C17291" s="29" t="s">
        <v>26</v>
      </c>
      <c r="D17291" s="31">
        <v>141.93</v>
      </c>
      <c r="F17291" s="3" t="str">
        <f t="shared" si="270"/>
        <v>I0920</v>
      </c>
    </row>
    <row r="17292" spans="1:6" x14ac:dyDescent="0.2">
      <c r="A17292" s="29" t="s">
        <v>37992</v>
      </c>
      <c r="B17292" s="30" t="s">
        <v>37993</v>
      </c>
      <c r="C17292" s="29" t="s">
        <v>26</v>
      </c>
      <c r="D17292" s="31">
        <v>51.03</v>
      </c>
      <c r="F17292" s="3" t="str">
        <f t="shared" si="270"/>
        <v>I0921</v>
      </c>
    </row>
    <row r="17293" spans="1:6" x14ac:dyDescent="0.2">
      <c r="A17293" s="29" t="s">
        <v>37994</v>
      </c>
      <c r="B17293" s="30" t="s">
        <v>37995</v>
      </c>
      <c r="C17293" s="29" t="s">
        <v>26</v>
      </c>
      <c r="D17293" s="31">
        <v>141.93</v>
      </c>
      <c r="F17293" s="3" t="str">
        <f t="shared" si="270"/>
        <v>I0922</v>
      </c>
    </row>
    <row r="17294" spans="1:6" x14ac:dyDescent="0.2">
      <c r="A17294" s="29" t="s">
        <v>37996</v>
      </c>
      <c r="B17294" s="30" t="s">
        <v>37997</v>
      </c>
      <c r="C17294" s="29" t="s">
        <v>26</v>
      </c>
      <c r="D17294" s="31">
        <v>75.510000000000005</v>
      </c>
      <c r="F17294" s="3" t="str">
        <f t="shared" si="270"/>
        <v>I0923</v>
      </c>
    </row>
    <row r="17295" spans="1:6" x14ac:dyDescent="0.2">
      <c r="A17295" s="29" t="s">
        <v>37998</v>
      </c>
      <c r="B17295" s="30" t="s">
        <v>37999</v>
      </c>
      <c r="C17295" s="29" t="s">
        <v>0</v>
      </c>
      <c r="D17295" s="31">
        <v>40.44</v>
      </c>
      <c r="F17295" s="3" t="str">
        <f t="shared" si="270"/>
        <v>I0924</v>
      </c>
    </row>
    <row r="17296" spans="1:6" x14ac:dyDescent="0.2">
      <c r="A17296" s="29" t="s">
        <v>38000</v>
      </c>
      <c r="B17296" s="30" t="s">
        <v>38001</v>
      </c>
      <c r="C17296" s="29" t="s">
        <v>0</v>
      </c>
      <c r="D17296" s="31">
        <v>50.33</v>
      </c>
      <c r="F17296" s="3" t="str">
        <f t="shared" si="270"/>
        <v>I0925</v>
      </c>
    </row>
    <row r="17297" spans="1:6" x14ac:dyDescent="0.2">
      <c r="A17297" s="29" t="s">
        <v>38002</v>
      </c>
      <c r="B17297" s="30" t="s">
        <v>38003</v>
      </c>
      <c r="C17297" s="29" t="s">
        <v>26</v>
      </c>
      <c r="D17297" s="31">
        <v>44.49</v>
      </c>
      <c r="F17297" s="3" t="str">
        <f t="shared" si="270"/>
        <v>I2296</v>
      </c>
    </row>
    <row r="17298" spans="1:6" x14ac:dyDescent="0.2">
      <c r="A17298" s="29" t="s">
        <v>38004</v>
      </c>
      <c r="B17298" s="30" t="s">
        <v>38005</v>
      </c>
      <c r="C17298" s="29" t="s">
        <v>26</v>
      </c>
      <c r="D17298" s="31">
        <v>48.4</v>
      </c>
      <c r="F17298" s="3" t="str">
        <f t="shared" si="270"/>
        <v>I13296</v>
      </c>
    </row>
    <row r="17299" spans="1:6" x14ac:dyDescent="0.2">
      <c r="A17299" s="29" t="s">
        <v>38006</v>
      </c>
      <c r="B17299" s="30" t="s">
        <v>38007</v>
      </c>
      <c r="C17299" s="29" t="s">
        <v>26</v>
      </c>
      <c r="D17299" s="31">
        <v>2.56</v>
      </c>
      <c r="F17299" s="3" t="str">
        <f t="shared" si="270"/>
        <v>I0926</v>
      </c>
    </row>
    <row r="17300" spans="1:6" x14ac:dyDescent="0.2">
      <c r="A17300" s="29" t="s">
        <v>38008</v>
      </c>
      <c r="B17300" s="30" t="s">
        <v>38009</v>
      </c>
      <c r="C17300" s="29" t="s">
        <v>26</v>
      </c>
      <c r="D17300" s="31">
        <v>23.86</v>
      </c>
      <c r="F17300" s="3" t="str">
        <f t="shared" si="270"/>
        <v>I0927</v>
      </c>
    </row>
    <row r="17301" spans="1:6" x14ac:dyDescent="0.2">
      <c r="A17301" s="29" t="s">
        <v>38010</v>
      </c>
      <c r="B17301" s="30" t="s">
        <v>38011</v>
      </c>
      <c r="C17301" s="29" t="s">
        <v>26</v>
      </c>
      <c r="D17301" s="31">
        <v>18.190000000000001</v>
      </c>
      <c r="F17301" s="3" t="str">
        <f t="shared" si="270"/>
        <v>I0928</v>
      </c>
    </row>
    <row r="17302" spans="1:6" x14ac:dyDescent="0.2">
      <c r="A17302" s="29" t="s">
        <v>38012</v>
      </c>
      <c r="B17302" s="30" t="s">
        <v>38013</v>
      </c>
      <c r="C17302" s="29" t="s">
        <v>26</v>
      </c>
      <c r="D17302" s="31">
        <v>87.93</v>
      </c>
      <c r="F17302" s="3" t="str">
        <f t="shared" si="270"/>
        <v>I0929</v>
      </c>
    </row>
    <row r="17303" spans="1:6" x14ac:dyDescent="0.2">
      <c r="A17303" s="29" t="s">
        <v>38014</v>
      </c>
      <c r="B17303" s="30" t="s">
        <v>38015</v>
      </c>
      <c r="C17303" s="29" t="s">
        <v>0</v>
      </c>
      <c r="D17303" s="31">
        <v>40.06</v>
      </c>
      <c r="F17303" s="3" t="str">
        <f t="shared" si="270"/>
        <v>I0930</v>
      </c>
    </row>
    <row r="17304" spans="1:6" x14ac:dyDescent="0.2">
      <c r="A17304" s="29" t="s">
        <v>38016</v>
      </c>
      <c r="B17304" s="30" t="s">
        <v>38017</v>
      </c>
      <c r="C17304" s="29" t="s">
        <v>255</v>
      </c>
      <c r="D17304" s="31">
        <v>583.9</v>
      </c>
      <c r="F17304" s="3" t="str">
        <f t="shared" si="270"/>
        <v>I1039</v>
      </c>
    </row>
    <row r="17305" spans="1:6" x14ac:dyDescent="0.2">
      <c r="A17305" s="29" t="s">
        <v>38018</v>
      </c>
      <c r="B17305" s="30" t="s">
        <v>38019</v>
      </c>
      <c r="C17305" s="29" t="s">
        <v>255</v>
      </c>
      <c r="D17305" s="31">
        <v>658.71</v>
      </c>
      <c r="F17305" s="3" t="str">
        <f t="shared" si="270"/>
        <v>I1040</v>
      </c>
    </row>
    <row r="17306" spans="1:6" x14ac:dyDescent="0.2">
      <c r="A17306" s="29" t="s">
        <v>38020</v>
      </c>
      <c r="B17306" s="30" t="s">
        <v>38021</v>
      </c>
      <c r="C17306" s="29" t="s">
        <v>255</v>
      </c>
      <c r="D17306" s="31">
        <v>441.27</v>
      </c>
      <c r="F17306" s="3" t="str">
        <f t="shared" si="270"/>
        <v>I1041</v>
      </c>
    </row>
    <row r="17307" spans="1:6" x14ac:dyDescent="0.2">
      <c r="A17307" s="29" t="s">
        <v>38022</v>
      </c>
      <c r="B17307" s="30" t="s">
        <v>38023</v>
      </c>
      <c r="C17307" s="29" t="s">
        <v>255</v>
      </c>
      <c r="D17307" s="31">
        <v>714.03</v>
      </c>
      <c r="F17307" s="3" t="str">
        <f t="shared" si="270"/>
        <v>I1042</v>
      </c>
    </row>
    <row r="17308" spans="1:6" x14ac:dyDescent="0.2">
      <c r="A17308" s="29" t="s">
        <v>38024</v>
      </c>
      <c r="B17308" s="30" t="s">
        <v>38025</v>
      </c>
      <c r="C17308" s="29" t="s">
        <v>26</v>
      </c>
      <c r="D17308" s="31">
        <v>2.56</v>
      </c>
      <c r="F17308" s="3" t="str">
        <f t="shared" si="270"/>
        <v>I1104</v>
      </c>
    </row>
    <row r="17309" spans="1:6" x14ac:dyDescent="0.2">
      <c r="A17309" s="29" t="s">
        <v>38026</v>
      </c>
      <c r="B17309" s="30" t="s">
        <v>38027</v>
      </c>
      <c r="C17309" s="29" t="s">
        <v>1284</v>
      </c>
      <c r="D17309" s="31">
        <v>13.91</v>
      </c>
      <c r="F17309" s="3" t="str">
        <f t="shared" si="270"/>
        <v>I1161</v>
      </c>
    </row>
    <row r="17310" spans="1:6" x14ac:dyDescent="0.2">
      <c r="A17310" s="29" t="s">
        <v>38028</v>
      </c>
      <c r="B17310" s="30" t="s">
        <v>38029</v>
      </c>
      <c r="C17310" s="29" t="s">
        <v>26</v>
      </c>
      <c r="D17310" s="31">
        <v>2.19</v>
      </c>
      <c r="F17310" s="3" t="str">
        <f t="shared" si="270"/>
        <v>I1182</v>
      </c>
    </row>
    <row r="17311" spans="1:6" x14ac:dyDescent="0.2">
      <c r="A17311" s="29" t="s">
        <v>38030</v>
      </c>
      <c r="B17311" s="30" t="s">
        <v>38031</v>
      </c>
      <c r="C17311" s="29" t="s">
        <v>26</v>
      </c>
      <c r="D17311" s="31">
        <v>3.11</v>
      </c>
      <c r="F17311" s="3" t="str">
        <f t="shared" si="270"/>
        <v>I1183</v>
      </c>
    </row>
    <row r="17312" spans="1:6" x14ac:dyDescent="0.2">
      <c r="A17312" s="29" t="s">
        <v>38032</v>
      </c>
      <c r="B17312" s="30" t="s">
        <v>38033</v>
      </c>
      <c r="C17312" s="29" t="s">
        <v>26</v>
      </c>
      <c r="D17312" s="31">
        <v>2.27</v>
      </c>
      <c r="F17312" s="3" t="str">
        <f t="shared" si="270"/>
        <v>I1184</v>
      </c>
    </row>
    <row r="17313" spans="1:6" x14ac:dyDescent="0.2">
      <c r="A17313" s="29" t="s">
        <v>38034</v>
      </c>
      <c r="B17313" s="30" t="s">
        <v>38035</v>
      </c>
      <c r="C17313" s="29" t="s">
        <v>26</v>
      </c>
      <c r="D17313" s="31">
        <v>1.76</v>
      </c>
      <c r="F17313" s="3" t="str">
        <f t="shared" si="270"/>
        <v>I1185</v>
      </c>
    </row>
    <row r="17314" spans="1:6" x14ac:dyDescent="0.2">
      <c r="A17314" s="29" t="s">
        <v>38036</v>
      </c>
      <c r="B17314" s="30" t="s">
        <v>38037</v>
      </c>
      <c r="C17314" s="29" t="s">
        <v>26</v>
      </c>
      <c r="D17314" s="31">
        <v>3.73</v>
      </c>
      <c r="F17314" s="3" t="str">
        <f t="shared" si="270"/>
        <v>I1186</v>
      </c>
    </row>
    <row r="17315" spans="1:6" x14ac:dyDescent="0.2">
      <c r="A17315" s="29" t="s">
        <v>38038</v>
      </c>
      <c r="B17315" s="30" t="s">
        <v>38039</v>
      </c>
      <c r="C17315" s="29" t="s">
        <v>26</v>
      </c>
      <c r="D17315" s="31">
        <v>3.06</v>
      </c>
      <c r="F17315" s="3" t="str">
        <f t="shared" si="270"/>
        <v>I1187</v>
      </c>
    </row>
    <row r="17316" spans="1:6" x14ac:dyDescent="0.2">
      <c r="A17316" s="29" t="s">
        <v>38040</v>
      </c>
      <c r="B17316" s="30" t="s">
        <v>38041</v>
      </c>
      <c r="C17316" s="29" t="s">
        <v>26</v>
      </c>
      <c r="D17316" s="31">
        <v>2.25</v>
      </c>
      <c r="F17316" s="3" t="str">
        <f t="shared" si="270"/>
        <v>I1214</v>
      </c>
    </row>
    <row r="17317" spans="1:6" x14ac:dyDescent="0.2">
      <c r="A17317" s="29" t="s">
        <v>38042</v>
      </c>
      <c r="B17317" s="30" t="s">
        <v>38043</v>
      </c>
      <c r="C17317" s="29" t="s">
        <v>26</v>
      </c>
      <c r="D17317" s="31">
        <v>2.29</v>
      </c>
      <c r="F17317" s="3" t="str">
        <f t="shared" si="270"/>
        <v>I1215</v>
      </c>
    </row>
    <row r="17318" spans="1:6" x14ac:dyDescent="0.2">
      <c r="A17318" s="29" t="s">
        <v>38044</v>
      </c>
      <c r="B17318" s="30" t="s">
        <v>38045</v>
      </c>
      <c r="C17318" s="29" t="s">
        <v>26</v>
      </c>
      <c r="D17318" s="31">
        <v>2.89</v>
      </c>
      <c r="F17318" s="3" t="str">
        <f t="shared" si="270"/>
        <v>I2348</v>
      </c>
    </row>
    <row r="17319" spans="1:6" x14ac:dyDescent="0.2">
      <c r="A17319" s="29" t="s">
        <v>38046</v>
      </c>
      <c r="B17319" s="30" t="s">
        <v>38047</v>
      </c>
      <c r="C17319" s="29" t="s">
        <v>26</v>
      </c>
      <c r="D17319" s="31">
        <v>4</v>
      </c>
      <c r="F17319" s="3" t="str">
        <f t="shared" si="270"/>
        <v>I2349</v>
      </c>
    </row>
    <row r="17320" spans="1:6" x14ac:dyDescent="0.2">
      <c r="A17320" s="29" t="s">
        <v>38048</v>
      </c>
      <c r="B17320" s="30" t="s">
        <v>38049</v>
      </c>
      <c r="C17320" s="29" t="s">
        <v>26</v>
      </c>
      <c r="D17320" s="31">
        <v>5.41</v>
      </c>
      <c r="F17320" s="3" t="str">
        <f t="shared" si="270"/>
        <v>I1216</v>
      </c>
    </row>
    <row r="17321" spans="1:6" x14ac:dyDescent="0.2">
      <c r="A17321" s="29" t="s">
        <v>38050</v>
      </c>
      <c r="B17321" s="30" t="s">
        <v>38051</v>
      </c>
      <c r="C17321" s="29" t="s">
        <v>1284</v>
      </c>
      <c r="D17321" s="31">
        <v>37.729999999999997</v>
      </c>
      <c r="F17321" s="3" t="str">
        <f t="shared" si="270"/>
        <v>I1514</v>
      </c>
    </row>
    <row r="17322" spans="1:6" x14ac:dyDescent="0.2">
      <c r="A17322" s="29" t="s">
        <v>38052</v>
      </c>
      <c r="B17322" s="30" t="s">
        <v>38053</v>
      </c>
      <c r="C17322" s="29" t="s">
        <v>26</v>
      </c>
      <c r="D17322" s="31">
        <v>7.55</v>
      </c>
      <c r="F17322" s="3" t="str">
        <f t="shared" si="270"/>
        <v>I2398</v>
      </c>
    </row>
    <row r="17323" spans="1:6" x14ac:dyDescent="0.2">
      <c r="A17323" s="29" t="s">
        <v>38054</v>
      </c>
      <c r="B17323" s="30" t="s">
        <v>38055</v>
      </c>
      <c r="C17323" s="29" t="s">
        <v>26</v>
      </c>
      <c r="D17323" s="31">
        <v>12.92</v>
      </c>
      <c r="F17323" s="3" t="str">
        <f t="shared" si="270"/>
        <v>I2399</v>
      </c>
    </row>
    <row r="17324" spans="1:6" x14ac:dyDescent="0.2">
      <c r="A17324" s="29" t="s">
        <v>38056</v>
      </c>
      <c r="B17324" s="30" t="s">
        <v>38057</v>
      </c>
      <c r="C17324" s="29" t="s">
        <v>26</v>
      </c>
      <c r="D17324" s="31">
        <v>53.86</v>
      </c>
      <c r="F17324" s="3" t="str">
        <f t="shared" si="270"/>
        <v>I1834</v>
      </c>
    </row>
    <row r="17325" spans="1:6" x14ac:dyDescent="0.2">
      <c r="A17325" s="29" t="s">
        <v>38058</v>
      </c>
      <c r="B17325" s="30" t="s">
        <v>38059</v>
      </c>
      <c r="C17325" s="29" t="s">
        <v>26</v>
      </c>
      <c r="D17325" s="31">
        <v>65.97</v>
      </c>
      <c r="F17325" s="3" t="str">
        <f t="shared" si="270"/>
        <v>I1835</v>
      </c>
    </row>
    <row r="17326" spans="1:6" x14ac:dyDescent="0.2">
      <c r="A17326" s="29" t="s">
        <v>38060</v>
      </c>
      <c r="B17326" s="30" t="s">
        <v>38061</v>
      </c>
      <c r="C17326" s="29" t="s">
        <v>0</v>
      </c>
      <c r="D17326" s="31">
        <v>64.27</v>
      </c>
      <c r="F17326" s="3" t="str">
        <f t="shared" si="270"/>
        <v>I1836</v>
      </c>
    </row>
    <row r="17327" spans="1:6" x14ac:dyDescent="0.2">
      <c r="A17327" s="29" t="s">
        <v>38062</v>
      </c>
      <c r="B17327" s="30" t="s">
        <v>38063</v>
      </c>
      <c r="C17327" s="29" t="s">
        <v>26</v>
      </c>
      <c r="D17327" s="31">
        <v>53.56</v>
      </c>
      <c r="F17327" s="3" t="str">
        <f t="shared" si="270"/>
        <v>I1837</v>
      </c>
    </row>
    <row r="17328" spans="1:6" x14ac:dyDescent="0.2">
      <c r="A17328" s="29" t="s">
        <v>38064</v>
      </c>
      <c r="B17328" s="30" t="s">
        <v>38065</v>
      </c>
      <c r="C17328" s="29" t="s">
        <v>26</v>
      </c>
      <c r="D17328" s="31">
        <v>63.28</v>
      </c>
      <c r="F17328" s="3" t="str">
        <f t="shared" si="270"/>
        <v>I1838</v>
      </c>
    </row>
    <row r="17329" spans="1:6" x14ac:dyDescent="0.2">
      <c r="A17329" s="29" t="s">
        <v>38066</v>
      </c>
      <c r="B17329" s="30" t="s">
        <v>38067</v>
      </c>
      <c r="C17329" s="29" t="s">
        <v>26</v>
      </c>
      <c r="D17329" s="31">
        <v>24.44</v>
      </c>
      <c r="F17329" s="3" t="str">
        <f t="shared" si="270"/>
        <v>I1895</v>
      </c>
    </row>
    <row r="17330" spans="1:6" x14ac:dyDescent="0.2">
      <c r="A17330" s="29" t="s">
        <v>38068</v>
      </c>
      <c r="B17330" s="30" t="s">
        <v>38069</v>
      </c>
      <c r="C17330" s="29" t="s">
        <v>26</v>
      </c>
      <c r="D17330" s="31">
        <v>0.34</v>
      </c>
      <c r="F17330" s="3" t="str">
        <f t="shared" si="270"/>
        <v>I1920</v>
      </c>
    </row>
    <row r="17331" spans="1:6" x14ac:dyDescent="0.2">
      <c r="A17331" s="29" t="s">
        <v>38070</v>
      </c>
      <c r="B17331" s="30" t="s">
        <v>38071</v>
      </c>
      <c r="C17331" s="29" t="s">
        <v>26</v>
      </c>
      <c r="D17331" s="31">
        <v>21.73</v>
      </c>
      <c r="F17331" s="3" t="str">
        <f t="shared" si="270"/>
        <v>I1932</v>
      </c>
    </row>
    <row r="17332" spans="1:6" x14ac:dyDescent="0.2">
      <c r="A17332" s="29" t="s">
        <v>38072</v>
      </c>
      <c r="B17332" s="30" t="s">
        <v>38073</v>
      </c>
      <c r="C17332" s="29" t="s">
        <v>26</v>
      </c>
      <c r="D17332" s="31">
        <v>18.96</v>
      </c>
      <c r="F17332" s="3" t="str">
        <f t="shared" si="270"/>
        <v>I1933</v>
      </c>
    </row>
    <row r="17333" spans="1:6" x14ac:dyDescent="0.2">
      <c r="A17333" s="29" t="s">
        <v>38074</v>
      </c>
      <c r="B17333" s="30" t="s">
        <v>38075</v>
      </c>
      <c r="C17333" s="29" t="s">
        <v>26</v>
      </c>
      <c r="D17333" s="31">
        <v>21.74</v>
      </c>
      <c r="F17333" s="3" t="str">
        <f t="shared" si="270"/>
        <v>I1934</v>
      </c>
    </row>
    <row r="17334" spans="1:6" x14ac:dyDescent="0.2">
      <c r="A17334" s="29" t="s">
        <v>38076</v>
      </c>
      <c r="B17334" s="30" t="s">
        <v>38077</v>
      </c>
      <c r="C17334" s="29" t="s">
        <v>255</v>
      </c>
      <c r="D17334" s="31">
        <v>50.52</v>
      </c>
      <c r="F17334" s="3" t="str">
        <f t="shared" si="270"/>
        <v>I9141</v>
      </c>
    </row>
    <row r="17335" spans="1:6" x14ac:dyDescent="0.2">
      <c r="A17335" s="29" t="s">
        <v>38078</v>
      </c>
      <c r="B17335" s="30" t="s">
        <v>38079</v>
      </c>
      <c r="C17335" s="29" t="s">
        <v>255</v>
      </c>
      <c r="D17335" s="31">
        <v>139.22999999999999</v>
      </c>
      <c r="F17335" s="3" t="str">
        <f t="shared" si="270"/>
        <v>I2041</v>
      </c>
    </row>
    <row r="17336" spans="1:6" x14ac:dyDescent="0.2">
      <c r="A17336" s="29" t="s">
        <v>38080</v>
      </c>
      <c r="B17336" s="30" t="s">
        <v>38081</v>
      </c>
      <c r="C17336" s="29" t="s">
        <v>255</v>
      </c>
      <c r="D17336" s="31">
        <v>139.22999999999999</v>
      </c>
      <c r="F17336" s="3" t="str">
        <f t="shared" si="270"/>
        <v>I2042</v>
      </c>
    </row>
    <row r="17337" spans="1:6" x14ac:dyDescent="0.2">
      <c r="A17337" s="29" t="s">
        <v>38082</v>
      </c>
      <c r="B17337" s="30" t="s">
        <v>38083</v>
      </c>
      <c r="C17337" s="29" t="s">
        <v>26</v>
      </c>
      <c r="D17337" s="31">
        <v>226.72</v>
      </c>
      <c r="F17337" s="3" t="str">
        <f t="shared" si="270"/>
        <v>I2437</v>
      </c>
    </row>
    <row r="17338" spans="1:6" x14ac:dyDescent="0.2">
      <c r="A17338" s="29" t="s">
        <v>38084</v>
      </c>
      <c r="B17338" s="30" t="s">
        <v>38085</v>
      </c>
      <c r="C17338" s="29" t="s">
        <v>26</v>
      </c>
      <c r="D17338" s="31">
        <v>571.12</v>
      </c>
      <c r="F17338" s="3" t="str">
        <f t="shared" si="270"/>
        <v>I2438</v>
      </c>
    </row>
    <row r="17339" spans="1:6" x14ac:dyDescent="0.2">
      <c r="A17339" s="29" t="s">
        <v>38086</v>
      </c>
      <c r="B17339" s="30" t="s">
        <v>38087</v>
      </c>
      <c r="C17339" s="29" t="s">
        <v>26</v>
      </c>
      <c r="D17339" s="31">
        <v>2.0699999999999998</v>
      </c>
      <c r="F17339" s="3" t="str">
        <f t="shared" si="270"/>
        <v>I2043</v>
      </c>
    </row>
    <row r="17340" spans="1:6" x14ac:dyDescent="0.2">
      <c r="A17340" s="29" t="s">
        <v>38088</v>
      </c>
      <c r="B17340" s="30" t="s">
        <v>38089</v>
      </c>
      <c r="C17340" s="29" t="s">
        <v>26</v>
      </c>
      <c r="D17340" s="31">
        <v>0.71</v>
      </c>
      <c r="F17340" s="3" t="str">
        <f t="shared" si="270"/>
        <v>I2045</v>
      </c>
    </row>
    <row r="17341" spans="1:6" x14ac:dyDescent="0.2">
      <c r="A17341" s="29" t="s">
        <v>38090</v>
      </c>
      <c r="B17341" s="30" t="s">
        <v>38091</v>
      </c>
      <c r="C17341" s="29" t="s">
        <v>26</v>
      </c>
      <c r="D17341" s="31">
        <v>1.34</v>
      </c>
      <c r="F17341" s="3" t="str">
        <f t="shared" si="270"/>
        <v>I2044</v>
      </c>
    </row>
    <row r="17342" spans="1:6" x14ac:dyDescent="0.2">
      <c r="A17342" s="29" t="s">
        <v>38092</v>
      </c>
      <c r="B17342" s="30" t="s">
        <v>38093</v>
      </c>
      <c r="C17342" s="29" t="s">
        <v>26</v>
      </c>
      <c r="D17342" s="31">
        <v>0.77</v>
      </c>
      <c r="F17342" s="3" t="str">
        <f t="shared" si="270"/>
        <v>I2046</v>
      </c>
    </row>
    <row r="17343" spans="1:6" x14ac:dyDescent="0.2">
      <c r="A17343" s="29" t="s">
        <v>38094</v>
      </c>
      <c r="B17343" s="30" t="s">
        <v>38095</v>
      </c>
      <c r="C17343" s="29" t="s">
        <v>26</v>
      </c>
      <c r="D17343" s="31">
        <v>2.46</v>
      </c>
      <c r="F17343" s="3" t="str">
        <f t="shared" si="270"/>
        <v>I2047</v>
      </c>
    </row>
    <row r="17344" spans="1:6" x14ac:dyDescent="0.2">
      <c r="A17344" s="29" t="s">
        <v>38096</v>
      </c>
      <c r="B17344" s="30" t="s">
        <v>8693</v>
      </c>
      <c r="C17344" s="29" t="s">
        <v>255</v>
      </c>
      <c r="D17344" s="31">
        <v>47.09</v>
      </c>
      <c r="F17344" s="3" t="str">
        <f t="shared" si="270"/>
        <v>I8434</v>
      </c>
    </row>
    <row r="17345" spans="1:6" x14ac:dyDescent="0.2">
      <c r="A17345" s="29" t="s">
        <v>38097</v>
      </c>
      <c r="B17345" s="30" t="s">
        <v>38098</v>
      </c>
      <c r="C17345" s="29" t="s">
        <v>26</v>
      </c>
      <c r="D17345" s="31">
        <v>3</v>
      </c>
      <c r="F17345" s="3" t="str">
        <f t="shared" si="270"/>
        <v>I2049</v>
      </c>
    </row>
    <row r="17346" spans="1:6" x14ac:dyDescent="0.2">
      <c r="A17346" s="29" t="s">
        <v>38099</v>
      </c>
      <c r="B17346" s="30" t="s">
        <v>38100</v>
      </c>
      <c r="C17346" s="29" t="s">
        <v>26</v>
      </c>
      <c r="D17346" s="31">
        <v>25.06</v>
      </c>
      <c r="F17346" s="3" t="str">
        <f t="shared" ref="F17346:F17409" si="271">A17346</f>
        <v>I2440</v>
      </c>
    </row>
    <row r="17347" spans="1:6" x14ac:dyDescent="0.2">
      <c r="A17347" s="29" t="s">
        <v>38101</v>
      </c>
      <c r="B17347" s="30" t="s">
        <v>38102</v>
      </c>
      <c r="C17347" s="29" t="s">
        <v>255</v>
      </c>
      <c r="D17347" s="31">
        <v>10.050000000000001</v>
      </c>
      <c r="F17347" s="3" t="str">
        <f t="shared" si="271"/>
        <v>I2050</v>
      </c>
    </row>
    <row r="17348" spans="1:6" x14ac:dyDescent="0.2">
      <c r="A17348" s="29" t="s">
        <v>38103</v>
      </c>
      <c r="B17348" s="30" t="s">
        <v>38104</v>
      </c>
      <c r="C17348" s="29" t="s">
        <v>255</v>
      </c>
      <c r="D17348" s="31">
        <v>20.54</v>
      </c>
      <c r="F17348" s="3" t="str">
        <f t="shared" si="271"/>
        <v>I2051</v>
      </c>
    </row>
    <row r="17349" spans="1:6" x14ac:dyDescent="0.2">
      <c r="A17349" s="29" t="s">
        <v>38105</v>
      </c>
      <c r="B17349" s="30" t="s">
        <v>38106</v>
      </c>
      <c r="C17349" s="29" t="s">
        <v>26</v>
      </c>
      <c r="D17349" s="31">
        <v>71.44</v>
      </c>
      <c r="F17349" s="3" t="str">
        <f t="shared" si="271"/>
        <v>I2441</v>
      </c>
    </row>
    <row r="17350" spans="1:6" x14ac:dyDescent="0.2">
      <c r="A17350" s="29" t="s">
        <v>38107</v>
      </c>
      <c r="B17350" s="30" t="s">
        <v>38108</v>
      </c>
      <c r="C17350" s="29" t="s">
        <v>255</v>
      </c>
      <c r="D17350" s="31">
        <v>24.89</v>
      </c>
      <c r="F17350" s="3" t="str">
        <f t="shared" si="271"/>
        <v>I2052</v>
      </c>
    </row>
    <row r="17351" spans="1:6" x14ac:dyDescent="0.2">
      <c r="A17351" s="29" t="s">
        <v>38109</v>
      </c>
      <c r="B17351" s="30" t="s">
        <v>38110</v>
      </c>
      <c r="C17351" s="29" t="s">
        <v>255</v>
      </c>
      <c r="D17351" s="31">
        <v>24.71</v>
      </c>
      <c r="F17351" s="3" t="str">
        <f t="shared" si="271"/>
        <v>I2053</v>
      </c>
    </row>
    <row r="17352" spans="1:6" x14ac:dyDescent="0.2">
      <c r="A17352" s="29" t="s">
        <v>38111</v>
      </c>
      <c r="B17352" s="30" t="s">
        <v>38112</v>
      </c>
      <c r="C17352" s="29" t="s">
        <v>255</v>
      </c>
      <c r="D17352" s="31">
        <v>106.95</v>
      </c>
      <c r="F17352" s="3" t="str">
        <f t="shared" si="271"/>
        <v>I2054</v>
      </c>
    </row>
    <row r="17353" spans="1:6" x14ac:dyDescent="0.2">
      <c r="A17353" s="29" t="s">
        <v>38113</v>
      </c>
      <c r="B17353" s="30" t="s">
        <v>38114</v>
      </c>
      <c r="C17353" s="29" t="s">
        <v>255</v>
      </c>
      <c r="D17353" s="31">
        <v>138.33000000000001</v>
      </c>
      <c r="F17353" s="3" t="str">
        <f t="shared" si="271"/>
        <v>I2055</v>
      </c>
    </row>
    <row r="17354" spans="1:6" x14ac:dyDescent="0.2">
      <c r="A17354" s="29" t="s">
        <v>38115</v>
      </c>
      <c r="B17354" s="30" t="s">
        <v>38116</v>
      </c>
      <c r="C17354" s="29" t="s">
        <v>255</v>
      </c>
      <c r="D17354" s="31">
        <v>134.53</v>
      </c>
      <c r="F17354" s="3" t="str">
        <f t="shared" si="271"/>
        <v>I2056</v>
      </c>
    </row>
    <row r="17355" spans="1:6" x14ac:dyDescent="0.2">
      <c r="A17355" s="29" t="s">
        <v>38117</v>
      </c>
      <c r="B17355" s="30" t="s">
        <v>38118</v>
      </c>
      <c r="C17355" s="29" t="s">
        <v>255</v>
      </c>
      <c r="D17355" s="31">
        <v>106.67</v>
      </c>
      <c r="F17355" s="3" t="str">
        <f t="shared" si="271"/>
        <v>I2057</v>
      </c>
    </row>
    <row r="17356" spans="1:6" x14ac:dyDescent="0.2">
      <c r="A17356" s="29" t="s">
        <v>38119</v>
      </c>
      <c r="B17356" s="30" t="s">
        <v>38120</v>
      </c>
      <c r="C17356" s="29" t="s">
        <v>255</v>
      </c>
      <c r="D17356" s="31">
        <v>122.52</v>
      </c>
      <c r="F17356" s="3" t="str">
        <f t="shared" si="271"/>
        <v>I2058</v>
      </c>
    </row>
    <row r="17357" spans="1:6" x14ac:dyDescent="0.2">
      <c r="A17357" s="29" t="s">
        <v>38121</v>
      </c>
      <c r="B17357" s="30" t="s">
        <v>38122</v>
      </c>
      <c r="C17357" s="29" t="s">
        <v>255</v>
      </c>
      <c r="D17357" s="31">
        <v>35.43</v>
      </c>
      <c r="F17357" s="3" t="str">
        <f t="shared" si="271"/>
        <v>I2059</v>
      </c>
    </row>
    <row r="17358" spans="1:6" x14ac:dyDescent="0.2">
      <c r="A17358" s="29" t="s">
        <v>38123</v>
      </c>
      <c r="B17358" s="30" t="s">
        <v>38124</v>
      </c>
      <c r="C17358" s="29" t="s">
        <v>255</v>
      </c>
      <c r="D17358" s="31">
        <v>49.04</v>
      </c>
      <c r="F17358" s="3" t="str">
        <f t="shared" si="271"/>
        <v>I6814</v>
      </c>
    </row>
    <row r="17359" spans="1:6" x14ac:dyDescent="0.2">
      <c r="A17359" s="29" t="s">
        <v>38125</v>
      </c>
      <c r="B17359" s="30" t="s">
        <v>38126</v>
      </c>
      <c r="C17359" s="29" t="s">
        <v>255</v>
      </c>
      <c r="D17359" s="31">
        <v>10.84</v>
      </c>
      <c r="F17359" s="3" t="str">
        <f t="shared" si="271"/>
        <v>I2060</v>
      </c>
    </row>
    <row r="17360" spans="1:6" x14ac:dyDescent="0.2">
      <c r="A17360" s="29" t="s">
        <v>38127</v>
      </c>
      <c r="B17360" s="30" t="s">
        <v>38128</v>
      </c>
      <c r="C17360" s="29" t="s">
        <v>255</v>
      </c>
      <c r="D17360" s="31">
        <v>51.22</v>
      </c>
      <c r="F17360" s="3" t="str">
        <f t="shared" si="271"/>
        <v>I2061</v>
      </c>
    </row>
    <row r="17361" spans="1:6" x14ac:dyDescent="0.2">
      <c r="A17361" s="29" t="s">
        <v>38129</v>
      </c>
      <c r="B17361" s="30" t="s">
        <v>38130</v>
      </c>
      <c r="C17361" s="29" t="s">
        <v>255</v>
      </c>
      <c r="D17361" s="31">
        <v>145.16999999999999</v>
      </c>
      <c r="F17361" s="3" t="str">
        <f t="shared" si="271"/>
        <v>I2062</v>
      </c>
    </row>
    <row r="17362" spans="1:6" x14ac:dyDescent="0.2">
      <c r="A17362" s="29" t="s">
        <v>38131</v>
      </c>
      <c r="B17362" s="30" t="s">
        <v>38132</v>
      </c>
      <c r="C17362" s="29" t="s">
        <v>255</v>
      </c>
      <c r="D17362" s="31">
        <v>31.37</v>
      </c>
      <c r="F17362" s="3" t="str">
        <f t="shared" si="271"/>
        <v>I2063</v>
      </c>
    </row>
    <row r="17363" spans="1:6" x14ac:dyDescent="0.2">
      <c r="A17363" s="29" t="s">
        <v>38133</v>
      </c>
      <c r="B17363" s="30" t="s">
        <v>8731</v>
      </c>
      <c r="C17363" s="29" t="s">
        <v>255</v>
      </c>
      <c r="D17363" s="31">
        <v>42.13</v>
      </c>
      <c r="F17363" s="3" t="str">
        <f t="shared" si="271"/>
        <v>I2064</v>
      </c>
    </row>
    <row r="17364" spans="1:6" x14ac:dyDescent="0.2">
      <c r="A17364" s="29" t="s">
        <v>38134</v>
      </c>
      <c r="B17364" s="30" t="s">
        <v>38135</v>
      </c>
      <c r="C17364" s="29" t="s">
        <v>255</v>
      </c>
      <c r="D17364" s="31">
        <v>272.41000000000003</v>
      </c>
      <c r="F17364" s="3" t="str">
        <f t="shared" si="271"/>
        <v>I2067</v>
      </c>
    </row>
    <row r="17365" spans="1:6" x14ac:dyDescent="0.2">
      <c r="A17365" s="29" t="s">
        <v>38136</v>
      </c>
      <c r="B17365" s="30" t="s">
        <v>38137</v>
      </c>
      <c r="C17365" s="29" t="s">
        <v>255</v>
      </c>
      <c r="D17365" s="31">
        <v>236.16</v>
      </c>
      <c r="F17365" s="3" t="str">
        <f t="shared" si="271"/>
        <v>I2068</v>
      </c>
    </row>
    <row r="17366" spans="1:6" x14ac:dyDescent="0.2">
      <c r="A17366" s="29" t="s">
        <v>38138</v>
      </c>
      <c r="B17366" s="30" t="s">
        <v>38139</v>
      </c>
      <c r="C17366" s="29" t="s">
        <v>255</v>
      </c>
      <c r="D17366" s="31">
        <v>216.43</v>
      </c>
      <c r="F17366" s="3" t="str">
        <f t="shared" si="271"/>
        <v>I2069</v>
      </c>
    </row>
    <row r="17367" spans="1:6" x14ac:dyDescent="0.2">
      <c r="A17367" s="29" t="s">
        <v>38140</v>
      </c>
      <c r="B17367" s="30" t="s">
        <v>38141</v>
      </c>
      <c r="C17367" s="29" t="s">
        <v>255</v>
      </c>
      <c r="D17367" s="31">
        <v>133.86000000000001</v>
      </c>
      <c r="F17367" s="3" t="str">
        <f t="shared" si="271"/>
        <v>I2065</v>
      </c>
    </row>
    <row r="17368" spans="1:6" x14ac:dyDescent="0.2">
      <c r="A17368" s="29" t="s">
        <v>38142</v>
      </c>
      <c r="B17368" s="30" t="s">
        <v>38143</v>
      </c>
      <c r="C17368" s="29" t="s">
        <v>255</v>
      </c>
      <c r="D17368" s="31">
        <v>133.86000000000001</v>
      </c>
      <c r="F17368" s="3" t="str">
        <f t="shared" si="271"/>
        <v>I2066</v>
      </c>
    </row>
    <row r="17369" spans="1:6" x14ac:dyDescent="0.2">
      <c r="A17369" s="29" t="s">
        <v>38144</v>
      </c>
      <c r="B17369" s="30" t="s">
        <v>38145</v>
      </c>
      <c r="C17369" s="29" t="s">
        <v>26</v>
      </c>
      <c r="D17369" s="31">
        <v>42.82</v>
      </c>
      <c r="F17369" s="3" t="str">
        <f t="shared" si="271"/>
        <v>I2102</v>
      </c>
    </row>
    <row r="17370" spans="1:6" x14ac:dyDescent="0.2">
      <c r="A17370" s="29" t="s">
        <v>38146</v>
      </c>
      <c r="B17370" s="30" t="s">
        <v>38147</v>
      </c>
      <c r="C17370" s="29" t="s">
        <v>26</v>
      </c>
      <c r="D17370" s="31">
        <v>43.6</v>
      </c>
      <c r="F17370" s="3" t="str">
        <f t="shared" si="271"/>
        <v>I2103</v>
      </c>
    </row>
    <row r="17371" spans="1:6" ht="15.75" customHeight="1" x14ac:dyDescent="0.2">
      <c r="A17371" s="32" t="s">
        <v>38148</v>
      </c>
      <c r="B17371" s="33"/>
      <c r="C17371" s="32">
        <v>0</v>
      </c>
      <c r="D17371" s="34">
        <v>0</v>
      </c>
      <c r="F17371" s="3" t="str">
        <f t="shared" si="271"/>
        <v>COTAÇÃO / TINTAS</v>
      </c>
    </row>
    <row r="17372" spans="1:6" ht="25.5" x14ac:dyDescent="0.2">
      <c r="A17372" s="26" t="s">
        <v>14985</v>
      </c>
      <c r="B17372" s="27" t="s">
        <v>14986</v>
      </c>
      <c r="C17372" s="26" t="s">
        <v>14987</v>
      </c>
      <c r="D17372" s="28" t="e">
        <v>#VALUE!</v>
      </c>
      <c r="F17372" s="3" t="str">
        <f t="shared" si="271"/>
        <v>Insumo</v>
      </c>
    </row>
    <row r="17373" spans="1:6" x14ac:dyDescent="0.2">
      <c r="A17373" s="29" t="s">
        <v>38149</v>
      </c>
      <c r="B17373" s="30" t="s">
        <v>38150</v>
      </c>
      <c r="C17373" s="29" t="s">
        <v>9</v>
      </c>
      <c r="D17373" s="31">
        <v>20.29</v>
      </c>
      <c r="F17373" s="3" t="str">
        <f t="shared" si="271"/>
        <v>I0035</v>
      </c>
    </row>
    <row r="17374" spans="1:6" x14ac:dyDescent="0.2">
      <c r="A17374" s="29" t="s">
        <v>38151</v>
      </c>
      <c r="B17374" s="30" t="s">
        <v>38152</v>
      </c>
      <c r="C17374" s="29" t="s">
        <v>9</v>
      </c>
      <c r="D17374" s="31">
        <v>5.38</v>
      </c>
      <c r="F17374" s="3" t="str">
        <f t="shared" si="271"/>
        <v>I0052</v>
      </c>
    </row>
    <row r="17375" spans="1:6" x14ac:dyDescent="0.2">
      <c r="A17375" s="29" t="s">
        <v>38153</v>
      </c>
      <c r="B17375" s="30" t="s">
        <v>38154</v>
      </c>
      <c r="C17375" s="29" t="s">
        <v>1284</v>
      </c>
      <c r="D17375" s="31">
        <v>1.47</v>
      </c>
      <c r="F17375" s="3" t="str">
        <f t="shared" si="271"/>
        <v>I0440</v>
      </c>
    </row>
    <row r="17376" spans="1:6" x14ac:dyDescent="0.2">
      <c r="A17376" s="29" t="s">
        <v>38155</v>
      </c>
      <c r="B17376" s="30" t="s">
        <v>38156</v>
      </c>
      <c r="C17376" s="29" t="s">
        <v>1284</v>
      </c>
      <c r="D17376" s="31">
        <v>19.899999999999999</v>
      </c>
      <c r="F17376" s="3" t="str">
        <f t="shared" si="271"/>
        <v>I0817</v>
      </c>
    </row>
    <row r="17377" spans="1:6" x14ac:dyDescent="0.2">
      <c r="A17377" s="29" t="s">
        <v>38157</v>
      </c>
      <c r="B17377" s="30" t="s">
        <v>38158</v>
      </c>
      <c r="C17377" s="29" t="s">
        <v>1284</v>
      </c>
      <c r="D17377" s="31">
        <v>2.68</v>
      </c>
      <c r="F17377" s="3" t="str">
        <f t="shared" si="271"/>
        <v>I0854</v>
      </c>
    </row>
    <row r="17378" spans="1:6" x14ac:dyDescent="0.2">
      <c r="A17378" s="29" t="s">
        <v>38159</v>
      </c>
      <c r="B17378" s="30" t="s">
        <v>38160</v>
      </c>
      <c r="C17378" s="29" t="s">
        <v>9</v>
      </c>
      <c r="D17378" s="31">
        <v>27.06</v>
      </c>
      <c r="F17378" s="3" t="str">
        <f t="shared" si="271"/>
        <v>I1613</v>
      </c>
    </row>
    <row r="17379" spans="1:6" x14ac:dyDescent="0.2">
      <c r="A17379" s="29" t="s">
        <v>38161</v>
      </c>
      <c r="B17379" s="30" t="s">
        <v>38162</v>
      </c>
      <c r="C17379" s="29" t="s">
        <v>9</v>
      </c>
      <c r="D17379" s="31">
        <v>27.06</v>
      </c>
      <c r="F17379" s="3" t="str">
        <f t="shared" si="271"/>
        <v>I1251</v>
      </c>
    </row>
    <row r="17380" spans="1:6" x14ac:dyDescent="0.2">
      <c r="A17380" s="29" t="s">
        <v>38163</v>
      </c>
      <c r="B17380" s="30" t="s">
        <v>38164</v>
      </c>
      <c r="C17380" s="29" t="s">
        <v>9</v>
      </c>
      <c r="D17380" s="31">
        <v>52.2</v>
      </c>
      <c r="F17380" s="3" t="str">
        <f t="shared" si="271"/>
        <v>I1099</v>
      </c>
    </row>
    <row r="17381" spans="1:6" x14ac:dyDescent="0.2">
      <c r="A17381" s="29" t="s">
        <v>38165</v>
      </c>
      <c r="B17381" s="30" t="s">
        <v>38166</v>
      </c>
      <c r="C17381" s="29" t="s">
        <v>9</v>
      </c>
      <c r="D17381" s="31">
        <v>31.88</v>
      </c>
      <c r="F17381" s="3" t="str">
        <f t="shared" si="271"/>
        <v>I1100</v>
      </c>
    </row>
    <row r="17382" spans="1:6" x14ac:dyDescent="0.2">
      <c r="A17382" s="29" t="s">
        <v>38167</v>
      </c>
      <c r="B17382" s="30" t="s">
        <v>38168</v>
      </c>
      <c r="C17382" s="29" t="s">
        <v>0</v>
      </c>
      <c r="D17382" s="31">
        <v>0.14000000000000001</v>
      </c>
      <c r="F17382" s="3" t="str">
        <f t="shared" si="271"/>
        <v>I1178</v>
      </c>
    </row>
    <row r="17383" spans="1:6" x14ac:dyDescent="0.2">
      <c r="A17383" s="29" t="s">
        <v>38169</v>
      </c>
      <c r="B17383" s="30" t="s">
        <v>38170</v>
      </c>
      <c r="C17383" s="29" t="s">
        <v>9</v>
      </c>
      <c r="D17383" s="31">
        <v>16.18</v>
      </c>
      <c r="F17383" s="3" t="str">
        <f t="shared" si="271"/>
        <v>I1199</v>
      </c>
    </row>
    <row r="17384" spans="1:6" x14ac:dyDescent="0.2">
      <c r="A17384" s="29" t="s">
        <v>38171</v>
      </c>
      <c r="B17384" s="30" t="s">
        <v>38172</v>
      </c>
      <c r="C17384" s="29" t="s">
        <v>9</v>
      </c>
      <c r="D17384" s="31">
        <v>23.94</v>
      </c>
      <c r="F17384" s="3" t="str">
        <f t="shared" si="271"/>
        <v>I1200</v>
      </c>
    </row>
    <row r="17385" spans="1:6" x14ac:dyDescent="0.2">
      <c r="A17385" s="29" t="s">
        <v>38173</v>
      </c>
      <c r="B17385" s="30" t="s">
        <v>38174</v>
      </c>
      <c r="C17385" s="29" t="s">
        <v>9</v>
      </c>
      <c r="D17385" s="31">
        <v>14.12</v>
      </c>
      <c r="F17385" s="3" t="str">
        <f t="shared" si="271"/>
        <v>I1201</v>
      </c>
    </row>
    <row r="17386" spans="1:6" x14ac:dyDescent="0.2">
      <c r="A17386" s="29" t="s">
        <v>38175</v>
      </c>
      <c r="B17386" s="30" t="s">
        <v>38176</v>
      </c>
      <c r="C17386" s="29" t="s">
        <v>1284</v>
      </c>
      <c r="D17386" s="31">
        <v>1.47</v>
      </c>
      <c r="F17386" s="3" t="str">
        <f t="shared" si="271"/>
        <v>I2353</v>
      </c>
    </row>
    <row r="17387" spans="1:6" x14ac:dyDescent="0.2">
      <c r="A17387" s="29" t="s">
        <v>38177</v>
      </c>
      <c r="B17387" s="30" t="s">
        <v>38178</v>
      </c>
      <c r="C17387" s="29" t="s">
        <v>9</v>
      </c>
      <c r="D17387" s="31">
        <v>39.380000000000003</v>
      </c>
      <c r="F17387" s="3" t="str">
        <f t="shared" si="271"/>
        <v>I2355</v>
      </c>
    </row>
    <row r="17388" spans="1:6" x14ac:dyDescent="0.2">
      <c r="A17388" s="29" t="s">
        <v>38179</v>
      </c>
      <c r="B17388" s="30" t="s">
        <v>38180</v>
      </c>
      <c r="C17388" s="29" t="s">
        <v>9</v>
      </c>
      <c r="D17388" s="31">
        <v>21.88</v>
      </c>
      <c r="F17388" s="3" t="str">
        <f t="shared" si="271"/>
        <v>I6165</v>
      </c>
    </row>
    <row r="17389" spans="1:6" x14ac:dyDescent="0.2">
      <c r="A17389" s="29" t="s">
        <v>38181</v>
      </c>
      <c r="B17389" s="30" t="s">
        <v>38182</v>
      </c>
      <c r="C17389" s="29" t="s">
        <v>26</v>
      </c>
      <c r="D17389" s="31">
        <v>5.03</v>
      </c>
      <c r="F17389" s="3" t="str">
        <f t="shared" si="271"/>
        <v>I1345</v>
      </c>
    </row>
    <row r="17390" spans="1:6" x14ac:dyDescent="0.2">
      <c r="A17390" s="29" t="s">
        <v>38183</v>
      </c>
      <c r="B17390" s="30" t="s">
        <v>38184</v>
      </c>
      <c r="C17390" s="29" t="s">
        <v>26</v>
      </c>
      <c r="D17390" s="31">
        <v>2.14</v>
      </c>
      <c r="F17390" s="3" t="str">
        <f t="shared" si="271"/>
        <v>I1346</v>
      </c>
    </row>
    <row r="17391" spans="1:6" x14ac:dyDescent="0.2">
      <c r="A17391" s="29" t="s">
        <v>38185</v>
      </c>
      <c r="B17391" s="30" t="s">
        <v>38186</v>
      </c>
      <c r="C17391" s="29" t="s">
        <v>26</v>
      </c>
      <c r="D17391" s="31">
        <v>0.7</v>
      </c>
      <c r="F17391" s="3" t="str">
        <f t="shared" si="271"/>
        <v>I1347</v>
      </c>
    </row>
    <row r="17392" spans="1:6" x14ac:dyDescent="0.2">
      <c r="A17392" s="29" t="s">
        <v>38187</v>
      </c>
      <c r="B17392" s="30" t="s">
        <v>38188</v>
      </c>
      <c r="C17392" s="29" t="s">
        <v>9</v>
      </c>
      <c r="D17392" s="31">
        <v>12.78</v>
      </c>
      <c r="F17392" s="3" t="str">
        <f t="shared" si="271"/>
        <v>I1488</v>
      </c>
    </row>
    <row r="17393" spans="1:6" x14ac:dyDescent="0.2">
      <c r="A17393" s="29" t="s">
        <v>38189</v>
      </c>
      <c r="B17393" s="30" t="s">
        <v>38190</v>
      </c>
      <c r="C17393" s="29" t="s">
        <v>9</v>
      </c>
      <c r="D17393" s="31">
        <v>7.14</v>
      </c>
      <c r="F17393" s="3" t="str">
        <f t="shared" si="271"/>
        <v>I1489</v>
      </c>
    </row>
    <row r="17394" spans="1:6" x14ac:dyDescent="0.2">
      <c r="A17394" s="29" t="s">
        <v>38191</v>
      </c>
      <c r="B17394" s="30" t="s">
        <v>38192</v>
      </c>
      <c r="C17394" s="29" t="s">
        <v>9</v>
      </c>
      <c r="D17394" s="31">
        <v>12.08</v>
      </c>
      <c r="F17394" s="3" t="str">
        <f t="shared" si="271"/>
        <v>I1490</v>
      </c>
    </row>
    <row r="17395" spans="1:6" x14ac:dyDescent="0.2">
      <c r="A17395" s="29" t="s">
        <v>38193</v>
      </c>
      <c r="B17395" s="30" t="s">
        <v>38194</v>
      </c>
      <c r="C17395" s="29" t="s">
        <v>1284</v>
      </c>
      <c r="D17395" s="31">
        <v>2.87</v>
      </c>
      <c r="F17395" s="3" t="str">
        <f t="shared" si="271"/>
        <v>I1510</v>
      </c>
    </row>
    <row r="17396" spans="1:6" x14ac:dyDescent="0.2">
      <c r="A17396" s="29" t="s">
        <v>38195</v>
      </c>
      <c r="B17396" s="30" t="s">
        <v>38196</v>
      </c>
      <c r="C17396" s="29" t="s">
        <v>1284</v>
      </c>
      <c r="D17396" s="31">
        <v>3.81</v>
      </c>
      <c r="F17396" s="3" t="str">
        <f t="shared" si="271"/>
        <v>I1511</v>
      </c>
    </row>
    <row r="17397" spans="1:6" x14ac:dyDescent="0.2">
      <c r="A17397" s="29" t="s">
        <v>38197</v>
      </c>
      <c r="B17397" s="30" t="s">
        <v>38198</v>
      </c>
      <c r="C17397" s="29" t="s">
        <v>1284</v>
      </c>
      <c r="D17397" s="31">
        <v>7.25</v>
      </c>
      <c r="F17397" s="3" t="str">
        <f t="shared" si="271"/>
        <v>I1512</v>
      </c>
    </row>
    <row r="17398" spans="1:6" x14ac:dyDescent="0.2">
      <c r="A17398" s="29" t="s">
        <v>38199</v>
      </c>
      <c r="B17398" s="30" t="s">
        <v>38200</v>
      </c>
      <c r="C17398" s="29" t="s">
        <v>1284</v>
      </c>
      <c r="D17398" s="31">
        <v>2.12</v>
      </c>
      <c r="F17398" s="3" t="str">
        <f t="shared" si="271"/>
        <v>I1513</v>
      </c>
    </row>
    <row r="17399" spans="1:6" x14ac:dyDescent="0.2">
      <c r="A17399" s="29" t="s">
        <v>38201</v>
      </c>
      <c r="B17399" s="30" t="s">
        <v>38202</v>
      </c>
      <c r="C17399" s="29" t="s">
        <v>1284</v>
      </c>
      <c r="D17399" s="31">
        <v>13.91</v>
      </c>
      <c r="F17399" s="3" t="str">
        <f t="shared" si="271"/>
        <v>I1650</v>
      </c>
    </row>
    <row r="17400" spans="1:6" x14ac:dyDescent="0.2">
      <c r="A17400" s="29" t="s">
        <v>38203</v>
      </c>
      <c r="B17400" s="30" t="s">
        <v>38204</v>
      </c>
      <c r="C17400" s="29" t="s">
        <v>9</v>
      </c>
      <c r="D17400" s="31">
        <v>49.53</v>
      </c>
      <c r="F17400" s="3" t="str">
        <f t="shared" si="271"/>
        <v>I1734</v>
      </c>
    </row>
    <row r="17401" spans="1:6" x14ac:dyDescent="0.2">
      <c r="A17401" s="29" t="s">
        <v>38205</v>
      </c>
      <c r="B17401" s="30" t="s">
        <v>38206</v>
      </c>
      <c r="C17401" s="29" t="s">
        <v>9</v>
      </c>
      <c r="D17401" s="31">
        <v>53.03</v>
      </c>
      <c r="F17401" s="3" t="str">
        <f t="shared" si="271"/>
        <v>I1735</v>
      </c>
    </row>
    <row r="17402" spans="1:6" x14ac:dyDescent="0.2">
      <c r="A17402" s="29" t="s">
        <v>38207</v>
      </c>
      <c r="B17402" s="30" t="s">
        <v>38208</v>
      </c>
      <c r="C17402" s="29" t="s">
        <v>1284</v>
      </c>
      <c r="D17402" s="31">
        <v>16.09</v>
      </c>
      <c r="F17402" s="3" t="str">
        <f t="shared" si="271"/>
        <v>I1736</v>
      </c>
    </row>
    <row r="17403" spans="1:6" x14ac:dyDescent="0.2">
      <c r="A17403" s="29" t="s">
        <v>38209</v>
      </c>
      <c r="B17403" s="30" t="s">
        <v>38210</v>
      </c>
      <c r="C17403" s="29" t="s">
        <v>9</v>
      </c>
      <c r="D17403" s="31">
        <v>25.35</v>
      </c>
      <c r="F17403" s="3" t="str">
        <f t="shared" si="271"/>
        <v>I1737</v>
      </c>
    </row>
    <row r="17404" spans="1:6" x14ac:dyDescent="0.2">
      <c r="A17404" s="29" t="s">
        <v>38211</v>
      </c>
      <c r="B17404" s="30" t="s">
        <v>38212</v>
      </c>
      <c r="C17404" s="29" t="s">
        <v>9</v>
      </c>
      <c r="D17404" s="31">
        <v>46.22</v>
      </c>
      <c r="F17404" s="3" t="str">
        <f t="shared" si="271"/>
        <v>I9394</v>
      </c>
    </row>
    <row r="17405" spans="1:6" x14ac:dyDescent="0.2">
      <c r="A17405" s="29" t="s">
        <v>38213</v>
      </c>
      <c r="B17405" s="30" t="s">
        <v>38214</v>
      </c>
      <c r="C17405" s="29" t="s">
        <v>9</v>
      </c>
      <c r="D17405" s="31">
        <v>20.190000000000001</v>
      </c>
      <c r="F17405" s="3" t="str">
        <f t="shared" si="271"/>
        <v>I1818</v>
      </c>
    </row>
    <row r="17406" spans="1:6" x14ac:dyDescent="0.2">
      <c r="A17406" s="29" t="s">
        <v>38215</v>
      </c>
      <c r="B17406" s="30" t="s">
        <v>38216</v>
      </c>
      <c r="C17406" s="29" t="s">
        <v>1284</v>
      </c>
      <c r="D17406" s="31">
        <v>39.1</v>
      </c>
      <c r="F17406" s="3" t="str">
        <f t="shared" si="271"/>
        <v>I1819</v>
      </c>
    </row>
    <row r="17407" spans="1:6" x14ac:dyDescent="0.2">
      <c r="A17407" s="29" t="s">
        <v>38217</v>
      </c>
      <c r="B17407" s="30" t="s">
        <v>38218</v>
      </c>
      <c r="C17407" s="29" t="s">
        <v>9</v>
      </c>
      <c r="D17407" s="31">
        <v>7.14</v>
      </c>
      <c r="F17407" s="3" t="str">
        <f t="shared" si="271"/>
        <v>I1856</v>
      </c>
    </row>
    <row r="17408" spans="1:6" x14ac:dyDescent="0.2">
      <c r="A17408" s="29" t="s">
        <v>38219</v>
      </c>
      <c r="B17408" s="30" t="s">
        <v>38220</v>
      </c>
      <c r="C17408" s="29" t="s">
        <v>9</v>
      </c>
      <c r="D17408" s="31">
        <v>28.73</v>
      </c>
      <c r="F17408" s="3" t="str">
        <f t="shared" si="271"/>
        <v>I1857</v>
      </c>
    </row>
    <row r="17409" spans="1:6" x14ac:dyDescent="0.2">
      <c r="A17409" s="29" t="s">
        <v>38221</v>
      </c>
      <c r="B17409" s="30" t="s">
        <v>38222</v>
      </c>
      <c r="C17409" s="29" t="s">
        <v>9</v>
      </c>
      <c r="D17409" s="31">
        <v>37.89</v>
      </c>
      <c r="F17409" s="3" t="str">
        <f t="shared" si="271"/>
        <v>I1869</v>
      </c>
    </row>
    <row r="17410" spans="1:6" x14ac:dyDescent="0.2">
      <c r="A17410" s="29" t="s">
        <v>38223</v>
      </c>
      <c r="B17410" s="30" t="s">
        <v>38224</v>
      </c>
      <c r="C17410" s="29" t="s">
        <v>1284</v>
      </c>
      <c r="D17410" s="31">
        <v>16.02</v>
      </c>
      <c r="F17410" s="3" t="str">
        <f t="shared" ref="F17410:F17473" si="272">A17410</f>
        <v>I1871</v>
      </c>
    </row>
    <row r="17411" spans="1:6" x14ac:dyDescent="0.2">
      <c r="A17411" s="29" t="s">
        <v>38225</v>
      </c>
      <c r="B17411" s="30" t="s">
        <v>38226</v>
      </c>
      <c r="C17411" s="29" t="s">
        <v>9</v>
      </c>
      <c r="D17411" s="31">
        <v>16.170000000000002</v>
      </c>
      <c r="F17411" s="3" t="str">
        <f t="shared" si="272"/>
        <v>I2425</v>
      </c>
    </row>
    <row r="17412" spans="1:6" x14ac:dyDescent="0.2">
      <c r="A17412" s="29" t="s">
        <v>38227</v>
      </c>
      <c r="B17412" s="30" t="s">
        <v>38228</v>
      </c>
      <c r="C17412" s="29" t="s">
        <v>9</v>
      </c>
      <c r="D17412" s="31">
        <v>25.07</v>
      </c>
      <c r="F17412" s="3" t="str">
        <f t="shared" si="272"/>
        <v>I2426</v>
      </c>
    </row>
    <row r="17413" spans="1:6" x14ac:dyDescent="0.2">
      <c r="A17413" s="29" t="s">
        <v>38229</v>
      </c>
      <c r="B17413" s="30" t="s">
        <v>38230</v>
      </c>
      <c r="C17413" s="29" t="s">
        <v>9</v>
      </c>
      <c r="D17413" s="31">
        <v>46.25</v>
      </c>
      <c r="F17413" s="3" t="str">
        <f t="shared" si="272"/>
        <v>I1890</v>
      </c>
    </row>
    <row r="17414" spans="1:6" x14ac:dyDescent="0.2">
      <c r="A17414" s="29" t="s">
        <v>38231</v>
      </c>
      <c r="B17414" s="30" t="s">
        <v>38232</v>
      </c>
      <c r="C17414" s="29" t="s">
        <v>1284</v>
      </c>
      <c r="D17414" s="31">
        <v>1.47</v>
      </c>
      <c r="F17414" s="3" t="str">
        <f t="shared" si="272"/>
        <v>I2496</v>
      </c>
    </row>
    <row r="17415" spans="1:6" x14ac:dyDescent="0.2">
      <c r="A17415" s="29" t="s">
        <v>38233</v>
      </c>
      <c r="B17415" s="30" t="s">
        <v>38234</v>
      </c>
      <c r="C17415" s="29" t="s">
        <v>1284</v>
      </c>
      <c r="D17415" s="31">
        <v>4.47</v>
      </c>
      <c r="F17415" s="3" t="str">
        <f t="shared" si="272"/>
        <v>I2079</v>
      </c>
    </row>
    <row r="17416" spans="1:6" x14ac:dyDescent="0.2">
      <c r="A17416" s="29" t="s">
        <v>38235</v>
      </c>
      <c r="B17416" s="30" t="s">
        <v>38236</v>
      </c>
      <c r="C17416" s="29" t="s">
        <v>9</v>
      </c>
      <c r="D17416" s="31">
        <v>22.2</v>
      </c>
      <c r="F17416" s="3" t="str">
        <f t="shared" si="272"/>
        <v>I2083</v>
      </c>
    </row>
    <row r="17417" spans="1:6" x14ac:dyDescent="0.2">
      <c r="A17417" s="29" t="s">
        <v>38237</v>
      </c>
      <c r="B17417" s="30" t="s">
        <v>38238</v>
      </c>
      <c r="C17417" s="29" t="s">
        <v>9</v>
      </c>
      <c r="D17417" s="31">
        <v>12.22</v>
      </c>
      <c r="F17417" s="3" t="str">
        <f t="shared" si="272"/>
        <v>I2084</v>
      </c>
    </row>
    <row r="17418" spans="1:6" x14ac:dyDescent="0.2">
      <c r="A17418" s="29" t="s">
        <v>38239</v>
      </c>
      <c r="B17418" s="30" t="s">
        <v>38240</v>
      </c>
      <c r="C17418" s="29" t="s">
        <v>9</v>
      </c>
      <c r="D17418" s="31">
        <v>11.66</v>
      </c>
      <c r="F17418" s="3" t="str">
        <f t="shared" si="272"/>
        <v>I2085</v>
      </c>
    </row>
    <row r="17419" spans="1:6" x14ac:dyDescent="0.2">
      <c r="A17419" s="29" t="s">
        <v>38241</v>
      </c>
      <c r="B17419" s="30" t="s">
        <v>38242</v>
      </c>
      <c r="C17419" s="29" t="s">
        <v>9</v>
      </c>
      <c r="D17419" s="31">
        <v>37.6</v>
      </c>
      <c r="F17419" s="3" t="str">
        <f t="shared" si="272"/>
        <v>I2086</v>
      </c>
    </row>
    <row r="17420" spans="1:6" x14ac:dyDescent="0.2">
      <c r="A17420" s="29" t="s">
        <v>38243</v>
      </c>
      <c r="B17420" s="30" t="s">
        <v>38244</v>
      </c>
      <c r="C17420" s="29" t="s">
        <v>9</v>
      </c>
      <c r="D17420" s="31">
        <v>41.31</v>
      </c>
      <c r="F17420" s="3" t="str">
        <f t="shared" si="272"/>
        <v>I2087</v>
      </c>
    </row>
    <row r="17421" spans="1:6" x14ac:dyDescent="0.2">
      <c r="A17421" s="29" t="s">
        <v>38245</v>
      </c>
      <c r="B17421" s="30" t="s">
        <v>38246</v>
      </c>
      <c r="C17421" s="29" t="s">
        <v>9</v>
      </c>
      <c r="D17421" s="31">
        <v>33.22</v>
      </c>
      <c r="F17421" s="3" t="str">
        <f t="shared" si="272"/>
        <v>I8428</v>
      </c>
    </row>
    <row r="17422" spans="1:6" x14ac:dyDescent="0.2">
      <c r="A17422" s="29" t="s">
        <v>38247</v>
      </c>
      <c r="B17422" s="30" t="s">
        <v>38248</v>
      </c>
      <c r="C17422" s="29" t="s">
        <v>9</v>
      </c>
      <c r="D17422" s="31">
        <v>59.91</v>
      </c>
      <c r="F17422" s="3" t="str">
        <f t="shared" si="272"/>
        <v>I2088</v>
      </c>
    </row>
    <row r="17423" spans="1:6" x14ac:dyDescent="0.2">
      <c r="A17423" s="29" t="s">
        <v>38249</v>
      </c>
      <c r="B17423" s="30" t="s">
        <v>38250</v>
      </c>
      <c r="C17423" s="29" t="s">
        <v>1284</v>
      </c>
      <c r="D17423" s="31">
        <v>11.39</v>
      </c>
      <c r="F17423" s="3" t="str">
        <f t="shared" si="272"/>
        <v>I2089</v>
      </c>
    </row>
    <row r="17424" spans="1:6" x14ac:dyDescent="0.2">
      <c r="A17424" s="29" t="s">
        <v>38251</v>
      </c>
      <c r="B17424" s="30" t="s">
        <v>38252</v>
      </c>
      <c r="C17424" s="29" t="s">
        <v>9</v>
      </c>
      <c r="D17424" s="31">
        <v>19.920000000000002</v>
      </c>
      <c r="F17424" s="3" t="str">
        <f t="shared" si="272"/>
        <v>I2091</v>
      </c>
    </row>
    <row r="17425" spans="1:6" x14ac:dyDescent="0.2">
      <c r="A17425" s="29" t="s">
        <v>38253</v>
      </c>
      <c r="B17425" s="30" t="s">
        <v>38254</v>
      </c>
      <c r="C17425" s="29" t="s">
        <v>9</v>
      </c>
      <c r="D17425" s="31">
        <v>63.53</v>
      </c>
      <c r="F17425" s="3" t="str">
        <f t="shared" si="272"/>
        <v>I2093</v>
      </c>
    </row>
    <row r="17426" spans="1:6" x14ac:dyDescent="0.2">
      <c r="A17426" s="29" t="s">
        <v>38255</v>
      </c>
      <c r="B17426" s="30" t="s">
        <v>38256</v>
      </c>
      <c r="C17426" s="29" t="s">
        <v>9</v>
      </c>
      <c r="D17426" s="31">
        <v>53.58</v>
      </c>
      <c r="F17426" s="3" t="str">
        <f t="shared" si="272"/>
        <v>I2094</v>
      </c>
    </row>
    <row r="17427" spans="1:6" x14ac:dyDescent="0.2">
      <c r="A17427" s="29" t="s">
        <v>38257</v>
      </c>
      <c r="B17427" s="30" t="s">
        <v>38258</v>
      </c>
      <c r="C17427" s="29" t="s">
        <v>9</v>
      </c>
      <c r="D17427" s="31">
        <v>31.81</v>
      </c>
      <c r="F17427" s="3" t="str">
        <f t="shared" si="272"/>
        <v>I2500</v>
      </c>
    </row>
    <row r="17428" spans="1:6" x14ac:dyDescent="0.2">
      <c r="A17428" s="29" t="s">
        <v>38259</v>
      </c>
      <c r="B17428" s="30" t="s">
        <v>38260</v>
      </c>
      <c r="C17428" s="29" t="s">
        <v>9</v>
      </c>
      <c r="D17428" s="31">
        <v>34.06</v>
      </c>
      <c r="F17428" s="3" t="str">
        <f t="shared" si="272"/>
        <v>I2095</v>
      </c>
    </row>
    <row r="17429" spans="1:6" x14ac:dyDescent="0.2">
      <c r="A17429" s="29" t="s">
        <v>38261</v>
      </c>
      <c r="B17429" s="30" t="s">
        <v>38262</v>
      </c>
      <c r="C17429" s="29" t="s">
        <v>9</v>
      </c>
      <c r="D17429" s="31">
        <v>18.22</v>
      </c>
      <c r="F17429" s="3" t="str">
        <f t="shared" si="272"/>
        <v>I2096</v>
      </c>
    </row>
    <row r="17430" spans="1:6" x14ac:dyDescent="0.2">
      <c r="A17430" s="29" t="s">
        <v>38263</v>
      </c>
      <c r="B17430" s="30" t="s">
        <v>38264</v>
      </c>
      <c r="C17430" s="29" t="s">
        <v>9</v>
      </c>
      <c r="D17430" s="31">
        <v>22.2</v>
      </c>
      <c r="F17430" s="3" t="str">
        <f t="shared" si="272"/>
        <v>I2097</v>
      </c>
    </row>
    <row r="17431" spans="1:6" x14ac:dyDescent="0.2">
      <c r="A17431" s="29" t="s">
        <v>38265</v>
      </c>
      <c r="B17431" s="30" t="s">
        <v>38266</v>
      </c>
      <c r="C17431" s="29" t="s">
        <v>1284</v>
      </c>
      <c r="D17431" s="31">
        <v>2.68</v>
      </c>
      <c r="F17431" s="3" t="str">
        <f t="shared" si="272"/>
        <v>I2098</v>
      </c>
    </row>
    <row r="17432" spans="1:6" x14ac:dyDescent="0.2">
      <c r="A17432" s="29" t="s">
        <v>38267</v>
      </c>
      <c r="B17432" s="30" t="s">
        <v>38268</v>
      </c>
      <c r="C17432" s="29" t="s">
        <v>9</v>
      </c>
      <c r="D17432" s="31">
        <v>7.83</v>
      </c>
      <c r="F17432" s="3" t="str">
        <f t="shared" si="272"/>
        <v>I2099</v>
      </c>
    </row>
    <row r="17433" spans="1:6" x14ac:dyDescent="0.2">
      <c r="A17433" s="29" t="s">
        <v>38269</v>
      </c>
      <c r="B17433" s="30" t="s">
        <v>38270</v>
      </c>
      <c r="C17433" s="29" t="s">
        <v>9</v>
      </c>
      <c r="D17433" s="31">
        <v>19.77</v>
      </c>
      <c r="F17433" s="3" t="str">
        <f t="shared" si="272"/>
        <v>I2100</v>
      </c>
    </row>
    <row r="17434" spans="1:6" x14ac:dyDescent="0.2">
      <c r="A17434" s="29" t="s">
        <v>38271</v>
      </c>
      <c r="B17434" s="30" t="s">
        <v>38272</v>
      </c>
      <c r="C17434" s="29" t="s">
        <v>26</v>
      </c>
      <c r="D17434" s="31">
        <v>4.04</v>
      </c>
      <c r="F17434" s="3" t="str">
        <f t="shared" si="272"/>
        <v>I2158</v>
      </c>
    </row>
    <row r="17435" spans="1:6" x14ac:dyDescent="0.2">
      <c r="A17435" s="29" t="s">
        <v>38273</v>
      </c>
      <c r="B17435" s="30" t="s">
        <v>38274</v>
      </c>
      <c r="C17435" s="29" t="s">
        <v>9</v>
      </c>
      <c r="D17435" s="31">
        <v>21.07</v>
      </c>
      <c r="F17435" s="3" t="str">
        <f t="shared" si="272"/>
        <v>I2248</v>
      </c>
    </row>
    <row r="17436" spans="1:6" x14ac:dyDescent="0.2">
      <c r="A17436" s="29" t="s">
        <v>38275</v>
      </c>
      <c r="B17436" s="30" t="s">
        <v>38276</v>
      </c>
      <c r="C17436" s="29" t="s">
        <v>9</v>
      </c>
      <c r="D17436" s="31">
        <v>19.79</v>
      </c>
      <c r="F17436" s="3" t="str">
        <f t="shared" si="272"/>
        <v>I2249</v>
      </c>
    </row>
    <row r="17437" spans="1:6" x14ac:dyDescent="0.2">
      <c r="A17437" s="29" t="s">
        <v>38277</v>
      </c>
      <c r="B17437" s="30" t="s">
        <v>38278</v>
      </c>
      <c r="C17437" s="29" t="s">
        <v>9</v>
      </c>
      <c r="D17437" s="31">
        <v>33.090000000000003</v>
      </c>
      <c r="F17437" s="3" t="str">
        <f t="shared" si="272"/>
        <v>I2250</v>
      </c>
    </row>
    <row r="17438" spans="1:6" x14ac:dyDescent="0.2">
      <c r="A17438" s="29" t="s">
        <v>38279</v>
      </c>
      <c r="B17438" s="30" t="s">
        <v>38280</v>
      </c>
      <c r="C17438" s="29" t="s">
        <v>9</v>
      </c>
      <c r="D17438" s="31">
        <v>28.81</v>
      </c>
      <c r="F17438" s="3" t="str">
        <f t="shared" si="272"/>
        <v>I2293</v>
      </c>
    </row>
    <row r="17439" spans="1:6" x14ac:dyDescent="0.2">
      <c r="A17439" s="29" t="s">
        <v>38281</v>
      </c>
      <c r="B17439" s="30" t="s">
        <v>38282</v>
      </c>
      <c r="C17439" s="29" t="s">
        <v>9</v>
      </c>
      <c r="D17439" s="31">
        <v>6.94</v>
      </c>
      <c r="F17439" s="3" t="str">
        <f t="shared" si="272"/>
        <v>I0154</v>
      </c>
    </row>
    <row r="17440" spans="1:6" x14ac:dyDescent="0.2">
      <c r="A17440" s="29" t="s">
        <v>38283</v>
      </c>
      <c r="B17440" s="30" t="s">
        <v>38284</v>
      </c>
      <c r="C17440" s="29" t="s">
        <v>9</v>
      </c>
      <c r="D17440" s="31">
        <v>26.17</v>
      </c>
      <c r="F17440" s="3" t="str">
        <f t="shared" si="272"/>
        <v>I2295</v>
      </c>
    </row>
    <row r="17441" spans="1:6" ht="15.75" customHeight="1" x14ac:dyDescent="0.2">
      <c r="A17441" s="32" t="s">
        <v>38285</v>
      </c>
      <c r="B17441" s="33"/>
      <c r="C17441" s="32">
        <v>0</v>
      </c>
      <c r="D17441" s="34">
        <v>0</v>
      </c>
      <c r="F17441" s="3" t="str">
        <f t="shared" si="272"/>
        <v>COTAÇÃO / URBANISMO</v>
      </c>
    </row>
    <row r="17442" spans="1:6" ht="25.5" x14ac:dyDescent="0.2">
      <c r="A17442" s="26" t="s">
        <v>14985</v>
      </c>
      <c r="B17442" s="27" t="s">
        <v>14986</v>
      </c>
      <c r="C17442" s="26" t="s">
        <v>14987</v>
      </c>
      <c r="D17442" s="28" t="e">
        <v>#VALUE!</v>
      </c>
      <c r="F17442" s="3" t="str">
        <f t="shared" si="272"/>
        <v>Insumo</v>
      </c>
    </row>
    <row r="17443" spans="1:6" x14ac:dyDescent="0.2">
      <c r="A17443" s="29" t="s">
        <v>38286</v>
      </c>
      <c r="B17443" s="30" t="s">
        <v>38287</v>
      </c>
      <c r="C17443" s="29" t="s">
        <v>26</v>
      </c>
      <c r="D17443" s="31">
        <v>620.54999999999995</v>
      </c>
      <c r="F17443" s="3" t="str">
        <f t="shared" si="272"/>
        <v>I6714</v>
      </c>
    </row>
    <row r="17444" spans="1:6" x14ac:dyDescent="0.2">
      <c r="A17444" s="29" t="s">
        <v>38288</v>
      </c>
      <c r="B17444" s="30" t="s">
        <v>38289</v>
      </c>
      <c r="C17444" s="29" t="s">
        <v>26</v>
      </c>
      <c r="D17444" s="31">
        <v>828.12</v>
      </c>
      <c r="F17444" s="3" t="str">
        <f t="shared" si="272"/>
        <v>I0182</v>
      </c>
    </row>
    <row r="17445" spans="1:6" x14ac:dyDescent="0.2">
      <c r="A17445" s="29" t="s">
        <v>38290</v>
      </c>
      <c r="B17445" s="30" t="s">
        <v>38291</v>
      </c>
      <c r="C17445" s="29" t="s">
        <v>26</v>
      </c>
      <c r="D17445" s="31">
        <v>1181.52</v>
      </c>
      <c r="F17445" s="3" t="str">
        <f t="shared" si="272"/>
        <v>I0188</v>
      </c>
    </row>
    <row r="17446" spans="1:6" ht="22.5" x14ac:dyDescent="0.2">
      <c r="A17446" s="29" t="s">
        <v>38292</v>
      </c>
      <c r="B17446" s="30" t="s">
        <v>38293</v>
      </c>
      <c r="C17446" s="29" t="s">
        <v>26</v>
      </c>
      <c r="D17446" s="31">
        <v>2249.59</v>
      </c>
      <c r="F17446" s="3" t="str">
        <f t="shared" si="272"/>
        <v>I0267</v>
      </c>
    </row>
    <row r="17447" spans="1:6" x14ac:dyDescent="0.2">
      <c r="A17447" s="29" t="s">
        <v>38294</v>
      </c>
      <c r="B17447" s="30" t="s">
        <v>38295</v>
      </c>
      <c r="C17447" s="29" t="s">
        <v>26</v>
      </c>
      <c r="D17447" s="31">
        <v>896.35</v>
      </c>
      <c r="F17447" s="3" t="str">
        <f t="shared" si="272"/>
        <v>I6715</v>
      </c>
    </row>
    <row r="17448" spans="1:6" x14ac:dyDescent="0.2">
      <c r="A17448" s="29" t="s">
        <v>38296</v>
      </c>
      <c r="B17448" s="30" t="s">
        <v>38297</v>
      </c>
      <c r="C17448" s="29" t="s">
        <v>26</v>
      </c>
      <c r="D17448" s="31">
        <v>1154.79</v>
      </c>
      <c r="F17448" s="3" t="str">
        <f t="shared" si="272"/>
        <v>I0496</v>
      </c>
    </row>
    <row r="17449" spans="1:6" x14ac:dyDescent="0.2">
      <c r="A17449" s="29" t="s">
        <v>38298</v>
      </c>
      <c r="B17449" s="30" t="s">
        <v>38299</v>
      </c>
      <c r="C17449" s="29" t="s">
        <v>26</v>
      </c>
      <c r="D17449" s="31">
        <v>1154.79</v>
      </c>
      <c r="F17449" s="3" t="str">
        <f t="shared" si="272"/>
        <v>I6716</v>
      </c>
    </row>
    <row r="17450" spans="1:6" x14ac:dyDescent="0.2">
      <c r="A17450" s="29" t="s">
        <v>38300</v>
      </c>
      <c r="B17450" s="30" t="s">
        <v>38301</v>
      </c>
      <c r="C17450" s="29" t="s">
        <v>26</v>
      </c>
      <c r="D17450" s="31">
        <v>620.54999999999995</v>
      </c>
      <c r="F17450" s="3" t="str">
        <f t="shared" si="272"/>
        <v>I2474</v>
      </c>
    </row>
    <row r="17451" spans="1:6" x14ac:dyDescent="0.2">
      <c r="A17451" s="29" t="s">
        <v>38302</v>
      </c>
      <c r="B17451" s="30" t="s">
        <v>38303</v>
      </c>
      <c r="C17451" s="29" t="s">
        <v>26</v>
      </c>
      <c r="D17451" s="31">
        <v>893.52</v>
      </c>
      <c r="F17451" s="3" t="str">
        <f t="shared" si="272"/>
        <v>I2475</v>
      </c>
    </row>
    <row r="17452" spans="1:6" x14ac:dyDescent="0.2">
      <c r="A17452" s="29" t="s">
        <v>38304</v>
      </c>
      <c r="B17452" s="30" t="s">
        <v>38305</v>
      </c>
      <c r="C17452" s="29" t="s">
        <v>26</v>
      </c>
      <c r="D17452" s="31">
        <v>731.06</v>
      </c>
      <c r="F17452" s="3" t="str">
        <f t="shared" si="272"/>
        <v>I6718</v>
      </c>
    </row>
    <row r="17453" spans="1:6" ht="33.75" x14ac:dyDescent="0.2">
      <c r="A17453" s="29" t="s">
        <v>38306</v>
      </c>
      <c r="B17453" s="30" t="s">
        <v>38307</v>
      </c>
      <c r="C17453" s="29" t="s">
        <v>8321</v>
      </c>
      <c r="D17453" s="31">
        <v>1590</v>
      </c>
      <c r="F17453" s="3" t="str">
        <f t="shared" si="272"/>
        <v>I1139</v>
      </c>
    </row>
    <row r="17454" spans="1:6" x14ac:dyDescent="0.2">
      <c r="A17454" s="29" t="s">
        <v>38308</v>
      </c>
      <c r="B17454" s="30" t="s">
        <v>38309</v>
      </c>
      <c r="C17454" s="29" t="s">
        <v>26</v>
      </c>
      <c r="D17454" s="31">
        <v>827.39</v>
      </c>
      <c r="F17454" s="3" t="str">
        <f t="shared" si="272"/>
        <v>I6719</v>
      </c>
    </row>
    <row r="17455" spans="1:6" x14ac:dyDescent="0.2">
      <c r="A17455" s="29" t="s">
        <v>38310</v>
      </c>
      <c r="B17455" s="30" t="s">
        <v>38311</v>
      </c>
      <c r="C17455" s="29" t="s">
        <v>26</v>
      </c>
      <c r="D17455" s="31">
        <v>1026.8</v>
      </c>
      <c r="F17455" s="3" t="str">
        <f t="shared" si="272"/>
        <v>I6720</v>
      </c>
    </row>
    <row r="17456" spans="1:6" x14ac:dyDescent="0.2">
      <c r="A17456" s="29" t="s">
        <v>38312</v>
      </c>
      <c r="B17456" s="30" t="s">
        <v>38313</v>
      </c>
      <c r="C17456" s="29" t="s">
        <v>26</v>
      </c>
      <c r="D17456" s="31">
        <v>1137.21</v>
      </c>
      <c r="F17456" s="3" t="str">
        <f t="shared" si="272"/>
        <v>I2477</v>
      </c>
    </row>
    <row r="17457" spans="1:6" x14ac:dyDescent="0.2">
      <c r="A17457" s="29" t="s">
        <v>38314</v>
      </c>
      <c r="B17457" s="30" t="s">
        <v>38315</v>
      </c>
      <c r="C17457" s="29" t="s">
        <v>26</v>
      </c>
      <c r="D17457" s="31">
        <v>152.46</v>
      </c>
      <c r="F17457" s="3" t="str">
        <f t="shared" si="272"/>
        <v>I10254</v>
      </c>
    </row>
    <row r="17458" spans="1:6" ht="22.5" x14ac:dyDescent="0.2">
      <c r="A17458" s="29" t="s">
        <v>38316</v>
      </c>
      <c r="B17458" s="30" t="s">
        <v>38317</v>
      </c>
      <c r="C17458" s="29" t="s">
        <v>26</v>
      </c>
      <c r="D17458" s="31">
        <v>576.87</v>
      </c>
      <c r="F17458" s="3" t="str">
        <f t="shared" si="272"/>
        <v>I9455</v>
      </c>
    </row>
    <row r="17459" spans="1:6" ht="22.5" x14ac:dyDescent="0.2">
      <c r="A17459" s="29" t="s">
        <v>38318</v>
      </c>
      <c r="B17459" s="30" t="s">
        <v>38319</v>
      </c>
      <c r="C17459" s="29" t="s">
        <v>26</v>
      </c>
      <c r="D17459" s="31">
        <v>678.53</v>
      </c>
      <c r="F17459" s="3" t="str">
        <f t="shared" si="272"/>
        <v>I9514</v>
      </c>
    </row>
    <row r="17460" spans="1:6" ht="22.5" x14ac:dyDescent="0.2">
      <c r="A17460" s="29" t="s">
        <v>38320</v>
      </c>
      <c r="B17460" s="30" t="s">
        <v>13227</v>
      </c>
      <c r="C17460" s="29" t="s">
        <v>26</v>
      </c>
      <c r="D17460" s="31">
        <v>780.23</v>
      </c>
      <c r="F17460" s="3" t="str">
        <f t="shared" si="272"/>
        <v>I9456</v>
      </c>
    </row>
    <row r="17461" spans="1:6" ht="22.5" x14ac:dyDescent="0.2">
      <c r="A17461" s="29" t="s">
        <v>38321</v>
      </c>
      <c r="B17461" s="30" t="s">
        <v>13229</v>
      </c>
      <c r="C17461" s="29" t="s">
        <v>26</v>
      </c>
      <c r="D17461" s="31">
        <v>1020.97</v>
      </c>
      <c r="F17461" s="3" t="str">
        <f t="shared" si="272"/>
        <v>I9515</v>
      </c>
    </row>
    <row r="17462" spans="1:6" ht="22.5" x14ac:dyDescent="0.2">
      <c r="A17462" s="29" t="s">
        <v>38322</v>
      </c>
      <c r="B17462" s="30" t="s">
        <v>13231</v>
      </c>
      <c r="C17462" s="29" t="s">
        <v>26</v>
      </c>
      <c r="D17462" s="31">
        <v>1105.9000000000001</v>
      </c>
      <c r="F17462" s="3" t="str">
        <f t="shared" si="272"/>
        <v>I9457</v>
      </c>
    </row>
    <row r="17463" spans="1:6" ht="22.5" x14ac:dyDescent="0.2">
      <c r="A17463" s="29" t="s">
        <v>38323</v>
      </c>
      <c r="B17463" s="30" t="s">
        <v>13233</v>
      </c>
      <c r="C17463" s="29" t="s">
        <v>26</v>
      </c>
      <c r="D17463" s="31">
        <v>707.67</v>
      </c>
      <c r="F17463" s="3" t="str">
        <f t="shared" si="272"/>
        <v>I9458</v>
      </c>
    </row>
    <row r="17464" spans="1:6" ht="22.5" x14ac:dyDescent="0.2">
      <c r="A17464" s="29" t="s">
        <v>38324</v>
      </c>
      <c r="B17464" s="30" t="s">
        <v>13235</v>
      </c>
      <c r="C17464" s="29" t="s">
        <v>26</v>
      </c>
      <c r="D17464" s="31">
        <v>879.61</v>
      </c>
      <c r="F17464" s="3" t="str">
        <f t="shared" si="272"/>
        <v>I9459</v>
      </c>
    </row>
    <row r="17465" spans="1:6" ht="22.5" x14ac:dyDescent="0.2">
      <c r="A17465" s="29" t="s">
        <v>38325</v>
      </c>
      <c r="B17465" s="30" t="s">
        <v>13237</v>
      </c>
      <c r="C17465" s="29" t="s">
        <v>26</v>
      </c>
      <c r="D17465" s="31">
        <v>1109.28</v>
      </c>
      <c r="F17465" s="3" t="str">
        <f t="shared" si="272"/>
        <v>I9460</v>
      </c>
    </row>
    <row r="17466" spans="1:6" ht="22.5" x14ac:dyDescent="0.2">
      <c r="A17466" s="29" t="s">
        <v>38326</v>
      </c>
      <c r="B17466" s="30" t="s">
        <v>13239</v>
      </c>
      <c r="C17466" s="29" t="s">
        <v>26</v>
      </c>
      <c r="D17466" s="31">
        <v>1051.9100000000001</v>
      </c>
      <c r="F17466" s="3" t="str">
        <f t="shared" si="272"/>
        <v>I9461</v>
      </c>
    </row>
    <row r="17467" spans="1:6" ht="22.5" x14ac:dyDescent="0.2">
      <c r="A17467" s="29" t="s">
        <v>38327</v>
      </c>
      <c r="B17467" s="30" t="s">
        <v>13241</v>
      </c>
      <c r="C17467" s="29" t="s">
        <v>26</v>
      </c>
      <c r="D17467" s="31">
        <v>1411.62</v>
      </c>
      <c r="F17467" s="3" t="str">
        <f t="shared" si="272"/>
        <v>I9462</v>
      </c>
    </row>
    <row r="17468" spans="1:6" ht="22.5" x14ac:dyDescent="0.2">
      <c r="A17468" s="29" t="s">
        <v>38328</v>
      </c>
      <c r="B17468" s="30" t="s">
        <v>38329</v>
      </c>
      <c r="C17468" s="29" t="s">
        <v>26</v>
      </c>
      <c r="D17468" s="31">
        <v>1881.96</v>
      </c>
      <c r="F17468" s="3" t="str">
        <f t="shared" si="272"/>
        <v>I9472</v>
      </c>
    </row>
    <row r="17469" spans="1:6" ht="22.5" x14ac:dyDescent="0.2">
      <c r="A17469" s="29" t="s">
        <v>38330</v>
      </c>
      <c r="B17469" s="30" t="s">
        <v>38331</v>
      </c>
      <c r="C17469" s="29" t="s">
        <v>26</v>
      </c>
      <c r="D17469" s="31">
        <v>2356.4499999999998</v>
      </c>
      <c r="F17469" s="3" t="str">
        <f t="shared" si="272"/>
        <v>I9463</v>
      </c>
    </row>
    <row r="17470" spans="1:6" ht="22.5" x14ac:dyDescent="0.2">
      <c r="A17470" s="29" t="s">
        <v>38332</v>
      </c>
      <c r="B17470" s="30" t="s">
        <v>38333</v>
      </c>
      <c r="C17470" s="29" t="s">
        <v>26</v>
      </c>
      <c r="D17470" s="31">
        <v>790</v>
      </c>
      <c r="F17470" s="3" t="str">
        <f t="shared" si="272"/>
        <v>I1720</v>
      </c>
    </row>
    <row r="17471" spans="1:6" ht="22.5" x14ac:dyDescent="0.2">
      <c r="A17471" s="29" t="s">
        <v>38334</v>
      </c>
      <c r="B17471" s="30" t="s">
        <v>38335</v>
      </c>
      <c r="C17471" s="29" t="s">
        <v>26</v>
      </c>
      <c r="D17471" s="31">
        <v>1294.3</v>
      </c>
      <c r="F17471" s="3" t="str">
        <f t="shared" si="272"/>
        <v>I1719</v>
      </c>
    </row>
    <row r="17472" spans="1:6" ht="22.5" x14ac:dyDescent="0.2">
      <c r="A17472" s="29" t="s">
        <v>38336</v>
      </c>
      <c r="B17472" s="30" t="s">
        <v>38337</v>
      </c>
      <c r="C17472" s="29" t="s">
        <v>26</v>
      </c>
      <c r="D17472" s="31">
        <v>601.70000000000005</v>
      </c>
      <c r="F17472" s="3" t="str">
        <f t="shared" si="272"/>
        <v>I2405</v>
      </c>
    </row>
    <row r="17473" spans="1:6" ht="22.5" x14ac:dyDescent="0.2">
      <c r="A17473" s="29" t="s">
        <v>38338</v>
      </c>
      <c r="B17473" s="30" t="s">
        <v>38339</v>
      </c>
      <c r="C17473" s="29" t="s">
        <v>26</v>
      </c>
      <c r="D17473" s="31">
        <v>601.70000000000005</v>
      </c>
      <c r="F17473" s="3" t="str">
        <f t="shared" si="272"/>
        <v>I9471</v>
      </c>
    </row>
    <row r="17474" spans="1:6" ht="22.5" x14ac:dyDescent="0.2">
      <c r="A17474" s="29" t="s">
        <v>38340</v>
      </c>
      <c r="B17474" s="30" t="s">
        <v>38341</v>
      </c>
      <c r="C17474" s="29" t="s">
        <v>26</v>
      </c>
      <c r="D17474" s="31">
        <v>485.41</v>
      </c>
      <c r="F17474" s="3" t="str">
        <f t="shared" ref="F17474:F17527" si="273">A17474</f>
        <v>I9464</v>
      </c>
    </row>
    <row r="17475" spans="1:6" ht="22.5" x14ac:dyDescent="0.2">
      <c r="A17475" s="29" t="s">
        <v>38342</v>
      </c>
      <c r="B17475" s="30" t="s">
        <v>38343</v>
      </c>
      <c r="C17475" s="29" t="s">
        <v>26</v>
      </c>
      <c r="D17475" s="31">
        <v>601.70000000000005</v>
      </c>
      <c r="F17475" s="3" t="str">
        <f t="shared" si="273"/>
        <v>I9465</v>
      </c>
    </row>
    <row r="17476" spans="1:6" ht="22.5" x14ac:dyDescent="0.2">
      <c r="A17476" s="29" t="s">
        <v>38344</v>
      </c>
      <c r="B17476" s="30" t="s">
        <v>38345</v>
      </c>
      <c r="C17476" s="29" t="s">
        <v>26</v>
      </c>
      <c r="D17476" s="31">
        <v>758.03</v>
      </c>
      <c r="F17476" s="3" t="str">
        <f t="shared" si="273"/>
        <v>I9466</v>
      </c>
    </row>
    <row r="17477" spans="1:6" ht="22.5" x14ac:dyDescent="0.2">
      <c r="A17477" s="29" t="s">
        <v>38346</v>
      </c>
      <c r="B17477" s="30" t="s">
        <v>38347</v>
      </c>
      <c r="C17477" s="29" t="s">
        <v>26</v>
      </c>
      <c r="D17477" s="31">
        <v>790</v>
      </c>
      <c r="F17477" s="3" t="str">
        <f t="shared" si="273"/>
        <v>I9467</v>
      </c>
    </row>
    <row r="17478" spans="1:6" ht="22.5" x14ac:dyDescent="0.2">
      <c r="A17478" s="29" t="s">
        <v>38348</v>
      </c>
      <c r="B17478" s="30" t="s">
        <v>38349</v>
      </c>
      <c r="C17478" s="29" t="s">
        <v>26</v>
      </c>
      <c r="D17478" s="31">
        <v>928.69</v>
      </c>
      <c r="F17478" s="3" t="str">
        <f t="shared" si="273"/>
        <v>I9468</v>
      </c>
    </row>
    <row r="17479" spans="1:6" ht="22.5" x14ac:dyDescent="0.2">
      <c r="A17479" s="29" t="s">
        <v>38350</v>
      </c>
      <c r="B17479" s="30" t="s">
        <v>38351</v>
      </c>
      <c r="C17479" s="29" t="s">
        <v>26</v>
      </c>
      <c r="D17479" s="31">
        <v>1295.68</v>
      </c>
      <c r="F17479" s="3" t="str">
        <f t="shared" si="273"/>
        <v>I9420</v>
      </c>
    </row>
    <row r="17480" spans="1:6" ht="22.5" x14ac:dyDescent="0.2">
      <c r="A17480" s="29" t="s">
        <v>38352</v>
      </c>
      <c r="B17480" s="30" t="s">
        <v>38353</v>
      </c>
      <c r="C17480" s="29" t="s">
        <v>26</v>
      </c>
      <c r="D17480" s="31">
        <v>1295.68</v>
      </c>
      <c r="F17480" s="3" t="str">
        <f t="shared" si="273"/>
        <v>I9470</v>
      </c>
    </row>
    <row r="17481" spans="1:6" ht="22.5" x14ac:dyDescent="0.2">
      <c r="A17481" s="29" t="s">
        <v>38354</v>
      </c>
      <c r="B17481" s="30" t="s">
        <v>38355</v>
      </c>
      <c r="C17481" s="29" t="s">
        <v>26</v>
      </c>
      <c r="D17481" s="31">
        <v>1367.66</v>
      </c>
      <c r="F17481" s="3" t="str">
        <f t="shared" si="273"/>
        <v>I9421</v>
      </c>
    </row>
    <row r="17482" spans="1:6" ht="22.5" x14ac:dyDescent="0.2">
      <c r="A17482" s="29" t="s">
        <v>38356</v>
      </c>
      <c r="B17482" s="30" t="s">
        <v>13265</v>
      </c>
      <c r="C17482" s="29" t="s">
        <v>26</v>
      </c>
      <c r="D17482" s="31">
        <v>2867.07</v>
      </c>
      <c r="F17482" s="3" t="str">
        <f t="shared" si="273"/>
        <v>I9068</v>
      </c>
    </row>
    <row r="17483" spans="1:6" ht="45" x14ac:dyDescent="0.2">
      <c r="A17483" s="29" t="s">
        <v>38357</v>
      </c>
      <c r="B17483" s="30" t="s">
        <v>38358</v>
      </c>
      <c r="C17483" s="29" t="s">
        <v>8321</v>
      </c>
      <c r="D17483" s="31">
        <v>2703.16</v>
      </c>
      <c r="F17483" s="3" t="str">
        <f t="shared" si="273"/>
        <v>I1140</v>
      </c>
    </row>
    <row r="17484" spans="1:6" x14ac:dyDescent="0.2">
      <c r="A17484" s="29" t="s">
        <v>38359</v>
      </c>
      <c r="B17484" s="30" t="s">
        <v>38360</v>
      </c>
      <c r="C17484" s="29" t="s">
        <v>26</v>
      </c>
      <c r="D17484" s="31">
        <v>45.41</v>
      </c>
      <c r="F17484" s="3" t="str">
        <f t="shared" si="273"/>
        <v>I1833</v>
      </c>
    </row>
    <row r="17485" spans="1:6" ht="22.5" x14ac:dyDescent="0.2">
      <c r="A17485" s="29" t="s">
        <v>38361</v>
      </c>
      <c r="B17485" s="30" t="s">
        <v>38362</v>
      </c>
      <c r="C17485" s="29" t="s">
        <v>8321</v>
      </c>
      <c r="D17485" s="31">
        <v>3510.44</v>
      </c>
      <c r="F17485" s="3" t="str">
        <f t="shared" si="273"/>
        <v>I1911</v>
      </c>
    </row>
    <row r="17486" spans="1:6" x14ac:dyDescent="0.2">
      <c r="A17486" s="29" t="s">
        <v>38363</v>
      </c>
      <c r="B17486" s="30" t="s">
        <v>38364</v>
      </c>
      <c r="C17486" s="29" t="s">
        <v>255</v>
      </c>
      <c r="D17486" s="31">
        <v>13.66</v>
      </c>
      <c r="F17486" s="3" t="str">
        <f t="shared" si="273"/>
        <v>I6219</v>
      </c>
    </row>
    <row r="17487" spans="1:6" ht="33.75" x14ac:dyDescent="0.2">
      <c r="A17487" s="29" t="s">
        <v>38365</v>
      </c>
      <c r="B17487" s="30" t="s">
        <v>38366</v>
      </c>
      <c r="C17487" s="29" t="s">
        <v>8321</v>
      </c>
      <c r="D17487" s="31">
        <v>3763.61</v>
      </c>
      <c r="F17487" s="3" t="str">
        <f t="shared" si="273"/>
        <v>I1138</v>
      </c>
    </row>
    <row r="17488" spans="1:6" ht="33.75" x14ac:dyDescent="0.2">
      <c r="A17488" s="29" t="s">
        <v>38367</v>
      </c>
      <c r="B17488" s="30" t="s">
        <v>38368</v>
      </c>
      <c r="C17488" s="29" t="s">
        <v>8321</v>
      </c>
      <c r="D17488" s="31">
        <v>4452.67</v>
      </c>
      <c r="F17488" s="3" t="str">
        <f t="shared" si="273"/>
        <v>I1137</v>
      </c>
    </row>
    <row r="17489" spans="1:6" ht="15.75" customHeight="1" x14ac:dyDescent="0.2">
      <c r="A17489" s="32" t="s">
        <v>38369</v>
      </c>
      <c r="B17489" s="33"/>
      <c r="C17489" s="32">
        <v>0</v>
      </c>
      <c r="D17489" s="34">
        <v>0</v>
      </c>
      <c r="F17489" s="3" t="str">
        <f t="shared" si="273"/>
        <v>COTAÇÃO / VEDAÇÃO</v>
      </c>
    </row>
    <row r="17490" spans="1:6" ht="25.5" x14ac:dyDescent="0.2">
      <c r="A17490" s="26" t="s">
        <v>14985</v>
      </c>
      <c r="B17490" s="27" t="s">
        <v>14986</v>
      </c>
      <c r="C17490" s="26" t="s">
        <v>14987</v>
      </c>
      <c r="D17490" s="28" t="e">
        <v>#VALUE!</v>
      </c>
      <c r="F17490" s="3" t="str">
        <f t="shared" si="273"/>
        <v>Insumo</v>
      </c>
    </row>
    <row r="17491" spans="1:6" x14ac:dyDescent="0.2">
      <c r="A17491" s="29" t="s">
        <v>38370</v>
      </c>
      <c r="B17491" s="30" t="s">
        <v>38371</v>
      </c>
      <c r="C17491" s="29" t="s">
        <v>26</v>
      </c>
      <c r="D17491" s="31">
        <v>701.88</v>
      </c>
      <c r="F17491" s="3" t="str">
        <f t="shared" si="273"/>
        <v>I0122</v>
      </c>
    </row>
    <row r="17492" spans="1:6" x14ac:dyDescent="0.2">
      <c r="A17492" s="29" t="s">
        <v>38372</v>
      </c>
      <c r="B17492" s="30" t="s">
        <v>38373</v>
      </c>
      <c r="C17492" s="29" t="s">
        <v>26</v>
      </c>
      <c r="D17492" s="31">
        <v>274.74</v>
      </c>
      <c r="F17492" s="3" t="str">
        <f t="shared" si="273"/>
        <v>I0123</v>
      </c>
    </row>
    <row r="17493" spans="1:6" ht="22.5" x14ac:dyDescent="0.2">
      <c r="A17493" s="29" t="s">
        <v>38374</v>
      </c>
      <c r="B17493" s="30" t="s">
        <v>38375</v>
      </c>
      <c r="C17493" s="29" t="s">
        <v>255</v>
      </c>
      <c r="D17493" s="31">
        <v>86.28</v>
      </c>
      <c r="F17493" s="3" t="str">
        <f t="shared" si="273"/>
        <v>I9527</v>
      </c>
    </row>
    <row r="17494" spans="1:6" x14ac:dyDescent="0.2">
      <c r="A17494" s="29" t="s">
        <v>38376</v>
      </c>
      <c r="B17494" s="30" t="s">
        <v>38377</v>
      </c>
      <c r="C17494" s="29" t="s">
        <v>255</v>
      </c>
      <c r="D17494" s="31">
        <v>45.16</v>
      </c>
      <c r="F17494" s="3" t="str">
        <f t="shared" si="273"/>
        <v>I1557</v>
      </c>
    </row>
    <row r="17495" spans="1:6" x14ac:dyDescent="0.2">
      <c r="A17495" s="29" t="s">
        <v>38378</v>
      </c>
      <c r="B17495" s="30" t="s">
        <v>38379</v>
      </c>
      <c r="C17495" s="29" t="s">
        <v>255</v>
      </c>
      <c r="D17495" s="31">
        <v>46.39</v>
      </c>
      <c r="F17495" s="3" t="str">
        <f t="shared" si="273"/>
        <v>I1558</v>
      </c>
    </row>
    <row r="17496" spans="1:6" ht="22.5" x14ac:dyDescent="0.2">
      <c r="A17496" s="29" t="s">
        <v>38380</v>
      </c>
      <c r="B17496" s="30" t="s">
        <v>38381</v>
      </c>
      <c r="C17496" s="29" t="s">
        <v>26</v>
      </c>
      <c r="D17496" s="31">
        <v>410.13</v>
      </c>
      <c r="F17496" s="3" t="str">
        <f t="shared" si="273"/>
        <v>I6743</v>
      </c>
    </row>
    <row r="17497" spans="1:6" ht="22.5" x14ac:dyDescent="0.2">
      <c r="A17497" s="29" t="s">
        <v>38382</v>
      </c>
      <c r="B17497" s="30" t="s">
        <v>38383</v>
      </c>
      <c r="C17497" s="29" t="s">
        <v>26</v>
      </c>
      <c r="D17497" s="31">
        <v>150.15</v>
      </c>
      <c r="F17497" s="3" t="str">
        <f t="shared" si="273"/>
        <v>I6742</v>
      </c>
    </row>
    <row r="17498" spans="1:6" ht="22.5" x14ac:dyDescent="0.2">
      <c r="A17498" s="29" t="s">
        <v>38384</v>
      </c>
      <c r="B17498" s="30" t="s">
        <v>38385</v>
      </c>
      <c r="C17498" s="29" t="s">
        <v>255</v>
      </c>
      <c r="D17498" s="31">
        <v>37.49</v>
      </c>
      <c r="F17498" s="3" t="str">
        <f t="shared" si="273"/>
        <v>I6747</v>
      </c>
    </row>
    <row r="17499" spans="1:6" ht="22.5" x14ac:dyDescent="0.2">
      <c r="A17499" s="29" t="s">
        <v>38386</v>
      </c>
      <c r="B17499" s="30" t="s">
        <v>38387</v>
      </c>
      <c r="C17499" s="29" t="s">
        <v>255</v>
      </c>
      <c r="D17499" s="31">
        <v>282.73</v>
      </c>
      <c r="F17499" s="3" t="str">
        <f t="shared" si="273"/>
        <v>I6741</v>
      </c>
    </row>
    <row r="17500" spans="1:6" ht="15.75" customHeight="1" x14ac:dyDescent="0.2">
      <c r="A17500" s="32" t="s">
        <v>38388</v>
      </c>
      <c r="B17500" s="33"/>
      <c r="C17500" s="32">
        <v>0</v>
      </c>
      <c r="D17500" s="34">
        <v>0</v>
      </c>
      <c r="F17500" s="3" t="str">
        <f t="shared" si="273"/>
        <v>COTAÇÃO / VIDRO</v>
      </c>
    </row>
    <row r="17501" spans="1:6" ht="25.5" x14ac:dyDescent="0.2">
      <c r="A17501" s="26" t="s">
        <v>14985</v>
      </c>
      <c r="B17501" s="27" t="s">
        <v>14986</v>
      </c>
      <c r="C17501" s="26" t="s">
        <v>14987</v>
      </c>
      <c r="D17501" s="28" t="e">
        <v>#VALUE!</v>
      </c>
      <c r="F17501" s="3" t="str">
        <f t="shared" si="273"/>
        <v>Insumo</v>
      </c>
    </row>
    <row r="17502" spans="1:6" x14ac:dyDescent="0.2">
      <c r="A17502" s="29" t="s">
        <v>38389</v>
      </c>
      <c r="B17502" s="30" t="s">
        <v>38390</v>
      </c>
      <c r="C17502" s="29" t="s">
        <v>255</v>
      </c>
      <c r="D17502" s="31">
        <v>443.8</v>
      </c>
      <c r="F17502" s="3" t="str">
        <f t="shared" si="273"/>
        <v>I9145</v>
      </c>
    </row>
    <row r="17503" spans="1:6" x14ac:dyDescent="0.2">
      <c r="A17503" s="29" t="s">
        <v>38391</v>
      </c>
      <c r="B17503" s="30" t="s">
        <v>38392</v>
      </c>
      <c r="C17503" s="29" t="s">
        <v>1284</v>
      </c>
      <c r="D17503" s="31">
        <v>9.34</v>
      </c>
      <c r="F17503" s="3" t="str">
        <f t="shared" si="273"/>
        <v>I1515</v>
      </c>
    </row>
    <row r="17504" spans="1:6" x14ac:dyDescent="0.2">
      <c r="A17504" s="29" t="s">
        <v>38393</v>
      </c>
      <c r="B17504" s="30" t="s">
        <v>38394</v>
      </c>
      <c r="C17504" s="29" t="s">
        <v>1284</v>
      </c>
      <c r="D17504" s="31">
        <v>10.82</v>
      </c>
      <c r="F17504" s="3" t="str">
        <f t="shared" si="273"/>
        <v>I1516</v>
      </c>
    </row>
    <row r="17505" spans="1:6" x14ac:dyDescent="0.2">
      <c r="A17505" s="29" t="s">
        <v>38395</v>
      </c>
      <c r="B17505" s="30" t="s">
        <v>38396</v>
      </c>
      <c r="C17505" s="29" t="s">
        <v>255</v>
      </c>
      <c r="D17505" s="31">
        <v>41.29</v>
      </c>
      <c r="F17505" s="3" t="str">
        <f t="shared" si="273"/>
        <v>I1611</v>
      </c>
    </row>
    <row r="17506" spans="1:6" x14ac:dyDescent="0.2">
      <c r="A17506" s="29" t="s">
        <v>38397</v>
      </c>
      <c r="B17506" s="30" t="s">
        <v>38398</v>
      </c>
      <c r="C17506" s="29" t="s">
        <v>255</v>
      </c>
      <c r="D17506" s="31">
        <v>41.29</v>
      </c>
      <c r="F17506" s="3" t="str">
        <f t="shared" si="273"/>
        <v>I1612</v>
      </c>
    </row>
    <row r="17507" spans="1:6" x14ac:dyDescent="0.2">
      <c r="A17507" s="29" t="s">
        <v>38399</v>
      </c>
      <c r="B17507" s="30" t="s">
        <v>38400</v>
      </c>
      <c r="C17507" s="29" t="s">
        <v>26</v>
      </c>
      <c r="D17507" s="31">
        <v>60.35</v>
      </c>
      <c r="F17507" s="3" t="str">
        <f t="shared" si="273"/>
        <v>I1893</v>
      </c>
    </row>
    <row r="17508" spans="1:6" x14ac:dyDescent="0.2">
      <c r="A17508" s="29" t="s">
        <v>38401</v>
      </c>
      <c r="B17508" s="30" t="s">
        <v>38402</v>
      </c>
      <c r="C17508" s="29" t="s">
        <v>26</v>
      </c>
      <c r="D17508" s="31">
        <v>69.62</v>
      </c>
      <c r="F17508" s="3" t="str">
        <f t="shared" si="273"/>
        <v>I1894</v>
      </c>
    </row>
    <row r="17509" spans="1:6" x14ac:dyDescent="0.2">
      <c r="A17509" s="29" t="s">
        <v>38403</v>
      </c>
      <c r="B17509" s="30" t="s">
        <v>38404</v>
      </c>
      <c r="C17509" s="29" t="s">
        <v>26</v>
      </c>
      <c r="D17509" s="31">
        <v>26.06</v>
      </c>
      <c r="F17509" s="3" t="str">
        <f t="shared" si="273"/>
        <v>I1896</v>
      </c>
    </row>
    <row r="17510" spans="1:6" x14ac:dyDescent="0.2">
      <c r="A17510" s="29" t="s">
        <v>38405</v>
      </c>
      <c r="B17510" s="30" t="s">
        <v>38406</v>
      </c>
      <c r="C17510" s="29" t="s">
        <v>26</v>
      </c>
      <c r="D17510" s="31">
        <v>26.06</v>
      </c>
      <c r="F17510" s="3" t="str">
        <f t="shared" si="273"/>
        <v>I1897</v>
      </c>
    </row>
    <row r="17511" spans="1:6" x14ac:dyDescent="0.2">
      <c r="A17511" s="29" t="s">
        <v>38407</v>
      </c>
      <c r="B17511" s="30" t="s">
        <v>38408</v>
      </c>
      <c r="C17511" s="29" t="s">
        <v>26</v>
      </c>
      <c r="D17511" s="31">
        <v>66.84</v>
      </c>
      <c r="F17511" s="3" t="str">
        <f t="shared" si="273"/>
        <v>I1905</v>
      </c>
    </row>
    <row r="17512" spans="1:6" x14ac:dyDescent="0.2">
      <c r="A17512" s="29" t="s">
        <v>38409</v>
      </c>
      <c r="B17512" s="30" t="s">
        <v>38410</v>
      </c>
      <c r="C17512" s="29" t="s">
        <v>26</v>
      </c>
      <c r="D17512" s="31">
        <v>36</v>
      </c>
      <c r="F17512" s="3" t="str">
        <f t="shared" si="273"/>
        <v>I1906</v>
      </c>
    </row>
    <row r="17513" spans="1:6" x14ac:dyDescent="0.2">
      <c r="A17513" s="29" t="s">
        <v>38411</v>
      </c>
      <c r="B17513" s="30" t="s">
        <v>38412</v>
      </c>
      <c r="C17513" s="29" t="s">
        <v>26</v>
      </c>
      <c r="D17513" s="31">
        <v>72.540000000000006</v>
      </c>
      <c r="F17513" s="3" t="str">
        <f t="shared" si="273"/>
        <v>I1907</v>
      </c>
    </row>
    <row r="17514" spans="1:6" x14ac:dyDescent="0.2">
      <c r="A17514" s="29" t="s">
        <v>38413</v>
      </c>
      <c r="B17514" s="30" t="s">
        <v>38414</v>
      </c>
      <c r="C17514" s="29" t="s">
        <v>26</v>
      </c>
      <c r="D17514" s="31">
        <v>55.16</v>
      </c>
      <c r="F17514" s="3" t="str">
        <f t="shared" si="273"/>
        <v>I1909</v>
      </c>
    </row>
    <row r="17515" spans="1:6" x14ac:dyDescent="0.2">
      <c r="A17515" s="29" t="s">
        <v>38415</v>
      </c>
      <c r="B17515" s="30" t="s">
        <v>38416</v>
      </c>
      <c r="C17515" s="29" t="s">
        <v>255</v>
      </c>
      <c r="D17515" s="31">
        <v>149.52000000000001</v>
      </c>
      <c r="F17515" s="3" t="str">
        <f t="shared" si="273"/>
        <v>I2465</v>
      </c>
    </row>
    <row r="17516" spans="1:6" x14ac:dyDescent="0.2">
      <c r="A17516" s="29" t="s">
        <v>38417</v>
      </c>
      <c r="B17516" s="30" t="s">
        <v>38418</v>
      </c>
      <c r="C17516" s="29" t="s">
        <v>255</v>
      </c>
      <c r="D17516" s="31">
        <v>239.24</v>
      </c>
      <c r="F17516" s="3" t="str">
        <f t="shared" si="273"/>
        <v>I2252</v>
      </c>
    </row>
    <row r="17517" spans="1:6" x14ac:dyDescent="0.2">
      <c r="A17517" s="29" t="s">
        <v>38419</v>
      </c>
      <c r="B17517" s="30" t="s">
        <v>38420</v>
      </c>
      <c r="C17517" s="29" t="s">
        <v>255</v>
      </c>
      <c r="D17517" s="31">
        <v>258.24</v>
      </c>
      <c r="F17517" s="3" t="str">
        <f t="shared" si="273"/>
        <v>I2253</v>
      </c>
    </row>
    <row r="17518" spans="1:6" x14ac:dyDescent="0.2">
      <c r="A17518" s="29" t="s">
        <v>38421</v>
      </c>
      <c r="B17518" s="30" t="s">
        <v>38422</v>
      </c>
      <c r="C17518" s="29" t="s">
        <v>255</v>
      </c>
      <c r="D17518" s="31">
        <v>358.85</v>
      </c>
      <c r="F17518" s="3" t="str">
        <f t="shared" si="273"/>
        <v>I2254</v>
      </c>
    </row>
    <row r="17519" spans="1:6" ht="33.75" x14ac:dyDescent="0.2">
      <c r="A17519" s="29" t="s">
        <v>38423</v>
      </c>
      <c r="B17519" s="30" t="s">
        <v>38424</v>
      </c>
      <c r="C17519" s="29" t="s">
        <v>255</v>
      </c>
      <c r="D17519" s="31">
        <v>708.33</v>
      </c>
      <c r="F17519" s="3" t="str">
        <f t="shared" si="273"/>
        <v>I9140</v>
      </c>
    </row>
    <row r="17520" spans="1:6" x14ac:dyDescent="0.2">
      <c r="A17520" s="29" t="s">
        <v>38425</v>
      </c>
      <c r="B17520" s="30" t="s">
        <v>38426</v>
      </c>
      <c r="C17520" s="29" t="s">
        <v>255</v>
      </c>
      <c r="D17520" s="31">
        <v>179.43</v>
      </c>
      <c r="F17520" s="3" t="str">
        <f t="shared" si="273"/>
        <v>I2256</v>
      </c>
    </row>
    <row r="17521" spans="1:6" x14ac:dyDescent="0.2">
      <c r="A17521" s="29" t="s">
        <v>38427</v>
      </c>
      <c r="B17521" s="30" t="s">
        <v>38428</v>
      </c>
      <c r="C17521" s="29" t="s">
        <v>255</v>
      </c>
      <c r="D17521" s="31">
        <v>209.33</v>
      </c>
      <c r="F17521" s="3" t="str">
        <f t="shared" si="273"/>
        <v>I2257</v>
      </c>
    </row>
    <row r="17522" spans="1:6" x14ac:dyDescent="0.2">
      <c r="A17522" s="29" t="s">
        <v>38429</v>
      </c>
      <c r="B17522" s="30" t="s">
        <v>38430</v>
      </c>
      <c r="C17522" s="29" t="s">
        <v>255</v>
      </c>
      <c r="D17522" s="31">
        <v>254.19</v>
      </c>
      <c r="F17522" s="3" t="str">
        <f t="shared" si="273"/>
        <v>I2255</v>
      </c>
    </row>
    <row r="17523" spans="1:6" x14ac:dyDescent="0.2">
      <c r="A17523" s="29" t="s">
        <v>38431</v>
      </c>
      <c r="B17523" s="30" t="s">
        <v>38432</v>
      </c>
      <c r="C17523" s="29" t="s">
        <v>255</v>
      </c>
      <c r="D17523" s="31">
        <v>253.68</v>
      </c>
      <c r="F17523" s="3" t="str">
        <f t="shared" si="273"/>
        <v>I2259</v>
      </c>
    </row>
    <row r="17524" spans="1:6" x14ac:dyDescent="0.2">
      <c r="A17524" s="29" t="s">
        <v>38433</v>
      </c>
      <c r="B17524" s="30" t="s">
        <v>38434</v>
      </c>
      <c r="C17524" s="29" t="s">
        <v>255</v>
      </c>
      <c r="D17524" s="31">
        <v>331.16</v>
      </c>
      <c r="F17524" s="3" t="str">
        <f t="shared" si="273"/>
        <v>I9448</v>
      </c>
    </row>
    <row r="17525" spans="1:6" x14ac:dyDescent="0.2">
      <c r="A17525" s="29" t="s">
        <v>38435</v>
      </c>
      <c r="B17525" s="30" t="s">
        <v>38436</v>
      </c>
      <c r="C17525" s="29" t="s">
        <v>255</v>
      </c>
      <c r="D17525" s="31">
        <v>422.28</v>
      </c>
      <c r="F17525" s="3" t="str">
        <f t="shared" si="273"/>
        <v>I2258</v>
      </c>
    </row>
    <row r="17526" spans="1:6" ht="22.5" x14ac:dyDescent="0.2">
      <c r="A17526" s="29" t="s">
        <v>38437</v>
      </c>
      <c r="B17526" s="30" t="s">
        <v>38438</v>
      </c>
      <c r="C17526" s="29" t="s">
        <v>255</v>
      </c>
      <c r="D17526" s="31">
        <v>456.74</v>
      </c>
      <c r="F17526" s="3" t="str">
        <f t="shared" si="273"/>
        <v>I8358</v>
      </c>
    </row>
    <row r="17527" spans="1:6" x14ac:dyDescent="0.2">
      <c r="A17527" s="35">
        <v>0</v>
      </c>
      <c r="B17527" s="36"/>
      <c r="C17527" s="37">
        <v>0</v>
      </c>
      <c r="D17527" s="3">
        <v>0</v>
      </c>
      <c r="F17527" s="3">
        <f t="shared" si="273"/>
        <v>0</v>
      </c>
    </row>
    <row r="17528" spans="1:6" x14ac:dyDescent="0.2">
      <c r="A17528" s="35"/>
      <c r="B17528" s="36"/>
    </row>
    <row r="17529" spans="1:6" x14ac:dyDescent="0.2">
      <c r="A17529" s="35"/>
      <c r="B17529" s="36"/>
    </row>
    <row r="17530" spans="1:6" x14ac:dyDescent="0.2">
      <c r="A17530" s="35"/>
      <c r="B17530" s="36"/>
    </row>
    <row r="17531" spans="1:6" x14ac:dyDescent="0.2">
      <c r="A17531" s="35"/>
      <c r="B17531" s="36"/>
    </row>
    <row r="17532" spans="1:6" x14ac:dyDescent="0.2">
      <c r="A17532" s="35"/>
      <c r="B17532" s="36"/>
    </row>
    <row r="17533" spans="1:6" x14ac:dyDescent="0.2">
      <c r="A17533" s="35"/>
      <c r="B17533" s="36"/>
    </row>
    <row r="17534" spans="1:6" ht="15.75" x14ac:dyDescent="0.2">
      <c r="A17534" s="38"/>
      <c r="B17534" s="39"/>
    </row>
    <row r="17535" spans="1:6" x14ac:dyDescent="0.2">
      <c r="A17535" s="40"/>
      <c r="B17535" s="41"/>
    </row>
    <row r="17536" spans="1:6" x14ac:dyDescent="0.2">
      <c r="A17536" s="35"/>
      <c r="B17536" s="36"/>
    </row>
    <row r="17537" spans="1:2" x14ac:dyDescent="0.2">
      <c r="A17537" s="35"/>
      <c r="B17537" s="36"/>
    </row>
    <row r="17538" spans="1:2" x14ac:dyDescent="0.2">
      <c r="A17538" s="35"/>
      <c r="B17538" s="36"/>
    </row>
    <row r="17539" spans="1:2" x14ac:dyDescent="0.2">
      <c r="A17539" s="35"/>
      <c r="B17539" s="36"/>
    </row>
    <row r="17540" spans="1:2" x14ac:dyDescent="0.2">
      <c r="A17540" s="35"/>
      <c r="B17540" s="36"/>
    </row>
    <row r="17541" spans="1:2" x14ac:dyDescent="0.2">
      <c r="A17541" s="35"/>
      <c r="B17541" s="36"/>
    </row>
    <row r="17542" spans="1:2" x14ac:dyDescent="0.2">
      <c r="A17542" s="35"/>
      <c r="B17542" s="36"/>
    </row>
    <row r="17543" spans="1:2" x14ac:dyDescent="0.2">
      <c r="A17543" s="35"/>
      <c r="B17543" s="36"/>
    </row>
    <row r="17544" spans="1:2" x14ac:dyDescent="0.2">
      <c r="A17544" s="35"/>
      <c r="B17544" s="36"/>
    </row>
    <row r="17545" spans="1:2" x14ac:dyDescent="0.2">
      <c r="A17545" s="35"/>
      <c r="B17545" s="36"/>
    </row>
    <row r="17546" spans="1:2" x14ac:dyDescent="0.2">
      <c r="A17546" s="35"/>
      <c r="B17546" s="36"/>
    </row>
    <row r="17547" spans="1:2" x14ac:dyDescent="0.2">
      <c r="A17547" s="35"/>
      <c r="B17547" s="36"/>
    </row>
    <row r="17548" spans="1:2" x14ac:dyDescent="0.2">
      <c r="A17548" s="35"/>
      <c r="B17548" s="36"/>
    </row>
    <row r="17549" spans="1:2" x14ac:dyDescent="0.2">
      <c r="A17549" s="35"/>
      <c r="B17549" s="36"/>
    </row>
    <row r="17550" spans="1:2" x14ac:dyDescent="0.2">
      <c r="A17550" s="35"/>
      <c r="B17550" s="36"/>
    </row>
    <row r="17551" spans="1:2" x14ac:dyDescent="0.2">
      <c r="A17551" s="35"/>
      <c r="B17551" s="36"/>
    </row>
    <row r="17552" spans="1:2" x14ac:dyDescent="0.2">
      <c r="A17552" s="35"/>
      <c r="B17552" s="36"/>
    </row>
    <row r="17553" spans="1:2" x14ac:dyDescent="0.2">
      <c r="A17553" s="35"/>
      <c r="B17553" s="36"/>
    </row>
    <row r="17554" spans="1:2" x14ac:dyDescent="0.2">
      <c r="A17554" s="35"/>
      <c r="B17554" s="36"/>
    </row>
    <row r="17555" spans="1:2" x14ac:dyDescent="0.2">
      <c r="A17555" s="35"/>
      <c r="B17555" s="36"/>
    </row>
    <row r="17556" spans="1:2" x14ac:dyDescent="0.2">
      <c r="A17556" s="35"/>
      <c r="B17556" s="36"/>
    </row>
    <row r="17557" spans="1:2" x14ac:dyDescent="0.2">
      <c r="A17557" s="35"/>
      <c r="B17557" s="36"/>
    </row>
    <row r="17558" spans="1:2" x14ac:dyDescent="0.2">
      <c r="A17558" s="35"/>
      <c r="B17558" s="36"/>
    </row>
    <row r="17559" spans="1:2" x14ac:dyDescent="0.2">
      <c r="A17559" s="35"/>
      <c r="B17559" s="36"/>
    </row>
    <row r="17560" spans="1:2" x14ac:dyDescent="0.2">
      <c r="A17560" s="35"/>
      <c r="B17560" s="36"/>
    </row>
  </sheetData>
  <pageMargins left="0" right="0" top="0" bottom="0" header="0.5" footer="0.5"/>
  <pageSetup paperSize="9" scale="68" pageOrder="overThenDown" orientation="portrait" horizontalDpi="300" verticalDpi="300"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4A2965-A2B2-4BE2-87A4-9BE781B6BB79}">
  <dimension ref="A1:M34"/>
  <sheetViews>
    <sheetView view="pageBreakPreview" zoomScale="130" zoomScaleNormal="100" zoomScaleSheetLayoutView="130" workbookViewId="0">
      <selection activeCell="A2" sqref="A2:G2"/>
    </sheetView>
  </sheetViews>
  <sheetFormatPr defaultRowHeight="12.75" x14ac:dyDescent="0.2"/>
  <cols>
    <col min="1" max="1" width="12.6640625" customWidth="1"/>
    <col min="2" max="2" width="11.6640625" customWidth="1"/>
    <col min="3" max="3" width="75.83203125" customWidth="1"/>
    <col min="4" max="4" width="5.83203125" customWidth="1"/>
    <col min="5" max="5" width="9" bestFit="1" customWidth="1"/>
    <col min="6" max="6" width="10" bestFit="1" customWidth="1"/>
    <col min="7" max="7" width="11.83203125" customWidth="1"/>
  </cols>
  <sheetData>
    <row r="1" spans="1:13" x14ac:dyDescent="0.2">
      <c r="A1" s="218"/>
      <c r="B1" s="218"/>
      <c r="C1" s="218"/>
      <c r="D1" s="218"/>
      <c r="E1" s="218"/>
      <c r="F1" s="218"/>
      <c r="G1" s="218"/>
      <c r="H1" s="218"/>
      <c r="I1" s="218"/>
      <c r="J1" s="218"/>
      <c r="K1" s="218"/>
      <c r="L1" s="218"/>
      <c r="M1" s="218"/>
    </row>
    <row r="2" spans="1:13" x14ac:dyDescent="0.2">
      <c r="A2" s="603" t="str">
        <f>ORCAMENTO!A2</f>
        <v>INSTITUTO FEDERAL DE EDUCAÇÃO CIÊNCIA E TECNOLOGIA DO CEARÁ - CAMPUS BOA VIAGEM</v>
      </c>
      <c r="B2" s="603"/>
      <c r="C2" s="603"/>
      <c r="D2" s="603"/>
      <c r="E2" s="603"/>
      <c r="F2" s="603"/>
      <c r="G2" s="603"/>
      <c r="H2" s="232"/>
      <c r="I2" s="232"/>
      <c r="J2" s="232"/>
      <c r="K2" s="232"/>
      <c r="L2" s="232"/>
      <c r="M2" s="232"/>
    </row>
    <row r="3" spans="1:13" x14ac:dyDescent="0.2">
      <c r="A3" s="218"/>
      <c r="B3" s="218"/>
      <c r="C3" s="218"/>
      <c r="D3" s="218"/>
      <c r="E3" s="218"/>
      <c r="F3" s="218"/>
      <c r="G3" s="218"/>
      <c r="H3" s="218"/>
      <c r="I3" s="218"/>
      <c r="J3" s="218"/>
      <c r="K3" s="218"/>
      <c r="L3" s="218"/>
      <c r="M3" s="218"/>
    </row>
    <row r="4" spans="1:13" x14ac:dyDescent="0.2">
      <c r="A4" s="219" t="str">
        <f>ORCAMENTO!A4</f>
        <v>OBRA:</v>
      </c>
      <c r="B4" s="219"/>
      <c r="C4" s="218"/>
      <c r="D4" s="218"/>
      <c r="E4" s="218"/>
      <c r="F4" s="218"/>
      <c r="G4" s="218"/>
      <c r="H4" s="218"/>
      <c r="I4" s="218"/>
      <c r="J4" s="218"/>
      <c r="K4" s="218"/>
      <c r="L4" s="218"/>
      <c r="M4" s="218"/>
    </row>
    <row r="5" spans="1:13" x14ac:dyDescent="0.2">
      <c r="A5" s="218" t="str">
        <f>ORCAMENTO!A5</f>
        <v>CENTRO DE INOVAÇÃO E DIFUSÃO DE TECNOLOGIA PARA O SEMIÁRIDO - CAMPUS BOA VIAGEM</v>
      </c>
      <c r="B5" s="218"/>
      <c r="C5" s="218"/>
      <c r="D5" s="218"/>
      <c r="E5" s="218"/>
      <c r="F5" s="218"/>
      <c r="G5" s="218"/>
      <c r="H5" s="218"/>
      <c r="I5" s="218"/>
      <c r="J5" s="218"/>
      <c r="K5" s="218"/>
      <c r="L5" s="218"/>
      <c r="M5" s="218"/>
    </row>
    <row r="6" spans="1:13" x14ac:dyDescent="0.2">
      <c r="A6" s="219" t="str">
        <f>ORCAMENTO!A6</f>
        <v>LOCAL:</v>
      </c>
      <c r="B6" s="219"/>
      <c r="C6" s="218"/>
      <c r="D6" s="218"/>
      <c r="E6" s="218"/>
      <c r="F6" s="218"/>
      <c r="G6" s="218"/>
      <c r="H6" s="218"/>
      <c r="I6" s="218"/>
      <c r="J6" s="218"/>
      <c r="K6" s="218"/>
      <c r="L6" s="218"/>
      <c r="M6" s="218"/>
    </row>
    <row r="7" spans="1:13" x14ac:dyDescent="0.2">
      <c r="A7" s="218" t="str">
        <f>ORCAMENTO!A7</f>
        <v>SEDE DO MUNICÍPIO</v>
      </c>
      <c r="B7" s="218"/>
      <c r="C7" s="218"/>
      <c r="D7" s="218"/>
      <c r="E7" s="218"/>
      <c r="F7" s="218"/>
      <c r="G7" s="218"/>
      <c r="H7" s="218"/>
      <c r="I7" s="218"/>
      <c r="J7" s="218"/>
      <c r="K7" s="218"/>
      <c r="L7" s="218"/>
      <c r="M7" s="218"/>
    </row>
    <row r="8" spans="1:13" x14ac:dyDescent="0.2">
      <c r="A8" s="219" t="str">
        <f>ORCAMENTO!A8</f>
        <v>MUNICÍPIO:</v>
      </c>
      <c r="B8" s="219"/>
      <c r="C8" s="218"/>
      <c r="D8" s="218"/>
      <c r="E8" s="218"/>
      <c r="F8" s="218"/>
      <c r="G8" s="218"/>
      <c r="H8" s="218"/>
      <c r="I8" s="218"/>
      <c r="J8" s="218"/>
      <c r="K8" s="218"/>
      <c r="L8" s="218"/>
      <c r="M8" s="218"/>
    </row>
    <row r="9" spans="1:13" x14ac:dyDescent="0.2">
      <c r="A9" s="218" t="str">
        <f>ORCAMENTO!A9</f>
        <v>BOA VIAGEM - CE</v>
      </c>
      <c r="B9" s="218"/>
      <c r="C9" s="218"/>
      <c r="D9" s="218"/>
      <c r="E9" s="218"/>
      <c r="F9" s="218"/>
      <c r="G9" s="218"/>
      <c r="H9" s="218"/>
      <c r="I9" s="218"/>
      <c r="J9" s="218"/>
      <c r="K9" s="218"/>
      <c r="L9" s="218"/>
      <c r="M9" s="218"/>
    </row>
    <row r="10" spans="1:13" x14ac:dyDescent="0.2">
      <c r="A10" s="218"/>
      <c r="B10" s="218"/>
      <c r="C10" s="218"/>
      <c r="D10" s="218"/>
      <c r="E10" s="218"/>
      <c r="F10" s="218"/>
      <c r="G10" s="218"/>
      <c r="H10" s="218"/>
      <c r="I10" s="218"/>
      <c r="J10" s="218"/>
      <c r="K10" s="218"/>
      <c r="L10" s="218"/>
      <c r="M10" s="218"/>
    </row>
    <row r="11" spans="1:13" x14ac:dyDescent="0.2">
      <c r="A11" s="219" t="str">
        <f>ORCAMENTO!A11</f>
        <v>FONTE DOS PREÇOS:</v>
      </c>
      <c r="B11" s="219"/>
      <c r="C11" s="218"/>
      <c r="D11" s="218"/>
      <c r="E11" s="218"/>
      <c r="F11" s="218"/>
      <c r="G11" s="218"/>
      <c r="H11" s="218"/>
      <c r="I11" s="218"/>
      <c r="J11" s="218"/>
      <c r="K11" s="218"/>
      <c r="L11" s="218"/>
      <c r="M11" s="218"/>
    </row>
    <row r="12" spans="1:13" x14ac:dyDescent="0.2">
      <c r="A12" s="218" t="str">
        <f>ORCAMENTO!A12</f>
        <v>TABELA SEINFRA 028.1 DESONERADA</v>
      </c>
      <c r="B12" s="218"/>
      <c r="C12" s="218"/>
      <c r="D12" s="218"/>
      <c r="E12" s="218"/>
      <c r="F12" s="218"/>
      <c r="G12" s="218"/>
      <c r="H12" s="218"/>
      <c r="I12" s="218"/>
      <c r="J12" s="218"/>
      <c r="K12" s="218"/>
      <c r="L12" s="218"/>
      <c r="M12" s="218"/>
    </row>
    <row r="13" spans="1:13" x14ac:dyDescent="0.2">
      <c r="A13" s="218"/>
      <c r="B13" s="218"/>
      <c r="C13" s="218" t="str">
        <f>ORCAMENTO!B13</f>
        <v>DATA REFERÊNCIA TÉCNICA: 10/2023</v>
      </c>
      <c r="D13" s="218"/>
      <c r="E13" s="218"/>
      <c r="F13" s="218"/>
      <c r="G13" s="218"/>
      <c r="H13" s="218"/>
      <c r="I13" s="218"/>
      <c r="J13" s="218"/>
      <c r="K13" s="218"/>
      <c r="L13" s="218"/>
      <c r="M13" s="218"/>
    </row>
    <row r="14" spans="1:13" x14ac:dyDescent="0.2">
      <c r="A14" s="218"/>
      <c r="B14" s="218"/>
      <c r="C14" s="218" t="str">
        <f>ORCAMENTO!B14</f>
        <v>ENCARGOS SOCIAIS: 84,44% (HORA) - 47,48% (MÊS)</v>
      </c>
      <c r="D14" s="218"/>
      <c r="E14" s="218"/>
      <c r="F14" s="218"/>
      <c r="G14" s="218"/>
      <c r="H14" s="218"/>
      <c r="I14" s="218"/>
      <c r="J14" s="218"/>
      <c r="K14" s="218"/>
      <c r="L14" s="218"/>
      <c r="M14" s="218"/>
    </row>
    <row r="15" spans="1:13" x14ac:dyDescent="0.2">
      <c r="A15" s="218" t="str">
        <f>ORCAMENTO!A15</f>
        <v>TABELA SINAPI 06/2025 DESONERADA</v>
      </c>
      <c r="B15" s="218"/>
      <c r="C15" s="218"/>
      <c r="D15" s="218"/>
      <c r="E15" s="218"/>
      <c r="F15" s="218"/>
      <c r="G15" s="218"/>
      <c r="H15" s="218"/>
      <c r="I15" s="218"/>
      <c r="J15" s="218"/>
      <c r="K15" s="218"/>
      <c r="L15" s="218"/>
      <c r="M15" s="218"/>
    </row>
    <row r="16" spans="1:13" x14ac:dyDescent="0.2">
      <c r="A16" s="218"/>
      <c r="B16" s="218"/>
      <c r="C16" s="218" t="str">
        <f>ORCAMENTO!B16</f>
        <v>DATA REFERÊNCIA TÉCNICA: 06/2025</v>
      </c>
      <c r="D16" s="218"/>
      <c r="E16" s="218"/>
      <c r="F16" s="218"/>
      <c r="G16" s="218"/>
      <c r="H16" s="218"/>
      <c r="I16" s="218"/>
      <c r="J16" s="218"/>
      <c r="K16" s="218"/>
      <c r="L16" s="218"/>
      <c r="M16" s="218"/>
    </row>
    <row r="17" spans="1:13" x14ac:dyDescent="0.2">
      <c r="A17" s="218"/>
      <c r="B17" s="218"/>
      <c r="C17" s="218" t="str">
        <f>ORCAMENTO!B17</f>
        <v>ENCARGOS SOCIAIS: 92,17% (HORA) - 53,50% (MÊS)</v>
      </c>
      <c r="D17" s="218"/>
      <c r="E17" s="218"/>
      <c r="F17" s="218"/>
      <c r="G17" s="218"/>
      <c r="H17" s="218"/>
      <c r="I17" s="218"/>
      <c r="J17" s="218"/>
      <c r="K17" s="218"/>
      <c r="L17" s="218"/>
      <c r="M17" s="218"/>
    </row>
    <row r="18" spans="1:13" x14ac:dyDescent="0.2">
      <c r="A18" s="218"/>
    </row>
    <row r="19" spans="1:13" ht="32.25" customHeight="1" x14ac:dyDescent="0.2">
      <c r="A19" s="244" t="s">
        <v>47114</v>
      </c>
      <c r="B19" s="609" t="s">
        <v>47148</v>
      </c>
      <c r="C19" s="610"/>
      <c r="D19" s="610"/>
      <c r="E19" s="611"/>
      <c r="F19" s="275" t="s">
        <v>39196</v>
      </c>
      <c r="G19" s="445" t="s">
        <v>26</v>
      </c>
      <c r="H19" s="231"/>
      <c r="I19" s="231"/>
      <c r="J19" s="231"/>
      <c r="K19" s="231"/>
      <c r="L19" s="231"/>
      <c r="M19" s="231"/>
    </row>
    <row r="20" spans="1:13" x14ac:dyDescent="0.2">
      <c r="A20" s="220" t="s">
        <v>39178</v>
      </c>
      <c r="B20" s="220" t="s">
        <v>52</v>
      </c>
      <c r="C20" s="220" t="s">
        <v>5917</v>
      </c>
      <c r="D20" s="220" t="s">
        <v>5</v>
      </c>
      <c r="E20" s="220" t="s">
        <v>39166</v>
      </c>
      <c r="F20" s="220" t="s">
        <v>39167</v>
      </c>
      <c r="G20" s="221" t="s">
        <v>39168</v>
      </c>
    </row>
    <row r="21" spans="1:13" x14ac:dyDescent="0.2">
      <c r="A21" s="605" t="s">
        <v>39169</v>
      </c>
      <c r="B21" s="605"/>
      <c r="C21" s="605"/>
      <c r="D21" s="605"/>
      <c r="E21" s="605"/>
      <c r="F21" s="605"/>
      <c r="G21" s="605"/>
    </row>
    <row r="22" spans="1:13" x14ac:dyDescent="0.2">
      <c r="A22" s="236" t="s">
        <v>15</v>
      </c>
      <c r="B22" s="79">
        <v>88264</v>
      </c>
      <c r="C22" s="85" t="str">
        <f>IF(A22="SINAPI",VLOOKUP(B22,SINAPI!A:D,2,0),(VLOOKUP(B22,SEINFRA!A:D,2,0)))</f>
        <v>ELETRICISTA COM ENCARGOS COMPLEMENTARES</v>
      </c>
      <c r="D22" s="69" t="str">
        <f>IF(A22="SINAPI",VLOOKUP(B22,SINAPI!A:D,3,0),(VLOOKUP(B22,SEINFRA!A:D,3,0)))</f>
        <v>H</v>
      </c>
      <c r="E22" s="442">
        <v>0.3</v>
      </c>
      <c r="F22" s="82">
        <f>IF(A22="SINAPI",VLOOKUP(B22,SINAPI!A:D,4,0),(VLOOKUP(B22,SEINFRA!A:D,4,0)))</f>
        <v>27.31</v>
      </c>
      <c r="G22" s="234">
        <f>E22*F22</f>
        <v>8.1929999999999996</v>
      </c>
    </row>
    <row r="23" spans="1:13" x14ac:dyDescent="0.2">
      <c r="A23" s="236" t="s">
        <v>15</v>
      </c>
      <c r="B23" s="79">
        <v>88247</v>
      </c>
      <c r="C23" s="85" t="str">
        <f>IF(A23="SINAPI",VLOOKUP(B23,SINAPI!A:D,2,0),(VLOOKUP(B23,SEINFRA!A:D,2,0)))</f>
        <v>AUXILIAR DE ELETRICISTA COM ENCARGOS COMPLEMENTARES</v>
      </c>
      <c r="D23" s="69" t="str">
        <f>IF(A23="SINAPI",VLOOKUP(B23,SINAPI!A:D,3,0),(VLOOKUP(B23,SEINFRA!A:D,3,0)))</f>
        <v>H</v>
      </c>
      <c r="E23" s="442">
        <v>0.3</v>
      </c>
      <c r="F23" s="82">
        <f>IF(A23="SINAPI",VLOOKUP(B23,SINAPI!A:D,4,0),(VLOOKUP(B23,SEINFRA!A:D,4,0)))</f>
        <v>23.22</v>
      </c>
      <c r="G23" s="234">
        <f>E23*F23</f>
        <v>6.9659999999999993</v>
      </c>
    </row>
    <row r="24" spans="1:13" x14ac:dyDescent="0.2">
      <c r="A24" s="606" t="s">
        <v>39170</v>
      </c>
      <c r="B24" s="606"/>
      <c r="C24" s="606"/>
      <c r="D24" s="606"/>
      <c r="E24" s="606"/>
      <c r="F24" s="606"/>
      <c r="G24" s="222">
        <f>ROUND(SUM(G22:G23),2)</f>
        <v>15.16</v>
      </c>
    </row>
    <row r="25" spans="1:13" x14ac:dyDescent="0.2">
      <c r="A25" s="605" t="s">
        <v>39171</v>
      </c>
      <c r="B25" s="605"/>
      <c r="C25" s="605"/>
      <c r="D25" s="605"/>
      <c r="E25" s="605"/>
      <c r="F25" s="605"/>
      <c r="G25" s="605"/>
    </row>
    <row r="26" spans="1:13" x14ac:dyDescent="0.2">
      <c r="A26" s="80" t="s">
        <v>25</v>
      </c>
      <c r="B26" s="79" t="s">
        <v>21242</v>
      </c>
      <c r="C26" s="85" t="str">
        <f>IF(A26="SINAPI",VLOOKUP(B26,SINAPI!A:D,2,0),(VLOOKUP(B26,SEINFRA!A:D,2,0)))</f>
        <v>CAIXA DE EQUALIZAÇÃO DE TERRA EMBUTIR COM 9 TERMINAIS</v>
      </c>
      <c r="D26" s="69" t="str">
        <f>IF(A26="SINAPI",VLOOKUP(B26,SINAPI!A:D,3,0),(VLOOKUP(B26,SEINFRA!A:D,3,0)))</f>
        <v>UN</v>
      </c>
      <c r="E26" s="225">
        <v>1</v>
      </c>
      <c r="F26" s="443">
        <f>IF(A26="SINAPI",VLOOKUP(B26,SINAPI!A:D,4,0),(VLOOKUP(B26,SEINFRA!A:D,4,0)))</f>
        <v>260.14999999999998</v>
      </c>
      <c r="G26" s="234">
        <f>E26*F26</f>
        <v>260.14999999999998</v>
      </c>
    </row>
    <row r="27" spans="1:13" x14ac:dyDescent="0.2">
      <c r="A27" s="606" t="s">
        <v>39172</v>
      </c>
      <c r="B27" s="606"/>
      <c r="C27" s="606"/>
      <c r="D27" s="606"/>
      <c r="E27" s="606"/>
      <c r="F27" s="606"/>
      <c r="G27" s="222">
        <f>ROUND(SUM(G26:G26),2)</f>
        <v>260.14999999999998</v>
      </c>
    </row>
    <row r="28" spans="1:13" x14ac:dyDescent="0.2">
      <c r="A28" s="607"/>
      <c r="B28" s="607"/>
      <c r="C28" s="607"/>
      <c r="D28" s="607"/>
      <c r="E28" s="607"/>
      <c r="F28" s="607"/>
      <c r="G28" s="607"/>
    </row>
    <row r="29" spans="1:13" x14ac:dyDescent="0.2">
      <c r="A29" s="608" t="s">
        <v>39173</v>
      </c>
      <c r="B29" s="608"/>
      <c r="C29" s="608"/>
      <c r="D29" s="608"/>
      <c r="E29" s="608"/>
      <c r="F29" s="608"/>
      <c r="G29" s="235">
        <f>ROUND(G24+G27,2)</f>
        <v>275.31</v>
      </c>
    </row>
    <row r="30" spans="1:13" x14ac:dyDescent="0.2">
      <c r="A30" s="608" t="s">
        <v>39174</v>
      </c>
      <c r="B30" s="608"/>
      <c r="C30" s="608"/>
      <c r="D30" s="608"/>
      <c r="E30" s="608"/>
      <c r="F30" s="608"/>
      <c r="G30" s="227" t="s">
        <v>39175</v>
      </c>
    </row>
    <row r="31" spans="1:13" x14ac:dyDescent="0.2">
      <c r="A31" s="608" t="s">
        <v>39176</v>
      </c>
      <c r="B31" s="608"/>
      <c r="C31" s="608"/>
      <c r="D31" s="608"/>
      <c r="E31" s="608"/>
      <c r="F31" s="608"/>
      <c r="G31" s="235">
        <v>0</v>
      </c>
    </row>
    <row r="32" spans="1:13" x14ac:dyDescent="0.2">
      <c r="A32" s="606" t="s">
        <v>39177</v>
      </c>
      <c r="B32" s="606"/>
      <c r="C32" s="606"/>
      <c r="D32" s="606"/>
      <c r="E32" s="606"/>
      <c r="F32" s="606"/>
      <c r="G32" s="228">
        <f>G29</f>
        <v>275.31</v>
      </c>
    </row>
    <row r="33" spans="1:7" x14ac:dyDescent="0.2">
      <c r="A33" s="229"/>
      <c r="B33" s="229"/>
      <c r="C33" s="229"/>
      <c r="D33" s="229"/>
      <c r="E33" s="229"/>
      <c r="F33" s="229"/>
      <c r="G33" s="230"/>
    </row>
    <row r="34" spans="1:7" x14ac:dyDescent="0.2">
      <c r="A34" s="601" t="str">
        <f>ORCAMENTO!A392</f>
        <v>BOA VIAGEM - CE, JULHO DE 2025</v>
      </c>
      <c r="B34" s="601"/>
      <c r="C34" s="602"/>
      <c r="D34" s="602"/>
      <c r="E34" s="602"/>
      <c r="F34" s="602"/>
      <c r="G34" s="602"/>
    </row>
  </sheetData>
  <mergeCells count="12">
    <mergeCell ref="A34:G34"/>
    <mergeCell ref="A2:G2"/>
    <mergeCell ref="B19:E19"/>
    <mergeCell ref="A21:G21"/>
    <mergeCell ref="A24:F24"/>
    <mergeCell ref="A25:G25"/>
    <mergeCell ref="A27:F27"/>
    <mergeCell ref="A28:G28"/>
    <mergeCell ref="A29:F29"/>
    <mergeCell ref="A30:F30"/>
    <mergeCell ref="A31:F31"/>
    <mergeCell ref="A32:F32"/>
  </mergeCells>
  <printOptions horizontalCentered="1"/>
  <pageMargins left="0.39370078740157483" right="0.39370078740157483" top="0.39370078740157483" bottom="0.78740157480314965" header="0.31496062992125984" footer="0.31496062992125984"/>
  <pageSetup paperSize="9" scale="76"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B30FA8-5172-4E7F-8E67-19DB2D68D842}">
  <dimension ref="A2:G44"/>
  <sheetViews>
    <sheetView view="pageBreakPreview" zoomScale="130" zoomScaleNormal="100" zoomScaleSheetLayoutView="130" workbookViewId="0">
      <selection activeCell="A2" sqref="A2:G2"/>
    </sheetView>
  </sheetViews>
  <sheetFormatPr defaultColWidth="9.33203125" defaultRowHeight="12.75" x14ac:dyDescent="0.2"/>
  <cols>
    <col min="1" max="2" width="12.5" style="242" customWidth="1"/>
    <col min="3" max="3" width="59.1640625" style="242" customWidth="1"/>
    <col min="4" max="4" width="10.1640625" style="242" customWidth="1"/>
    <col min="5" max="7" width="13.6640625" style="242" customWidth="1"/>
    <col min="8" max="16384" width="9.33203125" style="242"/>
  </cols>
  <sheetData>
    <row r="2" spans="1:7" x14ac:dyDescent="0.2">
      <c r="A2" s="618" t="str">
        <f>ORCAMENTO!A2</f>
        <v>INSTITUTO FEDERAL DE EDUCAÇÃO CIÊNCIA E TECNOLOGIA DO CEARÁ - CAMPUS BOA VIAGEM</v>
      </c>
      <c r="B2" s="618"/>
      <c r="C2" s="618"/>
      <c r="D2" s="618"/>
      <c r="E2" s="618"/>
      <c r="F2" s="618"/>
      <c r="G2" s="618"/>
    </row>
    <row r="3" spans="1:7" x14ac:dyDescent="0.2">
      <c r="A3" s="243"/>
      <c r="B3" s="243"/>
      <c r="C3" s="243"/>
      <c r="D3" s="243"/>
      <c r="E3" s="243"/>
      <c r="F3" s="243"/>
      <c r="G3" s="243"/>
    </row>
    <row r="4" spans="1:7" x14ac:dyDescent="0.2">
      <c r="A4" s="243" t="str">
        <f>ORCAMENTO!A4</f>
        <v>OBRA:</v>
      </c>
    </row>
    <row r="5" spans="1:7" x14ac:dyDescent="0.2">
      <c r="A5" s="268" t="str">
        <f>ORCAMENTO!A5</f>
        <v>CENTRO DE INOVAÇÃO E DIFUSÃO DE TECNOLOGIA PARA O SEMIÁRIDO - CAMPUS BOA VIAGEM</v>
      </c>
    </row>
    <row r="6" spans="1:7" x14ac:dyDescent="0.2">
      <c r="A6" s="243" t="str">
        <f>ORCAMENTO!A6</f>
        <v>LOCAL:</v>
      </c>
    </row>
    <row r="7" spans="1:7" x14ac:dyDescent="0.2">
      <c r="A7" s="268" t="str">
        <f>ORCAMENTO!A7</f>
        <v>SEDE DO MUNICÍPIO</v>
      </c>
    </row>
    <row r="8" spans="1:7" x14ac:dyDescent="0.2">
      <c r="A8" s="243" t="str">
        <f>ORCAMENTO!A8</f>
        <v>MUNICÍPIO:</v>
      </c>
    </row>
    <row r="9" spans="1:7" x14ac:dyDescent="0.2">
      <c r="A9" s="268" t="str">
        <f>ORCAMENTO!A9</f>
        <v>BOA VIAGEM - CE</v>
      </c>
    </row>
    <row r="10" spans="1:7" x14ac:dyDescent="0.2">
      <c r="A10" s="243"/>
    </row>
    <row r="11" spans="1:7" x14ac:dyDescent="0.2">
      <c r="A11" s="243" t="str">
        <f>ORCAMENTO!A11</f>
        <v>FONTE DOS PREÇOS:</v>
      </c>
      <c r="B11" s="267"/>
    </row>
    <row r="12" spans="1:7" x14ac:dyDescent="0.2">
      <c r="A12" s="268" t="str">
        <f>ORCAMENTO!A12</f>
        <v>TABELA SEINFRA 028.1 DESONERADA</v>
      </c>
      <c r="B12" s="268"/>
    </row>
    <row r="13" spans="1:7" x14ac:dyDescent="0.2">
      <c r="A13" s="268"/>
      <c r="B13" s="268" t="str">
        <f>ORCAMENTO!B13</f>
        <v>DATA REFERÊNCIA TÉCNICA: 10/2023</v>
      </c>
    </row>
    <row r="14" spans="1:7" x14ac:dyDescent="0.2">
      <c r="A14" s="268"/>
      <c r="B14" s="268" t="str">
        <f>ORCAMENTO!B14</f>
        <v>ENCARGOS SOCIAIS: 84,44% (HORA) - 47,48% (MÊS)</v>
      </c>
    </row>
    <row r="15" spans="1:7" x14ac:dyDescent="0.2">
      <c r="A15" s="268" t="str">
        <f>ORCAMENTO!A15</f>
        <v>TABELA SINAPI 06/2025 DESONERADA</v>
      </c>
      <c r="B15" s="268"/>
    </row>
    <row r="16" spans="1:7" x14ac:dyDescent="0.2">
      <c r="A16" s="268"/>
      <c r="B16" s="268" t="str">
        <f>ORCAMENTO!B16</f>
        <v>DATA REFERÊNCIA TÉCNICA: 06/2025</v>
      </c>
    </row>
    <row r="17" spans="1:7" x14ac:dyDescent="0.2">
      <c r="A17" s="268"/>
      <c r="B17" s="268" t="str">
        <f>ORCAMENTO!B17</f>
        <v>ENCARGOS SOCIAIS: 92,17% (HORA) - 53,50% (MÊS)</v>
      </c>
    </row>
    <row r="19" spans="1:7" x14ac:dyDescent="0.2">
      <c r="A19" s="244" t="s">
        <v>47081</v>
      </c>
      <c r="B19" s="598" t="s">
        <v>39200</v>
      </c>
      <c r="C19" s="599"/>
      <c r="D19" s="599"/>
      <c r="E19" s="600"/>
      <c r="F19" s="245" t="s">
        <v>39196</v>
      </c>
      <c r="G19" s="246" t="s">
        <v>26</v>
      </c>
    </row>
    <row r="20" spans="1:7" ht="25.5" x14ac:dyDescent="0.2">
      <c r="A20" s="247" t="s">
        <v>39178</v>
      </c>
      <c r="B20" s="247" t="s">
        <v>52</v>
      </c>
      <c r="C20" s="247" t="s">
        <v>5917</v>
      </c>
      <c r="D20" s="247" t="s">
        <v>39197</v>
      </c>
      <c r="E20" s="247" t="s">
        <v>39166</v>
      </c>
      <c r="F20" s="247" t="s">
        <v>39198</v>
      </c>
      <c r="G20" s="248" t="s">
        <v>39199</v>
      </c>
    </row>
    <row r="21" spans="1:7" ht="12.75" customHeight="1" x14ac:dyDescent="0.2">
      <c r="A21" s="612" t="s">
        <v>39169</v>
      </c>
      <c r="B21" s="613"/>
      <c r="C21" s="613"/>
      <c r="D21" s="613"/>
      <c r="E21" s="613"/>
      <c r="F21" s="613"/>
      <c r="G21" s="614"/>
    </row>
    <row r="22" spans="1:7" x14ac:dyDescent="0.2">
      <c r="A22" s="257" t="s">
        <v>15</v>
      </c>
      <c r="B22" s="250">
        <v>88316</v>
      </c>
      <c r="C22" s="251" t="str">
        <f>IF(A22="SINAPI",VLOOKUP(B22,SINAPI!A:D,2,0),(VLOOKUP(B22,SEINFRA!A:D,2,0)))</f>
        <v>SERVENTE COM ENCARGOS COMPLEMENTARES</v>
      </c>
      <c r="D22" s="252" t="str">
        <f>IF(A22="SINAPI",VLOOKUP(B22,SINAPI!A:D,3,0),(VLOOKUP(B22,SEINFRA!A:D,3,0)))</f>
        <v>H</v>
      </c>
      <c r="E22" s="253">
        <f>1.2</f>
        <v>1.2</v>
      </c>
      <c r="F22" s="254">
        <f>IF(A22="SINAPI",VLOOKUP(B22,SINAPI!A:D,4,0),(VLOOKUP(B22,SEINFRA!A:D,4,0)))</f>
        <v>21.75</v>
      </c>
      <c r="G22" s="255">
        <f>ROUND(E22*F22,4)</f>
        <v>26.1</v>
      </c>
    </row>
    <row r="23" spans="1:7" x14ac:dyDescent="0.2">
      <c r="A23" s="257" t="s">
        <v>15</v>
      </c>
      <c r="B23" s="250">
        <v>88309</v>
      </c>
      <c r="C23" s="251" t="str">
        <f>IF(A23="SINAPI",VLOOKUP(B23,SINAPI!A:D,2,0),(VLOOKUP(B23,SEINFRA!A:D,2,0)))</f>
        <v>PEDREIRO COM ENCARGOS COMPLEMENTARES</v>
      </c>
      <c r="D23" s="252" t="str">
        <f>IF(A23="SINAPI",VLOOKUP(B23,SINAPI!A:D,3,0),(VLOOKUP(B23,SEINFRA!A:D,3,0)))</f>
        <v>H</v>
      </c>
      <c r="E23" s="253">
        <f>1.2</f>
        <v>1.2</v>
      </c>
      <c r="F23" s="254">
        <f>IF(A23="SINAPI",VLOOKUP(B23,SINAPI!A:D,4,0),(VLOOKUP(B23,SEINFRA!A:D,4,0)))</f>
        <v>26.98</v>
      </c>
      <c r="G23" s="255">
        <f>ROUND(E23*F23,4)</f>
        <v>32.375999999999998</v>
      </c>
    </row>
    <row r="24" spans="1:7" ht="25.5" x14ac:dyDescent="0.2">
      <c r="A24" s="257" t="s">
        <v>15</v>
      </c>
      <c r="B24" s="250">
        <v>88261</v>
      </c>
      <c r="C24" s="251" t="str">
        <f>IF(A24="SINAPI",VLOOKUP(B24,SINAPI!A:D,2,0),(VLOOKUP(B24,SEINFRA!A:D,2,0)))</f>
        <v>CARPINTEIRO DE ESQUADRIA COM ENCARGOS COMPLEMENTARES</v>
      </c>
      <c r="D24" s="252" t="str">
        <f>IF(A24="SINAPI",VLOOKUP(B24,SINAPI!A:D,3,0),(VLOOKUP(B24,SEINFRA!A:D,3,0)))</f>
        <v>H</v>
      </c>
      <c r="E24" s="266">
        <f>3.2</f>
        <v>3.2</v>
      </c>
      <c r="F24" s="254">
        <f>IF(A24="SINAPI",VLOOKUP(B24,SINAPI!A:D,4,0),(VLOOKUP(B24,SEINFRA!A:D,4,0)))</f>
        <v>25.76</v>
      </c>
      <c r="G24" s="255">
        <f>ROUND(E24*F24,4)</f>
        <v>82.432000000000002</v>
      </c>
    </row>
    <row r="25" spans="1:7" ht="25.5" x14ac:dyDescent="0.2">
      <c r="A25" s="257" t="s">
        <v>15</v>
      </c>
      <c r="B25" s="250">
        <v>88239</v>
      </c>
      <c r="C25" s="251" t="str">
        <f>IF(A25="SINAPI",VLOOKUP(B25,SINAPI!A:D,2,0),(VLOOKUP(B25,SEINFRA!A:D,2,0)))</f>
        <v>AJUDANTE DE CARPINTEIRO COM ENCARGOS COMPLEMENTARES</v>
      </c>
      <c r="D25" s="252" t="str">
        <f>IF(A25="SINAPI",VLOOKUP(B25,SINAPI!A:D,3,0),(VLOOKUP(B25,SEINFRA!A:D,3,0)))</f>
        <v>H</v>
      </c>
      <c r="E25" s="266">
        <f>3.2</f>
        <v>3.2</v>
      </c>
      <c r="F25" s="254">
        <f>IF(A25="SINAPI",VLOOKUP(B25,SINAPI!A:D,4,0),(VLOOKUP(B25,SEINFRA!A:D,4,0)))</f>
        <v>22.65</v>
      </c>
      <c r="G25" s="255">
        <f>ROUND(E25*F25,4)</f>
        <v>72.48</v>
      </c>
    </row>
    <row r="26" spans="1:7" ht="12.75" customHeight="1" x14ac:dyDescent="0.2">
      <c r="A26" s="615" t="s">
        <v>39170</v>
      </c>
      <c r="B26" s="616"/>
      <c r="C26" s="616"/>
      <c r="D26" s="616"/>
      <c r="E26" s="616"/>
      <c r="F26" s="617"/>
      <c r="G26" s="256">
        <f>ROUND(SUM(G22:G25),4)</f>
        <v>213.38800000000001</v>
      </c>
    </row>
    <row r="27" spans="1:7" ht="12.75" customHeight="1" x14ac:dyDescent="0.2">
      <c r="A27" s="612" t="s">
        <v>39171</v>
      </c>
      <c r="B27" s="613"/>
      <c r="C27" s="613"/>
      <c r="D27" s="613"/>
      <c r="E27" s="613"/>
      <c r="F27" s="613"/>
      <c r="G27" s="614"/>
    </row>
    <row r="28" spans="1:7" ht="33" customHeight="1" x14ac:dyDescent="0.2">
      <c r="A28" s="249" t="s">
        <v>25</v>
      </c>
      <c r="B28" s="250" t="s">
        <v>20158</v>
      </c>
      <c r="C28" s="251" t="str">
        <f>IF(A28="SINAPI",VLOOKUP(B28,SINAPI!A:D,2,0),(VLOOKUP(B28,SEINFRA!A:D,2,0)))</f>
        <v>PRANCHA 3 X 16 CM</v>
      </c>
      <c r="D28" s="252" t="str">
        <f>IF(A28="SINAPI",VLOOKUP(B28,SINAPI!A:D,3,0),(VLOOKUP(B28,SEINFRA!A:D,3,0)))</f>
        <v>M</v>
      </c>
      <c r="E28" s="253">
        <f>17.28</f>
        <v>17.28</v>
      </c>
      <c r="F28" s="254">
        <f>IF(A28="SINAPI",VLOOKUP(B28,SINAPI!A:D,4,0),(VLOOKUP(B28,SEINFRA!A:D,4,0)))</f>
        <v>21.93</v>
      </c>
      <c r="G28" s="255">
        <f>ROUND(E28*F28,4)</f>
        <v>378.9504</v>
      </c>
    </row>
    <row r="29" spans="1:7" x14ac:dyDescent="0.2">
      <c r="A29" s="257" t="s">
        <v>15</v>
      </c>
      <c r="B29" s="250">
        <v>39996</v>
      </c>
      <c r="C29" s="251" t="str">
        <f>IF(A29="SINAPI",VLOOKUP(B29,SINAPI!A:D,2,0),(VLOOKUP(B29,SEINFRA!A:D,2,0)))</f>
        <v>VERGALHAO ZINCADO ROSCA TOTAL, 1/4" (6,3 MM)</v>
      </c>
      <c r="D29" s="252" t="str">
        <f>IF(A29="SINAPI",VLOOKUP(B29,SINAPI!A:D,3,0),(VLOOKUP(B29,SEINFRA!A:D,3,0)))</f>
        <v>M</v>
      </c>
      <c r="E29" s="253">
        <f>2.1</f>
        <v>2.1</v>
      </c>
      <c r="F29" s="254">
        <f>IF(A29="SINAPI",VLOOKUP(B29,SINAPI!A:D,4,0),(VLOOKUP(B29,SEINFRA!A:D,4,0)))</f>
        <v>5.26</v>
      </c>
      <c r="G29" s="255">
        <f t="shared" ref="G29:G36" si="0">ROUND(E29*F29,4)</f>
        <v>11.045999999999999</v>
      </c>
    </row>
    <row r="30" spans="1:7" x14ac:dyDescent="0.2">
      <c r="A30" s="257" t="s">
        <v>15</v>
      </c>
      <c r="B30" s="250">
        <v>39997</v>
      </c>
      <c r="C30" s="251" t="str">
        <f>IF(A30="SINAPI",VLOOKUP(B30,SINAPI!A:D,2,0),(VLOOKUP(B30,SEINFRA!A:D,2,0)))</f>
        <v>PORCA ZINCADA, SEXTAVADA, DIAMETRO 1/4"</v>
      </c>
      <c r="D30" s="252" t="str">
        <f>IF(A30="SINAPI",VLOOKUP(B30,SINAPI!A:D,3,0),(VLOOKUP(B30,SEINFRA!A:D,3,0)))</f>
        <v>UN</v>
      </c>
      <c r="E30" s="253">
        <f>42</f>
        <v>42</v>
      </c>
      <c r="F30" s="254">
        <f>IF(A30="SINAPI",VLOOKUP(B30,SINAPI!A:D,4,0),(VLOOKUP(B30,SEINFRA!A:D,4,0)))</f>
        <v>0.42</v>
      </c>
      <c r="G30" s="255">
        <f t="shared" si="0"/>
        <v>17.64</v>
      </c>
    </row>
    <row r="31" spans="1:7" x14ac:dyDescent="0.2">
      <c r="A31" s="249" t="s">
        <v>25</v>
      </c>
      <c r="B31" s="250" t="s">
        <v>16750</v>
      </c>
      <c r="C31" s="251" t="str">
        <f>IF(A31="SINAPI",VLOOKUP(B31,SINAPI!A:D,2,0),(VLOOKUP(B31,SEINFRA!A:D,2,0)))</f>
        <v>ARRUELA LISA 1/4''X3/4''</v>
      </c>
      <c r="D31" s="252" t="str">
        <f>IF(A31="SINAPI",VLOOKUP(B31,SINAPI!A:D,3,0),(VLOOKUP(B31,SEINFRA!A:D,3,0)))</f>
        <v>UN</v>
      </c>
      <c r="E31" s="253">
        <f>42</f>
        <v>42</v>
      </c>
      <c r="F31" s="254">
        <f>IF(A31="SINAPI",VLOOKUP(B31,SINAPI!A:D,4,0),(VLOOKUP(B31,SEINFRA!A:D,4,0)))</f>
        <v>0.47</v>
      </c>
      <c r="G31" s="255">
        <f t="shared" si="0"/>
        <v>19.739999999999998</v>
      </c>
    </row>
    <row r="32" spans="1:7" ht="27.75" customHeight="1" x14ac:dyDescent="0.2">
      <c r="A32" s="249" t="s">
        <v>25</v>
      </c>
      <c r="B32" s="250" t="s">
        <v>16629</v>
      </c>
      <c r="C32" s="251" t="str">
        <f>IF(A32="SINAPI",VLOOKUP(B32,SINAPI!A:D,2,0),(VLOOKUP(B32,SEINFRA!A:D,2,0)))</f>
        <v>DOBRADIÇA 3''X2 1/2'' CROMADA</v>
      </c>
      <c r="D32" s="252" t="str">
        <f>IF(A32="SINAPI",VLOOKUP(B32,SINAPI!A:D,3,0),(VLOOKUP(B32,SEINFRA!A:D,3,0)))</f>
        <v>UN</v>
      </c>
      <c r="E32" s="253">
        <f>3</f>
        <v>3</v>
      </c>
      <c r="F32" s="254">
        <f>IF(A32="SINAPI",VLOOKUP(B32,SINAPI!A:D,4,0),(VLOOKUP(B32,SEINFRA!A:D,4,0)))</f>
        <v>16.63</v>
      </c>
      <c r="G32" s="255">
        <f t="shared" si="0"/>
        <v>49.89</v>
      </c>
    </row>
    <row r="33" spans="1:7" ht="51" x14ac:dyDescent="0.2">
      <c r="A33" s="257" t="s">
        <v>15</v>
      </c>
      <c r="B33" s="250">
        <v>3120</v>
      </c>
      <c r="C33" s="251" t="str">
        <f>IF(A33="SINAPI",VLOOKUP(B33,SINAPI!A:D,2,0),(VLOOKUP(B33,SEINFRA!A:D,2,0)))</f>
        <v>FERROLHO COM FECHO / TRINCO REDONDO, EM ACO GALVANIZADO / ZINCADO, DE SOBREPOR, COM COMPRIMENTO DE 6" E ESPESSURA MINIMA DA CHAPA DE 1,50 MM</v>
      </c>
      <c r="D33" s="252" t="str">
        <f>IF(A33="SINAPI",VLOOKUP(B33,SINAPI!A:D,3,0),(VLOOKUP(B33,SEINFRA!A:D,3,0)))</f>
        <v>UN</v>
      </c>
      <c r="E33" s="253">
        <f>1</f>
        <v>1</v>
      </c>
      <c r="F33" s="254">
        <f>IF(A33="SINAPI",VLOOKUP(B33,SINAPI!A:D,4,0),(VLOOKUP(B33,SEINFRA!A:D,4,0)))</f>
        <v>12.16</v>
      </c>
      <c r="G33" s="255">
        <f t="shared" si="0"/>
        <v>12.16</v>
      </c>
    </row>
    <row r="34" spans="1:7" x14ac:dyDescent="0.2">
      <c r="A34" s="249" t="s">
        <v>25</v>
      </c>
      <c r="B34" s="250" t="s">
        <v>15070</v>
      </c>
      <c r="C34" s="251" t="str">
        <f>IF(A34="SINAPI",VLOOKUP(B34,SINAPI!A:D,2,0),(VLOOKUP(B34,SEINFRA!A:D,2,0)))</f>
        <v>AREIA MEDIA</v>
      </c>
      <c r="D34" s="252" t="str">
        <f>IF(A34="SINAPI",VLOOKUP(B34,SINAPI!A:D,3,0),(VLOOKUP(B34,SEINFRA!A:D,3,0)))</f>
        <v>M3</v>
      </c>
      <c r="E34" s="253">
        <f>0.0106</f>
        <v>1.06E-2</v>
      </c>
      <c r="F34" s="254">
        <f>IF(A34="SINAPI",VLOOKUP(B34,SINAPI!A:D,4,0),(VLOOKUP(B34,SEINFRA!A:D,4,0)))</f>
        <v>83.58</v>
      </c>
      <c r="G34" s="255">
        <f t="shared" si="0"/>
        <v>0.88590000000000002</v>
      </c>
    </row>
    <row r="35" spans="1:7" x14ac:dyDescent="0.2">
      <c r="A35" s="257" t="s">
        <v>15</v>
      </c>
      <c r="B35" s="250">
        <v>1379</v>
      </c>
      <c r="C35" s="251" t="str">
        <f>IF(A35="SINAPI",VLOOKUP(B35,SINAPI!A:D,2,0),(VLOOKUP(B35,SEINFRA!A:D,2,0)))</f>
        <v>CIMENTO PORTLAND COMPOSTO CP II-32</v>
      </c>
      <c r="D35" s="252" t="str">
        <f>IF(A35="SINAPI",VLOOKUP(B35,SINAPI!A:D,3,0),(VLOOKUP(B35,SEINFRA!A:D,3,0)))</f>
        <v>KG</v>
      </c>
      <c r="E35" s="253">
        <f>1.72</f>
        <v>1.72</v>
      </c>
      <c r="F35" s="254">
        <f>IF(A35="SINAPI",VLOOKUP(B35,SINAPI!A:D,4,0),(VLOOKUP(B35,SEINFRA!A:D,4,0)))</f>
        <v>0.72</v>
      </c>
      <c r="G35" s="255">
        <f t="shared" si="0"/>
        <v>1.2383999999999999</v>
      </c>
    </row>
    <row r="36" spans="1:7" x14ac:dyDescent="0.2">
      <c r="A36" s="257" t="s">
        <v>15</v>
      </c>
      <c r="B36" s="250">
        <v>1106</v>
      </c>
      <c r="C36" s="251" t="str">
        <f>IF(A36="SINAPI",VLOOKUP(B36,SINAPI!A:D,2,0),(VLOOKUP(B36,SEINFRA!A:D,2,0)))</f>
        <v>CAL HIDRATADA CH-I PARA ARGAMASSAS</v>
      </c>
      <c r="D36" s="252" t="str">
        <f>IF(A36="SINAPI",VLOOKUP(B36,SINAPI!A:D,3,0),(VLOOKUP(B36,SEINFRA!A:D,3,0)))</f>
        <v>KG</v>
      </c>
      <c r="E36" s="253">
        <f>1.72</f>
        <v>1.72</v>
      </c>
      <c r="F36" s="254">
        <f>IF(A36="SINAPI",VLOOKUP(B36,SINAPI!A:D,4,0),(VLOOKUP(B36,SEINFRA!A:D,4,0)))</f>
        <v>1.24</v>
      </c>
      <c r="G36" s="255">
        <f t="shared" si="0"/>
        <v>2.1328</v>
      </c>
    </row>
    <row r="37" spans="1:7" ht="12.75" customHeight="1" x14ac:dyDescent="0.2">
      <c r="A37" s="615" t="s">
        <v>39172</v>
      </c>
      <c r="B37" s="616"/>
      <c r="C37" s="616"/>
      <c r="D37" s="616"/>
      <c r="E37" s="616"/>
      <c r="F37" s="617"/>
      <c r="G37" s="256">
        <f>ROUND(SUM(G28:G36),4)</f>
        <v>493.68349999999998</v>
      </c>
    </row>
    <row r="38" spans="1:7" x14ac:dyDescent="0.2">
      <c r="A38" s="623"/>
      <c r="B38" s="623"/>
      <c r="C38" s="623"/>
      <c r="D38" s="623"/>
      <c r="E38" s="623"/>
      <c r="F38" s="623"/>
      <c r="G38" s="623"/>
    </row>
    <row r="39" spans="1:7" ht="12.75" customHeight="1" x14ac:dyDescent="0.2">
      <c r="A39" s="624" t="s">
        <v>39173</v>
      </c>
      <c r="B39" s="625"/>
      <c r="C39" s="625"/>
      <c r="D39" s="625"/>
      <c r="E39" s="625"/>
      <c r="F39" s="626"/>
      <c r="G39" s="258">
        <f>ROUND(SUM(G26,G37),2)</f>
        <v>707.07</v>
      </c>
    </row>
    <row r="40" spans="1:7" x14ac:dyDescent="0.2">
      <c r="A40" s="624" t="s">
        <v>39174</v>
      </c>
      <c r="B40" s="625"/>
      <c r="C40" s="625"/>
      <c r="D40" s="625"/>
      <c r="E40" s="625"/>
      <c r="F40" s="626"/>
      <c r="G40" s="259" t="s">
        <v>39175</v>
      </c>
    </row>
    <row r="41" spans="1:7" x14ac:dyDescent="0.2">
      <c r="A41" s="624" t="s">
        <v>39176</v>
      </c>
      <c r="B41" s="625"/>
      <c r="C41" s="625"/>
      <c r="D41" s="625"/>
      <c r="E41" s="625"/>
      <c r="F41" s="626"/>
      <c r="G41" s="260">
        <v>0</v>
      </c>
    </row>
    <row r="42" spans="1:7" ht="12.75" customHeight="1" x14ac:dyDescent="0.2">
      <c r="A42" s="620" t="s">
        <v>39177</v>
      </c>
      <c r="B42" s="621"/>
      <c r="C42" s="621"/>
      <c r="D42" s="621"/>
      <c r="E42" s="621"/>
      <c r="F42" s="622"/>
      <c r="G42" s="261">
        <f>G39</f>
        <v>707.07</v>
      </c>
    </row>
    <row r="43" spans="1:7" x14ac:dyDescent="0.2">
      <c r="A43" s="262"/>
      <c r="B43" s="262"/>
      <c r="C43" s="263"/>
      <c r="D43" s="262"/>
      <c r="E43" s="262"/>
      <c r="F43" s="262"/>
      <c r="G43" s="264"/>
    </row>
    <row r="44" spans="1:7" x14ac:dyDescent="0.2">
      <c r="A44" s="619" t="str">
        <f>ORCAMENTO!A392</f>
        <v>BOA VIAGEM - CE, JULHO DE 2025</v>
      </c>
      <c r="B44" s="619"/>
      <c r="C44" s="619"/>
      <c r="D44" s="619"/>
      <c r="E44" s="619"/>
      <c r="F44" s="619"/>
      <c r="G44" s="619"/>
    </row>
  </sheetData>
  <mergeCells count="12">
    <mergeCell ref="B19:E19"/>
    <mergeCell ref="A21:G21"/>
    <mergeCell ref="A26:F26"/>
    <mergeCell ref="A2:G2"/>
    <mergeCell ref="A44:G44"/>
    <mergeCell ref="A42:F42"/>
    <mergeCell ref="A27:G27"/>
    <mergeCell ref="A37:F37"/>
    <mergeCell ref="A38:G38"/>
    <mergeCell ref="A39:F39"/>
    <mergeCell ref="A40:F40"/>
    <mergeCell ref="A41:F41"/>
  </mergeCells>
  <printOptions horizontalCentered="1"/>
  <pageMargins left="0.39370078740157483" right="0.39370078740157483" top="0.39370078740157483" bottom="0.78740157480314965" header="0.31496062992125984" footer="0.31496062992125984"/>
  <pageSetup paperSize="9" scale="76"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AE8CE-69D9-4324-A214-CBB346D7CC66}">
  <dimension ref="A2:J41"/>
  <sheetViews>
    <sheetView view="pageBreakPreview" zoomScale="130" zoomScaleNormal="100" zoomScaleSheetLayoutView="130" workbookViewId="0">
      <selection activeCell="A2" sqref="A2:G2"/>
    </sheetView>
  </sheetViews>
  <sheetFormatPr defaultColWidth="9.33203125" defaultRowHeight="12.75" x14ac:dyDescent="0.2"/>
  <cols>
    <col min="1" max="2" width="12.5" style="242" customWidth="1"/>
    <col min="3" max="3" width="59.1640625" style="242" customWidth="1"/>
    <col min="4" max="4" width="10.1640625" style="242" customWidth="1"/>
    <col min="5" max="7" width="13.6640625" style="242" customWidth="1"/>
    <col min="8" max="16384" width="9.33203125" style="242"/>
  </cols>
  <sheetData>
    <row r="2" spans="1:7" x14ac:dyDescent="0.2">
      <c r="A2" s="618" t="str">
        <f>ORCAMENTO!A2</f>
        <v>INSTITUTO FEDERAL DE EDUCAÇÃO CIÊNCIA E TECNOLOGIA DO CEARÁ - CAMPUS BOA VIAGEM</v>
      </c>
      <c r="B2" s="618"/>
      <c r="C2" s="618"/>
      <c r="D2" s="618"/>
      <c r="E2" s="618"/>
      <c r="F2" s="618"/>
      <c r="G2" s="618"/>
    </row>
    <row r="3" spans="1:7" x14ac:dyDescent="0.2">
      <c r="A3" s="243"/>
      <c r="B3" s="243"/>
      <c r="C3" s="243"/>
      <c r="D3" s="243"/>
      <c r="E3" s="243"/>
      <c r="F3" s="243"/>
      <c r="G3" s="243"/>
    </row>
    <row r="4" spans="1:7" x14ac:dyDescent="0.2">
      <c r="A4" s="243" t="str">
        <f>ORCAMENTO!A4</f>
        <v>OBRA:</v>
      </c>
    </row>
    <row r="5" spans="1:7" x14ac:dyDescent="0.2">
      <c r="A5" s="268" t="str">
        <f>ORCAMENTO!A5</f>
        <v>CENTRO DE INOVAÇÃO E DIFUSÃO DE TECNOLOGIA PARA O SEMIÁRIDO - CAMPUS BOA VIAGEM</v>
      </c>
    </row>
    <row r="6" spans="1:7" x14ac:dyDescent="0.2">
      <c r="A6" s="243" t="str">
        <f>ORCAMENTO!A6</f>
        <v>LOCAL:</v>
      </c>
    </row>
    <row r="7" spans="1:7" x14ac:dyDescent="0.2">
      <c r="A7" s="268" t="str">
        <f>ORCAMENTO!A7</f>
        <v>SEDE DO MUNICÍPIO</v>
      </c>
    </row>
    <row r="8" spans="1:7" x14ac:dyDescent="0.2">
      <c r="A8" s="243" t="str">
        <f>ORCAMENTO!A8</f>
        <v>MUNICÍPIO:</v>
      </c>
    </row>
    <row r="9" spans="1:7" x14ac:dyDescent="0.2">
      <c r="A9" s="268" t="str">
        <f>ORCAMENTO!A9</f>
        <v>BOA VIAGEM - CE</v>
      </c>
    </row>
    <row r="10" spans="1:7" x14ac:dyDescent="0.2">
      <c r="A10" s="243"/>
    </row>
    <row r="11" spans="1:7" x14ac:dyDescent="0.2">
      <c r="A11" s="243" t="str">
        <f>ORCAMENTO!A11</f>
        <v>FONTE DOS PREÇOS:</v>
      </c>
      <c r="B11" s="267"/>
      <c r="C11" s="267"/>
      <c r="D11" s="267"/>
      <c r="E11" s="267"/>
      <c r="F11" s="267"/>
      <c r="G11" s="267"/>
    </row>
    <row r="12" spans="1:7" x14ac:dyDescent="0.2">
      <c r="A12" s="268" t="str">
        <f>ORCAMENTO!A12</f>
        <v>TABELA SEINFRA 028.1 DESONERADA</v>
      </c>
      <c r="B12" s="268"/>
    </row>
    <row r="13" spans="1:7" x14ac:dyDescent="0.2">
      <c r="A13" s="268"/>
      <c r="B13" s="268" t="str">
        <f>ORCAMENTO!B13</f>
        <v>DATA REFERÊNCIA TÉCNICA: 10/2023</v>
      </c>
    </row>
    <row r="14" spans="1:7" x14ac:dyDescent="0.2">
      <c r="A14" s="268"/>
      <c r="B14" s="268" t="str">
        <f>ORCAMENTO!B14</f>
        <v>ENCARGOS SOCIAIS: 84,44% (HORA) - 47,48% (MÊS)</v>
      </c>
    </row>
    <row r="15" spans="1:7" x14ac:dyDescent="0.2">
      <c r="A15" s="268" t="str">
        <f>ORCAMENTO!A15</f>
        <v>TABELA SINAPI 06/2025 DESONERADA</v>
      </c>
      <c r="B15" s="268"/>
    </row>
    <row r="16" spans="1:7" x14ac:dyDescent="0.2">
      <c r="A16" s="268"/>
      <c r="B16" s="268" t="str">
        <f>ORCAMENTO!B16</f>
        <v>DATA REFERÊNCIA TÉCNICA: 06/2025</v>
      </c>
    </row>
    <row r="17" spans="1:10" x14ac:dyDescent="0.2">
      <c r="A17" s="268"/>
      <c r="B17" s="268" t="str">
        <f>ORCAMENTO!B17</f>
        <v>ENCARGOS SOCIAIS: 92,17% (HORA) - 53,50% (MÊS)</v>
      </c>
    </row>
    <row r="19" spans="1:10" x14ac:dyDescent="0.2">
      <c r="A19" s="244" t="s">
        <v>47083</v>
      </c>
      <c r="B19" s="598" t="s">
        <v>39201</v>
      </c>
      <c r="C19" s="599"/>
      <c r="D19" s="599"/>
      <c r="E19" s="600"/>
      <c r="F19" s="245" t="s">
        <v>39196</v>
      </c>
      <c r="G19" s="246" t="s">
        <v>26</v>
      </c>
    </row>
    <row r="20" spans="1:10" ht="25.5" x14ac:dyDescent="0.2">
      <c r="A20" s="247" t="s">
        <v>39178</v>
      </c>
      <c r="B20" s="247" t="s">
        <v>52</v>
      </c>
      <c r="C20" s="247" t="s">
        <v>5917</v>
      </c>
      <c r="D20" s="247" t="s">
        <v>39197</v>
      </c>
      <c r="E20" s="247" t="s">
        <v>39166</v>
      </c>
      <c r="F20" s="247" t="s">
        <v>39198</v>
      </c>
      <c r="G20" s="248" t="s">
        <v>39199</v>
      </c>
    </row>
    <row r="21" spans="1:10" ht="12.75" customHeight="1" x14ac:dyDescent="0.2">
      <c r="A21" s="612" t="s">
        <v>39169</v>
      </c>
      <c r="B21" s="613"/>
      <c r="C21" s="613"/>
      <c r="D21" s="613"/>
      <c r="E21" s="613"/>
      <c r="F21" s="613"/>
      <c r="G21" s="614"/>
    </row>
    <row r="22" spans="1:10" x14ac:dyDescent="0.2">
      <c r="A22" s="257" t="s">
        <v>15</v>
      </c>
      <c r="B22" s="250">
        <v>88316</v>
      </c>
      <c r="C22" s="251" t="str">
        <f>IF(A22="SINAPI",VLOOKUP(B22,SINAPI!A:D,2,0),(VLOOKUP(B22,SEINFRA!A:D,2,0)))</f>
        <v>SERVENTE COM ENCARGOS COMPLEMENTARES</v>
      </c>
      <c r="D22" s="252" t="str">
        <f>IF(A22="SINAPI",VLOOKUP(B22,SINAPI!A:D,3,0),(VLOOKUP(B22,SEINFRA!A:D,3,0)))</f>
        <v>H</v>
      </c>
      <c r="E22" s="253">
        <f>1.2</f>
        <v>1.2</v>
      </c>
      <c r="F22" s="254">
        <f>IF(A22="SINAPI",VLOOKUP(B22,SINAPI!A:D,4,0),(VLOOKUP(B22,SEINFRA!A:D,4,0)))</f>
        <v>21.75</v>
      </c>
      <c r="G22" s="255">
        <f>ROUND(E22*F22,4)</f>
        <v>26.1</v>
      </c>
    </row>
    <row r="23" spans="1:10" x14ac:dyDescent="0.2">
      <c r="A23" s="257" t="s">
        <v>15</v>
      </c>
      <c r="B23" s="250">
        <v>88309</v>
      </c>
      <c r="C23" s="251" t="str">
        <f>IF(A23="SINAPI",VLOOKUP(B23,SINAPI!A:D,2,0),(VLOOKUP(B23,SEINFRA!A:D,2,0)))</f>
        <v>PEDREIRO COM ENCARGOS COMPLEMENTARES</v>
      </c>
      <c r="D23" s="252" t="str">
        <f>IF(A23="SINAPI",VLOOKUP(B23,SINAPI!A:D,3,0),(VLOOKUP(B23,SEINFRA!A:D,3,0)))</f>
        <v>H</v>
      </c>
      <c r="E23" s="253">
        <f>1.2</f>
        <v>1.2</v>
      </c>
      <c r="F23" s="254">
        <f>IF(A23="SINAPI",VLOOKUP(B23,SINAPI!A:D,4,0),(VLOOKUP(B23,SEINFRA!A:D,4,0)))</f>
        <v>26.98</v>
      </c>
      <c r="G23" s="255">
        <f>ROUND(E23*F23,4)</f>
        <v>32.375999999999998</v>
      </c>
    </row>
    <row r="24" spans="1:10" ht="25.5" x14ac:dyDescent="0.2">
      <c r="A24" s="257" t="s">
        <v>15</v>
      </c>
      <c r="B24" s="250">
        <v>88261</v>
      </c>
      <c r="C24" s="251" t="str">
        <f>IF(A24="SINAPI",VLOOKUP(B24,SINAPI!A:D,2,0),(VLOOKUP(B24,SEINFRA!A:D,2,0)))</f>
        <v>CARPINTEIRO DE ESQUADRIA COM ENCARGOS COMPLEMENTARES</v>
      </c>
      <c r="D24" s="252" t="str">
        <f>IF(A24="SINAPI",VLOOKUP(B24,SINAPI!A:D,3,0),(VLOOKUP(B24,SEINFRA!A:D,3,0)))</f>
        <v>H</v>
      </c>
      <c r="E24" s="266">
        <f>3.85</f>
        <v>3.85</v>
      </c>
      <c r="F24" s="254">
        <f>IF(A24="SINAPI",VLOOKUP(B24,SINAPI!A:D,4,0),(VLOOKUP(B24,SEINFRA!A:D,4,0)))</f>
        <v>25.76</v>
      </c>
      <c r="G24" s="255">
        <f>ROUND(E24*F24,4)</f>
        <v>99.176000000000002</v>
      </c>
    </row>
    <row r="25" spans="1:10" ht="25.5" x14ac:dyDescent="0.2">
      <c r="A25" s="257" t="s">
        <v>15</v>
      </c>
      <c r="B25" s="250">
        <v>88239</v>
      </c>
      <c r="C25" s="251" t="str">
        <f>IF(A25="SINAPI",VLOOKUP(B25,SINAPI!A:D,2,0),(VLOOKUP(B25,SEINFRA!A:D,2,0)))</f>
        <v>AJUDANTE DE CARPINTEIRO COM ENCARGOS COMPLEMENTARES</v>
      </c>
      <c r="D25" s="252" t="str">
        <f>IF(A25="SINAPI",VLOOKUP(B25,SINAPI!A:D,3,0),(VLOOKUP(B25,SEINFRA!A:D,3,0)))</f>
        <v>H</v>
      </c>
      <c r="E25" s="266">
        <f>3.85</f>
        <v>3.85</v>
      </c>
      <c r="F25" s="254">
        <f>IF(A25="SINAPI",VLOOKUP(B25,SINAPI!A:D,4,0),(VLOOKUP(B25,SEINFRA!A:D,4,0)))</f>
        <v>22.65</v>
      </c>
      <c r="G25" s="255">
        <f>ROUND(E25*F25,4)</f>
        <v>87.202500000000001</v>
      </c>
    </row>
    <row r="26" spans="1:10" ht="12.75" customHeight="1" x14ac:dyDescent="0.2">
      <c r="A26" s="615" t="s">
        <v>39170</v>
      </c>
      <c r="B26" s="616"/>
      <c r="C26" s="616"/>
      <c r="D26" s="616"/>
      <c r="E26" s="616"/>
      <c r="F26" s="617"/>
      <c r="G26" s="256">
        <f>ROUND(SUM(G22:G25),4)</f>
        <v>244.8545</v>
      </c>
    </row>
    <row r="27" spans="1:10" ht="12.75" customHeight="1" x14ac:dyDescent="0.2">
      <c r="A27" s="612" t="s">
        <v>39171</v>
      </c>
      <c r="B27" s="613"/>
      <c r="C27" s="613"/>
      <c r="D27" s="613"/>
      <c r="E27" s="613"/>
      <c r="F27" s="613"/>
      <c r="G27" s="614"/>
    </row>
    <row r="28" spans="1:10" ht="33" customHeight="1" x14ac:dyDescent="0.2">
      <c r="A28" s="249" t="s">
        <v>25</v>
      </c>
      <c r="B28" s="250" t="s">
        <v>20158</v>
      </c>
      <c r="C28" s="251" t="str">
        <f>IF(A28="SINAPI",VLOOKUP(B28,SINAPI!A:D,2,0),(VLOOKUP(B28,SEINFRA!A:D,2,0)))</f>
        <v>PRANCHA 3 X 16 CM</v>
      </c>
      <c r="D28" s="252" t="str">
        <f>IF(A28="SINAPI",VLOOKUP(B28,SINAPI!A:D,3,0),(VLOOKUP(B28,SEINFRA!A:D,3,0)))</f>
        <v>M</v>
      </c>
      <c r="E28" s="253">
        <f>23.76</f>
        <v>23.76</v>
      </c>
      <c r="F28" s="254">
        <f>IF(A28="SINAPI",VLOOKUP(B28,SINAPI!A:D,4,0),(VLOOKUP(B28,SEINFRA!A:D,4,0)))</f>
        <v>21.93</v>
      </c>
      <c r="G28" s="255">
        <f>ROUND(E28*F28,4)</f>
        <v>521.05679999999995</v>
      </c>
      <c r="J28" s="269"/>
    </row>
    <row r="29" spans="1:10" x14ac:dyDescent="0.2">
      <c r="A29" s="257" t="s">
        <v>15</v>
      </c>
      <c r="B29" s="250">
        <v>39996</v>
      </c>
      <c r="C29" s="251" t="str">
        <f>IF(A29="SINAPI",VLOOKUP(B29,SINAPI!A:D,2,0),(VLOOKUP(B29,SEINFRA!A:D,2,0)))</f>
        <v>VERGALHAO ZINCADO ROSCA TOTAL, 1/4" (6,3 MM)</v>
      </c>
      <c r="D29" s="252" t="str">
        <f>IF(A29="SINAPI",VLOOKUP(B29,SINAPI!A:D,3,0),(VLOOKUP(B29,SEINFRA!A:D,3,0)))</f>
        <v>M</v>
      </c>
      <c r="E29" s="253">
        <f>2.5</f>
        <v>2.5</v>
      </c>
      <c r="F29" s="254">
        <f>IF(A29="SINAPI",VLOOKUP(B29,SINAPI!A:D,4,0),(VLOOKUP(B29,SEINFRA!A:D,4,0)))</f>
        <v>5.26</v>
      </c>
      <c r="G29" s="255">
        <f t="shared" ref="G29:G33" si="0">ROUND(E29*F29,4)</f>
        <v>13.15</v>
      </c>
    </row>
    <row r="30" spans="1:10" x14ac:dyDescent="0.2">
      <c r="A30" s="257" t="s">
        <v>15</v>
      </c>
      <c r="B30" s="250">
        <v>39997</v>
      </c>
      <c r="C30" s="251" t="str">
        <f>IF(A30="SINAPI",VLOOKUP(B30,SINAPI!A:D,2,0),(VLOOKUP(B30,SEINFRA!A:D,2,0)))</f>
        <v>PORCA ZINCADA, SEXTAVADA, DIAMETRO 1/4"</v>
      </c>
      <c r="D30" s="252" t="str">
        <f>IF(A30="SINAPI",VLOOKUP(B30,SINAPI!A:D,3,0),(VLOOKUP(B30,SEINFRA!A:D,3,0)))</f>
        <v>UN</v>
      </c>
      <c r="E30" s="253">
        <f>50</f>
        <v>50</v>
      </c>
      <c r="F30" s="254">
        <f>IF(A30="SINAPI",VLOOKUP(B30,SINAPI!A:D,4,0),(VLOOKUP(B30,SEINFRA!A:D,4,0)))</f>
        <v>0.42</v>
      </c>
      <c r="G30" s="255">
        <f t="shared" si="0"/>
        <v>21</v>
      </c>
    </row>
    <row r="31" spans="1:10" x14ac:dyDescent="0.2">
      <c r="A31" s="249" t="s">
        <v>25</v>
      </c>
      <c r="B31" s="250" t="s">
        <v>16750</v>
      </c>
      <c r="C31" s="251" t="str">
        <f>IF(A31="SINAPI",VLOOKUP(B31,SINAPI!A:D,2,0),(VLOOKUP(B31,SEINFRA!A:D,2,0)))</f>
        <v>ARRUELA LISA 1/4''X3/4''</v>
      </c>
      <c r="D31" s="252" t="str">
        <f>IF(A31="SINAPI",VLOOKUP(B31,SINAPI!A:D,3,0),(VLOOKUP(B31,SEINFRA!A:D,3,0)))</f>
        <v>UN</v>
      </c>
      <c r="E31" s="253">
        <f>50</f>
        <v>50</v>
      </c>
      <c r="F31" s="254">
        <f>IF(A31="SINAPI",VLOOKUP(B31,SINAPI!A:D,4,0),(VLOOKUP(B31,SEINFRA!A:D,4,0)))</f>
        <v>0.47</v>
      </c>
      <c r="G31" s="255">
        <f t="shared" si="0"/>
        <v>23.5</v>
      </c>
    </row>
    <row r="32" spans="1:10" ht="27.75" customHeight="1" x14ac:dyDescent="0.2">
      <c r="A32" s="249" t="s">
        <v>25</v>
      </c>
      <c r="B32" s="250" t="s">
        <v>16629</v>
      </c>
      <c r="C32" s="251" t="str">
        <f>IF(A32="SINAPI",VLOOKUP(B32,SINAPI!A:D,2,0),(VLOOKUP(B32,SEINFRA!A:D,2,0)))</f>
        <v>DOBRADIÇA 3''X2 1/2'' CROMADA</v>
      </c>
      <c r="D32" s="252" t="str">
        <f>IF(A32="SINAPI",VLOOKUP(B32,SINAPI!A:D,3,0),(VLOOKUP(B32,SEINFRA!A:D,3,0)))</f>
        <v>UN</v>
      </c>
      <c r="E32" s="253">
        <f>3</f>
        <v>3</v>
      </c>
      <c r="F32" s="254">
        <f>IF(A32="SINAPI",VLOOKUP(B32,SINAPI!A:D,4,0),(VLOOKUP(B32,SEINFRA!A:D,4,0)))</f>
        <v>16.63</v>
      </c>
      <c r="G32" s="255">
        <f t="shared" si="0"/>
        <v>49.89</v>
      </c>
    </row>
    <row r="33" spans="1:7" ht="51" x14ac:dyDescent="0.2">
      <c r="A33" s="257" t="s">
        <v>15</v>
      </c>
      <c r="B33" s="250">
        <v>3120</v>
      </c>
      <c r="C33" s="251" t="str">
        <f>IF(A33="SINAPI",VLOOKUP(B33,SINAPI!A:D,2,0),(VLOOKUP(B33,SEINFRA!A:D,2,0)))</f>
        <v>FERROLHO COM FECHO / TRINCO REDONDO, EM ACO GALVANIZADO / ZINCADO, DE SOBREPOR, COM COMPRIMENTO DE 6" E ESPESSURA MINIMA DA CHAPA DE 1,50 MM</v>
      </c>
      <c r="D33" s="252" t="str">
        <f>IF(A33="SINAPI",VLOOKUP(B33,SINAPI!A:D,3,0),(VLOOKUP(B33,SEINFRA!A:D,3,0)))</f>
        <v>UN</v>
      </c>
      <c r="E33" s="253">
        <f>1</f>
        <v>1</v>
      </c>
      <c r="F33" s="254">
        <f>IF(A33="SINAPI",VLOOKUP(B33,SINAPI!A:D,4,0),(VLOOKUP(B33,SEINFRA!A:D,4,0)))</f>
        <v>12.16</v>
      </c>
      <c r="G33" s="255">
        <f t="shared" si="0"/>
        <v>12.16</v>
      </c>
    </row>
    <row r="34" spans="1:7" ht="12.75" customHeight="1" x14ac:dyDescent="0.2">
      <c r="A34" s="615" t="s">
        <v>39172</v>
      </c>
      <c r="B34" s="616"/>
      <c r="C34" s="616"/>
      <c r="D34" s="616"/>
      <c r="E34" s="616"/>
      <c r="F34" s="617"/>
      <c r="G34" s="256">
        <f>ROUND(SUM(G28:G33),4)</f>
        <v>640.7568</v>
      </c>
    </row>
    <row r="35" spans="1:7" x14ac:dyDescent="0.2">
      <c r="A35" s="623"/>
      <c r="B35" s="623"/>
      <c r="C35" s="623"/>
      <c r="D35" s="623"/>
      <c r="E35" s="623"/>
      <c r="F35" s="623"/>
      <c r="G35" s="623"/>
    </row>
    <row r="36" spans="1:7" ht="12.75" customHeight="1" x14ac:dyDescent="0.2">
      <c r="A36" s="624" t="s">
        <v>39173</v>
      </c>
      <c r="B36" s="625"/>
      <c r="C36" s="625"/>
      <c r="D36" s="625"/>
      <c r="E36" s="625"/>
      <c r="F36" s="626"/>
      <c r="G36" s="258">
        <f>ROUND(SUM(G26,G34),2)</f>
        <v>885.61</v>
      </c>
    </row>
    <row r="37" spans="1:7" x14ac:dyDescent="0.2">
      <c r="A37" s="624" t="s">
        <v>39174</v>
      </c>
      <c r="B37" s="625"/>
      <c r="C37" s="625"/>
      <c r="D37" s="625"/>
      <c r="E37" s="625"/>
      <c r="F37" s="626"/>
      <c r="G37" s="259" t="s">
        <v>39175</v>
      </c>
    </row>
    <row r="38" spans="1:7" x14ac:dyDescent="0.2">
      <c r="A38" s="624" t="s">
        <v>39176</v>
      </c>
      <c r="B38" s="625"/>
      <c r="C38" s="625"/>
      <c r="D38" s="625"/>
      <c r="E38" s="625"/>
      <c r="F38" s="626"/>
      <c r="G38" s="260">
        <v>0</v>
      </c>
    </row>
    <row r="39" spans="1:7" ht="12.75" customHeight="1" x14ac:dyDescent="0.2">
      <c r="A39" s="620" t="s">
        <v>39177</v>
      </c>
      <c r="B39" s="621"/>
      <c r="C39" s="621"/>
      <c r="D39" s="621"/>
      <c r="E39" s="621"/>
      <c r="F39" s="622"/>
      <c r="G39" s="261">
        <f>G36</f>
        <v>885.61</v>
      </c>
    </row>
    <row r="40" spans="1:7" x14ac:dyDescent="0.2">
      <c r="A40" s="262"/>
      <c r="B40" s="262"/>
      <c r="C40" s="263"/>
      <c r="D40" s="262"/>
      <c r="E40" s="262"/>
      <c r="F40" s="262"/>
      <c r="G40" s="264"/>
    </row>
    <row r="41" spans="1:7" x14ac:dyDescent="0.2">
      <c r="A41" s="619" t="str">
        <f>ORCAMENTO!A392</f>
        <v>BOA VIAGEM - CE, JULHO DE 2025</v>
      </c>
      <c r="B41" s="619"/>
      <c r="C41" s="619"/>
      <c r="D41" s="619"/>
      <c r="E41" s="619"/>
      <c r="F41" s="619"/>
      <c r="G41" s="619"/>
    </row>
  </sheetData>
  <mergeCells count="12">
    <mergeCell ref="A41:G41"/>
    <mergeCell ref="A2:G2"/>
    <mergeCell ref="B19:E19"/>
    <mergeCell ref="A21:G21"/>
    <mergeCell ref="A26:F26"/>
    <mergeCell ref="A27:G27"/>
    <mergeCell ref="A34:F34"/>
    <mergeCell ref="A35:G35"/>
    <mergeCell ref="A36:F36"/>
    <mergeCell ref="A37:F37"/>
    <mergeCell ref="A38:F38"/>
    <mergeCell ref="A39:F39"/>
  </mergeCells>
  <printOptions horizontalCentered="1"/>
  <pageMargins left="0.39370078740157483" right="0.39370078740157483" top="0.39370078740157483" bottom="0.78740157480314965" header="0.31496062992125984" footer="0.31496062992125984"/>
  <pageSetup paperSize="9" scale="76"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4E0110-FB4E-4302-98F5-4C4C0CFB1355}">
  <dimension ref="A2:J42"/>
  <sheetViews>
    <sheetView view="pageBreakPreview" zoomScale="130" zoomScaleNormal="100" zoomScaleSheetLayoutView="130" workbookViewId="0">
      <selection activeCell="A2" sqref="A2:G2"/>
    </sheetView>
  </sheetViews>
  <sheetFormatPr defaultColWidth="9.33203125" defaultRowHeight="12.75" x14ac:dyDescent="0.2"/>
  <cols>
    <col min="1" max="2" width="12.5" style="242" customWidth="1"/>
    <col min="3" max="3" width="59.1640625" style="242" customWidth="1"/>
    <col min="4" max="4" width="10.1640625" style="242" customWidth="1"/>
    <col min="5" max="7" width="13.6640625" style="242" customWidth="1"/>
    <col min="8" max="16384" width="9.33203125" style="242"/>
  </cols>
  <sheetData>
    <row r="2" spans="1:7" x14ac:dyDescent="0.2">
      <c r="A2" s="618" t="str">
        <f>ORCAMENTO!A2</f>
        <v>INSTITUTO FEDERAL DE EDUCAÇÃO CIÊNCIA E TECNOLOGIA DO CEARÁ - CAMPUS BOA VIAGEM</v>
      </c>
      <c r="B2" s="618"/>
      <c r="C2" s="618"/>
      <c r="D2" s="618"/>
      <c r="E2" s="618"/>
      <c r="F2" s="618"/>
      <c r="G2" s="618"/>
    </row>
    <row r="3" spans="1:7" x14ac:dyDescent="0.2">
      <c r="A3" s="243"/>
      <c r="B3" s="243"/>
      <c r="C3" s="243"/>
      <c r="D3" s="243"/>
      <c r="E3" s="243"/>
      <c r="F3" s="243"/>
      <c r="G3" s="243"/>
    </row>
    <row r="4" spans="1:7" x14ac:dyDescent="0.2">
      <c r="A4" s="243" t="str">
        <f>ORCAMENTO!A4</f>
        <v>OBRA:</v>
      </c>
    </row>
    <row r="5" spans="1:7" x14ac:dyDescent="0.2">
      <c r="A5" s="268" t="str">
        <f>ORCAMENTO!A5</f>
        <v>CENTRO DE INOVAÇÃO E DIFUSÃO DE TECNOLOGIA PARA O SEMIÁRIDO - CAMPUS BOA VIAGEM</v>
      </c>
    </row>
    <row r="6" spans="1:7" x14ac:dyDescent="0.2">
      <c r="A6" s="243" t="str">
        <f>ORCAMENTO!A6</f>
        <v>LOCAL:</v>
      </c>
    </row>
    <row r="7" spans="1:7" x14ac:dyDescent="0.2">
      <c r="A7" s="268" t="str">
        <f>ORCAMENTO!A7</f>
        <v>SEDE DO MUNICÍPIO</v>
      </c>
    </row>
    <row r="8" spans="1:7" x14ac:dyDescent="0.2">
      <c r="A8" s="243" t="str">
        <f>ORCAMENTO!A8</f>
        <v>MUNICÍPIO:</v>
      </c>
    </row>
    <row r="9" spans="1:7" x14ac:dyDescent="0.2">
      <c r="A9" s="268" t="str">
        <f>ORCAMENTO!A9</f>
        <v>BOA VIAGEM - CE</v>
      </c>
    </row>
    <row r="10" spans="1:7" x14ac:dyDescent="0.2">
      <c r="A10" s="243"/>
    </row>
    <row r="11" spans="1:7" x14ac:dyDescent="0.2">
      <c r="A11" s="243" t="str">
        <f>ORCAMENTO!A11</f>
        <v>FONTE DOS PREÇOS:</v>
      </c>
      <c r="B11" s="267"/>
      <c r="C11" s="267"/>
      <c r="D11" s="267"/>
      <c r="E11" s="267"/>
      <c r="F11" s="267"/>
      <c r="G11" s="267"/>
    </row>
    <row r="12" spans="1:7" x14ac:dyDescent="0.2">
      <c r="A12" s="268" t="str">
        <f>ORCAMENTO!A12</f>
        <v>TABELA SEINFRA 028.1 DESONERADA</v>
      </c>
      <c r="B12" s="268"/>
    </row>
    <row r="13" spans="1:7" x14ac:dyDescent="0.2">
      <c r="A13" s="268"/>
      <c r="B13" s="268" t="str">
        <f>ORCAMENTO!B13</f>
        <v>DATA REFERÊNCIA TÉCNICA: 10/2023</v>
      </c>
    </row>
    <row r="14" spans="1:7" x14ac:dyDescent="0.2">
      <c r="A14" s="268"/>
      <c r="B14" s="268" t="str">
        <f>ORCAMENTO!B14</f>
        <v>ENCARGOS SOCIAIS: 84,44% (HORA) - 47,48% (MÊS)</v>
      </c>
    </row>
    <row r="15" spans="1:7" x14ac:dyDescent="0.2">
      <c r="A15" s="268" t="str">
        <f>ORCAMENTO!A15</f>
        <v>TABELA SINAPI 06/2025 DESONERADA</v>
      </c>
      <c r="B15" s="268"/>
    </row>
    <row r="16" spans="1:7" x14ac:dyDescent="0.2">
      <c r="A16" s="268"/>
      <c r="B16" s="268" t="str">
        <f>ORCAMENTO!B16</f>
        <v>DATA REFERÊNCIA TÉCNICA: 06/2025</v>
      </c>
    </row>
    <row r="17" spans="1:10" x14ac:dyDescent="0.2">
      <c r="A17" s="268"/>
      <c r="B17" s="268" t="str">
        <f>ORCAMENTO!B17</f>
        <v>ENCARGOS SOCIAIS: 92,17% (HORA) - 53,50% (MÊS)</v>
      </c>
    </row>
    <row r="19" spans="1:10" x14ac:dyDescent="0.2">
      <c r="A19" s="244" t="s">
        <v>47143</v>
      </c>
      <c r="B19" s="598" t="s">
        <v>39202</v>
      </c>
      <c r="C19" s="599"/>
      <c r="D19" s="599"/>
      <c r="E19" s="600"/>
      <c r="F19" s="245" t="s">
        <v>39196</v>
      </c>
      <c r="G19" s="246" t="s">
        <v>26</v>
      </c>
    </row>
    <row r="20" spans="1:10" ht="25.5" x14ac:dyDescent="0.2">
      <c r="A20" s="247" t="s">
        <v>39178</v>
      </c>
      <c r="B20" s="247" t="s">
        <v>52</v>
      </c>
      <c r="C20" s="247" t="s">
        <v>5917</v>
      </c>
      <c r="D20" s="247" t="s">
        <v>39197</v>
      </c>
      <c r="E20" s="247" t="s">
        <v>39166</v>
      </c>
      <c r="F20" s="247" t="s">
        <v>39198</v>
      </c>
      <c r="G20" s="248" t="s">
        <v>39199</v>
      </c>
    </row>
    <row r="21" spans="1:10" ht="12.75" customHeight="1" x14ac:dyDescent="0.2">
      <c r="A21" s="612" t="s">
        <v>39169</v>
      </c>
      <c r="B21" s="613"/>
      <c r="C21" s="613"/>
      <c r="D21" s="613"/>
      <c r="E21" s="613"/>
      <c r="F21" s="613"/>
      <c r="G21" s="614"/>
    </row>
    <row r="22" spans="1:10" x14ac:dyDescent="0.2">
      <c r="A22" s="257" t="s">
        <v>15</v>
      </c>
      <c r="B22" s="250">
        <v>88316</v>
      </c>
      <c r="C22" s="251" t="str">
        <f>IF(A22="SINAPI",VLOOKUP(B22,SINAPI!A:D,2,0),(VLOOKUP(B22,SEINFRA!A:D,2,0)))</f>
        <v>SERVENTE COM ENCARGOS COMPLEMENTARES</v>
      </c>
      <c r="D22" s="252" t="str">
        <f>IF(A22="SINAPI",VLOOKUP(B22,SINAPI!A:D,3,0),(VLOOKUP(B22,SEINFRA!A:D,3,0)))</f>
        <v>H</v>
      </c>
      <c r="E22" s="253">
        <f>1.2</f>
        <v>1.2</v>
      </c>
      <c r="F22" s="254">
        <f>IF(A22="SINAPI",VLOOKUP(B22,SINAPI!A:D,4,0),(VLOOKUP(B22,SEINFRA!A:D,4,0)))</f>
        <v>21.75</v>
      </c>
      <c r="G22" s="255">
        <f>ROUND(E22*F22,4)</f>
        <v>26.1</v>
      </c>
    </row>
    <row r="23" spans="1:10" x14ac:dyDescent="0.2">
      <c r="A23" s="257" t="s">
        <v>15</v>
      </c>
      <c r="B23" s="250">
        <v>88309</v>
      </c>
      <c r="C23" s="251" t="str">
        <f>IF(A23="SINAPI",VLOOKUP(B23,SINAPI!A:D,2,0),(VLOOKUP(B23,SEINFRA!A:D,2,0)))</f>
        <v>PEDREIRO COM ENCARGOS COMPLEMENTARES</v>
      </c>
      <c r="D23" s="252" t="str">
        <f>IF(A23="SINAPI",VLOOKUP(B23,SINAPI!A:D,3,0),(VLOOKUP(B23,SEINFRA!A:D,3,0)))</f>
        <v>H</v>
      </c>
      <c r="E23" s="253">
        <f>1.2</f>
        <v>1.2</v>
      </c>
      <c r="F23" s="254">
        <f>IF(A23="SINAPI",VLOOKUP(B23,SINAPI!A:D,4,0),(VLOOKUP(B23,SEINFRA!A:D,4,0)))</f>
        <v>26.98</v>
      </c>
      <c r="G23" s="255">
        <f>ROUND(E23*F23,4)</f>
        <v>32.375999999999998</v>
      </c>
    </row>
    <row r="24" spans="1:10" ht="25.5" x14ac:dyDescent="0.2">
      <c r="A24" s="257" t="s">
        <v>15</v>
      </c>
      <c r="B24" s="250">
        <v>88261</v>
      </c>
      <c r="C24" s="251" t="str">
        <f>IF(A24="SINAPI",VLOOKUP(B24,SINAPI!A:D,2,0),(VLOOKUP(B24,SEINFRA!A:D,2,0)))</f>
        <v>CARPINTEIRO DE ESQUADRIA COM ENCARGOS COMPLEMENTARES</v>
      </c>
      <c r="D24" s="252" t="str">
        <f>IF(A24="SINAPI",VLOOKUP(B24,SINAPI!A:D,3,0),(VLOOKUP(B24,SEINFRA!A:D,3,0)))</f>
        <v>H</v>
      </c>
      <c r="E24" s="266">
        <f>4.8</f>
        <v>4.8</v>
      </c>
      <c r="F24" s="254">
        <f>IF(A24="SINAPI",VLOOKUP(B24,SINAPI!A:D,4,0),(VLOOKUP(B24,SEINFRA!A:D,4,0)))</f>
        <v>25.76</v>
      </c>
      <c r="G24" s="255">
        <f>ROUND(E24*F24,4)</f>
        <v>123.648</v>
      </c>
    </row>
    <row r="25" spans="1:10" ht="25.5" x14ac:dyDescent="0.2">
      <c r="A25" s="257" t="s">
        <v>15</v>
      </c>
      <c r="B25" s="250">
        <v>88239</v>
      </c>
      <c r="C25" s="251" t="str">
        <f>IF(A25="SINAPI",VLOOKUP(B25,SINAPI!A:D,2,0),(VLOOKUP(B25,SEINFRA!A:D,2,0)))</f>
        <v>AJUDANTE DE CARPINTEIRO COM ENCARGOS COMPLEMENTARES</v>
      </c>
      <c r="D25" s="252" t="str">
        <f>IF(A25="SINAPI",VLOOKUP(B25,SINAPI!A:D,3,0),(VLOOKUP(B25,SEINFRA!A:D,3,0)))</f>
        <v>H</v>
      </c>
      <c r="E25" s="266">
        <f>4.8</f>
        <v>4.8</v>
      </c>
      <c r="F25" s="254">
        <f>IF(A25="SINAPI",VLOOKUP(B25,SINAPI!A:D,4,0),(VLOOKUP(B25,SEINFRA!A:D,4,0)))</f>
        <v>22.65</v>
      </c>
      <c r="G25" s="255">
        <f>ROUND(E25*F25,4)</f>
        <v>108.72</v>
      </c>
    </row>
    <row r="26" spans="1:10" ht="12.75" customHeight="1" x14ac:dyDescent="0.2">
      <c r="A26" s="615" t="s">
        <v>39170</v>
      </c>
      <c r="B26" s="616"/>
      <c r="C26" s="616"/>
      <c r="D26" s="616"/>
      <c r="E26" s="616"/>
      <c r="F26" s="617"/>
      <c r="G26" s="256">
        <f>ROUND(SUM(G22:G25),4)</f>
        <v>290.84399999999999</v>
      </c>
    </row>
    <row r="27" spans="1:10" ht="12.75" customHeight="1" x14ac:dyDescent="0.2">
      <c r="A27" s="612" t="s">
        <v>39171</v>
      </c>
      <c r="B27" s="613"/>
      <c r="C27" s="613"/>
      <c r="D27" s="613"/>
      <c r="E27" s="613"/>
      <c r="F27" s="613"/>
      <c r="G27" s="614"/>
    </row>
    <row r="28" spans="1:10" ht="33" customHeight="1" x14ac:dyDescent="0.2">
      <c r="A28" s="249" t="s">
        <v>25</v>
      </c>
      <c r="B28" s="250" t="s">
        <v>20158</v>
      </c>
      <c r="C28" s="251" t="str">
        <f>IF(A28="SINAPI",VLOOKUP(B28,SINAPI!A:D,2,0),(VLOOKUP(B28,SEINFRA!A:D,2,0)))</f>
        <v>PRANCHA 3 X 16 CM</v>
      </c>
      <c r="D28" s="252" t="str">
        <f>IF(A28="SINAPI",VLOOKUP(B28,SINAPI!A:D,3,0),(VLOOKUP(B28,SEINFRA!A:D,3,0)))</f>
        <v>M</v>
      </c>
      <c r="E28" s="253">
        <f>27.2</f>
        <v>27.2</v>
      </c>
      <c r="F28" s="254">
        <f>IF(A28="SINAPI",VLOOKUP(B28,SINAPI!A:D,4,0),(VLOOKUP(B28,SEINFRA!A:D,4,0)))</f>
        <v>21.93</v>
      </c>
      <c r="G28" s="255">
        <f>ROUND(E28*F28,4)</f>
        <v>596.49599999999998</v>
      </c>
      <c r="J28" s="25"/>
    </row>
    <row r="29" spans="1:10" x14ac:dyDescent="0.2">
      <c r="A29" s="257" t="s">
        <v>15</v>
      </c>
      <c r="B29" s="250">
        <v>39996</v>
      </c>
      <c r="C29" s="251" t="str">
        <f>IF(A29="SINAPI",VLOOKUP(B29,SINAPI!A:D,2,0),(VLOOKUP(B29,SEINFRA!A:D,2,0)))</f>
        <v>VERGALHAO ZINCADO ROSCA TOTAL, 1/4" (6,3 MM)</v>
      </c>
      <c r="D29" s="252" t="str">
        <f>IF(A29="SINAPI",VLOOKUP(B29,SINAPI!A:D,3,0),(VLOOKUP(B29,SEINFRA!A:D,3,0)))</f>
        <v>M</v>
      </c>
      <c r="E29" s="253">
        <f>2.5</f>
        <v>2.5</v>
      </c>
      <c r="F29" s="254">
        <f>IF(A29="SINAPI",VLOOKUP(B29,SINAPI!A:D,4,0),(VLOOKUP(B29,SEINFRA!A:D,4,0)))</f>
        <v>5.26</v>
      </c>
      <c r="G29" s="255">
        <f t="shared" ref="G29:G34" si="0">ROUND(E29*F29,4)</f>
        <v>13.15</v>
      </c>
    </row>
    <row r="30" spans="1:10" x14ac:dyDescent="0.2">
      <c r="A30" s="257" t="s">
        <v>15</v>
      </c>
      <c r="B30" s="250">
        <v>39997</v>
      </c>
      <c r="C30" s="251" t="str">
        <f>IF(A30="SINAPI",VLOOKUP(B30,SINAPI!A:D,2,0),(VLOOKUP(B30,SEINFRA!A:D,2,0)))</f>
        <v>PORCA ZINCADA, SEXTAVADA, DIAMETRO 1/4"</v>
      </c>
      <c r="D30" s="252" t="str">
        <f>IF(A30="SINAPI",VLOOKUP(B30,SINAPI!A:D,3,0),(VLOOKUP(B30,SEINFRA!A:D,3,0)))</f>
        <v>UN</v>
      </c>
      <c r="E30" s="253">
        <f>50</f>
        <v>50</v>
      </c>
      <c r="F30" s="254">
        <f>IF(A30="SINAPI",VLOOKUP(B30,SINAPI!A:D,4,0),(VLOOKUP(B30,SEINFRA!A:D,4,0)))</f>
        <v>0.42</v>
      </c>
      <c r="G30" s="255">
        <f t="shared" si="0"/>
        <v>21</v>
      </c>
    </row>
    <row r="31" spans="1:10" x14ac:dyDescent="0.2">
      <c r="A31" s="249" t="s">
        <v>25</v>
      </c>
      <c r="B31" s="250" t="s">
        <v>16750</v>
      </c>
      <c r="C31" s="251" t="str">
        <f>IF(A31="SINAPI",VLOOKUP(B31,SINAPI!A:D,2,0),(VLOOKUP(B31,SEINFRA!A:D,2,0)))</f>
        <v>ARRUELA LISA 1/4''X3/4''</v>
      </c>
      <c r="D31" s="252" t="str">
        <f>IF(A31="SINAPI",VLOOKUP(B31,SINAPI!A:D,3,0),(VLOOKUP(B31,SEINFRA!A:D,3,0)))</f>
        <v>UN</v>
      </c>
      <c r="E31" s="253">
        <f>50</f>
        <v>50</v>
      </c>
      <c r="F31" s="254">
        <f>IF(A31="SINAPI",VLOOKUP(B31,SINAPI!A:D,4,0),(VLOOKUP(B31,SEINFRA!A:D,4,0)))</f>
        <v>0.47</v>
      </c>
      <c r="G31" s="255">
        <f t="shared" si="0"/>
        <v>23.5</v>
      </c>
    </row>
    <row r="32" spans="1:10" ht="51" x14ac:dyDescent="0.2">
      <c r="A32" s="257" t="s">
        <v>15</v>
      </c>
      <c r="B32" s="250">
        <v>38179</v>
      </c>
      <c r="C32" s="251" t="str">
        <f>IF(A32="SINAPI",VLOOKUP(B32,SINAPI!A:D,2,0),(VLOOKUP(B32,SEINFRA!A:D,2,0)))</f>
        <v>ROLDANA CONCAVA DUPLA, 4 RODAS, PARA PORTA DE CORRER, EM ZAMAC COM CHAPA DE ACO, ROLAMENTO INTERNO BLINDADO DE ACO REVESTIDO EM NYLON</v>
      </c>
      <c r="D32" s="252" t="str">
        <f>IF(A32="SINAPI",VLOOKUP(B32,SINAPI!A:D,3,0),(VLOOKUP(B32,SEINFRA!A:D,3,0)))</f>
        <v>UN</v>
      </c>
      <c r="E32" s="253">
        <f>3</f>
        <v>3</v>
      </c>
      <c r="F32" s="254">
        <f>IF(A32="SINAPI",VLOOKUP(B32,SINAPI!A:D,4,0),(VLOOKUP(B32,SEINFRA!A:D,4,0)))</f>
        <v>48.63</v>
      </c>
      <c r="G32" s="255">
        <f t="shared" si="0"/>
        <v>145.88999999999999</v>
      </c>
    </row>
    <row r="33" spans="1:7" ht="25.5" x14ac:dyDescent="0.2">
      <c r="A33" s="257" t="s">
        <v>15</v>
      </c>
      <c r="B33" s="250">
        <v>3384</v>
      </c>
      <c r="C33" s="251" t="str">
        <f>IF(A33="SINAPI",VLOOKUP(B33,SINAPI!A:D,2,0),(VLOOKUP(B33,SEINFRA!A:D,2,0)))</f>
        <v>SUPORTE GUIA SIMPLES COM ROLDANA EM POLIPROPILENO PARA CHUMBAR, H = 20 CM</v>
      </c>
      <c r="D33" s="252" t="str">
        <f>IF(A33="SINAPI",VLOOKUP(B33,SINAPI!A:D,3,0),(VLOOKUP(B33,SEINFRA!A:D,3,0)))</f>
        <v>UN</v>
      </c>
      <c r="E33" s="253">
        <f>1</f>
        <v>1</v>
      </c>
      <c r="F33" s="254">
        <f>IF(A33="SINAPI",VLOOKUP(B33,SINAPI!A:D,4,0),(VLOOKUP(B33,SEINFRA!A:D,4,0)))</f>
        <v>7.69</v>
      </c>
      <c r="G33" s="255">
        <f t="shared" si="0"/>
        <v>7.69</v>
      </c>
    </row>
    <row r="34" spans="1:7" x14ac:dyDescent="0.2">
      <c r="A34" s="249" t="s">
        <v>25</v>
      </c>
      <c r="B34" s="250" t="s">
        <v>7524</v>
      </c>
      <c r="C34" s="251" t="str">
        <f>IF(A34="SINAPI",VLOOKUP(B34,SINAPI!A:D,2,0),(VLOOKUP(B34,SEINFRA!A:D,2,0)))</f>
        <v>ARMADURA CA-50A GROSSA D= 12,5 A 25,0mm</v>
      </c>
      <c r="D34" s="252" t="str">
        <f>IF(A34="SINAPI",VLOOKUP(B34,SINAPI!A:D,3,0),(VLOOKUP(B34,SEINFRA!A:D,3,0)))</f>
        <v>KG</v>
      </c>
      <c r="E34" s="253">
        <f>0.963*3</f>
        <v>2.8889999999999998</v>
      </c>
      <c r="F34" s="254">
        <f>IF(A34="SINAPI",VLOOKUP(B34,SINAPI!A:D,4,0),(VLOOKUP(B34,SEINFRA!A:D,4,0)))</f>
        <v>12.99</v>
      </c>
      <c r="G34" s="255">
        <f t="shared" si="0"/>
        <v>37.528100000000002</v>
      </c>
    </row>
    <row r="35" spans="1:7" ht="12.75" customHeight="1" x14ac:dyDescent="0.2">
      <c r="A35" s="615" t="s">
        <v>39172</v>
      </c>
      <c r="B35" s="616"/>
      <c r="C35" s="616"/>
      <c r="D35" s="616"/>
      <c r="E35" s="616"/>
      <c r="F35" s="617"/>
      <c r="G35" s="256">
        <f>ROUND(SUM(G28:G34),4)</f>
        <v>845.25409999999999</v>
      </c>
    </row>
    <row r="36" spans="1:7" x14ac:dyDescent="0.2">
      <c r="A36" s="623"/>
      <c r="B36" s="623"/>
      <c r="C36" s="623"/>
      <c r="D36" s="623"/>
      <c r="E36" s="623"/>
      <c r="F36" s="623"/>
      <c r="G36" s="623"/>
    </row>
    <row r="37" spans="1:7" ht="12.75" customHeight="1" x14ac:dyDescent="0.2">
      <c r="A37" s="624" t="s">
        <v>39173</v>
      </c>
      <c r="B37" s="625"/>
      <c r="C37" s="625"/>
      <c r="D37" s="625"/>
      <c r="E37" s="625"/>
      <c r="F37" s="626"/>
      <c r="G37" s="270">
        <f>ROUND(SUM(G26,G35),2)</f>
        <v>1136.0999999999999</v>
      </c>
    </row>
    <row r="38" spans="1:7" x14ac:dyDescent="0.2">
      <c r="A38" s="624" t="s">
        <v>39174</v>
      </c>
      <c r="B38" s="625"/>
      <c r="C38" s="625"/>
      <c r="D38" s="625"/>
      <c r="E38" s="625"/>
      <c r="F38" s="626"/>
      <c r="G38" s="259" t="s">
        <v>39175</v>
      </c>
    </row>
    <row r="39" spans="1:7" x14ac:dyDescent="0.2">
      <c r="A39" s="624" t="s">
        <v>39176</v>
      </c>
      <c r="B39" s="625"/>
      <c r="C39" s="625"/>
      <c r="D39" s="625"/>
      <c r="E39" s="625"/>
      <c r="F39" s="626"/>
      <c r="G39" s="260">
        <v>0</v>
      </c>
    </row>
    <row r="40" spans="1:7" ht="12.75" customHeight="1" x14ac:dyDescent="0.2">
      <c r="A40" s="620" t="s">
        <v>39177</v>
      </c>
      <c r="B40" s="621"/>
      <c r="C40" s="621"/>
      <c r="D40" s="621"/>
      <c r="E40" s="621"/>
      <c r="F40" s="622"/>
      <c r="G40" s="271">
        <f>G37</f>
        <v>1136.0999999999999</v>
      </c>
    </row>
    <row r="41" spans="1:7" x14ac:dyDescent="0.2">
      <c r="A41" s="262"/>
      <c r="B41" s="262"/>
      <c r="C41" s="263"/>
      <c r="D41" s="262"/>
      <c r="E41" s="262"/>
      <c r="F41" s="262"/>
      <c r="G41" s="264"/>
    </row>
    <row r="42" spans="1:7" x14ac:dyDescent="0.2">
      <c r="A42" s="619" t="str">
        <f>ORCAMENTO!A392</f>
        <v>BOA VIAGEM - CE, JULHO DE 2025</v>
      </c>
      <c r="B42" s="619"/>
      <c r="C42" s="619"/>
      <c r="D42" s="619"/>
      <c r="E42" s="619"/>
      <c r="F42" s="619"/>
      <c r="G42" s="619"/>
    </row>
  </sheetData>
  <mergeCells count="12">
    <mergeCell ref="A42:G42"/>
    <mergeCell ref="A2:G2"/>
    <mergeCell ref="B19:E19"/>
    <mergeCell ref="A21:G21"/>
    <mergeCell ref="A26:F26"/>
    <mergeCell ref="A27:G27"/>
    <mergeCell ref="A35:F35"/>
    <mergeCell ref="A36:G36"/>
    <mergeCell ref="A37:F37"/>
    <mergeCell ref="A38:F38"/>
    <mergeCell ref="A39:F39"/>
    <mergeCell ref="A40:F40"/>
  </mergeCells>
  <printOptions horizontalCentered="1"/>
  <pageMargins left="0.39370078740157483" right="0.39370078740157483" top="0.39370078740157483" bottom="0.78740157480314965" header="0.31496062992125984" footer="0.31496062992125984"/>
  <pageSetup paperSize="9" scale="76"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52A2B-5C16-4E85-8D01-18B6FA1FC562}">
  <dimension ref="A2:G44"/>
  <sheetViews>
    <sheetView view="pageBreakPreview" zoomScale="130" zoomScaleNormal="100" zoomScaleSheetLayoutView="130" workbookViewId="0">
      <selection activeCell="A2" sqref="A2:G2"/>
    </sheetView>
  </sheetViews>
  <sheetFormatPr defaultColWidth="9.33203125" defaultRowHeight="12.75" x14ac:dyDescent="0.2"/>
  <cols>
    <col min="1" max="2" width="12.5" style="242" customWidth="1"/>
    <col min="3" max="3" width="59.1640625" style="242" customWidth="1"/>
    <col min="4" max="4" width="10.1640625" style="242" customWidth="1"/>
    <col min="5" max="7" width="13.6640625" style="242" customWidth="1"/>
    <col min="8" max="16384" width="9.33203125" style="242"/>
  </cols>
  <sheetData>
    <row r="2" spans="1:7" x14ac:dyDescent="0.2">
      <c r="A2" s="618" t="str">
        <f>ORCAMENTO!A2</f>
        <v>INSTITUTO FEDERAL DE EDUCAÇÃO CIÊNCIA E TECNOLOGIA DO CEARÁ - CAMPUS BOA VIAGEM</v>
      </c>
      <c r="B2" s="618"/>
      <c r="C2" s="618"/>
      <c r="D2" s="618"/>
      <c r="E2" s="618"/>
      <c r="F2" s="618"/>
      <c r="G2" s="618"/>
    </row>
    <row r="3" spans="1:7" x14ac:dyDescent="0.2">
      <c r="A3" s="243"/>
      <c r="B3" s="243"/>
      <c r="C3" s="243"/>
      <c r="D3" s="243"/>
      <c r="E3" s="243"/>
      <c r="F3" s="243"/>
      <c r="G3" s="243"/>
    </row>
    <row r="4" spans="1:7" x14ac:dyDescent="0.2">
      <c r="A4" s="243" t="str">
        <f>ORCAMENTO!A4</f>
        <v>OBRA:</v>
      </c>
    </row>
    <row r="5" spans="1:7" x14ac:dyDescent="0.2">
      <c r="A5" s="268" t="str">
        <f>ORCAMENTO!A5</f>
        <v>CENTRO DE INOVAÇÃO E DIFUSÃO DE TECNOLOGIA PARA O SEMIÁRIDO - CAMPUS BOA VIAGEM</v>
      </c>
    </row>
    <row r="6" spans="1:7" x14ac:dyDescent="0.2">
      <c r="A6" s="243" t="str">
        <f>ORCAMENTO!A6</f>
        <v>LOCAL:</v>
      </c>
    </row>
    <row r="7" spans="1:7" x14ac:dyDescent="0.2">
      <c r="A7" s="268" t="str">
        <f>ORCAMENTO!A7</f>
        <v>SEDE DO MUNICÍPIO</v>
      </c>
    </row>
    <row r="8" spans="1:7" x14ac:dyDescent="0.2">
      <c r="A8" s="243" t="str">
        <f>ORCAMENTO!A8</f>
        <v>MUNICÍPIO:</v>
      </c>
    </row>
    <row r="9" spans="1:7" x14ac:dyDescent="0.2">
      <c r="A9" s="268" t="str">
        <f>ORCAMENTO!A9</f>
        <v>BOA VIAGEM - CE</v>
      </c>
    </row>
    <row r="10" spans="1:7" x14ac:dyDescent="0.2">
      <c r="A10" s="243"/>
    </row>
    <row r="11" spans="1:7" x14ac:dyDescent="0.2">
      <c r="A11" s="243" t="str">
        <f>ORCAMENTO!A11</f>
        <v>FONTE DOS PREÇOS:</v>
      </c>
      <c r="B11" s="267"/>
      <c r="C11" s="267"/>
      <c r="D11" s="267"/>
      <c r="E11" s="267"/>
      <c r="F11" s="267"/>
      <c r="G11" s="267"/>
    </row>
    <row r="12" spans="1:7" x14ac:dyDescent="0.2">
      <c r="A12" s="268" t="str">
        <f>ORCAMENTO!A12</f>
        <v>TABELA SEINFRA 028.1 DESONERADA</v>
      </c>
      <c r="B12" s="268"/>
    </row>
    <row r="13" spans="1:7" x14ac:dyDescent="0.2">
      <c r="A13" s="268"/>
      <c r="B13" s="268" t="str">
        <f>ORCAMENTO!B13</f>
        <v>DATA REFERÊNCIA TÉCNICA: 10/2023</v>
      </c>
    </row>
    <row r="14" spans="1:7" x14ac:dyDescent="0.2">
      <c r="A14" s="268"/>
      <c r="B14" s="268" t="str">
        <f>ORCAMENTO!B14</f>
        <v>ENCARGOS SOCIAIS: 84,44% (HORA) - 47,48% (MÊS)</v>
      </c>
    </row>
    <row r="15" spans="1:7" x14ac:dyDescent="0.2">
      <c r="A15" s="268" t="str">
        <f>ORCAMENTO!A15</f>
        <v>TABELA SINAPI 06/2025 DESONERADA</v>
      </c>
      <c r="B15" s="268"/>
    </row>
    <row r="16" spans="1:7" x14ac:dyDescent="0.2">
      <c r="A16" s="268"/>
      <c r="B16" s="268" t="str">
        <f>ORCAMENTO!B16</f>
        <v>DATA REFERÊNCIA TÉCNICA: 06/2025</v>
      </c>
    </row>
    <row r="17" spans="1:7" x14ac:dyDescent="0.2">
      <c r="A17" s="268"/>
      <c r="B17" s="268" t="str">
        <f>ORCAMENTO!B17</f>
        <v>ENCARGOS SOCIAIS: 92,17% (HORA) - 53,50% (MÊS)</v>
      </c>
    </row>
    <row r="19" spans="1:7" x14ac:dyDescent="0.2">
      <c r="A19" s="244" t="s">
        <v>47145</v>
      </c>
      <c r="B19" s="598" t="s">
        <v>39203</v>
      </c>
      <c r="C19" s="599"/>
      <c r="D19" s="599"/>
      <c r="E19" s="600"/>
      <c r="F19" s="245" t="s">
        <v>39196</v>
      </c>
      <c r="G19" s="246" t="s">
        <v>26</v>
      </c>
    </row>
    <row r="20" spans="1:7" ht="25.5" x14ac:dyDescent="0.2">
      <c r="A20" s="247" t="s">
        <v>39178</v>
      </c>
      <c r="B20" s="247" t="s">
        <v>52</v>
      </c>
      <c r="C20" s="247" t="s">
        <v>5917</v>
      </c>
      <c r="D20" s="247" t="s">
        <v>39197</v>
      </c>
      <c r="E20" s="247" t="s">
        <v>39166</v>
      </c>
      <c r="F20" s="247" t="s">
        <v>39198</v>
      </c>
      <c r="G20" s="248" t="s">
        <v>39199</v>
      </c>
    </row>
    <row r="21" spans="1:7" ht="12.75" customHeight="1" x14ac:dyDescent="0.2">
      <c r="A21" s="612" t="s">
        <v>39169</v>
      </c>
      <c r="B21" s="613"/>
      <c r="C21" s="613"/>
      <c r="D21" s="613"/>
      <c r="E21" s="613"/>
      <c r="F21" s="613"/>
      <c r="G21" s="614"/>
    </row>
    <row r="22" spans="1:7" x14ac:dyDescent="0.2">
      <c r="A22" s="257" t="s">
        <v>15</v>
      </c>
      <c r="B22" s="250">
        <v>88316</v>
      </c>
      <c r="C22" s="251" t="str">
        <f>IF(A22="SINAPI",VLOOKUP(B22,SINAPI!A:D,2,0),(VLOOKUP(B22,SEINFRA!A:D,2,0)))</f>
        <v>SERVENTE COM ENCARGOS COMPLEMENTARES</v>
      </c>
      <c r="D22" s="252" t="str">
        <f>IF(A22="SINAPI",VLOOKUP(B22,SINAPI!A:D,3,0),(VLOOKUP(B22,SEINFRA!A:D,3,0)))</f>
        <v>H</v>
      </c>
      <c r="E22" s="253">
        <f>1.2</f>
        <v>1.2</v>
      </c>
      <c r="F22" s="254">
        <f>IF(A22="SINAPI",VLOOKUP(B22,SINAPI!A:D,4,0),(VLOOKUP(B22,SEINFRA!A:D,4,0)))</f>
        <v>21.75</v>
      </c>
      <c r="G22" s="255">
        <f>ROUND(E22*F22,4)</f>
        <v>26.1</v>
      </c>
    </row>
    <row r="23" spans="1:7" x14ac:dyDescent="0.2">
      <c r="A23" s="257" t="s">
        <v>15</v>
      </c>
      <c r="B23" s="250">
        <v>88309</v>
      </c>
      <c r="C23" s="251" t="str">
        <f>IF(A23="SINAPI",VLOOKUP(B23,SINAPI!A:D,2,0),(VLOOKUP(B23,SEINFRA!A:D,2,0)))</f>
        <v>PEDREIRO COM ENCARGOS COMPLEMENTARES</v>
      </c>
      <c r="D23" s="252" t="str">
        <f>IF(A23="SINAPI",VLOOKUP(B23,SINAPI!A:D,3,0),(VLOOKUP(B23,SEINFRA!A:D,3,0)))</f>
        <v>H</v>
      </c>
      <c r="E23" s="253">
        <f>1.2</f>
        <v>1.2</v>
      </c>
      <c r="F23" s="254">
        <f>IF(A23="SINAPI",VLOOKUP(B23,SINAPI!A:D,4,0),(VLOOKUP(B23,SEINFRA!A:D,4,0)))</f>
        <v>26.98</v>
      </c>
      <c r="G23" s="255">
        <f>ROUND(E23*F23,4)</f>
        <v>32.375999999999998</v>
      </c>
    </row>
    <row r="24" spans="1:7" ht="25.5" x14ac:dyDescent="0.2">
      <c r="A24" s="257" t="s">
        <v>15</v>
      </c>
      <c r="B24" s="250">
        <v>88261</v>
      </c>
      <c r="C24" s="251" t="str">
        <f>IF(A24="SINAPI",VLOOKUP(B24,SINAPI!A:D,2,0),(VLOOKUP(B24,SEINFRA!A:D,2,0)))</f>
        <v>CARPINTEIRO DE ESQUADRIA COM ENCARGOS COMPLEMENTARES</v>
      </c>
      <c r="D24" s="252" t="str">
        <f>IF(A24="SINAPI",VLOOKUP(B24,SINAPI!A:D,3,0),(VLOOKUP(B24,SEINFRA!A:D,3,0)))</f>
        <v>H</v>
      </c>
      <c r="E24" s="266">
        <f>4.8</f>
        <v>4.8</v>
      </c>
      <c r="F24" s="254">
        <f>IF(A24="SINAPI",VLOOKUP(B24,SINAPI!A:D,4,0),(VLOOKUP(B24,SEINFRA!A:D,4,0)))</f>
        <v>25.76</v>
      </c>
      <c r="G24" s="255">
        <f>ROUND(E24*F24,4)</f>
        <v>123.648</v>
      </c>
    </row>
    <row r="25" spans="1:7" ht="25.5" x14ac:dyDescent="0.2">
      <c r="A25" s="257" t="s">
        <v>15</v>
      </c>
      <c r="B25" s="250">
        <v>88239</v>
      </c>
      <c r="C25" s="251" t="str">
        <f>IF(A25="SINAPI",VLOOKUP(B25,SINAPI!A:D,2,0),(VLOOKUP(B25,SEINFRA!A:D,2,0)))</f>
        <v>AJUDANTE DE CARPINTEIRO COM ENCARGOS COMPLEMENTARES</v>
      </c>
      <c r="D25" s="252" t="str">
        <f>IF(A25="SINAPI",VLOOKUP(B25,SINAPI!A:D,3,0),(VLOOKUP(B25,SEINFRA!A:D,3,0)))</f>
        <v>H</v>
      </c>
      <c r="E25" s="266">
        <f>4.8</f>
        <v>4.8</v>
      </c>
      <c r="F25" s="254">
        <f>IF(A25="SINAPI",VLOOKUP(B25,SINAPI!A:D,4,0),(VLOOKUP(B25,SEINFRA!A:D,4,0)))</f>
        <v>22.65</v>
      </c>
      <c r="G25" s="255">
        <f>ROUND(E25*F25,4)</f>
        <v>108.72</v>
      </c>
    </row>
    <row r="26" spans="1:7" ht="12.75" customHeight="1" x14ac:dyDescent="0.2">
      <c r="A26" s="615" t="s">
        <v>39170</v>
      </c>
      <c r="B26" s="616"/>
      <c r="C26" s="616"/>
      <c r="D26" s="616"/>
      <c r="E26" s="616"/>
      <c r="F26" s="617"/>
      <c r="G26" s="256">
        <f>ROUND(SUM(G22:G25),4)</f>
        <v>290.84399999999999</v>
      </c>
    </row>
    <row r="27" spans="1:7" ht="12.75" customHeight="1" x14ac:dyDescent="0.2">
      <c r="A27" s="612" t="s">
        <v>39171</v>
      </c>
      <c r="B27" s="613"/>
      <c r="C27" s="613"/>
      <c r="D27" s="613"/>
      <c r="E27" s="613"/>
      <c r="F27" s="613"/>
      <c r="G27" s="614"/>
    </row>
    <row r="28" spans="1:7" ht="33" customHeight="1" x14ac:dyDescent="0.2">
      <c r="A28" s="249" t="s">
        <v>25</v>
      </c>
      <c r="B28" s="250" t="s">
        <v>20158</v>
      </c>
      <c r="C28" s="251" t="str">
        <f>IF(A28="SINAPI",VLOOKUP(B28,SINAPI!A:D,2,0),(VLOOKUP(B28,SEINFRA!A:D,2,0)))</f>
        <v>PRANCHA 3 X 16 CM</v>
      </c>
      <c r="D28" s="252" t="str">
        <f>IF(A28="SINAPI",VLOOKUP(B28,SINAPI!A:D,3,0),(VLOOKUP(B28,SEINFRA!A:D,3,0)))</f>
        <v>M</v>
      </c>
      <c r="E28" s="253">
        <f>31.48</f>
        <v>31.48</v>
      </c>
      <c r="F28" s="254">
        <f>IF(A28="SINAPI",VLOOKUP(B28,SINAPI!A:D,4,0),(VLOOKUP(B28,SEINFRA!A:D,4,0)))</f>
        <v>21.93</v>
      </c>
      <c r="G28" s="255">
        <f>ROUND(E28*F28,4)</f>
        <v>690.35640000000001</v>
      </c>
    </row>
    <row r="29" spans="1:7" x14ac:dyDescent="0.2">
      <c r="A29" s="257" t="s">
        <v>15</v>
      </c>
      <c r="B29" s="250">
        <v>39996</v>
      </c>
      <c r="C29" s="251" t="str">
        <f>IF(A29="SINAPI",VLOOKUP(B29,SINAPI!A:D,2,0),(VLOOKUP(B29,SEINFRA!A:D,2,0)))</f>
        <v>VERGALHAO ZINCADO ROSCA TOTAL, 1/4" (6,3 MM)</v>
      </c>
      <c r="D29" s="252" t="str">
        <f>IF(A29="SINAPI",VLOOKUP(B29,SINAPI!A:D,3,0),(VLOOKUP(B29,SEINFRA!A:D,3,0)))</f>
        <v>M</v>
      </c>
      <c r="E29" s="253">
        <f>3.4</f>
        <v>3.4</v>
      </c>
      <c r="F29" s="254">
        <f>IF(A29="SINAPI",VLOOKUP(B29,SINAPI!A:D,4,0),(VLOOKUP(B29,SEINFRA!A:D,4,0)))</f>
        <v>5.26</v>
      </c>
      <c r="G29" s="255">
        <f t="shared" ref="G29:G36" si="0">ROUND(E29*F29,4)</f>
        <v>17.884</v>
      </c>
    </row>
    <row r="30" spans="1:7" x14ac:dyDescent="0.2">
      <c r="A30" s="257" t="s">
        <v>15</v>
      </c>
      <c r="B30" s="250">
        <v>39997</v>
      </c>
      <c r="C30" s="251" t="str">
        <f>IF(A30="SINAPI",VLOOKUP(B30,SINAPI!A:D,2,0),(VLOOKUP(B30,SEINFRA!A:D,2,0)))</f>
        <v>PORCA ZINCADA, SEXTAVADA, DIAMETRO 1/4"</v>
      </c>
      <c r="D30" s="252" t="str">
        <f>IF(A30="SINAPI",VLOOKUP(B30,SINAPI!A:D,3,0),(VLOOKUP(B30,SEINFRA!A:D,3,0)))</f>
        <v>UN</v>
      </c>
      <c r="E30" s="253">
        <f>68</f>
        <v>68</v>
      </c>
      <c r="F30" s="254">
        <f>IF(A30="SINAPI",VLOOKUP(B30,SINAPI!A:D,4,0),(VLOOKUP(B30,SEINFRA!A:D,4,0)))</f>
        <v>0.42</v>
      </c>
      <c r="G30" s="255">
        <f t="shared" si="0"/>
        <v>28.56</v>
      </c>
    </row>
    <row r="31" spans="1:7" x14ac:dyDescent="0.2">
      <c r="A31" s="249" t="s">
        <v>25</v>
      </c>
      <c r="B31" s="250" t="s">
        <v>16750</v>
      </c>
      <c r="C31" s="251" t="str">
        <f>IF(A31="SINAPI",VLOOKUP(B31,SINAPI!A:D,2,0),(VLOOKUP(B31,SEINFRA!A:D,2,0)))</f>
        <v>ARRUELA LISA 1/4''X3/4''</v>
      </c>
      <c r="D31" s="252" t="str">
        <f>IF(A31="SINAPI",VLOOKUP(B31,SINAPI!A:D,3,0),(VLOOKUP(B31,SEINFRA!A:D,3,0)))</f>
        <v>UN</v>
      </c>
      <c r="E31" s="253">
        <f>68</f>
        <v>68</v>
      </c>
      <c r="F31" s="254">
        <f>IF(A31="SINAPI",VLOOKUP(B31,SINAPI!A:D,4,0),(VLOOKUP(B31,SEINFRA!A:D,4,0)))</f>
        <v>0.47</v>
      </c>
      <c r="G31" s="255">
        <f t="shared" si="0"/>
        <v>31.96</v>
      </c>
    </row>
    <row r="32" spans="1:7" ht="27.75" customHeight="1" x14ac:dyDescent="0.2">
      <c r="A32" s="249" t="s">
        <v>25</v>
      </c>
      <c r="B32" s="250" t="s">
        <v>16631</v>
      </c>
      <c r="C32" s="251" t="str">
        <f>IF(A32="SINAPI",VLOOKUP(B32,SINAPI!A:D,2,0),(VLOOKUP(B32,SEINFRA!A:D,2,0)))</f>
        <v>DOBRADIÇA CROMADA 3 1/2''X3'' REF.1523</v>
      </c>
      <c r="D32" s="252" t="str">
        <f>IF(A32="SINAPI",VLOOKUP(B32,SINAPI!A:D,3,0),(VLOOKUP(B32,SEINFRA!A:D,3,0)))</f>
        <v>UN</v>
      </c>
      <c r="E32" s="253">
        <f>3</f>
        <v>3</v>
      </c>
      <c r="F32" s="254">
        <f>IF(A32="SINAPI",VLOOKUP(B32,SINAPI!A:D,4,0),(VLOOKUP(B32,SEINFRA!A:D,4,0)))</f>
        <v>35.85</v>
      </c>
      <c r="G32" s="255">
        <f t="shared" si="0"/>
        <v>107.55</v>
      </c>
    </row>
    <row r="33" spans="1:7" ht="51" x14ac:dyDescent="0.2">
      <c r="A33" s="257" t="s">
        <v>15</v>
      </c>
      <c r="B33" s="250">
        <v>3120</v>
      </c>
      <c r="C33" s="251" t="str">
        <f>IF(A33="SINAPI",VLOOKUP(B33,SINAPI!A:D,2,0),(VLOOKUP(B33,SEINFRA!A:D,2,0)))</f>
        <v>FERROLHO COM FECHO / TRINCO REDONDO, EM ACO GALVANIZADO / ZINCADO, DE SOBREPOR, COM COMPRIMENTO DE 6" E ESPESSURA MINIMA DA CHAPA DE 1,50 MM</v>
      </c>
      <c r="D33" s="252" t="str">
        <f>IF(A33="SINAPI",VLOOKUP(B33,SINAPI!A:D,3,0),(VLOOKUP(B33,SEINFRA!A:D,3,0)))</f>
        <v>UN</v>
      </c>
      <c r="E33" s="253">
        <f>1</f>
        <v>1</v>
      </c>
      <c r="F33" s="254">
        <f>IF(A33="SINAPI",VLOOKUP(B33,SINAPI!A:D,4,0),(VLOOKUP(B33,SEINFRA!A:D,4,0)))</f>
        <v>12.16</v>
      </c>
      <c r="G33" s="255">
        <f t="shared" si="0"/>
        <v>12.16</v>
      </c>
    </row>
    <row r="34" spans="1:7" x14ac:dyDescent="0.2">
      <c r="A34" s="249" t="s">
        <v>25</v>
      </c>
      <c r="B34" s="250" t="s">
        <v>15070</v>
      </c>
      <c r="C34" s="251" t="str">
        <f>IF(A34="SINAPI",VLOOKUP(B34,SINAPI!A:D,2,0),(VLOOKUP(B34,SEINFRA!A:D,2,0)))</f>
        <v>AREIA MEDIA</v>
      </c>
      <c r="D34" s="252" t="str">
        <f>IF(A34="SINAPI",VLOOKUP(B34,SINAPI!A:D,3,0),(VLOOKUP(B34,SEINFRA!A:D,3,0)))</f>
        <v>M3</v>
      </c>
      <c r="E34" s="253">
        <f>0.0106</f>
        <v>1.06E-2</v>
      </c>
      <c r="F34" s="254">
        <f>IF(A34="SINAPI",VLOOKUP(B34,SINAPI!A:D,4,0),(VLOOKUP(B34,SEINFRA!A:D,4,0)))</f>
        <v>83.58</v>
      </c>
      <c r="G34" s="255">
        <f t="shared" si="0"/>
        <v>0.88590000000000002</v>
      </c>
    </row>
    <row r="35" spans="1:7" x14ac:dyDescent="0.2">
      <c r="A35" s="257" t="s">
        <v>15</v>
      </c>
      <c r="B35" s="250">
        <v>1379</v>
      </c>
      <c r="C35" s="251" t="str">
        <f>IF(A35="SINAPI",VLOOKUP(B35,SINAPI!A:D,2,0),(VLOOKUP(B35,SEINFRA!A:D,2,0)))</f>
        <v>CIMENTO PORTLAND COMPOSTO CP II-32</v>
      </c>
      <c r="D35" s="252" t="str">
        <f>IF(A35="SINAPI",VLOOKUP(B35,SINAPI!A:D,3,0),(VLOOKUP(B35,SEINFRA!A:D,3,0)))</f>
        <v>KG</v>
      </c>
      <c r="E35" s="253">
        <f>1.72</f>
        <v>1.72</v>
      </c>
      <c r="F35" s="254">
        <f>IF(A35="SINAPI",VLOOKUP(B35,SINAPI!A:D,4,0),(VLOOKUP(B35,SEINFRA!A:D,4,0)))</f>
        <v>0.72</v>
      </c>
      <c r="G35" s="255">
        <f t="shared" si="0"/>
        <v>1.2383999999999999</v>
      </c>
    </row>
    <row r="36" spans="1:7" x14ac:dyDescent="0.2">
      <c r="A36" s="257" t="s">
        <v>15</v>
      </c>
      <c r="B36" s="250">
        <v>1106</v>
      </c>
      <c r="C36" s="251" t="str">
        <f>IF(A36="SINAPI",VLOOKUP(B36,SINAPI!A:D,2,0),(VLOOKUP(B36,SEINFRA!A:D,2,0)))</f>
        <v>CAL HIDRATADA CH-I PARA ARGAMASSAS</v>
      </c>
      <c r="D36" s="252" t="str">
        <f>IF(A36="SINAPI",VLOOKUP(B36,SINAPI!A:D,3,0),(VLOOKUP(B36,SEINFRA!A:D,3,0)))</f>
        <v>KG</v>
      </c>
      <c r="E36" s="253">
        <f>1.72</f>
        <v>1.72</v>
      </c>
      <c r="F36" s="254">
        <f>IF(A36="SINAPI",VLOOKUP(B36,SINAPI!A:D,4,0),(VLOOKUP(B36,SEINFRA!A:D,4,0)))</f>
        <v>1.24</v>
      </c>
      <c r="G36" s="255">
        <f t="shared" si="0"/>
        <v>2.1328</v>
      </c>
    </row>
    <row r="37" spans="1:7" ht="12.75" customHeight="1" x14ac:dyDescent="0.2">
      <c r="A37" s="615" t="s">
        <v>39172</v>
      </c>
      <c r="B37" s="616"/>
      <c r="C37" s="616"/>
      <c r="D37" s="616"/>
      <c r="E37" s="616"/>
      <c r="F37" s="617"/>
      <c r="G37" s="256">
        <f>ROUND(SUM(G28:G36),4)</f>
        <v>892.72749999999996</v>
      </c>
    </row>
    <row r="38" spans="1:7" x14ac:dyDescent="0.2">
      <c r="A38" s="623"/>
      <c r="B38" s="623"/>
      <c r="C38" s="623"/>
      <c r="D38" s="623"/>
      <c r="E38" s="623"/>
      <c r="F38" s="623"/>
      <c r="G38" s="623"/>
    </row>
    <row r="39" spans="1:7" ht="12.75" customHeight="1" x14ac:dyDescent="0.2">
      <c r="A39" s="624" t="s">
        <v>39173</v>
      </c>
      <c r="B39" s="625"/>
      <c r="C39" s="625"/>
      <c r="D39" s="625"/>
      <c r="E39" s="625"/>
      <c r="F39" s="626"/>
      <c r="G39" s="270">
        <f>ROUND(SUM(G26,G37),2)</f>
        <v>1183.57</v>
      </c>
    </row>
    <row r="40" spans="1:7" x14ac:dyDescent="0.2">
      <c r="A40" s="624" t="s">
        <v>39174</v>
      </c>
      <c r="B40" s="625"/>
      <c r="C40" s="625"/>
      <c r="D40" s="625"/>
      <c r="E40" s="625"/>
      <c r="F40" s="626"/>
      <c r="G40" s="259" t="s">
        <v>39175</v>
      </c>
    </row>
    <row r="41" spans="1:7" x14ac:dyDescent="0.2">
      <c r="A41" s="624" t="s">
        <v>39176</v>
      </c>
      <c r="B41" s="625"/>
      <c r="C41" s="625"/>
      <c r="D41" s="625"/>
      <c r="E41" s="625"/>
      <c r="F41" s="626"/>
      <c r="G41" s="260">
        <v>0</v>
      </c>
    </row>
    <row r="42" spans="1:7" ht="12.75" customHeight="1" x14ac:dyDescent="0.2">
      <c r="A42" s="620" t="s">
        <v>39177</v>
      </c>
      <c r="B42" s="621"/>
      <c r="C42" s="621"/>
      <c r="D42" s="621"/>
      <c r="E42" s="621"/>
      <c r="F42" s="622"/>
      <c r="G42" s="271">
        <f>G39</f>
        <v>1183.57</v>
      </c>
    </row>
    <row r="43" spans="1:7" x14ac:dyDescent="0.2">
      <c r="A43" s="262"/>
      <c r="B43" s="262"/>
      <c r="C43" s="263"/>
      <c r="D43" s="262"/>
      <c r="E43" s="262"/>
      <c r="F43" s="262"/>
      <c r="G43" s="264"/>
    </row>
    <row r="44" spans="1:7" x14ac:dyDescent="0.2">
      <c r="A44" s="619" t="str">
        <f>ORCAMENTO!A392</f>
        <v>BOA VIAGEM - CE, JULHO DE 2025</v>
      </c>
      <c r="B44" s="619"/>
      <c r="C44" s="619"/>
      <c r="D44" s="619"/>
      <c r="E44" s="619"/>
      <c r="F44" s="619"/>
      <c r="G44" s="619"/>
    </row>
  </sheetData>
  <mergeCells count="12">
    <mergeCell ref="A44:G44"/>
    <mergeCell ref="A2:G2"/>
    <mergeCell ref="B19:E19"/>
    <mergeCell ref="A21:G21"/>
    <mergeCell ref="A26:F26"/>
    <mergeCell ref="A27:G27"/>
    <mergeCell ref="A37:F37"/>
    <mergeCell ref="A38:G38"/>
    <mergeCell ref="A39:F39"/>
    <mergeCell ref="A40:F40"/>
    <mergeCell ref="A41:F41"/>
    <mergeCell ref="A42:F42"/>
  </mergeCells>
  <printOptions horizontalCentered="1"/>
  <pageMargins left="0.39370078740157483" right="0.39370078740157483" top="0.39370078740157483" bottom="0.78740157480314965" header="0.31496062992125984" footer="0.31496062992125984"/>
  <pageSetup paperSize="9" scale="76"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0F3FD6-55EF-43E6-8245-DEB185670DB4}">
  <dimension ref="A2:G41"/>
  <sheetViews>
    <sheetView view="pageBreakPreview" zoomScale="130" zoomScaleNormal="100" zoomScaleSheetLayoutView="130" workbookViewId="0">
      <selection activeCell="A2" sqref="A2:G2"/>
    </sheetView>
  </sheetViews>
  <sheetFormatPr defaultColWidth="9.33203125" defaultRowHeight="12.75" x14ac:dyDescent="0.2"/>
  <cols>
    <col min="1" max="2" width="12.5" style="242" customWidth="1"/>
    <col min="3" max="3" width="59.1640625" style="242" customWidth="1"/>
    <col min="4" max="4" width="10.1640625" style="242" customWidth="1"/>
    <col min="5" max="7" width="13.6640625" style="242" customWidth="1"/>
    <col min="8" max="16384" width="9.33203125" style="242"/>
  </cols>
  <sheetData>
    <row r="2" spans="1:7" x14ac:dyDescent="0.2">
      <c r="A2" s="618" t="str">
        <f>ORCAMENTO!A2</f>
        <v>INSTITUTO FEDERAL DE EDUCAÇÃO CIÊNCIA E TECNOLOGIA DO CEARÁ - CAMPUS BOA VIAGEM</v>
      </c>
      <c r="B2" s="618"/>
      <c r="C2" s="618"/>
      <c r="D2" s="618"/>
      <c r="E2" s="618"/>
      <c r="F2" s="618"/>
      <c r="G2" s="618"/>
    </row>
    <row r="3" spans="1:7" x14ac:dyDescent="0.2">
      <c r="A3" s="243"/>
      <c r="B3" s="243"/>
      <c r="C3" s="243"/>
      <c r="D3" s="243"/>
      <c r="E3" s="243"/>
      <c r="F3" s="243"/>
      <c r="G3" s="243"/>
    </row>
    <row r="4" spans="1:7" x14ac:dyDescent="0.2">
      <c r="A4" s="243" t="str">
        <f>ORCAMENTO!A4</f>
        <v>OBRA:</v>
      </c>
    </row>
    <row r="5" spans="1:7" x14ac:dyDescent="0.2">
      <c r="A5" s="268" t="str">
        <f>ORCAMENTO!A5</f>
        <v>CENTRO DE INOVAÇÃO E DIFUSÃO DE TECNOLOGIA PARA O SEMIÁRIDO - CAMPUS BOA VIAGEM</v>
      </c>
    </row>
    <row r="6" spans="1:7" x14ac:dyDescent="0.2">
      <c r="A6" s="243" t="str">
        <f>ORCAMENTO!A6</f>
        <v>LOCAL:</v>
      </c>
    </row>
    <row r="7" spans="1:7" x14ac:dyDescent="0.2">
      <c r="A7" s="268" t="str">
        <f>ORCAMENTO!A7</f>
        <v>SEDE DO MUNICÍPIO</v>
      </c>
    </row>
    <row r="8" spans="1:7" x14ac:dyDescent="0.2">
      <c r="A8" s="243" t="str">
        <f>ORCAMENTO!A8</f>
        <v>MUNICÍPIO:</v>
      </c>
    </row>
    <row r="9" spans="1:7" x14ac:dyDescent="0.2">
      <c r="A9" s="268" t="str">
        <f>ORCAMENTO!A9</f>
        <v>BOA VIAGEM - CE</v>
      </c>
    </row>
    <row r="10" spans="1:7" x14ac:dyDescent="0.2">
      <c r="A10" s="243"/>
    </row>
    <row r="11" spans="1:7" x14ac:dyDescent="0.2">
      <c r="A11" s="243" t="str">
        <f>ORCAMENTO!A11</f>
        <v>FONTE DOS PREÇOS:</v>
      </c>
      <c r="B11" s="267"/>
      <c r="C11" s="267"/>
      <c r="D11" s="267"/>
      <c r="E11" s="267"/>
      <c r="F11" s="267"/>
      <c r="G11" s="267"/>
    </row>
    <row r="12" spans="1:7" x14ac:dyDescent="0.2">
      <c r="A12" s="268" t="str">
        <f>ORCAMENTO!A12</f>
        <v>TABELA SEINFRA 028.1 DESONERADA</v>
      </c>
      <c r="B12" s="268"/>
    </row>
    <row r="13" spans="1:7" x14ac:dyDescent="0.2">
      <c r="A13" s="268"/>
      <c r="B13" s="268" t="str">
        <f>ORCAMENTO!B13</f>
        <v>DATA REFERÊNCIA TÉCNICA: 10/2023</v>
      </c>
    </row>
    <row r="14" spans="1:7" x14ac:dyDescent="0.2">
      <c r="A14" s="268"/>
      <c r="B14" s="268" t="str">
        <f>ORCAMENTO!B14</f>
        <v>ENCARGOS SOCIAIS: 84,44% (HORA) - 47,48% (MÊS)</v>
      </c>
    </row>
    <row r="15" spans="1:7" x14ac:dyDescent="0.2">
      <c r="A15" s="268" t="str">
        <f>ORCAMENTO!A15</f>
        <v>TABELA SINAPI 06/2025 DESONERADA</v>
      </c>
      <c r="B15" s="268"/>
    </row>
    <row r="16" spans="1:7" x14ac:dyDescent="0.2">
      <c r="A16" s="268"/>
      <c r="B16" s="268" t="str">
        <f>ORCAMENTO!B16</f>
        <v>DATA REFERÊNCIA TÉCNICA: 06/2025</v>
      </c>
    </row>
    <row r="17" spans="1:7" x14ac:dyDescent="0.2">
      <c r="A17" s="268"/>
      <c r="B17" s="268" t="str">
        <f>ORCAMENTO!B17</f>
        <v>ENCARGOS SOCIAIS: 92,17% (HORA) - 53,50% (MÊS)</v>
      </c>
    </row>
    <row r="19" spans="1:7" x14ac:dyDescent="0.2">
      <c r="A19" s="244" t="s">
        <v>47147</v>
      </c>
      <c r="B19" s="598" t="s">
        <v>39204</v>
      </c>
      <c r="C19" s="599"/>
      <c r="D19" s="599"/>
      <c r="E19" s="600"/>
      <c r="F19" s="245" t="s">
        <v>39196</v>
      </c>
      <c r="G19" s="246" t="s">
        <v>26</v>
      </c>
    </row>
    <row r="20" spans="1:7" ht="25.5" x14ac:dyDescent="0.2">
      <c r="A20" s="247" t="s">
        <v>39178</v>
      </c>
      <c r="B20" s="247" t="s">
        <v>52</v>
      </c>
      <c r="C20" s="247" t="s">
        <v>5917</v>
      </c>
      <c r="D20" s="247" t="s">
        <v>39197</v>
      </c>
      <c r="E20" s="247" t="s">
        <v>39166</v>
      </c>
      <c r="F20" s="247" t="s">
        <v>39198</v>
      </c>
      <c r="G20" s="248" t="s">
        <v>39199</v>
      </c>
    </row>
    <row r="21" spans="1:7" ht="12.75" customHeight="1" x14ac:dyDescent="0.2">
      <c r="A21" s="612" t="s">
        <v>39169</v>
      </c>
      <c r="B21" s="613"/>
      <c r="C21" s="613"/>
      <c r="D21" s="613"/>
      <c r="E21" s="613"/>
      <c r="F21" s="613"/>
      <c r="G21" s="614"/>
    </row>
    <row r="22" spans="1:7" x14ac:dyDescent="0.2">
      <c r="A22" s="257" t="s">
        <v>15</v>
      </c>
      <c r="B22" s="250">
        <v>88316</v>
      </c>
      <c r="C22" s="251" t="str">
        <f>IF(A22="SINAPI",VLOOKUP(B22,SINAPI!A:D,2,0),(VLOOKUP(B22,SEINFRA!A:D,2,0)))</f>
        <v>SERVENTE COM ENCARGOS COMPLEMENTARES</v>
      </c>
      <c r="D22" s="252" t="str">
        <f>IF(A22="SINAPI",VLOOKUP(B22,SINAPI!A:D,3,0),(VLOOKUP(B22,SEINFRA!A:D,3,0)))</f>
        <v>H</v>
      </c>
      <c r="E22" s="253">
        <f>1.2</f>
        <v>1.2</v>
      </c>
      <c r="F22" s="254">
        <f>IF(A22="SINAPI",VLOOKUP(B22,SINAPI!A:D,4,0),(VLOOKUP(B22,SEINFRA!A:D,4,0)))</f>
        <v>21.75</v>
      </c>
      <c r="G22" s="255">
        <f>ROUND(E22*F22,4)</f>
        <v>26.1</v>
      </c>
    </row>
    <row r="23" spans="1:7" x14ac:dyDescent="0.2">
      <c r="A23" s="257" t="s">
        <v>15</v>
      </c>
      <c r="B23" s="250">
        <v>88309</v>
      </c>
      <c r="C23" s="251" t="str">
        <f>IF(A23="SINAPI",VLOOKUP(B23,SINAPI!A:D,2,0),(VLOOKUP(B23,SEINFRA!A:D,2,0)))</f>
        <v>PEDREIRO COM ENCARGOS COMPLEMENTARES</v>
      </c>
      <c r="D23" s="252" t="str">
        <f>IF(A23="SINAPI",VLOOKUP(B23,SINAPI!A:D,3,0),(VLOOKUP(B23,SEINFRA!A:D,3,0)))</f>
        <v>H</v>
      </c>
      <c r="E23" s="253">
        <f>1.2</f>
        <v>1.2</v>
      </c>
      <c r="F23" s="254">
        <f>IF(A23="SINAPI",VLOOKUP(B23,SINAPI!A:D,4,0),(VLOOKUP(B23,SEINFRA!A:D,4,0)))</f>
        <v>26.98</v>
      </c>
      <c r="G23" s="255">
        <f>ROUND(E23*F23,4)</f>
        <v>32.375999999999998</v>
      </c>
    </row>
    <row r="24" spans="1:7" ht="25.5" x14ac:dyDescent="0.2">
      <c r="A24" s="257" t="s">
        <v>15</v>
      </c>
      <c r="B24" s="250">
        <v>88261</v>
      </c>
      <c r="C24" s="251" t="str">
        <f>IF(A24="SINAPI",VLOOKUP(B24,SINAPI!A:D,2,0),(VLOOKUP(B24,SEINFRA!A:D,2,0)))</f>
        <v>CARPINTEIRO DE ESQUADRIA COM ENCARGOS COMPLEMENTARES</v>
      </c>
      <c r="D24" s="252" t="str">
        <f>IF(A24="SINAPI",VLOOKUP(B24,SINAPI!A:D,3,0),(VLOOKUP(B24,SEINFRA!A:D,3,0)))</f>
        <v>H</v>
      </c>
      <c r="E24" s="266">
        <f>3.5</f>
        <v>3.5</v>
      </c>
      <c r="F24" s="254">
        <f>IF(A24="SINAPI",VLOOKUP(B24,SINAPI!A:D,4,0),(VLOOKUP(B24,SEINFRA!A:D,4,0)))</f>
        <v>25.76</v>
      </c>
      <c r="G24" s="255">
        <f>ROUND(E24*F24,4)</f>
        <v>90.16</v>
      </c>
    </row>
    <row r="25" spans="1:7" ht="25.5" x14ac:dyDescent="0.2">
      <c r="A25" s="257" t="s">
        <v>15</v>
      </c>
      <c r="B25" s="250">
        <v>88239</v>
      </c>
      <c r="C25" s="251" t="str">
        <f>IF(A25="SINAPI",VLOOKUP(B25,SINAPI!A:D,2,0),(VLOOKUP(B25,SEINFRA!A:D,2,0)))</f>
        <v>AJUDANTE DE CARPINTEIRO COM ENCARGOS COMPLEMENTARES</v>
      </c>
      <c r="D25" s="252" t="str">
        <f>IF(A25="SINAPI",VLOOKUP(B25,SINAPI!A:D,3,0),(VLOOKUP(B25,SEINFRA!A:D,3,0)))</f>
        <v>H</v>
      </c>
      <c r="E25" s="266">
        <f>3.5</f>
        <v>3.5</v>
      </c>
      <c r="F25" s="254">
        <f>IF(A25="SINAPI",VLOOKUP(B25,SINAPI!A:D,4,0),(VLOOKUP(B25,SEINFRA!A:D,4,0)))</f>
        <v>22.65</v>
      </c>
      <c r="G25" s="255">
        <f>ROUND(E25*F25,4)</f>
        <v>79.275000000000006</v>
      </c>
    </row>
    <row r="26" spans="1:7" ht="12.75" customHeight="1" x14ac:dyDescent="0.2">
      <c r="A26" s="615" t="s">
        <v>39170</v>
      </c>
      <c r="B26" s="616"/>
      <c r="C26" s="616"/>
      <c r="D26" s="616"/>
      <c r="E26" s="616"/>
      <c r="F26" s="617"/>
      <c r="G26" s="256">
        <f>ROUND(SUM(G22:G25),4)</f>
        <v>227.911</v>
      </c>
    </row>
    <row r="27" spans="1:7" ht="12.75" customHeight="1" x14ac:dyDescent="0.2">
      <c r="A27" s="612" t="s">
        <v>39171</v>
      </c>
      <c r="B27" s="613"/>
      <c r="C27" s="613"/>
      <c r="D27" s="613"/>
      <c r="E27" s="613"/>
      <c r="F27" s="613"/>
      <c r="G27" s="614"/>
    </row>
    <row r="28" spans="1:7" ht="33" customHeight="1" x14ac:dyDescent="0.2">
      <c r="A28" s="249" t="s">
        <v>25</v>
      </c>
      <c r="B28" s="250" t="s">
        <v>20158</v>
      </c>
      <c r="C28" s="251" t="str">
        <f>IF(A28="SINAPI",VLOOKUP(B28,SINAPI!A:D,2,0),(VLOOKUP(B28,SEINFRA!A:D,2,0)))</f>
        <v>PRANCHA 3 X 16 CM</v>
      </c>
      <c r="D28" s="252" t="str">
        <f>IF(A28="SINAPI",VLOOKUP(B28,SINAPI!A:D,3,0),(VLOOKUP(B28,SEINFRA!A:D,3,0)))</f>
        <v>M</v>
      </c>
      <c r="E28" s="253">
        <f>19.04</f>
        <v>19.04</v>
      </c>
      <c r="F28" s="254">
        <f>IF(A28="SINAPI",VLOOKUP(B28,SINAPI!A:D,4,0),(VLOOKUP(B28,SEINFRA!A:D,4,0)))</f>
        <v>21.93</v>
      </c>
      <c r="G28" s="255">
        <f>ROUND(E28*F28,4)</f>
        <v>417.54719999999998</v>
      </c>
    </row>
    <row r="29" spans="1:7" x14ac:dyDescent="0.2">
      <c r="A29" s="257" t="s">
        <v>15</v>
      </c>
      <c r="B29" s="250">
        <v>39996</v>
      </c>
      <c r="C29" s="251" t="str">
        <f>IF(A29="SINAPI",VLOOKUP(B29,SINAPI!A:D,2,0),(VLOOKUP(B29,SEINFRA!A:D,2,0)))</f>
        <v>VERGALHAO ZINCADO ROSCA TOTAL, 1/4" (6,3 MM)</v>
      </c>
      <c r="D29" s="252" t="str">
        <f>IF(A29="SINAPI",VLOOKUP(B29,SINAPI!A:D,3,0),(VLOOKUP(B29,SEINFRA!A:D,3,0)))</f>
        <v>M</v>
      </c>
      <c r="E29" s="253">
        <f>2.1</f>
        <v>2.1</v>
      </c>
      <c r="F29" s="254">
        <f>IF(A29="SINAPI",VLOOKUP(B29,SINAPI!A:D,4,0),(VLOOKUP(B29,SEINFRA!A:D,4,0)))</f>
        <v>5.26</v>
      </c>
      <c r="G29" s="255">
        <f t="shared" ref="G29:G33" si="0">ROUND(E29*F29,4)</f>
        <v>11.045999999999999</v>
      </c>
    </row>
    <row r="30" spans="1:7" x14ac:dyDescent="0.2">
      <c r="A30" s="257" t="s">
        <v>15</v>
      </c>
      <c r="B30" s="250">
        <v>39997</v>
      </c>
      <c r="C30" s="251" t="str">
        <f>IF(A30="SINAPI",VLOOKUP(B30,SINAPI!A:D,2,0),(VLOOKUP(B30,SEINFRA!A:D,2,0)))</f>
        <v>PORCA ZINCADA, SEXTAVADA, DIAMETRO 1/4"</v>
      </c>
      <c r="D30" s="252" t="str">
        <f>IF(A30="SINAPI",VLOOKUP(B30,SINAPI!A:D,3,0),(VLOOKUP(B30,SEINFRA!A:D,3,0)))</f>
        <v>UN</v>
      </c>
      <c r="E30" s="253">
        <f>42</f>
        <v>42</v>
      </c>
      <c r="F30" s="254">
        <f>IF(A30="SINAPI",VLOOKUP(B30,SINAPI!A:D,4,0),(VLOOKUP(B30,SEINFRA!A:D,4,0)))</f>
        <v>0.42</v>
      </c>
      <c r="G30" s="255">
        <f t="shared" si="0"/>
        <v>17.64</v>
      </c>
    </row>
    <row r="31" spans="1:7" x14ac:dyDescent="0.2">
      <c r="A31" s="249" t="s">
        <v>25</v>
      </c>
      <c r="B31" s="250" t="s">
        <v>16750</v>
      </c>
      <c r="C31" s="251" t="str">
        <f>IF(A31="SINAPI",VLOOKUP(B31,SINAPI!A:D,2,0),(VLOOKUP(B31,SEINFRA!A:D,2,0)))</f>
        <v>ARRUELA LISA 1/4''X3/4''</v>
      </c>
      <c r="D31" s="252" t="str">
        <f>IF(A31="SINAPI",VLOOKUP(B31,SINAPI!A:D,3,0),(VLOOKUP(B31,SEINFRA!A:D,3,0)))</f>
        <v>UN</v>
      </c>
      <c r="E31" s="253">
        <f>42</f>
        <v>42</v>
      </c>
      <c r="F31" s="254">
        <f>IF(A31="SINAPI",VLOOKUP(B31,SINAPI!A:D,4,0),(VLOOKUP(B31,SEINFRA!A:D,4,0)))</f>
        <v>0.47</v>
      </c>
      <c r="G31" s="255">
        <f t="shared" si="0"/>
        <v>19.739999999999998</v>
      </c>
    </row>
    <row r="32" spans="1:7" ht="27.75" customHeight="1" x14ac:dyDescent="0.2">
      <c r="A32" s="249" t="s">
        <v>25</v>
      </c>
      <c r="B32" s="250" t="s">
        <v>16629</v>
      </c>
      <c r="C32" s="251" t="str">
        <f>IF(A32="SINAPI",VLOOKUP(B32,SINAPI!A:D,2,0),(VLOOKUP(B32,SEINFRA!A:D,2,0)))</f>
        <v>DOBRADIÇA 3''X2 1/2'' CROMADA</v>
      </c>
      <c r="D32" s="252" t="str">
        <f>IF(A32="SINAPI",VLOOKUP(B32,SINAPI!A:D,3,0),(VLOOKUP(B32,SEINFRA!A:D,3,0)))</f>
        <v>UN</v>
      </c>
      <c r="E32" s="253">
        <f>3</f>
        <v>3</v>
      </c>
      <c r="F32" s="254">
        <f>IF(A32="SINAPI",VLOOKUP(B32,SINAPI!A:D,4,0),(VLOOKUP(B32,SEINFRA!A:D,4,0)))</f>
        <v>16.63</v>
      </c>
      <c r="G32" s="255">
        <f t="shared" si="0"/>
        <v>49.89</v>
      </c>
    </row>
    <row r="33" spans="1:7" ht="51" x14ac:dyDescent="0.2">
      <c r="A33" s="257" t="s">
        <v>15</v>
      </c>
      <c r="B33" s="250">
        <v>3120</v>
      </c>
      <c r="C33" s="251" t="str">
        <f>IF(A33="SINAPI",VLOOKUP(B33,SINAPI!A:D,2,0),(VLOOKUP(B33,SEINFRA!A:D,2,0)))</f>
        <v>FERROLHO COM FECHO / TRINCO REDONDO, EM ACO GALVANIZADO / ZINCADO, DE SOBREPOR, COM COMPRIMENTO DE 6" E ESPESSURA MINIMA DA CHAPA DE 1,50 MM</v>
      </c>
      <c r="D33" s="252" t="str">
        <f>IF(A33="SINAPI",VLOOKUP(B33,SINAPI!A:D,3,0),(VLOOKUP(B33,SEINFRA!A:D,3,0)))</f>
        <v>UN</v>
      </c>
      <c r="E33" s="253">
        <f>1</f>
        <v>1</v>
      </c>
      <c r="F33" s="254">
        <f>IF(A33="SINAPI",VLOOKUP(B33,SINAPI!A:D,4,0),(VLOOKUP(B33,SEINFRA!A:D,4,0)))</f>
        <v>12.16</v>
      </c>
      <c r="G33" s="255">
        <f t="shared" si="0"/>
        <v>12.16</v>
      </c>
    </row>
    <row r="34" spans="1:7" ht="12.75" customHeight="1" x14ac:dyDescent="0.2">
      <c r="A34" s="615" t="s">
        <v>39172</v>
      </c>
      <c r="B34" s="616"/>
      <c r="C34" s="616"/>
      <c r="D34" s="616"/>
      <c r="E34" s="616"/>
      <c r="F34" s="617"/>
      <c r="G34" s="256">
        <f>ROUND(SUM(G28:G33),4)</f>
        <v>528.02319999999997</v>
      </c>
    </row>
    <row r="35" spans="1:7" x14ac:dyDescent="0.2">
      <c r="A35" s="623"/>
      <c r="B35" s="623"/>
      <c r="C35" s="623"/>
      <c r="D35" s="623"/>
      <c r="E35" s="623"/>
      <c r="F35" s="623"/>
      <c r="G35" s="623"/>
    </row>
    <row r="36" spans="1:7" ht="12.75" customHeight="1" x14ac:dyDescent="0.2">
      <c r="A36" s="624" t="s">
        <v>39173</v>
      </c>
      <c r="B36" s="625"/>
      <c r="C36" s="625"/>
      <c r="D36" s="625"/>
      <c r="E36" s="625"/>
      <c r="F36" s="626"/>
      <c r="G36" s="270">
        <f>ROUND(SUM(G26,G34),2)</f>
        <v>755.93</v>
      </c>
    </row>
    <row r="37" spans="1:7" x14ac:dyDescent="0.2">
      <c r="A37" s="624" t="s">
        <v>39174</v>
      </c>
      <c r="B37" s="625"/>
      <c r="C37" s="625"/>
      <c r="D37" s="625"/>
      <c r="E37" s="625"/>
      <c r="F37" s="626"/>
      <c r="G37" s="259" t="s">
        <v>39175</v>
      </c>
    </row>
    <row r="38" spans="1:7" x14ac:dyDescent="0.2">
      <c r="A38" s="624" t="s">
        <v>39176</v>
      </c>
      <c r="B38" s="625"/>
      <c r="C38" s="625"/>
      <c r="D38" s="625"/>
      <c r="E38" s="625"/>
      <c r="F38" s="626"/>
      <c r="G38" s="260">
        <v>0</v>
      </c>
    </row>
    <row r="39" spans="1:7" ht="12.75" customHeight="1" x14ac:dyDescent="0.2">
      <c r="A39" s="620" t="s">
        <v>39177</v>
      </c>
      <c r="B39" s="621"/>
      <c r="C39" s="621"/>
      <c r="D39" s="621"/>
      <c r="E39" s="621"/>
      <c r="F39" s="622"/>
      <c r="G39" s="271">
        <f>G36</f>
        <v>755.93</v>
      </c>
    </row>
    <row r="40" spans="1:7" x14ac:dyDescent="0.2">
      <c r="A40" s="262"/>
      <c r="B40" s="262"/>
      <c r="C40" s="263"/>
      <c r="D40" s="262"/>
      <c r="E40" s="262"/>
      <c r="F40" s="262"/>
      <c r="G40" s="264"/>
    </row>
    <row r="41" spans="1:7" x14ac:dyDescent="0.2">
      <c r="A41" s="619" t="str">
        <f>ORCAMENTO!A392</f>
        <v>BOA VIAGEM - CE, JULHO DE 2025</v>
      </c>
      <c r="B41" s="619"/>
      <c r="C41" s="619"/>
      <c r="D41" s="619"/>
      <c r="E41" s="619"/>
      <c r="F41" s="619"/>
      <c r="G41" s="619"/>
    </row>
  </sheetData>
  <mergeCells count="12">
    <mergeCell ref="A41:G41"/>
    <mergeCell ref="A2:G2"/>
    <mergeCell ref="B19:E19"/>
    <mergeCell ref="A21:G21"/>
    <mergeCell ref="A26:F26"/>
    <mergeCell ref="A27:G27"/>
    <mergeCell ref="A34:F34"/>
    <mergeCell ref="A35:G35"/>
    <mergeCell ref="A36:F36"/>
    <mergeCell ref="A37:F37"/>
    <mergeCell ref="A38:F38"/>
    <mergeCell ref="A39:F39"/>
  </mergeCells>
  <printOptions horizontalCentered="1"/>
  <pageMargins left="0.39370078740157483" right="0.39370078740157483" top="0.39370078740157483" bottom="0.78740157480314965" header="0.31496062992125984" footer="0.31496062992125984"/>
  <pageSetup paperSize="9" scale="76"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25C0C-ABF4-4C08-99D1-40A454758683}">
  <dimension ref="A1:IL38"/>
  <sheetViews>
    <sheetView view="pageBreakPreview" zoomScale="130" zoomScaleNormal="100" zoomScaleSheetLayoutView="130" workbookViewId="0">
      <selection activeCell="A2" sqref="A2:G2"/>
    </sheetView>
  </sheetViews>
  <sheetFormatPr defaultColWidth="11.1640625" defaultRowHeight="12.75" x14ac:dyDescent="0.2"/>
  <cols>
    <col min="1" max="2" width="12.5" style="112" customWidth="1"/>
    <col min="3" max="3" width="59.1640625" style="101" customWidth="1"/>
    <col min="4" max="4" width="10.1640625" style="112" customWidth="1"/>
    <col min="5" max="6" width="13.6640625" style="123" customWidth="1"/>
    <col min="7" max="7" width="13.6640625" style="307" customWidth="1"/>
    <col min="8" max="242" width="10.6640625" style="112" customWidth="1"/>
    <col min="243" max="243" width="58.83203125" style="112" customWidth="1"/>
    <col min="244" max="244" width="10.6640625" style="112" customWidth="1"/>
    <col min="245" max="245" width="14.5" style="112" customWidth="1"/>
    <col min="246" max="16384" width="11.1640625" style="112"/>
  </cols>
  <sheetData>
    <row r="1" spans="1:245" x14ac:dyDescent="0.2">
      <c r="A1" s="95"/>
      <c r="B1" s="95"/>
      <c r="C1" s="276"/>
      <c r="D1" s="95"/>
      <c r="E1" s="277"/>
      <c r="F1" s="277"/>
      <c r="G1" s="278"/>
      <c r="H1" s="163"/>
      <c r="I1" s="163"/>
      <c r="J1" s="163"/>
      <c r="K1" s="163"/>
      <c r="L1" s="163"/>
      <c r="M1" s="163"/>
      <c r="N1" s="163"/>
      <c r="O1" s="163"/>
      <c r="P1" s="163"/>
      <c r="Q1" s="163"/>
      <c r="R1" s="163"/>
      <c r="S1" s="163"/>
      <c r="T1" s="163"/>
      <c r="U1" s="163"/>
      <c r="V1" s="163"/>
      <c r="W1" s="163"/>
      <c r="X1" s="163"/>
      <c r="Y1" s="163"/>
      <c r="Z1" s="163"/>
      <c r="AA1" s="163"/>
      <c r="AB1" s="163"/>
      <c r="AC1" s="163"/>
      <c r="AD1" s="163"/>
      <c r="AE1" s="163"/>
      <c r="AF1" s="163"/>
      <c r="AG1" s="163"/>
      <c r="AH1" s="163"/>
      <c r="AI1" s="163"/>
      <c r="AJ1" s="163"/>
      <c r="AK1" s="163"/>
      <c r="AL1" s="163"/>
      <c r="AM1" s="163"/>
      <c r="AN1" s="163"/>
      <c r="AO1" s="163"/>
      <c r="AP1" s="163"/>
      <c r="AQ1" s="163"/>
      <c r="AR1" s="163"/>
      <c r="AS1" s="163"/>
      <c r="AT1" s="163"/>
      <c r="AU1" s="163"/>
      <c r="AV1" s="163"/>
      <c r="AW1" s="163"/>
      <c r="AX1" s="163"/>
      <c r="AY1" s="163"/>
      <c r="AZ1" s="163"/>
      <c r="BA1" s="163"/>
      <c r="BB1" s="163"/>
      <c r="BC1" s="163"/>
      <c r="BD1" s="163"/>
      <c r="BE1" s="163"/>
      <c r="BF1" s="163"/>
      <c r="BG1" s="163"/>
      <c r="BH1" s="163"/>
      <c r="BI1" s="163"/>
      <c r="BJ1" s="163"/>
      <c r="BK1" s="163"/>
      <c r="BL1" s="163"/>
      <c r="BM1" s="163"/>
      <c r="BN1" s="163"/>
      <c r="BO1" s="163"/>
      <c r="BP1" s="163"/>
      <c r="BQ1" s="163"/>
      <c r="BR1" s="163"/>
      <c r="BS1" s="163"/>
      <c r="BT1" s="163"/>
      <c r="BU1" s="163"/>
      <c r="BV1" s="163"/>
      <c r="BW1" s="163"/>
      <c r="BX1" s="163"/>
      <c r="BY1" s="163"/>
      <c r="BZ1" s="163"/>
      <c r="CA1" s="163"/>
      <c r="CB1" s="163"/>
      <c r="CC1" s="163"/>
      <c r="CD1" s="163"/>
      <c r="CE1" s="163"/>
      <c r="CF1" s="163"/>
      <c r="CG1" s="163"/>
      <c r="CH1" s="163"/>
      <c r="CI1" s="163"/>
      <c r="CJ1" s="163"/>
      <c r="CK1" s="163"/>
      <c r="CL1" s="163"/>
      <c r="CM1" s="163"/>
      <c r="CN1" s="163"/>
      <c r="CO1" s="163"/>
      <c r="CP1" s="163"/>
      <c r="CQ1" s="163"/>
      <c r="CR1" s="163"/>
      <c r="CS1" s="163"/>
      <c r="CT1" s="163"/>
      <c r="CU1" s="163"/>
      <c r="CV1" s="163"/>
      <c r="CW1" s="163"/>
      <c r="CX1" s="163"/>
      <c r="CY1" s="163"/>
      <c r="CZ1" s="163"/>
      <c r="DA1" s="163"/>
      <c r="DB1" s="163"/>
      <c r="DC1" s="163"/>
      <c r="DD1" s="163"/>
      <c r="DE1" s="163"/>
      <c r="DF1" s="163"/>
      <c r="DG1" s="163"/>
      <c r="DH1" s="163"/>
      <c r="DI1" s="163"/>
      <c r="DJ1" s="163"/>
      <c r="DK1" s="163"/>
      <c r="DL1" s="163"/>
      <c r="DM1" s="163"/>
      <c r="DN1" s="163"/>
      <c r="DO1" s="163"/>
      <c r="DP1" s="163"/>
      <c r="DQ1" s="163"/>
      <c r="DR1" s="163"/>
      <c r="DS1" s="163"/>
      <c r="DT1" s="163"/>
      <c r="DU1" s="163"/>
      <c r="DV1" s="163"/>
      <c r="DW1" s="163"/>
      <c r="DX1" s="163"/>
      <c r="DY1" s="163"/>
      <c r="DZ1" s="163"/>
      <c r="EA1" s="163"/>
      <c r="EB1" s="163"/>
      <c r="EC1" s="163"/>
      <c r="ED1" s="163"/>
      <c r="EE1" s="163"/>
      <c r="EF1" s="163"/>
      <c r="EG1" s="163"/>
      <c r="EH1" s="163"/>
      <c r="EI1" s="163"/>
      <c r="EJ1" s="163"/>
      <c r="EK1" s="163"/>
      <c r="EL1" s="163"/>
      <c r="EM1" s="163"/>
      <c r="EN1" s="163"/>
      <c r="EO1" s="163"/>
      <c r="EP1" s="163"/>
      <c r="EQ1" s="163"/>
      <c r="ER1" s="163"/>
      <c r="ES1" s="163"/>
      <c r="ET1" s="163"/>
      <c r="EU1" s="163"/>
      <c r="EV1" s="163"/>
      <c r="EW1" s="163"/>
      <c r="EX1" s="163"/>
      <c r="EY1" s="163"/>
      <c r="EZ1" s="163"/>
      <c r="FA1" s="163"/>
      <c r="FB1" s="163"/>
      <c r="FC1" s="163"/>
      <c r="FD1" s="163"/>
      <c r="FE1" s="163"/>
      <c r="FF1" s="163"/>
      <c r="FG1" s="163"/>
      <c r="FH1" s="163"/>
      <c r="FI1" s="163"/>
      <c r="FJ1" s="163"/>
      <c r="FK1" s="163"/>
      <c r="FL1" s="163"/>
      <c r="FM1" s="163"/>
      <c r="FN1" s="163"/>
      <c r="FO1" s="163"/>
      <c r="FP1" s="163"/>
      <c r="FQ1" s="163"/>
      <c r="FR1" s="163"/>
      <c r="FS1" s="163"/>
      <c r="FT1" s="163"/>
      <c r="FU1" s="163"/>
      <c r="FV1" s="163"/>
      <c r="FW1" s="163"/>
      <c r="FX1" s="163"/>
      <c r="FY1" s="163"/>
      <c r="FZ1" s="163"/>
      <c r="GA1" s="163"/>
      <c r="GB1" s="163"/>
      <c r="GC1" s="163"/>
      <c r="GD1" s="163"/>
      <c r="GE1" s="163"/>
      <c r="GF1" s="163"/>
      <c r="GG1" s="163"/>
      <c r="GH1" s="163"/>
      <c r="GI1" s="163"/>
      <c r="GJ1" s="163"/>
      <c r="GK1" s="163"/>
      <c r="GL1" s="163"/>
      <c r="GM1" s="163"/>
      <c r="GN1" s="163"/>
      <c r="GO1" s="163"/>
      <c r="GP1" s="163"/>
      <c r="GQ1" s="163"/>
      <c r="GR1" s="163"/>
      <c r="GS1" s="163"/>
      <c r="GT1" s="163"/>
      <c r="GU1" s="163"/>
      <c r="GV1" s="163"/>
      <c r="GW1" s="163"/>
      <c r="GX1" s="163"/>
      <c r="GY1" s="163"/>
      <c r="GZ1" s="163"/>
      <c r="HA1" s="163"/>
      <c r="HB1" s="163"/>
      <c r="HC1" s="163"/>
      <c r="HD1" s="163"/>
      <c r="HE1" s="163"/>
      <c r="HF1" s="163"/>
      <c r="HG1" s="163"/>
      <c r="HH1" s="163"/>
      <c r="HI1" s="163"/>
      <c r="HJ1" s="163"/>
      <c r="HK1" s="163"/>
      <c r="HL1" s="163"/>
      <c r="HM1" s="163"/>
      <c r="HN1" s="163"/>
      <c r="HO1" s="163"/>
      <c r="HP1" s="163"/>
      <c r="HQ1" s="163"/>
      <c r="HR1" s="163"/>
      <c r="HS1" s="163"/>
      <c r="HT1" s="163"/>
      <c r="HU1" s="163"/>
      <c r="HV1" s="163"/>
      <c r="HW1" s="163"/>
      <c r="HX1" s="163"/>
      <c r="HY1" s="163"/>
      <c r="HZ1" s="163"/>
      <c r="IA1" s="163"/>
      <c r="IB1" s="163"/>
      <c r="IC1" s="163"/>
      <c r="ID1" s="163"/>
      <c r="IE1" s="163"/>
      <c r="IF1" s="163"/>
      <c r="IG1" s="163"/>
      <c r="IH1" s="163"/>
      <c r="II1" s="163"/>
      <c r="IJ1" s="163"/>
      <c r="IK1" s="163"/>
    </row>
    <row r="2" spans="1:245" x14ac:dyDescent="0.2">
      <c r="A2" s="597" t="str">
        <f>ORCAMENTO!A2</f>
        <v>INSTITUTO FEDERAL DE EDUCAÇÃO CIÊNCIA E TECNOLOGIA DO CEARÁ - CAMPUS BOA VIAGEM</v>
      </c>
      <c r="B2" s="597"/>
      <c r="C2" s="597"/>
      <c r="D2" s="597"/>
      <c r="E2" s="597"/>
      <c r="F2" s="597"/>
      <c r="G2" s="597"/>
      <c r="H2" s="163"/>
      <c r="I2" s="163"/>
      <c r="J2" s="163"/>
      <c r="K2" s="163"/>
      <c r="L2" s="163"/>
      <c r="M2" s="163"/>
      <c r="N2" s="163"/>
      <c r="O2" s="163"/>
      <c r="P2" s="163"/>
      <c r="Q2" s="163"/>
      <c r="R2" s="163"/>
      <c r="S2" s="163"/>
      <c r="T2" s="163"/>
      <c r="U2" s="163"/>
      <c r="V2" s="163"/>
      <c r="W2" s="163"/>
      <c r="X2" s="163"/>
      <c r="Y2" s="163"/>
      <c r="Z2" s="163"/>
      <c r="AA2" s="163"/>
      <c r="AB2" s="163"/>
      <c r="AC2" s="163"/>
      <c r="AD2" s="163"/>
      <c r="AE2" s="163"/>
      <c r="AF2" s="163"/>
      <c r="AG2" s="163"/>
      <c r="AH2" s="163"/>
      <c r="AI2" s="163"/>
      <c r="AJ2" s="163"/>
      <c r="AK2" s="163"/>
      <c r="AL2" s="163"/>
      <c r="AM2" s="163"/>
      <c r="AN2" s="163"/>
      <c r="AO2" s="163"/>
      <c r="AP2" s="163"/>
      <c r="AQ2" s="163"/>
      <c r="AR2" s="163"/>
      <c r="AS2" s="163"/>
      <c r="AT2" s="163"/>
      <c r="AU2" s="163"/>
      <c r="AV2" s="163"/>
      <c r="AW2" s="163"/>
      <c r="AX2" s="163"/>
      <c r="AY2" s="163"/>
      <c r="AZ2" s="163"/>
      <c r="BA2" s="163"/>
      <c r="BB2" s="163"/>
      <c r="BC2" s="163"/>
      <c r="BD2" s="163"/>
      <c r="BE2" s="163"/>
      <c r="BF2" s="163"/>
      <c r="BG2" s="163"/>
      <c r="BH2" s="163"/>
      <c r="BI2" s="163"/>
      <c r="BJ2" s="163"/>
      <c r="BK2" s="163"/>
      <c r="BL2" s="163"/>
      <c r="BM2" s="163"/>
      <c r="BN2" s="163"/>
      <c r="BO2" s="163"/>
      <c r="BP2" s="163"/>
      <c r="BQ2" s="163"/>
      <c r="BR2" s="163"/>
      <c r="BS2" s="163"/>
      <c r="BT2" s="163"/>
      <c r="BU2" s="163"/>
      <c r="BV2" s="163"/>
      <c r="BW2" s="163"/>
      <c r="BX2" s="163"/>
      <c r="BY2" s="163"/>
      <c r="BZ2" s="163"/>
      <c r="CA2" s="163"/>
      <c r="CB2" s="163"/>
      <c r="CC2" s="163"/>
      <c r="CD2" s="163"/>
      <c r="CE2" s="163"/>
      <c r="CF2" s="163"/>
      <c r="CG2" s="163"/>
      <c r="CH2" s="163"/>
      <c r="CI2" s="163"/>
      <c r="CJ2" s="163"/>
      <c r="CK2" s="163"/>
      <c r="CL2" s="163"/>
      <c r="CM2" s="163"/>
      <c r="CN2" s="163"/>
      <c r="CO2" s="163"/>
      <c r="CP2" s="163"/>
      <c r="CQ2" s="163"/>
      <c r="CR2" s="163"/>
      <c r="CS2" s="163"/>
      <c r="CT2" s="163"/>
      <c r="CU2" s="163"/>
      <c r="CV2" s="163"/>
      <c r="CW2" s="163"/>
      <c r="CX2" s="163"/>
      <c r="CY2" s="163"/>
      <c r="CZ2" s="163"/>
      <c r="DA2" s="163"/>
      <c r="DB2" s="163"/>
      <c r="DC2" s="163"/>
      <c r="DD2" s="163"/>
      <c r="DE2" s="163"/>
      <c r="DF2" s="163"/>
      <c r="DG2" s="163"/>
      <c r="DH2" s="163"/>
      <c r="DI2" s="163"/>
      <c r="DJ2" s="163"/>
      <c r="DK2" s="163"/>
      <c r="DL2" s="163"/>
      <c r="DM2" s="163"/>
      <c r="DN2" s="163"/>
      <c r="DO2" s="163"/>
      <c r="DP2" s="163"/>
      <c r="DQ2" s="163"/>
      <c r="DR2" s="163"/>
      <c r="DS2" s="163"/>
      <c r="DT2" s="163"/>
      <c r="DU2" s="163"/>
      <c r="DV2" s="163"/>
      <c r="DW2" s="163"/>
      <c r="DX2" s="163"/>
      <c r="DY2" s="163"/>
      <c r="DZ2" s="163"/>
      <c r="EA2" s="163"/>
      <c r="EB2" s="163"/>
      <c r="EC2" s="163"/>
      <c r="ED2" s="163"/>
      <c r="EE2" s="163"/>
      <c r="EF2" s="163"/>
      <c r="EG2" s="163"/>
      <c r="EH2" s="163"/>
      <c r="EI2" s="163"/>
      <c r="EJ2" s="163"/>
      <c r="EK2" s="163"/>
      <c r="EL2" s="163"/>
      <c r="EM2" s="163"/>
      <c r="EN2" s="163"/>
      <c r="EO2" s="163"/>
      <c r="EP2" s="163"/>
      <c r="EQ2" s="163"/>
      <c r="ER2" s="163"/>
      <c r="ES2" s="163"/>
      <c r="ET2" s="163"/>
      <c r="EU2" s="163"/>
      <c r="EV2" s="163"/>
      <c r="EW2" s="163"/>
      <c r="EX2" s="163"/>
      <c r="EY2" s="163"/>
      <c r="EZ2" s="163"/>
      <c r="FA2" s="163"/>
      <c r="FB2" s="163"/>
      <c r="FC2" s="163"/>
      <c r="FD2" s="163"/>
      <c r="FE2" s="163"/>
      <c r="FF2" s="163"/>
      <c r="FG2" s="163"/>
      <c r="FH2" s="163"/>
      <c r="FI2" s="163"/>
      <c r="FJ2" s="163"/>
      <c r="FK2" s="163"/>
      <c r="FL2" s="163"/>
      <c r="FM2" s="163"/>
      <c r="FN2" s="163"/>
      <c r="FO2" s="163"/>
      <c r="FP2" s="163"/>
      <c r="FQ2" s="163"/>
      <c r="FR2" s="163"/>
      <c r="FS2" s="163"/>
      <c r="FT2" s="163"/>
      <c r="FU2" s="163"/>
      <c r="FV2" s="163"/>
      <c r="FW2" s="163"/>
      <c r="FX2" s="163"/>
      <c r="FY2" s="163"/>
      <c r="FZ2" s="163"/>
      <c r="GA2" s="163"/>
      <c r="GB2" s="163"/>
      <c r="GC2" s="163"/>
      <c r="GD2" s="163"/>
      <c r="GE2" s="163"/>
      <c r="GF2" s="163"/>
      <c r="GG2" s="163"/>
      <c r="GH2" s="163"/>
      <c r="GI2" s="163"/>
      <c r="GJ2" s="163"/>
      <c r="GK2" s="163"/>
      <c r="GL2" s="163"/>
      <c r="GM2" s="163"/>
      <c r="GN2" s="163"/>
      <c r="GO2" s="163"/>
      <c r="GP2" s="163"/>
      <c r="GQ2" s="163"/>
      <c r="GR2" s="163"/>
      <c r="GS2" s="163"/>
      <c r="GT2" s="163"/>
      <c r="GU2" s="163"/>
      <c r="GV2" s="163"/>
      <c r="GW2" s="163"/>
      <c r="GX2" s="163"/>
      <c r="GY2" s="163"/>
      <c r="GZ2" s="163"/>
      <c r="HA2" s="163"/>
      <c r="HB2" s="163"/>
      <c r="HC2" s="163"/>
      <c r="HD2" s="163"/>
      <c r="HE2" s="163"/>
      <c r="HF2" s="163"/>
      <c r="HG2" s="163"/>
      <c r="HH2" s="163"/>
      <c r="HI2" s="163"/>
      <c r="HJ2" s="163"/>
      <c r="HK2" s="163"/>
      <c r="HL2" s="163"/>
      <c r="HM2" s="163"/>
      <c r="HN2" s="163"/>
      <c r="HO2" s="163"/>
      <c r="HP2" s="163"/>
      <c r="HQ2" s="163"/>
      <c r="HR2" s="163"/>
      <c r="HS2" s="163"/>
      <c r="HT2" s="163"/>
      <c r="HU2" s="163"/>
      <c r="HV2" s="163"/>
      <c r="HW2" s="163"/>
      <c r="HX2" s="163"/>
      <c r="HY2" s="163"/>
      <c r="HZ2" s="163"/>
      <c r="IA2" s="163"/>
      <c r="IB2" s="163"/>
      <c r="IC2" s="163"/>
      <c r="ID2" s="163"/>
      <c r="IE2" s="163"/>
      <c r="IF2" s="163"/>
      <c r="IG2" s="163"/>
      <c r="IH2" s="163"/>
      <c r="II2" s="163"/>
      <c r="IJ2" s="163"/>
      <c r="IK2" s="163"/>
    </row>
    <row r="3" spans="1:245" x14ac:dyDescent="0.2">
      <c r="A3" s="163"/>
      <c r="B3" s="308"/>
      <c r="C3" s="308"/>
      <c r="D3" s="308"/>
      <c r="E3" s="308"/>
      <c r="F3" s="308"/>
      <c r="G3" s="308"/>
      <c r="H3" s="163"/>
      <c r="I3" s="163"/>
      <c r="J3" s="163"/>
      <c r="K3" s="163"/>
      <c r="L3" s="163"/>
      <c r="M3" s="163"/>
      <c r="N3" s="163"/>
      <c r="O3" s="163"/>
      <c r="P3" s="163"/>
      <c r="Q3" s="163"/>
      <c r="R3" s="163"/>
      <c r="S3" s="163"/>
      <c r="T3" s="163"/>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row>
    <row r="4" spans="1:245" x14ac:dyDescent="0.2">
      <c r="A4" s="163" t="str">
        <f>ORCAMENTO!A4</f>
        <v>OBRA:</v>
      </c>
      <c r="B4" s="99"/>
      <c r="C4" s="279"/>
      <c r="D4" s="99"/>
      <c r="E4" s="280"/>
      <c r="F4" s="280"/>
      <c r="G4" s="278"/>
      <c r="H4" s="163"/>
      <c r="I4" s="163"/>
      <c r="J4" s="163"/>
      <c r="K4" s="163"/>
      <c r="L4" s="163"/>
      <c r="M4" s="163"/>
      <c r="N4" s="163"/>
      <c r="O4" s="163"/>
      <c r="P4" s="163"/>
      <c r="Q4" s="163"/>
      <c r="R4" s="163"/>
      <c r="S4" s="163"/>
      <c r="T4" s="163"/>
      <c r="U4" s="163"/>
      <c r="V4" s="163"/>
      <c r="W4" s="163"/>
      <c r="X4" s="163"/>
      <c r="Y4" s="163"/>
      <c r="Z4" s="163"/>
      <c r="AA4" s="163"/>
      <c r="AB4" s="163"/>
      <c r="AC4" s="163"/>
      <c r="AD4" s="163"/>
      <c r="AE4" s="163"/>
      <c r="AF4" s="163"/>
      <c r="AG4" s="163"/>
      <c r="AH4" s="163"/>
      <c r="AI4" s="163"/>
      <c r="AJ4" s="163"/>
      <c r="AK4" s="163"/>
      <c r="AL4" s="163"/>
      <c r="AM4" s="163"/>
      <c r="AN4" s="163"/>
      <c r="AO4" s="163"/>
      <c r="AP4" s="163"/>
      <c r="AQ4" s="163"/>
      <c r="AR4" s="163"/>
      <c r="AS4" s="163"/>
      <c r="AT4" s="163"/>
      <c r="AU4" s="163"/>
      <c r="AV4" s="163"/>
      <c r="AW4" s="163"/>
      <c r="AX4" s="163"/>
      <c r="AY4" s="163"/>
      <c r="AZ4" s="163"/>
      <c r="BA4" s="163"/>
      <c r="BB4" s="163"/>
      <c r="BC4" s="163"/>
      <c r="BD4" s="163"/>
      <c r="BE4" s="163"/>
      <c r="BF4" s="163"/>
      <c r="BG4" s="163"/>
      <c r="BH4" s="163"/>
      <c r="BI4" s="163"/>
      <c r="BJ4" s="163"/>
      <c r="BK4" s="163"/>
      <c r="BL4" s="163"/>
      <c r="BM4" s="163"/>
      <c r="BN4" s="163"/>
      <c r="BO4" s="163"/>
      <c r="BP4" s="163"/>
      <c r="BQ4" s="163"/>
      <c r="BR4" s="163"/>
      <c r="BS4" s="163"/>
      <c r="BT4" s="163"/>
      <c r="BU4" s="163"/>
      <c r="BV4" s="163"/>
      <c r="BW4" s="163"/>
      <c r="BX4" s="163"/>
      <c r="BY4" s="163"/>
      <c r="BZ4" s="163"/>
      <c r="CA4" s="163"/>
      <c r="CB4" s="163"/>
      <c r="CC4" s="163"/>
      <c r="CD4" s="163"/>
      <c r="CE4" s="163"/>
      <c r="CF4" s="163"/>
      <c r="CG4" s="163"/>
      <c r="CH4" s="163"/>
      <c r="CI4" s="163"/>
      <c r="CJ4" s="163"/>
      <c r="CK4" s="163"/>
      <c r="CL4" s="163"/>
      <c r="CM4" s="163"/>
      <c r="CN4" s="163"/>
      <c r="CO4" s="163"/>
      <c r="CP4" s="163"/>
      <c r="CQ4" s="163"/>
      <c r="CR4" s="163"/>
      <c r="CS4" s="163"/>
      <c r="CT4" s="163"/>
      <c r="CU4" s="163"/>
      <c r="CV4" s="163"/>
      <c r="CW4" s="163"/>
      <c r="CX4" s="163"/>
      <c r="CY4" s="163"/>
      <c r="CZ4" s="163"/>
      <c r="DA4" s="163"/>
      <c r="DB4" s="163"/>
      <c r="DC4" s="163"/>
      <c r="DD4" s="163"/>
      <c r="DE4" s="163"/>
      <c r="DF4" s="163"/>
      <c r="DG4" s="163"/>
      <c r="DH4" s="163"/>
      <c r="DI4" s="163"/>
      <c r="DJ4" s="163"/>
      <c r="DK4" s="163"/>
      <c r="DL4" s="163"/>
      <c r="DM4" s="163"/>
      <c r="DN4" s="163"/>
      <c r="DO4" s="163"/>
      <c r="DP4" s="163"/>
      <c r="DQ4" s="163"/>
      <c r="DR4" s="163"/>
      <c r="DS4" s="163"/>
      <c r="DT4" s="163"/>
      <c r="DU4" s="163"/>
      <c r="DV4" s="163"/>
      <c r="DW4" s="163"/>
      <c r="DX4" s="163"/>
      <c r="DY4" s="163"/>
      <c r="DZ4" s="163"/>
      <c r="EA4" s="163"/>
      <c r="EB4" s="163"/>
      <c r="EC4" s="163"/>
      <c r="ED4" s="163"/>
      <c r="EE4" s="163"/>
      <c r="EF4" s="163"/>
      <c r="EG4" s="163"/>
      <c r="EH4" s="163"/>
      <c r="EI4" s="163"/>
      <c r="EJ4" s="163"/>
      <c r="EK4" s="163"/>
      <c r="EL4" s="163"/>
      <c r="EM4" s="163"/>
      <c r="EN4" s="163"/>
      <c r="EO4" s="163"/>
      <c r="EP4" s="163"/>
      <c r="EQ4" s="163"/>
      <c r="ER4" s="163"/>
      <c r="ES4" s="163"/>
      <c r="ET4" s="163"/>
      <c r="EU4" s="163"/>
      <c r="EV4" s="163"/>
      <c r="EW4" s="163"/>
      <c r="EX4" s="163"/>
      <c r="EY4" s="163"/>
      <c r="EZ4" s="163"/>
      <c r="FA4" s="163"/>
      <c r="FB4" s="163"/>
      <c r="FC4" s="163"/>
      <c r="FD4" s="163"/>
      <c r="FE4" s="163"/>
      <c r="FF4" s="163"/>
      <c r="FG4" s="163"/>
      <c r="FH4" s="163"/>
      <c r="FI4" s="163"/>
      <c r="FJ4" s="163"/>
      <c r="FK4" s="163"/>
      <c r="FL4" s="163"/>
      <c r="FM4" s="163"/>
      <c r="FN4" s="163"/>
      <c r="FO4" s="163"/>
      <c r="FP4" s="163"/>
      <c r="FQ4" s="163"/>
      <c r="FR4" s="163"/>
      <c r="FS4" s="163"/>
      <c r="FT4" s="163"/>
      <c r="FU4" s="163"/>
      <c r="FV4" s="163"/>
      <c r="FW4" s="163"/>
      <c r="FX4" s="163"/>
      <c r="FY4" s="163"/>
      <c r="FZ4" s="163"/>
      <c r="GA4" s="163"/>
      <c r="GB4" s="163"/>
      <c r="GC4" s="163"/>
      <c r="GD4" s="163"/>
      <c r="GE4" s="163"/>
      <c r="GF4" s="163"/>
      <c r="GG4" s="163"/>
      <c r="GH4" s="163"/>
      <c r="GI4" s="163"/>
      <c r="GJ4" s="163"/>
      <c r="GK4" s="163"/>
      <c r="GL4" s="163"/>
      <c r="GM4" s="163"/>
      <c r="GN4" s="163"/>
      <c r="GO4" s="163"/>
      <c r="GP4" s="163"/>
      <c r="GQ4" s="163"/>
      <c r="GR4" s="163"/>
      <c r="GS4" s="163"/>
      <c r="GT4" s="163"/>
      <c r="GU4" s="163"/>
      <c r="GV4" s="163"/>
      <c r="GW4" s="163"/>
      <c r="GX4" s="163"/>
      <c r="GY4" s="163"/>
      <c r="GZ4" s="163"/>
      <c r="HA4" s="163"/>
      <c r="HB4" s="163"/>
      <c r="HC4" s="163"/>
      <c r="HD4" s="163"/>
      <c r="HE4" s="163"/>
      <c r="HF4" s="163"/>
      <c r="HG4" s="163"/>
      <c r="HH4" s="163"/>
      <c r="HI4" s="163"/>
      <c r="HJ4" s="163"/>
      <c r="HK4" s="163"/>
      <c r="HL4" s="163"/>
      <c r="HM4" s="163"/>
      <c r="HN4" s="163"/>
      <c r="HO4" s="163"/>
      <c r="HP4" s="163"/>
      <c r="HQ4" s="163"/>
      <c r="HR4" s="163"/>
      <c r="HS4" s="163"/>
      <c r="HT4" s="163"/>
      <c r="HU4" s="163"/>
      <c r="HV4" s="163"/>
      <c r="HW4" s="163"/>
      <c r="HX4" s="163"/>
      <c r="HY4" s="163"/>
      <c r="HZ4" s="163"/>
      <c r="IA4" s="163"/>
      <c r="IB4" s="163"/>
      <c r="IC4" s="163"/>
      <c r="ID4" s="163"/>
      <c r="IE4" s="163"/>
      <c r="IF4" s="163"/>
      <c r="IG4" s="163"/>
      <c r="IH4" s="163"/>
      <c r="II4" s="163"/>
      <c r="IJ4" s="163"/>
      <c r="IK4" s="163"/>
    </row>
    <row r="5" spans="1:245" s="163" customFormat="1" x14ac:dyDescent="0.2">
      <c r="A5" s="112" t="str">
        <f>ORCAMENTO!A5</f>
        <v>CENTRO DE INOVAÇÃO E DIFUSÃO DE TECNOLOGIA PARA O SEMIÁRIDO - CAMPUS BOA VIAGEM</v>
      </c>
      <c r="B5" s="100"/>
      <c r="C5" s="100"/>
      <c r="D5" s="98"/>
      <c r="E5" s="278"/>
      <c r="F5" s="281"/>
      <c r="G5" s="278"/>
    </row>
    <row r="6" spans="1:245" x14ac:dyDescent="0.2">
      <c r="A6" s="163" t="str">
        <f>ORCAMENTO!A6</f>
        <v>LOCAL:</v>
      </c>
      <c r="B6" s="101"/>
      <c r="D6" s="102"/>
      <c r="F6" s="282"/>
      <c r="G6" s="123"/>
    </row>
    <row r="7" spans="1:245" s="163" customFormat="1" x14ac:dyDescent="0.2">
      <c r="A7" s="112" t="str">
        <f>ORCAMENTO!A7</f>
        <v>SEDE DO MUNICÍPIO</v>
      </c>
      <c r="B7" s="100"/>
      <c r="C7" s="100"/>
      <c r="D7" s="98"/>
      <c r="E7" s="278"/>
      <c r="F7" s="281"/>
      <c r="G7" s="278"/>
    </row>
    <row r="8" spans="1:245" x14ac:dyDescent="0.2">
      <c r="A8" s="163" t="str">
        <f>ORCAMENTO!A8</f>
        <v>MUNICÍPIO:</v>
      </c>
      <c r="B8" s="101"/>
      <c r="D8" s="102"/>
      <c r="E8" s="278"/>
      <c r="F8" s="282"/>
      <c r="G8" s="123"/>
    </row>
    <row r="9" spans="1:245" s="163" customFormat="1" x14ac:dyDescent="0.2">
      <c r="A9" s="112" t="str">
        <f>ORCAMENTO!A9</f>
        <v>BOA VIAGEM - CE</v>
      </c>
      <c r="B9" s="101"/>
      <c r="C9" s="101"/>
      <c r="D9" s="101"/>
      <c r="E9" s="101"/>
      <c r="F9" s="101"/>
      <c r="G9" s="101"/>
    </row>
    <row r="10" spans="1:245" x14ac:dyDescent="0.2">
      <c r="A10" s="163"/>
      <c r="B10" s="101"/>
      <c r="D10" s="101"/>
      <c r="E10" s="101"/>
      <c r="F10" s="101"/>
      <c r="G10" s="101"/>
    </row>
    <row r="11" spans="1:245" x14ac:dyDescent="0.2">
      <c r="A11" s="163" t="str">
        <f>ORCAMENTO!A11</f>
        <v>FONTE DOS PREÇOS:</v>
      </c>
      <c r="B11" s="101"/>
      <c r="D11" s="101"/>
      <c r="E11" s="101"/>
      <c r="F11" s="101"/>
      <c r="G11" s="101"/>
    </row>
    <row r="12" spans="1:245" x14ac:dyDescent="0.2">
      <c r="A12" s="112" t="str">
        <f>ORCAMENTO!A12</f>
        <v>TABELA SEINFRA 028.1 DESONERADA</v>
      </c>
      <c r="B12" s="101"/>
      <c r="D12" s="101"/>
      <c r="E12" s="101"/>
      <c r="F12" s="101"/>
      <c r="G12" s="101"/>
    </row>
    <row r="13" spans="1:245" s="163" customFormat="1" x14ac:dyDescent="0.2">
      <c r="A13" s="112"/>
      <c r="B13" s="112" t="str">
        <f>ORCAMENTO!B13</f>
        <v>DATA REFERÊNCIA TÉCNICA: 10/2023</v>
      </c>
      <c r="C13" s="101"/>
      <c r="D13" s="101"/>
      <c r="E13" s="101"/>
      <c r="F13" s="101"/>
      <c r="G13" s="101"/>
    </row>
    <row r="14" spans="1:245" x14ac:dyDescent="0.2">
      <c r="B14" s="112" t="str">
        <f>ORCAMENTO!B14</f>
        <v>ENCARGOS SOCIAIS: 84,44% (HORA) - 47,48% (MÊS)</v>
      </c>
      <c r="D14" s="102"/>
      <c r="F14" s="282"/>
      <c r="G14" s="123"/>
    </row>
    <row r="15" spans="1:245" x14ac:dyDescent="0.2">
      <c r="A15" s="112" t="str">
        <f>ORCAMENTO!A15</f>
        <v>TABELA SINAPI 06/2025 DESONERADA</v>
      </c>
      <c r="B15" s="101"/>
      <c r="D15" s="102"/>
      <c r="F15" s="282"/>
      <c r="G15" s="123"/>
    </row>
    <row r="16" spans="1:245" x14ac:dyDescent="0.2">
      <c r="B16" s="112" t="str">
        <f>ORCAMENTO!B16</f>
        <v>DATA REFERÊNCIA TÉCNICA: 06/2025</v>
      </c>
      <c r="D16" s="102"/>
      <c r="F16" s="282"/>
      <c r="G16" s="105"/>
    </row>
    <row r="17" spans="1:246" x14ac:dyDescent="0.2">
      <c r="B17" s="112" t="str">
        <f>ORCAMENTO!B17</f>
        <v>ENCARGOS SOCIAIS: 92,17% (HORA) - 53,50% (MÊS)</v>
      </c>
      <c r="D17" s="102"/>
      <c r="F17" s="282"/>
      <c r="G17" s="105"/>
    </row>
    <row r="18" spans="1:246" x14ac:dyDescent="0.2">
      <c r="A18" s="283"/>
      <c r="B18" s="283"/>
      <c r="C18" s="284"/>
      <c r="D18" s="285"/>
      <c r="E18" s="286"/>
      <c r="F18" s="286"/>
      <c r="G18" s="287"/>
      <c r="H18" s="288"/>
      <c r="I18" s="288"/>
      <c r="J18" s="288"/>
      <c r="K18" s="288"/>
      <c r="L18" s="288"/>
      <c r="M18" s="288"/>
      <c r="N18" s="288"/>
      <c r="O18" s="288"/>
      <c r="P18" s="288"/>
      <c r="Q18" s="288"/>
      <c r="R18" s="288"/>
      <c r="S18" s="288"/>
      <c r="T18" s="288"/>
      <c r="U18" s="288"/>
      <c r="V18" s="288"/>
      <c r="W18" s="288"/>
      <c r="X18" s="288"/>
      <c r="Y18" s="288"/>
      <c r="Z18" s="288"/>
      <c r="AA18" s="288"/>
      <c r="AB18" s="288"/>
      <c r="AC18" s="288"/>
      <c r="AD18" s="288"/>
      <c r="AE18" s="288"/>
      <c r="AF18" s="288"/>
      <c r="AG18" s="288"/>
      <c r="AH18" s="288"/>
      <c r="AI18" s="288"/>
      <c r="AJ18" s="288"/>
      <c r="AK18" s="288"/>
      <c r="AL18" s="288"/>
      <c r="AM18" s="288"/>
      <c r="AN18" s="288"/>
      <c r="AO18" s="288"/>
      <c r="AP18" s="288"/>
      <c r="AQ18" s="288"/>
      <c r="AR18" s="288"/>
      <c r="AS18" s="288"/>
      <c r="AT18" s="288"/>
      <c r="AU18" s="288"/>
      <c r="AV18" s="288"/>
      <c r="AW18" s="288"/>
      <c r="AX18" s="288"/>
      <c r="AY18" s="288"/>
      <c r="AZ18" s="288"/>
      <c r="BA18" s="288"/>
      <c r="BB18" s="288"/>
      <c r="BC18" s="288"/>
      <c r="BD18" s="288"/>
      <c r="BE18" s="288"/>
      <c r="BF18" s="288"/>
      <c r="BG18" s="288"/>
      <c r="BH18" s="288"/>
      <c r="BI18" s="288"/>
      <c r="BJ18" s="288"/>
      <c r="BK18" s="288"/>
      <c r="BL18" s="288"/>
      <c r="BM18" s="288"/>
      <c r="BN18" s="288"/>
      <c r="BO18" s="288"/>
      <c r="BP18" s="288"/>
      <c r="BQ18" s="288"/>
      <c r="BR18" s="288"/>
      <c r="BS18" s="288"/>
      <c r="BT18" s="288"/>
      <c r="BU18" s="288"/>
      <c r="BV18" s="288"/>
      <c r="BW18" s="288"/>
      <c r="BX18" s="288"/>
      <c r="BY18" s="288"/>
      <c r="BZ18" s="288"/>
      <c r="CA18" s="288"/>
      <c r="CB18" s="288"/>
      <c r="CC18" s="288"/>
      <c r="CD18" s="288"/>
      <c r="CE18" s="288"/>
      <c r="CF18" s="288"/>
      <c r="CG18" s="288"/>
      <c r="CH18" s="288"/>
      <c r="CI18" s="288"/>
      <c r="CJ18" s="288"/>
      <c r="CK18" s="288"/>
      <c r="CL18" s="288"/>
      <c r="CM18" s="288"/>
      <c r="CN18" s="288"/>
      <c r="CO18" s="288"/>
      <c r="CP18" s="288"/>
      <c r="CQ18" s="288"/>
      <c r="CR18" s="288"/>
      <c r="CS18" s="288"/>
      <c r="CT18" s="288"/>
      <c r="CU18" s="288"/>
      <c r="CV18" s="288"/>
      <c r="CW18" s="288"/>
      <c r="CX18" s="288"/>
      <c r="CY18" s="288"/>
      <c r="CZ18" s="288"/>
      <c r="DA18" s="288"/>
      <c r="DB18" s="288"/>
      <c r="DC18" s="288"/>
      <c r="DD18" s="288"/>
      <c r="DE18" s="288"/>
      <c r="DF18" s="288"/>
      <c r="DG18" s="288"/>
      <c r="DH18" s="288"/>
      <c r="DI18" s="288"/>
      <c r="DJ18" s="288"/>
      <c r="DK18" s="288"/>
      <c r="DL18" s="288"/>
      <c r="DM18" s="288"/>
      <c r="DN18" s="288"/>
      <c r="DO18" s="288"/>
      <c r="DP18" s="288"/>
      <c r="DQ18" s="288"/>
      <c r="DR18" s="288"/>
      <c r="DS18" s="288"/>
      <c r="DT18" s="288"/>
      <c r="DU18" s="288"/>
      <c r="DV18" s="288"/>
      <c r="DW18" s="288"/>
      <c r="DX18" s="288"/>
      <c r="DY18" s="288"/>
      <c r="DZ18" s="288"/>
      <c r="EA18" s="288"/>
      <c r="EB18" s="288"/>
      <c r="EC18" s="288"/>
      <c r="ED18" s="288"/>
      <c r="EE18" s="288"/>
      <c r="EF18" s="288"/>
      <c r="EG18" s="288"/>
      <c r="EH18" s="288"/>
      <c r="EI18" s="288"/>
      <c r="EJ18" s="288"/>
      <c r="EK18" s="288"/>
      <c r="EL18" s="288"/>
      <c r="EM18" s="288"/>
      <c r="EN18" s="288"/>
      <c r="EO18" s="288"/>
      <c r="EP18" s="288"/>
      <c r="EQ18" s="288"/>
      <c r="ER18" s="288"/>
      <c r="ES18" s="288"/>
      <c r="ET18" s="288"/>
      <c r="EU18" s="288"/>
      <c r="EV18" s="288"/>
      <c r="EW18" s="288"/>
      <c r="EX18" s="288"/>
      <c r="EY18" s="288"/>
      <c r="EZ18" s="288"/>
      <c r="FA18" s="288"/>
      <c r="FB18" s="288"/>
      <c r="FC18" s="288"/>
      <c r="FD18" s="288"/>
      <c r="FE18" s="288"/>
      <c r="FF18" s="288"/>
      <c r="FG18" s="288"/>
      <c r="FH18" s="288"/>
      <c r="FI18" s="288"/>
      <c r="FJ18" s="288"/>
      <c r="FK18" s="288"/>
      <c r="FL18" s="288"/>
      <c r="FM18" s="288"/>
      <c r="FN18" s="288"/>
      <c r="FO18" s="288"/>
      <c r="FP18" s="288"/>
      <c r="FQ18" s="288"/>
      <c r="FR18" s="288"/>
      <c r="FS18" s="288"/>
      <c r="FT18" s="288"/>
      <c r="FU18" s="288"/>
      <c r="FV18" s="288"/>
      <c r="FW18" s="288"/>
      <c r="FX18" s="288"/>
      <c r="FY18" s="288"/>
      <c r="FZ18" s="288"/>
      <c r="GA18" s="288"/>
      <c r="GB18" s="288"/>
      <c r="GC18" s="288"/>
      <c r="GD18" s="288"/>
      <c r="GE18" s="288"/>
      <c r="GF18" s="288"/>
      <c r="GG18" s="288"/>
      <c r="GH18" s="288"/>
      <c r="GI18" s="288"/>
      <c r="GJ18" s="288"/>
      <c r="GK18" s="288"/>
      <c r="GL18" s="288"/>
      <c r="GM18" s="288"/>
      <c r="GN18" s="288"/>
      <c r="GO18" s="288"/>
      <c r="GP18" s="288"/>
      <c r="GQ18" s="288"/>
      <c r="GR18" s="288"/>
      <c r="GS18" s="288"/>
      <c r="GT18" s="288"/>
      <c r="GU18" s="288"/>
      <c r="GV18" s="288"/>
      <c r="GW18" s="288"/>
      <c r="GX18" s="288"/>
      <c r="GY18" s="288"/>
      <c r="GZ18" s="288"/>
      <c r="HA18" s="288"/>
      <c r="HB18" s="288"/>
      <c r="HC18" s="288"/>
      <c r="HD18" s="288"/>
      <c r="HE18" s="288"/>
      <c r="HF18" s="288"/>
      <c r="HG18" s="288"/>
      <c r="HH18" s="288"/>
      <c r="HI18" s="288"/>
      <c r="HJ18" s="288"/>
      <c r="HK18" s="288"/>
      <c r="HL18" s="288"/>
      <c r="HM18" s="288"/>
      <c r="HN18" s="288"/>
      <c r="HO18" s="288"/>
      <c r="HP18" s="288"/>
      <c r="HQ18" s="288"/>
      <c r="HR18" s="288"/>
      <c r="HS18" s="288"/>
      <c r="HT18" s="288"/>
      <c r="HU18" s="288"/>
      <c r="HV18" s="288"/>
      <c r="HW18" s="288"/>
      <c r="HX18" s="288"/>
      <c r="HY18" s="288"/>
      <c r="HZ18" s="288"/>
      <c r="IA18" s="288"/>
      <c r="IB18" s="288"/>
      <c r="IC18" s="288"/>
      <c r="ID18" s="288"/>
      <c r="IE18" s="288"/>
      <c r="IF18" s="288"/>
      <c r="IG18" s="288"/>
      <c r="IH18" s="288"/>
      <c r="II18" s="288"/>
      <c r="IJ18" s="288"/>
      <c r="IK18" s="288"/>
      <c r="IL18" s="288"/>
    </row>
    <row r="19" spans="1:246" s="289" customFormat="1" ht="12.75" customHeight="1" x14ac:dyDescent="0.2">
      <c r="A19" s="244" t="s">
        <v>47150</v>
      </c>
      <c r="B19" s="598" t="s">
        <v>39214</v>
      </c>
      <c r="C19" s="599"/>
      <c r="D19" s="599"/>
      <c r="E19" s="600"/>
      <c r="F19" s="245" t="s">
        <v>39196</v>
      </c>
      <c r="G19" s="245" t="s">
        <v>255</v>
      </c>
    </row>
    <row r="20" spans="1:246" ht="25.5" x14ac:dyDescent="0.2">
      <c r="A20" s="290" t="s">
        <v>39178</v>
      </c>
      <c r="B20" s="290" t="s">
        <v>52</v>
      </c>
      <c r="C20" s="290" t="s">
        <v>5917</v>
      </c>
      <c r="D20" s="290" t="s">
        <v>39197</v>
      </c>
      <c r="E20" s="290" t="s">
        <v>39166</v>
      </c>
      <c r="F20" s="290" t="s">
        <v>39198</v>
      </c>
      <c r="G20" s="291" t="s">
        <v>39199</v>
      </c>
    </row>
    <row r="21" spans="1:246" s="120" customFormat="1" x14ac:dyDescent="0.2">
      <c r="A21" s="594" t="s">
        <v>39169</v>
      </c>
      <c r="B21" s="594"/>
      <c r="C21" s="594"/>
      <c r="D21" s="594"/>
      <c r="E21" s="594"/>
      <c r="F21" s="594"/>
      <c r="G21" s="594"/>
    </row>
    <row r="22" spans="1:246" x14ac:dyDescent="0.2">
      <c r="A22" s="474" t="s">
        <v>15</v>
      </c>
      <c r="B22" s="293">
        <v>88316</v>
      </c>
      <c r="C22" s="294" t="str">
        <f>IF(A22="SINAPI",VLOOKUP(B22,SINAPI!A:D,2,0),(VLOOKUP(B22,SEINFRA!A:D,2,0)))</f>
        <v>SERVENTE COM ENCARGOS COMPLEMENTARES</v>
      </c>
      <c r="D22" s="295" t="str">
        <f>IF(A22="SINAPI",VLOOKUP(B22,SINAPI!A:D,3,0),(VLOOKUP(B22,SEINFRA!A:D,3,0)))</f>
        <v>H</v>
      </c>
      <c r="E22" s="296">
        <v>1.5</v>
      </c>
      <c r="F22" s="297">
        <f>IF(A22="SINAPI",VLOOKUP(B22,SINAPI!A:D,4,0),(VLOOKUP(B22,SEINFRA!A:D,4,0)))</f>
        <v>21.75</v>
      </c>
      <c r="G22" s="298">
        <f>ROUND(E22*F22,4)</f>
        <v>32.625</v>
      </c>
    </row>
    <row r="23" spans="1:246" x14ac:dyDescent="0.2">
      <c r="A23" s="474" t="s">
        <v>15</v>
      </c>
      <c r="B23" s="293">
        <v>88309</v>
      </c>
      <c r="C23" s="294" t="str">
        <f>IF(A23="SINAPI",VLOOKUP(B23,SINAPI!A:D,2,0),(VLOOKUP(B23,SEINFRA!A:D,2,0)))</f>
        <v>PEDREIRO COM ENCARGOS COMPLEMENTARES</v>
      </c>
      <c r="D23" s="295" t="str">
        <f>IF(A23="SINAPI",VLOOKUP(B23,SINAPI!A:D,3,0),(VLOOKUP(B23,SEINFRA!A:D,3,0)))</f>
        <v>H</v>
      </c>
      <c r="E23" s="296">
        <v>2.5</v>
      </c>
      <c r="F23" s="297">
        <f>IF(A23="SINAPI",VLOOKUP(B23,SINAPI!A:D,4,0),(VLOOKUP(B23,SEINFRA!A:D,4,0)))</f>
        <v>26.98</v>
      </c>
      <c r="G23" s="298">
        <f>ROUND(E23*F23,4)</f>
        <v>67.45</v>
      </c>
    </row>
    <row r="24" spans="1:246" x14ac:dyDescent="0.2">
      <c r="A24" s="595" t="s">
        <v>39170</v>
      </c>
      <c r="B24" s="595"/>
      <c r="C24" s="595"/>
      <c r="D24" s="595"/>
      <c r="E24" s="595"/>
      <c r="F24" s="595"/>
      <c r="G24" s="299">
        <f>ROUND(SUM(G22:G23),4)</f>
        <v>100.075</v>
      </c>
    </row>
    <row r="25" spans="1:246" s="120" customFormat="1" x14ac:dyDescent="0.2">
      <c r="A25" s="594" t="s">
        <v>39171</v>
      </c>
      <c r="B25" s="594"/>
      <c r="C25" s="594"/>
      <c r="D25" s="594"/>
      <c r="E25" s="594"/>
      <c r="F25" s="594"/>
      <c r="G25" s="594"/>
    </row>
    <row r="26" spans="1:246" s="120" customFormat="1" x14ac:dyDescent="0.2">
      <c r="A26" s="292" t="s">
        <v>25</v>
      </c>
      <c r="B26" s="293" t="s">
        <v>16553</v>
      </c>
      <c r="C26" s="294" t="str">
        <f>IF(A26="SINAPI",VLOOKUP(B26,SINAPI!A:D,2,0),(VLOOKUP(B26,SEINFRA!A:D,2,0)))</f>
        <v>CAIXILHO DE ALUMINIO CORRER</v>
      </c>
      <c r="D26" s="295" t="str">
        <f>IF(A26="SINAPI",VLOOKUP(B26,SINAPI!A:D,3,0),(VLOOKUP(B26,SEINFRA!A:D,3,0)))</f>
        <v>M2</v>
      </c>
      <c r="E26" s="296">
        <v>1</v>
      </c>
      <c r="F26" s="297">
        <f>IF(A26="SINAPI",VLOOKUP(B26,SINAPI!A:D,4,0),(VLOOKUP(B26,SEINFRA!A:D,4,0)))</f>
        <v>365.94</v>
      </c>
      <c r="G26" s="298">
        <f>ROUND(E26*F26,4)</f>
        <v>365.94</v>
      </c>
    </row>
    <row r="27" spans="1:246" s="120" customFormat="1" ht="25.5" x14ac:dyDescent="0.2">
      <c r="A27" s="292" t="s">
        <v>25</v>
      </c>
      <c r="B27" s="293" t="s">
        <v>8416</v>
      </c>
      <c r="C27" s="294" t="str">
        <f>IF(A27="SINAPI",VLOOKUP(B27,SINAPI!A:D,2,0),(VLOOKUP(B27,SEINFRA!A:D,2,0)))</f>
        <v>VIDRO COMUM EM CAIXILHOS C/MASSA ESP.= 4mm, COLOCADO</v>
      </c>
      <c r="D27" s="295" t="str">
        <f>IF(A27="SINAPI",VLOOKUP(B27,SINAPI!A:D,3,0),(VLOOKUP(B27,SEINFRA!A:D,3,0)))</f>
        <v>M2</v>
      </c>
      <c r="E27" s="296">
        <v>1</v>
      </c>
      <c r="F27" s="297">
        <f>IF(A27="SINAPI",VLOOKUP(B27,SINAPI!A:D,4,0),(VLOOKUP(B27,SEINFRA!A:D,4,0)))</f>
        <v>179.43</v>
      </c>
      <c r="G27" s="298">
        <f>ROUND(E27*F27,4)</f>
        <v>179.43</v>
      </c>
    </row>
    <row r="28" spans="1:246" s="120" customFormat="1" x14ac:dyDescent="0.2">
      <c r="A28" s="595" t="s">
        <v>39172</v>
      </c>
      <c r="B28" s="595"/>
      <c r="C28" s="595"/>
      <c r="D28" s="595"/>
      <c r="E28" s="595"/>
      <c r="F28" s="595"/>
      <c r="G28" s="299">
        <f>ROUND(SUM(G26:G27),4)</f>
        <v>545.37</v>
      </c>
    </row>
    <row r="29" spans="1:246" s="120" customFormat="1" x14ac:dyDescent="0.2">
      <c r="A29" s="594" t="s">
        <v>39215</v>
      </c>
      <c r="B29" s="594"/>
      <c r="C29" s="594"/>
      <c r="D29" s="594"/>
      <c r="E29" s="594"/>
      <c r="F29" s="594"/>
      <c r="G29" s="594"/>
    </row>
    <row r="30" spans="1:246" x14ac:dyDescent="0.2">
      <c r="A30" s="292" t="s">
        <v>25</v>
      </c>
      <c r="B30" s="293" t="s">
        <v>7244</v>
      </c>
      <c r="C30" s="294" t="str">
        <f>IF(A30="SINAPI",VLOOKUP(B30,SINAPI!A:D,2,0),(VLOOKUP(B30,SEINFRA!A:D,2,0)))</f>
        <v>ARGAMASSA DE CIMENTO E AREIA PEN. TRAÇO 1:3</v>
      </c>
      <c r="D30" s="295" t="str">
        <f>IF(A30="SINAPI",VLOOKUP(B30,SINAPI!A:D,3,0),(VLOOKUP(B30,SEINFRA!A:D,3,0)))</f>
        <v>M3</v>
      </c>
      <c r="E30" s="296">
        <v>2.1000000000000001E-2</v>
      </c>
      <c r="F30" s="297">
        <f>IF(A30="SINAPI",VLOOKUP(B30,SINAPI!A:D,4,0),(VLOOKUP(B30,SEINFRA!A:D,4,0)))</f>
        <v>1045.72</v>
      </c>
      <c r="G30" s="298">
        <f>ROUND(E30*F30,4)</f>
        <v>21.960100000000001</v>
      </c>
    </row>
    <row r="31" spans="1:246" x14ac:dyDescent="0.2">
      <c r="A31" s="595" t="s">
        <v>39216</v>
      </c>
      <c r="B31" s="595"/>
      <c r="C31" s="595"/>
      <c r="D31" s="595"/>
      <c r="E31" s="595"/>
      <c r="F31" s="595"/>
      <c r="G31" s="299">
        <f>ROUND(SUM(G30),4)</f>
        <v>21.960100000000001</v>
      </c>
    </row>
    <row r="32" spans="1:246" x14ac:dyDescent="0.2">
      <c r="A32" s="596"/>
      <c r="B32" s="596"/>
      <c r="C32" s="596"/>
      <c r="D32" s="596"/>
      <c r="E32" s="596"/>
      <c r="F32" s="596"/>
      <c r="G32" s="596"/>
    </row>
    <row r="33" spans="1:7" x14ac:dyDescent="0.2">
      <c r="A33" s="591" t="s">
        <v>39173</v>
      </c>
      <c r="B33" s="591"/>
      <c r="C33" s="591"/>
      <c r="D33" s="591"/>
      <c r="E33" s="591"/>
      <c r="F33" s="591"/>
      <c r="G33" s="300">
        <f>ROUND(SUM(G24,G28,G31),2)</f>
        <v>667.41</v>
      </c>
    </row>
    <row r="34" spans="1:7" x14ac:dyDescent="0.2">
      <c r="A34" s="591" t="s">
        <v>39174</v>
      </c>
      <c r="B34" s="591"/>
      <c r="C34" s="591"/>
      <c r="D34" s="591"/>
      <c r="E34" s="591"/>
      <c r="F34" s="591"/>
      <c r="G34" s="301" t="s">
        <v>39175</v>
      </c>
    </row>
    <row r="35" spans="1:7" x14ac:dyDescent="0.2">
      <c r="A35" s="591" t="s">
        <v>39176</v>
      </c>
      <c r="B35" s="591"/>
      <c r="C35" s="591"/>
      <c r="D35" s="591"/>
      <c r="E35" s="591"/>
      <c r="F35" s="591"/>
      <c r="G35" s="302">
        <v>0</v>
      </c>
    </row>
    <row r="36" spans="1:7" x14ac:dyDescent="0.2">
      <c r="A36" s="592" t="s">
        <v>39177</v>
      </c>
      <c r="B36" s="592"/>
      <c r="C36" s="592"/>
      <c r="D36" s="592"/>
      <c r="E36" s="592"/>
      <c r="F36" s="592"/>
      <c r="G36" s="303">
        <f>G33</f>
        <v>667.41</v>
      </c>
    </row>
    <row r="37" spans="1:7" x14ac:dyDescent="0.2">
      <c r="A37" s="304"/>
      <c r="B37" s="304"/>
      <c r="C37" s="305"/>
      <c r="D37" s="304"/>
      <c r="E37" s="304"/>
      <c r="F37" s="304"/>
      <c r="G37" s="306"/>
    </row>
    <row r="38" spans="1:7" x14ac:dyDescent="0.2">
      <c r="A38" s="593" t="str">
        <f>ORCAMENTO!A392</f>
        <v>BOA VIAGEM - CE, JULHO DE 2025</v>
      </c>
      <c r="B38" s="593"/>
      <c r="C38" s="593"/>
      <c r="D38" s="593"/>
      <c r="E38" s="593"/>
      <c r="F38" s="593"/>
      <c r="G38" s="593"/>
    </row>
  </sheetData>
  <mergeCells count="14">
    <mergeCell ref="A35:F35"/>
    <mergeCell ref="A36:F36"/>
    <mergeCell ref="A38:G38"/>
    <mergeCell ref="A25:G25"/>
    <mergeCell ref="A28:F28"/>
    <mergeCell ref="A29:G29"/>
    <mergeCell ref="A31:F31"/>
    <mergeCell ref="A32:G32"/>
    <mergeCell ref="A33:F33"/>
    <mergeCell ref="A2:G2"/>
    <mergeCell ref="B19:E19"/>
    <mergeCell ref="A21:G21"/>
    <mergeCell ref="A24:F24"/>
    <mergeCell ref="A34:F34"/>
  </mergeCells>
  <printOptions horizontalCentered="1"/>
  <pageMargins left="0.39370078740157483" right="0.39370078740157483" top="0.39370078740157483" bottom="0.98425196850393704" header="0.31496062992125984" footer="0.31496062992125984"/>
  <pageSetup paperSize="9" scale="76" orientation="portrait" r:id="rId1"/>
  <headerFooter>
    <oddFooter>&amp;RPágina &amp;P de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65A7F-F0F6-4E6F-8359-4D2298DCC7A0}">
  <dimension ref="A1:G40"/>
  <sheetViews>
    <sheetView view="pageBreakPreview" zoomScale="115" zoomScaleNormal="100" zoomScaleSheetLayoutView="115" workbookViewId="0">
      <selection activeCell="A2" sqref="A2:G2"/>
    </sheetView>
  </sheetViews>
  <sheetFormatPr defaultColWidth="9.33203125" defaultRowHeight="12.75" x14ac:dyDescent="0.2"/>
  <cols>
    <col min="1" max="1" width="12.83203125" style="97" customWidth="1"/>
    <col min="2" max="2" width="12.83203125" style="112" customWidth="1"/>
    <col min="3" max="3" width="65.83203125" style="97" customWidth="1"/>
    <col min="4" max="4" width="7.83203125" style="97" customWidth="1"/>
    <col min="5" max="7" width="12.83203125" style="97" customWidth="1"/>
    <col min="8" max="8" width="9.33203125" style="97"/>
    <col min="9" max="9" width="15.1640625" style="97" customWidth="1"/>
    <col min="10" max="16384" width="9.33203125" style="97"/>
  </cols>
  <sheetData>
    <row r="1" spans="1:7" x14ac:dyDescent="0.2">
      <c r="A1" s="95"/>
      <c r="B1" s="95"/>
      <c r="C1" s="276"/>
      <c r="D1" s="95"/>
      <c r="E1" s="277"/>
      <c r="F1" s="277"/>
      <c r="G1" s="278"/>
    </row>
    <row r="2" spans="1:7" x14ac:dyDescent="0.2">
      <c r="A2" s="597" t="str">
        <f>ORCAMENTO!A2</f>
        <v>INSTITUTO FEDERAL DE EDUCAÇÃO CIÊNCIA E TECNOLOGIA DO CEARÁ - CAMPUS BOA VIAGEM</v>
      </c>
      <c r="B2" s="597"/>
      <c r="C2" s="597"/>
      <c r="D2" s="597"/>
      <c r="E2" s="597"/>
      <c r="F2" s="597"/>
      <c r="G2" s="597"/>
    </row>
    <row r="3" spans="1:7" x14ac:dyDescent="0.2">
      <c r="A3" s="163"/>
      <c r="B3" s="163"/>
      <c r="C3" s="163"/>
      <c r="D3" s="163"/>
      <c r="E3" s="163"/>
      <c r="F3" s="163"/>
      <c r="G3" s="163"/>
    </row>
    <row r="4" spans="1:7" x14ac:dyDescent="0.2">
      <c r="A4" s="163" t="str">
        <f>ORCAMENTO!A4</f>
        <v>OBRA:</v>
      </c>
      <c r="B4" s="99"/>
      <c r="C4" s="279"/>
      <c r="D4" s="99"/>
      <c r="E4" s="280"/>
      <c r="F4" s="280"/>
      <c r="G4" s="278"/>
    </row>
    <row r="5" spans="1:7" x14ac:dyDescent="0.2">
      <c r="A5" s="112" t="str">
        <f>ORCAMENTO!A5</f>
        <v>CENTRO DE INOVAÇÃO E DIFUSÃO DE TECNOLOGIA PARA O SEMIÁRIDO - CAMPUS BOA VIAGEM</v>
      </c>
      <c r="B5" s="100"/>
      <c r="C5" s="100"/>
      <c r="D5" s="98"/>
      <c r="E5" s="278"/>
      <c r="F5" s="281"/>
      <c r="G5" s="278"/>
    </row>
    <row r="6" spans="1:7" x14ac:dyDescent="0.2">
      <c r="A6" s="163" t="str">
        <f>ORCAMENTO!A6</f>
        <v>LOCAL:</v>
      </c>
      <c r="B6" s="101"/>
      <c r="C6" s="101"/>
      <c r="D6" s="102"/>
      <c r="E6" s="123"/>
      <c r="F6" s="282"/>
      <c r="G6" s="123"/>
    </row>
    <row r="7" spans="1:7" x14ac:dyDescent="0.2">
      <c r="A7" s="112" t="str">
        <f>ORCAMENTO!A7</f>
        <v>SEDE DO MUNICÍPIO</v>
      </c>
      <c r="B7" s="100"/>
      <c r="C7" s="100"/>
      <c r="D7" s="98"/>
      <c r="E7" s="278"/>
      <c r="F7" s="281"/>
      <c r="G7" s="278"/>
    </row>
    <row r="8" spans="1:7" x14ac:dyDescent="0.2">
      <c r="A8" s="163" t="str">
        <f>ORCAMENTO!A8</f>
        <v>MUNICÍPIO:</v>
      </c>
      <c r="B8" s="101"/>
      <c r="C8" s="101"/>
      <c r="D8" s="102"/>
      <c r="E8" s="278"/>
      <c r="F8" s="282"/>
      <c r="G8" s="123"/>
    </row>
    <row r="9" spans="1:7" x14ac:dyDescent="0.2">
      <c r="A9" s="112" t="str">
        <f>ORCAMENTO!A9</f>
        <v>BOA VIAGEM - CE</v>
      </c>
      <c r="B9" s="100"/>
      <c r="C9" s="100"/>
      <c r="D9" s="98"/>
      <c r="E9" s="278"/>
      <c r="F9" s="281"/>
      <c r="G9" s="278"/>
    </row>
    <row r="10" spans="1:7" x14ac:dyDescent="0.2">
      <c r="A10" s="163"/>
      <c r="B10" s="101"/>
      <c r="C10" s="101"/>
      <c r="D10" s="102"/>
      <c r="E10" s="123"/>
      <c r="F10" s="282"/>
      <c r="G10" s="123"/>
    </row>
    <row r="11" spans="1:7" x14ac:dyDescent="0.2">
      <c r="A11" s="163" t="str">
        <f>ORCAMENTO!A11</f>
        <v>FONTE DOS PREÇOS:</v>
      </c>
      <c r="B11" s="101"/>
      <c r="C11" s="101"/>
      <c r="D11" s="102"/>
      <c r="E11" s="123"/>
      <c r="F11" s="282"/>
      <c r="G11" s="123"/>
    </row>
    <row r="12" spans="1:7" x14ac:dyDescent="0.2">
      <c r="A12" s="112" t="str">
        <f>ORCAMENTO!A12</f>
        <v>TABELA SEINFRA 028.1 DESONERADA</v>
      </c>
      <c r="B12" s="101"/>
      <c r="C12" s="101"/>
      <c r="D12" s="102"/>
      <c r="E12" s="123"/>
      <c r="F12" s="282"/>
      <c r="G12" s="123"/>
    </row>
    <row r="13" spans="1:7" x14ac:dyDescent="0.2">
      <c r="A13" s="112"/>
      <c r="B13" s="112" t="str">
        <f>ORCAMENTO!B13</f>
        <v>DATA REFERÊNCIA TÉCNICA: 10/2023</v>
      </c>
      <c r="C13" s="100"/>
      <c r="D13" s="98"/>
      <c r="E13" s="278"/>
      <c r="F13" s="281"/>
      <c r="G13" s="278"/>
    </row>
    <row r="14" spans="1:7" x14ac:dyDescent="0.2">
      <c r="A14" s="112"/>
      <c r="B14" s="112" t="str">
        <f>ORCAMENTO!B14</f>
        <v>ENCARGOS SOCIAIS: 84,44% (HORA) - 47,48% (MÊS)</v>
      </c>
      <c r="C14" s="101"/>
      <c r="D14" s="102"/>
      <c r="E14" s="123"/>
      <c r="F14" s="282"/>
      <c r="G14" s="123"/>
    </row>
    <row r="15" spans="1:7" x14ac:dyDescent="0.2">
      <c r="A15" s="112" t="str">
        <f>ORCAMENTO!A15</f>
        <v>TABELA SINAPI 06/2025 DESONERADA</v>
      </c>
      <c r="C15" s="101"/>
      <c r="D15" s="102"/>
      <c r="E15" s="123"/>
      <c r="F15" s="282"/>
      <c r="G15" s="123"/>
    </row>
    <row r="16" spans="1:7" x14ac:dyDescent="0.2">
      <c r="A16" s="112"/>
      <c r="B16" s="112" t="str">
        <f>ORCAMENTO!B16</f>
        <v>DATA REFERÊNCIA TÉCNICA: 06/2025</v>
      </c>
      <c r="C16" s="101"/>
      <c r="D16" s="102"/>
      <c r="E16" s="123"/>
      <c r="F16" s="282"/>
      <c r="G16" s="105"/>
    </row>
    <row r="17" spans="1:7" x14ac:dyDescent="0.2">
      <c r="A17" s="112"/>
      <c r="B17" s="112" t="str">
        <f>ORCAMENTO!B17</f>
        <v>ENCARGOS SOCIAIS: 92,17% (HORA) - 53,50% (MÊS)</v>
      </c>
      <c r="C17" s="101"/>
      <c r="D17" s="102"/>
      <c r="E17" s="123"/>
      <c r="F17" s="282"/>
      <c r="G17" s="105"/>
    </row>
    <row r="18" spans="1:7" x14ac:dyDescent="0.2">
      <c r="A18" s="163"/>
      <c r="C18" s="284"/>
      <c r="D18" s="285"/>
      <c r="E18" s="286"/>
      <c r="F18" s="286"/>
      <c r="G18" s="287"/>
    </row>
    <row r="19" spans="1:7" x14ac:dyDescent="0.2">
      <c r="A19" s="244" t="s">
        <v>47420</v>
      </c>
      <c r="B19" s="598" t="s">
        <v>39224</v>
      </c>
      <c r="C19" s="599"/>
      <c r="D19" s="599"/>
      <c r="E19" s="600"/>
      <c r="F19" s="245" t="s">
        <v>39196</v>
      </c>
      <c r="G19" s="246" t="s">
        <v>255</v>
      </c>
    </row>
    <row r="20" spans="1:7" ht="38.25" x14ac:dyDescent="0.2">
      <c r="A20" s="290" t="s">
        <v>39178</v>
      </c>
      <c r="B20" s="290" t="s">
        <v>52</v>
      </c>
      <c r="C20" s="290" t="s">
        <v>5917</v>
      </c>
      <c r="D20" s="290" t="s">
        <v>39197</v>
      </c>
      <c r="E20" s="290" t="s">
        <v>39166</v>
      </c>
      <c r="F20" s="290" t="s">
        <v>39198</v>
      </c>
      <c r="G20" s="291" t="s">
        <v>39199</v>
      </c>
    </row>
    <row r="21" spans="1:7" x14ac:dyDescent="0.2">
      <c r="A21" s="594" t="s">
        <v>39225</v>
      </c>
      <c r="B21" s="594"/>
      <c r="C21" s="594"/>
      <c r="D21" s="594"/>
      <c r="E21" s="594"/>
      <c r="F21" s="594"/>
      <c r="G21" s="594"/>
    </row>
    <row r="22" spans="1:7" x14ac:dyDescent="0.2">
      <c r="A22" s="312" t="s">
        <v>15</v>
      </c>
      <c r="B22" s="310">
        <v>88316</v>
      </c>
      <c r="C22" s="294" t="str">
        <f>IF(A22="SINAPI",VLOOKUP(B22,SINAPI!A:D,2,0),(VLOOKUP(B22,SEINFRA!A:D,2,0)))</f>
        <v>SERVENTE COM ENCARGOS COMPLEMENTARES</v>
      </c>
      <c r="D22" s="295" t="str">
        <f>IF(A22="SINAPI",VLOOKUP(B22,SINAPI!A:D,3,0),(VLOOKUP(B22,SEINFRA!A:D,3,0)))</f>
        <v>H</v>
      </c>
      <c r="E22" s="311">
        <v>4</v>
      </c>
      <c r="F22" s="297">
        <f>IF(A22="SINAPI",VLOOKUP(B22,SINAPI!A:D,4,0),(VLOOKUP(B22,SEINFRA!A:D,4,0)))</f>
        <v>21.75</v>
      </c>
      <c r="G22" s="298">
        <f>ROUND(E22*F22,4)</f>
        <v>87</v>
      </c>
    </row>
    <row r="23" spans="1:7" x14ac:dyDescent="0.2">
      <c r="A23" s="312" t="s">
        <v>15</v>
      </c>
      <c r="B23" s="310">
        <v>88315</v>
      </c>
      <c r="C23" s="294" t="str">
        <f>IF(A23="SINAPI",VLOOKUP(B23,SINAPI!A:D,2,0),(VLOOKUP(B23,SEINFRA!A:D,2,0)))</f>
        <v>SERRALHEIRO COM ENCARGOS COMPLEMENTARES</v>
      </c>
      <c r="D23" s="295" t="str">
        <f>IF(A23="SINAPI",VLOOKUP(B23,SINAPI!A:D,3,0),(VLOOKUP(B23,SEINFRA!A:D,3,0)))</f>
        <v>H</v>
      </c>
      <c r="E23" s="311">
        <v>2</v>
      </c>
      <c r="F23" s="297">
        <f>IF(A23="SINAPI",VLOOKUP(B23,SINAPI!A:D,4,0),(VLOOKUP(B23,SEINFRA!A:D,4,0)))</f>
        <v>26.81</v>
      </c>
      <c r="G23" s="298">
        <f t="shared" ref="G23:G24" si="0">ROUND(E23*F23,4)</f>
        <v>53.62</v>
      </c>
    </row>
    <row r="24" spans="1:7" x14ac:dyDescent="0.2">
      <c r="A24" s="312" t="s">
        <v>15</v>
      </c>
      <c r="B24" s="310">
        <v>44497</v>
      </c>
      <c r="C24" s="294" t="str">
        <f>IF(A24="SINAPI",VLOOKUP(B24,SINAPI!A:D,2,0),(VLOOKUP(B24,SEINFRA!A:D,2,0)))</f>
        <v>MONTADOR DE ESTRUTURAS METALICAS HORISTA</v>
      </c>
      <c r="D24" s="295" t="str">
        <f>IF(A24="SINAPI",VLOOKUP(B24,SINAPI!A:D,3,0),(VLOOKUP(B24,SEINFRA!A:D,3,0)))</f>
        <v>H</v>
      </c>
      <c r="E24" s="311">
        <v>2</v>
      </c>
      <c r="F24" s="297">
        <f>IF(A24="SINAPI",VLOOKUP(B24,SINAPI!A:D,4,0),(VLOOKUP(B24,SEINFRA!A:D,4,0)))</f>
        <v>16.14</v>
      </c>
      <c r="G24" s="298">
        <f t="shared" si="0"/>
        <v>32.28</v>
      </c>
    </row>
    <row r="25" spans="1:7" x14ac:dyDescent="0.2">
      <c r="A25" s="595" t="s">
        <v>39226</v>
      </c>
      <c r="B25" s="595"/>
      <c r="C25" s="595"/>
      <c r="D25" s="595"/>
      <c r="E25" s="595"/>
      <c r="F25" s="595"/>
      <c r="G25" s="299">
        <f>ROUND(SUM(G22:G24),4)</f>
        <v>172.9</v>
      </c>
    </row>
    <row r="26" spans="1:7" x14ac:dyDescent="0.2">
      <c r="A26" s="594" t="s">
        <v>39171</v>
      </c>
      <c r="B26" s="594"/>
      <c r="C26" s="594"/>
      <c r="D26" s="594"/>
      <c r="E26" s="594"/>
      <c r="F26" s="594"/>
      <c r="G26" s="594"/>
    </row>
    <row r="27" spans="1:7" ht="25.5" x14ac:dyDescent="0.2">
      <c r="A27" s="309" t="s">
        <v>25</v>
      </c>
      <c r="B27" s="310" t="s">
        <v>16825</v>
      </c>
      <c r="C27" s="294" t="str">
        <f>IF(A27="SINAPI",VLOOKUP(B27,SINAPI!A:D,2,0),(VLOOKUP(B27,SEINFRA!A:D,2,0)))</f>
        <v>CHAPA GALVANIZADA PERFURADA DE 2mm COM PINTURA ELETROSTÁTICA</v>
      </c>
      <c r="D27" s="295" t="str">
        <f>IF(A27="SINAPI",VLOOKUP(B27,SINAPI!A:D,3,0),(VLOOKUP(B27,SEINFRA!A:D,3,0)))</f>
        <v>M2</v>
      </c>
      <c r="E27" s="311">
        <v>0.64</v>
      </c>
      <c r="F27" s="297">
        <f>IF(A27="SINAPI",VLOOKUP(B27,SINAPI!A:D,4,0),(VLOOKUP(B27,SEINFRA!A:D,4,0)))</f>
        <v>202.09</v>
      </c>
      <c r="G27" s="298">
        <f t="shared" ref="G27:G29" si="1">ROUND(E27*F27,4)</f>
        <v>129.33760000000001</v>
      </c>
    </row>
    <row r="28" spans="1:7" ht="25.5" x14ac:dyDescent="0.2">
      <c r="A28" s="309" t="s">
        <v>25</v>
      </c>
      <c r="B28" s="310" t="s">
        <v>16951</v>
      </c>
      <c r="C28" s="294" t="str">
        <f>IF(A28="SINAPI",VLOOKUP(B28,SINAPI!A:D,2,0),(VLOOKUP(B28,SEINFRA!A:D,2,0)))</f>
        <v>PERFIL C (VENEZIANA) DE 2" x 1" EM CHAPA GALVANIZADA DE 2mm COM PINTURA ELETROSTÁTICA</v>
      </c>
      <c r="D28" s="295" t="str">
        <f>IF(A28="SINAPI",VLOOKUP(B28,SINAPI!A:D,3,0),(VLOOKUP(B28,SEINFRA!A:D,3,0)))</f>
        <v>M2</v>
      </c>
      <c r="E28" s="311">
        <v>0.46</v>
      </c>
      <c r="F28" s="297">
        <f>IF(A28="SINAPI",VLOOKUP(B28,SINAPI!A:D,4,0),(VLOOKUP(B28,SEINFRA!A:D,4,0)))</f>
        <v>132.29</v>
      </c>
      <c r="G28" s="298">
        <f t="shared" si="1"/>
        <v>60.853400000000001</v>
      </c>
    </row>
    <row r="29" spans="1:7" x14ac:dyDescent="0.2">
      <c r="A29" s="309" t="s">
        <v>25</v>
      </c>
      <c r="B29" s="310" t="s">
        <v>16841</v>
      </c>
      <c r="C29" s="294" t="str">
        <f>IF(A29="SINAPI",VLOOKUP(B29,SINAPI!A:D,2,0),(VLOOKUP(B29,SEINFRA!A:D,2,0)))</f>
        <v>ESTRUTURA METÁLICA DE APOIO - PILARES</v>
      </c>
      <c r="D29" s="295" t="str">
        <f>IF(A29="SINAPI",VLOOKUP(B29,SINAPI!A:D,3,0),(VLOOKUP(B29,SEINFRA!A:D,3,0)))</f>
        <v>KG</v>
      </c>
      <c r="E29" s="311">
        <v>7.85</v>
      </c>
      <c r="F29" s="297">
        <f>IF(A29="SINAPI",VLOOKUP(B29,SINAPI!A:D,4,0),(VLOOKUP(B29,SEINFRA!A:D,4,0)))</f>
        <v>24.67</v>
      </c>
      <c r="G29" s="298">
        <f t="shared" si="1"/>
        <v>193.65950000000001</v>
      </c>
    </row>
    <row r="30" spans="1:7" x14ac:dyDescent="0.2">
      <c r="A30" s="595" t="s">
        <v>39172</v>
      </c>
      <c r="B30" s="595"/>
      <c r="C30" s="595"/>
      <c r="D30" s="595"/>
      <c r="E30" s="595"/>
      <c r="F30" s="595"/>
      <c r="G30" s="299">
        <f>ROUND(SUM(G27:G29),4)</f>
        <v>383.85050000000001</v>
      </c>
    </row>
    <row r="31" spans="1:7" x14ac:dyDescent="0.2">
      <c r="A31" s="594" t="s">
        <v>39215</v>
      </c>
      <c r="B31" s="594"/>
      <c r="C31" s="594"/>
      <c r="D31" s="594"/>
      <c r="E31" s="594"/>
      <c r="F31" s="594"/>
      <c r="G31" s="594"/>
    </row>
    <row r="32" spans="1:7" ht="51" x14ac:dyDescent="0.2">
      <c r="A32" s="312" t="s">
        <v>15</v>
      </c>
      <c r="B32" s="310">
        <v>100726</v>
      </c>
      <c r="C32" s="294" t="str">
        <f>IF(A32="SINAPI",VLOOKUP(B32,SINAPI!A:D,2,0),(VLOOKUP(B32,SEINFRA!A:D,2,0)))</f>
        <v>PINTURA COM TINTA ALQUÍDICA DE FUNDO E ACABAMENTO (ESMALTE SINTÉTICO GRAFITE) APLICADA A ROLO OU PINCEL SOBRE SUPERFÍCIES METÁLICAS (EXCETO PERFIL) EXECUTADO EM OBRA (POR DEMÃO). AF_01/2020</v>
      </c>
      <c r="D32" s="295" t="str">
        <f>IF(A32="SINAPI",VLOOKUP(B32,SINAPI!A:D,3,0),(VLOOKUP(B32,SEINFRA!A:D,3,0)))</f>
        <v>M2</v>
      </c>
      <c r="E32" s="311">
        <f>2</f>
        <v>2</v>
      </c>
      <c r="F32" s="297">
        <f>IF(A32="SINAPI",VLOOKUP(B32,SINAPI!A:D,4,0),(VLOOKUP(B32,SEINFRA!A:D,4,0)))</f>
        <v>27.29</v>
      </c>
      <c r="G32" s="298">
        <f t="shared" ref="G32" si="2">ROUND(E32*F32,4)</f>
        <v>54.58</v>
      </c>
    </row>
    <row r="33" spans="1:7" x14ac:dyDescent="0.2">
      <c r="A33" s="595" t="s">
        <v>39216</v>
      </c>
      <c r="B33" s="595"/>
      <c r="C33" s="595"/>
      <c r="D33" s="595"/>
      <c r="E33" s="595"/>
      <c r="F33" s="595"/>
      <c r="G33" s="299">
        <f>ROUND(SUM(G32),4)</f>
        <v>54.58</v>
      </c>
    </row>
    <row r="34" spans="1:7" x14ac:dyDescent="0.2">
      <c r="A34" s="596"/>
      <c r="B34" s="596"/>
      <c r="C34" s="596"/>
      <c r="D34" s="596"/>
      <c r="E34" s="596"/>
      <c r="F34" s="596"/>
      <c r="G34" s="596"/>
    </row>
    <row r="35" spans="1:7" x14ac:dyDescent="0.2">
      <c r="A35" s="591" t="s">
        <v>39173</v>
      </c>
      <c r="B35" s="591"/>
      <c r="C35" s="591"/>
      <c r="D35" s="591"/>
      <c r="E35" s="591"/>
      <c r="F35" s="591"/>
      <c r="G35" s="300">
        <f>ROUND(SUM(G25,G30,G33),2)</f>
        <v>611.33000000000004</v>
      </c>
    </row>
    <row r="36" spans="1:7" x14ac:dyDescent="0.2">
      <c r="A36" s="591" t="s">
        <v>39174</v>
      </c>
      <c r="B36" s="591"/>
      <c r="C36" s="591"/>
      <c r="D36" s="591"/>
      <c r="E36" s="591"/>
      <c r="F36" s="591"/>
      <c r="G36" s="301" t="s">
        <v>39175</v>
      </c>
    </row>
    <row r="37" spans="1:7" x14ac:dyDescent="0.2">
      <c r="A37" s="591" t="s">
        <v>39176</v>
      </c>
      <c r="B37" s="591"/>
      <c r="C37" s="591"/>
      <c r="D37" s="591"/>
      <c r="E37" s="591"/>
      <c r="F37" s="591"/>
      <c r="G37" s="302">
        <v>0</v>
      </c>
    </row>
    <row r="38" spans="1:7" x14ac:dyDescent="0.2">
      <c r="A38" s="592" t="s">
        <v>39177</v>
      </c>
      <c r="B38" s="592"/>
      <c r="C38" s="592"/>
      <c r="D38" s="592"/>
      <c r="E38" s="592"/>
      <c r="F38" s="592"/>
      <c r="G38" s="303">
        <f>G35</f>
        <v>611.33000000000004</v>
      </c>
    </row>
    <row r="39" spans="1:7" x14ac:dyDescent="0.2">
      <c r="A39" s="304"/>
      <c r="B39" s="304"/>
      <c r="C39" s="305"/>
      <c r="D39" s="304"/>
      <c r="E39" s="304"/>
      <c r="F39" s="304"/>
      <c r="G39" s="306"/>
    </row>
    <row r="40" spans="1:7" x14ac:dyDescent="0.2">
      <c r="A40" s="593" t="str">
        <f>ORCAMENTO!A392</f>
        <v>BOA VIAGEM - CE, JULHO DE 2025</v>
      </c>
      <c r="B40" s="593"/>
      <c r="C40" s="593"/>
      <c r="D40" s="593"/>
      <c r="E40" s="593"/>
      <c r="F40" s="593"/>
      <c r="G40" s="593"/>
    </row>
  </sheetData>
  <mergeCells count="14">
    <mergeCell ref="A2:G2"/>
    <mergeCell ref="B19:E19"/>
    <mergeCell ref="A21:G21"/>
    <mergeCell ref="A25:F25"/>
    <mergeCell ref="A36:F36"/>
    <mergeCell ref="A37:F37"/>
    <mergeCell ref="A38:F38"/>
    <mergeCell ref="A40:G40"/>
    <mergeCell ref="A26:G26"/>
    <mergeCell ref="A30:F30"/>
    <mergeCell ref="A31:G31"/>
    <mergeCell ref="A33:F33"/>
    <mergeCell ref="A34:G34"/>
    <mergeCell ref="A35:F35"/>
  </mergeCells>
  <printOptions horizontalCentered="1"/>
  <pageMargins left="0.39370078740157483" right="0.39370078740157483" top="0.39370078740157483" bottom="0.78740157480314965" header="0.31496062992125984" footer="0.31496062992125984"/>
  <pageSetup paperSize="9" scale="76"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FA1398-9EAA-4FCD-8DE0-BCEDAFB51ED2}">
  <dimension ref="A1:G43"/>
  <sheetViews>
    <sheetView view="pageBreakPreview" zoomScale="115" zoomScaleNormal="100" zoomScaleSheetLayoutView="115" workbookViewId="0">
      <selection activeCell="A2" sqref="A2:G2"/>
    </sheetView>
  </sheetViews>
  <sheetFormatPr defaultColWidth="9.33203125" defaultRowHeight="12.75" x14ac:dyDescent="0.2"/>
  <cols>
    <col min="1" max="1" width="12.83203125" style="97" customWidth="1"/>
    <col min="2" max="2" width="12.83203125" style="112" customWidth="1"/>
    <col min="3" max="3" width="65.83203125" style="97" customWidth="1"/>
    <col min="4" max="4" width="7.83203125" style="97" customWidth="1"/>
    <col min="5" max="6" width="12.83203125" style="97" customWidth="1"/>
    <col min="7" max="7" width="12.83203125" style="527" customWidth="1"/>
    <col min="8" max="8" width="9.33203125" style="97"/>
    <col min="9" max="9" width="15.1640625" style="97" customWidth="1"/>
    <col min="10" max="16384" width="9.33203125" style="97"/>
  </cols>
  <sheetData>
    <row r="1" spans="1:7" x14ac:dyDescent="0.2">
      <c r="A1" s="95"/>
      <c r="B1" s="95"/>
      <c r="C1" s="276"/>
      <c r="D1" s="95"/>
      <c r="E1" s="277"/>
      <c r="F1" s="277"/>
      <c r="G1" s="518"/>
    </row>
    <row r="2" spans="1:7" x14ac:dyDescent="0.2">
      <c r="A2" s="597" t="str">
        <f>ORCAMENTO!A2</f>
        <v>INSTITUTO FEDERAL DE EDUCAÇÃO CIÊNCIA E TECNOLOGIA DO CEARÁ - CAMPUS BOA VIAGEM</v>
      </c>
      <c r="B2" s="597"/>
      <c r="C2" s="597"/>
      <c r="D2" s="597"/>
      <c r="E2" s="597"/>
      <c r="F2" s="597"/>
      <c r="G2" s="597"/>
    </row>
    <row r="3" spans="1:7" x14ac:dyDescent="0.2">
      <c r="A3" s="163"/>
      <c r="B3" s="163"/>
      <c r="C3" s="163"/>
      <c r="D3" s="163"/>
      <c r="E3" s="163"/>
      <c r="F3" s="163"/>
      <c r="G3" s="519"/>
    </row>
    <row r="4" spans="1:7" x14ac:dyDescent="0.2">
      <c r="A4" s="163" t="str">
        <f>ORCAMENTO!A4</f>
        <v>OBRA:</v>
      </c>
      <c r="B4" s="99"/>
      <c r="C4" s="279"/>
      <c r="D4" s="99"/>
      <c r="E4" s="280"/>
      <c r="F4" s="280"/>
      <c r="G4" s="518"/>
    </row>
    <row r="5" spans="1:7" x14ac:dyDescent="0.2">
      <c r="A5" s="112" t="str">
        <f>ORCAMENTO!A5</f>
        <v>CENTRO DE INOVAÇÃO E DIFUSÃO DE TECNOLOGIA PARA O SEMIÁRIDO - CAMPUS BOA VIAGEM</v>
      </c>
      <c r="B5" s="100"/>
      <c r="C5" s="100"/>
      <c r="D5" s="98"/>
      <c r="E5" s="278"/>
      <c r="F5" s="281"/>
      <c r="G5" s="518"/>
    </row>
    <row r="6" spans="1:7" x14ac:dyDescent="0.2">
      <c r="A6" s="163" t="str">
        <f>ORCAMENTO!A6</f>
        <v>LOCAL:</v>
      </c>
      <c r="B6" s="101"/>
      <c r="C6" s="101"/>
      <c r="D6" s="102"/>
      <c r="E6" s="123"/>
      <c r="F6" s="282"/>
      <c r="G6" s="520"/>
    </row>
    <row r="7" spans="1:7" x14ac:dyDescent="0.2">
      <c r="A7" s="112" t="str">
        <f>ORCAMENTO!A7</f>
        <v>SEDE DO MUNICÍPIO</v>
      </c>
      <c r="B7" s="100"/>
      <c r="C7" s="100"/>
      <c r="D7" s="98"/>
      <c r="E7" s="278"/>
      <c r="F7" s="281"/>
      <c r="G7" s="518"/>
    </row>
    <row r="8" spans="1:7" x14ac:dyDescent="0.2">
      <c r="A8" s="163" t="str">
        <f>ORCAMENTO!A8</f>
        <v>MUNICÍPIO:</v>
      </c>
      <c r="B8" s="101"/>
      <c r="C8" s="101"/>
      <c r="D8" s="102"/>
      <c r="E8" s="278"/>
      <c r="F8" s="282"/>
      <c r="G8" s="520"/>
    </row>
    <row r="9" spans="1:7" x14ac:dyDescent="0.2">
      <c r="A9" s="112" t="str">
        <f>ORCAMENTO!A9</f>
        <v>BOA VIAGEM - CE</v>
      </c>
      <c r="B9" s="100"/>
      <c r="C9" s="100"/>
      <c r="D9" s="98"/>
      <c r="E9" s="278"/>
      <c r="F9" s="281"/>
      <c r="G9" s="518"/>
    </row>
    <row r="10" spans="1:7" x14ac:dyDescent="0.2">
      <c r="A10" s="163"/>
      <c r="B10" s="101"/>
      <c r="C10" s="101"/>
      <c r="D10" s="102"/>
      <c r="E10" s="123"/>
      <c r="F10" s="282"/>
      <c r="G10" s="520"/>
    </row>
    <row r="11" spans="1:7" x14ac:dyDescent="0.2">
      <c r="A11" s="163" t="str">
        <f>ORCAMENTO!A11</f>
        <v>FONTE DOS PREÇOS:</v>
      </c>
      <c r="B11" s="101"/>
      <c r="C11" s="101"/>
      <c r="D11" s="102"/>
      <c r="E11" s="123"/>
      <c r="F11" s="282"/>
      <c r="G11" s="520"/>
    </row>
    <row r="12" spans="1:7" x14ac:dyDescent="0.2">
      <c r="A12" s="112" t="str">
        <f>ORCAMENTO!A12</f>
        <v>TABELA SEINFRA 028.1 DESONERADA</v>
      </c>
      <c r="B12" s="101"/>
      <c r="C12" s="101"/>
      <c r="D12" s="102"/>
      <c r="E12" s="123"/>
      <c r="F12" s="282"/>
      <c r="G12" s="520"/>
    </row>
    <row r="13" spans="1:7" x14ac:dyDescent="0.2">
      <c r="A13" s="112"/>
      <c r="B13" s="112" t="str">
        <f>ORCAMENTO!B13</f>
        <v>DATA REFERÊNCIA TÉCNICA: 10/2023</v>
      </c>
      <c r="C13" s="100"/>
      <c r="D13" s="98"/>
      <c r="E13" s="278"/>
      <c r="F13" s="281"/>
      <c r="G13" s="518"/>
    </row>
    <row r="14" spans="1:7" x14ac:dyDescent="0.2">
      <c r="A14" s="112"/>
      <c r="B14" s="112" t="str">
        <f>ORCAMENTO!B14</f>
        <v>ENCARGOS SOCIAIS: 84,44% (HORA) - 47,48% (MÊS)</v>
      </c>
      <c r="C14" s="101"/>
      <c r="D14" s="102"/>
      <c r="E14" s="123"/>
      <c r="F14" s="282"/>
      <c r="G14" s="520"/>
    </row>
    <row r="15" spans="1:7" x14ac:dyDescent="0.2">
      <c r="A15" s="112" t="str">
        <f>ORCAMENTO!A15</f>
        <v>TABELA SINAPI 06/2025 DESONERADA</v>
      </c>
      <c r="C15" s="101"/>
      <c r="D15" s="102"/>
      <c r="E15" s="123"/>
      <c r="F15" s="282"/>
      <c r="G15" s="520"/>
    </row>
    <row r="16" spans="1:7" x14ac:dyDescent="0.2">
      <c r="A16" s="112"/>
      <c r="B16" s="112" t="str">
        <f>ORCAMENTO!B16</f>
        <v>DATA REFERÊNCIA TÉCNICA: 06/2025</v>
      </c>
      <c r="C16" s="101"/>
      <c r="D16" s="102"/>
      <c r="E16" s="123"/>
      <c r="F16" s="282"/>
      <c r="G16" s="520"/>
    </row>
    <row r="17" spans="1:7" x14ac:dyDescent="0.2">
      <c r="A17" s="112"/>
      <c r="B17" s="112" t="str">
        <f>ORCAMENTO!B17</f>
        <v>ENCARGOS SOCIAIS: 92,17% (HORA) - 53,50% (MÊS)</v>
      </c>
      <c r="C17" s="101"/>
      <c r="D17" s="102"/>
      <c r="E17" s="123"/>
      <c r="F17" s="282"/>
      <c r="G17" s="520"/>
    </row>
    <row r="18" spans="1:7" x14ac:dyDescent="0.2">
      <c r="A18" s="163"/>
      <c r="C18" s="284"/>
      <c r="D18" s="285"/>
      <c r="E18" s="286"/>
      <c r="F18" s="286"/>
      <c r="G18" s="521"/>
    </row>
    <row r="19" spans="1:7" x14ac:dyDescent="0.2">
      <c r="A19" s="244" t="s">
        <v>48384</v>
      </c>
      <c r="B19" s="598" t="s">
        <v>48385</v>
      </c>
      <c r="C19" s="599"/>
      <c r="D19" s="599"/>
      <c r="E19" s="600"/>
      <c r="F19" s="245" t="s">
        <v>39196</v>
      </c>
      <c r="G19" s="522" t="s">
        <v>48386</v>
      </c>
    </row>
    <row r="20" spans="1:7" ht="38.25" x14ac:dyDescent="0.2">
      <c r="A20" s="290" t="s">
        <v>39178</v>
      </c>
      <c r="B20" s="290" t="s">
        <v>52</v>
      </c>
      <c r="C20" s="290" t="s">
        <v>5917</v>
      </c>
      <c r="D20" s="290" t="s">
        <v>39197</v>
      </c>
      <c r="E20" s="290" t="s">
        <v>39166</v>
      </c>
      <c r="F20" s="290" t="s">
        <v>39198</v>
      </c>
      <c r="G20" s="523" t="s">
        <v>39199</v>
      </c>
    </row>
    <row r="21" spans="1:7" x14ac:dyDescent="0.2">
      <c r="A21" s="594" t="s">
        <v>39225</v>
      </c>
      <c r="B21" s="594"/>
      <c r="C21" s="594"/>
      <c r="D21" s="594"/>
      <c r="E21" s="594"/>
      <c r="F21" s="594"/>
      <c r="G21" s="594"/>
    </row>
    <row r="22" spans="1:7" x14ac:dyDescent="0.2">
      <c r="A22" s="312" t="s">
        <v>15</v>
      </c>
      <c r="B22" s="310">
        <v>88316</v>
      </c>
      <c r="C22" s="294" t="str">
        <f>IF(A22="SINAPI",VLOOKUP(B22,SINAPI!A:D,2,0),(VLOOKUP(B22,SEINFRA!A:D,2,0)))</f>
        <v>SERVENTE COM ENCARGOS COMPLEMENTARES</v>
      </c>
      <c r="D22" s="295" t="str">
        <f>IF(A22="SINAPI",VLOOKUP(B22,SINAPI!A:D,3,0),(VLOOKUP(B22,SEINFRA!A:D,3,0)))</f>
        <v>H</v>
      </c>
      <c r="E22" s="516">
        <v>0.7</v>
      </c>
      <c r="F22" s="297">
        <f>IF(A22="SINAPI",VLOOKUP(B22,SINAPI!A:D,4,0),(VLOOKUP(B22,SEINFRA!A:D,4,0)))</f>
        <v>21.75</v>
      </c>
      <c r="G22" s="298">
        <f>ROUND(E22*F22,4)</f>
        <v>15.225</v>
      </c>
    </row>
    <row r="23" spans="1:7" ht="25.5" x14ac:dyDescent="0.2">
      <c r="A23" s="312" t="s">
        <v>15</v>
      </c>
      <c r="B23" s="310">
        <v>88278</v>
      </c>
      <c r="C23" s="294" t="str">
        <f>IF(A23="SINAPI",VLOOKUP(B23,SINAPI!A:D,2,0),(VLOOKUP(B23,SEINFRA!A:D,2,0)))</f>
        <v>MONTADOR DE ESTRUTURA METÁLICA COM ENCARGOS COMPLEMENTARES</v>
      </c>
      <c r="D23" s="295" t="str">
        <f>IF(A23="SINAPI",VLOOKUP(B23,SINAPI!A:D,3,0),(VLOOKUP(B23,SEINFRA!A:D,3,0)))</f>
        <v>H</v>
      </c>
      <c r="E23" s="516">
        <v>2.1</v>
      </c>
      <c r="F23" s="297">
        <f>IF(A23="SINAPI",VLOOKUP(B23,SINAPI!A:D,4,0),(VLOOKUP(B23,SEINFRA!A:D,4,0)))</f>
        <v>23.44</v>
      </c>
      <c r="G23" s="298">
        <f t="shared" ref="G23" si="0">ROUND(E23*F23,4)</f>
        <v>49.223999999999997</v>
      </c>
    </row>
    <row r="24" spans="1:7" x14ac:dyDescent="0.2">
      <c r="A24" s="595" t="s">
        <v>39226</v>
      </c>
      <c r="B24" s="595"/>
      <c r="C24" s="595"/>
      <c r="D24" s="595"/>
      <c r="E24" s="595"/>
      <c r="F24" s="595"/>
      <c r="G24" s="517">
        <f>ROUND(SUM(G22:G23),4)</f>
        <v>64.448999999999998</v>
      </c>
    </row>
    <row r="25" spans="1:7" x14ac:dyDescent="0.2">
      <c r="A25" s="594" t="s">
        <v>39171</v>
      </c>
      <c r="B25" s="594"/>
      <c r="C25" s="594"/>
      <c r="D25" s="594"/>
      <c r="E25" s="594"/>
      <c r="F25" s="594"/>
      <c r="G25" s="594"/>
    </row>
    <row r="26" spans="1:7" x14ac:dyDescent="0.2">
      <c r="A26" s="309" t="s">
        <v>25</v>
      </c>
      <c r="B26" s="310" t="s">
        <v>16941</v>
      </c>
      <c r="C26" s="294" t="str">
        <f>IF(A26="SINAPI",VLOOKUP(B26,SINAPI!A:D,2,0),(VLOOKUP(B26,SEINFRA!A:D,2,0)))</f>
        <v>PERFIL "U" DE ACO LAMINADO, "U" 152 X 15,6</v>
      </c>
      <c r="D26" s="295" t="str">
        <f>IF(A26="SINAPI",VLOOKUP(B26,SINAPI!A:D,3,0),(VLOOKUP(B26,SEINFRA!A:D,3,0)))</f>
        <v>KG</v>
      </c>
      <c r="E26" s="311">
        <f>95.04+94.32</f>
        <v>189.36</v>
      </c>
      <c r="F26" s="297">
        <f>IF(A26="SINAPI",VLOOKUP(B26,SINAPI!A:D,4,0),(VLOOKUP(B26,SEINFRA!A:D,4,0)))</f>
        <v>11.86</v>
      </c>
      <c r="G26" s="298">
        <f t="shared" ref="G26:G29" si="1">ROUND(E26*F26,4)</f>
        <v>2245.8096</v>
      </c>
    </row>
    <row r="27" spans="1:7" ht="25.5" x14ac:dyDescent="0.2">
      <c r="A27" s="312" t="s">
        <v>15</v>
      </c>
      <c r="B27" s="310">
        <v>10997</v>
      </c>
      <c r="C27" s="294" t="str">
        <f>IF(A27="SINAPI",VLOOKUP(B27,SINAPI!A:D,2,0),(VLOOKUP(B27,SEINFRA!A:D,2,0)))</f>
        <v>ELETRODO REVESTIDO AWS - E7018, DIAMETRO IGUAL A 4,00 MM</v>
      </c>
      <c r="D27" s="295" t="str">
        <f>IF(A27="SINAPI",VLOOKUP(B27,SINAPI!A:D,3,0),(VLOOKUP(B27,SEINFRA!A:D,3,0)))</f>
        <v>KG</v>
      </c>
      <c r="E27" s="311">
        <v>0.52200000000000002</v>
      </c>
      <c r="F27" s="297">
        <f>IF(A27="SINAPI",VLOOKUP(B27,SINAPI!A:D,4,0),(VLOOKUP(B27,SEINFRA!A:D,4,0)))</f>
        <v>48.28</v>
      </c>
      <c r="G27" s="298">
        <f t="shared" si="1"/>
        <v>25.202200000000001</v>
      </c>
    </row>
    <row r="28" spans="1:7" ht="31.5" customHeight="1" x14ac:dyDescent="0.2">
      <c r="A28" s="312" t="s">
        <v>15</v>
      </c>
      <c r="B28" s="310">
        <v>10957</v>
      </c>
      <c r="C28" s="294" t="str">
        <f>IF(A28="SINAPI",VLOOKUP(B28,SINAPI!A:D,2,0),(VLOOKUP(B28,SEINFRA!A:D,2,0)))</f>
        <v>CHAPA DE ACO GROSSA, ASTM A36, E = 3/4" (19,05 MM) 149,39 KG/M2</v>
      </c>
      <c r="D28" s="295" t="str">
        <f>IF(A28="SINAPI",VLOOKUP(B28,SINAPI!A:D,3,0),(VLOOKUP(B28,SEINFRA!A:D,3,0)))</f>
        <v>KG</v>
      </c>
      <c r="E28" s="311">
        <f>17.93</f>
        <v>17.93</v>
      </c>
      <c r="F28" s="297">
        <f>IF(A28="SINAPI",VLOOKUP(B28,SINAPI!A:D,4,0),(VLOOKUP(B28,SEINFRA!A:D,4,0)))</f>
        <v>9.74</v>
      </c>
      <c r="G28" s="298">
        <f t="shared" ref="G28" si="2">ROUND(E28*F28,4)</f>
        <v>174.63820000000001</v>
      </c>
    </row>
    <row r="29" spans="1:7" x14ac:dyDescent="0.2">
      <c r="A29" s="309" t="s">
        <v>25</v>
      </c>
      <c r="B29" s="310" t="s">
        <v>16903</v>
      </c>
      <c r="C29" s="294" t="str">
        <f>IF(A29="SINAPI",VLOOKUP(B29,SINAPI!A:D,2,0),(VLOOKUP(B29,SEINFRA!A:D,2,0)))</f>
        <v>PARAFUSO DE AÇO COM PORCA E ARRUELA 1" x 10"</v>
      </c>
      <c r="D29" s="295" t="str">
        <f>IF(A29="SINAPI",VLOOKUP(B29,SINAPI!A:D,3,0),(VLOOKUP(B29,SEINFRA!A:D,3,0)))</f>
        <v>UN</v>
      </c>
      <c r="E29" s="311">
        <f>8</f>
        <v>8</v>
      </c>
      <c r="F29" s="297">
        <f>IF(A29="SINAPI",VLOOKUP(B29,SINAPI!A:D,4,0),(VLOOKUP(B29,SEINFRA!A:D,4,0)))</f>
        <v>22.52</v>
      </c>
      <c r="G29" s="298">
        <f t="shared" si="1"/>
        <v>180.16</v>
      </c>
    </row>
    <row r="30" spans="1:7" x14ac:dyDescent="0.2">
      <c r="A30" s="595" t="s">
        <v>39172</v>
      </c>
      <c r="B30" s="595"/>
      <c r="C30" s="595"/>
      <c r="D30" s="595"/>
      <c r="E30" s="595"/>
      <c r="F30" s="595"/>
      <c r="G30" s="517">
        <f>ROUND(SUM(G26:G29),4)</f>
        <v>2625.81</v>
      </c>
    </row>
    <row r="31" spans="1:7" x14ac:dyDescent="0.2">
      <c r="A31" s="594" t="s">
        <v>39215</v>
      </c>
      <c r="B31" s="594"/>
      <c r="C31" s="594"/>
      <c r="D31" s="594"/>
      <c r="E31" s="594"/>
      <c r="F31" s="594"/>
      <c r="G31" s="594"/>
    </row>
    <row r="32" spans="1:7" ht="38.25" x14ac:dyDescent="0.2">
      <c r="A32" s="312" t="s">
        <v>15</v>
      </c>
      <c r="B32" s="310">
        <v>92258</v>
      </c>
      <c r="C32" s="294" t="str">
        <f>IF(A32="SINAPI",VLOOKUP(B32,SINAPI!A:D,2,0),(VLOOKUP(B32,SEINFRA!A:D,2,0)))</f>
        <v>INSTALAÇÃO DE TESOURA (INTEIRA OU MEIA), EM AÇO, PARA VÃOS MAIORES OU IGUAIS A 10,0 M E MENORES QUE 12,0 M, INCLUSO IÇAMENTO. AF_07/2019</v>
      </c>
      <c r="D32" s="295" t="str">
        <f>IF(A32="SINAPI",VLOOKUP(B32,SINAPI!A:D,3,0),(VLOOKUP(B32,SEINFRA!A:D,3,0)))</f>
        <v>UN</v>
      </c>
      <c r="E32" s="311">
        <f>1</f>
        <v>1</v>
      </c>
      <c r="F32" s="297">
        <f>IF(A32="SINAPI",VLOOKUP(B32,SINAPI!A:D,4,0),(VLOOKUP(B32,SEINFRA!A:D,4,0)))</f>
        <v>353.84</v>
      </c>
      <c r="G32" s="298">
        <f t="shared" ref="G32" si="3">ROUND(E32*F32,4)</f>
        <v>353.84</v>
      </c>
    </row>
    <row r="33" spans="1:7" ht="25.5" x14ac:dyDescent="0.2">
      <c r="A33" s="312" t="s">
        <v>15</v>
      </c>
      <c r="B33" s="310">
        <v>100717</v>
      </c>
      <c r="C33" s="294" t="str">
        <f>IF(A33="SINAPI",VLOOKUP(B33,SINAPI!A:D,2,0),(VLOOKUP(B33,SEINFRA!A:D,2,0)))</f>
        <v>LIXAMENTO MANUAL EM SUPERFÍCIES METÁLICAS EM OBRA. AF_01/2020</v>
      </c>
      <c r="D33" s="295" t="str">
        <f>IF(A33="SINAPI",VLOOKUP(B33,SINAPI!A:D,3,0),(VLOOKUP(B33,SEINFRA!A:D,3,0)))</f>
        <v>M2</v>
      </c>
      <c r="E33" s="311">
        <f>8.53+8.57</f>
        <v>17.100000000000001</v>
      </c>
      <c r="F33" s="297">
        <f>IF(A33="SINAPI",VLOOKUP(B33,SINAPI!A:D,4,0),(VLOOKUP(B33,SEINFRA!A:D,4,0)))</f>
        <v>9.23</v>
      </c>
      <c r="G33" s="298">
        <f t="shared" ref="G33:G35" si="4">ROUND(E33*F33,4)</f>
        <v>157.833</v>
      </c>
    </row>
    <row r="34" spans="1:7" ht="38.25" x14ac:dyDescent="0.2">
      <c r="A34" s="312" t="s">
        <v>15</v>
      </c>
      <c r="B34" s="310">
        <v>100720</v>
      </c>
      <c r="C34" s="294" t="str">
        <f>IF(A34="SINAPI",VLOOKUP(B34,SINAPI!A:D,2,0),(VLOOKUP(B34,SEINFRA!A:D,2,0)))</f>
        <v>PINTURA COM TINTA ALQUÍDICA DE FUNDO (TIPO ZARCÃO) APLICADA A ROLO OU PINCEL SOBRE PERFIL METÁLICO EXECUTADO EM FÁBRICA (POR DEMÃO). AF_01/2020</v>
      </c>
      <c r="D34" s="295" t="str">
        <f>IF(A34="SINAPI",VLOOKUP(B34,SINAPI!A:D,3,0),(VLOOKUP(B34,SEINFRA!A:D,3,0)))</f>
        <v>M2</v>
      </c>
      <c r="E34" s="311">
        <f t="shared" ref="E34:E35" si="5">8.53+8.57</f>
        <v>17.100000000000001</v>
      </c>
      <c r="F34" s="297">
        <f>IF(A34="SINAPI",VLOOKUP(B34,SINAPI!A:D,4,0),(VLOOKUP(B34,SEINFRA!A:D,4,0)))</f>
        <v>10.75</v>
      </c>
      <c r="G34" s="298">
        <f t="shared" si="4"/>
        <v>183.82499999999999</v>
      </c>
    </row>
    <row r="35" spans="1:7" ht="51" x14ac:dyDescent="0.2">
      <c r="A35" s="312" t="s">
        <v>15</v>
      </c>
      <c r="B35" s="310">
        <v>100747</v>
      </c>
      <c r="C35" s="294" t="str">
        <f>IF(A35="SINAPI",VLOOKUP(B35,SINAPI!A:D,2,0),(VLOOKUP(B35,SEINFRA!A:D,2,0)))</f>
        <v>PINTURA COM TINTA ALQUÍDICA DE ACABAMENTO (ESMALTE SINTÉTICO FOSCO) PULVERIZADA SOBRE PERFIL METÁLICO EXECUTADO EM FÁBRICA (POR DEMÃO). AF_01/2020_PE</v>
      </c>
      <c r="D35" s="295" t="str">
        <f>IF(A35="SINAPI",VLOOKUP(B35,SINAPI!A:D,3,0),(VLOOKUP(B35,SEINFRA!A:D,3,0)))</f>
        <v>M2</v>
      </c>
      <c r="E35" s="311">
        <f t="shared" si="5"/>
        <v>17.100000000000001</v>
      </c>
      <c r="F35" s="297">
        <f>IF(A35="SINAPI",VLOOKUP(B35,SINAPI!A:D,4,0),(VLOOKUP(B35,SEINFRA!A:D,4,0)))</f>
        <v>10.69</v>
      </c>
      <c r="G35" s="298">
        <f t="shared" si="4"/>
        <v>182.79900000000001</v>
      </c>
    </row>
    <row r="36" spans="1:7" x14ac:dyDescent="0.2">
      <c r="A36" s="595" t="s">
        <v>39216</v>
      </c>
      <c r="B36" s="595"/>
      <c r="C36" s="595"/>
      <c r="D36" s="595"/>
      <c r="E36" s="595"/>
      <c r="F36" s="595"/>
      <c r="G36" s="517">
        <f>ROUND(SUM(G32:G35),4)</f>
        <v>878.29700000000003</v>
      </c>
    </row>
    <row r="37" spans="1:7" x14ac:dyDescent="0.2">
      <c r="A37" s="596"/>
      <c r="B37" s="596"/>
      <c r="C37" s="596"/>
      <c r="D37" s="596"/>
      <c r="E37" s="596"/>
      <c r="F37" s="596"/>
      <c r="G37" s="596"/>
    </row>
    <row r="38" spans="1:7" x14ac:dyDescent="0.2">
      <c r="A38" s="591" t="s">
        <v>39173</v>
      </c>
      <c r="B38" s="591"/>
      <c r="C38" s="591"/>
      <c r="D38" s="591"/>
      <c r="E38" s="591"/>
      <c r="F38" s="591"/>
      <c r="G38" s="524">
        <f>ROUND(SUM(G24,G30,G36),2)</f>
        <v>3568.56</v>
      </c>
    </row>
    <row r="39" spans="1:7" x14ac:dyDescent="0.2">
      <c r="A39" s="591" t="s">
        <v>39174</v>
      </c>
      <c r="B39" s="591"/>
      <c r="C39" s="591"/>
      <c r="D39" s="591"/>
      <c r="E39" s="591"/>
      <c r="F39" s="591"/>
      <c r="G39" s="525" t="s">
        <v>39175</v>
      </c>
    </row>
    <row r="40" spans="1:7" x14ac:dyDescent="0.2">
      <c r="A40" s="591" t="s">
        <v>39176</v>
      </c>
      <c r="B40" s="591"/>
      <c r="C40" s="591"/>
      <c r="D40" s="591"/>
      <c r="E40" s="591"/>
      <c r="F40" s="591"/>
      <c r="G40" s="524">
        <v>0</v>
      </c>
    </row>
    <row r="41" spans="1:7" x14ac:dyDescent="0.2">
      <c r="A41" s="592" t="s">
        <v>39177</v>
      </c>
      <c r="B41" s="592"/>
      <c r="C41" s="592"/>
      <c r="D41" s="592"/>
      <c r="E41" s="592"/>
      <c r="F41" s="592"/>
      <c r="G41" s="375">
        <f>G38</f>
        <v>3568.56</v>
      </c>
    </row>
    <row r="42" spans="1:7" x14ac:dyDescent="0.2">
      <c r="A42" s="304"/>
      <c r="B42" s="304"/>
      <c r="C42" s="305"/>
      <c r="D42" s="304"/>
      <c r="E42" s="304"/>
      <c r="F42" s="304"/>
      <c r="G42" s="526"/>
    </row>
    <row r="43" spans="1:7" x14ac:dyDescent="0.2">
      <c r="A43" s="593" t="str">
        <f>ORCAMENTO!A392</f>
        <v>BOA VIAGEM - CE, JULHO DE 2025</v>
      </c>
      <c r="B43" s="593"/>
      <c r="C43" s="593"/>
      <c r="D43" s="593"/>
      <c r="E43" s="593"/>
      <c r="F43" s="593"/>
      <c r="G43" s="593"/>
    </row>
  </sheetData>
  <mergeCells count="14">
    <mergeCell ref="A30:F30"/>
    <mergeCell ref="A2:G2"/>
    <mergeCell ref="B19:E19"/>
    <mergeCell ref="A21:G21"/>
    <mergeCell ref="A24:F24"/>
    <mergeCell ref="A25:G25"/>
    <mergeCell ref="A41:F41"/>
    <mergeCell ref="A43:G43"/>
    <mergeCell ref="A31:G31"/>
    <mergeCell ref="A36:F36"/>
    <mergeCell ref="A37:G37"/>
    <mergeCell ref="A38:F38"/>
    <mergeCell ref="A39:F39"/>
    <mergeCell ref="A40:F40"/>
  </mergeCells>
  <printOptions horizontalCentered="1"/>
  <pageMargins left="0.39370078740157483" right="0.39370078740157483" top="0.39370078740157483" bottom="0.78740157480314965" header="0.31496062992125984" footer="0.31496062992125984"/>
  <pageSetup paperSize="9" scale="76"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4877FB-D380-4AD2-876E-43608619D75B}">
  <dimension ref="A1:IV50"/>
  <sheetViews>
    <sheetView view="pageBreakPreview" zoomScale="145" zoomScaleNormal="100" zoomScaleSheetLayoutView="145" workbookViewId="0">
      <selection activeCell="A2" sqref="A2:C2"/>
    </sheetView>
  </sheetViews>
  <sheetFormatPr defaultColWidth="10.6640625" defaultRowHeight="12.75" x14ac:dyDescent="0.2"/>
  <cols>
    <col min="1" max="1" width="9.1640625" style="111" customWidth="1"/>
    <col min="2" max="2" width="88.33203125" style="111" customWidth="1"/>
    <col min="3" max="3" width="13.6640625" style="152" customWidth="1"/>
    <col min="4" max="4" width="5.5" style="111" customWidth="1"/>
    <col min="5" max="5" width="69.5" style="111" customWidth="1"/>
    <col min="6" max="8" width="15.1640625" style="111" bestFit="1" customWidth="1"/>
    <col min="9" max="9" width="3.33203125" style="111" customWidth="1"/>
    <col min="10" max="10" width="56" style="111" customWidth="1"/>
    <col min="11" max="13" width="13" style="111" bestFit="1" customWidth="1"/>
    <col min="14" max="231" width="10.6640625" style="111"/>
    <col min="232" max="232" width="7.33203125" style="111" customWidth="1"/>
    <col min="233" max="233" width="14.6640625" style="111" customWidth="1"/>
    <col min="234" max="234" width="10.1640625" style="111" customWidth="1"/>
    <col min="235" max="235" width="13.6640625" style="111" customWidth="1"/>
    <col min="236" max="236" width="10.6640625" style="111"/>
    <col min="237" max="237" width="3" style="111" customWidth="1"/>
    <col min="238" max="238" width="10.6640625" style="111"/>
    <col min="239" max="239" width="3.1640625" style="111" customWidth="1"/>
    <col min="240" max="16384" width="10.6640625" style="111"/>
  </cols>
  <sheetData>
    <row r="1" spans="1:253" s="97" customFormat="1" x14ac:dyDescent="0.2">
      <c r="A1" s="95"/>
      <c r="B1" s="95"/>
      <c r="C1" s="95"/>
      <c r="D1" s="95"/>
      <c r="E1" s="96"/>
      <c r="F1" s="96"/>
      <c r="G1" s="96"/>
      <c r="H1" s="96"/>
      <c r="I1" s="96"/>
      <c r="J1" s="96"/>
      <c r="K1" s="96"/>
      <c r="L1" s="9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c r="AN1" s="96"/>
      <c r="AO1" s="96"/>
      <c r="AP1" s="96"/>
      <c r="AQ1" s="96"/>
      <c r="AR1" s="96"/>
      <c r="AS1" s="96"/>
      <c r="AT1" s="96"/>
      <c r="AU1" s="96"/>
      <c r="AV1" s="96"/>
      <c r="AW1" s="96"/>
      <c r="AX1" s="96"/>
      <c r="AY1" s="96"/>
      <c r="AZ1" s="96"/>
      <c r="BA1" s="96"/>
      <c r="BB1" s="96"/>
      <c r="BC1" s="96"/>
      <c r="BD1" s="96"/>
      <c r="BE1" s="96"/>
      <c r="BF1" s="96"/>
      <c r="BG1" s="96"/>
      <c r="BH1" s="96"/>
      <c r="BI1" s="96"/>
      <c r="BJ1" s="96"/>
      <c r="BK1" s="96"/>
      <c r="BL1" s="96"/>
      <c r="BM1" s="96"/>
      <c r="BN1" s="96"/>
      <c r="BO1" s="96"/>
      <c r="BP1" s="96"/>
      <c r="BQ1" s="96"/>
      <c r="BR1" s="96"/>
      <c r="BS1" s="96"/>
      <c r="BT1" s="96"/>
      <c r="BU1" s="96"/>
      <c r="BV1" s="96"/>
      <c r="BW1" s="96"/>
      <c r="BX1" s="96"/>
      <c r="BY1" s="96"/>
      <c r="BZ1" s="96"/>
      <c r="CA1" s="96"/>
      <c r="CB1" s="96"/>
      <c r="CC1" s="96"/>
      <c r="CD1" s="96"/>
      <c r="CE1" s="96"/>
      <c r="CF1" s="96"/>
      <c r="CG1" s="96"/>
      <c r="CH1" s="96"/>
      <c r="CI1" s="96"/>
      <c r="CJ1" s="96"/>
      <c r="CK1" s="96"/>
      <c r="CL1" s="96"/>
      <c r="CM1" s="96"/>
      <c r="CN1" s="96"/>
      <c r="CO1" s="96"/>
      <c r="CP1" s="96"/>
      <c r="CQ1" s="96"/>
      <c r="CR1" s="96"/>
      <c r="CS1" s="96"/>
      <c r="CT1" s="96"/>
      <c r="CU1" s="96"/>
      <c r="CV1" s="96"/>
      <c r="CW1" s="96"/>
      <c r="CX1" s="96"/>
      <c r="CY1" s="96"/>
      <c r="CZ1" s="96"/>
      <c r="DA1" s="96"/>
      <c r="DB1" s="96"/>
      <c r="DC1" s="96"/>
      <c r="DD1" s="96"/>
      <c r="DE1" s="96"/>
      <c r="DF1" s="96"/>
      <c r="DG1" s="96"/>
      <c r="DH1" s="96"/>
      <c r="DI1" s="96"/>
      <c r="DJ1" s="96"/>
      <c r="DK1" s="96"/>
      <c r="DL1" s="96"/>
      <c r="DM1" s="96"/>
      <c r="DN1" s="96"/>
      <c r="DO1" s="96"/>
      <c r="DP1" s="96"/>
      <c r="DQ1" s="96"/>
      <c r="DR1" s="96"/>
      <c r="DS1" s="96"/>
      <c r="DT1" s="96"/>
      <c r="DU1" s="96"/>
      <c r="DV1" s="96"/>
      <c r="DW1" s="96"/>
      <c r="DX1" s="96"/>
      <c r="DY1" s="96"/>
      <c r="DZ1" s="96"/>
      <c r="EA1" s="96"/>
      <c r="EB1" s="96"/>
      <c r="EC1" s="96"/>
      <c r="ED1" s="96"/>
      <c r="EE1" s="96"/>
      <c r="EF1" s="96"/>
      <c r="EG1" s="96"/>
      <c r="EH1" s="96"/>
      <c r="EI1" s="96"/>
      <c r="EJ1" s="96"/>
      <c r="EK1" s="96"/>
      <c r="EL1" s="96"/>
      <c r="EM1" s="96"/>
      <c r="EN1" s="96"/>
      <c r="EO1" s="96"/>
      <c r="EP1" s="96"/>
      <c r="EQ1" s="96"/>
      <c r="ER1" s="96"/>
      <c r="ES1" s="96"/>
      <c r="ET1" s="96"/>
      <c r="EU1" s="96"/>
      <c r="EV1" s="96"/>
      <c r="EW1" s="96"/>
      <c r="EX1" s="96"/>
      <c r="EY1" s="96"/>
      <c r="EZ1" s="96"/>
      <c r="FA1" s="96"/>
      <c r="FB1" s="96"/>
      <c r="FC1" s="96"/>
      <c r="FD1" s="96"/>
      <c r="FE1" s="96"/>
      <c r="FF1" s="96"/>
      <c r="FG1" s="96"/>
      <c r="FH1" s="96"/>
      <c r="FI1" s="96"/>
      <c r="FJ1" s="96"/>
      <c r="FK1" s="96"/>
      <c r="FL1" s="96"/>
      <c r="FM1" s="96"/>
      <c r="FN1" s="96"/>
      <c r="FO1" s="96"/>
      <c r="FP1" s="96"/>
      <c r="FQ1" s="96"/>
      <c r="FR1" s="96"/>
      <c r="FS1" s="96"/>
      <c r="FT1" s="96"/>
      <c r="FU1" s="96"/>
      <c r="FV1" s="96"/>
      <c r="FW1" s="96"/>
      <c r="FX1" s="96"/>
      <c r="FY1" s="96"/>
      <c r="FZ1" s="96"/>
      <c r="GA1" s="96"/>
      <c r="GB1" s="96"/>
      <c r="GC1" s="96"/>
      <c r="GD1" s="96"/>
      <c r="GE1" s="96"/>
      <c r="GF1" s="96"/>
      <c r="GG1" s="96"/>
      <c r="GH1" s="96"/>
      <c r="GI1" s="96"/>
      <c r="GJ1" s="96"/>
      <c r="GK1" s="96"/>
      <c r="GL1" s="96"/>
      <c r="GM1" s="96"/>
      <c r="GN1" s="96"/>
      <c r="GO1" s="96"/>
      <c r="GP1" s="96"/>
      <c r="GQ1" s="96"/>
      <c r="GR1" s="96"/>
      <c r="GS1" s="96"/>
      <c r="GT1" s="96"/>
      <c r="GU1" s="96"/>
      <c r="GV1" s="96"/>
      <c r="GW1" s="96"/>
      <c r="GX1" s="96"/>
      <c r="GY1" s="96"/>
      <c r="GZ1" s="96"/>
      <c r="HA1" s="96"/>
      <c r="HB1" s="96"/>
      <c r="HC1" s="96"/>
      <c r="HD1" s="96"/>
      <c r="HE1" s="96"/>
      <c r="HF1" s="96"/>
      <c r="HG1" s="96"/>
      <c r="HH1" s="96"/>
      <c r="HI1" s="96"/>
      <c r="HJ1" s="96"/>
      <c r="HK1" s="96"/>
      <c r="HL1" s="96"/>
      <c r="HM1" s="96"/>
      <c r="HN1" s="96"/>
      <c r="HO1" s="96"/>
      <c r="HP1" s="96"/>
      <c r="HQ1" s="96"/>
      <c r="HR1" s="96"/>
      <c r="HS1" s="96"/>
      <c r="HT1" s="96"/>
      <c r="HU1" s="96"/>
      <c r="HV1" s="96"/>
      <c r="HW1" s="96"/>
      <c r="HX1" s="96"/>
      <c r="HY1" s="96"/>
      <c r="HZ1" s="96"/>
      <c r="IA1" s="96"/>
      <c r="IB1" s="96"/>
      <c r="IC1" s="96"/>
      <c r="ID1" s="96"/>
      <c r="IE1" s="96"/>
      <c r="IF1" s="96"/>
      <c r="IG1" s="96"/>
      <c r="IH1" s="96"/>
      <c r="II1" s="96"/>
      <c r="IJ1" s="96"/>
      <c r="IK1" s="96"/>
      <c r="IL1" s="96"/>
      <c r="IM1" s="96"/>
      <c r="IN1" s="96"/>
      <c r="IO1" s="96"/>
      <c r="IP1" s="96"/>
      <c r="IQ1" s="96"/>
      <c r="IR1" s="96"/>
      <c r="IS1" s="96"/>
    </row>
    <row r="2" spans="1:253" s="97" customFormat="1" x14ac:dyDescent="0.2">
      <c r="A2" s="597" t="str">
        <f>ORCAMENTO!A2</f>
        <v>INSTITUTO FEDERAL DE EDUCAÇÃO CIÊNCIA E TECNOLOGIA DO CEARÁ - CAMPUS BOA VIAGEM</v>
      </c>
      <c r="B2" s="597"/>
      <c r="C2" s="597"/>
      <c r="D2" s="95"/>
      <c r="E2" s="96"/>
      <c r="F2" s="96"/>
      <c r="G2" s="96"/>
      <c r="H2" s="96"/>
      <c r="I2" s="96"/>
      <c r="J2" s="96"/>
      <c r="K2" s="96"/>
      <c r="L2" s="96"/>
      <c r="M2" s="96"/>
      <c r="N2" s="96"/>
      <c r="O2" s="96"/>
      <c r="P2" s="96"/>
      <c r="Q2" s="96"/>
      <c r="R2" s="96"/>
      <c r="S2" s="96"/>
      <c r="T2" s="96"/>
      <c r="U2" s="96"/>
      <c r="V2" s="96"/>
      <c r="W2" s="96"/>
      <c r="X2" s="96"/>
      <c r="Y2" s="96"/>
      <c r="Z2" s="96"/>
      <c r="AA2" s="96"/>
      <c r="AB2" s="96"/>
      <c r="AC2" s="96"/>
      <c r="AD2" s="96"/>
      <c r="AE2" s="96"/>
      <c r="AF2" s="96"/>
      <c r="AG2" s="96"/>
      <c r="AH2" s="96"/>
      <c r="AI2" s="96"/>
      <c r="AJ2" s="96"/>
      <c r="AK2" s="96"/>
      <c r="AL2" s="96"/>
      <c r="AM2" s="96"/>
      <c r="AN2" s="96"/>
      <c r="AO2" s="96"/>
      <c r="AP2" s="96"/>
      <c r="AQ2" s="96"/>
      <c r="AR2" s="96"/>
      <c r="AS2" s="96"/>
      <c r="AT2" s="96"/>
      <c r="AU2" s="96"/>
      <c r="AV2" s="96"/>
      <c r="AW2" s="96"/>
      <c r="AX2" s="96"/>
      <c r="AY2" s="96"/>
      <c r="AZ2" s="96"/>
      <c r="BA2" s="96"/>
      <c r="BB2" s="96"/>
      <c r="BC2" s="96"/>
      <c r="BD2" s="96"/>
      <c r="BE2" s="96"/>
      <c r="BF2" s="96"/>
      <c r="BG2" s="96"/>
      <c r="BH2" s="96"/>
      <c r="BI2" s="96"/>
      <c r="BJ2" s="96"/>
      <c r="BK2" s="96"/>
      <c r="BL2" s="96"/>
      <c r="BM2" s="96"/>
      <c r="BN2" s="96"/>
      <c r="BO2" s="96"/>
      <c r="BP2" s="96"/>
      <c r="BQ2" s="96"/>
      <c r="BR2" s="96"/>
      <c r="BS2" s="96"/>
      <c r="BT2" s="96"/>
      <c r="BU2" s="96"/>
      <c r="BV2" s="96"/>
      <c r="BW2" s="96"/>
      <c r="BX2" s="96"/>
      <c r="BY2" s="96"/>
      <c r="BZ2" s="96"/>
      <c r="CA2" s="96"/>
      <c r="CB2" s="96"/>
      <c r="CC2" s="96"/>
      <c r="CD2" s="96"/>
      <c r="CE2" s="96"/>
      <c r="CF2" s="96"/>
      <c r="CG2" s="96"/>
      <c r="CH2" s="96"/>
      <c r="CI2" s="96"/>
      <c r="CJ2" s="96"/>
      <c r="CK2" s="96"/>
      <c r="CL2" s="96"/>
      <c r="CM2" s="96"/>
      <c r="CN2" s="96"/>
      <c r="CO2" s="96"/>
      <c r="CP2" s="96"/>
      <c r="CQ2" s="96"/>
      <c r="CR2" s="96"/>
      <c r="CS2" s="96"/>
      <c r="CT2" s="96"/>
      <c r="CU2" s="96"/>
      <c r="CV2" s="96"/>
      <c r="CW2" s="96"/>
      <c r="CX2" s="96"/>
      <c r="CY2" s="96"/>
      <c r="CZ2" s="96"/>
      <c r="DA2" s="96"/>
      <c r="DB2" s="96"/>
      <c r="DC2" s="96"/>
      <c r="DD2" s="96"/>
      <c r="DE2" s="96"/>
      <c r="DF2" s="96"/>
      <c r="DG2" s="96"/>
      <c r="DH2" s="96"/>
      <c r="DI2" s="96"/>
      <c r="DJ2" s="96"/>
      <c r="DK2" s="96"/>
      <c r="DL2" s="96"/>
      <c r="DM2" s="96"/>
      <c r="DN2" s="96"/>
      <c r="DO2" s="96"/>
      <c r="DP2" s="96"/>
      <c r="DQ2" s="96"/>
      <c r="DR2" s="96"/>
      <c r="DS2" s="96"/>
      <c r="DT2" s="96"/>
      <c r="DU2" s="96"/>
      <c r="DV2" s="96"/>
      <c r="DW2" s="96"/>
      <c r="DX2" s="96"/>
      <c r="DY2" s="96"/>
      <c r="DZ2" s="96"/>
      <c r="EA2" s="96"/>
      <c r="EB2" s="96"/>
      <c r="EC2" s="96"/>
      <c r="ED2" s="96"/>
      <c r="EE2" s="96"/>
      <c r="EF2" s="96"/>
      <c r="EG2" s="96"/>
      <c r="EH2" s="96"/>
      <c r="EI2" s="96"/>
      <c r="EJ2" s="96"/>
      <c r="EK2" s="96"/>
      <c r="EL2" s="96"/>
      <c r="EM2" s="96"/>
      <c r="EN2" s="96"/>
      <c r="EO2" s="96"/>
      <c r="EP2" s="96"/>
      <c r="EQ2" s="96"/>
      <c r="ER2" s="96"/>
      <c r="ES2" s="96"/>
      <c r="ET2" s="96"/>
      <c r="EU2" s="96"/>
      <c r="EV2" s="96"/>
      <c r="EW2" s="96"/>
      <c r="EX2" s="96"/>
      <c r="EY2" s="96"/>
      <c r="EZ2" s="96"/>
      <c r="FA2" s="96"/>
      <c r="FB2" s="96"/>
      <c r="FC2" s="96"/>
      <c r="FD2" s="96"/>
      <c r="FE2" s="96"/>
      <c r="FF2" s="96"/>
      <c r="FG2" s="96"/>
      <c r="FH2" s="96"/>
      <c r="FI2" s="96"/>
      <c r="FJ2" s="96"/>
      <c r="FK2" s="96"/>
      <c r="FL2" s="96"/>
      <c r="FM2" s="96"/>
      <c r="FN2" s="96"/>
      <c r="FO2" s="96"/>
      <c r="FP2" s="96"/>
      <c r="FQ2" s="96"/>
      <c r="FR2" s="96"/>
      <c r="FS2" s="96"/>
      <c r="FT2" s="96"/>
      <c r="FU2" s="96"/>
      <c r="FV2" s="96"/>
      <c r="FW2" s="96"/>
      <c r="FX2" s="96"/>
      <c r="FY2" s="96"/>
      <c r="FZ2" s="96"/>
      <c r="GA2" s="96"/>
      <c r="GB2" s="96"/>
      <c r="GC2" s="96"/>
      <c r="GD2" s="96"/>
      <c r="GE2" s="96"/>
      <c r="GF2" s="96"/>
      <c r="GG2" s="96"/>
      <c r="GH2" s="96"/>
      <c r="GI2" s="96"/>
      <c r="GJ2" s="96"/>
      <c r="GK2" s="96"/>
      <c r="GL2" s="96"/>
      <c r="GM2" s="96"/>
      <c r="GN2" s="96"/>
      <c r="GO2" s="96"/>
      <c r="GP2" s="96"/>
      <c r="GQ2" s="96"/>
      <c r="GR2" s="96"/>
      <c r="GS2" s="96"/>
      <c r="GT2" s="96"/>
      <c r="GU2" s="96"/>
      <c r="GV2" s="96"/>
      <c r="GW2" s="96"/>
      <c r="GX2" s="96"/>
      <c r="GY2" s="96"/>
      <c r="GZ2" s="96"/>
      <c r="HA2" s="96"/>
      <c r="HB2" s="96"/>
      <c r="HC2" s="96"/>
      <c r="HD2" s="96"/>
      <c r="HE2" s="96"/>
      <c r="HF2" s="96"/>
      <c r="HG2" s="96"/>
      <c r="HH2" s="96"/>
      <c r="HI2" s="96"/>
      <c r="HJ2" s="96"/>
      <c r="HK2" s="96"/>
      <c r="HL2" s="96"/>
      <c r="HM2" s="96"/>
      <c r="HN2" s="96"/>
      <c r="HO2" s="96"/>
      <c r="HP2" s="96"/>
      <c r="HQ2" s="96"/>
      <c r="HR2" s="96"/>
      <c r="HS2" s="96"/>
      <c r="HT2" s="96"/>
      <c r="HU2" s="96"/>
      <c r="HV2" s="96"/>
      <c r="HW2" s="96"/>
      <c r="HX2" s="96"/>
      <c r="HY2" s="96"/>
      <c r="HZ2" s="96"/>
      <c r="IA2" s="96"/>
      <c r="IB2" s="96"/>
      <c r="IC2" s="96"/>
      <c r="ID2" s="96"/>
      <c r="IE2" s="96"/>
      <c r="IF2" s="96"/>
      <c r="IG2" s="96"/>
      <c r="IH2" s="96"/>
      <c r="II2" s="96"/>
      <c r="IJ2" s="96"/>
      <c r="IK2" s="96"/>
      <c r="IL2" s="96"/>
      <c r="IM2" s="96"/>
      <c r="IN2" s="96"/>
      <c r="IO2" s="96"/>
      <c r="IP2" s="96"/>
      <c r="IQ2" s="96"/>
      <c r="IR2" s="96"/>
      <c r="IS2" s="96"/>
    </row>
    <row r="3" spans="1:253" s="97" customFormat="1" x14ac:dyDescent="0.2">
      <c r="A3" s="163"/>
      <c r="B3" s="99"/>
      <c r="C3" s="99"/>
      <c r="D3" s="99"/>
      <c r="E3" s="96"/>
      <c r="F3" s="96"/>
      <c r="G3" s="96"/>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c r="AU3" s="96"/>
      <c r="AV3" s="96"/>
      <c r="AW3" s="96"/>
      <c r="AX3" s="96"/>
      <c r="AY3" s="96"/>
      <c r="AZ3" s="96"/>
      <c r="BA3" s="96"/>
      <c r="BB3" s="96"/>
      <c r="BC3" s="96"/>
      <c r="BD3" s="96"/>
      <c r="BE3" s="96"/>
      <c r="BF3" s="96"/>
      <c r="BG3" s="96"/>
      <c r="BH3" s="96"/>
      <c r="BI3" s="96"/>
      <c r="BJ3" s="96"/>
      <c r="BK3" s="96"/>
      <c r="BL3" s="96"/>
      <c r="BM3" s="96"/>
      <c r="BN3" s="96"/>
      <c r="BO3" s="96"/>
      <c r="BP3" s="96"/>
      <c r="BQ3" s="96"/>
      <c r="BR3" s="96"/>
      <c r="BS3" s="96"/>
      <c r="BT3" s="96"/>
      <c r="BU3" s="96"/>
      <c r="BV3" s="96"/>
      <c r="BW3" s="96"/>
      <c r="BX3" s="96"/>
      <c r="BY3" s="96"/>
      <c r="BZ3" s="96"/>
      <c r="CA3" s="96"/>
      <c r="CB3" s="96"/>
      <c r="CC3" s="96"/>
      <c r="CD3" s="96"/>
      <c r="CE3" s="96"/>
      <c r="CF3" s="96"/>
      <c r="CG3" s="96"/>
      <c r="CH3" s="96"/>
      <c r="CI3" s="96"/>
      <c r="CJ3" s="96"/>
      <c r="CK3" s="96"/>
      <c r="CL3" s="96"/>
      <c r="CM3" s="96"/>
      <c r="CN3" s="96"/>
      <c r="CO3" s="96"/>
      <c r="CP3" s="96"/>
      <c r="CQ3" s="96"/>
      <c r="CR3" s="96"/>
      <c r="CS3" s="96"/>
      <c r="CT3" s="96"/>
      <c r="CU3" s="96"/>
      <c r="CV3" s="96"/>
      <c r="CW3" s="96"/>
      <c r="CX3" s="96"/>
      <c r="CY3" s="96"/>
      <c r="CZ3" s="96"/>
      <c r="DA3" s="96"/>
      <c r="DB3" s="96"/>
      <c r="DC3" s="96"/>
      <c r="DD3" s="96"/>
      <c r="DE3" s="96"/>
      <c r="DF3" s="96"/>
      <c r="DG3" s="96"/>
      <c r="DH3" s="96"/>
      <c r="DI3" s="96"/>
      <c r="DJ3" s="96"/>
      <c r="DK3" s="96"/>
      <c r="DL3" s="96"/>
      <c r="DM3" s="96"/>
      <c r="DN3" s="96"/>
      <c r="DO3" s="96"/>
      <c r="DP3" s="96"/>
      <c r="DQ3" s="96"/>
      <c r="DR3" s="96"/>
      <c r="DS3" s="96"/>
      <c r="DT3" s="96"/>
      <c r="DU3" s="96"/>
      <c r="DV3" s="96"/>
      <c r="DW3" s="96"/>
      <c r="DX3" s="96"/>
      <c r="DY3" s="96"/>
      <c r="DZ3" s="96"/>
      <c r="EA3" s="96"/>
      <c r="EB3" s="96"/>
      <c r="EC3" s="96"/>
      <c r="ED3" s="96"/>
      <c r="EE3" s="96"/>
      <c r="EF3" s="96"/>
      <c r="EG3" s="96"/>
      <c r="EH3" s="96"/>
      <c r="EI3" s="96"/>
      <c r="EJ3" s="96"/>
      <c r="EK3" s="96"/>
      <c r="EL3" s="96"/>
      <c r="EM3" s="96"/>
      <c r="EN3" s="96"/>
      <c r="EO3" s="96"/>
      <c r="EP3" s="96"/>
      <c r="EQ3" s="96"/>
      <c r="ER3" s="96"/>
      <c r="ES3" s="96"/>
      <c r="ET3" s="96"/>
      <c r="EU3" s="96"/>
      <c r="EV3" s="96"/>
      <c r="EW3" s="96"/>
      <c r="EX3" s="96"/>
      <c r="EY3" s="96"/>
      <c r="EZ3" s="96"/>
      <c r="FA3" s="96"/>
      <c r="FB3" s="96"/>
      <c r="FC3" s="96"/>
      <c r="FD3" s="96"/>
      <c r="FE3" s="96"/>
      <c r="FF3" s="96"/>
      <c r="FG3" s="96"/>
      <c r="FH3" s="96"/>
      <c r="FI3" s="96"/>
      <c r="FJ3" s="96"/>
      <c r="FK3" s="96"/>
      <c r="FL3" s="96"/>
      <c r="FM3" s="96"/>
      <c r="FN3" s="96"/>
      <c r="FO3" s="96"/>
      <c r="FP3" s="96"/>
      <c r="FQ3" s="96"/>
      <c r="FR3" s="96"/>
      <c r="FS3" s="96"/>
      <c r="FT3" s="96"/>
      <c r="FU3" s="96"/>
      <c r="FV3" s="96"/>
      <c r="FW3" s="96"/>
      <c r="FX3" s="96"/>
      <c r="FY3" s="96"/>
      <c r="FZ3" s="96"/>
      <c r="GA3" s="96"/>
      <c r="GB3" s="96"/>
      <c r="GC3" s="96"/>
      <c r="GD3" s="96"/>
      <c r="GE3" s="96"/>
      <c r="GF3" s="96"/>
      <c r="GG3" s="96"/>
      <c r="GH3" s="96"/>
      <c r="GI3" s="96"/>
      <c r="GJ3" s="96"/>
      <c r="GK3" s="96"/>
      <c r="GL3" s="96"/>
      <c r="GM3" s="96"/>
      <c r="GN3" s="96"/>
      <c r="GO3" s="96"/>
      <c r="GP3" s="96"/>
      <c r="GQ3" s="96"/>
      <c r="GR3" s="96"/>
      <c r="GS3" s="96"/>
      <c r="GT3" s="96"/>
      <c r="GU3" s="96"/>
      <c r="GV3" s="96"/>
      <c r="GW3" s="96"/>
      <c r="GX3" s="96"/>
      <c r="GY3" s="96"/>
      <c r="GZ3" s="96"/>
      <c r="HA3" s="96"/>
      <c r="HB3" s="96"/>
      <c r="HC3" s="96"/>
      <c r="HD3" s="96"/>
      <c r="HE3" s="96"/>
      <c r="HF3" s="96"/>
      <c r="HG3" s="96"/>
      <c r="HH3" s="96"/>
      <c r="HI3" s="96"/>
      <c r="HJ3" s="96"/>
      <c r="HK3" s="96"/>
      <c r="HL3" s="96"/>
      <c r="HM3" s="96"/>
      <c r="HN3" s="96"/>
      <c r="HO3" s="96"/>
      <c r="HP3" s="96"/>
      <c r="HQ3" s="96"/>
      <c r="HR3" s="96"/>
      <c r="HS3" s="96"/>
      <c r="HT3" s="96"/>
      <c r="HU3" s="96"/>
      <c r="HV3" s="96"/>
      <c r="HW3" s="96"/>
      <c r="HX3" s="96"/>
      <c r="HY3" s="96"/>
      <c r="HZ3" s="96"/>
      <c r="IA3" s="96"/>
      <c r="IB3" s="96"/>
      <c r="IC3" s="96"/>
      <c r="ID3" s="96"/>
      <c r="IE3" s="96"/>
      <c r="IF3" s="96"/>
      <c r="IG3" s="96"/>
      <c r="IH3" s="96"/>
      <c r="II3" s="96"/>
      <c r="IJ3" s="96"/>
      <c r="IK3" s="96"/>
      <c r="IL3" s="96"/>
      <c r="IM3" s="96"/>
      <c r="IN3" s="96"/>
      <c r="IO3" s="96"/>
      <c r="IP3" s="96"/>
      <c r="IQ3" s="96"/>
      <c r="IR3" s="96"/>
      <c r="IS3" s="96"/>
    </row>
    <row r="4" spans="1:253" s="96" customFormat="1" x14ac:dyDescent="0.2">
      <c r="A4" s="163" t="str">
        <f>ORCAMENTO!A4</f>
        <v>OBRA:</v>
      </c>
      <c r="B4" s="98"/>
      <c r="C4" s="98"/>
      <c r="D4" s="100"/>
    </row>
    <row r="5" spans="1:253" s="97" customFormat="1" x14ac:dyDescent="0.2">
      <c r="A5" s="112" t="str">
        <f>ORCAMENTO!A5</f>
        <v>CENTRO DE INOVAÇÃO E DIFUSÃO DE TECNOLOGIA PARA O SEMIÁRIDO - CAMPUS BOA VIAGEM</v>
      </c>
      <c r="B5" s="102"/>
      <c r="C5" s="102"/>
      <c r="D5" s="101"/>
    </row>
    <row r="6" spans="1:253" s="97" customFormat="1" x14ac:dyDescent="0.2">
      <c r="A6" s="163" t="str">
        <f>ORCAMENTO!A6</f>
        <v>LOCAL:</v>
      </c>
      <c r="B6" s="102"/>
      <c r="C6" s="102"/>
      <c r="D6" s="101"/>
    </row>
    <row r="7" spans="1:253" s="97" customFormat="1" x14ac:dyDescent="0.2">
      <c r="A7" s="112" t="str">
        <f>ORCAMENTO!A7</f>
        <v>SEDE DO MUNICÍPIO</v>
      </c>
      <c r="B7" s="102"/>
      <c r="C7" s="102"/>
      <c r="D7" s="101"/>
    </row>
    <row r="8" spans="1:253" s="96" customFormat="1" x14ac:dyDescent="0.2">
      <c r="A8" s="163" t="str">
        <f>ORCAMENTO!A8</f>
        <v>MUNICÍPIO:</v>
      </c>
      <c r="B8" s="98"/>
      <c r="C8" s="98"/>
      <c r="D8" s="100"/>
    </row>
    <row r="9" spans="1:253" s="97" customFormat="1" x14ac:dyDescent="0.2">
      <c r="A9" s="112" t="str">
        <f>ORCAMENTO!A9</f>
        <v>BOA VIAGEM - CE</v>
      </c>
      <c r="B9" s="102"/>
      <c r="C9" s="102"/>
      <c r="D9" s="100"/>
    </row>
    <row r="10" spans="1:253" s="96" customFormat="1" x14ac:dyDescent="0.2">
      <c r="A10" s="163"/>
      <c r="B10" s="98"/>
      <c r="C10" s="98"/>
      <c r="D10" s="100"/>
    </row>
    <row r="11" spans="1:253" s="97" customFormat="1" x14ac:dyDescent="0.2">
      <c r="A11" s="163" t="str">
        <f>ORCAMENTO!A11</f>
        <v>FONTE DOS PREÇOS:</v>
      </c>
      <c r="B11" s="102"/>
      <c r="C11" s="102"/>
      <c r="D11" s="101"/>
    </row>
    <row r="12" spans="1:253" s="97" customFormat="1" x14ac:dyDescent="0.2">
      <c r="A12" s="112" t="str">
        <f>ORCAMENTO!A12</f>
        <v>TABELA SEINFRA 028.1 DESONERADA</v>
      </c>
      <c r="B12" s="102"/>
      <c r="C12" s="102"/>
      <c r="D12" s="101"/>
    </row>
    <row r="13" spans="1:253" s="97" customFormat="1" x14ac:dyDescent="0.2">
      <c r="A13" s="112"/>
      <c r="B13" s="112" t="str">
        <f>ORCAMENTO!B13</f>
        <v>DATA REFERÊNCIA TÉCNICA: 10/2023</v>
      </c>
      <c r="C13" s="102"/>
      <c r="D13" s="101"/>
    </row>
    <row r="14" spans="1:253" s="96" customFormat="1" x14ac:dyDescent="0.2">
      <c r="A14" s="112"/>
      <c r="B14" s="112" t="str">
        <f>ORCAMENTO!B14</f>
        <v>ENCARGOS SOCIAIS: 84,44% (HORA) - 47,48% (MÊS)</v>
      </c>
      <c r="C14" s="98"/>
      <c r="D14" s="100"/>
    </row>
    <row r="15" spans="1:253" s="97" customFormat="1" x14ac:dyDescent="0.2">
      <c r="A15" s="112" t="str">
        <f>ORCAMENTO!A15</f>
        <v>TABELA SINAPI 06/2025 DESONERADA</v>
      </c>
      <c r="B15" s="101"/>
      <c r="C15" s="102"/>
      <c r="D15" s="101"/>
    </row>
    <row r="16" spans="1:253" s="97" customFormat="1" x14ac:dyDescent="0.2">
      <c r="A16" s="112"/>
      <c r="B16" s="112" t="str">
        <f>ORCAMENTO!B16</f>
        <v>DATA REFERÊNCIA TÉCNICA: 06/2025</v>
      </c>
      <c r="C16" s="102"/>
      <c r="D16" s="101"/>
    </row>
    <row r="17" spans="1:256" s="97" customFormat="1" x14ac:dyDescent="0.2">
      <c r="A17" s="112"/>
      <c r="B17" s="112" t="str">
        <f>ORCAMENTO!B17</f>
        <v>ENCARGOS SOCIAIS: 92,17% (HORA) - 53,50% (MÊS)</v>
      </c>
      <c r="C17" s="102"/>
      <c r="D17" s="101"/>
      <c r="E17" s="37"/>
      <c r="F17" s="103"/>
    </row>
    <row r="18" spans="1:256" s="101" customFormat="1" x14ac:dyDescent="0.2">
      <c r="C18" s="104"/>
      <c r="D18" s="105"/>
      <c r="E18" s="106"/>
    </row>
    <row r="19" spans="1:256" s="108" customFormat="1" x14ac:dyDescent="0.2">
      <c r="A19" s="631" t="s">
        <v>38502</v>
      </c>
      <c r="B19" s="632"/>
      <c r="C19" s="633"/>
      <c r="D19" s="107"/>
      <c r="E19" s="107" t="s">
        <v>38459</v>
      </c>
      <c r="F19" s="107"/>
      <c r="G19" s="107"/>
      <c r="H19" s="107"/>
      <c r="I19" s="107"/>
      <c r="J19" s="107"/>
      <c r="K19" s="107"/>
      <c r="L19" s="107"/>
      <c r="M19" s="107"/>
      <c r="N19" s="107"/>
      <c r="O19" s="107"/>
      <c r="P19" s="107"/>
      <c r="Q19" s="107"/>
      <c r="R19" s="107"/>
      <c r="S19" s="107"/>
      <c r="T19" s="107"/>
      <c r="U19" s="107"/>
      <c r="V19" s="107"/>
      <c r="W19" s="107"/>
      <c r="X19" s="107"/>
      <c r="Y19" s="107"/>
      <c r="Z19" s="107"/>
      <c r="AA19" s="107"/>
      <c r="AB19" s="107"/>
      <c r="AC19" s="107"/>
      <c r="AD19" s="107"/>
      <c r="AE19" s="107"/>
      <c r="AF19" s="107"/>
      <c r="AG19" s="107"/>
      <c r="AH19" s="107"/>
      <c r="AI19" s="107"/>
      <c r="AJ19" s="107"/>
      <c r="AK19" s="107"/>
      <c r="AL19" s="107"/>
      <c r="AM19" s="107"/>
      <c r="AN19" s="107"/>
      <c r="AO19" s="107"/>
      <c r="AP19" s="107"/>
      <c r="AQ19" s="107"/>
      <c r="AR19" s="107"/>
      <c r="AS19" s="107"/>
      <c r="AT19" s="107"/>
      <c r="AU19" s="107"/>
      <c r="AV19" s="107"/>
      <c r="AW19" s="107"/>
      <c r="AX19" s="107"/>
      <c r="AY19" s="107"/>
      <c r="AZ19" s="107"/>
      <c r="BA19" s="107"/>
      <c r="BB19" s="107"/>
      <c r="BC19" s="107"/>
      <c r="BD19" s="107"/>
      <c r="BE19" s="107"/>
      <c r="BF19" s="107"/>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c r="CU19" s="107"/>
      <c r="CV19" s="107"/>
      <c r="CW19" s="107"/>
      <c r="CX19" s="107"/>
      <c r="CY19" s="107"/>
      <c r="CZ19" s="107"/>
      <c r="DA19" s="107"/>
      <c r="DB19" s="107"/>
      <c r="DC19" s="107"/>
      <c r="DD19" s="107"/>
      <c r="DE19" s="107"/>
      <c r="DF19" s="107"/>
      <c r="DG19" s="107"/>
      <c r="DH19" s="107"/>
      <c r="DI19" s="107"/>
      <c r="DJ19" s="107"/>
      <c r="DK19" s="107"/>
      <c r="DL19" s="107"/>
      <c r="DM19" s="107"/>
      <c r="DN19" s="107"/>
      <c r="DO19" s="107"/>
      <c r="DP19" s="107"/>
      <c r="DQ19" s="107"/>
      <c r="DR19" s="107"/>
      <c r="DS19" s="107"/>
      <c r="DT19" s="107"/>
      <c r="DU19" s="107"/>
      <c r="DV19" s="107"/>
      <c r="DW19" s="107"/>
      <c r="DX19" s="107"/>
      <c r="DY19" s="107"/>
      <c r="DZ19" s="107"/>
      <c r="EA19" s="107"/>
      <c r="EB19" s="107"/>
      <c r="EC19" s="107"/>
      <c r="ED19" s="107"/>
      <c r="EE19" s="107"/>
      <c r="EF19" s="107"/>
      <c r="EG19" s="107"/>
      <c r="EH19" s="107"/>
      <c r="EI19" s="107"/>
      <c r="EJ19" s="107"/>
      <c r="EK19" s="107"/>
      <c r="EL19" s="107"/>
      <c r="EM19" s="107"/>
      <c r="EN19" s="107"/>
      <c r="EO19" s="107"/>
      <c r="EP19" s="107"/>
      <c r="EQ19" s="107"/>
      <c r="ER19" s="107"/>
      <c r="ES19" s="107"/>
      <c r="ET19" s="107"/>
      <c r="EU19" s="107"/>
      <c r="EV19" s="107"/>
      <c r="EW19" s="107"/>
      <c r="EX19" s="107"/>
      <c r="EY19" s="107"/>
      <c r="EZ19" s="107"/>
      <c r="FA19" s="107"/>
      <c r="FB19" s="107"/>
      <c r="FC19" s="107"/>
      <c r="FD19" s="107"/>
      <c r="FE19" s="107"/>
      <c r="FF19" s="107"/>
      <c r="FG19" s="107"/>
      <c r="FH19" s="107"/>
      <c r="FI19" s="107"/>
      <c r="FJ19" s="107"/>
      <c r="FK19" s="107"/>
      <c r="FL19" s="107"/>
      <c r="FM19" s="107"/>
      <c r="FN19" s="107"/>
      <c r="FO19" s="107"/>
      <c r="FP19" s="107"/>
      <c r="FQ19" s="107"/>
      <c r="FR19" s="107"/>
      <c r="FS19" s="107"/>
      <c r="FT19" s="107"/>
      <c r="FU19" s="107"/>
      <c r="FV19" s="107"/>
      <c r="FW19" s="107"/>
      <c r="FX19" s="107"/>
      <c r="FY19" s="107"/>
      <c r="FZ19" s="107"/>
      <c r="GA19" s="107"/>
      <c r="GB19" s="107"/>
      <c r="GC19" s="107"/>
      <c r="GD19" s="107"/>
      <c r="GE19" s="107"/>
      <c r="GF19" s="107"/>
      <c r="GG19" s="107"/>
      <c r="GH19" s="107"/>
      <c r="GI19" s="107"/>
      <c r="GJ19" s="107"/>
      <c r="GK19" s="107"/>
      <c r="GL19" s="107"/>
      <c r="GM19" s="107"/>
      <c r="GN19" s="107"/>
      <c r="GO19" s="107"/>
      <c r="GP19" s="107"/>
      <c r="GQ19" s="107"/>
      <c r="GR19" s="107"/>
      <c r="GS19" s="107"/>
      <c r="GT19" s="107"/>
      <c r="GU19" s="107"/>
      <c r="GV19" s="107"/>
      <c r="GW19" s="107"/>
      <c r="GX19" s="107"/>
      <c r="GY19" s="107"/>
      <c r="GZ19" s="107"/>
      <c r="HA19" s="107"/>
      <c r="HB19" s="107"/>
      <c r="HC19" s="107"/>
      <c r="HD19" s="107"/>
      <c r="HE19" s="107"/>
      <c r="HF19" s="107"/>
      <c r="HG19" s="107"/>
      <c r="HH19" s="107"/>
      <c r="HI19" s="107"/>
      <c r="HJ19" s="107"/>
      <c r="HK19" s="107"/>
      <c r="HL19" s="107"/>
      <c r="HM19" s="107"/>
      <c r="HN19" s="107"/>
      <c r="HO19" s="107"/>
      <c r="HP19" s="107"/>
      <c r="HQ19" s="107"/>
      <c r="HR19" s="107"/>
      <c r="HS19" s="107"/>
      <c r="HT19" s="107"/>
      <c r="HU19" s="107"/>
      <c r="HV19" s="107"/>
      <c r="HW19" s="107"/>
      <c r="HX19" s="107"/>
      <c r="HY19" s="107"/>
      <c r="HZ19" s="107"/>
      <c r="IA19" s="107"/>
      <c r="IB19" s="107"/>
      <c r="IC19" s="107"/>
      <c r="ID19" s="107"/>
      <c r="IE19" s="107"/>
      <c r="IF19" s="107"/>
      <c r="IG19" s="107"/>
      <c r="IH19" s="107"/>
      <c r="II19" s="107"/>
      <c r="IJ19" s="107"/>
      <c r="IK19" s="107"/>
      <c r="IL19" s="107"/>
      <c r="IM19" s="107"/>
      <c r="IN19" s="107"/>
      <c r="IO19" s="107"/>
      <c r="IP19" s="107"/>
      <c r="IQ19" s="107"/>
      <c r="IR19" s="107"/>
      <c r="IS19" s="107"/>
      <c r="IT19" s="107"/>
      <c r="IU19" s="107"/>
      <c r="IV19" s="107"/>
    </row>
    <row r="20" spans="1:256" x14ac:dyDescent="0.2">
      <c r="A20" s="109" t="s">
        <v>38460</v>
      </c>
      <c r="B20" s="109" t="s">
        <v>5917</v>
      </c>
      <c r="C20" s="110" t="s">
        <v>38461</v>
      </c>
      <c r="E20" s="112" t="s">
        <v>38462</v>
      </c>
    </row>
    <row r="21" spans="1:256" s="116" customFormat="1" x14ac:dyDescent="0.2">
      <c r="A21" s="113"/>
      <c r="B21" s="114" t="s">
        <v>38463</v>
      </c>
      <c r="C21" s="113"/>
      <c r="D21" s="115"/>
      <c r="E21" s="115" t="s">
        <v>38464</v>
      </c>
      <c r="F21" s="115"/>
      <c r="G21" s="115"/>
      <c r="H21" s="115"/>
      <c r="I21" s="115"/>
      <c r="J21" s="115"/>
      <c r="K21" s="115"/>
      <c r="L21" s="115"/>
      <c r="M21" s="115"/>
      <c r="N21" s="115"/>
      <c r="O21" s="115"/>
      <c r="P21" s="115"/>
      <c r="Q21" s="115"/>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c r="AO21" s="115"/>
      <c r="AP21" s="115"/>
      <c r="AQ21" s="115"/>
      <c r="AR21" s="115"/>
      <c r="AS21" s="115"/>
      <c r="AT21" s="115"/>
      <c r="AU21" s="115"/>
      <c r="AV21" s="115"/>
      <c r="AW21" s="115"/>
      <c r="AX21" s="115"/>
      <c r="AY21" s="115"/>
      <c r="AZ21" s="115"/>
      <c r="BA21" s="115"/>
      <c r="BB21" s="115"/>
      <c r="BC21" s="115"/>
      <c r="BD21" s="115"/>
      <c r="BE21" s="115"/>
      <c r="BF21" s="115"/>
      <c r="BG21" s="115"/>
      <c r="BH21" s="115"/>
      <c r="BI21" s="115"/>
      <c r="BJ21" s="115"/>
      <c r="BK21" s="115"/>
      <c r="BL21" s="115"/>
      <c r="BM21" s="115"/>
      <c r="BN21" s="115"/>
      <c r="BO21" s="115"/>
      <c r="BP21" s="115"/>
      <c r="BQ21" s="115"/>
      <c r="BR21" s="115"/>
      <c r="BS21" s="115"/>
      <c r="BT21" s="115"/>
      <c r="BU21" s="115"/>
      <c r="BV21" s="115"/>
      <c r="BW21" s="115"/>
      <c r="BX21" s="115"/>
      <c r="BY21" s="115"/>
      <c r="BZ21" s="115"/>
      <c r="CA21" s="115"/>
      <c r="CB21" s="115"/>
      <c r="CC21" s="115"/>
      <c r="CD21" s="115"/>
      <c r="CE21" s="115"/>
      <c r="CF21" s="115"/>
      <c r="CG21" s="115"/>
      <c r="CH21" s="115"/>
      <c r="CI21" s="115"/>
      <c r="CJ21" s="115"/>
      <c r="CK21" s="115"/>
      <c r="CL21" s="115"/>
      <c r="CM21" s="115"/>
      <c r="CN21" s="115"/>
      <c r="CO21" s="115"/>
      <c r="CP21" s="115"/>
      <c r="CQ21" s="115"/>
      <c r="CR21" s="115"/>
      <c r="CS21" s="115"/>
      <c r="CT21" s="115"/>
      <c r="CU21" s="115"/>
      <c r="CV21" s="115"/>
      <c r="CW21" s="115"/>
      <c r="CX21" s="115"/>
      <c r="CY21" s="115"/>
      <c r="CZ21" s="115"/>
      <c r="DA21" s="115"/>
      <c r="DB21" s="115"/>
      <c r="DC21" s="115"/>
      <c r="DD21" s="115"/>
      <c r="DE21" s="115"/>
      <c r="DF21" s="115"/>
      <c r="DG21" s="115"/>
      <c r="DH21" s="115"/>
      <c r="DI21" s="115"/>
      <c r="DJ21" s="115"/>
      <c r="DK21" s="115"/>
      <c r="DL21" s="115"/>
      <c r="DM21" s="115"/>
      <c r="DN21" s="115"/>
      <c r="DO21" s="115"/>
      <c r="DP21" s="115"/>
      <c r="DQ21" s="115"/>
      <c r="DR21" s="115"/>
      <c r="DS21" s="115"/>
      <c r="DT21" s="115"/>
      <c r="DU21" s="115"/>
      <c r="DV21" s="115"/>
      <c r="DW21" s="115"/>
      <c r="DX21" s="115"/>
      <c r="DY21" s="115"/>
      <c r="DZ21" s="115"/>
      <c r="EA21" s="115"/>
      <c r="EB21" s="115"/>
      <c r="EC21" s="115"/>
      <c r="ED21" s="115"/>
      <c r="EE21" s="115"/>
      <c r="EF21" s="115"/>
      <c r="EG21" s="115"/>
      <c r="EH21" s="115"/>
      <c r="EI21" s="115"/>
      <c r="EJ21" s="115"/>
      <c r="EK21" s="115"/>
      <c r="EL21" s="115"/>
      <c r="EM21" s="115"/>
      <c r="EN21" s="115"/>
      <c r="EO21" s="115"/>
      <c r="EP21" s="115"/>
      <c r="EQ21" s="115"/>
      <c r="ER21" s="115"/>
      <c r="ES21" s="115"/>
      <c r="ET21" s="115"/>
      <c r="EU21" s="115"/>
      <c r="EV21" s="115"/>
      <c r="EW21" s="115"/>
      <c r="EX21" s="115"/>
      <c r="EY21" s="115"/>
      <c r="EZ21" s="115"/>
      <c r="FA21" s="115"/>
      <c r="FB21" s="115"/>
      <c r="FC21" s="115"/>
      <c r="FD21" s="115"/>
      <c r="FE21" s="115"/>
      <c r="FF21" s="115"/>
      <c r="FG21" s="115"/>
      <c r="FH21" s="115"/>
      <c r="FI21" s="115"/>
      <c r="FJ21" s="115"/>
      <c r="FK21" s="115"/>
      <c r="FL21" s="115"/>
      <c r="FM21" s="115"/>
      <c r="FN21" s="115"/>
      <c r="FO21" s="115"/>
      <c r="FP21" s="115"/>
      <c r="FQ21" s="115"/>
      <c r="FR21" s="115"/>
      <c r="FS21" s="115"/>
      <c r="FT21" s="115"/>
      <c r="FU21" s="115"/>
      <c r="FV21" s="115"/>
      <c r="FW21" s="115"/>
      <c r="FX21" s="115"/>
      <c r="FY21" s="115"/>
      <c r="FZ21" s="115"/>
      <c r="GA21" s="115"/>
      <c r="GB21" s="115"/>
      <c r="GC21" s="115"/>
      <c r="GD21" s="115"/>
      <c r="GE21" s="115"/>
      <c r="GF21" s="115"/>
      <c r="GG21" s="115"/>
      <c r="GH21" s="115"/>
      <c r="GI21" s="115"/>
      <c r="GJ21" s="115"/>
      <c r="GK21" s="115"/>
      <c r="GL21" s="115"/>
      <c r="GM21" s="115"/>
      <c r="GN21" s="115"/>
      <c r="GO21" s="115"/>
      <c r="GP21" s="115"/>
      <c r="GQ21" s="115"/>
      <c r="GR21" s="115"/>
      <c r="GS21" s="115"/>
      <c r="GT21" s="115"/>
      <c r="GU21" s="115"/>
      <c r="GV21" s="115"/>
      <c r="GW21" s="115"/>
      <c r="GX21" s="115"/>
      <c r="GY21" s="115"/>
      <c r="GZ21" s="115"/>
      <c r="HA21" s="115"/>
      <c r="HB21" s="115"/>
      <c r="HC21" s="115"/>
      <c r="HD21" s="115"/>
      <c r="HE21" s="115"/>
      <c r="HF21" s="115"/>
      <c r="HG21" s="115"/>
      <c r="HH21" s="115"/>
      <c r="HI21" s="115"/>
      <c r="HJ21" s="115"/>
      <c r="HK21" s="115"/>
      <c r="HL21" s="115"/>
      <c r="HM21" s="115"/>
      <c r="HN21" s="115"/>
      <c r="HO21" s="115"/>
      <c r="HP21" s="115"/>
      <c r="HQ21" s="115"/>
      <c r="HR21" s="115"/>
      <c r="HS21" s="115"/>
      <c r="HT21" s="115"/>
      <c r="HU21" s="115"/>
      <c r="HV21" s="115"/>
      <c r="HW21" s="115"/>
      <c r="HX21" s="115"/>
      <c r="HY21" s="115"/>
      <c r="HZ21" s="115"/>
      <c r="IA21" s="115"/>
      <c r="IB21" s="115"/>
      <c r="IC21" s="115"/>
      <c r="ID21" s="115"/>
      <c r="IE21" s="115"/>
      <c r="IF21" s="115"/>
      <c r="IG21" s="115"/>
      <c r="IH21" s="115"/>
      <c r="II21" s="115"/>
      <c r="IJ21" s="115"/>
      <c r="IK21" s="115"/>
      <c r="IL21" s="115"/>
      <c r="IM21" s="115"/>
      <c r="IN21" s="115"/>
      <c r="IO21" s="115"/>
      <c r="IP21" s="115"/>
      <c r="IQ21" s="115"/>
      <c r="IR21" s="115"/>
      <c r="IS21" s="115"/>
      <c r="IT21" s="115"/>
      <c r="IU21" s="115"/>
      <c r="IV21" s="115"/>
    </row>
    <row r="22" spans="1:256" x14ac:dyDescent="0.2">
      <c r="A22" s="117" t="s">
        <v>6</v>
      </c>
      <c r="B22" s="118" t="s">
        <v>38465</v>
      </c>
      <c r="C22" s="119">
        <v>4.5</v>
      </c>
      <c r="D22" s="112"/>
      <c r="E22" s="112"/>
      <c r="F22" s="112"/>
      <c r="G22" s="112"/>
      <c r="H22" s="112"/>
      <c r="I22" s="112"/>
      <c r="J22" s="112"/>
      <c r="K22" s="112"/>
      <c r="L22" s="112"/>
      <c r="M22" s="112"/>
      <c r="N22" s="112"/>
      <c r="O22" s="112"/>
      <c r="P22" s="112"/>
      <c r="Q22" s="112"/>
      <c r="R22" s="112"/>
      <c r="S22" s="112"/>
      <c r="T22" s="112"/>
      <c r="U22" s="112"/>
      <c r="V22" s="112"/>
      <c r="W22" s="112"/>
      <c r="X22" s="112"/>
      <c r="Y22" s="112"/>
      <c r="Z22" s="112"/>
      <c r="AA22" s="112"/>
      <c r="AB22" s="112"/>
      <c r="AC22" s="112"/>
      <c r="AD22" s="112"/>
      <c r="AE22" s="112"/>
      <c r="AF22" s="112"/>
      <c r="AG22" s="112"/>
      <c r="AH22" s="112"/>
      <c r="AI22" s="112"/>
      <c r="AJ22" s="112"/>
      <c r="AK22" s="112"/>
      <c r="AL22" s="112"/>
      <c r="AM22" s="112"/>
      <c r="AN22" s="112"/>
      <c r="AO22" s="112"/>
      <c r="AP22" s="112"/>
      <c r="AQ22" s="112"/>
      <c r="AR22" s="112"/>
      <c r="AS22" s="112"/>
      <c r="AT22" s="112"/>
      <c r="AU22" s="112"/>
      <c r="AV22" s="112"/>
      <c r="AW22" s="112"/>
      <c r="AX22" s="112"/>
      <c r="AY22" s="112"/>
      <c r="AZ22" s="112"/>
      <c r="BA22" s="112"/>
      <c r="BB22" s="112"/>
      <c r="BC22" s="112"/>
      <c r="BD22" s="112"/>
      <c r="BE22" s="112"/>
      <c r="BF22" s="112"/>
      <c r="BG22" s="112"/>
      <c r="BH22" s="112"/>
      <c r="BI22" s="112"/>
      <c r="BJ22" s="112"/>
      <c r="BK22" s="112"/>
      <c r="BL22" s="112"/>
      <c r="BM22" s="112"/>
      <c r="BN22" s="112"/>
      <c r="BO22" s="112"/>
      <c r="BP22" s="112"/>
      <c r="BQ22" s="112"/>
      <c r="BR22" s="112"/>
      <c r="BS22" s="112"/>
      <c r="BT22" s="112"/>
      <c r="BU22" s="112"/>
      <c r="BV22" s="112"/>
      <c r="BW22" s="112"/>
      <c r="BX22" s="112"/>
      <c r="BY22" s="112"/>
      <c r="BZ22" s="112"/>
      <c r="CA22" s="112"/>
      <c r="CB22" s="112"/>
      <c r="CC22" s="112"/>
      <c r="CD22" s="112"/>
      <c r="CE22" s="112"/>
      <c r="CF22" s="112"/>
      <c r="CG22" s="112"/>
      <c r="CH22" s="112"/>
      <c r="CI22" s="112"/>
      <c r="CJ22" s="112"/>
      <c r="CK22" s="112"/>
      <c r="CL22" s="112"/>
      <c r="CM22" s="112"/>
      <c r="CN22" s="112"/>
      <c r="CO22" s="112"/>
      <c r="CP22" s="112"/>
      <c r="CQ22" s="112"/>
      <c r="CR22" s="112"/>
      <c r="CS22" s="112"/>
      <c r="CT22" s="112"/>
      <c r="CU22" s="112"/>
      <c r="CV22" s="112"/>
      <c r="CW22" s="112"/>
      <c r="CX22" s="112"/>
      <c r="CY22" s="112"/>
      <c r="CZ22" s="112"/>
      <c r="DA22" s="112"/>
      <c r="DB22" s="112"/>
      <c r="DC22" s="112"/>
      <c r="DD22" s="112"/>
      <c r="DE22" s="112"/>
      <c r="DF22" s="112"/>
      <c r="DG22" s="112"/>
      <c r="DH22" s="112"/>
      <c r="DI22" s="112"/>
      <c r="DJ22" s="112"/>
      <c r="DK22" s="112"/>
      <c r="DL22" s="112"/>
      <c r="DM22" s="112"/>
      <c r="DN22" s="112"/>
      <c r="DO22" s="112"/>
      <c r="DP22" s="112"/>
      <c r="DQ22" s="112"/>
      <c r="DR22" s="112"/>
      <c r="DS22" s="112"/>
      <c r="DT22" s="112"/>
      <c r="DU22" s="112"/>
      <c r="DV22" s="112"/>
      <c r="DW22" s="112"/>
      <c r="DX22" s="112"/>
      <c r="DY22" s="112"/>
      <c r="DZ22" s="112"/>
      <c r="EA22" s="112"/>
      <c r="EB22" s="112"/>
      <c r="EC22" s="112"/>
      <c r="ED22" s="112"/>
      <c r="EE22" s="112"/>
      <c r="EF22" s="112"/>
      <c r="EG22" s="112"/>
      <c r="EH22" s="112"/>
      <c r="EI22" s="112"/>
      <c r="EJ22" s="112"/>
      <c r="EK22" s="112"/>
      <c r="EL22" s="112"/>
      <c r="EM22" s="112"/>
      <c r="EN22" s="112"/>
      <c r="EO22" s="112"/>
      <c r="EP22" s="112"/>
      <c r="EQ22" s="112"/>
      <c r="ER22" s="112"/>
      <c r="ES22" s="112"/>
      <c r="ET22" s="112"/>
      <c r="EU22" s="112"/>
      <c r="EV22" s="112"/>
      <c r="EW22" s="112"/>
      <c r="EX22" s="112"/>
      <c r="EY22" s="112"/>
      <c r="EZ22" s="112"/>
      <c r="FA22" s="112"/>
      <c r="FB22" s="112"/>
      <c r="FC22" s="112"/>
      <c r="FD22" s="112"/>
      <c r="FE22" s="112"/>
      <c r="FF22" s="112"/>
      <c r="FG22" s="112"/>
      <c r="FH22" s="112"/>
      <c r="FI22" s="112"/>
      <c r="FJ22" s="112"/>
      <c r="FK22" s="112"/>
      <c r="FL22" s="112"/>
      <c r="FM22" s="112"/>
      <c r="FN22" s="112"/>
      <c r="FO22" s="112"/>
      <c r="FP22" s="112"/>
      <c r="FQ22" s="112"/>
      <c r="FR22" s="112"/>
      <c r="FS22" s="112"/>
      <c r="FT22" s="112"/>
      <c r="FU22" s="112"/>
      <c r="FV22" s="112"/>
      <c r="FW22" s="112"/>
      <c r="FX22" s="112"/>
      <c r="FY22" s="112"/>
      <c r="FZ22" s="112"/>
      <c r="GA22" s="112"/>
      <c r="GB22" s="112"/>
      <c r="GC22" s="112"/>
      <c r="GD22" s="112"/>
      <c r="GE22" s="112"/>
      <c r="GF22" s="112"/>
      <c r="GG22" s="112"/>
      <c r="GH22" s="112"/>
      <c r="GI22" s="112"/>
      <c r="GJ22" s="112"/>
      <c r="GK22" s="112"/>
      <c r="GL22" s="112"/>
      <c r="GM22" s="112"/>
      <c r="GN22" s="112"/>
      <c r="GO22" s="112"/>
      <c r="GP22" s="112"/>
      <c r="GQ22" s="112"/>
      <c r="GR22" s="112"/>
      <c r="GS22" s="112"/>
      <c r="GT22" s="112"/>
      <c r="GU22" s="112"/>
      <c r="GV22" s="112"/>
      <c r="GW22" s="112"/>
      <c r="GX22" s="112"/>
      <c r="GY22" s="112"/>
      <c r="GZ22" s="112"/>
      <c r="HA22" s="112"/>
      <c r="HB22" s="112"/>
      <c r="HC22" s="112"/>
      <c r="HD22" s="112"/>
      <c r="HE22" s="112"/>
      <c r="HF22" s="112"/>
      <c r="HG22" s="112"/>
      <c r="HH22" s="112"/>
      <c r="HI22" s="112"/>
      <c r="HJ22" s="112"/>
      <c r="HK22" s="112"/>
      <c r="HL22" s="112"/>
      <c r="HM22" s="112"/>
      <c r="HN22" s="112"/>
      <c r="HO22" s="112"/>
      <c r="HP22" s="112"/>
      <c r="HQ22" s="112"/>
      <c r="HR22" s="112"/>
      <c r="HS22" s="112"/>
      <c r="HT22" s="112"/>
      <c r="HU22" s="112"/>
      <c r="HV22" s="112"/>
      <c r="HW22" s="112"/>
      <c r="HX22" s="112"/>
      <c r="HY22" s="112"/>
      <c r="HZ22" s="112"/>
      <c r="IA22" s="112"/>
      <c r="IB22" s="112"/>
      <c r="IC22" s="112"/>
      <c r="ID22" s="112"/>
      <c r="IE22" s="112"/>
      <c r="IF22" s="112"/>
      <c r="IG22" s="112"/>
      <c r="IH22" s="112"/>
      <c r="II22" s="112"/>
      <c r="IJ22" s="112"/>
      <c r="IK22" s="112"/>
      <c r="IL22" s="112"/>
      <c r="IM22" s="112"/>
      <c r="IN22" s="112"/>
      <c r="IO22" s="112"/>
      <c r="IP22" s="112"/>
      <c r="IQ22" s="112"/>
      <c r="IR22" s="112"/>
      <c r="IS22" s="112"/>
      <c r="IT22" s="112"/>
      <c r="IU22" s="112"/>
      <c r="IV22" s="112"/>
    </row>
    <row r="23" spans="1:256" s="121" customFormat="1" x14ac:dyDescent="0.2">
      <c r="A23" s="117" t="s">
        <v>8</v>
      </c>
      <c r="B23" s="118" t="s">
        <v>38466</v>
      </c>
      <c r="C23" s="119">
        <v>1.23</v>
      </c>
      <c r="D23" s="120"/>
      <c r="E23" s="120"/>
      <c r="F23" s="120"/>
      <c r="G23" s="120"/>
      <c r="H23" s="120"/>
      <c r="I23" s="120"/>
      <c r="J23" s="120"/>
      <c r="K23" s="120"/>
      <c r="L23" s="120"/>
      <c r="M23" s="120"/>
      <c r="N23" s="120"/>
      <c r="O23" s="120"/>
      <c r="P23" s="120"/>
      <c r="Q23" s="120"/>
      <c r="R23" s="120"/>
      <c r="S23" s="120"/>
      <c r="T23" s="120"/>
      <c r="U23" s="120"/>
      <c r="V23" s="120"/>
      <c r="W23" s="120"/>
      <c r="X23" s="120"/>
      <c r="Y23" s="120"/>
      <c r="Z23" s="120"/>
      <c r="AA23" s="120"/>
      <c r="AB23" s="120"/>
      <c r="AC23" s="120"/>
      <c r="AD23" s="120"/>
      <c r="AE23" s="120"/>
      <c r="AF23" s="120"/>
      <c r="AG23" s="120"/>
      <c r="AH23" s="120"/>
      <c r="AI23" s="120"/>
      <c r="AJ23" s="120"/>
      <c r="AK23" s="120"/>
      <c r="AL23" s="120"/>
      <c r="AM23" s="120"/>
      <c r="AN23" s="120"/>
      <c r="AO23" s="120"/>
      <c r="AP23" s="120"/>
      <c r="AQ23" s="120"/>
      <c r="AR23" s="120"/>
      <c r="AS23" s="120"/>
      <c r="AT23" s="120"/>
      <c r="AU23" s="120"/>
      <c r="AV23" s="120"/>
      <c r="AW23" s="120"/>
      <c r="AX23" s="120"/>
      <c r="AY23" s="120"/>
      <c r="AZ23" s="120"/>
      <c r="BA23" s="120"/>
      <c r="BB23" s="120"/>
      <c r="BC23" s="120"/>
      <c r="BD23" s="120"/>
      <c r="BE23" s="120"/>
      <c r="BF23" s="120"/>
      <c r="BG23" s="120"/>
      <c r="BH23" s="120"/>
      <c r="BI23" s="120"/>
      <c r="BJ23" s="120"/>
      <c r="BK23" s="120"/>
      <c r="BL23" s="120"/>
      <c r="BM23" s="120"/>
      <c r="BN23" s="120"/>
      <c r="BO23" s="120"/>
      <c r="BP23" s="120"/>
      <c r="BQ23" s="120"/>
      <c r="BR23" s="120"/>
      <c r="BS23" s="120"/>
      <c r="BT23" s="120"/>
      <c r="BU23" s="120"/>
      <c r="BV23" s="120"/>
      <c r="BW23" s="120"/>
      <c r="BX23" s="120"/>
      <c r="BY23" s="120"/>
      <c r="BZ23" s="120"/>
      <c r="CA23" s="120"/>
      <c r="CB23" s="120"/>
      <c r="CC23" s="120"/>
      <c r="CD23" s="120"/>
      <c r="CE23" s="120"/>
      <c r="CF23" s="120"/>
      <c r="CG23" s="120"/>
      <c r="CH23" s="120"/>
      <c r="CI23" s="120"/>
      <c r="CJ23" s="120"/>
      <c r="CK23" s="120"/>
      <c r="CL23" s="120"/>
      <c r="CM23" s="120"/>
      <c r="CN23" s="120"/>
      <c r="CO23" s="120"/>
      <c r="CP23" s="120"/>
      <c r="CQ23" s="120"/>
      <c r="CR23" s="120"/>
      <c r="CS23" s="120"/>
      <c r="CT23" s="120"/>
      <c r="CU23" s="120"/>
      <c r="CV23" s="120"/>
      <c r="CW23" s="120"/>
      <c r="CX23" s="120"/>
      <c r="CY23" s="120"/>
      <c r="CZ23" s="120"/>
      <c r="DA23" s="120"/>
      <c r="DB23" s="120"/>
      <c r="DC23" s="120"/>
      <c r="DD23" s="120"/>
      <c r="DE23" s="120"/>
      <c r="DF23" s="120"/>
      <c r="DG23" s="120"/>
      <c r="DH23" s="120"/>
      <c r="DI23" s="120"/>
      <c r="DJ23" s="120"/>
      <c r="DK23" s="120"/>
      <c r="DL23" s="120"/>
      <c r="DM23" s="120"/>
      <c r="DN23" s="120"/>
      <c r="DO23" s="120"/>
      <c r="DP23" s="120"/>
      <c r="DQ23" s="120"/>
      <c r="DR23" s="120"/>
      <c r="DS23" s="120"/>
      <c r="DT23" s="120"/>
      <c r="DU23" s="120"/>
      <c r="DV23" s="120"/>
      <c r="DW23" s="120"/>
      <c r="DX23" s="120"/>
      <c r="DY23" s="120"/>
      <c r="DZ23" s="120"/>
      <c r="EA23" s="120"/>
      <c r="EB23" s="120"/>
      <c r="EC23" s="120"/>
      <c r="ED23" s="120"/>
      <c r="EE23" s="120"/>
      <c r="EF23" s="120"/>
      <c r="EG23" s="120"/>
      <c r="EH23" s="120"/>
      <c r="EI23" s="120"/>
      <c r="EJ23" s="120"/>
      <c r="EK23" s="120"/>
      <c r="EL23" s="120"/>
      <c r="EM23" s="120"/>
      <c r="EN23" s="120"/>
      <c r="EO23" s="120"/>
      <c r="EP23" s="120"/>
      <c r="EQ23" s="120"/>
      <c r="ER23" s="120"/>
      <c r="ES23" s="120"/>
      <c r="ET23" s="120"/>
      <c r="EU23" s="120"/>
      <c r="EV23" s="120"/>
      <c r="EW23" s="120"/>
      <c r="EX23" s="120"/>
      <c r="EY23" s="120"/>
      <c r="EZ23" s="120"/>
      <c r="FA23" s="120"/>
      <c r="FB23" s="120"/>
      <c r="FC23" s="120"/>
      <c r="FD23" s="120"/>
      <c r="FE23" s="120"/>
      <c r="FF23" s="120"/>
      <c r="FG23" s="120"/>
      <c r="FH23" s="120"/>
      <c r="FI23" s="120"/>
      <c r="FJ23" s="120"/>
      <c r="FK23" s="120"/>
      <c r="FL23" s="120"/>
      <c r="FM23" s="120"/>
      <c r="FN23" s="120"/>
      <c r="FO23" s="120"/>
      <c r="FP23" s="120"/>
      <c r="FQ23" s="120"/>
      <c r="FR23" s="120"/>
      <c r="FS23" s="120"/>
      <c r="FT23" s="120"/>
      <c r="FU23" s="120"/>
      <c r="FV23" s="120"/>
      <c r="FW23" s="120"/>
      <c r="FX23" s="120"/>
      <c r="FY23" s="120"/>
      <c r="FZ23" s="120"/>
      <c r="GA23" s="120"/>
      <c r="GB23" s="120"/>
      <c r="GC23" s="120"/>
      <c r="GD23" s="120"/>
      <c r="GE23" s="120"/>
      <c r="GF23" s="120"/>
      <c r="GG23" s="120"/>
      <c r="GH23" s="120"/>
      <c r="GI23" s="120"/>
      <c r="GJ23" s="120"/>
      <c r="GK23" s="120"/>
      <c r="GL23" s="120"/>
      <c r="GM23" s="120"/>
      <c r="GN23" s="120"/>
      <c r="GO23" s="120"/>
      <c r="GP23" s="120"/>
      <c r="GQ23" s="120"/>
      <c r="GR23" s="120"/>
      <c r="GS23" s="120"/>
      <c r="GT23" s="120"/>
      <c r="GU23" s="120"/>
      <c r="GV23" s="120"/>
      <c r="GW23" s="120"/>
      <c r="GX23" s="120"/>
      <c r="GY23" s="120"/>
      <c r="GZ23" s="120"/>
      <c r="HA23" s="120"/>
      <c r="HB23" s="120"/>
      <c r="HC23" s="120"/>
      <c r="HD23" s="120"/>
      <c r="HE23" s="120"/>
      <c r="HF23" s="120"/>
      <c r="HG23" s="120"/>
      <c r="HH23" s="120"/>
      <c r="HI23" s="120"/>
      <c r="HJ23" s="120"/>
      <c r="HK23" s="120"/>
      <c r="HL23" s="120"/>
      <c r="HM23" s="120"/>
      <c r="HN23" s="120"/>
      <c r="HO23" s="120"/>
      <c r="HP23" s="120"/>
      <c r="HQ23" s="120"/>
      <c r="HR23" s="120"/>
      <c r="HS23" s="120"/>
      <c r="HT23" s="120"/>
      <c r="HU23" s="120"/>
      <c r="HV23" s="120"/>
      <c r="HW23" s="120"/>
      <c r="HX23" s="120"/>
      <c r="HY23" s="120"/>
      <c r="HZ23" s="120"/>
      <c r="IA23" s="120"/>
      <c r="IB23" s="120"/>
      <c r="IC23" s="120"/>
      <c r="ID23" s="120"/>
      <c r="IE23" s="120"/>
      <c r="IF23" s="120"/>
      <c r="IG23" s="120"/>
      <c r="IH23" s="120"/>
      <c r="II23" s="120"/>
      <c r="IJ23" s="120"/>
      <c r="IK23" s="120"/>
      <c r="IL23" s="120"/>
      <c r="IM23" s="120"/>
      <c r="IN23" s="120"/>
      <c r="IO23" s="120"/>
      <c r="IP23" s="120"/>
      <c r="IQ23" s="120"/>
      <c r="IR23" s="120"/>
      <c r="IS23" s="120"/>
      <c r="IT23" s="120"/>
      <c r="IU23" s="120"/>
      <c r="IV23" s="120"/>
    </row>
    <row r="24" spans="1:256" ht="13.5" thickBot="1" x14ac:dyDescent="0.25">
      <c r="A24" s="117" t="s">
        <v>7</v>
      </c>
      <c r="B24" s="118" t="s">
        <v>38467</v>
      </c>
      <c r="C24" s="119">
        <v>1.27</v>
      </c>
      <c r="D24" s="112"/>
      <c r="E24" s="122" t="s">
        <v>38468</v>
      </c>
      <c r="F24" s="112"/>
      <c r="G24" s="112"/>
      <c r="H24" s="112"/>
      <c r="I24" s="112"/>
      <c r="J24" s="634" t="s">
        <v>38469</v>
      </c>
      <c r="K24" s="635"/>
      <c r="L24" s="635"/>
      <c r="M24" s="635"/>
      <c r="N24" s="112"/>
      <c r="O24" s="112"/>
      <c r="P24" s="112"/>
      <c r="Q24" s="112"/>
      <c r="R24" s="112"/>
      <c r="S24" s="112"/>
      <c r="T24" s="112"/>
      <c r="U24" s="112"/>
      <c r="V24" s="112"/>
      <c r="W24" s="112"/>
      <c r="X24" s="112"/>
      <c r="Y24" s="112"/>
      <c r="Z24" s="112"/>
      <c r="AA24" s="112"/>
      <c r="AB24" s="112"/>
      <c r="AC24" s="112"/>
      <c r="AD24" s="112"/>
      <c r="AE24" s="112"/>
      <c r="AF24" s="112"/>
      <c r="AG24" s="112"/>
      <c r="AH24" s="112"/>
      <c r="AI24" s="112"/>
      <c r="AJ24" s="112"/>
      <c r="AK24" s="112"/>
      <c r="AL24" s="112"/>
      <c r="AM24" s="112"/>
      <c r="AN24" s="112"/>
      <c r="AO24" s="112"/>
      <c r="AP24" s="112"/>
      <c r="AQ24" s="112"/>
      <c r="AR24" s="112"/>
      <c r="AS24" s="112"/>
      <c r="AT24" s="112"/>
      <c r="AU24" s="112"/>
      <c r="AV24" s="112"/>
      <c r="AW24" s="112"/>
      <c r="AX24" s="112"/>
      <c r="AY24" s="112"/>
      <c r="AZ24" s="112"/>
      <c r="BA24" s="112"/>
      <c r="BB24" s="112"/>
      <c r="BC24" s="112"/>
      <c r="BD24" s="112"/>
      <c r="BE24" s="112"/>
      <c r="BF24" s="112"/>
      <c r="BG24" s="112"/>
      <c r="BH24" s="112"/>
      <c r="BI24" s="112"/>
      <c r="BJ24" s="112"/>
      <c r="BK24" s="112"/>
      <c r="BL24" s="112"/>
      <c r="BM24" s="112"/>
      <c r="BN24" s="112"/>
      <c r="BO24" s="112"/>
      <c r="BP24" s="112"/>
      <c r="BQ24" s="112"/>
      <c r="BR24" s="112"/>
      <c r="BS24" s="112"/>
      <c r="BT24" s="112"/>
      <c r="BU24" s="112"/>
      <c r="BV24" s="112"/>
      <c r="BW24" s="112"/>
      <c r="BX24" s="112"/>
      <c r="BY24" s="112"/>
      <c r="BZ24" s="112"/>
      <c r="CA24" s="112"/>
      <c r="CB24" s="112"/>
      <c r="CC24" s="112"/>
      <c r="CD24" s="112"/>
      <c r="CE24" s="112"/>
      <c r="CF24" s="112"/>
      <c r="CG24" s="112"/>
      <c r="CH24" s="112"/>
      <c r="CI24" s="112"/>
      <c r="CJ24" s="112"/>
      <c r="CK24" s="112"/>
      <c r="CL24" s="112"/>
      <c r="CM24" s="112"/>
      <c r="CN24" s="112"/>
      <c r="CO24" s="112"/>
      <c r="CP24" s="112"/>
      <c r="CQ24" s="112"/>
      <c r="CR24" s="112"/>
      <c r="CS24" s="112"/>
      <c r="CT24" s="112"/>
      <c r="CU24" s="112"/>
      <c r="CV24" s="112"/>
      <c r="CW24" s="112"/>
      <c r="CX24" s="112"/>
      <c r="CY24" s="112"/>
      <c r="CZ24" s="112"/>
      <c r="DA24" s="112"/>
      <c r="DB24" s="112"/>
      <c r="DC24" s="112"/>
      <c r="DD24" s="112"/>
      <c r="DE24" s="112"/>
      <c r="DF24" s="112"/>
      <c r="DG24" s="112"/>
      <c r="DH24" s="112"/>
      <c r="DI24" s="112"/>
      <c r="DJ24" s="112"/>
      <c r="DK24" s="112"/>
      <c r="DL24" s="112"/>
      <c r="DM24" s="112"/>
      <c r="DN24" s="112"/>
      <c r="DO24" s="112"/>
      <c r="DP24" s="112"/>
      <c r="DQ24" s="112"/>
      <c r="DR24" s="112"/>
      <c r="DS24" s="112"/>
      <c r="DT24" s="112"/>
      <c r="DU24" s="112"/>
      <c r="DV24" s="112"/>
      <c r="DW24" s="112"/>
      <c r="DX24" s="112"/>
      <c r="DY24" s="112"/>
      <c r="DZ24" s="112"/>
      <c r="EA24" s="112"/>
      <c r="EB24" s="112"/>
      <c r="EC24" s="112"/>
      <c r="ED24" s="112"/>
      <c r="EE24" s="112"/>
      <c r="EF24" s="112"/>
      <c r="EG24" s="112"/>
      <c r="EH24" s="112"/>
      <c r="EI24" s="112"/>
      <c r="EJ24" s="112"/>
      <c r="EK24" s="112"/>
      <c r="EL24" s="112"/>
      <c r="EM24" s="112"/>
      <c r="EN24" s="112"/>
      <c r="EO24" s="112"/>
      <c r="EP24" s="112"/>
      <c r="EQ24" s="112"/>
      <c r="ER24" s="112"/>
      <c r="ES24" s="112"/>
      <c r="ET24" s="112"/>
      <c r="EU24" s="112"/>
      <c r="EV24" s="112"/>
      <c r="EW24" s="112"/>
      <c r="EX24" s="112"/>
      <c r="EY24" s="112"/>
      <c r="EZ24" s="112"/>
      <c r="FA24" s="112"/>
      <c r="FB24" s="112"/>
      <c r="FC24" s="112"/>
      <c r="FD24" s="112"/>
      <c r="FE24" s="112"/>
      <c r="FF24" s="112"/>
      <c r="FG24" s="112"/>
      <c r="FH24" s="112"/>
      <c r="FI24" s="112"/>
      <c r="FJ24" s="112"/>
      <c r="FK24" s="112"/>
      <c r="FL24" s="112"/>
      <c r="FM24" s="112"/>
      <c r="FN24" s="112"/>
      <c r="FO24" s="112"/>
      <c r="FP24" s="112"/>
      <c r="FQ24" s="112"/>
      <c r="FR24" s="112"/>
      <c r="FS24" s="112"/>
      <c r="FT24" s="112"/>
      <c r="FU24" s="112"/>
      <c r="FV24" s="112"/>
      <c r="FW24" s="112"/>
      <c r="FX24" s="112"/>
      <c r="FY24" s="112"/>
      <c r="FZ24" s="112"/>
      <c r="GA24" s="112"/>
      <c r="GB24" s="112"/>
      <c r="GC24" s="112"/>
      <c r="GD24" s="112"/>
      <c r="GE24" s="112"/>
      <c r="GF24" s="112"/>
      <c r="GG24" s="112"/>
      <c r="GH24" s="112"/>
      <c r="GI24" s="112"/>
      <c r="GJ24" s="112"/>
      <c r="GK24" s="112"/>
      <c r="GL24" s="112"/>
      <c r="GM24" s="112"/>
      <c r="GN24" s="112"/>
      <c r="GO24" s="112"/>
      <c r="GP24" s="112"/>
      <c r="GQ24" s="112"/>
      <c r="GR24" s="112"/>
      <c r="GS24" s="112"/>
      <c r="GT24" s="112"/>
      <c r="GU24" s="112"/>
      <c r="GV24" s="112"/>
      <c r="GW24" s="112"/>
      <c r="GX24" s="112"/>
      <c r="GY24" s="112"/>
      <c r="GZ24" s="112"/>
      <c r="HA24" s="112"/>
      <c r="HB24" s="112"/>
      <c r="HC24" s="112"/>
      <c r="HD24" s="112"/>
      <c r="HE24" s="112"/>
      <c r="HF24" s="112"/>
      <c r="HG24" s="112"/>
      <c r="HH24" s="112"/>
      <c r="HI24" s="112"/>
      <c r="HJ24" s="112"/>
      <c r="HK24" s="112"/>
      <c r="HL24" s="112"/>
      <c r="HM24" s="112"/>
      <c r="HN24" s="112"/>
      <c r="HO24" s="112"/>
      <c r="HP24" s="112"/>
      <c r="HQ24" s="112"/>
      <c r="HR24" s="112"/>
      <c r="HS24" s="112"/>
      <c r="HT24" s="112"/>
      <c r="HU24" s="112"/>
      <c r="HV24" s="112"/>
      <c r="HW24" s="112"/>
      <c r="HX24" s="112"/>
      <c r="HY24" s="112"/>
      <c r="HZ24" s="112"/>
      <c r="IA24" s="112"/>
      <c r="IB24" s="112"/>
      <c r="IC24" s="112"/>
      <c r="ID24" s="112"/>
      <c r="IE24" s="112"/>
      <c r="IF24" s="112"/>
      <c r="IG24" s="112"/>
      <c r="IH24" s="112"/>
      <c r="II24" s="112"/>
      <c r="IJ24" s="112"/>
      <c r="IK24" s="112"/>
      <c r="IL24" s="112"/>
      <c r="IM24" s="112"/>
      <c r="IN24" s="112"/>
      <c r="IO24" s="112"/>
      <c r="IP24" s="112"/>
      <c r="IQ24" s="112"/>
      <c r="IR24" s="112"/>
      <c r="IS24" s="112"/>
      <c r="IT24" s="112"/>
      <c r="IU24" s="112"/>
      <c r="IV24" s="112"/>
    </row>
    <row r="25" spans="1:256" ht="13.5" thickBot="1" x14ac:dyDescent="0.25">
      <c r="A25" s="112"/>
      <c r="B25" s="123"/>
      <c r="C25" s="124"/>
      <c r="D25" s="112"/>
      <c r="E25" s="125" t="s">
        <v>38470</v>
      </c>
      <c r="F25" s="126" t="s">
        <v>38471</v>
      </c>
      <c r="G25" s="126" t="s">
        <v>38472</v>
      </c>
      <c r="H25" s="126" t="s">
        <v>38473</v>
      </c>
      <c r="I25" s="112"/>
      <c r="J25" s="125" t="s">
        <v>38470</v>
      </c>
      <c r="K25" s="126" t="s">
        <v>38471</v>
      </c>
      <c r="L25" s="126" t="s">
        <v>38472</v>
      </c>
      <c r="M25" s="126" t="s">
        <v>38473</v>
      </c>
      <c r="N25" s="112"/>
      <c r="O25" s="112"/>
      <c r="P25" s="112"/>
      <c r="Q25" s="112"/>
      <c r="R25" s="112"/>
      <c r="S25" s="112"/>
      <c r="T25" s="112"/>
      <c r="U25" s="112"/>
      <c r="V25" s="112"/>
      <c r="W25" s="112"/>
      <c r="X25" s="112"/>
      <c r="Y25" s="112"/>
      <c r="Z25" s="112"/>
      <c r="AA25" s="112"/>
      <c r="AB25" s="112"/>
      <c r="AC25" s="112"/>
      <c r="AD25" s="112"/>
      <c r="AE25" s="112"/>
      <c r="AF25" s="112"/>
      <c r="AG25" s="112"/>
      <c r="AH25" s="112"/>
      <c r="AI25" s="112"/>
      <c r="AJ25" s="112"/>
      <c r="AK25" s="112"/>
      <c r="AL25" s="112"/>
      <c r="AM25" s="112"/>
      <c r="AN25" s="112"/>
      <c r="AO25" s="112"/>
      <c r="AP25" s="112"/>
      <c r="AQ25" s="112"/>
      <c r="AR25" s="112"/>
      <c r="AS25" s="112"/>
      <c r="AT25" s="112"/>
      <c r="AU25" s="112"/>
      <c r="AV25" s="112"/>
      <c r="AW25" s="112"/>
      <c r="AX25" s="112"/>
      <c r="AY25" s="112"/>
      <c r="AZ25" s="112"/>
      <c r="BA25" s="112"/>
      <c r="BB25" s="112"/>
      <c r="BC25" s="112"/>
      <c r="BD25" s="112"/>
      <c r="BE25" s="112"/>
      <c r="BF25" s="112"/>
      <c r="BG25" s="112"/>
      <c r="BH25" s="112"/>
      <c r="BI25" s="112"/>
      <c r="BJ25" s="112"/>
      <c r="BK25" s="112"/>
      <c r="BL25" s="112"/>
      <c r="BM25" s="112"/>
      <c r="BN25" s="112"/>
      <c r="BO25" s="112"/>
      <c r="BP25" s="112"/>
      <c r="BQ25" s="112"/>
      <c r="BR25" s="112"/>
      <c r="BS25" s="112"/>
      <c r="BT25" s="112"/>
      <c r="BU25" s="112"/>
      <c r="BV25" s="112"/>
      <c r="BW25" s="112"/>
      <c r="BX25" s="112"/>
      <c r="BY25" s="112"/>
      <c r="BZ25" s="112"/>
      <c r="CA25" s="112"/>
      <c r="CB25" s="112"/>
      <c r="CC25" s="112"/>
      <c r="CD25" s="112"/>
      <c r="CE25" s="112"/>
      <c r="CF25" s="112"/>
      <c r="CG25" s="112"/>
      <c r="CH25" s="112"/>
      <c r="CI25" s="112"/>
      <c r="CJ25" s="112"/>
      <c r="CK25" s="112"/>
      <c r="CL25" s="112"/>
      <c r="CM25" s="112"/>
      <c r="CN25" s="112"/>
      <c r="CO25" s="112"/>
      <c r="CP25" s="112"/>
      <c r="CQ25" s="112"/>
      <c r="CR25" s="112"/>
      <c r="CS25" s="112"/>
      <c r="CT25" s="112"/>
      <c r="CU25" s="112"/>
      <c r="CV25" s="112"/>
      <c r="CW25" s="112"/>
      <c r="CX25" s="112"/>
      <c r="CY25" s="112"/>
      <c r="CZ25" s="112"/>
      <c r="DA25" s="112"/>
      <c r="DB25" s="112"/>
      <c r="DC25" s="112"/>
      <c r="DD25" s="112"/>
      <c r="DE25" s="112"/>
      <c r="DF25" s="112"/>
      <c r="DG25" s="112"/>
      <c r="DH25" s="112"/>
      <c r="DI25" s="112"/>
      <c r="DJ25" s="112"/>
      <c r="DK25" s="112"/>
      <c r="DL25" s="112"/>
      <c r="DM25" s="112"/>
      <c r="DN25" s="112"/>
      <c r="DO25" s="112"/>
      <c r="DP25" s="112"/>
      <c r="DQ25" s="112"/>
      <c r="DR25" s="112"/>
      <c r="DS25" s="112"/>
      <c r="DT25" s="112"/>
      <c r="DU25" s="112"/>
      <c r="DV25" s="112"/>
      <c r="DW25" s="112"/>
      <c r="DX25" s="112"/>
      <c r="DY25" s="112"/>
      <c r="DZ25" s="112"/>
      <c r="EA25" s="112"/>
      <c r="EB25" s="112"/>
      <c r="EC25" s="112"/>
      <c r="ED25" s="112"/>
      <c r="EE25" s="112"/>
      <c r="EF25" s="112"/>
      <c r="EG25" s="112"/>
      <c r="EH25" s="112"/>
      <c r="EI25" s="112"/>
      <c r="EJ25" s="112"/>
      <c r="EK25" s="112"/>
      <c r="EL25" s="112"/>
      <c r="EM25" s="112"/>
      <c r="EN25" s="112"/>
      <c r="EO25" s="112"/>
      <c r="EP25" s="112"/>
      <c r="EQ25" s="112"/>
      <c r="ER25" s="112"/>
      <c r="ES25" s="112"/>
      <c r="ET25" s="112"/>
      <c r="EU25" s="112"/>
      <c r="EV25" s="112"/>
      <c r="EW25" s="112"/>
      <c r="EX25" s="112"/>
      <c r="EY25" s="112"/>
      <c r="EZ25" s="112"/>
      <c r="FA25" s="112"/>
      <c r="FB25" s="112"/>
      <c r="FC25" s="112"/>
      <c r="FD25" s="112"/>
      <c r="FE25" s="112"/>
      <c r="FF25" s="112"/>
      <c r="FG25" s="112"/>
      <c r="FH25" s="112"/>
      <c r="FI25" s="112"/>
      <c r="FJ25" s="112"/>
      <c r="FK25" s="112"/>
      <c r="FL25" s="112"/>
      <c r="FM25" s="112"/>
      <c r="FN25" s="112"/>
      <c r="FO25" s="112"/>
      <c r="FP25" s="112"/>
      <c r="FQ25" s="112"/>
      <c r="FR25" s="112"/>
      <c r="FS25" s="112"/>
      <c r="FT25" s="112"/>
      <c r="FU25" s="112"/>
      <c r="FV25" s="112"/>
      <c r="FW25" s="112"/>
      <c r="FX25" s="112"/>
      <c r="FY25" s="112"/>
      <c r="FZ25" s="112"/>
      <c r="GA25" s="112"/>
      <c r="GB25" s="112"/>
      <c r="GC25" s="112"/>
      <c r="GD25" s="112"/>
      <c r="GE25" s="112"/>
      <c r="GF25" s="112"/>
      <c r="GG25" s="112"/>
      <c r="GH25" s="112"/>
      <c r="GI25" s="112"/>
      <c r="GJ25" s="112"/>
      <c r="GK25" s="112"/>
      <c r="GL25" s="112"/>
      <c r="GM25" s="112"/>
      <c r="GN25" s="112"/>
      <c r="GO25" s="112"/>
      <c r="GP25" s="112"/>
      <c r="GQ25" s="112"/>
      <c r="GR25" s="112"/>
      <c r="GS25" s="112"/>
      <c r="GT25" s="112"/>
      <c r="GU25" s="112"/>
      <c r="GV25" s="112"/>
      <c r="GW25" s="112"/>
      <c r="GX25" s="112"/>
      <c r="GY25" s="112"/>
      <c r="GZ25" s="112"/>
      <c r="HA25" s="112"/>
      <c r="HB25" s="112"/>
      <c r="HC25" s="112"/>
      <c r="HD25" s="112"/>
      <c r="HE25" s="112"/>
      <c r="HF25" s="112"/>
      <c r="HG25" s="112"/>
      <c r="HH25" s="112"/>
      <c r="HI25" s="112"/>
      <c r="HJ25" s="112"/>
      <c r="HK25" s="112"/>
      <c r="HL25" s="112"/>
      <c r="HM25" s="112"/>
      <c r="HN25" s="112"/>
      <c r="HO25" s="112"/>
      <c r="HP25" s="112"/>
      <c r="HQ25" s="112"/>
      <c r="HR25" s="112"/>
      <c r="HS25" s="112"/>
      <c r="HT25" s="112"/>
      <c r="HU25" s="112"/>
      <c r="HV25" s="112"/>
      <c r="HW25" s="112"/>
      <c r="HX25" s="112"/>
      <c r="HY25" s="112"/>
      <c r="HZ25" s="112"/>
      <c r="IA25" s="112"/>
      <c r="IB25" s="112"/>
      <c r="IC25" s="112"/>
      <c r="ID25" s="112"/>
      <c r="IE25" s="112"/>
      <c r="IF25" s="112"/>
      <c r="IG25" s="112"/>
      <c r="IH25" s="112"/>
      <c r="II25" s="112"/>
      <c r="IJ25" s="112"/>
      <c r="IK25" s="112"/>
      <c r="IL25" s="112"/>
      <c r="IM25" s="112"/>
      <c r="IN25" s="112"/>
      <c r="IO25" s="112"/>
      <c r="IP25" s="112"/>
      <c r="IQ25" s="112"/>
      <c r="IR25" s="112"/>
      <c r="IS25" s="112"/>
      <c r="IT25" s="112"/>
      <c r="IU25" s="112"/>
      <c r="IV25" s="112"/>
    </row>
    <row r="26" spans="1:256" ht="13.5" thickBot="1" x14ac:dyDescent="0.25">
      <c r="A26" s="113"/>
      <c r="B26" s="114" t="s">
        <v>38474</v>
      </c>
      <c r="C26" s="113"/>
      <c r="D26" s="112"/>
      <c r="E26" s="127" t="s">
        <v>38475</v>
      </c>
      <c r="F26" s="128">
        <v>0.03</v>
      </c>
      <c r="G26" s="129">
        <v>0.04</v>
      </c>
      <c r="H26" s="130">
        <v>5.5E-2</v>
      </c>
      <c r="I26" s="112"/>
      <c r="J26" s="127" t="s">
        <v>38475</v>
      </c>
      <c r="K26" s="130">
        <v>3.4299999999999997E-2</v>
      </c>
      <c r="L26" s="130">
        <v>4.9299999999999997E-2</v>
      </c>
      <c r="M26" s="130">
        <v>6.7100000000000007E-2</v>
      </c>
      <c r="N26" s="112"/>
      <c r="O26" s="112"/>
      <c r="P26" s="112"/>
      <c r="Q26" s="112"/>
      <c r="R26" s="112"/>
      <c r="S26" s="112"/>
      <c r="T26" s="112"/>
      <c r="U26" s="112"/>
      <c r="V26" s="112"/>
      <c r="W26" s="112"/>
      <c r="X26" s="112"/>
      <c r="Y26" s="112"/>
      <c r="Z26" s="112"/>
      <c r="AA26" s="112"/>
      <c r="AB26" s="112"/>
      <c r="AC26" s="112"/>
      <c r="AD26" s="112"/>
      <c r="AE26" s="112"/>
      <c r="AF26" s="112"/>
      <c r="AG26" s="112"/>
      <c r="AH26" s="112"/>
      <c r="AI26" s="112"/>
      <c r="AJ26" s="112"/>
      <c r="AK26" s="112"/>
      <c r="AL26" s="112"/>
      <c r="AM26" s="112"/>
      <c r="AN26" s="112"/>
      <c r="AO26" s="112"/>
      <c r="AP26" s="112"/>
      <c r="AQ26" s="112"/>
      <c r="AR26" s="112"/>
      <c r="AS26" s="112"/>
      <c r="AT26" s="112"/>
      <c r="AU26" s="112"/>
      <c r="AV26" s="112"/>
      <c r="AW26" s="112"/>
      <c r="AX26" s="112"/>
      <c r="AY26" s="112"/>
      <c r="AZ26" s="112"/>
      <c r="BA26" s="112"/>
      <c r="BB26" s="112"/>
      <c r="BC26" s="112"/>
      <c r="BD26" s="112"/>
      <c r="BE26" s="112"/>
      <c r="BF26" s="112"/>
      <c r="BG26" s="112"/>
      <c r="BH26" s="112"/>
      <c r="BI26" s="112"/>
      <c r="BJ26" s="112"/>
      <c r="BK26" s="112"/>
      <c r="BL26" s="112"/>
      <c r="BM26" s="112"/>
      <c r="BN26" s="112"/>
      <c r="BO26" s="112"/>
      <c r="BP26" s="112"/>
      <c r="BQ26" s="112"/>
      <c r="BR26" s="112"/>
      <c r="BS26" s="112"/>
      <c r="BT26" s="112"/>
      <c r="BU26" s="112"/>
      <c r="BV26" s="112"/>
      <c r="BW26" s="112"/>
      <c r="BX26" s="112"/>
      <c r="BY26" s="112"/>
      <c r="BZ26" s="112"/>
      <c r="CA26" s="112"/>
      <c r="CB26" s="112"/>
      <c r="CC26" s="112"/>
      <c r="CD26" s="112"/>
      <c r="CE26" s="112"/>
      <c r="CF26" s="112"/>
      <c r="CG26" s="112"/>
      <c r="CH26" s="112"/>
      <c r="CI26" s="112"/>
      <c r="CJ26" s="112"/>
      <c r="CK26" s="112"/>
      <c r="CL26" s="112"/>
      <c r="CM26" s="112"/>
      <c r="CN26" s="112"/>
      <c r="CO26" s="112"/>
      <c r="CP26" s="112"/>
      <c r="CQ26" s="112"/>
      <c r="CR26" s="112"/>
      <c r="CS26" s="112"/>
      <c r="CT26" s="112"/>
      <c r="CU26" s="112"/>
      <c r="CV26" s="112"/>
      <c r="CW26" s="112"/>
      <c r="CX26" s="112"/>
      <c r="CY26" s="112"/>
      <c r="CZ26" s="112"/>
      <c r="DA26" s="112"/>
      <c r="DB26" s="112"/>
      <c r="DC26" s="112"/>
      <c r="DD26" s="112"/>
      <c r="DE26" s="112"/>
      <c r="DF26" s="112"/>
      <c r="DG26" s="112"/>
      <c r="DH26" s="112"/>
      <c r="DI26" s="112"/>
      <c r="DJ26" s="112"/>
      <c r="DK26" s="112"/>
      <c r="DL26" s="112"/>
      <c r="DM26" s="112"/>
      <c r="DN26" s="112"/>
      <c r="DO26" s="112"/>
      <c r="DP26" s="112"/>
      <c r="DQ26" s="112"/>
      <c r="DR26" s="112"/>
      <c r="DS26" s="112"/>
      <c r="DT26" s="112"/>
      <c r="DU26" s="112"/>
      <c r="DV26" s="112"/>
      <c r="DW26" s="112"/>
      <c r="DX26" s="112"/>
      <c r="DY26" s="112"/>
      <c r="DZ26" s="112"/>
      <c r="EA26" s="112"/>
      <c r="EB26" s="112"/>
      <c r="EC26" s="112"/>
      <c r="ED26" s="112"/>
      <c r="EE26" s="112"/>
      <c r="EF26" s="112"/>
      <c r="EG26" s="112"/>
      <c r="EH26" s="112"/>
      <c r="EI26" s="112"/>
      <c r="EJ26" s="112"/>
      <c r="EK26" s="112"/>
      <c r="EL26" s="112"/>
      <c r="EM26" s="112"/>
      <c r="EN26" s="112"/>
      <c r="EO26" s="112"/>
      <c r="EP26" s="112"/>
      <c r="EQ26" s="112"/>
      <c r="ER26" s="112"/>
      <c r="ES26" s="112"/>
      <c r="ET26" s="112"/>
      <c r="EU26" s="112"/>
      <c r="EV26" s="112"/>
      <c r="EW26" s="112"/>
      <c r="EX26" s="112"/>
      <c r="EY26" s="112"/>
      <c r="EZ26" s="112"/>
      <c r="FA26" s="112"/>
      <c r="FB26" s="112"/>
      <c r="FC26" s="112"/>
      <c r="FD26" s="112"/>
      <c r="FE26" s="112"/>
      <c r="FF26" s="112"/>
      <c r="FG26" s="112"/>
      <c r="FH26" s="112"/>
      <c r="FI26" s="112"/>
      <c r="FJ26" s="112"/>
      <c r="FK26" s="112"/>
      <c r="FL26" s="112"/>
      <c r="FM26" s="112"/>
      <c r="FN26" s="112"/>
      <c r="FO26" s="112"/>
      <c r="FP26" s="112"/>
      <c r="FQ26" s="112"/>
      <c r="FR26" s="112"/>
      <c r="FS26" s="112"/>
      <c r="FT26" s="112"/>
      <c r="FU26" s="112"/>
      <c r="FV26" s="112"/>
      <c r="FW26" s="112"/>
      <c r="FX26" s="112"/>
      <c r="FY26" s="112"/>
      <c r="FZ26" s="112"/>
      <c r="GA26" s="112"/>
      <c r="GB26" s="112"/>
      <c r="GC26" s="112"/>
      <c r="GD26" s="112"/>
      <c r="GE26" s="112"/>
      <c r="GF26" s="112"/>
      <c r="GG26" s="112"/>
      <c r="GH26" s="112"/>
      <c r="GI26" s="112"/>
      <c r="GJ26" s="112"/>
      <c r="GK26" s="112"/>
      <c r="GL26" s="112"/>
      <c r="GM26" s="112"/>
      <c r="GN26" s="112"/>
      <c r="GO26" s="112"/>
      <c r="GP26" s="112"/>
      <c r="GQ26" s="112"/>
      <c r="GR26" s="112"/>
      <c r="GS26" s="112"/>
      <c r="GT26" s="112"/>
      <c r="GU26" s="112"/>
      <c r="GV26" s="112"/>
      <c r="GW26" s="112"/>
      <c r="GX26" s="112"/>
      <c r="GY26" s="112"/>
      <c r="GZ26" s="112"/>
      <c r="HA26" s="112"/>
      <c r="HB26" s="112"/>
      <c r="HC26" s="112"/>
      <c r="HD26" s="112"/>
      <c r="HE26" s="112"/>
      <c r="HF26" s="112"/>
      <c r="HG26" s="112"/>
      <c r="HH26" s="112"/>
      <c r="HI26" s="112"/>
      <c r="HJ26" s="112"/>
      <c r="HK26" s="112"/>
      <c r="HL26" s="112"/>
      <c r="HM26" s="112"/>
      <c r="HN26" s="112"/>
      <c r="HO26" s="112"/>
      <c r="HP26" s="112"/>
      <c r="HQ26" s="112"/>
      <c r="HR26" s="112"/>
      <c r="HS26" s="112"/>
      <c r="HT26" s="112"/>
      <c r="HU26" s="112"/>
      <c r="HV26" s="112"/>
      <c r="HW26" s="112"/>
      <c r="HX26" s="112"/>
      <c r="HY26" s="112"/>
      <c r="HZ26" s="112"/>
      <c r="IA26" s="112"/>
      <c r="IB26" s="112"/>
      <c r="IC26" s="112"/>
      <c r="ID26" s="112"/>
      <c r="IE26" s="112"/>
      <c r="IF26" s="112"/>
      <c r="IG26" s="112"/>
      <c r="IH26" s="112"/>
      <c r="II26" s="112"/>
      <c r="IJ26" s="112"/>
      <c r="IK26" s="112"/>
      <c r="IL26" s="112"/>
      <c r="IM26" s="112"/>
      <c r="IN26" s="112"/>
      <c r="IO26" s="112"/>
      <c r="IP26" s="112"/>
      <c r="IQ26" s="112"/>
      <c r="IR26" s="112"/>
      <c r="IS26" s="112"/>
      <c r="IT26" s="112"/>
      <c r="IU26" s="112"/>
      <c r="IV26" s="112"/>
    </row>
    <row r="27" spans="1:256" ht="13.5" thickBot="1" x14ac:dyDescent="0.25">
      <c r="A27" s="117" t="s">
        <v>38476</v>
      </c>
      <c r="B27" s="118" t="s">
        <v>38477</v>
      </c>
      <c r="C27" s="119">
        <v>0.8</v>
      </c>
      <c r="D27" s="112"/>
      <c r="E27" s="127" t="s">
        <v>38478</v>
      </c>
      <c r="F27" s="128">
        <v>8.0000000000000002E-3</v>
      </c>
      <c r="G27" s="129">
        <v>8.0000000000000002E-3</v>
      </c>
      <c r="H27" s="130">
        <v>0.01</v>
      </c>
      <c r="I27" s="112"/>
      <c r="J27" s="127" t="s">
        <v>38478</v>
      </c>
      <c r="K27" s="130">
        <v>2.8E-3</v>
      </c>
      <c r="L27" s="130">
        <v>4.8999999999999998E-3</v>
      </c>
      <c r="M27" s="130">
        <v>7.4999999999999997E-3</v>
      </c>
      <c r="N27" s="112"/>
      <c r="O27" s="112"/>
      <c r="P27" s="112"/>
      <c r="Q27" s="112"/>
      <c r="R27" s="112"/>
      <c r="S27" s="112"/>
      <c r="T27" s="112"/>
      <c r="U27" s="112"/>
      <c r="V27" s="112"/>
      <c r="W27" s="112"/>
      <c r="X27" s="112"/>
      <c r="Y27" s="112"/>
      <c r="Z27" s="112"/>
      <c r="AA27" s="112"/>
      <c r="AB27" s="112"/>
      <c r="AC27" s="112"/>
      <c r="AD27" s="112"/>
      <c r="AE27" s="112"/>
      <c r="AF27" s="112"/>
      <c r="AG27" s="112"/>
      <c r="AH27" s="112"/>
      <c r="AI27" s="112"/>
      <c r="AJ27" s="112"/>
      <c r="AK27" s="112"/>
      <c r="AL27" s="112"/>
      <c r="AM27" s="112"/>
      <c r="AN27" s="112"/>
      <c r="AO27" s="112"/>
      <c r="AP27" s="112"/>
      <c r="AQ27" s="112"/>
      <c r="AR27" s="112"/>
      <c r="AS27" s="112"/>
      <c r="AT27" s="112"/>
      <c r="AU27" s="112"/>
      <c r="AV27" s="112"/>
      <c r="AW27" s="112"/>
      <c r="AX27" s="112"/>
      <c r="AY27" s="112"/>
      <c r="AZ27" s="112"/>
      <c r="BA27" s="112"/>
      <c r="BB27" s="112"/>
      <c r="BC27" s="112"/>
      <c r="BD27" s="112"/>
      <c r="BE27" s="112"/>
      <c r="BF27" s="112"/>
      <c r="BG27" s="112"/>
      <c r="BH27" s="112"/>
      <c r="BI27" s="112"/>
      <c r="BJ27" s="112"/>
      <c r="BK27" s="112"/>
      <c r="BL27" s="112"/>
      <c r="BM27" s="112"/>
      <c r="BN27" s="112"/>
      <c r="BO27" s="112"/>
      <c r="BP27" s="112"/>
      <c r="BQ27" s="112"/>
      <c r="BR27" s="112"/>
      <c r="BS27" s="112"/>
      <c r="BT27" s="112"/>
      <c r="BU27" s="112"/>
      <c r="BV27" s="112"/>
      <c r="BW27" s="112"/>
      <c r="BX27" s="112"/>
      <c r="BY27" s="112"/>
      <c r="BZ27" s="112"/>
      <c r="CA27" s="112"/>
      <c r="CB27" s="112"/>
      <c r="CC27" s="112"/>
      <c r="CD27" s="112"/>
      <c r="CE27" s="112"/>
      <c r="CF27" s="112"/>
      <c r="CG27" s="112"/>
      <c r="CH27" s="112"/>
      <c r="CI27" s="112"/>
      <c r="CJ27" s="112"/>
      <c r="CK27" s="112"/>
      <c r="CL27" s="112"/>
      <c r="CM27" s="112"/>
      <c r="CN27" s="112"/>
      <c r="CO27" s="112"/>
      <c r="CP27" s="112"/>
      <c r="CQ27" s="112"/>
      <c r="CR27" s="112"/>
      <c r="CS27" s="112"/>
      <c r="CT27" s="112"/>
      <c r="CU27" s="112"/>
      <c r="CV27" s="112"/>
      <c r="CW27" s="112"/>
      <c r="CX27" s="112"/>
      <c r="CY27" s="112"/>
      <c r="CZ27" s="112"/>
      <c r="DA27" s="112"/>
      <c r="DB27" s="112"/>
      <c r="DC27" s="112"/>
      <c r="DD27" s="112"/>
      <c r="DE27" s="112"/>
      <c r="DF27" s="112"/>
      <c r="DG27" s="112"/>
      <c r="DH27" s="112"/>
      <c r="DI27" s="112"/>
      <c r="DJ27" s="112"/>
      <c r="DK27" s="112"/>
      <c r="DL27" s="112"/>
      <c r="DM27" s="112"/>
      <c r="DN27" s="112"/>
      <c r="DO27" s="112"/>
      <c r="DP27" s="112"/>
      <c r="DQ27" s="112"/>
      <c r="DR27" s="112"/>
      <c r="DS27" s="112"/>
      <c r="DT27" s="112"/>
      <c r="DU27" s="112"/>
      <c r="DV27" s="112"/>
      <c r="DW27" s="112"/>
      <c r="DX27" s="112"/>
      <c r="DY27" s="112"/>
      <c r="DZ27" s="112"/>
      <c r="EA27" s="112"/>
      <c r="EB27" s="112"/>
      <c r="EC27" s="112"/>
      <c r="ED27" s="112"/>
      <c r="EE27" s="112"/>
      <c r="EF27" s="112"/>
      <c r="EG27" s="112"/>
      <c r="EH27" s="112"/>
      <c r="EI27" s="112"/>
      <c r="EJ27" s="112"/>
      <c r="EK27" s="112"/>
      <c r="EL27" s="112"/>
      <c r="EM27" s="112"/>
      <c r="EN27" s="112"/>
      <c r="EO27" s="112"/>
      <c r="EP27" s="112"/>
      <c r="EQ27" s="112"/>
      <c r="ER27" s="112"/>
      <c r="ES27" s="112"/>
      <c r="ET27" s="112"/>
      <c r="EU27" s="112"/>
      <c r="EV27" s="112"/>
      <c r="EW27" s="112"/>
      <c r="EX27" s="112"/>
      <c r="EY27" s="112"/>
      <c r="EZ27" s="112"/>
      <c r="FA27" s="112"/>
      <c r="FB27" s="112"/>
      <c r="FC27" s="112"/>
      <c r="FD27" s="112"/>
      <c r="FE27" s="112"/>
      <c r="FF27" s="112"/>
      <c r="FG27" s="112"/>
      <c r="FH27" s="112"/>
      <c r="FI27" s="112"/>
      <c r="FJ27" s="112"/>
      <c r="FK27" s="112"/>
      <c r="FL27" s="112"/>
      <c r="FM27" s="112"/>
      <c r="FN27" s="112"/>
      <c r="FO27" s="112"/>
      <c r="FP27" s="112"/>
      <c r="FQ27" s="112"/>
      <c r="FR27" s="112"/>
      <c r="FS27" s="112"/>
      <c r="FT27" s="112"/>
      <c r="FU27" s="112"/>
      <c r="FV27" s="112"/>
      <c r="FW27" s="112"/>
      <c r="FX27" s="112"/>
      <c r="FY27" s="112"/>
      <c r="FZ27" s="112"/>
      <c r="GA27" s="112"/>
      <c r="GB27" s="112"/>
      <c r="GC27" s="112"/>
      <c r="GD27" s="112"/>
      <c r="GE27" s="112"/>
      <c r="GF27" s="112"/>
      <c r="GG27" s="112"/>
      <c r="GH27" s="112"/>
      <c r="GI27" s="112"/>
      <c r="GJ27" s="112"/>
      <c r="GK27" s="112"/>
      <c r="GL27" s="112"/>
      <c r="GM27" s="112"/>
      <c r="GN27" s="112"/>
      <c r="GO27" s="112"/>
      <c r="GP27" s="112"/>
      <c r="GQ27" s="112"/>
      <c r="GR27" s="112"/>
      <c r="GS27" s="112"/>
      <c r="GT27" s="112"/>
      <c r="GU27" s="112"/>
      <c r="GV27" s="112"/>
      <c r="GW27" s="112"/>
      <c r="GX27" s="112"/>
      <c r="GY27" s="112"/>
      <c r="GZ27" s="112"/>
      <c r="HA27" s="112"/>
      <c r="HB27" s="112"/>
      <c r="HC27" s="112"/>
      <c r="HD27" s="112"/>
      <c r="HE27" s="112"/>
      <c r="HF27" s="112"/>
      <c r="HG27" s="112"/>
      <c r="HH27" s="112"/>
      <c r="HI27" s="112"/>
      <c r="HJ27" s="112"/>
      <c r="HK27" s="112"/>
      <c r="HL27" s="112"/>
      <c r="HM27" s="112"/>
      <c r="HN27" s="112"/>
      <c r="HO27" s="112"/>
      <c r="HP27" s="112"/>
      <c r="HQ27" s="112"/>
      <c r="HR27" s="112"/>
      <c r="HS27" s="112"/>
      <c r="HT27" s="112"/>
      <c r="HU27" s="112"/>
      <c r="HV27" s="112"/>
      <c r="HW27" s="112"/>
      <c r="HX27" s="112"/>
      <c r="HY27" s="112"/>
      <c r="HZ27" s="112"/>
      <c r="IA27" s="112"/>
      <c r="IB27" s="112"/>
      <c r="IC27" s="112"/>
      <c r="ID27" s="112"/>
      <c r="IE27" s="112"/>
      <c r="IF27" s="112"/>
      <c r="IG27" s="112"/>
      <c r="IH27" s="112"/>
      <c r="II27" s="112"/>
      <c r="IJ27" s="112"/>
      <c r="IK27" s="112"/>
      <c r="IL27" s="112"/>
      <c r="IM27" s="112"/>
      <c r="IN27" s="112"/>
      <c r="IO27" s="112"/>
      <c r="IP27" s="112"/>
      <c r="IQ27" s="112"/>
      <c r="IR27" s="112"/>
      <c r="IS27" s="112"/>
      <c r="IT27" s="112"/>
      <c r="IU27" s="112"/>
      <c r="IV27" s="112"/>
    </row>
    <row r="28" spans="1:256" s="121" customFormat="1" ht="13.5" thickBot="1" x14ac:dyDescent="0.25">
      <c r="A28" s="117" t="s">
        <v>9</v>
      </c>
      <c r="B28" s="118" t="s">
        <v>10</v>
      </c>
      <c r="C28" s="119">
        <v>8.15</v>
      </c>
      <c r="D28" s="120"/>
      <c r="E28" s="131" t="s">
        <v>38479</v>
      </c>
      <c r="F28" s="132">
        <v>9.7000000000000003E-3</v>
      </c>
      <c r="G28" s="133">
        <v>1.2699999999999999E-2</v>
      </c>
      <c r="H28" s="134">
        <v>1.2699999999999999E-2</v>
      </c>
      <c r="I28" s="120"/>
      <c r="J28" s="131" t="s">
        <v>38479</v>
      </c>
      <c r="K28" s="134">
        <v>0.01</v>
      </c>
      <c r="L28" s="134">
        <v>1.3899999999999999E-2</v>
      </c>
      <c r="M28" s="134">
        <v>1.7399999999999999E-2</v>
      </c>
      <c r="N28" s="120"/>
      <c r="O28" s="120"/>
      <c r="P28" s="120"/>
      <c r="Q28" s="120"/>
      <c r="R28" s="120"/>
      <c r="S28" s="120"/>
      <c r="T28" s="120"/>
      <c r="U28" s="120"/>
      <c r="V28" s="120"/>
      <c r="W28" s="120"/>
      <c r="X28" s="120"/>
      <c r="Y28" s="120"/>
      <c r="Z28" s="120"/>
      <c r="AA28" s="120"/>
      <c r="AB28" s="120"/>
      <c r="AC28" s="120"/>
      <c r="AD28" s="120"/>
      <c r="AE28" s="120"/>
      <c r="AF28" s="120"/>
      <c r="AG28" s="120"/>
      <c r="AH28" s="120"/>
      <c r="AI28" s="120"/>
      <c r="AJ28" s="120"/>
      <c r="AK28" s="120"/>
      <c r="AL28" s="120"/>
      <c r="AM28" s="120"/>
      <c r="AN28" s="120"/>
      <c r="AO28" s="120"/>
      <c r="AP28" s="120"/>
      <c r="AQ28" s="120"/>
      <c r="AR28" s="120"/>
      <c r="AS28" s="120"/>
      <c r="AT28" s="120"/>
      <c r="AU28" s="120"/>
      <c r="AV28" s="120"/>
      <c r="AW28" s="120"/>
      <c r="AX28" s="120"/>
      <c r="AY28" s="120"/>
      <c r="AZ28" s="120"/>
      <c r="BA28" s="120"/>
      <c r="BB28" s="120"/>
      <c r="BC28" s="120"/>
      <c r="BD28" s="120"/>
      <c r="BE28" s="120"/>
      <c r="BF28" s="120"/>
      <c r="BG28" s="120"/>
      <c r="BH28" s="120"/>
      <c r="BI28" s="120"/>
      <c r="BJ28" s="120"/>
      <c r="BK28" s="120"/>
      <c r="BL28" s="120"/>
      <c r="BM28" s="120"/>
      <c r="BN28" s="120"/>
      <c r="BO28" s="120"/>
      <c r="BP28" s="120"/>
      <c r="BQ28" s="120"/>
      <c r="BR28" s="120"/>
      <c r="BS28" s="120"/>
      <c r="BT28" s="120"/>
      <c r="BU28" s="120"/>
      <c r="BV28" s="120"/>
      <c r="BW28" s="120"/>
      <c r="BX28" s="120"/>
      <c r="BY28" s="120"/>
      <c r="BZ28" s="120"/>
      <c r="CA28" s="120"/>
      <c r="CB28" s="120"/>
      <c r="CC28" s="120"/>
      <c r="CD28" s="120"/>
      <c r="CE28" s="120"/>
      <c r="CF28" s="120"/>
      <c r="CG28" s="120"/>
      <c r="CH28" s="120"/>
      <c r="CI28" s="120"/>
      <c r="CJ28" s="120"/>
      <c r="CK28" s="120"/>
      <c r="CL28" s="120"/>
      <c r="CM28" s="120"/>
      <c r="CN28" s="120"/>
      <c r="CO28" s="120"/>
      <c r="CP28" s="120"/>
      <c r="CQ28" s="120"/>
      <c r="CR28" s="120"/>
      <c r="CS28" s="120"/>
      <c r="CT28" s="120"/>
      <c r="CU28" s="120"/>
      <c r="CV28" s="120"/>
      <c r="CW28" s="120"/>
      <c r="CX28" s="120"/>
      <c r="CY28" s="120"/>
      <c r="CZ28" s="120"/>
      <c r="DA28" s="120"/>
      <c r="DB28" s="120"/>
      <c r="DC28" s="120"/>
      <c r="DD28" s="120"/>
      <c r="DE28" s="120"/>
      <c r="DF28" s="120"/>
      <c r="DG28" s="120"/>
      <c r="DH28" s="120"/>
      <c r="DI28" s="120"/>
      <c r="DJ28" s="120"/>
      <c r="DK28" s="120"/>
      <c r="DL28" s="120"/>
      <c r="DM28" s="120"/>
      <c r="DN28" s="120"/>
      <c r="DO28" s="120"/>
      <c r="DP28" s="120"/>
      <c r="DQ28" s="120"/>
      <c r="DR28" s="120"/>
      <c r="DS28" s="120"/>
      <c r="DT28" s="120"/>
      <c r="DU28" s="120"/>
      <c r="DV28" s="120"/>
      <c r="DW28" s="120"/>
      <c r="DX28" s="120"/>
      <c r="DY28" s="120"/>
      <c r="DZ28" s="120"/>
      <c r="EA28" s="120"/>
      <c r="EB28" s="120"/>
      <c r="EC28" s="120"/>
      <c r="ED28" s="120"/>
      <c r="EE28" s="120"/>
      <c r="EF28" s="120"/>
      <c r="EG28" s="120"/>
      <c r="EH28" s="120"/>
      <c r="EI28" s="120"/>
      <c r="EJ28" s="120"/>
      <c r="EK28" s="120"/>
      <c r="EL28" s="120"/>
      <c r="EM28" s="120"/>
      <c r="EN28" s="120"/>
      <c r="EO28" s="120"/>
      <c r="EP28" s="120"/>
      <c r="EQ28" s="120"/>
      <c r="ER28" s="120"/>
      <c r="ES28" s="120"/>
      <c r="ET28" s="120"/>
      <c r="EU28" s="120"/>
      <c r="EV28" s="120"/>
      <c r="EW28" s="120"/>
      <c r="EX28" s="120"/>
      <c r="EY28" s="120"/>
      <c r="EZ28" s="120"/>
      <c r="FA28" s="120"/>
      <c r="FB28" s="120"/>
      <c r="FC28" s="120"/>
      <c r="FD28" s="120"/>
      <c r="FE28" s="120"/>
      <c r="FF28" s="120"/>
      <c r="FG28" s="120"/>
      <c r="FH28" s="120"/>
      <c r="FI28" s="120"/>
      <c r="FJ28" s="120"/>
      <c r="FK28" s="120"/>
      <c r="FL28" s="120"/>
      <c r="FM28" s="120"/>
      <c r="FN28" s="120"/>
      <c r="FO28" s="120"/>
      <c r="FP28" s="120"/>
      <c r="FQ28" s="120"/>
      <c r="FR28" s="120"/>
      <c r="FS28" s="120"/>
      <c r="FT28" s="120"/>
      <c r="FU28" s="120"/>
      <c r="FV28" s="120"/>
      <c r="FW28" s="120"/>
      <c r="FX28" s="120"/>
      <c r="FY28" s="120"/>
      <c r="FZ28" s="120"/>
      <c r="GA28" s="120"/>
      <c r="GB28" s="120"/>
      <c r="GC28" s="120"/>
      <c r="GD28" s="120"/>
      <c r="GE28" s="120"/>
      <c r="GF28" s="120"/>
      <c r="GG28" s="120"/>
      <c r="GH28" s="120"/>
      <c r="GI28" s="120"/>
      <c r="GJ28" s="120"/>
      <c r="GK28" s="120"/>
      <c r="GL28" s="120"/>
      <c r="GM28" s="120"/>
      <c r="GN28" s="120"/>
      <c r="GO28" s="120"/>
      <c r="GP28" s="120"/>
      <c r="GQ28" s="120"/>
      <c r="GR28" s="120"/>
      <c r="GS28" s="120"/>
      <c r="GT28" s="120"/>
      <c r="GU28" s="120"/>
      <c r="GV28" s="120"/>
      <c r="GW28" s="120"/>
      <c r="GX28" s="120"/>
      <c r="GY28" s="120"/>
      <c r="GZ28" s="120"/>
      <c r="HA28" s="120"/>
      <c r="HB28" s="120"/>
      <c r="HC28" s="120"/>
      <c r="HD28" s="120"/>
      <c r="HE28" s="120"/>
      <c r="HF28" s="120"/>
      <c r="HG28" s="120"/>
      <c r="HH28" s="120"/>
      <c r="HI28" s="120"/>
      <c r="HJ28" s="120"/>
      <c r="HK28" s="120"/>
      <c r="HL28" s="120"/>
      <c r="HM28" s="120"/>
      <c r="HN28" s="120"/>
      <c r="HO28" s="120"/>
      <c r="HP28" s="120"/>
      <c r="HQ28" s="120"/>
      <c r="HR28" s="120"/>
      <c r="HS28" s="120"/>
      <c r="HT28" s="120"/>
      <c r="HU28" s="120"/>
      <c r="HV28" s="120"/>
      <c r="HW28" s="120"/>
      <c r="HX28" s="120"/>
      <c r="HY28" s="120"/>
      <c r="HZ28" s="120"/>
      <c r="IA28" s="120"/>
      <c r="IB28" s="120"/>
      <c r="IC28" s="120"/>
      <c r="ID28" s="120"/>
      <c r="IE28" s="120"/>
      <c r="IF28" s="120"/>
      <c r="IG28" s="120"/>
      <c r="IH28" s="120"/>
      <c r="II28" s="120"/>
      <c r="IJ28" s="120"/>
      <c r="IK28" s="120"/>
      <c r="IL28" s="120"/>
      <c r="IM28" s="120"/>
      <c r="IN28" s="120"/>
      <c r="IO28" s="120"/>
      <c r="IP28" s="120"/>
      <c r="IQ28" s="120"/>
      <c r="IR28" s="120"/>
      <c r="IS28" s="120"/>
      <c r="IT28" s="120"/>
      <c r="IU28" s="120"/>
      <c r="IV28" s="120"/>
    </row>
    <row r="29" spans="1:256" ht="13.5" thickBot="1" x14ac:dyDescent="0.25">
      <c r="C29" s="111"/>
      <c r="D29" s="112"/>
      <c r="E29" s="127" t="s">
        <v>38480</v>
      </c>
      <c r="F29" s="128">
        <v>5.8999999999999999E-3</v>
      </c>
      <c r="G29" s="129">
        <v>1.23E-2</v>
      </c>
      <c r="H29" s="130">
        <v>1.3899999999999999E-2</v>
      </c>
      <c r="I29" s="112"/>
      <c r="J29" s="127" t="s">
        <v>38480</v>
      </c>
      <c r="K29" s="130">
        <v>9.4000000000000004E-3</v>
      </c>
      <c r="L29" s="130">
        <v>9.9000000000000008E-3</v>
      </c>
      <c r="M29" s="130">
        <v>1.17E-2</v>
      </c>
      <c r="N29" s="112"/>
      <c r="O29" s="112"/>
      <c r="P29" s="112"/>
      <c r="Q29" s="112"/>
      <c r="R29" s="112"/>
      <c r="S29" s="112"/>
      <c r="T29" s="112"/>
      <c r="U29" s="112"/>
      <c r="V29" s="112"/>
      <c r="W29" s="112"/>
      <c r="X29" s="112"/>
      <c r="Y29" s="112"/>
      <c r="Z29" s="112"/>
      <c r="AA29" s="112"/>
      <c r="AB29" s="112"/>
      <c r="AC29" s="112"/>
      <c r="AD29" s="112"/>
      <c r="AE29" s="112"/>
      <c r="AF29" s="112"/>
      <c r="AG29" s="112"/>
      <c r="AH29" s="112"/>
      <c r="AI29" s="112"/>
      <c r="AJ29" s="112"/>
      <c r="AK29" s="112"/>
      <c r="AL29" s="112"/>
      <c r="AM29" s="112"/>
      <c r="AN29" s="112"/>
      <c r="AO29" s="112"/>
      <c r="AP29" s="112"/>
      <c r="AQ29" s="112"/>
      <c r="AR29" s="112"/>
      <c r="AS29" s="112"/>
      <c r="AT29" s="112"/>
      <c r="AU29" s="112"/>
      <c r="AV29" s="112"/>
      <c r="AW29" s="112"/>
      <c r="AX29" s="112"/>
      <c r="AY29" s="112"/>
      <c r="AZ29" s="112"/>
      <c r="BA29" s="112"/>
      <c r="BB29" s="112"/>
      <c r="BC29" s="112"/>
      <c r="BD29" s="112"/>
      <c r="BE29" s="112"/>
      <c r="BF29" s="112"/>
      <c r="BG29" s="112"/>
      <c r="BH29" s="112"/>
      <c r="BI29" s="112"/>
      <c r="BJ29" s="112"/>
      <c r="BK29" s="112"/>
      <c r="BL29" s="112"/>
      <c r="BM29" s="112"/>
      <c r="BN29" s="112"/>
      <c r="BO29" s="112"/>
      <c r="BP29" s="112"/>
      <c r="BQ29" s="112"/>
      <c r="BR29" s="112"/>
      <c r="BS29" s="112"/>
      <c r="BT29" s="112"/>
      <c r="BU29" s="112"/>
      <c r="BV29" s="112"/>
      <c r="BW29" s="112"/>
      <c r="BX29" s="112"/>
      <c r="BY29" s="112"/>
      <c r="BZ29" s="112"/>
      <c r="CA29" s="112"/>
      <c r="CB29" s="112"/>
      <c r="CC29" s="112"/>
      <c r="CD29" s="112"/>
      <c r="CE29" s="112"/>
      <c r="CF29" s="112"/>
      <c r="CG29" s="112"/>
      <c r="CH29" s="112"/>
      <c r="CI29" s="112"/>
      <c r="CJ29" s="112"/>
      <c r="CK29" s="112"/>
      <c r="CL29" s="112"/>
      <c r="CM29" s="112"/>
      <c r="CN29" s="112"/>
      <c r="CO29" s="112"/>
      <c r="CP29" s="112"/>
      <c r="CQ29" s="112"/>
      <c r="CR29" s="112"/>
      <c r="CS29" s="112"/>
      <c r="CT29" s="112"/>
      <c r="CU29" s="112"/>
      <c r="CV29" s="112"/>
      <c r="CW29" s="112"/>
      <c r="CX29" s="112"/>
      <c r="CY29" s="112"/>
      <c r="CZ29" s="112"/>
      <c r="DA29" s="112"/>
      <c r="DB29" s="112"/>
      <c r="DC29" s="112"/>
      <c r="DD29" s="112"/>
      <c r="DE29" s="112"/>
      <c r="DF29" s="112"/>
      <c r="DG29" s="112"/>
      <c r="DH29" s="112"/>
      <c r="DI29" s="112"/>
      <c r="DJ29" s="112"/>
      <c r="DK29" s="112"/>
      <c r="DL29" s="112"/>
      <c r="DM29" s="112"/>
      <c r="DN29" s="112"/>
      <c r="DO29" s="112"/>
      <c r="DP29" s="112"/>
      <c r="DQ29" s="112"/>
      <c r="DR29" s="112"/>
      <c r="DS29" s="112"/>
      <c r="DT29" s="112"/>
      <c r="DU29" s="112"/>
      <c r="DV29" s="112"/>
      <c r="DW29" s="112"/>
      <c r="DX29" s="112"/>
      <c r="DY29" s="112"/>
      <c r="DZ29" s="112"/>
      <c r="EA29" s="112"/>
      <c r="EB29" s="112"/>
      <c r="EC29" s="112"/>
      <c r="ED29" s="112"/>
      <c r="EE29" s="112"/>
      <c r="EF29" s="112"/>
      <c r="EG29" s="112"/>
      <c r="EH29" s="112"/>
      <c r="EI29" s="112"/>
      <c r="EJ29" s="112"/>
      <c r="EK29" s="112"/>
      <c r="EL29" s="112"/>
      <c r="EM29" s="112"/>
      <c r="EN29" s="112"/>
      <c r="EO29" s="112"/>
      <c r="EP29" s="112"/>
      <c r="EQ29" s="112"/>
      <c r="ER29" s="112"/>
      <c r="ES29" s="112"/>
      <c r="ET29" s="112"/>
      <c r="EU29" s="112"/>
      <c r="EV29" s="112"/>
      <c r="EW29" s="112"/>
      <c r="EX29" s="112"/>
      <c r="EY29" s="112"/>
      <c r="EZ29" s="112"/>
      <c r="FA29" s="112"/>
      <c r="FB29" s="112"/>
      <c r="FC29" s="112"/>
      <c r="FD29" s="112"/>
      <c r="FE29" s="112"/>
      <c r="FF29" s="112"/>
      <c r="FG29" s="112"/>
      <c r="FH29" s="112"/>
      <c r="FI29" s="112"/>
      <c r="FJ29" s="112"/>
      <c r="FK29" s="112"/>
      <c r="FL29" s="112"/>
      <c r="FM29" s="112"/>
      <c r="FN29" s="112"/>
      <c r="FO29" s="112"/>
      <c r="FP29" s="112"/>
      <c r="FQ29" s="112"/>
      <c r="FR29" s="112"/>
      <c r="FS29" s="112"/>
      <c r="FT29" s="112"/>
      <c r="FU29" s="112"/>
      <c r="FV29" s="112"/>
      <c r="FW29" s="112"/>
      <c r="FX29" s="112"/>
      <c r="FY29" s="112"/>
      <c r="FZ29" s="112"/>
      <c r="GA29" s="112"/>
      <c r="GB29" s="112"/>
      <c r="GC29" s="112"/>
      <c r="GD29" s="112"/>
      <c r="GE29" s="112"/>
      <c r="GF29" s="112"/>
      <c r="GG29" s="112"/>
      <c r="GH29" s="112"/>
      <c r="GI29" s="112"/>
      <c r="GJ29" s="112"/>
      <c r="GK29" s="112"/>
      <c r="GL29" s="112"/>
      <c r="GM29" s="112"/>
      <c r="GN29" s="112"/>
      <c r="GO29" s="112"/>
      <c r="GP29" s="112"/>
      <c r="GQ29" s="112"/>
      <c r="GR29" s="112"/>
      <c r="GS29" s="112"/>
      <c r="GT29" s="112"/>
      <c r="GU29" s="112"/>
      <c r="GV29" s="112"/>
      <c r="GW29" s="112"/>
      <c r="GX29" s="112"/>
      <c r="GY29" s="112"/>
      <c r="GZ29" s="112"/>
      <c r="HA29" s="112"/>
      <c r="HB29" s="112"/>
      <c r="HC29" s="112"/>
      <c r="HD29" s="112"/>
      <c r="HE29" s="112"/>
      <c r="HF29" s="112"/>
      <c r="HG29" s="112"/>
      <c r="HH29" s="112"/>
      <c r="HI29" s="112"/>
      <c r="HJ29" s="112"/>
      <c r="HK29" s="112"/>
      <c r="HL29" s="112"/>
      <c r="HM29" s="112"/>
      <c r="HN29" s="112"/>
      <c r="HO29" s="112"/>
      <c r="HP29" s="112"/>
      <c r="HQ29" s="112"/>
      <c r="HR29" s="112"/>
      <c r="HS29" s="112"/>
      <c r="HT29" s="112"/>
      <c r="HU29" s="112"/>
      <c r="HV29" s="112"/>
      <c r="HW29" s="112"/>
      <c r="HX29" s="112"/>
      <c r="HY29" s="112"/>
      <c r="HZ29" s="112"/>
      <c r="IA29" s="112"/>
      <c r="IB29" s="112"/>
      <c r="IC29" s="112"/>
      <c r="ID29" s="112"/>
      <c r="IE29" s="112"/>
      <c r="IF29" s="112"/>
      <c r="IG29" s="112"/>
      <c r="IH29" s="112"/>
      <c r="II29" s="112"/>
      <c r="IJ29" s="112"/>
      <c r="IK29" s="112"/>
      <c r="IL29" s="112"/>
      <c r="IM29" s="112"/>
      <c r="IN29" s="112"/>
      <c r="IO29" s="112"/>
      <c r="IP29" s="112"/>
      <c r="IQ29" s="112"/>
      <c r="IR29" s="112"/>
      <c r="IS29" s="112"/>
      <c r="IT29" s="112"/>
      <c r="IU29" s="112"/>
      <c r="IV29" s="112"/>
    </row>
    <row r="30" spans="1:256" ht="13.5" thickBot="1" x14ac:dyDescent="0.25">
      <c r="A30" s="135" t="s">
        <v>11</v>
      </c>
      <c r="B30" s="136" t="s">
        <v>12</v>
      </c>
      <c r="C30" s="137"/>
      <c r="D30" s="112"/>
      <c r="E30" s="127" t="s">
        <v>38481</v>
      </c>
      <c r="F30" s="128">
        <v>6.1600000000000002E-2</v>
      </c>
      <c r="G30" s="129">
        <v>7.3999999999999996E-2</v>
      </c>
      <c r="H30" s="130">
        <v>8.9599999999999999E-2</v>
      </c>
      <c r="I30" s="112"/>
      <c r="J30" s="127" t="s">
        <v>38481</v>
      </c>
      <c r="K30" s="130">
        <v>6.7400000000000002E-2</v>
      </c>
      <c r="L30" s="130">
        <v>8.0399999999999999E-2</v>
      </c>
      <c r="M30" s="130">
        <v>9.4E-2</v>
      </c>
      <c r="N30" s="112"/>
      <c r="O30" s="112"/>
      <c r="P30" s="112"/>
      <c r="Q30" s="112"/>
      <c r="R30" s="112"/>
      <c r="S30" s="112"/>
      <c r="T30" s="112"/>
      <c r="U30" s="112"/>
      <c r="V30" s="112"/>
      <c r="W30" s="112"/>
      <c r="X30" s="112"/>
      <c r="Y30" s="112"/>
      <c r="Z30" s="112"/>
      <c r="AA30" s="112"/>
      <c r="AB30" s="112"/>
      <c r="AC30" s="112"/>
      <c r="AD30" s="112"/>
      <c r="AE30" s="112"/>
      <c r="AF30" s="112"/>
      <c r="AG30" s="112"/>
      <c r="AH30" s="112"/>
      <c r="AI30" s="112"/>
      <c r="AJ30" s="112"/>
      <c r="AK30" s="112"/>
      <c r="AL30" s="112"/>
      <c r="AM30" s="112"/>
      <c r="AN30" s="112"/>
      <c r="AO30" s="112"/>
      <c r="AP30" s="112"/>
      <c r="AQ30" s="112"/>
      <c r="AR30" s="112"/>
      <c r="AS30" s="112"/>
      <c r="AT30" s="112"/>
      <c r="AU30" s="112"/>
      <c r="AV30" s="112"/>
      <c r="AW30" s="112"/>
      <c r="AX30" s="112"/>
      <c r="AY30" s="112"/>
      <c r="AZ30" s="112"/>
      <c r="BA30" s="112"/>
      <c r="BB30" s="112"/>
      <c r="BC30" s="112"/>
      <c r="BD30" s="112"/>
      <c r="BE30" s="112"/>
      <c r="BF30" s="112"/>
      <c r="BG30" s="112"/>
      <c r="BH30" s="112"/>
      <c r="BI30" s="112"/>
      <c r="BJ30" s="112"/>
      <c r="BK30" s="112"/>
      <c r="BL30" s="112"/>
      <c r="BM30" s="112"/>
      <c r="BN30" s="112"/>
      <c r="BO30" s="112"/>
      <c r="BP30" s="112"/>
      <c r="BQ30" s="112"/>
      <c r="BR30" s="112"/>
      <c r="BS30" s="112"/>
      <c r="BT30" s="112"/>
      <c r="BU30" s="112"/>
      <c r="BV30" s="112"/>
      <c r="BW30" s="112"/>
      <c r="BX30" s="112"/>
      <c r="BY30" s="112"/>
      <c r="BZ30" s="112"/>
      <c r="CA30" s="112"/>
      <c r="CB30" s="112"/>
      <c r="CC30" s="112"/>
      <c r="CD30" s="112"/>
      <c r="CE30" s="112"/>
      <c r="CF30" s="112"/>
      <c r="CG30" s="112"/>
      <c r="CH30" s="112"/>
      <c r="CI30" s="112"/>
      <c r="CJ30" s="112"/>
      <c r="CK30" s="112"/>
      <c r="CL30" s="112"/>
      <c r="CM30" s="112"/>
      <c r="CN30" s="112"/>
      <c r="CO30" s="112"/>
      <c r="CP30" s="112"/>
      <c r="CQ30" s="112"/>
      <c r="CR30" s="112"/>
      <c r="CS30" s="112"/>
      <c r="CT30" s="112"/>
      <c r="CU30" s="112"/>
      <c r="CV30" s="112"/>
      <c r="CW30" s="112"/>
      <c r="CX30" s="112"/>
      <c r="CY30" s="112"/>
      <c r="CZ30" s="112"/>
      <c r="DA30" s="112"/>
      <c r="DB30" s="112"/>
      <c r="DC30" s="112"/>
      <c r="DD30" s="112"/>
      <c r="DE30" s="112"/>
      <c r="DF30" s="112"/>
      <c r="DG30" s="112"/>
      <c r="DH30" s="112"/>
      <c r="DI30" s="112"/>
      <c r="DJ30" s="112"/>
      <c r="DK30" s="112"/>
      <c r="DL30" s="112"/>
      <c r="DM30" s="112"/>
      <c r="DN30" s="112"/>
      <c r="DO30" s="112"/>
      <c r="DP30" s="112"/>
      <c r="DQ30" s="112"/>
      <c r="DR30" s="112"/>
      <c r="DS30" s="112"/>
      <c r="DT30" s="112"/>
      <c r="DU30" s="112"/>
      <c r="DV30" s="112"/>
      <c r="DW30" s="112"/>
      <c r="DX30" s="112"/>
      <c r="DY30" s="112"/>
      <c r="DZ30" s="112"/>
      <c r="EA30" s="112"/>
      <c r="EB30" s="112"/>
      <c r="EC30" s="112"/>
      <c r="ED30" s="112"/>
      <c r="EE30" s="112"/>
      <c r="EF30" s="112"/>
      <c r="EG30" s="112"/>
      <c r="EH30" s="112"/>
      <c r="EI30" s="112"/>
      <c r="EJ30" s="112"/>
      <c r="EK30" s="112"/>
      <c r="EL30" s="112"/>
      <c r="EM30" s="112"/>
      <c r="EN30" s="112"/>
      <c r="EO30" s="112"/>
      <c r="EP30" s="112"/>
      <c r="EQ30" s="112"/>
      <c r="ER30" s="112"/>
      <c r="ES30" s="112"/>
      <c r="ET30" s="112"/>
      <c r="EU30" s="112"/>
      <c r="EV30" s="112"/>
      <c r="EW30" s="112"/>
      <c r="EX30" s="112"/>
      <c r="EY30" s="112"/>
      <c r="EZ30" s="112"/>
      <c r="FA30" s="112"/>
      <c r="FB30" s="112"/>
      <c r="FC30" s="112"/>
      <c r="FD30" s="112"/>
      <c r="FE30" s="112"/>
      <c r="FF30" s="112"/>
      <c r="FG30" s="112"/>
      <c r="FH30" s="112"/>
      <c r="FI30" s="112"/>
      <c r="FJ30" s="112"/>
      <c r="FK30" s="112"/>
      <c r="FL30" s="112"/>
      <c r="FM30" s="112"/>
      <c r="FN30" s="112"/>
      <c r="FO30" s="112"/>
      <c r="FP30" s="112"/>
      <c r="FQ30" s="112"/>
      <c r="FR30" s="112"/>
      <c r="FS30" s="112"/>
      <c r="FT30" s="112"/>
      <c r="FU30" s="112"/>
      <c r="FV30" s="112"/>
      <c r="FW30" s="112"/>
      <c r="FX30" s="112"/>
      <c r="FY30" s="112"/>
      <c r="FZ30" s="112"/>
      <c r="GA30" s="112"/>
      <c r="GB30" s="112"/>
      <c r="GC30" s="112"/>
      <c r="GD30" s="112"/>
      <c r="GE30" s="112"/>
      <c r="GF30" s="112"/>
      <c r="GG30" s="112"/>
      <c r="GH30" s="112"/>
      <c r="GI30" s="112"/>
      <c r="GJ30" s="112"/>
      <c r="GK30" s="112"/>
      <c r="GL30" s="112"/>
      <c r="GM30" s="112"/>
      <c r="GN30" s="112"/>
      <c r="GO30" s="112"/>
      <c r="GP30" s="112"/>
      <c r="GQ30" s="112"/>
      <c r="GR30" s="112"/>
      <c r="GS30" s="112"/>
      <c r="GT30" s="112"/>
      <c r="GU30" s="112"/>
      <c r="GV30" s="112"/>
      <c r="GW30" s="112"/>
      <c r="GX30" s="112"/>
      <c r="GY30" s="112"/>
      <c r="GZ30" s="112"/>
      <c r="HA30" s="112"/>
      <c r="HB30" s="112"/>
      <c r="HC30" s="112"/>
      <c r="HD30" s="112"/>
      <c r="HE30" s="112"/>
      <c r="HF30" s="112"/>
      <c r="HG30" s="112"/>
      <c r="HH30" s="112"/>
      <c r="HI30" s="112"/>
      <c r="HJ30" s="112"/>
      <c r="HK30" s="112"/>
      <c r="HL30" s="112"/>
      <c r="HM30" s="112"/>
      <c r="HN30" s="112"/>
      <c r="HO30" s="112"/>
      <c r="HP30" s="112"/>
      <c r="HQ30" s="112"/>
      <c r="HR30" s="112"/>
      <c r="HS30" s="112"/>
      <c r="HT30" s="112"/>
      <c r="HU30" s="112"/>
      <c r="HV30" s="112"/>
      <c r="HW30" s="112"/>
      <c r="HX30" s="112"/>
      <c r="HY30" s="112"/>
      <c r="HZ30" s="112"/>
      <c r="IA30" s="112"/>
      <c r="IB30" s="112"/>
      <c r="IC30" s="112"/>
      <c r="ID30" s="112"/>
      <c r="IE30" s="112"/>
      <c r="IF30" s="112"/>
      <c r="IG30" s="112"/>
      <c r="IH30" s="112"/>
      <c r="II30" s="112"/>
      <c r="IJ30" s="112"/>
      <c r="IK30" s="112"/>
      <c r="IL30" s="112"/>
      <c r="IM30" s="112"/>
      <c r="IN30" s="112"/>
      <c r="IO30" s="112"/>
      <c r="IP30" s="112"/>
      <c r="IQ30" s="112"/>
      <c r="IR30" s="112"/>
      <c r="IS30" s="112"/>
      <c r="IT30" s="112"/>
      <c r="IU30" s="112"/>
      <c r="IV30" s="112"/>
    </row>
    <row r="31" spans="1:256" ht="13.5" thickBot="1" x14ac:dyDescent="0.25">
      <c r="A31" s="138"/>
      <c r="B31" s="139" t="s">
        <v>38482</v>
      </c>
      <c r="C31" s="140">
        <v>0.65</v>
      </c>
      <c r="D31" s="112"/>
      <c r="E31" s="127" t="s">
        <v>38483</v>
      </c>
      <c r="F31" s="636" t="s">
        <v>38484</v>
      </c>
      <c r="G31" s="637"/>
      <c r="H31" s="638"/>
      <c r="I31" s="112"/>
      <c r="J31" s="127" t="s">
        <v>38483</v>
      </c>
      <c r="K31" s="636" t="s">
        <v>38484</v>
      </c>
      <c r="L31" s="637"/>
      <c r="M31" s="638"/>
      <c r="N31" s="112"/>
      <c r="O31" s="112"/>
      <c r="P31" s="112"/>
      <c r="Q31" s="112"/>
      <c r="R31" s="112"/>
      <c r="S31" s="112"/>
      <c r="T31" s="112"/>
      <c r="U31" s="112"/>
      <c r="V31" s="112"/>
      <c r="W31" s="112"/>
      <c r="X31" s="112"/>
      <c r="Y31" s="112"/>
      <c r="Z31" s="112"/>
      <c r="AA31" s="112"/>
      <c r="AB31" s="112"/>
      <c r="AC31" s="112"/>
      <c r="AD31" s="112"/>
      <c r="AE31" s="112"/>
      <c r="AF31" s="112"/>
      <c r="AG31" s="112"/>
      <c r="AH31" s="112"/>
      <c r="AI31" s="112"/>
      <c r="AJ31" s="112"/>
      <c r="AK31" s="112"/>
      <c r="AL31" s="112"/>
      <c r="AM31" s="112"/>
      <c r="AN31" s="112"/>
      <c r="AO31" s="112"/>
      <c r="AP31" s="112"/>
      <c r="AQ31" s="112"/>
      <c r="AR31" s="112"/>
      <c r="AS31" s="112"/>
      <c r="AT31" s="112"/>
      <c r="AU31" s="112"/>
      <c r="AV31" s="112"/>
      <c r="AW31" s="112"/>
      <c r="AX31" s="112"/>
      <c r="AY31" s="112"/>
      <c r="AZ31" s="112"/>
      <c r="BA31" s="112"/>
      <c r="BB31" s="112"/>
      <c r="BC31" s="112"/>
      <c r="BD31" s="112"/>
      <c r="BE31" s="112"/>
      <c r="BF31" s="112"/>
      <c r="BG31" s="112"/>
      <c r="BH31" s="112"/>
      <c r="BI31" s="112"/>
      <c r="BJ31" s="112"/>
      <c r="BK31" s="112"/>
      <c r="BL31" s="112"/>
      <c r="BM31" s="112"/>
      <c r="BN31" s="112"/>
      <c r="BO31" s="112"/>
      <c r="BP31" s="112"/>
      <c r="BQ31" s="112"/>
      <c r="BR31" s="112"/>
      <c r="BS31" s="112"/>
      <c r="BT31" s="112"/>
      <c r="BU31" s="112"/>
      <c r="BV31" s="112"/>
      <c r="BW31" s="112"/>
      <c r="BX31" s="112"/>
      <c r="BY31" s="112"/>
      <c r="BZ31" s="112"/>
      <c r="CA31" s="112"/>
      <c r="CB31" s="112"/>
      <c r="CC31" s="112"/>
      <c r="CD31" s="112"/>
      <c r="CE31" s="112"/>
      <c r="CF31" s="112"/>
      <c r="CG31" s="112"/>
      <c r="CH31" s="112"/>
      <c r="CI31" s="112"/>
      <c r="CJ31" s="112"/>
      <c r="CK31" s="112"/>
      <c r="CL31" s="112"/>
      <c r="CM31" s="112"/>
      <c r="CN31" s="112"/>
      <c r="CO31" s="112"/>
      <c r="CP31" s="112"/>
      <c r="CQ31" s="112"/>
      <c r="CR31" s="112"/>
      <c r="CS31" s="112"/>
      <c r="CT31" s="112"/>
      <c r="CU31" s="112"/>
      <c r="CV31" s="112"/>
      <c r="CW31" s="112"/>
      <c r="CX31" s="112"/>
      <c r="CY31" s="112"/>
      <c r="CZ31" s="112"/>
      <c r="DA31" s="112"/>
      <c r="DB31" s="112"/>
      <c r="DC31" s="112"/>
      <c r="DD31" s="112"/>
      <c r="DE31" s="112"/>
      <c r="DF31" s="112"/>
      <c r="DG31" s="112"/>
      <c r="DH31" s="112"/>
      <c r="DI31" s="112"/>
      <c r="DJ31" s="112"/>
      <c r="DK31" s="112"/>
      <c r="DL31" s="112"/>
      <c r="DM31" s="112"/>
      <c r="DN31" s="112"/>
      <c r="DO31" s="112"/>
      <c r="DP31" s="112"/>
      <c r="DQ31" s="112"/>
      <c r="DR31" s="112"/>
      <c r="DS31" s="112"/>
      <c r="DT31" s="112"/>
      <c r="DU31" s="112"/>
      <c r="DV31" s="112"/>
      <c r="DW31" s="112"/>
      <c r="DX31" s="112"/>
      <c r="DY31" s="112"/>
      <c r="DZ31" s="112"/>
      <c r="EA31" s="112"/>
      <c r="EB31" s="112"/>
      <c r="EC31" s="112"/>
      <c r="ED31" s="112"/>
      <c r="EE31" s="112"/>
      <c r="EF31" s="112"/>
      <c r="EG31" s="112"/>
      <c r="EH31" s="112"/>
      <c r="EI31" s="112"/>
      <c r="EJ31" s="112"/>
      <c r="EK31" s="112"/>
      <c r="EL31" s="112"/>
      <c r="EM31" s="112"/>
      <c r="EN31" s="112"/>
      <c r="EO31" s="112"/>
      <c r="EP31" s="112"/>
      <c r="EQ31" s="112"/>
      <c r="ER31" s="112"/>
      <c r="ES31" s="112"/>
      <c r="ET31" s="112"/>
      <c r="EU31" s="112"/>
      <c r="EV31" s="112"/>
      <c r="EW31" s="112"/>
      <c r="EX31" s="112"/>
      <c r="EY31" s="112"/>
      <c r="EZ31" s="112"/>
      <c r="FA31" s="112"/>
      <c r="FB31" s="112"/>
      <c r="FC31" s="112"/>
      <c r="FD31" s="112"/>
      <c r="FE31" s="112"/>
      <c r="FF31" s="112"/>
      <c r="FG31" s="112"/>
      <c r="FH31" s="112"/>
      <c r="FI31" s="112"/>
      <c r="FJ31" s="112"/>
      <c r="FK31" s="112"/>
      <c r="FL31" s="112"/>
      <c r="FM31" s="112"/>
      <c r="FN31" s="112"/>
      <c r="FO31" s="112"/>
      <c r="FP31" s="112"/>
      <c r="FQ31" s="112"/>
      <c r="FR31" s="112"/>
      <c r="FS31" s="112"/>
      <c r="FT31" s="112"/>
      <c r="FU31" s="112"/>
      <c r="FV31" s="112"/>
      <c r="FW31" s="112"/>
      <c r="FX31" s="112"/>
      <c r="FY31" s="112"/>
      <c r="FZ31" s="112"/>
      <c r="GA31" s="112"/>
      <c r="GB31" s="112"/>
      <c r="GC31" s="112"/>
      <c r="GD31" s="112"/>
      <c r="GE31" s="112"/>
      <c r="GF31" s="112"/>
      <c r="GG31" s="112"/>
      <c r="GH31" s="112"/>
      <c r="GI31" s="112"/>
      <c r="GJ31" s="112"/>
      <c r="GK31" s="112"/>
      <c r="GL31" s="112"/>
      <c r="GM31" s="112"/>
      <c r="GN31" s="112"/>
      <c r="GO31" s="112"/>
      <c r="GP31" s="112"/>
      <c r="GQ31" s="112"/>
      <c r="GR31" s="112"/>
      <c r="GS31" s="112"/>
      <c r="GT31" s="112"/>
      <c r="GU31" s="112"/>
      <c r="GV31" s="112"/>
      <c r="GW31" s="112"/>
      <c r="GX31" s="112"/>
      <c r="GY31" s="112"/>
      <c r="GZ31" s="112"/>
      <c r="HA31" s="112"/>
      <c r="HB31" s="112"/>
      <c r="HC31" s="112"/>
      <c r="HD31" s="112"/>
      <c r="HE31" s="112"/>
      <c r="HF31" s="112"/>
      <c r="HG31" s="112"/>
      <c r="HH31" s="112"/>
      <c r="HI31" s="112"/>
      <c r="HJ31" s="112"/>
      <c r="HK31" s="112"/>
      <c r="HL31" s="112"/>
      <c r="HM31" s="112"/>
      <c r="HN31" s="112"/>
      <c r="HO31" s="112"/>
      <c r="HP31" s="112"/>
      <c r="HQ31" s="112"/>
      <c r="HR31" s="112"/>
      <c r="HS31" s="112"/>
      <c r="HT31" s="112"/>
      <c r="HU31" s="112"/>
      <c r="HV31" s="112"/>
      <c r="HW31" s="112"/>
      <c r="HX31" s="112"/>
      <c r="HY31" s="112"/>
      <c r="HZ31" s="112"/>
      <c r="IA31" s="112"/>
      <c r="IB31" s="112"/>
      <c r="IC31" s="112"/>
      <c r="ID31" s="112"/>
      <c r="IE31" s="112"/>
      <c r="IF31" s="112"/>
      <c r="IG31" s="112"/>
      <c r="IH31" s="112"/>
      <c r="II31" s="112"/>
      <c r="IJ31" s="112"/>
      <c r="IK31" s="112"/>
      <c r="IL31" s="112"/>
      <c r="IM31" s="112"/>
      <c r="IN31" s="112"/>
      <c r="IO31" s="112"/>
      <c r="IP31" s="112"/>
      <c r="IQ31" s="112"/>
      <c r="IR31" s="112"/>
      <c r="IS31" s="112"/>
      <c r="IT31" s="112"/>
      <c r="IU31" s="112"/>
      <c r="IV31" s="112"/>
    </row>
    <row r="32" spans="1:256" s="121" customFormat="1" x14ac:dyDescent="0.2">
      <c r="A32" s="138"/>
      <c r="B32" s="139" t="s">
        <v>38485</v>
      </c>
      <c r="C32" s="140">
        <v>3</v>
      </c>
      <c r="D32" s="120"/>
      <c r="E32" s="639" t="s">
        <v>38486</v>
      </c>
      <c r="F32" s="120"/>
      <c r="G32" s="120"/>
      <c r="H32" s="120"/>
      <c r="I32" s="120"/>
      <c r="J32" s="639" t="s">
        <v>38487</v>
      </c>
      <c r="K32" s="120"/>
      <c r="L32" s="120"/>
      <c r="M32" s="120"/>
      <c r="N32" s="120"/>
      <c r="O32" s="120"/>
      <c r="P32" s="120"/>
      <c r="Q32" s="120"/>
      <c r="R32" s="120"/>
      <c r="S32" s="120"/>
      <c r="T32" s="120"/>
      <c r="U32" s="120"/>
      <c r="V32" s="120"/>
      <c r="W32" s="120"/>
      <c r="X32" s="120"/>
      <c r="Y32" s="120"/>
      <c r="Z32" s="120"/>
      <c r="AA32" s="120"/>
      <c r="AB32" s="120"/>
      <c r="AC32" s="120"/>
      <c r="AD32" s="120"/>
      <c r="AE32" s="120"/>
      <c r="AF32" s="120"/>
      <c r="AG32" s="120"/>
      <c r="AH32" s="120"/>
      <c r="AI32" s="120"/>
      <c r="AJ32" s="120"/>
      <c r="AK32" s="120"/>
      <c r="AL32" s="120"/>
      <c r="AM32" s="120"/>
      <c r="AN32" s="120"/>
      <c r="AO32" s="120"/>
      <c r="AP32" s="120"/>
      <c r="AQ32" s="120"/>
      <c r="AR32" s="120"/>
      <c r="AS32" s="120"/>
      <c r="AT32" s="120"/>
      <c r="AU32" s="120"/>
      <c r="AV32" s="120"/>
      <c r="AW32" s="120"/>
      <c r="AX32" s="120"/>
      <c r="AY32" s="120"/>
      <c r="AZ32" s="120"/>
      <c r="BA32" s="120"/>
      <c r="BB32" s="120"/>
      <c r="BC32" s="120"/>
      <c r="BD32" s="120"/>
      <c r="BE32" s="120"/>
      <c r="BF32" s="120"/>
      <c r="BG32" s="120"/>
      <c r="BH32" s="120"/>
      <c r="BI32" s="120"/>
      <c r="BJ32" s="120"/>
      <c r="BK32" s="120"/>
      <c r="BL32" s="120"/>
      <c r="BM32" s="120"/>
      <c r="BN32" s="120"/>
      <c r="BO32" s="120"/>
      <c r="BP32" s="120"/>
      <c r="BQ32" s="120"/>
      <c r="BR32" s="120"/>
      <c r="BS32" s="120"/>
      <c r="BT32" s="120"/>
      <c r="BU32" s="120"/>
      <c r="BV32" s="120"/>
      <c r="BW32" s="120"/>
      <c r="BX32" s="120"/>
      <c r="BY32" s="120"/>
      <c r="BZ32" s="120"/>
      <c r="CA32" s="120"/>
      <c r="CB32" s="120"/>
      <c r="CC32" s="120"/>
      <c r="CD32" s="120"/>
      <c r="CE32" s="120"/>
      <c r="CF32" s="120"/>
      <c r="CG32" s="120"/>
      <c r="CH32" s="120"/>
      <c r="CI32" s="120"/>
      <c r="CJ32" s="120"/>
      <c r="CK32" s="120"/>
      <c r="CL32" s="120"/>
      <c r="CM32" s="120"/>
      <c r="CN32" s="120"/>
      <c r="CO32" s="120"/>
      <c r="CP32" s="120"/>
      <c r="CQ32" s="120"/>
      <c r="CR32" s="120"/>
      <c r="CS32" s="120"/>
      <c r="CT32" s="120"/>
      <c r="CU32" s="120"/>
      <c r="CV32" s="120"/>
      <c r="CW32" s="120"/>
      <c r="CX32" s="120"/>
      <c r="CY32" s="120"/>
      <c r="CZ32" s="120"/>
      <c r="DA32" s="120"/>
      <c r="DB32" s="120"/>
      <c r="DC32" s="120"/>
      <c r="DD32" s="120"/>
      <c r="DE32" s="120"/>
      <c r="DF32" s="120"/>
      <c r="DG32" s="120"/>
      <c r="DH32" s="120"/>
      <c r="DI32" s="120"/>
      <c r="DJ32" s="120"/>
      <c r="DK32" s="120"/>
      <c r="DL32" s="120"/>
      <c r="DM32" s="120"/>
      <c r="DN32" s="120"/>
      <c r="DO32" s="120"/>
      <c r="DP32" s="120"/>
      <c r="DQ32" s="120"/>
      <c r="DR32" s="120"/>
      <c r="DS32" s="120"/>
      <c r="DT32" s="120"/>
      <c r="DU32" s="120"/>
      <c r="DV32" s="120"/>
      <c r="DW32" s="120"/>
      <c r="DX32" s="120"/>
      <c r="DY32" s="120"/>
      <c r="DZ32" s="120"/>
      <c r="EA32" s="120"/>
      <c r="EB32" s="120"/>
      <c r="EC32" s="120"/>
      <c r="ED32" s="120"/>
      <c r="EE32" s="120"/>
      <c r="EF32" s="120"/>
      <c r="EG32" s="120"/>
      <c r="EH32" s="120"/>
      <c r="EI32" s="120"/>
      <c r="EJ32" s="120"/>
      <c r="EK32" s="120"/>
      <c r="EL32" s="120"/>
      <c r="EM32" s="120"/>
      <c r="EN32" s="120"/>
      <c r="EO32" s="120"/>
      <c r="EP32" s="120"/>
      <c r="EQ32" s="120"/>
      <c r="ER32" s="120"/>
      <c r="ES32" s="120"/>
      <c r="ET32" s="120"/>
      <c r="EU32" s="120"/>
      <c r="EV32" s="120"/>
      <c r="EW32" s="120"/>
      <c r="EX32" s="120"/>
      <c r="EY32" s="120"/>
      <c r="EZ32" s="120"/>
      <c r="FA32" s="120"/>
      <c r="FB32" s="120"/>
      <c r="FC32" s="120"/>
      <c r="FD32" s="120"/>
      <c r="FE32" s="120"/>
      <c r="FF32" s="120"/>
      <c r="FG32" s="120"/>
      <c r="FH32" s="120"/>
      <c r="FI32" s="120"/>
      <c r="FJ32" s="120"/>
      <c r="FK32" s="120"/>
      <c r="FL32" s="120"/>
      <c r="FM32" s="120"/>
      <c r="FN32" s="120"/>
      <c r="FO32" s="120"/>
      <c r="FP32" s="120"/>
      <c r="FQ32" s="120"/>
      <c r="FR32" s="120"/>
      <c r="FS32" s="120"/>
      <c r="FT32" s="120"/>
      <c r="FU32" s="120"/>
      <c r="FV32" s="120"/>
      <c r="FW32" s="120"/>
      <c r="FX32" s="120"/>
      <c r="FY32" s="120"/>
      <c r="FZ32" s="120"/>
      <c r="GA32" s="120"/>
      <c r="GB32" s="120"/>
      <c r="GC32" s="120"/>
      <c r="GD32" s="120"/>
      <c r="GE32" s="120"/>
      <c r="GF32" s="120"/>
      <c r="GG32" s="120"/>
      <c r="GH32" s="120"/>
      <c r="GI32" s="120"/>
      <c r="GJ32" s="120"/>
      <c r="GK32" s="120"/>
      <c r="GL32" s="120"/>
      <c r="GM32" s="120"/>
      <c r="GN32" s="120"/>
      <c r="GO32" s="120"/>
      <c r="GP32" s="120"/>
      <c r="GQ32" s="120"/>
      <c r="GR32" s="120"/>
      <c r="GS32" s="120"/>
      <c r="GT32" s="120"/>
      <c r="GU32" s="120"/>
      <c r="GV32" s="120"/>
      <c r="GW32" s="120"/>
      <c r="GX32" s="120"/>
      <c r="GY32" s="120"/>
      <c r="GZ32" s="120"/>
      <c r="HA32" s="120"/>
      <c r="HB32" s="120"/>
      <c r="HC32" s="120"/>
      <c r="HD32" s="120"/>
      <c r="HE32" s="120"/>
      <c r="HF32" s="120"/>
      <c r="HG32" s="120"/>
      <c r="HH32" s="120"/>
      <c r="HI32" s="120"/>
      <c r="HJ32" s="120"/>
      <c r="HK32" s="120"/>
      <c r="HL32" s="120"/>
      <c r="HM32" s="120"/>
      <c r="HN32" s="120"/>
      <c r="HO32" s="120"/>
      <c r="HP32" s="120"/>
      <c r="HQ32" s="120"/>
      <c r="HR32" s="120"/>
      <c r="HS32" s="120"/>
      <c r="HT32" s="120"/>
      <c r="HU32" s="120"/>
      <c r="HV32" s="120"/>
      <c r="HW32" s="120"/>
      <c r="HX32" s="120"/>
      <c r="HY32" s="120"/>
      <c r="HZ32" s="120"/>
      <c r="IA32" s="120"/>
      <c r="IB32" s="120"/>
      <c r="IC32" s="120"/>
      <c r="ID32" s="120"/>
      <c r="IE32" s="120"/>
      <c r="IF32" s="120"/>
      <c r="IG32" s="120"/>
      <c r="IH32" s="120"/>
      <c r="II32" s="120"/>
      <c r="IJ32" s="120"/>
      <c r="IK32" s="120"/>
      <c r="IL32" s="120"/>
      <c r="IM32" s="120"/>
      <c r="IN32" s="120"/>
      <c r="IO32" s="120"/>
      <c r="IP32" s="120"/>
      <c r="IQ32" s="120"/>
      <c r="IR32" s="120"/>
      <c r="IS32" s="120"/>
      <c r="IT32" s="120"/>
      <c r="IU32" s="120"/>
      <c r="IV32" s="120"/>
    </row>
    <row r="33" spans="1:256" ht="13.5" thickBot="1" x14ac:dyDescent="0.25">
      <c r="A33" s="138"/>
      <c r="B33" s="139" t="s">
        <v>38488</v>
      </c>
      <c r="C33" s="140">
        <v>3</v>
      </c>
      <c r="D33" s="112"/>
      <c r="E33" s="635"/>
      <c r="F33" s="112"/>
      <c r="G33" s="112"/>
      <c r="H33" s="112"/>
      <c r="I33" s="112"/>
      <c r="J33" s="635"/>
      <c r="K33" s="112"/>
      <c r="L33" s="112"/>
      <c r="M33" s="112"/>
      <c r="N33" s="112"/>
      <c r="O33" s="112"/>
      <c r="P33" s="112"/>
      <c r="Q33" s="112"/>
      <c r="R33" s="112"/>
      <c r="S33" s="112"/>
      <c r="T33" s="112"/>
      <c r="U33" s="112"/>
      <c r="V33" s="112"/>
      <c r="W33" s="112"/>
      <c r="X33" s="112"/>
      <c r="Y33" s="112"/>
      <c r="Z33" s="112"/>
      <c r="AA33" s="112"/>
      <c r="AB33" s="112"/>
      <c r="AC33" s="112"/>
      <c r="AD33" s="112"/>
      <c r="AE33" s="112"/>
      <c r="AF33" s="112"/>
      <c r="AG33" s="112"/>
      <c r="AH33" s="112"/>
      <c r="AI33" s="112"/>
      <c r="AJ33" s="112"/>
      <c r="AK33" s="112"/>
      <c r="AL33" s="112"/>
      <c r="AM33" s="112"/>
      <c r="AN33" s="112"/>
      <c r="AO33" s="112"/>
      <c r="AP33" s="112"/>
      <c r="AQ33" s="112"/>
      <c r="AR33" s="112"/>
      <c r="AS33" s="112"/>
      <c r="AT33" s="112"/>
      <c r="AU33" s="112"/>
      <c r="AV33" s="112"/>
      <c r="AW33" s="112"/>
      <c r="AX33" s="112"/>
      <c r="AY33" s="112"/>
      <c r="AZ33" s="112"/>
      <c r="BA33" s="112"/>
      <c r="BB33" s="112"/>
      <c r="BC33" s="112"/>
      <c r="BD33" s="112"/>
      <c r="BE33" s="112"/>
      <c r="BF33" s="112"/>
      <c r="BG33" s="112"/>
      <c r="BH33" s="112"/>
      <c r="BI33" s="112"/>
      <c r="BJ33" s="112"/>
      <c r="BK33" s="112"/>
      <c r="BL33" s="112"/>
      <c r="BM33" s="112"/>
      <c r="BN33" s="112"/>
      <c r="BO33" s="112"/>
      <c r="BP33" s="112"/>
      <c r="BQ33" s="112"/>
      <c r="BR33" s="112"/>
      <c r="BS33" s="112"/>
      <c r="BT33" s="112"/>
      <c r="BU33" s="112"/>
      <c r="BV33" s="112"/>
      <c r="BW33" s="112"/>
      <c r="BX33" s="112"/>
      <c r="BY33" s="112"/>
      <c r="BZ33" s="112"/>
      <c r="CA33" s="112"/>
      <c r="CB33" s="112"/>
      <c r="CC33" s="112"/>
      <c r="CD33" s="112"/>
      <c r="CE33" s="112"/>
      <c r="CF33" s="112"/>
      <c r="CG33" s="112"/>
      <c r="CH33" s="112"/>
      <c r="CI33" s="112"/>
      <c r="CJ33" s="112"/>
      <c r="CK33" s="112"/>
      <c r="CL33" s="112"/>
      <c r="CM33" s="112"/>
      <c r="CN33" s="112"/>
      <c r="CO33" s="112"/>
      <c r="CP33" s="112"/>
      <c r="CQ33" s="112"/>
      <c r="CR33" s="112"/>
      <c r="CS33" s="112"/>
      <c r="CT33" s="112"/>
      <c r="CU33" s="112"/>
      <c r="CV33" s="112"/>
      <c r="CW33" s="112"/>
      <c r="CX33" s="112"/>
      <c r="CY33" s="112"/>
      <c r="CZ33" s="112"/>
      <c r="DA33" s="112"/>
      <c r="DB33" s="112"/>
      <c r="DC33" s="112"/>
      <c r="DD33" s="112"/>
      <c r="DE33" s="112"/>
      <c r="DF33" s="112"/>
      <c r="DG33" s="112"/>
      <c r="DH33" s="112"/>
      <c r="DI33" s="112"/>
      <c r="DJ33" s="112"/>
      <c r="DK33" s="112"/>
      <c r="DL33" s="112"/>
      <c r="DM33" s="112"/>
      <c r="DN33" s="112"/>
      <c r="DO33" s="112"/>
      <c r="DP33" s="112"/>
      <c r="DQ33" s="112"/>
      <c r="DR33" s="112"/>
      <c r="DS33" s="112"/>
      <c r="DT33" s="112"/>
      <c r="DU33" s="112"/>
      <c r="DV33" s="112"/>
      <c r="DW33" s="112"/>
      <c r="DX33" s="112"/>
      <c r="DY33" s="112"/>
      <c r="DZ33" s="112"/>
      <c r="EA33" s="112"/>
      <c r="EB33" s="112"/>
      <c r="EC33" s="112"/>
      <c r="ED33" s="112"/>
      <c r="EE33" s="112"/>
      <c r="EF33" s="112"/>
      <c r="EG33" s="112"/>
      <c r="EH33" s="112"/>
      <c r="EI33" s="112"/>
      <c r="EJ33" s="112"/>
      <c r="EK33" s="112"/>
      <c r="EL33" s="112"/>
      <c r="EM33" s="112"/>
      <c r="EN33" s="112"/>
      <c r="EO33" s="112"/>
      <c r="EP33" s="112"/>
      <c r="EQ33" s="112"/>
      <c r="ER33" s="112"/>
      <c r="ES33" s="112"/>
      <c r="ET33" s="112"/>
      <c r="EU33" s="112"/>
      <c r="EV33" s="112"/>
      <c r="EW33" s="112"/>
      <c r="EX33" s="112"/>
      <c r="EY33" s="112"/>
      <c r="EZ33" s="112"/>
      <c r="FA33" s="112"/>
      <c r="FB33" s="112"/>
      <c r="FC33" s="112"/>
      <c r="FD33" s="112"/>
      <c r="FE33" s="112"/>
      <c r="FF33" s="112"/>
      <c r="FG33" s="112"/>
      <c r="FH33" s="112"/>
      <c r="FI33" s="112"/>
      <c r="FJ33" s="112"/>
      <c r="FK33" s="112"/>
      <c r="FL33" s="112"/>
      <c r="FM33" s="112"/>
      <c r="FN33" s="112"/>
      <c r="FO33" s="112"/>
      <c r="FP33" s="112"/>
      <c r="FQ33" s="112"/>
      <c r="FR33" s="112"/>
      <c r="FS33" s="112"/>
      <c r="FT33" s="112"/>
      <c r="FU33" s="112"/>
      <c r="FV33" s="112"/>
      <c r="FW33" s="112"/>
      <c r="FX33" s="112"/>
      <c r="FY33" s="112"/>
      <c r="FZ33" s="112"/>
      <c r="GA33" s="112"/>
      <c r="GB33" s="112"/>
      <c r="GC33" s="112"/>
      <c r="GD33" s="112"/>
      <c r="GE33" s="112"/>
      <c r="GF33" s="112"/>
      <c r="GG33" s="112"/>
      <c r="GH33" s="112"/>
      <c r="GI33" s="112"/>
      <c r="GJ33" s="112"/>
      <c r="GK33" s="112"/>
      <c r="GL33" s="112"/>
      <c r="GM33" s="112"/>
      <c r="GN33" s="112"/>
      <c r="GO33" s="112"/>
      <c r="GP33" s="112"/>
      <c r="GQ33" s="112"/>
      <c r="GR33" s="112"/>
      <c r="GS33" s="112"/>
      <c r="GT33" s="112"/>
      <c r="GU33" s="112"/>
      <c r="GV33" s="112"/>
      <c r="GW33" s="112"/>
      <c r="GX33" s="112"/>
      <c r="GY33" s="112"/>
      <c r="GZ33" s="112"/>
      <c r="HA33" s="112"/>
      <c r="HB33" s="112"/>
      <c r="HC33" s="112"/>
      <c r="HD33" s="112"/>
      <c r="HE33" s="112"/>
      <c r="HF33" s="112"/>
      <c r="HG33" s="112"/>
      <c r="HH33" s="112"/>
      <c r="HI33" s="112"/>
      <c r="HJ33" s="112"/>
      <c r="HK33" s="112"/>
      <c r="HL33" s="112"/>
      <c r="HM33" s="112"/>
      <c r="HN33" s="112"/>
      <c r="HO33" s="112"/>
      <c r="HP33" s="112"/>
      <c r="HQ33" s="112"/>
      <c r="HR33" s="112"/>
      <c r="HS33" s="112"/>
      <c r="HT33" s="112"/>
      <c r="HU33" s="112"/>
      <c r="HV33" s="112"/>
      <c r="HW33" s="112"/>
      <c r="HX33" s="112"/>
      <c r="HY33" s="112"/>
      <c r="HZ33" s="112"/>
      <c r="IA33" s="112"/>
      <c r="IB33" s="112"/>
      <c r="IC33" s="112"/>
      <c r="ID33" s="112"/>
      <c r="IE33" s="112"/>
      <c r="IF33" s="112"/>
      <c r="IG33" s="112"/>
      <c r="IH33" s="112"/>
      <c r="II33" s="112"/>
      <c r="IJ33" s="112"/>
      <c r="IK33" s="112"/>
      <c r="IL33" s="112"/>
      <c r="IM33" s="112"/>
      <c r="IN33" s="112"/>
      <c r="IO33" s="112"/>
      <c r="IP33" s="112"/>
      <c r="IQ33" s="112"/>
      <c r="IR33" s="112"/>
      <c r="IS33" s="112"/>
      <c r="IT33" s="112"/>
      <c r="IU33" s="112"/>
      <c r="IV33" s="112"/>
    </row>
    <row r="34" spans="1:256" ht="13.5" thickBot="1" x14ac:dyDescent="0.25">
      <c r="A34" s="141"/>
      <c r="B34" s="142" t="s">
        <v>38489</v>
      </c>
      <c r="C34" s="143">
        <v>4.5</v>
      </c>
      <c r="D34" s="112"/>
      <c r="E34" s="125" t="s">
        <v>38470</v>
      </c>
      <c r="F34" s="126" t="s">
        <v>38471</v>
      </c>
      <c r="G34" s="126" t="s">
        <v>38472</v>
      </c>
      <c r="H34" s="126" t="s">
        <v>38473</v>
      </c>
      <c r="I34" s="112"/>
      <c r="J34" s="125" t="s">
        <v>38470</v>
      </c>
      <c r="K34" s="126" t="s">
        <v>38471</v>
      </c>
      <c r="L34" s="126" t="s">
        <v>38472</v>
      </c>
      <c r="M34" s="126" t="s">
        <v>38473</v>
      </c>
      <c r="N34" s="112"/>
      <c r="O34" s="112"/>
      <c r="P34" s="112"/>
      <c r="Q34" s="112"/>
      <c r="R34" s="112"/>
      <c r="S34" s="112"/>
      <c r="T34" s="112"/>
      <c r="U34" s="112"/>
      <c r="V34" s="112"/>
      <c r="W34" s="112"/>
      <c r="X34" s="112"/>
      <c r="Y34" s="112"/>
      <c r="Z34" s="112"/>
      <c r="AA34" s="112"/>
      <c r="AB34" s="112"/>
      <c r="AC34" s="112"/>
      <c r="AD34" s="112"/>
      <c r="AE34" s="112"/>
      <c r="AF34" s="112"/>
      <c r="AG34" s="112"/>
      <c r="AH34" s="112"/>
      <c r="AI34" s="112"/>
      <c r="AJ34" s="112"/>
      <c r="AK34" s="112"/>
      <c r="AL34" s="112"/>
      <c r="AM34" s="112"/>
      <c r="AN34" s="112"/>
      <c r="AO34" s="112"/>
      <c r="AP34" s="112"/>
      <c r="AQ34" s="112"/>
      <c r="AR34" s="112"/>
      <c r="AS34" s="112"/>
      <c r="AT34" s="112"/>
      <c r="AU34" s="112"/>
      <c r="AV34" s="112"/>
      <c r="AW34" s="112"/>
      <c r="AX34" s="112"/>
      <c r="AY34" s="112"/>
      <c r="AZ34" s="112"/>
      <c r="BA34" s="112"/>
      <c r="BB34" s="112"/>
      <c r="BC34" s="112"/>
      <c r="BD34" s="112"/>
      <c r="BE34" s="112"/>
      <c r="BF34" s="112"/>
      <c r="BG34" s="112"/>
      <c r="BH34" s="112"/>
      <c r="BI34" s="112"/>
      <c r="BJ34" s="112"/>
      <c r="BK34" s="112"/>
      <c r="BL34" s="112"/>
      <c r="BM34" s="112"/>
      <c r="BN34" s="112"/>
      <c r="BO34" s="112"/>
      <c r="BP34" s="112"/>
      <c r="BQ34" s="112"/>
      <c r="BR34" s="112"/>
      <c r="BS34" s="112"/>
      <c r="BT34" s="112"/>
      <c r="BU34" s="112"/>
      <c r="BV34" s="112"/>
      <c r="BW34" s="112"/>
      <c r="BX34" s="112"/>
      <c r="BY34" s="112"/>
      <c r="BZ34" s="112"/>
      <c r="CA34" s="112"/>
      <c r="CB34" s="112"/>
      <c r="CC34" s="112"/>
      <c r="CD34" s="112"/>
      <c r="CE34" s="112"/>
      <c r="CF34" s="112"/>
      <c r="CG34" s="112"/>
      <c r="CH34" s="112"/>
      <c r="CI34" s="112"/>
      <c r="CJ34" s="112"/>
      <c r="CK34" s="112"/>
      <c r="CL34" s="112"/>
      <c r="CM34" s="112"/>
      <c r="CN34" s="112"/>
      <c r="CO34" s="112"/>
      <c r="CP34" s="112"/>
      <c r="CQ34" s="112"/>
      <c r="CR34" s="112"/>
      <c r="CS34" s="112"/>
      <c r="CT34" s="112"/>
      <c r="CU34" s="112"/>
      <c r="CV34" s="112"/>
      <c r="CW34" s="112"/>
      <c r="CX34" s="112"/>
      <c r="CY34" s="112"/>
      <c r="CZ34" s="112"/>
      <c r="DA34" s="112"/>
      <c r="DB34" s="112"/>
      <c r="DC34" s="112"/>
      <c r="DD34" s="112"/>
      <c r="DE34" s="112"/>
      <c r="DF34" s="112"/>
      <c r="DG34" s="112"/>
      <c r="DH34" s="112"/>
      <c r="DI34" s="112"/>
      <c r="DJ34" s="112"/>
      <c r="DK34" s="112"/>
      <c r="DL34" s="112"/>
      <c r="DM34" s="112"/>
      <c r="DN34" s="112"/>
      <c r="DO34" s="112"/>
      <c r="DP34" s="112"/>
      <c r="DQ34" s="112"/>
      <c r="DR34" s="112"/>
      <c r="DS34" s="112"/>
      <c r="DT34" s="112"/>
      <c r="DU34" s="112"/>
      <c r="DV34" s="112"/>
      <c r="DW34" s="112"/>
      <c r="DX34" s="112"/>
      <c r="DY34" s="112"/>
      <c r="DZ34" s="112"/>
      <c r="EA34" s="112"/>
      <c r="EB34" s="112"/>
      <c r="EC34" s="112"/>
      <c r="ED34" s="112"/>
      <c r="EE34" s="112"/>
      <c r="EF34" s="112"/>
      <c r="EG34" s="112"/>
      <c r="EH34" s="112"/>
      <c r="EI34" s="112"/>
      <c r="EJ34" s="112"/>
      <c r="EK34" s="112"/>
      <c r="EL34" s="112"/>
      <c r="EM34" s="112"/>
      <c r="EN34" s="112"/>
      <c r="EO34" s="112"/>
      <c r="EP34" s="112"/>
      <c r="EQ34" s="112"/>
      <c r="ER34" s="112"/>
      <c r="ES34" s="112"/>
      <c r="ET34" s="112"/>
      <c r="EU34" s="112"/>
      <c r="EV34" s="112"/>
      <c r="EW34" s="112"/>
      <c r="EX34" s="112"/>
      <c r="EY34" s="112"/>
      <c r="EZ34" s="112"/>
      <c r="FA34" s="112"/>
      <c r="FB34" s="112"/>
      <c r="FC34" s="112"/>
      <c r="FD34" s="112"/>
      <c r="FE34" s="112"/>
      <c r="FF34" s="112"/>
      <c r="FG34" s="112"/>
      <c r="FH34" s="112"/>
      <c r="FI34" s="112"/>
      <c r="FJ34" s="112"/>
      <c r="FK34" s="112"/>
      <c r="FL34" s="112"/>
      <c r="FM34" s="112"/>
      <c r="FN34" s="112"/>
      <c r="FO34" s="112"/>
      <c r="FP34" s="112"/>
      <c r="FQ34" s="112"/>
      <c r="FR34" s="112"/>
      <c r="FS34" s="112"/>
      <c r="FT34" s="112"/>
      <c r="FU34" s="112"/>
      <c r="FV34" s="112"/>
      <c r="FW34" s="112"/>
      <c r="FX34" s="112"/>
      <c r="FY34" s="112"/>
      <c r="FZ34" s="112"/>
      <c r="GA34" s="112"/>
      <c r="GB34" s="112"/>
      <c r="GC34" s="112"/>
      <c r="GD34" s="112"/>
      <c r="GE34" s="112"/>
      <c r="GF34" s="112"/>
      <c r="GG34" s="112"/>
      <c r="GH34" s="112"/>
      <c r="GI34" s="112"/>
      <c r="GJ34" s="112"/>
      <c r="GK34" s="112"/>
      <c r="GL34" s="112"/>
      <c r="GM34" s="112"/>
      <c r="GN34" s="112"/>
      <c r="GO34" s="112"/>
      <c r="GP34" s="112"/>
      <c r="GQ34" s="112"/>
      <c r="GR34" s="112"/>
      <c r="GS34" s="112"/>
      <c r="GT34" s="112"/>
      <c r="GU34" s="112"/>
      <c r="GV34" s="112"/>
      <c r="GW34" s="112"/>
      <c r="GX34" s="112"/>
      <c r="GY34" s="112"/>
      <c r="GZ34" s="112"/>
      <c r="HA34" s="112"/>
      <c r="HB34" s="112"/>
      <c r="HC34" s="112"/>
      <c r="HD34" s="112"/>
      <c r="HE34" s="112"/>
      <c r="HF34" s="112"/>
      <c r="HG34" s="112"/>
      <c r="HH34" s="112"/>
      <c r="HI34" s="112"/>
      <c r="HJ34" s="112"/>
      <c r="HK34" s="112"/>
      <c r="HL34" s="112"/>
      <c r="HM34" s="112"/>
      <c r="HN34" s="112"/>
      <c r="HO34" s="112"/>
      <c r="HP34" s="112"/>
      <c r="HQ34" s="112"/>
      <c r="HR34" s="112"/>
      <c r="HS34" s="112"/>
      <c r="HT34" s="112"/>
      <c r="HU34" s="112"/>
      <c r="HV34" s="112"/>
      <c r="HW34" s="112"/>
      <c r="HX34" s="112"/>
      <c r="HY34" s="112"/>
      <c r="HZ34" s="112"/>
      <c r="IA34" s="112"/>
      <c r="IB34" s="112"/>
      <c r="IC34" s="112"/>
      <c r="ID34" s="112"/>
      <c r="IE34" s="112"/>
      <c r="IF34" s="112"/>
      <c r="IG34" s="112"/>
      <c r="IH34" s="112"/>
      <c r="II34" s="112"/>
      <c r="IJ34" s="112"/>
      <c r="IK34" s="112"/>
      <c r="IL34" s="112"/>
      <c r="IM34" s="112"/>
      <c r="IN34" s="112"/>
      <c r="IO34" s="112"/>
      <c r="IP34" s="112"/>
      <c r="IQ34" s="112"/>
      <c r="IR34" s="112"/>
      <c r="IS34" s="112"/>
      <c r="IT34" s="112"/>
      <c r="IU34" s="112"/>
      <c r="IV34" s="112"/>
    </row>
    <row r="35" spans="1:256" ht="13.5" thickBot="1" x14ac:dyDescent="0.25">
      <c r="A35" s="144"/>
      <c r="B35" s="145" t="s">
        <v>38490</v>
      </c>
      <c r="C35" s="146">
        <f>SUM(C31:C34)</f>
        <v>11.15</v>
      </c>
      <c r="D35" s="147"/>
      <c r="E35" s="127" t="s">
        <v>38475</v>
      </c>
      <c r="F35" s="130">
        <v>3.7999999999999999E-2</v>
      </c>
      <c r="G35" s="130">
        <v>4.0099999999999997E-2</v>
      </c>
      <c r="H35" s="130">
        <v>4.6699999999999998E-2</v>
      </c>
      <c r="I35" s="112"/>
      <c r="J35" s="127" t="s">
        <v>38475</v>
      </c>
      <c r="K35" s="130">
        <v>1.4999999999999999E-2</v>
      </c>
      <c r="L35" s="130">
        <v>3.4500000000000003E-2</v>
      </c>
      <c r="M35" s="130">
        <v>4.4900000000000002E-2</v>
      </c>
      <c r="N35" s="112"/>
      <c r="O35" s="112"/>
      <c r="P35" s="112"/>
      <c r="Q35" s="112"/>
      <c r="R35" s="112"/>
      <c r="S35" s="112"/>
      <c r="T35" s="112"/>
      <c r="U35" s="112"/>
      <c r="V35" s="112"/>
      <c r="W35" s="112"/>
      <c r="X35" s="112"/>
      <c r="Y35" s="112"/>
      <c r="Z35" s="112"/>
      <c r="AA35" s="112"/>
      <c r="AB35" s="112"/>
      <c r="AC35" s="112"/>
      <c r="AD35" s="112"/>
      <c r="AE35" s="112"/>
      <c r="AF35" s="112"/>
      <c r="AG35" s="112"/>
      <c r="AH35" s="112"/>
      <c r="AI35" s="112"/>
      <c r="AJ35" s="112"/>
      <c r="AK35" s="112"/>
      <c r="AL35" s="112"/>
      <c r="AM35" s="112"/>
      <c r="AN35" s="112"/>
      <c r="AO35" s="112"/>
      <c r="AP35" s="112"/>
      <c r="AQ35" s="112"/>
      <c r="AR35" s="112"/>
      <c r="AS35" s="112"/>
      <c r="AT35" s="112"/>
      <c r="AU35" s="112"/>
      <c r="AV35" s="112"/>
      <c r="AW35" s="112"/>
      <c r="AX35" s="112"/>
      <c r="AY35" s="112"/>
      <c r="AZ35" s="112"/>
      <c r="BA35" s="112"/>
      <c r="BB35" s="112"/>
      <c r="BC35" s="112"/>
      <c r="BD35" s="112"/>
      <c r="BE35" s="112"/>
      <c r="BF35" s="112"/>
      <c r="BG35" s="112"/>
      <c r="BH35" s="112"/>
      <c r="BI35" s="112"/>
      <c r="BJ35" s="112"/>
      <c r="BK35" s="112"/>
      <c r="BL35" s="112"/>
      <c r="BM35" s="112"/>
      <c r="BN35" s="112"/>
      <c r="BO35" s="112"/>
      <c r="BP35" s="112"/>
      <c r="BQ35" s="112"/>
      <c r="BR35" s="112"/>
      <c r="BS35" s="112"/>
      <c r="BT35" s="112"/>
      <c r="BU35" s="112"/>
      <c r="BV35" s="112"/>
      <c r="BW35" s="112"/>
      <c r="BX35" s="112"/>
      <c r="BY35" s="112"/>
      <c r="BZ35" s="112"/>
      <c r="CA35" s="112"/>
      <c r="CB35" s="112"/>
      <c r="CC35" s="112"/>
      <c r="CD35" s="112"/>
      <c r="CE35" s="112"/>
      <c r="CF35" s="112"/>
      <c r="CG35" s="112"/>
      <c r="CH35" s="112"/>
      <c r="CI35" s="112"/>
      <c r="CJ35" s="112"/>
      <c r="CK35" s="112"/>
      <c r="CL35" s="112"/>
      <c r="CM35" s="112"/>
      <c r="CN35" s="112"/>
      <c r="CO35" s="112"/>
      <c r="CP35" s="112"/>
      <c r="CQ35" s="112"/>
      <c r="CR35" s="112"/>
      <c r="CS35" s="112"/>
      <c r="CT35" s="112"/>
      <c r="CU35" s="112"/>
      <c r="CV35" s="112"/>
      <c r="CW35" s="112"/>
      <c r="CX35" s="112"/>
      <c r="CY35" s="112"/>
      <c r="CZ35" s="112"/>
      <c r="DA35" s="112"/>
      <c r="DB35" s="112"/>
      <c r="DC35" s="112"/>
      <c r="DD35" s="112"/>
      <c r="DE35" s="112"/>
      <c r="DF35" s="112"/>
      <c r="DG35" s="112"/>
      <c r="DH35" s="112"/>
      <c r="DI35" s="112"/>
      <c r="DJ35" s="112"/>
      <c r="DK35" s="112"/>
      <c r="DL35" s="112"/>
      <c r="DM35" s="112"/>
      <c r="DN35" s="112"/>
      <c r="DO35" s="112"/>
      <c r="DP35" s="112"/>
      <c r="DQ35" s="112"/>
      <c r="DR35" s="112"/>
      <c r="DS35" s="112"/>
      <c r="DT35" s="112"/>
      <c r="DU35" s="112"/>
      <c r="DV35" s="112"/>
      <c r="DW35" s="112"/>
      <c r="DX35" s="112"/>
      <c r="DY35" s="112"/>
      <c r="DZ35" s="112"/>
      <c r="EA35" s="112"/>
      <c r="EB35" s="112"/>
      <c r="EC35" s="112"/>
      <c r="ED35" s="112"/>
      <c r="EE35" s="112"/>
      <c r="EF35" s="112"/>
      <c r="EG35" s="112"/>
      <c r="EH35" s="112"/>
      <c r="EI35" s="112"/>
      <c r="EJ35" s="112"/>
      <c r="EK35" s="112"/>
      <c r="EL35" s="112"/>
      <c r="EM35" s="112"/>
      <c r="EN35" s="112"/>
      <c r="EO35" s="112"/>
      <c r="EP35" s="112"/>
      <c r="EQ35" s="112"/>
      <c r="ER35" s="112"/>
      <c r="ES35" s="112"/>
      <c r="ET35" s="112"/>
      <c r="EU35" s="112"/>
      <c r="EV35" s="112"/>
      <c r="EW35" s="112"/>
      <c r="EX35" s="112"/>
      <c r="EY35" s="112"/>
      <c r="EZ35" s="112"/>
      <c r="FA35" s="112"/>
      <c r="FB35" s="112"/>
      <c r="FC35" s="112"/>
      <c r="FD35" s="112"/>
      <c r="FE35" s="112"/>
      <c r="FF35" s="112"/>
      <c r="FG35" s="112"/>
      <c r="FH35" s="112"/>
      <c r="FI35" s="112"/>
      <c r="FJ35" s="112"/>
      <c r="FK35" s="112"/>
      <c r="FL35" s="112"/>
      <c r="FM35" s="112"/>
      <c r="FN35" s="112"/>
      <c r="FO35" s="112"/>
      <c r="FP35" s="112"/>
      <c r="FQ35" s="112"/>
      <c r="FR35" s="112"/>
      <c r="FS35" s="112"/>
      <c r="FT35" s="112"/>
      <c r="FU35" s="112"/>
      <c r="FV35" s="112"/>
      <c r="FW35" s="112"/>
      <c r="FX35" s="112"/>
      <c r="FY35" s="112"/>
      <c r="FZ35" s="112"/>
      <c r="GA35" s="112"/>
      <c r="GB35" s="112"/>
      <c r="GC35" s="112"/>
      <c r="GD35" s="112"/>
      <c r="GE35" s="112"/>
      <c r="GF35" s="112"/>
      <c r="GG35" s="112"/>
      <c r="GH35" s="112"/>
      <c r="GI35" s="112"/>
      <c r="GJ35" s="112"/>
      <c r="GK35" s="112"/>
      <c r="GL35" s="112"/>
      <c r="GM35" s="112"/>
      <c r="GN35" s="112"/>
      <c r="GO35" s="112"/>
      <c r="GP35" s="112"/>
      <c r="GQ35" s="112"/>
      <c r="GR35" s="112"/>
      <c r="GS35" s="112"/>
      <c r="GT35" s="112"/>
      <c r="GU35" s="112"/>
      <c r="GV35" s="112"/>
      <c r="GW35" s="112"/>
      <c r="GX35" s="112"/>
      <c r="GY35" s="112"/>
      <c r="GZ35" s="112"/>
      <c r="HA35" s="112"/>
      <c r="HB35" s="112"/>
      <c r="HC35" s="112"/>
      <c r="HD35" s="112"/>
      <c r="HE35" s="112"/>
      <c r="HF35" s="112"/>
      <c r="HG35" s="112"/>
      <c r="HH35" s="112"/>
      <c r="HI35" s="112"/>
      <c r="HJ35" s="112"/>
      <c r="HK35" s="112"/>
      <c r="HL35" s="112"/>
      <c r="HM35" s="112"/>
      <c r="HN35" s="112"/>
      <c r="HO35" s="112"/>
      <c r="HP35" s="112"/>
      <c r="HQ35" s="112"/>
      <c r="HR35" s="112"/>
      <c r="HS35" s="112"/>
      <c r="HT35" s="112"/>
      <c r="HU35" s="112"/>
      <c r="HV35" s="112"/>
      <c r="HW35" s="112"/>
      <c r="HX35" s="112"/>
      <c r="HY35" s="112"/>
      <c r="HZ35" s="112"/>
      <c r="IA35" s="112"/>
      <c r="IB35" s="112"/>
      <c r="IC35" s="112"/>
      <c r="ID35" s="112"/>
      <c r="IE35" s="112"/>
      <c r="IF35" s="112"/>
      <c r="IG35" s="112"/>
      <c r="IH35" s="112"/>
      <c r="II35" s="112"/>
      <c r="IJ35" s="112"/>
      <c r="IK35" s="112"/>
      <c r="IL35" s="112"/>
      <c r="IM35" s="112"/>
      <c r="IN35" s="112"/>
      <c r="IO35" s="112"/>
      <c r="IP35" s="112"/>
      <c r="IQ35" s="112"/>
      <c r="IR35" s="112"/>
      <c r="IS35" s="112"/>
      <c r="IT35" s="112"/>
      <c r="IU35" s="112"/>
      <c r="IV35" s="112"/>
    </row>
    <row r="36" spans="1:256" ht="13.5" thickBot="1" x14ac:dyDescent="0.25">
      <c r="A36" s="144"/>
      <c r="B36" s="148"/>
      <c r="C36" s="149"/>
      <c r="D36" s="147"/>
      <c r="E36" s="127" t="s">
        <v>38478</v>
      </c>
      <c r="F36" s="130">
        <v>3.2000000000000002E-3</v>
      </c>
      <c r="G36" s="130">
        <v>4.0000000000000001E-3</v>
      </c>
      <c r="H36" s="130">
        <v>7.4000000000000003E-3</v>
      </c>
      <c r="I36" s="112"/>
      <c r="J36" s="127" t="s">
        <v>38478</v>
      </c>
      <c r="K36" s="130">
        <v>3.0000000000000001E-3</v>
      </c>
      <c r="L36" s="130">
        <v>4.7999999999999996E-3</v>
      </c>
      <c r="M36" s="130">
        <v>8.2000000000000007E-3</v>
      </c>
      <c r="N36" s="112"/>
      <c r="O36" s="112"/>
      <c r="P36" s="112"/>
      <c r="Q36" s="112"/>
      <c r="R36" s="112"/>
      <c r="S36" s="112"/>
      <c r="T36" s="112"/>
      <c r="U36" s="112"/>
      <c r="V36" s="112"/>
      <c r="W36" s="112"/>
      <c r="X36" s="112"/>
      <c r="Y36" s="112"/>
      <c r="Z36" s="112"/>
      <c r="AA36" s="112"/>
      <c r="AB36" s="112"/>
      <c r="AC36" s="112"/>
      <c r="AD36" s="112"/>
      <c r="AE36" s="112"/>
      <c r="AF36" s="112"/>
      <c r="AG36" s="112"/>
      <c r="AH36" s="112"/>
      <c r="AI36" s="112"/>
      <c r="AJ36" s="112"/>
      <c r="AK36" s="112"/>
      <c r="AL36" s="112"/>
      <c r="AM36" s="112"/>
      <c r="AN36" s="112"/>
      <c r="AO36" s="112"/>
      <c r="AP36" s="112"/>
      <c r="AQ36" s="112"/>
      <c r="AR36" s="112"/>
      <c r="AS36" s="112"/>
      <c r="AT36" s="112"/>
      <c r="AU36" s="112"/>
      <c r="AV36" s="112"/>
      <c r="AW36" s="112"/>
      <c r="AX36" s="112"/>
      <c r="AY36" s="112"/>
      <c r="AZ36" s="112"/>
      <c r="BA36" s="112"/>
      <c r="BB36" s="112"/>
      <c r="BC36" s="112"/>
      <c r="BD36" s="112"/>
      <c r="BE36" s="112"/>
      <c r="BF36" s="112"/>
      <c r="BG36" s="112"/>
      <c r="BH36" s="112"/>
      <c r="BI36" s="112"/>
      <c r="BJ36" s="112"/>
      <c r="BK36" s="112"/>
      <c r="BL36" s="112"/>
      <c r="BM36" s="112"/>
      <c r="BN36" s="112"/>
      <c r="BO36" s="112"/>
      <c r="BP36" s="112"/>
      <c r="BQ36" s="112"/>
      <c r="BR36" s="112"/>
      <c r="BS36" s="112"/>
      <c r="BT36" s="112"/>
      <c r="BU36" s="112"/>
      <c r="BV36" s="112"/>
      <c r="BW36" s="112"/>
      <c r="BX36" s="112"/>
      <c r="BY36" s="112"/>
      <c r="BZ36" s="112"/>
      <c r="CA36" s="112"/>
      <c r="CB36" s="112"/>
      <c r="CC36" s="112"/>
      <c r="CD36" s="112"/>
      <c r="CE36" s="112"/>
      <c r="CF36" s="112"/>
      <c r="CG36" s="112"/>
      <c r="CH36" s="112"/>
      <c r="CI36" s="112"/>
      <c r="CJ36" s="112"/>
      <c r="CK36" s="112"/>
      <c r="CL36" s="112"/>
      <c r="CM36" s="112"/>
      <c r="CN36" s="112"/>
      <c r="CO36" s="112"/>
      <c r="CP36" s="112"/>
      <c r="CQ36" s="112"/>
      <c r="CR36" s="112"/>
      <c r="CS36" s="112"/>
      <c r="CT36" s="112"/>
      <c r="CU36" s="112"/>
      <c r="CV36" s="112"/>
      <c r="CW36" s="112"/>
      <c r="CX36" s="112"/>
      <c r="CY36" s="112"/>
      <c r="CZ36" s="112"/>
      <c r="DA36" s="112"/>
      <c r="DB36" s="112"/>
      <c r="DC36" s="112"/>
      <c r="DD36" s="112"/>
      <c r="DE36" s="112"/>
      <c r="DF36" s="112"/>
      <c r="DG36" s="112"/>
      <c r="DH36" s="112"/>
      <c r="DI36" s="112"/>
      <c r="DJ36" s="112"/>
      <c r="DK36" s="112"/>
      <c r="DL36" s="112"/>
      <c r="DM36" s="112"/>
      <c r="DN36" s="112"/>
      <c r="DO36" s="112"/>
      <c r="DP36" s="112"/>
      <c r="DQ36" s="112"/>
      <c r="DR36" s="112"/>
      <c r="DS36" s="112"/>
      <c r="DT36" s="112"/>
      <c r="DU36" s="112"/>
      <c r="DV36" s="112"/>
      <c r="DW36" s="112"/>
      <c r="DX36" s="112"/>
      <c r="DY36" s="112"/>
      <c r="DZ36" s="112"/>
      <c r="EA36" s="112"/>
      <c r="EB36" s="112"/>
      <c r="EC36" s="112"/>
      <c r="ED36" s="112"/>
      <c r="EE36" s="112"/>
      <c r="EF36" s="112"/>
      <c r="EG36" s="112"/>
      <c r="EH36" s="112"/>
      <c r="EI36" s="112"/>
      <c r="EJ36" s="112"/>
      <c r="EK36" s="112"/>
      <c r="EL36" s="112"/>
      <c r="EM36" s="112"/>
      <c r="EN36" s="112"/>
      <c r="EO36" s="112"/>
      <c r="EP36" s="112"/>
      <c r="EQ36" s="112"/>
      <c r="ER36" s="112"/>
      <c r="ES36" s="112"/>
      <c r="ET36" s="112"/>
      <c r="EU36" s="112"/>
      <c r="EV36" s="112"/>
      <c r="EW36" s="112"/>
      <c r="EX36" s="112"/>
      <c r="EY36" s="112"/>
      <c r="EZ36" s="112"/>
      <c r="FA36" s="112"/>
      <c r="FB36" s="112"/>
      <c r="FC36" s="112"/>
      <c r="FD36" s="112"/>
      <c r="FE36" s="112"/>
      <c r="FF36" s="112"/>
      <c r="FG36" s="112"/>
      <c r="FH36" s="112"/>
      <c r="FI36" s="112"/>
      <c r="FJ36" s="112"/>
      <c r="FK36" s="112"/>
      <c r="FL36" s="112"/>
      <c r="FM36" s="112"/>
      <c r="FN36" s="112"/>
      <c r="FO36" s="112"/>
      <c r="FP36" s="112"/>
      <c r="FQ36" s="112"/>
      <c r="FR36" s="112"/>
      <c r="FS36" s="112"/>
      <c r="FT36" s="112"/>
      <c r="FU36" s="112"/>
      <c r="FV36" s="112"/>
      <c r="FW36" s="112"/>
      <c r="FX36" s="112"/>
      <c r="FY36" s="112"/>
      <c r="FZ36" s="112"/>
      <c r="GA36" s="112"/>
      <c r="GB36" s="112"/>
      <c r="GC36" s="112"/>
      <c r="GD36" s="112"/>
      <c r="GE36" s="112"/>
      <c r="GF36" s="112"/>
      <c r="GG36" s="112"/>
      <c r="GH36" s="112"/>
      <c r="GI36" s="112"/>
      <c r="GJ36" s="112"/>
      <c r="GK36" s="112"/>
      <c r="GL36" s="112"/>
      <c r="GM36" s="112"/>
      <c r="GN36" s="112"/>
      <c r="GO36" s="112"/>
      <c r="GP36" s="112"/>
      <c r="GQ36" s="112"/>
      <c r="GR36" s="112"/>
      <c r="GS36" s="112"/>
      <c r="GT36" s="112"/>
      <c r="GU36" s="112"/>
      <c r="GV36" s="112"/>
      <c r="GW36" s="112"/>
      <c r="GX36" s="112"/>
      <c r="GY36" s="112"/>
      <c r="GZ36" s="112"/>
      <c r="HA36" s="112"/>
      <c r="HB36" s="112"/>
      <c r="HC36" s="112"/>
      <c r="HD36" s="112"/>
      <c r="HE36" s="112"/>
      <c r="HF36" s="112"/>
      <c r="HG36" s="112"/>
      <c r="HH36" s="112"/>
      <c r="HI36" s="112"/>
      <c r="HJ36" s="112"/>
      <c r="HK36" s="112"/>
      <c r="HL36" s="112"/>
      <c r="HM36" s="112"/>
      <c r="HN36" s="112"/>
      <c r="HO36" s="112"/>
      <c r="HP36" s="112"/>
      <c r="HQ36" s="112"/>
      <c r="HR36" s="112"/>
      <c r="HS36" s="112"/>
      <c r="HT36" s="112"/>
      <c r="HU36" s="112"/>
      <c r="HV36" s="112"/>
      <c r="HW36" s="112"/>
      <c r="HX36" s="112"/>
      <c r="HY36" s="112"/>
      <c r="HZ36" s="112"/>
      <c r="IA36" s="112"/>
      <c r="IB36" s="112"/>
      <c r="IC36" s="112"/>
      <c r="ID36" s="112"/>
      <c r="IE36" s="112"/>
      <c r="IF36" s="112"/>
      <c r="IG36" s="112"/>
      <c r="IH36" s="112"/>
      <c r="II36" s="112"/>
      <c r="IJ36" s="112"/>
      <c r="IK36" s="112"/>
      <c r="IL36" s="112"/>
      <c r="IM36" s="112"/>
      <c r="IN36" s="112"/>
      <c r="IO36" s="112"/>
      <c r="IP36" s="112"/>
      <c r="IQ36" s="112"/>
      <c r="IR36" s="112"/>
      <c r="IS36" s="112"/>
      <c r="IT36" s="112"/>
      <c r="IU36" s="112"/>
      <c r="IV36" s="112"/>
    </row>
    <row r="37" spans="1:256" ht="13.5" thickBot="1" x14ac:dyDescent="0.25">
      <c r="A37" s="144"/>
      <c r="B37" s="150" t="s">
        <v>38491</v>
      </c>
      <c r="C37" s="151">
        <f>+(((1+C22/100+C27/100+C24/100)*(1+C23/100)*(1+C28/100))/(1-C35/100))-1</f>
        <v>0.31314684407990945</v>
      </c>
      <c r="D37" s="147"/>
      <c r="E37" s="127" t="s">
        <v>38479</v>
      </c>
      <c r="F37" s="130">
        <v>5.0000000000000001E-3</v>
      </c>
      <c r="G37" s="130">
        <v>5.5999999999999999E-3</v>
      </c>
      <c r="H37" s="130">
        <v>9.7000000000000003E-3</v>
      </c>
      <c r="I37" s="112"/>
      <c r="J37" s="127" t="s">
        <v>38479</v>
      </c>
      <c r="K37" s="130">
        <v>5.5999999999999999E-3</v>
      </c>
      <c r="L37" s="130">
        <v>8.5000000000000006E-3</v>
      </c>
      <c r="M37" s="130">
        <v>8.8999999999999999E-3</v>
      </c>
      <c r="N37" s="112"/>
      <c r="O37" s="112"/>
      <c r="P37" s="112"/>
      <c r="Q37" s="112"/>
      <c r="R37" s="112"/>
      <c r="S37" s="112"/>
      <c r="T37" s="112"/>
      <c r="U37" s="112"/>
      <c r="V37" s="112"/>
      <c r="W37" s="112"/>
      <c r="X37" s="112"/>
      <c r="Y37" s="112"/>
      <c r="Z37" s="112"/>
      <c r="AA37" s="112"/>
      <c r="AB37" s="112"/>
      <c r="AC37" s="112"/>
      <c r="AD37" s="112"/>
      <c r="AE37" s="112"/>
      <c r="AF37" s="112"/>
      <c r="AG37" s="112"/>
      <c r="AH37" s="112"/>
      <c r="AI37" s="112"/>
      <c r="AJ37" s="112"/>
      <c r="AK37" s="112"/>
      <c r="AL37" s="112"/>
      <c r="AM37" s="112"/>
      <c r="AN37" s="112"/>
      <c r="AO37" s="112"/>
      <c r="AP37" s="112"/>
      <c r="AQ37" s="112"/>
      <c r="AR37" s="112"/>
      <c r="AS37" s="112"/>
      <c r="AT37" s="112"/>
      <c r="AU37" s="112"/>
      <c r="AV37" s="112"/>
      <c r="AW37" s="112"/>
      <c r="AX37" s="112"/>
      <c r="AY37" s="112"/>
      <c r="AZ37" s="112"/>
      <c r="BA37" s="112"/>
      <c r="BB37" s="112"/>
      <c r="BC37" s="112"/>
      <c r="BD37" s="112"/>
      <c r="BE37" s="112"/>
      <c r="BF37" s="112"/>
      <c r="BG37" s="112"/>
      <c r="BH37" s="112"/>
      <c r="BI37" s="112"/>
      <c r="BJ37" s="112"/>
      <c r="BK37" s="112"/>
      <c r="BL37" s="112"/>
      <c r="BM37" s="112"/>
      <c r="BN37" s="112"/>
      <c r="BO37" s="112"/>
      <c r="BP37" s="112"/>
      <c r="BQ37" s="112"/>
      <c r="BR37" s="112"/>
      <c r="BS37" s="112"/>
      <c r="BT37" s="112"/>
      <c r="BU37" s="112"/>
      <c r="BV37" s="112"/>
      <c r="BW37" s="112"/>
      <c r="BX37" s="112"/>
      <c r="BY37" s="112"/>
      <c r="BZ37" s="112"/>
      <c r="CA37" s="112"/>
      <c r="CB37" s="112"/>
      <c r="CC37" s="112"/>
      <c r="CD37" s="112"/>
      <c r="CE37" s="112"/>
      <c r="CF37" s="112"/>
      <c r="CG37" s="112"/>
      <c r="CH37" s="112"/>
      <c r="CI37" s="112"/>
      <c r="CJ37" s="112"/>
      <c r="CK37" s="112"/>
      <c r="CL37" s="112"/>
      <c r="CM37" s="112"/>
      <c r="CN37" s="112"/>
      <c r="CO37" s="112"/>
      <c r="CP37" s="112"/>
      <c r="CQ37" s="112"/>
      <c r="CR37" s="112"/>
      <c r="CS37" s="112"/>
      <c r="CT37" s="112"/>
      <c r="CU37" s="112"/>
      <c r="CV37" s="112"/>
      <c r="CW37" s="112"/>
      <c r="CX37" s="112"/>
      <c r="CY37" s="112"/>
      <c r="CZ37" s="112"/>
      <c r="DA37" s="112"/>
      <c r="DB37" s="112"/>
      <c r="DC37" s="112"/>
      <c r="DD37" s="112"/>
      <c r="DE37" s="112"/>
      <c r="DF37" s="112"/>
      <c r="DG37" s="112"/>
      <c r="DH37" s="112"/>
      <c r="DI37" s="112"/>
      <c r="DJ37" s="112"/>
      <c r="DK37" s="112"/>
      <c r="DL37" s="112"/>
      <c r="DM37" s="112"/>
      <c r="DN37" s="112"/>
      <c r="DO37" s="112"/>
      <c r="DP37" s="112"/>
      <c r="DQ37" s="112"/>
      <c r="DR37" s="112"/>
      <c r="DS37" s="112"/>
      <c r="DT37" s="112"/>
      <c r="DU37" s="112"/>
      <c r="DV37" s="112"/>
      <c r="DW37" s="112"/>
      <c r="DX37" s="112"/>
      <c r="DY37" s="112"/>
      <c r="DZ37" s="112"/>
      <c r="EA37" s="112"/>
      <c r="EB37" s="112"/>
      <c r="EC37" s="112"/>
      <c r="ED37" s="112"/>
      <c r="EE37" s="112"/>
      <c r="EF37" s="112"/>
      <c r="EG37" s="112"/>
      <c r="EH37" s="112"/>
      <c r="EI37" s="112"/>
      <c r="EJ37" s="112"/>
      <c r="EK37" s="112"/>
      <c r="EL37" s="112"/>
      <c r="EM37" s="112"/>
      <c r="EN37" s="112"/>
      <c r="EO37" s="112"/>
      <c r="EP37" s="112"/>
      <c r="EQ37" s="112"/>
      <c r="ER37" s="112"/>
      <c r="ES37" s="112"/>
      <c r="ET37" s="112"/>
      <c r="EU37" s="112"/>
      <c r="EV37" s="112"/>
      <c r="EW37" s="112"/>
      <c r="EX37" s="112"/>
      <c r="EY37" s="112"/>
      <c r="EZ37" s="112"/>
      <c r="FA37" s="112"/>
      <c r="FB37" s="112"/>
      <c r="FC37" s="112"/>
      <c r="FD37" s="112"/>
      <c r="FE37" s="112"/>
      <c r="FF37" s="112"/>
      <c r="FG37" s="112"/>
      <c r="FH37" s="112"/>
      <c r="FI37" s="112"/>
      <c r="FJ37" s="112"/>
      <c r="FK37" s="112"/>
      <c r="FL37" s="112"/>
      <c r="FM37" s="112"/>
      <c r="FN37" s="112"/>
      <c r="FO37" s="112"/>
      <c r="FP37" s="112"/>
      <c r="FQ37" s="112"/>
      <c r="FR37" s="112"/>
      <c r="FS37" s="112"/>
      <c r="FT37" s="112"/>
      <c r="FU37" s="112"/>
      <c r="FV37" s="112"/>
      <c r="FW37" s="112"/>
      <c r="FX37" s="112"/>
      <c r="FY37" s="112"/>
      <c r="FZ37" s="112"/>
      <c r="GA37" s="112"/>
      <c r="GB37" s="112"/>
      <c r="GC37" s="112"/>
      <c r="GD37" s="112"/>
      <c r="GE37" s="112"/>
      <c r="GF37" s="112"/>
      <c r="GG37" s="112"/>
      <c r="GH37" s="112"/>
      <c r="GI37" s="112"/>
      <c r="GJ37" s="112"/>
      <c r="GK37" s="112"/>
      <c r="GL37" s="112"/>
      <c r="GM37" s="112"/>
      <c r="GN37" s="112"/>
      <c r="GO37" s="112"/>
      <c r="GP37" s="112"/>
      <c r="GQ37" s="112"/>
      <c r="GR37" s="112"/>
      <c r="GS37" s="112"/>
      <c r="GT37" s="112"/>
      <c r="GU37" s="112"/>
      <c r="GV37" s="112"/>
      <c r="GW37" s="112"/>
      <c r="GX37" s="112"/>
      <c r="GY37" s="112"/>
      <c r="GZ37" s="112"/>
      <c r="HA37" s="112"/>
      <c r="HB37" s="112"/>
      <c r="HC37" s="112"/>
      <c r="HD37" s="112"/>
      <c r="HE37" s="112"/>
      <c r="HF37" s="112"/>
      <c r="HG37" s="112"/>
      <c r="HH37" s="112"/>
      <c r="HI37" s="112"/>
      <c r="HJ37" s="112"/>
      <c r="HK37" s="112"/>
      <c r="HL37" s="112"/>
      <c r="HM37" s="112"/>
      <c r="HN37" s="112"/>
      <c r="HO37" s="112"/>
      <c r="HP37" s="112"/>
      <c r="HQ37" s="112"/>
      <c r="HR37" s="112"/>
      <c r="HS37" s="112"/>
      <c r="HT37" s="112"/>
      <c r="HU37" s="112"/>
      <c r="HV37" s="112"/>
      <c r="HW37" s="112"/>
      <c r="HX37" s="112"/>
      <c r="HY37" s="112"/>
      <c r="HZ37" s="112"/>
      <c r="IA37" s="112"/>
      <c r="IB37" s="112"/>
      <c r="IC37" s="112"/>
      <c r="ID37" s="112"/>
      <c r="IE37" s="112"/>
      <c r="IF37" s="112"/>
      <c r="IG37" s="112"/>
      <c r="IH37" s="112"/>
      <c r="II37" s="112"/>
      <c r="IJ37" s="112"/>
      <c r="IK37" s="112"/>
      <c r="IL37" s="112"/>
      <c r="IM37" s="112"/>
      <c r="IN37" s="112"/>
      <c r="IO37" s="112"/>
      <c r="IP37" s="112"/>
      <c r="IQ37" s="112"/>
      <c r="IR37" s="112"/>
      <c r="IS37" s="112"/>
      <c r="IT37" s="112"/>
      <c r="IU37" s="112"/>
      <c r="IV37" s="112"/>
    </row>
    <row r="38" spans="1:256" ht="13.5" thickBot="1" x14ac:dyDescent="0.25">
      <c r="D38" s="147"/>
      <c r="E38" s="127" t="s">
        <v>38480</v>
      </c>
      <c r="F38" s="130">
        <v>1.0200000000000001E-2</v>
      </c>
      <c r="G38" s="130">
        <v>1.11E-2</v>
      </c>
      <c r="H38" s="130">
        <v>1.21E-2</v>
      </c>
      <c r="I38" s="112"/>
      <c r="J38" s="127" t="s">
        <v>38480</v>
      </c>
      <c r="K38" s="130">
        <v>8.5000000000000006E-3</v>
      </c>
      <c r="L38" s="130">
        <v>8.5000000000000006E-3</v>
      </c>
      <c r="M38" s="130">
        <v>1.11E-2</v>
      </c>
      <c r="N38" s="112"/>
      <c r="O38" s="112"/>
      <c r="P38" s="112"/>
      <c r="Q38" s="112"/>
      <c r="R38" s="112"/>
      <c r="S38" s="112"/>
      <c r="T38" s="112"/>
      <c r="U38" s="112"/>
      <c r="V38" s="112"/>
      <c r="W38" s="112"/>
      <c r="X38" s="112"/>
      <c r="Y38" s="112"/>
      <c r="Z38" s="112"/>
      <c r="AA38" s="112"/>
      <c r="AB38" s="112"/>
      <c r="AC38" s="112"/>
      <c r="AD38" s="112"/>
      <c r="AE38" s="112"/>
      <c r="AF38" s="112"/>
      <c r="AG38" s="112"/>
      <c r="AH38" s="112"/>
      <c r="AI38" s="112"/>
      <c r="AJ38" s="112"/>
      <c r="AK38" s="112"/>
      <c r="AL38" s="112"/>
      <c r="AM38" s="112"/>
      <c r="AN38" s="112"/>
      <c r="AO38" s="112"/>
      <c r="AP38" s="112"/>
      <c r="AQ38" s="112"/>
      <c r="AR38" s="112"/>
      <c r="AS38" s="112"/>
      <c r="AT38" s="112"/>
      <c r="AU38" s="112"/>
      <c r="AV38" s="112"/>
      <c r="AW38" s="112"/>
      <c r="AX38" s="112"/>
      <c r="AY38" s="112"/>
      <c r="AZ38" s="112"/>
      <c r="BA38" s="112"/>
      <c r="BB38" s="112"/>
      <c r="BC38" s="112"/>
      <c r="BD38" s="112"/>
      <c r="BE38" s="112"/>
      <c r="BF38" s="112"/>
      <c r="BG38" s="112"/>
      <c r="BH38" s="112"/>
      <c r="BI38" s="112"/>
      <c r="BJ38" s="112"/>
      <c r="BK38" s="112"/>
      <c r="BL38" s="112"/>
      <c r="BM38" s="112"/>
      <c r="BN38" s="112"/>
      <c r="BO38" s="112"/>
      <c r="BP38" s="112"/>
      <c r="BQ38" s="112"/>
      <c r="BR38" s="112"/>
      <c r="BS38" s="112"/>
      <c r="BT38" s="112"/>
      <c r="BU38" s="112"/>
      <c r="BV38" s="112"/>
      <c r="BW38" s="112"/>
      <c r="BX38" s="112"/>
      <c r="BY38" s="112"/>
      <c r="BZ38" s="112"/>
      <c r="CA38" s="112"/>
      <c r="CB38" s="112"/>
      <c r="CC38" s="112"/>
      <c r="CD38" s="112"/>
      <c r="CE38" s="112"/>
      <c r="CF38" s="112"/>
      <c r="CG38" s="112"/>
      <c r="CH38" s="112"/>
      <c r="CI38" s="112"/>
      <c r="CJ38" s="112"/>
      <c r="CK38" s="112"/>
      <c r="CL38" s="112"/>
      <c r="CM38" s="112"/>
      <c r="CN38" s="112"/>
      <c r="CO38" s="112"/>
      <c r="CP38" s="112"/>
      <c r="CQ38" s="112"/>
      <c r="CR38" s="112"/>
      <c r="CS38" s="112"/>
      <c r="CT38" s="112"/>
      <c r="CU38" s="112"/>
      <c r="CV38" s="112"/>
      <c r="CW38" s="112"/>
      <c r="CX38" s="112"/>
      <c r="CY38" s="112"/>
      <c r="CZ38" s="112"/>
      <c r="DA38" s="112"/>
      <c r="DB38" s="112"/>
      <c r="DC38" s="112"/>
      <c r="DD38" s="112"/>
      <c r="DE38" s="112"/>
      <c r="DF38" s="112"/>
      <c r="DG38" s="112"/>
      <c r="DH38" s="112"/>
      <c r="DI38" s="112"/>
      <c r="DJ38" s="112"/>
      <c r="DK38" s="112"/>
      <c r="DL38" s="112"/>
      <c r="DM38" s="112"/>
      <c r="DN38" s="112"/>
      <c r="DO38" s="112"/>
      <c r="DP38" s="112"/>
      <c r="DQ38" s="112"/>
      <c r="DR38" s="112"/>
      <c r="DS38" s="112"/>
      <c r="DT38" s="112"/>
      <c r="DU38" s="112"/>
      <c r="DV38" s="112"/>
      <c r="DW38" s="112"/>
      <c r="DX38" s="112"/>
      <c r="DY38" s="112"/>
      <c r="DZ38" s="112"/>
      <c r="EA38" s="112"/>
      <c r="EB38" s="112"/>
      <c r="EC38" s="112"/>
      <c r="ED38" s="112"/>
      <c r="EE38" s="112"/>
      <c r="EF38" s="112"/>
      <c r="EG38" s="112"/>
      <c r="EH38" s="112"/>
      <c r="EI38" s="112"/>
      <c r="EJ38" s="112"/>
      <c r="EK38" s="112"/>
      <c r="EL38" s="112"/>
      <c r="EM38" s="112"/>
      <c r="EN38" s="112"/>
      <c r="EO38" s="112"/>
      <c r="EP38" s="112"/>
      <c r="EQ38" s="112"/>
      <c r="ER38" s="112"/>
      <c r="ES38" s="112"/>
      <c r="ET38" s="112"/>
      <c r="EU38" s="112"/>
      <c r="EV38" s="112"/>
      <c r="EW38" s="112"/>
      <c r="EX38" s="112"/>
      <c r="EY38" s="112"/>
      <c r="EZ38" s="112"/>
      <c r="FA38" s="112"/>
      <c r="FB38" s="112"/>
      <c r="FC38" s="112"/>
      <c r="FD38" s="112"/>
      <c r="FE38" s="112"/>
      <c r="FF38" s="112"/>
      <c r="FG38" s="112"/>
      <c r="FH38" s="112"/>
      <c r="FI38" s="112"/>
      <c r="FJ38" s="112"/>
      <c r="FK38" s="112"/>
      <c r="FL38" s="112"/>
      <c r="FM38" s="112"/>
      <c r="FN38" s="112"/>
      <c r="FO38" s="112"/>
      <c r="FP38" s="112"/>
      <c r="FQ38" s="112"/>
      <c r="FR38" s="112"/>
      <c r="FS38" s="112"/>
      <c r="FT38" s="112"/>
      <c r="FU38" s="112"/>
      <c r="FV38" s="112"/>
      <c r="FW38" s="112"/>
      <c r="FX38" s="112"/>
      <c r="FY38" s="112"/>
      <c r="FZ38" s="112"/>
      <c r="GA38" s="112"/>
      <c r="GB38" s="112"/>
      <c r="GC38" s="112"/>
      <c r="GD38" s="112"/>
      <c r="GE38" s="112"/>
      <c r="GF38" s="112"/>
      <c r="GG38" s="112"/>
      <c r="GH38" s="112"/>
      <c r="GI38" s="112"/>
      <c r="GJ38" s="112"/>
      <c r="GK38" s="112"/>
      <c r="GL38" s="112"/>
      <c r="GM38" s="112"/>
      <c r="GN38" s="112"/>
      <c r="GO38" s="112"/>
      <c r="GP38" s="112"/>
      <c r="GQ38" s="112"/>
      <c r="GR38" s="112"/>
      <c r="GS38" s="112"/>
      <c r="GT38" s="112"/>
      <c r="GU38" s="112"/>
      <c r="GV38" s="112"/>
      <c r="GW38" s="112"/>
      <c r="GX38" s="112"/>
      <c r="GY38" s="112"/>
      <c r="GZ38" s="112"/>
      <c r="HA38" s="112"/>
      <c r="HB38" s="112"/>
      <c r="HC38" s="112"/>
      <c r="HD38" s="112"/>
      <c r="HE38" s="112"/>
      <c r="HF38" s="112"/>
      <c r="HG38" s="112"/>
      <c r="HH38" s="112"/>
      <c r="HI38" s="112"/>
      <c r="HJ38" s="112"/>
      <c r="HK38" s="112"/>
      <c r="HL38" s="112"/>
      <c r="HM38" s="112"/>
      <c r="HN38" s="112"/>
      <c r="HO38" s="112"/>
      <c r="HP38" s="112"/>
      <c r="HQ38" s="112"/>
      <c r="HR38" s="112"/>
      <c r="HS38" s="112"/>
      <c r="HT38" s="112"/>
      <c r="HU38" s="112"/>
      <c r="HV38" s="112"/>
      <c r="HW38" s="112"/>
      <c r="HX38" s="112"/>
      <c r="HY38" s="112"/>
      <c r="HZ38" s="112"/>
      <c r="IA38" s="112"/>
      <c r="IB38" s="112"/>
      <c r="IC38" s="112"/>
      <c r="ID38" s="112"/>
      <c r="IE38" s="112"/>
      <c r="IF38" s="112"/>
      <c r="IG38" s="112"/>
      <c r="IH38" s="112"/>
      <c r="II38" s="112"/>
      <c r="IJ38" s="112"/>
      <c r="IK38" s="112"/>
      <c r="IL38" s="112"/>
      <c r="IM38" s="112"/>
      <c r="IN38" s="112"/>
      <c r="IO38" s="112"/>
      <c r="IP38" s="112"/>
      <c r="IQ38" s="112"/>
      <c r="IR38" s="112"/>
      <c r="IS38" s="112"/>
      <c r="IT38" s="112"/>
      <c r="IU38" s="112"/>
      <c r="IV38" s="112"/>
    </row>
    <row r="39" spans="1:256" ht="13.5" thickBot="1" x14ac:dyDescent="0.25">
      <c r="A39" s="627" t="str">
        <f>ORCAMENTO!A392</f>
        <v>BOA VIAGEM - CE, JULHO DE 2025</v>
      </c>
      <c r="B39" s="627"/>
      <c r="C39" s="627"/>
      <c r="D39" s="112"/>
      <c r="E39" s="127" t="s">
        <v>38481</v>
      </c>
      <c r="F39" s="130">
        <v>6.6400000000000001E-2</v>
      </c>
      <c r="G39" s="130">
        <v>7.2999999999999995E-2</v>
      </c>
      <c r="H39" s="130">
        <v>8.6900000000000005E-2</v>
      </c>
      <c r="I39" s="112"/>
      <c r="J39" s="127" t="s">
        <v>38481</v>
      </c>
      <c r="K39" s="130">
        <v>3.5000000000000003E-2</v>
      </c>
      <c r="L39" s="130">
        <v>5.11E-2</v>
      </c>
      <c r="M39" s="130">
        <v>6.2199999999999998E-2</v>
      </c>
      <c r="N39" s="112"/>
      <c r="O39" s="112"/>
      <c r="P39" s="112"/>
      <c r="Q39" s="112"/>
      <c r="R39" s="112"/>
      <c r="S39" s="112"/>
      <c r="T39" s="112"/>
      <c r="U39" s="112"/>
      <c r="V39" s="112"/>
      <c r="W39" s="112"/>
      <c r="X39" s="112"/>
      <c r="Y39" s="112"/>
      <c r="Z39" s="112"/>
      <c r="AA39" s="112"/>
      <c r="AB39" s="112"/>
      <c r="AC39" s="112"/>
      <c r="AD39" s="112"/>
      <c r="AE39" s="112"/>
      <c r="AF39" s="112"/>
      <c r="AG39" s="112"/>
      <c r="AH39" s="112"/>
      <c r="AI39" s="112"/>
      <c r="AJ39" s="112"/>
      <c r="AK39" s="112"/>
      <c r="AL39" s="112"/>
      <c r="AM39" s="112"/>
      <c r="AN39" s="112"/>
      <c r="AO39" s="112"/>
      <c r="AP39" s="112"/>
      <c r="AQ39" s="112"/>
      <c r="AR39" s="112"/>
      <c r="AS39" s="112"/>
      <c r="AT39" s="112"/>
      <c r="AU39" s="112"/>
      <c r="AV39" s="112"/>
      <c r="AW39" s="112"/>
      <c r="AX39" s="112"/>
      <c r="AY39" s="112"/>
      <c r="AZ39" s="112"/>
      <c r="BA39" s="112"/>
      <c r="BB39" s="112"/>
      <c r="BC39" s="112"/>
      <c r="BD39" s="112"/>
      <c r="BE39" s="112"/>
      <c r="BF39" s="112"/>
      <c r="BG39" s="112"/>
      <c r="BH39" s="112"/>
      <c r="BI39" s="112"/>
      <c r="BJ39" s="112"/>
      <c r="BK39" s="112"/>
      <c r="BL39" s="112"/>
      <c r="BM39" s="112"/>
      <c r="BN39" s="112"/>
      <c r="BO39" s="112"/>
      <c r="BP39" s="112"/>
      <c r="BQ39" s="112"/>
      <c r="BR39" s="112"/>
      <c r="BS39" s="112"/>
      <c r="BT39" s="112"/>
      <c r="BU39" s="112"/>
      <c r="BV39" s="112"/>
      <c r="BW39" s="112"/>
      <c r="BX39" s="112"/>
      <c r="BY39" s="112"/>
      <c r="BZ39" s="112"/>
      <c r="CA39" s="112"/>
      <c r="CB39" s="112"/>
      <c r="CC39" s="112"/>
      <c r="CD39" s="112"/>
      <c r="CE39" s="112"/>
      <c r="CF39" s="112"/>
      <c r="CG39" s="112"/>
      <c r="CH39" s="112"/>
      <c r="CI39" s="112"/>
      <c r="CJ39" s="112"/>
      <c r="CK39" s="112"/>
      <c r="CL39" s="112"/>
      <c r="CM39" s="112"/>
      <c r="CN39" s="112"/>
      <c r="CO39" s="112"/>
      <c r="CP39" s="112"/>
      <c r="CQ39" s="112"/>
      <c r="CR39" s="112"/>
      <c r="CS39" s="112"/>
      <c r="CT39" s="112"/>
      <c r="CU39" s="112"/>
      <c r="CV39" s="112"/>
      <c r="CW39" s="112"/>
      <c r="CX39" s="112"/>
      <c r="CY39" s="112"/>
      <c r="CZ39" s="112"/>
      <c r="DA39" s="112"/>
      <c r="DB39" s="112"/>
      <c r="DC39" s="112"/>
      <c r="DD39" s="112"/>
      <c r="DE39" s="112"/>
      <c r="DF39" s="112"/>
      <c r="DG39" s="112"/>
      <c r="DH39" s="112"/>
      <c r="DI39" s="112"/>
      <c r="DJ39" s="112"/>
      <c r="DK39" s="112"/>
      <c r="DL39" s="112"/>
      <c r="DM39" s="112"/>
      <c r="DN39" s="112"/>
      <c r="DO39" s="112"/>
      <c r="DP39" s="112"/>
      <c r="DQ39" s="112"/>
      <c r="DR39" s="112"/>
      <c r="DS39" s="112"/>
      <c r="DT39" s="112"/>
      <c r="DU39" s="112"/>
      <c r="DV39" s="112"/>
      <c r="DW39" s="112"/>
      <c r="DX39" s="112"/>
      <c r="DY39" s="112"/>
      <c r="DZ39" s="112"/>
      <c r="EA39" s="112"/>
      <c r="EB39" s="112"/>
      <c r="EC39" s="112"/>
      <c r="ED39" s="112"/>
      <c r="EE39" s="112"/>
      <c r="EF39" s="112"/>
      <c r="EG39" s="112"/>
      <c r="EH39" s="112"/>
      <c r="EI39" s="112"/>
      <c r="EJ39" s="112"/>
      <c r="EK39" s="112"/>
      <c r="EL39" s="112"/>
      <c r="EM39" s="112"/>
      <c r="EN39" s="112"/>
      <c r="EO39" s="112"/>
      <c r="EP39" s="112"/>
      <c r="EQ39" s="112"/>
      <c r="ER39" s="112"/>
      <c r="ES39" s="112"/>
      <c r="ET39" s="112"/>
      <c r="EU39" s="112"/>
      <c r="EV39" s="112"/>
      <c r="EW39" s="112"/>
      <c r="EX39" s="112"/>
      <c r="EY39" s="112"/>
      <c r="EZ39" s="112"/>
      <c r="FA39" s="112"/>
      <c r="FB39" s="112"/>
      <c r="FC39" s="112"/>
      <c r="FD39" s="112"/>
      <c r="FE39" s="112"/>
      <c r="FF39" s="112"/>
      <c r="FG39" s="112"/>
      <c r="FH39" s="112"/>
      <c r="FI39" s="112"/>
      <c r="FJ39" s="112"/>
      <c r="FK39" s="112"/>
      <c r="FL39" s="112"/>
      <c r="FM39" s="112"/>
      <c r="FN39" s="112"/>
      <c r="FO39" s="112"/>
      <c r="FP39" s="112"/>
      <c r="FQ39" s="112"/>
      <c r="FR39" s="112"/>
      <c r="FS39" s="112"/>
      <c r="FT39" s="112"/>
      <c r="FU39" s="112"/>
      <c r="FV39" s="112"/>
      <c r="FW39" s="112"/>
      <c r="FX39" s="112"/>
      <c r="FY39" s="112"/>
      <c r="FZ39" s="112"/>
      <c r="GA39" s="112"/>
      <c r="GB39" s="112"/>
      <c r="GC39" s="112"/>
      <c r="GD39" s="112"/>
      <c r="GE39" s="112"/>
      <c r="GF39" s="112"/>
      <c r="GG39" s="112"/>
      <c r="GH39" s="112"/>
      <c r="GI39" s="112"/>
      <c r="GJ39" s="112"/>
      <c r="GK39" s="112"/>
      <c r="GL39" s="112"/>
      <c r="GM39" s="112"/>
      <c r="GN39" s="112"/>
      <c r="GO39" s="112"/>
      <c r="GP39" s="112"/>
      <c r="GQ39" s="112"/>
      <c r="GR39" s="112"/>
      <c r="GS39" s="112"/>
      <c r="GT39" s="112"/>
      <c r="GU39" s="112"/>
      <c r="GV39" s="112"/>
      <c r="GW39" s="112"/>
      <c r="GX39" s="112"/>
      <c r="GY39" s="112"/>
      <c r="GZ39" s="112"/>
      <c r="HA39" s="112"/>
      <c r="HB39" s="112"/>
      <c r="HC39" s="112"/>
      <c r="HD39" s="112"/>
      <c r="HE39" s="112"/>
      <c r="HF39" s="112"/>
      <c r="HG39" s="112"/>
      <c r="HH39" s="112"/>
      <c r="HI39" s="112"/>
      <c r="HJ39" s="112"/>
      <c r="HK39" s="112"/>
      <c r="HL39" s="112"/>
      <c r="HM39" s="112"/>
      <c r="HN39" s="112"/>
      <c r="HO39" s="112"/>
      <c r="HP39" s="112"/>
      <c r="HQ39" s="112"/>
      <c r="HR39" s="112"/>
      <c r="HS39" s="112"/>
      <c r="HT39" s="112"/>
      <c r="HU39" s="112"/>
      <c r="HV39" s="112"/>
      <c r="HW39" s="112"/>
      <c r="HX39" s="112"/>
      <c r="HY39" s="112"/>
      <c r="HZ39" s="112"/>
      <c r="IA39" s="112"/>
      <c r="IB39" s="112"/>
      <c r="IC39" s="112"/>
      <c r="ID39" s="112"/>
      <c r="IE39" s="112"/>
      <c r="IF39" s="112"/>
      <c r="IG39" s="112"/>
      <c r="IH39" s="112"/>
      <c r="II39" s="112"/>
      <c r="IJ39" s="112"/>
      <c r="IK39" s="112"/>
      <c r="IL39" s="112"/>
      <c r="IM39" s="112"/>
      <c r="IN39" s="112"/>
      <c r="IO39" s="112"/>
      <c r="IP39" s="112"/>
      <c r="IQ39" s="112"/>
      <c r="IR39" s="112"/>
      <c r="IS39" s="112"/>
      <c r="IT39" s="112"/>
      <c r="IU39" s="112"/>
      <c r="IV39" s="112"/>
    </row>
    <row r="40" spans="1:256" x14ac:dyDescent="0.2">
      <c r="D40" s="112"/>
      <c r="E40" s="112" t="s">
        <v>38492</v>
      </c>
      <c r="F40" s="112"/>
      <c r="G40" s="112"/>
      <c r="H40" s="112"/>
      <c r="I40" s="112"/>
      <c r="J40" s="112"/>
      <c r="K40" s="112"/>
      <c r="L40" s="112"/>
      <c r="M40" s="112"/>
      <c r="N40" s="112"/>
      <c r="O40" s="112"/>
      <c r="P40" s="112"/>
      <c r="Q40" s="112"/>
      <c r="R40" s="112"/>
      <c r="S40" s="112"/>
      <c r="T40" s="112"/>
      <c r="U40" s="112"/>
      <c r="V40" s="112"/>
      <c r="W40" s="112"/>
      <c r="X40" s="112"/>
      <c r="Y40" s="112"/>
      <c r="Z40" s="112"/>
      <c r="AA40" s="112"/>
      <c r="AB40" s="112"/>
      <c r="AC40" s="112"/>
      <c r="AD40" s="112"/>
      <c r="AE40" s="112"/>
      <c r="AF40" s="112"/>
      <c r="AG40" s="112"/>
      <c r="AH40" s="112"/>
      <c r="AI40" s="112"/>
      <c r="AJ40" s="112"/>
      <c r="AK40" s="112"/>
      <c r="AL40" s="112"/>
      <c r="AM40" s="112"/>
      <c r="AN40" s="112"/>
      <c r="AO40" s="112"/>
      <c r="AP40" s="112"/>
      <c r="AQ40" s="112"/>
      <c r="AR40" s="112"/>
      <c r="AS40" s="112"/>
      <c r="AT40" s="112"/>
      <c r="AU40" s="112"/>
      <c r="AV40" s="112"/>
      <c r="AW40" s="112"/>
      <c r="AX40" s="112"/>
      <c r="AY40" s="112"/>
      <c r="AZ40" s="112"/>
      <c r="BA40" s="112"/>
      <c r="BB40" s="112"/>
      <c r="BC40" s="112"/>
      <c r="BD40" s="112"/>
      <c r="BE40" s="112"/>
      <c r="BF40" s="112"/>
      <c r="BG40" s="112"/>
      <c r="BH40" s="112"/>
      <c r="BI40" s="112"/>
      <c r="BJ40" s="112"/>
      <c r="BK40" s="112"/>
      <c r="BL40" s="112"/>
      <c r="BM40" s="112"/>
      <c r="BN40" s="112"/>
      <c r="BO40" s="112"/>
      <c r="BP40" s="112"/>
      <c r="BQ40" s="112"/>
      <c r="BR40" s="112"/>
      <c r="BS40" s="112"/>
      <c r="BT40" s="112"/>
      <c r="BU40" s="112"/>
      <c r="BV40" s="112"/>
      <c r="BW40" s="112"/>
      <c r="BX40" s="112"/>
      <c r="BY40" s="112"/>
      <c r="BZ40" s="112"/>
      <c r="CA40" s="112"/>
      <c r="CB40" s="112"/>
      <c r="CC40" s="112"/>
      <c r="CD40" s="112"/>
      <c r="CE40" s="112"/>
      <c r="CF40" s="112"/>
      <c r="CG40" s="112"/>
      <c r="CH40" s="112"/>
      <c r="CI40" s="112"/>
      <c r="CJ40" s="112"/>
      <c r="CK40" s="112"/>
      <c r="CL40" s="112"/>
      <c r="CM40" s="112"/>
      <c r="CN40" s="112"/>
      <c r="CO40" s="112"/>
      <c r="CP40" s="112"/>
      <c r="CQ40" s="112"/>
      <c r="CR40" s="112"/>
      <c r="CS40" s="112"/>
      <c r="CT40" s="112"/>
      <c r="CU40" s="112"/>
      <c r="CV40" s="112"/>
      <c r="CW40" s="112"/>
      <c r="CX40" s="112"/>
      <c r="CY40" s="112"/>
      <c r="CZ40" s="112"/>
      <c r="DA40" s="112"/>
      <c r="DB40" s="112"/>
      <c r="DC40" s="112"/>
      <c r="DD40" s="112"/>
      <c r="DE40" s="112"/>
      <c r="DF40" s="112"/>
      <c r="DG40" s="112"/>
      <c r="DH40" s="112"/>
      <c r="DI40" s="112"/>
      <c r="DJ40" s="112"/>
      <c r="DK40" s="112"/>
      <c r="DL40" s="112"/>
      <c r="DM40" s="112"/>
      <c r="DN40" s="112"/>
      <c r="DO40" s="112"/>
      <c r="DP40" s="112"/>
      <c r="DQ40" s="112"/>
      <c r="DR40" s="112"/>
      <c r="DS40" s="112"/>
      <c r="DT40" s="112"/>
      <c r="DU40" s="112"/>
      <c r="DV40" s="112"/>
      <c r="DW40" s="112"/>
      <c r="DX40" s="112"/>
      <c r="DY40" s="112"/>
      <c r="DZ40" s="112"/>
      <c r="EA40" s="112"/>
      <c r="EB40" s="112"/>
      <c r="EC40" s="112"/>
      <c r="ED40" s="112"/>
      <c r="EE40" s="112"/>
      <c r="EF40" s="112"/>
      <c r="EG40" s="112"/>
      <c r="EH40" s="112"/>
      <c r="EI40" s="112"/>
      <c r="EJ40" s="112"/>
      <c r="EK40" s="112"/>
      <c r="EL40" s="112"/>
      <c r="EM40" s="112"/>
      <c r="EN40" s="112"/>
      <c r="EO40" s="112"/>
      <c r="EP40" s="112"/>
      <c r="EQ40" s="112"/>
      <c r="ER40" s="112"/>
      <c r="ES40" s="112"/>
      <c r="ET40" s="112"/>
      <c r="EU40" s="112"/>
      <c r="EV40" s="112"/>
      <c r="EW40" s="112"/>
      <c r="EX40" s="112"/>
      <c r="EY40" s="112"/>
      <c r="EZ40" s="112"/>
      <c r="FA40" s="112"/>
      <c r="FB40" s="112"/>
      <c r="FC40" s="112"/>
      <c r="FD40" s="112"/>
      <c r="FE40" s="112"/>
      <c r="FF40" s="112"/>
      <c r="FG40" s="112"/>
      <c r="FH40" s="112"/>
      <c r="FI40" s="112"/>
      <c r="FJ40" s="112"/>
      <c r="FK40" s="112"/>
      <c r="FL40" s="112"/>
      <c r="FM40" s="112"/>
      <c r="FN40" s="112"/>
      <c r="FO40" s="112"/>
      <c r="FP40" s="112"/>
      <c r="FQ40" s="112"/>
      <c r="FR40" s="112"/>
      <c r="FS40" s="112"/>
      <c r="FT40" s="112"/>
      <c r="FU40" s="112"/>
      <c r="FV40" s="112"/>
      <c r="FW40" s="112"/>
      <c r="FX40" s="112"/>
      <c r="FY40" s="112"/>
      <c r="FZ40" s="112"/>
      <c r="GA40" s="112"/>
      <c r="GB40" s="112"/>
      <c r="GC40" s="112"/>
      <c r="GD40" s="112"/>
      <c r="GE40" s="112"/>
      <c r="GF40" s="112"/>
      <c r="GG40" s="112"/>
      <c r="GH40" s="112"/>
      <c r="GI40" s="112"/>
      <c r="GJ40" s="112"/>
      <c r="GK40" s="112"/>
      <c r="GL40" s="112"/>
      <c r="GM40" s="112"/>
      <c r="GN40" s="112"/>
      <c r="GO40" s="112"/>
      <c r="GP40" s="112"/>
      <c r="GQ40" s="112"/>
      <c r="GR40" s="112"/>
      <c r="GS40" s="112"/>
      <c r="GT40" s="112"/>
      <c r="GU40" s="112"/>
      <c r="GV40" s="112"/>
      <c r="GW40" s="112"/>
      <c r="GX40" s="112"/>
      <c r="GY40" s="112"/>
      <c r="GZ40" s="112"/>
      <c r="HA40" s="112"/>
      <c r="HB40" s="112"/>
      <c r="HC40" s="112"/>
      <c r="HD40" s="112"/>
      <c r="HE40" s="112"/>
      <c r="HF40" s="112"/>
      <c r="HG40" s="112"/>
      <c r="HH40" s="112"/>
      <c r="HI40" s="112"/>
      <c r="HJ40" s="112"/>
      <c r="HK40" s="112"/>
      <c r="HL40" s="112"/>
      <c r="HM40" s="112"/>
      <c r="HN40" s="112"/>
      <c r="HO40" s="112"/>
      <c r="HP40" s="112"/>
      <c r="HQ40" s="112"/>
      <c r="HR40" s="112"/>
      <c r="HS40" s="112"/>
      <c r="HT40" s="112"/>
      <c r="HU40" s="112"/>
      <c r="HV40" s="112"/>
      <c r="HW40" s="112"/>
      <c r="HX40" s="112"/>
      <c r="HY40" s="112"/>
      <c r="HZ40" s="112"/>
      <c r="IA40" s="112"/>
      <c r="IB40" s="112"/>
      <c r="IC40" s="112"/>
      <c r="ID40" s="112"/>
      <c r="IE40" s="112"/>
      <c r="IF40" s="112"/>
      <c r="IG40" s="112"/>
      <c r="IH40" s="112"/>
      <c r="II40" s="112"/>
      <c r="IJ40" s="112"/>
      <c r="IK40" s="112"/>
      <c r="IL40" s="112"/>
      <c r="IM40" s="112"/>
      <c r="IN40" s="112"/>
      <c r="IO40" s="112"/>
      <c r="IP40" s="112"/>
      <c r="IQ40" s="112"/>
      <c r="IR40" s="112"/>
      <c r="IS40" s="112"/>
      <c r="IT40" s="112"/>
      <c r="IU40" s="112"/>
      <c r="IV40" s="112"/>
    </row>
    <row r="41" spans="1:256" x14ac:dyDescent="0.2">
      <c r="D41" s="112"/>
      <c r="E41" s="112"/>
      <c r="F41" s="112"/>
      <c r="G41" s="112"/>
      <c r="H41" s="112"/>
      <c r="I41" s="112"/>
      <c r="J41" s="112"/>
      <c r="K41" s="112"/>
      <c r="L41" s="112"/>
      <c r="M41" s="112"/>
      <c r="N41" s="112"/>
      <c r="O41" s="112"/>
      <c r="P41" s="112"/>
      <c r="Q41" s="112"/>
      <c r="R41" s="112"/>
      <c r="S41" s="112"/>
      <c r="T41" s="112"/>
      <c r="U41" s="112"/>
      <c r="V41" s="112"/>
      <c r="W41" s="112"/>
      <c r="X41" s="112"/>
      <c r="Y41" s="112"/>
      <c r="Z41" s="112"/>
      <c r="AA41" s="112"/>
      <c r="AB41" s="112"/>
      <c r="AC41" s="112"/>
      <c r="AD41" s="112"/>
      <c r="AE41" s="112"/>
      <c r="AF41" s="112"/>
      <c r="AG41" s="112"/>
      <c r="AH41" s="112"/>
      <c r="AI41" s="112"/>
      <c r="AJ41" s="112"/>
      <c r="AK41" s="112"/>
      <c r="AL41" s="112"/>
      <c r="AM41" s="112"/>
      <c r="AN41" s="112"/>
      <c r="AO41" s="112"/>
      <c r="AP41" s="112"/>
      <c r="AQ41" s="112"/>
      <c r="AR41" s="112"/>
      <c r="AS41" s="112"/>
      <c r="AT41" s="112"/>
      <c r="AU41" s="112"/>
      <c r="AV41" s="112"/>
      <c r="AW41" s="112"/>
      <c r="AX41" s="112"/>
      <c r="AY41" s="112"/>
      <c r="AZ41" s="112"/>
      <c r="BA41" s="112"/>
      <c r="BB41" s="112"/>
      <c r="BC41" s="112"/>
      <c r="BD41" s="112"/>
      <c r="BE41" s="112"/>
      <c r="BF41" s="112"/>
      <c r="BG41" s="112"/>
      <c r="BH41" s="112"/>
      <c r="BI41" s="112"/>
      <c r="BJ41" s="112"/>
      <c r="BK41" s="112"/>
      <c r="BL41" s="112"/>
      <c r="BM41" s="112"/>
      <c r="BN41" s="112"/>
      <c r="BO41" s="112"/>
      <c r="BP41" s="112"/>
      <c r="BQ41" s="112"/>
      <c r="BR41" s="112"/>
      <c r="BS41" s="112"/>
      <c r="BT41" s="112"/>
      <c r="BU41" s="112"/>
      <c r="BV41" s="112"/>
      <c r="BW41" s="112"/>
      <c r="BX41" s="112"/>
      <c r="BY41" s="112"/>
      <c r="BZ41" s="112"/>
      <c r="CA41" s="112"/>
      <c r="CB41" s="112"/>
      <c r="CC41" s="112"/>
      <c r="CD41" s="112"/>
      <c r="CE41" s="112"/>
      <c r="CF41" s="112"/>
      <c r="CG41" s="112"/>
      <c r="CH41" s="112"/>
      <c r="CI41" s="112"/>
      <c r="CJ41" s="112"/>
      <c r="CK41" s="112"/>
      <c r="CL41" s="112"/>
      <c r="CM41" s="112"/>
      <c r="CN41" s="112"/>
      <c r="CO41" s="112"/>
      <c r="CP41" s="112"/>
      <c r="CQ41" s="112"/>
      <c r="CR41" s="112"/>
      <c r="CS41" s="112"/>
      <c r="CT41" s="112"/>
      <c r="CU41" s="112"/>
      <c r="CV41" s="112"/>
      <c r="CW41" s="112"/>
      <c r="CX41" s="112"/>
      <c r="CY41" s="112"/>
      <c r="CZ41" s="112"/>
      <c r="DA41" s="112"/>
      <c r="DB41" s="112"/>
      <c r="DC41" s="112"/>
      <c r="DD41" s="112"/>
      <c r="DE41" s="112"/>
      <c r="DF41" s="112"/>
      <c r="DG41" s="112"/>
      <c r="DH41" s="112"/>
      <c r="DI41" s="112"/>
      <c r="DJ41" s="112"/>
      <c r="DK41" s="112"/>
      <c r="DL41" s="112"/>
      <c r="DM41" s="112"/>
      <c r="DN41" s="112"/>
      <c r="DO41" s="112"/>
      <c r="DP41" s="112"/>
      <c r="DQ41" s="112"/>
      <c r="DR41" s="112"/>
      <c r="DS41" s="112"/>
      <c r="DT41" s="112"/>
      <c r="DU41" s="112"/>
      <c r="DV41" s="112"/>
      <c r="DW41" s="112"/>
      <c r="DX41" s="112"/>
      <c r="DY41" s="112"/>
      <c r="DZ41" s="112"/>
      <c r="EA41" s="112"/>
      <c r="EB41" s="112"/>
      <c r="EC41" s="112"/>
      <c r="ED41" s="112"/>
      <c r="EE41" s="112"/>
      <c r="EF41" s="112"/>
      <c r="EG41" s="112"/>
      <c r="EH41" s="112"/>
      <c r="EI41" s="112"/>
      <c r="EJ41" s="112"/>
      <c r="EK41" s="112"/>
      <c r="EL41" s="112"/>
      <c r="EM41" s="112"/>
      <c r="EN41" s="112"/>
      <c r="EO41" s="112"/>
      <c r="EP41" s="112"/>
      <c r="EQ41" s="112"/>
      <c r="ER41" s="112"/>
      <c r="ES41" s="112"/>
      <c r="ET41" s="112"/>
      <c r="EU41" s="112"/>
      <c r="EV41" s="112"/>
      <c r="EW41" s="112"/>
      <c r="EX41" s="112"/>
      <c r="EY41" s="112"/>
      <c r="EZ41" s="112"/>
      <c r="FA41" s="112"/>
      <c r="FB41" s="112"/>
      <c r="FC41" s="112"/>
      <c r="FD41" s="112"/>
      <c r="FE41" s="112"/>
      <c r="FF41" s="112"/>
      <c r="FG41" s="112"/>
      <c r="FH41" s="112"/>
      <c r="FI41" s="112"/>
      <c r="FJ41" s="112"/>
      <c r="FK41" s="112"/>
      <c r="FL41" s="112"/>
      <c r="FM41" s="112"/>
      <c r="FN41" s="112"/>
      <c r="FO41" s="112"/>
      <c r="FP41" s="112"/>
      <c r="FQ41" s="112"/>
      <c r="FR41" s="112"/>
      <c r="FS41" s="112"/>
      <c r="FT41" s="112"/>
      <c r="FU41" s="112"/>
      <c r="FV41" s="112"/>
      <c r="FW41" s="112"/>
      <c r="FX41" s="112"/>
      <c r="FY41" s="112"/>
      <c r="FZ41" s="112"/>
      <c r="GA41" s="112"/>
      <c r="GB41" s="112"/>
      <c r="GC41" s="112"/>
      <c r="GD41" s="112"/>
      <c r="GE41" s="112"/>
      <c r="GF41" s="112"/>
      <c r="GG41" s="112"/>
      <c r="GH41" s="112"/>
      <c r="GI41" s="112"/>
      <c r="GJ41" s="112"/>
      <c r="GK41" s="112"/>
      <c r="GL41" s="112"/>
      <c r="GM41" s="112"/>
      <c r="GN41" s="112"/>
      <c r="GO41" s="112"/>
      <c r="GP41" s="112"/>
      <c r="GQ41" s="112"/>
      <c r="GR41" s="112"/>
      <c r="GS41" s="112"/>
      <c r="GT41" s="112"/>
      <c r="GU41" s="112"/>
      <c r="GV41" s="112"/>
      <c r="GW41" s="112"/>
      <c r="GX41" s="112"/>
      <c r="GY41" s="112"/>
      <c r="GZ41" s="112"/>
      <c r="HA41" s="112"/>
      <c r="HB41" s="112"/>
      <c r="HC41" s="112"/>
      <c r="HD41" s="112"/>
      <c r="HE41" s="112"/>
      <c r="HF41" s="112"/>
      <c r="HG41" s="112"/>
      <c r="HH41" s="112"/>
      <c r="HI41" s="112"/>
      <c r="HJ41" s="112"/>
      <c r="HK41" s="112"/>
      <c r="HL41" s="112"/>
      <c r="HM41" s="112"/>
      <c r="HN41" s="112"/>
      <c r="HO41" s="112"/>
      <c r="HP41" s="112"/>
      <c r="HQ41" s="112"/>
      <c r="HR41" s="112"/>
      <c r="HS41" s="112"/>
      <c r="HT41" s="112"/>
      <c r="HU41" s="112"/>
      <c r="HV41" s="112"/>
      <c r="HW41" s="112"/>
      <c r="HX41" s="112"/>
      <c r="HY41" s="112"/>
      <c r="HZ41" s="112"/>
      <c r="IA41" s="112"/>
      <c r="IB41" s="112"/>
      <c r="IC41" s="112"/>
      <c r="ID41" s="112"/>
      <c r="IE41" s="112"/>
      <c r="IF41" s="112"/>
      <c r="IG41" s="112"/>
      <c r="IH41" s="112"/>
      <c r="II41" s="112"/>
      <c r="IJ41" s="112"/>
      <c r="IK41" s="112"/>
      <c r="IL41" s="112"/>
      <c r="IM41" s="112"/>
      <c r="IN41" s="112"/>
      <c r="IO41" s="112"/>
      <c r="IP41" s="112"/>
      <c r="IQ41" s="112"/>
      <c r="IR41" s="112"/>
      <c r="IS41" s="112"/>
      <c r="IT41" s="112"/>
      <c r="IU41" s="112"/>
      <c r="IV41" s="112"/>
    </row>
    <row r="42" spans="1:256" ht="13.5" thickBot="1" x14ac:dyDescent="0.25">
      <c r="D42" s="112"/>
      <c r="E42" s="112"/>
      <c r="F42" s="112"/>
      <c r="G42" s="112"/>
      <c r="H42" s="112"/>
      <c r="I42" s="112"/>
      <c r="J42" s="112"/>
      <c r="K42" s="112"/>
      <c r="L42" s="112"/>
      <c r="M42" s="112"/>
      <c r="N42" s="112"/>
      <c r="O42" s="112"/>
      <c r="P42" s="112"/>
      <c r="Q42" s="112"/>
      <c r="R42" s="112"/>
      <c r="S42" s="112"/>
      <c r="T42" s="112"/>
      <c r="U42" s="112"/>
      <c r="V42" s="112"/>
      <c r="W42" s="112"/>
      <c r="X42" s="112"/>
      <c r="Y42" s="112"/>
      <c r="Z42" s="112"/>
      <c r="AA42" s="112"/>
      <c r="AB42" s="112"/>
      <c r="AC42" s="112"/>
      <c r="AD42" s="112"/>
      <c r="AE42" s="112"/>
      <c r="AF42" s="112"/>
      <c r="AG42" s="112"/>
      <c r="AH42" s="112"/>
      <c r="AI42" s="112"/>
      <c r="AJ42" s="112"/>
      <c r="AK42" s="112"/>
      <c r="AL42" s="112"/>
      <c r="AM42" s="112"/>
      <c r="AN42" s="112"/>
      <c r="AO42" s="112"/>
      <c r="AP42" s="112"/>
      <c r="AQ42" s="112"/>
      <c r="AR42" s="112"/>
      <c r="AS42" s="112"/>
      <c r="AT42" s="112"/>
      <c r="AU42" s="112"/>
      <c r="AV42" s="112"/>
      <c r="AW42" s="112"/>
      <c r="AX42" s="112"/>
      <c r="AY42" s="112"/>
      <c r="AZ42" s="112"/>
      <c r="BA42" s="112"/>
      <c r="BB42" s="112"/>
      <c r="BC42" s="112"/>
      <c r="BD42" s="112"/>
      <c r="BE42" s="112"/>
      <c r="BF42" s="112"/>
      <c r="BG42" s="112"/>
      <c r="BH42" s="112"/>
      <c r="BI42" s="112"/>
      <c r="BJ42" s="112"/>
      <c r="BK42" s="112"/>
      <c r="BL42" s="112"/>
      <c r="BM42" s="112"/>
      <c r="BN42" s="112"/>
      <c r="BO42" s="112"/>
      <c r="BP42" s="112"/>
      <c r="BQ42" s="112"/>
      <c r="BR42" s="112"/>
      <c r="BS42" s="112"/>
      <c r="BT42" s="112"/>
      <c r="BU42" s="112"/>
      <c r="BV42" s="112"/>
      <c r="BW42" s="112"/>
      <c r="BX42" s="112"/>
      <c r="BY42" s="112"/>
      <c r="BZ42" s="112"/>
      <c r="CA42" s="112"/>
      <c r="CB42" s="112"/>
      <c r="CC42" s="112"/>
      <c r="CD42" s="112"/>
      <c r="CE42" s="112"/>
      <c r="CF42" s="112"/>
      <c r="CG42" s="112"/>
      <c r="CH42" s="112"/>
      <c r="CI42" s="112"/>
      <c r="CJ42" s="112"/>
      <c r="CK42" s="112"/>
      <c r="CL42" s="112"/>
      <c r="CM42" s="112"/>
      <c r="CN42" s="112"/>
      <c r="CO42" s="112"/>
      <c r="CP42" s="112"/>
      <c r="CQ42" s="112"/>
      <c r="CR42" s="112"/>
      <c r="CS42" s="112"/>
      <c r="CT42" s="112"/>
      <c r="CU42" s="112"/>
      <c r="CV42" s="112"/>
      <c r="CW42" s="112"/>
      <c r="CX42" s="112"/>
      <c r="CY42" s="112"/>
      <c r="CZ42" s="112"/>
      <c r="DA42" s="112"/>
      <c r="DB42" s="112"/>
      <c r="DC42" s="112"/>
      <c r="DD42" s="112"/>
      <c r="DE42" s="112"/>
      <c r="DF42" s="112"/>
      <c r="DG42" s="112"/>
      <c r="DH42" s="112"/>
      <c r="DI42" s="112"/>
      <c r="DJ42" s="112"/>
      <c r="DK42" s="112"/>
      <c r="DL42" s="112"/>
      <c r="DM42" s="112"/>
      <c r="DN42" s="112"/>
      <c r="DO42" s="112"/>
      <c r="DP42" s="112"/>
      <c r="DQ42" s="112"/>
      <c r="DR42" s="112"/>
      <c r="DS42" s="112"/>
      <c r="DT42" s="112"/>
      <c r="DU42" s="112"/>
      <c r="DV42" s="112"/>
      <c r="DW42" s="112"/>
      <c r="DX42" s="112"/>
      <c r="DY42" s="112"/>
      <c r="DZ42" s="112"/>
      <c r="EA42" s="112"/>
      <c r="EB42" s="112"/>
      <c r="EC42" s="112"/>
      <c r="ED42" s="112"/>
      <c r="EE42" s="112"/>
      <c r="EF42" s="112"/>
      <c r="EG42" s="112"/>
      <c r="EH42" s="112"/>
      <c r="EI42" s="112"/>
      <c r="EJ42" s="112"/>
      <c r="EK42" s="112"/>
      <c r="EL42" s="112"/>
      <c r="EM42" s="112"/>
      <c r="EN42" s="112"/>
      <c r="EO42" s="112"/>
      <c r="EP42" s="112"/>
      <c r="EQ42" s="112"/>
      <c r="ER42" s="112"/>
      <c r="ES42" s="112"/>
      <c r="ET42" s="112"/>
      <c r="EU42" s="112"/>
      <c r="EV42" s="112"/>
      <c r="EW42" s="112"/>
      <c r="EX42" s="112"/>
      <c r="EY42" s="112"/>
      <c r="EZ42" s="112"/>
      <c r="FA42" s="112"/>
      <c r="FB42" s="112"/>
      <c r="FC42" s="112"/>
      <c r="FD42" s="112"/>
      <c r="FE42" s="112"/>
      <c r="FF42" s="112"/>
      <c r="FG42" s="112"/>
      <c r="FH42" s="112"/>
      <c r="FI42" s="112"/>
      <c r="FJ42" s="112"/>
      <c r="FK42" s="112"/>
      <c r="FL42" s="112"/>
      <c r="FM42" s="112"/>
      <c r="FN42" s="112"/>
      <c r="FO42" s="112"/>
      <c r="FP42" s="112"/>
      <c r="FQ42" s="112"/>
      <c r="FR42" s="112"/>
      <c r="FS42" s="112"/>
      <c r="FT42" s="112"/>
      <c r="FU42" s="112"/>
      <c r="FV42" s="112"/>
      <c r="FW42" s="112"/>
      <c r="FX42" s="112"/>
      <c r="FY42" s="112"/>
      <c r="FZ42" s="112"/>
      <c r="GA42" s="112"/>
      <c r="GB42" s="112"/>
      <c r="GC42" s="112"/>
      <c r="GD42" s="112"/>
      <c r="GE42" s="112"/>
      <c r="GF42" s="112"/>
      <c r="GG42" s="112"/>
      <c r="GH42" s="112"/>
      <c r="GI42" s="112"/>
      <c r="GJ42" s="112"/>
      <c r="GK42" s="112"/>
      <c r="GL42" s="112"/>
      <c r="GM42" s="112"/>
      <c r="GN42" s="112"/>
      <c r="GO42" s="112"/>
      <c r="GP42" s="112"/>
      <c r="GQ42" s="112"/>
      <c r="GR42" s="112"/>
      <c r="GS42" s="112"/>
      <c r="GT42" s="112"/>
      <c r="GU42" s="112"/>
      <c r="GV42" s="112"/>
      <c r="GW42" s="112"/>
      <c r="GX42" s="112"/>
      <c r="GY42" s="112"/>
      <c r="GZ42" s="112"/>
      <c r="HA42" s="112"/>
      <c r="HB42" s="112"/>
      <c r="HC42" s="112"/>
      <c r="HD42" s="112"/>
      <c r="HE42" s="112"/>
      <c r="HF42" s="112"/>
      <c r="HG42" s="112"/>
      <c r="HH42" s="112"/>
      <c r="HI42" s="112"/>
      <c r="HJ42" s="112"/>
      <c r="HK42" s="112"/>
      <c r="HL42" s="112"/>
      <c r="HM42" s="112"/>
      <c r="HN42" s="112"/>
      <c r="HO42" s="112"/>
      <c r="HP42" s="112"/>
      <c r="HQ42" s="112"/>
      <c r="HR42" s="112"/>
      <c r="HS42" s="112"/>
      <c r="HT42" s="112"/>
      <c r="HU42" s="112"/>
      <c r="HV42" s="112"/>
      <c r="HW42" s="112"/>
      <c r="HX42" s="112"/>
      <c r="HY42" s="112"/>
      <c r="HZ42" s="112"/>
      <c r="IA42" s="112"/>
      <c r="IB42" s="112"/>
      <c r="IC42" s="112"/>
      <c r="ID42" s="112"/>
      <c r="IE42" s="112"/>
      <c r="IF42" s="112"/>
      <c r="IG42" s="112"/>
      <c r="IH42" s="112"/>
      <c r="II42" s="112"/>
      <c r="IJ42" s="112"/>
      <c r="IK42" s="112"/>
      <c r="IL42" s="112"/>
      <c r="IM42" s="112"/>
      <c r="IN42" s="112"/>
      <c r="IO42" s="112"/>
      <c r="IP42" s="112"/>
      <c r="IQ42" s="112"/>
      <c r="IR42" s="112"/>
      <c r="IS42" s="112"/>
      <c r="IT42" s="112"/>
      <c r="IU42" s="112"/>
      <c r="IV42" s="112"/>
    </row>
    <row r="43" spans="1:256" ht="13.5" thickBot="1" x14ac:dyDescent="0.25">
      <c r="A43" s="112"/>
      <c r="B43" s="153" t="s">
        <v>38493</v>
      </c>
      <c r="C43" s="154">
        <f>ROUND(C37+1,4)</f>
        <v>1.3130999999999999</v>
      </c>
      <c r="D43" s="112"/>
      <c r="E43" s="628" t="s">
        <v>38494</v>
      </c>
      <c r="F43" s="629"/>
      <c r="G43" s="629"/>
      <c r="H43" s="630"/>
      <c r="I43" s="112"/>
      <c r="J43" s="112"/>
      <c r="K43" s="112"/>
      <c r="L43" s="112"/>
      <c r="M43" s="112"/>
      <c r="N43" s="112"/>
      <c r="O43" s="112"/>
      <c r="P43" s="112"/>
      <c r="Q43" s="112"/>
      <c r="R43" s="112"/>
      <c r="S43" s="112"/>
      <c r="T43" s="112"/>
      <c r="U43" s="112"/>
      <c r="V43" s="112"/>
      <c r="W43" s="112"/>
      <c r="X43" s="112"/>
      <c r="Y43" s="112"/>
      <c r="Z43" s="112"/>
      <c r="AA43" s="112"/>
      <c r="AB43" s="112"/>
      <c r="AC43" s="112"/>
      <c r="AD43" s="112"/>
      <c r="AE43" s="112"/>
      <c r="AF43" s="112"/>
      <c r="AG43" s="112"/>
      <c r="AH43" s="112"/>
      <c r="AI43" s="112"/>
      <c r="AJ43" s="112"/>
      <c r="AK43" s="112"/>
      <c r="AL43" s="112"/>
      <c r="AM43" s="112"/>
      <c r="AN43" s="112"/>
      <c r="AO43" s="112"/>
      <c r="AP43" s="112"/>
      <c r="AQ43" s="112"/>
      <c r="AR43" s="112"/>
      <c r="AS43" s="112"/>
      <c r="AT43" s="112"/>
      <c r="AU43" s="112"/>
      <c r="AV43" s="112"/>
      <c r="AW43" s="112"/>
      <c r="AX43" s="112"/>
      <c r="AY43" s="112"/>
      <c r="AZ43" s="112"/>
      <c r="BA43" s="112"/>
      <c r="BB43" s="112"/>
      <c r="BC43" s="112"/>
      <c r="BD43" s="112"/>
      <c r="BE43" s="112"/>
      <c r="BF43" s="112"/>
      <c r="BG43" s="112"/>
      <c r="BH43" s="112"/>
      <c r="BI43" s="112"/>
      <c r="BJ43" s="112"/>
      <c r="BK43" s="112"/>
      <c r="BL43" s="112"/>
      <c r="BM43" s="112"/>
      <c r="BN43" s="112"/>
      <c r="BO43" s="112"/>
      <c r="BP43" s="112"/>
      <c r="BQ43" s="112"/>
      <c r="BR43" s="112"/>
      <c r="BS43" s="112"/>
      <c r="BT43" s="112"/>
      <c r="BU43" s="112"/>
      <c r="BV43" s="112"/>
      <c r="BW43" s="112"/>
      <c r="BX43" s="112"/>
      <c r="BY43" s="112"/>
      <c r="BZ43" s="112"/>
      <c r="CA43" s="112"/>
      <c r="CB43" s="112"/>
      <c r="CC43" s="112"/>
      <c r="CD43" s="112"/>
      <c r="CE43" s="112"/>
      <c r="CF43" s="112"/>
      <c r="CG43" s="112"/>
      <c r="CH43" s="112"/>
      <c r="CI43" s="112"/>
      <c r="CJ43" s="112"/>
      <c r="CK43" s="112"/>
      <c r="CL43" s="112"/>
      <c r="CM43" s="112"/>
      <c r="CN43" s="112"/>
      <c r="CO43" s="112"/>
      <c r="CP43" s="112"/>
      <c r="CQ43" s="112"/>
      <c r="CR43" s="112"/>
      <c r="CS43" s="112"/>
      <c r="CT43" s="112"/>
      <c r="CU43" s="112"/>
      <c r="CV43" s="112"/>
      <c r="CW43" s="112"/>
      <c r="CX43" s="112"/>
      <c r="CY43" s="112"/>
      <c r="CZ43" s="112"/>
      <c r="DA43" s="112"/>
      <c r="DB43" s="112"/>
      <c r="DC43" s="112"/>
      <c r="DD43" s="112"/>
      <c r="DE43" s="112"/>
      <c r="DF43" s="112"/>
      <c r="DG43" s="112"/>
      <c r="DH43" s="112"/>
      <c r="DI43" s="112"/>
      <c r="DJ43" s="112"/>
      <c r="DK43" s="112"/>
      <c r="DL43" s="112"/>
      <c r="DM43" s="112"/>
      <c r="DN43" s="112"/>
      <c r="DO43" s="112"/>
      <c r="DP43" s="112"/>
      <c r="DQ43" s="112"/>
      <c r="DR43" s="112"/>
      <c r="DS43" s="112"/>
      <c r="DT43" s="112"/>
      <c r="DU43" s="112"/>
      <c r="DV43" s="112"/>
      <c r="DW43" s="112"/>
      <c r="DX43" s="112"/>
      <c r="DY43" s="112"/>
      <c r="DZ43" s="112"/>
      <c r="EA43" s="112"/>
      <c r="EB43" s="112"/>
      <c r="EC43" s="112"/>
      <c r="ED43" s="112"/>
      <c r="EE43" s="112"/>
      <c r="EF43" s="112"/>
      <c r="EG43" s="112"/>
      <c r="EH43" s="112"/>
      <c r="EI43" s="112"/>
      <c r="EJ43" s="112"/>
      <c r="EK43" s="112"/>
      <c r="EL43" s="112"/>
      <c r="EM43" s="112"/>
      <c r="EN43" s="112"/>
      <c r="EO43" s="112"/>
      <c r="EP43" s="112"/>
      <c r="EQ43" s="112"/>
      <c r="ER43" s="112"/>
      <c r="ES43" s="112"/>
      <c r="ET43" s="112"/>
      <c r="EU43" s="112"/>
      <c r="EV43" s="112"/>
      <c r="EW43" s="112"/>
      <c r="EX43" s="112"/>
      <c r="EY43" s="112"/>
      <c r="EZ43" s="112"/>
      <c r="FA43" s="112"/>
      <c r="FB43" s="112"/>
      <c r="FC43" s="112"/>
      <c r="FD43" s="112"/>
      <c r="FE43" s="112"/>
      <c r="FF43" s="112"/>
      <c r="FG43" s="112"/>
      <c r="FH43" s="112"/>
      <c r="FI43" s="112"/>
      <c r="FJ43" s="112"/>
      <c r="FK43" s="112"/>
      <c r="FL43" s="112"/>
      <c r="FM43" s="112"/>
      <c r="FN43" s="112"/>
      <c r="FO43" s="112"/>
      <c r="FP43" s="112"/>
      <c r="FQ43" s="112"/>
      <c r="FR43" s="112"/>
      <c r="FS43" s="112"/>
      <c r="FT43" s="112"/>
      <c r="FU43" s="112"/>
      <c r="FV43" s="112"/>
      <c r="FW43" s="112"/>
      <c r="FX43" s="112"/>
      <c r="FY43" s="112"/>
      <c r="FZ43" s="112"/>
      <c r="GA43" s="112"/>
      <c r="GB43" s="112"/>
      <c r="GC43" s="112"/>
      <c r="GD43" s="112"/>
      <c r="GE43" s="112"/>
      <c r="GF43" s="112"/>
      <c r="GG43" s="112"/>
      <c r="GH43" s="112"/>
      <c r="GI43" s="112"/>
      <c r="GJ43" s="112"/>
      <c r="GK43" s="112"/>
      <c r="GL43" s="112"/>
      <c r="GM43" s="112"/>
      <c r="GN43" s="112"/>
      <c r="GO43" s="112"/>
      <c r="GP43" s="112"/>
      <c r="GQ43" s="112"/>
      <c r="GR43" s="112"/>
      <c r="GS43" s="112"/>
      <c r="GT43" s="112"/>
      <c r="GU43" s="112"/>
      <c r="GV43" s="112"/>
      <c r="GW43" s="112"/>
      <c r="GX43" s="112"/>
      <c r="GY43" s="112"/>
      <c r="GZ43" s="112"/>
      <c r="HA43" s="112"/>
      <c r="HB43" s="112"/>
      <c r="HC43" s="112"/>
      <c r="HD43" s="112"/>
      <c r="HE43" s="112"/>
      <c r="HF43" s="112"/>
      <c r="HG43" s="112"/>
      <c r="HH43" s="112"/>
      <c r="HI43" s="112"/>
      <c r="HJ43" s="112"/>
      <c r="HK43" s="112"/>
      <c r="HL43" s="112"/>
      <c r="HM43" s="112"/>
      <c r="HN43" s="112"/>
      <c r="HO43" s="112"/>
      <c r="HP43" s="112"/>
      <c r="HQ43" s="112"/>
      <c r="HR43" s="112"/>
      <c r="HS43" s="112"/>
      <c r="HT43" s="112"/>
      <c r="HU43" s="112"/>
      <c r="HV43" s="112"/>
      <c r="HW43" s="112"/>
      <c r="HX43" s="112"/>
      <c r="HY43" s="112"/>
      <c r="HZ43" s="112"/>
      <c r="IA43" s="112"/>
      <c r="IB43" s="112"/>
      <c r="IC43" s="112"/>
      <c r="ID43" s="112"/>
      <c r="IE43" s="112"/>
      <c r="IF43" s="112"/>
      <c r="IG43" s="112"/>
      <c r="IH43" s="112"/>
      <c r="II43" s="112"/>
      <c r="IJ43" s="112"/>
      <c r="IK43" s="112"/>
      <c r="IL43" s="112"/>
      <c r="IM43" s="112"/>
      <c r="IN43" s="112"/>
      <c r="IO43" s="112"/>
      <c r="IP43" s="112"/>
      <c r="IQ43" s="112"/>
      <c r="IR43" s="112"/>
      <c r="IS43" s="112"/>
      <c r="IT43" s="112"/>
      <c r="IU43" s="112"/>
      <c r="IV43" s="112"/>
    </row>
    <row r="44" spans="1:256" ht="13.5" thickBot="1" x14ac:dyDescent="0.25">
      <c r="A44" s="112"/>
      <c r="B44" s="112"/>
      <c r="C44" s="155"/>
      <c r="D44" s="112"/>
      <c r="E44" s="156" t="s">
        <v>38495</v>
      </c>
      <c r="F44" s="157" t="s">
        <v>38471</v>
      </c>
      <c r="G44" s="157" t="s">
        <v>38472</v>
      </c>
      <c r="H44" s="157" t="s">
        <v>38473</v>
      </c>
      <c r="I44" s="112"/>
      <c r="J44" s="112"/>
      <c r="K44" s="112"/>
      <c r="L44" s="112"/>
      <c r="M44" s="112"/>
      <c r="N44" s="112"/>
      <c r="O44" s="112"/>
      <c r="P44" s="112"/>
      <c r="Q44" s="112"/>
      <c r="R44" s="112"/>
      <c r="S44" s="112"/>
      <c r="T44" s="112"/>
      <c r="U44" s="112"/>
      <c r="V44" s="112"/>
      <c r="W44" s="112"/>
      <c r="X44" s="112"/>
      <c r="Y44" s="112"/>
      <c r="Z44" s="112"/>
      <c r="AA44" s="112"/>
      <c r="AB44" s="112"/>
      <c r="AC44" s="112"/>
      <c r="AD44" s="112"/>
      <c r="AE44" s="112"/>
      <c r="AF44" s="112"/>
      <c r="AG44" s="112"/>
      <c r="AH44" s="112"/>
      <c r="AI44" s="112"/>
      <c r="AJ44" s="112"/>
      <c r="AK44" s="112"/>
      <c r="AL44" s="112"/>
      <c r="AM44" s="112"/>
      <c r="AN44" s="112"/>
      <c r="AO44" s="112"/>
      <c r="AP44" s="112"/>
      <c r="AQ44" s="112"/>
      <c r="AR44" s="112"/>
      <c r="AS44" s="112"/>
      <c r="AT44" s="112"/>
      <c r="AU44" s="112"/>
      <c r="AV44" s="112"/>
      <c r="AW44" s="112"/>
      <c r="AX44" s="112"/>
      <c r="AY44" s="112"/>
      <c r="AZ44" s="112"/>
      <c r="BA44" s="112"/>
      <c r="BB44" s="112"/>
      <c r="BC44" s="112"/>
      <c r="BD44" s="112"/>
      <c r="BE44" s="112"/>
      <c r="BF44" s="112"/>
      <c r="BG44" s="112"/>
      <c r="BH44" s="112"/>
      <c r="BI44" s="112"/>
      <c r="BJ44" s="112"/>
      <c r="BK44" s="112"/>
      <c r="BL44" s="112"/>
      <c r="BM44" s="112"/>
      <c r="BN44" s="112"/>
      <c r="BO44" s="112"/>
      <c r="BP44" s="112"/>
      <c r="BQ44" s="112"/>
      <c r="BR44" s="112"/>
      <c r="BS44" s="112"/>
      <c r="BT44" s="112"/>
      <c r="BU44" s="112"/>
      <c r="BV44" s="112"/>
      <c r="BW44" s="112"/>
      <c r="BX44" s="112"/>
      <c r="BY44" s="112"/>
      <c r="BZ44" s="112"/>
      <c r="CA44" s="112"/>
      <c r="CB44" s="112"/>
      <c r="CC44" s="112"/>
      <c r="CD44" s="112"/>
      <c r="CE44" s="112"/>
      <c r="CF44" s="112"/>
      <c r="CG44" s="112"/>
      <c r="CH44" s="112"/>
      <c r="CI44" s="112"/>
      <c r="CJ44" s="112"/>
      <c r="CK44" s="112"/>
      <c r="CL44" s="112"/>
      <c r="CM44" s="112"/>
      <c r="CN44" s="112"/>
      <c r="CO44" s="112"/>
      <c r="CP44" s="112"/>
      <c r="CQ44" s="112"/>
      <c r="CR44" s="112"/>
      <c r="CS44" s="112"/>
      <c r="CT44" s="112"/>
      <c r="CU44" s="112"/>
      <c r="CV44" s="112"/>
      <c r="CW44" s="112"/>
      <c r="CX44" s="112"/>
      <c r="CY44" s="112"/>
      <c r="CZ44" s="112"/>
      <c r="DA44" s="112"/>
      <c r="DB44" s="112"/>
      <c r="DC44" s="112"/>
      <c r="DD44" s="112"/>
      <c r="DE44" s="112"/>
      <c r="DF44" s="112"/>
      <c r="DG44" s="112"/>
      <c r="DH44" s="112"/>
      <c r="DI44" s="112"/>
      <c r="DJ44" s="112"/>
      <c r="DK44" s="112"/>
      <c r="DL44" s="112"/>
      <c r="DM44" s="112"/>
      <c r="DN44" s="112"/>
      <c r="DO44" s="112"/>
      <c r="DP44" s="112"/>
      <c r="DQ44" s="112"/>
      <c r="DR44" s="112"/>
      <c r="DS44" s="112"/>
      <c r="DT44" s="112"/>
      <c r="DU44" s="112"/>
      <c r="DV44" s="112"/>
      <c r="DW44" s="112"/>
      <c r="DX44" s="112"/>
      <c r="DY44" s="112"/>
      <c r="DZ44" s="112"/>
      <c r="EA44" s="112"/>
      <c r="EB44" s="112"/>
      <c r="EC44" s="112"/>
      <c r="ED44" s="112"/>
      <c r="EE44" s="112"/>
      <c r="EF44" s="112"/>
      <c r="EG44" s="112"/>
      <c r="EH44" s="112"/>
      <c r="EI44" s="112"/>
      <c r="EJ44" s="112"/>
      <c r="EK44" s="112"/>
      <c r="EL44" s="112"/>
      <c r="EM44" s="112"/>
      <c r="EN44" s="112"/>
      <c r="EO44" s="112"/>
      <c r="EP44" s="112"/>
      <c r="EQ44" s="112"/>
      <c r="ER44" s="112"/>
      <c r="ES44" s="112"/>
      <c r="ET44" s="112"/>
      <c r="EU44" s="112"/>
      <c r="EV44" s="112"/>
      <c r="EW44" s="112"/>
      <c r="EX44" s="112"/>
      <c r="EY44" s="112"/>
      <c r="EZ44" s="112"/>
      <c r="FA44" s="112"/>
      <c r="FB44" s="112"/>
      <c r="FC44" s="112"/>
      <c r="FD44" s="112"/>
      <c r="FE44" s="112"/>
      <c r="FF44" s="112"/>
      <c r="FG44" s="112"/>
      <c r="FH44" s="112"/>
      <c r="FI44" s="112"/>
      <c r="FJ44" s="112"/>
      <c r="FK44" s="112"/>
      <c r="FL44" s="112"/>
      <c r="FM44" s="112"/>
      <c r="FN44" s="112"/>
      <c r="FO44" s="112"/>
      <c r="FP44" s="112"/>
      <c r="FQ44" s="112"/>
      <c r="FR44" s="112"/>
      <c r="FS44" s="112"/>
      <c r="FT44" s="112"/>
      <c r="FU44" s="112"/>
      <c r="FV44" s="112"/>
      <c r="FW44" s="112"/>
      <c r="FX44" s="112"/>
      <c r="FY44" s="112"/>
      <c r="FZ44" s="112"/>
      <c r="GA44" s="112"/>
      <c r="GB44" s="112"/>
      <c r="GC44" s="112"/>
      <c r="GD44" s="112"/>
      <c r="GE44" s="112"/>
      <c r="GF44" s="112"/>
      <c r="GG44" s="112"/>
      <c r="GH44" s="112"/>
      <c r="GI44" s="112"/>
      <c r="GJ44" s="112"/>
      <c r="GK44" s="112"/>
      <c r="GL44" s="112"/>
      <c r="GM44" s="112"/>
      <c r="GN44" s="112"/>
      <c r="GO44" s="112"/>
      <c r="GP44" s="112"/>
      <c r="GQ44" s="112"/>
      <c r="GR44" s="112"/>
      <c r="GS44" s="112"/>
      <c r="GT44" s="112"/>
      <c r="GU44" s="112"/>
      <c r="GV44" s="112"/>
      <c r="GW44" s="112"/>
      <c r="GX44" s="112"/>
      <c r="GY44" s="112"/>
      <c r="GZ44" s="112"/>
      <c r="HA44" s="112"/>
      <c r="HB44" s="112"/>
      <c r="HC44" s="112"/>
      <c r="HD44" s="112"/>
      <c r="HE44" s="112"/>
      <c r="HF44" s="112"/>
      <c r="HG44" s="112"/>
      <c r="HH44" s="112"/>
      <c r="HI44" s="112"/>
      <c r="HJ44" s="112"/>
      <c r="HK44" s="112"/>
      <c r="HL44" s="112"/>
      <c r="HM44" s="112"/>
      <c r="HN44" s="112"/>
      <c r="HO44" s="112"/>
      <c r="HP44" s="112"/>
      <c r="HQ44" s="112"/>
      <c r="HR44" s="112"/>
      <c r="HS44" s="112"/>
      <c r="HT44" s="112"/>
      <c r="HU44" s="112"/>
      <c r="HV44" s="112"/>
      <c r="HW44" s="112"/>
      <c r="HX44" s="112"/>
      <c r="HY44" s="112"/>
      <c r="HZ44" s="112"/>
      <c r="IA44" s="112"/>
      <c r="IB44" s="112"/>
      <c r="IC44" s="112"/>
      <c r="ID44" s="112"/>
      <c r="IE44" s="112"/>
      <c r="IF44" s="112"/>
      <c r="IG44" s="112"/>
      <c r="IH44" s="112"/>
      <c r="II44" s="112"/>
      <c r="IJ44" s="112"/>
      <c r="IK44" s="112"/>
      <c r="IL44" s="112"/>
      <c r="IM44" s="112"/>
      <c r="IN44" s="112"/>
      <c r="IO44" s="112"/>
      <c r="IP44" s="112"/>
      <c r="IQ44" s="112"/>
      <c r="IR44" s="112"/>
      <c r="IS44" s="112"/>
      <c r="IT44" s="112"/>
      <c r="IU44" s="112"/>
      <c r="IV44" s="112"/>
    </row>
    <row r="45" spans="1:256" ht="51.75" thickBot="1" x14ac:dyDescent="0.25">
      <c r="A45" s="112"/>
      <c r="B45" s="112"/>
      <c r="C45" s="102"/>
      <c r="D45" s="112"/>
      <c r="E45" s="158" t="s">
        <v>38496</v>
      </c>
      <c r="F45" s="129">
        <v>0.2034</v>
      </c>
      <c r="G45" s="129">
        <v>0.22120000000000001</v>
      </c>
      <c r="H45" s="129">
        <v>0.25</v>
      </c>
      <c r="I45" s="112"/>
      <c r="J45" s="112"/>
      <c r="K45" s="112"/>
      <c r="L45" s="112"/>
      <c r="M45" s="112"/>
      <c r="N45" s="112"/>
      <c r="O45" s="112"/>
      <c r="P45" s="112"/>
      <c r="Q45" s="112"/>
      <c r="R45" s="112"/>
      <c r="S45" s="112"/>
      <c r="T45" s="112"/>
      <c r="U45" s="112"/>
      <c r="V45" s="112"/>
      <c r="W45" s="112"/>
      <c r="X45" s="112"/>
      <c r="Y45" s="112"/>
      <c r="Z45" s="112"/>
      <c r="AA45" s="112"/>
      <c r="AB45" s="112"/>
      <c r="AC45" s="112"/>
      <c r="AD45" s="112"/>
      <c r="AE45" s="112"/>
      <c r="AF45" s="112"/>
      <c r="AG45" s="112"/>
      <c r="AH45" s="112"/>
      <c r="AI45" s="112"/>
      <c r="AJ45" s="112"/>
      <c r="AK45" s="112"/>
      <c r="AL45" s="112"/>
      <c r="AM45" s="112"/>
      <c r="AN45" s="112"/>
      <c r="AO45" s="112"/>
      <c r="AP45" s="112"/>
      <c r="AQ45" s="112"/>
      <c r="AR45" s="112"/>
      <c r="AS45" s="112"/>
      <c r="AT45" s="112"/>
      <c r="AU45" s="112"/>
      <c r="AV45" s="112"/>
      <c r="AW45" s="112"/>
      <c r="AX45" s="112"/>
      <c r="AY45" s="112"/>
      <c r="AZ45" s="112"/>
      <c r="BA45" s="112"/>
      <c r="BB45" s="112"/>
      <c r="BC45" s="112"/>
      <c r="BD45" s="112"/>
      <c r="BE45" s="112"/>
      <c r="BF45" s="112"/>
      <c r="BG45" s="112"/>
      <c r="BH45" s="112"/>
      <c r="BI45" s="112"/>
      <c r="BJ45" s="112"/>
      <c r="BK45" s="112"/>
      <c r="BL45" s="112"/>
      <c r="BM45" s="112"/>
      <c r="BN45" s="112"/>
      <c r="BO45" s="112"/>
      <c r="BP45" s="112"/>
      <c r="BQ45" s="112"/>
      <c r="BR45" s="112"/>
      <c r="BS45" s="112"/>
      <c r="BT45" s="112"/>
      <c r="BU45" s="112"/>
      <c r="BV45" s="112"/>
      <c r="BW45" s="112"/>
      <c r="BX45" s="112"/>
      <c r="BY45" s="112"/>
      <c r="BZ45" s="112"/>
      <c r="CA45" s="112"/>
      <c r="CB45" s="112"/>
      <c r="CC45" s="112"/>
      <c r="CD45" s="112"/>
      <c r="CE45" s="112"/>
      <c r="CF45" s="112"/>
      <c r="CG45" s="112"/>
      <c r="CH45" s="112"/>
      <c r="CI45" s="112"/>
      <c r="CJ45" s="112"/>
      <c r="CK45" s="112"/>
      <c r="CL45" s="112"/>
      <c r="CM45" s="112"/>
      <c r="CN45" s="112"/>
      <c r="CO45" s="112"/>
      <c r="CP45" s="112"/>
      <c r="CQ45" s="112"/>
      <c r="CR45" s="112"/>
      <c r="CS45" s="112"/>
      <c r="CT45" s="112"/>
      <c r="CU45" s="112"/>
      <c r="CV45" s="112"/>
      <c r="CW45" s="112"/>
      <c r="CX45" s="112"/>
      <c r="CY45" s="112"/>
      <c r="CZ45" s="112"/>
      <c r="DA45" s="112"/>
      <c r="DB45" s="112"/>
      <c r="DC45" s="112"/>
      <c r="DD45" s="112"/>
      <c r="DE45" s="112"/>
      <c r="DF45" s="112"/>
      <c r="DG45" s="112"/>
      <c r="DH45" s="112"/>
      <c r="DI45" s="112"/>
      <c r="DJ45" s="112"/>
      <c r="DK45" s="112"/>
      <c r="DL45" s="112"/>
      <c r="DM45" s="112"/>
      <c r="DN45" s="112"/>
      <c r="DO45" s="112"/>
      <c r="DP45" s="112"/>
      <c r="DQ45" s="112"/>
      <c r="DR45" s="112"/>
      <c r="DS45" s="112"/>
      <c r="DT45" s="112"/>
      <c r="DU45" s="112"/>
      <c r="DV45" s="112"/>
      <c r="DW45" s="112"/>
      <c r="DX45" s="112"/>
      <c r="DY45" s="112"/>
      <c r="DZ45" s="112"/>
      <c r="EA45" s="112"/>
      <c r="EB45" s="112"/>
      <c r="EC45" s="112"/>
      <c r="ED45" s="112"/>
      <c r="EE45" s="112"/>
      <c r="EF45" s="112"/>
      <c r="EG45" s="112"/>
      <c r="EH45" s="112"/>
      <c r="EI45" s="112"/>
      <c r="EJ45" s="112"/>
      <c r="EK45" s="112"/>
      <c r="EL45" s="112"/>
      <c r="EM45" s="112"/>
      <c r="EN45" s="112"/>
      <c r="EO45" s="112"/>
      <c r="EP45" s="112"/>
      <c r="EQ45" s="112"/>
      <c r="ER45" s="112"/>
      <c r="ES45" s="112"/>
      <c r="ET45" s="112"/>
      <c r="EU45" s="112"/>
      <c r="EV45" s="112"/>
      <c r="EW45" s="112"/>
      <c r="EX45" s="112"/>
      <c r="EY45" s="112"/>
      <c r="EZ45" s="112"/>
      <c r="FA45" s="112"/>
      <c r="FB45" s="112"/>
      <c r="FC45" s="112"/>
      <c r="FD45" s="112"/>
      <c r="FE45" s="112"/>
      <c r="FF45" s="112"/>
      <c r="FG45" s="112"/>
      <c r="FH45" s="112"/>
      <c r="FI45" s="112"/>
      <c r="FJ45" s="112"/>
      <c r="FK45" s="112"/>
      <c r="FL45" s="112"/>
      <c r="FM45" s="112"/>
      <c r="FN45" s="112"/>
      <c r="FO45" s="112"/>
      <c r="FP45" s="112"/>
      <c r="FQ45" s="112"/>
      <c r="FR45" s="112"/>
      <c r="FS45" s="112"/>
      <c r="FT45" s="112"/>
      <c r="FU45" s="112"/>
      <c r="FV45" s="112"/>
      <c r="FW45" s="112"/>
      <c r="FX45" s="112"/>
      <c r="FY45" s="112"/>
      <c r="FZ45" s="112"/>
      <c r="GA45" s="112"/>
      <c r="GB45" s="112"/>
      <c r="GC45" s="112"/>
      <c r="GD45" s="112"/>
      <c r="GE45" s="112"/>
      <c r="GF45" s="112"/>
      <c r="GG45" s="112"/>
      <c r="GH45" s="112"/>
      <c r="GI45" s="112"/>
      <c r="GJ45" s="112"/>
      <c r="GK45" s="112"/>
      <c r="GL45" s="112"/>
      <c r="GM45" s="112"/>
      <c r="GN45" s="112"/>
      <c r="GO45" s="112"/>
      <c r="GP45" s="112"/>
      <c r="GQ45" s="112"/>
      <c r="GR45" s="112"/>
      <c r="GS45" s="112"/>
      <c r="GT45" s="112"/>
      <c r="GU45" s="112"/>
      <c r="GV45" s="112"/>
      <c r="GW45" s="112"/>
      <c r="GX45" s="112"/>
      <c r="GY45" s="112"/>
      <c r="GZ45" s="112"/>
      <c r="HA45" s="112"/>
      <c r="HB45" s="112"/>
      <c r="HC45" s="112"/>
      <c r="HD45" s="112"/>
      <c r="HE45" s="112"/>
      <c r="HF45" s="112"/>
      <c r="HG45" s="112"/>
      <c r="HH45" s="112"/>
      <c r="HI45" s="112"/>
      <c r="HJ45" s="112"/>
      <c r="HK45" s="112"/>
      <c r="HL45" s="112"/>
      <c r="HM45" s="112"/>
      <c r="HN45" s="112"/>
      <c r="HO45" s="112"/>
      <c r="HP45" s="112"/>
      <c r="HQ45" s="112"/>
      <c r="HR45" s="112"/>
      <c r="HS45" s="112"/>
      <c r="HT45" s="112"/>
      <c r="HU45" s="112"/>
      <c r="HV45" s="112"/>
      <c r="HW45" s="112"/>
      <c r="HX45" s="112"/>
      <c r="HY45" s="112"/>
      <c r="HZ45" s="112"/>
      <c r="IA45" s="112"/>
      <c r="IB45" s="112"/>
      <c r="IC45" s="112"/>
      <c r="ID45" s="112"/>
      <c r="IE45" s="112"/>
      <c r="IF45" s="112"/>
      <c r="IG45" s="112"/>
      <c r="IH45" s="112"/>
      <c r="II45" s="112"/>
      <c r="IJ45" s="112"/>
      <c r="IK45" s="112"/>
      <c r="IL45" s="112"/>
      <c r="IM45" s="112"/>
      <c r="IN45" s="112"/>
      <c r="IO45" s="112"/>
      <c r="IP45" s="112"/>
      <c r="IQ45" s="112"/>
      <c r="IR45" s="112"/>
      <c r="IS45" s="112"/>
      <c r="IT45" s="112"/>
      <c r="IU45" s="112"/>
      <c r="IV45" s="112"/>
    </row>
    <row r="46" spans="1:256" ht="51.75" thickBot="1" x14ac:dyDescent="0.25">
      <c r="A46" s="112"/>
      <c r="B46" s="159"/>
      <c r="C46" s="160"/>
      <c r="D46" s="112"/>
      <c r="E46" s="161" t="s">
        <v>38497</v>
      </c>
      <c r="F46" s="128">
        <v>0.19600000000000001</v>
      </c>
      <c r="G46" s="128">
        <v>0.2097</v>
      </c>
      <c r="H46" s="128">
        <v>0.24229999999999999</v>
      </c>
      <c r="I46" s="112"/>
      <c r="J46" s="112"/>
      <c r="K46" s="112"/>
      <c r="L46" s="112"/>
      <c r="M46" s="112"/>
      <c r="N46" s="112"/>
      <c r="O46" s="112"/>
      <c r="P46" s="112"/>
      <c r="Q46" s="112"/>
      <c r="R46" s="112"/>
      <c r="S46" s="112"/>
      <c r="T46" s="112"/>
      <c r="U46" s="112"/>
      <c r="V46" s="112"/>
      <c r="W46" s="112"/>
      <c r="X46" s="112"/>
      <c r="Y46" s="112"/>
      <c r="Z46" s="112"/>
      <c r="AA46" s="112"/>
      <c r="AB46" s="112"/>
      <c r="AC46" s="112"/>
      <c r="AD46" s="112"/>
      <c r="AE46" s="112"/>
      <c r="AF46" s="112"/>
      <c r="AG46" s="112"/>
      <c r="AH46" s="112"/>
      <c r="AI46" s="112"/>
      <c r="AJ46" s="112"/>
      <c r="AK46" s="112"/>
      <c r="AL46" s="112"/>
      <c r="AM46" s="112"/>
      <c r="AN46" s="112"/>
      <c r="AO46" s="112"/>
      <c r="AP46" s="112"/>
      <c r="AQ46" s="112"/>
      <c r="AR46" s="112"/>
      <c r="AS46" s="112"/>
      <c r="AT46" s="112"/>
      <c r="AU46" s="112"/>
      <c r="AV46" s="112"/>
      <c r="AW46" s="112"/>
      <c r="AX46" s="112"/>
      <c r="AY46" s="112"/>
      <c r="AZ46" s="112"/>
      <c r="BA46" s="112"/>
      <c r="BB46" s="112"/>
      <c r="BC46" s="112"/>
      <c r="BD46" s="112"/>
      <c r="BE46" s="112"/>
      <c r="BF46" s="112"/>
      <c r="BG46" s="112"/>
      <c r="BH46" s="112"/>
      <c r="BI46" s="112"/>
      <c r="BJ46" s="112"/>
      <c r="BK46" s="112"/>
      <c r="BL46" s="112"/>
      <c r="BM46" s="112"/>
      <c r="BN46" s="112"/>
      <c r="BO46" s="112"/>
      <c r="BP46" s="112"/>
      <c r="BQ46" s="112"/>
      <c r="BR46" s="112"/>
      <c r="BS46" s="112"/>
      <c r="BT46" s="112"/>
      <c r="BU46" s="112"/>
      <c r="BV46" s="112"/>
      <c r="BW46" s="112"/>
      <c r="BX46" s="112"/>
      <c r="BY46" s="112"/>
      <c r="BZ46" s="112"/>
      <c r="CA46" s="112"/>
      <c r="CB46" s="112"/>
      <c r="CC46" s="112"/>
      <c r="CD46" s="112"/>
      <c r="CE46" s="112"/>
      <c r="CF46" s="112"/>
      <c r="CG46" s="112"/>
      <c r="CH46" s="112"/>
      <c r="CI46" s="112"/>
      <c r="CJ46" s="112"/>
      <c r="CK46" s="112"/>
      <c r="CL46" s="112"/>
      <c r="CM46" s="112"/>
      <c r="CN46" s="112"/>
      <c r="CO46" s="112"/>
      <c r="CP46" s="112"/>
      <c r="CQ46" s="112"/>
      <c r="CR46" s="112"/>
      <c r="CS46" s="112"/>
      <c r="CT46" s="112"/>
      <c r="CU46" s="112"/>
      <c r="CV46" s="112"/>
      <c r="CW46" s="112"/>
      <c r="CX46" s="112"/>
      <c r="CY46" s="112"/>
      <c r="CZ46" s="112"/>
      <c r="DA46" s="112"/>
      <c r="DB46" s="112"/>
      <c r="DC46" s="112"/>
      <c r="DD46" s="112"/>
      <c r="DE46" s="112"/>
      <c r="DF46" s="112"/>
      <c r="DG46" s="112"/>
      <c r="DH46" s="112"/>
      <c r="DI46" s="112"/>
      <c r="DJ46" s="112"/>
      <c r="DK46" s="112"/>
      <c r="DL46" s="112"/>
      <c r="DM46" s="112"/>
      <c r="DN46" s="112"/>
      <c r="DO46" s="112"/>
      <c r="DP46" s="112"/>
      <c r="DQ46" s="112"/>
      <c r="DR46" s="112"/>
      <c r="DS46" s="112"/>
      <c r="DT46" s="112"/>
      <c r="DU46" s="112"/>
      <c r="DV46" s="112"/>
      <c r="DW46" s="112"/>
      <c r="DX46" s="112"/>
      <c r="DY46" s="112"/>
      <c r="DZ46" s="112"/>
      <c r="EA46" s="112"/>
      <c r="EB46" s="112"/>
      <c r="EC46" s="112"/>
      <c r="ED46" s="112"/>
      <c r="EE46" s="112"/>
      <c r="EF46" s="112"/>
      <c r="EG46" s="112"/>
      <c r="EH46" s="112"/>
      <c r="EI46" s="112"/>
      <c r="EJ46" s="112"/>
      <c r="EK46" s="112"/>
      <c r="EL46" s="112"/>
      <c r="EM46" s="112"/>
      <c r="EN46" s="112"/>
      <c r="EO46" s="112"/>
      <c r="EP46" s="112"/>
      <c r="EQ46" s="112"/>
      <c r="ER46" s="112"/>
      <c r="ES46" s="112"/>
      <c r="ET46" s="112"/>
      <c r="EU46" s="112"/>
      <c r="EV46" s="112"/>
      <c r="EW46" s="112"/>
      <c r="EX46" s="112"/>
      <c r="EY46" s="112"/>
      <c r="EZ46" s="112"/>
      <c r="FA46" s="112"/>
      <c r="FB46" s="112"/>
      <c r="FC46" s="112"/>
      <c r="FD46" s="112"/>
      <c r="FE46" s="112"/>
      <c r="FF46" s="112"/>
      <c r="FG46" s="112"/>
      <c r="FH46" s="112"/>
      <c r="FI46" s="112"/>
      <c r="FJ46" s="112"/>
      <c r="FK46" s="112"/>
      <c r="FL46" s="112"/>
      <c r="FM46" s="112"/>
      <c r="FN46" s="112"/>
      <c r="FO46" s="112"/>
      <c r="FP46" s="112"/>
      <c r="FQ46" s="112"/>
      <c r="FR46" s="112"/>
      <c r="FS46" s="112"/>
      <c r="FT46" s="112"/>
      <c r="FU46" s="112"/>
      <c r="FV46" s="112"/>
      <c r="FW46" s="112"/>
      <c r="FX46" s="112"/>
      <c r="FY46" s="112"/>
      <c r="FZ46" s="112"/>
      <c r="GA46" s="112"/>
      <c r="GB46" s="112"/>
      <c r="GC46" s="112"/>
      <c r="GD46" s="112"/>
      <c r="GE46" s="112"/>
      <c r="GF46" s="112"/>
      <c r="GG46" s="112"/>
      <c r="GH46" s="112"/>
      <c r="GI46" s="112"/>
      <c r="GJ46" s="112"/>
      <c r="GK46" s="112"/>
      <c r="GL46" s="112"/>
      <c r="GM46" s="112"/>
      <c r="GN46" s="112"/>
      <c r="GO46" s="112"/>
      <c r="GP46" s="112"/>
      <c r="GQ46" s="112"/>
      <c r="GR46" s="112"/>
      <c r="GS46" s="112"/>
      <c r="GT46" s="112"/>
      <c r="GU46" s="112"/>
      <c r="GV46" s="112"/>
      <c r="GW46" s="112"/>
      <c r="GX46" s="112"/>
      <c r="GY46" s="112"/>
      <c r="GZ46" s="112"/>
      <c r="HA46" s="112"/>
      <c r="HB46" s="112"/>
      <c r="HC46" s="112"/>
      <c r="HD46" s="112"/>
      <c r="HE46" s="112"/>
      <c r="HF46" s="112"/>
      <c r="HG46" s="112"/>
      <c r="HH46" s="112"/>
      <c r="HI46" s="112"/>
      <c r="HJ46" s="112"/>
      <c r="HK46" s="112"/>
      <c r="HL46" s="112"/>
      <c r="HM46" s="112"/>
      <c r="HN46" s="112"/>
      <c r="HO46" s="112"/>
      <c r="HP46" s="112"/>
      <c r="HQ46" s="112"/>
      <c r="HR46" s="112"/>
      <c r="HS46" s="112"/>
      <c r="HT46" s="112"/>
      <c r="HU46" s="112"/>
      <c r="HV46" s="112"/>
      <c r="HW46" s="112"/>
      <c r="HX46" s="112"/>
      <c r="HY46" s="112"/>
      <c r="HZ46" s="112"/>
      <c r="IA46" s="112"/>
      <c r="IB46" s="112"/>
      <c r="IC46" s="112"/>
      <c r="ID46" s="112"/>
      <c r="IE46" s="112"/>
      <c r="IF46" s="112"/>
      <c r="IG46" s="112"/>
      <c r="IH46" s="112"/>
      <c r="II46" s="112"/>
      <c r="IJ46" s="112"/>
      <c r="IK46" s="112"/>
      <c r="IL46" s="112"/>
      <c r="IM46" s="112"/>
      <c r="IN46" s="112"/>
      <c r="IO46" s="112"/>
      <c r="IP46" s="112"/>
      <c r="IQ46" s="112"/>
      <c r="IR46" s="112"/>
      <c r="IS46" s="112"/>
      <c r="IT46" s="112"/>
      <c r="IU46" s="112"/>
      <c r="IV46" s="112"/>
    </row>
    <row r="47" spans="1:256" ht="39" thickBot="1" x14ac:dyDescent="0.25">
      <c r="A47" s="112"/>
      <c r="B47" s="159"/>
      <c r="C47" s="162"/>
      <c r="D47" s="112"/>
      <c r="E47" s="127" t="s">
        <v>38498</v>
      </c>
      <c r="F47" s="130">
        <v>0.20760000000000001</v>
      </c>
      <c r="G47" s="130">
        <v>0.24179999999999999</v>
      </c>
      <c r="H47" s="130">
        <v>0.26440000000000002</v>
      </c>
      <c r="I47" s="112"/>
      <c r="J47" s="112"/>
      <c r="K47" s="112"/>
      <c r="L47" s="112"/>
      <c r="M47" s="112"/>
      <c r="N47" s="112"/>
      <c r="O47" s="112"/>
      <c r="P47" s="112"/>
      <c r="Q47" s="112"/>
      <c r="R47" s="112"/>
      <c r="S47" s="112"/>
      <c r="T47" s="112"/>
      <c r="U47" s="112"/>
      <c r="V47" s="112"/>
      <c r="W47" s="112"/>
      <c r="X47" s="112"/>
      <c r="Y47" s="112"/>
      <c r="Z47" s="112"/>
      <c r="AA47" s="112"/>
      <c r="AB47" s="112"/>
      <c r="AC47" s="112"/>
      <c r="AD47" s="112"/>
      <c r="AE47" s="112"/>
      <c r="AF47" s="112"/>
      <c r="AG47" s="112"/>
      <c r="AH47" s="112"/>
      <c r="AI47" s="112"/>
      <c r="AJ47" s="112"/>
      <c r="AK47" s="112"/>
      <c r="AL47" s="112"/>
      <c r="AM47" s="112"/>
      <c r="AN47" s="112"/>
      <c r="AO47" s="112"/>
      <c r="AP47" s="112"/>
      <c r="AQ47" s="112"/>
      <c r="AR47" s="112"/>
      <c r="AS47" s="112"/>
      <c r="AT47" s="112"/>
      <c r="AU47" s="112"/>
      <c r="AV47" s="112"/>
      <c r="AW47" s="112"/>
      <c r="AX47" s="112"/>
      <c r="AY47" s="112"/>
      <c r="AZ47" s="112"/>
      <c r="BA47" s="112"/>
      <c r="BB47" s="112"/>
      <c r="BC47" s="112"/>
      <c r="BD47" s="112"/>
      <c r="BE47" s="112"/>
      <c r="BF47" s="112"/>
      <c r="BG47" s="112"/>
      <c r="BH47" s="112"/>
      <c r="BI47" s="112"/>
      <c r="BJ47" s="112"/>
      <c r="BK47" s="112"/>
      <c r="BL47" s="112"/>
      <c r="BM47" s="112"/>
      <c r="BN47" s="112"/>
      <c r="BO47" s="112"/>
      <c r="BP47" s="112"/>
      <c r="BQ47" s="112"/>
      <c r="BR47" s="112"/>
      <c r="BS47" s="112"/>
      <c r="BT47" s="112"/>
      <c r="BU47" s="112"/>
      <c r="BV47" s="112"/>
      <c r="BW47" s="112"/>
      <c r="BX47" s="112"/>
      <c r="BY47" s="112"/>
      <c r="BZ47" s="112"/>
      <c r="CA47" s="112"/>
      <c r="CB47" s="112"/>
      <c r="CC47" s="112"/>
      <c r="CD47" s="112"/>
      <c r="CE47" s="112"/>
      <c r="CF47" s="112"/>
      <c r="CG47" s="112"/>
      <c r="CH47" s="112"/>
      <c r="CI47" s="112"/>
      <c r="CJ47" s="112"/>
      <c r="CK47" s="112"/>
      <c r="CL47" s="112"/>
      <c r="CM47" s="112"/>
      <c r="CN47" s="112"/>
      <c r="CO47" s="112"/>
      <c r="CP47" s="112"/>
      <c r="CQ47" s="112"/>
      <c r="CR47" s="112"/>
      <c r="CS47" s="112"/>
      <c r="CT47" s="112"/>
      <c r="CU47" s="112"/>
      <c r="CV47" s="112"/>
      <c r="CW47" s="112"/>
      <c r="CX47" s="112"/>
      <c r="CY47" s="112"/>
      <c r="CZ47" s="112"/>
      <c r="DA47" s="112"/>
      <c r="DB47" s="112"/>
      <c r="DC47" s="112"/>
      <c r="DD47" s="112"/>
      <c r="DE47" s="112"/>
      <c r="DF47" s="112"/>
      <c r="DG47" s="112"/>
      <c r="DH47" s="112"/>
      <c r="DI47" s="112"/>
      <c r="DJ47" s="112"/>
      <c r="DK47" s="112"/>
      <c r="DL47" s="112"/>
      <c r="DM47" s="112"/>
      <c r="DN47" s="112"/>
      <c r="DO47" s="112"/>
      <c r="DP47" s="112"/>
      <c r="DQ47" s="112"/>
      <c r="DR47" s="112"/>
      <c r="DS47" s="112"/>
      <c r="DT47" s="112"/>
      <c r="DU47" s="112"/>
      <c r="DV47" s="112"/>
      <c r="DW47" s="112"/>
      <c r="DX47" s="112"/>
      <c r="DY47" s="112"/>
      <c r="DZ47" s="112"/>
      <c r="EA47" s="112"/>
      <c r="EB47" s="112"/>
      <c r="EC47" s="112"/>
      <c r="ED47" s="112"/>
      <c r="EE47" s="112"/>
      <c r="EF47" s="112"/>
      <c r="EG47" s="112"/>
      <c r="EH47" s="112"/>
      <c r="EI47" s="112"/>
      <c r="EJ47" s="112"/>
      <c r="EK47" s="112"/>
      <c r="EL47" s="112"/>
      <c r="EM47" s="112"/>
      <c r="EN47" s="112"/>
      <c r="EO47" s="112"/>
      <c r="EP47" s="112"/>
      <c r="EQ47" s="112"/>
      <c r="ER47" s="112"/>
      <c r="ES47" s="112"/>
      <c r="ET47" s="112"/>
      <c r="EU47" s="112"/>
      <c r="EV47" s="112"/>
      <c r="EW47" s="112"/>
      <c r="EX47" s="112"/>
      <c r="EY47" s="112"/>
      <c r="EZ47" s="112"/>
      <c r="FA47" s="112"/>
      <c r="FB47" s="112"/>
      <c r="FC47" s="112"/>
      <c r="FD47" s="112"/>
      <c r="FE47" s="112"/>
      <c r="FF47" s="112"/>
      <c r="FG47" s="112"/>
      <c r="FH47" s="112"/>
      <c r="FI47" s="112"/>
      <c r="FJ47" s="112"/>
      <c r="FK47" s="112"/>
      <c r="FL47" s="112"/>
      <c r="FM47" s="112"/>
      <c r="FN47" s="112"/>
      <c r="FO47" s="112"/>
      <c r="FP47" s="112"/>
      <c r="FQ47" s="112"/>
      <c r="FR47" s="112"/>
      <c r="FS47" s="112"/>
      <c r="FT47" s="112"/>
      <c r="FU47" s="112"/>
      <c r="FV47" s="112"/>
      <c r="FW47" s="112"/>
      <c r="FX47" s="112"/>
      <c r="FY47" s="112"/>
      <c r="FZ47" s="112"/>
      <c r="GA47" s="112"/>
      <c r="GB47" s="112"/>
      <c r="GC47" s="112"/>
      <c r="GD47" s="112"/>
      <c r="GE47" s="112"/>
      <c r="GF47" s="112"/>
      <c r="GG47" s="112"/>
      <c r="GH47" s="112"/>
      <c r="GI47" s="112"/>
      <c r="GJ47" s="112"/>
      <c r="GK47" s="112"/>
      <c r="GL47" s="112"/>
      <c r="GM47" s="112"/>
      <c r="GN47" s="112"/>
      <c r="GO47" s="112"/>
      <c r="GP47" s="112"/>
      <c r="GQ47" s="112"/>
      <c r="GR47" s="112"/>
      <c r="GS47" s="112"/>
      <c r="GT47" s="112"/>
      <c r="GU47" s="112"/>
      <c r="GV47" s="112"/>
      <c r="GW47" s="112"/>
      <c r="GX47" s="112"/>
      <c r="GY47" s="112"/>
      <c r="GZ47" s="112"/>
      <c r="HA47" s="112"/>
      <c r="HB47" s="112"/>
      <c r="HC47" s="112"/>
      <c r="HD47" s="112"/>
      <c r="HE47" s="112"/>
      <c r="HF47" s="112"/>
      <c r="HG47" s="112"/>
      <c r="HH47" s="112"/>
      <c r="HI47" s="112"/>
      <c r="HJ47" s="112"/>
      <c r="HK47" s="112"/>
      <c r="HL47" s="112"/>
      <c r="HM47" s="112"/>
      <c r="HN47" s="112"/>
      <c r="HO47" s="112"/>
      <c r="HP47" s="112"/>
      <c r="HQ47" s="112"/>
      <c r="HR47" s="112"/>
      <c r="HS47" s="112"/>
      <c r="HT47" s="112"/>
      <c r="HU47" s="112"/>
      <c r="HV47" s="112"/>
      <c r="HW47" s="112"/>
      <c r="HX47" s="112"/>
      <c r="HY47" s="112"/>
      <c r="HZ47" s="112"/>
      <c r="IA47" s="112"/>
      <c r="IB47" s="112"/>
      <c r="IC47" s="112"/>
      <c r="ID47" s="112"/>
      <c r="IE47" s="112"/>
      <c r="IF47" s="112"/>
      <c r="IG47" s="112"/>
      <c r="IH47" s="112"/>
      <c r="II47" s="112"/>
      <c r="IJ47" s="112"/>
      <c r="IK47" s="112"/>
      <c r="IL47" s="112"/>
      <c r="IM47" s="112"/>
      <c r="IN47" s="112"/>
      <c r="IO47" s="112"/>
      <c r="IP47" s="112"/>
      <c r="IQ47" s="112"/>
      <c r="IR47" s="112"/>
      <c r="IS47" s="112"/>
      <c r="IT47" s="112"/>
      <c r="IU47" s="112"/>
      <c r="IV47" s="112"/>
    </row>
    <row r="48" spans="1:256" ht="51.75" thickBot="1" x14ac:dyDescent="0.25">
      <c r="A48" s="112"/>
      <c r="B48" s="112"/>
      <c r="C48" s="102"/>
      <c r="D48" s="112"/>
      <c r="E48" s="127" t="s">
        <v>38499</v>
      </c>
      <c r="F48" s="130">
        <v>0.24</v>
      </c>
      <c r="G48" s="130">
        <v>0.25840000000000002</v>
      </c>
      <c r="H48" s="130">
        <v>0.27860000000000001</v>
      </c>
      <c r="I48" s="112"/>
      <c r="J48" s="112"/>
      <c r="K48" s="112"/>
      <c r="L48" s="112"/>
      <c r="M48" s="112"/>
      <c r="N48" s="112"/>
      <c r="O48" s="112"/>
      <c r="P48" s="112"/>
      <c r="Q48" s="112"/>
      <c r="R48" s="112"/>
      <c r="S48" s="112"/>
      <c r="T48" s="112"/>
      <c r="U48" s="112"/>
      <c r="V48" s="112"/>
      <c r="W48" s="112"/>
      <c r="X48" s="112"/>
      <c r="Y48" s="112"/>
      <c r="Z48" s="112"/>
      <c r="AA48" s="112"/>
      <c r="AB48" s="112"/>
      <c r="AC48" s="112"/>
      <c r="AD48" s="112"/>
      <c r="AE48" s="112"/>
      <c r="AF48" s="112"/>
      <c r="AG48" s="112"/>
      <c r="AH48" s="112"/>
      <c r="AI48" s="112"/>
      <c r="AJ48" s="112"/>
      <c r="AK48" s="112"/>
      <c r="AL48" s="112"/>
      <c r="AM48" s="112"/>
      <c r="AN48" s="112"/>
      <c r="AO48" s="112"/>
      <c r="AP48" s="112"/>
      <c r="AQ48" s="112"/>
      <c r="AR48" s="112"/>
      <c r="AS48" s="112"/>
      <c r="AT48" s="112"/>
      <c r="AU48" s="112"/>
      <c r="AV48" s="112"/>
      <c r="AW48" s="112"/>
      <c r="AX48" s="112"/>
      <c r="AY48" s="112"/>
      <c r="AZ48" s="112"/>
      <c r="BA48" s="112"/>
      <c r="BB48" s="112"/>
      <c r="BC48" s="112"/>
      <c r="BD48" s="112"/>
      <c r="BE48" s="112"/>
      <c r="BF48" s="112"/>
      <c r="BG48" s="112"/>
      <c r="BH48" s="112"/>
      <c r="BI48" s="112"/>
      <c r="BJ48" s="112"/>
      <c r="BK48" s="112"/>
      <c r="BL48" s="112"/>
      <c r="BM48" s="112"/>
      <c r="BN48" s="112"/>
      <c r="BO48" s="112"/>
      <c r="BP48" s="112"/>
      <c r="BQ48" s="112"/>
      <c r="BR48" s="112"/>
      <c r="BS48" s="112"/>
      <c r="BT48" s="112"/>
      <c r="BU48" s="112"/>
      <c r="BV48" s="112"/>
      <c r="BW48" s="112"/>
      <c r="BX48" s="112"/>
      <c r="BY48" s="112"/>
      <c r="BZ48" s="112"/>
      <c r="CA48" s="112"/>
      <c r="CB48" s="112"/>
      <c r="CC48" s="112"/>
      <c r="CD48" s="112"/>
      <c r="CE48" s="112"/>
      <c r="CF48" s="112"/>
      <c r="CG48" s="112"/>
      <c r="CH48" s="112"/>
      <c r="CI48" s="112"/>
      <c r="CJ48" s="112"/>
      <c r="CK48" s="112"/>
      <c r="CL48" s="112"/>
      <c r="CM48" s="112"/>
      <c r="CN48" s="112"/>
      <c r="CO48" s="112"/>
      <c r="CP48" s="112"/>
      <c r="CQ48" s="112"/>
      <c r="CR48" s="112"/>
      <c r="CS48" s="112"/>
      <c r="CT48" s="112"/>
      <c r="CU48" s="112"/>
      <c r="CV48" s="112"/>
      <c r="CW48" s="112"/>
      <c r="CX48" s="112"/>
      <c r="CY48" s="112"/>
      <c r="CZ48" s="112"/>
      <c r="DA48" s="112"/>
      <c r="DB48" s="112"/>
      <c r="DC48" s="112"/>
      <c r="DD48" s="112"/>
      <c r="DE48" s="112"/>
      <c r="DF48" s="112"/>
      <c r="DG48" s="112"/>
      <c r="DH48" s="112"/>
      <c r="DI48" s="112"/>
      <c r="DJ48" s="112"/>
      <c r="DK48" s="112"/>
      <c r="DL48" s="112"/>
      <c r="DM48" s="112"/>
      <c r="DN48" s="112"/>
      <c r="DO48" s="112"/>
      <c r="DP48" s="112"/>
      <c r="DQ48" s="112"/>
      <c r="DR48" s="112"/>
      <c r="DS48" s="112"/>
      <c r="DT48" s="112"/>
      <c r="DU48" s="112"/>
      <c r="DV48" s="112"/>
      <c r="DW48" s="112"/>
      <c r="DX48" s="112"/>
      <c r="DY48" s="112"/>
      <c r="DZ48" s="112"/>
      <c r="EA48" s="112"/>
      <c r="EB48" s="112"/>
      <c r="EC48" s="112"/>
      <c r="ED48" s="112"/>
      <c r="EE48" s="112"/>
      <c r="EF48" s="112"/>
      <c r="EG48" s="112"/>
      <c r="EH48" s="112"/>
      <c r="EI48" s="112"/>
      <c r="EJ48" s="112"/>
      <c r="EK48" s="112"/>
      <c r="EL48" s="112"/>
      <c r="EM48" s="112"/>
      <c r="EN48" s="112"/>
      <c r="EO48" s="112"/>
      <c r="EP48" s="112"/>
      <c r="EQ48" s="112"/>
      <c r="ER48" s="112"/>
      <c r="ES48" s="112"/>
      <c r="ET48" s="112"/>
      <c r="EU48" s="112"/>
      <c r="EV48" s="112"/>
      <c r="EW48" s="112"/>
      <c r="EX48" s="112"/>
      <c r="EY48" s="112"/>
      <c r="EZ48" s="112"/>
      <c r="FA48" s="112"/>
      <c r="FB48" s="112"/>
      <c r="FC48" s="112"/>
      <c r="FD48" s="112"/>
      <c r="FE48" s="112"/>
      <c r="FF48" s="112"/>
      <c r="FG48" s="112"/>
      <c r="FH48" s="112"/>
      <c r="FI48" s="112"/>
      <c r="FJ48" s="112"/>
      <c r="FK48" s="112"/>
      <c r="FL48" s="112"/>
      <c r="FM48" s="112"/>
      <c r="FN48" s="112"/>
      <c r="FO48" s="112"/>
      <c r="FP48" s="112"/>
      <c r="FQ48" s="112"/>
      <c r="FR48" s="112"/>
      <c r="FS48" s="112"/>
      <c r="FT48" s="112"/>
      <c r="FU48" s="112"/>
      <c r="FV48" s="112"/>
      <c r="FW48" s="112"/>
      <c r="FX48" s="112"/>
      <c r="FY48" s="112"/>
      <c r="FZ48" s="112"/>
      <c r="GA48" s="112"/>
      <c r="GB48" s="112"/>
      <c r="GC48" s="112"/>
      <c r="GD48" s="112"/>
      <c r="GE48" s="112"/>
      <c r="GF48" s="112"/>
      <c r="GG48" s="112"/>
      <c r="GH48" s="112"/>
      <c r="GI48" s="112"/>
      <c r="GJ48" s="112"/>
      <c r="GK48" s="112"/>
      <c r="GL48" s="112"/>
      <c r="GM48" s="112"/>
      <c r="GN48" s="112"/>
      <c r="GO48" s="112"/>
      <c r="GP48" s="112"/>
      <c r="GQ48" s="112"/>
      <c r="GR48" s="112"/>
      <c r="GS48" s="112"/>
      <c r="GT48" s="112"/>
      <c r="GU48" s="112"/>
      <c r="GV48" s="112"/>
      <c r="GW48" s="112"/>
      <c r="GX48" s="112"/>
      <c r="GY48" s="112"/>
      <c r="GZ48" s="112"/>
      <c r="HA48" s="112"/>
      <c r="HB48" s="112"/>
      <c r="HC48" s="112"/>
      <c r="HD48" s="112"/>
      <c r="HE48" s="112"/>
      <c r="HF48" s="112"/>
      <c r="HG48" s="112"/>
      <c r="HH48" s="112"/>
      <c r="HI48" s="112"/>
      <c r="HJ48" s="112"/>
      <c r="HK48" s="112"/>
      <c r="HL48" s="112"/>
      <c r="HM48" s="112"/>
      <c r="HN48" s="112"/>
      <c r="HO48" s="112"/>
      <c r="HP48" s="112"/>
      <c r="HQ48" s="112"/>
      <c r="HR48" s="112"/>
      <c r="HS48" s="112"/>
      <c r="HT48" s="112"/>
      <c r="HU48" s="112"/>
      <c r="HV48" s="112"/>
      <c r="HW48" s="112"/>
      <c r="HX48" s="112"/>
      <c r="HY48" s="112"/>
      <c r="HZ48" s="112"/>
      <c r="IA48" s="112"/>
      <c r="IB48" s="112"/>
      <c r="IC48" s="112"/>
      <c r="ID48" s="112"/>
      <c r="IE48" s="112"/>
      <c r="IF48" s="112"/>
      <c r="IG48" s="112"/>
      <c r="IH48" s="112"/>
      <c r="II48" s="112"/>
      <c r="IJ48" s="112"/>
      <c r="IK48" s="112"/>
      <c r="IL48" s="112"/>
      <c r="IM48" s="112"/>
      <c r="IN48" s="112"/>
      <c r="IO48" s="112"/>
      <c r="IP48" s="112"/>
      <c r="IQ48" s="112"/>
      <c r="IR48" s="112"/>
      <c r="IS48" s="112"/>
      <c r="IT48" s="112"/>
      <c r="IU48" s="112"/>
      <c r="IV48" s="112"/>
    </row>
    <row r="49" spans="1:256" ht="51.75" thickBot="1" x14ac:dyDescent="0.25">
      <c r="A49" s="112"/>
      <c r="B49" s="159"/>
      <c r="C49" s="102"/>
      <c r="D49" s="112"/>
      <c r="E49" s="127" t="s">
        <v>38500</v>
      </c>
      <c r="F49" s="130">
        <v>0.22800000000000001</v>
      </c>
      <c r="G49" s="130">
        <v>0.27479999999999999</v>
      </c>
      <c r="H49" s="130">
        <v>0.3095</v>
      </c>
      <c r="I49" s="112"/>
      <c r="J49" s="112"/>
      <c r="K49" s="112"/>
      <c r="L49" s="112"/>
      <c r="M49" s="112"/>
      <c r="N49" s="112"/>
      <c r="O49" s="112"/>
      <c r="P49" s="112"/>
      <c r="Q49" s="112"/>
      <c r="R49" s="112"/>
      <c r="S49" s="112"/>
      <c r="T49" s="112"/>
      <c r="U49" s="112"/>
      <c r="V49" s="112"/>
      <c r="W49" s="112"/>
      <c r="X49" s="112"/>
      <c r="Y49" s="112"/>
      <c r="Z49" s="112"/>
      <c r="AA49" s="112"/>
      <c r="AB49" s="112"/>
      <c r="AC49" s="112"/>
      <c r="AD49" s="112"/>
      <c r="AE49" s="112"/>
      <c r="AF49" s="112"/>
      <c r="AG49" s="112"/>
      <c r="AH49" s="112"/>
      <c r="AI49" s="112"/>
      <c r="AJ49" s="112"/>
      <c r="AK49" s="112"/>
      <c r="AL49" s="112"/>
      <c r="AM49" s="112"/>
      <c r="AN49" s="112"/>
      <c r="AO49" s="112"/>
      <c r="AP49" s="112"/>
      <c r="AQ49" s="112"/>
      <c r="AR49" s="112"/>
      <c r="AS49" s="112"/>
      <c r="AT49" s="112"/>
      <c r="AU49" s="112"/>
      <c r="AV49" s="112"/>
      <c r="AW49" s="112"/>
      <c r="AX49" s="112"/>
      <c r="AY49" s="112"/>
      <c r="AZ49" s="112"/>
      <c r="BA49" s="112"/>
      <c r="BB49" s="112"/>
      <c r="BC49" s="112"/>
      <c r="BD49" s="112"/>
      <c r="BE49" s="112"/>
      <c r="BF49" s="112"/>
      <c r="BG49" s="112"/>
      <c r="BH49" s="112"/>
      <c r="BI49" s="112"/>
      <c r="BJ49" s="112"/>
      <c r="BK49" s="112"/>
      <c r="BL49" s="112"/>
      <c r="BM49" s="112"/>
      <c r="BN49" s="112"/>
      <c r="BO49" s="112"/>
      <c r="BP49" s="112"/>
      <c r="BQ49" s="112"/>
      <c r="BR49" s="112"/>
      <c r="BS49" s="112"/>
      <c r="BT49" s="112"/>
      <c r="BU49" s="112"/>
      <c r="BV49" s="112"/>
      <c r="BW49" s="112"/>
      <c r="BX49" s="112"/>
      <c r="BY49" s="112"/>
      <c r="BZ49" s="112"/>
      <c r="CA49" s="112"/>
      <c r="CB49" s="112"/>
      <c r="CC49" s="112"/>
      <c r="CD49" s="112"/>
      <c r="CE49" s="112"/>
      <c r="CF49" s="112"/>
      <c r="CG49" s="112"/>
      <c r="CH49" s="112"/>
      <c r="CI49" s="112"/>
      <c r="CJ49" s="112"/>
      <c r="CK49" s="112"/>
      <c r="CL49" s="112"/>
      <c r="CM49" s="112"/>
      <c r="CN49" s="112"/>
      <c r="CO49" s="112"/>
      <c r="CP49" s="112"/>
      <c r="CQ49" s="112"/>
      <c r="CR49" s="112"/>
      <c r="CS49" s="112"/>
      <c r="CT49" s="112"/>
      <c r="CU49" s="112"/>
      <c r="CV49" s="112"/>
      <c r="CW49" s="112"/>
      <c r="CX49" s="112"/>
      <c r="CY49" s="112"/>
      <c r="CZ49" s="112"/>
      <c r="DA49" s="112"/>
      <c r="DB49" s="112"/>
      <c r="DC49" s="112"/>
      <c r="DD49" s="112"/>
      <c r="DE49" s="112"/>
      <c r="DF49" s="112"/>
      <c r="DG49" s="112"/>
      <c r="DH49" s="112"/>
      <c r="DI49" s="112"/>
      <c r="DJ49" s="112"/>
      <c r="DK49" s="112"/>
      <c r="DL49" s="112"/>
      <c r="DM49" s="112"/>
      <c r="DN49" s="112"/>
      <c r="DO49" s="112"/>
      <c r="DP49" s="112"/>
      <c r="DQ49" s="112"/>
      <c r="DR49" s="112"/>
      <c r="DS49" s="112"/>
      <c r="DT49" s="112"/>
      <c r="DU49" s="112"/>
      <c r="DV49" s="112"/>
      <c r="DW49" s="112"/>
      <c r="DX49" s="112"/>
      <c r="DY49" s="112"/>
      <c r="DZ49" s="112"/>
      <c r="EA49" s="112"/>
      <c r="EB49" s="112"/>
      <c r="EC49" s="112"/>
      <c r="ED49" s="112"/>
      <c r="EE49" s="112"/>
      <c r="EF49" s="112"/>
      <c r="EG49" s="112"/>
      <c r="EH49" s="112"/>
      <c r="EI49" s="112"/>
      <c r="EJ49" s="112"/>
      <c r="EK49" s="112"/>
      <c r="EL49" s="112"/>
      <c r="EM49" s="112"/>
      <c r="EN49" s="112"/>
      <c r="EO49" s="112"/>
      <c r="EP49" s="112"/>
      <c r="EQ49" s="112"/>
      <c r="ER49" s="112"/>
      <c r="ES49" s="112"/>
      <c r="ET49" s="112"/>
      <c r="EU49" s="112"/>
      <c r="EV49" s="112"/>
      <c r="EW49" s="112"/>
      <c r="EX49" s="112"/>
      <c r="EY49" s="112"/>
      <c r="EZ49" s="112"/>
      <c r="FA49" s="112"/>
      <c r="FB49" s="112"/>
      <c r="FC49" s="112"/>
      <c r="FD49" s="112"/>
      <c r="FE49" s="112"/>
      <c r="FF49" s="112"/>
      <c r="FG49" s="112"/>
      <c r="FH49" s="112"/>
      <c r="FI49" s="112"/>
      <c r="FJ49" s="112"/>
      <c r="FK49" s="112"/>
      <c r="FL49" s="112"/>
      <c r="FM49" s="112"/>
      <c r="FN49" s="112"/>
      <c r="FO49" s="112"/>
      <c r="FP49" s="112"/>
      <c r="FQ49" s="112"/>
      <c r="FR49" s="112"/>
      <c r="FS49" s="112"/>
      <c r="FT49" s="112"/>
      <c r="FU49" s="112"/>
      <c r="FV49" s="112"/>
      <c r="FW49" s="112"/>
      <c r="FX49" s="112"/>
      <c r="FY49" s="112"/>
      <c r="FZ49" s="112"/>
      <c r="GA49" s="112"/>
      <c r="GB49" s="112"/>
      <c r="GC49" s="112"/>
      <c r="GD49" s="112"/>
      <c r="GE49" s="112"/>
      <c r="GF49" s="112"/>
      <c r="GG49" s="112"/>
      <c r="GH49" s="112"/>
      <c r="GI49" s="112"/>
      <c r="GJ49" s="112"/>
      <c r="GK49" s="112"/>
      <c r="GL49" s="112"/>
      <c r="GM49" s="112"/>
      <c r="GN49" s="112"/>
      <c r="GO49" s="112"/>
      <c r="GP49" s="112"/>
      <c r="GQ49" s="112"/>
      <c r="GR49" s="112"/>
      <c r="GS49" s="112"/>
      <c r="GT49" s="112"/>
      <c r="GU49" s="112"/>
      <c r="GV49" s="112"/>
      <c r="GW49" s="112"/>
      <c r="GX49" s="112"/>
      <c r="GY49" s="112"/>
      <c r="GZ49" s="112"/>
      <c r="HA49" s="112"/>
      <c r="HB49" s="112"/>
      <c r="HC49" s="112"/>
      <c r="HD49" s="112"/>
      <c r="HE49" s="112"/>
      <c r="HF49" s="112"/>
      <c r="HG49" s="112"/>
      <c r="HH49" s="112"/>
      <c r="HI49" s="112"/>
      <c r="HJ49" s="112"/>
      <c r="HK49" s="112"/>
      <c r="HL49" s="112"/>
      <c r="HM49" s="112"/>
      <c r="HN49" s="112"/>
      <c r="HO49" s="112"/>
      <c r="HP49" s="112"/>
      <c r="HQ49" s="112"/>
      <c r="HR49" s="112"/>
      <c r="HS49" s="112"/>
      <c r="HT49" s="112"/>
      <c r="HU49" s="112"/>
      <c r="HV49" s="112"/>
      <c r="HW49" s="112"/>
      <c r="HX49" s="112"/>
      <c r="HY49" s="112"/>
      <c r="HZ49" s="112"/>
      <c r="IA49" s="112"/>
      <c r="IB49" s="112"/>
      <c r="IC49" s="112"/>
      <c r="ID49" s="112"/>
      <c r="IE49" s="112"/>
      <c r="IF49" s="112"/>
      <c r="IG49" s="112"/>
      <c r="IH49" s="112"/>
      <c r="II49" s="112"/>
      <c r="IJ49" s="112"/>
      <c r="IK49" s="112"/>
      <c r="IL49" s="112"/>
      <c r="IM49" s="112"/>
      <c r="IN49" s="112"/>
      <c r="IO49" s="112"/>
      <c r="IP49" s="112"/>
      <c r="IQ49" s="112"/>
      <c r="IR49" s="112"/>
      <c r="IS49" s="112"/>
      <c r="IT49" s="112"/>
      <c r="IU49" s="112"/>
      <c r="IV49" s="112"/>
    </row>
    <row r="50" spans="1:256" ht="64.5" thickBot="1" x14ac:dyDescent="0.25">
      <c r="E50" s="127" t="s">
        <v>38501</v>
      </c>
      <c r="F50" s="130">
        <v>0.111</v>
      </c>
      <c r="G50" s="130">
        <v>0.14019999999999999</v>
      </c>
      <c r="H50" s="130">
        <v>0.16800000000000001</v>
      </c>
    </row>
  </sheetData>
  <mergeCells count="9">
    <mergeCell ref="A39:C39"/>
    <mergeCell ref="E43:H43"/>
    <mergeCell ref="A2:C2"/>
    <mergeCell ref="A19:C19"/>
    <mergeCell ref="J24:M24"/>
    <mergeCell ref="F31:H31"/>
    <mergeCell ref="K31:M31"/>
    <mergeCell ref="E32:E33"/>
    <mergeCell ref="J32:J33"/>
  </mergeCells>
  <printOptions horizontalCentered="1"/>
  <pageMargins left="0.39370078740157483" right="0.39370078740157483" top="0.39370078740157483" bottom="1.1811023622047245" header="0.31496062992125984" footer="0.31496062992125984"/>
  <pageSetup paperSize="9" scale="91" orientation="portrait" r:id="rId1"/>
  <headerFooter>
    <oddFooter>&amp;RPágina &amp;P de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414"/>
  <sheetViews>
    <sheetView tabSelected="1" view="pageBreakPreview" zoomScale="130" zoomScaleNormal="190" zoomScaleSheetLayoutView="130" workbookViewId="0">
      <selection activeCell="A2" sqref="A2:I2"/>
    </sheetView>
  </sheetViews>
  <sheetFormatPr defaultColWidth="9.33203125" defaultRowHeight="12.75" x14ac:dyDescent="0.2"/>
  <cols>
    <col min="1" max="1" width="14.83203125" style="68" customWidth="1"/>
    <col min="2" max="3" width="12.83203125" style="92" customWidth="1"/>
    <col min="4" max="4" width="65.83203125" style="68" customWidth="1"/>
    <col min="5" max="5" width="8.83203125" style="92" customWidth="1"/>
    <col min="6" max="6" width="12.83203125" style="361" customWidth="1"/>
    <col min="7" max="8" width="15.83203125" style="361" customWidth="1"/>
    <col min="9" max="9" width="16.83203125" style="361" customWidth="1"/>
    <col min="10" max="10" width="12.83203125" style="68" customWidth="1"/>
    <col min="11" max="11" width="17.33203125" style="68" customWidth="1"/>
    <col min="12" max="15" width="12.83203125" style="68" customWidth="1"/>
    <col min="16" max="16" width="19.6640625" style="68" customWidth="1"/>
    <col min="17" max="16384" width="9.33203125" style="68"/>
  </cols>
  <sheetData>
    <row r="1" spans="1:11" x14ac:dyDescent="0.2">
      <c r="A1" s="65"/>
      <c r="B1" s="65"/>
      <c r="C1" s="66"/>
      <c r="D1" s="67"/>
      <c r="E1" s="67"/>
      <c r="F1" s="357"/>
      <c r="G1" s="357"/>
      <c r="H1" s="357"/>
      <c r="I1" s="382"/>
    </row>
    <row r="2" spans="1:11" x14ac:dyDescent="0.2">
      <c r="A2" s="529" t="s">
        <v>38441</v>
      </c>
      <c r="B2" s="529"/>
      <c r="C2" s="529"/>
      <c r="D2" s="529"/>
      <c r="E2" s="529"/>
      <c r="F2" s="529"/>
      <c r="G2" s="529"/>
      <c r="H2" s="529"/>
      <c r="I2" s="529"/>
      <c r="J2" s="64"/>
    </row>
    <row r="3" spans="1:11" x14ac:dyDescent="0.2">
      <c r="A3" s="45"/>
      <c r="B3" s="45"/>
      <c r="C3" s="45"/>
      <c r="D3" s="46"/>
      <c r="E3" s="47"/>
      <c r="F3" s="48"/>
      <c r="G3" s="48"/>
      <c r="H3" s="48"/>
      <c r="I3" s="48"/>
      <c r="J3" s="49" t="s">
        <v>38513</v>
      </c>
      <c r="K3" s="92">
        <f>BDI!C43</f>
        <v>1.3130999999999999</v>
      </c>
    </row>
    <row r="4" spans="1:11" x14ac:dyDescent="0.2">
      <c r="A4" s="50" t="s">
        <v>38442</v>
      </c>
      <c r="B4" s="44"/>
      <c r="C4" s="44"/>
      <c r="D4" s="50"/>
      <c r="E4" s="51"/>
      <c r="F4" s="52"/>
      <c r="G4" s="52"/>
      <c r="H4" s="52"/>
      <c r="I4" s="52"/>
      <c r="J4" s="53"/>
    </row>
    <row r="5" spans="1:11" x14ac:dyDescent="0.2">
      <c r="A5" s="46" t="s">
        <v>38448</v>
      </c>
      <c r="B5" s="45"/>
      <c r="C5" s="45"/>
      <c r="D5" s="46"/>
      <c r="E5" s="47"/>
      <c r="F5" s="48"/>
      <c r="G5" s="48"/>
      <c r="H5" s="48"/>
      <c r="I5" s="48"/>
      <c r="J5" s="49"/>
    </row>
    <row r="6" spans="1:11" x14ac:dyDescent="0.2">
      <c r="A6" s="50" t="s">
        <v>38443</v>
      </c>
      <c r="B6" s="44"/>
      <c r="C6" s="44"/>
      <c r="D6" s="50"/>
      <c r="E6" s="51"/>
      <c r="F6" s="52"/>
      <c r="G6" s="52"/>
      <c r="H6" s="52"/>
      <c r="I6" s="52"/>
      <c r="J6" s="53"/>
    </row>
    <row r="7" spans="1:11" x14ac:dyDescent="0.2">
      <c r="A7" s="46" t="s">
        <v>38444</v>
      </c>
      <c r="B7" s="45"/>
      <c r="C7" s="45"/>
      <c r="D7" s="46"/>
      <c r="E7" s="47"/>
      <c r="F7" s="48"/>
      <c r="G7" s="48"/>
      <c r="H7" s="48"/>
      <c r="I7" s="48"/>
      <c r="J7" s="49"/>
    </row>
    <row r="8" spans="1:11" x14ac:dyDescent="0.2">
      <c r="A8" s="50" t="s">
        <v>38445</v>
      </c>
      <c r="B8" s="44"/>
      <c r="C8" s="44"/>
      <c r="D8" s="50"/>
      <c r="E8" s="51"/>
      <c r="F8" s="52"/>
      <c r="G8" s="52"/>
      <c r="H8" s="52"/>
      <c r="I8" s="52"/>
      <c r="J8" s="53"/>
    </row>
    <row r="9" spans="1:11" x14ac:dyDescent="0.2">
      <c r="A9" s="46" t="s">
        <v>38446</v>
      </c>
      <c r="B9" s="45"/>
      <c r="C9" s="45"/>
      <c r="D9" s="46"/>
      <c r="E9" s="47"/>
      <c r="F9" s="48"/>
      <c r="G9" s="48"/>
      <c r="H9" s="48"/>
      <c r="I9" s="48"/>
      <c r="J9" s="49"/>
    </row>
    <row r="10" spans="1:11" x14ac:dyDescent="0.2">
      <c r="A10" s="50"/>
      <c r="B10" s="45"/>
      <c r="C10" s="45"/>
      <c r="D10" s="46"/>
      <c r="E10" s="47"/>
      <c r="F10" s="48"/>
      <c r="G10" s="48"/>
      <c r="H10" s="48"/>
      <c r="I10" s="48"/>
      <c r="J10" s="49"/>
    </row>
    <row r="11" spans="1:11" x14ac:dyDescent="0.2">
      <c r="A11" s="54" t="s">
        <v>38447</v>
      </c>
      <c r="B11" s="55"/>
      <c r="C11" s="55"/>
      <c r="D11" s="56"/>
      <c r="E11" s="57"/>
      <c r="F11" s="58"/>
      <c r="G11" s="386"/>
      <c r="H11" s="58"/>
      <c r="I11" s="58"/>
      <c r="J11" s="59"/>
    </row>
    <row r="12" spans="1:11" x14ac:dyDescent="0.2">
      <c r="A12" s="56" t="s">
        <v>38456</v>
      </c>
      <c r="B12" s="56"/>
      <c r="C12" s="60"/>
      <c r="D12" s="60"/>
      <c r="E12" s="60"/>
      <c r="F12" s="58"/>
      <c r="G12" s="387"/>
      <c r="H12" s="378"/>
      <c r="I12" s="378"/>
      <c r="J12" s="61"/>
    </row>
    <row r="13" spans="1:11" x14ac:dyDescent="0.2">
      <c r="A13" s="56"/>
      <c r="B13" s="56" t="s">
        <v>38457</v>
      </c>
      <c r="C13" s="60"/>
      <c r="D13" s="60"/>
      <c r="E13" s="60"/>
      <c r="F13" s="58"/>
      <c r="G13" s="378"/>
      <c r="H13" s="378"/>
      <c r="I13" s="378"/>
      <c r="J13" s="61"/>
    </row>
    <row r="14" spans="1:11" x14ac:dyDescent="0.2">
      <c r="A14" s="56"/>
      <c r="B14" s="56" t="s">
        <v>38458</v>
      </c>
      <c r="C14" s="60"/>
      <c r="D14" s="60"/>
      <c r="E14" s="60"/>
      <c r="F14" s="58"/>
      <c r="G14" s="378"/>
      <c r="H14" s="378"/>
      <c r="I14" s="378"/>
      <c r="J14" s="61"/>
    </row>
    <row r="15" spans="1:11" x14ac:dyDescent="0.2">
      <c r="A15" s="93" t="s">
        <v>47425</v>
      </c>
      <c r="B15" s="93"/>
      <c r="C15" s="60"/>
      <c r="D15" s="60"/>
      <c r="E15" s="60"/>
      <c r="F15" s="58"/>
      <c r="G15" s="378"/>
      <c r="H15" s="378"/>
      <c r="I15" s="378"/>
      <c r="J15" s="61"/>
    </row>
    <row r="16" spans="1:11" x14ac:dyDescent="0.2">
      <c r="A16" s="94"/>
      <c r="B16" s="93" t="s">
        <v>47426</v>
      </c>
      <c r="C16" s="60"/>
      <c r="D16" s="60"/>
      <c r="E16" s="62"/>
      <c r="F16" s="48"/>
      <c r="G16" s="379"/>
      <c r="H16" s="379"/>
      <c r="I16" s="379"/>
      <c r="J16" s="63"/>
    </row>
    <row r="17" spans="1:11" x14ac:dyDescent="0.2">
      <c r="A17" s="94"/>
      <c r="B17" s="93" t="s">
        <v>40583</v>
      </c>
      <c r="C17" s="60"/>
      <c r="D17" s="60"/>
      <c r="E17" s="62"/>
      <c r="F17" s="48"/>
      <c r="G17" s="379"/>
      <c r="H17" s="379"/>
      <c r="I17" s="379"/>
      <c r="J17" s="63"/>
    </row>
    <row r="18" spans="1:11" x14ac:dyDescent="0.2">
      <c r="A18" s="65"/>
      <c r="B18" s="65"/>
      <c r="C18" s="66"/>
      <c r="D18" s="67"/>
      <c r="E18" s="67"/>
      <c r="F18" s="357"/>
      <c r="G18" s="357"/>
      <c r="H18" s="357"/>
      <c r="I18" s="383"/>
    </row>
    <row r="19" spans="1:11" x14ac:dyDescent="0.2">
      <c r="A19" s="528" t="s">
        <v>38440</v>
      </c>
      <c r="B19" s="528"/>
      <c r="C19" s="528"/>
      <c r="D19" s="528"/>
      <c r="E19" s="528"/>
      <c r="F19" s="528"/>
      <c r="G19" s="528"/>
      <c r="H19" s="528"/>
      <c r="I19" s="528"/>
    </row>
    <row r="20" spans="1:11" ht="25.5" x14ac:dyDescent="0.2">
      <c r="A20" s="164" t="s">
        <v>38449</v>
      </c>
      <c r="B20" s="164" t="s">
        <v>38450</v>
      </c>
      <c r="C20" s="165" t="s">
        <v>52</v>
      </c>
      <c r="D20" s="164" t="s">
        <v>38451</v>
      </c>
      <c r="E20" s="164" t="s">
        <v>38452</v>
      </c>
      <c r="F20" s="358" t="s">
        <v>38453</v>
      </c>
      <c r="G20" s="380" t="s">
        <v>38515</v>
      </c>
      <c r="H20" s="358" t="s">
        <v>38514</v>
      </c>
      <c r="I20" s="358" t="s">
        <v>38454</v>
      </c>
    </row>
    <row r="21" spans="1:11" x14ac:dyDescent="0.2">
      <c r="A21" s="210">
        <v>1</v>
      </c>
      <c r="B21" s="209"/>
      <c r="C21" s="211"/>
      <c r="D21" s="212" t="s">
        <v>38516</v>
      </c>
      <c r="E21" s="211"/>
      <c r="F21" s="352"/>
      <c r="G21" s="352"/>
      <c r="H21" s="352"/>
      <c r="I21" s="313">
        <f>ROUND(SUM(I22:I24),2)</f>
        <v>78528</v>
      </c>
      <c r="K21" s="364">
        <f>I21/I390</f>
        <v>3.2119030456831364E-2</v>
      </c>
    </row>
    <row r="22" spans="1:11" ht="25.5" x14ac:dyDescent="0.2">
      <c r="A22" s="82" t="s">
        <v>39227</v>
      </c>
      <c r="B22" s="315" t="s">
        <v>15</v>
      </c>
      <c r="C22" s="237">
        <v>90777</v>
      </c>
      <c r="D22" s="73" t="str">
        <f>IF(B22="SINAPI",VLOOKUP(C22,SINAPI!A:D,2,0),(VLOOKUP(C22,SEINFRA!A:D,2,0)))</f>
        <v>ENGENHEIRO CIVIL DE OBRA JUNIOR COM ENCARGOS COMPLEMENTARES</v>
      </c>
      <c r="E22" s="74" t="str">
        <f>IF(B22="SINAPI",VLOOKUP(C22,SINAPI!A:D,3,0),(VLOOKUP(C22,SEINFRA!A:D,3,0)))</f>
        <v>H</v>
      </c>
      <c r="F22" s="86">
        <f>VLOOKUP(A22,MEMORIAL!A:O,15,0)</f>
        <v>288</v>
      </c>
      <c r="G22" s="75">
        <f>IF(B22="SINAPI",VLOOKUP(C22,SINAPI!A:D,4,0),(VLOOKUP(C22,SEINFRA!A:D,4,0)))</f>
        <v>116.65</v>
      </c>
      <c r="H22" s="75">
        <f t="shared" ref="H22" si="0">ROUND(G22*$K$3,2)</f>
        <v>153.16999999999999</v>
      </c>
      <c r="I22" s="75">
        <f t="shared" ref="I22" si="1">ROUND(F22*H22,2)</f>
        <v>44112.959999999999</v>
      </c>
    </row>
    <row r="23" spans="1:11" ht="25.5" x14ac:dyDescent="0.2">
      <c r="A23" s="82" t="s">
        <v>39228</v>
      </c>
      <c r="B23" s="315" t="s">
        <v>15</v>
      </c>
      <c r="C23" s="237">
        <v>90776</v>
      </c>
      <c r="D23" s="73" t="str">
        <f>IF(B23="SINAPI",VLOOKUP(C23,SINAPI!A:D,2,0),(VLOOKUP(C23,SEINFRA!A:D,2,0)))</f>
        <v>ENCARREGADO GERAL COM ENCARGOS COMPLEMENTARES</v>
      </c>
      <c r="E23" s="74" t="str">
        <f>IF(B23="SINAPI",VLOOKUP(C23,SINAPI!A:D,3,0),(VLOOKUP(C23,SEINFRA!A:D,3,0)))</f>
        <v>H</v>
      </c>
      <c r="F23" s="86">
        <f>VLOOKUP(A23,MEMORIAL!A:O,15,0)</f>
        <v>1056</v>
      </c>
      <c r="G23" s="75">
        <f>IF(B23="SINAPI",VLOOKUP(C23,SINAPI!A:D,4,0),(VLOOKUP(C23,SEINFRA!A:D,4,0)))</f>
        <v>24.82</v>
      </c>
      <c r="H23" s="75">
        <f t="shared" ref="H23" si="2">ROUND(G23*$K$3,2)</f>
        <v>32.590000000000003</v>
      </c>
      <c r="I23" s="75">
        <f t="shared" ref="I23" si="3">ROUND(F23*H23,2)</f>
        <v>34415.040000000001</v>
      </c>
    </row>
    <row r="24" spans="1:11" x14ac:dyDescent="0.2">
      <c r="A24" s="77"/>
      <c r="B24" s="69"/>
      <c r="C24" s="69"/>
      <c r="D24" s="73"/>
      <c r="E24" s="74"/>
      <c r="F24" s="356"/>
      <c r="G24" s="356"/>
      <c r="H24" s="356"/>
      <c r="I24" s="356"/>
    </row>
    <row r="25" spans="1:11" x14ac:dyDescent="0.2">
      <c r="A25" s="210">
        <v>2</v>
      </c>
      <c r="B25" s="209"/>
      <c r="C25" s="211"/>
      <c r="D25" s="212" t="s">
        <v>14897</v>
      </c>
      <c r="E25" s="211"/>
      <c r="F25" s="352"/>
      <c r="G25" s="352"/>
      <c r="H25" s="352"/>
      <c r="I25" s="313">
        <f>ROUND(SUM(I26:I32),2)</f>
        <v>79534.289999999994</v>
      </c>
    </row>
    <row r="26" spans="1:11" ht="38.25" x14ac:dyDescent="0.2">
      <c r="A26" s="82" t="s">
        <v>39399</v>
      </c>
      <c r="B26" s="315" t="s">
        <v>15</v>
      </c>
      <c r="C26" s="316">
        <v>103689</v>
      </c>
      <c r="D26" s="73" t="str">
        <f>IF(B26="SINAPI",VLOOKUP(C26,SINAPI!A:D,2,0),(VLOOKUP(C26,SEINFRA!A:D,2,0)))</f>
        <v>FORNECIMENTO E INSTALAÇÃO DE PLACA DE OBRA COM CHAPA GALVANIZADA E ESTRUTURA DE MADEIRA. AF_03/2022_PS</v>
      </c>
      <c r="E26" s="74" t="str">
        <f>IF(B26="SINAPI",VLOOKUP(C26,SINAPI!A:D,3,0),(VLOOKUP(C26,SEINFRA!A:D,3,0)))</f>
        <v>M2</v>
      </c>
      <c r="F26" s="86">
        <f>VLOOKUP(A26,MEMORIAL!A:O,15,0)</f>
        <v>4.5</v>
      </c>
      <c r="G26" s="75">
        <f>IF(B26="SINAPI",VLOOKUP(C26,SINAPI!A:D,4,0),(VLOOKUP(C26,SEINFRA!A:D,4,0)))</f>
        <v>464.88</v>
      </c>
      <c r="H26" s="75">
        <f t="shared" ref="H26:H27" si="4">ROUND(G26*$K$3,2)</f>
        <v>610.42999999999995</v>
      </c>
      <c r="I26" s="75">
        <f t="shared" ref="I26:I27" si="5">ROUND(F26*H26,2)</f>
        <v>2746.94</v>
      </c>
    </row>
    <row r="27" spans="1:11" ht="38.25" x14ac:dyDescent="0.2">
      <c r="A27" s="82" t="s">
        <v>39400</v>
      </c>
      <c r="B27" s="315" t="s">
        <v>15</v>
      </c>
      <c r="C27" s="237">
        <v>98525</v>
      </c>
      <c r="D27" s="73" t="str">
        <f>IF(B27="SINAPI",VLOOKUP(C27,SINAPI!A:D,2,0),(VLOOKUP(C27,SEINFRA!A:D,2,0)))</f>
        <v>LIMPEZA MECANIZADA DE CAMADA VEGETAL, VEGETAÇÃO E PEQUENAS ÁRVORES (DIÂMETRO DE TRONCO MENOR QUE 0,20 M), COM TRATOR DE ESTEIRAS. AF_03/2024</v>
      </c>
      <c r="E27" s="74" t="str">
        <f>IF(B27="SINAPI",VLOOKUP(C27,SINAPI!A:D,3,0),(VLOOKUP(C27,SEINFRA!A:D,3,0)))</f>
        <v>M2</v>
      </c>
      <c r="F27" s="86">
        <f>VLOOKUP(A27,MEMORIAL!A:O,15,0)</f>
        <v>1222.44</v>
      </c>
      <c r="G27" s="75">
        <f>IF(B27="SINAPI",VLOOKUP(C27,SINAPI!A:D,4,0),(VLOOKUP(C27,SEINFRA!A:D,4,0)))</f>
        <v>0.66</v>
      </c>
      <c r="H27" s="75">
        <f t="shared" si="4"/>
        <v>0.87</v>
      </c>
      <c r="I27" s="75">
        <f t="shared" si="5"/>
        <v>1063.52</v>
      </c>
    </row>
    <row r="28" spans="1:11" ht="38.25" x14ac:dyDescent="0.2">
      <c r="A28" s="82" t="s">
        <v>39401</v>
      </c>
      <c r="B28" s="315" t="s">
        <v>15</v>
      </c>
      <c r="C28" s="237">
        <v>99059</v>
      </c>
      <c r="D28" s="73" t="str">
        <f>IF(B28="SINAPI",VLOOKUP(C28,SINAPI!A:D,2,0),(VLOOKUP(C28,SEINFRA!A:D,2,0)))</f>
        <v>LOCAÇÃO CONVENCIONAL DE OBRA, UTILIZANDO GABARITO DE TÁBUAS CORRIDAS PONTALETADAS A CADA 2,00M - 2 UTILIZAÇÕES. AF_03/2024</v>
      </c>
      <c r="E28" s="74" t="str">
        <f>IF(B28="SINAPI",VLOOKUP(C28,SINAPI!A:D,3,0),(VLOOKUP(C28,SEINFRA!A:D,3,0)))</f>
        <v>M</v>
      </c>
      <c r="F28" s="86">
        <f>VLOOKUP(A28,MEMORIAL!A:O,15,0)</f>
        <v>170.20000000000002</v>
      </c>
      <c r="G28" s="75">
        <f>IF(B28="SINAPI",VLOOKUP(C28,SINAPI!A:D,4,0),(VLOOKUP(C28,SEINFRA!A:D,4,0)))</f>
        <v>65.53</v>
      </c>
      <c r="H28" s="75">
        <f t="shared" ref="H28:H29" si="6">ROUND(G28*$K$3,2)</f>
        <v>86.05</v>
      </c>
      <c r="I28" s="75">
        <f t="shared" ref="I28:I29" si="7">ROUND(F28*H28,2)</f>
        <v>14645.71</v>
      </c>
    </row>
    <row r="29" spans="1:11" ht="25.5" x14ac:dyDescent="0.2">
      <c r="A29" s="82" t="s">
        <v>39402</v>
      </c>
      <c r="B29" s="317" t="s">
        <v>25</v>
      </c>
      <c r="C29" s="237" t="s">
        <v>6041</v>
      </c>
      <c r="D29" s="73" t="str">
        <f>IF(B29="SINAPI",VLOOKUP(C29,SINAPI!A:D,2,0),(VLOOKUP(C29,SEINFRA!A:D,2,0)))</f>
        <v>LOCAÇÃO DE CONTÊINER BANHEIRO COM 02 VASOS SANITÁRIOS, 01 LAVATÓRIO E 04 CHUVEIROS - 6,00 X 2,35M</v>
      </c>
      <c r="E29" s="74" t="str">
        <f>IF(B29="SINAPI",VLOOKUP(C29,SINAPI!A:D,3,0),(VLOOKUP(C29,SEINFRA!A:D,3,0)))</f>
        <v>MÊS</v>
      </c>
      <c r="F29" s="86">
        <f>VLOOKUP(A29,MEMORIAL!A:O,15,0)</f>
        <v>6</v>
      </c>
      <c r="G29" s="75">
        <f>IF(B29="SINAPI",VLOOKUP(C29,SINAPI!A:D,4,0),(VLOOKUP(C29,SEINFRA!A:D,4,0)))</f>
        <v>1163.8599999999999</v>
      </c>
      <c r="H29" s="75">
        <f t="shared" si="6"/>
        <v>1528.26</v>
      </c>
      <c r="I29" s="75">
        <f t="shared" si="7"/>
        <v>9169.56</v>
      </c>
    </row>
    <row r="30" spans="1:11" x14ac:dyDescent="0.2">
      <c r="A30" s="82" t="s">
        <v>39409</v>
      </c>
      <c r="B30" s="71" t="s">
        <v>15</v>
      </c>
      <c r="C30" s="78">
        <v>98458</v>
      </c>
      <c r="D30" s="73" t="str">
        <f>IF(B30="SINAPI",VLOOKUP(C30,SINAPI!A:D,2,0),(VLOOKUP(C30,SEINFRA!A:D,2,0)))</f>
        <v>TAPUME COM COMPENSADO DE MADEIRA. AF_03/2024</v>
      </c>
      <c r="E30" s="74" t="str">
        <f>IF(B30="SINAPI",VLOOKUP(C30,SINAPI!A:D,3,0),(VLOOKUP(C30,SEINFRA!A:D,3,0)))</f>
        <v>M2</v>
      </c>
      <c r="F30" s="86">
        <f>VLOOKUP(A30,MEMORIAL!A:O,15,0)</f>
        <v>340.40000000000003</v>
      </c>
      <c r="G30" s="75">
        <f>IF(B30="SINAPI",VLOOKUP(C30,SINAPI!A:D,4,0),(VLOOKUP(C30,SEINFRA!A:D,4,0)))</f>
        <v>106.34</v>
      </c>
      <c r="H30" s="75">
        <f t="shared" ref="H30" si="8">ROUND(G30*$K$3,2)</f>
        <v>139.63999999999999</v>
      </c>
      <c r="I30" s="75">
        <f t="shared" ref="I30" si="9">ROUND(F30*H30,2)</f>
        <v>47533.46</v>
      </c>
    </row>
    <row r="31" spans="1:11" ht="25.5" x14ac:dyDescent="0.2">
      <c r="A31" s="82" t="s">
        <v>40577</v>
      </c>
      <c r="B31" s="317" t="s">
        <v>25</v>
      </c>
      <c r="C31" s="78" t="s">
        <v>6016</v>
      </c>
      <c r="D31" s="73" t="str">
        <f>IF(B31="SINAPI",VLOOKUP(C31,SINAPI!A:D,2,0),(VLOOKUP(C31,SEINFRA!A:D,2,0)))</f>
        <v>MOBILIZAÇÃO DE EQUIPAMENTOS EM CAVALO MECÂNICO C/ PRANCHA DE 3 EIXOS</v>
      </c>
      <c r="E31" s="74" t="str">
        <f>IF(B31="SINAPI",VLOOKUP(C31,SINAPI!A:D,3,0),(VLOOKUP(C31,SEINFRA!A:D,3,0)))</f>
        <v>KM</v>
      </c>
      <c r="F31" s="86">
        <f>VLOOKUP(A31,MEMORIAL!A:O,15,0)</f>
        <v>670</v>
      </c>
      <c r="G31" s="75">
        <f>IF(B31="SINAPI",VLOOKUP(C31,SINAPI!A:D,4,0),(VLOOKUP(C31,SEINFRA!A:D,4,0)))</f>
        <v>4.97</v>
      </c>
      <c r="H31" s="75">
        <f t="shared" ref="H31" si="10">ROUND(G31*$K$3,2)</f>
        <v>6.53</v>
      </c>
      <c r="I31" s="75">
        <f t="shared" ref="I31" si="11">ROUND(F31*H31,2)</f>
        <v>4375.1000000000004</v>
      </c>
    </row>
    <row r="32" spans="1:11" x14ac:dyDescent="0.2">
      <c r="A32" s="77"/>
      <c r="B32" s="71"/>
      <c r="C32" s="78"/>
      <c r="D32" s="73"/>
      <c r="E32" s="74"/>
      <c r="F32" s="356"/>
      <c r="G32" s="356"/>
      <c r="H32" s="356"/>
      <c r="I32" s="356"/>
    </row>
    <row r="33" spans="1:9" x14ac:dyDescent="0.2">
      <c r="A33" s="210">
        <v>3</v>
      </c>
      <c r="B33" s="209"/>
      <c r="C33" s="211"/>
      <c r="D33" s="212" t="s">
        <v>39080</v>
      </c>
      <c r="E33" s="211"/>
      <c r="F33" s="352"/>
      <c r="G33" s="352"/>
      <c r="H33" s="352"/>
      <c r="I33" s="313">
        <f>ROUND(SUM(I34:I40),2)</f>
        <v>25025.21</v>
      </c>
    </row>
    <row r="34" spans="1:9" ht="25.5" x14ac:dyDescent="0.2">
      <c r="A34" s="82" t="s">
        <v>39403</v>
      </c>
      <c r="B34" s="80" t="s">
        <v>25</v>
      </c>
      <c r="C34" s="374" t="s">
        <v>6549</v>
      </c>
      <c r="D34" s="73" t="str">
        <f>IF(B34="SINAPI",VLOOKUP(C34,SINAPI!A:D,2,0),(VLOOKUP(C34,SEINFRA!A:D,2,0)))</f>
        <v>CORTE E ATERRO COMPENSADO S/CONTROLE DO GRAU DE COMPACTAÇÃO</v>
      </c>
      <c r="E34" s="74" t="str">
        <f>IF(B34="SINAPI",VLOOKUP(C34,SINAPI!A:D,3,0),(VLOOKUP(C34,SEINFRA!A:D,3,0)))</f>
        <v>M3</v>
      </c>
      <c r="F34" s="86">
        <f>VLOOKUP(A34,MEMORIAL!A:O,15,0)</f>
        <v>448.09</v>
      </c>
      <c r="G34" s="75">
        <f>IF(B34="SINAPI",VLOOKUP(C34,SINAPI!A:D,4,0),(VLOOKUP(C34,SEINFRA!A:D,4,0)))</f>
        <v>8.8800000000000008</v>
      </c>
      <c r="H34" s="75">
        <f t="shared" ref="H34" si="12">ROUND(G34*$K$3,2)</f>
        <v>11.66</v>
      </c>
      <c r="I34" s="75">
        <f t="shared" ref="I34" si="13">ROUND(F34*H34,2)</f>
        <v>5224.7299999999996</v>
      </c>
    </row>
    <row r="35" spans="1:9" x14ac:dyDescent="0.2">
      <c r="A35" s="82" t="s">
        <v>39404</v>
      </c>
      <c r="B35" s="80" t="s">
        <v>25</v>
      </c>
      <c r="C35" s="79" t="s">
        <v>6535</v>
      </c>
      <c r="D35" s="73" t="str">
        <f>IF(B35="SINAPI",VLOOKUP(C35,SINAPI!A:D,2,0),(VLOOKUP(C35,SEINFRA!A:D,2,0)))</f>
        <v>COMPACTAÇÃO DE ATERROS 100% P.N</v>
      </c>
      <c r="E35" s="74" t="str">
        <f>IF(B35="SINAPI",VLOOKUP(C35,SINAPI!A:D,3,0),(VLOOKUP(C35,SEINFRA!A:D,3,0)))</f>
        <v>M3</v>
      </c>
      <c r="F35" s="86">
        <f>VLOOKUP(A35,MEMORIAL!A:O,15,0)</f>
        <v>368.95</v>
      </c>
      <c r="G35" s="75">
        <f>IF(B35="SINAPI",VLOOKUP(C35,SINAPI!A:D,4,0),(VLOOKUP(C35,SEINFRA!A:D,4,0)))</f>
        <v>4.9400000000000004</v>
      </c>
      <c r="H35" s="75">
        <f t="shared" ref="H35:H39" si="14">ROUND(G35*$K$3,2)</f>
        <v>6.49</v>
      </c>
      <c r="I35" s="75">
        <f t="shared" ref="I35:I39" si="15">ROUND(F35*H35,2)</f>
        <v>2394.4899999999998</v>
      </c>
    </row>
    <row r="36" spans="1:9" x14ac:dyDescent="0.2">
      <c r="A36" s="82" t="s">
        <v>39405</v>
      </c>
      <c r="B36" s="80" t="s">
        <v>25</v>
      </c>
      <c r="C36" s="79" t="s">
        <v>38455</v>
      </c>
      <c r="D36" s="73" t="str">
        <f>IF(B36="SINAPI",VLOOKUP(C36,SINAPI!A:D,2,0),(VLOOKUP(C36,SEINFRA!A:D,2,0)))</f>
        <v>ESCAVAÇÃO MANUAL SOLO DE 2A CAT. PROF. ATÉ 1.50m</v>
      </c>
      <c r="E36" s="74" t="str">
        <f>IF(B36="SINAPI",VLOOKUP(C36,SINAPI!A:D,3,0),(VLOOKUP(C36,SEINFRA!A:D,3,0)))</f>
        <v>M3</v>
      </c>
      <c r="F36" s="86">
        <f>VLOOKUP(A36,MEMORIAL!A:O,15,0)</f>
        <v>121.77</v>
      </c>
      <c r="G36" s="75">
        <f>IF(B36="SINAPI",VLOOKUP(C36,SINAPI!A:D,4,0),(VLOOKUP(C36,SEINFRA!A:D,4,0)))</f>
        <v>64.61</v>
      </c>
      <c r="H36" s="75">
        <f t="shared" si="14"/>
        <v>84.84</v>
      </c>
      <c r="I36" s="75">
        <f t="shared" si="15"/>
        <v>10330.969999999999</v>
      </c>
    </row>
    <row r="37" spans="1:9" ht="25.5" x14ac:dyDescent="0.2">
      <c r="A37" s="82" t="s">
        <v>39406</v>
      </c>
      <c r="B37" s="71" t="s">
        <v>15</v>
      </c>
      <c r="C37" s="72">
        <v>93382</v>
      </c>
      <c r="D37" s="73" t="str">
        <f>IF(B37="SINAPI",VLOOKUP(C37,SINAPI!A:D,2,0),(VLOOKUP(C37,SEINFRA!A:D,2,0)))</f>
        <v>REATERRO MANUAL DE VALAS, COM COMPACTADOR DE SOLOS DE PERCUSSÃO. AF_08/2023</v>
      </c>
      <c r="E37" s="74" t="str">
        <f>IF(B37="SINAPI",VLOOKUP(C37,SINAPI!A:D,3,0),(VLOOKUP(C37,SEINFRA!A:D,3,0)))</f>
        <v>M3</v>
      </c>
      <c r="F37" s="86">
        <f>VLOOKUP(A37,MEMORIAL!A:O,15,0)</f>
        <v>71.870000000000019</v>
      </c>
      <c r="G37" s="75">
        <f>IF(B37="SINAPI",VLOOKUP(C37,SINAPI!A:D,4,0),(VLOOKUP(C37,SEINFRA!A:D,4,0)))</f>
        <v>26.44</v>
      </c>
      <c r="H37" s="75">
        <f t="shared" si="14"/>
        <v>34.72</v>
      </c>
      <c r="I37" s="75">
        <f t="shared" si="15"/>
        <v>2495.33</v>
      </c>
    </row>
    <row r="38" spans="1:9" ht="51" x14ac:dyDescent="0.2">
      <c r="A38" s="82" t="s">
        <v>39407</v>
      </c>
      <c r="B38" s="71" t="s">
        <v>15</v>
      </c>
      <c r="C38" s="79">
        <v>100973</v>
      </c>
      <c r="D38" s="73" t="str">
        <f>IF(B38="SINAPI",VLOOKUP(C38,SINAPI!A:D,2,0),(VLOOKUP(C38,SEINFRA!A:D,2,0)))</f>
        <v>CARGA, MANOBRA E DESCARGA DE SOLOS E MATERIAIS GRANULARES EM CAMINHÃO BASCULANTE 6 M³ - CARGA COM PÁ CARREGADEIRA (CAÇAMBA DE 1,7 A 2,8 M³ / 128 HP) E DESCARGA LIVRE (UNIDADE: M3). AF_07/2020</v>
      </c>
      <c r="E38" s="74" t="str">
        <f>IF(B38="SINAPI",VLOOKUP(C38,SINAPI!A:D,3,0),(VLOOKUP(C38,SEINFRA!A:D,3,0)))</f>
        <v>M3</v>
      </c>
      <c r="F38" s="86">
        <f>VLOOKUP(A38,MEMORIAL!A:O,15,0)</f>
        <v>79.14</v>
      </c>
      <c r="G38" s="75">
        <f>IF(B38="SINAPI",VLOOKUP(C38,SINAPI!A:D,4,0),(VLOOKUP(C38,SEINFRA!A:D,4,0)))</f>
        <v>9.17</v>
      </c>
      <c r="H38" s="75">
        <f t="shared" si="14"/>
        <v>12.04</v>
      </c>
      <c r="I38" s="75">
        <f t="shared" si="15"/>
        <v>952.85</v>
      </c>
    </row>
    <row r="39" spans="1:9" ht="38.25" x14ac:dyDescent="0.2">
      <c r="A39" s="82" t="s">
        <v>39408</v>
      </c>
      <c r="B39" s="71" t="s">
        <v>15</v>
      </c>
      <c r="C39" s="83">
        <v>97914</v>
      </c>
      <c r="D39" s="73" t="str">
        <f>IF(B39="SINAPI",VLOOKUP(C39,SINAPI!A:D,2,0),(VLOOKUP(C39,SEINFRA!A:D,2,0)))</f>
        <v>TRANSPORTE COM CAMINHÃO BASCULANTE DE 6 M³, EM VIA URBANA PAVIMENTADA, DMT ATÉ 30 KM (UNIDADE: M3XKM). AF_07/2020</v>
      </c>
      <c r="E39" s="74" t="str">
        <f>IF(B39="SINAPI",VLOOKUP(C39,SINAPI!A:D,3,0),(VLOOKUP(C39,SEINFRA!A:D,3,0)))</f>
        <v>M3XKM</v>
      </c>
      <c r="F39" s="86">
        <f>VLOOKUP(A39,MEMORIAL!A:O,15,0)</f>
        <v>902.2</v>
      </c>
      <c r="G39" s="75">
        <f>IF(B39="SINAPI",VLOOKUP(C39,SINAPI!A:D,4,0),(VLOOKUP(C39,SEINFRA!A:D,4,0)))</f>
        <v>3.06</v>
      </c>
      <c r="H39" s="75">
        <f t="shared" si="14"/>
        <v>4.0199999999999996</v>
      </c>
      <c r="I39" s="75">
        <f t="shared" si="15"/>
        <v>3626.84</v>
      </c>
    </row>
    <row r="40" spans="1:9" x14ac:dyDescent="0.2">
      <c r="A40" s="77"/>
      <c r="B40" s="69"/>
      <c r="C40" s="69"/>
      <c r="D40" s="73"/>
      <c r="E40" s="74"/>
      <c r="F40" s="356"/>
      <c r="G40" s="356"/>
      <c r="H40" s="356"/>
      <c r="I40" s="356"/>
    </row>
    <row r="41" spans="1:9" x14ac:dyDescent="0.2">
      <c r="A41" s="210">
        <v>4</v>
      </c>
      <c r="B41" s="209"/>
      <c r="C41" s="211"/>
      <c r="D41" s="212" t="s">
        <v>39081</v>
      </c>
      <c r="E41" s="211"/>
      <c r="F41" s="352"/>
      <c r="G41" s="352"/>
      <c r="H41" s="352"/>
      <c r="I41" s="313">
        <f>ROUND(I42+I47+I52,2)</f>
        <v>457569.25</v>
      </c>
    </row>
    <row r="42" spans="1:9" x14ac:dyDescent="0.2">
      <c r="A42" s="213" t="s">
        <v>39413</v>
      </c>
      <c r="B42" s="208"/>
      <c r="C42" s="214"/>
      <c r="D42" s="215" t="s">
        <v>39410</v>
      </c>
      <c r="E42" s="214"/>
      <c r="F42" s="353"/>
      <c r="G42" s="353"/>
      <c r="H42" s="353"/>
      <c r="I42" s="314">
        <f>ROUND(SUM(I43:I46),2)</f>
        <v>215147.5</v>
      </c>
    </row>
    <row r="43" spans="1:9" x14ac:dyDescent="0.2">
      <c r="A43" s="82" t="s">
        <v>39419</v>
      </c>
      <c r="B43" s="317" t="s">
        <v>25</v>
      </c>
      <c r="C43" s="316" t="s">
        <v>7459</v>
      </c>
      <c r="D43" s="73" t="str">
        <f>IF(B43="SINAPI",VLOOKUP(C43,SINAPI!A:D,2,0),(VLOOKUP(C43,SEINFRA!A:D,2,0)))</f>
        <v>FORMA DE TÁBUAS DE 1" DE 3A. P/FUNDAÇÕES UTIL. 5 X</v>
      </c>
      <c r="E43" s="74" t="str">
        <f>IF(B43="SINAPI",VLOOKUP(C43,SINAPI!A:D,3,0),(VLOOKUP(C43,SEINFRA!A:D,3,0)))</f>
        <v>M2</v>
      </c>
      <c r="F43" s="86">
        <f>VLOOKUP(A43,MEMORIAL!A:O,15,0)</f>
        <v>491.91</v>
      </c>
      <c r="G43" s="75">
        <f>IF(B43="SINAPI",VLOOKUP(C43,SINAPI!A:D,4,0),(VLOOKUP(C43,SEINFRA!A:D,4,0)))</f>
        <v>77.540000000000006</v>
      </c>
      <c r="H43" s="75">
        <f t="shared" ref="H43" si="16">ROUND(G43*$K$3,2)</f>
        <v>101.82</v>
      </c>
      <c r="I43" s="75">
        <f t="shared" ref="I43" si="17">ROUND(F43*H43,2)</f>
        <v>50086.28</v>
      </c>
    </row>
    <row r="44" spans="1:9" ht="25.5" x14ac:dyDescent="0.2">
      <c r="A44" s="82" t="s">
        <v>39420</v>
      </c>
      <c r="B44" s="317" t="s">
        <v>25</v>
      </c>
      <c r="C44" s="316" t="s">
        <v>7477</v>
      </c>
      <c r="D44" s="73" t="str">
        <f>IF(B44="SINAPI",VLOOKUP(C44,SINAPI!A:D,2,0),(VLOOKUP(C44,SEINFRA!A:D,2,0)))</f>
        <v>FORMA PLANA CHAPA COMPENSADA PLASTIFICADA, ESP.= 12mm UTIL. 5X</v>
      </c>
      <c r="E44" s="74" t="str">
        <f>IF(B44="SINAPI",VLOOKUP(C44,SINAPI!A:D,3,0),(VLOOKUP(C44,SEINFRA!A:D,3,0)))</f>
        <v>M2</v>
      </c>
      <c r="F44" s="86">
        <f>VLOOKUP(A44,MEMORIAL!A:O,15,0)</f>
        <v>842.2299999999999</v>
      </c>
      <c r="G44" s="75">
        <f>IF(B44="SINAPI",VLOOKUP(C44,SINAPI!A:D,4,0),(VLOOKUP(C44,SEINFRA!A:D,4,0)))</f>
        <v>123.56</v>
      </c>
      <c r="H44" s="75">
        <f t="shared" ref="H44:H45" si="18">ROUND(G44*$K$3,2)</f>
        <v>162.25</v>
      </c>
      <c r="I44" s="75">
        <f t="shared" ref="I44:I45" si="19">ROUND(F44*H44,2)</f>
        <v>136651.82</v>
      </c>
    </row>
    <row r="45" spans="1:9" x14ac:dyDescent="0.2">
      <c r="A45" s="82" t="s">
        <v>39421</v>
      </c>
      <c r="B45" s="317" t="s">
        <v>25</v>
      </c>
      <c r="C45" s="316" t="s">
        <v>6653</v>
      </c>
      <c r="D45" s="73" t="str">
        <f>IF(B45="SINAPI",VLOOKUP(C45,SINAPI!A:D,2,0),(VLOOKUP(C45,SEINFRA!A:D,2,0)))</f>
        <v>ESCORAMENTO TUBULAR TIPO CONVENCIONAL</v>
      </c>
      <c r="E45" s="74" t="str">
        <f>IF(B45="SINAPI",VLOOKUP(C45,SINAPI!A:D,3,0),(VLOOKUP(C45,SEINFRA!A:D,3,0)))</f>
        <v>M3</v>
      </c>
      <c r="F45" s="86">
        <f>VLOOKUP(A45,MEMORIAL!A:O,15,0)</f>
        <v>458.66</v>
      </c>
      <c r="G45" s="75">
        <f>IF(B45="SINAPI",VLOOKUP(C45,SINAPI!A:D,4,0),(VLOOKUP(C45,SEINFRA!A:D,4,0)))</f>
        <v>47.17</v>
      </c>
      <c r="H45" s="75">
        <f t="shared" si="18"/>
        <v>61.94</v>
      </c>
      <c r="I45" s="75">
        <f t="shared" si="19"/>
        <v>28409.4</v>
      </c>
    </row>
    <row r="46" spans="1:9" x14ac:dyDescent="0.2">
      <c r="A46" s="82"/>
      <c r="B46" s="69"/>
      <c r="C46" s="69"/>
      <c r="D46" s="73"/>
      <c r="E46" s="74"/>
      <c r="F46" s="86"/>
      <c r="G46" s="356"/>
      <c r="H46" s="356"/>
      <c r="I46" s="356"/>
    </row>
    <row r="47" spans="1:9" x14ac:dyDescent="0.2">
      <c r="A47" s="213" t="s">
        <v>39414</v>
      </c>
      <c r="B47" s="208"/>
      <c r="C47" s="214"/>
      <c r="D47" s="215" t="s">
        <v>39411</v>
      </c>
      <c r="E47" s="214"/>
      <c r="F47" s="353"/>
      <c r="G47" s="353"/>
      <c r="H47" s="353"/>
      <c r="I47" s="314">
        <f>ROUND(SUM(I48:I51),2)</f>
        <v>99330.08</v>
      </c>
    </row>
    <row r="48" spans="1:9" x14ac:dyDescent="0.2">
      <c r="A48" s="82" t="s">
        <v>39422</v>
      </c>
      <c r="B48" s="317" t="s">
        <v>25</v>
      </c>
      <c r="C48" s="316" t="s">
        <v>7528</v>
      </c>
      <c r="D48" s="73" t="str">
        <f>IF(B48="SINAPI",VLOOKUP(C48,SINAPI!A:D,2,0),(VLOOKUP(C48,SEINFRA!A:D,2,0)))</f>
        <v>ARMADURA CA-60 FINA D=3,40 A 6,40mm</v>
      </c>
      <c r="E48" s="74" t="str">
        <f>IF(B48="SINAPI",VLOOKUP(C48,SINAPI!A:D,3,0),(VLOOKUP(C48,SEINFRA!A:D,3,0)))</f>
        <v>KG</v>
      </c>
      <c r="F48" s="86">
        <f>VLOOKUP(A48,MEMORIAL!A:O,15,0)</f>
        <v>1556.7</v>
      </c>
      <c r="G48" s="75">
        <f>IF(B48="SINAPI",VLOOKUP(C48,SINAPI!A:D,4,0),(VLOOKUP(C48,SEINFRA!A:D,4,0)))</f>
        <v>12.09</v>
      </c>
      <c r="H48" s="75">
        <f t="shared" ref="H48" si="20">ROUND(G48*$K$3,2)</f>
        <v>15.88</v>
      </c>
      <c r="I48" s="75">
        <f t="shared" ref="I48" si="21">ROUND(F48*H48,2)</f>
        <v>24720.400000000001</v>
      </c>
    </row>
    <row r="49" spans="1:9" x14ac:dyDescent="0.2">
      <c r="A49" s="82" t="s">
        <v>39423</v>
      </c>
      <c r="B49" s="317" t="s">
        <v>25</v>
      </c>
      <c r="C49" s="316" t="s">
        <v>7526</v>
      </c>
      <c r="D49" s="73" t="str">
        <f>IF(B49="SINAPI",VLOOKUP(C49,SINAPI!A:D,2,0),(VLOOKUP(C49,SEINFRA!A:D,2,0)))</f>
        <v>ARMADURA CA-50A MÉDIA D= 6,3 A 10,0mm</v>
      </c>
      <c r="E49" s="74" t="str">
        <f>IF(B49="SINAPI",VLOOKUP(C49,SINAPI!A:D,3,0),(VLOOKUP(C49,SEINFRA!A:D,3,0)))</f>
        <v>KG</v>
      </c>
      <c r="F49" s="86">
        <f>VLOOKUP(A49,MEMORIAL!A:O,15,0)</f>
        <v>3643.1999999999994</v>
      </c>
      <c r="G49" s="75">
        <f>IF(B49="SINAPI",VLOOKUP(C49,SINAPI!A:D,4,0),(VLOOKUP(C49,SEINFRA!A:D,4,0)))</f>
        <v>11.96</v>
      </c>
      <c r="H49" s="75">
        <f t="shared" ref="H49:H50" si="22">ROUND(G49*$K$3,2)</f>
        <v>15.7</v>
      </c>
      <c r="I49" s="75">
        <f t="shared" ref="I49:I50" si="23">ROUND(F49*H49,2)</f>
        <v>57198.239999999998</v>
      </c>
    </row>
    <row r="50" spans="1:9" x14ac:dyDescent="0.2">
      <c r="A50" s="82" t="s">
        <v>39424</v>
      </c>
      <c r="B50" s="317" t="s">
        <v>25</v>
      </c>
      <c r="C50" s="316" t="s">
        <v>7524</v>
      </c>
      <c r="D50" s="73" t="str">
        <f>IF(B50="SINAPI",VLOOKUP(C50,SINAPI!A:D,2,0),(VLOOKUP(C50,SEINFRA!A:D,2,0)))</f>
        <v>ARMADURA CA-50A GROSSA D= 12,5 A 25,0mm</v>
      </c>
      <c r="E50" s="74" t="str">
        <f>IF(B50="SINAPI",VLOOKUP(C50,SINAPI!A:D,3,0),(VLOOKUP(C50,SEINFRA!A:D,3,0)))</f>
        <v>KG</v>
      </c>
      <c r="F50" s="86">
        <f>VLOOKUP(A50,MEMORIAL!A:O,15,0)</f>
        <v>1020.6</v>
      </c>
      <c r="G50" s="75">
        <f>IF(B50="SINAPI",VLOOKUP(C50,SINAPI!A:D,4,0),(VLOOKUP(C50,SEINFRA!A:D,4,0)))</f>
        <v>12.99</v>
      </c>
      <c r="H50" s="75">
        <f t="shared" si="22"/>
        <v>17.059999999999999</v>
      </c>
      <c r="I50" s="75">
        <f t="shared" si="23"/>
        <v>17411.439999999999</v>
      </c>
    </row>
    <row r="51" spans="1:9" x14ac:dyDescent="0.2">
      <c r="A51" s="82"/>
      <c r="B51" s="69"/>
      <c r="C51" s="69"/>
      <c r="D51" s="73"/>
      <c r="E51" s="74"/>
      <c r="F51" s="356"/>
      <c r="G51" s="356"/>
      <c r="H51" s="356"/>
      <c r="I51" s="356"/>
    </row>
    <row r="52" spans="1:9" x14ac:dyDescent="0.2">
      <c r="A52" s="213" t="s">
        <v>39415</v>
      </c>
      <c r="B52" s="208"/>
      <c r="C52" s="214"/>
      <c r="D52" s="215" t="s">
        <v>39412</v>
      </c>
      <c r="E52" s="214"/>
      <c r="F52" s="353"/>
      <c r="G52" s="353"/>
      <c r="H52" s="353"/>
      <c r="I52" s="314">
        <f>ROUND(SUM(I53:I57),2)</f>
        <v>143091.67000000001</v>
      </c>
    </row>
    <row r="53" spans="1:9" ht="38.25" x14ac:dyDescent="0.2">
      <c r="A53" s="82" t="s">
        <v>39416</v>
      </c>
      <c r="B53" s="315" t="s">
        <v>15</v>
      </c>
      <c r="C53" s="237">
        <v>95241</v>
      </c>
      <c r="D53" s="73" t="str">
        <f>IF(B53="SINAPI",VLOOKUP(C53,SINAPI!A:D,2,0),(VLOOKUP(C53,SEINFRA!A:D,2,0)))</f>
        <v>LASTRO DE CONCRETO MAGRO, APLICADO EM PISOS, LAJES SOBRE SOLO OU RADIERS, ESPESSURA DE 5 CM. AF_01/2024</v>
      </c>
      <c r="E53" s="74" t="str">
        <f>IF(B53="SINAPI",VLOOKUP(C53,SINAPI!A:D,3,0),(VLOOKUP(C53,SEINFRA!A:D,3,0)))</f>
        <v>M2</v>
      </c>
      <c r="F53" s="86">
        <f>VLOOKUP(A53,MEMORIAL!A:O,15,0)</f>
        <v>63.870000000000005</v>
      </c>
      <c r="G53" s="75">
        <f>IF(B53="SINAPI",VLOOKUP(C53,SINAPI!A:D,4,0),(VLOOKUP(C53,SEINFRA!A:D,4,0)))</f>
        <v>36.950000000000003</v>
      </c>
      <c r="H53" s="75">
        <f t="shared" ref="H53" si="24">ROUND(G53*$K$3,2)</f>
        <v>48.52</v>
      </c>
      <c r="I53" s="75">
        <f t="shared" ref="I53" si="25">ROUND(F53*H53,2)</f>
        <v>3098.97</v>
      </c>
    </row>
    <row r="54" spans="1:9" ht="38.25" x14ac:dyDescent="0.2">
      <c r="A54" s="82" t="s">
        <v>39417</v>
      </c>
      <c r="B54" s="315" t="s">
        <v>15</v>
      </c>
      <c r="C54" s="237">
        <v>94965</v>
      </c>
      <c r="D54" s="73" t="str">
        <f>IF(B54="SINAPI",VLOOKUP(C54,SINAPI!A:D,2,0),(VLOOKUP(C54,SEINFRA!A:D,2,0)))</f>
        <v>CONCRETO FCK = 25MPA, TRAÇO 1:2,3:2,7 (EM MASSA SECA DE CIMENTO/ AREIA MÉDIA/ BRITA 1) - PREPARO MECÂNICO COM BETONEIRA 400 L. AF_05/2021</v>
      </c>
      <c r="E54" s="74" t="str">
        <f>IF(B54="SINAPI",VLOOKUP(C54,SINAPI!A:D,3,0),(VLOOKUP(C54,SEINFRA!A:D,3,0)))</f>
        <v>M3</v>
      </c>
      <c r="F54" s="86">
        <f>VLOOKUP(A54,MEMORIAL!A:O,15,0)</f>
        <v>114.75000000000001</v>
      </c>
      <c r="G54" s="75">
        <f>IF(B54="SINAPI",VLOOKUP(C54,SINAPI!A:D,4,0),(VLOOKUP(C54,SEINFRA!A:D,4,0)))</f>
        <v>507.27</v>
      </c>
      <c r="H54" s="75">
        <f t="shared" ref="H54:H56" si="26">ROUND(G54*$K$3,2)</f>
        <v>666.1</v>
      </c>
      <c r="I54" s="75">
        <f t="shared" ref="I54:I56" si="27">ROUND(F54*H54,2)</f>
        <v>76434.98</v>
      </c>
    </row>
    <row r="55" spans="1:9" ht="25.5" x14ac:dyDescent="0.2">
      <c r="A55" s="82" t="s">
        <v>39418</v>
      </c>
      <c r="B55" s="315" t="s">
        <v>15</v>
      </c>
      <c r="C55" s="237">
        <v>103670</v>
      </c>
      <c r="D55" s="73" t="str">
        <f>IF(B55="SINAPI",VLOOKUP(C55,SINAPI!A:D,2,0),(VLOOKUP(C55,SEINFRA!A:D,2,0)))</f>
        <v>LANÇAMENTO COM USO DE BALDES, ADENSAMENTO E ACABAMENTO DE CONCRETO EM ESTRUTURAS. AF_02/2022</v>
      </c>
      <c r="E55" s="74" t="str">
        <f>IF(B55="SINAPI",VLOOKUP(C55,SINAPI!A:D,3,0),(VLOOKUP(C55,SEINFRA!A:D,3,0)))</f>
        <v>M3</v>
      </c>
      <c r="F55" s="86">
        <f>VLOOKUP(A55,MEMORIAL!A:O,15,0)</f>
        <v>114.75000000000001</v>
      </c>
      <c r="G55" s="75">
        <f>IF(B55="SINAPI",VLOOKUP(C55,SINAPI!A:D,4,0),(VLOOKUP(C55,SEINFRA!A:D,4,0)))</f>
        <v>294.32</v>
      </c>
      <c r="H55" s="75">
        <f t="shared" si="26"/>
        <v>386.47</v>
      </c>
      <c r="I55" s="75">
        <f t="shared" si="27"/>
        <v>44347.43</v>
      </c>
    </row>
    <row r="56" spans="1:9" x14ac:dyDescent="0.2">
      <c r="A56" s="82" t="s">
        <v>40375</v>
      </c>
      <c r="B56" s="317" t="s">
        <v>25</v>
      </c>
      <c r="C56" s="237" t="s">
        <v>7674</v>
      </c>
      <c r="D56" s="73" t="str">
        <f>IF(B56="SINAPI",VLOOKUP(C56,SINAPI!A:D,2,0),(VLOOKUP(C56,SEINFRA!A:D,2,0)))</f>
        <v>LAJE PRÉ-FABRICADA P/ FÔRRO - VÃO ATÉ 2 m</v>
      </c>
      <c r="E56" s="74" t="str">
        <f>IF(B56="SINAPI",VLOOKUP(C56,SINAPI!A:D,3,0),(VLOOKUP(C56,SEINFRA!A:D,3,0)))</f>
        <v>M2</v>
      </c>
      <c r="F56" s="86">
        <f>VLOOKUP(A56,MEMORIAL!A:O,15,0)</f>
        <v>126.5</v>
      </c>
      <c r="G56" s="75">
        <f>IF(B56="SINAPI",VLOOKUP(C56,SINAPI!A:D,4,0),(VLOOKUP(C56,SEINFRA!A:D,4,0)))</f>
        <v>115.65</v>
      </c>
      <c r="H56" s="75">
        <f t="shared" si="26"/>
        <v>151.86000000000001</v>
      </c>
      <c r="I56" s="75">
        <f t="shared" si="27"/>
        <v>19210.29</v>
      </c>
    </row>
    <row r="57" spans="1:9" x14ac:dyDescent="0.2">
      <c r="A57" s="82"/>
      <c r="B57" s="69"/>
      <c r="C57" s="69"/>
      <c r="D57" s="73"/>
      <c r="E57" s="74"/>
      <c r="F57" s="356"/>
      <c r="G57" s="356"/>
      <c r="H57" s="356"/>
      <c r="I57" s="356"/>
    </row>
    <row r="58" spans="1:9" x14ac:dyDescent="0.2">
      <c r="A58" s="210">
        <v>5</v>
      </c>
      <c r="B58" s="209"/>
      <c r="C58" s="211"/>
      <c r="D58" s="212" t="s">
        <v>39229</v>
      </c>
      <c r="E58" s="211"/>
      <c r="F58" s="352"/>
      <c r="G58" s="352"/>
      <c r="H58" s="352"/>
      <c r="I58" s="313">
        <f>ROUND(SUM(I59:I64),2)</f>
        <v>259254.5</v>
      </c>
    </row>
    <row r="59" spans="1:9" ht="51" x14ac:dyDescent="0.2">
      <c r="A59" s="82" t="s">
        <v>39425</v>
      </c>
      <c r="B59" s="318" t="s">
        <v>15</v>
      </c>
      <c r="C59" s="316">
        <v>103328</v>
      </c>
      <c r="D59" s="73" t="str">
        <f>IF(B59="SINAPI",VLOOKUP(C59,SINAPI!A:D,2,0),(VLOOKUP(C59,SEINFRA!A:D,2,0)))</f>
        <v>ALVENARIA DE VEDAÇÃO DE BLOCOS CERÂMICOS FURADOS NA HORIZONTAL DE 9X19X19 CM (ESPESSURA 9 CM) E ARGAMASSA DE ASSENTAMENTO COM PREPARO EM BETONEIRA. AF_12/2021</v>
      </c>
      <c r="E59" s="74" t="str">
        <f>IF(B59="SINAPI",VLOOKUP(C59,SINAPI!A:D,3,0),(VLOOKUP(C59,SEINFRA!A:D,3,0)))</f>
        <v>M2</v>
      </c>
      <c r="F59" s="86">
        <f>VLOOKUP(A59,MEMORIAL!A:O,15,0)</f>
        <v>1361.6300000000006</v>
      </c>
      <c r="G59" s="75">
        <f>IF(B59="SINAPI",VLOOKUP(C59,SINAPI!A:D,4,0),(VLOOKUP(C59,SEINFRA!A:D,4,0)))</f>
        <v>91.68</v>
      </c>
      <c r="H59" s="75">
        <f t="shared" ref="H59:H60" si="28">ROUND(G59*$K$3,2)</f>
        <v>120.39</v>
      </c>
      <c r="I59" s="75">
        <f t="shared" ref="I59:I60" si="29">ROUND(F59*H59,2)</f>
        <v>163926.64000000001</v>
      </c>
    </row>
    <row r="60" spans="1:9" ht="25.5" x14ac:dyDescent="0.2">
      <c r="A60" s="82" t="s">
        <v>39426</v>
      </c>
      <c r="B60" s="318" t="s">
        <v>15</v>
      </c>
      <c r="C60" s="226">
        <v>105023</v>
      </c>
      <c r="D60" s="73" t="str">
        <f>IF(B60="SINAPI",VLOOKUP(C60,SINAPI!A:D,2,0),(VLOOKUP(C60,SEINFRA!A:D,2,0)))</f>
        <v>VERGA MOLDADA IN LOCO EM CONCRETO, ESPESSURA DE *15* CM. AF_03/2024</v>
      </c>
      <c r="E60" s="74" t="str">
        <f>IF(B60="SINAPI",VLOOKUP(C60,SINAPI!A:D,3,0),(VLOOKUP(C60,SEINFRA!A:D,3,0)))</f>
        <v>M</v>
      </c>
      <c r="F60" s="86">
        <f>VLOOKUP(A60,MEMORIAL!A:O,15,0)</f>
        <v>130.79999999999998</v>
      </c>
      <c r="G60" s="75">
        <f>IF(B60="SINAPI",VLOOKUP(C60,SINAPI!A:D,4,0),(VLOOKUP(C60,SEINFRA!A:D,4,0)))</f>
        <v>65.52</v>
      </c>
      <c r="H60" s="75">
        <f t="shared" si="28"/>
        <v>86.03</v>
      </c>
      <c r="I60" s="75">
        <f t="shared" si="29"/>
        <v>11252.72</v>
      </c>
    </row>
    <row r="61" spans="1:9" ht="25.5" x14ac:dyDescent="0.2">
      <c r="A61" s="82" t="s">
        <v>39427</v>
      </c>
      <c r="B61" s="318" t="s">
        <v>15</v>
      </c>
      <c r="C61" s="226">
        <v>105029</v>
      </c>
      <c r="D61" s="73" t="str">
        <f>IF(B61="SINAPI",VLOOKUP(C61,SINAPI!A:D,2,0),(VLOOKUP(C61,SEINFRA!A:D,2,0)))</f>
        <v>CONTRAVERGA MOLDADA IN LOCO EM CONCRETO, ESPESSURA DE *15* CM. AF_03/2024</v>
      </c>
      <c r="E61" s="74" t="str">
        <f>IF(B61="SINAPI",VLOOKUP(C61,SINAPI!A:D,3,0),(VLOOKUP(C61,SEINFRA!A:D,3,0)))</f>
        <v>M</v>
      </c>
      <c r="F61" s="86">
        <f>VLOOKUP(A61,MEMORIAL!A:O,15,0)</f>
        <v>115.70000000000002</v>
      </c>
      <c r="G61" s="75">
        <f>IF(B61="SINAPI",VLOOKUP(C61,SINAPI!A:D,4,0),(VLOOKUP(C61,SEINFRA!A:D,4,0)))</f>
        <v>49.41</v>
      </c>
      <c r="H61" s="75">
        <f t="shared" ref="H61:H63" si="30">ROUND(G61*$K$3,2)</f>
        <v>64.88</v>
      </c>
      <c r="I61" s="75">
        <f t="shared" ref="I61:I63" si="31">ROUND(F61*H61,2)</f>
        <v>7506.62</v>
      </c>
    </row>
    <row r="62" spans="1:9" x14ac:dyDescent="0.2">
      <c r="A62" s="82" t="s">
        <v>39428</v>
      </c>
      <c r="B62" s="80" t="s">
        <v>25</v>
      </c>
      <c r="C62" s="69" t="s">
        <v>8007</v>
      </c>
      <c r="D62" s="73" t="str">
        <f>IF(B62="SINAPI",VLOOKUP(C62,SINAPI!A:D,2,0),(VLOOKUP(C62,SEINFRA!A:D,2,0)))</f>
        <v>DIVISÓRIA DE GRANITO CINZA E=2cm</v>
      </c>
      <c r="E62" s="74" t="str">
        <f>IF(B62="SINAPI",VLOOKUP(C62,SINAPI!A:D,3,0),(VLOOKUP(C62,SEINFRA!A:D,3,0)))</f>
        <v>M2</v>
      </c>
      <c r="F62" s="86">
        <f>VLOOKUP(A62,MEMORIAL!A:O,15,0)</f>
        <v>27.709999999999997</v>
      </c>
      <c r="G62" s="75">
        <f>IF(B62="SINAPI",VLOOKUP(C62,SINAPI!A:D,4,0),(VLOOKUP(C62,SEINFRA!A:D,4,0)))</f>
        <v>472.42</v>
      </c>
      <c r="H62" s="75">
        <f t="shared" si="30"/>
        <v>620.33000000000004</v>
      </c>
      <c r="I62" s="75">
        <f t="shared" si="31"/>
        <v>17189.34</v>
      </c>
    </row>
    <row r="63" spans="1:9" x14ac:dyDescent="0.2">
      <c r="A63" s="82" t="s">
        <v>39430</v>
      </c>
      <c r="B63" s="69"/>
      <c r="C63" s="69" t="str">
        <f>'COMP.01_CERCA'!A19</f>
        <v>COMP.01</v>
      </c>
      <c r="D63" s="77" t="str">
        <f>'COMP.01_CERCA'!B19</f>
        <v>CERCA EM MADEIRA</v>
      </c>
      <c r="E63" s="69" t="str">
        <f>'COMP.01_CERCA'!G19</f>
        <v>M</v>
      </c>
      <c r="F63" s="86">
        <f>VLOOKUP(A63,MEMORIAL!A:O,15,0)</f>
        <v>99.75</v>
      </c>
      <c r="G63" s="381">
        <f>'COMP.01_CERCA'!G38</f>
        <v>453.34</v>
      </c>
      <c r="H63" s="75">
        <f t="shared" si="30"/>
        <v>595.28</v>
      </c>
      <c r="I63" s="75">
        <f t="shared" si="31"/>
        <v>59379.18</v>
      </c>
    </row>
    <row r="64" spans="1:9" x14ac:dyDescent="0.2">
      <c r="A64" s="82"/>
      <c r="B64" s="69"/>
      <c r="C64" s="69"/>
      <c r="D64" s="73"/>
      <c r="E64" s="74"/>
      <c r="F64" s="356"/>
      <c r="G64" s="356"/>
      <c r="H64" s="356"/>
      <c r="I64" s="356"/>
    </row>
    <row r="65" spans="1:9" x14ac:dyDescent="0.2">
      <c r="A65" s="210">
        <v>6</v>
      </c>
      <c r="B65" s="209"/>
      <c r="C65" s="211"/>
      <c r="D65" s="212" t="s">
        <v>39085</v>
      </c>
      <c r="E65" s="211"/>
      <c r="F65" s="352"/>
      <c r="G65" s="352"/>
      <c r="H65" s="352"/>
      <c r="I65" s="313">
        <f>ROUND(SUM(I66,I81,I94,I100),2)</f>
        <v>112025.96</v>
      </c>
    </row>
    <row r="66" spans="1:9" x14ac:dyDescent="0.2">
      <c r="A66" s="418" t="s">
        <v>39230</v>
      </c>
      <c r="B66" s="419"/>
      <c r="C66" s="420"/>
      <c r="D66" s="421" t="s">
        <v>47077</v>
      </c>
      <c r="E66" s="420"/>
      <c r="F66" s="422"/>
      <c r="G66" s="422"/>
      <c r="H66" s="422"/>
      <c r="I66" s="314">
        <f>ROUND(SUM(I67:I80),2)</f>
        <v>84904.12</v>
      </c>
    </row>
    <row r="67" spans="1:9" ht="38.25" x14ac:dyDescent="0.2">
      <c r="A67" s="435" t="s">
        <v>39231</v>
      </c>
      <c r="B67" s="512" t="s">
        <v>15</v>
      </c>
      <c r="C67" s="81">
        <v>91854</v>
      </c>
      <c r="D67" s="509" t="str">
        <f>IF(B67="SINAPI",VLOOKUP(C67,SINAPI!A:D,2,0),(VLOOKUP(C67,SEINFRA!A:D,2,0)))</f>
        <v>ELETRODUTO FLEXÍVEL CORRUGADO, PVC, DN 25 MM (3/4"), PARA CIRCUITOS TERMINAIS, INSTALADO EM PAREDE - FORNECIMENTO E INSTALAÇÃO. AF_03/2023</v>
      </c>
      <c r="E67" s="78" t="str">
        <f>IF(B67="SINAPI",VLOOKUP(C67,SINAPI!A:D,3,0),(VLOOKUP(C67,SEINFRA!A:D,3,0)))</f>
        <v>M</v>
      </c>
      <c r="F67" s="204">
        <f>VLOOKUP(A67,MEMORIAL!A:O,15,0)</f>
        <v>84.33</v>
      </c>
      <c r="G67" s="205">
        <f>IF(B67="SINAPI",VLOOKUP(C67,SINAPI!A:D,4,0),(VLOOKUP(C67,SEINFRA!A:D,4,0)))</f>
        <v>9.14</v>
      </c>
      <c r="H67" s="205">
        <f t="shared" ref="H67" si="32">ROUND(G67*$K$3,2)</f>
        <v>12</v>
      </c>
      <c r="I67" s="205">
        <f t="shared" ref="I67" si="33">ROUND(F67*H67,2)</f>
        <v>1011.96</v>
      </c>
    </row>
    <row r="68" spans="1:9" ht="38.25" x14ac:dyDescent="0.2">
      <c r="A68" s="435" t="s">
        <v>39232</v>
      </c>
      <c r="B68" s="512" t="s">
        <v>15</v>
      </c>
      <c r="C68" s="81">
        <v>91834</v>
      </c>
      <c r="D68" s="509" t="str">
        <f>IF(B68="SINAPI",VLOOKUP(C68,SINAPI!A:D,2,0),(VLOOKUP(C68,SEINFRA!A:D,2,0)))</f>
        <v>ELETRODUTO FLEXÍVEL CORRUGADO, PVC, DN 25 MM (3/4"), PARA CIRCUITOS TERMINAIS, INSTALADO EM FORRO - FORNECIMENTO E INSTALAÇÃO. AF_03/2023</v>
      </c>
      <c r="E68" s="78" t="str">
        <f>IF(B68="SINAPI",VLOOKUP(C68,SINAPI!A:D,3,0),(VLOOKUP(C68,SEINFRA!A:D,3,0)))</f>
        <v>M</v>
      </c>
      <c r="F68" s="204">
        <f>VLOOKUP(A68,MEMORIAL!A:O,15,0)</f>
        <v>337.32</v>
      </c>
      <c r="G68" s="205">
        <f>IF(B68="SINAPI",VLOOKUP(C68,SINAPI!A:D,4,0),(VLOOKUP(C68,SEINFRA!A:D,4,0)))</f>
        <v>19.649999999999999</v>
      </c>
      <c r="H68" s="205">
        <f t="shared" ref="H68" si="34">ROUND(G68*$K$3,2)</f>
        <v>25.8</v>
      </c>
      <c r="I68" s="205">
        <f t="shared" ref="I68" si="35">ROUND(F68*H68,2)</f>
        <v>8702.86</v>
      </c>
    </row>
    <row r="69" spans="1:9" ht="38.25" x14ac:dyDescent="0.2">
      <c r="A69" s="435" t="s">
        <v>39233</v>
      </c>
      <c r="B69" s="512" t="s">
        <v>15</v>
      </c>
      <c r="C69" s="81">
        <v>91836</v>
      </c>
      <c r="D69" s="509" t="str">
        <f>IF(B69="SINAPI",VLOOKUP(C69,SINAPI!A:D,2,0),(VLOOKUP(C69,SEINFRA!A:D,2,0)))</f>
        <v>ELETRODUTO FLEXÍVEL CORRUGADO, PVC, DN 32 MM (1"), PARA CIRCUITOS TERMINAIS, INSTALADO EM FORRO - FORNECIMENTO E INSTALAÇÃO. AF_03/2023</v>
      </c>
      <c r="E69" s="78" t="str">
        <f>IF(B69="SINAPI",VLOOKUP(C69,SINAPI!A:D,3,0),(VLOOKUP(C69,SEINFRA!A:D,3,0)))</f>
        <v>M</v>
      </c>
      <c r="F69" s="204">
        <f>VLOOKUP(A69,MEMORIAL!A:O,15,0)</f>
        <v>112.19</v>
      </c>
      <c r="G69" s="205">
        <f>IF(B69="SINAPI",VLOOKUP(C69,SINAPI!A:D,4,0),(VLOOKUP(C69,SEINFRA!A:D,4,0)))</f>
        <v>22.2</v>
      </c>
      <c r="H69" s="205">
        <f t="shared" ref="H69" si="36">ROUND(G69*$K$3,2)</f>
        <v>29.15</v>
      </c>
      <c r="I69" s="205">
        <f t="shared" ref="I69" si="37">ROUND(F69*H69,2)</f>
        <v>3270.34</v>
      </c>
    </row>
    <row r="70" spans="1:9" ht="25.5" x14ac:dyDescent="0.2">
      <c r="A70" s="435" t="s">
        <v>39234</v>
      </c>
      <c r="B70" s="203" t="s">
        <v>25</v>
      </c>
      <c r="C70" s="81" t="s">
        <v>12040</v>
      </c>
      <c r="D70" s="509" t="str">
        <f>IF(B70="SINAPI",VLOOKUP(C70,SINAPI!A:D,2,0),(VLOOKUP(C70,SEINFRA!A:D,2,0)))</f>
        <v>DUTOS FLEXÍVEIS EM PEAD (POLIETILENO DE ALTA DENSIDADE) - D=1 1/4", INCLUSIVE CONEXÕES</v>
      </c>
      <c r="E70" s="78" t="str">
        <f>IF(B70="SINAPI",VLOOKUP(C70,SINAPI!A:D,3,0),(VLOOKUP(C70,SEINFRA!A:D,3,0)))</f>
        <v>M</v>
      </c>
      <c r="F70" s="204">
        <f>VLOOKUP(A70,MEMORIAL!A:O,15,0)</f>
        <v>2.4</v>
      </c>
      <c r="G70" s="205">
        <f>IF(B70="SINAPI",VLOOKUP(C70,SINAPI!A:D,4,0),(VLOOKUP(C70,SEINFRA!A:D,4,0)))</f>
        <v>26.14</v>
      </c>
      <c r="H70" s="205">
        <f t="shared" ref="H70:H71" si="38">ROUND(G70*$K$3,2)</f>
        <v>34.32</v>
      </c>
      <c r="I70" s="205">
        <f t="shared" ref="I70:I71" si="39">ROUND(F70*H70,2)</f>
        <v>82.37</v>
      </c>
    </row>
    <row r="71" spans="1:9" ht="25.5" x14ac:dyDescent="0.2">
      <c r="A71" s="435" t="s">
        <v>47087</v>
      </c>
      <c r="B71" s="203" t="s">
        <v>25</v>
      </c>
      <c r="C71" s="81" t="s">
        <v>12042</v>
      </c>
      <c r="D71" s="509" t="str">
        <f>IF(B71="SINAPI",VLOOKUP(C71,SINAPI!A:D,2,0),(VLOOKUP(C71,SEINFRA!A:D,2,0)))</f>
        <v>DUTOS FLEXÍVEIS EM PEAD (POLIETILENO DE ALTA DENSIDADE) - D=1 1/2", INCLUSIVE CONEXÕES</v>
      </c>
      <c r="E71" s="78" t="str">
        <f>IF(B71="SINAPI",VLOOKUP(C71,SINAPI!A:D,3,0),(VLOOKUP(C71,SEINFRA!A:D,3,0)))</f>
        <v>M</v>
      </c>
      <c r="F71" s="204">
        <f>VLOOKUP(A71,MEMORIAL!A:O,15,0)</f>
        <v>25.75</v>
      </c>
      <c r="G71" s="205">
        <f>IF(B71="SINAPI",VLOOKUP(C71,SINAPI!A:D,4,0),(VLOOKUP(C71,SEINFRA!A:D,4,0)))</f>
        <v>31.12</v>
      </c>
      <c r="H71" s="205">
        <f t="shared" si="38"/>
        <v>40.86</v>
      </c>
      <c r="I71" s="205">
        <f t="shared" si="39"/>
        <v>1052.1500000000001</v>
      </c>
    </row>
    <row r="72" spans="1:9" ht="25.5" x14ac:dyDescent="0.2">
      <c r="A72" s="435" t="s">
        <v>47088</v>
      </c>
      <c r="B72" s="203" t="s">
        <v>25</v>
      </c>
      <c r="C72" s="81" t="s">
        <v>12020</v>
      </c>
      <c r="D72" s="509" t="str">
        <f>IF(B72="SINAPI",VLOOKUP(C72,SINAPI!A:D,2,0),(VLOOKUP(C72,SEINFRA!A:D,2,0)))</f>
        <v>DUTO PERFURADO - PERFILADOS CHAPA DE AÇO (38X38)mm</v>
      </c>
      <c r="E72" s="78" t="str">
        <f>IF(B72="SINAPI",VLOOKUP(C72,SINAPI!A:D,3,0),(VLOOKUP(C72,SEINFRA!A:D,3,0)))</f>
        <v>M</v>
      </c>
      <c r="F72" s="204">
        <f>VLOOKUP(A72,MEMORIAL!A:O,15,0)</f>
        <v>76.599999999999994</v>
      </c>
      <c r="G72" s="205">
        <f>IF(B72="SINAPI",VLOOKUP(C72,SINAPI!A:D,4,0),(VLOOKUP(C72,SEINFRA!A:D,4,0)))</f>
        <v>50.67</v>
      </c>
      <c r="H72" s="205">
        <f t="shared" ref="H72" si="40">ROUND(G72*$K$3,2)</f>
        <v>66.53</v>
      </c>
      <c r="I72" s="205">
        <f t="shared" ref="I72" si="41">ROUND(F72*H72,2)</f>
        <v>5096.2</v>
      </c>
    </row>
    <row r="73" spans="1:9" ht="38.25" x14ac:dyDescent="0.2">
      <c r="A73" s="435" t="s">
        <v>47089</v>
      </c>
      <c r="B73" s="512" t="s">
        <v>15</v>
      </c>
      <c r="C73" s="81">
        <v>97668</v>
      </c>
      <c r="D73" s="509" t="str">
        <f>IF(B73="SINAPI",VLOOKUP(C73,SINAPI!A:D,2,0),(VLOOKUP(C73,SEINFRA!A:D,2,0)))</f>
        <v>ELETRODUTO FLEXÍVEL CORRUGADO, PEAD, DN 63 (2"), PARA REDE ENTERRADA DE DISTRIBUIÇÃO DE ENERGIA ELÉTRICA - FORNECIMENTO E INSTALAÇÃO. AF_12/2021</v>
      </c>
      <c r="E73" s="78" t="str">
        <f>IF(B73="SINAPI",VLOOKUP(C73,SINAPI!A:D,3,0),(VLOOKUP(C73,SEINFRA!A:D,3,0)))</f>
        <v>M</v>
      </c>
      <c r="F73" s="204">
        <f>VLOOKUP(A73,MEMORIAL!A:O,15,0)</f>
        <v>183.61</v>
      </c>
      <c r="G73" s="205">
        <f>IF(B73="SINAPI",VLOOKUP(C73,SINAPI!A:D,4,0),(VLOOKUP(C73,SEINFRA!A:D,4,0)))</f>
        <v>11.59</v>
      </c>
      <c r="H73" s="205">
        <f t="shared" ref="H73" si="42">ROUND(G73*$K$3,2)</f>
        <v>15.22</v>
      </c>
      <c r="I73" s="205">
        <f t="shared" ref="I73" si="43">ROUND(F73*H73,2)</f>
        <v>2794.54</v>
      </c>
    </row>
    <row r="74" spans="1:9" ht="38.25" x14ac:dyDescent="0.2">
      <c r="A74" s="435" t="s">
        <v>47090</v>
      </c>
      <c r="B74" s="512" t="s">
        <v>15</v>
      </c>
      <c r="C74" s="81">
        <v>91924</v>
      </c>
      <c r="D74" s="509" t="str">
        <f>IF(B74="SINAPI",VLOOKUP(C74,SINAPI!A:D,2,0),(VLOOKUP(C74,SEINFRA!A:D,2,0)))</f>
        <v>CABO DE COBRE FLEXÍVEL ISOLADO, 1,5 MM², ANTI-CHAMA 450/750 V, PARA CIRCUITOS TERMINAIS - FORNECIMENTO E INSTALAÇÃO. AF_03/2023</v>
      </c>
      <c r="E74" s="78" t="str">
        <f>IF(B74="SINAPI",VLOOKUP(C74,SINAPI!A:D,3,0),(VLOOKUP(C74,SEINFRA!A:D,3,0)))</f>
        <v>M</v>
      </c>
      <c r="F74" s="204">
        <f>VLOOKUP(A74,MEMORIAL!A:O,15,0)</f>
        <v>1166.3</v>
      </c>
      <c r="G74" s="205">
        <f>IF(B74="SINAPI",VLOOKUP(C74,SINAPI!A:D,4,0),(VLOOKUP(C74,SEINFRA!A:D,4,0)))</f>
        <v>3.05</v>
      </c>
      <c r="H74" s="205">
        <f t="shared" ref="H74" si="44">ROUND(G74*$K$3,2)</f>
        <v>4</v>
      </c>
      <c r="I74" s="205">
        <f t="shared" ref="I74" si="45">ROUND(F74*H74,2)</f>
        <v>4665.2</v>
      </c>
    </row>
    <row r="75" spans="1:9" ht="38.25" x14ac:dyDescent="0.2">
      <c r="A75" s="435" t="s">
        <v>47091</v>
      </c>
      <c r="B75" s="512" t="s">
        <v>15</v>
      </c>
      <c r="C75" s="81">
        <v>91926</v>
      </c>
      <c r="D75" s="509" t="str">
        <f>IF(B75="SINAPI",VLOOKUP(C75,SINAPI!A:D,2,0),(VLOOKUP(C75,SEINFRA!A:D,2,0)))</f>
        <v>CABO DE COBRE FLEXÍVEL ISOLADO, 2,5 MM², ANTI-CHAMA 450/750 V, PARA CIRCUITOS TERMINAIS - FORNECIMENTO E INSTALAÇÃO. AF_03/2023</v>
      </c>
      <c r="E75" s="78" t="str">
        <f>IF(B75="SINAPI",VLOOKUP(C75,SINAPI!A:D,3,0),(VLOOKUP(C75,SEINFRA!A:D,3,0)))</f>
        <v>M</v>
      </c>
      <c r="F75" s="204">
        <f>VLOOKUP(A75,MEMORIAL!A:O,15,0)</f>
        <v>1722.8999999999999</v>
      </c>
      <c r="G75" s="205">
        <f>IF(B75="SINAPI",VLOOKUP(C75,SINAPI!A:D,4,0),(VLOOKUP(C75,SEINFRA!A:D,4,0)))</f>
        <v>4.46</v>
      </c>
      <c r="H75" s="205">
        <f t="shared" ref="H75" si="46">ROUND(G75*$K$3,2)</f>
        <v>5.86</v>
      </c>
      <c r="I75" s="205">
        <f t="shared" ref="I75" si="47">ROUND(F75*H75,2)</f>
        <v>10096.19</v>
      </c>
    </row>
    <row r="76" spans="1:9" ht="38.25" x14ac:dyDescent="0.2">
      <c r="A76" s="435" t="s">
        <v>47092</v>
      </c>
      <c r="B76" s="512" t="s">
        <v>15</v>
      </c>
      <c r="C76" s="81">
        <v>91928</v>
      </c>
      <c r="D76" s="509" t="str">
        <f>IF(B76="SINAPI",VLOOKUP(C76,SINAPI!A:D,2,0),(VLOOKUP(C76,SEINFRA!A:D,2,0)))</f>
        <v>CABO DE COBRE FLEXÍVEL ISOLADO, 4 MM², ANTI-CHAMA 450/750 V, PARA CIRCUITOS TERMINAIS - FORNECIMENTO E INSTALAÇÃO. AF_03/2023</v>
      </c>
      <c r="E76" s="78" t="str">
        <f>IF(B76="SINAPI",VLOOKUP(C76,SINAPI!A:D,3,0),(VLOOKUP(C76,SEINFRA!A:D,3,0)))</f>
        <v>M</v>
      </c>
      <c r="F76" s="204">
        <f>VLOOKUP(A76,MEMORIAL!A:O,15,0)</f>
        <v>919.5</v>
      </c>
      <c r="G76" s="205">
        <f>IF(B76="SINAPI",VLOOKUP(C76,SINAPI!A:D,4,0),(VLOOKUP(C76,SEINFRA!A:D,4,0)))</f>
        <v>6.92</v>
      </c>
      <c r="H76" s="205">
        <f t="shared" ref="H76:H78" si="48">ROUND(G76*$K$3,2)</f>
        <v>9.09</v>
      </c>
      <c r="I76" s="205">
        <f t="shared" ref="I76:I78" si="49">ROUND(F76*H76,2)</f>
        <v>8358.26</v>
      </c>
    </row>
    <row r="77" spans="1:9" ht="38.25" x14ac:dyDescent="0.2">
      <c r="A77" s="435" t="s">
        <v>47093</v>
      </c>
      <c r="B77" s="512" t="s">
        <v>15</v>
      </c>
      <c r="C77" s="81">
        <v>91932</v>
      </c>
      <c r="D77" s="509" t="str">
        <f>IF(B77="SINAPI",VLOOKUP(C77,SINAPI!A:D,2,0),(VLOOKUP(C77,SEINFRA!A:D,2,0)))</f>
        <v>CABO DE COBRE FLEXÍVEL ISOLADO, 10 MM², ANTI-CHAMA 450/750 V, PARA CIRCUITOS TERMINAIS - FORNECIMENTO E INSTALAÇÃO. AF_03/2023</v>
      </c>
      <c r="E77" s="78" t="str">
        <f>IF(B77="SINAPI",VLOOKUP(C77,SINAPI!A:D,3,0),(VLOOKUP(C77,SEINFRA!A:D,3,0)))</f>
        <v>M</v>
      </c>
      <c r="F77" s="204">
        <f>VLOOKUP(A77,MEMORIAL!A:O,15,0)</f>
        <v>1</v>
      </c>
      <c r="G77" s="205">
        <f>IF(B77="SINAPI",VLOOKUP(C77,SINAPI!A:D,4,0),(VLOOKUP(C77,SEINFRA!A:D,4,0)))</f>
        <v>17.420000000000002</v>
      </c>
      <c r="H77" s="205">
        <f t="shared" si="48"/>
        <v>22.87</v>
      </c>
      <c r="I77" s="205">
        <f t="shared" si="49"/>
        <v>22.87</v>
      </c>
    </row>
    <row r="78" spans="1:9" ht="38.25" x14ac:dyDescent="0.2">
      <c r="A78" s="435" t="s">
        <v>47423</v>
      </c>
      <c r="B78" s="512" t="s">
        <v>15</v>
      </c>
      <c r="C78" s="81">
        <v>91934</v>
      </c>
      <c r="D78" s="509" t="str">
        <f>IF(B78="SINAPI",VLOOKUP(C78,SINAPI!A:D,2,0),(VLOOKUP(C78,SEINFRA!A:D,2,0)))</f>
        <v>CABO DE COBRE FLEXÍVEL ISOLADO, 16 MM², ANTI-CHAMA 450/750 V, PARA CIRCUITOS TERMINAIS - FORNECIMENTO E INSTALAÇÃO. AF_03/2023</v>
      </c>
      <c r="E78" s="78" t="str">
        <f>IF(B78="SINAPI",VLOOKUP(C78,SINAPI!A:D,3,0),(VLOOKUP(C78,SEINFRA!A:D,3,0)))</f>
        <v>M</v>
      </c>
      <c r="F78" s="204">
        <f>VLOOKUP(A78,MEMORIAL!A:O,15,0)</f>
        <v>162.21</v>
      </c>
      <c r="G78" s="205">
        <f>IF(B78="SINAPI",VLOOKUP(C78,SINAPI!A:D,4,0),(VLOOKUP(C78,SEINFRA!A:D,4,0)))</f>
        <v>25.15</v>
      </c>
      <c r="H78" s="205">
        <f t="shared" si="48"/>
        <v>33.020000000000003</v>
      </c>
      <c r="I78" s="205">
        <f t="shared" si="49"/>
        <v>5356.17</v>
      </c>
    </row>
    <row r="79" spans="1:9" ht="51" x14ac:dyDescent="0.2">
      <c r="A79" s="435" t="s">
        <v>47424</v>
      </c>
      <c r="B79" s="512" t="s">
        <v>15</v>
      </c>
      <c r="C79" s="81">
        <v>92986</v>
      </c>
      <c r="D79" s="509" t="str">
        <f>IF(B79="SINAPI",VLOOKUP(C79,SINAPI!A:D,2,0),(VLOOKUP(C79,SEINFRA!A:D,2,0)))</f>
        <v>CABO DE COBRE FLEXÍVEL ISOLADO, 35 MM², ANTI-CHAMA 0,6/1,0 KV, PARA REDE ENTERRADA DE DISTRIBUIÇÃO DE ENERGIA ELÉTRICA - FORNECIMENTO E INSTALAÇÃO. AF_12/2021</v>
      </c>
      <c r="E79" s="78" t="str">
        <f>IF(B79="SINAPI",VLOOKUP(C79,SINAPI!A:D,3,0),(VLOOKUP(C79,SEINFRA!A:D,3,0)))</f>
        <v>M</v>
      </c>
      <c r="F79" s="204">
        <f>VLOOKUP(A79,MEMORIAL!A:O,15,0)</f>
        <v>648.84</v>
      </c>
      <c r="G79" s="205">
        <f>IF(B79="SINAPI",VLOOKUP(C79,SINAPI!A:D,4,0),(VLOOKUP(C79,SEINFRA!A:D,4,0)))</f>
        <v>40.369999999999997</v>
      </c>
      <c r="H79" s="205">
        <f t="shared" ref="H79" si="50">ROUND(G79*$K$3,2)</f>
        <v>53.01</v>
      </c>
      <c r="I79" s="205">
        <f t="shared" ref="I79" si="51">ROUND(F79*H79,2)</f>
        <v>34395.01</v>
      </c>
    </row>
    <row r="80" spans="1:9" x14ac:dyDescent="0.2">
      <c r="A80" s="435"/>
      <c r="B80" s="424"/>
      <c r="C80" s="81"/>
      <c r="D80" s="426"/>
      <c r="E80" s="425"/>
      <c r="F80" s="427"/>
      <c r="G80" s="427"/>
      <c r="H80" s="427"/>
      <c r="I80" s="428"/>
    </row>
    <row r="81" spans="1:9" x14ac:dyDescent="0.2">
      <c r="A81" s="418" t="s">
        <v>39235</v>
      </c>
      <c r="B81" s="419"/>
      <c r="C81" s="420"/>
      <c r="D81" s="421" t="s">
        <v>47078</v>
      </c>
      <c r="E81" s="420"/>
      <c r="F81" s="422"/>
      <c r="G81" s="422"/>
      <c r="H81" s="422"/>
      <c r="I81" s="314">
        <f>ROUND(SUM(I82:I93),2)</f>
        <v>8798.2800000000007</v>
      </c>
    </row>
    <row r="82" spans="1:9" ht="26.25" customHeight="1" x14ac:dyDescent="0.2">
      <c r="A82" s="435" t="s">
        <v>39236</v>
      </c>
      <c r="B82" s="436"/>
      <c r="C82" s="81" t="str">
        <f>'COMP.02_CAIXA.01'!A19</f>
        <v>COMP. 02</v>
      </c>
      <c r="D82" s="201" t="str">
        <f>'COMP.02_CAIXA.01'!B19</f>
        <v>CAIXA DE EMBUTIR PVC - 4X2 RETANGULAR - FORNECIMENTO E INSTALAÇÃO</v>
      </c>
      <c r="E82" s="78" t="str">
        <f>'COMP.02_CAIXA.01'!G19</f>
        <v>UN</v>
      </c>
      <c r="F82" s="204">
        <f>VLOOKUP(A82,MEMORIAL!A:O,15,0)</f>
        <v>12</v>
      </c>
      <c r="G82" s="510">
        <f>'COMP.02_CAIXA.01'!G32</f>
        <v>9.94</v>
      </c>
      <c r="H82" s="510">
        <f t="shared" ref="H82" si="52">ROUND(G82*$K$3,2)</f>
        <v>13.05</v>
      </c>
      <c r="I82" s="510">
        <f t="shared" ref="I82" si="53">ROUND(F82*H82,2)</f>
        <v>156.6</v>
      </c>
    </row>
    <row r="83" spans="1:9" ht="25.5" x14ac:dyDescent="0.2">
      <c r="A83" s="435" t="s">
        <v>39237</v>
      </c>
      <c r="B83" s="511"/>
      <c r="C83" s="81" t="str">
        <f>'COMP.03_CAIXA.02'!A19</f>
        <v>COMP. 03</v>
      </c>
      <c r="D83" s="509" t="str">
        <f>'COMP.03_CAIXA.02'!B19</f>
        <v>CAIXA DE EMBUTIR PVC - 4X4 OCTOGONAL - FORNECIMENTO E INSTALAÇÃO</v>
      </c>
      <c r="E83" s="78" t="str">
        <f>'COMP.03_CAIXA.02'!G19</f>
        <v>UN</v>
      </c>
      <c r="F83" s="204">
        <f>VLOOKUP(A83,MEMORIAL!A:O,15,0)</f>
        <v>49</v>
      </c>
      <c r="G83" s="510">
        <f>'COMP.03_CAIXA.02'!G32</f>
        <v>12.07</v>
      </c>
      <c r="H83" s="510">
        <f t="shared" ref="H83" si="54">ROUND(G83*$K$3,2)</f>
        <v>15.85</v>
      </c>
      <c r="I83" s="510">
        <f t="shared" ref="I83" si="55">ROUND(F83*H83,2)</f>
        <v>776.65</v>
      </c>
    </row>
    <row r="84" spans="1:9" ht="29.25" customHeight="1" x14ac:dyDescent="0.2">
      <c r="A84" s="435" t="s">
        <v>47094</v>
      </c>
      <c r="B84" s="511"/>
      <c r="C84" s="81" t="str">
        <f>'COMP.04_CAIXA.03'!A19</f>
        <v>COMP. 04</v>
      </c>
      <c r="D84" s="509" t="str">
        <f>'COMP.04_CAIXA.03'!B19</f>
        <v>CAIXA PASSAG. CHAPA C/TAMPA PARAF. 100X100X80MM - FORNECIMENTO E INSTALAÇÃO</v>
      </c>
      <c r="E84" s="78" t="str">
        <f>'COMP.04_CAIXA.03'!G19</f>
        <v>UN</v>
      </c>
      <c r="F84" s="204">
        <f>VLOOKUP(A84,MEMORIAL!A:O,15,0)</f>
        <v>13</v>
      </c>
      <c r="G84" s="510">
        <f>'COMP.04_CAIXA.03'!G32</f>
        <v>18.78</v>
      </c>
      <c r="H84" s="510">
        <f t="shared" ref="H84" si="56">ROUND(G84*$K$3,2)</f>
        <v>24.66</v>
      </c>
      <c r="I84" s="510">
        <f t="shared" ref="I84" si="57">ROUND(F84*H84,2)</f>
        <v>320.58</v>
      </c>
    </row>
    <row r="85" spans="1:9" ht="32.25" customHeight="1" x14ac:dyDescent="0.2">
      <c r="A85" s="435" t="s">
        <v>47095</v>
      </c>
      <c r="B85" s="511"/>
      <c r="C85" s="81" t="str">
        <f>'COMP.05_CAIXA.04'!A19</f>
        <v>COMP. 05</v>
      </c>
      <c r="D85" s="509" t="str">
        <f>'COMP.05_CAIXA.04'!B19</f>
        <v>CAIXA PASSAG. CHAPA C/TAMPA PARAF. 200X200X100MM - FORNECIMENTO E INSTALAÇÃO</v>
      </c>
      <c r="E85" s="78" t="str">
        <f>'COMP.05_CAIXA.04'!G19</f>
        <v>UN</v>
      </c>
      <c r="F85" s="204">
        <f>VLOOKUP(A85,MEMORIAL!A:O,15,0)</f>
        <v>11</v>
      </c>
      <c r="G85" s="510">
        <f>'COMP.05_CAIXA.04'!G32</f>
        <v>36.42</v>
      </c>
      <c r="H85" s="510">
        <f t="shared" ref="H85:H86" si="58">ROUND(G85*$K$3,2)</f>
        <v>47.82</v>
      </c>
      <c r="I85" s="510">
        <f t="shared" ref="I85:I86" si="59">ROUND(F85*H85,2)</f>
        <v>526.02</v>
      </c>
    </row>
    <row r="86" spans="1:9" ht="50.1" customHeight="1" x14ac:dyDescent="0.2">
      <c r="A86" s="435" t="s">
        <v>47096</v>
      </c>
      <c r="B86" s="512" t="s">
        <v>15</v>
      </c>
      <c r="C86" s="81">
        <v>97891</v>
      </c>
      <c r="D86" s="509" t="str">
        <f>IF(B86="SINAPI",VLOOKUP(C86,SINAPI!A:D,2,0),(VLOOKUP(C86,SEINFRA!A:D,2,0)))</f>
        <v>CAIXA ENTERRADA ELÉTRICA RETANGULAR, EM ALVENARIA COM BLOCOS DE CONCRETO, FUNDO COM BRITA, DIMENSÕES INTERNAS: 0,4X0,4X0,4 M. AF_12/2020</v>
      </c>
      <c r="E86" s="78" t="str">
        <f>IF(B86="SINAPI",VLOOKUP(C86,SINAPI!A:D,3,0),(VLOOKUP(C86,SEINFRA!A:D,3,0)))</f>
        <v>UN</v>
      </c>
      <c r="F86" s="204">
        <f>VLOOKUP(A86,MEMORIAL!A:O,15,0)</f>
        <v>9</v>
      </c>
      <c r="G86" s="205">
        <f>IF(B86="SINAPI",VLOOKUP(C86,SINAPI!A:D,4,0),(VLOOKUP(C86,SEINFRA!A:D,4,0)))</f>
        <v>204.78</v>
      </c>
      <c r="H86" s="205">
        <f t="shared" si="58"/>
        <v>268.89999999999998</v>
      </c>
      <c r="I86" s="205">
        <f t="shared" si="59"/>
        <v>2420.1</v>
      </c>
    </row>
    <row r="87" spans="1:9" ht="38.25" x14ac:dyDescent="0.2">
      <c r="A87" s="435" t="s">
        <v>47097</v>
      </c>
      <c r="B87" s="512" t="s">
        <v>15</v>
      </c>
      <c r="C87" s="81">
        <v>91953</v>
      </c>
      <c r="D87" s="509" t="str">
        <f>IF(B87="SINAPI",VLOOKUP(C87,SINAPI!A:D,2,0),(VLOOKUP(C87,SEINFRA!A:D,2,0)))</f>
        <v>INTERRUPTOR SIMPLES (1 MÓDULO), 10A/250V, INCLUINDO SUPORTE E PLACA - FORNECIMENTO E INSTALAÇÃO. AF_03/2023</v>
      </c>
      <c r="E87" s="78" t="str">
        <f>IF(B87="SINAPI",VLOOKUP(C87,SINAPI!A:D,3,0),(VLOOKUP(C87,SEINFRA!A:D,3,0)))</f>
        <v>UN</v>
      </c>
      <c r="F87" s="204">
        <f>VLOOKUP(A87,MEMORIAL!A:O,15,0)</f>
        <v>5</v>
      </c>
      <c r="G87" s="205">
        <f>IF(B87="SINAPI",VLOOKUP(C87,SINAPI!A:D,4,0),(VLOOKUP(C87,SEINFRA!A:D,4,0)))</f>
        <v>28.8</v>
      </c>
      <c r="H87" s="205">
        <f t="shared" ref="H87" si="60">ROUND(G87*$K$3,2)</f>
        <v>37.82</v>
      </c>
      <c r="I87" s="205">
        <f t="shared" ref="I87" si="61">ROUND(F87*H87,2)</f>
        <v>189.1</v>
      </c>
    </row>
    <row r="88" spans="1:9" ht="38.25" x14ac:dyDescent="0.2">
      <c r="A88" s="435" t="s">
        <v>47098</v>
      </c>
      <c r="B88" s="512" t="s">
        <v>15</v>
      </c>
      <c r="C88" s="81">
        <v>91959</v>
      </c>
      <c r="D88" s="509" t="str">
        <f>IF(B88="SINAPI",VLOOKUP(C88,SINAPI!A:D,2,0),(VLOOKUP(C88,SEINFRA!A:D,2,0)))</f>
        <v>INTERRUPTOR SIMPLES (2 MÓDULOS), 10A/250V, INCLUINDO SUPORTE E PLACA - FORNECIMENTO E INSTALAÇÃO. AF_03/2023</v>
      </c>
      <c r="E88" s="78" t="str">
        <f>IF(B88="SINAPI",VLOOKUP(C88,SINAPI!A:D,3,0),(VLOOKUP(C88,SEINFRA!A:D,3,0)))</f>
        <v>UN</v>
      </c>
      <c r="F88" s="204">
        <f>VLOOKUP(A88,MEMORIAL!A:O,15,0)</f>
        <v>4</v>
      </c>
      <c r="G88" s="205">
        <f>IF(B88="SINAPI",VLOOKUP(C88,SINAPI!A:D,4,0),(VLOOKUP(C88,SEINFRA!A:D,4,0)))</f>
        <v>43.86</v>
      </c>
      <c r="H88" s="205">
        <f t="shared" ref="H88" si="62">ROUND(G88*$K$3,2)</f>
        <v>57.59</v>
      </c>
      <c r="I88" s="205">
        <f t="shared" ref="I88" si="63">ROUND(F88*H88,2)</f>
        <v>230.36</v>
      </c>
    </row>
    <row r="89" spans="1:9" ht="38.25" x14ac:dyDescent="0.2">
      <c r="A89" s="435" t="s">
        <v>47099</v>
      </c>
      <c r="B89" s="512" t="s">
        <v>15</v>
      </c>
      <c r="C89" s="81">
        <v>91967</v>
      </c>
      <c r="D89" s="509" t="str">
        <f>IF(B89="SINAPI",VLOOKUP(C89,SINAPI!A:D,2,0),(VLOOKUP(C89,SEINFRA!A:D,2,0)))</f>
        <v>INTERRUPTOR SIMPLES (3 MÓDULOS), 10A/250V, INCLUINDO SUPORTE E PLACA - FORNECIMENTO E INSTALAÇÃO. AF_03/2023</v>
      </c>
      <c r="E89" s="78" t="str">
        <f>IF(B89="SINAPI",VLOOKUP(C89,SINAPI!A:D,3,0),(VLOOKUP(C89,SEINFRA!A:D,3,0)))</f>
        <v>UN</v>
      </c>
      <c r="F89" s="204">
        <f>VLOOKUP(A89,MEMORIAL!A:O,15,0)</f>
        <v>5</v>
      </c>
      <c r="G89" s="205">
        <f>IF(B89="SINAPI",VLOOKUP(C89,SINAPI!A:D,4,0),(VLOOKUP(C89,SEINFRA!A:D,4,0)))</f>
        <v>58.93</v>
      </c>
      <c r="H89" s="205">
        <f t="shared" ref="H89" si="64">ROUND(G89*$K$3,2)</f>
        <v>77.38</v>
      </c>
      <c r="I89" s="205">
        <f t="shared" ref="I89" si="65">ROUND(F89*H89,2)</f>
        <v>386.9</v>
      </c>
    </row>
    <row r="90" spans="1:9" ht="38.25" x14ac:dyDescent="0.2">
      <c r="A90" s="435" t="s">
        <v>47100</v>
      </c>
      <c r="B90" s="512" t="s">
        <v>15</v>
      </c>
      <c r="C90" s="81">
        <v>92000</v>
      </c>
      <c r="D90" s="509" t="str">
        <f>IF(B90="SINAPI",VLOOKUP(C90,SINAPI!A:D,2,0),(VLOOKUP(C90,SEINFRA!A:D,2,0)))</f>
        <v>TOMADA BAIXA DE EMBUTIR (1 MÓDULO), 2P+T 10 A, INCLUINDO SUPORTE E PLACA - FORNECIMENTO E INSTALAÇÃO. AF_03/2023</v>
      </c>
      <c r="E90" s="78" t="str">
        <f>IF(B90="SINAPI",VLOOKUP(C90,SINAPI!A:D,3,0),(VLOOKUP(C90,SEINFRA!A:D,3,0)))</f>
        <v>UN</v>
      </c>
      <c r="F90" s="204">
        <f>VLOOKUP(A90,MEMORIAL!A:O,15,0)</f>
        <v>2</v>
      </c>
      <c r="G90" s="205">
        <f>IF(B90="SINAPI",VLOOKUP(C90,SINAPI!A:D,4,0),(VLOOKUP(C90,SEINFRA!A:D,4,0)))</f>
        <v>30.2</v>
      </c>
      <c r="H90" s="205">
        <f t="shared" ref="H90" si="66">ROUND(G90*$K$3,2)</f>
        <v>39.659999999999997</v>
      </c>
      <c r="I90" s="205">
        <f t="shared" ref="I90" si="67">ROUND(F90*H90,2)</f>
        <v>79.319999999999993</v>
      </c>
    </row>
    <row r="91" spans="1:9" ht="38.25" x14ac:dyDescent="0.2">
      <c r="A91" s="435" t="s">
        <v>47115</v>
      </c>
      <c r="B91" s="512" t="s">
        <v>15</v>
      </c>
      <c r="C91" s="81">
        <v>92004</v>
      </c>
      <c r="D91" s="509" t="str">
        <f>IF(B91="SINAPI",VLOOKUP(C91,SINAPI!A:D,2,0),(VLOOKUP(C91,SEINFRA!A:D,2,0)))</f>
        <v>TOMADA MÉDIA DE EMBUTIR (2 MÓDULOS), 2P+T 10 A, INCLUINDO SUPORTE E PLACA - FORNECIMENTO E INSTALAÇÃO. AF_03/2023</v>
      </c>
      <c r="E91" s="78" t="str">
        <f>IF(B91="SINAPI",VLOOKUP(C91,SINAPI!A:D,3,0),(VLOOKUP(C91,SEINFRA!A:D,3,0)))</f>
        <v>UN</v>
      </c>
      <c r="F91" s="204">
        <f>VLOOKUP(A91,MEMORIAL!A:O,15,0)</f>
        <v>40</v>
      </c>
      <c r="G91" s="205">
        <f>IF(B91="SINAPI",VLOOKUP(C91,SINAPI!A:D,4,0),(VLOOKUP(C91,SEINFRA!A:D,4,0)))</f>
        <v>54.26</v>
      </c>
      <c r="H91" s="205">
        <f t="shared" ref="H91" si="68">ROUND(G91*$K$3,2)</f>
        <v>71.25</v>
      </c>
      <c r="I91" s="205">
        <f t="shared" ref="I91" si="69">ROUND(F91*H91,2)</f>
        <v>2850</v>
      </c>
    </row>
    <row r="92" spans="1:9" ht="38.25" x14ac:dyDescent="0.2">
      <c r="A92" s="435" t="s">
        <v>47422</v>
      </c>
      <c r="B92" s="512" t="s">
        <v>15</v>
      </c>
      <c r="C92" s="81">
        <v>91992</v>
      </c>
      <c r="D92" s="509" t="str">
        <f>IF(B92="SINAPI",VLOOKUP(C92,SINAPI!A:D,2,0),(VLOOKUP(C92,SEINFRA!A:D,2,0)))</f>
        <v>TOMADA ALTA DE EMBUTIR (1 MÓDULO), 2P+T 10 A, INCLUINDO SUPORTE E PLACA - FORNECIMENTO E INSTALAÇÃO. AF_03/2023</v>
      </c>
      <c r="E92" s="78" t="str">
        <f>IF(B92="SINAPI",VLOOKUP(C92,SINAPI!A:D,3,0),(VLOOKUP(C92,SEINFRA!A:D,3,0)))</f>
        <v>UN</v>
      </c>
      <c r="F92" s="204">
        <f>VLOOKUP(A92,MEMORIAL!A:O,15,0)</f>
        <v>15</v>
      </c>
      <c r="G92" s="205">
        <f>IF(B92="SINAPI",VLOOKUP(C92,SINAPI!A:D,4,0),(VLOOKUP(C92,SEINFRA!A:D,4,0)))</f>
        <v>43.8</v>
      </c>
      <c r="H92" s="205">
        <f t="shared" ref="H92" si="70">ROUND(G92*$K$3,2)</f>
        <v>57.51</v>
      </c>
      <c r="I92" s="205">
        <f t="shared" ref="I92" si="71">ROUND(F92*H92,2)</f>
        <v>862.65</v>
      </c>
    </row>
    <row r="93" spans="1:9" x14ac:dyDescent="0.2">
      <c r="A93" s="435"/>
      <c r="B93" s="424"/>
      <c r="C93" s="81"/>
      <c r="D93" s="426"/>
      <c r="E93" s="425"/>
      <c r="F93" s="427"/>
      <c r="G93" s="427"/>
      <c r="H93" s="427"/>
      <c r="I93" s="428"/>
    </row>
    <row r="94" spans="1:9" x14ac:dyDescent="0.2">
      <c r="A94" s="418" t="s">
        <v>39238</v>
      </c>
      <c r="B94" s="419"/>
      <c r="C94" s="420"/>
      <c r="D94" s="421" t="s">
        <v>47079</v>
      </c>
      <c r="E94" s="420"/>
      <c r="F94" s="422"/>
      <c r="G94" s="423"/>
      <c r="H94" s="422"/>
      <c r="I94" s="314">
        <f>ROUND(SUM(I95:I99),2)</f>
        <v>12410.93</v>
      </c>
    </row>
    <row r="95" spans="1:9" ht="76.5" x14ac:dyDescent="0.2">
      <c r="A95" s="435" t="s">
        <v>39239</v>
      </c>
      <c r="B95" s="203" t="s">
        <v>25</v>
      </c>
      <c r="C95" s="206" t="s">
        <v>12906</v>
      </c>
      <c r="D95" s="509" t="str">
        <f>IF(B95="SINAPI",VLOOKUP(C95,SINAPI!A:D,2,0),(VLOOKUP(C95,SEINFRA!A:D,2,0)))</f>
        <v>LUMINÁRIA DE EMBUTIR CILÍNDRICA COM CORPO EM CHAPA DE AÇO FOSFATIZADA E PINTADA ELETROSTATICAMENTE E REFLETOR REPUXADO EM ALUMÍNIO ANODIZADO, COM VIDRO JATEADO CENTRAL PARA DUAS LÂMPADAS FLUORESCENTES COMPACTAS 20W, COMPLETA</v>
      </c>
      <c r="E95" s="78" t="str">
        <f>IF(B95="SINAPI",VLOOKUP(C95,SINAPI!A:D,3,0),(VLOOKUP(C95,SEINFRA!A:D,3,0)))</f>
        <v>UN</v>
      </c>
      <c r="F95" s="204">
        <f>VLOOKUP(A95,MEMORIAL!A:O,15,0)</f>
        <v>49</v>
      </c>
      <c r="G95" s="205">
        <f>IF(B95="SINAPI",VLOOKUP(C95,SINAPI!A:D,4,0),(VLOOKUP(C95,SEINFRA!A:D,4,0)))</f>
        <v>168.36</v>
      </c>
      <c r="H95" s="205">
        <f t="shared" ref="H95:H96" si="72">ROUND(G95*$K$3,2)</f>
        <v>221.07</v>
      </c>
      <c r="I95" s="205">
        <f t="shared" ref="I95:I96" si="73">ROUND(F95*H95,2)</f>
        <v>10832.43</v>
      </c>
    </row>
    <row r="96" spans="1:9" ht="25.5" x14ac:dyDescent="0.2">
      <c r="A96" s="435" t="s">
        <v>39240</v>
      </c>
      <c r="B96" s="203"/>
      <c r="C96" s="206" t="str">
        <f>'COMP.06_REF.50W'!A19</f>
        <v>COMP. 06</v>
      </c>
      <c r="D96" s="509" t="str">
        <f>'COMP.06_REF.50W'!B19</f>
        <v>LUMINARIA LED REFLETOR RETANGULAR BIVOLT, LUZ BRANCA, 50 W - FORNECIMENTO E INSTALAÇÃO</v>
      </c>
      <c r="E96" s="78" t="str">
        <f>'COMP.06_REF.50W'!G19</f>
        <v>UN</v>
      </c>
      <c r="F96" s="204">
        <f>VLOOKUP(A96,MEMORIAL!A:O,15,0)</f>
        <v>12</v>
      </c>
      <c r="G96" s="205">
        <f>'COMP.06_REF.50W'!G32</f>
        <v>51.67</v>
      </c>
      <c r="H96" s="205">
        <f t="shared" si="72"/>
        <v>67.849999999999994</v>
      </c>
      <c r="I96" s="205">
        <f t="shared" si="73"/>
        <v>814.2</v>
      </c>
    </row>
    <row r="97" spans="1:9" ht="25.5" x14ac:dyDescent="0.2">
      <c r="A97" s="435" t="s">
        <v>39241</v>
      </c>
      <c r="B97" s="436"/>
      <c r="C97" s="81" t="str">
        <f>'COMP.07_LED.18W'!A19</f>
        <v>COMP. 07</v>
      </c>
      <c r="D97" s="201" t="str">
        <f>'COMP.07_LED.18W'!B19</f>
        <v>LUMINÁRIA TIPO PLAFON REDONDA, DE EMBUTIR, COM LED DE 18 W - FORNECIMENTO E INSTALAÇÃO</v>
      </c>
      <c r="E97" s="81" t="str">
        <f>'COMP.07_LED.18W'!G19</f>
        <v>UN</v>
      </c>
      <c r="F97" s="204">
        <f>VLOOKUP(A97,MEMORIAL!A:O,15,0)</f>
        <v>5</v>
      </c>
      <c r="G97" s="438">
        <f>'COMP.07_LED.18W'!G32</f>
        <v>64.209999999999994</v>
      </c>
      <c r="H97" s="205">
        <f t="shared" ref="H97:H98" si="74">ROUND(G97*$K$3,2)</f>
        <v>84.31</v>
      </c>
      <c r="I97" s="205">
        <f t="shared" ref="I97:I98" si="75">ROUND(F97*H97,2)</f>
        <v>421.55</v>
      </c>
    </row>
    <row r="98" spans="1:9" ht="38.25" x14ac:dyDescent="0.2">
      <c r="A98" s="435" t="s">
        <v>39242</v>
      </c>
      <c r="B98" s="508" t="s">
        <v>15</v>
      </c>
      <c r="C98" s="81">
        <v>97599</v>
      </c>
      <c r="D98" s="509" t="str">
        <f>IF(B98="SINAPI",VLOOKUP(C98,SINAPI!A:D,2,0),(VLOOKUP(C98,SEINFRA!A:D,2,0)))</f>
        <v>LUMINÁRIA DE EMERGÊNCIA, COM 30 LÂMPADAS LED DE 2 W, SEM REATOR - FORNECIMENTO E INSTALAÇÃO. AF_09/2024</v>
      </c>
      <c r="E98" s="78" t="str">
        <f>IF(B98="SINAPI",VLOOKUP(C98,SINAPI!A:D,3,0),(VLOOKUP(C98,SEINFRA!A:D,3,0)))</f>
        <v>UN</v>
      </c>
      <c r="F98" s="204">
        <f>VLOOKUP(A98,MEMORIAL!A:O,15,0)</f>
        <v>15</v>
      </c>
      <c r="G98" s="205">
        <f>IF(B98="SINAPI",VLOOKUP(C98,SINAPI!A:D,4,0),(VLOOKUP(C98,SEINFRA!A:D,4,0)))</f>
        <v>17.399999999999999</v>
      </c>
      <c r="H98" s="205">
        <f t="shared" si="74"/>
        <v>22.85</v>
      </c>
      <c r="I98" s="205">
        <f t="shared" si="75"/>
        <v>342.75</v>
      </c>
    </row>
    <row r="99" spans="1:9" x14ac:dyDescent="0.2">
      <c r="A99" s="435"/>
      <c r="B99" s="436"/>
      <c r="C99" s="81"/>
      <c r="D99" s="201"/>
      <c r="E99" s="81"/>
      <c r="F99" s="437"/>
      <c r="G99" s="438"/>
      <c r="H99" s="437"/>
      <c r="I99" s="438"/>
    </row>
    <row r="100" spans="1:9" x14ac:dyDescent="0.2">
      <c r="A100" s="418" t="s">
        <v>47101</v>
      </c>
      <c r="B100" s="419"/>
      <c r="C100" s="420"/>
      <c r="D100" s="421" t="s">
        <v>47080</v>
      </c>
      <c r="E100" s="420"/>
      <c r="F100" s="422"/>
      <c r="G100" s="422"/>
      <c r="H100" s="422"/>
      <c r="I100" s="314">
        <f>ROUND(SUM(I101:I109),2)</f>
        <v>5912.63</v>
      </c>
    </row>
    <row r="101" spans="1:9" ht="51" x14ac:dyDescent="0.2">
      <c r="A101" s="435" t="s">
        <v>47102</v>
      </c>
      <c r="B101" s="508" t="s">
        <v>15</v>
      </c>
      <c r="C101" s="81">
        <v>101881</v>
      </c>
      <c r="D101" s="509" t="str">
        <f>IF(B101="SINAPI",VLOOKUP(C101,SINAPI!A:D,2,0),(VLOOKUP(C101,SEINFRA!A:D,2,0)))</f>
        <v>QUADRO DE DISTRIBUIÇÃO DE ENERGIA EM CHAPA DE AÇO GALVANIZADO, DE EMBUTIR, COM BARRAMENTO TRIFÁSICO, PARA 40 DISJUNTORES DIN 100A - FORNECIMENTO E INSTALAÇÃO. AF_10/2020</v>
      </c>
      <c r="E101" s="78" t="str">
        <f>IF(B101="SINAPI",VLOOKUP(C101,SINAPI!A:D,3,0),(VLOOKUP(C101,SEINFRA!A:D,3,0)))</f>
        <v>UN</v>
      </c>
      <c r="F101" s="204">
        <f>VLOOKUP(A101,MEMORIAL!A:O,15,0)</f>
        <v>2</v>
      </c>
      <c r="G101" s="205">
        <f>IF(B101="SINAPI",VLOOKUP(C101,SINAPI!A:D,4,0),(VLOOKUP(C101,SEINFRA!A:D,4,0)))</f>
        <v>850.84</v>
      </c>
      <c r="H101" s="205">
        <f t="shared" ref="H101" si="76">ROUND(G101*$K$3,2)</f>
        <v>1117.24</v>
      </c>
      <c r="I101" s="205">
        <f t="shared" ref="I101" si="77">ROUND(F101*H101,2)</f>
        <v>2234.48</v>
      </c>
    </row>
    <row r="102" spans="1:9" ht="25.5" x14ac:dyDescent="0.2">
      <c r="A102" s="435" t="s">
        <v>47103</v>
      </c>
      <c r="B102" s="508" t="s">
        <v>15</v>
      </c>
      <c r="C102" s="81">
        <v>93653</v>
      </c>
      <c r="D102" s="509" t="str">
        <f>IF(B102="SINAPI",VLOOKUP(C102,SINAPI!A:D,2,0),(VLOOKUP(C102,SEINFRA!A:D,2,0)))</f>
        <v>DISJUNTOR MONOPOLAR TIPO DIN, CORRENTE NOMINAL DE 10A - FORNECIMENTO E INSTALAÇÃO. AF_10/2020</v>
      </c>
      <c r="E102" s="78" t="str">
        <f>IF(B102="SINAPI",VLOOKUP(C102,SINAPI!A:D,3,0),(VLOOKUP(C102,SEINFRA!A:D,3,0)))</f>
        <v>UN</v>
      </c>
      <c r="F102" s="204">
        <f>VLOOKUP(A102,MEMORIAL!A:O,15,0)</f>
        <v>20</v>
      </c>
      <c r="G102" s="205">
        <f>IF(B102="SINAPI",VLOOKUP(C102,SINAPI!A:D,4,0),(VLOOKUP(C102,SEINFRA!A:D,4,0)))</f>
        <v>11.79</v>
      </c>
      <c r="H102" s="205">
        <f t="shared" ref="H102:H103" si="78">ROUND(G102*$K$3,2)</f>
        <v>15.48</v>
      </c>
      <c r="I102" s="205">
        <f t="shared" ref="I102:I103" si="79">ROUND(F102*H102,2)</f>
        <v>309.60000000000002</v>
      </c>
    </row>
    <row r="103" spans="1:9" ht="25.5" x14ac:dyDescent="0.2">
      <c r="A103" s="435" t="s">
        <v>47104</v>
      </c>
      <c r="B103" s="508" t="s">
        <v>15</v>
      </c>
      <c r="C103" s="81">
        <v>93654</v>
      </c>
      <c r="D103" s="509" t="str">
        <f>IF(B103="SINAPI",VLOOKUP(C103,SINAPI!A:D,2,0),(VLOOKUP(C103,SEINFRA!A:D,2,0)))</f>
        <v>DISJUNTOR MONOPOLAR TIPO DIN, CORRENTE NOMINAL DE 16A - FORNECIMENTO E INSTALAÇÃO. AF_10/2020</v>
      </c>
      <c r="E103" s="78" t="str">
        <f>IF(B103="SINAPI",VLOOKUP(C103,SINAPI!A:D,3,0),(VLOOKUP(C103,SEINFRA!A:D,3,0)))</f>
        <v>UN</v>
      </c>
      <c r="F103" s="204">
        <f>VLOOKUP(A103,MEMORIAL!A:O,15,0)</f>
        <v>12</v>
      </c>
      <c r="G103" s="205">
        <f>IF(B103="SINAPI",VLOOKUP(C103,SINAPI!A:D,4,0),(VLOOKUP(C103,SEINFRA!A:D,4,0)))</f>
        <v>12.41</v>
      </c>
      <c r="H103" s="205">
        <f t="shared" si="78"/>
        <v>16.3</v>
      </c>
      <c r="I103" s="205">
        <f t="shared" si="79"/>
        <v>195.6</v>
      </c>
    </row>
    <row r="104" spans="1:9" ht="25.5" x14ac:dyDescent="0.2">
      <c r="A104" s="435" t="s">
        <v>47105</v>
      </c>
      <c r="B104" s="508" t="s">
        <v>15</v>
      </c>
      <c r="C104" s="81">
        <v>93673</v>
      </c>
      <c r="D104" s="509" t="str">
        <f>IF(B104="SINAPI",VLOOKUP(C104,SINAPI!A:D,2,0),(VLOOKUP(C104,SEINFRA!A:D,2,0)))</f>
        <v>DISJUNTOR TRIPOLAR TIPO DIN, CORRENTE NOMINAL DE 50A - FORNECIMENTO E INSTALAÇÃO. AF_10/2020</v>
      </c>
      <c r="E104" s="78" t="str">
        <f>IF(B104="SINAPI",VLOOKUP(C104,SINAPI!A:D,3,0),(VLOOKUP(C104,SEINFRA!A:D,3,0)))</f>
        <v>UN</v>
      </c>
      <c r="F104" s="204">
        <f>VLOOKUP(A104,MEMORIAL!A:O,15,0)</f>
        <v>2</v>
      </c>
      <c r="G104" s="205">
        <f>IF(B104="SINAPI",VLOOKUP(C104,SINAPI!A:D,4,0),(VLOOKUP(C104,SEINFRA!A:D,4,0)))</f>
        <v>98</v>
      </c>
      <c r="H104" s="205">
        <f t="shared" ref="H104:H105" si="80">ROUND(G104*$K$3,2)</f>
        <v>128.68</v>
      </c>
      <c r="I104" s="205">
        <f t="shared" ref="I104:I105" si="81">ROUND(F104*H104,2)</f>
        <v>257.36</v>
      </c>
    </row>
    <row r="105" spans="1:9" x14ac:dyDescent="0.2">
      <c r="A105" s="435" t="s">
        <v>47106</v>
      </c>
      <c r="B105" s="203" t="s">
        <v>25</v>
      </c>
      <c r="C105" s="81" t="s">
        <v>12675</v>
      </c>
      <c r="D105" s="509" t="str">
        <f>IF(B105="SINAPI",VLOOKUP(C105,SINAPI!A:D,2,0),(VLOOKUP(C105,SEINFRA!A:D,2,0)))</f>
        <v>DISJUNTOR TRIPOLAR EM QUADRO DE DISTRIBUIÇÃO 70A</v>
      </c>
      <c r="E105" s="78" t="str">
        <f>IF(B105="SINAPI",VLOOKUP(C105,SINAPI!A:D,3,0),(VLOOKUP(C105,SEINFRA!A:D,3,0)))</f>
        <v>UN</v>
      </c>
      <c r="F105" s="204">
        <f>VLOOKUP(A105,MEMORIAL!A:O,15,0)</f>
        <v>2</v>
      </c>
      <c r="G105" s="205">
        <f>IF(B105="SINAPI",VLOOKUP(C105,SINAPI!A:D,4,0),(VLOOKUP(C105,SEINFRA!A:D,4,0)))</f>
        <v>143.81</v>
      </c>
      <c r="H105" s="205">
        <f t="shared" si="80"/>
        <v>188.84</v>
      </c>
      <c r="I105" s="205">
        <f t="shared" si="81"/>
        <v>377.68</v>
      </c>
    </row>
    <row r="106" spans="1:9" ht="25.5" x14ac:dyDescent="0.2">
      <c r="A106" s="435" t="s">
        <v>47107</v>
      </c>
      <c r="B106" s="508" t="s">
        <v>15</v>
      </c>
      <c r="C106" s="81">
        <v>39472</v>
      </c>
      <c r="D106" s="509" t="str">
        <f>IF(B106="SINAPI",VLOOKUP(C106,SINAPI!A:D,2,0),(VLOOKUP(C106,SEINFRA!A:D,2,0)))</f>
        <v>DISPOSITIVO DPS CLASSE II, 1 POLO, TENSAO MAXIMA DE 275 V, CORRENTE MAXIMA DE *90* KA (TIPO AC)</v>
      </c>
      <c r="E106" s="78" t="str">
        <f>IF(B106="SINAPI",VLOOKUP(C106,SINAPI!A:D,3,0),(VLOOKUP(C106,SEINFRA!A:D,3,0)))</f>
        <v>UN</v>
      </c>
      <c r="F106" s="204">
        <f>VLOOKUP(A106,MEMORIAL!A:O,15,0)</f>
        <v>8</v>
      </c>
      <c r="G106" s="205">
        <f>IF(B106="SINAPI",VLOOKUP(C106,SINAPI!A:D,4,0),(VLOOKUP(C106,SEINFRA!A:D,4,0)))</f>
        <v>179.92</v>
      </c>
      <c r="H106" s="205">
        <f t="shared" ref="H106:H108" si="82">ROUND(G106*$K$3,2)</f>
        <v>236.25</v>
      </c>
      <c r="I106" s="205">
        <f t="shared" ref="I106:I108" si="83">ROUND(F106*H106,2)</f>
        <v>1890</v>
      </c>
    </row>
    <row r="107" spans="1:9" ht="25.5" x14ac:dyDescent="0.2">
      <c r="A107" s="435" t="s">
        <v>47108</v>
      </c>
      <c r="B107" s="508" t="s">
        <v>15</v>
      </c>
      <c r="C107" s="81">
        <v>39457</v>
      </c>
      <c r="D107" s="509" t="str">
        <f>IF(B107="SINAPI",VLOOKUP(C107,SINAPI!A:D,2,0),(VLOOKUP(C107,SEINFRA!A:D,2,0)))</f>
        <v>DISPOSITIVO DR, 4 POLOS, SENSIBILIDADE DE 30 MA, CORRENTE DE 63 A, TIPO AC</v>
      </c>
      <c r="E107" s="78" t="str">
        <f>IF(B107="SINAPI",VLOOKUP(C107,SINAPI!A:D,3,0),(VLOOKUP(C107,SEINFRA!A:D,3,0)))</f>
        <v>UN</v>
      </c>
      <c r="F107" s="204">
        <f>VLOOKUP(A107,MEMORIAL!A:O,15,0)</f>
        <v>1</v>
      </c>
      <c r="G107" s="205">
        <f>IF(B107="SINAPI",VLOOKUP(C107,SINAPI!A:D,4,0),(VLOOKUP(C107,SEINFRA!A:D,4,0)))</f>
        <v>172.16</v>
      </c>
      <c r="H107" s="205">
        <f t="shared" si="82"/>
        <v>226.06</v>
      </c>
      <c r="I107" s="205">
        <f t="shared" si="83"/>
        <v>226.06</v>
      </c>
    </row>
    <row r="108" spans="1:9" ht="25.5" x14ac:dyDescent="0.2">
      <c r="A108" s="435" t="s">
        <v>47109</v>
      </c>
      <c r="B108" s="508" t="s">
        <v>15</v>
      </c>
      <c r="C108" s="81">
        <v>39458</v>
      </c>
      <c r="D108" s="509" t="str">
        <f>IF(B108="SINAPI",VLOOKUP(C108,SINAPI!A:D,2,0),(VLOOKUP(C108,SEINFRA!A:D,2,0)))</f>
        <v>DISPOSITIVO DR, 4 POLOS, SENSIBILIDADE DE 30 MA, CORRENTE DE 80 A, TIPO AC</v>
      </c>
      <c r="E108" s="78" t="str">
        <f>IF(B108="SINAPI",VLOOKUP(C108,SINAPI!A:D,3,0),(VLOOKUP(C108,SEINFRA!A:D,3,0)))</f>
        <v>UN</v>
      </c>
      <c r="F108" s="204">
        <f>VLOOKUP(A108,MEMORIAL!A:O,15,0)</f>
        <v>1</v>
      </c>
      <c r="G108" s="205">
        <f>IF(B108="SINAPI",VLOOKUP(C108,SINAPI!A:D,4,0),(VLOOKUP(C108,SEINFRA!A:D,4,0)))</f>
        <v>321.26</v>
      </c>
      <c r="H108" s="205">
        <f t="shared" si="82"/>
        <v>421.85</v>
      </c>
      <c r="I108" s="205">
        <f t="shared" si="83"/>
        <v>421.85</v>
      </c>
    </row>
    <row r="109" spans="1:9" x14ac:dyDescent="0.2">
      <c r="A109" s="202"/>
      <c r="B109" s="207"/>
      <c r="C109" s="206"/>
      <c r="D109" s="201"/>
      <c r="E109" s="81"/>
      <c r="F109" s="204"/>
      <c r="G109" s="204"/>
      <c r="H109" s="205"/>
      <c r="I109" s="205"/>
    </row>
    <row r="110" spans="1:9" x14ac:dyDescent="0.2">
      <c r="A110" s="210">
        <v>7</v>
      </c>
      <c r="B110" s="210"/>
      <c r="C110" s="210"/>
      <c r="D110" s="212" t="s">
        <v>39087</v>
      </c>
      <c r="E110" s="210"/>
      <c r="F110" s="313"/>
      <c r="G110" s="313"/>
      <c r="H110" s="313"/>
      <c r="I110" s="313">
        <f>ROUND(I111+I114+I117,2)</f>
        <v>103108.25</v>
      </c>
    </row>
    <row r="111" spans="1:9" x14ac:dyDescent="0.2">
      <c r="A111" s="213" t="s">
        <v>39243</v>
      </c>
      <c r="B111" s="216"/>
      <c r="C111" s="208"/>
      <c r="D111" s="215" t="s">
        <v>39088</v>
      </c>
      <c r="E111" s="213"/>
      <c r="F111" s="314"/>
      <c r="G111" s="314"/>
      <c r="H111" s="314"/>
      <c r="I111" s="314">
        <f>ROUND(SUM(I112:I113),2)</f>
        <v>921.6</v>
      </c>
    </row>
    <row r="112" spans="1:9" ht="51" x14ac:dyDescent="0.2">
      <c r="A112" s="202" t="s">
        <v>39244</v>
      </c>
      <c r="B112" s="71" t="s">
        <v>15</v>
      </c>
      <c r="C112" s="206">
        <v>97330</v>
      </c>
      <c r="D112" s="73" t="str">
        <f>IF(B112="SINAPI",VLOOKUP(C112,SINAPI!A:D,2,0),(VLOOKUP(C112,SEINFRA!A:D,2,0)))</f>
        <v>TUBO EM COBRE FLEXÍVEL, DN 5/8", COM ISOLAMENTO, INSTALADO EM RAMAL DE ALIMENTAÇÃO DE AR CONDICIONADO COM CONDENSADORA INDIVIDUAL - FORNECIMENTO E INSTALAÇÃO. AF_12/2015</v>
      </c>
      <c r="E112" s="74" t="str">
        <f>IF(B112="SINAPI",VLOOKUP(C112,SINAPI!A:D,3,0),(VLOOKUP(C112,SEINFRA!A:D,3,0)))</f>
        <v>M</v>
      </c>
      <c r="F112" s="86">
        <f>VLOOKUP(A112,MEMORIAL!A:O,15,0)</f>
        <v>9.9600000000000009</v>
      </c>
      <c r="G112" s="75">
        <f>IF(B112="SINAPI",VLOOKUP(C112,SINAPI!A:D,4,0),(VLOOKUP(C112,SEINFRA!A:D,4,0)))</f>
        <v>70.47</v>
      </c>
      <c r="H112" s="75">
        <f t="shared" ref="H112" si="84">ROUND(G112*$K$3,2)</f>
        <v>92.53</v>
      </c>
      <c r="I112" s="75">
        <f t="shared" ref="I112" si="85">ROUND(F112*H112,2)</f>
        <v>921.6</v>
      </c>
    </row>
    <row r="113" spans="1:9" x14ac:dyDescent="0.2">
      <c r="A113" s="202"/>
      <c r="B113" s="207"/>
      <c r="C113" s="206"/>
      <c r="D113" s="201"/>
      <c r="E113" s="81"/>
      <c r="F113" s="204"/>
      <c r="G113" s="204"/>
      <c r="H113" s="205"/>
      <c r="I113" s="205"/>
    </row>
    <row r="114" spans="1:9" x14ac:dyDescent="0.2">
      <c r="A114" s="213" t="s">
        <v>39245</v>
      </c>
      <c r="B114" s="208"/>
      <c r="C114" s="208"/>
      <c r="D114" s="215" t="s">
        <v>39089</v>
      </c>
      <c r="E114" s="213"/>
      <c r="F114" s="314"/>
      <c r="G114" s="314"/>
      <c r="H114" s="314"/>
      <c r="I114" s="314">
        <f>ROUND(SUM(I115:I116),2)</f>
        <v>98626.2</v>
      </c>
    </row>
    <row r="115" spans="1:9" ht="38.25" x14ac:dyDescent="0.2">
      <c r="A115" s="202" t="s">
        <v>39246</v>
      </c>
      <c r="B115" s="71" t="s">
        <v>15</v>
      </c>
      <c r="C115" s="206">
        <v>103260</v>
      </c>
      <c r="D115" s="73" t="str">
        <f>IF(B115="SINAPI",VLOOKUP(C115,SINAPI!A:D,2,0),(VLOOKUP(C115,SEINFRA!A:D,2,0)))</f>
        <v>AR CONDICIONADO SPLIT INVERTER, PISO TETO, 24000 BTU/H, QUENTE/FRIO - FORNECIMENTO E INSTALAÇÃO. AF_11/2021_PSE</v>
      </c>
      <c r="E115" s="74" t="str">
        <f>IF(B115="SINAPI",VLOOKUP(C115,SINAPI!A:D,3,0),(VLOOKUP(C115,SEINFRA!A:D,3,0)))</f>
        <v>UN</v>
      </c>
      <c r="F115" s="86">
        <f>VLOOKUP(A115,MEMORIAL!A:O,15,0)</f>
        <v>12</v>
      </c>
      <c r="G115" s="75">
        <f>IF(B115="SINAPI",VLOOKUP(C115,SINAPI!A:D,4,0),(VLOOKUP(C115,SEINFRA!A:D,4,0)))</f>
        <v>6259.12</v>
      </c>
      <c r="H115" s="75">
        <f t="shared" ref="H115" si="86">ROUND(G115*$K$3,2)</f>
        <v>8218.85</v>
      </c>
      <c r="I115" s="75">
        <f t="shared" ref="I115" si="87">ROUND(F115*H115,2)</f>
        <v>98626.2</v>
      </c>
    </row>
    <row r="116" spans="1:9" x14ac:dyDescent="0.2">
      <c r="A116" s="202"/>
      <c r="B116" s="207"/>
      <c r="C116" s="206"/>
      <c r="D116" s="201"/>
      <c r="E116" s="81"/>
      <c r="F116" s="204"/>
      <c r="G116" s="204"/>
      <c r="H116" s="205"/>
      <c r="I116" s="205"/>
    </row>
    <row r="117" spans="1:9" x14ac:dyDescent="0.2">
      <c r="A117" s="213" t="s">
        <v>39247</v>
      </c>
      <c r="B117" s="208"/>
      <c r="C117" s="208"/>
      <c r="D117" s="215" t="s">
        <v>39090</v>
      </c>
      <c r="E117" s="213"/>
      <c r="F117" s="314"/>
      <c r="G117" s="314"/>
      <c r="H117" s="314"/>
      <c r="I117" s="314">
        <f>ROUND(SUM(I118:I120),2)</f>
        <v>3560.45</v>
      </c>
    </row>
    <row r="118" spans="1:9" ht="38.25" x14ac:dyDescent="0.2">
      <c r="A118" s="202" t="s">
        <v>39248</v>
      </c>
      <c r="B118" s="71" t="s">
        <v>15</v>
      </c>
      <c r="C118" s="206">
        <v>89865</v>
      </c>
      <c r="D118" s="73" t="str">
        <f>IF(B118="SINAPI",VLOOKUP(C118,SINAPI!A:D,2,0),(VLOOKUP(C118,SEINFRA!A:D,2,0)))</f>
        <v>TUBO, PVC, SOLDÁVEL, DE 25MM, INSTALADO EM DRENO DE AR-CONDICIONADO - FORNECIMENTO E INSTALAÇÃO. AF_08/2022</v>
      </c>
      <c r="E118" s="74" t="str">
        <f>IF(B118="SINAPI",VLOOKUP(C118,SINAPI!A:D,3,0),(VLOOKUP(C118,SEINFRA!A:D,3,0)))</f>
        <v>M</v>
      </c>
      <c r="F118" s="86">
        <f>VLOOKUP(A118,MEMORIAL!A:O,15,0)</f>
        <v>34.549999999999997</v>
      </c>
      <c r="G118" s="75">
        <f>IF(B118="SINAPI",VLOOKUP(C118,SINAPI!A:D,4,0),(VLOOKUP(C118,SEINFRA!A:D,4,0)))</f>
        <v>16.739999999999998</v>
      </c>
      <c r="H118" s="75">
        <f t="shared" ref="H118:H119" si="88">ROUND(G118*$K$3,2)</f>
        <v>21.98</v>
      </c>
      <c r="I118" s="75">
        <f t="shared" ref="I118:I119" si="89">ROUND(F118*H118,2)</f>
        <v>759.41</v>
      </c>
    </row>
    <row r="119" spans="1:9" ht="51" x14ac:dyDescent="0.2">
      <c r="A119" s="202" t="s">
        <v>39249</v>
      </c>
      <c r="B119" s="71" t="s">
        <v>15</v>
      </c>
      <c r="C119" s="206">
        <v>99250</v>
      </c>
      <c r="D119" s="73" t="str">
        <f>IF(B119="SINAPI",VLOOKUP(C119,SINAPI!A:D,2,0),(VLOOKUP(C119,SEINFRA!A:D,2,0)))</f>
        <v>CAIXA ENTERRADA HIDRÁULICA RETANGULAR EM ALVENARIA COM TIJOLOS CERÂMICOS MACIÇOS, DIMENSÕES INTERNAS: 0,3X0,3X0,3 M PARA REDE DE DRENAGEM. AF_12/2020</v>
      </c>
      <c r="E119" s="74" t="str">
        <f>IF(B119="SINAPI",VLOOKUP(C119,SINAPI!A:D,3,0),(VLOOKUP(C119,SEINFRA!A:D,3,0)))</f>
        <v>UN</v>
      </c>
      <c r="F119" s="86">
        <f>VLOOKUP(A119,MEMORIAL!A:O,15,0)</f>
        <v>12</v>
      </c>
      <c r="G119" s="75">
        <f>IF(B119="SINAPI",VLOOKUP(C119,SINAPI!A:D,4,0),(VLOOKUP(C119,SEINFRA!A:D,4,0)))</f>
        <v>177.76</v>
      </c>
      <c r="H119" s="75">
        <f t="shared" si="88"/>
        <v>233.42</v>
      </c>
      <c r="I119" s="75">
        <f t="shared" si="89"/>
        <v>2801.04</v>
      </c>
    </row>
    <row r="120" spans="1:9" x14ac:dyDescent="0.2">
      <c r="A120" s="202"/>
      <c r="B120" s="207"/>
      <c r="C120" s="206"/>
      <c r="D120" s="201"/>
      <c r="E120" s="81"/>
      <c r="F120" s="204"/>
      <c r="G120" s="204"/>
      <c r="H120" s="205"/>
      <c r="I120" s="205"/>
    </row>
    <row r="121" spans="1:9" x14ac:dyDescent="0.2">
      <c r="A121" s="210">
        <v>8</v>
      </c>
      <c r="B121" s="210"/>
      <c r="C121" s="210"/>
      <c r="D121" s="212" t="s">
        <v>9483</v>
      </c>
      <c r="E121" s="210"/>
      <c r="F121" s="313"/>
      <c r="G121" s="313"/>
      <c r="H121" s="313"/>
      <c r="I121" s="313">
        <f>ROUND(I122+I140+I148,2)</f>
        <v>11775.19</v>
      </c>
    </row>
    <row r="122" spans="1:9" x14ac:dyDescent="0.2">
      <c r="A122" s="213" t="s">
        <v>39250</v>
      </c>
      <c r="B122" s="213"/>
      <c r="C122" s="213"/>
      <c r="D122" s="215" t="s">
        <v>39088</v>
      </c>
      <c r="E122" s="213"/>
      <c r="F122" s="314"/>
      <c r="G122" s="314"/>
      <c r="H122" s="314"/>
      <c r="I122" s="314">
        <f>ROUND(SUM(I123:I139),2)</f>
        <v>5726.55</v>
      </c>
    </row>
    <row r="123" spans="1:9" ht="38.25" x14ac:dyDescent="0.2">
      <c r="A123" s="202" t="s">
        <v>39251</v>
      </c>
      <c r="B123" s="71" t="s">
        <v>15</v>
      </c>
      <c r="C123" s="206">
        <v>89402</v>
      </c>
      <c r="D123" s="73" t="str">
        <f>IF(B123="SINAPI",VLOOKUP(C123,SINAPI!A:D,2,0),(VLOOKUP(C123,SEINFRA!A:D,2,0)))</f>
        <v>TUBO, PVC, SOLDÁVEL, DE 25MM, INSTALADO EM RAMAL DE DISTRIBUIÇÃO DE ÁGUA - FORNECIMENTO E INSTALAÇÃO. AF_06/2022</v>
      </c>
      <c r="E123" s="74" t="str">
        <f>IF(B123="SINAPI",VLOOKUP(C123,SINAPI!A:D,3,0),(VLOOKUP(C123,SEINFRA!A:D,3,0)))</f>
        <v>M</v>
      </c>
      <c r="F123" s="86">
        <f>VLOOKUP(A123,MEMORIAL!A:O,15,0)</f>
        <v>18.04</v>
      </c>
      <c r="G123" s="75">
        <f>IF(B123="SINAPI",VLOOKUP(C123,SINAPI!A:D,4,0),(VLOOKUP(C123,SEINFRA!A:D,4,0)))</f>
        <v>12.07</v>
      </c>
      <c r="H123" s="75">
        <f t="shared" ref="H123" si="90">ROUND(G123*$K$3,2)</f>
        <v>15.85</v>
      </c>
      <c r="I123" s="75">
        <f t="shared" ref="I123" si="91">ROUND(F123*H123,2)</f>
        <v>285.93</v>
      </c>
    </row>
    <row r="124" spans="1:9" ht="38.25" x14ac:dyDescent="0.2">
      <c r="A124" s="202" t="s">
        <v>39252</v>
      </c>
      <c r="B124" s="71" t="s">
        <v>15</v>
      </c>
      <c r="C124" s="206">
        <v>89356</v>
      </c>
      <c r="D124" s="73" t="str">
        <f>IF(B124="SINAPI",VLOOKUP(C124,SINAPI!A:D,2,0),(VLOOKUP(C124,SEINFRA!A:D,2,0)))</f>
        <v>TUBO, PVC, SOLDÁVEL, DE 25MM, INSTALADO EM RAMAL OU SUB-RAMAL DE ÁGUA - FORNECIMENTO E INSTALAÇÃO. AF_06/2022</v>
      </c>
      <c r="E124" s="74" t="str">
        <f>IF(B124="SINAPI",VLOOKUP(C124,SINAPI!A:D,3,0),(VLOOKUP(C124,SEINFRA!A:D,3,0)))</f>
        <v>M</v>
      </c>
      <c r="F124" s="86">
        <f>VLOOKUP(A124,MEMORIAL!A:O,15,0)</f>
        <v>31.59</v>
      </c>
      <c r="G124" s="75">
        <f>IF(B124="SINAPI",VLOOKUP(C124,SINAPI!A:D,4,0),(VLOOKUP(C124,SEINFRA!A:D,4,0)))</f>
        <v>22.89</v>
      </c>
      <c r="H124" s="75">
        <f t="shared" ref="H124:H138" si="92">ROUND(G124*$K$3,2)</f>
        <v>30.06</v>
      </c>
      <c r="I124" s="75">
        <f t="shared" ref="I124:I138" si="93">ROUND(F124*H124,2)</f>
        <v>949.6</v>
      </c>
    </row>
    <row r="125" spans="1:9" ht="38.25" x14ac:dyDescent="0.2">
      <c r="A125" s="202" t="s">
        <v>39253</v>
      </c>
      <c r="B125" s="71" t="s">
        <v>15</v>
      </c>
      <c r="C125" s="206">
        <v>89403</v>
      </c>
      <c r="D125" s="73" t="str">
        <f>IF(B125="SINAPI",VLOOKUP(C125,SINAPI!A:D,2,0),(VLOOKUP(C125,SEINFRA!A:D,2,0)))</f>
        <v>TUBO, PVC, SOLDÁVEL, DE 32MM, INSTALADO EM RAMAL DE DISTRIBUIÇÃO DE ÁGUA - FORNECIMENTO E INSTALAÇÃO. AF_06/2022</v>
      </c>
      <c r="E125" s="74" t="str">
        <f>IF(B125="SINAPI",VLOOKUP(C125,SINAPI!A:D,3,0),(VLOOKUP(C125,SEINFRA!A:D,3,0)))</f>
        <v>M</v>
      </c>
      <c r="F125" s="86">
        <f>VLOOKUP(A125,MEMORIAL!A:O,15,0)</f>
        <v>25.39</v>
      </c>
      <c r="G125" s="75">
        <f>IF(B125="SINAPI",VLOOKUP(C125,SINAPI!A:D,4,0),(VLOOKUP(C125,SEINFRA!A:D,4,0)))</f>
        <v>18.55</v>
      </c>
      <c r="H125" s="75">
        <f t="shared" si="92"/>
        <v>24.36</v>
      </c>
      <c r="I125" s="75">
        <f t="shared" si="93"/>
        <v>618.5</v>
      </c>
    </row>
    <row r="126" spans="1:9" ht="38.25" x14ac:dyDescent="0.2">
      <c r="A126" s="202" t="s">
        <v>39254</v>
      </c>
      <c r="B126" s="71" t="s">
        <v>15</v>
      </c>
      <c r="C126" s="206">
        <v>103979</v>
      </c>
      <c r="D126" s="73" t="str">
        <f>IF(B126="SINAPI",VLOOKUP(C126,SINAPI!A:D,2,0),(VLOOKUP(C126,SEINFRA!A:D,2,0)))</f>
        <v>TUBO, PVC, SOLDÁVEL, DE 50MM, INSTALADO EM RAMAL DE DISTRIBUIÇÃO DE ÁGUA - FORNECIMENTO E INSTALAÇÃO. AF_06/2022</v>
      </c>
      <c r="E126" s="74" t="str">
        <f>IF(B126="SINAPI",VLOOKUP(C126,SINAPI!A:D,3,0),(VLOOKUP(C126,SEINFRA!A:D,3,0)))</f>
        <v>M</v>
      </c>
      <c r="F126" s="86">
        <f>VLOOKUP(A126,MEMORIAL!A:O,15,0)</f>
        <v>77.73</v>
      </c>
      <c r="G126" s="75">
        <f>IF(B126="SINAPI",VLOOKUP(C126,SINAPI!A:D,4,0),(VLOOKUP(C126,SEINFRA!A:D,4,0)))</f>
        <v>29.09</v>
      </c>
      <c r="H126" s="75">
        <f t="shared" si="92"/>
        <v>38.200000000000003</v>
      </c>
      <c r="I126" s="75">
        <f t="shared" si="93"/>
        <v>2969.29</v>
      </c>
    </row>
    <row r="127" spans="1:9" ht="38.25" x14ac:dyDescent="0.2">
      <c r="A127" s="202" t="s">
        <v>39255</v>
      </c>
      <c r="B127" s="71" t="s">
        <v>15</v>
      </c>
      <c r="C127" s="206">
        <v>89408</v>
      </c>
      <c r="D127" s="73" t="str">
        <f>IF(B127="SINAPI",VLOOKUP(C127,SINAPI!A:D,2,0),(VLOOKUP(C127,SEINFRA!A:D,2,0)))</f>
        <v>JOELHO 90 GRAUS, PVC, SOLDÁVEL, DN 25MM, INSTALADO EM RAMAL DE DISTRIBUIÇÃO DE ÁGUA - FORNECIMENTO E INSTALAÇÃO. AF_06/2022</v>
      </c>
      <c r="E127" s="74" t="str">
        <f>IF(B127="SINAPI",VLOOKUP(C127,SINAPI!A:D,3,0),(VLOOKUP(C127,SEINFRA!A:D,3,0)))</f>
        <v>UN</v>
      </c>
      <c r="F127" s="86">
        <f>VLOOKUP(A127,MEMORIAL!A:O,15,0)</f>
        <v>2</v>
      </c>
      <c r="G127" s="75">
        <f>IF(B127="SINAPI",VLOOKUP(C127,SINAPI!A:D,4,0),(VLOOKUP(C127,SEINFRA!A:D,4,0)))</f>
        <v>8.39</v>
      </c>
      <c r="H127" s="75">
        <f t="shared" si="92"/>
        <v>11.02</v>
      </c>
      <c r="I127" s="75">
        <f t="shared" si="93"/>
        <v>22.04</v>
      </c>
    </row>
    <row r="128" spans="1:9" ht="38.25" x14ac:dyDescent="0.2">
      <c r="A128" s="202" t="s">
        <v>39256</v>
      </c>
      <c r="B128" s="71" t="s">
        <v>15</v>
      </c>
      <c r="C128" s="206">
        <v>89413</v>
      </c>
      <c r="D128" s="73" t="str">
        <f>IF(B128="SINAPI",VLOOKUP(C128,SINAPI!A:D,2,0),(VLOOKUP(C128,SEINFRA!A:D,2,0)))</f>
        <v>JOELHO 90 GRAUS, PVC, SOLDÁVEL, DN 32MM, INSTALADO EM RAMAL DE DISTRIBUIÇÃO DE ÁGUA - FORNECIMENTO E INSTALAÇÃO. AF_06/2022</v>
      </c>
      <c r="E128" s="74" t="str">
        <f>IF(B128="SINAPI",VLOOKUP(C128,SINAPI!A:D,3,0),(VLOOKUP(C128,SEINFRA!A:D,3,0)))</f>
        <v>UN</v>
      </c>
      <c r="F128" s="86">
        <f>VLOOKUP(A128,MEMORIAL!A:O,15,0)</f>
        <v>1</v>
      </c>
      <c r="G128" s="75">
        <f>IF(B128="SINAPI",VLOOKUP(C128,SINAPI!A:D,4,0),(VLOOKUP(C128,SEINFRA!A:D,4,0)))</f>
        <v>11.71</v>
      </c>
      <c r="H128" s="75">
        <f t="shared" si="92"/>
        <v>15.38</v>
      </c>
      <c r="I128" s="75">
        <f t="shared" si="93"/>
        <v>15.38</v>
      </c>
    </row>
    <row r="129" spans="1:9" ht="38.25" x14ac:dyDescent="0.2">
      <c r="A129" s="202" t="s">
        <v>39257</v>
      </c>
      <c r="B129" s="71" t="s">
        <v>15</v>
      </c>
      <c r="C129" s="206">
        <v>103984</v>
      </c>
      <c r="D129" s="73" t="str">
        <f>IF(B129="SINAPI",VLOOKUP(C129,SINAPI!A:D,2,0),(VLOOKUP(C129,SEINFRA!A:D,2,0)))</f>
        <v>JOELHO 90 GRAUS, PVC, SOLDÁVEL, DN 50MM, INSTALADO EM RAMAL DE DISTRIBUIÇÃO DE ÁGUA - FORNECIMENTO E INSTALAÇÃO. AF_06/2022</v>
      </c>
      <c r="E129" s="74" t="str">
        <f>IF(B129="SINAPI",VLOOKUP(C129,SINAPI!A:D,3,0),(VLOOKUP(C129,SEINFRA!A:D,3,0)))</f>
        <v>UN</v>
      </c>
      <c r="F129" s="86">
        <f>VLOOKUP(A129,MEMORIAL!A:O,15,0)</f>
        <v>1</v>
      </c>
      <c r="G129" s="75">
        <f>IF(B129="SINAPI",VLOOKUP(C129,SINAPI!A:D,4,0),(VLOOKUP(C129,SEINFRA!A:D,4,0)))</f>
        <v>18.829999999999998</v>
      </c>
      <c r="H129" s="75">
        <f t="shared" si="92"/>
        <v>24.73</v>
      </c>
      <c r="I129" s="75">
        <f t="shared" si="93"/>
        <v>24.73</v>
      </c>
    </row>
    <row r="130" spans="1:9" ht="38.25" x14ac:dyDescent="0.2">
      <c r="A130" s="202" t="s">
        <v>39258</v>
      </c>
      <c r="B130" s="71" t="s">
        <v>15</v>
      </c>
      <c r="C130" s="206">
        <v>89362</v>
      </c>
      <c r="D130" s="73" t="str">
        <f>IF(B130="SINAPI",VLOOKUP(C130,SINAPI!A:D,2,0),(VLOOKUP(C130,SEINFRA!A:D,2,0)))</f>
        <v>JOELHO 90 GRAUS, PVC, SOLDÁVEL, DN 25MM, INSTALADO EM RAMAL OU SUB-RAMAL DE ÁGUA - FORNECIMENTO E INSTALAÇÃO. AF_06/2022</v>
      </c>
      <c r="E130" s="74" t="str">
        <f>IF(B130="SINAPI",VLOOKUP(C130,SINAPI!A:D,3,0),(VLOOKUP(C130,SEINFRA!A:D,3,0)))</f>
        <v>UN</v>
      </c>
      <c r="F130" s="86">
        <f>VLOOKUP(A130,MEMORIAL!A:O,15,0)</f>
        <v>7</v>
      </c>
      <c r="G130" s="75">
        <f>IF(B130="SINAPI",VLOOKUP(C130,SINAPI!A:D,4,0),(VLOOKUP(C130,SEINFRA!A:D,4,0)))</f>
        <v>9.18</v>
      </c>
      <c r="H130" s="75">
        <f t="shared" si="92"/>
        <v>12.05</v>
      </c>
      <c r="I130" s="75">
        <f t="shared" si="93"/>
        <v>84.35</v>
      </c>
    </row>
    <row r="131" spans="1:9" x14ac:dyDescent="0.2">
      <c r="A131" s="202" t="s">
        <v>39259</v>
      </c>
      <c r="B131" s="80" t="s">
        <v>25</v>
      </c>
      <c r="C131" s="206" t="s">
        <v>10197</v>
      </c>
      <c r="D131" s="73" t="str">
        <f>IF(B131="SINAPI",VLOOKUP(C131,SINAPI!A:D,2,0),(VLOOKUP(C131,SEINFRA!A:D,2,0)))</f>
        <v>JOELHO REDUÇÃO PVC SOLD./ROSCA. D=25mmX1/2"</v>
      </c>
      <c r="E131" s="74" t="str">
        <f>IF(B131="SINAPI",VLOOKUP(C131,SINAPI!A:D,3,0),(VLOOKUP(C131,SEINFRA!A:D,3,0)))</f>
        <v>UN</v>
      </c>
      <c r="F131" s="86">
        <f>VLOOKUP(A131,MEMORIAL!A:O,15,0)</f>
        <v>13</v>
      </c>
      <c r="G131" s="75">
        <f>IF(B131="SINAPI",VLOOKUP(C131,SINAPI!A:D,4,0),(VLOOKUP(C131,SEINFRA!A:D,4,0)))</f>
        <v>13.15</v>
      </c>
      <c r="H131" s="75">
        <f t="shared" si="92"/>
        <v>17.27</v>
      </c>
      <c r="I131" s="75">
        <f t="shared" si="93"/>
        <v>224.51</v>
      </c>
    </row>
    <row r="132" spans="1:9" ht="38.25" x14ac:dyDescent="0.2">
      <c r="A132" s="202" t="s">
        <v>39260</v>
      </c>
      <c r="B132" s="71" t="s">
        <v>15</v>
      </c>
      <c r="C132" s="206">
        <v>89395</v>
      </c>
      <c r="D132" s="73" t="str">
        <f>IF(B132="SINAPI",VLOOKUP(C132,SINAPI!A:D,2,0),(VLOOKUP(C132,SEINFRA!A:D,2,0)))</f>
        <v>TE, PVC, SOLDÁVEL, DN 25MM, INSTALADO EM RAMAL OU SUB-RAMAL DE ÁGUA - FORNECIMENTO E INSTALAÇÃO. AF_06/2022</v>
      </c>
      <c r="E132" s="74" t="str">
        <f>IF(B132="SINAPI",VLOOKUP(C132,SINAPI!A:D,3,0),(VLOOKUP(C132,SEINFRA!A:D,3,0)))</f>
        <v>UN</v>
      </c>
      <c r="F132" s="86">
        <f>VLOOKUP(A132,MEMORIAL!A:O,15,0)</f>
        <v>12</v>
      </c>
      <c r="G132" s="75">
        <f>IF(B132="SINAPI",VLOOKUP(C132,SINAPI!A:D,4,0),(VLOOKUP(C132,SEINFRA!A:D,4,0)))</f>
        <v>12.65</v>
      </c>
      <c r="H132" s="75">
        <f t="shared" si="92"/>
        <v>16.61</v>
      </c>
      <c r="I132" s="75">
        <f t="shared" si="93"/>
        <v>199.32</v>
      </c>
    </row>
    <row r="133" spans="1:9" x14ac:dyDescent="0.2">
      <c r="A133" s="202" t="s">
        <v>39261</v>
      </c>
      <c r="B133" s="80" t="s">
        <v>25</v>
      </c>
      <c r="C133" s="206" t="s">
        <v>10567</v>
      </c>
      <c r="D133" s="73" t="str">
        <f>IF(B133="SINAPI",VLOOKUP(C133,SINAPI!A:D,2,0),(VLOOKUP(C133,SEINFRA!A:D,2,0)))</f>
        <v>TÊ REDUÇÃO PVC SOLD./ROSCA. D=25mmX25mmX1/2"</v>
      </c>
      <c r="E133" s="74" t="str">
        <f>IF(B133="SINAPI",VLOOKUP(C133,SINAPI!A:D,3,0),(VLOOKUP(C133,SEINFRA!A:D,3,0)))</f>
        <v>UN</v>
      </c>
      <c r="F133" s="86">
        <f>VLOOKUP(A133,MEMORIAL!A:O,15,0)</f>
        <v>7</v>
      </c>
      <c r="G133" s="75">
        <f>IF(B133="SINAPI",VLOOKUP(C133,SINAPI!A:D,4,0),(VLOOKUP(C133,SEINFRA!A:D,4,0)))</f>
        <v>15.11</v>
      </c>
      <c r="H133" s="75">
        <f t="shared" si="92"/>
        <v>19.84</v>
      </c>
      <c r="I133" s="75">
        <f t="shared" si="93"/>
        <v>138.88</v>
      </c>
    </row>
    <row r="134" spans="1:9" ht="38.25" x14ac:dyDescent="0.2">
      <c r="A134" s="202" t="s">
        <v>39262</v>
      </c>
      <c r="B134" s="71" t="s">
        <v>15</v>
      </c>
      <c r="C134" s="206">
        <v>89443</v>
      </c>
      <c r="D134" s="73" t="str">
        <f>IF(B134="SINAPI",VLOOKUP(C134,SINAPI!A:D,2,0),(VLOOKUP(C134,SEINFRA!A:D,2,0)))</f>
        <v>TE, PVC, SOLDÁVEL, DN 32MM, INSTALADO EM RAMAL DE DISTRIBUIÇÃO DE ÁGUA - FORNECIMENTO E INSTALAÇÃO. AF_06/2022</v>
      </c>
      <c r="E134" s="74" t="str">
        <f>IF(B134="SINAPI",VLOOKUP(C134,SINAPI!A:D,3,0),(VLOOKUP(C134,SEINFRA!A:D,3,0)))</f>
        <v>UN</v>
      </c>
      <c r="F134" s="86">
        <f>VLOOKUP(A134,MEMORIAL!A:O,15,0)</f>
        <v>1</v>
      </c>
      <c r="G134" s="75">
        <f>IF(B134="SINAPI",VLOOKUP(C134,SINAPI!A:D,4,0),(VLOOKUP(C134,SEINFRA!A:D,4,0)))</f>
        <v>16.420000000000002</v>
      </c>
      <c r="H134" s="75">
        <f t="shared" si="92"/>
        <v>21.56</v>
      </c>
      <c r="I134" s="75">
        <f t="shared" si="93"/>
        <v>21.56</v>
      </c>
    </row>
    <row r="135" spans="1:9" ht="38.25" x14ac:dyDescent="0.2">
      <c r="A135" s="202" t="s">
        <v>39263</v>
      </c>
      <c r="B135" s="71" t="s">
        <v>15</v>
      </c>
      <c r="C135" s="206">
        <v>104004</v>
      </c>
      <c r="D135" s="73" t="str">
        <f>IF(B135="SINAPI",VLOOKUP(C135,SINAPI!A:D,2,0),(VLOOKUP(C135,SEINFRA!A:D,2,0)))</f>
        <v>TE, PVC, SOLDÁVEL, DN 50MM, INSTALADO EM RAMAL DE DISTRIBUIÇÃO DE ÁGUA - FORNECIMENTO E INSTALAÇÃO. AF_06/2022</v>
      </c>
      <c r="E135" s="74" t="str">
        <f>IF(B135="SINAPI",VLOOKUP(C135,SINAPI!A:D,3,0),(VLOOKUP(C135,SEINFRA!A:D,3,0)))</f>
        <v>UN</v>
      </c>
      <c r="F135" s="86">
        <f>VLOOKUP(A135,MEMORIAL!A:O,15,0)</f>
        <v>1</v>
      </c>
      <c r="G135" s="75">
        <f>IF(B135="SINAPI",VLOOKUP(C135,SINAPI!A:D,4,0),(VLOOKUP(C135,SEINFRA!A:D,4,0)))</f>
        <v>28.54</v>
      </c>
      <c r="H135" s="75">
        <f t="shared" si="92"/>
        <v>37.479999999999997</v>
      </c>
      <c r="I135" s="75">
        <f t="shared" si="93"/>
        <v>37.479999999999997</v>
      </c>
    </row>
    <row r="136" spans="1:9" ht="38.25" x14ac:dyDescent="0.2">
      <c r="A136" s="202" t="s">
        <v>39264</v>
      </c>
      <c r="B136" s="71" t="s">
        <v>15</v>
      </c>
      <c r="C136" s="206">
        <v>89426</v>
      </c>
      <c r="D136" s="73" t="str">
        <f>IF(B136="SINAPI",VLOOKUP(C136,SINAPI!A:D,2,0),(VLOOKUP(C136,SEINFRA!A:D,2,0)))</f>
        <v>LUVA DE REDUÇÃO, PVC, SOLDÁVEL, DN 32MM X 25MM, INSTALADO EM RAMAL DE DISTRIBUIÇÃO DE ÁGUA - FORNECIMENTO E INSTALAÇÃO. AF_06/2022</v>
      </c>
      <c r="E136" s="74" t="str">
        <f>IF(B136="SINAPI",VLOOKUP(C136,SINAPI!A:D,3,0),(VLOOKUP(C136,SEINFRA!A:D,3,0)))</f>
        <v>UN</v>
      </c>
      <c r="F136" s="86">
        <f>VLOOKUP(A136,MEMORIAL!A:O,15,0)</f>
        <v>3</v>
      </c>
      <c r="G136" s="75">
        <f>IF(B136="SINAPI",VLOOKUP(C136,SINAPI!A:D,4,0),(VLOOKUP(C136,SEINFRA!A:D,4,0)))</f>
        <v>9.17</v>
      </c>
      <c r="H136" s="75">
        <f t="shared" si="92"/>
        <v>12.04</v>
      </c>
      <c r="I136" s="75">
        <f t="shared" si="93"/>
        <v>36.119999999999997</v>
      </c>
    </row>
    <row r="137" spans="1:9" ht="38.25" x14ac:dyDescent="0.2">
      <c r="A137" s="202" t="s">
        <v>39265</v>
      </c>
      <c r="B137" s="71" t="s">
        <v>15</v>
      </c>
      <c r="C137" s="206">
        <v>104003</v>
      </c>
      <c r="D137" s="73" t="str">
        <f>IF(B137="SINAPI",VLOOKUP(C137,SINAPI!A:D,2,0),(VLOOKUP(C137,SEINFRA!A:D,2,0)))</f>
        <v>BUCHA DE REDUÇÃO, LONGA, PVC, SOLDÁVEL, DN 50 X 32 MM, INSTALADO EM RAMAL DE DISTRIBUIÇÃO DE ÁGUA - FORNECIMENTO E INSTALAÇÃO. AF_06/2022</v>
      </c>
      <c r="E137" s="74" t="str">
        <f>IF(B137="SINAPI",VLOOKUP(C137,SINAPI!A:D,3,0),(VLOOKUP(C137,SEINFRA!A:D,3,0)))</f>
        <v>UN</v>
      </c>
      <c r="F137" s="86">
        <f>VLOOKUP(A137,MEMORIAL!A:O,15,0)</f>
        <v>2</v>
      </c>
      <c r="G137" s="75">
        <f>IF(B137="SINAPI",VLOOKUP(C137,SINAPI!A:D,4,0),(VLOOKUP(C137,SEINFRA!A:D,4,0)))</f>
        <v>14.1</v>
      </c>
      <c r="H137" s="75">
        <f t="shared" si="92"/>
        <v>18.510000000000002</v>
      </c>
      <c r="I137" s="75">
        <f t="shared" si="93"/>
        <v>37.020000000000003</v>
      </c>
    </row>
    <row r="138" spans="1:9" ht="51" x14ac:dyDescent="0.2">
      <c r="A138" s="202" t="s">
        <v>39266</v>
      </c>
      <c r="B138" s="71" t="s">
        <v>15</v>
      </c>
      <c r="C138" s="206">
        <v>89429</v>
      </c>
      <c r="D138" s="73" t="str">
        <f>IF(B138="SINAPI",VLOOKUP(C138,SINAPI!A:D,2,0),(VLOOKUP(C138,SEINFRA!A:D,2,0)))</f>
        <v>ADAPTADOR CURTO COM BOLSA E ROSCA PARA REGISTRO, PVC, SOLDÁVEL, DN 25MM X 3/4, INSTALADO EM RAMAL DE DISTRIBUIÇÃO DE ÁGUA - FORNECIMENTO E INSTALAÇÃO. AF_06/2022</v>
      </c>
      <c r="E138" s="74" t="str">
        <f>IF(B138="SINAPI",VLOOKUP(C138,SINAPI!A:D,3,0),(VLOOKUP(C138,SEINFRA!A:D,3,0)))</f>
        <v>UN</v>
      </c>
      <c r="F138" s="86">
        <f>VLOOKUP(A138,MEMORIAL!A:O,15,0)</f>
        <v>8</v>
      </c>
      <c r="G138" s="75">
        <f>IF(B138="SINAPI",VLOOKUP(C138,SINAPI!A:D,4,0),(VLOOKUP(C138,SEINFRA!A:D,4,0)))</f>
        <v>5.89</v>
      </c>
      <c r="H138" s="75">
        <f t="shared" si="92"/>
        <v>7.73</v>
      </c>
      <c r="I138" s="75">
        <f t="shared" si="93"/>
        <v>61.84</v>
      </c>
    </row>
    <row r="139" spans="1:9" x14ac:dyDescent="0.2">
      <c r="A139" s="202"/>
      <c r="B139" s="207"/>
      <c r="C139" s="206"/>
      <c r="D139" s="201"/>
      <c r="E139" s="81"/>
      <c r="F139" s="204"/>
      <c r="G139" s="204"/>
      <c r="H139" s="205"/>
      <c r="I139" s="205"/>
    </row>
    <row r="140" spans="1:9" x14ac:dyDescent="0.2">
      <c r="A140" s="213" t="s">
        <v>39267</v>
      </c>
      <c r="B140" s="213"/>
      <c r="C140" s="213"/>
      <c r="D140" s="215" t="s">
        <v>39086</v>
      </c>
      <c r="E140" s="213"/>
      <c r="F140" s="314"/>
      <c r="G140" s="314"/>
      <c r="H140" s="314"/>
      <c r="I140" s="314">
        <f>ROUND(SUM(I141:I147),2)</f>
        <v>5032</v>
      </c>
    </row>
    <row r="141" spans="1:9" ht="38.25" x14ac:dyDescent="0.2">
      <c r="A141" s="202" t="s">
        <v>39268</v>
      </c>
      <c r="B141" s="71" t="s">
        <v>15</v>
      </c>
      <c r="C141" s="217">
        <v>90444</v>
      </c>
      <c r="D141" s="73" t="str">
        <f>IF(B141="SINAPI",VLOOKUP(C141,SINAPI!A:D,2,0),(VLOOKUP(C141,SEINFRA!A:D,2,0)))</f>
        <v>RASGO LINEAR MECANIZADO EM CONTRAPISO, PARA RAMAIS/ DISTRIBUIÇÃO DE INSTALAÇÕES HIDRÁULICAS, DIÂMETROS MENORES OU IGUAIS A 40 MM. AF_09/2023_PS</v>
      </c>
      <c r="E141" s="74" t="str">
        <f>IF(B141="SINAPI",VLOOKUP(C141,SINAPI!A:D,3,0),(VLOOKUP(C141,SEINFRA!A:D,3,0)))</f>
        <v>M</v>
      </c>
      <c r="F141" s="86">
        <f>VLOOKUP(A141,MEMORIAL!A:O,15,0)</f>
        <v>43.43</v>
      </c>
      <c r="G141" s="75">
        <f>IF(B141="SINAPI",VLOOKUP(C141,SINAPI!A:D,4,0),(VLOOKUP(C141,SEINFRA!A:D,4,0)))</f>
        <v>13.17</v>
      </c>
      <c r="H141" s="75">
        <f t="shared" ref="H141" si="94">ROUND(G141*$K$3,2)</f>
        <v>17.29</v>
      </c>
      <c r="I141" s="75">
        <f t="shared" ref="I141" si="95">ROUND(F141*H141,2)</f>
        <v>750.9</v>
      </c>
    </row>
    <row r="142" spans="1:9" ht="51" x14ac:dyDescent="0.2">
      <c r="A142" s="202" t="s">
        <v>39269</v>
      </c>
      <c r="B142" s="71" t="s">
        <v>15</v>
      </c>
      <c r="C142" s="217">
        <v>90445</v>
      </c>
      <c r="D142" s="73" t="str">
        <f>IF(B142="SINAPI",VLOOKUP(C142,SINAPI!A:D,2,0),(VLOOKUP(C142,SEINFRA!A:D,2,0)))</f>
        <v>RASGO LINEAR MECANIZADO EM CONTRAPISO, PARA RAMAIS/ DISTRIBUIÇÃO DE INSTALAÇÕES HIDRÁULICAS, DIÂMETROS MAIORES QUE 40 MM E MENORES OU IGUAIS A 75 MM. AF_09/2023_PS</v>
      </c>
      <c r="E142" s="74" t="str">
        <f>IF(B142="SINAPI",VLOOKUP(C142,SINAPI!A:D,3,0),(VLOOKUP(C142,SEINFRA!A:D,3,0)))</f>
        <v>M</v>
      </c>
      <c r="F142" s="86">
        <f>VLOOKUP(A142,MEMORIAL!A:O,15,0)</f>
        <v>77.73</v>
      </c>
      <c r="G142" s="75">
        <f>IF(B142="SINAPI",VLOOKUP(C142,SINAPI!A:D,4,0),(VLOOKUP(C142,SEINFRA!A:D,4,0)))</f>
        <v>17.46</v>
      </c>
      <c r="H142" s="75">
        <f t="shared" ref="H142:H146" si="96">ROUND(G142*$K$3,2)</f>
        <v>22.93</v>
      </c>
      <c r="I142" s="75">
        <f t="shared" ref="I142:I146" si="97">ROUND(F142*H142,2)</f>
        <v>1782.35</v>
      </c>
    </row>
    <row r="143" spans="1:9" ht="38.25" x14ac:dyDescent="0.2">
      <c r="A143" s="202" t="s">
        <v>39270</v>
      </c>
      <c r="B143" s="71" t="s">
        <v>15</v>
      </c>
      <c r="C143" s="217">
        <v>90443</v>
      </c>
      <c r="D143" s="73" t="str">
        <f>IF(B143="SINAPI",VLOOKUP(C143,SINAPI!A:D,2,0),(VLOOKUP(C143,SEINFRA!A:D,2,0)))</f>
        <v>RASGO LINEAR MANUAL EM ALVENARIA, PARA RAMAIS/ DISTRIBUIÇÃO DE INSTALAÇÕES HIDRÁULICAS, DIÂMETROS MENORES OU IGUAIS A 40 MM. AF_09/2023</v>
      </c>
      <c r="E143" s="74" t="str">
        <f>IF(B143="SINAPI",VLOOKUP(C143,SINAPI!A:D,3,0),(VLOOKUP(C143,SEINFRA!A:D,3,0)))</f>
        <v>M</v>
      </c>
      <c r="F143" s="86">
        <f>VLOOKUP(A143,MEMORIAL!A:O,15,0)</f>
        <v>31.59</v>
      </c>
      <c r="G143" s="75">
        <f>IF(B143="SINAPI",VLOOKUP(C143,SINAPI!A:D,4,0),(VLOOKUP(C143,SEINFRA!A:D,4,0)))</f>
        <v>7.62</v>
      </c>
      <c r="H143" s="75">
        <f t="shared" si="96"/>
        <v>10.01</v>
      </c>
      <c r="I143" s="75">
        <f t="shared" si="97"/>
        <v>316.22000000000003</v>
      </c>
    </row>
    <row r="144" spans="1:9" ht="38.25" x14ac:dyDescent="0.2">
      <c r="A144" s="202" t="s">
        <v>39271</v>
      </c>
      <c r="B144" s="71" t="s">
        <v>15</v>
      </c>
      <c r="C144" s="217">
        <v>90468</v>
      </c>
      <c r="D144" s="73" t="str">
        <f>IF(B144="SINAPI",VLOOKUP(C144,SINAPI!A:D,2,0),(VLOOKUP(C144,SEINFRA!A:D,2,0)))</f>
        <v>CHUMBAMENTO LINEAR EM CONTRAPISO PARA RAMAIS/DISTRIBUIÇÃO DE INSTALAÇÕES HIDRÁULICAS COM DIÂMETROS MENORES OU IGUAIS A 40 MM. AF_09/2023</v>
      </c>
      <c r="E144" s="74" t="str">
        <f>IF(B144="SINAPI",VLOOKUP(C144,SINAPI!A:D,3,0),(VLOOKUP(C144,SEINFRA!A:D,3,0)))</f>
        <v>M</v>
      </c>
      <c r="F144" s="86">
        <f>VLOOKUP(A144,MEMORIAL!A:O,15,0)</f>
        <v>43.43</v>
      </c>
      <c r="G144" s="75">
        <f>IF(B144="SINAPI",VLOOKUP(C144,SINAPI!A:D,4,0),(VLOOKUP(C144,SEINFRA!A:D,4,0)))</f>
        <v>7.39</v>
      </c>
      <c r="H144" s="75">
        <f t="shared" si="96"/>
        <v>9.6999999999999993</v>
      </c>
      <c r="I144" s="75">
        <f t="shared" si="97"/>
        <v>421.27</v>
      </c>
    </row>
    <row r="145" spans="1:9" ht="51" x14ac:dyDescent="0.2">
      <c r="A145" s="202" t="s">
        <v>39272</v>
      </c>
      <c r="B145" s="71" t="s">
        <v>15</v>
      </c>
      <c r="C145" s="217">
        <v>90469</v>
      </c>
      <c r="D145" s="73" t="str">
        <f>IF(B145="SINAPI",VLOOKUP(C145,SINAPI!A:D,2,0),(VLOOKUP(C145,SEINFRA!A:D,2,0)))</f>
        <v>CHUMBAMENTO LINEAR EM CONTRAPISO PARA RAMAIS/DISTRIBUIÇÃO DE INSTALAÇÕES HIDRÁULICAS COM DIÂMETROS MAIORES QUE 40 MM E MENORES OU IGUAIS A 75 MM. AF_09/2023</v>
      </c>
      <c r="E145" s="74" t="str">
        <f>IF(B145="SINAPI",VLOOKUP(C145,SINAPI!A:D,3,0),(VLOOKUP(C145,SEINFRA!A:D,3,0)))</f>
        <v>M</v>
      </c>
      <c r="F145" s="86">
        <f>VLOOKUP(A145,MEMORIAL!A:O,15,0)</f>
        <v>77.73</v>
      </c>
      <c r="G145" s="75">
        <f>IF(B145="SINAPI",VLOOKUP(C145,SINAPI!A:D,4,0),(VLOOKUP(C145,SEINFRA!A:D,4,0)))</f>
        <v>11.23</v>
      </c>
      <c r="H145" s="75">
        <f t="shared" si="96"/>
        <v>14.75</v>
      </c>
      <c r="I145" s="75">
        <f t="shared" si="97"/>
        <v>1146.52</v>
      </c>
    </row>
    <row r="146" spans="1:9" ht="38.25" x14ac:dyDescent="0.2">
      <c r="A146" s="202" t="s">
        <v>39273</v>
      </c>
      <c r="B146" s="71" t="s">
        <v>15</v>
      </c>
      <c r="C146" s="217">
        <v>90466</v>
      </c>
      <c r="D146" s="73" t="str">
        <f>IF(B146="SINAPI",VLOOKUP(C146,SINAPI!A:D,2,0),(VLOOKUP(C146,SEINFRA!A:D,2,0)))</f>
        <v>CHUMBAMENTO LINEAR EM ALVENARIA PARA RAMAIS/DISTRIBUIÇÃO DE INSTALAÇÕES HIDRÁULICAS COM DIÂMETROS MENORES OU IGUAIS A 40 MM. AF_09/2023</v>
      </c>
      <c r="E146" s="74" t="str">
        <f>IF(B146="SINAPI",VLOOKUP(C146,SINAPI!A:D,3,0),(VLOOKUP(C146,SEINFRA!A:D,3,0)))</f>
        <v>M</v>
      </c>
      <c r="F146" s="86">
        <f>VLOOKUP(A146,MEMORIAL!A:O,15,0)</f>
        <v>31.59</v>
      </c>
      <c r="G146" s="75">
        <f>IF(B146="SINAPI",VLOOKUP(C146,SINAPI!A:D,4,0),(VLOOKUP(C146,SEINFRA!A:D,4,0)))</f>
        <v>14.82</v>
      </c>
      <c r="H146" s="75">
        <f t="shared" si="96"/>
        <v>19.46</v>
      </c>
      <c r="I146" s="75">
        <f t="shared" si="97"/>
        <v>614.74</v>
      </c>
    </row>
    <row r="147" spans="1:9" x14ac:dyDescent="0.2">
      <c r="A147" s="202"/>
      <c r="B147" s="207"/>
      <c r="C147" s="206"/>
      <c r="D147" s="201"/>
      <c r="E147" s="81"/>
      <c r="F147" s="204"/>
      <c r="G147" s="204"/>
      <c r="H147" s="205"/>
      <c r="I147" s="205"/>
    </row>
    <row r="148" spans="1:9" x14ac:dyDescent="0.2">
      <c r="A148" s="213" t="s">
        <v>39274</v>
      </c>
      <c r="B148" s="213"/>
      <c r="C148" s="213"/>
      <c r="D148" s="215" t="s">
        <v>39091</v>
      </c>
      <c r="E148" s="213"/>
      <c r="F148" s="314"/>
      <c r="G148" s="314"/>
      <c r="H148" s="314"/>
      <c r="I148" s="314">
        <f>ROUND(SUM(I149:I150),2)</f>
        <v>1016.64</v>
      </c>
    </row>
    <row r="149" spans="1:9" ht="38.25" x14ac:dyDescent="0.2">
      <c r="A149" s="202" t="s">
        <v>39275</v>
      </c>
      <c r="B149" s="71" t="s">
        <v>15</v>
      </c>
      <c r="C149" s="217">
        <v>89987</v>
      </c>
      <c r="D149" s="73" t="str">
        <f>IF(B149="SINAPI",VLOOKUP(C149,SINAPI!A:D,2,0),(VLOOKUP(C149,SEINFRA!A:D,2,0)))</f>
        <v>REGISTRO DE GAVETA BRUTO, LATÃO, ROSCÁVEL, 3/4", COM ACABAMENTO E CANOPLA CROMADOS - FORNECIMENTO E INSTALAÇÃO. AF_08/2021</v>
      </c>
      <c r="E149" s="74" t="str">
        <f>IF(B149="SINAPI",VLOOKUP(C149,SINAPI!A:D,3,0),(VLOOKUP(C149,SEINFRA!A:D,3,0)))</f>
        <v>UN</v>
      </c>
      <c r="F149" s="86">
        <f>VLOOKUP(A149,MEMORIAL!A:O,15,0)</f>
        <v>8</v>
      </c>
      <c r="G149" s="75">
        <f>IF(B149="SINAPI",VLOOKUP(C149,SINAPI!A:D,4,0),(VLOOKUP(C149,SEINFRA!A:D,4,0)))</f>
        <v>96.78</v>
      </c>
      <c r="H149" s="75">
        <f t="shared" ref="H149" si="98">ROUND(G149*$K$3,2)</f>
        <v>127.08</v>
      </c>
      <c r="I149" s="75">
        <f t="shared" ref="I149" si="99">ROUND(F149*H149,2)</f>
        <v>1016.64</v>
      </c>
    </row>
    <row r="150" spans="1:9" x14ac:dyDescent="0.2">
      <c r="A150" s="202"/>
      <c r="B150" s="207"/>
      <c r="C150" s="206"/>
      <c r="D150" s="201"/>
      <c r="E150" s="81"/>
      <c r="F150" s="204"/>
      <c r="G150" s="204"/>
      <c r="H150" s="205"/>
      <c r="I150" s="205"/>
    </row>
    <row r="151" spans="1:9" x14ac:dyDescent="0.2">
      <c r="A151" s="210">
        <v>9</v>
      </c>
      <c r="B151" s="210"/>
      <c r="C151" s="210"/>
      <c r="D151" s="212" t="s">
        <v>39092</v>
      </c>
      <c r="E151" s="210"/>
      <c r="F151" s="313"/>
      <c r="G151" s="313"/>
      <c r="H151" s="313"/>
      <c r="I151" s="313">
        <f>ROUND(I152+I173+I185+I190+I194,2)</f>
        <v>31577.02</v>
      </c>
    </row>
    <row r="152" spans="1:9" x14ac:dyDescent="0.2">
      <c r="A152" s="213" t="s">
        <v>39276</v>
      </c>
      <c r="B152" s="213"/>
      <c r="C152" s="213"/>
      <c r="D152" s="215" t="s">
        <v>39088</v>
      </c>
      <c r="E152" s="213"/>
      <c r="F152" s="314"/>
      <c r="G152" s="314"/>
      <c r="H152" s="314"/>
      <c r="I152" s="314">
        <f>ROUND(SUM(I153:I172),2)</f>
        <v>8705.98</v>
      </c>
    </row>
    <row r="153" spans="1:9" ht="38.25" x14ac:dyDescent="0.2">
      <c r="A153" s="202" t="s">
        <v>39277</v>
      </c>
      <c r="B153" s="71" t="s">
        <v>15</v>
      </c>
      <c r="C153" s="217">
        <v>89714</v>
      </c>
      <c r="D153" s="73" t="str">
        <f>IF(B153="SINAPI",VLOOKUP(C153,SINAPI!A:D,2,0),(VLOOKUP(C153,SEINFRA!A:D,2,0)))</f>
        <v>TUBO PVC, SERIE NORMAL, ESGOTO PREDIAL, DN 100 MM, FORNECIDO E INSTALADO EM RAMAL DE DESCARGA OU RAMAL DE ESGOTO SANITÁRIO. AF_08/2022</v>
      </c>
      <c r="E153" s="74" t="str">
        <f>IF(B153="SINAPI",VLOOKUP(C153,SINAPI!A:D,3,0),(VLOOKUP(C153,SEINFRA!A:D,3,0)))</f>
        <v>M</v>
      </c>
      <c r="F153" s="86">
        <f>VLOOKUP(A153,MEMORIAL!A:O,15,0)</f>
        <v>70.489999999999995</v>
      </c>
      <c r="G153" s="75">
        <f>IF(B153="SINAPI",VLOOKUP(C153,SINAPI!A:D,4,0),(VLOOKUP(C153,SEINFRA!A:D,4,0)))</f>
        <v>38.450000000000003</v>
      </c>
      <c r="H153" s="75">
        <f t="shared" ref="H153" si="100">ROUND(G153*$K$3,2)</f>
        <v>50.49</v>
      </c>
      <c r="I153" s="75">
        <f t="shared" ref="I153" si="101">ROUND(F153*H153,2)</f>
        <v>3559.04</v>
      </c>
    </row>
    <row r="154" spans="1:9" ht="38.25" x14ac:dyDescent="0.2">
      <c r="A154" s="202" t="s">
        <v>39278</v>
      </c>
      <c r="B154" s="71" t="s">
        <v>15</v>
      </c>
      <c r="C154" s="217">
        <v>89712</v>
      </c>
      <c r="D154" s="73" t="str">
        <f>IF(B154="SINAPI",VLOOKUP(C154,SINAPI!A:D,2,0),(VLOOKUP(C154,SEINFRA!A:D,2,0)))</f>
        <v>TUBO PVC, SERIE NORMAL, ESGOTO PREDIAL, DN 50 MM, FORNECIDO E INSTALADO EM RAMAL DE DESCARGA OU RAMAL DE ESGOTO SANITÁRIO. AF_08/2022</v>
      </c>
      <c r="E154" s="74" t="str">
        <f>IF(B154="SINAPI",VLOOKUP(C154,SINAPI!A:D,3,0),(VLOOKUP(C154,SEINFRA!A:D,3,0)))</f>
        <v>M</v>
      </c>
      <c r="F154" s="86">
        <f>VLOOKUP(A154,MEMORIAL!A:O,15,0)</f>
        <v>13.45</v>
      </c>
      <c r="G154" s="75">
        <f>IF(B154="SINAPI",VLOOKUP(C154,SINAPI!A:D,4,0),(VLOOKUP(C154,SEINFRA!A:D,4,0)))</f>
        <v>27.61</v>
      </c>
      <c r="H154" s="75">
        <f t="shared" ref="H154:H171" si="102">ROUND(G154*$K$3,2)</f>
        <v>36.25</v>
      </c>
      <c r="I154" s="75">
        <f t="shared" ref="I154:I171" si="103">ROUND(F154*H154,2)</f>
        <v>487.56</v>
      </c>
    </row>
    <row r="155" spans="1:9" ht="38.25" x14ac:dyDescent="0.2">
      <c r="A155" s="202" t="s">
        <v>39279</v>
      </c>
      <c r="B155" s="71" t="s">
        <v>15</v>
      </c>
      <c r="C155" s="217">
        <v>89798</v>
      </c>
      <c r="D155" s="73" t="str">
        <f>IF(B155="SINAPI",VLOOKUP(C155,SINAPI!A:D,2,0),(VLOOKUP(C155,SEINFRA!A:D,2,0)))</f>
        <v>TUBO PVC, SERIE NORMAL, ESGOTO PREDIAL, DN 50 MM, FORNECIDO E INSTALADO EM PRUMADA DE ESGOTO SANITÁRIO OU VENTILAÇÃO. AF_08/2022</v>
      </c>
      <c r="E155" s="74" t="str">
        <f>IF(B155="SINAPI",VLOOKUP(C155,SINAPI!A:D,3,0),(VLOOKUP(C155,SEINFRA!A:D,3,0)))</f>
        <v>M</v>
      </c>
      <c r="F155" s="86">
        <f>VLOOKUP(A155,MEMORIAL!A:O,15,0)</f>
        <v>30.04</v>
      </c>
      <c r="G155" s="75">
        <f>IF(B155="SINAPI",VLOOKUP(C155,SINAPI!A:D,4,0),(VLOOKUP(C155,SEINFRA!A:D,4,0)))</f>
        <v>14.2</v>
      </c>
      <c r="H155" s="75">
        <f t="shared" si="102"/>
        <v>18.649999999999999</v>
      </c>
      <c r="I155" s="75">
        <f t="shared" si="103"/>
        <v>560.25</v>
      </c>
    </row>
    <row r="156" spans="1:9" ht="38.25" x14ac:dyDescent="0.2">
      <c r="A156" s="202" t="s">
        <v>39280</v>
      </c>
      <c r="B156" s="71" t="s">
        <v>15</v>
      </c>
      <c r="C156" s="217">
        <v>89711</v>
      </c>
      <c r="D156" s="73" t="str">
        <f>IF(B156="SINAPI",VLOOKUP(C156,SINAPI!A:D,2,0),(VLOOKUP(C156,SEINFRA!A:D,2,0)))</f>
        <v>TUBO PVC, SERIE NORMAL, ESGOTO PREDIAL, DN 40 MM, FORNECIDO E INSTALADO EM RAMAL DE DESCARGA OU RAMAL DE ESGOTO SANITÁRIO. AF_08/2022</v>
      </c>
      <c r="E156" s="74" t="str">
        <f>IF(B156="SINAPI",VLOOKUP(C156,SINAPI!A:D,3,0),(VLOOKUP(C156,SEINFRA!A:D,3,0)))</f>
        <v>M</v>
      </c>
      <c r="F156" s="86">
        <f>VLOOKUP(A156,MEMORIAL!A:O,15,0)</f>
        <v>30.42</v>
      </c>
      <c r="G156" s="75">
        <f>IF(B156="SINAPI",VLOOKUP(C156,SINAPI!A:D,4,0),(VLOOKUP(C156,SEINFRA!A:D,4,0)))</f>
        <v>21.59</v>
      </c>
      <c r="H156" s="75">
        <f t="shared" si="102"/>
        <v>28.35</v>
      </c>
      <c r="I156" s="75">
        <f t="shared" si="103"/>
        <v>862.41</v>
      </c>
    </row>
    <row r="157" spans="1:9" ht="51" x14ac:dyDescent="0.2">
      <c r="A157" s="202" t="s">
        <v>39281</v>
      </c>
      <c r="B157" s="71" t="s">
        <v>15</v>
      </c>
      <c r="C157" s="217">
        <v>104348</v>
      </c>
      <c r="D157" s="73" t="str">
        <f>IF(B157="SINAPI",VLOOKUP(C157,SINAPI!A:D,2,0),(VLOOKUP(C157,SEINFRA!A:D,2,0)))</f>
        <v>TERMINAL DE VENTILAÇÃO, PVC, SÉRIE NORMAL, ESGOTO PREDIAL, DN 50 MM, JUNTA SOLDÁVEL, FORNECIDO E INSTALADO EM PRUMADA DE ESGOTO SANITÁRIO OU VENTILAÇÃO. AF_08/2022</v>
      </c>
      <c r="E157" s="74" t="str">
        <f>IF(B157="SINAPI",VLOOKUP(C157,SINAPI!A:D,3,0),(VLOOKUP(C157,SEINFRA!A:D,3,0)))</f>
        <v>UN</v>
      </c>
      <c r="F157" s="86">
        <f>VLOOKUP(A157,MEMORIAL!A:O,15,0)</f>
        <v>9</v>
      </c>
      <c r="G157" s="75">
        <f>IF(B157="SINAPI",VLOOKUP(C157,SINAPI!A:D,4,0),(VLOOKUP(C157,SEINFRA!A:D,4,0)))</f>
        <v>11.6</v>
      </c>
      <c r="H157" s="75">
        <f t="shared" si="102"/>
        <v>15.23</v>
      </c>
      <c r="I157" s="75">
        <f t="shared" si="103"/>
        <v>137.07</v>
      </c>
    </row>
    <row r="158" spans="1:9" ht="51" x14ac:dyDescent="0.2">
      <c r="A158" s="202" t="s">
        <v>39282</v>
      </c>
      <c r="B158" s="71" t="s">
        <v>15</v>
      </c>
      <c r="C158" s="217">
        <v>89746</v>
      </c>
      <c r="D158" s="73" t="str">
        <f>IF(B158="SINAPI",VLOOKUP(C158,SINAPI!A:D,2,0),(VLOOKUP(C158,SEINFRA!A:D,2,0)))</f>
        <v>JOELHO 45 GRAUS, PVC, SERIE NORMAL, ESGOTO PREDIAL, DN 100 MM, JUNTA ELÁSTICA, FORNECIDO E INSTALADO EM RAMAL DE DESCARGA OU RAMAL DE ESGOTO SANITÁRIO. AF_08/2022</v>
      </c>
      <c r="E158" s="74" t="str">
        <f>IF(B158="SINAPI",VLOOKUP(C158,SINAPI!A:D,3,0),(VLOOKUP(C158,SEINFRA!A:D,3,0)))</f>
        <v>UN</v>
      </c>
      <c r="F158" s="86">
        <f>VLOOKUP(A158,MEMORIAL!A:O,15,0)</f>
        <v>10</v>
      </c>
      <c r="G158" s="75">
        <f>IF(B158="SINAPI",VLOOKUP(C158,SINAPI!A:D,4,0),(VLOOKUP(C158,SEINFRA!A:D,4,0)))</f>
        <v>30.81</v>
      </c>
      <c r="H158" s="75">
        <f t="shared" si="102"/>
        <v>40.46</v>
      </c>
      <c r="I158" s="75">
        <f t="shared" si="103"/>
        <v>404.6</v>
      </c>
    </row>
    <row r="159" spans="1:9" ht="51" x14ac:dyDescent="0.2">
      <c r="A159" s="202" t="s">
        <v>39283</v>
      </c>
      <c r="B159" s="71" t="s">
        <v>15</v>
      </c>
      <c r="C159" s="217">
        <v>89748</v>
      </c>
      <c r="D159" s="73" t="str">
        <f>IF(B159="SINAPI",VLOOKUP(C159,SINAPI!A:D,2,0),(VLOOKUP(C159,SEINFRA!A:D,2,0)))</f>
        <v>CURVA CURTA 90 GRAUS, PVC, SERIE NORMAL, ESGOTO PREDIAL, DN 100 MM, JUNTA ELÁSTICA, FORNECIDO E INSTALADO EM RAMAL DE DESCARGA OU RAMAL DE ESGOTO SANITÁRIO. AF_08/2022</v>
      </c>
      <c r="E159" s="74" t="str">
        <f>IF(B159="SINAPI",VLOOKUP(C159,SINAPI!A:D,3,0),(VLOOKUP(C159,SEINFRA!A:D,3,0)))</f>
        <v>UN</v>
      </c>
      <c r="F159" s="86">
        <f>VLOOKUP(A159,MEMORIAL!A:O,15,0)</f>
        <v>9</v>
      </c>
      <c r="G159" s="75">
        <f>IF(B159="SINAPI",VLOOKUP(C159,SINAPI!A:D,4,0),(VLOOKUP(C159,SEINFRA!A:D,4,0)))</f>
        <v>46.01</v>
      </c>
      <c r="H159" s="75">
        <f t="shared" si="102"/>
        <v>60.42</v>
      </c>
      <c r="I159" s="75">
        <f t="shared" si="103"/>
        <v>543.78</v>
      </c>
    </row>
    <row r="160" spans="1:9" ht="51" x14ac:dyDescent="0.2">
      <c r="A160" s="202" t="s">
        <v>39284</v>
      </c>
      <c r="B160" s="71" t="s">
        <v>15</v>
      </c>
      <c r="C160" s="217">
        <v>89797</v>
      </c>
      <c r="D160" s="73" t="str">
        <f>IF(B160="SINAPI",VLOOKUP(C160,SINAPI!A:D,2,0),(VLOOKUP(C160,SEINFRA!A:D,2,0)))</f>
        <v>JUNÇÃO SIMPLES, PVC, SERIE NORMAL, ESGOTO PREDIAL, DN 100 X 100 MM, JUNTA ELÁSTICA, FORNECIDO E INSTALADO EM RAMAL DE DESCARGA OU RAMAL DE ESGOTO SANITÁRIO. AF_08/2022</v>
      </c>
      <c r="E160" s="74" t="str">
        <f>IF(B160="SINAPI",VLOOKUP(C160,SINAPI!A:D,3,0),(VLOOKUP(C160,SEINFRA!A:D,3,0)))</f>
        <v>UN</v>
      </c>
      <c r="F160" s="86">
        <f>VLOOKUP(A160,MEMORIAL!A:O,15,0)</f>
        <v>8</v>
      </c>
      <c r="G160" s="75">
        <f>IF(B160="SINAPI",VLOOKUP(C160,SINAPI!A:D,4,0),(VLOOKUP(C160,SEINFRA!A:D,4,0)))</f>
        <v>55.73</v>
      </c>
      <c r="H160" s="75">
        <f t="shared" si="102"/>
        <v>73.180000000000007</v>
      </c>
      <c r="I160" s="75">
        <f t="shared" si="103"/>
        <v>585.44000000000005</v>
      </c>
    </row>
    <row r="161" spans="1:9" ht="51" x14ac:dyDescent="0.2">
      <c r="A161" s="202" t="s">
        <v>39285</v>
      </c>
      <c r="B161" s="71" t="s">
        <v>15</v>
      </c>
      <c r="C161" s="217">
        <v>89731</v>
      </c>
      <c r="D161" s="73" t="str">
        <f>IF(B161="SINAPI",VLOOKUP(C161,SINAPI!A:D,2,0),(VLOOKUP(C161,SEINFRA!A:D,2,0)))</f>
        <v>JOELHO 90 GRAUS, PVC, SERIE NORMAL, ESGOTO PREDIAL, DN 50 MM, JUNTA ELÁSTICA, FORNECIDO E INSTALADO EM RAMAL DE DESCARGA OU RAMAL DE ESGOTO SANITÁRIO. AF_08/2022</v>
      </c>
      <c r="E161" s="74" t="str">
        <f>IF(B161="SINAPI",VLOOKUP(C161,SINAPI!A:D,3,0),(VLOOKUP(C161,SEINFRA!A:D,3,0)))</f>
        <v>UN</v>
      </c>
      <c r="F161" s="86">
        <f>VLOOKUP(A161,MEMORIAL!A:O,15,0)</f>
        <v>4</v>
      </c>
      <c r="G161" s="75">
        <f>IF(B161="SINAPI",VLOOKUP(C161,SINAPI!A:D,4,0),(VLOOKUP(C161,SEINFRA!A:D,4,0)))</f>
        <v>16.16</v>
      </c>
      <c r="H161" s="75">
        <f t="shared" si="102"/>
        <v>21.22</v>
      </c>
      <c r="I161" s="75">
        <f t="shared" si="103"/>
        <v>84.88</v>
      </c>
    </row>
    <row r="162" spans="1:9" ht="51" x14ac:dyDescent="0.2">
      <c r="A162" s="202" t="s">
        <v>39286</v>
      </c>
      <c r="B162" s="71" t="s">
        <v>15</v>
      </c>
      <c r="C162" s="217">
        <v>89732</v>
      </c>
      <c r="D162" s="73" t="str">
        <f>IF(B162="SINAPI",VLOOKUP(C162,SINAPI!A:D,2,0),(VLOOKUP(C162,SEINFRA!A:D,2,0)))</f>
        <v>JOELHO 45 GRAUS, PVC, SERIE NORMAL, ESGOTO PREDIAL, DN 50 MM, JUNTA ELÁSTICA, FORNECIDO E INSTALADO EM RAMAL DE DESCARGA OU RAMAL DE ESGOTO SANITÁRIO. AF_08/2022</v>
      </c>
      <c r="E162" s="74" t="str">
        <f>IF(B162="SINAPI",VLOOKUP(C162,SINAPI!A:D,3,0),(VLOOKUP(C162,SEINFRA!A:D,3,0)))</f>
        <v>UN</v>
      </c>
      <c r="F162" s="86">
        <f>VLOOKUP(A162,MEMORIAL!A:O,15,0)</f>
        <v>3</v>
      </c>
      <c r="G162" s="75">
        <f>IF(B162="SINAPI",VLOOKUP(C162,SINAPI!A:D,4,0),(VLOOKUP(C162,SEINFRA!A:D,4,0)))</f>
        <v>16.940000000000001</v>
      </c>
      <c r="H162" s="75">
        <f t="shared" si="102"/>
        <v>22.24</v>
      </c>
      <c r="I162" s="75">
        <f t="shared" si="103"/>
        <v>66.72</v>
      </c>
    </row>
    <row r="163" spans="1:9" ht="51" x14ac:dyDescent="0.2">
      <c r="A163" s="202" t="s">
        <v>39287</v>
      </c>
      <c r="B163" s="71" t="s">
        <v>15</v>
      </c>
      <c r="C163" s="217">
        <v>89801</v>
      </c>
      <c r="D163" s="73" t="str">
        <f>IF(B163="SINAPI",VLOOKUP(C163,SINAPI!A:D,2,0),(VLOOKUP(C163,SEINFRA!A:D,2,0)))</f>
        <v>JOELHO 90 GRAUS, PVC, SERIE NORMAL, ESGOTO PREDIAL, DN 50 MM, JUNTA ELÁSTICA, FORNECIDO E INSTALADO EM PRUMADA DE ESGOTO SANITÁRIO OU VENTILAÇÃO. AF_08/2022</v>
      </c>
      <c r="E163" s="74" t="str">
        <f>IF(B163="SINAPI",VLOOKUP(C163,SINAPI!A:D,3,0),(VLOOKUP(C163,SEINFRA!A:D,3,0)))</f>
        <v>UN</v>
      </c>
      <c r="F163" s="86">
        <f>VLOOKUP(A163,MEMORIAL!A:O,15,0)</f>
        <v>6</v>
      </c>
      <c r="G163" s="75">
        <f>IF(B163="SINAPI",VLOOKUP(C163,SINAPI!A:D,4,0),(VLOOKUP(C163,SEINFRA!A:D,4,0)))</f>
        <v>11.14</v>
      </c>
      <c r="H163" s="75">
        <f t="shared" si="102"/>
        <v>14.63</v>
      </c>
      <c r="I163" s="75">
        <f t="shared" si="103"/>
        <v>87.78</v>
      </c>
    </row>
    <row r="164" spans="1:9" ht="51" x14ac:dyDescent="0.2">
      <c r="A164" s="202" t="s">
        <v>39288</v>
      </c>
      <c r="B164" s="71" t="s">
        <v>15</v>
      </c>
      <c r="C164" s="217">
        <v>89785</v>
      </c>
      <c r="D164" s="73" t="str">
        <f>IF(B164="SINAPI",VLOOKUP(C164,SINAPI!A:D,2,0),(VLOOKUP(C164,SEINFRA!A:D,2,0)))</f>
        <v>JUNÇÃO SIMPLES, PVC, SERIE NORMAL, ESGOTO PREDIAL, DN 50 X 50 MM, JUNTA ELÁSTICA, FORNECIDO E INSTALADO EM RAMAL DE DESCARGA OU RAMAL DE ESGOTO SANITÁRIO. AF_08/2022</v>
      </c>
      <c r="E164" s="74" t="str">
        <f>IF(B164="SINAPI",VLOOKUP(C164,SINAPI!A:D,3,0),(VLOOKUP(C164,SEINFRA!A:D,3,0)))</f>
        <v>UN</v>
      </c>
      <c r="F164" s="86">
        <f>VLOOKUP(A164,MEMORIAL!A:O,15,0)</f>
        <v>1</v>
      </c>
      <c r="G164" s="75">
        <f>IF(B164="SINAPI",VLOOKUP(C164,SINAPI!A:D,4,0),(VLOOKUP(C164,SEINFRA!A:D,4,0)))</f>
        <v>28.79</v>
      </c>
      <c r="H164" s="75">
        <f t="shared" si="102"/>
        <v>37.799999999999997</v>
      </c>
      <c r="I164" s="75">
        <f t="shared" si="103"/>
        <v>37.799999999999997</v>
      </c>
    </row>
    <row r="165" spans="1:9" ht="51" x14ac:dyDescent="0.2">
      <c r="A165" s="202" t="s">
        <v>39289</v>
      </c>
      <c r="B165" s="71" t="s">
        <v>15</v>
      </c>
      <c r="C165" s="217">
        <v>104345</v>
      </c>
      <c r="D165" s="73" t="str">
        <f>IF(B165="SINAPI",VLOOKUP(C165,SINAPI!A:D,2,0),(VLOOKUP(C165,SEINFRA!A:D,2,0)))</f>
        <v>JUNÇÃO DE REDUÇÃO INVERTIDA, PVC, SÉRIE NORMAL, ESGOTO PREDIAL, DN 100 X 50 MM, JUNTA ELÁSTICA, FORNECIDO E INSTALADO EM RAMAL DE DESCARGA OU RAMAL DE ESGOTO SANITÁRIO. AF_08/2022</v>
      </c>
      <c r="E165" s="74" t="str">
        <f>IF(B165="SINAPI",VLOOKUP(C165,SINAPI!A:D,3,0),(VLOOKUP(C165,SEINFRA!A:D,3,0)))</f>
        <v>UN</v>
      </c>
      <c r="F165" s="86">
        <f>VLOOKUP(A165,MEMORIAL!A:O,15,0)</f>
        <v>4</v>
      </c>
      <c r="G165" s="75">
        <f>IF(B165="SINAPI",VLOOKUP(C165,SINAPI!A:D,4,0),(VLOOKUP(C165,SEINFRA!A:D,4,0)))</f>
        <v>46.5</v>
      </c>
      <c r="H165" s="75">
        <f t="shared" si="102"/>
        <v>61.06</v>
      </c>
      <c r="I165" s="75">
        <f t="shared" si="103"/>
        <v>244.24</v>
      </c>
    </row>
    <row r="166" spans="1:9" ht="51" x14ac:dyDescent="0.2">
      <c r="A166" s="202" t="s">
        <v>39290</v>
      </c>
      <c r="B166" s="71" t="s">
        <v>15</v>
      </c>
      <c r="C166" s="217">
        <v>89801</v>
      </c>
      <c r="D166" s="73" t="str">
        <f>IF(B166="SINAPI",VLOOKUP(C166,SINAPI!A:D,2,0),(VLOOKUP(C166,SEINFRA!A:D,2,0)))</f>
        <v>JOELHO 90 GRAUS, PVC, SERIE NORMAL, ESGOTO PREDIAL, DN 50 MM, JUNTA ELÁSTICA, FORNECIDO E INSTALADO EM PRUMADA DE ESGOTO SANITÁRIO OU VENTILAÇÃO. AF_08/2022</v>
      </c>
      <c r="E166" s="74" t="str">
        <f>IF(B166="SINAPI",VLOOKUP(C166,SINAPI!A:D,3,0),(VLOOKUP(C166,SEINFRA!A:D,3,0)))</f>
        <v>UN</v>
      </c>
      <c r="F166" s="86">
        <f>VLOOKUP(A166,MEMORIAL!A:O,15,0)</f>
        <v>4</v>
      </c>
      <c r="G166" s="75">
        <f>IF(B166="SINAPI",VLOOKUP(C166,SINAPI!A:D,4,0),(VLOOKUP(C166,SEINFRA!A:D,4,0)))</f>
        <v>11.14</v>
      </c>
      <c r="H166" s="75">
        <f t="shared" si="102"/>
        <v>14.63</v>
      </c>
      <c r="I166" s="75">
        <f t="shared" si="103"/>
        <v>58.52</v>
      </c>
    </row>
    <row r="167" spans="1:9" ht="51" x14ac:dyDescent="0.2">
      <c r="A167" s="202" t="s">
        <v>39291</v>
      </c>
      <c r="B167" s="71" t="s">
        <v>15</v>
      </c>
      <c r="C167" s="217">
        <v>89801</v>
      </c>
      <c r="D167" s="73" t="str">
        <f>IF(B167="SINAPI",VLOOKUP(C167,SINAPI!A:D,2,0),(VLOOKUP(C167,SEINFRA!A:D,2,0)))</f>
        <v>JOELHO 90 GRAUS, PVC, SERIE NORMAL, ESGOTO PREDIAL, DN 50 MM, JUNTA ELÁSTICA, FORNECIDO E INSTALADO EM PRUMADA DE ESGOTO SANITÁRIO OU VENTILAÇÃO. AF_08/2022</v>
      </c>
      <c r="E167" s="74" t="str">
        <f>IF(B167="SINAPI",VLOOKUP(C167,SINAPI!A:D,3,0),(VLOOKUP(C167,SEINFRA!A:D,3,0)))</f>
        <v>UN</v>
      </c>
      <c r="F167" s="86">
        <f>VLOOKUP(A167,MEMORIAL!A:O,15,0)</f>
        <v>8</v>
      </c>
      <c r="G167" s="75">
        <f>IF(B167="SINAPI",VLOOKUP(C167,SINAPI!A:D,4,0),(VLOOKUP(C167,SEINFRA!A:D,4,0)))</f>
        <v>11.14</v>
      </c>
      <c r="H167" s="75">
        <f t="shared" si="102"/>
        <v>14.63</v>
      </c>
      <c r="I167" s="75">
        <f t="shared" si="103"/>
        <v>117.04</v>
      </c>
    </row>
    <row r="168" spans="1:9" ht="51" x14ac:dyDescent="0.2">
      <c r="A168" s="202" t="s">
        <v>39292</v>
      </c>
      <c r="B168" s="71" t="s">
        <v>15</v>
      </c>
      <c r="C168" s="217">
        <v>104352</v>
      </c>
      <c r="D168" s="73" t="str">
        <f>IF(B168="SINAPI",VLOOKUP(C168,SINAPI!A:D,2,0),(VLOOKUP(C168,SEINFRA!A:D,2,0)))</f>
        <v>TE, PVC, SÉRIE NORMAL, ESGOTO PREDIAL, DN 100 X 50 MM, JUNTA ELÁSTICA, FORNECIDO E INSTALADO EM PRUMADA DE ESGOTO SANITÁRIO OU VENTILAÇÃO. AF_08/2022</v>
      </c>
      <c r="E168" s="74" t="str">
        <f>IF(B168="SINAPI",VLOOKUP(C168,SINAPI!A:D,3,0),(VLOOKUP(C168,SEINFRA!A:D,3,0)))</f>
        <v>UN</v>
      </c>
      <c r="F168" s="86">
        <f>VLOOKUP(A168,MEMORIAL!A:O,15,0)</f>
        <v>3</v>
      </c>
      <c r="G168" s="75">
        <f>IF(B168="SINAPI",VLOOKUP(C168,SINAPI!A:D,4,0),(VLOOKUP(C168,SEINFRA!A:D,4,0)))</f>
        <v>43.12</v>
      </c>
      <c r="H168" s="75">
        <f t="shared" si="102"/>
        <v>56.62</v>
      </c>
      <c r="I168" s="75">
        <f t="shared" si="103"/>
        <v>169.86</v>
      </c>
    </row>
    <row r="169" spans="1:9" ht="38.25" x14ac:dyDescent="0.2">
      <c r="A169" s="202" t="s">
        <v>39293</v>
      </c>
      <c r="B169" s="71" t="s">
        <v>15</v>
      </c>
      <c r="C169" s="217">
        <v>89825</v>
      </c>
      <c r="D169" s="73" t="str">
        <f>IF(B169="SINAPI",VLOOKUP(C169,SINAPI!A:D,2,0),(VLOOKUP(C169,SEINFRA!A:D,2,0)))</f>
        <v>TE, PVC, SERIE NORMAL, ESGOTO PREDIAL, DN 50 X 50 MM, JUNTA ELÁSTICA, FORNECIDO E INSTALADO EM PRUMADA DE ESGOTO SANITÁRIO OU VENTILAÇÃO. AF_08/2022</v>
      </c>
      <c r="E169" s="74" t="str">
        <f>IF(B169="SINAPI",VLOOKUP(C169,SINAPI!A:D,3,0),(VLOOKUP(C169,SEINFRA!A:D,3,0)))</f>
        <v>UN</v>
      </c>
      <c r="F169" s="86">
        <f>VLOOKUP(A169,MEMORIAL!A:O,15,0)</f>
        <v>3</v>
      </c>
      <c r="G169" s="75">
        <f>IF(B169="SINAPI",VLOOKUP(C169,SINAPI!A:D,4,0),(VLOOKUP(C169,SEINFRA!A:D,4,0)))</f>
        <v>19.57</v>
      </c>
      <c r="H169" s="75">
        <f t="shared" si="102"/>
        <v>25.7</v>
      </c>
      <c r="I169" s="75">
        <f t="shared" si="103"/>
        <v>77.099999999999994</v>
      </c>
    </row>
    <row r="170" spans="1:9" ht="51" x14ac:dyDescent="0.2">
      <c r="A170" s="202" t="s">
        <v>39294</v>
      </c>
      <c r="B170" s="71" t="s">
        <v>15</v>
      </c>
      <c r="C170" s="217">
        <v>89724</v>
      </c>
      <c r="D170" s="73" t="str">
        <f>IF(B170="SINAPI",VLOOKUP(C170,SINAPI!A:D,2,0),(VLOOKUP(C170,SEINFRA!A:D,2,0)))</f>
        <v>JOELHO 90 GRAUS, PVC, SERIE NORMAL, ESGOTO PREDIAL, DN 40 MM, JUNTA SOLDÁVEL, FORNECIDO E INSTALADO EM RAMAL DE DESCARGA OU RAMAL DE ESGOTO SANITÁRIO. AF_08/2022</v>
      </c>
      <c r="E170" s="74" t="str">
        <f>IF(B170="SINAPI",VLOOKUP(C170,SINAPI!A:D,3,0),(VLOOKUP(C170,SEINFRA!A:D,3,0)))</f>
        <v>UN</v>
      </c>
      <c r="F170" s="86">
        <f>VLOOKUP(A170,MEMORIAL!A:O,15,0)</f>
        <v>21</v>
      </c>
      <c r="G170" s="75">
        <f>IF(B170="SINAPI",VLOOKUP(C170,SINAPI!A:D,4,0),(VLOOKUP(C170,SEINFRA!A:D,4,0)))</f>
        <v>10.16</v>
      </c>
      <c r="H170" s="75">
        <f t="shared" si="102"/>
        <v>13.34</v>
      </c>
      <c r="I170" s="75">
        <f t="shared" si="103"/>
        <v>280.14</v>
      </c>
    </row>
    <row r="171" spans="1:9" ht="51" x14ac:dyDescent="0.2">
      <c r="A171" s="202" t="s">
        <v>39295</v>
      </c>
      <c r="B171" s="71" t="s">
        <v>15</v>
      </c>
      <c r="C171" s="217">
        <v>89726</v>
      </c>
      <c r="D171" s="73" t="str">
        <f>IF(B171="SINAPI",VLOOKUP(C171,SINAPI!A:D,2,0),(VLOOKUP(C171,SEINFRA!A:D,2,0)))</f>
        <v>JOELHO 45 GRAUS, PVC, SERIE NORMAL, ESGOTO PREDIAL, DN 40 MM, JUNTA SOLDÁVEL, FORNECIDO E INSTALADO EM RAMAL DE DESCARGA OU RAMAL DE ESGOTO SANITÁRIO. AF_08/2022</v>
      </c>
      <c r="E171" s="74" t="str">
        <f>IF(B171="SINAPI",VLOOKUP(C171,SINAPI!A:D,3,0),(VLOOKUP(C171,SEINFRA!A:D,3,0)))</f>
        <v>UN</v>
      </c>
      <c r="F171" s="86">
        <f>VLOOKUP(A171,MEMORIAL!A:O,15,0)</f>
        <v>25</v>
      </c>
      <c r="G171" s="75">
        <f>IF(B171="SINAPI",VLOOKUP(C171,SINAPI!A:D,4,0),(VLOOKUP(C171,SEINFRA!A:D,4,0)))</f>
        <v>10.41</v>
      </c>
      <c r="H171" s="75">
        <f t="shared" si="102"/>
        <v>13.67</v>
      </c>
      <c r="I171" s="75">
        <f t="shared" si="103"/>
        <v>341.75</v>
      </c>
    </row>
    <row r="172" spans="1:9" x14ac:dyDescent="0.2">
      <c r="A172" s="202"/>
      <c r="B172" s="207"/>
      <c r="C172" s="206"/>
      <c r="D172" s="201"/>
      <c r="E172" s="81"/>
      <c r="F172" s="204"/>
      <c r="G172" s="204"/>
      <c r="H172" s="205"/>
      <c r="I172" s="205"/>
    </row>
    <row r="173" spans="1:9" x14ac:dyDescent="0.2">
      <c r="A173" s="213" t="s">
        <v>39296</v>
      </c>
      <c r="B173" s="213"/>
      <c r="C173" s="213"/>
      <c r="D173" s="215" t="s">
        <v>39086</v>
      </c>
      <c r="E173" s="213"/>
      <c r="F173" s="314"/>
      <c r="G173" s="314"/>
      <c r="H173" s="314"/>
      <c r="I173" s="314">
        <f>ROUND(SUM(I174:I184),2)</f>
        <v>6042.21</v>
      </c>
    </row>
    <row r="174" spans="1:9" ht="51" x14ac:dyDescent="0.2">
      <c r="A174" s="202" t="s">
        <v>39297</v>
      </c>
      <c r="B174" s="71" t="s">
        <v>15</v>
      </c>
      <c r="C174" s="217">
        <v>90446</v>
      </c>
      <c r="D174" s="73" t="str">
        <f>IF(B174="SINAPI",VLOOKUP(C174,SINAPI!A:D,2,0),(VLOOKUP(C174,SEINFRA!A:D,2,0)))</f>
        <v>RASGO LINEAR MECANIZADO EM CONTRAPISO, PARA RAMAIS/ DISTRIBUIÇÃO DE INSTALAÇÕES HIDRÁULICAS, DIÂMETROS MAIORES QUE 75 MM E MENORES OU IGUAIS A 100 MM. AF_09/2023_PS</v>
      </c>
      <c r="E174" s="74" t="str">
        <f>IF(B174="SINAPI",VLOOKUP(C174,SINAPI!A:D,3,0),(VLOOKUP(C174,SEINFRA!A:D,3,0)))</f>
        <v>M</v>
      </c>
      <c r="F174" s="86">
        <f>VLOOKUP(A174,MEMORIAL!A:O,15,0)</f>
        <v>70.489999999999995</v>
      </c>
      <c r="G174" s="75">
        <f>IF(B174="SINAPI",VLOOKUP(C174,SINAPI!A:D,4,0),(VLOOKUP(C174,SEINFRA!A:D,4,0)))</f>
        <v>23.2</v>
      </c>
      <c r="H174" s="75">
        <f t="shared" ref="H174" si="104">ROUND(G174*$K$3,2)</f>
        <v>30.46</v>
      </c>
      <c r="I174" s="75">
        <f t="shared" ref="I174" si="105">ROUND(F174*H174,2)</f>
        <v>2147.13</v>
      </c>
    </row>
    <row r="175" spans="1:9" ht="51" x14ac:dyDescent="0.2">
      <c r="A175" s="202" t="s">
        <v>39298</v>
      </c>
      <c r="B175" s="71" t="s">
        <v>15</v>
      </c>
      <c r="C175" s="217">
        <v>90445</v>
      </c>
      <c r="D175" s="73" t="str">
        <f>IF(B175="SINAPI",VLOOKUP(C175,SINAPI!A:D,2,0),(VLOOKUP(C175,SEINFRA!A:D,2,0)))</f>
        <v>RASGO LINEAR MECANIZADO EM CONTRAPISO, PARA RAMAIS/ DISTRIBUIÇÃO DE INSTALAÇÕES HIDRÁULICAS, DIÂMETROS MAIORES QUE 40 MM E MENORES OU IGUAIS A 75 MM. AF_09/2023_PS</v>
      </c>
      <c r="E175" s="74" t="str">
        <f>IF(B175="SINAPI",VLOOKUP(C175,SINAPI!A:D,3,0),(VLOOKUP(C175,SEINFRA!A:D,3,0)))</f>
        <v>M</v>
      </c>
      <c r="F175" s="86">
        <f>VLOOKUP(A175,MEMORIAL!A:O,15,0)</f>
        <v>30.09</v>
      </c>
      <c r="G175" s="75">
        <f>IF(B175="SINAPI",VLOOKUP(C175,SINAPI!A:D,4,0),(VLOOKUP(C175,SEINFRA!A:D,4,0)))</f>
        <v>17.46</v>
      </c>
      <c r="H175" s="75">
        <f t="shared" ref="H175:H183" si="106">ROUND(G175*$K$3,2)</f>
        <v>22.93</v>
      </c>
      <c r="I175" s="75">
        <f t="shared" ref="I175:I183" si="107">ROUND(F175*H175,2)</f>
        <v>689.96</v>
      </c>
    </row>
    <row r="176" spans="1:9" ht="38.25" x14ac:dyDescent="0.2">
      <c r="A176" s="202" t="s">
        <v>39299</v>
      </c>
      <c r="B176" s="71" t="s">
        <v>15</v>
      </c>
      <c r="C176" s="217">
        <v>90444</v>
      </c>
      <c r="D176" s="73" t="str">
        <f>IF(B176="SINAPI",VLOOKUP(C176,SINAPI!A:D,2,0),(VLOOKUP(C176,SEINFRA!A:D,2,0)))</f>
        <v>RASGO LINEAR MECANIZADO EM CONTRAPISO, PARA RAMAIS/ DISTRIBUIÇÃO DE INSTALAÇÕES HIDRÁULICAS, DIÂMETROS MENORES OU IGUAIS A 40 MM. AF_09/2023_PS</v>
      </c>
      <c r="E176" s="74" t="str">
        <f>IF(B176="SINAPI",VLOOKUP(C176,SINAPI!A:D,3,0),(VLOOKUP(C176,SEINFRA!A:D,3,0)))</f>
        <v>M</v>
      </c>
      <c r="F176" s="86">
        <f>VLOOKUP(A176,MEMORIAL!A:O,15,0)</f>
        <v>24.12</v>
      </c>
      <c r="G176" s="75">
        <f>IF(B176="SINAPI",VLOOKUP(C176,SINAPI!A:D,4,0),(VLOOKUP(C176,SEINFRA!A:D,4,0)))</f>
        <v>13.17</v>
      </c>
      <c r="H176" s="75">
        <f t="shared" si="106"/>
        <v>17.29</v>
      </c>
      <c r="I176" s="75">
        <f t="shared" si="107"/>
        <v>417.03</v>
      </c>
    </row>
    <row r="177" spans="1:9" ht="51" x14ac:dyDescent="0.2">
      <c r="A177" s="202" t="s">
        <v>39300</v>
      </c>
      <c r="B177" s="71" t="s">
        <v>15</v>
      </c>
      <c r="C177" s="217">
        <v>91222</v>
      </c>
      <c r="D177" s="73" t="str">
        <f>IF(B177="SINAPI",VLOOKUP(C177,SINAPI!A:D,2,0),(VLOOKUP(C177,SEINFRA!A:D,2,0)))</f>
        <v>RASGO LINEAR MANUAL EM ALVENARIA, PARA RAMAIS/ DISTRIBUIÇÃO DE INSTALAÇÕES HIDRÁULICAS, DIÂMETROS MAIORES QUE 40 MM E MENORES OU IGUAIS A 75 MM. AF_09/2023</v>
      </c>
      <c r="E177" s="74" t="str">
        <f>IF(B177="SINAPI",VLOOKUP(C177,SINAPI!A:D,3,0),(VLOOKUP(C177,SEINFRA!A:D,3,0)))</f>
        <v>M</v>
      </c>
      <c r="F177" s="86">
        <f>VLOOKUP(A177,MEMORIAL!A:O,15,0)</f>
        <v>13.4</v>
      </c>
      <c r="G177" s="75">
        <f>IF(B177="SINAPI",VLOOKUP(C177,SINAPI!A:D,4,0),(VLOOKUP(C177,SEINFRA!A:D,4,0)))</f>
        <v>8.48</v>
      </c>
      <c r="H177" s="75">
        <f t="shared" si="106"/>
        <v>11.14</v>
      </c>
      <c r="I177" s="75">
        <f t="shared" si="107"/>
        <v>149.28</v>
      </c>
    </row>
    <row r="178" spans="1:9" ht="38.25" x14ac:dyDescent="0.2">
      <c r="A178" s="202" t="s">
        <v>39301</v>
      </c>
      <c r="B178" s="71" t="s">
        <v>15</v>
      </c>
      <c r="C178" s="217">
        <v>90443</v>
      </c>
      <c r="D178" s="73" t="str">
        <f>IF(B178="SINAPI",VLOOKUP(C178,SINAPI!A:D,2,0),(VLOOKUP(C178,SEINFRA!A:D,2,0)))</f>
        <v>RASGO LINEAR MANUAL EM ALVENARIA, PARA RAMAIS/ DISTRIBUIÇÃO DE INSTALAÇÕES HIDRÁULICAS, DIÂMETROS MENORES OU IGUAIS A 40 MM. AF_09/2023</v>
      </c>
      <c r="E178" s="74" t="str">
        <f>IF(B178="SINAPI",VLOOKUP(C178,SINAPI!A:D,3,0),(VLOOKUP(C178,SEINFRA!A:D,3,0)))</f>
        <v>M</v>
      </c>
      <c r="F178" s="86">
        <f>VLOOKUP(A178,MEMORIAL!A:O,15,0)</f>
        <v>6.3</v>
      </c>
      <c r="G178" s="75">
        <f>IF(B178="SINAPI",VLOOKUP(C178,SINAPI!A:D,4,0),(VLOOKUP(C178,SEINFRA!A:D,4,0)))</f>
        <v>7.62</v>
      </c>
      <c r="H178" s="75">
        <f t="shared" si="106"/>
        <v>10.01</v>
      </c>
      <c r="I178" s="75">
        <f t="shared" si="107"/>
        <v>63.06</v>
      </c>
    </row>
    <row r="179" spans="1:9" ht="51" x14ac:dyDescent="0.2">
      <c r="A179" s="202" t="s">
        <v>39302</v>
      </c>
      <c r="B179" s="71" t="s">
        <v>15</v>
      </c>
      <c r="C179" s="217">
        <v>90470</v>
      </c>
      <c r="D179" s="73" t="str">
        <f>IF(B179="SINAPI",VLOOKUP(C179,SINAPI!A:D,2,0),(VLOOKUP(C179,SEINFRA!A:D,2,0)))</f>
        <v>CHUMBAMENTO LINEAR EM CONTRAPISO PARA RAMAIS/DISTRIBUIÇÃO DE INSTALAÇÕES HIDRÁULICAS COM DIÂMETROS MAIORES QUE 75 MM E MENORES OU IGUAIS A 100 MM. AF_09/2023</v>
      </c>
      <c r="E179" s="74" t="str">
        <f>IF(B179="SINAPI",VLOOKUP(C179,SINAPI!A:D,3,0),(VLOOKUP(C179,SEINFRA!A:D,3,0)))</f>
        <v>M</v>
      </c>
      <c r="F179" s="86">
        <f>VLOOKUP(A179,MEMORIAL!A:O,15,0)</f>
        <v>70.489999999999995</v>
      </c>
      <c r="G179" s="75">
        <f>IF(B179="SINAPI",VLOOKUP(C179,SINAPI!A:D,4,0),(VLOOKUP(C179,SEINFRA!A:D,4,0)))</f>
        <v>14.94</v>
      </c>
      <c r="H179" s="75">
        <f t="shared" si="106"/>
        <v>19.62</v>
      </c>
      <c r="I179" s="75">
        <f t="shared" si="107"/>
        <v>1383.01</v>
      </c>
    </row>
    <row r="180" spans="1:9" ht="51" x14ac:dyDescent="0.2">
      <c r="A180" s="202" t="s">
        <v>39303</v>
      </c>
      <c r="B180" s="71" t="s">
        <v>15</v>
      </c>
      <c r="C180" s="217">
        <v>90469</v>
      </c>
      <c r="D180" s="73" t="str">
        <f>IF(B180="SINAPI",VLOOKUP(C180,SINAPI!A:D,2,0),(VLOOKUP(C180,SEINFRA!A:D,2,0)))</f>
        <v>CHUMBAMENTO LINEAR EM CONTRAPISO PARA RAMAIS/DISTRIBUIÇÃO DE INSTALAÇÕES HIDRÁULICAS COM DIÂMETROS MAIORES QUE 40 MM E MENORES OU IGUAIS A 75 MM. AF_09/2023</v>
      </c>
      <c r="E180" s="74" t="str">
        <f>IF(B180="SINAPI",VLOOKUP(C180,SINAPI!A:D,3,0),(VLOOKUP(C180,SEINFRA!A:D,3,0)))</f>
        <v>M</v>
      </c>
      <c r="F180" s="86">
        <f>VLOOKUP(A180,MEMORIAL!A:O,15,0)</f>
        <v>30.09</v>
      </c>
      <c r="G180" s="75">
        <f>IF(B180="SINAPI",VLOOKUP(C180,SINAPI!A:D,4,0),(VLOOKUP(C180,SEINFRA!A:D,4,0)))</f>
        <v>11.23</v>
      </c>
      <c r="H180" s="75">
        <f t="shared" si="106"/>
        <v>14.75</v>
      </c>
      <c r="I180" s="75">
        <f t="shared" si="107"/>
        <v>443.83</v>
      </c>
    </row>
    <row r="181" spans="1:9" ht="38.25" x14ac:dyDescent="0.2">
      <c r="A181" s="202" t="s">
        <v>39304</v>
      </c>
      <c r="B181" s="71" t="s">
        <v>15</v>
      </c>
      <c r="C181" s="217">
        <v>90468</v>
      </c>
      <c r="D181" s="73" t="str">
        <f>IF(B181="SINAPI",VLOOKUP(C181,SINAPI!A:D,2,0),(VLOOKUP(C181,SEINFRA!A:D,2,0)))</f>
        <v>CHUMBAMENTO LINEAR EM CONTRAPISO PARA RAMAIS/DISTRIBUIÇÃO DE INSTALAÇÕES HIDRÁULICAS COM DIÂMETROS MENORES OU IGUAIS A 40 MM. AF_09/2023</v>
      </c>
      <c r="E181" s="74" t="str">
        <f>IF(B181="SINAPI",VLOOKUP(C181,SINAPI!A:D,3,0),(VLOOKUP(C181,SEINFRA!A:D,3,0)))</f>
        <v>M</v>
      </c>
      <c r="F181" s="86">
        <f>VLOOKUP(A181,MEMORIAL!A:O,15,0)</f>
        <v>24.12</v>
      </c>
      <c r="G181" s="75">
        <f>IF(B181="SINAPI",VLOOKUP(C181,SINAPI!A:D,4,0),(VLOOKUP(C181,SEINFRA!A:D,4,0)))</f>
        <v>7.39</v>
      </c>
      <c r="H181" s="75">
        <f t="shared" si="106"/>
        <v>9.6999999999999993</v>
      </c>
      <c r="I181" s="75">
        <f t="shared" si="107"/>
        <v>233.96</v>
      </c>
    </row>
    <row r="182" spans="1:9" ht="51" x14ac:dyDescent="0.2">
      <c r="A182" s="202" t="s">
        <v>39305</v>
      </c>
      <c r="B182" s="71" t="s">
        <v>15</v>
      </c>
      <c r="C182" s="217">
        <v>90467</v>
      </c>
      <c r="D182" s="73" t="str">
        <f>IF(B182="SINAPI",VLOOKUP(C182,SINAPI!A:D,2,0),(VLOOKUP(C182,SEINFRA!A:D,2,0)))</f>
        <v>CHUMBAMENTO LINEAR EM ALVENARIA PARA RAMAIS/DISTRIBUIÇÃO DE INSTALAÇÕES HIDRÁULICAS COM DIÂMETROS MAIORES QUE 40 MM E MENORES OU IGUAIS A 75 MM. AF_09/2023</v>
      </c>
      <c r="E182" s="74" t="str">
        <f>IF(B182="SINAPI",VLOOKUP(C182,SINAPI!A:D,3,0),(VLOOKUP(C182,SEINFRA!A:D,3,0)))</f>
        <v>M</v>
      </c>
      <c r="F182" s="86">
        <f>VLOOKUP(A182,MEMORIAL!A:O,15,0)</f>
        <v>13.4</v>
      </c>
      <c r="G182" s="75">
        <f>IF(B182="SINAPI",VLOOKUP(C182,SINAPI!A:D,4,0),(VLOOKUP(C182,SEINFRA!A:D,4,0)))</f>
        <v>22.3</v>
      </c>
      <c r="H182" s="75">
        <f t="shared" si="106"/>
        <v>29.28</v>
      </c>
      <c r="I182" s="75">
        <f t="shared" si="107"/>
        <v>392.35</v>
      </c>
    </row>
    <row r="183" spans="1:9" ht="38.25" x14ac:dyDescent="0.2">
      <c r="A183" s="202" t="s">
        <v>39306</v>
      </c>
      <c r="B183" s="71" t="s">
        <v>15</v>
      </c>
      <c r="C183" s="217">
        <v>90466</v>
      </c>
      <c r="D183" s="73" t="str">
        <f>IF(B183="SINAPI",VLOOKUP(C183,SINAPI!A:D,2,0),(VLOOKUP(C183,SEINFRA!A:D,2,0)))</f>
        <v>CHUMBAMENTO LINEAR EM ALVENARIA PARA RAMAIS/DISTRIBUIÇÃO DE INSTALAÇÕES HIDRÁULICAS COM DIÂMETROS MENORES OU IGUAIS A 40 MM. AF_09/2023</v>
      </c>
      <c r="E183" s="74" t="str">
        <f>IF(B183="SINAPI",VLOOKUP(C183,SINAPI!A:D,3,0),(VLOOKUP(C183,SEINFRA!A:D,3,0)))</f>
        <v>M</v>
      </c>
      <c r="F183" s="86">
        <f>VLOOKUP(A183,MEMORIAL!A:O,15,0)</f>
        <v>6.3</v>
      </c>
      <c r="G183" s="75">
        <f>IF(B183="SINAPI",VLOOKUP(C183,SINAPI!A:D,4,0),(VLOOKUP(C183,SEINFRA!A:D,4,0)))</f>
        <v>14.82</v>
      </c>
      <c r="H183" s="75">
        <f t="shared" si="106"/>
        <v>19.46</v>
      </c>
      <c r="I183" s="75">
        <f t="shared" si="107"/>
        <v>122.6</v>
      </c>
    </row>
    <row r="184" spans="1:9" x14ac:dyDescent="0.2">
      <c r="A184" s="202"/>
      <c r="B184" s="207"/>
      <c r="C184" s="206"/>
      <c r="D184" s="201"/>
      <c r="E184" s="81"/>
      <c r="F184" s="204"/>
      <c r="G184" s="204"/>
      <c r="H184" s="205"/>
      <c r="I184" s="205"/>
    </row>
    <row r="185" spans="1:9" x14ac:dyDescent="0.2">
      <c r="A185" s="213" t="s">
        <v>39307</v>
      </c>
      <c r="B185" s="213"/>
      <c r="C185" s="213"/>
      <c r="D185" s="215" t="s">
        <v>39093</v>
      </c>
      <c r="E185" s="213"/>
      <c r="F185" s="314"/>
      <c r="G185" s="314"/>
      <c r="H185" s="314"/>
      <c r="I185" s="314">
        <f>ROUND(SUM(I186:I189),2)</f>
        <v>1925.34</v>
      </c>
    </row>
    <row r="186" spans="1:9" ht="25.5" x14ac:dyDescent="0.2">
      <c r="A186" s="202" t="s">
        <v>39308</v>
      </c>
      <c r="B186" s="80" t="s">
        <v>25</v>
      </c>
      <c r="C186" s="206" t="s">
        <v>11333</v>
      </c>
      <c r="D186" s="73" t="str">
        <f>IF(B186="SINAPI",VLOOKUP(C186,SINAPI!A:D,2,0),(VLOOKUP(C186,SEINFRA!A:D,2,0)))</f>
        <v>CAIXA SIFONADA PVC 100 X 100 X 50MM, ACABAMENTO CROMADO (GRELHA OU TAMPA CEGA)</v>
      </c>
      <c r="E186" s="74" t="str">
        <f>IF(B186="SINAPI",VLOOKUP(C186,SINAPI!A:D,3,0),(VLOOKUP(C186,SEINFRA!A:D,3,0)))</f>
        <v>UN</v>
      </c>
      <c r="F186" s="86">
        <f>VLOOKUP(A186,MEMORIAL!A:O,15,0)</f>
        <v>5</v>
      </c>
      <c r="G186" s="75">
        <f>IF(B186="SINAPI",VLOOKUP(C186,SINAPI!A:D,4,0),(VLOOKUP(C186,SEINFRA!A:D,4,0)))</f>
        <v>55.68</v>
      </c>
      <c r="H186" s="75">
        <f t="shared" ref="H186:H188" si="108">ROUND(G186*$K$3,2)</f>
        <v>73.11</v>
      </c>
      <c r="I186" s="75">
        <f t="shared" ref="I186:I188" si="109">ROUND(F186*H186,2)</f>
        <v>365.55</v>
      </c>
    </row>
    <row r="187" spans="1:9" ht="25.5" x14ac:dyDescent="0.2">
      <c r="A187" s="202" t="s">
        <v>39309</v>
      </c>
      <c r="B187" s="80" t="s">
        <v>25</v>
      </c>
      <c r="C187" s="206" t="s">
        <v>11259</v>
      </c>
      <c r="D187" s="73" t="str">
        <f>IF(B187="SINAPI",VLOOKUP(C187,SINAPI!A:D,2,0),(VLOOKUP(C187,SEINFRA!A:D,2,0)))</f>
        <v>CAIXA DE GORDURA/SABÃO PRÉ MOLDADA - PADRÃO POPULAR</v>
      </c>
      <c r="E187" s="74" t="str">
        <f>IF(B187="SINAPI",VLOOKUP(C187,SINAPI!A:D,3,0),(VLOOKUP(C187,SEINFRA!A:D,3,0)))</f>
        <v>UN</v>
      </c>
      <c r="F187" s="86">
        <f>VLOOKUP(A187,MEMORIAL!A:O,15,0)</f>
        <v>1</v>
      </c>
      <c r="G187" s="75">
        <f>IF(B187="SINAPI",VLOOKUP(C187,SINAPI!A:D,4,0),(VLOOKUP(C187,SEINFRA!A:D,4,0)))</f>
        <v>95.68</v>
      </c>
      <c r="H187" s="75">
        <f t="shared" si="108"/>
        <v>125.64</v>
      </c>
      <c r="I187" s="75">
        <f t="shared" si="109"/>
        <v>125.64</v>
      </c>
    </row>
    <row r="188" spans="1:9" ht="25.5" x14ac:dyDescent="0.2">
      <c r="A188" s="202" t="s">
        <v>39310</v>
      </c>
      <c r="B188" s="80" t="s">
        <v>25</v>
      </c>
      <c r="C188" s="206" t="s">
        <v>11313</v>
      </c>
      <c r="D188" s="73" t="str">
        <f>IF(B188="SINAPI",VLOOKUP(C188,SINAPI!A:D,2,0),(VLOOKUP(C188,SEINFRA!A:D,2,0)))</f>
        <v>CAIXA INSPEÇÃO NO PASSEIO EM ALVENARIA DI=(50X50)cm, PADRÃO CAGECE</v>
      </c>
      <c r="E188" s="74" t="str">
        <f>IF(B188="SINAPI",VLOOKUP(C188,SINAPI!A:D,3,0),(VLOOKUP(C188,SEINFRA!A:D,3,0)))</f>
        <v>UN</v>
      </c>
      <c r="F188" s="86">
        <f>VLOOKUP(A188,MEMORIAL!A:O,15,0)</f>
        <v>3</v>
      </c>
      <c r="G188" s="75">
        <f>IF(B188="SINAPI",VLOOKUP(C188,SINAPI!A:D,4,0),(VLOOKUP(C188,SEINFRA!A:D,4,0)))</f>
        <v>364.06</v>
      </c>
      <c r="H188" s="75">
        <f t="shared" si="108"/>
        <v>478.05</v>
      </c>
      <c r="I188" s="75">
        <f t="shared" si="109"/>
        <v>1434.15</v>
      </c>
    </row>
    <row r="189" spans="1:9" x14ac:dyDescent="0.2">
      <c r="A189" s="202"/>
      <c r="B189" s="207"/>
      <c r="C189" s="206"/>
      <c r="D189" s="201"/>
      <c r="E189" s="81"/>
      <c r="F189" s="204"/>
      <c r="G189" s="204"/>
      <c r="H189" s="205"/>
      <c r="I189" s="205"/>
    </row>
    <row r="190" spans="1:9" x14ac:dyDescent="0.2">
      <c r="A190" s="213" t="s">
        <v>39311</v>
      </c>
      <c r="B190" s="213"/>
      <c r="C190" s="213"/>
      <c r="D190" s="215" t="s">
        <v>39094</v>
      </c>
      <c r="E190" s="213"/>
      <c r="F190" s="314"/>
      <c r="G190" s="314"/>
      <c r="H190" s="314"/>
      <c r="I190" s="314">
        <f>ROUND(SUM(I191:I193),2)</f>
        <v>378.29</v>
      </c>
    </row>
    <row r="191" spans="1:9" ht="25.5" x14ac:dyDescent="0.2">
      <c r="A191" s="202" t="s">
        <v>39312</v>
      </c>
      <c r="B191" s="71" t="s">
        <v>15</v>
      </c>
      <c r="C191" s="217">
        <v>86883</v>
      </c>
      <c r="D191" s="73" t="str">
        <f>IF(B191="SINAPI",VLOOKUP(C191,SINAPI!A:D,2,0),(VLOOKUP(C191,SEINFRA!A:D,2,0)))</f>
        <v>SIFÃO DO TIPO FLEXÍVEL EM PVC 1 X 1.1/2 - FORNECIMENTO E INSTALAÇÃO. AF_01/2020</v>
      </c>
      <c r="E191" s="74" t="str">
        <f>IF(B191="SINAPI",VLOOKUP(C191,SINAPI!A:D,3,0),(VLOOKUP(C191,SEINFRA!A:D,3,0)))</f>
        <v>UN</v>
      </c>
      <c r="F191" s="86">
        <f>VLOOKUP(A191,MEMORIAL!A:O,15,0)</f>
        <v>2</v>
      </c>
      <c r="G191" s="75">
        <f>IF(B191="SINAPI",VLOOKUP(C191,SINAPI!A:D,4,0),(VLOOKUP(C191,SEINFRA!A:D,4,0)))</f>
        <v>12.21</v>
      </c>
      <c r="H191" s="75">
        <f t="shared" ref="H191:H192" si="110">ROUND(G191*$K$3,2)</f>
        <v>16.03</v>
      </c>
      <c r="I191" s="75">
        <f t="shared" ref="I191:I192" si="111">ROUND(F191*H191,2)</f>
        <v>32.06</v>
      </c>
    </row>
    <row r="192" spans="1:9" x14ac:dyDescent="0.2">
      <c r="A192" s="202" t="s">
        <v>39313</v>
      </c>
      <c r="B192" s="80" t="s">
        <v>25</v>
      </c>
      <c r="C192" s="206" t="s">
        <v>11109</v>
      </c>
      <c r="D192" s="73" t="str">
        <f>IF(B192="SINAPI",VLOOKUP(C192,SINAPI!A:D,2,0),(VLOOKUP(C192,SEINFRA!A:D,2,0)))</f>
        <v>SIFÃO DE PVC RÍGIDO D= 2"  (INSTALADO)</v>
      </c>
      <c r="E192" s="74" t="str">
        <f>IF(B192="SINAPI",VLOOKUP(C192,SINAPI!A:D,3,0),(VLOOKUP(C192,SEINFRA!A:D,3,0)))</f>
        <v>UN</v>
      </c>
      <c r="F192" s="86">
        <f>VLOOKUP(A192,MEMORIAL!A:O,15,0)</f>
        <v>9</v>
      </c>
      <c r="G192" s="75">
        <f>IF(B192="SINAPI",VLOOKUP(C192,SINAPI!A:D,4,0),(VLOOKUP(C192,SEINFRA!A:D,4,0)))</f>
        <v>29.3</v>
      </c>
      <c r="H192" s="75">
        <f t="shared" si="110"/>
        <v>38.47</v>
      </c>
      <c r="I192" s="75">
        <f t="shared" si="111"/>
        <v>346.23</v>
      </c>
    </row>
    <row r="193" spans="1:9" x14ac:dyDescent="0.2">
      <c r="A193" s="202"/>
      <c r="B193" s="207"/>
      <c r="C193" s="206"/>
      <c r="D193" s="201"/>
      <c r="E193" s="81"/>
      <c r="F193" s="204"/>
      <c r="G193" s="204"/>
      <c r="H193" s="205"/>
      <c r="I193" s="205"/>
    </row>
    <row r="194" spans="1:9" x14ac:dyDescent="0.2">
      <c r="A194" s="213" t="s">
        <v>39314</v>
      </c>
      <c r="B194" s="213"/>
      <c r="C194" s="213"/>
      <c r="D194" s="215" t="s">
        <v>39095</v>
      </c>
      <c r="E194" s="213"/>
      <c r="F194" s="314"/>
      <c r="G194" s="314"/>
      <c r="H194" s="314"/>
      <c r="I194" s="314">
        <f>ROUND(SUM(I195:I198),2)</f>
        <v>14525.2</v>
      </c>
    </row>
    <row r="195" spans="1:9" ht="51" x14ac:dyDescent="0.2">
      <c r="A195" s="202" t="s">
        <v>39315</v>
      </c>
      <c r="B195" s="71" t="s">
        <v>15</v>
      </c>
      <c r="C195" s="217">
        <v>98053</v>
      </c>
      <c r="D195" s="73" t="str">
        <f>IF(B195="SINAPI",VLOOKUP(C195,SINAPI!A:D,2,0),(VLOOKUP(C195,SEINFRA!A:D,2,0)))</f>
        <v>TANQUE SÉPTICO CIRCULAR, EM CONCRETO PRÉ-MOLDADO, DIÂMETRO INTERNO = 1,40 M, ALTURA INTERNA = 2,50 M, VOLUME ÚTIL: 3463,6 L (PARA 13 CONTRIBUINTES). AF_12/2020</v>
      </c>
      <c r="E195" s="74" t="str">
        <f>IF(B195="SINAPI",VLOOKUP(C195,SINAPI!A:D,3,0),(VLOOKUP(C195,SEINFRA!A:D,3,0)))</f>
        <v>UN</v>
      </c>
      <c r="F195" s="86">
        <f>VLOOKUP(A195,MEMORIAL!A:O,15,0)</f>
        <v>1</v>
      </c>
      <c r="G195" s="75">
        <f>IF(B195="SINAPI",VLOOKUP(C195,SINAPI!A:D,4,0),(VLOOKUP(C195,SEINFRA!A:D,4,0)))</f>
        <v>3114.28</v>
      </c>
      <c r="H195" s="75">
        <f t="shared" ref="H195" si="112">ROUND(G195*$K$3,2)</f>
        <v>4089.36</v>
      </c>
      <c r="I195" s="75">
        <f t="shared" ref="I195" si="113">ROUND(F195*H195,2)</f>
        <v>4089.36</v>
      </c>
    </row>
    <row r="196" spans="1:9" ht="51" x14ac:dyDescent="0.2">
      <c r="A196" s="202" t="s">
        <v>39316</v>
      </c>
      <c r="B196" s="71" t="s">
        <v>15</v>
      </c>
      <c r="C196" s="217">
        <v>98058</v>
      </c>
      <c r="D196" s="73" t="str">
        <f>IF(B196="SINAPI",VLOOKUP(C196,SINAPI!A:D,2,0),(VLOOKUP(C196,SEINFRA!A:D,2,0)))</f>
        <v>FILTRO ANAERÓBIO CIRCULAR, EM CONCRETO PRÉ-MOLDADO, DIÂMETRO INTERNO = 1,10 M, ALTURA INTERNA = 1,50 M, VOLUME ÚTIL: 1140,4 L (PARA 5 CONTRIBUINTES). AF_12/2020</v>
      </c>
      <c r="E196" s="74" t="str">
        <f>IF(B196="SINAPI",VLOOKUP(C196,SINAPI!A:D,3,0),(VLOOKUP(C196,SEINFRA!A:D,3,0)))</f>
        <v>UN</v>
      </c>
      <c r="F196" s="86">
        <f>VLOOKUP(A196,MEMORIAL!A:O,15,0)</f>
        <v>1</v>
      </c>
      <c r="G196" s="75">
        <f>IF(B196="SINAPI",VLOOKUP(C196,SINAPI!A:D,4,0),(VLOOKUP(C196,SEINFRA!A:D,4,0)))</f>
        <v>1907.66</v>
      </c>
      <c r="H196" s="75">
        <f t="shared" ref="H196:H197" si="114">ROUND(G196*$K$3,2)</f>
        <v>2504.9499999999998</v>
      </c>
      <c r="I196" s="75">
        <f t="shared" ref="I196:I197" si="115">ROUND(F196*H196,2)</f>
        <v>2504.9499999999998</v>
      </c>
    </row>
    <row r="197" spans="1:9" ht="51" x14ac:dyDescent="0.2">
      <c r="A197" s="202" t="s">
        <v>39317</v>
      </c>
      <c r="B197" s="71" t="s">
        <v>15</v>
      </c>
      <c r="C197" s="217">
        <v>98100</v>
      </c>
      <c r="D197" s="73" t="str">
        <f>IF(B197="SINAPI",VLOOKUP(C197,SINAPI!A:D,2,0),(VLOOKUP(C197,SEINFRA!A:D,2,0)))</f>
        <v>SUMIDOURO RETANGULAR, EM ALVENARIA COM BLOCOS DE CONCRETO, DIMENSÕES INTERNAS: 1,6 X 3,4 X H=3,0 M, ÁREA DE INFILTRAÇÃO: 32,9 M² (PARA 13 CONTRIBUINTES). . AF_12/2020</v>
      </c>
      <c r="E197" s="74" t="str">
        <f>IF(B197="SINAPI",VLOOKUP(C197,SINAPI!A:D,3,0),(VLOOKUP(C197,SEINFRA!A:D,3,0)))</f>
        <v>UN</v>
      </c>
      <c r="F197" s="86">
        <f>VLOOKUP(A197,MEMORIAL!A:O,15,0)</f>
        <v>1</v>
      </c>
      <c r="G197" s="75">
        <f>IF(B197="SINAPI",VLOOKUP(C197,SINAPI!A:D,4,0),(VLOOKUP(C197,SEINFRA!A:D,4,0)))</f>
        <v>6039.82</v>
      </c>
      <c r="H197" s="75">
        <f t="shared" si="114"/>
        <v>7930.89</v>
      </c>
      <c r="I197" s="75">
        <f t="shared" si="115"/>
        <v>7930.89</v>
      </c>
    </row>
    <row r="198" spans="1:9" x14ac:dyDescent="0.2">
      <c r="A198" s="202"/>
      <c r="B198" s="207"/>
      <c r="C198" s="206"/>
      <c r="D198" s="201"/>
      <c r="E198" s="81"/>
      <c r="F198" s="204"/>
      <c r="G198" s="204"/>
      <c r="H198" s="205"/>
      <c r="I198" s="205"/>
    </row>
    <row r="199" spans="1:9" x14ac:dyDescent="0.2">
      <c r="A199" s="210">
        <v>10</v>
      </c>
      <c r="B199" s="210"/>
      <c r="C199" s="210"/>
      <c r="D199" s="212" t="s">
        <v>39096</v>
      </c>
      <c r="E199" s="210"/>
      <c r="F199" s="313"/>
      <c r="G199" s="313"/>
      <c r="H199" s="313"/>
      <c r="I199" s="313">
        <f>ROUND(I200+I209+I217,2)</f>
        <v>33787.370000000003</v>
      </c>
    </row>
    <row r="200" spans="1:9" x14ac:dyDescent="0.2">
      <c r="A200" s="213" t="s">
        <v>39318</v>
      </c>
      <c r="B200" s="213"/>
      <c r="C200" s="213"/>
      <c r="D200" s="215" t="s">
        <v>39088</v>
      </c>
      <c r="E200" s="213"/>
      <c r="F200" s="314"/>
      <c r="G200" s="314"/>
      <c r="H200" s="314"/>
      <c r="I200" s="314">
        <f>ROUND(SUM(I201:I208),2)</f>
        <v>19431.22</v>
      </c>
    </row>
    <row r="201" spans="1:9" ht="38.25" x14ac:dyDescent="0.2">
      <c r="A201" s="202" t="s">
        <v>39319</v>
      </c>
      <c r="B201" s="71" t="s">
        <v>15</v>
      </c>
      <c r="C201" s="217">
        <v>104166</v>
      </c>
      <c r="D201" s="73" t="str">
        <f>IF(B201="SINAPI",VLOOKUP(C201,SINAPI!A:D,2,0),(VLOOKUP(C201,SEINFRA!A:D,2,0)))</f>
        <v>TUBO PVC, SÉRIE R, ÁGUA PLUVIAL, DN 150 MM, FORNECIDO E INSTALADO EM RAMAL DE ENCAMINHAMENTO. AF_06/2022</v>
      </c>
      <c r="E201" s="74" t="str">
        <f>IF(B201="SINAPI",VLOOKUP(C201,SINAPI!A:D,3,0),(VLOOKUP(C201,SEINFRA!A:D,3,0)))</f>
        <v>M</v>
      </c>
      <c r="F201" s="86">
        <f>VLOOKUP(A201,MEMORIAL!A:O,15,0)</f>
        <v>124.8</v>
      </c>
      <c r="G201" s="75">
        <f>IF(B201="SINAPI",VLOOKUP(C201,SINAPI!A:D,4,0),(VLOOKUP(C201,SEINFRA!A:D,4,0)))</f>
        <v>78.11</v>
      </c>
      <c r="H201" s="75">
        <f t="shared" ref="H201" si="116">ROUND(G201*$K$3,2)</f>
        <v>102.57</v>
      </c>
      <c r="I201" s="75">
        <f t="shared" ref="I201" si="117">ROUND(F201*H201,2)</f>
        <v>12800.74</v>
      </c>
    </row>
    <row r="202" spans="1:9" ht="38.25" x14ac:dyDescent="0.2">
      <c r="A202" s="202" t="s">
        <v>39320</v>
      </c>
      <c r="B202" s="71" t="s">
        <v>15</v>
      </c>
      <c r="C202" s="217">
        <v>89578</v>
      </c>
      <c r="D202" s="73" t="str">
        <f>IF(B202="SINAPI",VLOOKUP(C202,SINAPI!A:D,2,0),(VLOOKUP(C202,SEINFRA!A:D,2,0)))</f>
        <v>TUBO PVC, SÉRIE R, ÁGUA PLUVIAL, DN 100 MM, FORNECIDO E INSTALADO EM CONDUTORES VERTICAIS DE ÁGUAS PLUVIAIS. AF_06/2022</v>
      </c>
      <c r="E202" s="74" t="str">
        <f>IF(B202="SINAPI",VLOOKUP(C202,SINAPI!A:D,3,0),(VLOOKUP(C202,SEINFRA!A:D,3,0)))</f>
        <v>M</v>
      </c>
      <c r="F202" s="86">
        <f>VLOOKUP(A202,MEMORIAL!A:O,15,0)</f>
        <v>53.1</v>
      </c>
      <c r="G202" s="75">
        <f>IF(B202="SINAPI",VLOOKUP(C202,SINAPI!A:D,4,0),(VLOOKUP(C202,SEINFRA!A:D,4,0)))</f>
        <v>34.880000000000003</v>
      </c>
      <c r="H202" s="75">
        <f t="shared" ref="H202:H207" si="118">ROUND(G202*$K$3,2)</f>
        <v>45.8</v>
      </c>
      <c r="I202" s="75">
        <f t="shared" ref="I202:I207" si="119">ROUND(F202*H202,2)</f>
        <v>2431.98</v>
      </c>
    </row>
    <row r="203" spans="1:9" ht="38.25" x14ac:dyDescent="0.2">
      <c r="A203" s="202" t="s">
        <v>39321</v>
      </c>
      <c r="B203" s="71" t="s">
        <v>15</v>
      </c>
      <c r="C203" s="217">
        <v>89508</v>
      </c>
      <c r="D203" s="73" t="str">
        <f>IF(B203="SINAPI",VLOOKUP(C203,SINAPI!A:D,2,0),(VLOOKUP(C203,SEINFRA!A:D,2,0)))</f>
        <v>TUBO PVC, SÉRIE R, ÁGUA PLUVIAL, DN 40 MM, FORNECIDO E INSTALADO EM RAMAL DE ENCAMINHAMENTO. AF_06/2022</v>
      </c>
      <c r="E203" s="74" t="str">
        <f>IF(B203="SINAPI",VLOOKUP(C203,SINAPI!A:D,3,0),(VLOOKUP(C203,SEINFRA!A:D,3,0)))</f>
        <v>M</v>
      </c>
      <c r="F203" s="86">
        <f>VLOOKUP(A203,MEMORIAL!A:O,15,0)</f>
        <v>101.05</v>
      </c>
      <c r="G203" s="75">
        <f>IF(B203="SINAPI",VLOOKUP(C203,SINAPI!A:D,4,0),(VLOOKUP(C203,SEINFRA!A:D,4,0)))</f>
        <v>17.3</v>
      </c>
      <c r="H203" s="75">
        <f t="shared" si="118"/>
        <v>22.72</v>
      </c>
      <c r="I203" s="75">
        <f t="shared" si="119"/>
        <v>2295.86</v>
      </c>
    </row>
    <row r="204" spans="1:9" ht="38.25" x14ac:dyDescent="0.2">
      <c r="A204" s="202" t="s">
        <v>39322</v>
      </c>
      <c r="B204" s="71" t="s">
        <v>15</v>
      </c>
      <c r="C204" s="217">
        <v>89584</v>
      </c>
      <c r="D204" s="73" t="str">
        <f>IF(B204="SINAPI",VLOOKUP(C204,SINAPI!A:D,2,0),(VLOOKUP(C204,SEINFRA!A:D,2,0)))</f>
        <v>JOELHO 90 GRAUS, PVC, SERIE R, ÁGUA PLUVIAL, DN 100 MM, JUNTA ELÁSTICA, FORNECIDO E INSTALADO EM CONDUTORES VERTICAIS DE ÁGUAS PLUVIAIS. AF_06/2022</v>
      </c>
      <c r="E204" s="74" t="str">
        <f>IF(B204="SINAPI",VLOOKUP(C204,SINAPI!A:D,3,0),(VLOOKUP(C204,SEINFRA!A:D,3,0)))</f>
        <v>UN</v>
      </c>
      <c r="F204" s="86">
        <f>VLOOKUP(A204,MEMORIAL!A:O,15,0)</f>
        <v>22</v>
      </c>
      <c r="G204" s="75">
        <f>IF(B204="SINAPI",VLOOKUP(C204,SINAPI!A:D,4,0),(VLOOKUP(C204,SEINFRA!A:D,4,0)))</f>
        <v>47.2</v>
      </c>
      <c r="H204" s="75">
        <f t="shared" si="118"/>
        <v>61.98</v>
      </c>
      <c r="I204" s="75">
        <f t="shared" si="119"/>
        <v>1363.56</v>
      </c>
    </row>
    <row r="205" spans="1:9" ht="38.25" x14ac:dyDescent="0.2">
      <c r="A205" s="202" t="s">
        <v>39323</v>
      </c>
      <c r="B205" s="71" t="s">
        <v>15</v>
      </c>
      <c r="C205" s="217">
        <v>89514</v>
      </c>
      <c r="D205" s="73" t="str">
        <f>IF(B205="SINAPI",VLOOKUP(C205,SINAPI!A:D,2,0),(VLOOKUP(C205,SEINFRA!A:D,2,0)))</f>
        <v>JOELHO 90 GRAUS, PVC, SERIE R, ÁGUA PLUVIAL, DN 40 MM, JUNTA SOLDÁVEL, FORNECIDO E INSTALADO EM RAMAL DE ENCAMINHAMENTO. AF_06/2022</v>
      </c>
      <c r="E205" s="74" t="str">
        <f>IF(B205="SINAPI",VLOOKUP(C205,SINAPI!A:D,3,0),(VLOOKUP(C205,SEINFRA!A:D,3,0)))</f>
        <v>UN</v>
      </c>
      <c r="F205" s="86">
        <f>VLOOKUP(A205,MEMORIAL!A:O,15,0)</f>
        <v>24</v>
      </c>
      <c r="G205" s="75">
        <f>IF(B205="SINAPI",VLOOKUP(C205,SINAPI!A:D,4,0),(VLOOKUP(C205,SEINFRA!A:D,4,0)))</f>
        <v>8.2899999999999991</v>
      </c>
      <c r="H205" s="75">
        <f t="shared" si="118"/>
        <v>10.89</v>
      </c>
      <c r="I205" s="75">
        <f t="shared" si="119"/>
        <v>261.36</v>
      </c>
    </row>
    <row r="206" spans="1:9" ht="38.25" x14ac:dyDescent="0.2">
      <c r="A206" s="202" t="s">
        <v>39324</v>
      </c>
      <c r="B206" s="71" t="s">
        <v>15</v>
      </c>
      <c r="C206" s="217">
        <v>89516</v>
      </c>
      <c r="D206" s="73" t="str">
        <f>IF(B206="SINAPI",VLOOKUP(C206,SINAPI!A:D,2,0),(VLOOKUP(C206,SEINFRA!A:D,2,0)))</f>
        <v>JOELHO 45 GRAUS, PVC, SERIE R, ÁGUA PLUVIAL, DN 40 MM, JUNTA SOLDÁVEL, FORNECIDO E INSTALADO EM RAMAL DE ENCAMINHAMENTO. AF_06/2022</v>
      </c>
      <c r="E206" s="74" t="str">
        <f>IF(B206="SINAPI",VLOOKUP(C206,SINAPI!A:D,3,0),(VLOOKUP(C206,SEINFRA!A:D,3,0)))</f>
        <v>UN</v>
      </c>
      <c r="F206" s="86">
        <f>VLOOKUP(A206,MEMORIAL!A:O,15,0)</f>
        <v>11</v>
      </c>
      <c r="G206" s="75">
        <f>IF(B206="SINAPI",VLOOKUP(C206,SINAPI!A:D,4,0),(VLOOKUP(C206,SEINFRA!A:D,4,0)))</f>
        <v>8.3800000000000008</v>
      </c>
      <c r="H206" s="75">
        <f t="shared" si="118"/>
        <v>11</v>
      </c>
      <c r="I206" s="75">
        <f t="shared" si="119"/>
        <v>121</v>
      </c>
    </row>
    <row r="207" spans="1:9" ht="38.25" x14ac:dyDescent="0.2">
      <c r="A207" s="202" t="s">
        <v>39325</v>
      </c>
      <c r="B207" s="71" t="s">
        <v>15</v>
      </c>
      <c r="C207" s="217">
        <v>89561</v>
      </c>
      <c r="D207" s="73" t="str">
        <f>IF(B207="SINAPI",VLOOKUP(C207,SINAPI!A:D,2,0),(VLOOKUP(C207,SEINFRA!A:D,2,0)))</f>
        <v>JUNÇÃO SIMPLES, PVC, SERIE R, ÁGUA PLUVIAL, DN 40 MM, JUNTA SOLDÁVEL, FORNECIDO E INSTALADO EM RAMAL DE ENCAMINHAMENTO. AF_06/2022</v>
      </c>
      <c r="E207" s="74" t="str">
        <f>IF(B207="SINAPI",VLOOKUP(C207,SINAPI!A:D,3,0),(VLOOKUP(C207,SEINFRA!A:D,3,0)))</f>
        <v>UN</v>
      </c>
      <c r="F207" s="86">
        <f>VLOOKUP(A207,MEMORIAL!A:O,15,0)</f>
        <v>8</v>
      </c>
      <c r="G207" s="75">
        <f>IF(B207="SINAPI",VLOOKUP(C207,SINAPI!A:D,4,0),(VLOOKUP(C207,SEINFRA!A:D,4,0)))</f>
        <v>14.92</v>
      </c>
      <c r="H207" s="75">
        <f t="shared" si="118"/>
        <v>19.59</v>
      </c>
      <c r="I207" s="75">
        <f t="shared" si="119"/>
        <v>156.72</v>
      </c>
    </row>
    <row r="208" spans="1:9" x14ac:dyDescent="0.2">
      <c r="A208" s="202"/>
      <c r="B208" s="207"/>
      <c r="C208" s="206"/>
      <c r="D208" s="201"/>
      <c r="E208" s="81"/>
      <c r="F208" s="204"/>
      <c r="G208" s="204"/>
      <c r="H208" s="205"/>
      <c r="I208" s="205"/>
    </row>
    <row r="209" spans="1:9" x14ac:dyDescent="0.2">
      <c r="A209" s="213" t="s">
        <v>39326</v>
      </c>
      <c r="B209" s="213"/>
      <c r="C209" s="213"/>
      <c r="D209" s="215" t="s">
        <v>39086</v>
      </c>
      <c r="E209" s="213"/>
      <c r="F209" s="314"/>
      <c r="G209" s="314"/>
      <c r="H209" s="314"/>
      <c r="I209" s="314">
        <f>ROUND(SUM(I210:I216),2)</f>
        <v>10223.450000000001</v>
      </c>
    </row>
    <row r="210" spans="1:9" ht="51" x14ac:dyDescent="0.2">
      <c r="A210" s="202" t="s">
        <v>39327</v>
      </c>
      <c r="B210" s="71" t="s">
        <v>15</v>
      </c>
      <c r="C210" s="217">
        <v>90446</v>
      </c>
      <c r="D210" s="73" t="str">
        <f>IF(B210="SINAPI",VLOOKUP(C210,SINAPI!A:D,2,0),(VLOOKUP(C210,SEINFRA!A:D,2,0)))</f>
        <v>RASGO LINEAR MECANIZADO EM CONTRAPISO, PARA RAMAIS/ DISTRIBUIÇÃO DE INSTALAÇÕES HIDRÁULICAS, DIÂMETROS MAIORES QUE 75 MM E MENORES OU IGUAIS A 100 MM. AF_09/2023_PS</v>
      </c>
      <c r="E210" s="74" t="str">
        <f>IF(B210="SINAPI",VLOOKUP(C210,SINAPI!A:D,3,0),(VLOOKUP(C210,SEINFRA!A:D,3,0)))</f>
        <v>M</v>
      </c>
      <c r="F210" s="86">
        <f>VLOOKUP(A210,MEMORIAL!A:O,15,0)</f>
        <v>147.9</v>
      </c>
      <c r="G210" s="75">
        <f>IF(B210="SINAPI",VLOOKUP(C210,SINAPI!A:D,4,0),(VLOOKUP(C210,SEINFRA!A:D,4,0)))</f>
        <v>23.2</v>
      </c>
      <c r="H210" s="75">
        <f t="shared" ref="H210" si="120">ROUND(G210*$K$3,2)</f>
        <v>30.46</v>
      </c>
      <c r="I210" s="75">
        <f t="shared" ref="I210" si="121">ROUND(F210*H210,2)</f>
        <v>4505.03</v>
      </c>
    </row>
    <row r="211" spans="1:9" ht="38.25" x14ac:dyDescent="0.2">
      <c r="A211" s="202" t="s">
        <v>39328</v>
      </c>
      <c r="B211" s="71" t="s">
        <v>15</v>
      </c>
      <c r="C211" s="217">
        <v>90444</v>
      </c>
      <c r="D211" s="73" t="str">
        <f>IF(B211="SINAPI",VLOOKUP(C211,SINAPI!A:D,2,0),(VLOOKUP(C211,SEINFRA!A:D,2,0)))</f>
        <v>RASGO LINEAR MECANIZADO EM CONTRAPISO, PARA RAMAIS/ DISTRIBUIÇÃO DE INSTALAÇÕES HIDRÁULICAS, DIÂMETROS MENORES OU IGUAIS A 40 MM. AF_09/2023_PS</v>
      </c>
      <c r="E211" s="74" t="str">
        <f>IF(B211="SINAPI",VLOOKUP(C211,SINAPI!A:D,3,0),(VLOOKUP(C211,SEINFRA!A:D,3,0)))</f>
        <v>M</v>
      </c>
      <c r="F211" s="86">
        <f>VLOOKUP(A211,MEMORIAL!A:O,15,0)</f>
        <v>65.05</v>
      </c>
      <c r="G211" s="75">
        <f>IF(B211="SINAPI",VLOOKUP(C211,SINAPI!A:D,4,0),(VLOOKUP(C211,SEINFRA!A:D,4,0)))</f>
        <v>13.17</v>
      </c>
      <c r="H211" s="75">
        <f t="shared" ref="H211:H215" si="122">ROUND(G211*$K$3,2)</f>
        <v>17.29</v>
      </c>
      <c r="I211" s="75">
        <f t="shared" ref="I211:I215" si="123">ROUND(F211*H211,2)</f>
        <v>1124.71</v>
      </c>
    </row>
    <row r="212" spans="1:9" ht="38.25" x14ac:dyDescent="0.2">
      <c r="A212" s="202" t="s">
        <v>39329</v>
      </c>
      <c r="B212" s="71" t="s">
        <v>15</v>
      </c>
      <c r="C212" s="217">
        <v>90443</v>
      </c>
      <c r="D212" s="73" t="str">
        <f>IF(B212="SINAPI",VLOOKUP(C212,SINAPI!A:D,2,0),(VLOOKUP(C212,SEINFRA!A:D,2,0)))</f>
        <v>RASGO LINEAR MANUAL EM ALVENARIA, PARA RAMAIS/ DISTRIBUIÇÃO DE INSTALAÇÕES HIDRÁULICAS, DIÂMETROS MENORES OU IGUAIS A 40 MM. AF_09/2023</v>
      </c>
      <c r="E212" s="74" t="str">
        <f>IF(B212="SINAPI",VLOOKUP(C212,SINAPI!A:D,3,0),(VLOOKUP(C212,SEINFRA!A:D,3,0)))</f>
        <v>M</v>
      </c>
      <c r="F212" s="86">
        <f>VLOOKUP(A212,MEMORIAL!A:O,15,0)</f>
        <v>36</v>
      </c>
      <c r="G212" s="75">
        <f>IF(B212="SINAPI",VLOOKUP(C212,SINAPI!A:D,4,0),(VLOOKUP(C212,SEINFRA!A:D,4,0)))</f>
        <v>7.62</v>
      </c>
      <c r="H212" s="75">
        <f t="shared" si="122"/>
        <v>10.01</v>
      </c>
      <c r="I212" s="75">
        <f t="shared" si="123"/>
        <v>360.36</v>
      </c>
    </row>
    <row r="213" spans="1:9" ht="51" x14ac:dyDescent="0.2">
      <c r="A213" s="202" t="s">
        <v>39330</v>
      </c>
      <c r="B213" s="71" t="s">
        <v>15</v>
      </c>
      <c r="C213" s="217">
        <v>90470</v>
      </c>
      <c r="D213" s="73" t="str">
        <f>IF(B213="SINAPI",VLOOKUP(C213,SINAPI!A:D,2,0),(VLOOKUP(C213,SEINFRA!A:D,2,0)))</f>
        <v>CHUMBAMENTO LINEAR EM CONTRAPISO PARA RAMAIS/DISTRIBUIÇÃO DE INSTALAÇÕES HIDRÁULICAS COM DIÂMETROS MAIORES QUE 75 MM E MENORES OU IGUAIS A 100 MM. AF_09/2023</v>
      </c>
      <c r="E213" s="74" t="str">
        <f>IF(B213="SINAPI",VLOOKUP(C213,SINAPI!A:D,3,0),(VLOOKUP(C213,SEINFRA!A:D,3,0)))</f>
        <v>M</v>
      </c>
      <c r="F213" s="86">
        <f>VLOOKUP(A213,MEMORIAL!A:O,15,0)</f>
        <v>147.9</v>
      </c>
      <c r="G213" s="75">
        <f>IF(B213="SINAPI",VLOOKUP(C213,SINAPI!A:D,4,0),(VLOOKUP(C213,SEINFRA!A:D,4,0)))</f>
        <v>14.94</v>
      </c>
      <c r="H213" s="75">
        <f t="shared" si="122"/>
        <v>19.62</v>
      </c>
      <c r="I213" s="75">
        <f t="shared" si="123"/>
        <v>2901.8</v>
      </c>
    </row>
    <row r="214" spans="1:9" ht="38.25" x14ac:dyDescent="0.2">
      <c r="A214" s="202" t="s">
        <v>39331</v>
      </c>
      <c r="B214" s="71" t="s">
        <v>15</v>
      </c>
      <c r="C214" s="217">
        <v>90468</v>
      </c>
      <c r="D214" s="73" t="str">
        <f>IF(B214="SINAPI",VLOOKUP(C214,SINAPI!A:D,2,0),(VLOOKUP(C214,SEINFRA!A:D,2,0)))</f>
        <v>CHUMBAMENTO LINEAR EM CONTRAPISO PARA RAMAIS/DISTRIBUIÇÃO DE INSTALAÇÕES HIDRÁULICAS COM DIÂMETROS MENORES OU IGUAIS A 40 MM. AF_09/2023</v>
      </c>
      <c r="E214" s="74" t="str">
        <f>IF(B214="SINAPI",VLOOKUP(C214,SINAPI!A:D,3,0),(VLOOKUP(C214,SEINFRA!A:D,3,0)))</f>
        <v>M</v>
      </c>
      <c r="F214" s="86">
        <f>VLOOKUP(A214,MEMORIAL!A:O,15,0)</f>
        <v>65.05</v>
      </c>
      <c r="G214" s="75">
        <f>IF(B214="SINAPI",VLOOKUP(C214,SINAPI!A:D,4,0),(VLOOKUP(C214,SEINFRA!A:D,4,0)))</f>
        <v>7.39</v>
      </c>
      <c r="H214" s="75">
        <f t="shared" si="122"/>
        <v>9.6999999999999993</v>
      </c>
      <c r="I214" s="75">
        <f t="shared" si="123"/>
        <v>630.99</v>
      </c>
    </row>
    <row r="215" spans="1:9" ht="38.25" x14ac:dyDescent="0.2">
      <c r="A215" s="202" t="s">
        <v>39332</v>
      </c>
      <c r="B215" s="71" t="s">
        <v>15</v>
      </c>
      <c r="C215" s="217">
        <v>90466</v>
      </c>
      <c r="D215" s="73" t="str">
        <f>IF(B215="SINAPI",VLOOKUP(C215,SINAPI!A:D,2,0),(VLOOKUP(C215,SEINFRA!A:D,2,0)))</f>
        <v>CHUMBAMENTO LINEAR EM ALVENARIA PARA RAMAIS/DISTRIBUIÇÃO DE INSTALAÇÕES HIDRÁULICAS COM DIÂMETROS MENORES OU IGUAIS A 40 MM. AF_09/2023</v>
      </c>
      <c r="E215" s="74" t="str">
        <f>IF(B215="SINAPI",VLOOKUP(C215,SINAPI!A:D,3,0),(VLOOKUP(C215,SEINFRA!A:D,3,0)))</f>
        <v>M</v>
      </c>
      <c r="F215" s="86">
        <f>VLOOKUP(A215,MEMORIAL!A:O,15,0)</f>
        <v>36</v>
      </c>
      <c r="G215" s="75">
        <f>IF(B215="SINAPI",VLOOKUP(C215,SINAPI!A:D,4,0),(VLOOKUP(C215,SEINFRA!A:D,4,0)))</f>
        <v>14.82</v>
      </c>
      <c r="H215" s="75">
        <f t="shared" si="122"/>
        <v>19.46</v>
      </c>
      <c r="I215" s="75">
        <f t="shared" si="123"/>
        <v>700.56</v>
      </c>
    </row>
    <row r="216" spans="1:9" x14ac:dyDescent="0.2">
      <c r="A216" s="202"/>
      <c r="B216" s="207"/>
      <c r="C216" s="206"/>
      <c r="D216" s="201"/>
      <c r="E216" s="81"/>
      <c r="F216" s="204"/>
      <c r="G216" s="204"/>
      <c r="H216" s="205"/>
      <c r="I216" s="205"/>
    </row>
    <row r="217" spans="1:9" x14ac:dyDescent="0.2">
      <c r="A217" s="213" t="s">
        <v>39333</v>
      </c>
      <c r="B217" s="213"/>
      <c r="C217" s="213"/>
      <c r="D217" s="215" t="s">
        <v>39093</v>
      </c>
      <c r="E217" s="213"/>
      <c r="F217" s="314"/>
      <c r="G217" s="314"/>
      <c r="H217" s="314"/>
      <c r="I217" s="314">
        <f>ROUND(SUM(I218:I220),2)</f>
        <v>4132.7</v>
      </c>
    </row>
    <row r="218" spans="1:9" ht="51" x14ac:dyDescent="0.2">
      <c r="A218" s="202" t="s">
        <v>39334</v>
      </c>
      <c r="B218" s="71" t="s">
        <v>15</v>
      </c>
      <c r="C218" s="217">
        <v>99253</v>
      </c>
      <c r="D218" s="73" t="str">
        <f>IF(B218="SINAPI",VLOOKUP(C218,SINAPI!A:D,2,0),(VLOOKUP(C218,SEINFRA!A:D,2,0)))</f>
        <v>CAIXA ENTERRADA HIDRÁULICA RETANGULAR EM ALVENARIA COM TIJOLOS CERÂMICOS MACIÇOS, DIMENSÕES INTERNAS: 0,6X0,6X0,6 M PARA REDE DE DRENAGEM. AF_12/2020</v>
      </c>
      <c r="E218" s="74" t="str">
        <f>IF(B218="SINAPI",VLOOKUP(C218,SINAPI!A:D,3,0),(VLOOKUP(C218,SEINFRA!A:D,3,0)))</f>
        <v>UN</v>
      </c>
      <c r="F218" s="86">
        <f>VLOOKUP(A218,MEMORIAL!A:O,15,0)</f>
        <v>5</v>
      </c>
      <c r="G218" s="75">
        <f>IF(B218="SINAPI",VLOOKUP(C218,SINAPI!A:D,4,0),(VLOOKUP(C218,SEINFRA!A:D,4,0)))</f>
        <v>535.88</v>
      </c>
      <c r="H218" s="75">
        <f t="shared" ref="H218" si="124">ROUND(G218*$K$3,2)</f>
        <v>703.66</v>
      </c>
      <c r="I218" s="75">
        <f t="shared" ref="I218" si="125">ROUND(F218*H218,2)</f>
        <v>3518.3</v>
      </c>
    </row>
    <row r="219" spans="1:9" ht="25.5" x14ac:dyDescent="0.2">
      <c r="A219" s="70" t="s">
        <v>39335</v>
      </c>
      <c r="B219" s="237"/>
      <c r="C219" s="206" t="str">
        <f>'COMP.08_RALO'!A20</f>
        <v>COMP. 08</v>
      </c>
      <c r="D219" s="85" t="str">
        <f>'COMP.08_RALO'!B20</f>
        <v>RALO SEMIESFÉRICO 100 MM FORNECIDO E INSTALADO EM RAMAIS DE ENCAMINHAMENTO DE ÁGUA PLUVIAL</v>
      </c>
      <c r="E219" s="79" t="str">
        <f>'COMP.08_RALO'!G20</f>
        <v>UN</v>
      </c>
      <c r="F219" s="86">
        <f>VLOOKUP(A219,MEMORIAL!A:O,15,0)</f>
        <v>10</v>
      </c>
      <c r="G219" s="86">
        <f>'COMP.08_RALO'!G36</f>
        <v>46.79</v>
      </c>
      <c r="H219" s="75">
        <f t="shared" ref="H219" si="126">ROUND(G219*$K$3,2)</f>
        <v>61.44</v>
      </c>
      <c r="I219" s="75">
        <f t="shared" ref="I219" si="127">ROUND(F219*H219,2)</f>
        <v>614.4</v>
      </c>
    </row>
    <row r="220" spans="1:9" x14ac:dyDescent="0.2">
      <c r="A220" s="202"/>
      <c r="B220" s="207"/>
      <c r="C220" s="206"/>
      <c r="D220" s="201"/>
      <c r="E220" s="81"/>
      <c r="F220" s="204"/>
      <c r="G220" s="204"/>
      <c r="H220" s="205"/>
      <c r="I220" s="205"/>
    </row>
    <row r="221" spans="1:9" x14ac:dyDescent="0.2">
      <c r="A221" s="210">
        <v>11</v>
      </c>
      <c r="B221" s="210"/>
      <c r="C221" s="210"/>
      <c r="D221" s="212" t="s">
        <v>39097</v>
      </c>
      <c r="E221" s="210"/>
      <c r="F221" s="313"/>
      <c r="G221" s="313"/>
      <c r="H221" s="313"/>
      <c r="I221" s="313">
        <f>ROUND(I222+I226+I229+I234+I238+I242+I247+I250,2)</f>
        <v>59082.46</v>
      </c>
    </row>
    <row r="222" spans="1:9" x14ac:dyDescent="0.2">
      <c r="A222" s="213" t="s">
        <v>39336</v>
      </c>
      <c r="B222" s="213"/>
      <c r="C222" s="213"/>
      <c r="D222" s="215" t="s">
        <v>13</v>
      </c>
      <c r="E222" s="213"/>
      <c r="F222" s="314"/>
      <c r="G222" s="314"/>
      <c r="H222" s="314"/>
      <c r="I222" s="314">
        <f>ROUND(SUM(I223:I225),2)</f>
        <v>595.54999999999995</v>
      </c>
    </row>
    <row r="223" spans="1:9" ht="38.25" x14ac:dyDescent="0.2">
      <c r="A223" s="202" t="s">
        <v>39337</v>
      </c>
      <c r="B223" s="71" t="s">
        <v>15</v>
      </c>
      <c r="C223" s="217">
        <v>91864</v>
      </c>
      <c r="D223" s="73" t="str">
        <f>IF(B223="SINAPI",VLOOKUP(C223,SINAPI!A:D,2,0),(VLOOKUP(C223,SEINFRA!A:D,2,0)))</f>
        <v>ELETRODUTO RÍGIDO ROSCÁVEL, PVC, DN 32 MM (1"), PARA CIRCUITOS TERMINAIS, INSTALADO EM FORRO - FORNECIMENTO E INSTALAÇÃO. AF_03/2023</v>
      </c>
      <c r="E223" s="74" t="str">
        <f>IF(B223="SINAPI",VLOOKUP(C223,SINAPI!A:D,3,0),(VLOOKUP(C223,SEINFRA!A:D,3,0)))</f>
        <v>M</v>
      </c>
      <c r="F223" s="86">
        <f>VLOOKUP(A223,MEMORIAL!A:O,15,0)</f>
        <v>30.43</v>
      </c>
      <c r="G223" s="75">
        <f>IF(B223="SINAPI",VLOOKUP(C223,SINAPI!A:D,4,0),(VLOOKUP(C223,SEINFRA!A:D,4,0)))</f>
        <v>14.12</v>
      </c>
      <c r="H223" s="75">
        <f t="shared" ref="H223:H224" si="128">ROUND(G223*$K$3,2)</f>
        <v>18.54</v>
      </c>
      <c r="I223" s="75">
        <f t="shared" ref="I223:I224" si="129">ROUND(F223*H223,2)</f>
        <v>564.16999999999996</v>
      </c>
    </row>
    <row r="224" spans="1:9" x14ac:dyDescent="0.2">
      <c r="A224" s="202" t="s">
        <v>39338</v>
      </c>
      <c r="B224" s="80" t="s">
        <v>25</v>
      </c>
      <c r="C224" s="206" t="s">
        <v>12216</v>
      </c>
      <c r="D224" s="73" t="str">
        <f>IF(B224="SINAPI",VLOOKUP(C224,SINAPI!A:D,2,0),(VLOOKUP(C224,SEINFRA!A:D,2,0)))</f>
        <v>CONDULETE DE PVC DE 3/4" TIPO C - E - LL - LR</v>
      </c>
      <c r="E224" s="74" t="str">
        <f>IF(B224="SINAPI",VLOOKUP(C224,SINAPI!A:D,3,0),(VLOOKUP(C224,SEINFRA!A:D,3,0)))</f>
        <v>UN</v>
      </c>
      <c r="F224" s="86">
        <f>VLOOKUP(A224,MEMORIAL!A:O,15,0)</f>
        <v>1</v>
      </c>
      <c r="G224" s="75">
        <f>IF(B224="SINAPI",VLOOKUP(C224,SINAPI!A:D,4,0),(VLOOKUP(C224,SEINFRA!A:D,4,0)))</f>
        <v>23.9</v>
      </c>
      <c r="H224" s="75">
        <f t="shared" si="128"/>
        <v>31.38</v>
      </c>
      <c r="I224" s="75">
        <f t="shared" si="129"/>
        <v>31.38</v>
      </c>
    </row>
    <row r="225" spans="1:9" x14ac:dyDescent="0.2">
      <c r="A225" s="202"/>
      <c r="B225" s="207"/>
      <c r="C225" s="206"/>
      <c r="D225" s="201"/>
      <c r="E225" s="81"/>
      <c r="F225" s="204"/>
      <c r="G225" s="204"/>
      <c r="H225" s="205"/>
      <c r="I225" s="205"/>
    </row>
    <row r="226" spans="1:9" x14ac:dyDescent="0.2">
      <c r="A226" s="213" t="s">
        <v>39339</v>
      </c>
      <c r="B226" s="213"/>
      <c r="C226" s="213"/>
      <c r="D226" s="215" t="s">
        <v>21</v>
      </c>
      <c r="E226" s="213"/>
      <c r="F226" s="314"/>
      <c r="G226" s="314"/>
      <c r="H226" s="314"/>
      <c r="I226" s="314">
        <f>ROUND(SUM(I227:I228),2)</f>
        <v>1103.3900000000001</v>
      </c>
    </row>
    <row r="227" spans="1:9" ht="25.5" x14ac:dyDescent="0.2">
      <c r="A227" s="70" t="s">
        <v>39340</v>
      </c>
      <c r="B227" s="237"/>
      <c r="C227" s="83" t="str">
        <f>'COMP.09_CABO3X1,5MM'!A19</f>
        <v>COMP. 09</v>
      </c>
      <c r="D227" s="85" t="str">
        <f>'COMP.09_CABO3X1,5MM'!B19</f>
        <v>CABO BLINDADO PARA ALARME E DETECÇÃO DE INCÊNDIO 3 X 1,5 MM2 - FORNECIMENTO E INSTALAÇÃO</v>
      </c>
      <c r="E227" s="79" t="str">
        <f>'COMP.09_CABO3X1,5MM'!G19</f>
        <v>M</v>
      </c>
      <c r="F227" s="86">
        <f>VLOOKUP(A227,MEMORIAL!A:O,15,0)</f>
        <v>60.86</v>
      </c>
      <c r="G227" s="86">
        <f>'COMP.09_CABO3X1,5MM'!G33</f>
        <v>13.81</v>
      </c>
      <c r="H227" s="75">
        <f t="shared" ref="H227" si="130">ROUND(G227*$K$3,2)</f>
        <v>18.13</v>
      </c>
      <c r="I227" s="75">
        <f t="shared" ref="I227" si="131">ROUND(F227*H227,2)</f>
        <v>1103.3900000000001</v>
      </c>
    </row>
    <row r="228" spans="1:9" x14ac:dyDescent="0.2">
      <c r="A228" s="202"/>
      <c r="B228" s="207"/>
      <c r="C228" s="206"/>
      <c r="D228" s="201"/>
      <c r="E228" s="81"/>
      <c r="F228" s="204"/>
      <c r="G228" s="204"/>
      <c r="H228" s="205"/>
      <c r="I228" s="205"/>
    </row>
    <row r="229" spans="1:9" x14ac:dyDescent="0.2">
      <c r="A229" s="213" t="s">
        <v>39341</v>
      </c>
      <c r="B229" s="213"/>
      <c r="C229" s="213"/>
      <c r="D229" s="215" t="s">
        <v>39088</v>
      </c>
      <c r="E229" s="213"/>
      <c r="F229" s="314"/>
      <c r="G229" s="314"/>
      <c r="H229" s="314"/>
      <c r="I229" s="314">
        <f>ROUND(SUM(I230:I233),2)</f>
        <v>22226.35</v>
      </c>
    </row>
    <row r="230" spans="1:9" ht="51" x14ac:dyDescent="0.2">
      <c r="A230" s="202" t="s">
        <v>39342</v>
      </c>
      <c r="B230" s="71" t="s">
        <v>15</v>
      </c>
      <c r="C230" s="217">
        <v>92367</v>
      </c>
      <c r="D230" s="73" t="str">
        <f>IF(B230="SINAPI",VLOOKUP(C230,SINAPI!A:D,2,0),(VLOOKUP(C230,SEINFRA!A:D,2,0)))</f>
        <v>TUBO DE AÇO GALVANIZADO COM COSTURA, CLASSE MÉDIA, DN 65 (2 1/2"), CONEXÃO ROSQUEADA, INSTALADO EM REDE DE ALIMENTAÇÃO PARA HIDRANTE - FORNECIMENTO E INSTALAÇÃO. AF_10/2020</v>
      </c>
      <c r="E230" s="74" t="str">
        <f>IF(B230="SINAPI",VLOOKUP(C230,SINAPI!A:D,3,0),(VLOOKUP(C230,SEINFRA!A:D,3,0)))</f>
        <v>M</v>
      </c>
      <c r="F230" s="86">
        <f>VLOOKUP(A230,MEMORIAL!A:O,15,0)</f>
        <v>144.19999999999999</v>
      </c>
      <c r="G230" s="75">
        <f>IF(B230="SINAPI",VLOOKUP(C230,SINAPI!A:D,4,0),(VLOOKUP(C230,SEINFRA!A:D,4,0)))</f>
        <v>107.71</v>
      </c>
      <c r="H230" s="75">
        <f t="shared" ref="H230" si="132">ROUND(G230*$K$3,2)</f>
        <v>141.43</v>
      </c>
      <c r="I230" s="75">
        <f t="shared" ref="I230" si="133">ROUND(F230*H230,2)</f>
        <v>20394.21</v>
      </c>
    </row>
    <row r="231" spans="1:9" ht="38.25" x14ac:dyDescent="0.2">
      <c r="A231" s="202" t="s">
        <v>39343</v>
      </c>
      <c r="B231" s="71" t="s">
        <v>15</v>
      </c>
      <c r="C231" s="217">
        <v>92642</v>
      </c>
      <c r="D231" s="73" t="str">
        <f>IF(B231="SINAPI",VLOOKUP(C231,SINAPI!A:D,2,0),(VLOOKUP(C231,SEINFRA!A:D,2,0)))</f>
        <v>TÊ, EM FERRO GALVANIZADO, CONEXÃO ROSQUEADA, DN 65 (2 1/2"), INSTALADO EM REDE DE ALIMENTAÇÃO PARA HIDRANTE - FORNECIMENTO E INSTALAÇÃO. AF_10/2020</v>
      </c>
      <c r="E231" s="74" t="str">
        <f>IF(B231="SINAPI",VLOOKUP(C231,SINAPI!A:D,3,0),(VLOOKUP(C231,SEINFRA!A:D,3,0)))</f>
        <v>UN</v>
      </c>
      <c r="F231" s="86">
        <f>VLOOKUP(A231,MEMORIAL!A:O,15,0)</f>
        <v>1</v>
      </c>
      <c r="G231" s="75">
        <f>IF(B231="SINAPI",VLOOKUP(C231,SINAPI!A:D,4,0),(VLOOKUP(C231,SEINFRA!A:D,4,0)))</f>
        <v>203.78</v>
      </c>
      <c r="H231" s="75">
        <f t="shared" ref="H231:H232" si="134">ROUND(G231*$K$3,2)</f>
        <v>267.58</v>
      </c>
      <c r="I231" s="75">
        <f t="shared" ref="I231:I232" si="135">ROUND(F231*H231,2)</f>
        <v>267.58</v>
      </c>
    </row>
    <row r="232" spans="1:9" ht="51" x14ac:dyDescent="0.2">
      <c r="A232" s="202" t="s">
        <v>39344</v>
      </c>
      <c r="B232" s="71" t="s">
        <v>15</v>
      </c>
      <c r="C232" s="217">
        <v>92390</v>
      </c>
      <c r="D232" s="73" t="str">
        <f>IF(B232="SINAPI",VLOOKUP(C232,SINAPI!A:D,2,0),(VLOOKUP(C232,SEINFRA!A:D,2,0)))</f>
        <v>JOELHO 90 GRAUS, EM FERRO GALVANIZADO, DN 65 (2 1/2"), CONEXÃO ROSQUEADA, INSTALADO EM REDE DE ALIMENTAÇÃO PARA HIDRANTE - FORNECIMENTO E INSTALAÇÃO. AF_10/2020</v>
      </c>
      <c r="E232" s="74" t="str">
        <f>IF(B232="SINAPI",VLOOKUP(C232,SINAPI!A:D,3,0),(VLOOKUP(C232,SEINFRA!A:D,3,0)))</f>
        <v>UN</v>
      </c>
      <c r="F232" s="86">
        <f>VLOOKUP(A232,MEMORIAL!A:O,15,0)</f>
        <v>8</v>
      </c>
      <c r="G232" s="75">
        <f>IF(B232="SINAPI",VLOOKUP(C232,SINAPI!A:D,4,0),(VLOOKUP(C232,SEINFRA!A:D,4,0)))</f>
        <v>148.94</v>
      </c>
      <c r="H232" s="75">
        <f t="shared" si="134"/>
        <v>195.57</v>
      </c>
      <c r="I232" s="75">
        <f t="shared" si="135"/>
        <v>1564.56</v>
      </c>
    </row>
    <row r="233" spans="1:9" x14ac:dyDescent="0.2">
      <c r="A233" s="202"/>
      <c r="B233" s="207"/>
      <c r="C233" s="206"/>
      <c r="D233" s="201"/>
      <c r="E233" s="81"/>
      <c r="F233" s="204"/>
      <c r="G233" s="204"/>
      <c r="H233" s="205"/>
      <c r="I233" s="205"/>
    </row>
    <row r="234" spans="1:9" x14ac:dyDescent="0.2">
      <c r="A234" s="213" t="s">
        <v>39345</v>
      </c>
      <c r="B234" s="213"/>
      <c r="C234" s="213"/>
      <c r="D234" s="215" t="s">
        <v>39086</v>
      </c>
      <c r="E234" s="213"/>
      <c r="F234" s="314"/>
      <c r="G234" s="314"/>
      <c r="H234" s="314"/>
      <c r="I234" s="314">
        <f>ROUND(SUM(I235:I237),2)</f>
        <v>7221.53</v>
      </c>
    </row>
    <row r="235" spans="1:9" ht="51" x14ac:dyDescent="0.2">
      <c r="A235" s="202" t="s">
        <v>39346</v>
      </c>
      <c r="B235" s="71" t="s">
        <v>15</v>
      </c>
      <c r="C235" s="217">
        <v>90446</v>
      </c>
      <c r="D235" s="73" t="str">
        <f>IF(B235="SINAPI",VLOOKUP(C235,SINAPI!A:D,2,0),(VLOOKUP(C235,SEINFRA!A:D,2,0)))</f>
        <v>RASGO LINEAR MECANIZADO EM CONTRAPISO, PARA RAMAIS/ DISTRIBUIÇÃO DE INSTALAÇÕES HIDRÁULICAS, DIÂMETROS MAIORES QUE 75 MM E MENORES OU IGUAIS A 100 MM. AF_09/2023_PS</v>
      </c>
      <c r="E235" s="74" t="str">
        <f>IF(B235="SINAPI",VLOOKUP(C235,SINAPI!A:D,3,0),(VLOOKUP(C235,SEINFRA!A:D,3,0)))</f>
        <v>M</v>
      </c>
      <c r="F235" s="86">
        <f>VLOOKUP(A235,MEMORIAL!A:O,15,0)</f>
        <v>144.19999999999999</v>
      </c>
      <c r="G235" s="75">
        <f>IF(B235="SINAPI",VLOOKUP(C235,SINAPI!A:D,4,0),(VLOOKUP(C235,SEINFRA!A:D,4,0)))</f>
        <v>23.2</v>
      </c>
      <c r="H235" s="75">
        <f t="shared" ref="H235" si="136">ROUND(G235*$K$3,2)</f>
        <v>30.46</v>
      </c>
      <c r="I235" s="75">
        <f t="shared" ref="I235" si="137">ROUND(F235*H235,2)</f>
        <v>4392.33</v>
      </c>
    </row>
    <row r="236" spans="1:9" ht="51" x14ac:dyDescent="0.2">
      <c r="A236" s="202" t="s">
        <v>39347</v>
      </c>
      <c r="B236" s="71" t="s">
        <v>15</v>
      </c>
      <c r="C236" s="217">
        <v>90470</v>
      </c>
      <c r="D236" s="73" t="str">
        <f>IF(B236="SINAPI",VLOOKUP(C236,SINAPI!A:D,2,0),(VLOOKUP(C236,SEINFRA!A:D,2,0)))</f>
        <v>CHUMBAMENTO LINEAR EM CONTRAPISO PARA RAMAIS/DISTRIBUIÇÃO DE INSTALAÇÕES HIDRÁULICAS COM DIÂMETROS MAIORES QUE 75 MM E MENORES OU IGUAIS A 100 MM. AF_09/2023</v>
      </c>
      <c r="E236" s="74" t="str">
        <f>IF(B236="SINAPI",VLOOKUP(C236,SINAPI!A:D,3,0),(VLOOKUP(C236,SEINFRA!A:D,3,0)))</f>
        <v>M</v>
      </c>
      <c r="F236" s="86">
        <f>VLOOKUP(A236,MEMORIAL!A:O,15,0)</f>
        <v>144.19999999999999</v>
      </c>
      <c r="G236" s="75">
        <f>IF(B236="SINAPI",VLOOKUP(C236,SINAPI!A:D,4,0),(VLOOKUP(C236,SEINFRA!A:D,4,0)))</f>
        <v>14.94</v>
      </c>
      <c r="H236" s="75">
        <f t="shared" ref="H236" si="138">ROUND(G236*$K$3,2)</f>
        <v>19.62</v>
      </c>
      <c r="I236" s="75">
        <f t="shared" ref="I236" si="139">ROUND(F236*H236,2)</f>
        <v>2829.2</v>
      </c>
    </row>
    <row r="237" spans="1:9" x14ac:dyDescent="0.2">
      <c r="A237" s="202"/>
      <c r="B237" s="207"/>
      <c r="C237" s="206"/>
      <c r="D237" s="201"/>
      <c r="E237" s="81"/>
      <c r="F237" s="204"/>
      <c r="G237" s="204"/>
      <c r="H237" s="205"/>
      <c r="I237" s="205"/>
    </row>
    <row r="238" spans="1:9" x14ac:dyDescent="0.2">
      <c r="A238" s="213" t="s">
        <v>39348</v>
      </c>
      <c r="B238" s="213"/>
      <c r="C238" s="213"/>
      <c r="D238" s="215" t="s">
        <v>39098</v>
      </c>
      <c r="E238" s="213"/>
      <c r="F238" s="314"/>
      <c r="G238" s="314"/>
      <c r="H238" s="314"/>
      <c r="I238" s="314">
        <f>ROUND(SUM(I239:I241),2)</f>
        <v>9742.33</v>
      </c>
    </row>
    <row r="239" spans="1:9" ht="65.099999999999994" customHeight="1" x14ac:dyDescent="0.2">
      <c r="A239" s="202" t="s">
        <v>39349</v>
      </c>
      <c r="B239" s="71"/>
      <c r="C239" s="217" t="str">
        <f>'COMP.10_HIDRAN.'!A19</f>
        <v>COMP. 10</v>
      </c>
      <c r="D239" s="73" t="str">
        <f>'COMP.10_HIDRAN.'!B19</f>
        <v>ABRIGO PARA HIDRANTE, 90X60X17CM, COM REGISTRO GLOBO ANGULAR 45 GRAUS 2 1/2", ADAPTADOR STORZ 2 1/2", DUAS MANGUEIRAS DE INCÊNDIO DE 15M, REDUÇÃO 2 1/2" X 1 1/2" E ESGUICHO EM LATÃO 1 1/2" - FORNECIMENTO E INSTALAÇÃO</v>
      </c>
      <c r="E239" s="74" t="str">
        <f>'COMP.10_HIDRAN.'!G19</f>
        <v>UN</v>
      </c>
      <c r="F239" s="86">
        <f>VLOOKUP(A239,MEMORIAL!A:O,15,0)</f>
        <v>2</v>
      </c>
      <c r="G239" s="75">
        <f>'COMP.10_HIDRAN.'!G38</f>
        <v>3019.41</v>
      </c>
      <c r="H239" s="75">
        <f t="shared" ref="H239:H240" si="140">ROUND(G239*$K$3,2)</f>
        <v>3964.79</v>
      </c>
      <c r="I239" s="75">
        <f t="shared" ref="I239:I240" si="141">ROUND(F239*H239,2)</f>
        <v>7929.58</v>
      </c>
    </row>
    <row r="240" spans="1:9" ht="38.25" x14ac:dyDescent="0.2">
      <c r="A240" s="202" t="s">
        <v>39350</v>
      </c>
      <c r="B240" s="71" t="s">
        <v>15</v>
      </c>
      <c r="C240" s="217">
        <v>101908</v>
      </c>
      <c r="D240" s="73" t="str">
        <f>IF(B240="SINAPI",VLOOKUP(C240,SINAPI!A:D,2,0),(VLOOKUP(C240,SEINFRA!A:D,2,0)))</f>
        <v>EXTINTOR DE INCÊNDIO PORTÁTIL COM CARGA DE PQS DE 4 KG, CLASSE BC - FORNECIMENTO E INSTALAÇÃO. AF_10/2020_PE</v>
      </c>
      <c r="E240" s="74" t="str">
        <f>IF(B240="SINAPI",VLOOKUP(C240,SINAPI!A:D,3,0),(VLOOKUP(C240,SEINFRA!A:D,3,0)))</f>
        <v>UN</v>
      </c>
      <c r="F240" s="86">
        <f>VLOOKUP(A240,MEMORIAL!A:O,15,0)</f>
        <v>5</v>
      </c>
      <c r="G240" s="75">
        <f>IF(B240="SINAPI",VLOOKUP(C240,SINAPI!A:D,4,0),(VLOOKUP(C240,SEINFRA!A:D,4,0)))</f>
        <v>276.10000000000002</v>
      </c>
      <c r="H240" s="75">
        <f t="shared" si="140"/>
        <v>362.55</v>
      </c>
      <c r="I240" s="75">
        <f t="shared" si="141"/>
        <v>1812.75</v>
      </c>
    </row>
    <row r="241" spans="1:9" x14ac:dyDescent="0.2">
      <c r="A241" s="202"/>
      <c r="B241" s="207"/>
      <c r="C241" s="206"/>
      <c r="D241" s="201"/>
      <c r="E241" s="81"/>
      <c r="F241" s="204"/>
      <c r="G241" s="204"/>
      <c r="H241" s="205"/>
      <c r="I241" s="205"/>
    </row>
    <row r="242" spans="1:9" x14ac:dyDescent="0.2">
      <c r="A242" s="213" t="s">
        <v>39351</v>
      </c>
      <c r="B242" s="213"/>
      <c r="C242" s="213"/>
      <c r="D242" s="215" t="s">
        <v>14941</v>
      </c>
      <c r="E242" s="213"/>
      <c r="F242" s="314"/>
      <c r="G242" s="314"/>
      <c r="H242" s="314"/>
      <c r="I242" s="314">
        <f>ROUND(SUM(I243:I246),2)</f>
        <v>946.18</v>
      </c>
    </row>
    <row r="243" spans="1:9" x14ac:dyDescent="0.2">
      <c r="A243" s="202" t="s">
        <v>39352</v>
      </c>
      <c r="B243" s="80" t="s">
        <v>25</v>
      </c>
      <c r="C243" s="206" t="s">
        <v>14956</v>
      </c>
      <c r="D243" s="73" t="str">
        <f>IF(B243="SINAPI",VLOOKUP(C243,SINAPI!A:D,2,0),(VLOOKUP(C243,SEINFRA!A:D,2,0)))</f>
        <v>SINALIZAÇÃO PARA EXTINTOR</v>
      </c>
      <c r="E243" s="74" t="str">
        <f>IF(B243="SINAPI",VLOOKUP(C243,SINAPI!A:D,3,0),(VLOOKUP(C243,SEINFRA!A:D,3,0)))</f>
        <v>UN</v>
      </c>
      <c r="F243" s="86">
        <f>VLOOKUP(A243,MEMORIAL!A:O,15,0)</f>
        <v>5</v>
      </c>
      <c r="G243" s="75">
        <f>IF(B243="SINAPI",VLOOKUP(C243,SINAPI!A:D,4,0),(VLOOKUP(C243,SEINFRA!A:D,4,0)))</f>
        <v>51.89</v>
      </c>
      <c r="H243" s="75">
        <f t="shared" ref="H243" si="142">ROUND(G243*$K$3,2)</f>
        <v>68.14</v>
      </c>
      <c r="I243" s="75">
        <f t="shared" ref="I243" si="143">ROUND(F243*H243,2)</f>
        <v>340.7</v>
      </c>
    </row>
    <row r="244" spans="1:9" ht="51" x14ac:dyDescent="0.2">
      <c r="A244" s="202" t="s">
        <v>39353</v>
      </c>
      <c r="B244" s="237"/>
      <c r="C244" s="206" t="str">
        <f>'COMP.11_SIN_20.20'!A20</f>
        <v>COMP. 11</v>
      </c>
      <c r="D244" s="85" t="str">
        <f>'COMP.11_SIN_20.20'!B20</f>
        <v>PLACA DE SINALIZACAO DE SEGURANCA CONTRA INCENDIO, FOTOLUMINESCENTE, QUADRADA, *20 X 20* CM, EM PVC *2* MM ANTI-CHAMAS (SIMBOLOS, CORES E PICTOGRAMAS CONFORME NBR 16820)</v>
      </c>
      <c r="E244" s="79" t="str">
        <f>'COMP.11_SIN_20.20'!G20</f>
        <v>UN</v>
      </c>
      <c r="F244" s="86">
        <f>VLOOKUP(A244,MEMORIAL!A:O,15,0)</f>
        <v>7</v>
      </c>
      <c r="G244" s="86">
        <f>'COMP.11_SIN_20.20'!G33</f>
        <v>20.5</v>
      </c>
      <c r="H244" s="75">
        <f t="shared" ref="H244:H245" si="144">ROUND(G244*$K$3,2)</f>
        <v>26.92</v>
      </c>
      <c r="I244" s="75">
        <f t="shared" ref="I244:I245" si="145">ROUND(F244*H244,2)</f>
        <v>188.44</v>
      </c>
    </row>
    <row r="245" spans="1:9" ht="51" x14ac:dyDescent="0.2">
      <c r="A245" s="202" t="s">
        <v>39354</v>
      </c>
      <c r="B245" s="237"/>
      <c r="C245" s="206" t="str">
        <f>'COMP.12_SIN_12.40'!A20</f>
        <v>COMP. 12</v>
      </c>
      <c r="D245" s="85" t="str">
        <f>'COMP.12_SIN_12.40'!B20</f>
        <v>PLACA DE SINALIZACAO DE SEGURANCA CONTRA INCENDIO, FOTOLUMINESCENTE, RETANGULAR, *13 X 26* CM, EM PVC MM ANTI-CHAMAS (SIMBOLOS, CORES E PICTOGRAMAS CONFORME NBR 16820)</v>
      </c>
      <c r="E245" s="79" t="str">
        <f>'COMP.12_SIN_12.40'!G20</f>
        <v>UN</v>
      </c>
      <c r="F245" s="86">
        <f>VLOOKUP(A245,MEMORIAL!A:O,15,0)</f>
        <v>13</v>
      </c>
      <c r="G245" s="86">
        <f>'COMP.12_SIN_12.40'!G33</f>
        <v>24.43</v>
      </c>
      <c r="H245" s="75">
        <f t="shared" si="144"/>
        <v>32.08</v>
      </c>
      <c r="I245" s="75">
        <f t="shared" si="145"/>
        <v>417.04</v>
      </c>
    </row>
    <row r="246" spans="1:9" x14ac:dyDescent="0.2">
      <c r="A246" s="202"/>
      <c r="B246" s="207"/>
      <c r="C246" s="206"/>
      <c r="D246" s="201"/>
      <c r="E246" s="81"/>
      <c r="F246" s="204"/>
      <c r="G246" s="204"/>
      <c r="H246" s="205"/>
      <c r="I246" s="205"/>
    </row>
    <row r="247" spans="1:9" x14ac:dyDescent="0.2">
      <c r="A247" s="213" t="s">
        <v>39355</v>
      </c>
      <c r="B247" s="213"/>
      <c r="C247" s="213"/>
      <c r="D247" s="215" t="s">
        <v>39099</v>
      </c>
      <c r="E247" s="213"/>
      <c r="F247" s="314"/>
      <c r="G247" s="314"/>
      <c r="H247" s="314"/>
      <c r="I247" s="314">
        <f>ROUND(SUM(I248:I249),2)</f>
        <v>6526.8</v>
      </c>
    </row>
    <row r="248" spans="1:9" ht="25.5" x14ac:dyDescent="0.2">
      <c r="A248" s="202" t="s">
        <v>39356</v>
      </c>
      <c r="B248" s="80" t="s">
        <v>25</v>
      </c>
      <c r="C248" s="206" t="s">
        <v>11158</v>
      </c>
      <c r="D248" s="73" t="str">
        <f>IF(B248="SINAPI",VLOOKUP(C248,SINAPI!A:D,2,0),(VLOOKUP(C248,SEINFRA!A:D,2,0)))</f>
        <v>BLOCO LUMINOSO AUTÔNOMO, INDICADOR DE SETA, MOD. UNITRON/SIMILAR</v>
      </c>
      <c r="E248" s="74" t="str">
        <f>IF(B248="SINAPI",VLOOKUP(C248,SINAPI!A:D,3,0),(VLOOKUP(C248,SEINFRA!A:D,3,0)))</f>
        <v>UN</v>
      </c>
      <c r="F248" s="86">
        <f>VLOOKUP(A248,MEMORIAL!A:O,15,0)</f>
        <v>15</v>
      </c>
      <c r="G248" s="75">
        <f>IF(B248="SINAPI",VLOOKUP(C248,SINAPI!A:D,4,0),(VLOOKUP(C248,SEINFRA!A:D,4,0)))</f>
        <v>331.37</v>
      </c>
      <c r="H248" s="75">
        <f t="shared" ref="H248" si="146">ROUND(G248*$K$3,2)</f>
        <v>435.12</v>
      </c>
      <c r="I248" s="75">
        <f t="shared" ref="I248" si="147">ROUND(F248*H248,2)</f>
        <v>6526.8</v>
      </c>
    </row>
    <row r="249" spans="1:9" x14ac:dyDescent="0.2">
      <c r="A249" s="202"/>
      <c r="B249" s="207"/>
      <c r="C249" s="206"/>
      <c r="D249" s="201"/>
      <c r="E249" s="81"/>
      <c r="F249" s="204"/>
      <c r="G249" s="204"/>
      <c r="H249" s="205"/>
      <c r="I249" s="205"/>
    </row>
    <row r="250" spans="1:9" x14ac:dyDescent="0.2">
      <c r="A250" s="213" t="s">
        <v>39357</v>
      </c>
      <c r="B250" s="213"/>
      <c r="C250" s="213"/>
      <c r="D250" s="215" t="s">
        <v>39100</v>
      </c>
      <c r="E250" s="213"/>
      <c r="F250" s="314"/>
      <c r="G250" s="314"/>
      <c r="H250" s="314"/>
      <c r="I250" s="314">
        <f>ROUND(SUM(I251:I253),2)</f>
        <v>10720.33</v>
      </c>
    </row>
    <row r="251" spans="1:9" ht="25.5" x14ac:dyDescent="0.2">
      <c r="A251" s="202" t="s">
        <v>39358</v>
      </c>
      <c r="B251" s="80" t="s">
        <v>25</v>
      </c>
      <c r="C251" s="206" t="s">
        <v>11204</v>
      </c>
      <c r="D251" s="73" t="str">
        <f>IF(B251="SINAPI",VLOOKUP(C251,SINAPI!A:D,2,0),(VLOOKUP(C251,SEINFRA!A:D,2,0)))</f>
        <v>CENTRAL ALARME P/6 LAÇOS SUPERV., MOD. FIRE-LITE/SIMILAR</v>
      </c>
      <c r="E251" s="74" t="str">
        <f>IF(B251="SINAPI",VLOOKUP(C251,SINAPI!A:D,3,0),(VLOOKUP(C251,SEINFRA!A:D,3,0)))</f>
        <v>UN</v>
      </c>
      <c r="F251" s="86">
        <f>VLOOKUP(A251,MEMORIAL!A:O,15,0)</f>
        <v>1</v>
      </c>
      <c r="G251" s="75">
        <f>IF(B251="SINAPI",VLOOKUP(C251,SINAPI!A:D,4,0),(VLOOKUP(C251,SEINFRA!A:D,4,0)))</f>
        <v>7715.34</v>
      </c>
      <c r="H251" s="75">
        <f t="shared" ref="H251:H252" si="148">ROUND(G251*$K$3,2)</f>
        <v>10131.01</v>
      </c>
      <c r="I251" s="75">
        <f t="shared" ref="I251:I252" si="149">ROUND(F251*H251,2)</f>
        <v>10131.01</v>
      </c>
    </row>
    <row r="252" spans="1:9" ht="25.5" x14ac:dyDescent="0.2">
      <c r="A252" s="202" t="s">
        <v>39359</v>
      </c>
      <c r="B252" s="80" t="s">
        <v>25</v>
      </c>
      <c r="C252" s="206" t="s">
        <v>13286</v>
      </c>
      <c r="D252" s="73" t="str">
        <f>IF(B252="SINAPI",VLOOKUP(C252,SINAPI!A:D,2,0),(VLOOKUP(C252,SEINFRA!A:D,2,0)))</f>
        <v>ALARME SONORO/VISUAL, SIRENE 120 dB, COM ACIONADOR MANUAL, ALIMENTAÇÃO 220 VAC - INSTALADO</v>
      </c>
      <c r="E252" s="74" t="str">
        <f>IF(B252="SINAPI",VLOOKUP(C252,SINAPI!A:D,3,0),(VLOOKUP(C252,SEINFRA!A:D,3,0)))</f>
        <v>UN</v>
      </c>
      <c r="F252" s="86">
        <f>VLOOKUP(A252,MEMORIAL!A:O,15,0)</f>
        <v>2</v>
      </c>
      <c r="G252" s="75">
        <f>IF(B252="SINAPI",VLOOKUP(C252,SINAPI!A:D,4,0),(VLOOKUP(C252,SEINFRA!A:D,4,0)))</f>
        <v>224.4</v>
      </c>
      <c r="H252" s="75">
        <f t="shared" si="148"/>
        <v>294.66000000000003</v>
      </c>
      <c r="I252" s="75">
        <f t="shared" si="149"/>
        <v>589.32000000000005</v>
      </c>
    </row>
    <row r="253" spans="1:9" x14ac:dyDescent="0.2">
      <c r="A253" s="202"/>
      <c r="B253" s="207"/>
      <c r="C253" s="206"/>
      <c r="D253" s="201"/>
      <c r="E253" s="81"/>
      <c r="F253" s="204"/>
      <c r="G253" s="204"/>
      <c r="H253" s="205"/>
      <c r="I253" s="205"/>
    </row>
    <row r="254" spans="1:9" x14ac:dyDescent="0.2">
      <c r="A254" s="210">
        <v>12</v>
      </c>
      <c r="B254" s="210"/>
      <c r="C254" s="210"/>
      <c r="D254" s="212" t="s">
        <v>39101</v>
      </c>
      <c r="E254" s="210"/>
      <c r="F254" s="313"/>
      <c r="G254" s="313"/>
      <c r="H254" s="313"/>
      <c r="I254" s="313">
        <f>ROUND(I255+I261+I265,2)</f>
        <v>36737.360000000001</v>
      </c>
    </row>
    <row r="255" spans="1:9" x14ac:dyDescent="0.2">
      <c r="A255" s="213" t="s">
        <v>39360</v>
      </c>
      <c r="B255" s="213"/>
      <c r="C255" s="213"/>
      <c r="D255" s="215" t="s">
        <v>21</v>
      </c>
      <c r="E255" s="213"/>
      <c r="F255" s="314"/>
      <c r="G255" s="314"/>
      <c r="H255" s="314"/>
      <c r="I255" s="314">
        <f>ROUND(SUM(I256:I260),2)</f>
        <v>27907.65</v>
      </c>
    </row>
    <row r="256" spans="1:9" ht="25.5" x14ac:dyDescent="0.2">
      <c r="A256" s="202" t="s">
        <v>39361</v>
      </c>
      <c r="B256" s="71" t="s">
        <v>15</v>
      </c>
      <c r="C256" s="206">
        <v>96974</v>
      </c>
      <c r="D256" s="73" t="str">
        <f>IF(B256="SINAPI",VLOOKUP(C256,SINAPI!A:D,2,0),(VLOOKUP(C256,SEINFRA!A:D,2,0)))</f>
        <v>CORDOALHA DE COBRE NU 50 MM², NÃO ENTERRADA, COM ISOLADOR - FORNECIMENTO E INSTALAÇÃO. AF_08/2023</v>
      </c>
      <c r="E256" s="74" t="str">
        <f>IF(B256="SINAPI",VLOOKUP(C256,SINAPI!A:D,3,0),(VLOOKUP(C256,SEINFRA!A:D,3,0)))</f>
        <v>M</v>
      </c>
      <c r="F256" s="86">
        <f>VLOOKUP(A256,MEMORIAL!A:O,15,0)</f>
        <v>169.79</v>
      </c>
      <c r="G256" s="75">
        <f>IF(B256="SINAPI",VLOOKUP(C256,SINAPI!A:D,4,0),(VLOOKUP(C256,SEINFRA!A:D,4,0)))</f>
        <v>92.93</v>
      </c>
      <c r="H256" s="75">
        <f t="shared" ref="H256" si="150">ROUND(G256*$K$3,2)</f>
        <v>122.03</v>
      </c>
      <c r="I256" s="75">
        <f t="shared" ref="I256" si="151">ROUND(F256*H256,2)</f>
        <v>20719.47</v>
      </c>
    </row>
    <row r="257" spans="1:9" ht="25.5" x14ac:dyDescent="0.2">
      <c r="A257" s="202" t="s">
        <v>39362</v>
      </c>
      <c r="B257" s="237"/>
      <c r="C257" s="83" t="str">
        <f>'COMP.13_BARRA'!A19</f>
        <v>COMP. 13</v>
      </c>
      <c r="D257" s="85" t="str">
        <f>'COMP.13_BARRA'!B19</f>
        <v>BARRA CHATA DE ALUMÍNIO DE 7/8" X 1/8" - FORNECIMENTO E INSTALAÇÃO</v>
      </c>
      <c r="E257" s="79" t="str">
        <f>'COMP.13_BARRA'!G19</f>
        <v>M</v>
      </c>
      <c r="F257" s="86">
        <f>VLOOKUP(A257,MEMORIAL!A:O,15,0)</f>
        <v>238.4</v>
      </c>
      <c r="G257" s="86">
        <f>'COMP.13_BARRA'!G32</f>
        <v>15.14</v>
      </c>
      <c r="H257" s="75">
        <f t="shared" ref="H257" si="152">ROUND(G257*$K$3,2)</f>
        <v>19.88</v>
      </c>
      <c r="I257" s="75">
        <f t="shared" ref="I257" si="153">ROUND(F257*H257,2)</f>
        <v>4739.3900000000003</v>
      </c>
    </row>
    <row r="258" spans="1:9" ht="25.5" x14ac:dyDescent="0.2">
      <c r="A258" s="202" t="s">
        <v>39363</v>
      </c>
      <c r="B258" s="237"/>
      <c r="C258" s="83" t="str">
        <f>'COMP.14_TERMINAL'!A19</f>
        <v>COMP. 14</v>
      </c>
      <c r="D258" s="85" t="str">
        <f>'COMP.14_TERMINAL'!B19</f>
        <v>TERMINAL AÉREO EM AÇO GALVANIZADO, COM FIXAÇÃO HORIZONTAL - FORNECIMENTO E INSTALAÇÃO</v>
      </c>
      <c r="E258" s="79" t="str">
        <f>'COMP.14_TERMINAL'!G19</f>
        <v>UN</v>
      </c>
      <c r="F258" s="86">
        <f>VLOOKUP(A258,MEMORIAL!A:O,15,0)</f>
        <v>32</v>
      </c>
      <c r="G258" s="86">
        <f>'COMP.14_TERMINAL'!G32</f>
        <v>31.69</v>
      </c>
      <c r="H258" s="75">
        <f t="shared" ref="H258" si="154">ROUND(G258*$K$3,2)</f>
        <v>41.61</v>
      </c>
      <c r="I258" s="75">
        <f t="shared" ref="I258" si="155">ROUND(F258*H258,2)</f>
        <v>1331.52</v>
      </c>
    </row>
    <row r="259" spans="1:9" ht="25.5" x14ac:dyDescent="0.2">
      <c r="A259" s="202" t="s">
        <v>39364</v>
      </c>
      <c r="B259" s="71" t="s">
        <v>15</v>
      </c>
      <c r="C259" s="206">
        <v>96985</v>
      </c>
      <c r="D259" s="73" t="str">
        <f>IF(B259="SINAPI",VLOOKUP(C259,SINAPI!A:D,2,0),(VLOOKUP(C259,SEINFRA!A:D,2,0)))</f>
        <v>HASTE DE ATERRAMENTO, DIÂMETRO 5/8", COM 3 METROS - FORNECIMENTO E INSTALAÇÃO. AF_08/2023</v>
      </c>
      <c r="E259" s="74" t="str">
        <f>IF(B259="SINAPI",VLOOKUP(C259,SINAPI!A:D,3,0),(VLOOKUP(C259,SEINFRA!A:D,3,0)))</f>
        <v>UN</v>
      </c>
      <c r="F259" s="86">
        <f>VLOOKUP(A259,MEMORIAL!A:O,15,0)</f>
        <v>11</v>
      </c>
      <c r="G259" s="75">
        <f>IF(B259="SINAPI",VLOOKUP(C259,SINAPI!A:D,4,0),(VLOOKUP(C259,SEINFRA!A:D,4,0)))</f>
        <v>77.349999999999994</v>
      </c>
      <c r="H259" s="75">
        <f t="shared" ref="H259" si="156">ROUND(G259*$K$3,2)</f>
        <v>101.57</v>
      </c>
      <c r="I259" s="75">
        <f t="shared" ref="I259" si="157">ROUND(F259*H259,2)</f>
        <v>1117.27</v>
      </c>
    </row>
    <row r="260" spans="1:9" x14ac:dyDescent="0.2">
      <c r="A260" s="202"/>
      <c r="B260" s="207"/>
      <c r="C260" s="206"/>
      <c r="D260" s="201"/>
      <c r="E260" s="81"/>
      <c r="F260" s="204"/>
      <c r="G260" s="204"/>
      <c r="H260" s="205"/>
      <c r="I260" s="205"/>
    </row>
    <row r="261" spans="1:9" x14ac:dyDescent="0.2">
      <c r="A261" s="213" t="s">
        <v>39365</v>
      </c>
      <c r="B261" s="213"/>
      <c r="C261" s="213"/>
      <c r="D261" s="215" t="s">
        <v>39086</v>
      </c>
      <c r="E261" s="213"/>
      <c r="F261" s="314"/>
      <c r="G261" s="314"/>
      <c r="H261" s="314"/>
      <c r="I261" s="314">
        <f>ROUND(SUM(I262:I264),2)</f>
        <v>6269.44</v>
      </c>
    </row>
    <row r="262" spans="1:9" x14ac:dyDescent="0.2">
      <c r="A262" s="202" t="s">
        <v>39366</v>
      </c>
      <c r="B262" s="71" t="s">
        <v>15</v>
      </c>
      <c r="C262" s="217">
        <v>93358</v>
      </c>
      <c r="D262" s="73" t="str">
        <f>IF(B262="SINAPI",VLOOKUP(C262,SINAPI!A:D,2,0),(VLOOKUP(C262,SEINFRA!A:D,2,0)))</f>
        <v>ESCAVAÇÃO MANUAL DE VALA. AF_09/2024</v>
      </c>
      <c r="E262" s="74" t="str">
        <f>IF(B262="SINAPI",VLOOKUP(C262,SINAPI!A:D,3,0),(VLOOKUP(C262,SEINFRA!A:D,3,0)))</f>
        <v>M3</v>
      </c>
      <c r="F262" s="86">
        <f>VLOOKUP(A262,MEMORIAL!A:O,15,0)</f>
        <v>42.45</v>
      </c>
      <c r="G262" s="75">
        <f>IF(B262="SINAPI",VLOOKUP(C262,SINAPI!A:D,4,0),(VLOOKUP(C262,SEINFRA!A:D,4,0)))</f>
        <v>86.03</v>
      </c>
      <c r="H262" s="75">
        <f t="shared" ref="H262:H263" si="158">ROUND(G262*$K$3,2)</f>
        <v>112.97</v>
      </c>
      <c r="I262" s="75">
        <f t="shared" ref="I262:I263" si="159">ROUND(F262*H262,2)</f>
        <v>4795.58</v>
      </c>
    </row>
    <row r="263" spans="1:9" ht="25.5" x14ac:dyDescent="0.2">
      <c r="A263" s="202" t="s">
        <v>39367</v>
      </c>
      <c r="B263" s="71" t="s">
        <v>15</v>
      </c>
      <c r="C263" s="217">
        <v>93382</v>
      </c>
      <c r="D263" s="73" t="str">
        <f>IF(B263="SINAPI",VLOOKUP(C263,SINAPI!A:D,2,0),(VLOOKUP(C263,SEINFRA!A:D,2,0)))</f>
        <v>REATERRO MANUAL DE VALAS, COM COMPACTADOR DE SOLOS DE PERCUSSÃO. AF_08/2023</v>
      </c>
      <c r="E263" s="74" t="str">
        <f>IF(B263="SINAPI",VLOOKUP(C263,SINAPI!A:D,3,0),(VLOOKUP(C263,SEINFRA!A:D,3,0)))</f>
        <v>M3</v>
      </c>
      <c r="F263" s="86">
        <f>VLOOKUP(A263,MEMORIAL!A:O,15,0)</f>
        <v>42.45</v>
      </c>
      <c r="G263" s="75">
        <f>IF(B263="SINAPI",VLOOKUP(C263,SINAPI!A:D,4,0),(VLOOKUP(C263,SEINFRA!A:D,4,0)))</f>
        <v>26.44</v>
      </c>
      <c r="H263" s="75">
        <f t="shared" si="158"/>
        <v>34.72</v>
      </c>
      <c r="I263" s="75">
        <f t="shared" si="159"/>
        <v>1473.86</v>
      </c>
    </row>
    <row r="264" spans="1:9" x14ac:dyDescent="0.2">
      <c r="A264" s="202"/>
      <c r="B264" s="207"/>
      <c r="C264" s="206"/>
      <c r="D264" s="201"/>
      <c r="E264" s="81"/>
      <c r="F264" s="204"/>
      <c r="G264" s="204"/>
      <c r="H264" s="205"/>
      <c r="I264" s="205"/>
    </row>
    <row r="265" spans="1:9" x14ac:dyDescent="0.2">
      <c r="A265" s="213" t="s">
        <v>39368</v>
      </c>
      <c r="B265" s="213"/>
      <c r="C265" s="213"/>
      <c r="D265" s="215" t="s">
        <v>39102</v>
      </c>
      <c r="E265" s="213"/>
      <c r="F265" s="314"/>
      <c r="G265" s="314"/>
      <c r="H265" s="314"/>
      <c r="I265" s="314">
        <f>ROUND(SUM(I266:I270),2)</f>
        <v>2560.27</v>
      </c>
    </row>
    <row r="266" spans="1:9" ht="25.5" x14ac:dyDescent="0.2">
      <c r="A266" s="202" t="s">
        <v>39369</v>
      </c>
      <c r="B266" s="71" t="s">
        <v>15</v>
      </c>
      <c r="C266" s="217">
        <v>98111</v>
      </c>
      <c r="D266" s="73" t="str">
        <f>IF(B266="SINAPI",VLOOKUP(C266,SINAPI!A:D,2,0),(VLOOKUP(C266,SEINFRA!A:D,2,0)))</f>
        <v>CAIXA DE INSPEÇÃO PARA ATERRAMENTO, CIRCULAR, EM POLIETILENO, DIÂMETRO INTERNO = 0,3 M. AF_12/2020</v>
      </c>
      <c r="E266" s="74" t="str">
        <f>IF(B266="SINAPI",VLOOKUP(C266,SINAPI!A:D,3,0),(VLOOKUP(C266,SEINFRA!A:D,3,0)))</f>
        <v>UN</v>
      </c>
      <c r="F266" s="86">
        <f>VLOOKUP(A266,MEMORIAL!A:O,15,0)</f>
        <v>11</v>
      </c>
      <c r="G266" s="75">
        <f>IF(B266="SINAPI",VLOOKUP(C266,SINAPI!A:D,4,0),(VLOOKUP(C266,SEINFRA!A:D,4,0)))</f>
        <v>58.01</v>
      </c>
      <c r="H266" s="75">
        <f t="shared" ref="H266:H267" si="160">ROUND(G266*$K$3,2)</f>
        <v>76.17</v>
      </c>
      <c r="I266" s="75">
        <f t="shared" ref="I266:I267" si="161">ROUND(F266*H266,2)</f>
        <v>837.87</v>
      </c>
    </row>
    <row r="267" spans="1:9" ht="25.5" x14ac:dyDescent="0.2">
      <c r="A267" s="202" t="s">
        <v>39370</v>
      </c>
      <c r="B267" s="80" t="s">
        <v>25</v>
      </c>
      <c r="C267" s="206" t="s">
        <v>28066</v>
      </c>
      <c r="D267" s="73" t="str">
        <f>IF(B267="SINAPI",VLOOKUP(C267,SINAPI!A:D,2,0),(VLOOKUP(C267,SEINFRA!A:D,2,0)))</f>
        <v>TAMPA PARA CAIXA DE INSPEÇÃO DE TERRA EM FERRO FUNDIDO 300mm</v>
      </c>
      <c r="E267" s="74" t="str">
        <f>IF(B267="SINAPI",VLOOKUP(C267,SINAPI!A:D,3,0),(VLOOKUP(C267,SEINFRA!A:D,3,0)))</f>
        <v>UN</v>
      </c>
      <c r="F267" s="86">
        <f>VLOOKUP(A267,MEMORIAL!A:O,15,0)</f>
        <v>11</v>
      </c>
      <c r="G267" s="75">
        <f>IF(B267="SINAPI",VLOOKUP(C267,SINAPI!A:D,4,0),(VLOOKUP(C267,SEINFRA!A:D,4,0)))</f>
        <v>45.91</v>
      </c>
      <c r="H267" s="75">
        <f t="shared" si="160"/>
        <v>60.28</v>
      </c>
      <c r="I267" s="75">
        <f t="shared" si="161"/>
        <v>663.08</v>
      </c>
    </row>
    <row r="268" spans="1:9" ht="38.25" x14ac:dyDescent="0.2">
      <c r="A268" s="202" t="s">
        <v>39371</v>
      </c>
      <c r="B268" s="71" t="s">
        <v>15</v>
      </c>
      <c r="C268" s="206">
        <v>97893</v>
      </c>
      <c r="D268" s="73" t="str">
        <f>IF(B268="SINAPI",VLOOKUP(C268,SINAPI!A:D,2,0),(VLOOKUP(C268,SEINFRA!A:D,2,0)))</f>
        <v>CAIXA ENTERRADA ELÉTRICA RETANGULAR, EM ALVENARIA COM BLOCOS DE CONCRETO, FUNDO COM BRITA, DIMENSÕES INTERNAS: 0,8X0,8X0,6 M. AF_12/2020</v>
      </c>
      <c r="E268" s="74" t="str">
        <f>IF(B268="SINAPI",VLOOKUP(C268,SINAPI!A:D,3,0),(VLOOKUP(C268,SEINFRA!A:D,3,0)))</f>
        <v>UN</v>
      </c>
      <c r="F268" s="86">
        <f>VLOOKUP(A268,MEMORIAL!A:O,15,0)</f>
        <v>1</v>
      </c>
      <c r="G268" s="75">
        <f>IF(B268="SINAPI",VLOOKUP(C268,SINAPI!A:D,4,0),(VLOOKUP(C268,SEINFRA!A:D,4,0)))</f>
        <v>531.41999999999996</v>
      </c>
      <c r="H268" s="75">
        <f t="shared" ref="H268" si="162">ROUND(G268*$K$3,2)</f>
        <v>697.81</v>
      </c>
      <c r="I268" s="75">
        <f t="shared" ref="I268" si="163">ROUND(F268*H268,2)</f>
        <v>697.81</v>
      </c>
    </row>
    <row r="269" spans="1:9" ht="25.5" x14ac:dyDescent="0.2">
      <c r="A269" s="202" t="s">
        <v>47149</v>
      </c>
      <c r="B269" s="237"/>
      <c r="C269" s="83" t="str">
        <f>'COMP.15_EQUALIZACAO'!A19</f>
        <v>COMP. 15</v>
      </c>
      <c r="D269" s="85" t="str">
        <f>'COMP.15_EQUALIZACAO'!B19</f>
        <v>CAIXA COM BARRAMENTO DE EQUALIZAÇÃO DE POTÊNCIAS - FORNECIMENTO E INSTALAÇÃO</v>
      </c>
      <c r="E269" s="74" t="str">
        <f>'COMP.15_EQUALIZACAO'!G19</f>
        <v>UN</v>
      </c>
      <c r="F269" s="86">
        <f>VLOOKUP(A269,MEMORIAL!A:O,15,0)</f>
        <v>1</v>
      </c>
      <c r="G269" s="86">
        <f>'COMP.15_EQUALIZACAO'!G32</f>
        <v>275.31</v>
      </c>
      <c r="H269" s="75">
        <f t="shared" ref="H269" si="164">ROUND(G269*$K$3,2)</f>
        <v>361.51</v>
      </c>
      <c r="I269" s="75">
        <f t="shared" ref="I269" si="165">ROUND(F269*H269,2)</f>
        <v>361.51</v>
      </c>
    </row>
    <row r="270" spans="1:9" x14ac:dyDescent="0.2">
      <c r="A270" s="202"/>
      <c r="B270" s="203"/>
      <c r="C270" s="206"/>
      <c r="D270" s="201"/>
      <c r="E270" s="81"/>
      <c r="F270" s="204"/>
      <c r="G270" s="204"/>
      <c r="H270" s="205"/>
      <c r="I270" s="205"/>
    </row>
    <row r="271" spans="1:9" x14ac:dyDescent="0.2">
      <c r="A271" s="210">
        <v>13</v>
      </c>
      <c r="B271" s="210"/>
      <c r="C271" s="210"/>
      <c r="D271" s="212" t="s">
        <v>39084</v>
      </c>
      <c r="E271" s="210"/>
      <c r="F271" s="313"/>
      <c r="G271" s="313"/>
      <c r="H271" s="313"/>
      <c r="I271" s="313">
        <f>ROUND(I272+I279,2)</f>
        <v>222129.1</v>
      </c>
    </row>
    <row r="272" spans="1:9" x14ac:dyDescent="0.2">
      <c r="A272" s="213" t="s">
        <v>39103</v>
      </c>
      <c r="B272" s="213"/>
      <c r="C272" s="213"/>
      <c r="D272" s="215" t="s">
        <v>39191</v>
      </c>
      <c r="E272" s="213"/>
      <c r="F272" s="314"/>
      <c r="G272" s="314"/>
      <c r="H272" s="314"/>
      <c r="I272" s="314">
        <f>ROUND(SUM(I273:I278),2)</f>
        <v>21343.919999999998</v>
      </c>
    </row>
    <row r="273" spans="1:9" ht="60" customHeight="1" x14ac:dyDescent="0.2">
      <c r="A273" s="84" t="s">
        <v>39104</v>
      </c>
      <c r="B273" s="241" t="s">
        <v>15</v>
      </c>
      <c r="C273" s="83">
        <v>94273</v>
      </c>
      <c r="D273" s="85" t="str">
        <f>IF(B273="SINAPI",VLOOKUP(C273,SINAPI!A:D,2,0),(VLOOKUP(C273,SEINFRA!A:D,2,0)))</f>
        <v>ASSENTAMENTO DE GUIA (MEIO-FIO) EM TRECHO RETO, CONFECCIONADA EM CONCRETO PRÉ-FABRICADO, DIMENSÕES 100X15X13X30 CM (COMPRIMENTO X BASE INFERIOR X BASE SUPERIOR X ALTURA). AF_01/2024</v>
      </c>
      <c r="E273" s="79" t="str">
        <f>IF(B273="SINAPI",VLOOKUP(C273,SINAPI!A:D,3,0),(VLOOKUP(C273,SEINFRA!A:D,3,0)))</f>
        <v>M</v>
      </c>
      <c r="F273" s="86">
        <f>VLOOKUP(A273,MEMORIAL!A:O,15,0)</f>
        <v>101.62000000000002</v>
      </c>
      <c r="G273" s="86">
        <f>IF(B273="SINAPI",VLOOKUP(C273,SINAPI!A:D,4,0),(VLOOKUP(C273,SEINFRA!A:D,4,0)))</f>
        <v>43.23</v>
      </c>
      <c r="H273" s="86">
        <f t="shared" ref="H273:H277" si="166">ROUND(G273*$K$3,2)</f>
        <v>56.77</v>
      </c>
      <c r="I273" s="86">
        <f t="shared" ref="I273:I277" si="167">ROUND(F273*H273,2)</f>
        <v>5768.97</v>
      </c>
    </row>
    <row r="274" spans="1:9" ht="38.25" x14ac:dyDescent="0.2">
      <c r="A274" s="84" t="s">
        <v>39105</v>
      </c>
      <c r="B274" s="241" t="s">
        <v>15</v>
      </c>
      <c r="C274" s="83">
        <v>100323</v>
      </c>
      <c r="D274" s="85" t="str">
        <f>IF(B274="SINAPI",VLOOKUP(C274,SINAPI!A:D,2,0),(VLOOKUP(C274,SEINFRA!A:D,2,0)))</f>
        <v>LASTRO COM MATERIAL GRANULAR (AREIA MÉDIA), APLICADO EM PISOS OU LAJES SOBRE SOLO, ESPESSURA DE *10 CM*. AF_01/2024</v>
      </c>
      <c r="E274" s="79" t="str">
        <f>IF(B274="SINAPI",VLOOKUP(C274,SINAPI!A:D,3,0),(VLOOKUP(C274,SEINFRA!A:D,3,0)))</f>
        <v>M3</v>
      </c>
      <c r="F274" s="86">
        <f>VLOOKUP(A274,MEMORIAL!A:O,15,0)</f>
        <v>7.5600000000000005</v>
      </c>
      <c r="G274" s="86">
        <f>IF(B274="SINAPI",VLOOKUP(C274,SINAPI!A:D,4,0),(VLOOKUP(C274,SEINFRA!A:D,4,0)))</f>
        <v>205.48</v>
      </c>
      <c r="H274" s="86">
        <f t="shared" si="166"/>
        <v>269.82</v>
      </c>
      <c r="I274" s="86">
        <f t="shared" si="167"/>
        <v>2039.84</v>
      </c>
    </row>
    <row r="275" spans="1:9" x14ac:dyDescent="0.2">
      <c r="A275" s="84" t="s">
        <v>39106</v>
      </c>
      <c r="B275" s="80" t="s">
        <v>25</v>
      </c>
      <c r="C275" s="83" t="s">
        <v>6757</v>
      </c>
      <c r="D275" s="85" t="str">
        <f>IF(B275="SINAPI",VLOOKUP(C275,SINAPI!A:D,2,0),(VLOOKUP(C275,SEINFRA!A:D,2,0)))</f>
        <v>LASTRO DE PÓ DE PEDRA</v>
      </c>
      <c r="E275" s="79" t="str">
        <f>IF(B275="SINAPI",VLOOKUP(C275,SINAPI!A:D,3,0),(VLOOKUP(C275,SEINFRA!A:D,3,0)))</f>
        <v>M3</v>
      </c>
      <c r="F275" s="86">
        <f>VLOOKUP(A275,MEMORIAL!A:O,15,0)</f>
        <v>9.07</v>
      </c>
      <c r="G275" s="86">
        <f>IF(B275="SINAPI",VLOOKUP(C275,SINAPI!A:D,4,0),(VLOOKUP(C275,SEINFRA!A:D,4,0)))</f>
        <v>112.7</v>
      </c>
      <c r="H275" s="86">
        <f t="shared" si="166"/>
        <v>147.99</v>
      </c>
      <c r="I275" s="86">
        <f t="shared" si="167"/>
        <v>1342.27</v>
      </c>
    </row>
    <row r="276" spans="1:9" ht="25.5" x14ac:dyDescent="0.2">
      <c r="A276" s="84" t="s">
        <v>39107</v>
      </c>
      <c r="B276" s="80" t="s">
        <v>25</v>
      </c>
      <c r="C276" s="83" t="s">
        <v>9447</v>
      </c>
      <c r="D276" s="85" t="str">
        <f>IF(B276="SINAPI",VLOOKUP(C276,SINAPI!A:D,2,0),(VLOOKUP(C276,SEINFRA!A:D,2,0)))</f>
        <v>PISO INTERTRAVADO TIPO TIJOLINHO (20 X 10 X 4CM), CINZA - COMPACTAÇÃO MECANIZADA</v>
      </c>
      <c r="E276" s="79" t="str">
        <f>IF(B276="SINAPI",VLOOKUP(C276,SINAPI!A:D,3,0),(VLOOKUP(C276,SEINFRA!A:D,3,0)))</f>
        <v>M2</v>
      </c>
      <c r="F276" s="86">
        <f>VLOOKUP(A276,MEMORIAL!A:O,15,0)</f>
        <v>151.06</v>
      </c>
      <c r="G276" s="86">
        <f>IF(B276="SINAPI",VLOOKUP(C276,SINAPI!A:D,4,0),(VLOOKUP(C276,SEINFRA!A:D,4,0)))</f>
        <v>50.91</v>
      </c>
      <c r="H276" s="86">
        <f t="shared" si="166"/>
        <v>66.849999999999994</v>
      </c>
      <c r="I276" s="86">
        <f t="shared" si="167"/>
        <v>10098.36</v>
      </c>
    </row>
    <row r="277" spans="1:9" ht="25.5" x14ac:dyDescent="0.2">
      <c r="A277" s="84" t="s">
        <v>39372</v>
      </c>
      <c r="B277" s="241" t="s">
        <v>15</v>
      </c>
      <c r="C277" s="83">
        <v>104658</v>
      </c>
      <c r="D277" s="85" t="str">
        <f>IF(B277="SINAPI",VLOOKUP(C277,SINAPI!A:D,2,0),(VLOOKUP(C277,SEINFRA!A:D,2,0)))</f>
        <v>PISO PODOTÁTIL DE ALERTA OU DIRECIONAL, DE CONCRETO, ASSENTADO SOBRE ARGAMASSA. AF_03/2024</v>
      </c>
      <c r="E277" s="79" t="str">
        <f>IF(B277="SINAPI",VLOOKUP(C277,SINAPI!A:D,3,0),(VLOOKUP(C277,SEINFRA!A:D,3,0)))</f>
        <v>M2</v>
      </c>
      <c r="F277" s="86">
        <f>VLOOKUP(A277,MEMORIAL!A:O,15,0)</f>
        <v>10.640000000000002</v>
      </c>
      <c r="G277" s="86">
        <f>IF(B277="SINAPI",VLOOKUP(C277,SINAPI!A:D,4,0),(VLOOKUP(C277,SEINFRA!A:D,4,0)))</f>
        <v>149.91</v>
      </c>
      <c r="H277" s="86">
        <f t="shared" si="166"/>
        <v>196.85</v>
      </c>
      <c r="I277" s="86">
        <f t="shared" si="167"/>
        <v>2094.48</v>
      </c>
    </row>
    <row r="278" spans="1:9" x14ac:dyDescent="0.2">
      <c r="A278" s="84"/>
      <c r="B278" s="71"/>
      <c r="C278" s="83"/>
      <c r="D278" s="85"/>
      <c r="E278" s="79"/>
      <c r="F278" s="86"/>
      <c r="G278" s="86"/>
      <c r="H278" s="86"/>
      <c r="I278" s="86"/>
    </row>
    <row r="279" spans="1:9" x14ac:dyDescent="0.2">
      <c r="A279" s="213" t="s">
        <v>39108</v>
      </c>
      <c r="B279" s="213"/>
      <c r="C279" s="213"/>
      <c r="D279" s="215" t="s">
        <v>39192</v>
      </c>
      <c r="E279" s="213"/>
      <c r="F279" s="314"/>
      <c r="G279" s="314"/>
      <c r="H279" s="314"/>
      <c r="I279" s="314">
        <f>ROUND(SUM(I280:I290),2)</f>
        <v>200785.18</v>
      </c>
    </row>
    <row r="280" spans="1:9" ht="38.25" x14ac:dyDescent="0.2">
      <c r="A280" s="84" t="s">
        <v>39109</v>
      </c>
      <c r="B280" s="241" t="s">
        <v>15</v>
      </c>
      <c r="C280" s="83">
        <v>100323</v>
      </c>
      <c r="D280" s="85" t="str">
        <f>IF(B280="SINAPI",VLOOKUP(C280,SINAPI!A:D,2,0),(VLOOKUP(C280,SEINFRA!A:D,2,0)))</f>
        <v>LASTRO COM MATERIAL GRANULAR (AREIA MÉDIA), APLICADO EM PISOS OU LAJES SOBRE SOLO, ESPESSURA DE *10 CM*. AF_01/2024</v>
      </c>
      <c r="E280" s="79" t="str">
        <f>IF(B280="SINAPI",VLOOKUP(C280,SINAPI!A:D,3,0),(VLOOKUP(C280,SEINFRA!A:D,3,0)))</f>
        <v>M3</v>
      </c>
      <c r="F280" s="86">
        <f>VLOOKUP(A280,MEMORIAL!A:O,15,0)</f>
        <v>61.080000000000005</v>
      </c>
      <c r="G280" s="86">
        <f>IF(B280="SINAPI",VLOOKUP(C280,SINAPI!A:D,4,0),(VLOOKUP(C280,SEINFRA!A:D,4,0)))</f>
        <v>205.48</v>
      </c>
      <c r="H280" s="86">
        <f t="shared" ref="H280" si="168">ROUND(G280*$K$3,2)</f>
        <v>269.82</v>
      </c>
      <c r="I280" s="86">
        <f t="shared" ref="I280" si="169">ROUND(F280*H280,2)</f>
        <v>16480.61</v>
      </c>
    </row>
    <row r="281" spans="1:9" ht="38.25" x14ac:dyDescent="0.2">
      <c r="A281" s="84" t="s">
        <v>39110</v>
      </c>
      <c r="B281" s="241" t="s">
        <v>15</v>
      </c>
      <c r="C281" s="83">
        <v>95241</v>
      </c>
      <c r="D281" s="85" t="str">
        <f>IF(B281="SINAPI",VLOOKUP(C281,SINAPI!A:D,2,0),(VLOOKUP(C281,SEINFRA!A:D,2,0)))</f>
        <v>LASTRO DE CONCRETO MAGRO, APLICADO EM PISOS, LAJES SOBRE SOLO OU RADIERS, ESPESSURA DE 5 CM. AF_01/2024</v>
      </c>
      <c r="E281" s="79" t="str">
        <f>IF(B281="SINAPI",VLOOKUP(C281,SINAPI!A:D,3,0),(VLOOKUP(C281,SEINFRA!A:D,3,0)))</f>
        <v>M2</v>
      </c>
      <c r="F281" s="86">
        <f>VLOOKUP(A281,MEMORIAL!A:O,15,0)</f>
        <v>823.14999999999986</v>
      </c>
      <c r="G281" s="86">
        <f>IF(B281="SINAPI",VLOOKUP(C281,SINAPI!A:D,4,0),(VLOOKUP(C281,SEINFRA!A:D,4,0)))</f>
        <v>36.950000000000003</v>
      </c>
      <c r="H281" s="86">
        <f t="shared" ref="H281:H282" si="170">ROUND(G281*$K$3,2)</f>
        <v>48.52</v>
      </c>
      <c r="I281" s="86">
        <f t="shared" ref="I281:I282" si="171">ROUND(F281*H281,2)</f>
        <v>39939.24</v>
      </c>
    </row>
    <row r="282" spans="1:9" ht="25.5" x14ac:dyDescent="0.2">
      <c r="A282" s="84" t="s">
        <v>39373</v>
      </c>
      <c r="B282" s="241" t="s">
        <v>15</v>
      </c>
      <c r="C282" s="83">
        <v>98557</v>
      </c>
      <c r="D282" s="85" t="str">
        <f>IF(B282="SINAPI",VLOOKUP(C282,SINAPI!A:D,2,0),(VLOOKUP(C282,SEINFRA!A:D,2,0)))</f>
        <v>IMPERMEABILIZAÇÃO DE SUPERFÍCIE COM EMULSÃO ASFÁLTICA, 2 DEMÃOS. AF_09/2023</v>
      </c>
      <c r="E282" s="79" t="str">
        <f>IF(B282="SINAPI",VLOOKUP(C282,SINAPI!A:D,3,0),(VLOOKUP(C282,SEINFRA!A:D,3,0)))</f>
        <v>M2</v>
      </c>
      <c r="F282" s="86">
        <f>VLOOKUP(A282,MEMORIAL!A:O,15,0)</f>
        <v>57.759999999999991</v>
      </c>
      <c r="G282" s="86">
        <f>IF(B282="SINAPI",VLOOKUP(C282,SINAPI!A:D,4,0),(VLOOKUP(C282,SEINFRA!A:D,4,0)))</f>
        <v>44.41</v>
      </c>
      <c r="H282" s="86">
        <f t="shared" si="170"/>
        <v>58.31</v>
      </c>
      <c r="I282" s="86">
        <f t="shared" si="171"/>
        <v>3367.99</v>
      </c>
    </row>
    <row r="283" spans="1:9" ht="25.5" x14ac:dyDescent="0.2">
      <c r="A283" s="84" t="s">
        <v>39374</v>
      </c>
      <c r="B283" s="80" t="s">
        <v>25</v>
      </c>
      <c r="C283" s="83" t="s">
        <v>9329</v>
      </c>
      <c r="D283" s="85" t="str">
        <f>IF(B283="SINAPI",VLOOKUP(C283,SINAPI!A:D,2,0),(VLOOKUP(C283,SEINFRA!A:D,2,0)))</f>
        <v>PISO INDUSTRIAL NATURAL  ESP.= 12mm, INCLUS. POLIMENTO (INTERNO)</v>
      </c>
      <c r="E283" s="79" t="str">
        <f>IF(B283="SINAPI",VLOOKUP(C283,SINAPI!A:D,3,0),(VLOOKUP(C283,SEINFRA!A:D,3,0)))</f>
        <v>M2</v>
      </c>
      <c r="F283" s="86">
        <f>VLOOKUP(A283,MEMORIAL!A:O,15,0)</f>
        <v>452.14000000000004</v>
      </c>
      <c r="G283" s="86">
        <f>IF(B283="SINAPI",VLOOKUP(C283,SINAPI!A:D,4,0),(VLOOKUP(C283,SEINFRA!A:D,4,0)))</f>
        <v>136.06</v>
      </c>
      <c r="H283" s="86">
        <f t="shared" ref="H283:H286" si="172">ROUND(G283*$K$3,2)</f>
        <v>178.66</v>
      </c>
      <c r="I283" s="86">
        <f t="shared" ref="I283:I286" si="173">ROUND(F283*H283,2)</f>
        <v>80779.33</v>
      </c>
    </row>
    <row r="284" spans="1:9" ht="38.25" x14ac:dyDescent="0.2">
      <c r="A284" s="84" t="s">
        <v>39375</v>
      </c>
      <c r="B284" s="241" t="s">
        <v>15</v>
      </c>
      <c r="C284" s="83">
        <v>101750</v>
      </c>
      <c r="D284" s="85" t="str">
        <f>IF(B284="SINAPI",VLOOKUP(C284,SINAPI!A:D,2,0),(VLOOKUP(C284,SEINFRA!A:D,2,0)))</f>
        <v>PISO CIMENTADO, TRAÇO 1:3 (CIMENTO E AREIA), ACABAMENTO RÚSTICO, ESPESSURA 4,0 CM, PREPARO MECÂNICO DA ARGAMASSA. AF_09/2020</v>
      </c>
      <c r="E284" s="79" t="str">
        <f>IF(B284="SINAPI",VLOOKUP(C284,SINAPI!A:D,3,0),(VLOOKUP(C284,SEINFRA!A:D,3,0)))</f>
        <v>M2</v>
      </c>
      <c r="F284" s="86">
        <f>VLOOKUP(A284,MEMORIAL!A:O,15,0)</f>
        <v>331.25</v>
      </c>
      <c r="G284" s="86">
        <f>IF(B284="SINAPI",VLOOKUP(C284,SINAPI!A:D,4,0),(VLOOKUP(C284,SEINFRA!A:D,4,0)))</f>
        <v>52.22</v>
      </c>
      <c r="H284" s="86">
        <f t="shared" si="172"/>
        <v>68.569999999999993</v>
      </c>
      <c r="I284" s="86">
        <f t="shared" si="173"/>
        <v>22713.81</v>
      </c>
    </row>
    <row r="285" spans="1:9" ht="42.75" customHeight="1" x14ac:dyDescent="0.2">
      <c r="A285" s="84" t="s">
        <v>39376</v>
      </c>
      <c r="B285" s="241" t="s">
        <v>15</v>
      </c>
      <c r="C285" s="83">
        <v>87255</v>
      </c>
      <c r="D285" s="85" t="str">
        <f>IF(B285="SINAPI",VLOOKUP(C285,SINAPI!A:D,2,0),(VLOOKUP(C285,SEINFRA!A:D,2,0)))</f>
        <v>REVESTIMENTO CERÂMICO PARA PISO COM PLACAS TIPO ESMALTADA DE DIMENSÕES 60X60 CM APLICADA EM AMBIENTES DE ÁREA MENOR QUE 5 M2. AF_02/2023_PE</v>
      </c>
      <c r="E285" s="79" t="str">
        <f>IF(B285="SINAPI",VLOOKUP(C285,SINAPI!A:D,3,0),(VLOOKUP(C285,SEINFRA!A:D,3,0)))</f>
        <v>M2</v>
      </c>
      <c r="F285" s="86">
        <f>VLOOKUP(A285,MEMORIAL!A:O,15,0)</f>
        <v>3.14</v>
      </c>
      <c r="G285" s="86">
        <f>IF(B285="SINAPI",VLOOKUP(C285,SINAPI!A:D,4,0),(VLOOKUP(C285,SEINFRA!A:D,4,0)))</f>
        <v>92.84</v>
      </c>
      <c r="H285" s="86">
        <f t="shared" ref="H285" si="174">ROUND(G285*$K$3,2)</f>
        <v>121.91</v>
      </c>
      <c r="I285" s="86">
        <f t="shared" ref="I285" si="175">ROUND(F285*H285,2)</f>
        <v>382.8</v>
      </c>
    </row>
    <row r="286" spans="1:9" ht="38.25" x14ac:dyDescent="0.2">
      <c r="A286" s="84" t="s">
        <v>39377</v>
      </c>
      <c r="B286" s="241" t="s">
        <v>15</v>
      </c>
      <c r="C286" s="83">
        <v>87257</v>
      </c>
      <c r="D286" s="85" t="str">
        <f>IF(B286="SINAPI",VLOOKUP(C286,SINAPI!A:D,2,0),(VLOOKUP(C286,SEINFRA!A:D,2,0)))</f>
        <v>REVESTIMENTO CERÂMICO PARA PISO COM PLACAS TIPO ESMALTADA DE DIMENSÕES 60X60 CM APLICADA EM AMBIENTES DE ÁREA MAIOR QUE 10 M2. AF_02/2023_PE</v>
      </c>
      <c r="E286" s="79" t="str">
        <f>IF(B286="SINAPI",VLOOKUP(C286,SINAPI!A:D,3,0),(VLOOKUP(C286,SEINFRA!A:D,3,0)))</f>
        <v>M2</v>
      </c>
      <c r="F286" s="86">
        <f>VLOOKUP(A286,MEMORIAL!A:O,15,0)</f>
        <v>36.619999999999997</v>
      </c>
      <c r="G286" s="86">
        <f>IF(B286="SINAPI",VLOOKUP(C286,SINAPI!A:D,4,0),(VLOOKUP(C286,SEINFRA!A:D,4,0)))</f>
        <v>72.16</v>
      </c>
      <c r="H286" s="86">
        <f t="shared" si="172"/>
        <v>94.75</v>
      </c>
      <c r="I286" s="86">
        <f t="shared" si="173"/>
        <v>3469.75</v>
      </c>
    </row>
    <row r="287" spans="1:9" ht="25.5" x14ac:dyDescent="0.2">
      <c r="A287" s="84" t="s">
        <v>39378</v>
      </c>
      <c r="B287" s="241" t="s">
        <v>15</v>
      </c>
      <c r="C287" s="83">
        <v>98689</v>
      </c>
      <c r="D287" s="85" t="str">
        <f>IF(B287="SINAPI",VLOOKUP(C287,SINAPI!A:D,2,0),(VLOOKUP(C287,SEINFRA!A:D,2,0)))</f>
        <v>SOLEIRA EM GRANITO, LARGURA 15 CM, ESPESSURA 2,0 CM. AF_09/2020</v>
      </c>
      <c r="E287" s="79" t="str">
        <f>IF(B287="SINAPI",VLOOKUP(C287,SINAPI!A:D,3,0),(VLOOKUP(C287,SEINFRA!A:D,3,0)))</f>
        <v>M</v>
      </c>
      <c r="F287" s="86">
        <f>VLOOKUP(A287,MEMORIAL!A:O,15,0)</f>
        <v>59.250000000000007</v>
      </c>
      <c r="G287" s="86">
        <f>IF(B287="SINAPI",VLOOKUP(C287,SINAPI!A:D,4,0),(VLOOKUP(C287,SEINFRA!A:D,4,0)))</f>
        <v>97.19</v>
      </c>
      <c r="H287" s="86">
        <f t="shared" ref="H287:H289" si="176">ROUND(G287*$K$3,2)</f>
        <v>127.62</v>
      </c>
      <c r="I287" s="86">
        <f t="shared" ref="I287:I289" si="177">ROUND(F287*H287,2)</f>
        <v>7561.49</v>
      </c>
    </row>
    <row r="288" spans="1:9" x14ac:dyDescent="0.2">
      <c r="A288" s="84" t="s">
        <v>39379</v>
      </c>
      <c r="B288" s="80" t="s">
        <v>25</v>
      </c>
      <c r="C288" s="83" t="s">
        <v>9393</v>
      </c>
      <c r="D288" s="85" t="str">
        <f>IF(B288="SINAPI",VLOOKUP(C288,SINAPI!A:D,2,0),(VLOOKUP(C288,SEINFRA!A:D,2,0)))</f>
        <v>RODAPÉ INDUSTRIAL MONOLÍTICO H= 10cm</v>
      </c>
      <c r="E288" s="79" t="str">
        <f>IF(B288="SINAPI",VLOOKUP(C288,SINAPI!A:D,3,0),(VLOOKUP(C288,SEINFRA!A:D,3,0)))</f>
        <v>M</v>
      </c>
      <c r="F288" s="86">
        <f>VLOOKUP(A288,MEMORIAL!A:O,15,0)</f>
        <v>279.51</v>
      </c>
      <c r="G288" s="86">
        <f>IF(B288="SINAPI",VLOOKUP(C288,SINAPI!A:D,4,0),(VLOOKUP(C288,SEINFRA!A:D,4,0)))</f>
        <v>24.2</v>
      </c>
      <c r="H288" s="86">
        <f t="shared" si="176"/>
        <v>31.78</v>
      </c>
      <c r="I288" s="86">
        <f t="shared" si="177"/>
        <v>8882.83</v>
      </c>
    </row>
    <row r="289" spans="1:9" ht="25.5" x14ac:dyDescent="0.2">
      <c r="A289" s="84" t="s">
        <v>39380</v>
      </c>
      <c r="B289" s="71" t="s">
        <v>15</v>
      </c>
      <c r="C289" s="83">
        <v>101094</v>
      </c>
      <c r="D289" s="85" t="str">
        <f>IF(B289="SINAPI",VLOOKUP(C289,SINAPI!A:D,2,0),(VLOOKUP(C289,SEINFRA!A:D,2,0)))</f>
        <v>PISO PODOTÁTIL DE ALERTA OU DIRECIONAL, DE BORRACHA, ASSENTADO SOBRE ARGAMASSA. AF_05/2020</v>
      </c>
      <c r="E289" s="79" t="str">
        <f>IF(B289="SINAPI",VLOOKUP(C289,SINAPI!A:D,3,0),(VLOOKUP(C289,SEINFRA!A:D,3,0)))</f>
        <v>M</v>
      </c>
      <c r="F289" s="86">
        <f>VLOOKUP(A289,MEMORIAL!A:O,15,0)</f>
        <v>77.5</v>
      </c>
      <c r="G289" s="86">
        <f>IF(B289="SINAPI",VLOOKUP(C289,SINAPI!A:D,4,0),(VLOOKUP(C289,SEINFRA!A:D,4,0)))</f>
        <v>169.09</v>
      </c>
      <c r="H289" s="86">
        <f t="shared" si="176"/>
        <v>222.03</v>
      </c>
      <c r="I289" s="86">
        <f t="shared" si="177"/>
        <v>17207.330000000002</v>
      </c>
    </row>
    <row r="290" spans="1:9" x14ac:dyDescent="0.2">
      <c r="A290" s="84"/>
      <c r="B290" s="71"/>
      <c r="C290" s="83"/>
      <c r="D290" s="85"/>
      <c r="E290" s="79"/>
      <c r="F290" s="86"/>
      <c r="G290" s="86"/>
      <c r="H290" s="86"/>
      <c r="I290" s="86"/>
    </row>
    <row r="291" spans="1:9" x14ac:dyDescent="0.2">
      <c r="A291" s="210">
        <v>14</v>
      </c>
      <c r="B291" s="210"/>
      <c r="C291" s="210"/>
      <c r="D291" s="212" t="s">
        <v>39193</v>
      </c>
      <c r="E291" s="210"/>
      <c r="F291" s="313"/>
      <c r="G291" s="313"/>
      <c r="H291" s="313"/>
      <c r="I291" s="313">
        <f>ROUND(I292+I302,2)</f>
        <v>370591.22</v>
      </c>
    </row>
    <row r="292" spans="1:9" x14ac:dyDescent="0.2">
      <c r="A292" s="213" t="s">
        <v>39111</v>
      </c>
      <c r="B292" s="213"/>
      <c r="C292" s="213"/>
      <c r="D292" s="215" t="s">
        <v>39194</v>
      </c>
      <c r="E292" s="213"/>
      <c r="F292" s="314"/>
      <c r="G292" s="314"/>
      <c r="H292" s="314"/>
      <c r="I292" s="314">
        <f>ROUND(SUM(I293:I301),2)</f>
        <v>304976.53999999998</v>
      </c>
    </row>
    <row r="293" spans="1:9" ht="25.5" x14ac:dyDescent="0.2">
      <c r="A293" s="84" t="s">
        <v>39113</v>
      </c>
      <c r="B293" s="80" t="s">
        <v>25</v>
      </c>
      <c r="C293" s="83" t="s">
        <v>8935</v>
      </c>
      <c r="D293" s="85" t="str">
        <f>IF(B293="SINAPI",VLOOKUP(C293,SINAPI!A:D,2,0),(VLOOKUP(C293,SEINFRA!A:D,2,0)))</f>
        <v>CHAPISCO C/ ARGAMASSA DE CIMENTO E AREIA S/PENEIRAR TRAÇO 1:3  ESP.= 5mm P/ PAREDE</v>
      </c>
      <c r="E293" s="79" t="str">
        <f>IF(B293="SINAPI",VLOOKUP(C293,SINAPI!A:D,3,0),(VLOOKUP(C293,SEINFRA!A:D,3,0)))</f>
        <v>M2</v>
      </c>
      <c r="F293" s="86">
        <f>VLOOKUP(A293,MEMORIAL!A:O,15,0)</f>
        <v>2723.26</v>
      </c>
      <c r="G293" s="86">
        <f>IF(B293="SINAPI",VLOOKUP(C293,SINAPI!A:D,4,0),(VLOOKUP(C293,SEINFRA!A:D,4,0)))</f>
        <v>7.42</v>
      </c>
      <c r="H293" s="86">
        <f t="shared" ref="H293" si="178">ROUND(G293*$K$3,2)</f>
        <v>9.74</v>
      </c>
      <c r="I293" s="86">
        <f t="shared" ref="I293" si="179">ROUND(F293*H293,2)</f>
        <v>26524.55</v>
      </c>
    </row>
    <row r="294" spans="1:9" ht="25.5" x14ac:dyDescent="0.2">
      <c r="A294" s="84" t="s">
        <v>39381</v>
      </c>
      <c r="B294" s="80" t="s">
        <v>25</v>
      </c>
      <c r="C294" s="83" t="s">
        <v>8951</v>
      </c>
      <c r="D294" s="85" t="str">
        <f>IF(B294="SINAPI",VLOOKUP(C294,SINAPI!A:D,2,0),(VLOOKUP(C294,SEINFRA!A:D,2,0)))</f>
        <v>EMBOÇO C/ ARGAMASSA DE CIMENTO E AREIA PENEIRADA, TRAÇO 1:3</v>
      </c>
      <c r="E294" s="79" t="str">
        <f>IF(B294="SINAPI",VLOOKUP(C294,SINAPI!A:D,3,0),(VLOOKUP(C294,SEINFRA!A:D,3,0)))</f>
        <v>M2</v>
      </c>
      <c r="F294" s="86">
        <f>VLOOKUP(A294,MEMORIAL!A:O,15,0)</f>
        <v>632.37999999999988</v>
      </c>
      <c r="G294" s="86">
        <f>IF(B294="SINAPI",VLOOKUP(C294,SINAPI!A:D,4,0),(VLOOKUP(C294,SEINFRA!A:D,4,0)))</f>
        <v>46.49</v>
      </c>
      <c r="H294" s="86">
        <f t="shared" ref="H294:H300" si="180">ROUND(G294*$K$3,2)</f>
        <v>61.05</v>
      </c>
      <c r="I294" s="86">
        <f t="shared" ref="I294:I300" si="181">ROUND(F294*H294,2)</f>
        <v>38606.800000000003</v>
      </c>
    </row>
    <row r="295" spans="1:9" ht="25.5" x14ac:dyDescent="0.2">
      <c r="A295" s="84" t="s">
        <v>39382</v>
      </c>
      <c r="B295" s="80" t="s">
        <v>25</v>
      </c>
      <c r="C295" s="83" t="s">
        <v>9060</v>
      </c>
      <c r="D295" s="85" t="str">
        <f>IF(B295="SINAPI",VLOOKUP(C295,SINAPI!A:D,2,0),(VLOOKUP(C295,SEINFRA!A:D,2,0)))</f>
        <v>CERÂMICA ESMALTADA C/ ARG. PRÉ-FABRICADA ATÉ 10x10cm (100cm²) - DECORATIVA - P/ PAREDE</v>
      </c>
      <c r="E295" s="79" t="str">
        <f>IF(B295="SINAPI",VLOOKUP(C295,SINAPI!A:D,3,0),(VLOOKUP(C295,SEINFRA!A:D,3,0)))</f>
        <v>M2</v>
      </c>
      <c r="F295" s="86">
        <f>VLOOKUP(A295,MEMORIAL!A:O,15,0)</f>
        <v>497.37999999999994</v>
      </c>
      <c r="G295" s="86">
        <f>IF(B295="SINAPI",VLOOKUP(C295,SINAPI!A:D,4,0),(VLOOKUP(C295,SEINFRA!A:D,4,0)))</f>
        <v>87.14</v>
      </c>
      <c r="H295" s="86">
        <f t="shared" si="180"/>
        <v>114.42</v>
      </c>
      <c r="I295" s="86">
        <f t="shared" si="181"/>
        <v>56910.22</v>
      </c>
    </row>
    <row r="296" spans="1:9" ht="38.25" x14ac:dyDescent="0.2">
      <c r="A296" s="84" t="s">
        <v>39383</v>
      </c>
      <c r="B296" s="80" t="s">
        <v>25</v>
      </c>
      <c r="C296" s="83" t="s">
        <v>9120</v>
      </c>
      <c r="D296" s="85" t="str">
        <f>IF(B296="SINAPI",VLOOKUP(C296,SINAPI!A:D,2,0),(VLOOKUP(C296,SEINFRA!A:D,2,0)))</f>
        <v>REJUNTAMENTO C/ ARG. PRÉ-FABRICADA, JUNTA ENTRE 2mm E 6mm EM CERÂMICA, ATÉ 10x10 cm (100 cm²) - DECORATIVA (PAREDE/PISO)</v>
      </c>
      <c r="E296" s="79" t="str">
        <f>IF(B296="SINAPI",VLOOKUP(C296,SINAPI!A:D,3,0),(VLOOKUP(C296,SEINFRA!A:D,3,0)))</f>
        <v>M2</v>
      </c>
      <c r="F296" s="86">
        <f>VLOOKUP(A296,MEMORIAL!A:O,15,0)</f>
        <v>497.37999999999994</v>
      </c>
      <c r="G296" s="86">
        <f>IF(B296="SINAPI",VLOOKUP(C296,SINAPI!A:D,4,0),(VLOOKUP(C296,SEINFRA!A:D,4,0)))</f>
        <v>20.66</v>
      </c>
      <c r="H296" s="86">
        <f t="shared" si="180"/>
        <v>27.13</v>
      </c>
      <c r="I296" s="86">
        <f t="shared" si="181"/>
        <v>13493.92</v>
      </c>
    </row>
    <row r="297" spans="1:9" ht="38.25" x14ac:dyDescent="0.2">
      <c r="A297" s="84" t="s">
        <v>39384</v>
      </c>
      <c r="B297" s="80" t="s">
        <v>25</v>
      </c>
      <c r="C297" s="83" t="s">
        <v>9064</v>
      </c>
      <c r="D297" s="85" t="str">
        <f>IF(B297="SINAPI",VLOOKUP(C297,SINAPI!A:D,2,0),(VLOOKUP(C297,SEINFRA!A:D,2,0)))</f>
        <v>CERÂMICA ESMALTADA RETIFICADA C/ ARG. PRÉ-FABRICADA ACIMA DE 30x30cm (900cm²) - PEI-5/PEI-4 - P/ PAREDE</v>
      </c>
      <c r="E297" s="79" t="str">
        <f>IF(B297="SINAPI",VLOOKUP(C297,SINAPI!A:D,3,0),(VLOOKUP(C297,SEINFRA!A:D,3,0)))</f>
        <v>M2</v>
      </c>
      <c r="F297" s="86">
        <f>VLOOKUP(A297,MEMORIAL!A:O,15,0)</f>
        <v>104.58000000000001</v>
      </c>
      <c r="G297" s="86">
        <f>IF(B297="SINAPI",VLOOKUP(C297,SINAPI!A:D,4,0),(VLOOKUP(C297,SEINFRA!A:D,4,0)))</f>
        <v>108.24</v>
      </c>
      <c r="H297" s="86">
        <f t="shared" si="180"/>
        <v>142.13</v>
      </c>
      <c r="I297" s="86">
        <f t="shared" si="181"/>
        <v>14863.96</v>
      </c>
    </row>
    <row r="298" spans="1:9" ht="38.25" x14ac:dyDescent="0.2">
      <c r="A298" s="84" t="s">
        <v>39385</v>
      </c>
      <c r="B298" s="80" t="s">
        <v>25</v>
      </c>
      <c r="C298" s="83" t="s">
        <v>9124</v>
      </c>
      <c r="D298" s="85" t="str">
        <f>IF(B298="SINAPI",VLOOKUP(C298,SINAPI!A:D,2,0),(VLOOKUP(C298,SEINFRA!A:D,2,0)))</f>
        <v>REJUNTAMENTO C/ ARG. PRÉ-FABRICADA, JUNTA ENTRE 2mm E 6mm EM CERÂMICA, ACIMA DE 30x30 cm (900 cm²) E PORCELANATOS (PAREDE/PISO)</v>
      </c>
      <c r="E298" s="79" t="str">
        <f>IF(B298="SINAPI",VLOOKUP(C298,SINAPI!A:D,3,0),(VLOOKUP(C298,SEINFRA!A:D,3,0)))</f>
        <v>M2</v>
      </c>
      <c r="F298" s="86">
        <f>VLOOKUP(A298,MEMORIAL!A:O,15,0)</f>
        <v>104.58000000000001</v>
      </c>
      <c r="G298" s="86">
        <f>IF(B298="SINAPI",VLOOKUP(C298,SINAPI!A:D,4,0),(VLOOKUP(C298,SEINFRA!A:D,4,0)))</f>
        <v>11.3</v>
      </c>
      <c r="H298" s="86">
        <f t="shared" si="180"/>
        <v>14.84</v>
      </c>
      <c r="I298" s="86">
        <f t="shared" si="181"/>
        <v>1551.97</v>
      </c>
    </row>
    <row r="299" spans="1:9" ht="25.5" x14ac:dyDescent="0.2">
      <c r="A299" s="84" t="s">
        <v>39386</v>
      </c>
      <c r="B299" s="80" t="s">
        <v>25</v>
      </c>
      <c r="C299" s="83" t="s">
        <v>8999</v>
      </c>
      <c r="D299" s="85" t="str">
        <f>IF(B299="SINAPI",VLOOKUP(C299,SINAPI!A:D,2,0),(VLOOKUP(C299,SEINFRA!A:D,2,0)))</f>
        <v>REBOCO C/ ARGAMASSA DE CIMENTO E AREIA PENEIRADA, TRAÇO 1:3</v>
      </c>
      <c r="E299" s="79" t="str">
        <f>IF(B299="SINAPI",VLOOKUP(C299,SINAPI!A:D,3,0),(VLOOKUP(C299,SEINFRA!A:D,3,0)))</f>
        <v>M2</v>
      </c>
      <c r="F299" s="86">
        <f>VLOOKUP(A299,MEMORIAL!A:O,15,0)</f>
        <v>2090.88</v>
      </c>
      <c r="G299" s="86">
        <f>IF(B299="SINAPI",VLOOKUP(C299,SINAPI!A:D,4,0),(VLOOKUP(C299,SEINFRA!A:D,4,0)))</f>
        <v>51.72</v>
      </c>
      <c r="H299" s="86">
        <f t="shared" si="180"/>
        <v>67.91</v>
      </c>
      <c r="I299" s="86">
        <f t="shared" si="181"/>
        <v>141991.66</v>
      </c>
    </row>
    <row r="300" spans="1:9" x14ac:dyDescent="0.2">
      <c r="A300" s="84" t="s">
        <v>39387</v>
      </c>
      <c r="B300" s="80" t="s">
        <v>25</v>
      </c>
      <c r="C300" s="83" t="s">
        <v>8595</v>
      </c>
      <c r="D300" s="85" t="str">
        <f>IF(B300="SINAPI",VLOOKUP(C300,SINAPI!A:D,2,0),(VLOOKUP(C300,SEINFRA!A:D,2,0)))</f>
        <v>PERFIL "U" EM ALUMÍNIO 3/4" x 3/4" P/ COBERTURA</v>
      </c>
      <c r="E300" s="79" t="str">
        <f>IF(B300="SINAPI",VLOOKUP(C300,SINAPI!A:D,3,0),(VLOOKUP(C300,SEINFRA!A:D,3,0)))</f>
        <v>M</v>
      </c>
      <c r="F300" s="86">
        <f>VLOOKUP(A300,MEMORIAL!A:O,15,0)</f>
        <v>276.31999999999994</v>
      </c>
      <c r="G300" s="86">
        <f>IF(B300="SINAPI",VLOOKUP(C300,SINAPI!A:D,4,0),(VLOOKUP(C300,SEINFRA!A:D,4,0)))</f>
        <v>30.41</v>
      </c>
      <c r="H300" s="86">
        <f t="shared" si="180"/>
        <v>39.93</v>
      </c>
      <c r="I300" s="86">
        <f t="shared" si="181"/>
        <v>11033.46</v>
      </c>
    </row>
    <row r="301" spans="1:9" x14ac:dyDescent="0.2">
      <c r="A301" s="84"/>
      <c r="B301" s="71"/>
      <c r="C301" s="83"/>
      <c r="D301" s="85"/>
      <c r="E301" s="79"/>
      <c r="F301" s="86"/>
      <c r="G301" s="86"/>
      <c r="H301" s="86"/>
      <c r="I301" s="86"/>
    </row>
    <row r="302" spans="1:9" x14ac:dyDescent="0.2">
      <c r="A302" s="213" t="s">
        <v>39112</v>
      </c>
      <c r="B302" s="213"/>
      <c r="C302" s="213"/>
      <c r="D302" s="215" t="s">
        <v>39195</v>
      </c>
      <c r="E302" s="213"/>
      <c r="F302" s="314"/>
      <c r="G302" s="314"/>
      <c r="H302" s="314"/>
      <c r="I302" s="314">
        <f>ROUND(SUM(I303:I306),2)</f>
        <v>65614.679999999993</v>
      </c>
    </row>
    <row r="303" spans="1:9" ht="25.5" x14ac:dyDescent="0.2">
      <c r="A303" s="84" t="s">
        <v>39114</v>
      </c>
      <c r="B303" s="80" t="s">
        <v>25</v>
      </c>
      <c r="C303" s="83" t="s">
        <v>9167</v>
      </c>
      <c r="D303" s="85" t="str">
        <f>IF(B303="SINAPI",VLOOKUP(C303,SINAPI!A:D,2,0),(VLOOKUP(C303,SEINFRA!A:D,2,0)))</f>
        <v>CHAPISCO C/ ARGAMASSA DE CIMENTO E AREIA  S/ PENEIRAR TRAÇO 1:3  ESP=5 mm P/ TETO</v>
      </c>
      <c r="E303" s="79" t="str">
        <f>IF(B303="SINAPI",VLOOKUP(C303,SINAPI!A:D,3,0),(VLOOKUP(C303,SEINFRA!A:D,3,0)))</f>
        <v>M2</v>
      </c>
      <c r="F303" s="86">
        <f>VLOOKUP(A303,MEMORIAL!A:O,15,0)</f>
        <v>110.23000000000003</v>
      </c>
      <c r="G303" s="86">
        <f>IF(B303="SINAPI",VLOOKUP(C303,SINAPI!A:D,4,0),(VLOOKUP(C303,SEINFRA!A:D,4,0)))</f>
        <v>14.44</v>
      </c>
      <c r="H303" s="86">
        <f t="shared" ref="H303:H305" si="182">ROUND(G303*$K$3,2)</f>
        <v>18.96</v>
      </c>
      <c r="I303" s="86">
        <f t="shared" ref="I303:I305" si="183">ROUND(F303*H303,2)</f>
        <v>2089.96</v>
      </c>
    </row>
    <row r="304" spans="1:9" ht="25.5" x14ac:dyDescent="0.2">
      <c r="A304" s="84" t="s">
        <v>39388</v>
      </c>
      <c r="B304" s="80" t="s">
        <v>25</v>
      </c>
      <c r="C304" s="83" t="s">
        <v>9179</v>
      </c>
      <c r="D304" s="85" t="str">
        <f>IF(B304="SINAPI",VLOOKUP(C304,SINAPI!A:D,2,0),(VLOOKUP(C304,SEINFRA!A:D,2,0)))</f>
        <v>REBOCO C/ ARGAMASSA DE CAL EM PASTA E AREIA PENEIRADA TRAÇO 1:2  ESP=5 mm P/ TETO</v>
      </c>
      <c r="E304" s="79" t="str">
        <f>IF(B304="SINAPI",VLOOKUP(C304,SINAPI!A:D,3,0),(VLOOKUP(C304,SEINFRA!A:D,3,0)))</f>
        <v>M2</v>
      </c>
      <c r="F304" s="86">
        <f>VLOOKUP(A304,MEMORIAL!A:O,15,0)</f>
        <v>110.23000000000003</v>
      </c>
      <c r="G304" s="86">
        <f>IF(B304="SINAPI",VLOOKUP(C304,SINAPI!A:D,4,0),(VLOOKUP(C304,SEINFRA!A:D,4,0)))</f>
        <v>30.52</v>
      </c>
      <c r="H304" s="86">
        <f t="shared" si="182"/>
        <v>40.08</v>
      </c>
      <c r="I304" s="86">
        <f t="shared" si="183"/>
        <v>4418.0200000000004</v>
      </c>
    </row>
    <row r="305" spans="1:9" ht="25.5" x14ac:dyDescent="0.2">
      <c r="A305" s="84" t="s">
        <v>39389</v>
      </c>
      <c r="B305" s="80" t="s">
        <v>25</v>
      </c>
      <c r="C305" s="83" t="s">
        <v>9232</v>
      </c>
      <c r="D305" s="85" t="str">
        <f>IF(B305="SINAPI",VLOOKUP(C305,SINAPI!A:D,2,0),(VLOOKUP(C305,SEINFRA!A:D,2,0)))</f>
        <v>FORRO PVC - MODULADO (618x1250)mm C/ PERFIL "T" EM ALUMÍNIO - FORNECIMENTO E MONTAGEM</v>
      </c>
      <c r="E305" s="79" t="str">
        <f>IF(B305="SINAPI",VLOOKUP(C305,SINAPI!A:D,3,0),(VLOOKUP(C305,SEINFRA!A:D,3,0)))</f>
        <v>M2</v>
      </c>
      <c r="F305" s="86">
        <f>VLOOKUP(A305,MEMORIAL!A:O,15,0)</f>
        <v>491.9</v>
      </c>
      <c r="G305" s="86">
        <f>IF(B305="SINAPI",VLOOKUP(C305,SINAPI!A:D,4,0),(VLOOKUP(C305,SEINFRA!A:D,4,0)))</f>
        <v>91.51</v>
      </c>
      <c r="H305" s="86">
        <f t="shared" si="182"/>
        <v>120.16</v>
      </c>
      <c r="I305" s="86">
        <f t="shared" si="183"/>
        <v>59106.7</v>
      </c>
    </row>
    <row r="306" spans="1:9" x14ac:dyDescent="0.2">
      <c r="A306" s="84"/>
      <c r="B306" s="80"/>
      <c r="C306" s="83"/>
      <c r="D306" s="85"/>
      <c r="E306" s="79"/>
      <c r="F306" s="86"/>
      <c r="G306" s="86"/>
      <c r="H306" s="86"/>
      <c r="I306" s="86"/>
    </row>
    <row r="307" spans="1:9" x14ac:dyDescent="0.2">
      <c r="A307" s="210">
        <v>15</v>
      </c>
      <c r="B307" s="210"/>
      <c r="C307" s="210"/>
      <c r="D307" s="212" t="s">
        <v>39083</v>
      </c>
      <c r="E307" s="210"/>
      <c r="F307" s="313"/>
      <c r="G307" s="313"/>
      <c r="H307" s="313"/>
      <c r="I307" s="313">
        <f>ROUND(I308+I321+I328,2)</f>
        <v>104723</v>
      </c>
    </row>
    <row r="308" spans="1:9" x14ac:dyDescent="0.2">
      <c r="A308" s="213" t="s">
        <v>39115</v>
      </c>
      <c r="B308" s="213"/>
      <c r="C308" s="213"/>
      <c r="D308" s="215" t="s">
        <v>8112</v>
      </c>
      <c r="E308" s="213"/>
      <c r="F308" s="314"/>
      <c r="G308" s="314"/>
      <c r="H308" s="314"/>
      <c r="I308" s="314">
        <f>ROUND(SUM(I309:I320),2)</f>
        <v>34732.17</v>
      </c>
    </row>
    <row r="309" spans="1:9" ht="25.5" x14ac:dyDescent="0.2">
      <c r="A309" s="84" t="s">
        <v>39117</v>
      </c>
      <c r="B309" s="80" t="s">
        <v>25</v>
      </c>
      <c r="C309" s="83" t="s">
        <v>8151</v>
      </c>
      <c r="D309" s="85" t="str">
        <f>IF(B309="SINAPI",VLOOKUP(C309,SINAPI!A:D,2,0),(VLOOKUP(C309,SEINFRA!A:D,2,0)))</f>
        <v>PORTA INTERNA DE CEDRO LISA COMPLETA UMA FOLHA (0.90X 2.10)m</v>
      </c>
      <c r="E309" s="79" t="str">
        <f>IF(B309="SINAPI",VLOOKUP(C309,SINAPI!A:D,3,0),(VLOOKUP(C309,SEINFRA!A:D,3,0)))</f>
        <v>UN</v>
      </c>
      <c r="F309" s="86">
        <f>VLOOKUP(A309,MEMORIAL!A:O,15,0)</f>
        <v>3</v>
      </c>
      <c r="G309" s="86">
        <f>IF(B309="SINAPI",VLOOKUP(C309,SINAPI!A:D,4,0),(VLOOKUP(C309,SEINFRA!A:D,4,0)))</f>
        <v>1052.8900000000001</v>
      </c>
      <c r="H309" s="86">
        <f t="shared" ref="H309" si="184">ROUND(G309*$K$3,2)</f>
        <v>1382.55</v>
      </c>
      <c r="I309" s="86">
        <f t="shared" ref="I309" si="185">ROUND(F309*H309,2)</f>
        <v>4147.6499999999996</v>
      </c>
    </row>
    <row r="310" spans="1:9" ht="25.5" x14ac:dyDescent="0.2">
      <c r="A310" s="84" t="s">
        <v>39118</v>
      </c>
      <c r="B310" s="80" t="s">
        <v>25</v>
      </c>
      <c r="C310" s="83" t="s">
        <v>8161</v>
      </c>
      <c r="D310" s="85" t="str">
        <f>IF(B310="SINAPI",VLOOKUP(C310,SINAPI!A:D,2,0),(VLOOKUP(C310,SEINFRA!A:D,2,0)))</f>
        <v>PORTA INTERNA DE CEDRO LISA COMPLETA DUAS FOLHAS (1.20X 2.10)m</v>
      </c>
      <c r="E310" s="79" t="str">
        <f>IF(B310="SINAPI",VLOOKUP(C310,SINAPI!A:D,3,0),(VLOOKUP(C310,SEINFRA!A:D,3,0)))</f>
        <v>UN</v>
      </c>
      <c r="F310" s="86">
        <f>VLOOKUP(A310,MEMORIAL!A:O,15,0)</f>
        <v>7</v>
      </c>
      <c r="G310" s="86">
        <f>IF(B310="SINAPI",VLOOKUP(C310,SINAPI!A:D,4,0),(VLOOKUP(C310,SEINFRA!A:D,4,0)))</f>
        <v>1333.11</v>
      </c>
      <c r="H310" s="86">
        <f t="shared" ref="H310:H318" si="186">ROUND(G310*$K$3,2)</f>
        <v>1750.51</v>
      </c>
      <c r="I310" s="86">
        <f t="shared" ref="I310:I318" si="187">ROUND(F310*H310,2)</f>
        <v>12253.57</v>
      </c>
    </row>
    <row r="311" spans="1:9" ht="25.5" x14ac:dyDescent="0.2">
      <c r="A311" s="84" t="s">
        <v>39119</v>
      </c>
      <c r="B311" s="80"/>
      <c r="C311" s="83" t="str">
        <f>'COMP.16_PORTA.04'!A19</f>
        <v>COMP. 16</v>
      </c>
      <c r="D311" s="85" t="str">
        <f>'COMP.16_PORTA.04'!B19</f>
        <v>PORTA EM MADEIRA DE LEI COMPLETA DE ABRIR (1.00X1.60)m</v>
      </c>
      <c r="E311" s="79" t="str">
        <f>'COMP.16_PORTA.04'!G19</f>
        <v>UN</v>
      </c>
      <c r="F311" s="86">
        <f>VLOOKUP(A311,MEMORIAL!A:O,15,0)</f>
        <v>5</v>
      </c>
      <c r="G311" s="86">
        <f>'COMP.16_PORTA.04'!G42</f>
        <v>707.07</v>
      </c>
      <c r="H311" s="86">
        <f t="shared" si="186"/>
        <v>928.45</v>
      </c>
      <c r="I311" s="86">
        <f t="shared" si="187"/>
        <v>4642.25</v>
      </c>
    </row>
    <row r="312" spans="1:9" ht="25.5" x14ac:dyDescent="0.2">
      <c r="A312" s="84" t="s">
        <v>39120</v>
      </c>
      <c r="B312" s="80"/>
      <c r="C312" s="83" t="str">
        <f>'COMP.17_PORTA.05'!A19</f>
        <v>COMP. 17</v>
      </c>
      <c r="D312" s="85" t="str">
        <f>'COMP.17_PORTA.05'!B19</f>
        <v>PORTA EM MADEIRA DE LEI COMPLETA DE ABRIR (1.20X2.00)m</v>
      </c>
      <c r="E312" s="79" t="str">
        <f>'COMP.17_PORTA.05'!G19</f>
        <v>UN</v>
      </c>
      <c r="F312" s="86">
        <f>VLOOKUP(A312,MEMORIAL!A:O,15,0)</f>
        <v>3</v>
      </c>
      <c r="G312" s="86">
        <f>'COMP.17_PORTA.05'!G39</f>
        <v>885.61</v>
      </c>
      <c r="H312" s="86">
        <f t="shared" si="186"/>
        <v>1162.8900000000001</v>
      </c>
      <c r="I312" s="86">
        <f t="shared" si="187"/>
        <v>3488.67</v>
      </c>
    </row>
    <row r="313" spans="1:9" ht="25.5" x14ac:dyDescent="0.2">
      <c r="A313" s="84" t="s">
        <v>39121</v>
      </c>
      <c r="B313" s="80"/>
      <c r="C313" s="83" t="str">
        <f>'COMP.18_PORTA.06'!A19</f>
        <v>COMP. 18</v>
      </c>
      <c r="D313" s="85" t="str">
        <f>'COMP.18_PORTA.06'!B19</f>
        <v>PORTA EM MADEIRA DE LEI COMPLETA DE CORRER (1.50X2.00)m</v>
      </c>
      <c r="E313" s="79" t="str">
        <f>'COMP.18_PORTA.06'!G19</f>
        <v>UN</v>
      </c>
      <c r="F313" s="86">
        <f>VLOOKUP(A313,MEMORIAL!A:O,15,0)</f>
        <v>3</v>
      </c>
      <c r="G313" s="86">
        <f>'COMP.18_PORTA.06'!G40</f>
        <v>1136.0999999999999</v>
      </c>
      <c r="H313" s="86">
        <f t="shared" si="186"/>
        <v>1491.81</v>
      </c>
      <c r="I313" s="86">
        <f t="shared" si="187"/>
        <v>4475.43</v>
      </c>
    </row>
    <row r="314" spans="1:9" ht="25.5" x14ac:dyDescent="0.2">
      <c r="A314" s="84" t="s">
        <v>39122</v>
      </c>
      <c r="B314" s="80"/>
      <c r="C314" s="83" t="str">
        <f>'COMP.19_PORTA.07'!A19</f>
        <v>COMP. 19</v>
      </c>
      <c r="D314" s="85" t="str">
        <f>'COMP.19_PORTA.07'!B19</f>
        <v>PORTA EM MADEIRA DE LEI COMPLETA DE ABRIR (2.00X1.60)m</v>
      </c>
      <c r="E314" s="79" t="str">
        <f>'COMP.19_PORTA.07'!G19</f>
        <v>UN</v>
      </c>
      <c r="F314" s="86">
        <f>VLOOKUP(A314,MEMORIAL!A:O,15,0)</f>
        <v>1</v>
      </c>
      <c r="G314" s="86">
        <f>'COMP.19_PORTA.07'!G42</f>
        <v>1183.57</v>
      </c>
      <c r="H314" s="86">
        <f t="shared" si="186"/>
        <v>1554.15</v>
      </c>
      <c r="I314" s="86">
        <f t="shared" si="187"/>
        <v>1554.15</v>
      </c>
    </row>
    <row r="315" spans="1:9" ht="25.5" x14ac:dyDescent="0.2">
      <c r="A315" s="84" t="s">
        <v>39123</v>
      </c>
      <c r="B315" s="80"/>
      <c r="C315" s="83" t="str">
        <f>'COMP.20_PORTA.08'!A19</f>
        <v>COMP. 20</v>
      </c>
      <c r="D315" s="85" t="str">
        <f>'COMP.20_PORTA.08'!B19</f>
        <v>PORTA EM MADEIRA DE LEI COMPLETA DE ABRIR (1.20X1.60)m</v>
      </c>
      <c r="E315" s="79" t="str">
        <f>'COMP.20_PORTA.08'!G19</f>
        <v>UN</v>
      </c>
      <c r="F315" s="86">
        <f>VLOOKUP(A315,MEMORIAL!A:O,15,0)</f>
        <v>1</v>
      </c>
      <c r="G315" s="86">
        <f>'COMP.20_PORTA.08'!G39</f>
        <v>755.93</v>
      </c>
      <c r="H315" s="86">
        <f t="shared" si="186"/>
        <v>992.61</v>
      </c>
      <c r="I315" s="86">
        <f t="shared" si="187"/>
        <v>992.61</v>
      </c>
    </row>
    <row r="316" spans="1:9" x14ac:dyDescent="0.2">
      <c r="A316" s="84" t="s">
        <v>39124</v>
      </c>
      <c r="B316" s="80" t="s">
        <v>25</v>
      </c>
      <c r="C316" s="83" t="s">
        <v>8113</v>
      </c>
      <c r="D316" s="85" t="str">
        <f>IF(B316="SINAPI",VLOOKUP(C316,SINAPI!A:D,2,0),(VLOOKUP(C316,SEINFRA!A:D,2,0)))</f>
        <v>BANDEIROLA EM MADEIRA</v>
      </c>
      <c r="E316" s="79" t="str">
        <f>IF(B316="SINAPI",VLOOKUP(C316,SINAPI!A:D,3,0),(VLOOKUP(C316,SEINFRA!A:D,3,0)))</f>
        <v>M2</v>
      </c>
      <c r="F316" s="86">
        <f>VLOOKUP(A316,MEMORIAL!A:O,15,0)</f>
        <v>3.33</v>
      </c>
      <c r="G316" s="86">
        <f>IF(B316="SINAPI",VLOOKUP(C316,SINAPI!A:D,4,0),(VLOOKUP(C316,SEINFRA!A:D,4,0)))</f>
        <v>196.63</v>
      </c>
      <c r="H316" s="86">
        <f t="shared" si="186"/>
        <v>258.19</v>
      </c>
      <c r="I316" s="86">
        <f t="shared" si="187"/>
        <v>859.77</v>
      </c>
    </row>
    <row r="317" spans="1:9" ht="25.5" x14ac:dyDescent="0.2">
      <c r="A317" s="84" t="s">
        <v>39125</v>
      </c>
      <c r="B317" s="80" t="s">
        <v>25</v>
      </c>
      <c r="C317" s="83" t="s">
        <v>8484</v>
      </c>
      <c r="D317" s="85" t="str">
        <f>IF(B317="SINAPI",VLOOKUP(C317,SINAPI!A:D,2,0),(VLOOKUP(C317,SEINFRA!A:D,2,0)))</f>
        <v>VISOR COM VIDRO TEMPERADO E=6mm E MOLDURA DE ALUMÍNIO</v>
      </c>
      <c r="E317" s="79" t="str">
        <f>IF(B317="SINAPI",VLOOKUP(C317,SINAPI!A:D,3,0),(VLOOKUP(C317,SEINFRA!A:D,3,0)))</f>
        <v>M2</v>
      </c>
      <c r="F317" s="86">
        <f>VLOOKUP(A317,MEMORIAL!A:O,15,0)</f>
        <v>1.54</v>
      </c>
      <c r="G317" s="86">
        <f>IF(B317="SINAPI",VLOOKUP(C317,SINAPI!A:D,4,0),(VLOOKUP(C317,SEINFRA!A:D,4,0)))</f>
        <v>397.62</v>
      </c>
      <c r="H317" s="86">
        <f t="shared" ref="H317" si="188">ROUND(G317*$K$3,2)</f>
        <v>522.11</v>
      </c>
      <c r="I317" s="86">
        <f t="shared" ref="I317" si="189">ROUND(F317*H317,2)</f>
        <v>804.05</v>
      </c>
    </row>
    <row r="318" spans="1:9" ht="51" x14ac:dyDescent="0.2">
      <c r="A318" s="84" t="s">
        <v>39126</v>
      </c>
      <c r="B318" s="80" t="s">
        <v>25</v>
      </c>
      <c r="C318" s="83" t="s">
        <v>14906</v>
      </c>
      <c r="D318" s="85" t="str">
        <f>IF(B318="SINAPI",VLOOKUP(C318,SINAPI!A:D,2,0),(VLOOKUP(C318,SEINFRA!A:D,2,0)))</f>
        <v>BATEDOR PARA PORTA EM CHAPA DE ALUMÍNIO TIPO XADREZ LAVRADA ESP. 3mm C/ FIXAÇÃO SOBRE MADEIRA LISA OU REVESTIMENTO MELAMÍNICO COM FITA DUPLA FACE</v>
      </c>
      <c r="E318" s="79" t="str">
        <f>IF(B318="SINAPI",VLOOKUP(C318,SINAPI!A:D,3,0),(VLOOKUP(C318,SEINFRA!A:D,3,0)))</f>
        <v>M2</v>
      </c>
      <c r="F318" s="86">
        <f>VLOOKUP(A318,MEMORIAL!A:O,15,0)</f>
        <v>8.8800000000000008</v>
      </c>
      <c r="G318" s="86">
        <f>IF(B318="SINAPI",VLOOKUP(C318,SINAPI!A:D,4,0),(VLOOKUP(C318,SEINFRA!A:D,4,0)))</f>
        <v>121.02</v>
      </c>
      <c r="H318" s="86">
        <f t="shared" si="186"/>
        <v>158.91</v>
      </c>
      <c r="I318" s="86">
        <f t="shared" si="187"/>
        <v>1411.12</v>
      </c>
    </row>
    <row r="319" spans="1:9" x14ac:dyDescent="0.2">
      <c r="A319" s="84" t="s">
        <v>39127</v>
      </c>
      <c r="B319" s="80" t="s">
        <v>25</v>
      </c>
      <c r="C319" s="83" t="s">
        <v>11069</v>
      </c>
      <c r="D319" s="85" t="str">
        <f>IF(B319="SINAPI",VLOOKUP(C319,SINAPI!A:D,2,0),(VLOOKUP(C319,SEINFRA!A:D,2,0)))</f>
        <v>PEÇAS DE APOIO DEFICIENTES C/TUBO INOX  P/WC'S</v>
      </c>
      <c r="E319" s="79" t="str">
        <f>IF(B319="SINAPI",VLOOKUP(C319,SINAPI!A:D,3,0),(VLOOKUP(C319,SEINFRA!A:D,3,0)))</f>
        <v>M</v>
      </c>
      <c r="F319" s="86">
        <f>VLOOKUP(A319,MEMORIAL!A:O,15,0)</f>
        <v>0.4</v>
      </c>
      <c r="G319" s="86">
        <f>IF(B319="SINAPI",VLOOKUP(C319,SINAPI!A:D,4,0),(VLOOKUP(C319,SEINFRA!A:D,4,0)))</f>
        <v>195.9</v>
      </c>
      <c r="H319" s="86">
        <f t="shared" ref="H319" si="190">ROUND(G319*$K$3,2)</f>
        <v>257.24</v>
      </c>
      <c r="I319" s="86">
        <f t="shared" ref="I319" si="191">ROUND(F319*H319,2)</f>
        <v>102.9</v>
      </c>
    </row>
    <row r="320" spans="1:9" x14ac:dyDescent="0.2">
      <c r="A320" s="84"/>
      <c r="B320" s="80"/>
      <c r="C320" s="83"/>
      <c r="D320" s="85"/>
      <c r="E320" s="79"/>
      <c r="F320" s="86"/>
      <c r="G320" s="86"/>
      <c r="H320" s="86"/>
      <c r="I320" s="86"/>
    </row>
    <row r="321" spans="1:13" x14ac:dyDescent="0.2">
      <c r="A321" s="213" t="s">
        <v>39116</v>
      </c>
      <c r="B321" s="213"/>
      <c r="C321" s="213"/>
      <c r="D321" s="215" t="s">
        <v>8201</v>
      </c>
      <c r="E321" s="213"/>
      <c r="F321" s="314"/>
      <c r="G321" s="314"/>
      <c r="H321" s="314"/>
      <c r="I321" s="314">
        <f>ROUND(SUM(I322:I327),2)</f>
        <v>63300.85</v>
      </c>
    </row>
    <row r="322" spans="1:13" ht="38.25" x14ac:dyDescent="0.2">
      <c r="A322" s="84" t="s">
        <v>39129</v>
      </c>
      <c r="B322" s="71" t="s">
        <v>15</v>
      </c>
      <c r="C322" s="83">
        <v>91341</v>
      </c>
      <c r="D322" s="85" t="str">
        <f>IF(B322="SINAPI",VLOOKUP(C322,SINAPI!A:D,2,0),(VLOOKUP(C322,SEINFRA!A:D,2,0)))</f>
        <v>PORTA EM ALUMÍNIO DE ABRIR TIPO VENEZIANA COM GUARNIÇÃO, FIXAÇÃO COM PARAFUSOS - FORNECIMENTO E INSTALAÇÃO. AF_12/2019</v>
      </c>
      <c r="E322" s="79" t="str">
        <f>IF(B322="SINAPI",VLOOKUP(C322,SINAPI!A:D,3,0),(VLOOKUP(C322,SEINFRA!A:D,3,0)))</f>
        <v>M2</v>
      </c>
      <c r="F322" s="86">
        <f>VLOOKUP(A322,MEMORIAL!A:O,15,0)</f>
        <v>7.68</v>
      </c>
      <c r="G322" s="86">
        <f>IF(B322="SINAPI",VLOOKUP(C322,SINAPI!A:D,4,0),(VLOOKUP(C322,SEINFRA!A:D,4,0)))</f>
        <v>658.68</v>
      </c>
      <c r="H322" s="86">
        <f t="shared" ref="H322" si="192">ROUND(G322*$K$3,2)</f>
        <v>864.91</v>
      </c>
      <c r="I322" s="86">
        <f t="shared" ref="I322" si="193">ROUND(F322*H322,2)</f>
        <v>6642.51</v>
      </c>
    </row>
    <row r="323" spans="1:13" ht="89.25" x14ac:dyDescent="0.2">
      <c r="A323" s="84" t="s">
        <v>39130</v>
      </c>
      <c r="B323" s="71" t="s">
        <v>15</v>
      </c>
      <c r="C323" s="83">
        <v>94573</v>
      </c>
      <c r="D323" s="85" t="str">
        <f>IF(B323="SINAPI",VLOOKUP(C323,SINAPI!A:D,2,0),(VLOOKUP(C323,SEINFRA!A:D,2,0)))</f>
        <v>JANELA DE ALUMÍNIO DE CORRER COM 4 FOLHAS PARA VIDROS (VIDROS INCLUSOS), COM BANDEIRA, BATENTE/ REQUADRO 6 A 14 CM, ACABAMENTO COM ACETATO OU BRILHANTE, FIXAÇÃO COM PARAFUSO, SEM GUARNIÇÃO/ ALIZAR, DIMENSÕES 150X120 CM, VEDAÇÃO COM SILICONE, EXCLUSIVE CONTRAMARCO - FORNECIMENTO E INSTALAÇÃO. AF_11/2024</v>
      </c>
      <c r="E323" s="79" t="str">
        <f>IF(B323="SINAPI",VLOOKUP(C323,SINAPI!A:D,3,0),(VLOOKUP(C323,SEINFRA!A:D,3,0)))</f>
        <v>M2</v>
      </c>
      <c r="F323" s="86">
        <f>VLOOKUP(A323,MEMORIAL!A:O,15,0)</f>
        <v>28.8</v>
      </c>
      <c r="G323" s="86">
        <f>IF(B323="SINAPI",VLOOKUP(C323,SINAPI!A:D,4,0),(VLOOKUP(C323,SEINFRA!A:D,4,0)))</f>
        <v>458.22</v>
      </c>
      <c r="H323" s="86">
        <f t="shared" ref="H323" si="194">ROUND(G323*$K$3,2)</f>
        <v>601.69000000000005</v>
      </c>
      <c r="I323" s="86">
        <f t="shared" ref="I323" si="195">ROUND(F323*H323,2)</f>
        <v>17328.669999999998</v>
      </c>
    </row>
    <row r="324" spans="1:13" ht="63.75" x14ac:dyDescent="0.2">
      <c r="A324" s="84" t="s">
        <v>39131</v>
      </c>
      <c r="B324" s="71" t="s">
        <v>15</v>
      </c>
      <c r="C324" s="83">
        <v>100674</v>
      </c>
      <c r="D324" s="85" t="str">
        <f>IF(B324="SINAPI",VLOOKUP(C324,SINAPI!A:D,2,0),(VLOOKUP(C324,SEINFRA!A:D,2,0)))</f>
        <v>CAIXILHO FIXO DE ALUMÍNIO PARA VIDRO (VIDRO INCLUSO), BATENTE/ REQUADRO DE 4 A 14 CM, SEM GUARNIÇÃO/ ALIZAR, FIXAÇÃO COM PARAFUSOS, VEDAÇÃO COM SILICONE, EXCLUSIVE CONTRAMARCO - FORNECIMENTO E INSTALAÇÃO. AF_11/2024</v>
      </c>
      <c r="E324" s="79" t="str">
        <f>IF(B324="SINAPI",VLOOKUP(C324,SINAPI!A:D,3,0),(VLOOKUP(C324,SEINFRA!A:D,3,0)))</f>
        <v>M2</v>
      </c>
      <c r="F324" s="86">
        <f>VLOOKUP(A324,MEMORIAL!A:O,15,0)</f>
        <v>23.1</v>
      </c>
      <c r="G324" s="86">
        <f>IF(B324="SINAPI",VLOOKUP(C324,SINAPI!A:D,4,0),(VLOOKUP(C324,SEINFRA!A:D,4,0)))</f>
        <v>893.45</v>
      </c>
      <c r="H324" s="86">
        <f t="shared" ref="H324:H325" si="196">ROUND(G324*$K$3,2)</f>
        <v>1173.19</v>
      </c>
      <c r="I324" s="86">
        <f t="shared" ref="I324:I325" si="197">ROUND(F324*H324,2)</f>
        <v>27100.69</v>
      </c>
    </row>
    <row r="325" spans="1:13" ht="25.5" x14ac:dyDescent="0.2">
      <c r="A325" s="84" t="s">
        <v>39132</v>
      </c>
      <c r="B325" s="80"/>
      <c r="C325" s="83" t="str">
        <f>'COMP.21_J.GUILHOTINA'!A19</f>
        <v>COMP. 21</v>
      </c>
      <c r="D325" s="85" t="str">
        <f>'COMP.21_J.GUILHOTINA'!B19</f>
        <v>JANELA TIPO GUILHOTINA EM ALUMÍNIO ANODIZADO, INCLUSIVE VIDRO</v>
      </c>
      <c r="E325" s="79" t="str">
        <f>'COMP.21_J.GUILHOTINA'!G19</f>
        <v>M2</v>
      </c>
      <c r="F325" s="86">
        <f>VLOOKUP(A325,MEMORIAL!A:O,15,0)</f>
        <v>0.64</v>
      </c>
      <c r="G325" s="86">
        <f>'COMP.21_J.GUILHOTINA'!G36</f>
        <v>667.41</v>
      </c>
      <c r="H325" s="86">
        <f t="shared" si="196"/>
        <v>876.38</v>
      </c>
      <c r="I325" s="86">
        <f t="shared" si="197"/>
        <v>560.88</v>
      </c>
    </row>
    <row r="326" spans="1:13" x14ac:dyDescent="0.2">
      <c r="A326" s="84" t="s">
        <v>39133</v>
      </c>
      <c r="B326" s="80" t="s">
        <v>25</v>
      </c>
      <c r="C326" s="83" t="s">
        <v>9297</v>
      </c>
      <c r="D326" s="85" t="str">
        <f>IF(B326="SINAPI",VLOOKUP(C326,SINAPI!A:D,2,0),(VLOOKUP(C326,SEINFRA!A:D,2,0)))</f>
        <v>PEITORIL DE GRANITO L= 15 cm</v>
      </c>
      <c r="E326" s="79" t="str">
        <f>IF(B326="SINAPI",VLOOKUP(C326,SINAPI!A:D,3,0),(VLOOKUP(C326,SEINFRA!A:D,3,0)))</f>
        <v>M</v>
      </c>
      <c r="F326" s="86">
        <f>VLOOKUP(A326,MEMORIAL!A:O,15,0)</f>
        <v>93.3</v>
      </c>
      <c r="G326" s="86">
        <f>IF(B326="SINAPI",VLOOKUP(C326,SINAPI!A:D,4,0),(VLOOKUP(C326,SEINFRA!A:D,4,0)))</f>
        <v>95.24</v>
      </c>
      <c r="H326" s="86">
        <f t="shared" ref="H326" si="198">ROUND(G326*$K$3,2)</f>
        <v>125.06</v>
      </c>
      <c r="I326" s="86">
        <f t="shared" ref="I326" si="199">ROUND(F326*H326,2)</f>
        <v>11668.1</v>
      </c>
    </row>
    <row r="327" spans="1:13" x14ac:dyDescent="0.2">
      <c r="A327" s="84"/>
      <c r="B327" s="80"/>
      <c r="C327" s="83"/>
      <c r="D327" s="85"/>
      <c r="E327" s="79"/>
      <c r="F327" s="86"/>
      <c r="G327" s="86"/>
      <c r="H327" s="86"/>
      <c r="I327" s="86"/>
    </row>
    <row r="328" spans="1:13" x14ac:dyDescent="0.2">
      <c r="A328" s="213" t="s">
        <v>39128</v>
      </c>
      <c r="B328" s="213"/>
      <c r="C328" s="213"/>
      <c r="D328" s="215" t="s">
        <v>39218</v>
      </c>
      <c r="E328" s="213"/>
      <c r="F328" s="314"/>
      <c r="G328" s="314"/>
      <c r="H328" s="314"/>
      <c r="I328" s="314">
        <f>ROUND(SUM(I329:I330),2)</f>
        <v>6689.98</v>
      </c>
    </row>
    <row r="329" spans="1:13" x14ac:dyDescent="0.2">
      <c r="A329" s="84" t="s">
        <v>39134</v>
      </c>
      <c r="B329" s="80" t="s">
        <v>25</v>
      </c>
      <c r="C329" s="83" t="s">
        <v>8056</v>
      </c>
      <c r="D329" s="85" t="str">
        <f>IF(B329="SINAPI",VLOOKUP(C329,SINAPI!A:D,2,0),(VLOOKUP(C329,SEINFRA!A:D,2,0)))</f>
        <v>COBOGÓ DE CIMENTO TIPO DIAMANTE</v>
      </c>
      <c r="E329" s="79" t="str">
        <f>IF(B329="SINAPI",VLOOKUP(C329,SINAPI!A:D,3,0),(VLOOKUP(C329,SEINFRA!A:D,3,0)))</f>
        <v>M2</v>
      </c>
      <c r="F329" s="86">
        <f>VLOOKUP(A329,MEMORIAL!A:O,15,0)</f>
        <v>35.64</v>
      </c>
      <c r="G329" s="86">
        <f>IF(B329="SINAPI",VLOOKUP(C329,SINAPI!A:D,4,0),(VLOOKUP(C329,SEINFRA!A:D,4,0)))</f>
        <v>142.94999999999999</v>
      </c>
      <c r="H329" s="86">
        <f t="shared" ref="H329" si="200">ROUND(G329*$K$3,2)</f>
        <v>187.71</v>
      </c>
      <c r="I329" s="86">
        <f t="shared" ref="I329" si="201">ROUND(F329*H329,2)</f>
        <v>6689.98</v>
      </c>
    </row>
    <row r="330" spans="1:13" x14ac:dyDescent="0.2">
      <c r="A330" s="84"/>
      <c r="B330" s="80"/>
      <c r="C330" s="83"/>
      <c r="D330" s="85"/>
      <c r="E330" s="79"/>
      <c r="F330" s="86"/>
      <c r="G330" s="86"/>
      <c r="H330" s="86"/>
      <c r="I330" s="86"/>
    </row>
    <row r="331" spans="1:13" x14ac:dyDescent="0.2">
      <c r="A331" s="210">
        <v>16</v>
      </c>
      <c r="B331" s="210"/>
      <c r="C331" s="210"/>
      <c r="D331" s="212" t="s">
        <v>39082</v>
      </c>
      <c r="E331" s="210"/>
      <c r="F331" s="313"/>
      <c r="G331" s="313"/>
      <c r="H331" s="313"/>
      <c r="I331" s="313">
        <f>ROUND(SUM(I332:I342),2)</f>
        <v>207139.14</v>
      </c>
      <c r="K331" s="92"/>
      <c r="L331" s="351"/>
      <c r="M331" s="92"/>
    </row>
    <row r="332" spans="1:13" x14ac:dyDescent="0.2">
      <c r="A332" s="84" t="s">
        <v>39135</v>
      </c>
      <c r="B332" s="71"/>
      <c r="C332" s="83" t="str">
        <f>'COMP.23_TRELICA'!A19</f>
        <v>COMP. 23</v>
      </c>
      <c r="D332" s="85" t="str">
        <f>'COMP.23_TRELICA'!B19</f>
        <v xml:space="preserve">TRELIÇA METÁLICA, INCLUSIVE PINTURA </v>
      </c>
      <c r="E332" s="79" t="str">
        <f>'COMP.23_TRELICA'!G19</f>
        <v xml:space="preserve"> UN</v>
      </c>
      <c r="F332" s="86">
        <f>VLOOKUP(A332,MEMORIAL!A:O,15,0)</f>
        <v>4</v>
      </c>
      <c r="G332" s="86">
        <f>'COMP.23_TRELICA'!G41</f>
        <v>3568.56</v>
      </c>
      <c r="H332" s="86">
        <f t="shared" ref="H332" si="202">ROUND(G332*$K$3,2)</f>
        <v>4685.88</v>
      </c>
      <c r="I332" s="86">
        <f t="shared" ref="I332" si="203">ROUND(F332*H332,2)</f>
        <v>18743.52</v>
      </c>
    </row>
    <row r="333" spans="1:13" ht="38.25" x14ac:dyDescent="0.2">
      <c r="A333" s="84" t="s">
        <v>39136</v>
      </c>
      <c r="B333" s="71" t="s">
        <v>15</v>
      </c>
      <c r="C333" s="83">
        <v>105080</v>
      </c>
      <c r="D333" s="85" t="str">
        <f>IF(B333="SINAPI",VLOOKUP(C333,SINAPI!A:D,2,0),(VLOOKUP(C333,SEINFRA!A:D,2,0)))</f>
        <v>VIGA DE MADEIRA SERRADA, MAÇARANDUBA OU EQUIVALENTE DA REGIÃO, APARELHADA, SEÇÃO RETANGULAR 6 X 12 CM. AF_03/2024</v>
      </c>
      <c r="E333" s="79" t="str">
        <f>IF(B333="SINAPI",VLOOKUP(C333,SINAPI!A:D,3,0),(VLOOKUP(C333,SEINFRA!A:D,3,0)))</f>
        <v>M</v>
      </c>
      <c r="F333" s="86">
        <f>VLOOKUP(A333,MEMORIAL!A:O,15,0)</f>
        <v>28.88</v>
      </c>
      <c r="G333" s="86">
        <f>IF(B333="SINAPI",VLOOKUP(C333,SINAPI!A:D,4,0),(VLOOKUP(C333,SEINFRA!A:D,4,0)))</f>
        <v>69.78</v>
      </c>
      <c r="H333" s="86">
        <f t="shared" ref="H333" si="204">ROUND(G333*$K$3,2)</f>
        <v>91.63</v>
      </c>
      <c r="I333" s="86">
        <f t="shared" ref="I333" si="205">ROUND(F333*H333,2)</f>
        <v>2646.27</v>
      </c>
    </row>
    <row r="334" spans="1:13" ht="51" x14ac:dyDescent="0.2">
      <c r="A334" s="84" t="s">
        <v>39137</v>
      </c>
      <c r="B334" s="71" t="s">
        <v>15</v>
      </c>
      <c r="C334" s="83">
        <v>92543</v>
      </c>
      <c r="D334" s="85" t="str">
        <f>IF(B334="SINAPI",VLOOKUP(C334,SINAPI!A:D,2,0),(VLOOKUP(C334,SEINFRA!A:D,2,0)))</f>
        <v>TRAMA DE MADEIRA COMPOSTA POR TERÇAS PARA TELHADOS DE ATÉ 2 ÁGUAS PARA TELHA ONDULADA DE FIBROCIMENTO, METÁLICA, PLÁSTICA OU TERMOACÚSTICA, INCLUSO TRANSPORTE VERTICAL. AF_07/2019</v>
      </c>
      <c r="E334" s="79" t="str">
        <f>IF(B334="SINAPI",VLOOKUP(C334,SINAPI!A:D,3,0),(VLOOKUP(C334,SEINFRA!A:D,3,0)))</f>
        <v>M2</v>
      </c>
      <c r="F334" s="86">
        <f>VLOOKUP(A334,MEMORIAL!A:O,15,0)</f>
        <v>752.68</v>
      </c>
      <c r="G334" s="86">
        <f>IF(B334="SINAPI",VLOOKUP(C334,SINAPI!A:D,4,0),(VLOOKUP(C334,SEINFRA!A:D,4,0)))</f>
        <v>24.74</v>
      </c>
      <c r="H334" s="86">
        <f t="shared" ref="H334:H338" si="206">ROUND(G334*$K$3,2)</f>
        <v>32.49</v>
      </c>
      <c r="I334" s="86">
        <f t="shared" ref="I334:I338" si="207">ROUND(F334*H334,2)</f>
        <v>24454.57</v>
      </c>
    </row>
    <row r="335" spans="1:13" ht="51" x14ac:dyDescent="0.2">
      <c r="A335" s="84" t="s">
        <v>39138</v>
      </c>
      <c r="B335" s="71" t="s">
        <v>15</v>
      </c>
      <c r="C335" s="83">
        <v>94210</v>
      </c>
      <c r="D335" s="85" t="str">
        <f>IF(B335="SINAPI",VLOOKUP(C335,SINAPI!A:D,2,0),(VLOOKUP(C335,SEINFRA!A:D,2,0)))</f>
        <v>TELHAMENTO COM TELHA ONDULADA DE FIBROCIMENTO E = 6 MM, COM RECOBRIMENTO LATERAL DE 1 1/4 DE ONDA PARA TELHADO COM INCLINAÇÃO MÁXIMA DE 10°, COM ATÉ 2 ÁGUAS, INCLUSO IÇAMENTO. AF_07/2019</v>
      </c>
      <c r="E335" s="79" t="str">
        <f>IF(B335="SINAPI",VLOOKUP(C335,SINAPI!A:D,3,0),(VLOOKUP(C335,SEINFRA!A:D,3,0)))</f>
        <v>M2</v>
      </c>
      <c r="F335" s="86">
        <f>VLOOKUP(A335,MEMORIAL!A:O,15,0)</f>
        <v>752.68</v>
      </c>
      <c r="G335" s="86">
        <f>IF(B335="SINAPI",VLOOKUP(C335,SINAPI!A:D,4,0),(VLOOKUP(C335,SEINFRA!A:D,4,0)))</f>
        <v>64.22</v>
      </c>
      <c r="H335" s="86">
        <f t="shared" si="206"/>
        <v>84.33</v>
      </c>
      <c r="I335" s="86">
        <f t="shared" si="207"/>
        <v>63473.5</v>
      </c>
    </row>
    <row r="336" spans="1:13" ht="38.25" x14ac:dyDescent="0.2">
      <c r="A336" s="84" t="s">
        <v>39139</v>
      </c>
      <c r="B336" s="71" t="s">
        <v>15</v>
      </c>
      <c r="C336" s="83">
        <v>94223</v>
      </c>
      <c r="D336" s="85" t="str">
        <f>IF(B336="SINAPI",VLOOKUP(C336,SINAPI!A:D,2,0),(VLOOKUP(C336,SEINFRA!A:D,2,0)))</f>
        <v>CUMEEIRA PARA TELHA DE FIBROCIMENTO ONDULADA E = 6 MM, INCLUSO ACESSÓRIOS DE FIXAÇÃO E IÇAMENTO. AF_07/2019</v>
      </c>
      <c r="E336" s="79" t="str">
        <f>IF(B336="SINAPI",VLOOKUP(C336,SINAPI!A:D,3,0),(VLOOKUP(C336,SEINFRA!A:D,3,0)))</f>
        <v>M</v>
      </c>
      <c r="F336" s="86">
        <f>VLOOKUP(A336,MEMORIAL!A:O,15,0)</f>
        <v>63.25</v>
      </c>
      <c r="G336" s="86">
        <f>IF(B336="SINAPI",VLOOKUP(C336,SINAPI!A:D,4,0),(VLOOKUP(C336,SEINFRA!A:D,4,0)))</f>
        <v>101.09</v>
      </c>
      <c r="H336" s="86">
        <f t="shared" si="206"/>
        <v>132.74</v>
      </c>
      <c r="I336" s="86">
        <f t="shared" si="207"/>
        <v>8395.81</v>
      </c>
    </row>
    <row r="337" spans="1:9" ht="38.25" x14ac:dyDescent="0.2">
      <c r="A337" s="84" t="s">
        <v>39390</v>
      </c>
      <c r="B337" s="71" t="s">
        <v>15</v>
      </c>
      <c r="C337" s="83">
        <v>100435</v>
      </c>
      <c r="D337" s="85" t="str">
        <f>IF(B337="SINAPI",VLOOKUP(C337,SINAPI!A:D,2,0),(VLOOKUP(C337,SEINFRA!A:D,2,0)))</f>
        <v>RUFO EM FIBROCIMENTO PARA TELHA ONDULADA E = 6 MM, ABA DE 26 CM, INCLUSO TRANSPORTE VERTICAL, EXCETO CONTRARRUFO. AF_07/2019</v>
      </c>
      <c r="E337" s="79" t="str">
        <f>IF(B337="SINAPI",VLOOKUP(C337,SINAPI!A:D,3,0),(VLOOKUP(C337,SEINFRA!A:D,3,0)))</f>
        <v>M</v>
      </c>
      <c r="F337" s="86">
        <f>VLOOKUP(A337,MEMORIAL!A:O,15,0)</f>
        <v>47.6</v>
      </c>
      <c r="G337" s="86">
        <f>IF(B337="SINAPI",VLOOKUP(C337,SINAPI!A:D,4,0),(VLOOKUP(C337,SEINFRA!A:D,4,0)))</f>
        <v>84.96</v>
      </c>
      <c r="H337" s="86">
        <f t="shared" si="206"/>
        <v>111.56</v>
      </c>
      <c r="I337" s="86">
        <f t="shared" si="207"/>
        <v>5310.26</v>
      </c>
    </row>
    <row r="338" spans="1:9" x14ac:dyDescent="0.2">
      <c r="A338" s="84" t="s">
        <v>39391</v>
      </c>
      <c r="B338" s="80" t="s">
        <v>25</v>
      </c>
      <c r="C338" s="83" t="s">
        <v>8067</v>
      </c>
      <c r="D338" s="85" t="str">
        <f>IF(B338="SINAPI",VLOOKUP(C338,SINAPI!A:D,2,0),(VLOOKUP(C338,SEINFRA!A:D,2,0)))</f>
        <v>CHAPIM PRÉ-MOLDADO DE CONCRETO</v>
      </c>
      <c r="E338" s="79" t="str">
        <f>IF(B338="SINAPI",VLOOKUP(C338,SINAPI!A:D,3,0),(VLOOKUP(C338,SEINFRA!A:D,3,0)))</f>
        <v>M2</v>
      </c>
      <c r="F338" s="86">
        <f>VLOOKUP(A338,MEMORIAL!A:O,15,0)</f>
        <v>167</v>
      </c>
      <c r="G338" s="86">
        <f>IF(B338="SINAPI",VLOOKUP(C338,SINAPI!A:D,4,0),(VLOOKUP(C338,SEINFRA!A:D,4,0)))</f>
        <v>136.66</v>
      </c>
      <c r="H338" s="86">
        <f t="shared" si="206"/>
        <v>179.45</v>
      </c>
      <c r="I338" s="86">
        <f t="shared" si="207"/>
        <v>29968.15</v>
      </c>
    </row>
    <row r="339" spans="1:9" ht="38.25" x14ac:dyDescent="0.2">
      <c r="A339" s="84" t="s">
        <v>39392</v>
      </c>
      <c r="B339" s="71" t="s">
        <v>15</v>
      </c>
      <c r="C339" s="83">
        <v>98546</v>
      </c>
      <c r="D339" s="85" t="str">
        <f>IF(B339="SINAPI",VLOOKUP(C339,SINAPI!A:D,2,0),(VLOOKUP(C339,SEINFRA!A:D,2,0)))</f>
        <v>IMPERMEABILIZAÇÃO DE SUPERFÍCIE COM MANTA ASFÁLTICA, UMA CAMADA, INCLUSIVE APLICAÇÃO DE PRIMER ASFÁLTICO, E=4MM. AF_09/2023</v>
      </c>
      <c r="E339" s="79" t="str">
        <f>IF(B339="SINAPI",VLOOKUP(C339,SINAPI!A:D,3,0),(VLOOKUP(C339,SEINFRA!A:D,3,0)))</f>
        <v>M2</v>
      </c>
      <c r="F339" s="86">
        <f>VLOOKUP(A339,MEMORIAL!A:O,15,0)</f>
        <v>252.99999999999997</v>
      </c>
      <c r="G339" s="86">
        <f>IF(B339="SINAPI",VLOOKUP(C339,SINAPI!A:D,4,0),(VLOOKUP(C339,SEINFRA!A:D,4,0)))</f>
        <v>115.85</v>
      </c>
      <c r="H339" s="86">
        <f t="shared" ref="H339:H341" si="208">ROUND(G339*$K$3,2)</f>
        <v>152.12</v>
      </c>
      <c r="I339" s="86">
        <f t="shared" ref="I339:I341" si="209">ROUND(F339*H339,2)</f>
        <v>38486.36</v>
      </c>
    </row>
    <row r="340" spans="1:9" ht="38.25" x14ac:dyDescent="0.2">
      <c r="A340" s="84" t="s">
        <v>40002</v>
      </c>
      <c r="B340" s="71" t="s">
        <v>15</v>
      </c>
      <c r="C340" s="83">
        <v>98563</v>
      </c>
      <c r="D340" s="85" t="str">
        <f>IF(B340="SINAPI",VLOOKUP(C340,SINAPI!A:D,2,0),(VLOOKUP(C340,SEINFRA!A:D,2,0)))</f>
        <v>PROTEÇÃO MECÂNICA DE SUPERFÍCIE HORIZONTAL COM ARGAMASSA DE CIMENTO E AREIA, TRAÇO 1:3, E=2CM. AF_09/2023</v>
      </c>
      <c r="E340" s="79" t="str">
        <f>IF(B340="SINAPI",VLOOKUP(C340,SINAPI!A:D,3,0),(VLOOKUP(C340,SEINFRA!A:D,3,0)))</f>
        <v>M2</v>
      </c>
      <c r="F340" s="86">
        <f>VLOOKUP(A340,MEMORIAL!A:O,15,0)</f>
        <v>63.25</v>
      </c>
      <c r="G340" s="86">
        <f>IF(B340="SINAPI",VLOOKUP(C340,SINAPI!A:D,4,0),(VLOOKUP(C340,SEINFRA!A:D,4,0)))</f>
        <v>36.97</v>
      </c>
      <c r="H340" s="86">
        <f t="shared" si="208"/>
        <v>48.55</v>
      </c>
      <c r="I340" s="86">
        <f t="shared" si="209"/>
        <v>3070.79</v>
      </c>
    </row>
    <row r="341" spans="1:9" ht="38.25" x14ac:dyDescent="0.2">
      <c r="A341" s="84" t="s">
        <v>47419</v>
      </c>
      <c r="B341" s="71" t="s">
        <v>15</v>
      </c>
      <c r="C341" s="83">
        <v>98564</v>
      </c>
      <c r="D341" s="85" t="str">
        <f>IF(B341="SINAPI",VLOOKUP(C341,SINAPI!A:D,2,0),(VLOOKUP(C341,SEINFRA!A:D,2,0)))</f>
        <v>PROTEÇÃO MECÂNICA DE SUPERFÍCIE VERTICAL COM ARGAMASSA DE CIMENTO E AREIA, TRAÇO 1:3, E=2CM. AF_09/2023</v>
      </c>
      <c r="E341" s="79" t="str">
        <f>IF(B341="SINAPI",VLOOKUP(C341,SINAPI!A:D,3,0),(VLOOKUP(C341,SEINFRA!A:D,3,0)))</f>
        <v>M2</v>
      </c>
      <c r="F341" s="86">
        <f>VLOOKUP(A341,MEMORIAL!A:O,15,0)</f>
        <v>189.74999999999997</v>
      </c>
      <c r="G341" s="86">
        <f>IF(B341="SINAPI",VLOOKUP(C341,SINAPI!A:D,4,0),(VLOOKUP(C341,SEINFRA!A:D,4,0)))</f>
        <v>50.53</v>
      </c>
      <c r="H341" s="86">
        <f t="shared" si="208"/>
        <v>66.349999999999994</v>
      </c>
      <c r="I341" s="86">
        <f t="shared" si="209"/>
        <v>12589.91</v>
      </c>
    </row>
    <row r="342" spans="1:9" x14ac:dyDescent="0.2">
      <c r="A342" s="84"/>
      <c r="B342" s="71"/>
      <c r="C342" s="83"/>
      <c r="D342" s="85"/>
      <c r="E342" s="79"/>
      <c r="F342" s="86"/>
      <c r="G342" s="86"/>
      <c r="H342" s="86"/>
      <c r="I342" s="86"/>
    </row>
    <row r="343" spans="1:9" x14ac:dyDescent="0.2">
      <c r="A343" s="210">
        <v>17</v>
      </c>
      <c r="B343" s="210"/>
      <c r="C343" s="210"/>
      <c r="D343" s="212" t="s">
        <v>10976</v>
      </c>
      <c r="E343" s="210"/>
      <c r="F343" s="313"/>
      <c r="G343" s="313"/>
      <c r="H343" s="313"/>
      <c r="I343" s="313">
        <f>ROUND(I344+I357,2)</f>
        <v>33171.050000000003</v>
      </c>
    </row>
    <row r="344" spans="1:9" x14ac:dyDescent="0.2">
      <c r="A344" s="213" t="s">
        <v>39140</v>
      </c>
      <c r="B344" s="213"/>
      <c r="C344" s="213"/>
      <c r="D344" s="215" t="s">
        <v>39219</v>
      </c>
      <c r="E344" s="213"/>
      <c r="F344" s="314"/>
      <c r="G344" s="314"/>
      <c r="H344" s="314"/>
      <c r="I344" s="314">
        <f>ROUND(SUM(I345:I356),2)</f>
        <v>27255.33</v>
      </c>
    </row>
    <row r="345" spans="1:9" x14ac:dyDescent="0.2">
      <c r="A345" s="84" t="s">
        <v>39142</v>
      </c>
      <c r="B345" s="80" t="s">
        <v>25</v>
      </c>
      <c r="C345" s="83" t="s">
        <v>10999</v>
      </c>
      <c r="D345" s="85" t="str">
        <f>IF(B345="SINAPI",VLOOKUP(C345,SINAPI!A:D,2,0),(VLOOKUP(C345,SEINFRA!A:D,2,0)))</f>
        <v>BANCADA DE GRANITO CINZA E=2cm</v>
      </c>
      <c r="E345" s="79" t="str">
        <f>IF(B345="SINAPI",VLOOKUP(C345,SINAPI!A:D,3,0),(VLOOKUP(C345,SEINFRA!A:D,3,0)))</f>
        <v>M2</v>
      </c>
      <c r="F345" s="86">
        <f>VLOOKUP(A345,MEMORIAL!A:O,15,0)</f>
        <v>12.07</v>
      </c>
      <c r="G345" s="86">
        <f>IF(B345="SINAPI",VLOOKUP(C345,SINAPI!A:D,4,0),(VLOOKUP(C345,SEINFRA!A:D,4,0)))</f>
        <v>411.72</v>
      </c>
      <c r="H345" s="86">
        <f t="shared" ref="H345" si="210">ROUND(G345*$K$3,2)</f>
        <v>540.63</v>
      </c>
      <c r="I345" s="86">
        <f t="shared" ref="I345" si="211">ROUND(F345*H345,2)</f>
        <v>6525.4</v>
      </c>
    </row>
    <row r="346" spans="1:9" ht="25.5" x14ac:dyDescent="0.2">
      <c r="A346" s="84" t="s">
        <v>39143</v>
      </c>
      <c r="B346" s="71" t="s">
        <v>15</v>
      </c>
      <c r="C346" s="83">
        <v>86900</v>
      </c>
      <c r="D346" s="85" t="str">
        <f>IF(B346="SINAPI",VLOOKUP(C346,SINAPI!A:D,2,0),(VLOOKUP(C346,SEINFRA!A:D,2,0)))</f>
        <v>CUBA DE EMBUTIR RETANGULAR DE AÇO INOXIDÁVEL, 46 X 30 X 12 CM - FORNECIMENTO E INSTALAÇÃO. AF_01/2020</v>
      </c>
      <c r="E346" s="79" t="str">
        <f>IF(B346="SINAPI",VLOOKUP(C346,SINAPI!A:D,3,0),(VLOOKUP(C346,SEINFRA!A:D,3,0)))</f>
        <v>UN</v>
      </c>
      <c r="F346" s="86">
        <f>VLOOKUP(A346,MEMORIAL!A:O,15,0)</f>
        <v>2</v>
      </c>
      <c r="G346" s="86">
        <f>IF(B346="SINAPI",VLOOKUP(C346,SINAPI!A:D,4,0),(VLOOKUP(C346,SEINFRA!A:D,4,0)))</f>
        <v>185.5</v>
      </c>
      <c r="H346" s="86">
        <f t="shared" ref="H346:H347" si="212">ROUND(G346*$K$3,2)</f>
        <v>243.58</v>
      </c>
      <c r="I346" s="86">
        <f t="shared" ref="I346:I347" si="213">ROUND(F346*H346,2)</f>
        <v>487.16</v>
      </c>
    </row>
    <row r="347" spans="1:9" ht="25.5" x14ac:dyDescent="0.2">
      <c r="A347" s="84" t="s">
        <v>39144</v>
      </c>
      <c r="B347" s="71" t="s">
        <v>15</v>
      </c>
      <c r="C347" s="83">
        <v>86901</v>
      </c>
      <c r="D347" s="85" t="str">
        <f>IF(B347="SINAPI",VLOOKUP(C347,SINAPI!A:D,2,0),(VLOOKUP(C347,SEINFRA!A:D,2,0)))</f>
        <v>CUBA DE EMBUTIR OVAL EM LOUÇA BRANCA, 35 X 50CM OU EQUIVALENTE - FORNECIMENTO E INSTALAÇÃO. AF_01/2020</v>
      </c>
      <c r="E347" s="79" t="str">
        <f>IF(B347="SINAPI",VLOOKUP(C347,SINAPI!A:D,3,0),(VLOOKUP(C347,SEINFRA!A:D,3,0)))</f>
        <v>UN</v>
      </c>
      <c r="F347" s="86">
        <f>VLOOKUP(A347,MEMORIAL!A:O,15,0)</f>
        <v>8</v>
      </c>
      <c r="G347" s="86">
        <f>IF(B347="SINAPI",VLOOKUP(C347,SINAPI!A:D,4,0),(VLOOKUP(C347,SEINFRA!A:D,4,0)))</f>
        <v>154.61000000000001</v>
      </c>
      <c r="H347" s="86">
        <f t="shared" si="212"/>
        <v>203.02</v>
      </c>
      <c r="I347" s="86">
        <f t="shared" si="213"/>
        <v>1624.16</v>
      </c>
    </row>
    <row r="348" spans="1:9" ht="38.25" x14ac:dyDescent="0.2">
      <c r="A348" s="84" t="s">
        <v>39145</v>
      </c>
      <c r="B348" s="71" t="s">
        <v>15</v>
      </c>
      <c r="C348" s="83">
        <v>86911</v>
      </c>
      <c r="D348" s="85" t="str">
        <f>IF(B348="SINAPI",VLOOKUP(C348,SINAPI!A:D,2,0),(VLOOKUP(C348,SEINFRA!A:D,2,0)))</f>
        <v>TORNEIRA CROMADA LONGA, DE PAREDE, 1/2" OU 3/4", PARA PIA DE COZINHA, PADRÃO POPULAR - FORNECIMENTO E INSTALAÇÃO. AF_01/2020</v>
      </c>
      <c r="E348" s="79" t="str">
        <f>IF(B348="SINAPI",VLOOKUP(C348,SINAPI!A:D,3,0),(VLOOKUP(C348,SEINFRA!A:D,3,0)))</f>
        <v>UN</v>
      </c>
      <c r="F348" s="86">
        <f>VLOOKUP(A348,MEMORIAL!A:O,15,0)</f>
        <v>2</v>
      </c>
      <c r="G348" s="86">
        <f>IF(B348="SINAPI",VLOOKUP(C348,SINAPI!A:D,4,0),(VLOOKUP(C348,SEINFRA!A:D,4,0)))</f>
        <v>83.09</v>
      </c>
      <c r="H348" s="86">
        <f t="shared" ref="H348" si="214">ROUND(G348*$K$3,2)</f>
        <v>109.11</v>
      </c>
      <c r="I348" s="86">
        <f t="shared" ref="I348" si="215">ROUND(F348*H348,2)</f>
        <v>218.22</v>
      </c>
    </row>
    <row r="349" spans="1:9" ht="38.25" x14ac:dyDescent="0.2">
      <c r="A349" s="84" t="s">
        <v>39146</v>
      </c>
      <c r="B349" s="71" t="s">
        <v>15</v>
      </c>
      <c r="C349" s="83">
        <v>86906</v>
      </c>
      <c r="D349" s="85" t="str">
        <f>IF(B349="SINAPI",VLOOKUP(C349,SINAPI!A:D,2,0),(VLOOKUP(C349,SEINFRA!A:D,2,0)))</f>
        <v>TORNEIRA CROMADA DE MESA, 1/2" OU 3/4", PARA LAVATÓRIO, PADRÃO POPULAR - FORNECIMENTO E INSTALAÇÃO. AF_01/2020</v>
      </c>
      <c r="E349" s="79" t="str">
        <f>IF(B349="SINAPI",VLOOKUP(C349,SINAPI!A:D,3,0),(VLOOKUP(C349,SEINFRA!A:D,3,0)))</f>
        <v>UN</v>
      </c>
      <c r="F349" s="86">
        <f>VLOOKUP(A349,MEMORIAL!A:O,15,0)</f>
        <v>8</v>
      </c>
      <c r="G349" s="86">
        <f>IF(B349="SINAPI",VLOOKUP(C349,SINAPI!A:D,4,0),(VLOOKUP(C349,SEINFRA!A:D,4,0)))</f>
        <v>71</v>
      </c>
      <c r="H349" s="86">
        <f t="shared" ref="H349" si="216">ROUND(G349*$K$3,2)</f>
        <v>93.23</v>
      </c>
      <c r="I349" s="86">
        <f t="shared" ref="I349" si="217">ROUND(F349*H349,2)</f>
        <v>745.84</v>
      </c>
    </row>
    <row r="350" spans="1:9" ht="51" x14ac:dyDescent="0.2">
      <c r="A350" s="84" t="s">
        <v>39147</v>
      </c>
      <c r="B350" s="71" t="s">
        <v>15</v>
      </c>
      <c r="C350" s="83">
        <v>86931</v>
      </c>
      <c r="D350" s="85" t="str">
        <f>IF(B350="SINAPI",VLOOKUP(C350,SINAPI!A:D,2,0),(VLOOKUP(C350,SEINFRA!A:D,2,0)))</f>
        <v>VASO SANITÁRIO SIFONADO COM CAIXA ACOPLADA LOUÇA BRANCA, INCLUSO ENGATE FLEXÍVEL EM PLÁSTICO BRANCO, 1/2 X 40CM - FORNECIMENTO E INSTALAÇÃO. AF_01/2020</v>
      </c>
      <c r="E350" s="79" t="str">
        <f>IF(B350="SINAPI",VLOOKUP(C350,SINAPI!A:D,3,0),(VLOOKUP(C350,SEINFRA!A:D,3,0)))</f>
        <v>UN</v>
      </c>
      <c r="F350" s="86">
        <f>VLOOKUP(A350,MEMORIAL!A:O,15,0)</f>
        <v>8</v>
      </c>
      <c r="G350" s="86">
        <f>IF(B350="SINAPI",VLOOKUP(C350,SINAPI!A:D,4,0),(VLOOKUP(C350,SEINFRA!A:D,4,0)))</f>
        <v>530.98</v>
      </c>
      <c r="H350" s="86">
        <f t="shared" ref="H350:H351" si="218">ROUND(G350*$K$3,2)</f>
        <v>697.23</v>
      </c>
      <c r="I350" s="86">
        <f t="shared" ref="I350:I351" si="219">ROUND(F350*H350,2)</f>
        <v>5577.84</v>
      </c>
    </row>
    <row r="351" spans="1:9" ht="51" x14ac:dyDescent="0.2">
      <c r="A351" s="84" t="s">
        <v>39148</v>
      </c>
      <c r="B351" s="71" t="s">
        <v>15</v>
      </c>
      <c r="C351" s="83">
        <v>95472</v>
      </c>
      <c r="D351" s="85" t="str">
        <f>IF(B351="SINAPI",VLOOKUP(C351,SINAPI!A:D,2,0),(VLOOKUP(C351,SEINFRA!A:D,2,0)))</f>
        <v>VASO SANITARIO SIFONADO CONVENCIONAL PARA PCD SEM FURO FRONTAL COM LOUÇA BRANCA SEM ASSENTO, INCLUSO CONJUNTO DE LIGAÇÃO PARA BACIA SANITÁRIA AJUSTÁVEL - FORNECIMENTO E INSTALAÇÃO. AF_01/2020</v>
      </c>
      <c r="E351" s="79" t="str">
        <f>IF(B351="SINAPI",VLOOKUP(C351,SINAPI!A:D,3,0),(VLOOKUP(C351,SEINFRA!A:D,3,0)))</f>
        <v>UN</v>
      </c>
      <c r="F351" s="86">
        <f>VLOOKUP(A351,MEMORIAL!A:O,15,0)</f>
        <v>1</v>
      </c>
      <c r="G351" s="86">
        <f>IF(B351="SINAPI",VLOOKUP(C351,SINAPI!A:D,4,0),(VLOOKUP(C351,SEINFRA!A:D,4,0)))</f>
        <v>813.48</v>
      </c>
      <c r="H351" s="86">
        <f t="shared" si="218"/>
        <v>1068.18</v>
      </c>
      <c r="I351" s="86">
        <f t="shared" si="219"/>
        <v>1068.18</v>
      </c>
    </row>
    <row r="352" spans="1:9" ht="25.5" x14ac:dyDescent="0.2">
      <c r="A352" s="84" t="s">
        <v>39393</v>
      </c>
      <c r="B352" s="71" t="s">
        <v>15</v>
      </c>
      <c r="C352" s="83">
        <v>100858</v>
      </c>
      <c r="D352" s="85" t="str">
        <f>IF(B352="SINAPI",VLOOKUP(C352,SINAPI!A:D,2,0),(VLOOKUP(C352,SEINFRA!A:D,2,0)))</f>
        <v>MICTÓRIO SIFONADO LOUÇA BRANCA - PADRÃO MÉDIO - FORNECIMENTO E INSTALAÇÃO. AF_01/2020</v>
      </c>
      <c r="E352" s="79" t="str">
        <f>IF(B352="SINAPI",VLOOKUP(C352,SINAPI!A:D,3,0),(VLOOKUP(C352,SEINFRA!A:D,3,0)))</f>
        <v>UN</v>
      </c>
      <c r="F352" s="86">
        <f>VLOOKUP(A352,MEMORIAL!A:O,15,0)</f>
        <v>3</v>
      </c>
      <c r="G352" s="86">
        <f>IF(B352="SINAPI",VLOOKUP(C352,SINAPI!A:D,4,0),(VLOOKUP(C352,SEINFRA!A:D,4,0)))</f>
        <v>869.53</v>
      </c>
      <c r="H352" s="86">
        <f t="shared" ref="H352" si="220">ROUND(G352*$K$3,2)</f>
        <v>1141.78</v>
      </c>
      <c r="I352" s="86">
        <f t="shared" ref="I352" si="221">ROUND(F352*H352,2)</f>
        <v>3425.34</v>
      </c>
    </row>
    <row r="353" spans="1:9" ht="63.75" x14ac:dyDescent="0.2">
      <c r="A353" s="84" t="s">
        <v>39394</v>
      </c>
      <c r="B353" s="71" t="s">
        <v>15</v>
      </c>
      <c r="C353" s="83">
        <v>86943</v>
      </c>
      <c r="D353" s="85" t="str">
        <f>IF(B353="SINAPI",VLOOKUP(C353,SINAPI!A:D,2,0),(VLOOKUP(C353,SEINFRA!A:D,2,0)))</f>
        <v>LAVATÓRIO LOUÇA BRANCA SUSPENSO, 29,5 X 39CM OU EQUIVALENTE, PADRÃO POPULAR, INCLUSO SIFÃO FLEXÍVEL EM PVC, VÁLVULA E ENGATE FLEXÍVEL 30CM EM PLÁSTICO E TORNEIRA CROMADA DE MESA, PADRÃO POPULAR - FORNECIMENTO E INSTALAÇÃO. AF_01/2020</v>
      </c>
      <c r="E353" s="79" t="str">
        <f>IF(B353="SINAPI",VLOOKUP(C353,SINAPI!A:D,3,0),(VLOOKUP(C353,SEINFRA!A:D,3,0)))</f>
        <v>UN</v>
      </c>
      <c r="F353" s="86">
        <f>VLOOKUP(A353,MEMORIAL!A:O,15,0)</f>
        <v>1</v>
      </c>
      <c r="G353" s="86">
        <f>IF(B353="SINAPI",VLOOKUP(C353,SINAPI!A:D,4,0),(VLOOKUP(C353,SEINFRA!A:D,4,0)))</f>
        <v>265.60000000000002</v>
      </c>
      <c r="H353" s="86">
        <f t="shared" ref="H353" si="222">ROUND(G353*$K$3,2)</f>
        <v>348.76</v>
      </c>
      <c r="I353" s="86">
        <f t="shared" ref="I353" si="223">ROUND(F353*H353,2)</f>
        <v>348.76</v>
      </c>
    </row>
    <row r="354" spans="1:9" x14ac:dyDescent="0.2">
      <c r="A354" s="84" t="s">
        <v>39395</v>
      </c>
      <c r="B354" s="80" t="s">
        <v>25</v>
      </c>
      <c r="C354" s="83" t="s">
        <v>11035</v>
      </c>
      <c r="D354" s="85" t="str">
        <f>IF(B354="SINAPI",VLOOKUP(C354,SINAPI!A:D,2,0),(VLOOKUP(C354,SEINFRA!A:D,2,0)))</f>
        <v>DUCHA P/ WC CROMADO (INSTALADO)</v>
      </c>
      <c r="E354" s="79" t="str">
        <f>IF(B354="SINAPI",VLOOKUP(C354,SINAPI!A:D,3,0),(VLOOKUP(C354,SEINFRA!A:D,3,0)))</f>
        <v>UN</v>
      </c>
      <c r="F354" s="86">
        <f>VLOOKUP(A354,MEMORIAL!A:O,15,0)</f>
        <v>9</v>
      </c>
      <c r="G354" s="86">
        <f>IF(B354="SINAPI",VLOOKUP(C354,SINAPI!A:D,4,0),(VLOOKUP(C354,SEINFRA!A:D,4,0)))</f>
        <v>72.8</v>
      </c>
      <c r="H354" s="86">
        <f t="shared" ref="H354" si="224">ROUND(G354*$K$3,2)</f>
        <v>95.59</v>
      </c>
      <c r="I354" s="86">
        <f t="shared" ref="I354" si="225">ROUND(F354*H354,2)</f>
        <v>860.31</v>
      </c>
    </row>
    <row r="355" spans="1:9" x14ac:dyDescent="0.2">
      <c r="A355" s="84" t="s">
        <v>39980</v>
      </c>
      <c r="B355" s="80" t="s">
        <v>25</v>
      </c>
      <c r="C355" s="83" t="s">
        <v>11013</v>
      </c>
      <c r="D355" s="85" t="str">
        <f>IF(B355="SINAPI",VLOOKUP(C355,SINAPI!A:D,2,0),(VLOOKUP(C355,SEINFRA!A:D,2,0)))</f>
        <v>BEBEDOURO EM AÇO INOX COM 1,60m</v>
      </c>
      <c r="E355" s="79" t="str">
        <f>IF(B355="SINAPI",VLOOKUP(C355,SINAPI!A:D,3,0),(VLOOKUP(C355,SEINFRA!A:D,3,0)))</f>
        <v>UN</v>
      </c>
      <c r="F355" s="86">
        <f>VLOOKUP(A355,MEMORIAL!A:O,15,0)</f>
        <v>2</v>
      </c>
      <c r="G355" s="86">
        <f>IF(B355="SINAPI",VLOOKUP(C355,SINAPI!A:D,4,0),(VLOOKUP(C355,SEINFRA!A:D,4,0)))</f>
        <v>2427.13</v>
      </c>
      <c r="H355" s="86">
        <f t="shared" ref="H355" si="226">ROUND(G355*$K$3,2)</f>
        <v>3187.06</v>
      </c>
      <c r="I355" s="86">
        <f t="shared" ref="I355" si="227">ROUND(F355*H355,2)</f>
        <v>6374.12</v>
      </c>
    </row>
    <row r="356" spans="1:9" x14ac:dyDescent="0.2">
      <c r="A356" s="84"/>
      <c r="B356" s="71"/>
      <c r="C356" s="83"/>
      <c r="D356" s="85"/>
      <c r="E356" s="79"/>
      <c r="F356" s="86"/>
      <c r="G356" s="86"/>
      <c r="H356" s="86"/>
      <c r="I356" s="86"/>
    </row>
    <row r="357" spans="1:9" x14ac:dyDescent="0.2">
      <c r="A357" s="213" t="s">
        <v>39141</v>
      </c>
      <c r="B357" s="213"/>
      <c r="C357" s="213"/>
      <c r="D357" s="215" t="s">
        <v>39094</v>
      </c>
      <c r="E357" s="213"/>
      <c r="F357" s="314"/>
      <c r="G357" s="314"/>
      <c r="H357" s="314"/>
      <c r="I357" s="314">
        <f>ROUND(SUM(I358:I364),2)</f>
        <v>5915.72</v>
      </c>
    </row>
    <row r="358" spans="1:9" x14ac:dyDescent="0.2">
      <c r="A358" s="84" t="s">
        <v>39149</v>
      </c>
      <c r="B358" s="80" t="s">
        <v>25</v>
      </c>
      <c r="C358" s="83" t="s">
        <v>11069</v>
      </c>
      <c r="D358" s="85" t="str">
        <f>IF(B358="SINAPI",VLOOKUP(C358,SINAPI!A:D,2,0),(VLOOKUP(C358,SEINFRA!A:D,2,0)))</f>
        <v>PEÇAS DE APOIO DEFICIENTES C/TUBO INOX  P/WC'S</v>
      </c>
      <c r="E358" s="79" t="str">
        <f>IF(B358="SINAPI",VLOOKUP(C358,SINAPI!A:D,3,0),(VLOOKUP(C358,SEINFRA!A:D,3,0)))</f>
        <v>M</v>
      </c>
      <c r="F358" s="86">
        <f>VLOOKUP(A358,MEMORIAL!A:O,15,0)</f>
        <v>2.8499999999999996</v>
      </c>
      <c r="G358" s="86">
        <f>IF(B358="SINAPI",VLOOKUP(C358,SINAPI!A:D,4,0),(VLOOKUP(C358,SEINFRA!A:D,4,0)))</f>
        <v>195.9</v>
      </c>
      <c r="H358" s="86">
        <f t="shared" ref="H358" si="228">ROUND(G358*$K$3,2)</f>
        <v>257.24</v>
      </c>
      <c r="I358" s="86">
        <f t="shared" ref="I358" si="229">ROUND(F358*H358,2)</f>
        <v>733.13</v>
      </c>
    </row>
    <row r="359" spans="1:9" ht="25.5" x14ac:dyDescent="0.2">
      <c r="A359" s="84" t="s">
        <v>39150</v>
      </c>
      <c r="B359" s="80" t="s">
        <v>25</v>
      </c>
      <c r="C359" s="83" t="s">
        <v>11041</v>
      </c>
      <c r="D359" s="85" t="str">
        <f>IF(B359="SINAPI",VLOOKUP(C359,SINAPI!A:D,2,0),(VLOOKUP(C359,SEINFRA!A:D,2,0)))</f>
        <v>ESPELHO CRISTAL, ESPESSURA 4MM, COM PARAFUSOS DE FIXAÇÃO, SEM MOLDURA</v>
      </c>
      <c r="E359" s="79" t="str">
        <f>IF(B359="SINAPI",VLOOKUP(C359,SINAPI!A:D,3,0),(VLOOKUP(C359,SEINFRA!A:D,3,0)))</f>
        <v>M2</v>
      </c>
      <c r="F359" s="86">
        <f>VLOOKUP(A359,MEMORIAL!A:O,15,0)</f>
        <v>4.84</v>
      </c>
      <c r="G359" s="86">
        <f>IF(B359="SINAPI",VLOOKUP(C359,SINAPI!A:D,4,0),(VLOOKUP(C359,SEINFRA!A:D,4,0)))</f>
        <v>524.98</v>
      </c>
      <c r="H359" s="86">
        <f t="shared" ref="H359" si="230">ROUND(G359*$K$3,2)</f>
        <v>689.35</v>
      </c>
      <c r="I359" s="86">
        <f t="shared" ref="I359" si="231">ROUND(F359*H359,2)</f>
        <v>3336.45</v>
      </c>
    </row>
    <row r="360" spans="1:9" ht="38.25" x14ac:dyDescent="0.2">
      <c r="A360" s="84" t="s">
        <v>39151</v>
      </c>
      <c r="B360" s="71" t="s">
        <v>15</v>
      </c>
      <c r="C360" s="83">
        <v>95547</v>
      </c>
      <c r="D360" s="85" t="str">
        <f>IF(B360="SINAPI",VLOOKUP(C360,SINAPI!A:D,2,0),(VLOOKUP(C360,SEINFRA!A:D,2,0)))</f>
        <v>SABONETEIRA PLASTICA TIPO DISPENSER PARA SABONETE LIQUIDO COM RESERVATORIO 800 A 1500 ML, INCLUSO FIXAÇÃO. AF_01/2020</v>
      </c>
      <c r="E360" s="79" t="str">
        <f>IF(B360="SINAPI",VLOOKUP(C360,SINAPI!A:D,3,0),(VLOOKUP(C360,SEINFRA!A:D,3,0)))</f>
        <v>UN</v>
      </c>
      <c r="F360" s="86">
        <f>VLOOKUP(A360,MEMORIAL!A:O,15,0)</f>
        <v>7</v>
      </c>
      <c r="G360" s="86">
        <f>IF(B360="SINAPI",VLOOKUP(C360,SINAPI!A:D,4,0),(VLOOKUP(C360,SEINFRA!A:D,4,0)))</f>
        <v>53.45</v>
      </c>
      <c r="H360" s="86">
        <f t="shared" ref="H360:H362" si="232">ROUND(G360*$K$3,2)</f>
        <v>70.19</v>
      </c>
      <c r="I360" s="86">
        <f t="shared" ref="I360:I362" si="233">ROUND(F360*H360,2)</f>
        <v>491.33</v>
      </c>
    </row>
    <row r="361" spans="1:9" ht="25.5" x14ac:dyDescent="0.2">
      <c r="A361" s="84" t="s">
        <v>39152</v>
      </c>
      <c r="B361" s="71" t="s">
        <v>15</v>
      </c>
      <c r="C361" s="83">
        <v>37400</v>
      </c>
      <c r="D361" s="85" t="str">
        <f>IF(B361="SINAPI",VLOOKUP(C361,SINAPI!A:D,2,0),(VLOOKUP(C361,SEINFRA!A:D,2,0)))</f>
        <v>PAPELEIRA PLASTICA TIPO DISPENSER PARA PAPEL HIGIENICO ROLAO</v>
      </c>
      <c r="E361" s="79" t="str">
        <f>IF(B361="SINAPI",VLOOKUP(C361,SINAPI!A:D,3,0),(VLOOKUP(C361,SEINFRA!A:D,3,0)))</f>
        <v>UN</v>
      </c>
      <c r="F361" s="86">
        <f>VLOOKUP(A361,MEMORIAL!A:O,15,0)</f>
        <v>9</v>
      </c>
      <c r="G361" s="86">
        <f>IF(B361="SINAPI",VLOOKUP(C361,SINAPI!A:D,4,0),(VLOOKUP(C361,SEINFRA!A:D,4,0)))</f>
        <v>44.75</v>
      </c>
      <c r="H361" s="86">
        <f t="shared" si="232"/>
        <v>58.76</v>
      </c>
      <c r="I361" s="86">
        <f t="shared" si="233"/>
        <v>528.84</v>
      </c>
    </row>
    <row r="362" spans="1:9" ht="25.5" x14ac:dyDescent="0.2">
      <c r="A362" s="84" t="s">
        <v>39153</v>
      </c>
      <c r="B362" s="71" t="s">
        <v>15</v>
      </c>
      <c r="C362" s="83">
        <v>37401</v>
      </c>
      <c r="D362" s="85" t="str">
        <f>IF(B362="SINAPI",VLOOKUP(C362,SINAPI!A:D,2,0),(VLOOKUP(C362,SEINFRA!A:D,2,0)))</f>
        <v>TOALHEIRO PLASTICO TIPO DISPENSER PARA PAPEL TOALHA INTERFOLHADO</v>
      </c>
      <c r="E362" s="79" t="str">
        <f>IF(B362="SINAPI",VLOOKUP(C362,SINAPI!A:D,3,0),(VLOOKUP(C362,SEINFRA!A:D,3,0)))</f>
        <v>UN</v>
      </c>
      <c r="F362" s="86">
        <f>VLOOKUP(A362,MEMORIAL!A:O,15,0)</f>
        <v>5</v>
      </c>
      <c r="G362" s="86">
        <f>IF(B362="SINAPI",VLOOKUP(C362,SINAPI!A:D,4,0),(VLOOKUP(C362,SEINFRA!A:D,4,0)))</f>
        <v>44.75</v>
      </c>
      <c r="H362" s="86">
        <f t="shared" si="232"/>
        <v>58.76</v>
      </c>
      <c r="I362" s="86">
        <f t="shared" si="233"/>
        <v>293.8</v>
      </c>
    </row>
    <row r="363" spans="1:9" ht="25.5" x14ac:dyDescent="0.2">
      <c r="A363" s="84" t="s">
        <v>39154</v>
      </c>
      <c r="B363" s="71" t="s">
        <v>15</v>
      </c>
      <c r="C363" s="83">
        <v>100849</v>
      </c>
      <c r="D363" s="85" t="str">
        <f>IF(B363="SINAPI",VLOOKUP(C363,SINAPI!A:D,2,0),(VLOOKUP(C363,SEINFRA!A:D,2,0)))</f>
        <v>ASSENTO SANITÁRIO CONVENCIONAL - FORNECIMENTO E INSTALACAO. AF_01/2020</v>
      </c>
      <c r="E363" s="79" t="str">
        <f>IF(B363="SINAPI",VLOOKUP(C363,SINAPI!A:D,3,0),(VLOOKUP(C363,SEINFRA!A:D,3,0)))</f>
        <v>UN</v>
      </c>
      <c r="F363" s="86">
        <f>VLOOKUP(A363,MEMORIAL!A:O,15,0)</f>
        <v>9</v>
      </c>
      <c r="G363" s="86">
        <f>IF(B363="SINAPI",VLOOKUP(C363,SINAPI!A:D,4,0),(VLOOKUP(C363,SEINFRA!A:D,4,0)))</f>
        <v>45.03</v>
      </c>
      <c r="H363" s="86">
        <f t="shared" ref="H363" si="234">ROUND(G363*$K$3,2)</f>
        <v>59.13</v>
      </c>
      <c r="I363" s="86">
        <f t="shared" ref="I363" si="235">ROUND(F363*H363,2)</f>
        <v>532.16999999999996</v>
      </c>
    </row>
    <row r="364" spans="1:9" x14ac:dyDescent="0.2">
      <c r="A364" s="84"/>
      <c r="B364" s="71"/>
      <c r="C364" s="83"/>
      <c r="D364" s="85"/>
      <c r="E364" s="79"/>
      <c r="F364" s="86"/>
      <c r="G364" s="86"/>
      <c r="H364" s="86"/>
      <c r="I364" s="86"/>
    </row>
    <row r="365" spans="1:9" x14ac:dyDescent="0.2">
      <c r="A365" s="210">
        <v>18</v>
      </c>
      <c r="B365" s="210"/>
      <c r="C365" s="210"/>
      <c r="D365" s="212" t="s">
        <v>13469</v>
      </c>
      <c r="E365" s="210"/>
      <c r="F365" s="313"/>
      <c r="G365" s="313"/>
      <c r="H365" s="313"/>
      <c r="I365" s="313">
        <f>ROUND(I366+I372+I377,2)</f>
        <v>77076.63</v>
      </c>
    </row>
    <row r="366" spans="1:9" x14ac:dyDescent="0.2">
      <c r="A366" s="213" t="s">
        <v>39155</v>
      </c>
      <c r="B366" s="213"/>
      <c r="C366" s="213"/>
      <c r="D366" s="215" t="s">
        <v>39220</v>
      </c>
      <c r="E366" s="213"/>
      <c r="F366" s="314"/>
      <c r="G366" s="314"/>
      <c r="H366" s="314"/>
      <c r="I366" s="314">
        <f>ROUND(SUM(I367:I371),2)</f>
        <v>65857.850000000006</v>
      </c>
    </row>
    <row r="367" spans="1:9" ht="25.5" x14ac:dyDescent="0.2">
      <c r="A367" s="84" t="s">
        <v>39156</v>
      </c>
      <c r="B367" s="80" t="s">
        <v>25</v>
      </c>
      <c r="C367" s="83" t="s">
        <v>13483</v>
      </c>
      <c r="D367" s="85" t="str">
        <f>IF(B367="SINAPI",VLOOKUP(C367,SINAPI!A:D,2,0),(VLOOKUP(C367,SEINFRA!A:D,2,0)))</f>
        <v>EMASSAMENTO DE PAREDES INTERNAS 2 DEMÃOS C/MASSA DE PVA</v>
      </c>
      <c r="E367" s="79" t="str">
        <f>IF(B367="SINAPI",VLOOKUP(C367,SINAPI!A:D,3,0),(VLOOKUP(C367,SEINFRA!A:D,3,0)))</f>
        <v>M2</v>
      </c>
      <c r="F367" s="86">
        <f>VLOOKUP(A367,MEMORIAL!A:O,15,0)</f>
        <v>475.12999999999977</v>
      </c>
      <c r="G367" s="86">
        <f>IF(B367="SINAPI",VLOOKUP(C367,SINAPI!A:D,4,0),(VLOOKUP(C367,SEINFRA!A:D,4,0)))</f>
        <v>12.83</v>
      </c>
      <c r="H367" s="86">
        <f t="shared" ref="H367:H370" si="236">ROUND(G367*$K$3,2)</f>
        <v>16.850000000000001</v>
      </c>
      <c r="I367" s="86">
        <f t="shared" ref="I367:I370" si="237">ROUND(F367*H367,2)</f>
        <v>8005.94</v>
      </c>
    </row>
    <row r="368" spans="1:9" ht="25.5" x14ac:dyDescent="0.2">
      <c r="A368" s="84" t="s">
        <v>39157</v>
      </c>
      <c r="B368" s="80" t="s">
        <v>25</v>
      </c>
      <c r="C368" s="83" t="s">
        <v>13481</v>
      </c>
      <c r="D368" s="85" t="str">
        <f>IF(B368="SINAPI",VLOOKUP(C368,SINAPI!A:D,2,0),(VLOOKUP(C368,SEINFRA!A:D,2,0)))</f>
        <v>EMASSAMENTO DE PAREDES EXTERNAS 2 DEMÃOS C/MASSA ACRÍLICA</v>
      </c>
      <c r="E368" s="79" t="str">
        <f>IF(B368="SINAPI",VLOOKUP(C368,SINAPI!A:D,3,0),(VLOOKUP(C368,SEINFRA!A:D,3,0)))</f>
        <v>M2</v>
      </c>
      <c r="F368" s="86">
        <f>VLOOKUP(A368,MEMORIAL!A:O,15,0)</f>
        <v>1101.6599999999994</v>
      </c>
      <c r="G368" s="86">
        <f>IF(B368="SINAPI",VLOOKUP(C368,SINAPI!A:D,4,0),(VLOOKUP(C368,SEINFRA!A:D,4,0)))</f>
        <v>16.25</v>
      </c>
      <c r="H368" s="86">
        <f t="shared" si="236"/>
        <v>21.34</v>
      </c>
      <c r="I368" s="86">
        <f t="shared" si="237"/>
        <v>23509.42</v>
      </c>
    </row>
    <row r="369" spans="1:9" ht="25.5" x14ac:dyDescent="0.2">
      <c r="A369" s="84" t="s">
        <v>39396</v>
      </c>
      <c r="B369" s="71" t="s">
        <v>15</v>
      </c>
      <c r="C369" s="83">
        <v>88485</v>
      </c>
      <c r="D369" s="85" t="str">
        <f>IF(B369="SINAPI",VLOOKUP(C369,SINAPI!A:D,2,0),(VLOOKUP(C369,SEINFRA!A:D,2,0)))</f>
        <v>FUNDO SELADOR ACRÍLICO, APLICAÇÃO MANUAL EM PAREDE, UMA DEMÃO. AF_04/2023</v>
      </c>
      <c r="E369" s="79" t="str">
        <f>IF(B369="SINAPI",VLOOKUP(C369,SINAPI!A:D,3,0),(VLOOKUP(C369,SEINFRA!A:D,3,0)))</f>
        <v>M2</v>
      </c>
      <c r="F369" s="86">
        <f>VLOOKUP(A369,MEMORIAL!A:O,15,0)</f>
        <v>1576.79</v>
      </c>
      <c r="G369" s="86">
        <f>IF(B369="SINAPI",VLOOKUP(C369,SINAPI!A:D,4,0),(VLOOKUP(C369,SEINFRA!A:D,4,0)))</f>
        <v>4.32</v>
      </c>
      <c r="H369" s="86">
        <f t="shared" ref="H369" si="238">ROUND(G369*$K$3,2)</f>
        <v>5.67</v>
      </c>
      <c r="I369" s="86">
        <f t="shared" ref="I369" si="239">ROUND(F369*H369,2)</f>
        <v>8940.4</v>
      </c>
    </row>
    <row r="370" spans="1:9" ht="25.5" x14ac:dyDescent="0.2">
      <c r="A370" s="84" t="s">
        <v>40564</v>
      </c>
      <c r="B370" s="71" t="s">
        <v>15</v>
      </c>
      <c r="C370" s="83">
        <v>88489</v>
      </c>
      <c r="D370" s="85" t="str">
        <f>IF(B370="SINAPI",VLOOKUP(C370,SINAPI!A:D,2,0),(VLOOKUP(C370,SEINFRA!A:D,2,0)))</f>
        <v>PINTURA LÁTEX ACRÍLICA PREMIUM, APLICAÇÃO MANUAL EM PAREDES, DUAS DEMÃOS. AF_04/2023</v>
      </c>
      <c r="E370" s="79" t="str">
        <f>IF(B370="SINAPI",VLOOKUP(C370,SINAPI!A:D,3,0),(VLOOKUP(C370,SEINFRA!A:D,3,0)))</f>
        <v>M2</v>
      </c>
      <c r="F370" s="86">
        <f>VLOOKUP(A370,MEMORIAL!A:O,15,0)</f>
        <v>1576.79</v>
      </c>
      <c r="G370" s="86">
        <f>IF(B370="SINAPI",VLOOKUP(C370,SINAPI!A:D,4,0),(VLOOKUP(C370,SEINFRA!A:D,4,0)))</f>
        <v>12.27</v>
      </c>
      <c r="H370" s="86">
        <f t="shared" si="236"/>
        <v>16.11</v>
      </c>
      <c r="I370" s="86">
        <f t="shared" si="237"/>
        <v>25402.09</v>
      </c>
    </row>
    <row r="371" spans="1:9" x14ac:dyDescent="0.2">
      <c r="A371" s="84"/>
      <c r="B371" s="71"/>
      <c r="C371" s="83"/>
      <c r="D371" s="85"/>
      <c r="E371" s="79"/>
      <c r="F371" s="86"/>
      <c r="G371" s="86"/>
      <c r="H371" s="86"/>
      <c r="I371" s="86"/>
    </row>
    <row r="372" spans="1:9" x14ac:dyDescent="0.2">
      <c r="A372" s="213" t="s">
        <v>39158</v>
      </c>
      <c r="B372" s="213"/>
      <c r="C372" s="213"/>
      <c r="D372" s="215" t="s">
        <v>39221</v>
      </c>
      <c r="E372" s="213"/>
      <c r="F372" s="314"/>
      <c r="G372" s="314"/>
      <c r="H372" s="314"/>
      <c r="I372" s="314">
        <f>ROUND(SUM(I373:I376),2)</f>
        <v>7167.16</v>
      </c>
    </row>
    <row r="373" spans="1:9" ht="25.5" x14ac:dyDescent="0.2">
      <c r="A373" s="84" t="s">
        <v>39159</v>
      </c>
      <c r="B373" s="71" t="s">
        <v>15</v>
      </c>
      <c r="C373" s="83">
        <v>88496</v>
      </c>
      <c r="D373" s="85" t="str">
        <f>IF(B373="SINAPI",VLOOKUP(C373,SINAPI!A:D,2,0),(VLOOKUP(C373,SEINFRA!A:D,2,0)))</f>
        <v>EMASSAMENTO COM MASSA LÁTEX, APLICAÇÃO EM TETO, DUAS DEMÃOS, LIXAMENTO MANUAL. AF_04/2023</v>
      </c>
      <c r="E373" s="79" t="str">
        <f>IF(B373="SINAPI",VLOOKUP(C373,SINAPI!A:D,3,0),(VLOOKUP(C373,SEINFRA!A:D,3,0)))</f>
        <v>M2</v>
      </c>
      <c r="F373" s="86">
        <f>VLOOKUP(A373,MEMORIAL!A:O,15,0)</f>
        <v>110.23000000000003</v>
      </c>
      <c r="G373" s="86">
        <f>IF(B373="SINAPI",VLOOKUP(C373,SINAPI!A:D,4,0),(VLOOKUP(C373,SEINFRA!A:D,4,0)))</f>
        <v>29.69</v>
      </c>
      <c r="H373" s="86">
        <f t="shared" ref="H373:H375" si="240">ROUND(G373*$K$3,2)</f>
        <v>38.99</v>
      </c>
      <c r="I373" s="86">
        <f t="shared" ref="I373:I375" si="241">ROUND(F373*H373,2)</f>
        <v>4297.87</v>
      </c>
    </row>
    <row r="374" spans="1:9" ht="25.5" x14ac:dyDescent="0.2">
      <c r="A374" s="84" t="s">
        <v>39397</v>
      </c>
      <c r="B374" s="71" t="s">
        <v>15</v>
      </c>
      <c r="C374" s="83">
        <v>88484</v>
      </c>
      <c r="D374" s="85" t="str">
        <f>IF(B374="SINAPI",VLOOKUP(C374,SINAPI!A:D,2,0),(VLOOKUP(C374,SEINFRA!A:D,2,0)))</f>
        <v>FUNDO SELADOR ACRÍLICO, APLICAÇÃO MANUAL EM TETO, UMA DEMÃO. AF_04/2023</v>
      </c>
      <c r="E374" s="79" t="str">
        <f>IF(B374="SINAPI",VLOOKUP(C374,SINAPI!A:D,3,0),(VLOOKUP(C374,SEINFRA!A:D,3,0)))</f>
        <v>M2</v>
      </c>
      <c r="F374" s="86">
        <f>VLOOKUP(A374,MEMORIAL!A:O,15,0)</f>
        <v>110.23000000000003</v>
      </c>
      <c r="G374" s="86">
        <f>IF(B374="SINAPI",VLOOKUP(C374,SINAPI!A:D,4,0),(VLOOKUP(C374,SEINFRA!A:D,4,0)))</f>
        <v>5.26</v>
      </c>
      <c r="H374" s="86">
        <f t="shared" ref="H374" si="242">ROUND(G374*$K$3,2)</f>
        <v>6.91</v>
      </c>
      <c r="I374" s="86">
        <f t="shared" ref="I374" si="243">ROUND(F374*H374,2)</f>
        <v>761.69</v>
      </c>
    </row>
    <row r="375" spans="1:9" ht="25.5" x14ac:dyDescent="0.2">
      <c r="A375" s="84" t="s">
        <v>40563</v>
      </c>
      <c r="B375" s="71" t="s">
        <v>15</v>
      </c>
      <c r="C375" s="83">
        <v>88488</v>
      </c>
      <c r="D375" s="85" t="str">
        <f>IF(B375="SINAPI",VLOOKUP(C375,SINAPI!A:D,2,0),(VLOOKUP(C375,SEINFRA!A:D,2,0)))</f>
        <v>PINTURA LÁTEX ACRÍLICA PREMIUM, APLICAÇÃO MANUAL EM TETO, DUAS DEMÃOS. AF_04/2023</v>
      </c>
      <c r="E375" s="79" t="str">
        <f>IF(B375="SINAPI",VLOOKUP(C375,SINAPI!A:D,3,0),(VLOOKUP(C375,SEINFRA!A:D,3,0)))</f>
        <v>M2</v>
      </c>
      <c r="F375" s="86">
        <f>VLOOKUP(A375,MEMORIAL!A:O,15,0)</f>
        <v>110.23000000000003</v>
      </c>
      <c r="G375" s="86">
        <f>IF(B375="SINAPI",VLOOKUP(C375,SINAPI!A:D,4,0),(VLOOKUP(C375,SEINFRA!A:D,4,0)))</f>
        <v>14.56</v>
      </c>
      <c r="H375" s="86">
        <f t="shared" si="240"/>
        <v>19.12</v>
      </c>
      <c r="I375" s="86">
        <f t="shared" si="241"/>
        <v>2107.6</v>
      </c>
    </row>
    <row r="376" spans="1:9" x14ac:dyDescent="0.2">
      <c r="A376" s="84"/>
      <c r="B376" s="71"/>
      <c r="C376" s="83"/>
      <c r="D376" s="85"/>
      <c r="E376" s="79"/>
      <c r="F376" s="86"/>
      <c r="G376" s="86"/>
      <c r="H376" s="86"/>
      <c r="I376" s="86"/>
    </row>
    <row r="377" spans="1:9" x14ac:dyDescent="0.2">
      <c r="A377" s="213" t="s">
        <v>39160</v>
      </c>
      <c r="B377" s="213"/>
      <c r="C377" s="213"/>
      <c r="D377" s="215" t="s">
        <v>39222</v>
      </c>
      <c r="E377" s="213"/>
      <c r="F377" s="314"/>
      <c r="G377" s="314"/>
      <c r="H377" s="314"/>
      <c r="I377" s="314">
        <f>ROUND(SUM(I378:I382),2)</f>
        <v>4051.62</v>
      </c>
    </row>
    <row r="378" spans="1:9" ht="25.5" x14ac:dyDescent="0.2">
      <c r="A378" s="84" t="s">
        <v>39161</v>
      </c>
      <c r="B378" s="71" t="s">
        <v>15</v>
      </c>
      <c r="C378" s="83">
        <v>102193</v>
      </c>
      <c r="D378" s="85" t="str">
        <f>IF(B378="SINAPI",VLOOKUP(C378,SINAPI!A:D,2,0),(VLOOKUP(C378,SEINFRA!A:D,2,0)))</f>
        <v>LIXAMENTO DE MADEIRA PARA APLICAÇÃO DE FUNDO OU PINTURA. AF_01/2021</v>
      </c>
      <c r="E378" s="79" t="str">
        <f>IF(B378="SINAPI",VLOOKUP(C378,SINAPI!A:D,3,0),(VLOOKUP(C378,SEINFRA!A:D,3,0)))</f>
        <v>M2</v>
      </c>
      <c r="F378" s="86">
        <f>VLOOKUP(A378,MEMORIAL!A:O,15,0)</f>
        <v>107.12</v>
      </c>
      <c r="G378" s="86">
        <f>IF(B378="SINAPI",VLOOKUP(C378,SINAPI!A:D,4,0),(VLOOKUP(C378,SEINFRA!A:D,4,0)))</f>
        <v>1.85</v>
      </c>
      <c r="H378" s="86">
        <f t="shared" ref="H378" si="244">ROUND(G378*$K$3,2)</f>
        <v>2.4300000000000002</v>
      </c>
      <c r="I378" s="86">
        <f t="shared" ref="I378" si="245">ROUND(F378*H378,2)</f>
        <v>260.3</v>
      </c>
    </row>
    <row r="379" spans="1:9" ht="25.5" x14ac:dyDescent="0.2">
      <c r="A379" s="84" t="s">
        <v>39162</v>
      </c>
      <c r="B379" s="71" t="s">
        <v>15</v>
      </c>
      <c r="C379" s="83">
        <v>102213</v>
      </c>
      <c r="D379" s="85" t="str">
        <f>IF(B379="SINAPI",VLOOKUP(C379,SINAPI!A:D,2,0),(VLOOKUP(C379,SEINFRA!A:D,2,0)))</f>
        <v>PINTURA VERNIZ (INCOLOR) ALQUÍDICO EM MADEIRA, USO INTERNO E EXTERNO, 2 DEMÃOS. AF_01/2021</v>
      </c>
      <c r="E379" s="79" t="str">
        <f>IF(B379="SINAPI",VLOOKUP(C379,SINAPI!A:D,3,0),(VLOOKUP(C379,SEINFRA!A:D,3,0)))</f>
        <v>M2</v>
      </c>
      <c r="F379" s="86">
        <f>VLOOKUP(A379,MEMORIAL!A:O,15,0)</f>
        <v>53.84</v>
      </c>
      <c r="G379" s="86">
        <f>IF(B379="SINAPI",VLOOKUP(C379,SINAPI!A:D,4,0),(VLOOKUP(C379,SEINFRA!A:D,4,0)))</f>
        <v>20.89</v>
      </c>
      <c r="H379" s="86">
        <f t="shared" ref="H379:H381" si="246">ROUND(G379*$K$3,2)</f>
        <v>27.43</v>
      </c>
      <c r="I379" s="86">
        <f t="shared" ref="I379:I381" si="247">ROUND(F379*H379,2)</f>
        <v>1476.83</v>
      </c>
    </row>
    <row r="380" spans="1:9" ht="38.25" x14ac:dyDescent="0.2">
      <c r="A380" s="84" t="s">
        <v>39163</v>
      </c>
      <c r="B380" s="71" t="s">
        <v>15</v>
      </c>
      <c r="C380" s="83">
        <v>102200</v>
      </c>
      <c r="D380" s="85" t="str">
        <f>IF(B380="SINAPI",VLOOKUP(C380,SINAPI!A:D,2,0),(VLOOKUP(C380,SEINFRA!A:D,2,0)))</f>
        <v>APLICAÇÃO MASSA ALQUÍDICA PARA MADEIRA, PARA PINTURA COM TINTA DE ACABAMENTO (PIGMENTADA). AF_01/2021</v>
      </c>
      <c r="E380" s="79" t="str">
        <f>IF(B380="SINAPI",VLOOKUP(C380,SINAPI!A:D,3,0),(VLOOKUP(C380,SEINFRA!A:D,3,0)))</f>
        <v>M2</v>
      </c>
      <c r="F380" s="86">
        <f>VLOOKUP(A380,MEMORIAL!A:O,15,0)</f>
        <v>53.28</v>
      </c>
      <c r="G380" s="86">
        <f>IF(B380="SINAPI",VLOOKUP(C380,SINAPI!A:D,4,0),(VLOOKUP(C380,SEINFRA!A:D,4,0)))</f>
        <v>16.88</v>
      </c>
      <c r="H380" s="86">
        <f t="shared" si="246"/>
        <v>22.17</v>
      </c>
      <c r="I380" s="86">
        <f t="shared" si="247"/>
        <v>1181.22</v>
      </c>
    </row>
    <row r="381" spans="1:9" ht="25.5" x14ac:dyDescent="0.2">
      <c r="A381" s="84" t="s">
        <v>39398</v>
      </c>
      <c r="B381" s="71" t="s">
        <v>15</v>
      </c>
      <c r="C381" s="83">
        <v>102218</v>
      </c>
      <c r="D381" s="85" t="str">
        <f>IF(B381="SINAPI",VLOOKUP(C381,SINAPI!A:D,2,0),(VLOOKUP(C381,SEINFRA!A:D,2,0)))</f>
        <v>PINTURA TINTA DE ACABAMENTO (PIGMENTADA) ESMALTE SINTÉTICO FOSCO EM MADEIRA, 2 DEMÃOS. AF_01/2021</v>
      </c>
      <c r="E381" s="79" t="str">
        <f>IF(B381="SINAPI",VLOOKUP(C381,SINAPI!A:D,3,0),(VLOOKUP(C381,SEINFRA!A:D,3,0)))</f>
        <v>M2</v>
      </c>
      <c r="F381" s="86">
        <f>VLOOKUP(A381,MEMORIAL!A:O,15,0)</f>
        <v>53.28</v>
      </c>
      <c r="G381" s="86">
        <f>IF(B381="SINAPI",VLOOKUP(C381,SINAPI!A:D,4,0),(VLOOKUP(C381,SEINFRA!A:D,4,0)))</f>
        <v>16.2</v>
      </c>
      <c r="H381" s="86">
        <f t="shared" si="246"/>
        <v>21.27</v>
      </c>
      <c r="I381" s="86">
        <f t="shared" si="247"/>
        <v>1133.27</v>
      </c>
    </row>
    <row r="382" spans="1:9" x14ac:dyDescent="0.2">
      <c r="A382" s="84"/>
      <c r="B382" s="71"/>
      <c r="C382" s="83"/>
      <c r="D382" s="85"/>
      <c r="E382" s="79"/>
      <c r="F382" s="86"/>
      <c r="G382" s="86"/>
      <c r="H382" s="86"/>
      <c r="I382" s="86"/>
    </row>
    <row r="383" spans="1:9" x14ac:dyDescent="0.2">
      <c r="A383" s="210">
        <v>19</v>
      </c>
      <c r="B383" s="210"/>
      <c r="C383" s="210"/>
      <c r="D383" s="212" t="s">
        <v>39223</v>
      </c>
      <c r="E383" s="210"/>
      <c r="F383" s="313"/>
      <c r="G383" s="313"/>
      <c r="H383" s="313"/>
      <c r="I383" s="313">
        <f>ROUND(SUM(I384:I389),2)</f>
        <v>142070.68</v>
      </c>
    </row>
    <row r="384" spans="1:9" x14ac:dyDescent="0.2">
      <c r="A384" s="84" t="s">
        <v>39164</v>
      </c>
      <c r="B384" s="71"/>
      <c r="C384" s="83" t="str">
        <f>'COMP.22_BRISE'!A19</f>
        <v>COMP. 22</v>
      </c>
      <c r="D384" s="85" t="str">
        <f>'COMP.22_BRISE'!B19</f>
        <v>BRISE METÁLICA, INCLUSIVE PINTURA</v>
      </c>
      <c r="E384" s="79" t="str">
        <f>'COMP.22_BRISE'!G19</f>
        <v>M2</v>
      </c>
      <c r="F384" s="86">
        <f>VLOOKUP(A384,MEMORIAL!A:O,15,0)</f>
        <v>145.12</v>
      </c>
      <c r="G384" s="86">
        <f>'COMP.22_BRISE'!G38</f>
        <v>611.33000000000004</v>
      </c>
      <c r="H384" s="86">
        <f t="shared" ref="H384:H388" si="248">ROUND(G384*$K$3,2)</f>
        <v>802.74</v>
      </c>
      <c r="I384" s="86">
        <f t="shared" ref="I384:I388" si="249">ROUND(F384*H384,2)</f>
        <v>116493.63</v>
      </c>
    </row>
    <row r="385" spans="1:13" ht="51" x14ac:dyDescent="0.2">
      <c r="A385" s="84" t="s">
        <v>39165</v>
      </c>
      <c r="B385" s="71" t="s">
        <v>15</v>
      </c>
      <c r="C385" s="83">
        <v>100981</v>
      </c>
      <c r="D385" s="85" t="str">
        <f>IF(B385="SINAPI",VLOOKUP(C385,SINAPI!A:D,2,0),(VLOOKUP(C385,SEINFRA!A:D,2,0)))</f>
        <v>CARGA, MANOBRA E DESCARGA DE ENTULHO EM CAMINHÃO BASCULANTE 6 M³ - CARGA COM ESCAVADEIRA HIDRÁULICA (CAÇAMBA DE 0,80 M³ / 111 HP) E DESCARGA LIVRE (UNIDADE: M3). AF_07/2020</v>
      </c>
      <c r="E385" s="79" t="str">
        <f>IF(B385="SINAPI",VLOOKUP(C385,SINAPI!A:D,3,0),(VLOOKUP(C385,SEINFRA!A:D,3,0)))</f>
        <v>M3</v>
      </c>
      <c r="F385" s="86">
        <f>VLOOKUP(A385,MEMORIAL!A:O,15,0)</f>
        <v>79.88</v>
      </c>
      <c r="G385" s="86">
        <f>IF(B385="SINAPI",VLOOKUP(C385,SINAPI!A:D,4,0),(VLOOKUP(C385,SEINFRA!A:D,4,0)))</f>
        <v>9.6199999999999992</v>
      </c>
      <c r="H385" s="86">
        <f t="shared" si="248"/>
        <v>12.63</v>
      </c>
      <c r="I385" s="86">
        <f t="shared" si="249"/>
        <v>1008.88</v>
      </c>
    </row>
    <row r="386" spans="1:13" ht="38.25" x14ac:dyDescent="0.2">
      <c r="A386" s="84" t="s">
        <v>40566</v>
      </c>
      <c r="B386" s="71" t="s">
        <v>15</v>
      </c>
      <c r="C386" s="83">
        <v>97914</v>
      </c>
      <c r="D386" s="85" t="str">
        <f>IF(B386="SINAPI",VLOOKUP(C386,SINAPI!A:D,2,0),(VLOOKUP(C386,SEINFRA!A:D,2,0)))</f>
        <v>TRANSPORTE COM CAMINHÃO BASCULANTE DE 6 M³, EM VIA URBANA PAVIMENTADA, DMT ATÉ 30 KM (UNIDADE: M3XKM). AF_07/2020</v>
      </c>
      <c r="E386" s="79" t="str">
        <f>IF(B386="SINAPI",VLOOKUP(C386,SINAPI!A:D,3,0),(VLOOKUP(C386,SEINFRA!A:D,3,0)))</f>
        <v>M3XKM</v>
      </c>
      <c r="F386" s="86">
        <f>VLOOKUP(A386,MEMORIAL!A:O,15,0)</f>
        <v>910.63</v>
      </c>
      <c r="G386" s="86">
        <f>IF(B386="SINAPI",VLOOKUP(C386,SINAPI!A:D,4,0),(VLOOKUP(C386,SEINFRA!A:D,4,0)))</f>
        <v>3.06</v>
      </c>
      <c r="H386" s="86">
        <f t="shared" si="248"/>
        <v>4.0199999999999996</v>
      </c>
      <c r="I386" s="86">
        <f t="shared" si="249"/>
        <v>3660.73</v>
      </c>
    </row>
    <row r="387" spans="1:13" ht="25.5" x14ac:dyDescent="0.2">
      <c r="A387" s="84" t="s">
        <v>40567</v>
      </c>
      <c r="B387" s="80" t="s">
        <v>25</v>
      </c>
      <c r="C387" s="83" t="s">
        <v>6002</v>
      </c>
      <c r="D387" s="85" t="str">
        <f>IF(B387="SINAPI",VLOOKUP(C387,SINAPI!A:D,2,0),(VLOOKUP(C387,SEINFRA!A:D,2,0)))</f>
        <v>DESMOBILIZAÇÃO DE EQUIPAMENTOS EM CAVALO MECÂNICO C/ PRANCHA DE 3 EIXOS</v>
      </c>
      <c r="E387" s="79" t="str">
        <f>IF(B387="SINAPI",VLOOKUP(C387,SINAPI!A:D,3,0),(VLOOKUP(C387,SEINFRA!A:D,3,0)))</f>
        <v>KM</v>
      </c>
      <c r="F387" s="86">
        <f>VLOOKUP(A387,MEMORIAL!A:O,15,0)</f>
        <v>670</v>
      </c>
      <c r="G387" s="86">
        <f>IF(B387="SINAPI",VLOOKUP(C387,SINAPI!A:D,4,0),(VLOOKUP(C387,SEINFRA!A:D,4,0)))</f>
        <v>4.97</v>
      </c>
      <c r="H387" s="86">
        <f t="shared" ref="H387" si="250">ROUND(G387*$K$3,2)</f>
        <v>6.53</v>
      </c>
      <c r="I387" s="86">
        <f t="shared" ref="I387" si="251">ROUND(F387*H387,2)</f>
        <v>4375.1000000000004</v>
      </c>
    </row>
    <row r="388" spans="1:13" x14ac:dyDescent="0.2">
      <c r="A388" s="84" t="s">
        <v>40582</v>
      </c>
      <c r="B388" s="80" t="s">
        <v>25</v>
      </c>
      <c r="C388" s="83" t="s">
        <v>14981</v>
      </c>
      <c r="D388" s="85" t="str">
        <f>IF(B388="SINAPI",VLOOKUP(C388,SINAPI!A:D,2,0),(VLOOKUP(C388,SEINFRA!A:D,2,0)))</f>
        <v>LIMPEZA GERAL</v>
      </c>
      <c r="E388" s="79" t="str">
        <f>IF(B388="SINAPI",VLOOKUP(C388,SINAPI!A:D,3,0),(VLOOKUP(C388,SEINFRA!A:D,3,0)))</f>
        <v>M2</v>
      </c>
      <c r="F388" s="86">
        <f>VLOOKUP(A388,MEMORIAL!A:O,15,0)</f>
        <v>974.21</v>
      </c>
      <c r="G388" s="86">
        <f>IF(B388="SINAPI",VLOOKUP(C388,SINAPI!A:D,4,0),(VLOOKUP(C388,SEINFRA!A:D,4,0)))</f>
        <v>12.92</v>
      </c>
      <c r="H388" s="86">
        <f t="shared" si="248"/>
        <v>16.97</v>
      </c>
      <c r="I388" s="86">
        <f t="shared" si="249"/>
        <v>16532.34</v>
      </c>
    </row>
    <row r="389" spans="1:13" x14ac:dyDescent="0.2">
      <c r="A389" s="84"/>
      <c r="B389" s="71"/>
      <c r="C389" s="83"/>
      <c r="D389" s="85"/>
      <c r="E389" s="79"/>
      <c r="F389" s="86"/>
      <c r="G389" s="86"/>
      <c r="H389" s="86"/>
      <c r="I389" s="86"/>
    </row>
    <row r="390" spans="1:13" x14ac:dyDescent="0.2">
      <c r="A390" s="531" t="s">
        <v>38517</v>
      </c>
      <c r="B390" s="532"/>
      <c r="C390" s="532"/>
      <c r="D390" s="532"/>
      <c r="E390" s="532"/>
      <c r="F390" s="532"/>
      <c r="G390" s="532"/>
      <c r="H390" s="533"/>
      <c r="I390" s="384">
        <f>SUMIF(A:A,"&gt;0",I:I)</f>
        <v>2444905.6800000002</v>
      </c>
      <c r="K390" s="351"/>
      <c r="L390" s="76"/>
      <c r="M390" s="87"/>
    </row>
    <row r="391" spans="1:13" x14ac:dyDescent="0.2">
      <c r="A391" s="88"/>
      <c r="B391" s="89"/>
      <c r="C391" s="89"/>
      <c r="D391" s="90"/>
      <c r="E391" s="89"/>
      <c r="F391" s="359"/>
      <c r="G391" s="359"/>
      <c r="H391" s="359"/>
      <c r="I391" s="91"/>
      <c r="M391" s="76"/>
    </row>
    <row r="392" spans="1:13" x14ac:dyDescent="0.2">
      <c r="A392" s="530" t="s">
        <v>48383</v>
      </c>
      <c r="B392" s="530"/>
      <c r="C392" s="530"/>
      <c r="D392" s="530"/>
      <c r="E392" s="530"/>
      <c r="F392" s="530"/>
      <c r="G392" s="530"/>
      <c r="H392" s="530"/>
      <c r="I392" s="530"/>
      <c r="M392" s="76"/>
    </row>
    <row r="393" spans="1:13" x14ac:dyDescent="0.2">
      <c r="A393" s="88"/>
      <c r="B393" s="89"/>
      <c r="C393" s="89"/>
      <c r="D393" s="90"/>
      <c r="E393" s="89"/>
      <c r="F393" s="359"/>
      <c r="G393" s="359"/>
      <c r="H393" s="359"/>
      <c r="I393" s="91"/>
      <c r="M393" s="76"/>
    </row>
    <row r="394" spans="1:13" x14ac:dyDescent="0.2">
      <c r="A394" s="88"/>
      <c r="B394" s="89"/>
      <c r="C394" s="89"/>
      <c r="D394" s="90"/>
      <c r="E394" s="89"/>
      <c r="F394" s="359"/>
      <c r="G394" s="359"/>
      <c r="H394" s="359"/>
      <c r="I394" s="91"/>
      <c r="K394" s="76"/>
      <c r="M394" s="76"/>
    </row>
    <row r="395" spans="1:13" x14ac:dyDescent="0.2">
      <c r="A395" s="88"/>
      <c r="B395" s="89"/>
      <c r="C395" s="89"/>
      <c r="D395" s="90"/>
      <c r="E395" s="89"/>
      <c r="F395" s="359"/>
      <c r="G395" s="359"/>
      <c r="H395" s="359"/>
      <c r="I395" s="91"/>
      <c r="M395" s="76"/>
    </row>
    <row r="396" spans="1:13" x14ac:dyDescent="0.2">
      <c r="A396" s="88"/>
      <c r="B396" s="89"/>
      <c r="C396" s="89"/>
      <c r="D396" s="90"/>
      <c r="E396" s="89"/>
      <c r="F396" s="359"/>
      <c r="G396" s="359"/>
      <c r="H396" s="359"/>
      <c r="I396" s="91"/>
      <c r="M396" s="76"/>
    </row>
    <row r="397" spans="1:13" x14ac:dyDescent="0.2">
      <c r="A397" s="90"/>
      <c r="B397" s="90"/>
      <c r="C397" s="90"/>
      <c r="D397" s="90"/>
      <c r="E397" s="90"/>
      <c r="F397" s="360"/>
      <c r="G397" s="360"/>
      <c r="H397" s="360"/>
      <c r="I397" s="360"/>
      <c r="J397" s="90"/>
      <c r="K397" s="76"/>
      <c r="M397" s="76"/>
    </row>
    <row r="398" spans="1:13" x14ac:dyDescent="0.2">
      <c r="A398" s="90"/>
      <c r="B398" s="90"/>
      <c r="C398" s="90"/>
      <c r="D398" s="90"/>
      <c r="E398" s="90"/>
      <c r="F398" s="360"/>
      <c r="G398" s="360"/>
      <c r="H398" s="360"/>
      <c r="I398" s="360"/>
      <c r="J398" s="360"/>
    </row>
    <row r="399" spans="1:13" x14ac:dyDescent="0.2">
      <c r="A399" s="90"/>
      <c r="B399" s="90"/>
      <c r="C399" s="90"/>
      <c r="D399" s="90"/>
      <c r="E399" s="90"/>
      <c r="F399" s="360"/>
      <c r="G399" s="360"/>
      <c r="H399" s="360"/>
      <c r="I399" s="360"/>
      <c r="J399" s="90"/>
      <c r="M399" s="87"/>
    </row>
    <row r="400" spans="1:13" x14ac:dyDescent="0.2">
      <c r="A400" s="90"/>
      <c r="B400" s="90"/>
      <c r="C400" s="90"/>
      <c r="D400" s="90"/>
      <c r="E400" s="90"/>
      <c r="F400" s="360"/>
      <c r="G400" s="360"/>
      <c r="H400" s="360"/>
      <c r="I400" s="360"/>
      <c r="J400" s="90"/>
    </row>
    <row r="401" spans="1:13" x14ac:dyDescent="0.2">
      <c r="A401" s="90"/>
      <c r="B401" s="90"/>
      <c r="C401" s="90"/>
      <c r="D401" s="90"/>
      <c r="E401" s="90"/>
      <c r="F401" s="360"/>
      <c r="G401" s="360"/>
      <c r="H401" s="360"/>
      <c r="I401" s="360"/>
      <c r="J401" s="90"/>
      <c r="M401" s="87"/>
    </row>
    <row r="402" spans="1:13" x14ac:dyDescent="0.2">
      <c r="A402" s="90"/>
      <c r="B402" s="90"/>
      <c r="C402" s="90"/>
      <c r="D402" s="90"/>
      <c r="E402" s="90"/>
      <c r="F402" s="360"/>
      <c r="G402" s="360"/>
      <c r="H402" s="360"/>
      <c r="I402" s="360"/>
      <c r="J402" s="90"/>
    </row>
    <row r="403" spans="1:13" x14ac:dyDescent="0.2">
      <c r="A403" s="90"/>
      <c r="B403" s="90"/>
      <c r="C403" s="90"/>
      <c r="D403" s="90"/>
      <c r="E403" s="90"/>
      <c r="F403" s="360"/>
      <c r="G403" s="360"/>
      <c r="H403" s="360"/>
      <c r="I403" s="360"/>
      <c r="J403" s="90"/>
    </row>
    <row r="404" spans="1:13" x14ac:dyDescent="0.2">
      <c r="A404" s="90"/>
      <c r="B404" s="90"/>
      <c r="C404" s="90"/>
      <c r="D404" s="90"/>
      <c r="E404" s="90"/>
      <c r="F404" s="360"/>
      <c r="G404" s="360"/>
      <c r="H404" s="360"/>
      <c r="I404" s="360"/>
      <c r="J404" s="90"/>
    </row>
    <row r="405" spans="1:13" x14ac:dyDescent="0.2">
      <c r="A405" s="90"/>
      <c r="B405" s="90"/>
      <c r="C405" s="90"/>
      <c r="D405" s="90"/>
      <c r="E405" s="90"/>
      <c r="F405" s="360"/>
      <c r="G405" s="360"/>
      <c r="H405" s="360"/>
      <c r="I405" s="360"/>
      <c r="J405" s="90"/>
    </row>
    <row r="406" spans="1:13" x14ac:dyDescent="0.2">
      <c r="A406" s="90"/>
      <c r="B406" s="90"/>
      <c r="C406" s="90"/>
      <c r="D406" s="90"/>
      <c r="E406" s="90"/>
      <c r="F406" s="360"/>
      <c r="G406" s="360"/>
      <c r="H406" s="360"/>
      <c r="I406" s="360"/>
      <c r="J406" s="90"/>
    </row>
    <row r="407" spans="1:13" x14ac:dyDescent="0.2">
      <c r="A407" s="90"/>
      <c r="B407" s="90"/>
      <c r="C407" s="90"/>
      <c r="D407" s="90"/>
      <c r="E407" s="90"/>
      <c r="F407" s="360"/>
      <c r="G407" s="360"/>
      <c r="H407" s="360"/>
      <c r="I407" s="360"/>
      <c r="J407" s="90"/>
    </row>
    <row r="408" spans="1:13" x14ac:dyDescent="0.2">
      <c r="A408" s="90"/>
      <c r="B408" s="90"/>
      <c r="C408" s="90"/>
      <c r="D408" s="90"/>
      <c r="E408" s="90"/>
      <c r="F408" s="360"/>
      <c r="G408" s="360"/>
      <c r="H408" s="360"/>
      <c r="I408" s="360"/>
      <c r="J408" s="90"/>
    </row>
    <row r="409" spans="1:13" x14ac:dyDescent="0.2">
      <c r="A409" s="90"/>
      <c r="B409" s="90"/>
      <c r="C409" s="90"/>
      <c r="D409" s="90"/>
      <c r="E409" s="90"/>
      <c r="F409" s="360"/>
      <c r="G409" s="360"/>
      <c r="H409" s="360"/>
      <c r="I409" s="360"/>
      <c r="J409" s="90"/>
    </row>
    <row r="410" spans="1:13" x14ac:dyDescent="0.2">
      <c r="A410" s="90"/>
      <c r="B410" s="90"/>
      <c r="C410" s="90"/>
      <c r="D410" s="90"/>
      <c r="E410" s="90"/>
      <c r="F410" s="360"/>
      <c r="G410" s="360"/>
      <c r="H410" s="360"/>
      <c r="I410" s="360"/>
      <c r="J410" s="90"/>
    </row>
    <row r="411" spans="1:13" x14ac:dyDescent="0.2">
      <c r="A411" s="90"/>
      <c r="B411" s="90"/>
      <c r="C411" s="90"/>
      <c r="D411" s="90"/>
      <c r="E411" s="90"/>
      <c r="F411" s="360"/>
      <c r="G411" s="360"/>
      <c r="H411" s="360"/>
      <c r="I411" s="360"/>
      <c r="J411" s="90"/>
    </row>
    <row r="412" spans="1:13" x14ac:dyDescent="0.2">
      <c r="A412" s="90"/>
      <c r="B412" s="90"/>
      <c r="C412" s="90"/>
      <c r="D412" s="90"/>
      <c r="E412" s="90"/>
      <c r="F412" s="360"/>
      <c r="G412" s="360"/>
      <c r="H412" s="360"/>
      <c r="I412" s="360"/>
      <c r="J412" s="90"/>
    </row>
    <row r="413" spans="1:13" x14ac:dyDescent="0.2">
      <c r="A413" s="90"/>
      <c r="B413" s="90"/>
      <c r="C413" s="90"/>
      <c r="D413" s="90"/>
      <c r="E413" s="90"/>
      <c r="F413" s="360"/>
      <c r="G413" s="360"/>
      <c r="H413" s="360"/>
      <c r="I413" s="360"/>
      <c r="J413" s="90"/>
    </row>
    <row r="414" spans="1:13" x14ac:dyDescent="0.2">
      <c r="A414" s="90"/>
      <c r="B414" s="90"/>
      <c r="C414" s="90"/>
      <c r="D414" s="90"/>
      <c r="E414" s="90"/>
      <c r="F414" s="360"/>
      <c r="G414" s="360"/>
      <c r="H414" s="360"/>
      <c r="I414" s="360"/>
      <c r="J414" s="90"/>
    </row>
  </sheetData>
  <mergeCells count="4">
    <mergeCell ref="A19:I19"/>
    <mergeCell ref="A2:I2"/>
    <mergeCell ref="A392:I392"/>
    <mergeCell ref="A390:H390"/>
  </mergeCells>
  <phoneticPr fontId="6" type="noConversion"/>
  <printOptions horizontalCentered="1"/>
  <pageMargins left="0.39370078740157483" right="0.39370078740157483" top="0.39370078740157483" bottom="0.98425196850393704" header="0.31496062992125984" footer="0.31496062992125984"/>
  <pageSetup paperSize="9" scale="60" orientation="portrait" horizontalDpi="360" verticalDpi="36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F50F0-C011-4C66-8A69-6A983DB7380B}">
  <sheetPr>
    <pageSetUpPr fitToPage="1"/>
  </sheetPr>
  <dimension ref="A1:K36"/>
  <sheetViews>
    <sheetView view="pageBreakPreview" zoomScale="115" zoomScaleNormal="85" zoomScaleSheetLayoutView="115" workbookViewId="0">
      <selection activeCell="A2" sqref="A2:H2"/>
    </sheetView>
  </sheetViews>
  <sheetFormatPr defaultColWidth="9.33203125" defaultRowHeight="12.75" x14ac:dyDescent="0.2"/>
  <cols>
    <col min="1" max="1" width="7.83203125" style="448" customWidth="1"/>
    <col min="2" max="2" width="12.5" style="448" customWidth="1"/>
    <col min="3" max="3" width="53.33203125" style="466" customWidth="1"/>
    <col min="4" max="6" width="20.83203125" style="448" customWidth="1"/>
    <col min="7" max="8" width="18.33203125" style="448" customWidth="1"/>
    <col min="9" max="9" width="18.5" style="448" customWidth="1"/>
    <col min="10" max="10" width="15" style="448" bestFit="1" customWidth="1"/>
    <col min="11" max="11" width="6.5" style="448" bestFit="1" customWidth="1"/>
    <col min="12" max="16384" width="9.33203125" style="448"/>
  </cols>
  <sheetData>
    <row r="1" spans="1:8" x14ac:dyDescent="0.2">
      <c r="A1" s="450"/>
      <c r="B1" s="450"/>
      <c r="C1" s="451"/>
      <c r="D1" s="450"/>
      <c r="E1" s="450"/>
      <c r="F1" s="446"/>
      <c r="G1" s="447"/>
      <c r="H1" s="447"/>
    </row>
    <row r="2" spans="1:8" x14ac:dyDescent="0.2">
      <c r="A2" s="640" t="str">
        <f>ORCAMENTO!A2</f>
        <v>INSTITUTO FEDERAL DE EDUCAÇÃO CIÊNCIA E TECNOLOGIA DO CEARÁ - CAMPUS BOA VIAGEM</v>
      </c>
      <c r="B2" s="640"/>
      <c r="C2" s="640"/>
      <c r="D2" s="640"/>
      <c r="E2" s="640"/>
      <c r="F2" s="640"/>
      <c r="G2" s="640"/>
      <c r="H2" s="640"/>
    </row>
    <row r="3" spans="1:8" x14ac:dyDescent="0.2">
      <c r="A3" s="452"/>
      <c r="B3" s="449"/>
      <c r="C3" s="452"/>
      <c r="D3" s="449"/>
      <c r="E3" s="449"/>
      <c r="F3" s="449"/>
      <c r="G3" s="449"/>
      <c r="H3" s="449"/>
    </row>
    <row r="4" spans="1:8" x14ac:dyDescent="0.2">
      <c r="A4" s="452" t="str">
        <f>ORCAMENTO!A4</f>
        <v>OBRA:</v>
      </c>
      <c r="B4" s="449"/>
      <c r="C4" s="451"/>
      <c r="D4" s="450"/>
      <c r="E4" s="450"/>
      <c r="F4" s="446"/>
      <c r="G4" s="447"/>
      <c r="H4" s="447"/>
    </row>
    <row r="5" spans="1:8" x14ac:dyDescent="0.2">
      <c r="A5" s="451" t="str">
        <f>ORCAMENTO!A5</f>
        <v>CENTRO DE INOVAÇÃO E DIFUSÃO DE TECNOLOGIA PARA O SEMIÁRIDO - CAMPUS BOA VIAGEM</v>
      </c>
      <c r="B5" s="449"/>
      <c r="C5" s="452"/>
      <c r="D5" s="449"/>
      <c r="E5" s="449"/>
      <c r="F5" s="453"/>
      <c r="G5" s="454"/>
      <c r="H5" s="454"/>
    </row>
    <row r="6" spans="1:8" x14ac:dyDescent="0.2">
      <c r="A6" s="452" t="str">
        <f>ORCAMENTO!A6</f>
        <v>LOCAL:</v>
      </c>
      <c r="B6" s="450"/>
      <c r="C6" s="451"/>
      <c r="D6" s="450"/>
      <c r="E6" s="450"/>
      <c r="F6" s="446"/>
      <c r="G6" s="447"/>
      <c r="H6" s="447"/>
    </row>
    <row r="7" spans="1:8" x14ac:dyDescent="0.2">
      <c r="A7" s="451" t="str">
        <f>ORCAMENTO!A7</f>
        <v>SEDE DO MUNICÍPIO</v>
      </c>
      <c r="B7" s="449"/>
      <c r="C7" s="452"/>
      <c r="D7" s="449"/>
      <c r="E7" s="449"/>
      <c r="F7" s="453"/>
      <c r="G7" s="454"/>
      <c r="H7" s="454"/>
    </row>
    <row r="8" spans="1:8" x14ac:dyDescent="0.2">
      <c r="A8" s="452" t="str">
        <f>ORCAMENTO!A8</f>
        <v>MUNICÍPIO:</v>
      </c>
      <c r="B8" s="450"/>
      <c r="C8" s="451"/>
      <c r="D8" s="450"/>
      <c r="E8" s="450"/>
      <c r="F8" s="446"/>
      <c r="G8" s="447"/>
      <c r="H8" s="447"/>
    </row>
    <row r="9" spans="1:8" x14ac:dyDescent="0.2">
      <c r="A9" s="451" t="str">
        <f>ORCAMENTO!A9</f>
        <v>BOA VIAGEM - CE</v>
      </c>
      <c r="B9" s="449"/>
      <c r="C9" s="452"/>
      <c r="D9" s="449"/>
      <c r="E9" s="449"/>
      <c r="F9" s="453"/>
      <c r="G9" s="454"/>
      <c r="H9" s="454"/>
    </row>
    <row r="10" spans="1:8" x14ac:dyDescent="0.2">
      <c r="A10" s="452"/>
      <c r="B10" s="450"/>
      <c r="C10" s="451"/>
      <c r="D10" s="450"/>
      <c r="E10" s="450"/>
      <c r="F10" s="446"/>
      <c r="G10" s="447"/>
      <c r="H10" s="447"/>
    </row>
    <row r="11" spans="1:8" x14ac:dyDescent="0.2">
      <c r="A11" s="452" t="str">
        <f>ORCAMENTO!A11</f>
        <v>FONTE DOS PREÇOS:</v>
      </c>
      <c r="B11" s="449"/>
      <c r="C11" s="451"/>
      <c r="D11" s="450"/>
      <c r="E11" s="450"/>
      <c r="F11" s="446"/>
      <c r="G11" s="447"/>
      <c r="H11" s="447"/>
    </row>
    <row r="12" spans="1:8" x14ac:dyDescent="0.2">
      <c r="A12" s="451" t="str">
        <f>ORCAMENTO!A12</f>
        <v>TABELA SEINFRA 028.1 DESONERADA</v>
      </c>
      <c r="B12" s="451"/>
      <c r="C12" s="451"/>
      <c r="D12" s="450"/>
      <c r="E12" s="450"/>
      <c r="F12" s="450"/>
      <c r="G12" s="450"/>
      <c r="H12" s="450"/>
    </row>
    <row r="13" spans="1:8" x14ac:dyDescent="0.2">
      <c r="A13" s="451"/>
      <c r="B13" s="451" t="str">
        <f>ORCAMENTO!B13</f>
        <v>DATA REFERÊNCIA TÉCNICA: 10/2023</v>
      </c>
      <c r="C13" s="451"/>
      <c r="D13" s="450"/>
      <c r="E13" s="450"/>
      <c r="F13" s="450"/>
      <c r="G13" s="450"/>
      <c r="H13" s="450"/>
    </row>
    <row r="14" spans="1:8" x14ac:dyDescent="0.2">
      <c r="A14" s="451"/>
      <c r="B14" s="451" t="str">
        <f>ORCAMENTO!B14</f>
        <v>ENCARGOS SOCIAIS: 84,44% (HORA) - 47,48% (MÊS)</v>
      </c>
      <c r="C14" s="451"/>
      <c r="D14" s="450"/>
      <c r="E14" s="450"/>
      <c r="F14" s="450"/>
      <c r="G14" s="450"/>
      <c r="H14" s="450"/>
    </row>
    <row r="15" spans="1:8" x14ac:dyDescent="0.2">
      <c r="A15" s="451" t="str">
        <f>ORCAMENTO!A15</f>
        <v>TABELA SINAPI 06/2025 DESONERADA</v>
      </c>
      <c r="B15" s="451"/>
      <c r="C15" s="451"/>
      <c r="D15" s="450"/>
      <c r="E15" s="450"/>
      <c r="F15" s="450"/>
      <c r="G15" s="450"/>
      <c r="H15" s="450"/>
    </row>
    <row r="16" spans="1:8" x14ac:dyDescent="0.2">
      <c r="A16" s="451"/>
      <c r="B16" s="451" t="str">
        <f>ORCAMENTO!B16</f>
        <v>DATA REFERÊNCIA TÉCNICA: 06/2025</v>
      </c>
      <c r="C16" s="451"/>
      <c r="D16" s="450"/>
      <c r="E16" s="450"/>
      <c r="F16" s="450"/>
      <c r="G16" s="450"/>
      <c r="H16" s="450"/>
    </row>
    <row r="17" spans="1:11" x14ac:dyDescent="0.2">
      <c r="A17" s="451"/>
      <c r="B17" s="451" t="str">
        <f>ORCAMENTO!B17</f>
        <v>ENCARGOS SOCIAIS: 92,17% (HORA) - 53,50% (MÊS)</v>
      </c>
      <c r="C17" s="451"/>
      <c r="D17" s="450"/>
      <c r="E17" s="450"/>
      <c r="F17" s="450"/>
      <c r="G17" s="450"/>
      <c r="H17" s="450"/>
    </row>
    <row r="18" spans="1:11" x14ac:dyDescent="0.2">
      <c r="A18" s="449"/>
      <c r="B18" s="449"/>
      <c r="C18" s="452"/>
      <c r="D18" s="450"/>
      <c r="E18" s="450"/>
      <c r="F18" s="450"/>
      <c r="G18" s="450"/>
      <c r="H18" s="450"/>
    </row>
    <row r="19" spans="1:11" x14ac:dyDescent="0.2">
      <c r="A19" s="641" t="s">
        <v>47152</v>
      </c>
      <c r="B19" s="641"/>
      <c r="C19" s="641"/>
      <c r="D19" s="641"/>
      <c r="E19" s="641"/>
      <c r="F19" s="641"/>
      <c r="G19" s="641"/>
      <c r="H19" s="641"/>
    </row>
    <row r="20" spans="1:11" x14ac:dyDescent="0.2">
      <c r="A20" s="642" t="s">
        <v>39182</v>
      </c>
      <c r="B20" s="642"/>
      <c r="C20" s="642"/>
      <c r="D20" s="642"/>
      <c r="E20" s="642"/>
      <c r="F20" s="642"/>
      <c r="G20" s="642"/>
      <c r="H20" s="642"/>
    </row>
    <row r="21" spans="1:11" x14ac:dyDescent="0.2">
      <c r="A21" s="643" t="s">
        <v>38503</v>
      </c>
      <c r="B21" s="643" t="s">
        <v>52</v>
      </c>
      <c r="C21" s="643" t="s">
        <v>5917</v>
      </c>
      <c r="D21" s="645" t="s">
        <v>47153</v>
      </c>
      <c r="E21" s="646"/>
      <c r="F21" s="647"/>
      <c r="G21" s="643" t="s">
        <v>47161</v>
      </c>
      <c r="H21" s="643" t="s">
        <v>47158</v>
      </c>
    </row>
    <row r="22" spans="1:11" ht="38.25" x14ac:dyDescent="0.2">
      <c r="A22" s="644"/>
      <c r="B22" s="644"/>
      <c r="C22" s="644"/>
      <c r="D22" s="455" t="s">
        <v>47157</v>
      </c>
      <c r="E22" s="464" t="s">
        <v>39180</v>
      </c>
      <c r="F22" s="464" t="s">
        <v>39181</v>
      </c>
      <c r="G22" s="644"/>
      <c r="H22" s="644"/>
      <c r="I22" s="448" t="s">
        <v>5</v>
      </c>
    </row>
    <row r="23" spans="1:11" ht="25.5" x14ac:dyDescent="0.2">
      <c r="A23" s="457">
        <v>1</v>
      </c>
      <c r="B23" s="457" t="s">
        <v>47154</v>
      </c>
      <c r="C23" s="458" t="s">
        <v>39183</v>
      </c>
      <c r="D23" s="459">
        <v>33.99</v>
      </c>
      <c r="E23" s="465">
        <v>19.989999999999998</v>
      </c>
      <c r="F23" s="465">
        <v>21.9</v>
      </c>
      <c r="G23" s="459">
        <f>ROUND(AVERAGE(D23,E23,F23),2)</f>
        <v>25.29</v>
      </c>
      <c r="H23" s="467">
        <f>ROUND(G23,2)</f>
        <v>25.29</v>
      </c>
      <c r="I23" s="463" t="s">
        <v>26</v>
      </c>
    </row>
    <row r="24" spans="1:11" x14ac:dyDescent="0.2">
      <c r="A24" s="648" t="s">
        <v>39179</v>
      </c>
      <c r="B24" s="648"/>
      <c r="C24" s="648"/>
      <c r="D24" s="648"/>
      <c r="E24" s="648"/>
      <c r="F24" s="648"/>
      <c r="G24" s="648"/>
      <c r="H24" s="456">
        <f>H23</f>
        <v>25.29</v>
      </c>
      <c r="J24" s="450"/>
      <c r="K24" s="450"/>
    </row>
    <row r="25" spans="1:11" x14ac:dyDescent="0.2">
      <c r="A25" s="649" t="s">
        <v>39185</v>
      </c>
      <c r="B25" s="650"/>
      <c r="C25" s="650"/>
      <c r="D25" s="650"/>
      <c r="E25" s="650"/>
      <c r="F25" s="650"/>
      <c r="G25" s="650"/>
      <c r="H25" s="651"/>
      <c r="J25" s="450"/>
      <c r="K25" s="450"/>
    </row>
    <row r="26" spans="1:11" x14ac:dyDescent="0.2">
      <c r="A26" s="652" t="s">
        <v>38503</v>
      </c>
      <c r="B26" s="652" t="s">
        <v>52</v>
      </c>
      <c r="C26" s="652" t="s">
        <v>5917</v>
      </c>
      <c r="D26" s="653" t="s">
        <v>47153</v>
      </c>
      <c r="E26" s="653"/>
      <c r="F26" s="653"/>
      <c r="G26" s="652" t="s">
        <v>47162</v>
      </c>
      <c r="H26" s="652" t="s">
        <v>47158</v>
      </c>
      <c r="J26" s="450"/>
      <c r="K26" s="450"/>
    </row>
    <row r="27" spans="1:11" ht="38.25" x14ac:dyDescent="0.2">
      <c r="A27" s="652"/>
      <c r="B27" s="652"/>
      <c r="C27" s="652"/>
      <c r="D27" s="455" t="s">
        <v>39184</v>
      </c>
      <c r="E27" s="456" t="s">
        <v>39187</v>
      </c>
      <c r="F27" s="456" t="s">
        <v>39188</v>
      </c>
      <c r="G27" s="652"/>
      <c r="H27" s="652"/>
      <c r="I27" s="448" t="s">
        <v>5</v>
      </c>
      <c r="J27" s="450"/>
      <c r="K27" s="450"/>
    </row>
    <row r="28" spans="1:11" x14ac:dyDescent="0.2">
      <c r="A28" s="457">
        <v>2</v>
      </c>
      <c r="B28" s="457" t="s">
        <v>47155</v>
      </c>
      <c r="C28" s="458" t="s">
        <v>39186</v>
      </c>
      <c r="D28" s="459">
        <v>21.99</v>
      </c>
      <c r="E28" s="460">
        <v>26.03</v>
      </c>
      <c r="F28" s="460">
        <v>45.24</v>
      </c>
      <c r="G28" s="459">
        <f>ROUND(AVERAGE(D28,E28,F28),2)</f>
        <v>31.09</v>
      </c>
      <c r="H28" s="461">
        <f>ROUND(G28,2)</f>
        <v>31.09</v>
      </c>
      <c r="I28" s="448" t="s">
        <v>26</v>
      </c>
    </row>
    <row r="29" spans="1:11" x14ac:dyDescent="0.2">
      <c r="A29" s="648" t="s">
        <v>39179</v>
      </c>
      <c r="B29" s="648"/>
      <c r="C29" s="648"/>
      <c r="D29" s="648"/>
      <c r="E29" s="648"/>
      <c r="F29" s="648"/>
      <c r="G29" s="648"/>
      <c r="H29" s="456">
        <f>H28</f>
        <v>31.09</v>
      </c>
    </row>
    <row r="30" spans="1:11" x14ac:dyDescent="0.2">
      <c r="A30" s="649" t="s">
        <v>47159</v>
      </c>
      <c r="B30" s="650"/>
      <c r="C30" s="650"/>
      <c r="D30" s="650"/>
      <c r="E30" s="650"/>
      <c r="F30" s="650"/>
      <c r="G30" s="650"/>
      <c r="H30" s="651"/>
    </row>
    <row r="31" spans="1:11" ht="12.75" customHeight="1" x14ac:dyDescent="0.2">
      <c r="A31" s="652" t="s">
        <v>38503</v>
      </c>
      <c r="B31" s="652" t="s">
        <v>52</v>
      </c>
      <c r="C31" s="652" t="s">
        <v>5917</v>
      </c>
      <c r="D31" s="653" t="s">
        <v>47153</v>
      </c>
      <c r="E31" s="653"/>
      <c r="F31" s="653"/>
      <c r="G31" s="652" t="s">
        <v>47164</v>
      </c>
      <c r="H31" s="652" t="s">
        <v>47163</v>
      </c>
    </row>
    <row r="32" spans="1:11" ht="38.25" x14ac:dyDescent="0.2">
      <c r="A32" s="652"/>
      <c r="B32" s="652"/>
      <c r="C32" s="652"/>
      <c r="D32" s="455" t="s">
        <v>47165</v>
      </c>
      <c r="E32" s="456" t="s">
        <v>47166</v>
      </c>
      <c r="F32" s="456" t="s">
        <v>47167</v>
      </c>
      <c r="G32" s="652"/>
      <c r="H32" s="652"/>
      <c r="I32" s="448" t="s">
        <v>5</v>
      </c>
    </row>
    <row r="33" spans="1:9" x14ac:dyDescent="0.2">
      <c r="A33" s="457">
        <v>3</v>
      </c>
      <c r="B33" s="457" t="s">
        <v>47156</v>
      </c>
      <c r="C33" s="458" t="s">
        <v>47160</v>
      </c>
      <c r="D33" s="459">
        <f>53.46</f>
        <v>53.46</v>
      </c>
      <c r="E33" s="460">
        <f>53.01</f>
        <v>53.01</v>
      </c>
      <c r="F33" s="460">
        <f>75.19</f>
        <v>75.19</v>
      </c>
      <c r="G33" s="459">
        <f>ROUND(AVERAGE(D33,E33,F33),2)</f>
        <v>60.55</v>
      </c>
      <c r="H33" s="462">
        <f>ROUND(G33/6,2)</f>
        <v>10.09</v>
      </c>
      <c r="I33" s="450" t="s">
        <v>0</v>
      </c>
    </row>
    <row r="34" spans="1:9" x14ac:dyDescent="0.2">
      <c r="A34" s="648" t="s">
        <v>39179</v>
      </c>
      <c r="B34" s="648"/>
      <c r="C34" s="648"/>
      <c r="D34" s="648"/>
      <c r="E34" s="648"/>
      <c r="F34" s="648"/>
      <c r="G34" s="648"/>
      <c r="H34" s="456">
        <f>H33</f>
        <v>10.09</v>
      </c>
    </row>
    <row r="35" spans="1:9" x14ac:dyDescent="0.2">
      <c r="A35" s="654"/>
      <c r="B35" s="654"/>
      <c r="C35" s="654"/>
      <c r="D35" s="654"/>
      <c r="E35" s="654"/>
      <c r="F35" s="654"/>
      <c r="G35" s="654"/>
      <c r="H35" s="654"/>
    </row>
    <row r="36" spans="1:9" x14ac:dyDescent="0.2">
      <c r="A36" s="654" t="str">
        <f>ORCAMENTO!A392</f>
        <v>BOA VIAGEM - CE, JULHO DE 2025</v>
      </c>
      <c r="B36" s="654"/>
      <c r="C36" s="654"/>
      <c r="D36" s="654"/>
      <c r="E36" s="654"/>
      <c r="F36" s="654"/>
      <c r="G36" s="654"/>
      <c r="H36" s="654"/>
    </row>
  </sheetData>
  <mergeCells count="28">
    <mergeCell ref="A35:H35"/>
    <mergeCell ref="A36:H36"/>
    <mergeCell ref="A34:G34"/>
    <mergeCell ref="A29:G29"/>
    <mergeCell ref="A30:H30"/>
    <mergeCell ref="A31:A32"/>
    <mergeCell ref="B31:B32"/>
    <mergeCell ref="C31:C32"/>
    <mergeCell ref="D31:F31"/>
    <mergeCell ref="G31:G32"/>
    <mergeCell ref="H31:H32"/>
    <mergeCell ref="A24:G24"/>
    <mergeCell ref="A25:H25"/>
    <mergeCell ref="A26:A27"/>
    <mergeCell ref="B26:B27"/>
    <mergeCell ref="C26:C27"/>
    <mergeCell ref="D26:F26"/>
    <mergeCell ref="G26:G27"/>
    <mergeCell ref="H26:H27"/>
    <mergeCell ref="A2:H2"/>
    <mergeCell ref="A19:H19"/>
    <mergeCell ref="A20:H20"/>
    <mergeCell ref="A21:A22"/>
    <mergeCell ref="B21:B22"/>
    <mergeCell ref="C21:C22"/>
    <mergeCell ref="D21:F21"/>
    <mergeCell ref="G21:G22"/>
    <mergeCell ref="H21:H22"/>
  </mergeCells>
  <printOptions horizontalCentered="1"/>
  <pageMargins left="0.39370078740157483" right="0.39370078740157483" top="0.39370078740157483" bottom="0.98425196850393704" header="0.31496062992125984" footer="0.31496062992125984"/>
  <pageSetup paperSize="9" scale="61" fitToHeight="0" orientation="portrait" r:id="rId1"/>
  <headerFooter>
    <oddFooter>Página &amp;P de &amp;N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2EED52-0189-44A5-9F57-9B84CCFDAF13}">
  <dimension ref="A1:IT62"/>
  <sheetViews>
    <sheetView view="pageBreakPreview" zoomScale="160" zoomScaleNormal="100" zoomScaleSheetLayoutView="160" workbookViewId="0">
      <selection activeCell="A2" sqref="A2:D2"/>
    </sheetView>
  </sheetViews>
  <sheetFormatPr defaultColWidth="10.6640625" defaultRowHeight="12.75" x14ac:dyDescent="0.2"/>
  <cols>
    <col min="1" max="1" width="11.33203125" style="102" customWidth="1"/>
    <col min="2" max="2" width="76.6640625" style="112" customWidth="1"/>
    <col min="3" max="4" width="24.1640625" style="410" customWidth="1"/>
    <col min="5" max="16384" width="10.6640625" style="112"/>
  </cols>
  <sheetData>
    <row r="1" spans="1:253" s="97" customFormat="1" x14ac:dyDescent="0.2">
      <c r="A1" s="95"/>
      <c r="B1" s="95"/>
      <c r="C1" s="95"/>
      <c r="D1" s="95"/>
      <c r="E1" s="96"/>
      <c r="F1" s="96"/>
      <c r="G1" s="96"/>
      <c r="H1" s="96"/>
      <c r="I1" s="96"/>
      <c r="J1" s="96"/>
      <c r="K1" s="96"/>
      <c r="L1" s="9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c r="AN1" s="96"/>
      <c r="AO1" s="96"/>
      <c r="AP1" s="96"/>
      <c r="AQ1" s="96"/>
      <c r="AR1" s="96"/>
      <c r="AS1" s="96"/>
      <c r="AT1" s="96"/>
      <c r="AU1" s="96"/>
      <c r="AV1" s="96"/>
      <c r="AW1" s="96"/>
      <c r="AX1" s="96"/>
      <c r="AY1" s="96"/>
      <c r="AZ1" s="96"/>
      <c r="BA1" s="96"/>
      <c r="BB1" s="96"/>
      <c r="BC1" s="96"/>
      <c r="BD1" s="96"/>
      <c r="BE1" s="96"/>
      <c r="BF1" s="96"/>
      <c r="BG1" s="96"/>
      <c r="BH1" s="96"/>
      <c r="BI1" s="96"/>
      <c r="BJ1" s="96"/>
      <c r="BK1" s="96"/>
      <c r="BL1" s="96"/>
      <c r="BM1" s="96"/>
      <c r="BN1" s="96"/>
      <c r="BO1" s="96"/>
      <c r="BP1" s="96"/>
      <c r="BQ1" s="96"/>
      <c r="BR1" s="96"/>
      <c r="BS1" s="96"/>
      <c r="BT1" s="96"/>
      <c r="BU1" s="96"/>
      <c r="BV1" s="96"/>
      <c r="BW1" s="96"/>
      <c r="BX1" s="96"/>
      <c r="BY1" s="96"/>
      <c r="BZ1" s="96"/>
      <c r="CA1" s="96"/>
      <c r="CB1" s="96"/>
      <c r="CC1" s="96"/>
      <c r="CD1" s="96"/>
      <c r="CE1" s="96"/>
      <c r="CF1" s="96"/>
      <c r="CG1" s="96"/>
      <c r="CH1" s="96"/>
      <c r="CI1" s="96"/>
      <c r="CJ1" s="96"/>
      <c r="CK1" s="96"/>
      <c r="CL1" s="96"/>
      <c r="CM1" s="96"/>
      <c r="CN1" s="96"/>
      <c r="CO1" s="96"/>
      <c r="CP1" s="96"/>
      <c r="CQ1" s="96"/>
      <c r="CR1" s="96"/>
      <c r="CS1" s="96"/>
      <c r="CT1" s="96"/>
      <c r="CU1" s="96"/>
      <c r="CV1" s="96"/>
      <c r="CW1" s="96"/>
      <c r="CX1" s="96"/>
      <c r="CY1" s="96"/>
      <c r="CZ1" s="96"/>
      <c r="DA1" s="96"/>
      <c r="DB1" s="96"/>
      <c r="DC1" s="96"/>
      <c r="DD1" s="96"/>
      <c r="DE1" s="96"/>
      <c r="DF1" s="96"/>
      <c r="DG1" s="96"/>
      <c r="DH1" s="96"/>
      <c r="DI1" s="96"/>
      <c r="DJ1" s="96"/>
      <c r="DK1" s="96"/>
      <c r="DL1" s="96"/>
      <c r="DM1" s="96"/>
      <c r="DN1" s="96"/>
      <c r="DO1" s="96"/>
      <c r="DP1" s="96"/>
      <c r="DQ1" s="96"/>
      <c r="DR1" s="96"/>
      <c r="DS1" s="96"/>
      <c r="DT1" s="96"/>
      <c r="DU1" s="96"/>
      <c r="DV1" s="96"/>
      <c r="DW1" s="96"/>
      <c r="DX1" s="96"/>
      <c r="DY1" s="96"/>
      <c r="DZ1" s="96"/>
      <c r="EA1" s="96"/>
      <c r="EB1" s="96"/>
      <c r="EC1" s="96"/>
      <c r="ED1" s="96"/>
      <c r="EE1" s="96"/>
      <c r="EF1" s="96"/>
      <c r="EG1" s="96"/>
      <c r="EH1" s="96"/>
      <c r="EI1" s="96"/>
      <c r="EJ1" s="96"/>
      <c r="EK1" s="96"/>
      <c r="EL1" s="96"/>
      <c r="EM1" s="96"/>
      <c r="EN1" s="96"/>
      <c r="EO1" s="96"/>
      <c r="EP1" s="96"/>
      <c r="EQ1" s="96"/>
      <c r="ER1" s="96"/>
      <c r="ES1" s="96"/>
      <c r="ET1" s="96"/>
      <c r="EU1" s="96"/>
      <c r="EV1" s="96"/>
      <c r="EW1" s="96"/>
      <c r="EX1" s="96"/>
      <c r="EY1" s="96"/>
      <c r="EZ1" s="96"/>
      <c r="FA1" s="96"/>
      <c r="FB1" s="96"/>
      <c r="FC1" s="96"/>
      <c r="FD1" s="96"/>
      <c r="FE1" s="96"/>
      <c r="FF1" s="96"/>
      <c r="FG1" s="96"/>
      <c r="FH1" s="96"/>
      <c r="FI1" s="96"/>
      <c r="FJ1" s="96"/>
      <c r="FK1" s="96"/>
      <c r="FL1" s="96"/>
      <c r="FM1" s="96"/>
      <c r="FN1" s="96"/>
      <c r="FO1" s="96"/>
      <c r="FP1" s="96"/>
      <c r="FQ1" s="96"/>
      <c r="FR1" s="96"/>
      <c r="FS1" s="96"/>
      <c r="FT1" s="96"/>
      <c r="FU1" s="96"/>
      <c r="FV1" s="96"/>
      <c r="FW1" s="96"/>
      <c r="FX1" s="96"/>
      <c r="FY1" s="96"/>
      <c r="FZ1" s="96"/>
      <c r="GA1" s="96"/>
      <c r="GB1" s="96"/>
      <c r="GC1" s="96"/>
      <c r="GD1" s="96"/>
      <c r="GE1" s="96"/>
      <c r="GF1" s="96"/>
      <c r="GG1" s="96"/>
      <c r="GH1" s="96"/>
      <c r="GI1" s="96"/>
      <c r="GJ1" s="96"/>
      <c r="GK1" s="96"/>
      <c r="GL1" s="96"/>
      <c r="GM1" s="96"/>
      <c r="GN1" s="96"/>
      <c r="GO1" s="96"/>
      <c r="GP1" s="96"/>
      <c r="GQ1" s="96"/>
      <c r="GR1" s="96"/>
      <c r="GS1" s="96"/>
      <c r="GT1" s="96"/>
      <c r="GU1" s="96"/>
      <c r="GV1" s="96"/>
      <c r="GW1" s="96"/>
      <c r="GX1" s="96"/>
      <c r="GY1" s="96"/>
      <c r="GZ1" s="96"/>
      <c r="HA1" s="96"/>
      <c r="HB1" s="96"/>
      <c r="HC1" s="96"/>
      <c r="HD1" s="96"/>
      <c r="HE1" s="96"/>
      <c r="HF1" s="96"/>
      <c r="HG1" s="96"/>
      <c r="HH1" s="96"/>
      <c r="HI1" s="96"/>
      <c r="HJ1" s="96"/>
      <c r="HK1" s="96"/>
      <c r="HL1" s="96"/>
      <c r="HM1" s="96"/>
      <c r="HN1" s="96"/>
      <c r="HO1" s="96"/>
      <c r="HP1" s="96"/>
      <c r="HQ1" s="96"/>
      <c r="HR1" s="96"/>
      <c r="HS1" s="96"/>
      <c r="HT1" s="96"/>
      <c r="HU1" s="96"/>
      <c r="HV1" s="96"/>
      <c r="HW1" s="96"/>
      <c r="HX1" s="96"/>
      <c r="HY1" s="96"/>
      <c r="HZ1" s="96"/>
      <c r="IA1" s="96"/>
      <c r="IB1" s="96"/>
      <c r="IC1" s="96"/>
      <c r="ID1" s="96"/>
      <c r="IE1" s="96"/>
      <c r="IF1" s="96"/>
      <c r="IG1" s="96"/>
      <c r="IH1" s="96"/>
      <c r="II1" s="96"/>
      <c r="IJ1" s="96"/>
      <c r="IK1" s="96"/>
      <c r="IL1" s="96"/>
      <c r="IM1" s="96"/>
      <c r="IN1" s="96"/>
      <c r="IO1" s="96"/>
      <c r="IP1" s="96"/>
      <c r="IQ1" s="96"/>
      <c r="IR1" s="96"/>
      <c r="IS1" s="96"/>
    </row>
    <row r="2" spans="1:253" s="97" customFormat="1" x14ac:dyDescent="0.2">
      <c r="A2" s="597" t="str">
        <f>ORCAMENTO!A2</f>
        <v>INSTITUTO FEDERAL DE EDUCAÇÃO CIÊNCIA E TECNOLOGIA DO CEARÁ - CAMPUS BOA VIAGEM</v>
      </c>
      <c r="B2" s="597"/>
      <c r="C2" s="597"/>
      <c r="D2" s="597"/>
      <c r="E2" s="96"/>
      <c r="F2" s="96"/>
      <c r="G2" s="96"/>
      <c r="H2" s="96"/>
      <c r="I2" s="96"/>
      <c r="J2" s="96"/>
      <c r="K2" s="96"/>
      <c r="L2" s="96"/>
      <c r="M2" s="96"/>
      <c r="N2" s="96"/>
      <c r="O2" s="96"/>
      <c r="P2" s="96"/>
      <c r="Q2" s="96"/>
      <c r="R2" s="96"/>
      <c r="S2" s="96"/>
      <c r="T2" s="96"/>
      <c r="U2" s="96"/>
      <c r="V2" s="96"/>
      <c r="W2" s="96"/>
      <c r="X2" s="96"/>
      <c r="Y2" s="96"/>
      <c r="Z2" s="96"/>
      <c r="AA2" s="96"/>
      <c r="AB2" s="96"/>
      <c r="AC2" s="96"/>
      <c r="AD2" s="96"/>
      <c r="AE2" s="96"/>
      <c r="AF2" s="96"/>
      <c r="AG2" s="96"/>
      <c r="AH2" s="96"/>
      <c r="AI2" s="96"/>
      <c r="AJ2" s="96"/>
      <c r="AK2" s="96"/>
      <c r="AL2" s="96"/>
      <c r="AM2" s="96"/>
      <c r="AN2" s="96"/>
      <c r="AO2" s="96"/>
      <c r="AP2" s="96"/>
      <c r="AQ2" s="96"/>
      <c r="AR2" s="96"/>
      <c r="AS2" s="96"/>
      <c r="AT2" s="96"/>
      <c r="AU2" s="96"/>
      <c r="AV2" s="96"/>
      <c r="AW2" s="96"/>
      <c r="AX2" s="96"/>
      <c r="AY2" s="96"/>
      <c r="AZ2" s="96"/>
      <c r="BA2" s="96"/>
      <c r="BB2" s="96"/>
      <c r="BC2" s="96"/>
      <c r="BD2" s="96"/>
      <c r="BE2" s="96"/>
      <c r="BF2" s="96"/>
      <c r="BG2" s="96"/>
      <c r="BH2" s="96"/>
      <c r="BI2" s="96"/>
      <c r="BJ2" s="96"/>
      <c r="BK2" s="96"/>
      <c r="BL2" s="96"/>
      <c r="BM2" s="96"/>
      <c r="BN2" s="96"/>
      <c r="BO2" s="96"/>
      <c r="BP2" s="96"/>
      <c r="BQ2" s="96"/>
      <c r="BR2" s="96"/>
      <c r="BS2" s="96"/>
      <c r="BT2" s="96"/>
      <c r="BU2" s="96"/>
      <c r="BV2" s="96"/>
      <c r="BW2" s="96"/>
      <c r="BX2" s="96"/>
      <c r="BY2" s="96"/>
      <c r="BZ2" s="96"/>
      <c r="CA2" s="96"/>
      <c r="CB2" s="96"/>
      <c r="CC2" s="96"/>
      <c r="CD2" s="96"/>
      <c r="CE2" s="96"/>
      <c r="CF2" s="96"/>
      <c r="CG2" s="96"/>
      <c r="CH2" s="96"/>
      <c r="CI2" s="96"/>
      <c r="CJ2" s="96"/>
      <c r="CK2" s="96"/>
      <c r="CL2" s="96"/>
      <c r="CM2" s="96"/>
      <c r="CN2" s="96"/>
      <c r="CO2" s="96"/>
      <c r="CP2" s="96"/>
      <c r="CQ2" s="96"/>
      <c r="CR2" s="96"/>
      <c r="CS2" s="96"/>
      <c r="CT2" s="96"/>
      <c r="CU2" s="96"/>
      <c r="CV2" s="96"/>
      <c r="CW2" s="96"/>
      <c r="CX2" s="96"/>
      <c r="CY2" s="96"/>
      <c r="CZ2" s="96"/>
      <c r="DA2" s="96"/>
      <c r="DB2" s="96"/>
      <c r="DC2" s="96"/>
      <c r="DD2" s="96"/>
      <c r="DE2" s="96"/>
      <c r="DF2" s="96"/>
      <c r="DG2" s="96"/>
      <c r="DH2" s="96"/>
      <c r="DI2" s="96"/>
      <c r="DJ2" s="96"/>
      <c r="DK2" s="96"/>
      <c r="DL2" s="96"/>
      <c r="DM2" s="96"/>
      <c r="DN2" s="96"/>
      <c r="DO2" s="96"/>
      <c r="DP2" s="96"/>
      <c r="DQ2" s="96"/>
      <c r="DR2" s="96"/>
      <c r="DS2" s="96"/>
      <c r="DT2" s="96"/>
      <c r="DU2" s="96"/>
      <c r="DV2" s="96"/>
      <c r="DW2" s="96"/>
      <c r="DX2" s="96"/>
      <c r="DY2" s="96"/>
      <c r="DZ2" s="96"/>
      <c r="EA2" s="96"/>
      <c r="EB2" s="96"/>
      <c r="EC2" s="96"/>
      <c r="ED2" s="96"/>
      <c r="EE2" s="96"/>
      <c r="EF2" s="96"/>
      <c r="EG2" s="96"/>
      <c r="EH2" s="96"/>
      <c r="EI2" s="96"/>
      <c r="EJ2" s="96"/>
      <c r="EK2" s="96"/>
      <c r="EL2" s="96"/>
      <c r="EM2" s="96"/>
      <c r="EN2" s="96"/>
      <c r="EO2" s="96"/>
      <c r="EP2" s="96"/>
      <c r="EQ2" s="96"/>
      <c r="ER2" s="96"/>
      <c r="ES2" s="96"/>
      <c r="ET2" s="96"/>
      <c r="EU2" s="96"/>
      <c r="EV2" s="96"/>
      <c r="EW2" s="96"/>
      <c r="EX2" s="96"/>
      <c r="EY2" s="96"/>
      <c r="EZ2" s="96"/>
      <c r="FA2" s="96"/>
      <c r="FB2" s="96"/>
      <c r="FC2" s="96"/>
      <c r="FD2" s="96"/>
      <c r="FE2" s="96"/>
      <c r="FF2" s="96"/>
      <c r="FG2" s="96"/>
      <c r="FH2" s="96"/>
      <c r="FI2" s="96"/>
      <c r="FJ2" s="96"/>
      <c r="FK2" s="96"/>
      <c r="FL2" s="96"/>
      <c r="FM2" s="96"/>
      <c r="FN2" s="96"/>
      <c r="FO2" s="96"/>
      <c r="FP2" s="96"/>
      <c r="FQ2" s="96"/>
      <c r="FR2" s="96"/>
      <c r="FS2" s="96"/>
      <c r="FT2" s="96"/>
      <c r="FU2" s="96"/>
      <c r="FV2" s="96"/>
      <c r="FW2" s="96"/>
      <c r="FX2" s="96"/>
      <c r="FY2" s="96"/>
      <c r="FZ2" s="96"/>
      <c r="GA2" s="96"/>
      <c r="GB2" s="96"/>
      <c r="GC2" s="96"/>
      <c r="GD2" s="96"/>
      <c r="GE2" s="96"/>
      <c r="GF2" s="96"/>
      <c r="GG2" s="96"/>
      <c r="GH2" s="96"/>
      <c r="GI2" s="96"/>
      <c r="GJ2" s="96"/>
      <c r="GK2" s="96"/>
      <c r="GL2" s="96"/>
      <c r="GM2" s="96"/>
      <c r="GN2" s="96"/>
      <c r="GO2" s="96"/>
      <c r="GP2" s="96"/>
      <c r="GQ2" s="96"/>
      <c r="GR2" s="96"/>
      <c r="GS2" s="96"/>
      <c r="GT2" s="96"/>
      <c r="GU2" s="96"/>
      <c r="GV2" s="96"/>
      <c r="GW2" s="96"/>
      <c r="GX2" s="96"/>
      <c r="GY2" s="96"/>
      <c r="GZ2" s="96"/>
      <c r="HA2" s="96"/>
      <c r="HB2" s="96"/>
      <c r="HC2" s="96"/>
      <c r="HD2" s="96"/>
      <c r="HE2" s="96"/>
      <c r="HF2" s="96"/>
      <c r="HG2" s="96"/>
      <c r="HH2" s="96"/>
      <c r="HI2" s="96"/>
      <c r="HJ2" s="96"/>
      <c r="HK2" s="96"/>
      <c r="HL2" s="96"/>
      <c r="HM2" s="96"/>
      <c r="HN2" s="96"/>
      <c r="HO2" s="96"/>
      <c r="HP2" s="96"/>
      <c r="HQ2" s="96"/>
      <c r="HR2" s="96"/>
      <c r="HS2" s="96"/>
      <c r="HT2" s="96"/>
      <c r="HU2" s="96"/>
      <c r="HV2" s="96"/>
      <c r="HW2" s="96"/>
      <c r="HX2" s="96"/>
      <c r="HY2" s="96"/>
      <c r="HZ2" s="96"/>
      <c r="IA2" s="96"/>
      <c r="IB2" s="96"/>
      <c r="IC2" s="96"/>
      <c r="ID2" s="96"/>
      <c r="IE2" s="96"/>
      <c r="IF2" s="96"/>
      <c r="IG2" s="96"/>
      <c r="IH2" s="96"/>
      <c r="II2" s="96"/>
      <c r="IJ2" s="96"/>
      <c r="IK2" s="96"/>
      <c r="IL2" s="96"/>
      <c r="IM2" s="96"/>
      <c r="IN2" s="96"/>
      <c r="IO2" s="96"/>
      <c r="IP2" s="96"/>
      <c r="IQ2" s="96"/>
      <c r="IR2" s="96"/>
      <c r="IS2" s="96"/>
    </row>
    <row r="3" spans="1:253" s="97" customFormat="1" ht="12.75" customHeight="1" x14ac:dyDescent="0.2">
      <c r="A3" s="163"/>
      <c r="B3" s="163"/>
      <c r="C3" s="163"/>
      <c r="D3" s="163"/>
      <c r="E3" s="308"/>
      <c r="F3" s="308"/>
      <c r="G3" s="308"/>
      <c r="H3" s="308"/>
      <c r="I3" s="308"/>
      <c r="J3" s="308"/>
      <c r="K3" s="308"/>
      <c r="L3" s="308"/>
      <c r="M3" s="308"/>
      <c r="N3" s="308"/>
      <c r="O3" s="308"/>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c r="AU3" s="96"/>
      <c r="AV3" s="96"/>
      <c r="AW3" s="96"/>
      <c r="AX3" s="96"/>
      <c r="AY3" s="96"/>
      <c r="AZ3" s="96"/>
      <c r="BA3" s="96"/>
      <c r="BB3" s="96"/>
      <c r="BC3" s="96"/>
      <c r="BD3" s="96"/>
      <c r="BE3" s="96"/>
      <c r="BF3" s="96"/>
      <c r="BG3" s="96"/>
      <c r="BH3" s="96"/>
      <c r="BI3" s="96"/>
      <c r="BJ3" s="96"/>
      <c r="BK3" s="96"/>
      <c r="BL3" s="96"/>
      <c r="BM3" s="96"/>
      <c r="BN3" s="96"/>
      <c r="BO3" s="96"/>
      <c r="BP3" s="96"/>
      <c r="BQ3" s="96"/>
      <c r="BR3" s="96"/>
      <c r="BS3" s="96"/>
      <c r="BT3" s="96"/>
      <c r="BU3" s="96"/>
      <c r="BV3" s="96"/>
      <c r="BW3" s="96"/>
      <c r="BX3" s="96"/>
      <c r="BY3" s="96"/>
      <c r="BZ3" s="96"/>
      <c r="CA3" s="96"/>
      <c r="CB3" s="96"/>
      <c r="CC3" s="96"/>
      <c r="CD3" s="96"/>
      <c r="CE3" s="96"/>
      <c r="CF3" s="96"/>
      <c r="CG3" s="96"/>
      <c r="CH3" s="96"/>
      <c r="CI3" s="96"/>
      <c r="CJ3" s="96"/>
      <c r="CK3" s="96"/>
      <c r="CL3" s="96"/>
      <c r="CM3" s="96"/>
      <c r="CN3" s="96"/>
      <c r="CO3" s="96"/>
      <c r="CP3" s="96"/>
      <c r="CQ3" s="96"/>
      <c r="CR3" s="96"/>
      <c r="CS3" s="96"/>
      <c r="CT3" s="96"/>
      <c r="CU3" s="96"/>
      <c r="CV3" s="96"/>
      <c r="CW3" s="96"/>
      <c r="CX3" s="96"/>
      <c r="CY3" s="96"/>
      <c r="CZ3" s="96"/>
      <c r="DA3" s="96"/>
      <c r="DB3" s="96"/>
      <c r="DC3" s="96"/>
      <c r="DD3" s="96"/>
      <c r="DE3" s="96"/>
      <c r="DF3" s="96"/>
      <c r="DG3" s="96"/>
      <c r="DH3" s="96"/>
      <c r="DI3" s="96"/>
      <c r="DJ3" s="96"/>
      <c r="DK3" s="96"/>
      <c r="DL3" s="96"/>
      <c r="DM3" s="96"/>
      <c r="DN3" s="96"/>
      <c r="DO3" s="96"/>
      <c r="DP3" s="96"/>
      <c r="DQ3" s="96"/>
      <c r="DR3" s="96"/>
      <c r="DS3" s="96"/>
      <c r="DT3" s="96"/>
      <c r="DU3" s="96"/>
      <c r="DV3" s="96"/>
      <c r="DW3" s="96"/>
      <c r="DX3" s="96"/>
      <c r="DY3" s="96"/>
      <c r="DZ3" s="96"/>
      <c r="EA3" s="96"/>
      <c r="EB3" s="96"/>
      <c r="EC3" s="96"/>
      <c r="ED3" s="96"/>
      <c r="EE3" s="96"/>
      <c r="EF3" s="96"/>
      <c r="EG3" s="96"/>
      <c r="EH3" s="96"/>
      <c r="EI3" s="96"/>
      <c r="EJ3" s="96"/>
      <c r="EK3" s="96"/>
      <c r="EL3" s="96"/>
      <c r="EM3" s="96"/>
      <c r="EN3" s="96"/>
      <c r="EO3" s="96"/>
      <c r="EP3" s="96"/>
      <c r="EQ3" s="96"/>
      <c r="ER3" s="96"/>
      <c r="ES3" s="96"/>
      <c r="ET3" s="96"/>
      <c r="EU3" s="96"/>
      <c r="EV3" s="96"/>
      <c r="EW3" s="96"/>
      <c r="EX3" s="96"/>
      <c r="EY3" s="96"/>
      <c r="EZ3" s="96"/>
      <c r="FA3" s="96"/>
      <c r="FB3" s="96"/>
      <c r="FC3" s="96"/>
      <c r="FD3" s="96"/>
      <c r="FE3" s="96"/>
      <c r="FF3" s="96"/>
      <c r="FG3" s="96"/>
      <c r="FH3" s="96"/>
      <c r="FI3" s="96"/>
      <c r="FJ3" s="96"/>
      <c r="FK3" s="96"/>
      <c r="FL3" s="96"/>
      <c r="FM3" s="96"/>
      <c r="FN3" s="96"/>
      <c r="FO3" s="96"/>
      <c r="FP3" s="96"/>
      <c r="FQ3" s="96"/>
      <c r="FR3" s="96"/>
      <c r="FS3" s="96"/>
      <c r="FT3" s="96"/>
      <c r="FU3" s="96"/>
      <c r="FV3" s="96"/>
      <c r="FW3" s="96"/>
      <c r="FX3" s="96"/>
      <c r="FY3" s="96"/>
      <c r="FZ3" s="96"/>
      <c r="GA3" s="96"/>
      <c r="GB3" s="96"/>
      <c r="GC3" s="96"/>
      <c r="GD3" s="96"/>
      <c r="GE3" s="96"/>
      <c r="GF3" s="96"/>
      <c r="GG3" s="96"/>
      <c r="GH3" s="96"/>
      <c r="GI3" s="96"/>
      <c r="GJ3" s="96"/>
      <c r="GK3" s="96"/>
      <c r="GL3" s="96"/>
      <c r="GM3" s="96"/>
      <c r="GN3" s="96"/>
      <c r="GO3" s="96"/>
      <c r="GP3" s="96"/>
      <c r="GQ3" s="96"/>
      <c r="GR3" s="96"/>
      <c r="GS3" s="96"/>
      <c r="GT3" s="96"/>
      <c r="GU3" s="96"/>
      <c r="GV3" s="96"/>
      <c r="GW3" s="96"/>
      <c r="GX3" s="96"/>
      <c r="GY3" s="96"/>
      <c r="GZ3" s="96"/>
      <c r="HA3" s="96"/>
      <c r="HB3" s="96"/>
      <c r="HC3" s="96"/>
      <c r="HD3" s="96"/>
      <c r="HE3" s="96"/>
      <c r="HF3" s="96"/>
      <c r="HG3" s="96"/>
      <c r="HH3" s="96"/>
      <c r="HI3" s="96"/>
      <c r="HJ3" s="96"/>
      <c r="HK3" s="96"/>
      <c r="HL3" s="96"/>
      <c r="HM3" s="96"/>
      <c r="HN3" s="96"/>
      <c r="HO3" s="96"/>
      <c r="HP3" s="96"/>
      <c r="HQ3" s="96"/>
      <c r="HR3" s="96"/>
      <c r="HS3" s="96"/>
      <c r="HT3" s="96"/>
      <c r="HU3" s="96"/>
      <c r="HV3" s="96"/>
      <c r="HW3" s="96"/>
      <c r="HX3" s="96"/>
      <c r="HY3" s="96"/>
      <c r="HZ3" s="96"/>
      <c r="IA3" s="96"/>
      <c r="IB3" s="96"/>
      <c r="IC3" s="96"/>
      <c r="ID3" s="96"/>
      <c r="IE3" s="96"/>
      <c r="IF3" s="96"/>
      <c r="IG3" s="96"/>
      <c r="IH3" s="96"/>
      <c r="II3" s="96"/>
      <c r="IJ3" s="96"/>
      <c r="IK3" s="96"/>
      <c r="IL3" s="96"/>
      <c r="IM3" s="96"/>
      <c r="IN3" s="96"/>
      <c r="IO3" s="96"/>
      <c r="IP3" s="96"/>
      <c r="IQ3" s="96"/>
      <c r="IR3" s="96"/>
      <c r="IS3" s="96"/>
    </row>
    <row r="4" spans="1:253" s="97" customFormat="1" x14ac:dyDescent="0.2">
      <c r="A4" s="163" t="str">
        <f>ORCAMENTO!A4</f>
        <v>OBRA:</v>
      </c>
      <c r="B4" s="99"/>
      <c r="C4" s="99"/>
      <c r="D4" s="99"/>
      <c r="E4" s="96"/>
      <c r="F4" s="96"/>
      <c r="G4" s="96"/>
      <c r="H4" s="96"/>
      <c r="I4" s="96"/>
      <c r="J4" s="96"/>
      <c r="K4" s="96"/>
      <c r="L4" s="96"/>
      <c r="M4" s="96"/>
      <c r="N4" s="96"/>
      <c r="O4" s="96"/>
      <c r="P4" s="96"/>
      <c r="Q4" s="96"/>
      <c r="R4" s="96"/>
      <c r="S4" s="96"/>
      <c r="T4" s="96"/>
      <c r="U4" s="96"/>
      <c r="V4" s="96"/>
      <c r="W4" s="96"/>
      <c r="X4" s="96"/>
      <c r="Y4" s="96"/>
      <c r="Z4" s="96"/>
      <c r="AA4" s="96"/>
      <c r="AB4" s="96"/>
      <c r="AC4" s="96"/>
      <c r="AD4" s="96"/>
      <c r="AE4" s="96"/>
      <c r="AF4" s="96"/>
      <c r="AG4" s="96"/>
      <c r="AH4" s="96"/>
      <c r="AI4" s="96"/>
      <c r="AJ4" s="96"/>
      <c r="AK4" s="96"/>
      <c r="AL4" s="96"/>
      <c r="AM4" s="96"/>
      <c r="AN4" s="96"/>
      <c r="AO4" s="96"/>
      <c r="AP4" s="96"/>
      <c r="AQ4" s="96"/>
      <c r="AR4" s="96"/>
      <c r="AS4" s="96"/>
      <c r="AT4" s="96"/>
      <c r="AU4" s="96"/>
      <c r="AV4" s="96"/>
      <c r="AW4" s="96"/>
      <c r="AX4" s="96"/>
      <c r="AY4" s="96"/>
      <c r="AZ4" s="96"/>
      <c r="BA4" s="96"/>
      <c r="BB4" s="96"/>
      <c r="BC4" s="96"/>
      <c r="BD4" s="96"/>
      <c r="BE4" s="96"/>
      <c r="BF4" s="96"/>
      <c r="BG4" s="96"/>
      <c r="BH4" s="96"/>
      <c r="BI4" s="96"/>
      <c r="BJ4" s="96"/>
      <c r="BK4" s="96"/>
      <c r="BL4" s="96"/>
      <c r="BM4" s="96"/>
      <c r="BN4" s="96"/>
      <c r="BO4" s="96"/>
      <c r="BP4" s="96"/>
      <c r="BQ4" s="96"/>
      <c r="BR4" s="96"/>
      <c r="BS4" s="96"/>
      <c r="BT4" s="96"/>
      <c r="BU4" s="96"/>
      <c r="BV4" s="96"/>
      <c r="BW4" s="96"/>
      <c r="BX4" s="96"/>
      <c r="BY4" s="96"/>
      <c r="BZ4" s="96"/>
      <c r="CA4" s="96"/>
      <c r="CB4" s="96"/>
      <c r="CC4" s="96"/>
      <c r="CD4" s="96"/>
      <c r="CE4" s="96"/>
      <c r="CF4" s="96"/>
      <c r="CG4" s="96"/>
      <c r="CH4" s="96"/>
      <c r="CI4" s="96"/>
      <c r="CJ4" s="96"/>
      <c r="CK4" s="96"/>
      <c r="CL4" s="96"/>
      <c r="CM4" s="96"/>
      <c r="CN4" s="96"/>
      <c r="CO4" s="96"/>
      <c r="CP4" s="96"/>
      <c r="CQ4" s="96"/>
      <c r="CR4" s="96"/>
      <c r="CS4" s="96"/>
      <c r="CT4" s="96"/>
      <c r="CU4" s="96"/>
      <c r="CV4" s="96"/>
      <c r="CW4" s="96"/>
      <c r="CX4" s="96"/>
      <c r="CY4" s="96"/>
      <c r="CZ4" s="96"/>
      <c r="DA4" s="96"/>
      <c r="DB4" s="96"/>
      <c r="DC4" s="96"/>
      <c r="DD4" s="96"/>
      <c r="DE4" s="96"/>
      <c r="DF4" s="96"/>
      <c r="DG4" s="96"/>
      <c r="DH4" s="96"/>
      <c r="DI4" s="96"/>
      <c r="DJ4" s="96"/>
      <c r="DK4" s="96"/>
      <c r="DL4" s="96"/>
      <c r="DM4" s="96"/>
      <c r="DN4" s="96"/>
      <c r="DO4" s="96"/>
      <c r="DP4" s="96"/>
      <c r="DQ4" s="96"/>
      <c r="DR4" s="96"/>
      <c r="DS4" s="96"/>
      <c r="DT4" s="96"/>
      <c r="DU4" s="96"/>
      <c r="DV4" s="96"/>
      <c r="DW4" s="96"/>
      <c r="DX4" s="96"/>
      <c r="DY4" s="96"/>
      <c r="DZ4" s="96"/>
      <c r="EA4" s="96"/>
      <c r="EB4" s="96"/>
      <c r="EC4" s="96"/>
      <c r="ED4" s="96"/>
      <c r="EE4" s="96"/>
      <c r="EF4" s="96"/>
      <c r="EG4" s="96"/>
      <c r="EH4" s="96"/>
      <c r="EI4" s="96"/>
      <c r="EJ4" s="96"/>
      <c r="EK4" s="96"/>
      <c r="EL4" s="96"/>
      <c r="EM4" s="96"/>
      <c r="EN4" s="96"/>
      <c r="EO4" s="96"/>
      <c r="EP4" s="96"/>
      <c r="EQ4" s="96"/>
      <c r="ER4" s="96"/>
      <c r="ES4" s="96"/>
      <c r="ET4" s="96"/>
      <c r="EU4" s="96"/>
      <c r="EV4" s="96"/>
      <c r="EW4" s="96"/>
      <c r="EX4" s="96"/>
      <c r="EY4" s="96"/>
      <c r="EZ4" s="96"/>
      <c r="FA4" s="96"/>
      <c r="FB4" s="96"/>
      <c r="FC4" s="96"/>
      <c r="FD4" s="96"/>
      <c r="FE4" s="96"/>
      <c r="FF4" s="96"/>
      <c r="FG4" s="96"/>
      <c r="FH4" s="96"/>
      <c r="FI4" s="96"/>
      <c r="FJ4" s="96"/>
      <c r="FK4" s="96"/>
      <c r="FL4" s="96"/>
      <c r="FM4" s="96"/>
      <c r="FN4" s="96"/>
      <c r="FO4" s="96"/>
      <c r="FP4" s="96"/>
      <c r="FQ4" s="96"/>
      <c r="FR4" s="96"/>
      <c r="FS4" s="96"/>
      <c r="FT4" s="96"/>
      <c r="FU4" s="96"/>
      <c r="FV4" s="96"/>
      <c r="FW4" s="96"/>
      <c r="FX4" s="96"/>
      <c r="FY4" s="96"/>
      <c r="FZ4" s="96"/>
      <c r="GA4" s="96"/>
      <c r="GB4" s="96"/>
      <c r="GC4" s="96"/>
      <c r="GD4" s="96"/>
      <c r="GE4" s="96"/>
      <c r="GF4" s="96"/>
      <c r="GG4" s="96"/>
      <c r="GH4" s="96"/>
      <c r="GI4" s="96"/>
      <c r="GJ4" s="96"/>
      <c r="GK4" s="96"/>
      <c r="GL4" s="96"/>
      <c r="GM4" s="96"/>
      <c r="GN4" s="96"/>
      <c r="GO4" s="96"/>
      <c r="GP4" s="96"/>
      <c r="GQ4" s="96"/>
      <c r="GR4" s="96"/>
      <c r="GS4" s="96"/>
      <c r="GT4" s="96"/>
      <c r="GU4" s="96"/>
      <c r="GV4" s="96"/>
      <c r="GW4" s="96"/>
      <c r="GX4" s="96"/>
      <c r="GY4" s="96"/>
      <c r="GZ4" s="96"/>
      <c r="HA4" s="96"/>
      <c r="HB4" s="96"/>
      <c r="HC4" s="96"/>
      <c r="HD4" s="96"/>
      <c r="HE4" s="96"/>
      <c r="HF4" s="96"/>
      <c r="HG4" s="96"/>
      <c r="HH4" s="96"/>
      <c r="HI4" s="96"/>
      <c r="HJ4" s="96"/>
      <c r="HK4" s="96"/>
      <c r="HL4" s="96"/>
      <c r="HM4" s="96"/>
      <c r="HN4" s="96"/>
      <c r="HO4" s="96"/>
      <c r="HP4" s="96"/>
      <c r="HQ4" s="96"/>
      <c r="HR4" s="96"/>
      <c r="HS4" s="96"/>
      <c r="HT4" s="96"/>
      <c r="HU4" s="96"/>
      <c r="HV4" s="96"/>
      <c r="HW4" s="96"/>
      <c r="HX4" s="96"/>
      <c r="HY4" s="96"/>
      <c r="HZ4" s="96"/>
      <c r="IA4" s="96"/>
      <c r="IB4" s="96"/>
      <c r="IC4" s="96"/>
      <c r="ID4" s="96"/>
      <c r="IE4" s="96"/>
      <c r="IF4" s="96"/>
      <c r="IG4" s="96"/>
      <c r="IH4" s="96"/>
      <c r="II4" s="96"/>
      <c r="IJ4" s="96"/>
      <c r="IK4" s="96"/>
      <c r="IL4" s="96"/>
      <c r="IM4" s="96"/>
      <c r="IN4" s="96"/>
      <c r="IO4" s="96"/>
      <c r="IP4" s="96"/>
      <c r="IQ4" s="96"/>
      <c r="IR4" s="96"/>
      <c r="IS4" s="96"/>
    </row>
    <row r="5" spans="1:253" s="96" customFormat="1" x14ac:dyDescent="0.2">
      <c r="A5" s="112" t="str">
        <f>ORCAMENTO!A5</f>
        <v>CENTRO DE INOVAÇÃO E DIFUSÃO DE TECNOLOGIA PARA O SEMIÁRIDO - CAMPUS BOA VIAGEM</v>
      </c>
      <c r="B5" s="98"/>
      <c r="C5" s="98"/>
      <c r="D5" s="100"/>
    </row>
    <row r="6" spans="1:253" s="97" customFormat="1" x14ac:dyDescent="0.2">
      <c r="A6" s="163" t="str">
        <f>ORCAMENTO!A6</f>
        <v>LOCAL:</v>
      </c>
      <c r="B6" s="102"/>
      <c r="C6" s="102"/>
      <c r="D6" s="101"/>
    </row>
    <row r="7" spans="1:253" s="97" customFormat="1" x14ac:dyDescent="0.2">
      <c r="A7" s="112" t="str">
        <f>ORCAMENTO!A7</f>
        <v>SEDE DO MUNICÍPIO</v>
      </c>
      <c r="B7" s="102"/>
      <c r="C7" s="102"/>
      <c r="D7" s="101"/>
    </row>
    <row r="8" spans="1:253" s="96" customFormat="1" x14ac:dyDescent="0.2">
      <c r="A8" s="163" t="str">
        <f>ORCAMENTO!A8</f>
        <v>MUNICÍPIO:</v>
      </c>
      <c r="B8" s="98"/>
      <c r="C8" s="98"/>
      <c r="D8" s="100"/>
    </row>
    <row r="9" spans="1:253" s="97" customFormat="1" x14ac:dyDescent="0.2">
      <c r="A9" s="112" t="str">
        <f>ORCAMENTO!A9</f>
        <v>BOA VIAGEM - CE</v>
      </c>
      <c r="B9" s="102"/>
      <c r="C9" s="102"/>
      <c r="D9" s="100"/>
    </row>
    <row r="10" spans="1:253" s="96" customFormat="1" x14ac:dyDescent="0.2">
      <c r="A10" s="163"/>
      <c r="B10" s="98"/>
      <c r="C10" s="98"/>
      <c r="D10" s="100"/>
    </row>
    <row r="11" spans="1:253" s="97" customFormat="1" x14ac:dyDescent="0.2">
      <c r="A11" s="163" t="str">
        <f>ORCAMENTO!A11</f>
        <v>FONTE DOS PREÇOS:</v>
      </c>
      <c r="B11" s="163"/>
      <c r="C11" s="163"/>
      <c r="D11" s="163"/>
    </row>
    <row r="12" spans="1:253" s="97" customFormat="1" x14ac:dyDescent="0.2">
      <c r="A12" s="112" t="str">
        <f>ORCAMENTO!A12</f>
        <v>TABELA SEINFRA 028.1 DESONERADA</v>
      </c>
      <c r="B12" s="102"/>
      <c r="C12" s="102"/>
      <c r="D12" s="101"/>
    </row>
    <row r="13" spans="1:253" s="97" customFormat="1" x14ac:dyDescent="0.2">
      <c r="A13" s="112"/>
      <c r="B13" s="112" t="str">
        <f>ORCAMENTO!B13</f>
        <v>DATA REFERÊNCIA TÉCNICA: 10/2023</v>
      </c>
      <c r="C13" s="102"/>
      <c r="D13" s="101"/>
    </row>
    <row r="14" spans="1:253" s="97" customFormat="1" x14ac:dyDescent="0.2">
      <c r="A14" s="112"/>
      <c r="B14" s="112" t="str">
        <f>ORCAMENTO!B14</f>
        <v>ENCARGOS SOCIAIS: 84,44% (HORA) - 47,48% (MÊS)</v>
      </c>
      <c r="C14" s="102"/>
      <c r="D14" s="101"/>
    </row>
    <row r="15" spans="1:253" s="96" customFormat="1" x14ac:dyDescent="0.2">
      <c r="A15" s="112" t="str">
        <f>ORCAMENTO!A15</f>
        <v>TABELA SINAPI 06/2025 DESONERADA</v>
      </c>
      <c r="B15" s="112"/>
      <c r="C15" s="102"/>
      <c r="D15" s="101"/>
    </row>
    <row r="16" spans="1:253" s="97" customFormat="1" x14ac:dyDescent="0.2">
      <c r="A16" s="112"/>
      <c r="B16" s="112" t="str">
        <f>ORCAMENTO!B16</f>
        <v>DATA REFERÊNCIA TÉCNICA: 06/2025</v>
      </c>
      <c r="C16" s="102"/>
      <c r="D16" s="101"/>
    </row>
    <row r="17" spans="1:254" s="97" customFormat="1" x14ac:dyDescent="0.2">
      <c r="A17" s="112"/>
      <c r="B17" s="112" t="str">
        <f>ORCAMENTO!B17</f>
        <v>ENCARGOS SOCIAIS: 92,17% (HORA) - 53,50% (MÊS)</v>
      </c>
      <c r="C17" s="102"/>
      <c r="D17" s="101"/>
    </row>
    <row r="18" spans="1:254" s="97" customFormat="1" x14ac:dyDescent="0.2">
      <c r="A18" s="163"/>
      <c r="B18" s="163"/>
      <c r="C18" s="102"/>
      <c r="D18" s="101"/>
      <c r="E18" s="37"/>
      <c r="F18" s="103"/>
    </row>
    <row r="19" spans="1:254" s="107" customFormat="1" x14ac:dyDescent="0.2">
      <c r="A19" s="655" t="s">
        <v>47011</v>
      </c>
      <c r="B19" s="656"/>
      <c r="C19" s="656"/>
      <c r="D19" s="657"/>
    </row>
    <row r="20" spans="1:254" s="115" customFormat="1" x14ac:dyDescent="0.2">
      <c r="A20" s="658" t="s">
        <v>52</v>
      </c>
      <c r="B20" s="658" t="s">
        <v>5917</v>
      </c>
      <c r="C20" s="660" t="s">
        <v>47012</v>
      </c>
      <c r="D20" s="660"/>
      <c r="E20" s="397"/>
      <c r="F20" s="397"/>
      <c r="G20" s="397"/>
      <c r="H20" s="397"/>
      <c r="I20" s="397"/>
      <c r="J20" s="397"/>
      <c r="K20" s="397"/>
      <c r="L20" s="397"/>
      <c r="M20" s="397"/>
      <c r="N20" s="397"/>
      <c r="O20" s="397"/>
      <c r="P20" s="397"/>
      <c r="Q20" s="397"/>
      <c r="R20" s="397"/>
      <c r="S20" s="397"/>
      <c r="T20" s="397"/>
      <c r="U20" s="397"/>
      <c r="V20" s="397"/>
      <c r="W20" s="397"/>
      <c r="X20" s="397"/>
      <c r="Y20" s="397"/>
      <c r="Z20" s="397"/>
      <c r="AA20" s="397"/>
      <c r="AB20" s="397"/>
      <c r="AC20" s="397"/>
      <c r="AD20" s="397"/>
      <c r="AE20" s="397"/>
      <c r="AF20" s="397"/>
      <c r="AG20" s="397"/>
      <c r="AH20" s="397"/>
      <c r="AI20" s="397"/>
      <c r="AJ20" s="397"/>
      <c r="AK20" s="397"/>
      <c r="AL20" s="397"/>
      <c r="AM20" s="397"/>
      <c r="AN20" s="397"/>
      <c r="AO20" s="397"/>
      <c r="AP20" s="397"/>
      <c r="AQ20" s="397"/>
      <c r="AR20" s="397"/>
      <c r="AS20" s="397"/>
      <c r="AT20" s="397"/>
      <c r="AU20" s="397"/>
      <c r="AV20" s="397"/>
      <c r="AW20" s="397"/>
      <c r="AX20" s="397"/>
      <c r="AY20" s="397"/>
      <c r="AZ20" s="397"/>
      <c r="BA20" s="397"/>
      <c r="BB20" s="397"/>
      <c r="BC20" s="397"/>
      <c r="BD20" s="397"/>
      <c r="BE20" s="397"/>
      <c r="BF20" s="397"/>
      <c r="BG20" s="397"/>
      <c r="BH20" s="397"/>
      <c r="BI20" s="397"/>
      <c r="BJ20" s="397"/>
      <c r="BK20" s="397"/>
      <c r="BL20" s="397"/>
      <c r="BM20" s="397"/>
      <c r="BN20" s="397"/>
      <c r="BO20" s="397"/>
      <c r="BP20" s="397"/>
      <c r="BQ20" s="397"/>
      <c r="BR20" s="397"/>
      <c r="BS20" s="397"/>
      <c r="BT20" s="397"/>
      <c r="BU20" s="397"/>
      <c r="BV20" s="397"/>
      <c r="BW20" s="397"/>
      <c r="BX20" s="397"/>
      <c r="BY20" s="397"/>
      <c r="BZ20" s="397"/>
      <c r="CA20" s="397"/>
      <c r="CB20" s="397"/>
      <c r="CC20" s="397"/>
      <c r="CD20" s="397"/>
      <c r="CE20" s="397"/>
      <c r="CF20" s="397"/>
      <c r="CG20" s="397"/>
      <c r="CH20" s="397"/>
      <c r="CI20" s="397"/>
      <c r="CJ20" s="397"/>
      <c r="CK20" s="397"/>
      <c r="CL20" s="397"/>
      <c r="CM20" s="397"/>
      <c r="CN20" s="397"/>
      <c r="CO20" s="397"/>
      <c r="CP20" s="397"/>
      <c r="CQ20" s="397"/>
      <c r="CR20" s="397"/>
      <c r="CS20" s="397"/>
      <c r="CT20" s="397"/>
      <c r="CU20" s="397"/>
      <c r="CV20" s="397"/>
      <c r="CW20" s="397"/>
      <c r="CX20" s="397"/>
      <c r="CY20" s="397"/>
      <c r="CZ20" s="397"/>
      <c r="DA20" s="397"/>
      <c r="DB20" s="397"/>
      <c r="DC20" s="397"/>
      <c r="DD20" s="397"/>
      <c r="DE20" s="397"/>
      <c r="DF20" s="397"/>
      <c r="DG20" s="397"/>
      <c r="DH20" s="397"/>
      <c r="DI20" s="397"/>
      <c r="DJ20" s="397"/>
      <c r="DK20" s="397"/>
      <c r="DL20" s="397"/>
      <c r="DM20" s="397"/>
      <c r="DN20" s="397"/>
      <c r="DO20" s="397"/>
      <c r="DP20" s="397"/>
      <c r="DQ20" s="397"/>
      <c r="DR20" s="397"/>
      <c r="DS20" s="397"/>
      <c r="DT20" s="397"/>
      <c r="DU20" s="397"/>
      <c r="DV20" s="397"/>
      <c r="DW20" s="397"/>
      <c r="DX20" s="397"/>
      <c r="DY20" s="397"/>
      <c r="DZ20" s="397"/>
      <c r="EA20" s="397"/>
      <c r="EB20" s="397"/>
      <c r="EC20" s="397"/>
      <c r="ED20" s="397"/>
      <c r="EE20" s="397"/>
      <c r="EF20" s="397"/>
      <c r="EG20" s="397"/>
      <c r="EH20" s="397"/>
      <c r="EI20" s="397"/>
      <c r="EJ20" s="397"/>
      <c r="EK20" s="397"/>
      <c r="EL20" s="397"/>
      <c r="EM20" s="397"/>
      <c r="EN20" s="397"/>
      <c r="EO20" s="397"/>
      <c r="EP20" s="397"/>
      <c r="EQ20" s="397"/>
      <c r="ER20" s="397"/>
      <c r="ES20" s="397"/>
      <c r="ET20" s="397"/>
      <c r="EU20" s="397"/>
      <c r="EV20" s="397"/>
      <c r="EW20" s="397"/>
      <c r="EX20" s="397"/>
      <c r="EY20" s="397"/>
      <c r="EZ20" s="397"/>
      <c r="FA20" s="397"/>
      <c r="FB20" s="397"/>
      <c r="FC20" s="397"/>
      <c r="FD20" s="397"/>
      <c r="FE20" s="397"/>
      <c r="FF20" s="397"/>
      <c r="FG20" s="397"/>
      <c r="FH20" s="397"/>
      <c r="FI20" s="397"/>
      <c r="FJ20" s="397"/>
      <c r="FK20" s="397"/>
      <c r="FL20" s="397"/>
      <c r="FM20" s="397"/>
      <c r="FN20" s="397"/>
      <c r="FO20" s="397"/>
      <c r="FP20" s="397"/>
      <c r="FQ20" s="397"/>
      <c r="FR20" s="397"/>
      <c r="FS20" s="397"/>
      <c r="FT20" s="397"/>
      <c r="FU20" s="397"/>
      <c r="FV20" s="397"/>
      <c r="FW20" s="397"/>
      <c r="FX20" s="397"/>
      <c r="FY20" s="397"/>
      <c r="FZ20" s="397"/>
      <c r="GA20" s="397"/>
      <c r="GB20" s="397"/>
      <c r="GC20" s="397"/>
      <c r="GD20" s="397"/>
      <c r="GE20" s="397"/>
      <c r="GF20" s="397"/>
      <c r="GG20" s="397"/>
      <c r="GH20" s="397"/>
      <c r="GI20" s="397"/>
      <c r="GJ20" s="397"/>
      <c r="GK20" s="397"/>
      <c r="GL20" s="397"/>
      <c r="GM20" s="397"/>
      <c r="GN20" s="397"/>
      <c r="GO20" s="397"/>
      <c r="GP20" s="397"/>
      <c r="GQ20" s="397"/>
      <c r="GR20" s="397"/>
      <c r="GS20" s="397"/>
      <c r="GT20" s="397"/>
      <c r="GU20" s="397"/>
      <c r="GV20" s="397"/>
      <c r="GW20" s="397"/>
      <c r="GX20" s="397"/>
      <c r="GY20" s="397"/>
      <c r="GZ20" s="397"/>
      <c r="HA20" s="397"/>
      <c r="HB20" s="397"/>
      <c r="HC20" s="397"/>
      <c r="HD20" s="397"/>
      <c r="HE20" s="397"/>
      <c r="HF20" s="397"/>
      <c r="HG20" s="397"/>
      <c r="HH20" s="397"/>
      <c r="HI20" s="397"/>
      <c r="HJ20" s="397"/>
      <c r="HK20" s="397"/>
      <c r="HL20" s="397"/>
      <c r="HM20" s="397"/>
      <c r="HN20" s="397"/>
      <c r="HO20" s="397"/>
      <c r="HP20" s="397"/>
      <c r="HQ20" s="397"/>
      <c r="HR20" s="397"/>
      <c r="HS20" s="397"/>
      <c r="HT20" s="397"/>
      <c r="HU20" s="397"/>
      <c r="HV20" s="397"/>
      <c r="HW20" s="397"/>
      <c r="HX20" s="397"/>
      <c r="HY20" s="397"/>
      <c r="HZ20" s="397"/>
      <c r="IA20" s="397"/>
      <c r="IB20" s="397"/>
      <c r="IC20" s="397"/>
      <c r="ID20" s="397"/>
      <c r="IE20" s="397"/>
      <c r="IF20" s="397"/>
      <c r="IG20" s="397"/>
      <c r="IH20" s="397"/>
      <c r="II20" s="397"/>
      <c r="IJ20" s="397"/>
      <c r="IK20" s="397"/>
      <c r="IL20" s="397"/>
      <c r="IM20" s="397"/>
      <c r="IN20" s="397"/>
      <c r="IO20" s="397"/>
      <c r="IP20" s="397"/>
      <c r="IQ20" s="397"/>
      <c r="IR20" s="397"/>
      <c r="IS20" s="397"/>
      <c r="IT20" s="397"/>
    </row>
    <row r="21" spans="1:254" s="115" customFormat="1" x14ac:dyDescent="0.2">
      <c r="A21" s="659"/>
      <c r="B21" s="659"/>
      <c r="C21" s="398" t="s">
        <v>47013</v>
      </c>
      <c r="D21" s="398" t="s">
        <v>47014</v>
      </c>
      <c r="E21" s="397"/>
      <c r="F21" s="397"/>
      <c r="G21" s="397"/>
      <c r="H21" s="397"/>
      <c r="I21" s="397"/>
      <c r="J21" s="397"/>
      <c r="K21" s="397"/>
      <c r="L21" s="397"/>
      <c r="M21" s="397"/>
      <c r="N21" s="397"/>
      <c r="O21" s="397"/>
      <c r="P21" s="397"/>
      <c r="Q21" s="397"/>
      <c r="R21" s="397"/>
      <c r="S21" s="397"/>
      <c r="T21" s="397"/>
      <c r="U21" s="397"/>
      <c r="V21" s="397"/>
      <c r="W21" s="397"/>
      <c r="X21" s="397"/>
      <c r="Y21" s="397"/>
      <c r="Z21" s="397"/>
      <c r="AA21" s="397"/>
      <c r="AB21" s="397"/>
      <c r="AC21" s="397"/>
      <c r="AD21" s="397"/>
      <c r="AE21" s="397"/>
      <c r="AF21" s="397"/>
      <c r="AG21" s="397"/>
      <c r="AH21" s="397"/>
      <c r="AI21" s="397"/>
      <c r="AJ21" s="397"/>
      <c r="AK21" s="397"/>
      <c r="AL21" s="397"/>
      <c r="AM21" s="397"/>
      <c r="AN21" s="397"/>
      <c r="AO21" s="397"/>
      <c r="AP21" s="397"/>
      <c r="AQ21" s="397"/>
      <c r="AR21" s="397"/>
      <c r="AS21" s="397"/>
      <c r="AT21" s="397"/>
      <c r="AU21" s="397"/>
      <c r="AV21" s="397"/>
      <c r="AW21" s="397"/>
      <c r="AX21" s="397"/>
      <c r="AY21" s="397"/>
      <c r="AZ21" s="397"/>
      <c r="BA21" s="397"/>
      <c r="BB21" s="397"/>
      <c r="BC21" s="397"/>
      <c r="BD21" s="397"/>
      <c r="BE21" s="397"/>
      <c r="BF21" s="397"/>
      <c r="BG21" s="397"/>
      <c r="BH21" s="397"/>
      <c r="BI21" s="397"/>
      <c r="BJ21" s="397"/>
      <c r="BK21" s="397"/>
      <c r="BL21" s="397"/>
      <c r="BM21" s="397"/>
      <c r="BN21" s="397"/>
      <c r="BO21" s="397"/>
      <c r="BP21" s="397"/>
      <c r="BQ21" s="397"/>
      <c r="BR21" s="397"/>
      <c r="BS21" s="397"/>
      <c r="BT21" s="397"/>
      <c r="BU21" s="397"/>
      <c r="BV21" s="397"/>
      <c r="BW21" s="397"/>
      <c r="BX21" s="397"/>
      <c r="BY21" s="397"/>
      <c r="BZ21" s="397"/>
      <c r="CA21" s="397"/>
      <c r="CB21" s="397"/>
      <c r="CC21" s="397"/>
      <c r="CD21" s="397"/>
      <c r="CE21" s="397"/>
      <c r="CF21" s="397"/>
      <c r="CG21" s="397"/>
      <c r="CH21" s="397"/>
      <c r="CI21" s="397"/>
      <c r="CJ21" s="397"/>
      <c r="CK21" s="397"/>
      <c r="CL21" s="397"/>
      <c r="CM21" s="397"/>
      <c r="CN21" s="397"/>
      <c r="CO21" s="397"/>
      <c r="CP21" s="397"/>
      <c r="CQ21" s="397"/>
      <c r="CR21" s="397"/>
      <c r="CS21" s="397"/>
      <c r="CT21" s="397"/>
      <c r="CU21" s="397"/>
      <c r="CV21" s="397"/>
      <c r="CW21" s="397"/>
      <c r="CX21" s="397"/>
      <c r="CY21" s="397"/>
      <c r="CZ21" s="397"/>
      <c r="DA21" s="397"/>
      <c r="DB21" s="397"/>
      <c r="DC21" s="397"/>
      <c r="DD21" s="397"/>
      <c r="DE21" s="397"/>
      <c r="DF21" s="397"/>
      <c r="DG21" s="397"/>
      <c r="DH21" s="397"/>
      <c r="DI21" s="397"/>
      <c r="DJ21" s="397"/>
      <c r="DK21" s="397"/>
      <c r="DL21" s="397"/>
      <c r="DM21" s="397"/>
      <c r="DN21" s="397"/>
      <c r="DO21" s="397"/>
      <c r="DP21" s="397"/>
      <c r="DQ21" s="397"/>
      <c r="DR21" s="397"/>
      <c r="DS21" s="397"/>
      <c r="DT21" s="397"/>
      <c r="DU21" s="397"/>
      <c r="DV21" s="397"/>
      <c r="DW21" s="397"/>
      <c r="DX21" s="397"/>
      <c r="DY21" s="397"/>
      <c r="DZ21" s="397"/>
      <c r="EA21" s="397"/>
      <c r="EB21" s="397"/>
      <c r="EC21" s="397"/>
      <c r="ED21" s="397"/>
      <c r="EE21" s="397"/>
      <c r="EF21" s="397"/>
      <c r="EG21" s="397"/>
      <c r="EH21" s="397"/>
      <c r="EI21" s="397"/>
      <c r="EJ21" s="397"/>
      <c r="EK21" s="397"/>
      <c r="EL21" s="397"/>
      <c r="EM21" s="397"/>
      <c r="EN21" s="397"/>
      <c r="EO21" s="397"/>
      <c r="EP21" s="397"/>
      <c r="EQ21" s="397"/>
      <c r="ER21" s="397"/>
      <c r="ES21" s="397"/>
      <c r="ET21" s="397"/>
      <c r="EU21" s="397"/>
      <c r="EV21" s="397"/>
      <c r="EW21" s="397"/>
      <c r="EX21" s="397"/>
      <c r="EY21" s="397"/>
      <c r="EZ21" s="397"/>
      <c r="FA21" s="397"/>
      <c r="FB21" s="397"/>
      <c r="FC21" s="397"/>
      <c r="FD21" s="397"/>
      <c r="FE21" s="397"/>
      <c r="FF21" s="397"/>
      <c r="FG21" s="397"/>
      <c r="FH21" s="397"/>
      <c r="FI21" s="397"/>
      <c r="FJ21" s="397"/>
      <c r="FK21" s="397"/>
      <c r="FL21" s="397"/>
      <c r="FM21" s="397"/>
      <c r="FN21" s="397"/>
      <c r="FO21" s="397"/>
      <c r="FP21" s="397"/>
      <c r="FQ21" s="397"/>
      <c r="FR21" s="397"/>
      <c r="FS21" s="397"/>
      <c r="FT21" s="397"/>
      <c r="FU21" s="397"/>
      <c r="FV21" s="397"/>
      <c r="FW21" s="397"/>
      <c r="FX21" s="397"/>
      <c r="FY21" s="397"/>
      <c r="FZ21" s="397"/>
      <c r="GA21" s="397"/>
      <c r="GB21" s="397"/>
      <c r="GC21" s="397"/>
      <c r="GD21" s="397"/>
      <c r="GE21" s="397"/>
      <c r="GF21" s="397"/>
      <c r="GG21" s="397"/>
      <c r="GH21" s="397"/>
      <c r="GI21" s="397"/>
      <c r="GJ21" s="397"/>
      <c r="GK21" s="397"/>
      <c r="GL21" s="397"/>
      <c r="GM21" s="397"/>
      <c r="GN21" s="397"/>
      <c r="GO21" s="397"/>
      <c r="GP21" s="397"/>
      <c r="GQ21" s="397"/>
      <c r="GR21" s="397"/>
      <c r="GS21" s="397"/>
      <c r="GT21" s="397"/>
      <c r="GU21" s="397"/>
      <c r="GV21" s="397"/>
      <c r="GW21" s="397"/>
      <c r="GX21" s="397"/>
      <c r="GY21" s="397"/>
      <c r="GZ21" s="397"/>
      <c r="HA21" s="397"/>
      <c r="HB21" s="397"/>
      <c r="HC21" s="397"/>
      <c r="HD21" s="397"/>
      <c r="HE21" s="397"/>
      <c r="HF21" s="397"/>
      <c r="HG21" s="397"/>
      <c r="HH21" s="397"/>
      <c r="HI21" s="397"/>
      <c r="HJ21" s="397"/>
      <c r="HK21" s="397"/>
      <c r="HL21" s="397"/>
      <c r="HM21" s="397"/>
      <c r="HN21" s="397"/>
      <c r="HO21" s="397"/>
      <c r="HP21" s="397"/>
      <c r="HQ21" s="397"/>
      <c r="HR21" s="397"/>
      <c r="HS21" s="397"/>
      <c r="HT21" s="397"/>
      <c r="HU21" s="397"/>
      <c r="HV21" s="397"/>
      <c r="HW21" s="397"/>
      <c r="HX21" s="397"/>
      <c r="HY21" s="397"/>
      <c r="HZ21" s="397"/>
      <c r="IA21" s="397"/>
      <c r="IB21" s="397"/>
      <c r="IC21" s="397"/>
      <c r="ID21" s="397"/>
      <c r="IE21" s="397"/>
      <c r="IF21" s="397"/>
      <c r="IG21" s="397"/>
      <c r="IH21" s="397"/>
      <c r="II21" s="397"/>
      <c r="IJ21" s="397"/>
      <c r="IK21" s="397"/>
      <c r="IL21" s="397"/>
      <c r="IM21" s="397"/>
      <c r="IN21" s="397"/>
      <c r="IO21" s="397"/>
      <c r="IP21" s="397"/>
      <c r="IQ21" s="397"/>
      <c r="IR21" s="397"/>
      <c r="IS21" s="397"/>
      <c r="IT21" s="397"/>
    </row>
    <row r="22" spans="1:254" s="115" customFormat="1" x14ac:dyDescent="0.2">
      <c r="A22" s="661" t="s">
        <v>47015</v>
      </c>
      <c r="B22" s="662"/>
      <c r="C22" s="662"/>
      <c r="D22" s="663"/>
    </row>
    <row r="23" spans="1:254" x14ac:dyDescent="0.2">
      <c r="A23" s="399" t="s">
        <v>47016</v>
      </c>
      <c r="B23" s="400" t="s">
        <v>47017</v>
      </c>
      <c r="C23" s="401">
        <v>0</v>
      </c>
      <c r="D23" s="401">
        <v>0</v>
      </c>
    </row>
    <row r="24" spans="1:254" x14ac:dyDescent="0.2">
      <c r="A24" s="399" t="s">
        <v>47018</v>
      </c>
      <c r="B24" s="400" t="s">
        <v>47019</v>
      </c>
      <c r="C24" s="401">
        <v>1.4999999999999999E-2</v>
      </c>
      <c r="D24" s="401">
        <v>1.4999999999999999E-2</v>
      </c>
    </row>
    <row r="25" spans="1:254" x14ac:dyDescent="0.2">
      <c r="A25" s="399" t="s">
        <v>47020</v>
      </c>
      <c r="B25" s="400" t="s">
        <v>47021</v>
      </c>
      <c r="C25" s="401">
        <v>0.01</v>
      </c>
      <c r="D25" s="401">
        <v>0.01</v>
      </c>
    </row>
    <row r="26" spans="1:254" x14ac:dyDescent="0.2">
      <c r="A26" s="399" t="s">
        <v>47022</v>
      </c>
      <c r="B26" s="400" t="s">
        <v>47023</v>
      </c>
      <c r="C26" s="401">
        <v>2E-3</v>
      </c>
      <c r="D26" s="401">
        <v>2E-3</v>
      </c>
    </row>
    <row r="27" spans="1:254" x14ac:dyDescent="0.2">
      <c r="A27" s="399" t="s">
        <v>47024</v>
      </c>
      <c r="B27" s="400" t="s">
        <v>47025</v>
      </c>
      <c r="C27" s="401">
        <v>6.0000000000000001E-3</v>
      </c>
      <c r="D27" s="401">
        <v>6.0000000000000001E-3</v>
      </c>
    </row>
    <row r="28" spans="1:254" x14ac:dyDescent="0.2">
      <c r="A28" s="399" t="s">
        <v>47026</v>
      </c>
      <c r="B28" s="400" t="s">
        <v>47027</v>
      </c>
      <c r="C28" s="401">
        <v>2.5000000000000001E-2</v>
      </c>
      <c r="D28" s="401">
        <v>2.5000000000000001E-2</v>
      </c>
    </row>
    <row r="29" spans="1:254" x14ac:dyDescent="0.2">
      <c r="A29" s="399" t="s">
        <v>47028</v>
      </c>
      <c r="B29" s="400" t="s">
        <v>47029</v>
      </c>
      <c r="C29" s="401">
        <v>0.03</v>
      </c>
      <c r="D29" s="401">
        <v>0.03</v>
      </c>
    </row>
    <row r="30" spans="1:254" x14ac:dyDescent="0.2">
      <c r="A30" s="399" t="s">
        <v>47030</v>
      </c>
      <c r="B30" s="400" t="s">
        <v>47031</v>
      </c>
      <c r="C30" s="401">
        <v>0.08</v>
      </c>
      <c r="D30" s="401">
        <v>0.08</v>
      </c>
    </row>
    <row r="31" spans="1:254" x14ac:dyDescent="0.2">
      <c r="A31" s="399" t="s">
        <v>47032</v>
      </c>
      <c r="B31" s="400" t="s">
        <v>47033</v>
      </c>
      <c r="C31" s="401">
        <v>0</v>
      </c>
      <c r="D31" s="401">
        <v>0</v>
      </c>
    </row>
    <row r="32" spans="1:254" x14ac:dyDescent="0.2">
      <c r="A32" s="402" t="s">
        <v>47034</v>
      </c>
      <c r="B32" s="403" t="s">
        <v>39168</v>
      </c>
      <c r="C32" s="404">
        <f>SUM(C23:C31)</f>
        <v>0.16799999999999998</v>
      </c>
      <c r="D32" s="404">
        <f>SUM(D23:D31)</f>
        <v>0.16799999999999998</v>
      </c>
      <c r="E32" s="163"/>
      <c r="F32" s="163"/>
      <c r="G32" s="163"/>
      <c r="H32" s="163"/>
      <c r="I32" s="163"/>
      <c r="J32" s="163"/>
      <c r="K32" s="163"/>
      <c r="L32" s="163"/>
      <c r="M32" s="163"/>
      <c r="N32" s="163"/>
      <c r="O32" s="163"/>
      <c r="P32" s="163"/>
      <c r="Q32" s="163"/>
      <c r="R32" s="163"/>
      <c r="S32" s="163"/>
      <c r="T32" s="163"/>
      <c r="U32" s="163"/>
      <c r="V32" s="163"/>
      <c r="W32" s="163"/>
      <c r="X32" s="163"/>
      <c r="Y32" s="163"/>
      <c r="Z32" s="163"/>
      <c r="AA32" s="163"/>
      <c r="AB32" s="163"/>
      <c r="AC32" s="163"/>
      <c r="AD32" s="163"/>
      <c r="AE32" s="163"/>
      <c r="AF32" s="163"/>
      <c r="AG32" s="163"/>
      <c r="AH32" s="163"/>
      <c r="AI32" s="163"/>
      <c r="AJ32" s="163"/>
      <c r="AK32" s="163"/>
      <c r="AL32" s="163"/>
      <c r="AM32" s="163"/>
      <c r="AN32" s="163"/>
      <c r="AO32" s="163"/>
      <c r="AP32" s="163"/>
      <c r="AQ32" s="163"/>
      <c r="AR32" s="163"/>
      <c r="AS32" s="163"/>
      <c r="AT32" s="163"/>
      <c r="AU32" s="163"/>
      <c r="AV32" s="163"/>
      <c r="AW32" s="163"/>
      <c r="AX32" s="163"/>
      <c r="AY32" s="163"/>
      <c r="AZ32" s="163"/>
      <c r="BA32" s="163"/>
      <c r="BB32" s="163"/>
      <c r="BC32" s="163"/>
      <c r="BD32" s="163"/>
      <c r="BE32" s="163"/>
      <c r="BF32" s="163"/>
      <c r="BG32" s="163"/>
      <c r="BH32" s="163"/>
      <c r="BI32" s="163"/>
      <c r="BJ32" s="163"/>
      <c r="BK32" s="163"/>
      <c r="BL32" s="163"/>
      <c r="BM32" s="163"/>
      <c r="BN32" s="163"/>
      <c r="BO32" s="163"/>
      <c r="BP32" s="163"/>
      <c r="BQ32" s="163"/>
      <c r="BR32" s="163"/>
      <c r="BS32" s="163"/>
      <c r="BT32" s="163"/>
      <c r="BU32" s="163"/>
      <c r="BV32" s="163"/>
      <c r="BW32" s="163"/>
      <c r="BX32" s="163"/>
      <c r="BY32" s="163"/>
      <c r="BZ32" s="163"/>
      <c r="CA32" s="163"/>
      <c r="CB32" s="163"/>
      <c r="CC32" s="163"/>
      <c r="CD32" s="163"/>
      <c r="CE32" s="163"/>
      <c r="CF32" s="163"/>
      <c r="CG32" s="163"/>
      <c r="CH32" s="163"/>
      <c r="CI32" s="163"/>
      <c r="CJ32" s="163"/>
      <c r="CK32" s="163"/>
      <c r="CL32" s="163"/>
      <c r="CM32" s="163"/>
      <c r="CN32" s="163"/>
      <c r="CO32" s="163"/>
      <c r="CP32" s="163"/>
      <c r="CQ32" s="163"/>
      <c r="CR32" s="163"/>
      <c r="CS32" s="163"/>
      <c r="CT32" s="163"/>
      <c r="CU32" s="163"/>
      <c r="CV32" s="163"/>
      <c r="CW32" s="163"/>
      <c r="CX32" s="163"/>
      <c r="CY32" s="163"/>
      <c r="CZ32" s="163"/>
      <c r="DA32" s="163"/>
      <c r="DB32" s="163"/>
      <c r="DC32" s="163"/>
      <c r="DD32" s="163"/>
      <c r="DE32" s="163"/>
      <c r="DF32" s="163"/>
      <c r="DG32" s="163"/>
      <c r="DH32" s="163"/>
      <c r="DI32" s="163"/>
      <c r="DJ32" s="163"/>
      <c r="DK32" s="163"/>
      <c r="DL32" s="163"/>
      <c r="DM32" s="163"/>
      <c r="DN32" s="163"/>
      <c r="DO32" s="163"/>
      <c r="DP32" s="163"/>
      <c r="DQ32" s="163"/>
      <c r="DR32" s="163"/>
      <c r="DS32" s="163"/>
      <c r="DT32" s="163"/>
      <c r="DU32" s="163"/>
      <c r="DV32" s="163"/>
      <c r="DW32" s="163"/>
      <c r="DX32" s="163"/>
      <c r="DY32" s="163"/>
      <c r="DZ32" s="163"/>
      <c r="EA32" s="163"/>
      <c r="EB32" s="163"/>
      <c r="EC32" s="163"/>
      <c r="ED32" s="163"/>
      <c r="EE32" s="163"/>
      <c r="EF32" s="163"/>
      <c r="EG32" s="163"/>
      <c r="EH32" s="163"/>
      <c r="EI32" s="163"/>
      <c r="EJ32" s="163"/>
      <c r="EK32" s="163"/>
      <c r="EL32" s="163"/>
      <c r="EM32" s="163"/>
      <c r="EN32" s="163"/>
      <c r="EO32" s="163"/>
      <c r="EP32" s="163"/>
      <c r="EQ32" s="163"/>
      <c r="ER32" s="163"/>
      <c r="ES32" s="163"/>
      <c r="ET32" s="163"/>
      <c r="EU32" s="163"/>
      <c r="EV32" s="163"/>
      <c r="EW32" s="163"/>
      <c r="EX32" s="163"/>
      <c r="EY32" s="163"/>
      <c r="EZ32" s="163"/>
      <c r="FA32" s="163"/>
      <c r="FB32" s="163"/>
      <c r="FC32" s="163"/>
      <c r="FD32" s="163"/>
      <c r="FE32" s="163"/>
      <c r="FF32" s="163"/>
      <c r="FG32" s="163"/>
      <c r="FH32" s="163"/>
      <c r="FI32" s="163"/>
      <c r="FJ32" s="163"/>
      <c r="FK32" s="163"/>
      <c r="FL32" s="163"/>
      <c r="FM32" s="163"/>
      <c r="FN32" s="163"/>
      <c r="FO32" s="163"/>
      <c r="FP32" s="163"/>
      <c r="FQ32" s="163"/>
      <c r="FR32" s="163"/>
      <c r="FS32" s="163"/>
      <c r="FT32" s="163"/>
      <c r="FU32" s="163"/>
      <c r="FV32" s="163"/>
      <c r="FW32" s="163"/>
      <c r="FX32" s="163"/>
      <c r="FY32" s="163"/>
      <c r="FZ32" s="163"/>
      <c r="GA32" s="163"/>
      <c r="GB32" s="163"/>
      <c r="GC32" s="163"/>
      <c r="GD32" s="163"/>
      <c r="GE32" s="163"/>
      <c r="GF32" s="163"/>
      <c r="GG32" s="163"/>
      <c r="GH32" s="163"/>
      <c r="GI32" s="163"/>
      <c r="GJ32" s="163"/>
      <c r="GK32" s="163"/>
      <c r="GL32" s="163"/>
      <c r="GM32" s="163"/>
      <c r="GN32" s="163"/>
      <c r="GO32" s="163"/>
      <c r="GP32" s="163"/>
      <c r="GQ32" s="163"/>
      <c r="GR32" s="163"/>
      <c r="GS32" s="163"/>
      <c r="GT32" s="163"/>
      <c r="GU32" s="163"/>
      <c r="GV32" s="163"/>
      <c r="GW32" s="163"/>
      <c r="GX32" s="163"/>
      <c r="GY32" s="163"/>
      <c r="GZ32" s="163"/>
      <c r="HA32" s="163"/>
      <c r="HB32" s="163"/>
      <c r="HC32" s="163"/>
      <c r="HD32" s="163"/>
      <c r="HE32" s="163"/>
      <c r="HF32" s="163"/>
      <c r="HG32" s="163"/>
      <c r="HH32" s="163"/>
      <c r="HI32" s="163"/>
      <c r="HJ32" s="163"/>
      <c r="HK32" s="163"/>
      <c r="HL32" s="163"/>
      <c r="HM32" s="163"/>
      <c r="HN32" s="163"/>
      <c r="HO32" s="163"/>
      <c r="HP32" s="163"/>
      <c r="HQ32" s="163"/>
      <c r="HR32" s="163"/>
      <c r="HS32" s="163"/>
      <c r="HT32" s="163"/>
      <c r="HU32" s="163"/>
      <c r="HV32" s="163"/>
      <c r="HW32" s="163"/>
      <c r="HX32" s="163"/>
      <c r="HY32" s="163"/>
      <c r="HZ32" s="163"/>
      <c r="IA32" s="163"/>
      <c r="IB32" s="163"/>
      <c r="IC32" s="163"/>
      <c r="ID32" s="163"/>
      <c r="IE32" s="163"/>
      <c r="IF32" s="163"/>
      <c r="IG32" s="163"/>
      <c r="IH32" s="163"/>
      <c r="II32" s="163"/>
      <c r="IJ32" s="163"/>
      <c r="IK32" s="163"/>
      <c r="IL32" s="163"/>
      <c r="IM32" s="163"/>
      <c r="IN32" s="163"/>
      <c r="IO32" s="163"/>
      <c r="IP32" s="163"/>
      <c r="IQ32" s="163"/>
      <c r="IR32" s="163"/>
      <c r="IS32" s="163"/>
      <c r="IT32" s="163"/>
    </row>
    <row r="33" spans="1:254" s="115" customFormat="1" x14ac:dyDescent="0.2">
      <c r="A33" s="661" t="s">
        <v>47035</v>
      </c>
      <c r="B33" s="662"/>
      <c r="C33" s="662"/>
      <c r="D33" s="663"/>
    </row>
    <row r="34" spans="1:254" x14ac:dyDescent="0.2">
      <c r="A34" s="399" t="s">
        <v>47036</v>
      </c>
      <c r="B34" s="400" t="s">
        <v>47037</v>
      </c>
      <c r="C34" s="401">
        <v>0.17849999999999999</v>
      </c>
      <c r="D34" s="401">
        <v>0</v>
      </c>
    </row>
    <row r="35" spans="1:254" x14ac:dyDescent="0.2">
      <c r="A35" s="399" t="s">
        <v>47038</v>
      </c>
      <c r="B35" s="400" t="s">
        <v>47039</v>
      </c>
      <c r="C35" s="401">
        <v>3.7100000000000001E-2</v>
      </c>
      <c r="D35" s="401">
        <v>0</v>
      </c>
    </row>
    <row r="36" spans="1:254" x14ac:dyDescent="0.2">
      <c r="A36" s="399" t="s">
        <v>47040</v>
      </c>
      <c r="B36" s="400" t="s">
        <v>47041</v>
      </c>
      <c r="C36" s="401">
        <v>8.6999999999999994E-3</v>
      </c>
      <c r="D36" s="401">
        <v>6.6E-3</v>
      </c>
    </row>
    <row r="37" spans="1:254" x14ac:dyDescent="0.2">
      <c r="A37" s="399" t="s">
        <v>47042</v>
      </c>
      <c r="B37" s="400" t="s">
        <v>47043</v>
      </c>
      <c r="C37" s="401">
        <v>0.1103</v>
      </c>
      <c r="D37" s="401">
        <v>8.3299999999999999E-2</v>
      </c>
    </row>
    <row r="38" spans="1:254" x14ac:dyDescent="0.2">
      <c r="A38" s="399" t="s">
        <v>47044</v>
      </c>
      <c r="B38" s="400" t="s">
        <v>47045</v>
      </c>
      <c r="C38" s="401">
        <v>6.9999999999999999E-4</v>
      </c>
      <c r="D38" s="401">
        <v>5.0000000000000001E-4</v>
      </c>
    </row>
    <row r="39" spans="1:254" x14ac:dyDescent="0.2">
      <c r="A39" s="399" t="s">
        <v>47046</v>
      </c>
      <c r="B39" s="400" t="s">
        <v>47047</v>
      </c>
      <c r="C39" s="401">
        <v>7.4000000000000003E-3</v>
      </c>
      <c r="D39" s="401">
        <v>5.5999999999999999E-3</v>
      </c>
    </row>
    <row r="40" spans="1:254" x14ac:dyDescent="0.2">
      <c r="A40" s="399" t="s">
        <v>47048</v>
      </c>
      <c r="B40" s="400" t="s">
        <v>47049</v>
      </c>
      <c r="C40" s="401">
        <v>1.5900000000000001E-2</v>
      </c>
      <c r="D40" s="401">
        <v>0</v>
      </c>
    </row>
    <row r="41" spans="1:254" x14ac:dyDescent="0.2">
      <c r="A41" s="399" t="s">
        <v>47050</v>
      </c>
      <c r="B41" s="400" t="s">
        <v>47051</v>
      </c>
      <c r="C41" s="401">
        <v>1.1000000000000001E-3</v>
      </c>
      <c r="D41" s="401">
        <v>8.0000000000000004E-4</v>
      </c>
    </row>
    <row r="42" spans="1:254" x14ac:dyDescent="0.2">
      <c r="A42" s="399" t="s">
        <v>47052</v>
      </c>
      <c r="B42" s="400" t="s">
        <v>47053</v>
      </c>
      <c r="C42" s="401">
        <v>0.1235</v>
      </c>
      <c r="D42" s="401">
        <v>9.3299999999999994E-2</v>
      </c>
    </row>
    <row r="43" spans="1:254" x14ac:dyDescent="0.2">
      <c r="A43" s="399" t="s">
        <v>47054</v>
      </c>
      <c r="B43" s="400" t="s">
        <v>47055</v>
      </c>
      <c r="C43" s="401">
        <v>4.0000000000000002E-4</v>
      </c>
      <c r="D43" s="401">
        <v>2.9999999999999997E-4</v>
      </c>
    </row>
    <row r="44" spans="1:254" x14ac:dyDescent="0.2">
      <c r="A44" s="402" t="s">
        <v>47056</v>
      </c>
      <c r="B44" s="403" t="s">
        <v>39168</v>
      </c>
      <c r="C44" s="404">
        <f>SUM(C34:C43)</f>
        <v>0.48360000000000003</v>
      </c>
      <c r="D44" s="404">
        <f>SUM(D34:D43)</f>
        <v>0.19039999999999999</v>
      </c>
      <c r="E44" s="163"/>
      <c r="F44" s="163"/>
      <c r="G44" s="163"/>
      <c r="H44" s="163"/>
      <c r="I44" s="163"/>
      <c r="J44" s="163"/>
      <c r="K44" s="163"/>
      <c r="L44" s="163"/>
      <c r="M44" s="163"/>
      <c r="N44" s="163"/>
      <c r="O44" s="163"/>
      <c r="P44" s="163"/>
      <c r="Q44" s="163"/>
      <c r="R44" s="163"/>
      <c r="S44" s="163"/>
      <c r="T44" s="163"/>
      <c r="U44" s="163"/>
      <c r="V44" s="163"/>
      <c r="W44" s="163"/>
      <c r="X44" s="163"/>
      <c r="Y44" s="163"/>
      <c r="Z44" s="163"/>
      <c r="AA44" s="163"/>
      <c r="AB44" s="163"/>
      <c r="AC44" s="163"/>
      <c r="AD44" s="163"/>
      <c r="AE44" s="163"/>
      <c r="AF44" s="163"/>
      <c r="AG44" s="163"/>
      <c r="AH44" s="163"/>
      <c r="AI44" s="163"/>
      <c r="AJ44" s="163"/>
      <c r="AK44" s="163"/>
      <c r="AL44" s="163"/>
      <c r="AM44" s="163"/>
      <c r="AN44" s="163"/>
      <c r="AO44" s="163"/>
      <c r="AP44" s="163"/>
      <c r="AQ44" s="163"/>
      <c r="AR44" s="163"/>
      <c r="AS44" s="163"/>
      <c r="AT44" s="163"/>
      <c r="AU44" s="163"/>
      <c r="AV44" s="163"/>
      <c r="AW44" s="163"/>
      <c r="AX44" s="163"/>
      <c r="AY44" s="163"/>
      <c r="AZ44" s="163"/>
      <c r="BA44" s="163"/>
      <c r="BB44" s="163"/>
      <c r="BC44" s="163"/>
      <c r="BD44" s="163"/>
      <c r="BE44" s="163"/>
      <c r="BF44" s="163"/>
      <c r="BG44" s="163"/>
      <c r="BH44" s="163"/>
      <c r="BI44" s="163"/>
      <c r="BJ44" s="163"/>
      <c r="BK44" s="163"/>
      <c r="BL44" s="163"/>
      <c r="BM44" s="163"/>
      <c r="BN44" s="163"/>
      <c r="BO44" s="163"/>
      <c r="BP44" s="163"/>
      <c r="BQ44" s="163"/>
      <c r="BR44" s="163"/>
      <c r="BS44" s="163"/>
      <c r="BT44" s="163"/>
      <c r="BU44" s="163"/>
      <c r="BV44" s="163"/>
      <c r="BW44" s="163"/>
      <c r="BX44" s="163"/>
      <c r="BY44" s="163"/>
      <c r="BZ44" s="163"/>
      <c r="CA44" s="163"/>
      <c r="CB44" s="163"/>
      <c r="CC44" s="163"/>
      <c r="CD44" s="163"/>
      <c r="CE44" s="163"/>
      <c r="CF44" s="163"/>
      <c r="CG44" s="163"/>
      <c r="CH44" s="163"/>
      <c r="CI44" s="163"/>
      <c r="CJ44" s="163"/>
      <c r="CK44" s="163"/>
      <c r="CL44" s="163"/>
      <c r="CM44" s="163"/>
      <c r="CN44" s="163"/>
      <c r="CO44" s="163"/>
      <c r="CP44" s="163"/>
      <c r="CQ44" s="163"/>
      <c r="CR44" s="163"/>
      <c r="CS44" s="163"/>
      <c r="CT44" s="163"/>
      <c r="CU44" s="163"/>
      <c r="CV44" s="163"/>
      <c r="CW44" s="163"/>
      <c r="CX44" s="163"/>
      <c r="CY44" s="163"/>
      <c r="CZ44" s="163"/>
      <c r="DA44" s="163"/>
      <c r="DB44" s="163"/>
      <c r="DC44" s="163"/>
      <c r="DD44" s="163"/>
      <c r="DE44" s="163"/>
      <c r="DF44" s="163"/>
      <c r="DG44" s="163"/>
      <c r="DH44" s="163"/>
      <c r="DI44" s="163"/>
      <c r="DJ44" s="163"/>
      <c r="DK44" s="163"/>
      <c r="DL44" s="163"/>
      <c r="DM44" s="163"/>
      <c r="DN44" s="163"/>
      <c r="DO44" s="163"/>
      <c r="DP44" s="163"/>
      <c r="DQ44" s="163"/>
      <c r="DR44" s="163"/>
      <c r="DS44" s="163"/>
      <c r="DT44" s="163"/>
      <c r="DU44" s="163"/>
      <c r="DV44" s="163"/>
      <c r="DW44" s="163"/>
      <c r="DX44" s="163"/>
      <c r="DY44" s="163"/>
      <c r="DZ44" s="163"/>
      <c r="EA44" s="163"/>
      <c r="EB44" s="163"/>
      <c r="EC44" s="163"/>
      <c r="ED44" s="163"/>
      <c r="EE44" s="163"/>
      <c r="EF44" s="163"/>
      <c r="EG44" s="163"/>
      <c r="EH44" s="163"/>
      <c r="EI44" s="163"/>
      <c r="EJ44" s="163"/>
      <c r="EK44" s="163"/>
      <c r="EL44" s="163"/>
      <c r="EM44" s="163"/>
      <c r="EN44" s="163"/>
      <c r="EO44" s="163"/>
      <c r="EP44" s="163"/>
      <c r="EQ44" s="163"/>
      <c r="ER44" s="163"/>
      <c r="ES44" s="163"/>
      <c r="ET44" s="163"/>
      <c r="EU44" s="163"/>
      <c r="EV44" s="163"/>
      <c r="EW44" s="163"/>
      <c r="EX44" s="163"/>
      <c r="EY44" s="163"/>
      <c r="EZ44" s="163"/>
      <c r="FA44" s="163"/>
      <c r="FB44" s="163"/>
      <c r="FC44" s="163"/>
      <c r="FD44" s="163"/>
      <c r="FE44" s="163"/>
      <c r="FF44" s="163"/>
      <c r="FG44" s="163"/>
      <c r="FH44" s="163"/>
      <c r="FI44" s="163"/>
      <c r="FJ44" s="163"/>
      <c r="FK44" s="163"/>
      <c r="FL44" s="163"/>
      <c r="FM44" s="163"/>
      <c r="FN44" s="163"/>
      <c r="FO44" s="163"/>
      <c r="FP44" s="163"/>
      <c r="FQ44" s="163"/>
      <c r="FR44" s="163"/>
      <c r="FS44" s="163"/>
      <c r="FT44" s="163"/>
      <c r="FU44" s="163"/>
      <c r="FV44" s="163"/>
      <c r="FW44" s="163"/>
      <c r="FX44" s="163"/>
      <c r="FY44" s="163"/>
      <c r="FZ44" s="163"/>
      <c r="GA44" s="163"/>
      <c r="GB44" s="163"/>
      <c r="GC44" s="163"/>
      <c r="GD44" s="163"/>
      <c r="GE44" s="163"/>
      <c r="GF44" s="163"/>
      <c r="GG44" s="163"/>
      <c r="GH44" s="163"/>
      <c r="GI44" s="163"/>
      <c r="GJ44" s="163"/>
      <c r="GK44" s="163"/>
      <c r="GL44" s="163"/>
      <c r="GM44" s="163"/>
      <c r="GN44" s="163"/>
      <c r="GO44" s="163"/>
      <c r="GP44" s="163"/>
      <c r="GQ44" s="163"/>
      <c r="GR44" s="163"/>
      <c r="GS44" s="163"/>
      <c r="GT44" s="163"/>
      <c r="GU44" s="163"/>
      <c r="GV44" s="163"/>
      <c r="GW44" s="163"/>
      <c r="GX44" s="163"/>
      <c r="GY44" s="163"/>
      <c r="GZ44" s="163"/>
      <c r="HA44" s="163"/>
      <c r="HB44" s="163"/>
      <c r="HC44" s="163"/>
      <c r="HD44" s="163"/>
      <c r="HE44" s="163"/>
      <c r="HF44" s="163"/>
      <c r="HG44" s="163"/>
      <c r="HH44" s="163"/>
      <c r="HI44" s="163"/>
      <c r="HJ44" s="163"/>
      <c r="HK44" s="163"/>
      <c r="HL44" s="163"/>
      <c r="HM44" s="163"/>
      <c r="HN44" s="163"/>
      <c r="HO44" s="163"/>
      <c r="HP44" s="163"/>
      <c r="HQ44" s="163"/>
      <c r="HR44" s="163"/>
      <c r="HS44" s="163"/>
      <c r="HT44" s="163"/>
      <c r="HU44" s="163"/>
      <c r="HV44" s="163"/>
      <c r="HW44" s="163"/>
      <c r="HX44" s="163"/>
      <c r="HY44" s="163"/>
      <c r="HZ44" s="163"/>
      <c r="IA44" s="163"/>
      <c r="IB44" s="163"/>
      <c r="IC44" s="163"/>
      <c r="ID44" s="163"/>
      <c r="IE44" s="163"/>
      <c r="IF44" s="163"/>
      <c r="IG44" s="163"/>
      <c r="IH44" s="163"/>
      <c r="II44" s="163"/>
      <c r="IJ44" s="163"/>
      <c r="IK44" s="163"/>
      <c r="IL44" s="163"/>
      <c r="IM44" s="163"/>
      <c r="IN44" s="163"/>
      <c r="IO44" s="163"/>
      <c r="IP44" s="163"/>
      <c r="IQ44" s="163"/>
      <c r="IR44" s="163"/>
      <c r="IS44" s="163"/>
      <c r="IT44" s="163"/>
    </row>
    <row r="45" spans="1:254" s="115" customFormat="1" x14ac:dyDescent="0.2">
      <c r="A45" s="661" t="s">
        <v>47057</v>
      </c>
      <c r="B45" s="662"/>
      <c r="C45" s="662"/>
      <c r="D45" s="663"/>
    </row>
    <row r="46" spans="1:254" x14ac:dyDescent="0.2">
      <c r="A46" s="399" t="s">
        <v>47058</v>
      </c>
      <c r="B46" s="400" t="s">
        <v>47059</v>
      </c>
      <c r="C46" s="401">
        <v>5.5199999999999999E-2</v>
      </c>
      <c r="D46" s="401">
        <v>4.1700000000000001E-2</v>
      </c>
    </row>
    <row r="47" spans="1:254" x14ac:dyDescent="0.2">
      <c r="A47" s="399" t="s">
        <v>47060</v>
      </c>
      <c r="B47" s="400" t="s">
        <v>47061</v>
      </c>
      <c r="C47" s="401">
        <v>1.2999999999999999E-3</v>
      </c>
      <c r="D47" s="401">
        <v>1E-3</v>
      </c>
    </row>
    <row r="48" spans="1:254" x14ac:dyDescent="0.2">
      <c r="A48" s="399" t="s">
        <v>47062</v>
      </c>
      <c r="B48" s="400" t="s">
        <v>47063</v>
      </c>
      <c r="C48" s="401">
        <v>1.72E-2</v>
      </c>
      <c r="D48" s="401">
        <v>1.2999999999999999E-2</v>
      </c>
    </row>
    <row r="49" spans="1:254" x14ac:dyDescent="0.2">
      <c r="A49" s="399" t="s">
        <v>47064</v>
      </c>
      <c r="B49" s="400" t="s">
        <v>47065</v>
      </c>
      <c r="C49" s="401">
        <v>2.87E-2</v>
      </c>
      <c r="D49" s="401">
        <v>2.1700000000000001E-2</v>
      </c>
    </row>
    <row r="50" spans="1:254" x14ac:dyDescent="0.2">
      <c r="A50" s="399" t="s">
        <v>47066</v>
      </c>
      <c r="B50" s="400" t="s">
        <v>47067</v>
      </c>
      <c r="C50" s="401">
        <v>4.5999999999999999E-3</v>
      </c>
      <c r="D50" s="401">
        <v>3.5000000000000001E-3</v>
      </c>
    </row>
    <row r="51" spans="1:254" x14ac:dyDescent="0.2">
      <c r="A51" s="402" t="s">
        <v>47068</v>
      </c>
      <c r="B51" s="403" t="s">
        <v>39168</v>
      </c>
      <c r="C51" s="404">
        <f>SUM(C46:C50)</f>
        <v>0.10700000000000001</v>
      </c>
      <c r="D51" s="404">
        <f>SUM(D46:D50)</f>
        <v>8.09E-2</v>
      </c>
      <c r="E51" s="163"/>
      <c r="F51" s="163"/>
      <c r="G51" s="163"/>
      <c r="H51" s="163"/>
      <c r="I51" s="163"/>
      <c r="J51" s="163"/>
      <c r="K51" s="163"/>
      <c r="L51" s="163"/>
      <c r="M51" s="163"/>
      <c r="N51" s="163"/>
      <c r="O51" s="163"/>
      <c r="P51" s="163"/>
      <c r="Q51" s="163"/>
      <c r="R51" s="163"/>
      <c r="S51" s="163"/>
      <c r="T51" s="163"/>
      <c r="U51" s="163"/>
      <c r="V51" s="163"/>
      <c r="W51" s="163"/>
      <c r="X51" s="163"/>
      <c r="Y51" s="163"/>
      <c r="Z51" s="163"/>
      <c r="AA51" s="163"/>
      <c r="AB51" s="163"/>
      <c r="AC51" s="163"/>
      <c r="AD51" s="163"/>
      <c r="AE51" s="163"/>
      <c r="AF51" s="163"/>
      <c r="AG51" s="163"/>
      <c r="AH51" s="163"/>
      <c r="AI51" s="163"/>
      <c r="AJ51" s="163"/>
      <c r="AK51" s="163"/>
      <c r="AL51" s="163"/>
      <c r="AM51" s="163"/>
      <c r="AN51" s="163"/>
      <c r="AO51" s="163"/>
      <c r="AP51" s="163"/>
      <c r="AQ51" s="163"/>
      <c r="AR51" s="163"/>
      <c r="AS51" s="163"/>
      <c r="AT51" s="163"/>
      <c r="AU51" s="163"/>
      <c r="AV51" s="163"/>
      <c r="AW51" s="163"/>
      <c r="AX51" s="163"/>
      <c r="AY51" s="163"/>
      <c r="AZ51" s="163"/>
      <c r="BA51" s="163"/>
      <c r="BB51" s="163"/>
      <c r="BC51" s="163"/>
      <c r="BD51" s="163"/>
      <c r="BE51" s="163"/>
      <c r="BF51" s="163"/>
      <c r="BG51" s="163"/>
      <c r="BH51" s="163"/>
      <c r="BI51" s="163"/>
      <c r="BJ51" s="163"/>
      <c r="BK51" s="163"/>
      <c r="BL51" s="163"/>
      <c r="BM51" s="163"/>
      <c r="BN51" s="163"/>
      <c r="BO51" s="163"/>
      <c r="BP51" s="163"/>
      <c r="BQ51" s="163"/>
      <c r="BR51" s="163"/>
      <c r="BS51" s="163"/>
      <c r="BT51" s="163"/>
      <c r="BU51" s="163"/>
      <c r="BV51" s="163"/>
      <c r="BW51" s="163"/>
      <c r="BX51" s="163"/>
      <c r="BY51" s="163"/>
      <c r="BZ51" s="163"/>
      <c r="CA51" s="163"/>
      <c r="CB51" s="163"/>
      <c r="CC51" s="163"/>
      <c r="CD51" s="163"/>
      <c r="CE51" s="163"/>
      <c r="CF51" s="163"/>
      <c r="CG51" s="163"/>
      <c r="CH51" s="163"/>
      <c r="CI51" s="163"/>
      <c r="CJ51" s="163"/>
      <c r="CK51" s="163"/>
      <c r="CL51" s="163"/>
      <c r="CM51" s="163"/>
      <c r="CN51" s="163"/>
      <c r="CO51" s="163"/>
      <c r="CP51" s="163"/>
      <c r="CQ51" s="163"/>
      <c r="CR51" s="163"/>
      <c r="CS51" s="163"/>
      <c r="CT51" s="163"/>
      <c r="CU51" s="163"/>
      <c r="CV51" s="163"/>
      <c r="CW51" s="163"/>
      <c r="CX51" s="163"/>
      <c r="CY51" s="163"/>
      <c r="CZ51" s="163"/>
      <c r="DA51" s="163"/>
      <c r="DB51" s="163"/>
      <c r="DC51" s="163"/>
      <c r="DD51" s="163"/>
      <c r="DE51" s="163"/>
      <c r="DF51" s="163"/>
      <c r="DG51" s="163"/>
      <c r="DH51" s="163"/>
      <c r="DI51" s="163"/>
      <c r="DJ51" s="163"/>
      <c r="DK51" s="163"/>
      <c r="DL51" s="163"/>
      <c r="DM51" s="163"/>
      <c r="DN51" s="163"/>
      <c r="DO51" s="163"/>
      <c r="DP51" s="163"/>
      <c r="DQ51" s="163"/>
      <c r="DR51" s="163"/>
      <c r="DS51" s="163"/>
      <c r="DT51" s="163"/>
      <c r="DU51" s="163"/>
      <c r="DV51" s="163"/>
      <c r="DW51" s="163"/>
      <c r="DX51" s="163"/>
      <c r="DY51" s="163"/>
      <c r="DZ51" s="163"/>
      <c r="EA51" s="163"/>
      <c r="EB51" s="163"/>
      <c r="EC51" s="163"/>
      <c r="ED51" s="163"/>
      <c r="EE51" s="163"/>
      <c r="EF51" s="163"/>
      <c r="EG51" s="163"/>
      <c r="EH51" s="163"/>
      <c r="EI51" s="163"/>
      <c r="EJ51" s="163"/>
      <c r="EK51" s="163"/>
      <c r="EL51" s="163"/>
      <c r="EM51" s="163"/>
      <c r="EN51" s="163"/>
      <c r="EO51" s="163"/>
      <c r="EP51" s="163"/>
      <c r="EQ51" s="163"/>
      <c r="ER51" s="163"/>
      <c r="ES51" s="163"/>
      <c r="ET51" s="163"/>
      <c r="EU51" s="163"/>
      <c r="EV51" s="163"/>
      <c r="EW51" s="163"/>
      <c r="EX51" s="163"/>
      <c r="EY51" s="163"/>
      <c r="EZ51" s="163"/>
      <c r="FA51" s="163"/>
      <c r="FB51" s="163"/>
      <c r="FC51" s="163"/>
      <c r="FD51" s="163"/>
      <c r="FE51" s="163"/>
      <c r="FF51" s="163"/>
      <c r="FG51" s="163"/>
      <c r="FH51" s="163"/>
      <c r="FI51" s="163"/>
      <c r="FJ51" s="163"/>
      <c r="FK51" s="163"/>
      <c r="FL51" s="163"/>
      <c r="FM51" s="163"/>
      <c r="FN51" s="163"/>
      <c r="FO51" s="163"/>
      <c r="FP51" s="163"/>
      <c r="FQ51" s="163"/>
      <c r="FR51" s="163"/>
      <c r="FS51" s="163"/>
      <c r="FT51" s="163"/>
      <c r="FU51" s="163"/>
      <c r="FV51" s="163"/>
      <c r="FW51" s="163"/>
      <c r="FX51" s="163"/>
      <c r="FY51" s="163"/>
      <c r="FZ51" s="163"/>
      <c r="GA51" s="163"/>
      <c r="GB51" s="163"/>
      <c r="GC51" s="163"/>
      <c r="GD51" s="163"/>
      <c r="GE51" s="163"/>
      <c r="GF51" s="163"/>
      <c r="GG51" s="163"/>
      <c r="GH51" s="163"/>
      <c r="GI51" s="163"/>
      <c r="GJ51" s="163"/>
      <c r="GK51" s="163"/>
      <c r="GL51" s="163"/>
      <c r="GM51" s="163"/>
      <c r="GN51" s="163"/>
      <c r="GO51" s="163"/>
      <c r="GP51" s="163"/>
      <c r="GQ51" s="163"/>
      <c r="GR51" s="163"/>
      <c r="GS51" s="163"/>
      <c r="GT51" s="163"/>
      <c r="GU51" s="163"/>
      <c r="GV51" s="163"/>
      <c r="GW51" s="163"/>
      <c r="GX51" s="163"/>
      <c r="GY51" s="163"/>
      <c r="GZ51" s="163"/>
      <c r="HA51" s="163"/>
      <c r="HB51" s="163"/>
      <c r="HC51" s="163"/>
      <c r="HD51" s="163"/>
      <c r="HE51" s="163"/>
      <c r="HF51" s="163"/>
      <c r="HG51" s="163"/>
      <c r="HH51" s="163"/>
      <c r="HI51" s="163"/>
      <c r="HJ51" s="163"/>
      <c r="HK51" s="163"/>
      <c r="HL51" s="163"/>
      <c r="HM51" s="163"/>
      <c r="HN51" s="163"/>
      <c r="HO51" s="163"/>
      <c r="HP51" s="163"/>
      <c r="HQ51" s="163"/>
      <c r="HR51" s="163"/>
      <c r="HS51" s="163"/>
      <c r="HT51" s="163"/>
      <c r="HU51" s="163"/>
      <c r="HV51" s="163"/>
      <c r="HW51" s="163"/>
      <c r="HX51" s="163"/>
      <c r="HY51" s="163"/>
      <c r="HZ51" s="163"/>
      <c r="IA51" s="163"/>
      <c r="IB51" s="163"/>
      <c r="IC51" s="163"/>
      <c r="ID51" s="163"/>
      <c r="IE51" s="163"/>
      <c r="IF51" s="163"/>
      <c r="IG51" s="163"/>
      <c r="IH51" s="163"/>
      <c r="II51" s="163"/>
      <c r="IJ51" s="163"/>
      <c r="IK51" s="163"/>
      <c r="IL51" s="163"/>
      <c r="IM51" s="163"/>
      <c r="IN51" s="163"/>
      <c r="IO51" s="163"/>
      <c r="IP51" s="163"/>
      <c r="IQ51" s="163"/>
      <c r="IR51" s="163"/>
      <c r="IS51" s="163"/>
      <c r="IT51" s="163"/>
    </row>
    <row r="52" spans="1:254" s="115" customFormat="1" x14ac:dyDescent="0.2">
      <c r="A52" s="661" t="s">
        <v>47069</v>
      </c>
      <c r="B52" s="662"/>
      <c r="C52" s="662"/>
      <c r="D52" s="663"/>
    </row>
    <row r="53" spans="1:254" x14ac:dyDescent="0.2">
      <c r="A53" s="399" t="s">
        <v>47070</v>
      </c>
      <c r="B53" s="400" t="s">
        <v>47071</v>
      </c>
      <c r="C53" s="401">
        <v>8.1199999999999994E-2</v>
      </c>
      <c r="D53" s="401">
        <v>3.2000000000000001E-2</v>
      </c>
    </row>
    <row r="54" spans="1:254" ht="25.5" x14ac:dyDescent="0.2">
      <c r="A54" s="399" t="s">
        <v>47072</v>
      </c>
      <c r="B54" s="400" t="s">
        <v>47073</v>
      </c>
      <c r="C54" s="401">
        <v>4.5999999999999999E-3</v>
      </c>
      <c r="D54" s="401">
        <v>3.5000000000000001E-3</v>
      </c>
    </row>
    <row r="55" spans="1:254" x14ac:dyDescent="0.2">
      <c r="A55" s="402" t="s">
        <v>47074</v>
      </c>
      <c r="B55" s="403" t="s">
        <v>39168</v>
      </c>
      <c r="C55" s="404">
        <f>SUM(C53:C54)</f>
        <v>8.5799999999999987E-2</v>
      </c>
      <c r="D55" s="404">
        <f>SUM(D53:D54)</f>
        <v>3.5500000000000004E-2</v>
      </c>
      <c r="E55" s="163"/>
      <c r="F55" s="163"/>
      <c r="G55" s="163"/>
      <c r="H55" s="163"/>
      <c r="I55" s="163"/>
      <c r="J55" s="163"/>
      <c r="K55" s="163"/>
      <c r="L55" s="163"/>
      <c r="M55" s="163"/>
      <c r="N55" s="163"/>
      <c r="O55" s="163"/>
      <c r="P55" s="163"/>
      <c r="Q55" s="163"/>
      <c r="R55" s="163"/>
      <c r="S55" s="163"/>
      <c r="T55" s="163"/>
      <c r="U55" s="163"/>
      <c r="V55" s="163"/>
      <c r="W55" s="163"/>
      <c r="X55" s="163"/>
      <c r="Y55" s="163"/>
      <c r="Z55" s="163"/>
      <c r="AA55" s="163"/>
      <c r="AB55" s="163"/>
      <c r="AC55" s="163"/>
      <c r="AD55" s="163"/>
      <c r="AE55" s="163"/>
      <c r="AF55" s="163"/>
      <c r="AG55" s="163"/>
      <c r="AH55" s="163"/>
      <c r="AI55" s="163"/>
      <c r="AJ55" s="163"/>
      <c r="AK55" s="163"/>
      <c r="AL55" s="163"/>
      <c r="AM55" s="163"/>
      <c r="AN55" s="163"/>
      <c r="AO55" s="163"/>
      <c r="AP55" s="163"/>
      <c r="AQ55" s="163"/>
      <c r="AR55" s="163"/>
      <c r="AS55" s="163"/>
      <c r="AT55" s="163"/>
      <c r="AU55" s="163"/>
      <c r="AV55" s="163"/>
      <c r="AW55" s="163"/>
      <c r="AX55" s="163"/>
      <c r="AY55" s="163"/>
      <c r="AZ55" s="163"/>
      <c r="BA55" s="163"/>
      <c r="BB55" s="163"/>
      <c r="BC55" s="163"/>
      <c r="BD55" s="163"/>
      <c r="BE55" s="163"/>
      <c r="BF55" s="163"/>
      <c r="BG55" s="163"/>
      <c r="BH55" s="163"/>
      <c r="BI55" s="163"/>
      <c r="BJ55" s="163"/>
      <c r="BK55" s="163"/>
      <c r="BL55" s="163"/>
      <c r="BM55" s="163"/>
      <c r="BN55" s="163"/>
      <c r="BO55" s="163"/>
      <c r="BP55" s="163"/>
      <c r="BQ55" s="163"/>
      <c r="BR55" s="163"/>
      <c r="BS55" s="163"/>
      <c r="BT55" s="163"/>
      <c r="BU55" s="163"/>
      <c r="BV55" s="163"/>
      <c r="BW55" s="163"/>
      <c r="BX55" s="163"/>
      <c r="BY55" s="163"/>
      <c r="BZ55" s="163"/>
      <c r="CA55" s="163"/>
      <c r="CB55" s="163"/>
      <c r="CC55" s="163"/>
      <c r="CD55" s="163"/>
      <c r="CE55" s="163"/>
      <c r="CF55" s="163"/>
      <c r="CG55" s="163"/>
      <c r="CH55" s="163"/>
      <c r="CI55" s="163"/>
      <c r="CJ55" s="163"/>
      <c r="CK55" s="163"/>
      <c r="CL55" s="163"/>
      <c r="CM55" s="163"/>
      <c r="CN55" s="163"/>
      <c r="CO55" s="163"/>
      <c r="CP55" s="163"/>
      <c r="CQ55" s="163"/>
      <c r="CR55" s="163"/>
      <c r="CS55" s="163"/>
      <c r="CT55" s="163"/>
      <c r="CU55" s="163"/>
      <c r="CV55" s="163"/>
      <c r="CW55" s="163"/>
      <c r="CX55" s="163"/>
      <c r="CY55" s="163"/>
      <c r="CZ55" s="163"/>
      <c r="DA55" s="163"/>
      <c r="DB55" s="163"/>
      <c r="DC55" s="163"/>
      <c r="DD55" s="163"/>
      <c r="DE55" s="163"/>
      <c r="DF55" s="163"/>
      <c r="DG55" s="163"/>
      <c r="DH55" s="163"/>
      <c r="DI55" s="163"/>
      <c r="DJ55" s="163"/>
      <c r="DK55" s="163"/>
      <c r="DL55" s="163"/>
      <c r="DM55" s="163"/>
      <c r="DN55" s="163"/>
      <c r="DO55" s="163"/>
      <c r="DP55" s="163"/>
      <c r="DQ55" s="163"/>
      <c r="DR55" s="163"/>
      <c r="DS55" s="163"/>
      <c r="DT55" s="163"/>
      <c r="DU55" s="163"/>
      <c r="DV55" s="163"/>
      <c r="DW55" s="163"/>
      <c r="DX55" s="163"/>
      <c r="DY55" s="163"/>
      <c r="DZ55" s="163"/>
      <c r="EA55" s="163"/>
      <c r="EB55" s="163"/>
      <c r="EC55" s="163"/>
      <c r="ED55" s="163"/>
      <c r="EE55" s="163"/>
      <c r="EF55" s="163"/>
      <c r="EG55" s="163"/>
      <c r="EH55" s="163"/>
      <c r="EI55" s="163"/>
      <c r="EJ55" s="163"/>
      <c r="EK55" s="163"/>
      <c r="EL55" s="163"/>
      <c r="EM55" s="163"/>
      <c r="EN55" s="163"/>
      <c r="EO55" s="163"/>
      <c r="EP55" s="163"/>
      <c r="EQ55" s="163"/>
      <c r="ER55" s="163"/>
      <c r="ES55" s="163"/>
      <c r="ET55" s="163"/>
      <c r="EU55" s="163"/>
      <c r="EV55" s="163"/>
      <c r="EW55" s="163"/>
      <c r="EX55" s="163"/>
      <c r="EY55" s="163"/>
      <c r="EZ55" s="163"/>
      <c r="FA55" s="163"/>
      <c r="FB55" s="163"/>
      <c r="FC55" s="163"/>
      <c r="FD55" s="163"/>
      <c r="FE55" s="163"/>
      <c r="FF55" s="163"/>
      <c r="FG55" s="163"/>
      <c r="FH55" s="163"/>
      <c r="FI55" s="163"/>
      <c r="FJ55" s="163"/>
      <c r="FK55" s="163"/>
      <c r="FL55" s="163"/>
      <c r="FM55" s="163"/>
      <c r="FN55" s="163"/>
      <c r="FO55" s="163"/>
      <c r="FP55" s="163"/>
      <c r="FQ55" s="163"/>
      <c r="FR55" s="163"/>
      <c r="FS55" s="163"/>
      <c r="FT55" s="163"/>
      <c r="FU55" s="163"/>
      <c r="FV55" s="163"/>
      <c r="FW55" s="163"/>
      <c r="FX55" s="163"/>
      <c r="FY55" s="163"/>
      <c r="FZ55" s="163"/>
      <c r="GA55" s="163"/>
      <c r="GB55" s="163"/>
      <c r="GC55" s="163"/>
      <c r="GD55" s="163"/>
      <c r="GE55" s="163"/>
      <c r="GF55" s="163"/>
      <c r="GG55" s="163"/>
      <c r="GH55" s="163"/>
      <c r="GI55" s="163"/>
      <c r="GJ55" s="163"/>
      <c r="GK55" s="163"/>
      <c r="GL55" s="163"/>
      <c r="GM55" s="163"/>
      <c r="GN55" s="163"/>
      <c r="GO55" s="163"/>
      <c r="GP55" s="163"/>
      <c r="GQ55" s="163"/>
      <c r="GR55" s="163"/>
      <c r="GS55" s="163"/>
      <c r="GT55" s="163"/>
      <c r="GU55" s="163"/>
      <c r="GV55" s="163"/>
      <c r="GW55" s="163"/>
      <c r="GX55" s="163"/>
      <c r="GY55" s="163"/>
      <c r="GZ55" s="163"/>
      <c r="HA55" s="163"/>
      <c r="HB55" s="163"/>
      <c r="HC55" s="163"/>
      <c r="HD55" s="163"/>
      <c r="HE55" s="163"/>
      <c r="HF55" s="163"/>
      <c r="HG55" s="163"/>
      <c r="HH55" s="163"/>
      <c r="HI55" s="163"/>
      <c r="HJ55" s="163"/>
      <c r="HK55" s="163"/>
      <c r="HL55" s="163"/>
      <c r="HM55" s="163"/>
      <c r="HN55" s="163"/>
      <c r="HO55" s="163"/>
      <c r="HP55" s="163"/>
      <c r="HQ55" s="163"/>
      <c r="HR55" s="163"/>
      <c r="HS55" s="163"/>
      <c r="HT55" s="163"/>
      <c r="HU55" s="163"/>
      <c r="HV55" s="163"/>
      <c r="HW55" s="163"/>
      <c r="HX55" s="163"/>
      <c r="HY55" s="163"/>
      <c r="HZ55" s="163"/>
      <c r="IA55" s="163"/>
      <c r="IB55" s="163"/>
      <c r="IC55" s="163"/>
      <c r="ID55" s="163"/>
      <c r="IE55" s="163"/>
      <c r="IF55" s="163"/>
      <c r="IG55" s="163"/>
      <c r="IH55" s="163"/>
      <c r="II55" s="163"/>
      <c r="IJ55" s="163"/>
      <c r="IK55" s="163"/>
      <c r="IL55" s="163"/>
      <c r="IM55" s="163"/>
      <c r="IN55" s="163"/>
      <c r="IO55" s="163"/>
      <c r="IP55" s="163"/>
      <c r="IQ55" s="163"/>
      <c r="IR55" s="163"/>
      <c r="IS55" s="163"/>
      <c r="IT55" s="163"/>
    </row>
    <row r="56" spans="1:254" x14ac:dyDescent="0.2">
      <c r="A56" s="405"/>
      <c r="B56" s="406"/>
      <c r="C56" s="407"/>
      <c r="D56" s="407"/>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163"/>
      <c r="AO56" s="163"/>
      <c r="AP56" s="163"/>
      <c r="AQ56" s="163"/>
      <c r="AR56" s="163"/>
      <c r="AS56" s="163"/>
      <c r="AT56" s="163"/>
      <c r="AU56" s="163"/>
      <c r="AV56" s="163"/>
      <c r="AW56" s="163"/>
      <c r="AX56" s="163"/>
      <c r="AY56" s="163"/>
      <c r="AZ56" s="163"/>
      <c r="BA56" s="163"/>
      <c r="BB56" s="163"/>
      <c r="BC56" s="163"/>
      <c r="BD56" s="163"/>
      <c r="BE56" s="163"/>
      <c r="BF56" s="163"/>
      <c r="BG56" s="163"/>
      <c r="BH56" s="163"/>
      <c r="BI56" s="163"/>
      <c r="BJ56" s="163"/>
      <c r="BK56" s="163"/>
      <c r="BL56" s="163"/>
      <c r="BM56" s="163"/>
      <c r="BN56" s="163"/>
      <c r="BO56" s="163"/>
      <c r="BP56" s="163"/>
      <c r="BQ56" s="163"/>
      <c r="BR56" s="163"/>
      <c r="BS56" s="163"/>
      <c r="BT56" s="163"/>
      <c r="BU56" s="163"/>
      <c r="BV56" s="163"/>
      <c r="BW56" s="163"/>
      <c r="BX56" s="163"/>
      <c r="BY56" s="163"/>
      <c r="BZ56" s="163"/>
      <c r="CA56" s="163"/>
      <c r="CB56" s="163"/>
      <c r="CC56" s="163"/>
      <c r="CD56" s="163"/>
      <c r="CE56" s="163"/>
      <c r="CF56" s="163"/>
      <c r="CG56" s="163"/>
      <c r="CH56" s="163"/>
      <c r="CI56" s="163"/>
      <c r="CJ56" s="163"/>
      <c r="CK56" s="163"/>
      <c r="CL56" s="163"/>
      <c r="CM56" s="163"/>
      <c r="CN56" s="163"/>
      <c r="CO56" s="163"/>
      <c r="CP56" s="163"/>
      <c r="CQ56" s="163"/>
      <c r="CR56" s="163"/>
      <c r="CS56" s="163"/>
      <c r="CT56" s="163"/>
      <c r="CU56" s="163"/>
      <c r="CV56" s="163"/>
      <c r="CW56" s="163"/>
      <c r="CX56" s="163"/>
      <c r="CY56" s="163"/>
      <c r="CZ56" s="163"/>
      <c r="DA56" s="163"/>
      <c r="DB56" s="163"/>
      <c r="DC56" s="163"/>
      <c r="DD56" s="163"/>
      <c r="DE56" s="163"/>
      <c r="DF56" s="163"/>
      <c r="DG56" s="163"/>
      <c r="DH56" s="163"/>
      <c r="DI56" s="163"/>
      <c r="DJ56" s="163"/>
      <c r="DK56" s="163"/>
      <c r="DL56" s="163"/>
      <c r="DM56" s="163"/>
      <c r="DN56" s="163"/>
      <c r="DO56" s="163"/>
      <c r="DP56" s="163"/>
      <c r="DQ56" s="163"/>
      <c r="DR56" s="163"/>
      <c r="DS56" s="163"/>
      <c r="DT56" s="163"/>
      <c r="DU56" s="163"/>
      <c r="DV56" s="163"/>
      <c r="DW56" s="163"/>
      <c r="DX56" s="163"/>
      <c r="DY56" s="163"/>
      <c r="DZ56" s="163"/>
      <c r="EA56" s="163"/>
      <c r="EB56" s="163"/>
      <c r="EC56" s="163"/>
      <c r="ED56" s="163"/>
      <c r="EE56" s="163"/>
      <c r="EF56" s="163"/>
      <c r="EG56" s="163"/>
      <c r="EH56" s="163"/>
      <c r="EI56" s="163"/>
      <c r="EJ56" s="163"/>
      <c r="EK56" s="163"/>
      <c r="EL56" s="163"/>
      <c r="EM56" s="163"/>
      <c r="EN56" s="163"/>
      <c r="EO56" s="163"/>
      <c r="EP56" s="163"/>
      <c r="EQ56" s="163"/>
      <c r="ER56" s="163"/>
      <c r="ES56" s="163"/>
      <c r="ET56" s="163"/>
      <c r="EU56" s="163"/>
      <c r="EV56" s="163"/>
      <c r="EW56" s="163"/>
      <c r="EX56" s="163"/>
      <c r="EY56" s="163"/>
      <c r="EZ56" s="163"/>
      <c r="FA56" s="163"/>
      <c r="FB56" s="163"/>
      <c r="FC56" s="163"/>
      <c r="FD56" s="163"/>
      <c r="FE56" s="163"/>
      <c r="FF56" s="163"/>
      <c r="FG56" s="163"/>
      <c r="FH56" s="163"/>
      <c r="FI56" s="163"/>
      <c r="FJ56" s="163"/>
      <c r="FK56" s="163"/>
      <c r="FL56" s="163"/>
      <c r="FM56" s="163"/>
      <c r="FN56" s="163"/>
      <c r="FO56" s="163"/>
      <c r="FP56" s="163"/>
      <c r="FQ56" s="163"/>
      <c r="FR56" s="163"/>
      <c r="FS56" s="163"/>
      <c r="FT56" s="163"/>
      <c r="FU56" s="163"/>
      <c r="FV56" s="163"/>
      <c r="FW56" s="163"/>
      <c r="FX56" s="163"/>
      <c r="FY56" s="163"/>
      <c r="FZ56" s="163"/>
      <c r="GA56" s="163"/>
      <c r="GB56" s="163"/>
      <c r="GC56" s="163"/>
      <c r="GD56" s="163"/>
      <c r="GE56" s="163"/>
      <c r="GF56" s="163"/>
      <c r="GG56" s="163"/>
      <c r="GH56" s="163"/>
      <c r="GI56" s="163"/>
      <c r="GJ56" s="163"/>
      <c r="GK56" s="163"/>
      <c r="GL56" s="163"/>
      <c r="GM56" s="163"/>
      <c r="GN56" s="163"/>
      <c r="GO56" s="163"/>
      <c r="GP56" s="163"/>
      <c r="GQ56" s="163"/>
      <c r="GR56" s="163"/>
      <c r="GS56" s="163"/>
      <c r="GT56" s="163"/>
      <c r="GU56" s="163"/>
      <c r="GV56" s="163"/>
      <c r="GW56" s="163"/>
      <c r="GX56" s="163"/>
      <c r="GY56" s="163"/>
      <c r="GZ56" s="163"/>
      <c r="HA56" s="163"/>
      <c r="HB56" s="163"/>
      <c r="HC56" s="163"/>
      <c r="HD56" s="163"/>
      <c r="HE56" s="163"/>
      <c r="HF56" s="163"/>
      <c r="HG56" s="163"/>
      <c r="HH56" s="163"/>
      <c r="HI56" s="163"/>
      <c r="HJ56" s="163"/>
      <c r="HK56" s="163"/>
      <c r="HL56" s="163"/>
      <c r="HM56" s="163"/>
      <c r="HN56" s="163"/>
      <c r="HO56" s="163"/>
      <c r="HP56" s="163"/>
      <c r="HQ56" s="163"/>
      <c r="HR56" s="163"/>
      <c r="HS56" s="163"/>
      <c r="HT56" s="163"/>
      <c r="HU56" s="163"/>
      <c r="HV56" s="163"/>
      <c r="HW56" s="163"/>
      <c r="HX56" s="163"/>
      <c r="HY56" s="163"/>
      <c r="HZ56" s="163"/>
      <c r="IA56" s="163"/>
      <c r="IB56" s="163"/>
      <c r="IC56" s="163"/>
      <c r="ID56" s="163"/>
      <c r="IE56" s="163"/>
      <c r="IF56" s="163"/>
      <c r="IG56" s="163"/>
      <c r="IH56" s="163"/>
      <c r="II56" s="163"/>
      <c r="IJ56" s="163"/>
      <c r="IK56" s="163"/>
      <c r="IL56" s="163"/>
      <c r="IM56" s="163"/>
      <c r="IN56" s="163"/>
      <c r="IO56" s="163"/>
      <c r="IP56" s="163"/>
      <c r="IQ56" s="163"/>
      <c r="IR56" s="163"/>
      <c r="IS56" s="163"/>
      <c r="IT56" s="163"/>
    </row>
    <row r="57" spans="1:254" s="115" customFormat="1" x14ac:dyDescent="0.2">
      <c r="A57" s="102"/>
      <c r="B57" s="408" t="s">
        <v>47075</v>
      </c>
      <c r="C57" s="409">
        <f>C32+C44+C51+C55</f>
        <v>0.84439999999999993</v>
      </c>
      <c r="D57" s="409">
        <f>D32+D44+D51+D55</f>
        <v>0.47479999999999989</v>
      </c>
    </row>
    <row r="59" spans="1:254" x14ac:dyDescent="0.2">
      <c r="A59" s="593" t="str">
        <f>ORCAMENTO!A392</f>
        <v>BOA VIAGEM - CE, JULHO DE 2025</v>
      </c>
      <c r="B59" s="593"/>
      <c r="C59" s="593"/>
      <c r="D59" s="593"/>
    </row>
    <row r="60" spans="1:254" x14ac:dyDescent="0.2">
      <c r="B60" s="98"/>
    </row>
    <row r="61" spans="1:254" x14ac:dyDescent="0.2">
      <c r="B61" s="102"/>
    </row>
    <row r="62" spans="1:254" x14ac:dyDescent="0.2">
      <c r="B62" s="102"/>
    </row>
  </sheetData>
  <mergeCells count="10">
    <mergeCell ref="A22:D22"/>
    <mergeCell ref="A33:D33"/>
    <mergeCell ref="A45:D45"/>
    <mergeCell ref="A52:D52"/>
    <mergeCell ref="A59:D59"/>
    <mergeCell ref="A2:D2"/>
    <mergeCell ref="A19:D19"/>
    <mergeCell ref="A20:A21"/>
    <mergeCell ref="B20:B21"/>
    <mergeCell ref="C20:D20"/>
  </mergeCells>
  <printOptions horizontalCentered="1"/>
  <pageMargins left="0.39370078740157483" right="0.39370078740157483" top="0.39370078740157483" bottom="0.98425196850393704" header="0.31496062992125984" footer="0.31496062992125984"/>
  <pageSetup paperSize="9" scale="78" orientation="portrait" r:id="rId1"/>
  <headerFooter>
    <oddFooter>&amp;RPágina &amp;P de &amp;N</oddFooter>
  </headerFooter>
  <rowBreaks count="1" manualBreakCount="1">
    <brk id="70" max="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35CB39-A290-4BDC-B4CB-58CAE2B255BE}">
  <dimension ref="A1:IV59"/>
  <sheetViews>
    <sheetView view="pageBreakPreview" zoomScale="160" zoomScaleNormal="100" zoomScaleSheetLayoutView="160" workbookViewId="0">
      <selection activeCell="A2" sqref="A2:D2"/>
    </sheetView>
  </sheetViews>
  <sheetFormatPr defaultColWidth="9.33203125" defaultRowHeight="12.75" x14ac:dyDescent="0.2"/>
  <cols>
    <col min="1" max="1" width="11.33203125" style="97" customWidth="1"/>
    <col min="2" max="2" width="76.6640625" style="97" customWidth="1"/>
    <col min="3" max="4" width="24.1640625" style="97" customWidth="1"/>
    <col min="5" max="16384" width="9.33203125" style="97"/>
  </cols>
  <sheetData>
    <row r="1" spans="1:253" x14ac:dyDescent="0.2">
      <c r="A1" s="95"/>
      <c r="B1" s="95"/>
      <c r="C1" s="95"/>
      <c r="D1" s="95"/>
      <c r="E1" s="96"/>
      <c r="F1" s="96"/>
      <c r="G1" s="96"/>
      <c r="H1" s="96"/>
      <c r="I1" s="96"/>
      <c r="J1" s="96"/>
      <c r="K1" s="96"/>
      <c r="L1" s="9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c r="AN1" s="96"/>
      <c r="AO1" s="96"/>
      <c r="AP1" s="96"/>
      <c r="AQ1" s="96"/>
      <c r="AR1" s="96"/>
      <c r="AS1" s="96"/>
      <c r="AT1" s="96"/>
      <c r="AU1" s="96"/>
      <c r="AV1" s="96"/>
      <c r="AW1" s="96"/>
      <c r="AX1" s="96"/>
      <c r="AY1" s="96"/>
      <c r="AZ1" s="96"/>
      <c r="BA1" s="96"/>
      <c r="BB1" s="96"/>
      <c r="BC1" s="96"/>
      <c r="BD1" s="96"/>
      <c r="BE1" s="96"/>
      <c r="BF1" s="96"/>
      <c r="BG1" s="96"/>
      <c r="BH1" s="96"/>
      <c r="BI1" s="96"/>
      <c r="BJ1" s="96"/>
      <c r="BK1" s="96"/>
      <c r="BL1" s="96"/>
      <c r="BM1" s="96"/>
      <c r="BN1" s="96"/>
      <c r="BO1" s="96"/>
      <c r="BP1" s="96"/>
      <c r="BQ1" s="96"/>
      <c r="BR1" s="96"/>
      <c r="BS1" s="96"/>
      <c r="BT1" s="96"/>
      <c r="BU1" s="96"/>
      <c r="BV1" s="96"/>
      <c r="BW1" s="96"/>
      <c r="BX1" s="96"/>
      <c r="BY1" s="96"/>
      <c r="BZ1" s="96"/>
      <c r="CA1" s="96"/>
      <c r="CB1" s="96"/>
      <c r="CC1" s="96"/>
      <c r="CD1" s="96"/>
      <c r="CE1" s="96"/>
      <c r="CF1" s="96"/>
      <c r="CG1" s="96"/>
      <c r="CH1" s="96"/>
      <c r="CI1" s="96"/>
      <c r="CJ1" s="96"/>
      <c r="CK1" s="96"/>
      <c r="CL1" s="96"/>
      <c r="CM1" s="96"/>
      <c r="CN1" s="96"/>
      <c r="CO1" s="96"/>
      <c r="CP1" s="96"/>
      <c r="CQ1" s="96"/>
      <c r="CR1" s="96"/>
      <c r="CS1" s="96"/>
      <c r="CT1" s="96"/>
      <c r="CU1" s="96"/>
      <c r="CV1" s="96"/>
      <c r="CW1" s="96"/>
      <c r="CX1" s="96"/>
      <c r="CY1" s="96"/>
      <c r="CZ1" s="96"/>
      <c r="DA1" s="96"/>
      <c r="DB1" s="96"/>
      <c r="DC1" s="96"/>
      <c r="DD1" s="96"/>
      <c r="DE1" s="96"/>
      <c r="DF1" s="96"/>
      <c r="DG1" s="96"/>
      <c r="DH1" s="96"/>
      <c r="DI1" s="96"/>
      <c r="DJ1" s="96"/>
      <c r="DK1" s="96"/>
      <c r="DL1" s="96"/>
      <c r="DM1" s="96"/>
      <c r="DN1" s="96"/>
      <c r="DO1" s="96"/>
      <c r="DP1" s="96"/>
      <c r="DQ1" s="96"/>
      <c r="DR1" s="96"/>
      <c r="DS1" s="96"/>
      <c r="DT1" s="96"/>
      <c r="DU1" s="96"/>
      <c r="DV1" s="96"/>
      <c r="DW1" s="96"/>
      <c r="DX1" s="96"/>
      <c r="DY1" s="96"/>
      <c r="DZ1" s="96"/>
      <c r="EA1" s="96"/>
      <c r="EB1" s="96"/>
      <c r="EC1" s="96"/>
      <c r="ED1" s="96"/>
      <c r="EE1" s="96"/>
      <c r="EF1" s="96"/>
      <c r="EG1" s="96"/>
      <c r="EH1" s="96"/>
      <c r="EI1" s="96"/>
      <c r="EJ1" s="96"/>
      <c r="EK1" s="96"/>
      <c r="EL1" s="96"/>
      <c r="EM1" s="96"/>
      <c r="EN1" s="96"/>
      <c r="EO1" s="96"/>
      <c r="EP1" s="96"/>
      <c r="EQ1" s="96"/>
      <c r="ER1" s="96"/>
      <c r="ES1" s="96"/>
      <c r="ET1" s="96"/>
      <c r="EU1" s="96"/>
      <c r="EV1" s="96"/>
      <c r="EW1" s="96"/>
      <c r="EX1" s="96"/>
      <c r="EY1" s="96"/>
      <c r="EZ1" s="96"/>
      <c r="FA1" s="96"/>
      <c r="FB1" s="96"/>
      <c r="FC1" s="96"/>
      <c r="FD1" s="96"/>
      <c r="FE1" s="96"/>
      <c r="FF1" s="96"/>
      <c r="FG1" s="96"/>
      <c r="FH1" s="96"/>
      <c r="FI1" s="96"/>
      <c r="FJ1" s="96"/>
      <c r="FK1" s="96"/>
      <c r="FL1" s="96"/>
      <c r="FM1" s="96"/>
      <c r="FN1" s="96"/>
      <c r="FO1" s="96"/>
      <c r="FP1" s="96"/>
      <c r="FQ1" s="96"/>
      <c r="FR1" s="96"/>
      <c r="FS1" s="96"/>
      <c r="FT1" s="96"/>
      <c r="FU1" s="96"/>
      <c r="FV1" s="96"/>
      <c r="FW1" s="96"/>
      <c r="FX1" s="96"/>
      <c r="FY1" s="96"/>
      <c r="FZ1" s="96"/>
      <c r="GA1" s="96"/>
      <c r="GB1" s="96"/>
      <c r="GC1" s="96"/>
      <c r="GD1" s="96"/>
      <c r="GE1" s="96"/>
      <c r="GF1" s="96"/>
      <c r="GG1" s="96"/>
      <c r="GH1" s="96"/>
      <c r="GI1" s="96"/>
      <c r="GJ1" s="96"/>
      <c r="GK1" s="96"/>
      <c r="GL1" s="96"/>
      <c r="GM1" s="96"/>
      <c r="GN1" s="96"/>
      <c r="GO1" s="96"/>
      <c r="GP1" s="96"/>
      <c r="GQ1" s="96"/>
      <c r="GR1" s="96"/>
      <c r="GS1" s="96"/>
      <c r="GT1" s="96"/>
      <c r="GU1" s="96"/>
      <c r="GV1" s="96"/>
      <c r="GW1" s="96"/>
      <c r="GX1" s="96"/>
      <c r="GY1" s="96"/>
      <c r="GZ1" s="96"/>
      <c r="HA1" s="96"/>
      <c r="HB1" s="96"/>
      <c r="HC1" s="96"/>
      <c r="HD1" s="96"/>
      <c r="HE1" s="96"/>
      <c r="HF1" s="96"/>
      <c r="HG1" s="96"/>
      <c r="HH1" s="96"/>
      <c r="HI1" s="96"/>
      <c r="HJ1" s="96"/>
      <c r="HK1" s="96"/>
      <c r="HL1" s="96"/>
      <c r="HM1" s="96"/>
      <c r="HN1" s="96"/>
      <c r="HO1" s="96"/>
      <c r="HP1" s="96"/>
      <c r="HQ1" s="96"/>
      <c r="HR1" s="96"/>
      <c r="HS1" s="96"/>
      <c r="HT1" s="96"/>
      <c r="HU1" s="96"/>
      <c r="HV1" s="96"/>
      <c r="HW1" s="96"/>
      <c r="HX1" s="96"/>
      <c r="HY1" s="96"/>
      <c r="HZ1" s="96"/>
      <c r="IA1" s="96"/>
      <c r="IB1" s="96"/>
      <c r="IC1" s="96"/>
      <c r="ID1" s="96"/>
      <c r="IE1" s="96"/>
      <c r="IF1" s="96"/>
      <c r="IG1" s="96"/>
      <c r="IH1" s="96"/>
      <c r="II1" s="96"/>
      <c r="IJ1" s="96"/>
      <c r="IK1" s="96"/>
      <c r="IL1" s="96"/>
      <c r="IM1" s="96"/>
      <c r="IN1" s="96"/>
      <c r="IO1" s="96"/>
      <c r="IP1" s="96"/>
      <c r="IQ1" s="96"/>
      <c r="IR1" s="96"/>
      <c r="IS1" s="96"/>
    </row>
    <row r="2" spans="1:253" x14ac:dyDescent="0.2">
      <c r="A2" s="597" t="str">
        <f>ORCAMENTO!A2</f>
        <v>INSTITUTO FEDERAL DE EDUCAÇÃO CIÊNCIA E TECNOLOGIA DO CEARÁ - CAMPUS BOA VIAGEM</v>
      </c>
      <c r="B2" s="597"/>
      <c r="C2" s="597"/>
      <c r="D2" s="597"/>
      <c r="E2" s="96"/>
      <c r="F2" s="96"/>
      <c r="G2" s="96"/>
      <c r="H2" s="96"/>
      <c r="I2" s="96"/>
      <c r="J2" s="96"/>
      <c r="K2" s="96"/>
      <c r="L2" s="96"/>
      <c r="M2" s="96"/>
      <c r="N2" s="96"/>
      <c r="O2" s="96"/>
      <c r="P2" s="96"/>
      <c r="Q2" s="96"/>
      <c r="R2" s="96"/>
      <c r="S2" s="96"/>
      <c r="T2" s="96"/>
      <c r="U2" s="96"/>
      <c r="V2" s="96"/>
      <c r="W2" s="96"/>
      <c r="X2" s="96"/>
      <c r="Y2" s="96"/>
      <c r="Z2" s="96"/>
      <c r="AA2" s="96"/>
      <c r="AB2" s="96"/>
      <c r="AC2" s="96"/>
      <c r="AD2" s="96"/>
      <c r="AE2" s="96"/>
      <c r="AF2" s="96"/>
      <c r="AG2" s="96"/>
      <c r="AH2" s="96"/>
      <c r="AI2" s="96"/>
      <c r="AJ2" s="96"/>
      <c r="AK2" s="96"/>
      <c r="AL2" s="96"/>
      <c r="AM2" s="96"/>
      <c r="AN2" s="96"/>
      <c r="AO2" s="96"/>
      <c r="AP2" s="96"/>
      <c r="AQ2" s="96"/>
      <c r="AR2" s="96"/>
      <c r="AS2" s="96"/>
      <c r="AT2" s="96"/>
      <c r="AU2" s="96"/>
      <c r="AV2" s="96"/>
      <c r="AW2" s="96"/>
      <c r="AX2" s="96"/>
      <c r="AY2" s="96"/>
      <c r="AZ2" s="96"/>
      <c r="BA2" s="96"/>
      <c r="BB2" s="96"/>
      <c r="BC2" s="96"/>
      <c r="BD2" s="96"/>
      <c r="BE2" s="96"/>
      <c r="BF2" s="96"/>
      <c r="BG2" s="96"/>
      <c r="BH2" s="96"/>
      <c r="BI2" s="96"/>
      <c r="BJ2" s="96"/>
      <c r="BK2" s="96"/>
      <c r="BL2" s="96"/>
      <c r="BM2" s="96"/>
      <c r="BN2" s="96"/>
      <c r="BO2" s="96"/>
      <c r="BP2" s="96"/>
      <c r="BQ2" s="96"/>
      <c r="BR2" s="96"/>
      <c r="BS2" s="96"/>
      <c r="BT2" s="96"/>
      <c r="BU2" s="96"/>
      <c r="BV2" s="96"/>
      <c r="BW2" s="96"/>
      <c r="BX2" s="96"/>
      <c r="BY2" s="96"/>
      <c r="BZ2" s="96"/>
      <c r="CA2" s="96"/>
      <c r="CB2" s="96"/>
      <c r="CC2" s="96"/>
      <c r="CD2" s="96"/>
      <c r="CE2" s="96"/>
      <c r="CF2" s="96"/>
      <c r="CG2" s="96"/>
      <c r="CH2" s="96"/>
      <c r="CI2" s="96"/>
      <c r="CJ2" s="96"/>
      <c r="CK2" s="96"/>
      <c r="CL2" s="96"/>
      <c r="CM2" s="96"/>
      <c r="CN2" s="96"/>
      <c r="CO2" s="96"/>
      <c r="CP2" s="96"/>
      <c r="CQ2" s="96"/>
      <c r="CR2" s="96"/>
      <c r="CS2" s="96"/>
      <c r="CT2" s="96"/>
      <c r="CU2" s="96"/>
      <c r="CV2" s="96"/>
      <c r="CW2" s="96"/>
      <c r="CX2" s="96"/>
      <c r="CY2" s="96"/>
      <c r="CZ2" s="96"/>
      <c r="DA2" s="96"/>
      <c r="DB2" s="96"/>
      <c r="DC2" s="96"/>
      <c r="DD2" s="96"/>
      <c r="DE2" s="96"/>
      <c r="DF2" s="96"/>
      <c r="DG2" s="96"/>
      <c r="DH2" s="96"/>
      <c r="DI2" s="96"/>
      <c r="DJ2" s="96"/>
      <c r="DK2" s="96"/>
      <c r="DL2" s="96"/>
      <c r="DM2" s="96"/>
      <c r="DN2" s="96"/>
      <c r="DO2" s="96"/>
      <c r="DP2" s="96"/>
      <c r="DQ2" s="96"/>
      <c r="DR2" s="96"/>
      <c r="DS2" s="96"/>
      <c r="DT2" s="96"/>
      <c r="DU2" s="96"/>
      <c r="DV2" s="96"/>
      <c r="DW2" s="96"/>
      <c r="DX2" s="96"/>
      <c r="DY2" s="96"/>
      <c r="DZ2" s="96"/>
      <c r="EA2" s="96"/>
      <c r="EB2" s="96"/>
      <c r="EC2" s="96"/>
      <c r="ED2" s="96"/>
      <c r="EE2" s="96"/>
      <c r="EF2" s="96"/>
      <c r="EG2" s="96"/>
      <c r="EH2" s="96"/>
      <c r="EI2" s="96"/>
      <c r="EJ2" s="96"/>
      <c r="EK2" s="96"/>
      <c r="EL2" s="96"/>
      <c r="EM2" s="96"/>
      <c r="EN2" s="96"/>
      <c r="EO2" s="96"/>
      <c r="EP2" s="96"/>
      <c r="EQ2" s="96"/>
      <c r="ER2" s="96"/>
      <c r="ES2" s="96"/>
      <c r="ET2" s="96"/>
      <c r="EU2" s="96"/>
      <c r="EV2" s="96"/>
      <c r="EW2" s="96"/>
      <c r="EX2" s="96"/>
      <c r="EY2" s="96"/>
      <c r="EZ2" s="96"/>
      <c r="FA2" s="96"/>
      <c r="FB2" s="96"/>
      <c r="FC2" s="96"/>
      <c r="FD2" s="96"/>
      <c r="FE2" s="96"/>
      <c r="FF2" s="96"/>
      <c r="FG2" s="96"/>
      <c r="FH2" s="96"/>
      <c r="FI2" s="96"/>
      <c r="FJ2" s="96"/>
      <c r="FK2" s="96"/>
      <c r="FL2" s="96"/>
      <c r="FM2" s="96"/>
      <c r="FN2" s="96"/>
      <c r="FO2" s="96"/>
      <c r="FP2" s="96"/>
      <c r="FQ2" s="96"/>
      <c r="FR2" s="96"/>
      <c r="FS2" s="96"/>
      <c r="FT2" s="96"/>
      <c r="FU2" s="96"/>
      <c r="FV2" s="96"/>
      <c r="FW2" s="96"/>
      <c r="FX2" s="96"/>
      <c r="FY2" s="96"/>
      <c r="FZ2" s="96"/>
      <c r="GA2" s="96"/>
      <c r="GB2" s="96"/>
      <c r="GC2" s="96"/>
      <c r="GD2" s="96"/>
      <c r="GE2" s="96"/>
      <c r="GF2" s="96"/>
      <c r="GG2" s="96"/>
      <c r="GH2" s="96"/>
      <c r="GI2" s="96"/>
      <c r="GJ2" s="96"/>
      <c r="GK2" s="96"/>
      <c r="GL2" s="96"/>
      <c r="GM2" s="96"/>
      <c r="GN2" s="96"/>
      <c r="GO2" s="96"/>
      <c r="GP2" s="96"/>
      <c r="GQ2" s="96"/>
      <c r="GR2" s="96"/>
      <c r="GS2" s="96"/>
      <c r="GT2" s="96"/>
      <c r="GU2" s="96"/>
      <c r="GV2" s="96"/>
      <c r="GW2" s="96"/>
      <c r="GX2" s="96"/>
      <c r="GY2" s="96"/>
      <c r="GZ2" s="96"/>
      <c r="HA2" s="96"/>
      <c r="HB2" s="96"/>
      <c r="HC2" s="96"/>
      <c r="HD2" s="96"/>
      <c r="HE2" s="96"/>
      <c r="HF2" s="96"/>
      <c r="HG2" s="96"/>
      <c r="HH2" s="96"/>
      <c r="HI2" s="96"/>
      <c r="HJ2" s="96"/>
      <c r="HK2" s="96"/>
      <c r="HL2" s="96"/>
      <c r="HM2" s="96"/>
      <c r="HN2" s="96"/>
      <c r="HO2" s="96"/>
      <c r="HP2" s="96"/>
      <c r="HQ2" s="96"/>
      <c r="HR2" s="96"/>
      <c r="HS2" s="96"/>
      <c r="HT2" s="96"/>
      <c r="HU2" s="96"/>
      <c r="HV2" s="96"/>
      <c r="HW2" s="96"/>
      <c r="HX2" s="96"/>
      <c r="HY2" s="96"/>
      <c r="HZ2" s="96"/>
      <c r="IA2" s="96"/>
      <c r="IB2" s="96"/>
      <c r="IC2" s="96"/>
      <c r="ID2" s="96"/>
      <c r="IE2" s="96"/>
      <c r="IF2" s="96"/>
      <c r="IG2" s="96"/>
      <c r="IH2" s="96"/>
      <c r="II2" s="96"/>
      <c r="IJ2" s="96"/>
      <c r="IK2" s="96"/>
      <c r="IL2" s="96"/>
      <c r="IM2" s="96"/>
      <c r="IN2" s="96"/>
      <c r="IO2" s="96"/>
      <c r="IP2" s="96"/>
      <c r="IQ2" s="96"/>
      <c r="IR2" s="96"/>
      <c r="IS2" s="96"/>
    </row>
    <row r="3" spans="1:253" ht="12.75" customHeight="1" x14ac:dyDescent="0.2">
      <c r="A3" s="163"/>
      <c r="B3" s="163"/>
      <c r="C3" s="163"/>
      <c r="D3" s="163"/>
      <c r="E3" s="308"/>
      <c r="F3" s="308"/>
      <c r="G3" s="308"/>
      <c r="H3" s="308"/>
      <c r="I3" s="308"/>
      <c r="J3" s="308"/>
      <c r="K3" s="308"/>
      <c r="L3" s="308"/>
      <c r="M3" s="308"/>
      <c r="N3" s="308"/>
      <c r="O3" s="308"/>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c r="AU3" s="96"/>
      <c r="AV3" s="96"/>
      <c r="AW3" s="96"/>
      <c r="AX3" s="96"/>
      <c r="AY3" s="96"/>
      <c r="AZ3" s="96"/>
      <c r="BA3" s="96"/>
      <c r="BB3" s="96"/>
      <c r="BC3" s="96"/>
      <c r="BD3" s="96"/>
      <c r="BE3" s="96"/>
      <c r="BF3" s="96"/>
      <c r="BG3" s="96"/>
      <c r="BH3" s="96"/>
      <c r="BI3" s="96"/>
      <c r="BJ3" s="96"/>
      <c r="BK3" s="96"/>
      <c r="BL3" s="96"/>
      <c r="BM3" s="96"/>
      <c r="BN3" s="96"/>
      <c r="BO3" s="96"/>
      <c r="BP3" s="96"/>
      <c r="BQ3" s="96"/>
      <c r="BR3" s="96"/>
      <c r="BS3" s="96"/>
      <c r="BT3" s="96"/>
      <c r="BU3" s="96"/>
      <c r="BV3" s="96"/>
      <c r="BW3" s="96"/>
      <c r="BX3" s="96"/>
      <c r="BY3" s="96"/>
      <c r="BZ3" s="96"/>
      <c r="CA3" s="96"/>
      <c r="CB3" s="96"/>
      <c r="CC3" s="96"/>
      <c r="CD3" s="96"/>
      <c r="CE3" s="96"/>
      <c r="CF3" s="96"/>
      <c r="CG3" s="96"/>
      <c r="CH3" s="96"/>
      <c r="CI3" s="96"/>
      <c r="CJ3" s="96"/>
      <c r="CK3" s="96"/>
      <c r="CL3" s="96"/>
      <c r="CM3" s="96"/>
      <c r="CN3" s="96"/>
      <c r="CO3" s="96"/>
      <c r="CP3" s="96"/>
      <c r="CQ3" s="96"/>
      <c r="CR3" s="96"/>
      <c r="CS3" s="96"/>
      <c r="CT3" s="96"/>
      <c r="CU3" s="96"/>
      <c r="CV3" s="96"/>
      <c r="CW3" s="96"/>
      <c r="CX3" s="96"/>
      <c r="CY3" s="96"/>
      <c r="CZ3" s="96"/>
      <c r="DA3" s="96"/>
      <c r="DB3" s="96"/>
      <c r="DC3" s="96"/>
      <c r="DD3" s="96"/>
      <c r="DE3" s="96"/>
      <c r="DF3" s="96"/>
      <c r="DG3" s="96"/>
      <c r="DH3" s="96"/>
      <c r="DI3" s="96"/>
      <c r="DJ3" s="96"/>
      <c r="DK3" s="96"/>
      <c r="DL3" s="96"/>
      <c r="DM3" s="96"/>
      <c r="DN3" s="96"/>
      <c r="DO3" s="96"/>
      <c r="DP3" s="96"/>
      <c r="DQ3" s="96"/>
      <c r="DR3" s="96"/>
      <c r="DS3" s="96"/>
      <c r="DT3" s="96"/>
      <c r="DU3" s="96"/>
      <c r="DV3" s="96"/>
      <c r="DW3" s="96"/>
      <c r="DX3" s="96"/>
      <c r="DY3" s="96"/>
      <c r="DZ3" s="96"/>
      <c r="EA3" s="96"/>
      <c r="EB3" s="96"/>
      <c r="EC3" s="96"/>
      <c r="ED3" s="96"/>
      <c r="EE3" s="96"/>
      <c r="EF3" s="96"/>
      <c r="EG3" s="96"/>
      <c r="EH3" s="96"/>
      <c r="EI3" s="96"/>
      <c r="EJ3" s="96"/>
      <c r="EK3" s="96"/>
      <c r="EL3" s="96"/>
      <c r="EM3" s="96"/>
      <c r="EN3" s="96"/>
      <c r="EO3" s="96"/>
      <c r="EP3" s="96"/>
      <c r="EQ3" s="96"/>
      <c r="ER3" s="96"/>
      <c r="ES3" s="96"/>
      <c r="ET3" s="96"/>
      <c r="EU3" s="96"/>
      <c r="EV3" s="96"/>
      <c r="EW3" s="96"/>
      <c r="EX3" s="96"/>
      <c r="EY3" s="96"/>
      <c r="EZ3" s="96"/>
      <c r="FA3" s="96"/>
      <c r="FB3" s="96"/>
      <c r="FC3" s="96"/>
      <c r="FD3" s="96"/>
      <c r="FE3" s="96"/>
      <c r="FF3" s="96"/>
      <c r="FG3" s="96"/>
      <c r="FH3" s="96"/>
      <c r="FI3" s="96"/>
      <c r="FJ3" s="96"/>
      <c r="FK3" s="96"/>
      <c r="FL3" s="96"/>
      <c r="FM3" s="96"/>
      <c r="FN3" s="96"/>
      <c r="FO3" s="96"/>
      <c r="FP3" s="96"/>
      <c r="FQ3" s="96"/>
      <c r="FR3" s="96"/>
      <c r="FS3" s="96"/>
      <c r="FT3" s="96"/>
      <c r="FU3" s="96"/>
      <c r="FV3" s="96"/>
      <c r="FW3" s="96"/>
      <c r="FX3" s="96"/>
      <c r="FY3" s="96"/>
      <c r="FZ3" s="96"/>
      <c r="GA3" s="96"/>
      <c r="GB3" s="96"/>
      <c r="GC3" s="96"/>
      <c r="GD3" s="96"/>
      <c r="GE3" s="96"/>
      <c r="GF3" s="96"/>
      <c r="GG3" s="96"/>
      <c r="GH3" s="96"/>
      <c r="GI3" s="96"/>
      <c r="GJ3" s="96"/>
      <c r="GK3" s="96"/>
      <c r="GL3" s="96"/>
      <c r="GM3" s="96"/>
      <c r="GN3" s="96"/>
      <c r="GO3" s="96"/>
      <c r="GP3" s="96"/>
      <c r="GQ3" s="96"/>
      <c r="GR3" s="96"/>
      <c r="GS3" s="96"/>
      <c r="GT3" s="96"/>
      <c r="GU3" s="96"/>
      <c r="GV3" s="96"/>
      <c r="GW3" s="96"/>
      <c r="GX3" s="96"/>
      <c r="GY3" s="96"/>
      <c r="GZ3" s="96"/>
      <c r="HA3" s="96"/>
      <c r="HB3" s="96"/>
      <c r="HC3" s="96"/>
      <c r="HD3" s="96"/>
      <c r="HE3" s="96"/>
      <c r="HF3" s="96"/>
      <c r="HG3" s="96"/>
      <c r="HH3" s="96"/>
      <c r="HI3" s="96"/>
      <c r="HJ3" s="96"/>
      <c r="HK3" s="96"/>
      <c r="HL3" s="96"/>
      <c r="HM3" s="96"/>
      <c r="HN3" s="96"/>
      <c r="HO3" s="96"/>
      <c r="HP3" s="96"/>
      <c r="HQ3" s="96"/>
      <c r="HR3" s="96"/>
      <c r="HS3" s="96"/>
      <c r="HT3" s="96"/>
      <c r="HU3" s="96"/>
      <c r="HV3" s="96"/>
      <c r="HW3" s="96"/>
      <c r="HX3" s="96"/>
      <c r="HY3" s="96"/>
      <c r="HZ3" s="96"/>
      <c r="IA3" s="96"/>
      <c r="IB3" s="96"/>
      <c r="IC3" s="96"/>
      <c r="ID3" s="96"/>
      <c r="IE3" s="96"/>
      <c r="IF3" s="96"/>
      <c r="IG3" s="96"/>
      <c r="IH3" s="96"/>
      <c r="II3" s="96"/>
      <c r="IJ3" s="96"/>
      <c r="IK3" s="96"/>
      <c r="IL3" s="96"/>
      <c r="IM3" s="96"/>
      <c r="IN3" s="96"/>
      <c r="IO3" s="96"/>
      <c r="IP3" s="96"/>
      <c r="IQ3" s="96"/>
      <c r="IR3" s="96"/>
      <c r="IS3" s="96"/>
    </row>
    <row r="4" spans="1:253" x14ac:dyDescent="0.2">
      <c r="A4" s="163" t="str">
        <f>ORCAMENTO!A4</f>
        <v>OBRA:</v>
      </c>
      <c r="B4" s="99"/>
      <c r="C4" s="99"/>
      <c r="D4" s="99"/>
      <c r="E4" s="96"/>
      <c r="F4" s="96"/>
      <c r="G4" s="96"/>
      <c r="H4" s="96"/>
      <c r="I4" s="96"/>
      <c r="J4" s="96"/>
      <c r="K4" s="96"/>
      <c r="L4" s="96"/>
      <c r="M4" s="96"/>
      <c r="N4" s="96"/>
      <c r="O4" s="96"/>
      <c r="P4" s="96"/>
      <c r="Q4" s="96"/>
      <c r="R4" s="96"/>
      <c r="S4" s="96"/>
      <c r="T4" s="96"/>
      <c r="U4" s="96"/>
      <c r="V4" s="96"/>
      <c r="W4" s="96"/>
      <c r="X4" s="96"/>
      <c r="Y4" s="96"/>
      <c r="Z4" s="96"/>
      <c r="AA4" s="96"/>
      <c r="AB4" s="96"/>
      <c r="AC4" s="96"/>
      <c r="AD4" s="96"/>
      <c r="AE4" s="96"/>
      <c r="AF4" s="96"/>
      <c r="AG4" s="96"/>
      <c r="AH4" s="96"/>
      <c r="AI4" s="96"/>
      <c r="AJ4" s="96"/>
      <c r="AK4" s="96"/>
      <c r="AL4" s="96"/>
      <c r="AM4" s="96"/>
      <c r="AN4" s="96"/>
      <c r="AO4" s="96"/>
      <c r="AP4" s="96"/>
      <c r="AQ4" s="96"/>
      <c r="AR4" s="96"/>
      <c r="AS4" s="96"/>
      <c r="AT4" s="96"/>
      <c r="AU4" s="96"/>
      <c r="AV4" s="96"/>
      <c r="AW4" s="96"/>
      <c r="AX4" s="96"/>
      <c r="AY4" s="96"/>
      <c r="AZ4" s="96"/>
      <c r="BA4" s="96"/>
      <c r="BB4" s="96"/>
      <c r="BC4" s="96"/>
      <c r="BD4" s="96"/>
      <c r="BE4" s="96"/>
      <c r="BF4" s="96"/>
      <c r="BG4" s="96"/>
      <c r="BH4" s="96"/>
      <c r="BI4" s="96"/>
      <c r="BJ4" s="96"/>
      <c r="BK4" s="96"/>
      <c r="BL4" s="96"/>
      <c r="BM4" s="96"/>
      <c r="BN4" s="96"/>
      <c r="BO4" s="96"/>
      <c r="BP4" s="96"/>
      <c r="BQ4" s="96"/>
      <c r="BR4" s="96"/>
      <c r="BS4" s="96"/>
      <c r="BT4" s="96"/>
      <c r="BU4" s="96"/>
      <c r="BV4" s="96"/>
      <c r="BW4" s="96"/>
      <c r="BX4" s="96"/>
      <c r="BY4" s="96"/>
      <c r="BZ4" s="96"/>
      <c r="CA4" s="96"/>
      <c r="CB4" s="96"/>
      <c r="CC4" s="96"/>
      <c r="CD4" s="96"/>
      <c r="CE4" s="96"/>
      <c r="CF4" s="96"/>
      <c r="CG4" s="96"/>
      <c r="CH4" s="96"/>
      <c r="CI4" s="96"/>
      <c r="CJ4" s="96"/>
      <c r="CK4" s="96"/>
      <c r="CL4" s="96"/>
      <c r="CM4" s="96"/>
      <c r="CN4" s="96"/>
      <c r="CO4" s="96"/>
      <c r="CP4" s="96"/>
      <c r="CQ4" s="96"/>
      <c r="CR4" s="96"/>
      <c r="CS4" s="96"/>
      <c r="CT4" s="96"/>
      <c r="CU4" s="96"/>
      <c r="CV4" s="96"/>
      <c r="CW4" s="96"/>
      <c r="CX4" s="96"/>
      <c r="CY4" s="96"/>
      <c r="CZ4" s="96"/>
      <c r="DA4" s="96"/>
      <c r="DB4" s="96"/>
      <c r="DC4" s="96"/>
      <c r="DD4" s="96"/>
      <c r="DE4" s="96"/>
      <c r="DF4" s="96"/>
      <c r="DG4" s="96"/>
      <c r="DH4" s="96"/>
      <c r="DI4" s="96"/>
      <c r="DJ4" s="96"/>
      <c r="DK4" s="96"/>
      <c r="DL4" s="96"/>
      <c r="DM4" s="96"/>
      <c r="DN4" s="96"/>
      <c r="DO4" s="96"/>
      <c r="DP4" s="96"/>
      <c r="DQ4" s="96"/>
      <c r="DR4" s="96"/>
      <c r="DS4" s="96"/>
      <c r="DT4" s="96"/>
      <c r="DU4" s="96"/>
      <c r="DV4" s="96"/>
      <c r="DW4" s="96"/>
      <c r="DX4" s="96"/>
      <c r="DY4" s="96"/>
      <c r="DZ4" s="96"/>
      <c r="EA4" s="96"/>
      <c r="EB4" s="96"/>
      <c r="EC4" s="96"/>
      <c r="ED4" s="96"/>
      <c r="EE4" s="96"/>
      <c r="EF4" s="96"/>
      <c r="EG4" s="96"/>
      <c r="EH4" s="96"/>
      <c r="EI4" s="96"/>
      <c r="EJ4" s="96"/>
      <c r="EK4" s="96"/>
      <c r="EL4" s="96"/>
      <c r="EM4" s="96"/>
      <c r="EN4" s="96"/>
      <c r="EO4" s="96"/>
      <c r="EP4" s="96"/>
      <c r="EQ4" s="96"/>
      <c r="ER4" s="96"/>
      <c r="ES4" s="96"/>
      <c r="ET4" s="96"/>
      <c r="EU4" s="96"/>
      <c r="EV4" s="96"/>
      <c r="EW4" s="96"/>
      <c r="EX4" s="96"/>
      <c r="EY4" s="96"/>
      <c r="EZ4" s="96"/>
      <c r="FA4" s="96"/>
      <c r="FB4" s="96"/>
      <c r="FC4" s="96"/>
      <c r="FD4" s="96"/>
      <c r="FE4" s="96"/>
      <c r="FF4" s="96"/>
      <c r="FG4" s="96"/>
      <c r="FH4" s="96"/>
      <c r="FI4" s="96"/>
      <c r="FJ4" s="96"/>
      <c r="FK4" s="96"/>
      <c r="FL4" s="96"/>
      <c r="FM4" s="96"/>
      <c r="FN4" s="96"/>
      <c r="FO4" s="96"/>
      <c r="FP4" s="96"/>
      <c r="FQ4" s="96"/>
      <c r="FR4" s="96"/>
      <c r="FS4" s="96"/>
      <c r="FT4" s="96"/>
      <c r="FU4" s="96"/>
      <c r="FV4" s="96"/>
      <c r="FW4" s="96"/>
      <c r="FX4" s="96"/>
      <c r="FY4" s="96"/>
      <c r="FZ4" s="96"/>
      <c r="GA4" s="96"/>
      <c r="GB4" s="96"/>
      <c r="GC4" s="96"/>
      <c r="GD4" s="96"/>
      <c r="GE4" s="96"/>
      <c r="GF4" s="96"/>
      <c r="GG4" s="96"/>
      <c r="GH4" s="96"/>
      <c r="GI4" s="96"/>
      <c r="GJ4" s="96"/>
      <c r="GK4" s="96"/>
      <c r="GL4" s="96"/>
      <c r="GM4" s="96"/>
      <c r="GN4" s="96"/>
      <c r="GO4" s="96"/>
      <c r="GP4" s="96"/>
      <c r="GQ4" s="96"/>
      <c r="GR4" s="96"/>
      <c r="GS4" s="96"/>
      <c r="GT4" s="96"/>
      <c r="GU4" s="96"/>
      <c r="GV4" s="96"/>
      <c r="GW4" s="96"/>
      <c r="GX4" s="96"/>
      <c r="GY4" s="96"/>
      <c r="GZ4" s="96"/>
      <c r="HA4" s="96"/>
      <c r="HB4" s="96"/>
      <c r="HC4" s="96"/>
      <c r="HD4" s="96"/>
      <c r="HE4" s="96"/>
      <c r="HF4" s="96"/>
      <c r="HG4" s="96"/>
      <c r="HH4" s="96"/>
      <c r="HI4" s="96"/>
      <c r="HJ4" s="96"/>
      <c r="HK4" s="96"/>
      <c r="HL4" s="96"/>
      <c r="HM4" s="96"/>
      <c r="HN4" s="96"/>
      <c r="HO4" s="96"/>
      <c r="HP4" s="96"/>
      <c r="HQ4" s="96"/>
      <c r="HR4" s="96"/>
      <c r="HS4" s="96"/>
      <c r="HT4" s="96"/>
      <c r="HU4" s="96"/>
      <c r="HV4" s="96"/>
      <c r="HW4" s="96"/>
      <c r="HX4" s="96"/>
      <c r="HY4" s="96"/>
      <c r="HZ4" s="96"/>
      <c r="IA4" s="96"/>
      <c r="IB4" s="96"/>
      <c r="IC4" s="96"/>
      <c r="ID4" s="96"/>
      <c r="IE4" s="96"/>
      <c r="IF4" s="96"/>
      <c r="IG4" s="96"/>
      <c r="IH4" s="96"/>
      <c r="II4" s="96"/>
      <c r="IJ4" s="96"/>
      <c r="IK4" s="96"/>
      <c r="IL4" s="96"/>
      <c r="IM4" s="96"/>
      <c r="IN4" s="96"/>
      <c r="IO4" s="96"/>
      <c r="IP4" s="96"/>
      <c r="IQ4" s="96"/>
      <c r="IR4" s="96"/>
      <c r="IS4" s="96"/>
    </row>
    <row r="5" spans="1:253" s="96" customFormat="1" x14ac:dyDescent="0.2">
      <c r="A5" s="112" t="str">
        <f>ORCAMENTO!A5</f>
        <v>CENTRO DE INOVAÇÃO E DIFUSÃO DE TECNOLOGIA PARA O SEMIÁRIDO - CAMPUS BOA VIAGEM</v>
      </c>
      <c r="B5" s="98"/>
      <c r="C5" s="98"/>
      <c r="D5" s="100"/>
    </row>
    <row r="6" spans="1:253" x14ac:dyDescent="0.2">
      <c r="A6" s="163" t="str">
        <f>ORCAMENTO!A6</f>
        <v>LOCAL:</v>
      </c>
      <c r="B6" s="102"/>
      <c r="C6" s="102"/>
      <c r="D6" s="101"/>
    </row>
    <row r="7" spans="1:253" s="96" customFormat="1" x14ac:dyDescent="0.2">
      <c r="A7" s="112" t="str">
        <f>ORCAMENTO!A7</f>
        <v>SEDE DO MUNICÍPIO</v>
      </c>
      <c r="B7" s="98"/>
      <c r="C7" s="98"/>
      <c r="D7" s="100"/>
    </row>
    <row r="8" spans="1:253" s="96" customFormat="1" x14ac:dyDescent="0.2">
      <c r="A8" s="163" t="str">
        <f>ORCAMENTO!A8</f>
        <v>MUNICÍPIO:</v>
      </c>
      <c r="B8" s="98"/>
      <c r="C8" s="98"/>
      <c r="D8" s="100"/>
    </row>
    <row r="9" spans="1:253" x14ac:dyDescent="0.2">
      <c r="A9" s="112" t="str">
        <f>ORCAMENTO!A9</f>
        <v>BOA VIAGEM - CE</v>
      </c>
      <c r="B9" s="102"/>
      <c r="C9" s="102"/>
      <c r="D9" s="100"/>
    </row>
    <row r="10" spans="1:253" s="96" customFormat="1" x14ac:dyDescent="0.2">
      <c r="A10" s="163"/>
      <c r="B10" s="98"/>
      <c r="C10" s="98"/>
      <c r="D10" s="100"/>
    </row>
    <row r="11" spans="1:253" x14ac:dyDescent="0.2">
      <c r="A11" s="163" t="str">
        <f>ORCAMENTO!A11</f>
        <v>FONTE DOS PREÇOS:</v>
      </c>
      <c r="B11" s="112"/>
      <c r="C11" s="112"/>
      <c r="D11" s="112"/>
    </row>
    <row r="12" spans="1:253" x14ac:dyDescent="0.2">
      <c r="A12" s="112" t="str">
        <f>ORCAMENTO!A12</f>
        <v>TABELA SEINFRA 028.1 DESONERADA</v>
      </c>
      <c r="B12" s="102"/>
      <c r="C12" s="102"/>
      <c r="D12" s="101"/>
    </row>
    <row r="13" spans="1:253" x14ac:dyDescent="0.2">
      <c r="A13" s="112"/>
      <c r="B13" s="112" t="str">
        <f>ORCAMENTO!B13</f>
        <v>DATA REFERÊNCIA TÉCNICA: 10/2023</v>
      </c>
      <c r="C13" s="102"/>
      <c r="D13" s="101"/>
    </row>
    <row r="14" spans="1:253" s="96" customFormat="1" x14ac:dyDescent="0.2">
      <c r="A14" s="112"/>
      <c r="B14" s="112" t="str">
        <f>ORCAMENTO!B14</f>
        <v>ENCARGOS SOCIAIS: 84,44% (HORA) - 47,48% (MÊS)</v>
      </c>
      <c r="C14" s="102"/>
      <c r="D14" s="101"/>
    </row>
    <row r="15" spans="1:253" x14ac:dyDescent="0.2">
      <c r="A15" s="112" t="str">
        <f>ORCAMENTO!A15</f>
        <v>TABELA SINAPI 06/2025 DESONERADA</v>
      </c>
      <c r="B15" s="112"/>
      <c r="C15" s="102"/>
      <c r="D15" s="101"/>
    </row>
    <row r="16" spans="1:253" x14ac:dyDescent="0.2">
      <c r="A16" s="112"/>
      <c r="B16" s="112" t="str">
        <f>ORCAMENTO!B16</f>
        <v>DATA REFERÊNCIA TÉCNICA: 06/2025</v>
      </c>
      <c r="C16" s="102"/>
      <c r="D16" s="101"/>
    </row>
    <row r="17" spans="1:256" x14ac:dyDescent="0.2">
      <c r="A17" s="112"/>
      <c r="B17" s="112" t="str">
        <f>ORCAMENTO!B17</f>
        <v>ENCARGOS SOCIAIS: 92,17% (HORA) - 53,50% (MÊS)</v>
      </c>
      <c r="C17" s="102"/>
      <c r="D17" s="101"/>
      <c r="E17" s="37"/>
      <c r="F17" s="103"/>
    </row>
    <row r="18" spans="1:256" x14ac:dyDescent="0.2">
      <c r="A18" s="112"/>
      <c r="B18" s="112"/>
      <c r="C18" s="102"/>
      <c r="D18" s="101"/>
      <c r="E18" s="37"/>
      <c r="F18" s="103"/>
    </row>
    <row r="19" spans="1:256" s="112" customFormat="1" x14ac:dyDescent="0.2">
      <c r="A19" s="655" t="s">
        <v>47427</v>
      </c>
      <c r="B19" s="656"/>
      <c r="C19" s="656"/>
      <c r="D19" s="657"/>
      <c r="E19" s="411"/>
      <c r="F19" s="411"/>
      <c r="G19" s="411"/>
      <c r="H19" s="411"/>
      <c r="I19" s="411"/>
      <c r="J19" s="411"/>
      <c r="K19" s="411"/>
      <c r="L19" s="411"/>
      <c r="M19" s="411"/>
      <c r="N19" s="411"/>
      <c r="O19" s="411"/>
      <c r="P19" s="411"/>
      <c r="Q19" s="411"/>
      <c r="R19" s="411"/>
      <c r="S19" s="411"/>
      <c r="T19" s="411"/>
      <c r="U19" s="411"/>
      <c r="V19" s="411"/>
      <c r="W19" s="411"/>
      <c r="X19" s="411"/>
      <c r="Y19" s="411"/>
      <c r="Z19" s="411"/>
      <c r="AA19" s="411"/>
      <c r="AB19" s="411"/>
      <c r="AC19" s="411"/>
      <c r="AD19" s="411"/>
      <c r="AE19" s="411"/>
      <c r="AF19" s="411"/>
      <c r="AG19" s="411"/>
      <c r="AH19" s="411"/>
      <c r="AI19" s="411"/>
      <c r="AJ19" s="411"/>
      <c r="AK19" s="411"/>
      <c r="AL19" s="411"/>
      <c r="AM19" s="411"/>
      <c r="AN19" s="411"/>
      <c r="AO19" s="411"/>
      <c r="AP19" s="411"/>
      <c r="AQ19" s="411"/>
      <c r="AR19" s="411"/>
      <c r="AS19" s="411"/>
      <c r="AT19" s="411"/>
      <c r="AU19" s="411"/>
      <c r="AV19" s="411"/>
      <c r="AW19" s="411"/>
      <c r="AX19" s="411"/>
      <c r="AY19" s="411"/>
      <c r="AZ19" s="411"/>
      <c r="BA19" s="411"/>
      <c r="BB19" s="411"/>
      <c r="BC19" s="411"/>
      <c r="BD19" s="411"/>
      <c r="BE19" s="411"/>
      <c r="BF19" s="411"/>
      <c r="BG19" s="411"/>
      <c r="BH19" s="411"/>
      <c r="BI19" s="411"/>
      <c r="BJ19" s="411"/>
      <c r="BK19" s="411"/>
      <c r="BL19" s="411"/>
      <c r="BM19" s="411"/>
      <c r="BN19" s="411"/>
      <c r="BO19" s="411"/>
      <c r="BP19" s="411"/>
      <c r="BQ19" s="411"/>
      <c r="BR19" s="411"/>
      <c r="BS19" s="411"/>
      <c r="BT19" s="411"/>
      <c r="BU19" s="411"/>
      <c r="BV19" s="411"/>
      <c r="BW19" s="411"/>
      <c r="BX19" s="411"/>
      <c r="BY19" s="411"/>
      <c r="BZ19" s="411"/>
      <c r="CA19" s="411"/>
      <c r="CB19" s="411"/>
      <c r="CC19" s="411"/>
      <c r="CD19" s="411"/>
      <c r="CE19" s="411"/>
      <c r="CF19" s="411"/>
      <c r="CG19" s="411"/>
      <c r="CH19" s="411"/>
      <c r="CI19" s="411"/>
      <c r="CJ19" s="411"/>
      <c r="CK19" s="411"/>
      <c r="CL19" s="411"/>
      <c r="CM19" s="411"/>
      <c r="CN19" s="411"/>
      <c r="CO19" s="411"/>
      <c r="CP19" s="411"/>
      <c r="CQ19" s="411"/>
      <c r="CR19" s="411"/>
      <c r="CS19" s="411"/>
      <c r="CT19" s="411"/>
      <c r="CU19" s="411"/>
      <c r="CV19" s="411"/>
      <c r="CW19" s="411"/>
      <c r="CX19" s="411"/>
      <c r="CY19" s="411"/>
      <c r="CZ19" s="411"/>
      <c r="DA19" s="411"/>
      <c r="DB19" s="411"/>
      <c r="DC19" s="411"/>
      <c r="DD19" s="411"/>
      <c r="DE19" s="411"/>
      <c r="DF19" s="411"/>
      <c r="DG19" s="411"/>
      <c r="DH19" s="411"/>
      <c r="DI19" s="411"/>
      <c r="DJ19" s="411"/>
      <c r="DK19" s="411"/>
      <c r="DL19" s="411"/>
      <c r="DM19" s="411"/>
      <c r="DN19" s="411"/>
      <c r="DO19" s="411"/>
      <c r="DP19" s="411"/>
      <c r="DQ19" s="411"/>
      <c r="DR19" s="411"/>
      <c r="DS19" s="411"/>
      <c r="DT19" s="411"/>
      <c r="DU19" s="411"/>
      <c r="DV19" s="411"/>
      <c r="DW19" s="411"/>
      <c r="DX19" s="411"/>
      <c r="DY19" s="411"/>
      <c r="DZ19" s="411"/>
      <c r="EA19" s="411"/>
      <c r="EB19" s="411"/>
      <c r="EC19" s="411"/>
      <c r="ED19" s="411"/>
      <c r="EE19" s="411"/>
      <c r="EF19" s="411"/>
      <c r="EG19" s="411"/>
      <c r="EH19" s="411"/>
      <c r="EI19" s="411"/>
      <c r="EJ19" s="411"/>
      <c r="EK19" s="411"/>
      <c r="EL19" s="411"/>
      <c r="EM19" s="411"/>
      <c r="EN19" s="411"/>
      <c r="EO19" s="411"/>
      <c r="EP19" s="411"/>
      <c r="EQ19" s="411"/>
      <c r="ER19" s="411"/>
      <c r="ES19" s="411"/>
      <c r="ET19" s="411"/>
      <c r="EU19" s="411"/>
      <c r="EV19" s="411"/>
      <c r="EW19" s="411"/>
      <c r="EX19" s="411"/>
      <c r="EY19" s="411"/>
      <c r="EZ19" s="411"/>
      <c r="FA19" s="411"/>
      <c r="FB19" s="411"/>
      <c r="FC19" s="411"/>
      <c r="FD19" s="411"/>
      <c r="FE19" s="411"/>
      <c r="FF19" s="411"/>
      <c r="FG19" s="411"/>
      <c r="FH19" s="411"/>
      <c r="FI19" s="411"/>
      <c r="FJ19" s="411"/>
      <c r="FK19" s="411"/>
      <c r="FL19" s="411"/>
      <c r="FM19" s="411"/>
      <c r="FN19" s="411"/>
      <c r="FO19" s="411"/>
      <c r="FP19" s="411"/>
      <c r="FQ19" s="411"/>
      <c r="FR19" s="411"/>
      <c r="FS19" s="411"/>
      <c r="FT19" s="411"/>
      <c r="FU19" s="411"/>
      <c r="FV19" s="411"/>
      <c r="FW19" s="411"/>
      <c r="FX19" s="411"/>
      <c r="FY19" s="411"/>
      <c r="FZ19" s="411"/>
      <c r="GA19" s="411"/>
      <c r="GB19" s="411"/>
      <c r="GC19" s="411"/>
      <c r="GD19" s="411"/>
      <c r="GE19" s="411"/>
      <c r="GF19" s="411"/>
      <c r="GG19" s="411"/>
      <c r="GH19" s="411"/>
      <c r="GI19" s="411"/>
      <c r="GJ19" s="411"/>
      <c r="GK19" s="411"/>
      <c r="GL19" s="411"/>
      <c r="GM19" s="411"/>
      <c r="GN19" s="411"/>
      <c r="GO19" s="411"/>
      <c r="GP19" s="411"/>
      <c r="GQ19" s="411"/>
      <c r="GR19" s="411"/>
      <c r="GS19" s="411"/>
      <c r="GT19" s="411"/>
      <c r="GU19" s="411"/>
      <c r="GV19" s="411"/>
      <c r="GW19" s="411"/>
      <c r="GX19" s="411"/>
      <c r="GY19" s="411"/>
      <c r="GZ19" s="411"/>
      <c r="HA19" s="411"/>
      <c r="HB19" s="411"/>
      <c r="HC19" s="411"/>
      <c r="HD19" s="411"/>
      <c r="HE19" s="411"/>
      <c r="HF19" s="411"/>
      <c r="HG19" s="411"/>
      <c r="HH19" s="411"/>
      <c r="HI19" s="411"/>
      <c r="HJ19" s="411"/>
      <c r="HK19" s="411"/>
      <c r="HL19" s="411"/>
      <c r="HM19" s="411"/>
      <c r="HN19" s="411"/>
      <c r="HO19" s="411"/>
      <c r="HP19" s="411"/>
      <c r="HQ19" s="411"/>
      <c r="HR19" s="411"/>
      <c r="HS19" s="411"/>
      <c r="HT19" s="411"/>
      <c r="HU19" s="411"/>
      <c r="HV19" s="411"/>
      <c r="HW19" s="411"/>
      <c r="HX19" s="411"/>
      <c r="HY19" s="411"/>
      <c r="HZ19" s="411"/>
      <c r="IA19" s="411"/>
      <c r="IB19" s="411"/>
      <c r="IC19" s="411"/>
      <c r="ID19" s="411"/>
      <c r="IE19" s="411"/>
      <c r="IF19" s="411"/>
      <c r="IG19" s="411"/>
      <c r="IH19" s="411"/>
      <c r="II19" s="411"/>
      <c r="IJ19" s="411"/>
      <c r="IK19" s="411"/>
      <c r="IL19" s="411"/>
      <c r="IM19" s="411"/>
      <c r="IN19" s="411"/>
      <c r="IO19" s="411"/>
      <c r="IP19" s="411"/>
      <c r="IQ19" s="411"/>
      <c r="IR19" s="411"/>
      <c r="IS19" s="411"/>
      <c r="IT19" s="411"/>
      <c r="IU19" s="411"/>
      <c r="IV19" s="411"/>
    </row>
    <row r="20" spans="1:256" s="115" customFormat="1" x14ac:dyDescent="0.2">
      <c r="A20" s="658" t="s">
        <v>52</v>
      </c>
      <c r="B20" s="658" t="s">
        <v>5917</v>
      </c>
      <c r="C20" s="664" t="s">
        <v>47012</v>
      </c>
      <c r="D20" s="664"/>
      <c r="E20" s="397"/>
      <c r="F20" s="397"/>
      <c r="G20" s="397"/>
      <c r="H20" s="397"/>
      <c r="I20" s="397"/>
      <c r="J20" s="397"/>
      <c r="K20" s="397"/>
      <c r="L20" s="397"/>
      <c r="M20" s="397"/>
      <c r="N20" s="397"/>
      <c r="O20" s="397"/>
      <c r="P20" s="397"/>
      <c r="Q20" s="397"/>
      <c r="R20" s="397"/>
      <c r="S20" s="397"/>
      <c r="T20" s="397"/>
      <c r="U20" s="397"/>
      <c r="V20" s="397"/>
      <c r="W20" s="397"/>
      <c r="X20" s="397"/>
      <c r="Y20" s="397"/>
      <c r="Z20" s="397"/>
      <c r="AA20" s="397"/>
      <c r="AB20" s="397"/>
      <c r="AC20" s="397"/>
      <c r="AD20" s="397"/>
      <c r="AE20" s="397"/>
      <c r="AF20" s="397"/>
      <c r="AG20" s="397"/>
      <c r="AH20" s="397"/>
      <c r="AI20" s="397"/>
      <c r="AJ20" s="397"/>
      <c r="AK20" s="397"/>
      <c r="AL20" s="397"/>
      <c r="AM20" s="397"/>
      <c r="AN20" s="397"/>
      <c r="AO20" s="397"/>
      <c r="AP20" s="397"/>
      <c r="AQ20" s="397"/>
      <c r="AR20" s="397"/>
      <c r="AS20" s="397"/>
      <c r="AT20" s="397"/>
      <c r="AU20" s="397"/>
      <c r="AV20" s="397"/>
      <c r="AW20" s="397"/>
      <c r="AX20" s="397"/>
      <c r="AY20" s="397"/>
      <c r="AZ20" s="397"/>
      <c r="BA20" s="397"/>
      <c r="BB20" s="397"/>
      <c r="BC20" s="397"/>
      <c r="BD20" s="397"/>
      <c r="BE20" s="397"/>
      <c r="BF20" s="397"/>
      <c r="BG20" s="397"/>
      <c r="BH20" s="397"/>
      <c r="BI20" s="397"/>
      <c r="BJ20" s="397"/>
      <c r="BK20" s="397"/>
      <c r="BL20" s="397"/>
      <c r="BM20" s="397"/>
      <c r="BN20" s="397"/>
      <c r="BO20" s="397"/>
      <c r="BP20" s="397"/>
      <c r="BQ20" s="397"/>
      <c r="BR20" s="397"/>
      <c r="BS20" s="397"/>
      <c r="BT20" s="397"/>
      <c r="BU20" s="397"/>
      <c r="BV20" s="397"/>
      <c r="BW20" s="397"/>
      <c r="BX20" s="397"/>
      <c r="BY20" s="397"/>
      <c r="BZ20" s="397"/>
      <c r="CA20" s="397"/>
      <c r="CB20" s="397"/>
      <c r="CC20" s="397"/>
      <c r="CD20" s="397"/>
      <c r="CE20" s="397"/>
      <c r="CF20" s="397"/>
      <c r="CG20" s="397"/>
      <c r="CH20" s="397"/>
      <c r="CI20" s="397"/>
      <c r="CJ20" s="397"/>
      <c r="CK20" s="397"/>
      <c r="CL20" s="397"/>
      <c r="CM20" s="397"/>
      <c r="CN20" s="397"/>
      <c r="CO20" s="397"/>
      <c r="CP20" s="397"/>
      <c r="CQ20" s="397"/>
      <c r="CR20" s="397"/>
      <c r="CS20" s="397"/>
      <c r="CT20" s="397"/>
      <c r="CU20" s="397"/>
      <c r="CV20" s="397"/>
      <c r="CW20" s="397"/>
      <c r="CX20" s="397"/>
      <c r="CY20" s="397"/>
      <c r="CZ20" s="397"/>
      <c r="DA20" s="397"/>
      <c r="DB20" s="397"/>
      <c r="DC20" s="397"/>
      <c r="DD20" s="397"/>
      <c r="DE20" s="397"/>
      <c r="DF20" s="397"/>
      <c r="DG20" s="397"/>
      <c r="DH20" s="397"/>
      <c r="DI20" s="397"/>
      <c r="DJ20" s="397"/>
      <c r="DK20" s="397"/>
      <c r="DL20" s="397"/>
      <c r="DM20" s="397"/>
      <c r="DN20" s="397"/>
      <c r="DO20" s="397"/>
      <c r="DP20" s="397"/>
      <c r="DQ20" s="397"/>
      <c r="DR20" s="397"/>
      <c r="DS20" s="397"/>
      <c r="DT20" s="397"/>
      <c r="DU20" s="397"/>
      <c r="DV20" s="397"/>
      <c r="DW20" s="397"/>
      <c r="DX20" s="397"/>
      <c r="DY20" s="397"/>
      <c r="DZ20" s="397"/>
      <c r="EA20" s="397"/>
      <c r="EB20" s="397"/>
      <c r="EC20" s="397"/>
      <c r="ED20" s="397"/>
      <c r="EE20" s="397"/>
      <c r="EF20" s="397"/>
      <c r="EG20" s="397"/>
      <c r="EH20" s="397"/>
      <c r="EI20" s="397"/>
      <c r="EJ20" s="397"/>
      <c r="EK20" s="397"/>
      <c r="EL20" s="397"/>
      <c r="EM20" s="397"/>
      <c r="EN20" s="397"/>
      <c r="EO20" s="397"/>
      <c r="EP20" s="397"/>
      <c r="EQ20" s="397"/>
      <c r="ER20" s="397"/>
      <c r="ES20" s="397"/>
      <c r="ET20" s="397"/>
      <c r="EU20" s="397"/>
      <c r="EV20" s="397"/>
      <c r="EW20" s="397"/>
      <c r="EX20" s="397"/>
      <c r="EY20" s="397"/>
      <c r="EZ20" s="397"/>
      <c r="FA20" s="397"/>
      <c r="FB20" s="397"/>
      <c r="FC20" s="397"/>
      <c r="FD20" s="397"/>
      <c r="FE20" s="397"/>
      <c r="FF20" s="397"/>
      <c r="FG20" s="397"/>
      <c r="FH20" s="397"/>
      <c r="FI20" s="397"/>
      <c r="FJ20" s="397"/>
      <c r="FK20" s="397"/>
      <c r="FL20" s="397"/>
      <c r="FM20" s="397"/>
      <c r="FN20" s="397"/>
      <c r="FO20" s="397"/>
      <c r="FP20" s="397"/>
      <c r="FQ20" s="397"/>
      <c r="FR20" s="397"/>
      <c r="FS20" s="397"/>
      <c r="FT20" s="397"/>
      <c r="FU20" s="397"/>
      <c r="FV20" s="397"/>
      <c r="FW20" s="397"/>
      <c r="FX20" s="397"/>
      <c r="FY20" s="397"/>
      <c r="FZ20" s="397"/>
      <c r="GA20" s="397"/>
      <c r="GB20" s="397"/>
      <c r="GC20" s="397"/>
      <c r="GD20" s="397"/>
      <c r="GE20" s="397"/>
      <c r="GF20" s="397"/>
      <c r="GG20" s="397"/>
      <c r="GH20" s="397"/>
      <c r="GI20" s="397"/>
      <c r="GJ20" s="397"/>
      <c r="GK20" s="397"/>
      <c r="GL20" s="397"/>
      <c r="GM20" s="397"/>
      <c r="GN20" s="397"/>
      <c r="GO20" s="397"/>
      <c r="GP20" s="397"/>
      <c r="GQ20" s="397"/>
      <c r="GR20" s="397"/>
      <c r="GS20" s="397"/>
      <c r="GT20" s="397"/>
      <c r="GU20" s="397"/>
      <c r="GV20" s="397"/>
      <c r="GW20" s="397"/>
      <c r="GX20" s="397"/>
      <c r="GY20" s="397"/>
      <c r="GZ20" s="397"/>
      <c r="HA20" s="397"/>
      <c r="HB20" s="397"/>
      <c r="HC20" s="397"/>
      <c r="HD20" s="397"/>
      <c r="HE20" s="397"/>
      <c r="HF20" s="397"/>
      <c r="HG20" s="397"/>
      <c r="HH20" s="397"/>
      <c r="HI20" s="397"/>
      <c r="HJ20" s="397"/>
      <c r="HK20" s="397"/>
      <c r="HL20" s="397"/>
      <c r="HM20" s="397"/>
      <c r="HN20" s="397"/>
      <c r="HO20" s="397"/>
      <c r="HP20" s="397"/>
      <c r="HQ20" s="397"/>
      <c r="HR20" s="397"/>
      <c r="HS20" s="397"/>
      <c r="HT20" s="397"/>
      <c r="HU20" s="397"/>
      <c r="HV20" s="397"/>
      <c r="HW20" s="397"/>
      <c r="HX20" s="397"/>
      <c r="HY20" s="397"/>
      <c r="HZ20" s="397"/>
      <c r="IA20" s="397"/>
      <c r="IB20" s="397"/>
      <c r="IC20" s="397"/>
      <c r="ID20" s="397"/>
      <c r="IE20" s="397"/>
      <c r="IF20" s="397"/>
      <c r="IG20" s="397"/>
      <c r="IH20" s="397"/>
      <c r="II20" s="397"/>
      <c r="IJ20" s="397"/>
      <c r="IK20" s="397"/>
      <c r="IL20" s="397"/>
      <c r="IM20" s="397"/>
      <c r="IN20" s="397"/>
      <c r="IO20" s="397"/>
      <c r="IP20" s="397"/>
      <c r="IQ20" s="397"/>
      <c r="IR20" s="397"/>
      <c r="IS20" s="397"/>
      <c r="IT20" s="397"/>
      <c r="IU20" s="397"/>
      <c r="IV20" s="397"/>
    </row>
    <row r="21" spans="1:256" s="115" customFormat="1" x14ac:dyDescent="0.2">
      <c r="A21" s="659"/>
      <c r="B21" s="659"/>
      <c r="C21" s="412" t="s">
        <v>47013</v>
      </c>
      <c r="D21" s="412" t="s">
        <v>47014</v>
      </c>
      <c r="E21" s="397"/>
      <c r="F21" s="397"/>
      <c r="G21" s="397"/>
      <c r="H21" s="397"/>
      <c r="I21" s="397"/>
      <c r="J21" s="397"/>
      <c r="K21" s="397"/>
      <c r="L21" s="397"/>
      <c r="M21" s="397"/>
      <c r="N21" s="397"/>
      <c r="O21" s="397"/>
      <c r="P21" s="397"/>
      <c r="Q21" s="397"/>
      <c r="R21" s="397"/>
      <c r="S21" s="397"/>
      <c r="T21" s="397"/>
      <c r="U21" s="397"/>
      <c r="V21" s="397"/>
      <c r="W21" s="397"/>
      <c r="X21" s="397"/>
      <c r="Y21" s="397"/>
      <c r="Z21" s="397"/>
      <c r="AA21" s="397"/>
      <c r="AB21" s="397"/>
      <c r="AC21" s="397"/>
      <c r="AD21" s="397"/>
      <c r="AE21" s="397"/>
      <c r="AF21" s="397"/>
      <c r="AG21" s="397"/>
      <c r="AH21" s="397"/>
      <c r="AI21" s="397"/>
      <c r="AJ21" s="397"/>
      <c r="AK21" s="397"/>
      <c r="AL21" s="397"/>
      <c r="AM21" s="397"/>
      <c r="AN21" s="397"/>
      <c r="AO21" s="397"/>
      <c r="AP21" s="397"/>
      <c r="AQ21" s="397"/>
      <c r="AR21" s="397"/>
      <c r="AS21" s="397"/>
      <c r="AT21" s="397"/>
      <c r="AU21" s="397"/>
      <c r="AV21" s="397"/>
      <c r="AW21" s="397"/>
      <c r="AX21" s="397"/>
      <c r="AY21" s="397"/>
      <c r="AZ21" s="397"/>
      <c r="BA21" s="397"/>
      <c r="BB21" s="397"/>
      <c r="BC21" s="397"/>
      <c r="BD21" s="397"/>
      <c r="BE21" s="397"/>
      <c r="BF21" s="397"/>
      <c r="BG21" s="397"/>
      <c r="BH21" s="397"/>
      <c r="BI21" s="397"/>
      <c r="BJ21" s="397"/>
      <c r="BK21" s="397"/>
      <c r="BL21" s="397"/>
      <c r="BM21" s="397"/>
      <c r="BN21" s="397"/>
      <c r="BO21" s="397"/>
      <c r="BP21" s="397"/>
      <c r="BQ21" s="397"/>
      <c r="BR21" s="397"/>
      <c r="BS21" s="397"/>
      <c r="BT21" s="397"/>
      <c r="BU21" s="397"/>
      <c r="BV21" s="397"/>
      <c r="BW21" s="397"/>
      <c r="BX21" s="397"/>
      <c r="BY21" s="397"/>
      <c r="BZ21" s="397"/>
      <c r="CA21" s="397"/>
      <c r="CB21" s="397"/>
      <c r="CC21" s="397"/>
      <c r="CD21" s="397"/>
      <c r="CE21" s="397"/>
      <c r="CF21" s="397"/>
      <c r="CG21" s="397"/>
      <c r="CH21" s="397"/>
      <c r="CI21" s="397"/>
      <c r="CJ21" s="397"/>
      <c r="CK21" s="397"/>
      <c r="CL21" s="397"/>
      <c r="CM21" s="397"/>
      <c r="CN21" s="397"/>
      <c r="CO21" s="397"/>
      <c r="CP21" s="397"/>
      <c r="CQ21" s="397"/>
      <c r="CR21" s="397"/>
      <c r="CS21" s="397"/>
      <c r="CT21" s="397"/>
      <c r="CU21" s="397"/>
      <c r="CV21" s="397"/>
      <c r="CW21" s="397"/>
      <c r="CX21" s="397"/>
      <c r="CY21" s="397"/>
      <c r="CZ21" s="397"/>
      <c r="DA21" s="397"/>
      <c r="DB21" s="397"/>
      <c r="DC21" s="397"/>
      <c r="DD21" s="397"/>
      <c r="DE21" s="397"/>
      <c r="DF21" s="397"/>
      <c r="DG21" s="397"/>
      <c r="DH21" s="397"/>
      <c r="DI21" s="397"/>
      <c r="DJ21" s="397"/>
      <c r="DK21" s="397"/>
      <c r="DL21" s="397"/>
      <c r="DM21" s="397"/>
      <c r="DN21" s="397"/>
      <c r="DO21" s="397"/>
      <c r="DP21" s="397"/>
      <c r="DQ21" s="397"/>
      <c r="DR21" s="397"/>
      <c r="DS21" s="397"/>
      <c r="DT21" s="397"/>
      <c r="DU21" s="397"/>
      <c r="DV21" s="397"/>
      <c r="DW21" s="397"/>
      <c r="DX21" s="397"/>
      <c r="DY21" s="397"/>
      <c r="DZ21" s="397"/>
      <c r="EA21" s="397"/>
      <c r="EB21" s="397"/>
      <c r="EC21" s="397"/>
      <c r="ED21" s="397"/>
      <c r="EE21" s="397"/>
      <c r="EF21" s="397"/>
      <c r="EG21" s="397"/>
      <c r="EH21" s="397"/>
      <c r="EI21" s="397"/>
      <c r="EJ21" s="397"/>
      <c r="EK21" s="397"/>
      <c r="EL21" s="397"/>
      <c r="EM21" s="397"/>
      <c r="EN21" s="397"/>
      <c r="EO21" s="397"/>
      <c r="EP21" s="397"/>
      <c r="EQ21" s="397"/>
      <c r="ER21" s="397"/>
      <c r="ES21" s="397"/>
      <c r="ET21" s="397"/>
      <c r="EU21" s="397"/>
      <c r="EV21" s="397"/>
      <c r="EW21" s="397"/>
      <c r="EX21" s="397"/>
      <c r="EY21" s="397"/>
      <c r="EZ21" s="397"/>
      <c r="FA21" s="397"/>
      <c r="FB21" s="397"/>
      <c r="FC21" s="397"/>
      <c r="FD21" s="397"/>
      <c r="FE21" s="397"/>
      <c r="FF21" s="397"/>
      <c r="FG21" s="397"/>
      <c r="FH21" s="397"/>
      <c r="FI21" s="397"/>
      <c r="FJ21" s="397"/>
      <c r="FK21" s="397"/>
      <c r="FL21" s="397"/>
      <c r="FM21" s="397"/>
      <c r="FN21" s="397"/>
      <c r="FO21" s="397"/>
      <c r="FP21" s="397"/>
      <c r="FQ21" s="397"/>
      <c r="FR21" s="397"/>
      <c r="FS21" s="397"/>
      <c r="FT21" s="397"/>
      <c r="FU21" s="397"/>
      <c r="FV21" s="397"/>
      <c r="FW21" s="397"/>
      <c r="FX21" s="397"/>
      <c r="FY21" s="397"/>
      <c r="FZ21" s="397"/>
      <c r="GA21" s="397"/>
      <c r="GB21" s="397"/>
      <c r="GC21" s="397"/>
      <c r="GD21" s="397"/>
      <c r="GE21" s="397"/>
      <c r="GF21" s="397"/>
      <c r="GG21" s="397"/>
      <c r="GH21" s="397"/>
      <c r="GI21" s="397"/>
      <c r="GJ21" s="397"/>
      <c r="GK21" s="397"/>
      <c r="GL21" s="397"/>
      <c r="GM21" s="397"/>
      <c r="GN21" s="397"/>
      <c r="GO21" s="397"/>
      <c r="GP21" s="397"/>
      <c r="GQ21" s="397"/>
      <c r="GR21" s="397"/>
      <c r="GS21" s="397"/>
      <c r="GT21" s="397"/>
      <c r="GU21" s="397"/>
      <c r="GV21" s="397"/>
      <c r="GW21" s="397"/>
      <c r="GX21" s="397"/>
      <c r="GY21" s="397"/>
      <c r="GZ21" s="397"/>
      <c r="HA21" s="397"/>
      <c r="HB21" s="397"/>
      <c r="HC21" s="397"/>
      <c r="HD21" s="397"/>
      <c r="HE21" s="397"/>
      <c r="HF21" s="397"/>
      <c r="HG21" s="397"/>
      <c r="HH21" s="397"/>
      <c r="HI21" s="397"/>
      <c r="HJ21" s="397"/>
      <c r="HK21" s="397"/>
      <c r="HL21" s="397"/>
      <c r="HM21" s="397"/>
      <c r="HN21" s="397"/>
      <c r="HO21" s="397"/>
      <c r="HP21" s="397"/>
      <c r="HQ21" s="397"/>
      <c r="HR21" s="397"/>
      <c r="HS21" s="397"/>
      <c r="HT21" s="397"/>
      <c r="HU21" s="397"/>
      <c r="HV21" s="397"/>
      <c r="HW21" s="397"/>
      <c r="HX21" s="397"/>
      <c r="HY21" s="397"/>
      <c r="HZ21" s="397"/>
      <c r="IA21" s="397"/>
      <c r="IB21" s="397"/>
      <c r="IC21" s="397"/>
      <c r="ID21" s="397"/>
      <c r="IE21" s="397"/>
      <c r="IF21" s="397"/>
      <c r="IG21" s="397"/>
      <c r="IH21" s="397"/>
      <c r="II21" s="397"/>
      <c r="IJ21" s="397"/>
      <c r="IK21" s="397"/>
      <c r="IL21" s="397"/>
      <c r="IM21" s="397"/>
      <c r="IN21" s="397"/>
      <c r="IO21" s="397"/>
      <c r="IP21" s="397"/>
      <c r="IQ21" s="397"/>
      <c r="IR21" s="397"/>
      <c r="IS21" s="397"/>
      <c r="IT21" s="397"/>
      <c r="IU21" s="397"/>
      <c r="IV21" s="397"/>
    </row>
    <row r="22" spans="1:256" s="120" customFormat="1" x14ac:dyDescent="0.2">
      <c r="A22" s="661" t="s">
        <v>47015</v>
      </c>
      <c r="B22" s="662"/>
      <c r="C22" s="662"/>
      <c r="D22" s="663"/>
    </row>
    <row r="23" spans="1:256" s="112" customFormat="1" x14ac:dyDescent="0.2">
      <c r="A23" s="399" t="s">
        <v>47016</v>
      </c>
      <c r="B23" s="400" t="s">
        <v>47017</v>
      </c>
      <c r="C23" s="413">
        <v>0.05</v>
      </c>
      <c r="D23" s="413">
        <v>0.05</v>
      </c>
    </row>
    <row r="24" spans="1:256" s="112" customFormat="1" x14ac:dyDescent="0.2">
      <c r="A24" s="399" t="s">
        <v>47018</v>
      </c>
      <c r="B24" s="400" t="s">
        <v>47019</v>
      </c>
      <c r="C24" s="413">
        <v>1.4999999999999999E-2</v>
      </c>
      <c r="D24" s="413">
        <v>1.4999999999999999E-2</v>
      </c>
    </row>
    <row r="25" spans="1:256" s="112" customFormat="1" x14ac:dyDescent="0.2">
      <c r="A25" s="399" t="s">
        <v>47020</v>
      </c>
      <c r="B25" s="400" t="s">
        <v>47021</v>
      </c>
      <c r="C25" s="413">
        <v>0.01</v>
      </c>
      <c r="D25" s="413">
        <v>0.01</v>
      </c>
    </row>
    <row r="26" spans="1:256" s="112" customFormat="1" x14ac:dyDescent="0.2">
      <c r="A26" s="399" t="s">
        <v>47022</v>
      </c>
      <c r="B26" s="400" t="s">
        <v>47023</v>
      </c>
      <c r="C26" s="413">
        <v>2E-3</v>
      </c>
      <c r="D26" s="413">
        <v>2E-3</v>
      </c>
    </row>
    <row r="27" spans="1:256" s="112" customFormat="1" x14ac:dyDescent="0.2">
      <c r="A27" s="399" t="s">
        <v>47024</v>
      </c>
      <c r="B27" s="400" t="s">
        <v>47025</v>
      </c>
      <c r="C27" s="413">
        <v>6.0000000000000001E-3</v>
      </c>
      <c r="D27" s="413">
        <v>6.0000000000000001E-3</v>
      </c>
    </row>
    <row r="28" spans="1:256" s="112" customFormat="1" x14ac:dyDescent="0.2">
      <c r="A28" s="399" t="s">
        <v>47026</v>
      </c>
      <c r="B28" s="400" t="s">
        <v>47027</v>
      </c>
      <c r="C28" s="413">
        <v>2.5000000000000001E-2</v>
      </c>
      <c r="D28" s="413">
        <v>2.5000000000000001E-2</v>
      </c>
    </row>
    <row r="29" spans="1:256" s="112" customFormat="1" x14ac:dyDescent="0.2">
      <c r="A29" s="399" t="s">
        <v>47028</v>
      </c>
      <c r="B29" s="400" t="s">
        <v>47029</v>
      </c>
      <c r="C29" s="413">
        <v>0.03</v>
      </c>
      <c r="D29" s="413">
        <v>0.03</v>
      </c>
    </row>
    <row r="30" spans="1:256" s="112" customFormat="1" x14ac:dyDescent="0.2">
      <c r="A30" s="399" t="s">
        <v>47030</v>
      </c>
      <c r="B30" s="400" t="s">
        <v>47031</v>
      </c>
      <c r="C30" s="413">
        <v>0.08</v>
      </c>
      <c r="D30" s="413">
        <v>0.08</v>
      </c>
    </row>
    <row r="31" spans="1:256" s="112" customFormat="1" x14ac:dyDescent="0.2">
      <c r="A31" s="399" t="s">
        <v>47032</v>
      </c>
      <c r="B31" s="400" t="s">
        <v>47033</v>
      </c>
      <c r="C31" s="413">
        <v>0</v>
      </c>
      <c r="D31" s="413">
        <v>0</v>
      </c>
    </row>
    <row r="32" spans="1:256" s="112" customFormat="1" x14ac:dyDescent="0.2">
      <c r="A32" s="402" t="s">
        <v>47034</v>
      </c>
      <c r="B32" s="403" t="s">
        <v>39168</v>
      </c>
      <c r="C32" s="414">
        <f>SUM(C23:C31)</f>
        <v>0.21800000000000003</v>
      </c>
      <c r="D32" s="414">
        <f>SUM(D23:D31)</f>
        <v>0.21800000000000003</v>
      </c>
      <c r="E32" s="163"/>
      <c r="F32" s="163"/>
      <c r="G32" s="163"/>
      <c r="H32" s="163"/>
      <c r="I32" s="163"/>
      <c r="J32" s="163"/>
      <c r="K32" s="163"/>
      <c r="L32" s="163"/>
      <c r="M32" s="163"/>
      <c r="N32" s="163"/>
      <c r="O32" s="163"/>
      <c r="P32" s="163"/>
      <c r="Q32" s="163"/>
      <c r="R32" s="163"/>
      <c r="S32" s="163"/>
      <c r="T32" s="163"/>
      <c r="U32" s="163"/>
      <c r="V32" s="163"/>
      <c r="W32" s="163"/>
      <c r="X32" s="163"/>
      <c r="Y32" s="163"/>
      <c r="Z32" s="163"/>
      <c r="AA32" s="163"/>
      <c r="AB32" s="163"/>
      <c r="AC32" s="163"/>
      <c r="AD32" s="163"/>
      <c r="AE32" s="163"/>
      <c r="AF32" s="163"/>
      <c r="AG32" s="163"/>
      <c r="AH32" s="163"/>
      <c r="AI32" s="163"/>
      <c r="AJ32" s="163"/>
      <c r="AK32" s="163"/>
      <c r="AL32" s="163"/>
      <c r="AM32" s="163"/>
      <c r="AN32" s="163"/>
      <c r="AO32" s="163"/>
      <c r="AP32" s="163"/>
      <c r="AQ32" s="163"/>
      <c r="AR32" s="163"/>
      <c r="AS32" s="163"/>
      <c r="AT32" s="163"/>
      <c r="AU32" s="163"/>
      <c r="AV32" s="163"/>
      <c r="AW32" s="163"/>
      <c r="AX32" s="163"/>
      <c r="AY32" s="163"/>
      <c r="AZ32" s="163"/>
      <c r="BA32" s="163"/>
      <c r="BB32" s="163"/>
      <c r="BC32" s="163"/>
      <c r="BD32" s="163"/>
      <c r="BE32" s="163"/>
      <c r="BF32" s="163"/>
      <c r="BG32" s="163"/>
      <c r="BH32" s="163"/>
      <c r="BI32" s="163"/>
      <c r="BJ32" s="163"/>
      <c r="BK32" s="163"/>
      <c r="BL32" s="163"/>
      <c r="BM32" s="163"/>
      <c r="BN32" s="163"/>
      <c r="BO32" s="163"/>
      <c r="BP32" s="163"/>
      <c r="BQ32" s="163"/>
      <c r="BR32" s="163"/>
      <c r="BS32" s="163"/>
      <c r="BT32" s="163"/>
      <c r="BU32" s="163"/>
      <c r="BV32" s="163"/>
      <c r="BW32" s="163"/>
      <c r="BX32" s="163"/>
      <c r="BY32" s="163"/>
      <c r="BZ32" s="163"/>
      <c r="CA32" s="163"/>
      <c r="CB32" s="163"/>
      <c r="CC32" s="163"/>
      <c r="CD32" s="163"/>
      <c r="CE32" s="163"/>
      <c r="CF32" s="163"/>
      <c r="CG32" s="163"/>
      <c r="CH32" s="163"/>
      <c r="CI32" s="163"/>
      <c r="CJ32" s="163"/>
      <c r="CK32" s="163"/>
      <c r="CL32" s="163"/>
      <c r="CM32" s="163"/>
      <c r="CN32" s="163"/>
      <c r="CO32" s="163"/>
      <c r="CP32" s="163"/>
      <c r="CQ32" s="163"/>
      <c r="CR32" s="163"/>
      <c r="CS32" s="163"/>
      <c r="CT32" s="163"/>
      <c r="CU32" s="163"/>
      <c r="CV32" s="163"/>
      <c r="CW32" s="163"/>
      <c r="CX32" s="163"/>
      <c r="CY32" s="163"/>
      <c r="CZ32" s="163"/>
      <c r="DA32" s="163"/>
      <c r="DB32" s="163"/>
      <c r="DC32" s="163"/>
      <c r="DD32" s="163"/>
      <c r="DE32" s="163"/>
      <c r="DF32" s="163"/>
      <c r="DG32" s="163"/>
      <c r="DH32" s="163"/>
      <c r="DI32" s="163"/>
      <c r="DJ32" s="163"/>
      <c r="DK32" s="163"/>
      <c r="DL32" s="163"/>
      <c r="DM32" s="163"/>
      <c r="DN32" s="163"/>
      <c r="DO32" s="163"/>
      <c r="DP32" s="163"/>
      <c r="DQ32" s="163"/>
      <c r="DR32" s="163"/>
      <c r="DS32" s="163"/>
      <c r="DT32" s="163"/>
      <c r="DU32" s="163"/>
      <c r="DV32" s="163"/>
      <c r="DW32" s="163"/>
      <c r="DX32" s="163"/>
      <c r="DY32" s="163"/>
      <c r="DZ32" s="163"/>
      <c r="EA32" s="163"/>
      <c r="EB32" s="163"/>
      <c r="EC32" s="163"/>
      <c r="ED32" s="163"/>
      <c r="EE32" s="163"/>
      <c r="EF32" s="163"/>
      <c r="EG32" s="163"/>
      <c r="EH32" s="163"/>
      <c r="EI32" s="163"/>
      <c r="EJ32" s="163"/>
      <c r="EK32" s="163"/>
      <c r="EL32" s="163"/>
      <c r="EM32" s="163"/>
      <c r="EN32" s="163"/>
      <c r="EO32" s="163"/>
      <c r="EP32" s="163"/>
      <c r="EQ32" s="163"/>
      <c r="ER32" s="163"/>
      <c r="ES32" s="163"/>
      <c r="ET32" s="163"/>
      <c r="EU32" s="163"/>
      <c r="EV32" s="163"/>
      <c r="EW32" s="163"/>
      <c r="EX32" s="163"/>
      <c r="EY32" s="163"/>
      <c r="EZ32" s="163"/>
      <c r="FA32" s="163"/>
      <c r="FB32" s="163"/>
      <c r="FC32" s="163"/>
      <c r="FD32" s="163"/>
      <c r="FE32" s="163"/>
      <c r="FF32" s="163"/>
      <c r="FG32" s="163"/>
      <c r="FH32" s="163"/>
      <c r="FI32" s="163"/>
      <c r="FJ32" s="163"/>
      <c r="FK32" s="163"/>
      <c r="FL32" s="163"/>
      <c r="FM32" s="163"/>
      <c r="FN32" s="163"/>
      <c r="FO32" s="163"/>
      <c r="FP32" s="163"/>
      <c r="FQ32" s="163"/>
      <c r="FR32" s="163"/>
      <c r="FS32" s="163"/>
      <c r="FT32" s="163"/>
      <c r="FU32" s="163"/>
      <c r="FV32" s="163"/>
      <c r="FW32" s="163"/>
      <c r="FX32" s="163"/>
      <c r="FY32" s="163"/>
      <c r="FZ32" s="163"/>
      <c r="GA32" s="163"/>
      <c r="GB32" s="163"/>
      <c r="GC32" s="163"/>
      <c r="GD32" s="163"/>
      <c r="GE32" s="163"/>
      <c r="GF32" s="163"/>
      <c r="GG32" s="163"/>
      <c r="GH32" s="163"/>
      <c r="GI32" s="163"/>
      <c r="GJ32" s="163"/>
      <c r="GK32" s="163"/>
      <c r="GL32" s="163"/>
      <c r="GM32" s="163"/>
      <c r="GN32" s="163"/>
      <c r="GO32" s="163"/>
      <c r="GP32" s="163"/>
      <c r="GQ32" s="163"/>
      <c r="GR32" s="163"/>
      <c r="GS32" s="163"/>
      <c r="GT32" s="163"/>
      <c r="GU32" s="163"/>
      <c r="GV32" s="163"/>
      <c r="GW32" s="163"/>
      <c r="GX32" s="163"/>
      <c r="GY32" s="163"/>
      <c r="GZ32" s="163"/>
      <c r="HA32" s="163"/>
      <c r="HB32" s="163"/>
      <c r="HC32" s="163"/>
      <c r="HD32" s="163"/>
      <c r="HE32" s="163"/>
      <c r="HF32" s="163"/>
      <c r="HG32" s="163"/>
      <c r="HH32" s="163"/>
      <c r="HI32" s="163"/>
      <c r="HJ32" s="163"/>
      <c r="HK32" s="163"/>
      <c r="HL32" s="163"/>
      <c r="HM32" s="163"/>
      <c r="HN32" s="163"/>
      <c r="HO32" s="163"/>
      <c r="HP32" s="163"/>
      <c r="HQ32" s="163"/>
      <c r="HR32" s="163"/>
      <c r="HS32" s="163"/>
      <c r="HT32" s="163"/>
      <c r="HU32" s="163"/>
      <c r="HV32" s="163"/>
      <c r="HW32" s="163"/>
      <c r="HX32" s="163"/>
      <c r="HY32" s="163"/>
      <c r="HZ32" s="163"/>
      <c r="IA32" s="163"/>
      <c r="IB32" s="163"/>
      <c r="IC32" s="163"/>
      <c r="ID32" s="163"/>
      <c r="IE32" s="163"/>
      <c r="IF32" s="163"/>
      <c r="IG32" s="163"/>
      <c r="IH32" s="163"/>
      <c r="II32" s="163"/>
      <c r="IJ32" s="163"/>
      <c r="IK32" s="163"/>
      <c r="IL32" s="163"/>
      <c r="IM32" s="163"/>
      <c r="IN32" s="163"/>
      <c r="IO32" s="163"/>
      <c r="IP32" s="163"/>
      <c r="IQ32" s="163"/>
      <c r="IR32" s="163"/>
      <c r="IS32" s="163"/>
      <c r="IT32" s="163"/>
      <c r="IU32" s="163"/>
      <c r="IV32" s="163"/>
    </row>
    <row r="33" spans="1:256" s="120" customFormat="1" x14ac:dyDescent="0.2">
      <c r="A33" s="661" t="s">
        <v>47035</v>
      </c>
      <c r="B33" s="662"/>
      <c r="C33" s="662"/>
      <c r="D33" s="663"/>
    </row>
    <row r="34" spans="1:256" s="112" customFormat="1" x14ac:dyDescent="0.2">
      <c r="A34" s="399" t="s">
        <v>47036</v>
      </c>
      <c r="B34" s="400" t="s">
        <v>47076</v>
      </c>
      <c r="C34" s="413">
        <v>0.17860000000000001</v>
      </c>
      <c r="D34" s="413">
        <v>0</v>
      </c>
    </row>
    <row r="35" spans="1:256" s="112" customFormat="1" x14ac:dyDescent="0.2">
      <c r="A35" s="399" t="s">
        <v>47038</v>
      </c>
      <c r="B35" s="400" t="s">
        <v>47039</v>
      </c>
      <c r="C35" s="413">
        <v>3.7100000000000001E-2</v>
      </c>
      <c r="D35" s="413">
        <v>0</v>
      </c>
    </row>
    <row r="36" spans="1:256" s="112" customFormat="1" x14ac:dyDescent="0.2">
      <c r="A36" s="399" t="s">
        <v>47040</v>
      </c>
      <c r="B36" s="400" t="s">
        <v>47041</v>
      </c>
      <c r="C36" s="413">
        <v>8.6E-3</v>
      </c>
      <c r="D36" s="413">
        <v>6.4999999999999997E-3</v>
      </c>
    </row>
    <row r="37" spans="1:256" s="112" customFormat="1" x14ac:dyDescent="0.2">
      <c r="A37" s="399" t="s">
        <v>47042</v>
      </c>
      <c r="B37" s="400" t="s">
        <v>47043</v>
      </c>
      <c r="C37" s="413">
        <v>0.11070000000000001</v>
      </c>
      <c r="D37" s="413">
        <v>8.3299999999999999E-2</v>
      </c>
    </row>
    <row r="38" spans="1:256" s="112" customFormat="1" x14ac:dyDescent="0.2">
      <c r="A38" s="399" t="s">
        <v>47044</v>
      </c>
      <c r="B38" s="400" t="s">
        <v>47045</v>
      </c>
      <c r="C38" s="413">
        <v>6.9999999999999999E-4</v>
      </c>
      <c r="D38" s="413">
        <v>5.0000000000000001E-4</v>
      </c>
    </row>
    <row r="39" spans="1:256" s="112" customFormat="1" x14ac:dyDescent="0.2">
      <c r="A39" s="399" t="s">
        <v>47046</v>
      </c>
      <c r="B39" s="400" t="s">
        <v>47047</v>
      </c>
      <c r="C39" s="413">
        <v>7.4000000000000003E-3</v>
      </c>
      <c r="D39" s="413">
        <v>5.5999999999999999E-3</v>
      </c>
    </row>
    <row r="40" spans="1:256" s="112" customFormat="1" x14ac:dyDescent="0.2">
      <c r="A40" s="399" t="s">
        <v>47048</v>
      </c>
      <c r="B40" s="400" t="s">
        <v>47049</v>
      </c>
      <c r="C40" s="413">
        <v>1.6400000000000001E-2</v>
      </c>
      <c r="D40" s="413">
        <v>0</v>
      </c>
    </row>
    <row r="41" spans="1:256" s="112" customFormat="1" x14ac:dyDescent="0.2">
      <c r="A41" s="399" t="s">
        <v>47050</v>
      </c>
      <c r="B41" s="400" t="s">
        <v>47051</v>
      </c>
      <c r="C41" s="413">
        <v>1E-3</v>
      </c>
      <c r="D41" s="413">
        <v>6.9999999999999999E-4</v>
      </c>
    </row>
    <row r="42" spans="1:256" s="112" customFormat="1" x14ac:dyDescent="0.2">
      <c r="A42" s="399" t="s">
        <v>47052</v>
      </c>
      <c r="B42" s="400" t="s">
        <v>47053</v>
      </c>
      <c r="C42" s="413">
        <v>0.1298</v>
      </c>
      <c r="D42" s="413">
        <v>9.7699999999999995E-2</v>
      </c>
    </row>
    <row r="43" spans="1:256" s="112" customFormat="1" x14ac:dyDescent="0.2">
      <c r="A43" s="399" t="s">
        <v>47054</v>
      </c>
      <c r="B43" s="400" t="s">
        <v>47055</v>
      </c>
      <c r="C43" s="413">
        <v>2.9999999999999997E-4</v>
      </c>
      <c r="D43" s="413">
        <v>2.9999999999999997E-4</v>
      </c>
    </row>
    <row r="44" spans="1:256" s="112" customFormat="1" x14ac:dyDescent="0.2">
      <c r="A44" s="402" t="s">
        <v>47056</v>
      </c>
      <c r="B44" s="403" t="s">
        <v>39168</v>
      </c>
      <c r="C44" s="414">
        <f>SUM(C34:C43)</f>
        <v>0.49060000000000009</v>
      </c>
      <c r="D44" s="414">
        <f>SUM(D34:D43)</f>
        <v>0.1946</v>
      </c>
      <c r="E44" s="163"/>
      <c r="F44" s="163"/>
      <c r="G44" s="163"/>
      <c r="H44" s="163"/>
      <c r="I44" s="163"/>
      <c r="J44" s="163"/>
      <c r="K44" s="163"/>
      <c r="L44" s="163"/>
      <c r="M44" s="163"/>
      <c r="N44" s="163"/>
      <c r="O44" s="163"/>
      <c r="P44" s="163"/>
      <c r="Q44" s="163"/>
      <c r="R44" s="163"/>
      <c r="S44" s="163"/>
      <c r="T44" s="163"/>
      <c r="U44" s="163"/>
      <c r="V44" s="163"/>
      <c r="W44" s="163"/>
      <c r="X44" s="163"/>
      <c r="Y44" s="163"/>
      <c r="Z44" s="163"/>
      <c r="AA44" s="163"/>
      <c r="AB44" s="163"/>
      <c r="AC44" s="163"/>
      <c r="AD44" s="163"/>
      <c r="AE44" s="163"/>
      <c r="AF44" s="163"/>
      <c r="AG44" s="163"/>
      <c r="AH44" s="163"/>
      <c r="AI44" s="163"/>
      <c r="AJ44" s="163"/>
      <c r="AK44" s="163"/>
      <c r="AL44" s="163"/>
      <c r="AM44" s="163"/>
      <c r="AN44" s="163"/>
      <c r="AO44" s="163"/>
      <c r="AP44" s="163"/>
      <c r="AQ44" s="163"/>
      <c r="AR44" s="163"/>
      <c r="AS44" s="163"/>
      <c r="AT44" s="163"/>
      <c r="AU44" s="163"/>
      <c r="AV44" s="163"/>
      <c r="AW44" s="163"/>
      <c r="AX44" s="163"/>
      <c r="AY44" s="163"/>
      <c r="AZ44" s="163"/>
      <c r="BA44" s="163"/>
      <c r="BB44" s="163"/>
      <c r="BC44" s="163"/>
      <c r="BD44" s="163"/>
      <c r="BE44" s="163"/>
      <c r="BF44" s="163"/>
      <c r="BG44" s="163"/>
      <c r="BH44" s="163"/>
      <c r="BI44" s="163"/>
      <c r="BJ44" s="163"/>
      <c r="BK44" s="163"/>
      <c r="BL44" s="163"/>
      <c r="BM44" s="163"/>
      <c r="BN44" s="163"/>
      <c r="BO44" s="163"/>
      <c r="BP44" s="163"/>
      <c r="BQ44" s="163"/>
      <c r="BR44" s="163"/>
      <c r="BS44" s="163"/>
      <c r="BT44" s="163"/>
      <c r="BU44" s="163"/>
      <c r="BV44" s="163"/>
      <c r="BW44" s="163"/>
      <c r="BX44" s="163"/>
      <c r="BY44" s="163"/>
      <c r="BZ44" s="163"/>
      <c r="CA44" s="163"/>
      <c r="CB44" s="163"/>
      <c r="CC44" s="163"/>
      <c r="CD44" s="163"/>
      <c r="CE44" s="163"/>
      <c r="CF44" s="163"/>
      <c r="CG44" s="163"/>
      <c r="CH44" s="163"/>
      <c r="CI44" s="163"/>
      <c r="CJ44" s="163"/>
      <c r="CK44" s="163"/>
      <c r="CL44" s="163"/>
      <c r="CM44" s="163"/>
      <c r="CN44" s="163"/>
      <c r="CO44" s="163"/>
      <c r="CP44" s="163"/>
      <c r="CQ44" s="163"/>
      <c r="CR44" s="163"/>
      <c r="CS44" s="163"/>
      <c r="CT44" s="163"/>
      <c r="CU44" s="163"/>
      <c r="CV44" s="163"/>
      <c r="CW44" s="163"/>
      <c r="CX44" s="163"/>
      <c r="CY44" s="163"/>
      <c r="CZ44" s="163"/>
      <c r="DA44" s="163"/>
      <c r="DB44" s="163"/>
      <c r="DC44" s="163"/>
      <c r="DD44" s="163"/>
      <c r="DE44" s="163"/>
      <c r="DF44" s="163"/>
      <c r="DG44" s="163"/>
      <c r="DH44" s="163"/>
      <c r="DI44" s="163"/>
      <c r="DJ44" s="163"/>
      <c r="DK44" s="163"/>
      <c r="DL44" s="163"/>
      <c r="DM44" s="163"/>
      <c r="DN44" s="163"/>
      <c r="DO44" s="163"/>
      <c r="DP44" s="163"/>
      <c r="DQ44" s="163"/>
      <c r="DR44" s="163"/>
      <c r="DS44" s="163"/>
      <c r="DT44" s="163"/>
      <c r="DU44" s="163"/>
      <c r="DV44" s="163"/>
      <c r="DW44" s="163"/>
      <c r="DX44" s="163"/>
      <c r="DY44" s="163"/>
      <c r="DZ44" s="163"/>
      <c r="EA44" s="163"/>
      <c r="EB44" s="163"/>
      <c r="EC44" s="163"/>
      <c r="ED44" s="163"/>
      <c r="EE44" s="163"/>
      <c r="EF44" s="163"/>
      <c r="EG44" s="163"/>
      <c r="EH44" s="163"/>
      <c r="EI44" s="163"/>
      <c r="EJ44" s="163"/>
      <c r="EK44" s="163"/>
      <c r="EL44" s="163"/>
      <c r="EM44" s="163"/>
      <c r="EN44" s="163"/>
      <c r="EO44" s="163"/>
      <c r="EP44" s="163"/>
      <c r="EQ44" s="163"/>
      <c r="ER44" s="163"/>
      <c r="ES44" s="163"/>
      <c r="ET44" s="163"/>
      <c r="EU44" s="163"/>
      <c r="EV44" s="163"/>
      <c r="EW44" s="163"/>
      <c r="EX44" s="163"/>
      <c r="EY44" s="163"/>
      <c r="EZ44" s="163"/>
      <c r="FA44" s="163"/>
      <c r="FB44" s="163"/>
      <c r="FC44" s="163"/>
      <c r="FD44" s="163"/>
      <c r="FE44" s="163"/>
      <c r="FF44" s="163"/>
      <c r="FG44" s="163"/>
      <c r="FH44" s="163"/>
      <c r="FI44" s="163"/>
      <c r="FJ44" s="163"/>
      <c r="FK44" s="163"/>
      <c r="FL44" s="163"/>
      <c r="FM44" s="163"/>
      <c r="FN44" s="163"/>
      <c r="FO44" s="163"/>
      <c r="FP44" s="163"/>
      <c r="FQ44" s="163"/>
      <c r="FR44" s="163"/>
      <c r="FS44" s="163"/>
      <c r="FT44" s="163"/>
      <c r="FU44" s="163"/>
      <c r="FV44" s="163"/>
      <c r="FW44" s="163"/>
      <c r="FX44" s="163"/>
      <c r="FY44" s="163"/>
      <c r="FZ44" s="163"/>
      <c r="GA44" s="163"/>
      <c r="GB44" s="163"/>
      <c r="GC44" s="163"/>
      <c r="GD44" s="163"/>
      <c r="GE44" s="163"/>
      <c r="GF44" s="163"/>
      <c r="GG44" s="163"/>
      <c r="GH44" s="163"/>
      <c r="GI44" s="163"/>
      <c r="GJ44" s="163"/>
      <c r="GK44" s="163"/>
      <c r="GL44" s="163"/>
      <c r="GM44" s="163"/>
      <c r="GN44" s="163"/>
      <c r="GO44" s="163"/>
      <c r="GP44" s="163"/>
      <c r="GQ44" s="163"/>
      <c r="GR44" s="163"/>
      <c r="GS44" s="163"/>
      <c r="GT44" s="163"/>
      <c r="GU44" s="163"/>
      <c r="GV44" s="163"/>
      <c r="GW44" s="163"/>
      <c r="GX44" s="163"/>
      <c r="GY44" s="163"/>
      <c r="GZ44" s="163"/>
      <c r="HA44" s="163"/>
      <c r="HB44" s="163"/>
      <c r="HC44" s="163"/>
      <c r="HD44" s="163"/>
      <c r="HE44" s="163"/>
      <c r="HF44" s="163"/>
      <c r="HG44" s="163"/>
      <c r="HH44" s="163"/>
      <c r="HI44" s="163"/>
      <c r="HJ44" s="163"/>
      <c r="HK44" s="163"/>
      <c r="HL44" s="163"/>
      <c r="HM44" s="163"/>
      <c r="HN44" s="163"/>
      <c r="HO44" s="163"/>
      <c r="HP44" s="163"/>
      <c r="HQ44" s="163"/>
      <c r="HR44" s="163"/>
      <c r="HS44" s="163"/>
      <c r="HT44" s="163"/>
      <c r="HU44" s="163"/>
      <c r="HV44" s="163"/>
      <c r="HW44" s="163"/>
      <c r="HX44" s="163"/>
      <c r="HY44" s="163"/>
      <c r="HZ44" s="163"/>
      <c r="IA44" s="163"/>
      <c r="IB44" s="163"/>
      <c r="IC44" s="163"/>
      <c r="ID44" s="163"/>
      <c r="IE44" s="163"/>
      <c r="IF44" s="163"/>
      <c r="IG44" s="163"/>
      <c r="IH44" s="163"/>
      <c r="II44" s="163"/>
      <c r="IJ44" s="163"/>
      <c r="IK44" s="163"/>
      <c r="IL44" s="163"/>
      <c r="IM44" s="163"/>
      <c r="IN44" s="163"/>
      <c r="IO44" s="163"/>
      <c r="IP44" s="163"/>
      <c r="IQ44" s="163"/>
      <c r="IR44" s="163"/>
      <c r="IS44" s="163"/>
      <c r="IT44" s="163"/>
      <c r="IU44" s="163"/>
      <c r="IV44" s="163"/>
    </row>
    <row r="45" spans="1:256" s="120" customFormat="1" x14ac:dyDescent="0.2">
      <c r="A45" s="661" t="s">
        <v>47057</v>
      </c>
      <c r="B45" s="662"/>
      <c r="C45" s="662"/>
      <c r="D45" s="663"/>
    </row>
    <row r="46" spans="1:256" s="112" customFormat="1" x14ac:dyDescent="0.2">
      <c r="A46" s="399" t="s">
        <v>47058</v>
      </c>
      <c r="B46" s="400" t="s">
        <v>47059</v>
      </c>
      <c r="C46" s="413">
        <v>5.5399999999999998E-2</v>
      </c>
      <c r="D46" s="413">
        <v>4.1700000000000001E-2</v>
      </c>
    </row>
    <row r="47" spans="1:256" s="112" customFormat="1" x14ac:dyDescent="0.2">
      <c r="A47" s="399" t="s">
        <v>47060</v>
      </c>
      <c r="B47" s="400" t="s">
        <v>47061</v>
      </c>
      <c r="C47" s="413">
        <v>1.2999999999999999E-3</v>
      </c>
      <c r="D47" s="413">
        <v>1E-3</v>
      </c>
    </row>
    <row r="48" spans="1:256" s="112" customFormat="1" x14ac:dyDescent="0.2">
      <c r="A48" s="399" t="s">
        <v>47062</v>
      </c>
      <c r="B48" s="400" t="s">
        <v>47063</v>
      </c>
      <c r="C48" s="413">
        <v>1.8100000000000002E-2</v>
      </c>
      <c r="D48" s="413">
        <v>1.3599999999999999E-2</v>
      </c>
    </row>
    <row r="49" spans="1:256" s="112" customFormat="1" x14ac:dyDescent="0.2">
      <c r="A49" s="399" t="s">
        <v>47064</v>
      </c>
      <c r="B49" s="400" t="s">
        <v>47065</v>
      </c>
      <c r="C49" s="413">
        <v>2.75E-2</v>
      </c>
      <c r="D49" s="413">
        <v>2.07E-2</v>
      </c>
    </row>
    <row r="50" spans="1:256" s="112" customFormat="1" x14ac:dyDescent="0.2">
      <c r="A50" s="399" t="s">
        <v>47066</v>
      </c>
      <c r="B50" s="400" t="s">
        <v>47067</v>
      </c>
      <c r="C50" s="413">
        <v>4.7000000000000002E-3</v>
      </c>
      <c r="D50" s="413">
        <v>3.5000000000000001E-3</v>
      </c>
    </row>
    <row r="51" spans="1:256" s="112" customFormat="1" x14ac:dyDescent="0.2">
      <c r="A51" s="402" t="s">
        <v>47068</v>
      </c>
      <c r="B51" s="403" t="s">
        <v>39168</v>
      </c>
      <c r="C51" s="414">
        <f>SUM(C46:C50)</f>
        <v>0.107</v>
      </c>
      <c r="D51" s="414">
        <f>SUM(D46:D50)</f>
        <v>8.0500000000000002E-2</v>
      </c>
      <c r="E51" s="163"/>
      <c r="F51" s="163"/>
      <c r="G51" s="163"/>
      <c r="H51" s="163"/>
      <c r="I51" s="163"/>
      <c r="J51" s="163"/>
      <c r="K51" s="163"/>
      <c r="L51" s="163"/>
      <c r="M51" s="163"/>
      <c r="N51" s="163"/>
      <c r="O51" s="163"/>
      <c r="P51" s="163"/>
      <c r="Q51" s="163"/>
      <c r="R51" s="163"/>
      <c r="S51" s="163"/>
      <c r="T51" s="163"/>
      <c r="U51" s="163"/>
      <c r="V51" s="163"/>
      <c r="W51" s="163"/>
      <c r="X51" s="163"/>
      <c r="Y51" s="163"/>
      <c r="Z51" s="163"/>
      <c r="AA51" s="163"/>
      <c r="AB51" s="163"/>
      <c r="AC51" s="163"/>
      <c r="AD51" s="163"/>
      <c r="AE51" s="163"/>
      <c r="AF51" s="163"/>
      <c r="AG51" s="163"/>
      <c r="AH51" s="163"/>
      <c r="AI51" s="163"/>
      <c r="AJ51" s="163"/>
      <c r="AK51" s="163"/>
      <c r="AL51" s="163"/>
      <c r="AM51" s="163"/>
      <c r="AN51" s="163"/>
      <c r="AO51" s="163"/>
      <c r="AP51" s="163"/>
      <c r="AQ51" s="163"/>
      <c r="AR51" s="163"/>
      <c r="AS51" s="163"/>
      <c r="AT51" s="163"/>
      <c r="AU51" s="163"/>
      <c r="AV51" s="163"/>
      <c r="AW51" s="163"/>
      <c r="AX51" s="163"/>
      <c r="AY51" s="163"/>
      <c r="AZ51" s="163"/>
      <c r="BA51" s="163"/>
      <c r="BB51" s="163"/>
      <c r="BC51" s="163"/>
      <c r="BD51" s="163"/>
      <c r="BE51" s="163"/>
      <c r="BF51" s="163"/>
      <c r="BG51" s="163"/>
      <c r="BH51" s="163"/>
      <c r="BI51" s="163"/>
      <c r="BJ51" s="163"/>
      <c r="BK51" s="163"/>
      <c r="BL51" s="163"/>
      <c r="BM51" s="163"/>
      <c r="BN51" s="163"/>
      <c r="BO51" s="163"/>
      <c r="BP51" s="163"/>
      <c r="BQ51" s="163"/>
      <c r="BR51" s="163"/>
      <c r="BS51" s="163"/>
      <c r="BT51" s="163"/>
      <c r="BU51" s="163"/>
      <c r="BV51" s="163"/>
      <c r="BW51" s="163"/>
      <c r="BX51" s="163"/>
      <c r="BY51" s="163"/>
      <c r="BZ51" s="163"/>
      <c r="CA51" s="163"/>
      <c r="CB51" s="163"/>
      <c r="CC51" s="163"/>
      <c r="CD51" s="163"/>
      <c r="CE51" s="163"/>
      <c r="CF51" s="163"/>
      <c r="CG51" s="163"/>
      <c r="CH51" s="163"/>
      <c r="CI51" s="163"/>
      <c r="CJ51" s="163"/>
      <c r="CK51" s="163"/>
      <c r="CL51" s="163"/>
      <c r="CM51" s="163"/>
      <c r="CN51" s="163"/>
      <c r="CO51" s="163"/>
      <c r="CP51" s="163"/>
      <c r="CQ51" s="163"/>
      <c r="CR51" s="163"/>
      <c r="CS51" s="163"/>
      <c r="CT51" s="163"/>
      <c r="CU51" s="163"/>
      <c r="CV51" s="163"/>
      <c r="CW51" s="163"/>
      <c r="CX51" s="163"/>
      <c r="CY51" s="163"/>
      <c r="CZ51" s="163"/>
      <c r="DA51" s="163"/>
      <c r="DB51" s="163"/>
      <c r="DC51" s="163"/>
      <c r="DD51" s="163"/>
      <c r="DE51" s="163"/>
      <c r="DF51" s="163"/>
      <c r="DG51" s="163"/>
      <c r="DH51" s="163"/>
      <c r="DI51" s="163"/>
      <c r="DJ51" s="163"/>
      <c r="DK51" s="163"/>
      <c r="DL51" s="163"/>
      <c r="DM51" s="163"/>
      <c r="DN51" s="163"/>
      <c r="DO51" s="163"/>
      <c r="DP51" s="163"/>
      <c r="DQ51" s="163"/>
      <c r="DR51" s="163"/>
      <c r="DS51" s="163"/>
      <c r="DT51" s="163"/>
      <c r="DU51" s="163"/>
      <c r="DV51" s="163"/>
      <c r="DW51" s="163"/>
      <c r="DX51" s="163"/>
      <c r="DY51" s="163"/>
      <c r="DZ51" s="163"/>
      <c r="EA51" s="163"/>
      <c r="EB51" s="163"/>
      <c r="EC51" s="163"/>
      <c r="ED51" s="163"/>
      <c r="EE51" s="163"/>
      <c r="EF51" s="163"/>
      <c r="EG51" s="163"/>
      <c r="EH51" s="163"/>
      <c r="EI51" s="163"/>
      <c r="EJ51" s="163"/>
      <c r="EK51" s="163"/>
      <c r="EL51" s="163"/>
      <c r="EM51" s="163"/>
      <c r="EN51" s="163"/>
      <c r="EO51" s="163"/>
      <c r="EP51" s="163"/>
      <c r="EQ51" s="163"/>
      <c r="ER51" s="163"/>
      <c r="ES51" s="163"/>
      <c r="ET51" s="163"/>
      <c r="EU51" s="163"/>
      <c r="EV51" s="163"/>
      <c r="EW51" s="163"/>
      <c r="EX51" s="163"/>
      <c r="EY51" s="163"/>
      <c r="EZ51" s="163"/>
      <c r="FA51" s="163"/>
      <c r="FB51" s="163"/>
      <c r="FC51" s="163"/>
      <c r="FD51" s="163"/>
      <c r="FE51" s="163"/>
      <c r="FF51" s="163"/>
      <c r="FG51" s="163"/>
      <c r="FH51" s="163"/>
      <c r="FI51" s="163"/>
      <c r="FJ51" s="163"/>
      <c r="FK51" s="163"/>
      <c r="FL51" s="163"/>
      <c r="FM51" s="163"/>
      <c r="FN51" s="163"/>
      <c r="FO51" s="163"/>
      <c r="FP51" s="163"/>
      <c r="FQ51" s="163"/>
      <c r="FR51" s="163"/>
      <c r="FS51" s="163"/>
      <c r="FT51" s="163"/>
      <c r="FU51" s="163"/>
      <c r="FV51" s="163"/>
      <c r="FW51" s="163"/>
      <c r="FX51" s="163"/>
      <c r="FY51" s="163"/>
      <c r="FZ51" s="163"/>
      <c r="GA51" s="163"/>
      <c r="GB51" s="163"/>
      <c r="GC51" s="163"/>
      <c r="GD51" s="163"/>
      <c r="GE51" s="163"/>
      <c r="GF51" s="163"/>
      <c r="GG51" s="163"/>
      <c r="GH51" s="163"/>
      <c r="GI51" s="163"/>
      <c r="GJ51" s="163"/>
      <c r="GK51" s="163"/>
      <c r="GL51" s="163"/>
      <c r="GM51" s="163"/>
      <c r="GN51" s="163"/>
      <c r="GO51" s="163"/>
      <c r="GP51" s="163"/>
      <c r="GQ51" s="163"/>
      <c r="GR51" s="163"/>
      <c r="GS51" s="163"/>
      <c r="GT51" s="163"/>
      <c r="GU51" s="163"/>
      <c r="GV51" s="163"/>
      <c r="GW51" s="163"/>
      <c r="GX51" s="163"/>
      <c r="GY51" s="163"/>
      <c r="GZ51" s="163"/>
      <c r="HA51" s="163"/>
      <c r="HB51" s="163"/>
      <c r="HC51" s="163"/>
      <c r="HD51" s="163"/>
      <c r="HE51" s="163"/>
      <c r="HF51" s="163"/>
      <c r="HG51" s="163"/>
      <c r="HH51" s="163"/>
      <c r="HI51" s="163"/>
      <c r="HJ51" s="163"/>
      <c r="HK51" s="163"/>
      <c r="HL51" s="163"/>
      <c r="HM51" s="163"/>
      <c r="HN51" s="163"/>
      <c r="HO51" s="163"/>
      <c r="HP51" s="163"/>
      <c r="HQ51" s="163"/>
      <c r="HR51" s="163"/>
      <c r="HS51" s="163"/>
      <c r="HT51" s="163"/>
      <c r="HU51" s="163"/>
      <c r="HV51" s="163"/>
      <c r="HW51" s="163"/>
      <c r="HX51" s="163"/>
      <c r="HY51" s="163"/>
      <c r="HZ51" s="163"/>
      <c r="IA51" s="163"/>
      <c r="IB51" s="163"/>
      <c r="IC51" s="163"/>
      <c r="ID51" s="163"/>
      <c r="IE51" s="163"/>
      <c r="IF51" s="163"/>
      <c r="IG51" s="163"/>
      <c r="IH51" s="163"/>
      <c r="II51" s="163"/>
      <c r="IJ51" s="163"/>
      <c r="IK51" s="163"/>
      <c r="IL51" s="163"/>
      <c r="IM51" s="163"/>
      <c r="IN51" s="163"/>
      <c r="IO51" s="163"/>
      <c r="IP51" s="163"/>
      <c r="IQ51" s="163"/>
      <c r="IR51" s="163"/>
      <c r="IS51" s="163"/>
      <c r="IT51" s="163"/>
      <c r="IU51" s="163"/>
      <c r="IV51" s="163"/>
    </row>
    <row r="52" spans="1:256" s="120" customFormat="1" x14ac:dyDescent="0.2">
      <c r="A52" s="661" t="s">
        <v>47069</v>
      </c>
      <c r="B52" s="662"/>
      <c r="C52" s="662"/>
      <c r="D52" s="663"/>
    </row>
    <row r="53" spans="1:256" s="112" customFormat="1" x14ac:dyDescent="0.2">
      <c r="A53" s="399" t="s">
        <v>47070</v>
      </c>
      <c r="B53" s="400" t="s">
        <v>47071</v>
      </c>
      <c r="C53" s="413">
        <v>0.1014</v>
      </c>
      <c r="D53" s="413">
        <v>3.8300000000000001E-2</v>
      </c>
    </row>
    <row r="54" spans="1:256" s="112" customFormat="1" ht="25.5" x14ac:dyDescent="0.2">
      <c r="A54" s="399" t="s">
        <v>47072</v>
      </c>
      <c r="B54" s="400" t="s">
        <v>47073</v>
      </c>
      <c r="C54" s="413">
        <v>4.7000000000000002E-3</v>
      </c>
      <c r="D54" s="413">
        <v>3.5999999999999999E-3</v>
      </c>
    </row>
    <row r="55" spans="1:256" s="112" customFormat="1" x14ac:dyDescent="0.2">
      <c r="A55" s="402" t="s">
        <v>47074</v>
      </c>
      <c r="B55" s="403" t="s">
        <v>39168</v>
      </c>
      <c r="C55" s="414">
        <f>SUM(C53:C54)</f>
        <v>0.1061</v>
      </c>
      <c r="D55" s="414">
        <f>SUM(D53:D54)</f>
        <v>4.19E-2</v>
      </c>
      <c r="E55" s="163"/>
      <c r="F55" s="163"/>
      <c r="G55" s="163"/>
      <c r="H55" s="163"/>
      <c r="I55" s="163"/>
      <c r="J55" s="163"/>
      <c r="K55" s="163"/>
      <c r="L55" s="163"/>
      <c r="M55" s="163"/>
      <c r="N55" s="163"/>
      <c r="O55" s="163"/>
      <c r="P55" s="163"/>
      <c r="Q55" s="163"/>
      <c r="R55" s="163"/>
      <c r="S55" s="163"/>
      <c r="T55" s="163"/>
      <c r="U55" s="163"/>
      <c r="V55" s="163"/>
      <c r="W55" s="163"/>
      <c r="X55" s="163"/>
      <c r="Y55" s="163"/>
      <c r="Z55" s="163"/>
      <c r="AA55" s="163"/>
      <c r="AB55" s="163"/>
      <c r="AC55" s="163"/>
      <c r="AD55" s="163"/>
      <c r="AE55" s="163"/>
      <c r="AF55" s="163"/>
      <c r="AG55" s="163"/>
      <c r="AH55" s="163"/>
      <c r="AI55" s="163"/>
      <c r="AJ55" s="163"/>
      <c r="AK55" s="163"/>
      <c r="AL55" s="163"/>
      <c r="AM55" s="163"/>
      <c r="AN55" s="163"/>
      <c r="AO55" s="163"/>
      <c r="AP55" s="163"/>
      <c r="AQ55" s="163"/>
      <c r="AR55" s="163"/>
      <c r="AS55" s="163"/>
      <c r="AT55" s="163"/>
      <c r="AU55" s="163"/>
      <c r="AV55" s="163"/>
      <c r="AW55" s="163"/>
      <c r="AX55" s="163"/>
      <c r="AY55" s="163"/>
      <c r="AZ55" s="163"/>
      <c r="BA55" s="163"/>
      <c r="BB55" s="163"/>
      <c r="BC55" s="163"/>
      <c r="BD55" s="163"/>
      <c r="BE55" s="163"/>
      <c r="BF55" s="163"/>
      <c r="BG55" s="163"/>
      <c r="BH55" s="163"/>
      <c r="BI55" s="163"/>
      <c r="BJ55" s="163"/>
      <c r="BK55" s="163"/>
      <c r="BL55" s="163"/>
      <c r="BM55" s="163"/>
      <c r="BN55" s="163"/>
      <c r="BO55" s="163"/>
      <c r="BP55" s="163"/>
      <c r="BQ55" s="163"/>
      <c r="BR55" s="163"/>
      <c r="BS55" s="163"/>
      <c r="BT55" s="163"/>
      <c r="BU55" s="163"/>
      <c r="BV55" s="163"/>
      <c r="BW55" s="163"/>
      <c r="BX55" s="163"/>
      <c r="BY55" s="163"/>
      <c r="BZ55" s="163"/>
      <c r="CA55" s="163"/>
      <c r="CB55" s="163"/>
      <c r="CC55" s="163"/>
      <c r="CD55" s="163"/>
      <c r="CE55" s="163"/>
      <c r="CF55" s="163"/>
      <c r="CG55" s="163"/>
      <c r="CH55" s="163"/>
      <c r="CI55" s="163"/>
      <c r="CJ55" s="163"/>
      <c r="CK55" s="163"/>
      <c r="CL55" s="163"/>
      <c r="CM55" s="163"/>
      <c r="CN55" s="163"/>
      <c r="CO55" s="163"/>
      <c r="CP55" s="163"/>
      <c r="CQ55" s="163"/>
      <c r="CR55" s="163"/>
      <c r="CS55" s="163"/>
      <c r="CT55" s="163"/>
      <c r="CU55" s="163"/>
      <c r="CV55" s="163"/>
      <c r="CW55" s="163"/>
      <c r="CX55" s="163"/>
      <c r="CY55" s="163"/>
      <c r="CZ55" s="163"/>
      <c r="DA55" s="163"/>
      <c r="DB55" s="163"/>
      <c r="DC55" s="163"/>
      <c r="DD55" s="163"/>
      <c r="DE55" s="163"/>
      <c r="DF55" s="163"/>
      <c r="DG55" s="163"/>
      <c r="DH55" s="163"/>
      <c r="DI55" s="163"/>
      <c r="DJ55" s="163"/>
      <c r="DK55" s="163"/>
      <c r="DL55" s="163"/>
      <c r="DM55" s="163"/>
      <c r="DN55" s="163"/>
      <c r="DO55" s="163"/>
      <c r="DP55" s="163"/>
      <c r="DQ55" s="163"/>
      <c r="DR55" s="163"/>
      <c r="DS55" s="163"/>
      <c r="DT55" s="163"/>
      <c r="DU55" s="163"/>
      <c r="DV55" s="163"/>
      <c r="DW55" s="163"/>
      <c r="DX55" s="163"/>
      <c r="DY55" s="163"/>
      <c r="DZ55" s="163"/>
      <c r="EA55" s="163"/>
      <c r="EB55" s="163"/>
      <c r="EC55" s="163"/>
      <c r="ED55" s="163"/>
      <c r="EE55" s="163"/>
      <c r="EF55" s="163"/>
      <c r="EG55" s="163"/>
      <c r="EH55" s="163"/>
      <c r="EI55" s="163"/>
      <c r="EJ55" s="163"/>
      <c r="EK55" s="163"/>
      <c r="EL55" s="163"/>
      <c r="EM55" s="163"/>
      <c r="EN55" s="163"/>
      <c r="EO55" s="163"/>
      <c r="EP55" s="163"/>
      <c r="EQ55" s="163"/>
      <c r="ER55" s="163"/>
      <c r="ES55" s="163"/>
      <c r="ET55" s="163"/>
      <c r="EU55" s="163"/>
      <c r="EV55" s="163"/>
      <c r="EW55" s="163"/>
      <c r="EX55" s="163"/>
      <c r="EY55" s="163"/>
      <c r="EZ55" s="163"/>
      <c r="FA55" s="163"/>
      <c r="FB55" s="163"/>
      <c r="FC55" s="163"/>
      <c r="FD55" s="163"/>
      <c r="FE55" s="163"/>
      <c r="FF55" s="163"/>
      <c r="FG55" s="163"/>
      <c r="FH55" s="163"/>
      <c r="FI55" s="163"/>
      <c r="FJ55" s="163"/>
      <c r="FK55" s="163"/>
      <c r="FL55" s="163"/>
      <c r="FM55" s="163"/>
      <c r="FN55" s="163"/>
      <c r="FO55" s="163"/>
      <c r="FP55" s="163"/>
      <c r="FQ55" s="163"/>
      <c r="FR55" s="163"/>
      <c r="FS55" s="163"/>
      <c r="FT55" s="163"/>
      <c r="FU55" s="163"/>
      <c r="FV55" s="163"/>
      <c r="FW55" s="163"/>
      <c r="FX55" s="163"/>
      <c r="FY55" s="163"/>
      <c r="FZ55" s="163"/>
      <c r="GA55" s="163"/>
      <c r="GB55" s="163"/>
      <c r="GC55" s="163"/>
      <c r="GD55" s="163"/>
      <c r="GE55" s="163"/>
      <c r="GF55" s="163"/>
      <c r="GG55" s="163"/>
      <c r="GH55" s="163"/>
      <c r="GI55" s="163"/>
      <c r="GJ55" s="163"/>
      <c r="GK55" s="163"/>
      <c r="GL55" s="163"/>
      <c r="GM55" s="163"/>
      <c r="GN55" s="163"/>
      <c r="GO55" s="163"/>
      <c r="GP55" s="163"/>
      <c r="GQ55" s="163"/>
      <c r="GR55" s="163"/>
      <c r="GS55" s="163"/>
      <c r="GT55" s="163"/>
      <c r="GU55" s="163"/>
      <c r="GV55" s="163"/>
      <c r="GW55" s="163"/>
      <c r="GX55" s="163"/>
      <c r="GY55" s="163"/>
      <c r="GZ55" s="163"/>
      <c r="HA55" s="163"/>
      <c r="HB55" s="163"/>
      <c r="HC55" s="163"/>
      <c r="HD55" s="163"/>
      <c r="HE55" s="163"/>
      <c r="HF55" s="163"/>
      <c r="HG55" s="163"/>
      <c r="HH55" s="163"/>
      <c r="HI55" s="163"/>
      <c r="HJ55" s="163"/>
      <c r="HK55" s="163"/>
      <c r="HL55" s="163"/>
      <c r="HM55" s="163"/>
      <c r="HN55" s="163"/>
      <c r="HO55" s="163"/>
      <c r="HP55" s="163"/>
      <c r="HQ55" s="163"/>
      <c r="HR55" s="163"/>
      <c r="HS55" s="163"/>
      <c r="HT55" s="163"/>
      <c r="HU55" s="163"/>
      <c r="HV55" s="163"/>
      <c r="HW55" s="163"/>
      <c r="HX55" s="163"/>
      <c r="HY55" s="163"/>
      <c r="HZ55" s="163"/>
      <c r="IA55" s="163"/>
      <c r="IB55" s="163"/>
      <c r="IC55" s="163"/>
      <c r="ID55" s="163"/>
      <c r="IE55" s="163"/>
      <c r="IF55" s="163"/>
      <c r="IG55" s="163"/>
      <c r="IH55" s="163"/>
      <c r="II55" s="163"/>
      <c r="IJ55" s="163"/>
      <c r="IK55" s="163"/>
      <c r="IL55" s="163"/>
      <c r="IM55" s="163"/>
      <c r="IN55" s="163"/>
      <c r="IO55" s="163"/>
      <c r="IP55" s="163"/>
      <c r="IQ55" s="163"/>
      <c r="IR55" s="163"/>
      <c r="IS55" s="163"/>
      <c r="IT55" s="163"/>
      <c r="IU55" s="163"/>
      <c r="IV55" s="163"/>
    </row>
    <row r="56" spans="1:256" s="112" customFormat="1" x14ac:dyDescent="0.2">
      <c r="A56" s="405"/>
      <c r="B56" s="406"/>
      <c r="C56" s="415"/>
      <c r="D56" s="415"/>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163"/>
      <c r="AO56" s="163"/>
      <c r="AP56" s="163"/>
      <c r="AQ56" s="163"/>
      <c r="AR56" s="163"/>
      <c r="AS56" s="163"/>
      <c r="AT56" s="163"/>
      <c r="AU56" s="163"/>
      <c r="AV56" s="163"/>
      <c r="AW56" s="163"/>
      <c r="AX56" s="163"/>
      <c r="AY56" s="163"/>
      <c r="AZ56" s="163"/>
      <c r="BA56" s="163"/>
      <c r="BB56" s="163"/>
      <c r="BC56" s="163"/>
      <c r="BD56" s="163"/>
      <c r="BE56" s="163"/>
      <c r="BF56" s="163"/>
      <c r="BG56" s="163"/>
      <c r="BH56" s="163"/>
      <c r="BI56" s="163"/>
      <c r="BJ56" s="163"/>
      <c r="BK56" s="163"/>
      <c r="BL56" s="163"/>
      <c r="BM56" s="163"/>
      <c r="BN56" s="163"/>
      <c r="BO56" s="163"/>
      <c r="BP56" s="163"/>
      <c r="BQ56" s="163"/>
      <c r="BR56" s="163"/>
      <c r="BS56" s="163"/>
      <c r="BT56" s="163"/>
      <c r="BU56" s="163"/>
      <c r="BV56" s="163"/>
      <c r="BW56" s="163"/>
      <c r="BX56" s="163"/>
      <c r="BY56" s="163"/>
      <c r="BZ56" s="163"/>
      <c r="CA56" s="163"/>
      <c r="CB56" s="163"/>
      <c r="CC56" s="163"/>
      <c r="CD56" s="163"/>
      <c r="CE56" s="163"/>
      <c r="CF56" s="163"/>
      <c r="CG56" s="163"/>
      <c r="CH56" s="163"/>
      <c r="CI56" s="163"/>
      <c r="CJ56" s="163"/>
      <c r="CK56" s="163"/>
      <c r="CL56" s="163"/>
      <c r="CM56" s="163"/>
      <c r="CN56" s="163"/>
      <c r="CO56" s="163"/>
      <c r="CP56" s="163"/>
      <c r="CQ56" s="163"/>
      <c r="CR56" s="163"/>
      <c r="CS56" s="163"/>
      <c r="CT56" s="163"/>
      <c r="CU56" s="163"/>
      <c r="CV56" s="163"/>
      <c r="CW56" s="163"/>
      <c r="CX56" s="163"/>
      <c r="CY56" s="163"/>
      <c r="CZ56" s="163"/>
      <c r="DA56" s="163"/>
      <c r="DB56" s="163"/>
      <c r="DC56" s="163"/>
      <c r="DD56" s="163"/>
      <c r="DE56" s="163"/>
      <c r="DF56" s="163"/>
      <c r="DG56" s="163"/>
      <c r="DH56" s="163"/>
      <c r="DI56" s="163"/>
      <c r="DJ56" s="163"/>
      <c r="DK56" s="163"/>
      <c r="DL56" s="163"/>
      <c r="DM56" s="163"/>
      <c r="DN56" s="163"/>
      <c r="DO56" s="163"/>
      <c r="DP56" s="163"/>
      <c r="DQ56" s="163"/>
      <c r="DR56" s="163"/>
      <c r="DS56" s="163"/>
      <c r="DT56" s="163"/>
      <c r="DU56" s="163"/>
      <c r="DV56" s="163"/>
      <c r="DW56" s="163"/>
      <c r="DX56" s="163"/>
      <c r="DY56" s="163"/>
      <c r="DZ56" s="163"/>
      <c r="EA56" s="163"/>
      <c r="EB56" s="163"/>
      <c r="EC56" s="163"/>
      <c r="ED56" s="163"/>
      <c r="EE56" s="163"/>
      <c r="EF56" s="163"/>
      <c r="EG56" s="163"/>
      <c r="EH56" s="163"/>
      <c r="EI56" s="163"/>
      <c r="EJ56" s="163"/>
      <c r="EK56" s="163"/>
      <c r="EL56" s="163"/>
      <c r="EM56" s="163"/>
      <c r="EN56" s="163"/>
      <c r="EO56" s="163"/>
      <c r="EP56" s="163"/>
      <c r="EQ56" s="163"/>
      <c r="ER56" s="163"/>
      <c r="ES56" s="163"/>
      <c r="ET56" s="163"/>
      <c r="EU56" s="163"/>
      <c r="EV56" s="163"/>
      <c r="EW56" s="163"/>
      <c r="EX56" s="163"/>
      <c r="EY56" s="163"/>
      <c r="EZ56" s="163"/>
      <c r="FA56" s="163"/>
      <c r="FB56" s="163"/>
      <c r="FC56" s="163"/>
      <c r="FD56" s="163"/>
      <c r="FE56" s="163"/>
      <c r="FF56" s="163"/>
      <c r="FG56" s="163"/>
      <c r="FH56" s="163"/>
      <c r="FI56" s="163"/>
      <c r="FJ56" s="163"/>
      <c r="FK56" s="163"/>
      <c r="FL56" s="163"/>
      <c r="FM56" s="163"/>
      <c r="FN56" s="163"/>
      <c r="FO56" s="163"/>
      <c r="FP56" s="163"/>
      <c r="FQ56" s="163"/>
      <c r="FR56" s="163"/>
      <c r="FS56" s="163"/>
      <c r="FT56" s="163"/>
      <c r="FU56" s="163"/>
      <c r="FV56" s="163"/>
      <c r="FW56" s="163"/>
      <c r="FX56" s="163"/>
      <c r="FY56" s="163"/>
      <c r="FZ56" s="163"/>
      <c r="GA56" s="163"/>
      <c r="GB56" s="163"/>
      <c r="GC56" s="163"/>
      <c r="GD56" s="163"/>
      <c r="GE56" s="163"/>
      <c r="GF56" s="163"/>
      <c r="GG56" s="163"/>
      <c r="GH56" s="163"/>
      <c r="GI56" s="163"/>
      <c r="GJ56" s="163"/>
      <c r="GK56" s="163"/>
      <c r="GL56" s="163"/>
      <c r="GM56" s="163"/>
      <c r="GN56" s="163"/>
      <c r="GO56" s="163"/>
      <c r="GP56" s="163"/>
      <c r="GQ56" s="163"/>
      <c r="GR56" s="163"/>
      <c r="GS56" s="163"/>
      <c r="GT56" s="163"/>
      <c r="GU56" s="163"/>
      <c r="GV56" s="163"/>
      <c r="GW56" s="163"/>
      <c r="GX56" s="163"/>
      <c r="GY56" s="163"/>
      <c r="GZ56" s="163"/>
      <c r="HA56" s="163"/>
      <c r="HB56" s="163"/>
      <c r="HC56" s="163"/>
      <c r="HD56" s="163"/>
      <c r="HE56" s="163"/>
      <c r="HF56" s="163"/>
      <c r="HG56" s="163"/>
      <c r="HH56" s="163"/>
      <c r="HI56" s="163"/>
      <c r="HJ56" s="163"/>
      <c r="HK56" s="163"/>
      <c r="HL56" s="163"/>
      <c r="HM56" s="163"/>
      <c r="HN56" s="163"/>
      <c r="HO56" s="163"/>
      <c r="HP56" s="163"/>
      <c r="HQ56" s="163"/>
      <c r="HR56" s="163"/>
      <c r="HS56" s="163"/>
      <c r="HT56" s="163"/>
      <c r="HU56" s="163"/>
      <c r="HV56" s="163"/>
      <c r="HW56" s="163"/>
      <c r="HX56" s="163"/>
      <c r="HY56" s="163"/>
      <c r="HZ56" s="163"/>
      <c r="IA56" s="163"/>
      <c r="IB56" s="163"/>
      <c r="IC56" s="163"/>
      <c r="ID56" s="163"/>
      <c r="IE56" s="163"/>
      <c r="IF56" s="163"/>
      <c r="IG56" s="163"/>
      <c r="IH56" s="163"/>
      <c r="II56" s="163"/>
      <c r="IJ56" s="163"/>
      <c r="IK56" s="163"/>
      <c r="IL56" s="163"/>
      <c r="IM56" s="163"/>
      <c r="IN56" s="163"/>
      <c r="IO56" s="163"/>
      <c r="IP56" s="163"/>
      <c r="IQ56" s="163"/>
      <c r="IR56" s="163"/>
      <c r="IS56" s="163"/>
      <c r="IT56" s="163"/>
      <c r="IU56" s="163"/>
      <c r="IV56" s="163"/>
    </row>
    <row r="57" spans="1:256" s="112" customFormat="1" x14ac:dyDescent="0.2">
      <c r="A57" s="102"/>
      <c r="B57" s="408" t="s">
        <v>47075</v>
      </c>
      <c r="C57" s="416">
        <f>C32+C44+C51+C55</f>
        <v>0.92170000000000007</v>
      </c>
      <c r="D57" s="416">
        <f>D32+D44+D51+D55</f>
        <v>0.53500000000000003</v>
      </c>
      <c r="E57" s="115"/>
      <c r="F57" s="115"/>
      <c r="G57" s="115"/>
      <c r="H57" s="11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c r="AO57" s="115"/>
      <c r="AP57" s="115"/>
      <c r="AQ57" s="115"/>
      <c r="AR57" s="115"/>
      <c r="AS57" s="115"/>
      <c r="AT57" s="115"/>
      <c r="AU57" s="115"/>
      <c r="AV57" s="115"/>
      <c r="AW57" s="115"/>
      <c r="AX57" s="115"/>
      <c r="AY57" s="115"/>
      <c r="AZ57" s="115"/>
      <c r="BA57" s="115"/>
      <c r="BB57" s="115"/>
      <c r="BC57" s="115"/>
      <c r="BD57" s="115"/>
      <c r="BE57" s="115"/>
      <c r="BF57" s="115"/>
      <c r="BG57" s="115"/>
      <c r="BH57" s="115"/>
      <c r="BI57" s="115"/>
      <c r="BJ57" s="115"/>
      <c r="BK57" s="115"/>
      <c r="BL57" s="115"/>
      <c r="BM57" s="115"/>
      <c r="BN57" s="115"/>
      <c r="BO57" s="115"/>
      <c r="BP57" s="115"/>
      <c r="BQ57" s="115"/>
      <c r="BR57" s="115"/>
      <c r="BS57" s="115"/>
      <c r="BT57" s="115"/>
      <c r="BU57" s="115"/>
      <c r="BV57" s="115"/>
      <c r="BW57" s="115"/>
      <c r="BX57" s="115"/>
      <c r="BY57" s="115"/>
      <c r="BZ57" s="115"/>
      <c r="CA57" s="115"/>
      <c r="CB57" s="115"/>
      <c r="CC57" s="115"/>
      <c r="CD57" s="115"/>
      <c r="CE57" s="115"/>
      <c r="CF57" s="115"/>
      <c r="CG57" s="115"/>
      <c r="CH57" s="115"/>
      <c r="CI57" s="115"/>
      <c r="CJ57" s="115"/>
      <c r="CK57" s="115"/>
      <c r="CL57" s="115"/>
      <c r="CM57" s="115"/>
      <c r="CN57" s="115"/>
      <c r="CO57" s="115"/>
      <c r="CP57" s="115"/>
      <c r="CQ57" s="115"/>
      <c r="CR57" s="115"/>
      <c r="CS57" s="115"/>
      <c r="CT57" s="115"/>
      <c r="CU57" s="115"/>
      <c r="CV57" s="115"/>
      <c r="CW57" s="115"/>
      <c r="CX57" s="115"/>
      <c r="CY57" s="115"/>
      <c r="CZ57" s="115"/>
      <c r="DA57" s="115"/>
      <c r="DB57" s="115"/>
      <c r="DC57" s="115"/>
      <c r="DD57" s="115"/>
      <c r="DE57" s="115"/>
      <c r="DF57" s="115"/>
      <c r="DG57" s="115"/>
      <c r="DH57" s="115"/>
      <c r="DI57" s="115"/>
      <c r="DJ57" s="115"/>
      <c r="DK57" s="115"/>
      <c r="DL57" s="115"/>
      <c r="DM57" s="115"/>
      <c r="DN57" s="115"/>
      <c r="DO57" s="115"/>
      <c r="DP57" s="115"/>
      <c r="DQ57" s="115"/>
      <c r="DR57" s="115"/>
      <c r="DS57" s="115"/>
      <c r="DT57" s="115"/>
      <c r="DU57" s="115"/>
      <c r="DV57" s="115"/>
      <c r="DW57" s="115"/>
      <c r="DX57" s="115"/>
      <c r="DY57" s="115"/>
      <c r="DZ57" s="115"/>
      <c r="EA57" s="115"/>
      <c r="EB57" s="115"/>
      <c r="EC57" s="115"/>
      <c r="ED57" s="115"/>
      <c r="EE57" s="115"/>
      <c r="EF57" s="115"/>
      <c r="EG57" s="115"/>
      <c r="EH57" s="115"/>
      <c r="EI57" s="115"/>
      <c r="EJ57" s="115"/>
      <c r="EK57" s="115"/>
      <c r="EL57" s="115"/>
      <c r="EM57" s="115"/>
      <c r="EN57" s="115"/>
      <c r="EO57" s="115"/>
      <c r="EP57" s="115"/>
      <c r="EQ57" s="115"/>
      <c r="ER57" s="115"/>
      <c r="ES57" s="115"/>
      <c r="ET57" s="115"/>
      <c r="EU57" s="115"/>
      <c r="EV57" s="115"/>
      <c r="EW57" s="115"/>
      <c r="EX57" s="115"/>
      <c r="EY57" s="115"/>
      <c r="EZ57" s="115"/>
      <c r="FA57" s="115"/>
      <c r="FB57" s="115"/>
      <c r="FC57" s="115"/>
      <c r="FD57" s="115"/>
      <c r="FE57" s="115"/>
      <c r="FF57" s="115"/>
      <c r="FG57" s="115"/>
      <c r="FH57" s="115"/>
      <c r="FI57" s="115"/>
      <c r="FJ57" s="115"/>
      <c r="FK57" s="115"/>
      <c r="FL57" s="115"/>
      <c r="FM57" s="115"/>
      <c r="FN57" s="115"/>
      <c r="FO57" s="115"/>
      <c r="FP57" s="115"/>
      <c r="FQ57" s="115"/>
      <c r="FR57" s="115"/>
      <c r="FS57" s="115"/>
      <c r="FT57" s="115"/>
      <c r="FU57" s="115"/>
      <c r="FV57" s="115"/>
      <c r="FW57" s="115"/>
      <c r="FX57" s="115"/>
      <c r="FY57" s="115"/>
      <c r="FZ57" s="115"/>
      <c r="GA57" s="115"/>
      <c r="GB57" s="115"/>
      <c r="GC57" s="115"/>
      <c r="GD57" s="115"/>
      <c r="GE57" s="115"/>
      <c r="GF57" s="115"/>
      <c r="GG57" s="115"/>
      <c r="GH57" s="115"/>
      <c r="GI57" s="115"/>
      <c r="GJ57" s="115"/>
      <c r="GK57" s="115"/>
      <c r="GL57" s="115"/>
      <c r="GM57" s="115"/>
      <c r="GN57" s="115"/>
      <c r="GO57" s="115"/>
      <c r="GP57" s="115"/>
      <c r="GQ57" s="115"/>
      <c r="GR57" s="115"/>
      <c r="GS57" s="115"/>
      <c r="GT57" s="115"/>
      <c r="GU57" s="115"/>
      <c r="GV57" s="115"/>
      <c r="GW57" s="115"/>
      <c r="GX57" s="115"/>
      <c r="GY57" s="115"/>
      <c r="GZ57" s="115"/>
      <c r="HA57" s="115"/>
      <c r="HB57" s="115"/>
      <c r="HC57" s="115"/>
      <c r="HD57" s="115"/>
      <c r="HE57" s="115"/>
      <c r="HF57" s="115"/>
      <c r="HG57" s="115"/>
      <c r="HH57" s="115"/>
      <c r="HI57" s="115"/>
      <c r="HJ57" s="115"/>
      <c r="HK57" s="115"/>
      <c r="HL57" s="115"/>
      <c r="HM57" s="115"/>
      <c r="HN57" s="115"/>
      <c r="HO57" s="115"/>
      <c r="HP57" s="115"/>
      <c r="HQ57" s="115"/>
      <c r="HR57" s="115"/>
      <c r="HS57" s="115"/>
      <c r="HT57" s="115"/>
      <c r="HU57" s="115"/>
      <c r="HV57" s="115"/>
      <c r="HW57" s="115"/>
      <c r="HX57" s="115"/>
      <c r="HY57" s="115"/>
      <c r="HZ57" s="115"/>
      <c r="IA57" s="115"/>
      <c r="IB57" s="115"/>
      <c r="IC57" s="115"/>
      <c r="ID57" s="115"/>
      <c r="IE57" s="115"/>
      <c r="IF57" s="115"/>
      <c r="IG57" s="115"/>
      <c r="IH57" s="115"/>
      <c r="II57" s="115"/>
      <c r="IJ57" s="115"/>
      <c r="IK57" s="115"/>
      <c r="IL57" s="115"/>
      <c r="IM57" s="115"/>
      <c r="IN57" s="115"/>
      <c r="IO57" s="115"/>
      <c r="IP57" s="115"/>
      <c r="IQ57" s="115"/>
      <c r="IR57" s="115"/>
      <c r="IS57" s="115"/>
      <c r="IT57" s="115"/>
      <c r="IU57" s="115"/>
      <c r="IV57" s="115"/>
    </row>
    <row r="58" spans="1:256" s="112" customFormat="1" x14ac:dyDescent="0.2">
      <c r="A58" s="102"/>
      <c r="C58" s="410"/>
      <c r="D58" s="410"/>
    </row>
    <row r="59" spans="1:256" s="112" customFormat="1" x14ac:dyDescent="0.2">
      <c r="A59" s="593" t="str">
        <f>ORCAMENTO!A392</f>
        <v>BOA VIAGEM - CE, JULHO DE 2025</v>
      </c>
      <c r="B59" s="593"/>
      <c r="C59" s="593"/>
      <c r="D59" s="593"/>
    </row>
  </sheetData>
  <mergeCells count="10">
    <mergeCell ref="A22:D22"/>
    <mergeCell ref="A33:D33"/>
    <mergeCell ref="A45:D45"/>
    <mergeCell ref="A52:D52"/>
    <mergeCell ref="A59:D59"/>
    <mergeCell ref="A2:D2"/>
    <mergeCell ref="A19:D19"/>
    <mergeCell ref="A20:A21"/>
    <mergeCell ref="B20:B21"/>
    <mergeCell ref="C20:D20"/>
  </mergeCells>
  <printOptions horizontalCentered="1"/>
  <pageMargins left="0.39370078740157483" right="0.39370078740157483" top="0.39370078740157483" bottom="0.98425196850393704" header="0.31496062992125984" footer="0.31496062992125984"/>
  <pageSetup paperSize="9" scale="78" orientation="portrait" horizontalDpi="300" verticalDpi="300" r:id="rId1"/>
  <headerFooter>
    <oddFooter>&amp;RPágina &amp;P de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8412C-0C2B-4483-B40E-186D5B4D51BA}">
  <dimension ref="A1:IS2688"/>
  <sheetViews>
    <sheetView view="pageBreakPreview" zoomScale="145" zoomScaleNormal="100" zoomScaleSheetLayoutView="145" workbookViewId="0">
      <selection activeCell="A2" sqref="A2:O2"/>
    </sheetView>
  </sheetViews>
  <sheetFormatPr defaultColWidth="9.1640625" defaultRowHeight="12.75" x14ac:dyDescent="0.2"/>
  <cols>
    <col min="1" max="1" width="11.6640625" style="343" customWidth="1"/>
    <col min="2" max="2" width="30.83203125" style="343" customWidth="1"/>
    <col min="3" max="3" width="13" style="344" customWidth="1"/>
    <col min="4" max="4" width="2.1640625" style="344" customWidth="1"/>
    <col min="5" max="5" width="10.6640625" style="344" customWidth="1"/>
    <col min="6" max="6" width="2.5" style="344" customWidth="1"/>
    <col min="7" max="7" width="12" style="344" bestFit="1" customWidth="1"/>
    <col min="8" max="8" width="2.1640625" style="343" bestFit="1" customWidth="1"/>
    <col min="9" max="9" width="16.83203125" style="344" customWidth="1"/>
    <col min="10" max="10" width="2.1640625" style="343" customWidth="1"/>
    <col min="11" max="11" width="16.83203125" style="344" customWidth="1"/>
    <col min="12" max="12" width="2.1640625" style="342" bestFit="1" customWidth="1"/>
    <col min="13" max="13" width="16.83203125" style="344" customWidth="1"/>
    <col min="14" max="14" width="8.6640625" style="343" customWidth="1"/>
    <col min="15" max="15" width="15.6640625" style="344" customWidth="1"/>
    <col min="16" max="16" width="9.1640625" style="341"/>
    <col min="17" max="17" width="10.5" style="341" bestFit="1" customWidth="1"/>
    <col min="18" max="16384" width="9.1640625" style="341"/>
  </cols>
  <sheetData>
    <row r="1" spans="1:253" s="268" customFormat="1" x14ac:dyDescent="0.2">
      <c r="A1" s="320"/>
      <c r="B1" s="320"/>
      <c r="C1" s="320"/>
      <c r="D1" s="320"/>
      <c r="E1" s="320"/>
      <c r="F1" s="320"/>
      <c r="G1" s="321"/>
      <c r="H1" s="243"/>
      <c r="I1" s="243"/>
      <c r="J1" s="243"/>
      <c r="K1" s="243"/>
      <c r="L1" s="243"/>
      <c r="M1" s="243"/>
      <c r="N1" s="243"/>
      <c r="O1" s="243"/>
      <c r="P1" s="243"/>
      <c r="Q1" s="243"/>
      <c r="R1" s="243"/>
      <c r="S1" s="243"/>
      <c r="T1" s="243"/>
      <c r="U1" s="243"/>
      <c r="V1" s="243"/>
      <c r="W1" s="243"/>
      <c r="X1" s="243"/>
      <c r="Y1" s="243"/>
      <c r="Z1" s="243"/>
      <c r="AA1" s="243"/>
      <c r="AB1" s="243"/>
      <c r="AC1" s="243"/>
      <c r="AD1" s="243"/>
      <c r="AE1" s="243"/>
      <c r="AF1" s="243"/>
      <c r="AG1" s="243"/>
      <c r="AH1" s="243"/>
      <c r="AI1" s="243"/>
      <c r="AJ1" s="243"/>
      <c r="AK1" s="243"/>
      <c r="AL1" s="243"/>
      <c r="AM1" s="243"/>
      <c r="AN1" s="243"/>
      <c r="AO1" s="243"/>
      <c r="AP1" s="243"/>
      <c r="AQ1" s="243"/>
      <c r="AR1" s="243"/>
      <c r="AS1" s="243"/>
      <c r="AT1" s="243"/>
      <c r="AU1" s="243"/>
      <c r="AV1" s="243"/>
      <c r="AW1" s="243"/>
      <c r="AX1" s="243"/>
      <c r="AY1" s="243"/>
      <c r="AZ1" s="243"/>
      <c r="BA1" s="243"/>
      <c r="BB1" s="243"/>
      <c r="BC1" s="243"/>
      <c r="BD1" s="243"/>
      <c r="BE1" s="243"/>
      <c r="BF1" s="243"/>
      <c r="BG1" s="243"/>
      <c r="BH1" s="243"/>
      <c r="BI1" s="243"/>
      <c r="BJ1" s="243"/>
      <c r="BK1" s="243"/>
      <c r="BL1" s="243"/>
      <c r="BM1" s="243"/>
      <c r="BN1" s="243"/>
      <c r="BO1" s="243"/>
      <c r="BP1" s="243"/>
      <c r="BQ1" s="243"/>
      <c r="BR1" s="243"/>
      <c r="BS1" s="243"/>
      <c r="BT1" s="243"/>
      <c r="BU1" s="243"/>
      <c r="BV1" s="243"/>
      <c r="BW1" s="243"/>
      <c r="BX1" s="243"/>
      <c r="BY1" s="243"/>
      <c r="BZ1" s="243"/>
      <c r="CA1" s="243"/>
      <c r="CB1" s="243"/>
      <c r="CC1" s="243"/>
      <c r="CD1" s="243"/>
      <c r="CE1" s="243"/>
      <c r="CF1" s="243"/>
      <c r="CG1" s="243"/>
      <c r="CH1" s="243"/>
      <c r="CI1" s="243"/>
      <c r="CJ1" s="243"/>
      <c r="CK1" s="243"/>
      <c r="CL1" s="243"/>
      <c r="CM1" s="243"/>
      <c r="CN1" s="243"/>
      <c r="CO1" s="243"/>
      <c r="CP1" s="243"/>
      <c r="CQ1" s="243"/>
      <c r="CR1" s="243"/>
      <c r="CS1" s="243"/>
      <c r="CT1" s="243"/>
      <c r="CU1" s="243"/>
      <c r="CV1" s="243"/>
      <c r="CW1" s="243"/>
      <c r="CX1" s="243"/>
      <c r="CY1" s="243"/>
      <c r="CZ1" s="243"/>
      <c r="DA1" s="243"/>
      <c r="DB1" s="243"/>
      <c r="DC1" s="243"/>
      <c r="DD1" s="243"/>
      <c r="DE1" s="243"/>
      <c r="DF1" s="243"/>
      <c r="DG1" s="243"/>
      <c r="DH1" s="243"/>
      <c r="DI1" s="243"/>
      <c r="DJ1" s="243"/>
      <c r="DK1" s="243"/>
      <c r="DL1" s="243"/>
      <c r="DM1" s="243"/>
      <c r="DN1" s="243"/>
      <c r="DO1" s="243"/>
      <c r="DP1" s="243"/>
      <c r="DQ1" s="243"/>
      <c r="DR1" s="243"/>
      <c r="DS1" s="243"/>
      <c r="DT1" s="243"/>
      <c r="DU1" s="243"/>
      <c r="DV1" s="243"/>
      <c r="DW1" s="243"/>
      <c r="DX1" s="243"/>
      <c r="DY1" s="243"/>
      <c r="DZ1" s="243"/>
      <c r="EA1" s="243"/>
      <c r="EB1" s="243"/>
      <c r="EC1" s="243"/>
      <c r="ED1" s="243"/>
      <c r="EE1" s="243"/>
      <c r="EF1" s="243"/>
      <c r="EG1" s="243"/>
      <c r="EH1" s="243"/>
      <c r="EI1" s="243"/>
      <c r="EJ1" s="243"/>
      <c r="EK1" s="243"/>
      <c r="EL1" s="243"/>
      <c r="EM1" s="243"/>
      <c r="EN1" s="243"/>
      <c r="EO1" s="243"/>
      <c r="EP1" s="243"/>
      <c r="EQ1" s="243"/>
      <c r="ER1" s="243"/>
      <c r="ES1" s="243"/>
      <c r="ET1" s="243"/>
      <c r="EU1" s="243"/>
      <c r="EV1" s="243"/>
      <c r="EW1" s="243"/>
      <c r="EX1" s="243"/>
      <c r="EY1" s="243"/>
      <c r="EZ1" s="243"/>
      <c r="FA1" s="243"/>
      <c r="FB1" s="243"/>
      <c r="FC1" s="243"/>
      <c r="FD1" s="243"/>
      <c r="FE1" s="243"/>
      <c r="FF1" s="243"/>
      <c r="FG1" s="243"/>
      <c r="FH1" s="243"/>
      <c r="FI1" s="243"/>
      <c r="FJ1" s="243"/>
      <c r="FK1" s="243"/>
      <c r="FL1" s="243"/>
      <c r="FM1" s="243"/>
      <c r="FN1" s="243"/>
      <c r="FO1" s="243"/>
      <c r="FP1" s="243"/>
      <c r="FQ1" s="243"/>
      <c r="FR1" s="243"/>
      <c r="FS1" s="243"/>
      <c r="FT1" s="243"/>
      <c r="FU1" s="243"/>
      <c r="FV1" s="243"/>
      <c r="FW1" s="243"/>
      <c r="FX1" s="243"/>
      <c r="FY1" s="243"/>
      <c r="FZ1" s="243"/>
      <c r="GA1" s="243"/>
      <c r="GB1" s="243"/>
      <c r="GC1" s="243"/>
      <c r="GD1" s="243"/>
      <c r="GE1" s="243"/>
      <c r="GF1" s="243"/>
      <c r="GG1" s="243"/>
      <c r="GH1" s="243"/>
      <c r="GI1" s="243"/>
      <c r="GJ1" s="243"/>
      <c r="GK1" s="243"/>
      <c r="GL1" s="243"/>
      <c r="GM1" s="243"/>
      <c r="GN1" s="243"/>
      <c r="GO1" s="243"/>
      <c r="GP1" s="243"/>
      <c r="GQ1" s="243"/>
      <c r="GR1" s="243"/>
      <c r="GS1" s="243"/>
      <c r="GT1" s="243"/>
      <c r="GU1" s="243"/>
      <c r="GV1" s="243"/>
      <c r="GW1" s="243"/>
      <c r="GX1" s="243"/>
      <c r="GY1" s="243"/>
      <c r="GZ1" s="243"/>
      <c r="HA1" s="243"/>
      <c r="HB1" s="243"/>
      <c r="HC1" s="243"/>
      <c r="HD1" s="243"/>
      <c r="HE1" s="243"/>
      <c r="HF1" s="243"/>
      <c r="HG1" s="243"/>
      <c r="HH1" s="243"/>
      <c r="HI1" s="243"/>
      <c r="HJ1" s="243"/>
      <c r="HK1" s="243"/>
      <c r="HL1" s="243"/>
      <c r="HM1" s="243"/>
      <c r="HN1" s="243"/>
      <c r="HO1" s="243"/>
      <c r="HP1" s="243"/>
      <c r="HQ1" s="243"/>
      <c r="HR1" s="243"/>
      <c r="HS1" s="243"/>
      <c r="HT1" s="243"/>
      <c r="HU1" s="243"/>
      <c r="HV1" s="243"/>
      <c r="HW1" s="243"/>
      <c r="HX1" s="243"/>
      <c r="HY1" s="243"/>
      <c r="HZ1" s="243"/>
      <c r="IA1" s="243"/>
      <c r="IB1" s="243"/>
      <c r="IC1" s="243"/>
      <c r="ID1" s="243"/>
      <c r="IE1" s="243"/>
      <c r="IF1" s="243"/>
      <c r="IG1" s="243"/>
      <c r="IH1" s="243"/>
      <c r="II1" s="243"/>
      <c r="IJ1" s="243"/>
      <c r="IK1" s="243"/>
      <c r="IL1" s="243"/>
      <c r="IM1" s="243"/>
      <c r="IN1" s="243"/>
      <c r="IO1" s="243"/>
      <c r="IP1" s="243"/>
      <c r="IQ1" s="243"/>
      <c r="IR1" s="243"/>
      <c r="IS1" s="243"/>
    </row>
    <row r="2" spans="1:253" s="268" customFormat="1" x14ac:dyDescent="0.2">
      <c r="A2" s="549" t="str">
        <f>ORCAMENTO!A2</f>
        <v>INSTITUTO FEDERAL DE EDUCAÇÃO CIÊNCIA E TECNOLOGIA DO CEARÁ - CAMPUS BOA VIAGEM</v>
      </c>
      <c r="B2" s="549"/>
      <c r="C2" s="549"/>
      <c r="D2" s="549"/>
      <c r="E2" s="549"/>
      <c r="F2" s="549"/>
      <c r="G2" s="549"/>
      <c r="H2" s="549"/>
      <c r="I2" s="549"/>
      <c r="J2" s="549"/>
      <c r="K2" s="549"/>
      <c r="L2" s="549"/>
      <c r="M2" s="549"/>
      <c r="N2" s="549"/>
      <c r="O2" s="549"/>
      <c r="P2" s="243"/>
      <c r="Q2" s="243"/>
      <c r="R2" s="243"/>
      <c r="S2" s="243"/>
      <c r="T2" s="243"/>
      <c r="U2" s="243"/>
      <c r="V2" s="243"/>
      <c r="W2" s="243"/>
      <c r="X2" s="243"/>
      <c r="Y2" s="243"/>
      <c r="Z2" s="243"/>
      <c r="AA2" s="243"/>
      <c r="AB2" s="243"/>
      <c r="AC2" s="243"/>
      <c r="AD2" s="243"/>
      <c r="AE2" s="243"/>
      <c r="AF2" s="243"/>
      <c r="AG2" s="243"/>
      <c r="AH2" s="243"/>
      <c r="AI2" s="243"/>
      <c r="AJ2" s="243"/>
      <c r="AK2" s="243"/>
      <c r="AL2" s="243"/>
      <c r="AM2" s="243"/>
      <c r="AN2" s="243"/>
      <c r="AO2" s="243"/>
      <c r="AP2" s="243"/>
      <c r="AQ2" s="243"/>
      <c r="AR2" s="243"/>
      <c r="AS2" s="243"/>
      <c r="AT2" s="243"/>
      <c r="AU2" s="243"/>
      <c r="AV2" s="243"/>
      <c r="AW2" s="243"/>
      <c r="AX2" s="243"/>
      <c r="AY2" s="243"/>
      <c r="AZ2" s="243"/>
      <c r="BA2" s="243"/>
      <c r="BB2" s="243"/>
      <c r="BC2" s="243"/>
      <c r="BD2" s="243"/>
      <c r="BE2" s="243"/>
      <c r="BF2" s="243"/>
      <c r="BG2" s="243"/>
      <c r="BH2" s="243"/>
      <c r="BI2" s="243"/>
      <c r="BJ2" s="243"/>
      <c r="BK2" s="243"/>
      <c r="BL2" s="243"/>
      <c r="BM2" s="243"/>
      <c r="BN2" s="243"/>
      <c r="BO2" s="243"/>
      <c r="BP2" s="243"/>
      <c r="BQ2" s="243"/>
      <c r="BR2" s="243"/>
      <c r="BS2" s="243"/>
      <c r="BT2" s="243"/>
      <c r="BU2" s="243"/>
      <c r="BV2" s="243"/>
      <c r="BW2" s="243"/>
      <c r="BX2" s="243"/>
      <c r="BY2" s="243"/>
      <c r="BZ2" s="243"/>
      <c r="CA2" s="243"/>
      <c r="CB2" s="243"/>
      <c r="CC2" s="243"/>
      <c r="CD2" s="243"/>
      <c r="CE2" s="243"/>
      <c r="CF2" s="243"/>
      <c r="CG2" s="243"/>
      <c r="CH2" s="243"/>
      <c r="CI2" s="243"/>
      <c r="CJ2" s="243"/>
      <c r="CK2" s="243"/>
      <c r="CL2" s="243"/>
      <c r="CM2" s="243"/>
      <c r="CN2" s="243"/>
      <c r="CO2" s="243"/>
      <c r="CP2" s="243"/>
      <c r="CQ2" s="243"/>
      <c r="CR2" s="243"/>
      <c r="CS2" s="243"/>
      <c r="CT2" s="243"/>
      <c r="CU2" s="243"/>
      <c r="CV2" s="243"/>
      <c r="CW2" s="243"/>
      <c r="CX2" s="243"/>
      <c r="CY2" s="243"/>
      <c r="CZ2" s="243"/>
      <c r="DA2" s="243"/>
      <c r="DB2" s="243"/>
      <c r="DC2" s="243"/>
      <c r="DD2" s="243"/>
      <c r="DE2" s="243"/>
      <c r="DF2" s="243"/>
      <c r="DG2" s="243"/>
      <c r="DH2" s="243"/>
      <c r="DI2" s="243"/>
      <c r="DJ2" s="243"/>
      <c r="DK2" s="243"/>
      <c r="DL2" s="243"/>
      <c r="DM2" s="243"/>
      <c r="DN2" s="243"/>
      <c r="DO2" s="243"/>
      <c r="DP2" s="243"/>
      <c r="DQ2" s="243"/>
      <c r="DR2" s="243"/>
      <c r="DS2" s="243"/>
      <c r="DT2" s="243"/>
      <c r="DU2" s="243"/>
      <c r="DV2" s="243"/>
      <c r="DW2" s="243"/>
      <c r="DX2" s="243"/>
      <c r="DY2" s="243"/>
      <c r="DZ2" s="243"/>
      <c r="EA2" s="243"/>
      <c r="EB2" s="243"/>
      <c r="EC2" s="243"/>
      <c r="ED2" s="243"/>
      <c r="EE2" s="243"/>
      <c r="EF2" s="243"/>
      <c r="EG2" s="243"/>
      <c r="EH2" s="243"/>
      <c r="EI2" s="243"/>
      <c r="EJ2" s="243"/>
      <c r="EK2" s="243"/>
      <c r="EL2" s="243"/>
      <c r="EM2" s="243"/>
      <c r="EN2" s="243"/>
      <c r="EO2" s="243"/>
      <c r="EP2" s="243"/>
      <c r="EQ2" s="243"/>
      <c r="ER2" s="243"/>
      <c r="ES2" s="243"/>
      <c r="ET2" s="243"/>
      <c r="EU2" s="243"/>
      <c r="EV2" s="243"/>
      <c r="EW2" s="243"/>
      <c r="EX2" s="243"/>
      <c r="EY2" s="243"/>
      <c r="EZ2" s="243"/>
      <c r="FA2" s="243"/>
      <c r="FB2" s="243"/>
      <c r="FC2" s="243"/>
      <c r="FD2" s="243"/>
      <c r="FE2" s="243"/>
      <c r="FF2" s="243"/>
      <c r="FG2" s="243"/>
      <c r="FH2" s="243"/>
      <c r="FI2" s="243"/>
      <c r="FJ2" s="243"/>
      <c r="FK2" s="243"/>
      <c r="FL2" s="243"/>
      <c r="FM2" s="243"/>
      <c r="FN2" s="243"/>
      <c r="FO2" s="243"/>
      <c r="FP2" s="243"/>
      <c r="FQ2" s="243"/>
      <c r="FR2" s="243"/>
      <c r="FS2" s="243"/>
      <c r="FT2" s="243"/>
      <c r="FU2" s="243"/>
      <c r="FV2" s="243"/>
      <c r="FW2" s="243"/>
      <c r="FX2" s="243"/>
      <c r="FY2" s="243"/>
      <c r="FZ2" s="243"/>
      <c r="GA2" s="243"/>
      <c r="GB2" s="243"/>
      <c r="GC2" s="243"/>
      <c r="GD2" s="243"/>
      <c r="GE2" s="243"/>
      <c r="GF2" s="243"/>
      <c r="GG2" s="243"/>
      <c r="GH2" s="243"/>
      <c r="GI2" s="243"/>
      <c r="GJ2" s="243"/>
      <c r="GK2" s="243"/>
      <c r="GL2" s="243"/>
      <c r="GM2" s="243"/>
      <c r="GN2" s="243"/>
      <c r="GO2" s="243"/>
      <c r="GP2" s="243"/>
      <c r="GQ2" s="243"/>
      <c r="GR2" s="243"/>
      <c r="GS2" s="243"/>
      <c r="GT2" s="243"/>
      <c r="GU2" s="243"/>
      <c r="GV2" s="243"/>
      <c r="GW2" s="243"/>
      <c r="GX2" s="243"/>
      <c r="GY2" s="243"/>
      <c r="GZ2" s="243"/>
      <c r="HA2" s="243"/>
      <c r="HB2" s="243"/>
      <c r="HC2" s="243"/>
      <c r="HD2" s="243"/>
      <c r="HE2" s="243"/>
      <c r="HF2" s="243"/>
      <c r="HG2" s="243"/>
      <c r="HH2" s="243"/>
      <c r="HI2" s="243"/>
      <c r="HJ2" s="243"/>
      <c r="HK2" s="243"/>
      <c r="HL2" s="243"/>
      <c r="HM2" s="243"/>
      <c r="HN2" s="243"/>
      <c r="HO2" s="243"/>
      <c r="HP2" s="243"/>
      <c r="HQ2" s="243"/>
      <c r="HR2" s="243"/>
      <c r="HS2" s="243"/>
      <c r="HT2" s="243"/>
      <c r="HU2" s="243"/>
      <c r="HV2" s="243"/>
      <c r="HW2" s="243"/>
      <c r="HX2" s="243"/>
      <c r="HY2" s="243"/>
      <c r="HZ2" s="243"/>
      <c r="IA2" s="243"/>
      <c r="IB2" s="243"/>
      <c r="IC2" s="243"/>
      <c r="ID2" s="243"/>
      <c r="IE2" s="243"/>
      <c r="IF2" s="243"/>
      <c r="IG2" s="243"/>
      <c r="IH2" s="243"/>
      <c r="II2" s="243"/>
      <c r="IJ2" s="243"/>
      <c r="IK2" s="243"/>
      <c r="IL2" s="243"/>
      <c r="IM2" s="243"/>
      <c r="IN2" s="243"/>
      <c r="IO2" s="243"/>
      <c r="IP2" s="243"/>
      <c r="IQ2" s="243"/>
      <c r="IR2" s="243"/>
      <c r="IS2" s="243"/>
    </row>
    <row r="3" spans="1:253" s="268" customFormat="1" x14ac:dyDescent="0.2">
      <c r="A3" s="345"/>
      <c r="B3" s="323"/>
      <c r="C3" s="323"/>
      <c r="D3" s="323"/>
      <c r="E3" s="323"/>
      <c r="F3" s="323"/>
      <c r="G3" s="323"/>
      <c r="H3" s="243"/>
      <c r="I3" s="243"/>
      <c r="J3" s="243"/>
      <c r="K3" s="243"/>
      <c r="L3" s="243"/>
      <c r="M3" s="243"/>
      <c r="N3" s="243"/>
      <c r="O3" s="243"/>
      <c r="P3" s="243"/>
      <c r="Q3" s="243"/>
      <c r="R3" s="243"/>
      <c r="S3" s="243"/>
      <c r="T3" s="243"/>
      <c r="U3" s="243"/>
      <c r="V3" s="243"/>
      <c r="W3" s="243"/>
      <c r="X3" s="243"/>
      <c r="Y3" s="243"/>
      <c r="Z3" s="243"/>
      <c r="AA3" s="243"/>
      <c r="AB3" s="243"/>
      <c r="AC3" s="243"/>
      <c r="AD3" s="243"/>
      <c r="AE3" s="243"/>
      <c r="AF3" s="243"/>
      <c r="AG3" s="243"/>
      <c r="AH3" s="243"/>
      <c r="AI3" s="243"/>
      <c r="AJ3" s="243"/>
      <c r="AK3" s="243"/>
      <c r="AL3" s="243"/>
      <c r="AM3" s="243"/>
      <c r="AN3" s="243"/>
      <c r="AO3" s="243"/>
      <c r="AP3" s="243"/>
      <c r="AQ3" s="243"/>
      <c r="AR3" s="243"/>
      <c r="AS3" s="243"/>
      <c r="AT3" s="243"/>
      <c r="AU3" s="243"/>
      <c r="AV3" s="243"/>
      <c r="AW3" s="243"/>
      <c r="AX3" s="243"/>
      <c r="AY3" s="243"/>
      <c r="AZ3" s="243"/>
      <c r="BA3" s="243"/>
      <c r="BB3" s="243"/>
      <c r="BC3" s="243"/>
      <c r="BD3" s="243"/>
      <c r="BE3" s="243"/>
      <c r="BF3" s="243"/>
      <c r="BG3" s="243"/>
      <c r="BH3" s="243"/>
      <c r="BI3" s="243"/>
      <c r="BJ3" s="243"/>
      <c r="BK3" s="243"/>
      <c r="BL3" s="243"/>
      <c r="BM3" s="243"/>
      <c r="BN3" s="243"/>
      <c r="BO3" s="243"/>
      <c r="BP3" s="243"/>
      <c r="BQ3" s="243"/>
      <c r="BR3" s="243"/>
      <c r="BS3" s="243"/>
      <c r="BT3" s="243"/>
      <c r="BU3" s="243"/>
      <c r="BV3" s="243"/>
      <c r="BW3" s="243"/>
      <c r="BX3" s="243"/>
      <c r="BY3" s="243"/>
      <c r="BZ3" s="243"/>
      <c r="CA3" s="243"/>
      <c r="CB3" s="243"/>
      <c r="CC3" s="243"/>
      <c r="CD3" s="243"/>
      <c r="CE3" s="243"/>
      <c r="CF3" s="243"/>
      <c r="CG3" s="243"/>
      <c r="CH3" s="243"/>
      <c r="CI3" s="243"/>
      <c r="CJ3" s="243"/>
      <c r="CK3" s="243"/>
      <c r="CL3" s="243"/>
      <c r="CM3" s="243"/>
      <c r="CN3" s="243"/>
      <c r="CO3" s="243"/>
      <c r="CP3" s="243"/>
      <c r="CQ3" s="243"/>
      <c r="CR3" s="243"/>
      <c r="CS3" s="243"/>
      <c r="CT3" s="243"/>
      <c r="CU3" s="243"/>
      <c r="CV3" s="243"/>
      <c r="CW3" s="243"/>
      <c r="CX3" s="243"/>
      <c r="CY3" s="243"/>
      <c r="CZ3" s="243"/>
      <c r="DA3" s="243"/>
      <c r="DB3" s="243"/>
      <c r="DC3" s="243"/>
      <c r="DD3" s="243"/>
      <c r="DE3" s="243"/>
      <c r="DF3" s="243"/>
      <c r="DG3" s="243"/>
      <c r="DH3" s="243"/>
      <c r="DI3" s="243"/>
      <c r="DJ3" s="243"/>
      <c r="DK3" s="243"/>
      <c r="DL3" s="243"/>
      <c r="DM3" s="243"/>
      <c r="DN3" s="243"/>
      <c r="DO3" s="243"/>
      <c r="DP3" s="243"/>
      <c r="DQ3" s="243"/>
      <c r="DR3" s="243"/>
      <c r="DS3" s="243"/>
      <c r="DT3" s="243"/>
      <c r="DU3" s="243"/>
      <c r="DV3" s="243"/>
      <c r="DW3" s="243"/>
      <c r="DX3" s="243"/>
      <c r="DY3" s="243"/>
      <c r="DZ3" s="243"/>
      <c r="EA3" s="243"/>
      <c r="EB3" s="243"/>
      <c r="EC3" s="243"/>
      <c r="ED3" s="243"/>
      <c r="EE3" s="243"/>
      <c r="EF3" s="243"/>
      <c r="EG3" s="243"/>
      <c r="EH3" s="243"/>
      <c r="EI3" s="243"/>
      <c r="EJ3" s="243"/>
      <c r="EK3" s="243"/>
      <c r="EL3" s="243"/>
      <c r="EM3" s="243"/>
      <c r="EN3" s="243"/>
      <c r="EO3" s="243"/>
      <c r="EP3" s="243"/>
      <c r="EQ3" s="243"/>
      <c r="ER3" s="243"/>
      <c r="ES3" s="243"/>
      <c r="ET3" s="243"/>
      <c r="EU3" s="243"/>
      <c r="EV3" s="243"/>
      <c r="EW3" s="243"/>
      <c r="EX3" s="243"/>
      <c r="EY3" s="243"/>
      <c r="EZ3" s="243"/>
      <c r="FA3" s="243"/>
      <c r="FB3" s="243"/>
      <c r="FC3" s="243"/>
      <c r="FD3" s="243"/>
      <c r="FE3" s="243"/>
      <c r="FF3" s="243"/>
      <c r="FG3" s="243"/>
      <c r="FH3" s="243"/>
      <c r="FI3" s="243"/>
      <c r="FJ3" s="243"/>
      <c r="FK3" s="243"/>
      <c r="FL3" s="243"/>
      <c r="FM3" s="243"/>
      <c r="FN3" s="243"/>
      <c r="FO3" s="243"/>
      <c r="FP3" s="243"/>
      <c r="FQ3" s="243"/>
      <c r="FR3" s="243"/>
      <c r="FS3" s="243"/>
      <c r="FT3" s="243"/>
      <c r="FU3" s="243"/>
      <c r="FV3" s="243"/>
      <c r="FW3" s="243"/>
      <c r="FX3" s="243"/>
      <c r="FY3" s="243"/>
      <c r="FZ3" s="243"/>
      <c r="GA3" s="243"/>
      <c r="GB3" s="243"/>
      <c r="GC3" s="243"/>
      <c r="GD3" s="243"/>
      <c r="GE3" s="243"/>
      <c r="GF3" s="243"/>
      <c r="GG3" s="243"/>
      <c r="GH3" s="243"/>
      <c r="GI3" s="243"/>
      <c r="GJ3" s="243"/>
      <c r="GK3" s="243"/>
      <c r="GL3" s="243"/>
      <c r="GM3" s="243"/>
      <c r="GN3" s="243"/>
      <c r="GO3" s="243"/>
      <c r="GP3" s="243"/>
      <c r="GQ3" s="243"/>
      <c r="GR3" s="243"/>
      <c r="GS3" s="243"/>
      <c r="GT3" s="243"/>
      <c r="GU3" s="243"/>
      <c r="GV3" s="243"/>
      <c r="GW3" s="243"/>
      <c r="GX3" s="243"/>
      <c r="GY3" s="243"/>
      <c r="GZ3" s="243"/>
      <c r="HA3" s="243"/>
      <c r="HB3" s="243"/>
      <c r="HC3" s="243"/>
      <c r="HD3" s="243"/>
      <c r="HE3" s="243"/>
      <c r="HF3" s="243"/>
      <c r="HG3" s="243"/>
      <c r="HH3" s="243"/>
      <c r="HI3" s="243"/>
      <c r="HJ3" s="243"/>
      <c r="HK3" s="243"/>
      <c r="HL3" s="243"/>
      <c r="HM3" s="243"/>
      <c r="HN3" s="243"/>
      <c r="HO3" s="243"/>
      <c r="HP3" s="243"/>
      <c r="HQ3" s="243"/>
      <c r="HR3" s="243"/>
      <c r="HS3" s="243"/>
      <c r="HT3" s="243"/>
      <c r="HU3" s="243"/>
      <c r="HV3" s="243"/>
      <c r="HW3" s="243"/>
      <c r="HX3" s="243"/>
      <c r="HY3" s="243"/>
      <c r="HZ3" s="243"/>
      <c r="IA3" s="243"/>
      <c r="IB3" s="243"/>
      <c r="IC3" s="243"/>
      <c r="ID3" s="243"/>
      <c r="IE3" s="243"/>
      <c r="IF3" s="243"/>
      <c r="IG3" s="243"/>
      <c r="IH3" s="243"/>
      <c r="II3" s="243"/>
      <c r="IJ3" s="243"/>
      <c r="IK3" s="243"/>
      <c r="IL3" s="243"/>
      <c r="IM3" s="243"/>
      <c r="IN3" s="243"/>
      <c r="IO3" s="243"/>
      <c r="IP3" s="243"/>
      <c r="IQ3" s="243"/>
      <c r="IR3" s="243"/>
      <c r="IS3" s="243"/>
    </row>
    <row r="4" spans="1:253" s="243" customFormat="1" x14ac:dyDescent="0.2">
      <c r="A4" s="345" t="str">
        <f>ORCAMENTO!A4</f>
        <v>OBRA:</v>
      </c>
      <c r="B4" s="322"/>
      <c r="C4" s="322"/>
      <c r="D4" s="324"/>
      <c r="E4" s="324"/>
      <c r="F4" s="324"/>
      <c r="G4" s="325"/>
    </row>
    <row r="5" spans="1:253" s="243" customFormat="1" x14ac:dyDescent="0.2">
      <c r="A5" s="346" t="str">
        <f>ORCAMENTO!A5</f>
        <v>CENTRO DE INOVAÇÃO E DIFUSÃO DE TECNOLOGIA PARA O SEMIÁRIDO - CAMPUS BOA VIAGEM</v>
      </c>
      <c r="B5" s="322"/>
      <c r="C5" s="322"/>
      <c r="D5" s="324"/>
      <c r="E5" s="324"/>
      <c r="F5" s="324"/>
      <c r="G5" s="325"/>
    </row>
    <row r="6" spans="1:253" s="243" customFormat="1" x14ac:dyDescent="0.2">
      <c r="A6" s="345" t="str">
        <f>ORCAMENTO!A6</f>
        <v>LOCAL:</v>
      </c>
      <c r="B6" s="322"/>
      <c r="C6" s="322"/>
      <c r="D6" s="324"/>
      <c r="E6" s="324"/>
      <c r="F6" s="324"/>
      <c r="G6" s="325"/>
    </row>
    <row r="7" spans="1:253" s="243" customFormat="1" x14ac:dyDescent="0.2">
      <c r="A7" s="346" t="str">
        <f>ORCAMENTO!A7</f>
        <v>SEDE DO MUNICÍPIO</v>
      </c>
      <c r="B7" s="322"/>
      <c r="C7" s="322"/>
      <c r="D7" s="324"/>
      <c r="E7" s="324"/>
      <c r="F7" s="324"/>
      <c r="G7" s="325"/>
    </row>
    <row r="8" spans="1:253" s="268" customFormat="1" x14ac:dyDescent="0.2">
      <c r="A8" s="345" t="str">
        <f>ORCAMENTO!A8</f>
        <v>MUNICÍPIO:</v>
      </c>
      <c r="B8" s="6"/>
      <c r="C8" s="6"/>
      <c r="D8" s="326"/>
      <c r="E8" s="326"/>
      <c r="F8" s="326"/>
      <c r="G8" s="327"/>
    </row>
    <row r="9" spans="1:253" s="243" customFormat="1" x14ac:dyDescent="0.2">
      <c r="A9" s="346" t="str">
        <f>ORCAMENTO!A9</f>
        <v>BOA VIAGEM - CE</v>
      </c>
      <c r="B9" s="322"/>
      <c r="C9" s="322"/>
      <c r="D9" s="324"/>
      <c r="E9" s="324"/>
      <c r="F9" s="324"/>
      <c r="G9" s="325"/>
    </row>
    <row r="10" spans="1:253" s="268" customFormat="1" x14ac:dyDescent="0.2">
      <c r="A10" s="345"/>
      <c r="B10" s="6"/>
      <c r="C10" s="6"/>
      <c r="D10" s="324"/>
      <c r="E10" s="324"/>
      <c r="F10" s="324"/>
      <c r="G10" s="327"/>
    </row>
    <row r="11" spans="1:253" s="243" customFormat="1" x14ac:dyDescent="0.2">
      <c r="A11" s="345" t="str">
        <f>ORCAMENTO!A11</f>
        <v>FONTE DOS PREÇOS:</v>
      </c>
      <c r="B11" s="322"/>
      <c r="C11" s="322"/>
      <c r="D11" s="324"/>
      <c r="E11" s="324"/>
      <c r="F11" s="324"/>
      <c r="G11" s="325"/>
    </row>
    <row r="12" spans="1:253" s="268" customFormat="1" x14ac:dyDescent="0.2">
      <c r="A12" s="346" t="str">
        <f>ORCAMENTO!A12</f>
        <v>TABELA SEINFRA 028.1 DESONERADA</v>
      </c>
      <c r="B12" s="6"/>
      <c r="C12" s="6"/>
      <c r="D12" s="326"/>
      <c r="E12" s="326"/>
      <c r="F12" s="326"/>
      <c r="G12" s="327"/>
    </row>
    <row r="13" spans="1:253" s="268" customFormat="1" x14ac:dyDescent="0.2">
      <c r="A13" s="346"/>
      <c r="B13" s="346" t="str">
        <f>ORCAMENTO!B13</f>
        <v>DATA REFERÊNCIA TÉCNICA: 10/2023</v>
      </c>
      <c r="C13" s="6"/>
      <c r="D13" s="326"/>
      <c r="E13" s="326"/>
      <c r="F13" s="326"/>
      <c r="G13" s="327"/>
    </row>
    <row r="14" spans="1:253" s="268" customFormat="1" x14ac:dyDescent="0.2">
      <c r="A14" s="346"/>
      <c r="B14" s="346" t="str">
        <f>ORCAMENTO!B14</f>
        <v>ENCARGOS SOCIAIS: 84,44% (HORA) - 47,48% (MÊS)</v>
      </c>
      <c r="C14" s="6"/>
      <c r="D14" s="326"/>
      <c r="E14" s="326"/>
      <c r="F14" s="326"/>
      <c r="G14" s="327"/>
    </row>
    <row r="15" spans="1:253" s="268" customFormat="1" x14ac:dyDescent="0.2">
      <c r="A15" s="346" t="str">
        <f>ORCAMENTO!A15</f>
        <v>TABELA SINAPI 06/2025 DESONERADA</v>
      </c>
      <c r="B15" s="6"/>
      <c r="C15" s="6"/>
      <c r="D15" s="326"/>
      <c r="E15" s="326"/>
      <c r="F15" s="326"/>
      <c r="G15" s="327"/>
    </row>
    <row r="16" spans="1:253" s="268" customFormat="1" x14ac:dyDescent="0.2">
      <c r="A16" s="346"/>
      <c r="B16" s="346" t="str">
        <f>ORCAMENTO!B16</f>
        <v>DATA REFERÊNCIA TÉCNICA: 06/2025</v>
      </c>
      <c r="C16" s="6"/>
      <c r="D16" s="326"/>
      <c r="E16" s="326"/>
      <c r="F16" s="326"/>
      <c r="G16" s="327"/>
    </row>
    <row r="17" spans="1:15" s="268" customFormat="1" x14ac:dyDescent="0.2">
      <c r="A17" s="346"/>
      <c r="B17" s="346" t="str">
        <f>ORCAMENTO!B17</f>
        <v>ENCARGOS SOCIAIS: 92,17% (HORA) - 53,50% (MÊS)</v>
      </c>
      <c r="C17" s="6"/>
      <c r="D17" s="326"/>
      <c r="E17" s="326"/>
      <c r="F17" s="326"/>
      <c r="G17" s="327"/>
    </row>
    <row r="18" spans="1:15" s="268" customFormat="1" x14ac:dyDescent="0.2">
      <c r="A18" s="345"/>
      <c r="B18" s="6"/>
      <c r="C18" s="6"/>
      <c r="D18" s="326"/>
      <c r="E18" s="326"/>
      <c r="F18" s="326"/>
      <c r="G18" s="327"/>
    </row>
    <row r="19" spans="1:15" s="328" customFormat="1" x14ac:dyDescent="0.2">
      <c r="A19" s="550" t="s">
        <v>39790</v>
      </c>
      <c r="B19" s="550"/>
      <c r="C19" s="550"/>
      <c r="D19" s="550"/>
      <c r="E19" s="550"/>
      <c r="F19" s="550"/>
      <c r="G19" s="550"/>
      <c r="H19" s="550"/>
      <c r="I19" s="550"/>
      <c r="J19" s="550"/>
      <c r="K19" s="550"/>
      <c r="L19" s="550"/>
      <c r="M19" s="550"/>
      <c r="N19" s="550"/>
      <c r="O19" s="550"/>
    </row>
    <row r="20" spans="1:15" s="328" customFormat="1" x14ac:dyDescent="0.2">
      <c r="A20" s="336">
        <f>ORCAMENTO!A21</f>
        <v>1</v>
      </c>
      <c r="B20" s="551" t="str">
        <f>VLOOKUP(A20,ORCAMENTO!A:I,4,0)</f>
        <v>ADMINISTRAÇÃO LOCAL</v>
      </c>
      <c r="C20" s="552"/>
      <c r="D20" s="552"/>
      <c r="E20" s="552"/>
      <c r="F20" s="552"/>
      <c r="G20" s="552"/>
      <c r="H20" s="552"/>
      <c r="I20" s="552"/>
      <c r="J20" s="552"/>
      <c r="K20" s="552"/>
      <c r="L20" s="552"/>
      <c r="M20" s="552"/>
      <c r="N20" s="552"/>
      <c r="O20" s="553"/>
    </row>
    <row r="21" spans="1:15" s="328" customFormat="1" x14ac:dyDescent="0.2">
      <c r="A21" s="329" t="s">
        <v>39791</v>
      </c>
      <c r="B21" s="542" t="s">
        <v>5917</v>
      </c>
      <c r="C21" s="542"/>
      <c r="D21" s="542"/>
      <c r="E21" s="542"/>
      <c r="F21" s="542"/>
      <c r="G21" s="542"/>
      <c r="H21" s="542"/>
      <c r="I21" s="542"/>
      <c r="J21" s="542"/>
      <c r="K21" s="542"/>
      <c r="L21" s="542"/>
      <c r="M21" s="542"/>
      <c r="N21" s="329" t="s">
        <v>39197</v>
      </c>
      <c r="O21" s="330" t="s">
        <v>39792</v>
      </c>
    </row>
    <row r="22" spans="1:15" s="328" customFormat="1" ht="12.75" customHeight="1" x14ac:dyDescent="0.2">
      <c r="A22" s="331" t="str">
        <f>ORCAMENTO!A22</f>
        <v>1.1</v>
      </c>
      <c r="B22" s="543" t="str">
        <f>VLOOKUP(A22,ORCAMENTO!A:I,4,0)</f>
        <v>ENGENHEIRO CIVIL DE OBRA JUNIOR COM ENCARGOS COMPLEMENTARES</v>
      </c>
      <c r="C22" s="543"/>
      <c r="D22" s="543"/>
      <c r="E22" s="543"/>
      <c r="F22" s="543"/>
      <c r="G22" s="543"/>
      <c r="H22" s="543"/>
      <c r="I22" s="543"/>
      <c r="J22" s="543"/>
      <c r="K22" s="543"/>
      <c r="L22" s="543"/>
      <c r="M22" s="543"/>
      <c r="N22" s="331" t="str">
        <f>VLOOKUP(A22,ORCAMENTO!A:I,5,0)</f>
        <v>H</v>
      </c>
      <c r="O22" s="332">
        <f>O26</f>
        <v>288</v>
      </c>
    </row>
    <row r="23" spans="1:15" s="328" customFormat="1" x14ac:dyDescent="0.2">
      <c r="A23" s="539" t="s">
        <v>39793</v>
      </c>
      <c r="B23" s="539"/>
      <c r="C23" s="539"/>
      <c r="D23" s="539"/>
      <c r="E23" s="539"/>
      <c r="F23" s="539"/>
      <c r="G23" s="539"/>
      <c r="H23" s="539"/>
      <c r="I23" s="539"/>
      <c r="J23" s="539"/>
      <c r="K23" s="539"/>
      <c r="L23" s="539"/>
      <c r="M23" s="539"/>
      <c r="N23" s="539"/>
      <c r="O23" s="539"/>
    </row>
    <row r="24" spans="1:15" s="328" customFormat="1" x14ac:dyDescent="0.2">
      <c r="A24" s="539" t="s">
        <v>5917</v>
      </c>
      <c r="B24" s="539"/>
      <c r="C24" s="539"/>
      <c r="D24" s="333"/>
      <c r="E24" s="333"/>
      <c r="F24" s="333"/>
      <c r="G24" s="334"/>
      <c r="H24" s="333"/>
      <c r="I24" s="332"/>
      <c r="J24" s="331"/>
      <c r="K24" s="334" t="s">
        <v>40561</v>
      </c>
      <c r="L24" s="333" t="s">
        <v>39805</v>
      </c>
      <c r="M24" s="334" t="s">
        <v>40562</v>
      </c>
      <c r="N24" s="333" t="s">
        <v>39794</v>
      </c>
      <c r="O24" s="334" t="s">
        <v>39795</v>
      </c>
    </row>
    <row r="25" spans="1:15" s="328" customFormat="1" x14ac:dyDescent="0.2">
      <c r="A25" s="541" t="s">
        <v>47142</v>
      </c>
      <c r="B25" s="541"/>
      <c r="C25" s="541"/>
      <c r="D25" s="335"/>
      <c r="E25" s="335"/>
      <c r="F25" s="335"/>
      <c r="G25" s="335"/>
      <c r="H25" s="335"/>
      <c r="I25" s="335"/>
      <c r="J25" s="335"/>
      <c r="K25" s="335">
        <f>12</f>
        <v>12</v>
      </c>
      <c r="L25" s="332" t="s">
        <v>39805</v>
      </c>
      <c r="M25" s="335">
        <f>4*6</f>
        <v>24</v>
      </c>
      <c r="N25" s="335" t="s">
        <v>39794</v>
      </c>
      <c r="O25" s="335">
        <f>ROUND(K25*M25,2)</f>
        <v>288</v>
      </c>
    </row>
    <row r="26" spans="1:15" s="328" customFormat="1" x14ac:dyDescent="0.2">
      <c r="A26" s="535"/>
      <c r="B26" s="535"/>
      <c r="C26" s="535"/>
      <c r="D26" s="535"/>
      <c r="E26" s="535"/>
      <c r="F26" s="535"/>
      <c r="G26" s="535"/>
      <c r="H26" s="535"/>
      <c r="I26" s="535"/>
      <c r="J26" s="535"/>
      <c r="K26" s="535"/>
      <c r="L26" s="334" t="s">
        <v>39796</v>
      </c>
      <c r="M26" s="334" t="s">
        <v>39168</v>
      </c>
      <c r="N26" s="333" t="s">
        <v>39794</v>
      </c>
      <c r="O26" s="334">
        <f>SUM(O24:O25)</f>
        <v>288</v>
      </c>
    </row>
    <row r="27" spans="1:15" s="328" customFormat="1" x14ac:dyDescent="0.2">
      <c r="A27" s="329" t="s">
        <v>39791</v>
      </c>
      <c r="B27" s="542" t="s">
        <v>5917</v>
      </c>
      <c r="C27" s="542"/>
      <c r="D27" s="542"/>
      <c r="E27" s="542"/>
      <c r="F27" s="542"/>
      <c r="G27" s="542"/>
      <c r="H27" s="542"/>
      <c r="I27" s="542"/>
      <c r="J27" s="542"/>
      <c r="K27" s="542"/>
      <c r="L27" s="542"/>
      <c r="M27" s="542"/>
      <c r="N27" s="329" t="s">
        <v>39197</v>
      </c>
      <c r="O27" s="330" t="s">
        <v>39792</v>
      </c>
    </row>
    <row r="28" spans="1:15" s="328" customFormat="1" ht="12.75" customHeight="1" x14ac:dyDescent="0.2">
      <c r="A28" s="331" t="str">
        <f>ORCAMENTO!A23</f>
        <v>1.2</v>
      </c>
      <c r="B28" s="543" t="str">
        <f>VLOOKUP(A28,ORCAMENTO!A:I,4,0)</f>
        <v>ENCARREGADO GERAL COM ENCARGOS COMPLEMENTARES</v>
      </c>
      <c r="C28" s="543"/>
      <c r="D28" s="543"/>
      <c r="E28" s="543"/>
      <c r="F28" s="543"/>
      <c r="G28" s="543"/>
      <c r="H28" s="543"/>
      <c r="I28" s="543"/>
      <c r="J28" s="543"/>
      <c r="K28" s="543"/>
      <c r="L28" s="543"/>
      <c r="M28" s="543"/>
      <c r="N28" s="331" t="str">
        <f>VLOOKUP(A28,ORCAMENTO!A:I,5,0)</f>
        <v>H</v>
      </c>
      <c r="O28" s="332">
        <f>O32</f>
        <v>1056</v>
      </c>
    </row>
    <row r="29" spans="1:15" s="328" customFormat="1" x14ac:dyDescent="0.2">
      <c r="A29" s="539" t="s">
        <v>39793</v>
      </c>
      <c r="B29" s="539"/>
      <c r="C29" s="539"/>
      <c r="D29" s="539"/>
      <c r="E29" s="539"/>
      <c r="F29" s="539"/>
      <c r="G29" s="539"/>
      <c r="H29" s="539"/>
      <c r="I29" s="539"/>
      <c r="J29" s="539"/>
      <c r="K29" s="539"/>
      <c r="L29" s="539"/>
      <c r="M29" s="539"/>
      <c r="N29" s="539"/>
      <c r="O29" s="539"/>
    </row>
    <row r="30" spans="1:15" s="328" customFormat="1" x14ac:dyDescent="0.2">
      <c r="A30" s="539" t="s">
        <v>5917</v>
      </c>
      <c r="B30" s="539"/>
      <c r="C30" s="539"/>
      <c r="D30" s="333"/>
      <c r="E30" s="333"/>
      <c r="F30" s="333"/>
      <c r="G30" s="334"/>
      <c r="H30" s="333"/>
      <c r="I30" s="334"/>
      <c r="J30" s="333"/>
      <c r="K30" s="334" t="s">
        <v>40561</v>
      </c>
      <c r="L30" s="333" t="s">
        <v>39805</v>
      </c>
      <c r="M30" s="334" t="s">
        <v>40562</v>
      </c>
      <c r="N30" s="333" t="s">
        <v>39794</v>
      </c>
      <c r="O30" s="334" t="s">
        <v>39795</v>
      </c>
    </row>
    <row r="31" spans="1:15" s="328" customFormat="1" x14ac:dyDescent="0.2">
      <c r="A31" s="541" t="s">
        <v>39798</v>
      </c>
      <c r="B31" s="541"/>
      <c r="C31" s="541"/>
      <c r="D31" s="335"/>
      <c r="E31" s="335"/>
      <c r="F31" s="335"/>
      <c r="G31" s="335"/>
      <c r="H31" s="335"/>
      <c r="I31" s="335"/>
      <c r="J31" s="335"/>
      <c r="K31" s="335">
        <f>44</f>
        <v>44</v>
      </c>
      <c r="L31" s="332" t="s">
        <v>39805</v>
      </c>
      <c r="M31" s="335">
        <f>4*6</f>
        <v>24</v>
      </c>
      <c r="N31" s="335" t="s">
        <v>39794</v>
      </c>
      <c r="O31" s="335">
        <f>ROUND(K31*M31,2)</f>
        <v>1056</v>
      </c>
    </row>
    <row r="32" spans="1:15" s="328" customFormat="1" x14ac:dyDescent="0.2">
      <c r="A32" s="535"/>
      <c r="B32" s="535"/>
      <c r="C32" s="535"/>
      <c r="D32" s="535"/>
      <c r="E32" s="535"/>
      <c r="F32" s="535"/>
      <c r="G32" s="535"/>
      <c r="H32" s="535"/>
      <c r="I32" s="535"/>
      <c r="J32" s="535"/>
      <c r="K32" s="535"/>
      <c r="L32" s="334" t="s">
        <v>39796</v>
      </c>
      <c r="M32" s="334" t="s">
        <v>39168</v>
      </c>
      <c r="N32" s="333" t="s">
        <v>39794</v>
      </c>
      <c r="O32" s="334">
        <f>SUM(O30:O31)</f>
        <v>1056</v>
      </c>
    </row>
    <row r="33" spans="1:15" s="328" customFormat="1" x14ac:dyDescent="0.2">
      <c r="A33" s="336">
        <f>ORCAMENTO!A25</f>
        <v>2</v>
      </c>
      <c r="B33" s="545" t="str">
        <f>VLOOKUP(A33,ORCAMENTO!A:I,4,0)</f>
        <v>SERVIÇOS PRELIMINARES</v>
      </c>
      <c r="C33" s="545"/>
      <c r="D33" s="545"/>
      <c r="E33" s="545"/>
      <c r="F33" s="545"/>
      <c r="G33" s="545"/>
      <c r="H33" s="545"/>
      <c r="I33" s="545"/>
      <c r="J33" s="545"/>
      <c r="K33" s="545"/>
      <c r="L33" s="545"/>
      <c r="M33" s="545"/>
      <c r="N33" s="545"/>
      <c r="O33" s="545"/>
    </row>
    <row r="34" spans="1:15" s="328" customFormat="1" x14ac:dyDescent="0.2">
      <c r="A34" s="329" t="s">
        <v>39791</v>
      </c>
      <c r="B34" s="542" t="s">
        <v>5917</v>
      </c>
      <c r="C34" s="542"/>
      <c r="D34" s="542"/>
      <c r="E34" s="542"/>
      <c r="F34" s="542"/>
      <c r="G34" s="542"/>
      <c r="H34" s="542"/>
      <c r="I34" s="542"/>
      <c r="J34" s="542"/>
      <c r="K34" s="542"/>
      <c r="L34" s="542"/>
      <c r="M34" s="542"/>
      <c r="N34" s="329" t="s">
        <v>39197</v>
      </c>
      <c r="O34" s="330" t="s">
        <v>39792</v>
      </c>
    </row>
    <row r="35" spans="1:15" s="328" customFormat="1" ht="12.75" customHeight="1" x14ac:dyDescent="0.2">
      <c r="A35" s="331" t="str">
        <f>ORCAMENTO!A26</f>
        <v>2.1</v>
      </c>
      <c r="B35" s="543" t="str">
        <f>VLOOKUP(A35,ORCAMENTO!A:I,4,0)</f>
        <v>FORNECIMENTO E INSTALAÇÃO DE PLACA DE OBRA COM CHAPA GALVANIZADA E ESTRUTURA DE MADEIRA. AF_03/2022_PS</v>
      </c>
      <c r="C35" s="543"/>
      <c r="D35" s="543"/>
      <c r="E35" s="543"/>
      <c r="F35" s="543"/>
      <c r="G35" s="543"/>
      <c r="H35" s="543"/>
      <c r="I35" s="543"/>
      <c r="J35" s="543"/>
      <c r="K35" s="543"/>
      <c r="L35" s="543"/>
      <c r="M35" s="543"/>
      <c r="N35" s="331" t="str">
        <f>VLOOKUP(A35,ORCAMENTO!A:I,5,0)</f>
        <v>M2</v>
      </c>
      <c r="O35" s="332">
        <f>O39</f>
        <v>4.5</v>
      </c>
    </row>
    <row r="36" spans="1:15" s="328" customFormat="1" x14ac:dyDescent="0.2">
      <c r="A36" s="539" t="s">
        <v>39793</v>
      </c>
      <c r="B36" s="539"/>
      <c r="C36" s="539"/>
      <c r="D36" s="539"/>
      <c r="E36" s="539"/>
      <c r="F36" s="539"/>
      <c r="G36" s="539"/>
      <c r="H36" s="539"/>
      <c r="I36" s="539"/>
      <c r="J36" s="539"/>
      <c r="K36" s="539"/>
      <c r="L36" s="539"/>
      <c r="M36" s="539"/>
      <c r="N36" s="539"/>
      <c r="O36" s="539"/>
    </row>
    <row r="37" spans="1:15" s="328" customFormat="1" x14ac:dyDescent="0.2">
      <c r="A37" s="539" t="s">
        <v>5917</v>
      </c>
      <c r="B37" s="539"/>
      <c r="C37" s="539"/>
      <c r="D37" s="333"/>
      <c r="E37" s="333"/>
      <c r="F37" s="333"/>
      <c r="G37" s="334"/>
      <c r="H37" s="333"/>
      <c r="I37" s="332"/>
      <c r="J37" s="331"/>
      <c r="K37" s="334" t="s">
        <v>39802</v>
      </c>
      <c r="L37" s="333" t="s">
        <v>39805</v>
      </c>
      <c r="M37" s="334" t="s">
        <v>39823</v>
      </c>
      <c r="N37" s="333" t="s">
        <v>39794</v>
      </c>
      <c r="O37" s="334" t="s">
        <v>39795</v>
      </c>
    </row>
    <row r="38" spans="1:15" s="328" customFormat="1" x14ac:dyDescent="0.2">
      <c r="A38" s="541" t="s">
        <v>39981</v>
      </c>
      <c r="B38" s="541"/>
      <c r="C38" s="541"/>
      <c r="D38" s="335"/>
      <c r="E38" s="335"/>
      <c r="F38" s="335"/>
      <c r="G38" s="335"/>
      <c r="H38" s="335"/>
      <c r="I38" s="335"/>
      <c r="J38" s="335"/>
      <c r="K38" s="335">
        <v>3</v>
      </c>
      <c r="L38" s="332" t="s">
        <v>39805</v>
      </c>
      <c r="M38" s="335">
        <v>1.5</v>
      </c>
      <c r="N38" s="335" t="s">
        <v>39794</v>
      </c>
      <c r="O38" s="335">
        <f>ROUND(K38*M38,2)</f>
        <v>4.5</v>
      </c>
    </row>
    <row r="39" spans="1:15" s="328" customFormat="1" x14ac:dyDescent="0.2">
      <c r="A39" s="535"/>
      <c r="B39" s="535"/>
      <c r="C39" s="535"/>
      <c r="D39" s="535"/>
      <c r="E39" s="535"/>
      <c r="F39" s="535"/>
      <c r="G39" s="535"/>
      <c r="H39" s="535"/>
      <c r="I39" s="535"/>
      <c r="J39" s="535"/>
      <c r="K39" s="535"/>
      <c r="L39" s="334" t="s">
        <v>39796</v>
      </c>
      <c r="M39" s="334" t="s">
        <v>39168</v>
      </c>
      <c r="N39" s="333" t="s">
        <v>39794</v>
      </c>
      <c r="O39" s="334">
        <f>SUM(O37:O38)</f>
        <v>4.5</v>
      </c>
    </row>
    <row r="40" spans="1:15" s="328" customFormat="1" x14ac:dyDescent="0.2">
      <c r="A40" s="329" t="s">
        <v>39791</v>
      </c>
      <c r="B40" s="542" t="s">
        <v>5917</v>
      </c>
      <c r="C40" s="542"/>
      <c r="D40" s="542"/>
      <c r="E40" s="542"/>
      <c r="F40" s="542"/>
      <c r="G40" s="542"/>
      <c r="H40" s="542"/>
      <c r="I40" s="542"/>
      <c r="J40" s="542"/>
      <c r="K40" s="542"/>
      <c r="L40" s="542"/>
      <c r="M40" s="542"/>
      <c r="N40" s="329" t="s">
        <v>39197</v>
      </c>
      <c r="O40" s="330" t="s">
        <v>39792</v>
      </c>
    </row>
    <row r="41" spans="1:15" s="328" customFormat="1" ht="40.15" customHeight="1" x14ac:dyDescent="0.2">
      <c r="A41" s="331" t="str">
        <f>ORCAMENTO!A27</f>
        <v>2.2</v>
      </c>
      <c r="B41" s="543" t="str">
        <f>VLOOKUP(A41,ORCAMENTO!A:I,4,0)</f>
        <v>LIMPEZA MECANIZADA DE CAMADA VEGETAL, VEGETAÇÃO E PEQUENAS ÁRVORES (DIÂMETRO DE TRONCO MENOR QUE 0,20 M), COM TRATOR DE ESTEIRAS. AF_03/2024</v>
      </c>
      <c r="C41" s="543"/>
      <c r="D41" s="543"/>
      <c r="E41" s="543"/>
      <c r="F41" s="543"/>
      <c r="G41" s="543"/>
      <c r="H41" s="543"/>
      <c r="I41" s="543"/>
      <c r="J41" s="543"/>
      <c r="K41" s="543"/>
      <c r="L41" s="543"/>
      <c r="M41" s="543"/>
      <c r="N41" s="331" t="str">
        <f>VLOOKUP(A41,ORCAMENTO!A:I,5,0)</f>
        <v>M2</v>
      </c>
      <c r="O41" s="332">
        <f>O45</f>
        <v>1222.44</v>
      </c>
    </row>
    <row r="42" spans="1:15" s="328" customFormat="1" x14ac:dyDescent="0.2">
      <c r="A42" s="539" t="s">
        <v>39793</v>
      </c>
      <c r="B42" s="539"/>
      <c r="C42" s="539"/>
      <c r="D42" s="539"/>
      <c r="E42" s="539"/>
      <c r="F42" s="539"/>
      <c r="G42" s="539"/>
      <c r="H42" s="539"/>
      <c r="I42" s="539"/>
      <c r="J42" s="539"/>
      <c r="K42" s="539"/>
      <c r="L42" s="539"/>
      <c r="M42" s="539"/>
      <c r="N42" s="539"/>
      <c r="O42" s="539"/>
    </row>
    <row r="43" spans="1:15" s="328" customFormat="1" x14ac:dyDescent="0.2">
      <c r="A43" s="539" t="s">
        <v>5917</v>
      </c>
      <c r="B43" s="539"/>
      <c r="C43" s="539"/>
      <c r="D43" s="333"/>
      <c r="E43" s="333"/>
      <c r="F43" s="333"/>
      <c r="G43" s="334"/>
      <c r="H43" s="333"/>
      <c r="I43" s="332"/>
      <c r="J43" s="331"/>
      <c r="K43" s="334" t="s">
        <v>39804</v>
      </c>
      <c r="L43" s="333" t="s">
        <v>39805</v>
      </c>
      <c r="M43" s="334" t="s">
        <v>39802</v>
      </c>
      <c r="N43" s="333" t="s">
        <v>39794</v>
      </c>
      <c r="O43" s="334" t="s">
        <v>39795</v>
      </c>
    </row>
    <row r="44" spans="1:15" s="328" customFormat="1" x14ac:dyDescent="0.2">
      <c r="A44" s="541" t="s">
        <v>39986</v>
      </c>
      <c r="B44" s="541"/>
      <c r="C44" s="541"/>
      <c r="D44" s="335"/>
      <c r="E44" s="335"/>
      <c r="F44" s="335"/>
      <c r="G44" s="335"/>
      <c r="H44" s="335"/>
      <c r="I44" s="335"/>
      <c r="J44" s="335"/>
      <c r="K44" s="335">
        <f>18.3</f>
        <v>18.3</v>
      </c>
      <c r="L44" s="332" t="s">
        <v>39805</v>
      </c>
      <c r="M44" s="335">
        <f>66.8</f>
        <v>66.8</v>
      </c>
      <c r="N44" s="335" t="s">
        <v>39794</v>
      </c>
      <c r="O44" s="335">
        <f>ROUND(K44*M44,2)</f>
        <v>1222.44</v>
      </c>
    </row>
    <row r="45" spans="1:15" s="328" customFormat="1" x14ac:dyDescent="0.2">
      <c r="A45" s="535"/>
      <c r="B45" s="535"/>
      <c r="C45" s="535"/>
      <c r="D45" s="535"/>
      <c r="E45" s="535"/>
      <c r="F45" s="535"/>
      <c r="G45" s="535"/>
      <c r="H45" s="535"/>
      <c r="I45" s="535"/>
      <c r="J45" s="535"/>
      <c r="K45" s="535"/>
      <c r="L45" s="334" t="s">
        <v>39796</v>
      </c>
      <c r="M45" s="334" t="s">
        <v>39168</v>
      </c>
      <c r="N45" s="333" t="s">
        <v>39794</v>
      </c>
      <c r="O45" s="334">
        <f>SUM(O43:O44)</f>
        <v>1222.44</v>
      </c>
    </row>
    <row r="46" spans="1:15" s="328" customFormat="1" x14ac:dyDescent="0.2">
      <c r="A46" s="329" t="s">
        <v>39791</v>
      </c>
      <c r="B46" s="542" t="s">
        <v>5917</v>
      </c>
      <c r="C46" s="542"/>
      <c r="D46" s="542"/>
      <c r="E46" s="542"/>
      <c r="F46" s="542"/>
      <c r="G46" s="542"/>
      <c r="H46" s="542"/>
      <c r="I46" s="542"/>
      <c r="J46" s="542"/>
      <c r="K46" s="542"/>
      <c r="L46" s="542"/>
      <c r="M46" s="542"/>
      <c r="N46" s="329" t="s">
        <v>39197</v>
      </c>
      <c r="O46" s="330" t="s">
        <v>39792</v>
      </c>
    </row>
    <row r="47" spans="1:15" s="328" customFormat="1" ht="40.15" customHeight="1" x14ac:dyDescent="0.2">
      <c r="A47" s="331" t="str">
        <f>ORCAMENTO!A28</f>
        <v>2.3</v>
      </c>
      <c r="B47" s="543" t="str">
        <f>VLOOKUP(A47,ORCAMENTO!A:I,4,0)</f>
        <v>LOCAÇÃO CONVENCIONAL DE OBRA, UTILIZANDO GABARITO DE TÁBUAS CORRIDAS PONTALETADAS A CADA 2,00M - 2 UTILIZAÇÕES. AF_03/2024</v>
      </c>
      <c r="C47" s="543"/>
      <c r="D47" s="543"/>
      <c r="E47" s="543"/>
      <c r="F47" s="543"/>
      <c r="G47" s="543"/>
      <c r="H47" s="543"/>
      <c r="I47" s="543"/>
      <c r="J47" s="543"/>
      <c r="K47" s="543"/>
      <c r="L47" s="543"/>
      <c r="M47" s="543"/>
      <c r="N47" s="331" t="str">
        <f>VLOOKUP(A47,ORCAMENTO!A:I,5,0)</f>
        <v>M</v>
      </c>
      <c r="O47" s="332">
        <f>O54</f>
        <v>170.20000000000002</v>
      </c>
    </row>
    <row r="48" spans="1:15" s="328" customFormat="1" x14ac:dyDescent="0.2">
      <c r="A48" s="539" t="s">
        <v>39793</v>
      </c>
      <c r="B48" s="539"/>
      <c r="C48" s="539"/>
      <c r="D48" s="539"/>
      <c r="E48" s="539"/>
      <c r="F48" s="539"/>
      <c r="G48" s="539"/>
      <c r="H48" s="539"/>
      <c r="I48" s="539"/>
      <c r="J48" s="539"/>
      <c r="K48" s="539"/>
      <c r="L48" s="539"/>
      <c r="M48" s="539"/>
      <c r="N48" s="539"/>
      <c r="O48" s="539"/>
    </row>
    <row r="49" spans="1:15" s="328" customFormat="1" x14ac:dyDescent="0.2">
      <c r="A49" s="539" t="s">
        <v>5917</v>
      </c>
      <c r="B49" s="539"/>
      <c r="C49" s="539"/>
      <c r="D49" s="333"/>
      <c r="E49" s="333"/>
      <c r="F49" s="333"/>
      <c r="G49" s="334"/>
      <c r="H49" s="333"/>
      <c r="I49" s="332"/>
      <c r="J49" s="331"/>
      <c r="K49" s="334"/>
      <c r="L49" s="333"/>
      <c r="M49" s="334" t="s">
        <v>39802</v>
      </c>
      <c r="N49" s="333" t="s">
        <v>39794</v>
      </c>
      <c r="O49" s="334" t="s">
        <v>39795</v>
      </c>
    </row>
    <row r="50" spans="1:15" s="328" customFormat="1" x14ac:dyDescent="0.2">
      <c r="A50" s="541" t="s">
        <v>39982</v>
      </c>
      <c r="B50" s="541"/>
      <c r="C50" s="541"/>
      <c r="D50" s="333"/>
      <c r="E50" s="333"/>
      <c r="F50" s="333"/>
      <c r="G50" s="334"/>
      <c r="H50" s="333"/>
      <c r="I50" s="332"/>
      <c r="J50" s="331"/>
      <c r="K50" s="332"/>
      <c r="L50" s="332"/>
      <c r="M50" s="335">
        <f>66.8</f>
        <v>66.8</v>
      </c>
      <c r="N50" s="335" t="s">
        <v>39794</v>
      </c>
      <c r="O50" s="335">
        <f>ROUND(M50,2)</f>
        <v>66.8</v>
      </c>
    </row>
    <row r="51" spans="1:15" s="328" customFormat="1" x14ac:dyDescent="0.2">
      <c r="A51" s="541" t="s">
        <v>39983</v>
      </c>
      <c r="B51" s="541"/>
      <c r="C51" s="541"/>
      <c r="D51" s="333"/>
      <c r="E51" s="333"/>
      <c r="F51" s="333"/>
      <c r="G51" s="334"/>
      <c r="H51" s="333"/>
      <c r="I51" s="332"/>
      <c r="J51" s="331"/>
      <c r="K51" s="332"/>
      <c r="L51" s="332"/>
      <c r="M51" s="335">
        <f>66.8</f>
        <v>66.8</v>
      </c>
      <c r="N51" s="335" t="s">
        <v>39794</v>
      </c>
      <c r="O51" s="335">
        <f t="shared" ref="O51:O53" si="0">ROUND(M51,2)</f>
        <v>66.8</v>
      </c>
    </row>
    <row r="52" spans="1:15" s="328" customFormat="1" x14ac:dyDescent="0.2">
      <c r="A52" s="541" t="s">
        <v>39984</v>
      </c>
      <c r="B52" s="541"/>
      <c r="C52" s="541"/>
      <c r="D52" s="333"/>
      <c r="E52" s="333"/>
      <c r="F52" s="333"/>
      <c r="G52" s="334"/>
      <c r="H52" s="333"/>
      <c r="I52" s="332"/>
      <c r="J52" s="331"/>
      <c r="K52" s="332"/>
      <c r="L52" s="332"/>
      <c r="M52" s="335">
        <f>18.3</f>
        <v>18.3</v>
      </c>
      <c r="N52" s="335" t="s">
        <v>39794</v>
      </c>
      <c r="O52" s="335">
        <f t="shared" si="0"/>
        <v>18.3</v>
      </c>
    </row>
    <row r="53" spans="1:15" s="328" customFormat="1" x14ac:dyDescent="0.2">
      <c r="A53" s="541" t="s">
        <v>39985</v>
      </c>
      <c r="B53" s="541"/>
      <c r="C53" s="541"/>
      <c r="D53" s="335"/>
      <c r="E53" s="335"/>
      <c r="F53" s="335"/>
      <c r="G53" s="335"/>
      <c r="H53" s="335"/>
      <c r="I53" s="335"/>
      <c r="J53" s="335"/>
      <c r="K53" s="335"/>
      <c r="L53" s="332"/>
      <c r="M53" s="335">
        <f>18.3</f>
        <v>18.3</v>
      </c>
      <c r="N53" s="335" t="s">
        <v>39794</v>
      </c>
      <c r="O53" s="335">
        <f t="shared" si="0"/>
        <v>18.3</v>
      </c>
    </row>
    <row r="54" spans="1:15" s="328" customFormat="1" x14ac:dyDescent="0.2">
      <c r="A54" s="535"/>
      <c r="B54" s="535"/>
      <c r="C54" s="535"/>
      <c r="D54" s="535"/>
      <c r="E54" s="535"/>
      <c r="F54" s="535"/>
      <c r="G54" s="535"/>
      <c r="H54" s="535"/>
      <c r="I54" s="535"/>
      <c r="J54" s="535"/>
      <c r="K54" s="535"/>
      <c r="L54" s="334" t="s">
        <v>39796</v>
      </c>
      <c r="M54" s="334" t="s">
        <v>39168</v>
      </c>
      <c r="N54" s="333" t="s">
        <v>39794</v>
      </c>
      <c r="O54" s="334">
        <f>SUM(O49:O53)</f>
        <v>170.20000000000002</v>
      </c>
    </row>
    <row r="55" spans="1:15" s="328" customFormat="1" x14ac:dyDescent="0.2">
      <c r="A55" s="329" t="s">
        <v>39791</v>
      </c>
      <c r="B55" s="542" t="s">
        <v>5917</v>
      </c>
      <c r="C55" s="542"/>
      <c r="D55" s="542"/>
      <c r="E55" s="542"/>
      <c r="F55" s="542"/>
      <c r="G55" s="542"/>
      <c r="H55" s="542"/>
      <c r="I55" s="542"/>
      <c r="J55" s="542"/>
      <c r="K55" s="542"/>
      <c r="L55" s="542"/>
      <c r="M55" s="542"/>
      <c r="N55" s="329" t="s">
        <v>39197</v>
      </c>
      <c r="O55" s="330" t="s">
        <v>39792</v>
      </c>
    </row>
    <row r="56" spans="1:15" s="328" customFormat="1" ht="12.75" customHeight="1" x14ac:dyDescent="0.2">
      <c r="A56" s="331" t="str">
        <f>ORCAMENTO!A29</f>
        <v>2.4</v>
      </c>
      <c r="B56" s="543" t="str">
        <f>VLOOKUP(A56,ORCAMENTO!A:I,4,0)</f>
        <v>LOCAÇÃO DE CONTÊINER BANHEIRO COM 02 VASOS SANITÁRIOS, 01 LAVATÓRIO E 04 CHUVEIROS - 6,00 X 2,35M</v>
      </c>
      <c r="C56" s="543"/>
      <c r="D56" s="543"/>
      <c r="E56" s="543"/>
      <c r="F56" s="543"/>
      <c r="G56" s="543"/>
      <c r="H56" s="543"/>
      <c r="I56" s="543"/>
      <c r="J56" s="543"/>
      <c r="K56" s="543"/>
      <c r="L56" s="543"/>
      <c r="M56" s="543"/>
      <c r="N56" s="331" t="str">
        <f>VLOOKUP(A56,ORCAMENTO!A:I,5,0)</f>
        <v>MÊS</v>
      </c>
      <c r="O56" s="332">
        <f>O60</f>
        <v>6</v>
      </c>
    </row>
    <row r="57" spans="1:15" s="328" customFormat="1" x14ac:dyDescent="0.2">
      <c r="A57" s="539" t="s">
        <v>39793</v>
      </c>
      <c r="B57" s="539"/>
      <c r="C57" s="539"/>
      <c r="D57" s="539"/>
      <c r="E57" s="539"/>
      <c r="F57" s="539"/>
      <c r="G57" s="539"/>
      <c r="H57" s="539"/>
      <c r="I57" s="539"/>
      <c r="J57" s="539"/>
      <c r="K57" s="539"/>
      <c r="L57" s="539"/>
      <c r="M57" s="539"/>
      <c r="N57" s="539"/>
      <c r="O57" s="539"/>
    </row>
    <row r="58" spans="1:15" s="328" customFormat="1" x14ac:dyDescent="0.2">
      <c r="A58" s="539" t="s">
        <v>5917</v>
      </c>
      <c r="B58" s="539"/>
      <c r="C58" s="539"/>
      <c r="D58" s="333"/>
      <c r="E58" s="333"/>
      <c r="F58" s="333"/>
      <c r="G58" s="334"/>
      <c r="H58" s="333"/>
      <c r="I58" s="332"/>
      <c r="J58" s="331"/>
      <c r="K58" s="334"/>
      <c r="L58" s="333"/>
      <c r="M58" s="334" t="s">
        <v>39797</v>
      </c>
      <c r="N58" s="333" t="s">
        <v>39794</v>
      </c>
      <c r="O58" s="334" t="s">
        <v>39795</v>
      </c>
    </row>
    <row r="59" spans="1:15" s="328" customFormat="1" x14ac:dyDescent="0.2">
      <c r="A59" s="541" t="s">
        <v>39798</v>
      </c>
      <c r="B59" s="541"/>
      <c r="C59" s="541"/>
      <c r="D59" s="333"/>
      <c r="E59" s="333"/>
      <c r="F59" s="333"/>
      <c r="G59" s="334"/>
      <c r="H59" s="333"/>
      <c r="I59" s="332"/>
      <c r="J59" s="331"/>
      <c r="K59" s="332"/>
      <c r="L59" s="332"/>
      <c r="M59" s="335">
        <f>6</f>
        <v>6</v>
      </c>
      <c r="N59" s="335" t="s">
        <v>39794</v>
      </c>
      <c r="O59" s="335">
        <f>ROUND(M59,2)</f>
        <v>6</v>
      </c>
    </row>
    <row r="60" spans="1:15" s="328" customFormat="1" x14ac:dyDescent="0.2">
      <c r="A60" s="540"/>
      <c r="B60" s="540"/>
      <c r="C60" s="540"/>
      <c r="D60" s="540"/>
      <c r="E60" s="540"/>
      <c r="F60" s="540"/>
      <c r="G60" s="540"/>
      <c r="H60" s="540"/>
      <c r="I60" s="540"/>
      <c r="J60" s="540"/>
      <c r="K60" s="540"/>
      <c r="L60" s="334" t="s">
        <v>39796</v>
      </c>
      <c r="M60" s="334" t="s">
        <v>39168</v>
      </c>
      <c r="N60" s="333" t="s">
        <v>39794</v>
      </c>
      <c r="O60" s="334">
        <f>SUM(O58:O59)</f>
        <v>6</v>
      </c>
    </row>
    <row r="61" spans="1:15" s="328" customFormat="1" x14ac:dyDescent="0.2">
      <c r="A61" s="329" t="s">
        <v>39791</v>
      </c>
      <c r="B61" s="542" t="s">
        <v>5917</v>
      </c>
      <c r="C61" s="542"/>
      <c r="D61" s="542"/>
      <c r="E61" s="542"/>
      <c r="F61" s="542"/>
      <c r="G61" s="542"/>
      <c r="H61" s="542"/>
      <c r="I61" s="542"/>
      <c r="J61" s="542"/>
      <c r="K61" s="542"/>
      <c r="L61" s="542"/>
      <c r="M61" s="542"/>
      <c r="N61" s="329" t="s">
        <v>39197</v>
      </c>
      <c r="O61" s="330" t="s">
        <v>39792</v>
      </c>
    </row>
    <row r="62" spans="1:15" s="328" customFormat="1" ht="12.75" customHeight="1" x14ac:dyDescent="0.2">
      <c r="A62" s="331" t="str">
        <f>ORCAMENTO!A30</f>
        <v>2.5</v>
      </c>
      <c r="B62" s="543" t="str">
        <f>VLOOKUP(A62,ORCAMENTO!A:I,4,0)</f>
        <v>TAPUME COM COMPENSADO DE MADEIRA. AF_03/2024</v>
      </c>
      <c r="C62" s="543"/>
      <c r="D62" s="543"/>
      <c r="E62" s="543"/>
      <c r="F62" s="543"/>
      <c r="G62" s="543"/>
      <c r="H62" s="543"/>
      <c r="I62" s="543"/>
      <c r="J62" s="543"/>
      <c r="K62" s="543"/>
      <c r="L62" s="543"/>
      <c r="M62" s="543"/>
      <c r="N62" s="331" t="str">
        <f>VLOOKUP(A62,ORCAMENTO!A:I,5,0)</f>
        <v>M2</v>
      </c>
      <c r="O62" s="332">
        <f>O69</f>
        <v>340.40000000000003</v>
      </c>
    </row>
    <row r="63" spans="1:15" s="328" customFormat="1" x14ac:dyDescent="0.2">
      <c r="A63" s="539" t="s">
        <v>39793</v>
      </c>
      <c r="B63" s="539"/>
      <c r="C63" s="539"/>
      <c r="D63" s="539"/>
      <c r="E63" s="539"/>
      <c r="F63" s="539"/>
      <c r="G63" s="539"/>
      <c r="H63" s="539"/>
      <c r="I63" s="539"/>
      <c r="J63" s="539"/>
      <c r="K63" s="539"/>
      <c r="L63" s="539"/>
      <c r="M63" s="539"/>
      <c r="N63" s="539"/>
      <c r="O63" s="539"/>
    </row>
    <row r="64" spans="1:15" s="328" customFormat="1" x14ac:dyDescent="0.2">
      <c r="A64" s="539" t="s">
        <v>5917</v>
      </c>
      <c r="B64" s="539"/>
      <c r="C64" s="539"/>
      <c r="D64" s="333"/>
      <c r="E64" s="333"/>
      <c r="F64" s="333"/>
      <c r="G64" s="334"/>
      <c r="H64" s="333"/>
      <c r="I64" s="332"/>
      <c r="J64" s="331"/>
      <c r="K64" s="334" t="s">
        <v>39823</v>
      </c>
      <c r="L64" s="333" t="s">
        <v>39805</v>
      </c>
      <c r="M64" s="334" t="s">
        <v>39802</v>
      </c>
      <c r="N64" s="333" t="s">
        <v>39794</v>
      </c>
      <c r="O64" s="334" t="s">
        <v>39795</v>
      </c>
    </row>
    <row r="65" spans="1:15" s="328" customFormat="1" x14ac:dyDescent="0.2">
      <c r="A65" s="541" t="s">
        <v>39982</v>
      </c>
      <c r="B65" s="541"/>
      <c r="C65" s="541"/>
      <c r="D65" s="332"/>
      <c r="E65" s="332"/>
      <c r="F65" s="332"/>
      <c r="G65" s="332"/>
      <c r="H65" s="332"/>
      <c r="I65" s="332"/>
      <c r="J65" s="332"/>
      <c r="K65" s="332">
        <f>2</f>
        <v>2</v>
      </c>
      <c r="L65" s="332" t="s">
        <v>39805</v>
      </c>
      <c r="M65" s="335">
        <f>66.8</f>
        <v>66.8</v>
      </c>
      <c r="N65" s="335" t="s">
        <v>39794</v>
      </c>
      <c r="O65" s="335">
        <f>ROUND(K65*M65,2)</f>
        <v>133.6</v>
      </c>
    </row>
    <row r="66" spans="1:15" s="328" customFormat="1" x14ac:dyDescent="0.2">
      <c r="A66" s="541" t="s">
        <v>39983</v>
      </c>
      <c r="B66" s="541"/>
      <c r="C66" s="541"/>
      <c r="D66" s="332"/>
      <c r="E66" s="332"/>
      <c r="F66" s="332"/>
      <c r="G66" s="332"/>
      <c r="H66" s="332"/>
      <c r="I66" s="332"/>
      <c r="J66" s="332"/>
      <c r="K66" s="332">
        <f>2</f>
        <v>2</v>
      </c>
      <c r="L66" s="332" t="s">
        <v>39805</v>
      </c>
      <c r="M66" s="335">
        <f>66.8</f>
        <v>66.8</v>
      </c>
      <c r="N66" s="335" t="s">
        <v>39794</v>
      </c>
      <c r="O66" s="335">
        <f t="shared" ref="O66:O68" si="1">ROUND(K66*M66,2)</f>
        <v>133.6</v>
      </c>
    </row>
    <row r="67" spans="1:15" s="328" customFormat="1" x14ac:dyDescent="0.2">
      <c r="A67" s="541" t="s">
        <v>39984</v>
      </c>
      <c r="B67" s="541"/>
      <c r="C67" s="541"/>
      <c r="D67" s="332"/>
      <c r="E67" s="332"/>
      <c r="F67" s="332"/>
      <c r="G67" s="332"/>
      <c r="H67" s="332"/>
      <c r="I67" s="332"/>
      <c r="J67" s="332"/>
      <c r="K67" s="332">
        <f>2</f>
        <v>2</v>
      </c>
      <c r="L67" s="332" t="s">
        <v>39805</v>
      </c>
      <c r="M67" s="335">
        <f>18.3</f>
        <v>18.3</v>
      </c>
      <c r="N67" s="335" t="s">
        <v>39794</v>
      </c>
      <c r="O67" s="335">
        <f t="shared" si="1"/>
        <v>36.6</v>
      </c>
    </row>
    <row r="68" spans="1:15" s="328" customFormat="1" x14ac:dyDescent="0.2">
      <c r="A68" s="541" t="s">
        <v>39985</v>
      </c>
      <c r="B68" s="541"/>
      <c r="C68" s="541"/>
      <c r="D68" s="332"/>
      <c r="E68" s="332"/>
      <c r="F68" s="332"/>
      <c r="G68" s="332"/>
      <c r="H68" s="332"/>
      <c r="I68" s="332"/>
      <c r="J68" s="332"/>
      <c r="K68" s="332">
        <f>2</f>
        <v>2</v>
      </c>
      <c r="L68" s="332" t="s">
        <v>39805</v>
      </c>
      <c r="M68" s="335">
        <f>18.3</f>
        <v>18.3</v>
      </c>
      <c r="N68" s="335" t="s">
        <v>39794</v>
      </c>
      <c r="O68" s="335">
        <f t="shared" si="1"/>
        <v>36.6</v>
      </c>
    </row>
    <row r="69" spans="1:15" s="328" customFormat="1" x14ac:dyDescent="0.2">
      <c r="A69" s="540"/>
      <c r="B69" s="540"/>
      <c r="C69" s="540"/>
      <c r="D69" s="540"/>
      <c r="E69" s="540"/>
      <c r="F69" s="540"/>
      <c r="G69" s="540"/>
      <c r="H69" s="540"/>
      <c r="I69" s="540"/>
      <c r="J69" s="540"/>
      <c r="K69" s="540"/>
      <c r="L69" s="334" t="s">
        <v>39796</v>
      </c>
      <c r="M69" s="334" t="s">
        <v>39168</v>
      </c>
      <c r="N69" s="333" t="s">
        <v>39794</v>
      </c>
      <c r="O69" s="334">
        <f>SUM(O64:O68)</f>
        <v>340.40000000000003</v>
      </c>
    </row>
    <row r="70" spans="1:15" s="328" customFormat="1" x14ac:dyDescent="0.2">
      <c r="A70" s="329" t="s">
        <v>39791</v>
      </c>
      <c r="B70" s="542" t="s">
        <v>5917</v>
      </c>
      <c r="C70" s="542"/>
      <c r="D70" s="542"/>
      <c r="E70" s="542"/>
      <c r="F70" s="542"/>
      <c r="G70" s="542"/>
      <c r="H70" s="542"/>
      <c r="I70" s="542"/>
      <c r="J70" s="542"/>
      <c r="K70" s="542"/>
      <c r="L70" s="542"/>
      <c r="M70" s="542"/>
      <c r="N70" s="329" t="s">
        <v>39197</v>
      </c>
      <c r="O70" s="330" t="s">
        <v>39792</v>
      </c>
    </row>
    <row r="71" spans="1:15" s="328" customFormat="1" x14ac:dyDescent="0.2">
      <c r="A71" s="331" t="str">
        <f>ORCAMENTO!A31</f>
        <v>2.6</v>
      </c>
      <c r="B71" s="543" t="str">
        <f>VLOOKUP(A71,ORCAMENTO!A:I,4,0)</f>
        <v>MOBILIZAÇÃO DE EQUIPAMENTOS EM CAVALO MECÂNICO C/ PRANCHA DE 3 EIXOS</v>
      </c>
      <c r="C71" s="543"/>
      <c r="D71" s="543"/>
      <c r="E71" s="543"/>
      <c r="F71" s="543"/>
      <c r="G71" s="543"/>
      <c r="H71" s="543"/>
      <c r="I71" s="543"/>
      <c r="J71" s="543"/>
      <c r="K71" s="543"/>
      <c r="L71" s="543"/>
      <c r="M71" s="543"/>
      <c r="N71" s="331" t="str">
        <f>VLOOKUP(A71,ORCAMENTO!A:I,5,0)</f>
        <v>KM</v>
      </c>
      <c r="O71" s="332">
        <f>O79</f>
        <v>670</v>
      </c>
    </row>
    <row r="72" spans="1:15" s="328" customFormat="1" x14ac:dyDescent="0.2">
      <c r="A72" s="539" t="s">
        <v>39793</v>
      </c>
      <c r="B72" s="539"/>
      <c r="C72" s="539"/>
      <c r="D72" s="539"/>
      <c r="E72" s="539"/>
      <c r="F72" s="539"/>
      <c r="G72" s="539"/>
      <c r="H72" s="539"/>
      <c r="I72" s="539"/>
      <c r="J72" s="539"/>
      <c r="K72" s="539"/>
      <c r="L72" s="539"/>
      <c r="M72" s="539"/>
      <c r="N72" s="539"/>
      <c r="O72" s="539"/>
    </row>
    <row r="73" spans="1:15" s="328" customFormat="1" x14ac:dyDescent="0.2">
      <c r="A73" s="539" t="s">
        <v>5917</v>
      </c>
      <c r="B73" s="539"/>
      <c r="C73" s="539"/>
      <c r="D73" s="333"/>
      <c r="E73" s="333"/>
      <c r="F73" s="333"/>
      <c r="G73" s="334"/>
      <c r="H73" s="333"/>
      <c r="I73" s="332"/>
      <c r="J73" s="331"/>
      <c r="K73" s="334"/>
      <c r="L73" s="333"/>
      <c r="M73" s="334" t="s">
        <v>40572</v>
      </c>
      <c r="N73" s="333" t="s">
        <v>39794</v>
      </c>
      <c r="O73" s="334" t="s">
        <v>39795</v>
      </c>
    </row>
    <row r="74" spans="1:15" s="328" customFormat="1" x14ac:dyDescent="0.2">
      <c r="A74" s="541" t="s">
        <v>40578</v>
      </c>
      <c r="B74" s="541"/>
      <c r="C74" s="541"/>
      <c r="D74" s="332"/>
      <c r="E74" s="332"/>
      <c r="F74" s="332"/>
      <c r="G74" s="332"/>
      <c r="H74" s="332"/>
      <c r="I74" s="332"/>
      <c r="J74" s="332"/>
      <c r="K74" s="332"/>
      <c r="L74" s="332"/>
      <c r="M74" s="335">
        <f>134</f>
        <v>134</v>
      </c>
      <c r="N74" s="335" t="s">
        <v>39794</v>
      </c>
      <c r="O74" s="335">
        <f>ROUND(M74,2)</f>
        <v>134</v>
      </c>
    </row>
    <row r="75" spans="1:15" s="328" customFormat="1" x14ac:dyDescent="0.2">
      <c r="A75" s="541" t="s">
        <v>40581</v>
      </c>
      <c r="B75" s="541"/>
      <c r="C75" s="541"/>
      <c r="D75" s="332"/>
      <c r="E75" s="332"/>
      <c r="F75" s="332"/>
      <c r="G75" s="332"/>
      <c r="H75" s="332"/>
      <c r="I75" s="332"/>
      <c r="J75" s="332"/>
      <c r="K75" s="332"/>
      <c r="L75" s="332"/>
      <c r="M75" s="335">
        <f>134</f>
        <v>134</v>
      </c>
      <c r="N75" s="335" t="s">
        <v>39794</v>
      </c>
      <c r="O75" s="335">
        <f t="shared" ref="O75:O78" si="2">ROUND(M75,2)</f>
        <v>134</v>
      </c>
    </row>
    <row r="76" spans="1:15" s="328" customFormat="1" x14ac:dyDescent="0.2">
      <c r="A76" s="576" t="s">
        <v>40580</v>
      </c>
      <c r="B76" s="577"/>
      <c r="C76" s="578"/>
      <c r="D76" s="332"/>
      <c r="E76" s="332"/>
      <c r="F76" s="332"/>
      <c r="G76" s="332"/>
      <c r="H76" s="332"/>
      <c r="I76" s="332"/>
      <c r="J76" s="332"/>
      <c r="K76" s="332"/>
      <c r="L76" s="332"/>
      <c r="M76" s="335">
        <f>134</f>
        <v>134</v>
      </c>
      <c r="N76" s="335" t="s">
        <v>39794</v>
      </c>
      <c r="O76" s="335">
        <f t="shared" si="2"/>
        <v>134</v>
      </c>
    </row>
    <row r="77" spans="1:15" s="328" customFormat="1" x14ac:dyDescent="0.2">
      <c r="A77" s="541" t="s">
        <v>15947</v>
      </c>
      <c r="B77" s="541"/>
      <c r="C77" s="541"/>
      <c r="D77" s="332"/>
      <c r="E77" s="332"/>
      <c r="F77" s="332"/>
      <c r="G77" s="332"/>
      <c r="H77" s="332"/>
      <c r="I77" s="332"/>
      <c r="J77" s="332"/>
      <c r="K77" s="332"/>
      <c r="L77" s="332"/>
      <c r="M77" s="335">
        <f>134</f>
        <v>134</v>
      </c>
      <c r="N77" s="335" t="s">
        <v>39794</v>
      </c>
      <c r="O77" s="335">
        <f t="shared" si="2"/>
        <v>134</v>
      </c>
    </row>
    <row r="78" spans="1:15" s="328" customFormat="1" x14ac:dyDescent="0.2">
      <c r="A78" s="541" t="s">
        <v>40579</v>
      </c>
      <c r="B78" s="541"/>
      <c r="C78" s="541"/>
      <c r="D78" s="332"/>
      <c r="E78" s="332"/>
      <c r="F78" s="332"/>
      <c r="G78" s="332"/>
      <c r="H78" s="332"/>
      <c r="I78" s="332"/>
      <c r="J78" s="332"/>
      <c r="K78" s="332"/>
      <c r="L78" s="332"/>
      <c r="M78" s="335">
        <f>134</f>
        <v>134</v>
      </c>
      <c r="N78" s="335" t="s">
        <v>39794</v>
      </c>
      <c r="O78" s="335">
        <f t="shared" si="2"/>
        <v>134</v>
      </c>
    </row>
    <row r="79" spans="1:15" s="328" customFormat="1" x14ac:dyDescent="0.2">
      <c r="A79" s="540"/>
      <c r="B79" s="540"/>
      <c r="C79" s="540"/>
      <c r="D79" s="540"/>
      <c r="E79" s="540"/>
      <c r="F79" s="540"/>
      <c r="G79" s="540"/>
      <c r="H79" s="540"/>
      <c r="I79" s="540"/>
      <c r="J79" s="540"/>
      <c r="K79" s="540"/>
      <c r="L79" s="334" t="s">
        <v>39796</v>
      </c>
      <c r="M79" s="334" t="s">
        <v>39168</v>
      </c>
      <c r="N79" s="333" t="s">
        <v>39794</v>
      </c>
      <c r="O79" s="334">
        <f>SUM(O73:O78)</f>
        <v>670</v>
      </c>
    </row>
    <row r="80" spans="1:15" s="328" customFormat="1" x14ac:dyDescent="0.2">
      <c r="A80" s="336">
        <f>ORCAMENTO!A33</f>
        <v>3</v>
      </c>
      <c r="B80" s="545" t="str">
        <f>VLOOKUP(A80,ORCAMENTO!A:I,4,0)</f>
        <v>MOVIMENTAÇÃO DE TERRA</v>
      </c>
      <c r="C80" s="545"/>
      <c r="D80" s="545"/>
      <c r="E80" s="545"/>
      <c r="F80" s="545"/>
      <c r="G80" s="545"/>
      <c r="H80" s="545"/>
      <c r="I80" s="545"/>
      <c r="J80" s="545"/>
      <c r="K80" s="545"/>
      <c r="L80" s="545"/>
      <c r="M80" s="545"/>
      <c r="N80" s="545"/>
      <c r="O80" s="545"/>
    </row>
    <row r="81" spans="1:15" s="328" customFormat="1" x14ac:dyDescent="0.2">
      <c r="A81" s="329" t="s">
        <v>39791</v>
      </c>
      <c r="B81" s="542" t="s">
        <v>5917</v>
      </c>
      <c r="C81" s="542"/>
      <c r="D81" s="542"/>
      <c r="E81" s="542"/>
      <c r="F81" s="542"/>
      <c r="G81" s="542"/>
      <c r="H81" s="542"/>
      <c r="I81" s="542"/>
      <c r="J81" s="542"/>
      <c r="K81" s="542"/>
      <c r="L81" s="542"/>
      <c r="M81" s="542"/>
      <c r="N81" s="329" t="s">
        <v>39197</v>
      </c>
      <c r="O81" s="330" t="s">
        <v>39792</v>
      </c>
    </row>
    <row r="82" spans="1:15" s="328" customFormat="1" ht="12.75" customHeight="1" x14ac:dyDescent="0.2">
      <c r="A82" s="331" t="str">
        <f>ORCAMENTO!A34</f>
        <v>3.1</v>
      </c>
      <c r="B82" s="543" t="str">
        <f>VLOOKUP(A82,ORCAMENTO!A:I,4,0)</f>
        <v>CORTE E ATERRO COMPENSADO S/CONTROLE DO GRAU DE COMPACTAÇÃO</v>
      </c>
      <c r="C82" s="543"/>
      <c r="D82" s="543"/>
      <c r="E82" s="543"/>
      <c r="F82" s="543"/>
      <c r="G82" s="543"/>
      <c r="H82" s="543"/>
      <c r="I82" s="543"/>
      <c r="J82" s="543"/>
      <c r="K82" s="543"/>
      <c r="L82" s="543"/>
      <c r="M82" s="543"/>
      <c r="N82" s="331" t="str">
        <f>VLOOKUP(A82,ORCAMENTO!A:I,5,0)</f>
        <v>M3</v>
      </c>
      <c r="O82" s="332">
        <f>O86</f>
        <v>448.09</v>
      </c>
    </row>
    <row r="83" spans="1:15" s="328" customFormat="1" x14ac:dyDescent="0.2">
      <c r="A83" s="539" t="s">
        <v>39793</v>
      </c>
      <c r="B83" s="539"/>
      <c r="C83" s="539"/>
      <c r="D83" s="539"/>
      <c r="E83" s="539"/>
      <c r="F83" s="539"/>
      <c r="G83" s="539"/>
      <c r="H83" s="539"/>
      <c r="I83" s="539"/>
      <c r="J83" s="539"/>
      <c r="K83" s="539"/>
      <c r="L83" s="539"/>
      <c r="M83" s="539"/>
      <c r="N83" s="539"/>
      <c r="O83" s="539"/>
    </row>
    <row r="84" spans="1:15" s="328" customFormat="1" x14ac:dyDescent="0.2">
      <c r="A84" s="539" t="s">
        <v>5917</v>
      </c>
      <c r="B84" s="539"/>
      <c r="C84" s="539"/>
      <c r="D84" s="333"/>
      <c r="E84" s="333"/>
      <c r="F84" s="333"/>
      <c r="G84" s="334"/>
      <c r="H84" s="333"/>
      <c r="I84" s="334"/>
      <c r="J84" s="333"/>
      <c r="K84" s="334"/>
      <c r="L84" s="333"/>
      <c r="M84" s="334" t="s">
        <v>39803</v>
      </c>
      <c r="N84" s="333" t="s">
        <v>39794</v>
      </c>
      <c r="O84" s="334" t="s">
        <v>39795</v>
      </c>
    </row>
    <row r="85" spans="1:15" s="328" customFormat="1" x14ac:dyDescent="0.2">
      <c r="A85" s="541" t="s">
        <v>39801</v>
      </c>
      <c r="B85" s="541"/>
      <c r="C85" s="541"/>
      <c r="D85" s="333"/>
      <c r="E85" s="333"/>
      <c r="F85" s="333"/>
      <c r="G85" s="334"/>
      <c r="H85" s="333"/>
      <c r="I85" s="335"/>
      <c r="J85" s="332"/>
      <c r="K85" s="335"/>
      <c r="L85" s="332"/>
      <c r="M85" s="335">
        <f>448.09</f>
        <v>448.09</v>
      </c>
      <c r="N85" s="335" t="s">
        <v>39794</v>
      </c>
      <c r="O85" s="335">
        <f>ROUND(M85,2)</f>
        <v>448.09</v>
      </c>
    </row>
    <row r="86" spans="1:15" s="328" customFormat="1" x14ac:dyDescent="0.2">
      <c r="A86" s="540"/>
      <c r="B86" s="540"/>
      <c r="C86" s="540"/>
      <c r="D86" s="540"/>
      <c r="E86" s="540"/>
      <c r="F86" s="540"/>
      <c r="G86" s="540"/>
      <c r="H86" s="540"/>
      <c r="I86" s="540"/>
      <c r="J86" s="540"/>
      <c r="K86" s="540"/>
      <c r="L86" s="334" t="s">
        <v>39796</v>
      </c>
      <c r="M86" s="334" t="s">
        <v>39168</v>
      </c>
      <c r="N86" s="333" t="s">
        <v>39794</v>
      </c>
      <c r="O86" s="334">
        <f>SUM(O84:O85)</f>
        <v>448.09</v>
      </c>
    </row>
    <row r="87" spans="1:15" s="328" customFormat="1" x14ac:dyDescent="0.2">
      <c r="A87" s="329" t="s">
        <v>39791</v>
      </c>
      <c r="B87" s="542" t="s">
        <v>5917</v>
      </c>
      <c r="C87" s="542"/>
      <c r="D87" s="542"/>
      <c r="E87" s="542"/>
      <c r="F87" s="542"/>
      <c r="G87" s="542"/>
      <c r="H87" s="542"/>
      <c r="I87" s="542"/>
      <c r="J87" s="542"/>
      <c r="K87" s="542"/>
      <c r="L87" s="542"/>
      <c r="M87" s="542"/>
      <c r="N87" s="329" t="s">
        <v>39197</v>
      </c>
      <c r="O87" s="330" t="s">
        <v>39792</v>
      </c>
    </row>
    <row r="88" spans="1:15" s="328" customFormat="1" ht="12.75" customHeight="1" x14ac:dyDescent="0.2">
      <c r="A88" s="331" t="str">
        <f>ORCAMENTO!A35</f>
        <v>3.2</v>
      </c>
      <c r="B88" s="543" t="str">
        <f>VLOOKUP(A88,ORCAMENTO!A:I,4,0)</f>
        <v>COMPACTAÇÃO DE ATERROS 100% P.N</v>
      </c>
      <c r="C88" s="543"/>
      <c r="D88" s="543"/>
      <c r="E88" s="543"/>
      <c r="F88" s="543"/>
      <c r="G88" s="543"/>
      <c r="H88" s="543"/>
      <c r="I88" s="543"/>
      <c r="J88" s="543"/>
      <c r="K88" s="543"/>
      <c r="L88" s="543"/>
      <c r="M88" s="543"/>
      <c r="N88" s="331" t="str">
        <f>VLOOKUP(A88,ORCAMENTO!A:I,5,0)</f>
        <v>M3</v>
      </c>
      <c r="O88" s="332">
        <f>O92</f>
        <v>368.95</v>
      </c>
    </row>
    <row r="89" spans="1:15" s="328" customFormat="1" x14ac:dyDescent="0.2">
      <c r="A89" s="539" t="s">
        <v>39793</v>
      </c>
      <c r="B89" s="539"/>
      <c r="C89" s="539"/>
      <c r="D89" s="539"/>
      <c r="E89" s="539"/>
      <c r="F89" s="539"/>
      <c r="G89" s="539"/>
      <c r="H89" s="539"/>
      <c r="I89" s="539"/>
      <c r="J89" s="539"/>
      <c r="K89" s="539"/>
      <c r="L89" s="539"/>
      <c r="M89" s="539"/>
      <c r="N89" s="539"/>
      <c r="O89" s="539"/>
    </row>
    <row r="90" spans="1:15" s="328" customFormat="1" x14ac:dyDescent="0.2">
      <c r="A90" s="539" t="s">
        <v>5917</v>
      </c>
      <c r="B90" s="539"/>
      <c r="C90" s="539"/>
      <c r="D90" s="333"/>
      <c r="E90" s="333"/>
      <c r="F90" s="333"/>
      <c r="G90" s="334"/>
      <c r="H90" s="333"/>
      <c r="I90" s="334"/>
      <c r="J90" s="333"/>
      <c r="K90" s="334"/>
      <c r="L90" s="333"/>
      <c r="M90" s="334" t="s">
        <v>39803</v>
      </c>
      <c r="N90" s="333" t="s">
        <v>39794</v>
      </c>
      <c r="O90" s="334" t="s">
        <v>39795</v>
      </c>
    </row>
    <row r="91" spans="1:15" s="328" customFormat="1" x14ac:dyDescent="0.2">
      <c r="A91" s="541" t="s">
        <v>39801</v>
      </c>
      <c r="B91" s="541"/>
      <c r="C91" s="541"/>
      <c r="D91" s="333"/>
      <c r="E91" s="333"/>
      <c r="F91" s="333"/>
      <c r="G91" s="334"/>
      <c r="H91" s="333"/>
      <c r="I91" s="335"/>
      <c r="J91" s="332"/>
      <c r="K91" s="335"/>
      <c r="L91" s="332"/>
      <c r="M91" s="335">
        <f>368.95</f>
        <v>368.95</v>
      </c>
      <c r="N91" s="335" t="s">
        <v>39794</v>
      </c>
      <c r="O91" s="335">
        <f>ROUND(M91,2)</f>
        <v>368.95</v>
      </c>
    </row>
    <row r="92" spans="1:15" s="328" customFormat="1" x14ac:dyDescent="0.2">
      <c r="A92" s="540"/>
      <c r="B92" s="540"/>
      <c r="C92" s="540"/>
      <c r="D92" s="540"/>
      <c r="E92" s="540"/>
      <c r="F92" s="540"/>
      <c r="G92" s="540"/>
      <c r="H92" s="540"/>
      <c r="I92" s="540"/>
      <c r="J92" s="540"/>
      <c r="K92" s="540"/>
      <c r="L92" s="334" t="s">
        <v>39796</v>
      </c>
      <c r="M92" s="334" t="s">
        <v>39168</v>
      </c>
      <c r="N92" s="333" t="s">
        <v>39794</v>
      </c>
      <c r="O92" s="334">
        <f>SUM(O90:O91)</f>
        <v>368.95</v>
      </c>
    </row>
    <row r="93" spans="1:15" s="328" customFormat="1" x14ac:dyDescent="0.2">
      <c r="A93" s="329" t="s">
        <v>39791</v>
      </c>
      <c r="B93" s="542" t="s">
        <v>5917</v>
      </c>
      <c r="C93" s="542"/>
      <c r="D93" s="542"/>
      <c r="E93" s="542"/>
      <c r="F93" s="542"/>
      <c r="G93" s="542"/>
      <c r="H93" s="542"/>
      <c r="I93" s="542"/>
      <c r="J93" s="542"/>
      <c r="K93" s="542"/>
      <c r="L93" s="542"/>
      <c r="M93" s="542"/>
      <c r="N93" s="329" t="s">
        <v>39197</v>
      </c>
      <c r="O93" s="330" t="s">
        <v>39792</v>
      </c>
    </row>
    <row r="94" spans="1:15" s="328" customFormat="1" ht="12.75" customHeight="1" x14ac:dyDescent="0.2">
      <c r="A94" s="331" t="str">
        <f>ORCAMENTO!A36</f>
        <v>3.3</v>
      </c>
      <c r="B94" s="543" t="str">
        <f>VLOOKUP(A94,ORCAMENTO!A:I,4,0)</f>
        <v>ESCAVAÇÃO MANUAL SOLO DE 2A CAT. PROF. ATÉ 1.50m</v>
      </c>
      <c r="C94" s="543"/>
      <c r="D94" s="543"/>
      <c r="E94" s="543"/>
      <c r="F94" s="543"/>
      <c r="G94" s="543"/>
      <c r="H94" s="543"/>
      <c r="I94" s="543"/>
      <c r="J94" s="543"/>
      <c r="K94" s="543"/>
      <c r="L94" s="543"/>
      <c r="M94" s="543"/>
      <c r="N94" s="331" t="str">
        <f>VLOOKUP(A94,ORCAMENTO!A:I,5,0)</f>
        <v>M3</v>
      </c>
      <c r="O94" s="332">
        <f>O125</f>
        <v>121.77</v>
      </c>
    </row>
    <row r="95" spans="1:15" s="328" customFormat="1" x14ac:dyDescent="0.2">
      <c r="A95" s="539" t="s">
        <v>39793</v>
      </c>
      <c r="B95" s="539"/>
      <c r="C95" s="539"/>
      <c r="D95" s="539"/>
      <c r="E95" s="539"/>
      <c r="F95" s="539"/>
      <c r="G95" s="539"/>
      <c r="H95" s="539"/>
      <c r="I95" s="539"/>
      <c r="J95" s="539"/>
      <c r="K95" s="539"/>
      <c r="L95" s="539"/>
      <c r="M95" s="539"/>
      <c r="N95" s="539"/>
      <c r="O95" s="539"/>
    </row>
    <row r="96" spans="1:15" s="328" customFormat="1" x14ac:dyDescent="0.2">
      <c r="A96" s="539" t="s">
        <v>5917</v>
      </c>
      <c r="B96" s="539"/>
      <c r="C96" s="539"/>
      <c r="D96" s="333"/>
      <c r="E96" s="333"/>
      <c r="F96" s="333"/>
      <c r="G96" s="333" t="s">
        <v>39792</v>
      </c>
      <c r="H96" s="333" t="s">
        <v>39805</v>
      </c>
      <c r="I96" s="333" t="s">
        <v>39823</v>
      </c>
      <c r="J96" s="333" t="s">
        <v>39805</v>
      </c>
      <c r="K96" s="333" t="s">
        <v>39804</v>
      </c>
      <c r="L96" s="333" t="s">
        <v>39805</v>
      </c>
      <c r="M96" s="333" t="s">
        <v>39802</v>
      </c>
      <c r="N96" s="333" t="s">
        <v>39794</v>
      </c>
      <c r="O96" s="333" t="s">
        <v>39795</v>
      </c>
    </row>
    <row r="97" spans="1:15" s="328" customFormat="1" ht="30" customHeight="1" x14ac:dyDescent="0.2">
      <c r="A97" s="554" t="s">
        <v>40380</v>
      </c>
      <c r="B97" s="554"/>
      <c r="C97" s="554"/>
      <c r="D97" s="332"/>
      <c r="E97" s="332"/>
      <c r="F97" s="332"/>
      <c r="G97" s="332">
        <v>18</v>
      </c>
      <c r="H97" s="332" t="s">
        <v>39805</v>
      </c>
      <c r="I97" s="332">
        <f t="shared" ref="I97:I118" si="3">1.55</f>
        <v>1.55</v>
      </c>
      <c r="J97" s="332" t="s">
        <v>39805</v>
      </c>
      <c r="K97" s="332">
        <f>0.9</f>
        <v>0.9</v>
      </c>
      <c r="L97" s="332" t="s">
        <v>39805</v>
      </c>
      <c r="M97" s="332">
        <f>0.9</f>
        <v>0.9</v>
      </c>
      <c r="N97" s="335" t="s">
        <v>39794</v>
      </c>
      <c r="O97" s="332">
        <f>ROUND(G97*I97*K97*M97,2)</f>
        <v>22.6</v>
      </c>
    </row>
    <row r="98" spans="1:15" s="328" customFormat="1" x14ac:dyDescent="0.2">
      <c r="A98" s="541" t="s">
        <v>40381</v>
      </c>
      <c r="B98" s="541"/>
      <c r="C98" s="541"/>
      <c r="D98" s="332"/>
      <c r="E98" s="332"/>
      <c r="F98" s="332"/>
      <c r="G98" s="332">
        <f>4</f>
        <v>4</v>
      </c>
      <c r="H98" s="332" t="s">
        <v>39805</v>
      </c>
      <c r="I98" s="332">
        <f t="shared" si="3"/>
        <v>1.55</v>
      </c>
      <c r="J98" s="332" t="s">
        <v>39805</v>
      </c>
      <c r="K98" s="332">
        <f>0.75</f>
        <v>0.75</v>
      </c>
      <c r="L98" s="332" t="s">
        <v>39805</v>
      </c>
      <c r="M98" s="332">
        <f>0.7</f>
        <v>0.7</v>
      </c>
      <c r="N98" s="335" t="s">
        <v>39794</v>
      </c>
      <c r="O98" s="332">
        <f t="shared" ref="O98:O118" si="4">ROUND(G98*I98*K98*M98,2)</f>
        <v>3.26</v>
      </c>
    </row>
    <row r="99" spans="1:15" s="328" customFormat="1" x14ac:dyDescent="0.2">
      <c r="A99" s="541" t="s">
        <v>40382</v>
      </c>
      <c r="B99" s="541"/>
      <c r="C99" s="541"/>
      <c r="D99" s="332"/>
      <c r="E99" s="332"/>
      <c r="F99" s="332"/>
      <c r="G99" s="332">
        <f>2</f>
        <v>2</v>
      </c>
      <c r="H99" s="332" t="s">
        <v>39805</v>
      </c>
      <c r="I99" s="332">
        <f t="shared" si="3"/>
        <v>1.55</v>
      </c>
      <c r="J99" s="332" t="s">
        <v>39805</v>
      </c>
      <c r="K99" s="332">
        <f>0.75</f>
        <v>0.75</v>
      </c>
      <c r="L99" s="332" t="s">
        <v>39805</v>
      </c>
      <c r="M99" s="332">
        <f>0.8</f>
        <v>0.8</v>
      </c>
      <c r="N99" s="335" t="s">
        <v>39794</v>
      </c>
      <c r="O99" s="332">
        <f t="shared" si="4"/>
        <v>1.86</v>
      </c>
    </row>
    <row r="100" spans="1:15" s="328" customFormat="1" x14ac:dyDescent="0.2">
      <c r="A100" s="541" t="s">
        <v>40383</v>
      </c>
      <c r="B100" s="541"/>
      <c r="C100" s="541"/>
      <c r="D100" s="332"/>
      <c r="E100" s="332"/>
      <c r="F100" s="332"/>
      <c r="G100" s="332">
        <v>3</v>
      </c>
      <c r="H100" s="332" t="s">
        <v>39805</v>
      </c>
      <c r="I100" s="332">
        <f t="shared" si="3"/>
        <v>1.55</v>
      </c>
      <c r="J100" s="332" t="s">
        <v>39805</v>
      </c>
      <c r="K100" s="332">
        <f>0.8</f>
        <v>0.8</v>
      </c>
      <c r="L100" s="332" t="s">
        <v>39805</v>
      </c>
      <c r="M100" s="332">
        <f>0.85</f>
        <v>0.85</v>
      </c>
      <c r="N100" s="335" t="s">
        <v>39794</v>
      </c>
      <c r="O100" s="332">
        <f t="shared" si="4"/>
        <v>3.16</v>
      </c>
    </row>
    <row r="101" spans="1:15" s="328" customFormat="1" x14ac:dyDescent="0.2">
      <c r="A101" s="541" t="s">
        <v>40384</v>
      </c>
      <c r="B101" s="541"/>
      <c r="C101" s="541"/>
      <c r="D101" s="332"/>
      <c r="E101" s="332"/>
      <c r="F101" s="332"/>
      <c r="G101" s="332">
        <f>2</f>
        <v>2</v>
      </c>
      <c r="H101" s="332" t="s">
        <v>39805</v>
      </c>
      <c r="I101" s="332">
        <f t="shared" si="3"/>
        <v>1.55</v>
      </c>
      <c r="J101" s="332" t="s">
        <v>39805</v>
      </c>
      <c r="K101" s="332">
        <f>0.7</f>
        <v>0.7</v>
      </c>
      <c r="L101" s="332" t="s">
        <v>39805</v>
      </c>
      <c r="M101" s="332">
        <f>0.7</f>
        <v>0.7</v>
      </c>
      <c r="N101" s="335" t="s">
        <v>39794</v>
      </c>
      <c r="O101" s="332">
        <f t="shared" si="4"/>
        <v>1.52</v>
      </c>
    </row>
    <row r="102" spans="1:15" s="328" customFormat="1" x14ac:dyDescent="0.2">
      <c r="A102" s="541" t="s">
        <v>40385</v>
      </c>
      <c r="B102" s="541"/>
      <c r="C102" s="541"/>
      <c r="D102" s="332"/>
      <c r="E102" s="332"/>
      <c r="F102" s="332"/>
      <c r="G102" s="332">
        <f>2</f>
        <v>2</v>
      </c>
      <c r="H102" s="332" t="s">
        <v>39805</v>
      </c>
      <c r="I102" s="332">
        <f t="shared" si="3"/>
        <v>1.55</v>
      </c>
      <c r="J102" s="332" t="s">
        <v>39805</v>
      </c>
      <c r="K102" s="332">
        <f>1.2</f>
        <v>1.2</v>
      </c>
      <c r="L102" s="332" t="s">
        <v>39805</v>
      </c>
      <c r="M102" s="332">
        <f>2</f>
        <v>2</v>
      </c>
      <c r="N102" s="335" t="s">
        <v>39794</v>
      </c>
      <c r="O102" s="332">
        <f t="shared" si="4"/>
        <v>7.44</v>
      </c>
    </row>
    <row r="103" spans="1:15" s="328" customFormat="1" x14ac:dyDescent="0.2">
      <c r="A103" s="541" t="s">
        <v>40386</v>
      </c>
      <c r="B103" s="541"/>
      <c r="C103" s="541"/>
      <c r="D103" s="332"/>
      <c r="E103" s="332"/>
      <c r="F103" s="332"/>
      <c r="G103" s="332">
        <f>1</f>
        <v>1</v>
      </c>
      <c r="H103" s="332" t="s">
        <v>39805</v>
      </c>
      <c r="I103" s="332">
        <f t="shared" si="3"/>
        <v>1.55</v>
      </c>
      <c r="J103" s="332" t="s">
        <v>39805</v>
      </c>
      <c r="K103" s="332">
        <f>1.75</f>
        <v>1.75</v>
      </c>
      <c r="L103" s="332" t="s">
        <v>39805</v>
      </c>
      <c r="M103" s="332">
        <f>2.45</f>
        <v>2.4500000000000002</v>
      </c>
      <c r="N103" s="335" t="s">
        <v>39794</v>
      </c>
      <c r="O103" s="332">
        <f t="shared" si="4"/>
        <v>6.65</v>
      </c>
    </row>
    <row r="104" spans="1:15" s="328" customFormat="1" x14ac:dyDescent="0.2">
      <c r="A104" s="541" t="s">
        <v>40387</v>
      </c>
      <c r="B104" s="541"/>
      <c r="C104" s="541"/>
      <c r="D104" s="332"/>
      <c r="E104" s="332"/>
      <c r="F104" s="332"/>
      <c r="G104" s="332">
        <f>1</f>
        <v>1</v>
      </c>
      <c r="H104" s="332" t="s">
        <v>39805</v>
      </c>
      <c r="I104" s="332">
        <f t="shared" si="3"/>
        <v>1.55</v>
      </c>
      <c r="J104" s="332" t="s">
        <v>39805</v>
      </c>
      <c r="K104" s="332">
        <f>1.8</f>
        <v>1.8</v>
      </c>
      <c r="L104" s="332" t="s">
        <v>39805</v>
      </c>
      <c r="M104" s="332">
        <f>2.5</f>
        <v>2.5</v>
      </c>
      <c r="N104" s="335" t="s">
        <v>39794</v>
      </c>
      <c r="O104" s="332">
        <f t="shared" si="4"/>
        <v>6.98</v>
      </c>
    </row>
    <row r="105" spans="1:15" s="328" customFormat="1" x14ac:dyDescent="0.2">
      <c r="A105" s="541" t="s">
        <v>40388</v>
      </c>
      <c r="B105" s="541"/>
      <c r="C105" s="541"/>
      <c r="D105" s="332"/>
      <c r="E105" s="332"/>
      <c r="F105" s="332"/>
      <c r="G105" s="332">
        <f>1</f>
        <v>1</v>
      </c>
      <c r="H105" s="332" t="s">
        <v>39805</v>
      </c>
      <c r="I105" s="332">
        <f t="shared" si="3"/>
        <v>1.55</v>
      </c>
      <c r="J105" s="332" t="s">
        <v>39805</v>
      </c>
      <c r="K105" s="332">
        <f>0.8</f>
        <v>0.8</v>
      </c>
      <c r="L105" s="332" t="s">
        <v>39805</v>
      </c>
      <c r="M105" s="332">
        <f>1.55</f>
        <v>1.55</v>
      </c>
      <c r="N105" s="335" t="s">
        <v>39794</v>
      </c>
      <c r="O105" s="332">
        <f t="shared" si="4"/>
        <v>1.92</v>
      </c>
    </row>
    <row r="106" spans="1:15" s="328" customFormat="1" x14ac:dyDescent="0.2">
      <c r="A106" s="541" t="s">
        <v>40389</v>
      </c>
      <c r="B106" s="541"/>
      <c r="C106" s="541"/>
      <c r="D106" s="332"/>
      <c r="E106" s="332"/>
      <c r="F106" s="332"/>
      <c r="G106" s="332">
        <f>6</f>
        <v>6</v>
      </c>
      <c r="H106" s="332" t="s">
        <v>39805</v>
      </c>
      <c r="I106" s="332">
        <f t="shared" si="3"/>
        <v>1.55</v>
      </c>
      <c r="J106" s="332" t="s">
        <v>39805</v>
      </c>
      <c r="K106" s="332">
        <f>0.95</f>
        <v>0.95</v>
      </c>
      <c r="L106" s="332" t="s">
        <v>39805</v>
      </c>
      <c r="M106" s="332">
        <f>0.95</f>
        <v>0.95</v>
      </c>
      <c r="N106" s="335" t="s">
        <v>39794</v>
      </c>
      <c r="O106" s="332">
        <f t="shared" si="4"/>
        <v>8.39</v>
      </c>
    </row>
    <row r="107" spans="1:15" s="328" customFormat="1" x14ac:dyDescent="0.2">
      <c r="A107" s="541" t="s">
        <v>40390</v>
      </c>
      <c r="B107" s="541"/>
      <c r="C107" s="541"/>
      <c r="D107" s="332"/>
      <c r="E107" s="332"/>
      <c r="F107" s="332"/>
      <c r="G107" s="332">
        <f>2</f>
        <v>2</v>
      </c>
      <c r="H107" s="332" t="s">
        <v>39805</v>
      </c>
      <c r="I107" s="332">
        <f t="shared" si="3"/>
        <v>1.55</v>
      </c>
      <c r="J107" s="332" t="s">
        <v>39805</v>
      </c>
      <c r="K107" s="332">
        <f>0.75</f>
        <v>0.75</v>
      </c>
      <c r="L107" s="332" t="s">
        <v>39805</v>
      </c>
      <c r="M107" s="332">
        <f>0.9</f>
        <v>0.9</v>
      </c>
      <c r="N107" s="335" t="s">
        <v>39794</v>
      </c>
      <c r="O107" s="332">
        <f t="shared" si="4"/>
        <v>2.09</v>
      </c>
    </row>
    <row r="108" spans="1:15" s="328" customFormat="1" x14ac:dyDescent="0.2">
      <c r="A108" s="541" t="s">
        <v>40391</v>
      </c>
      <c r="B108" s="541"/>
      <c r="C108" s="541"/>
      <c r="D108" s="332"/>
      <c r="E108" s="332"/>
      <c r="F108" s="332"/>
      <c r="G108" s="332">
        <f>9</f>
        <v>9</v>
      </c>
      <c r="H108" s="332" t="s">
        <v>39805</v>
      </c>
      <c r="I108" s="332">
        <f t="shared" si="3"/>
        <v>1.55</v>
      </c>
      <c r="J108" s="332" t="s">
        <v>39805</v>
      </c>
      <c r="K108" s="332">
        <f>0.55</f>
        <v>0.55000000000000004</v>
      </c>
      <c r="L108" s="332" t="s">
        <v>39805</v>
      </c>
      <c r="M108" s="332">
        <f>0.7</f>
        <v>0.7</v>
      </c>
      <c r="N108" s="335" t="s">
        <v>39794</v>
      </c>
      <c r="O108" s="332">
        <f t="shared" si="4"/>
        <v>5.37</v>
      </c>
    </row>
    <row r="109" spans="1:15" s="328" customFormat="1" x14ac:dyDescent="0.2">
      <c r="A109" s="541" t="s">
        <v>40392</v>
      </c>
      <c r="B109" s="541"/>
      <c r="C109" s="541"/>
      <c r="D109" s="332"/>
      <c r="E109" s="332"/>
      <c r="F109" s="332"/>
      <c r="G109" s="332">
        <f>1</f>
        <v>1</v>
      </c>
      <c r="H109" s="332" t="s">
        <v>39805</v>
      </c>
      <c r="I109" s="332">
        <f t="shared" si="3"/>
        <v>1.55</v>
      </c>
      <c r="J109" s="332" t="s">
        <v>39805</v>
      </c>
      <c r="K109" s="332">
        <f>0.95</f>
        <v>0.95</v>
      </c>
      <c r="L109" s="332" t="s">
        <v>39805</v>
      </c>
      <c r="M109" s="332">
        <f>1.1</f>
        <v>1.1000000000000001</v>
      </c>
      <c r="N109" s="335" t="s">
        <v>39794</v>
      </c>
      <c r="O109" s="332">
        <f t="shared" si="4"/>
        <v>1.62</v>
      </c>
    </row>
    <row r="110" spans="1:15" s="328" customFormat="1" x14ac:dyDescent="0.2">
      <c r="A110" s="541" t="s">
        <v>40393</v>
      </c>
      <c r="B110" s="541"/>
      <c r="C110" s="541"/>
      <c r="D110" s="332"/>
      <c r="E110" s="332"/>
      <c r="F110" s="332"/>
      <c r="G110" s="332">
        <f>1</f>
        <v>1</v>
      </c>
      <c r="H110" s="332" t="s">
        <v>39805</v>
      </c>
      <c r="I110" s="332">
        <f t="shared" si="3"/>
        <v>1.55</v>
      </c>
      <c r="J110" s="332" t="s">
        <v>39805</v>
      </c>
      <c r="K110" s="332">
        <f>0.6</f>
        <v>0.6</v>
      </c>
      <c r="L110" s="332" t="s">
        <v>39805</v>
      </c>
      <c r="M110" s="332">
        <f>0.7</f>
        <v>0.7</v>
      </c>
      <c r="N110" s="335" t="s">
        <v>39794</v>
      </c>
      <c r="O110" s="332">
        <f t="shared" si="4"/>
        <v>0.65</v>
      </c>
    </row>
    <row r="111" spans="1:15" s="328" customFormat="1" x14ac:dyDescent="0.2">
      <c r="A111" s="541" t="s">
        <v>40394</v>
      </c>
      <c r="B111" s="541"/>
      <c r="C111" s="541"/>
      <c r="D111" s="332"/>
      <c r="E111" s="332"/>
      <c r="F111" s="332"/>
      <c r="G111" s="332">
        <f>1</f>
        <v>1</v>
      </c>
      <c r="H111" s="332" t="s">
        <v>39805</v>
      </c>
      <c r="I111" s="332">
        <f t="shared" si="3"/>
        <v>1.55</v>
      </c>
      <c r="J111" s="332" t="s">
        <v>39805</v>
      </c>
      <c r="K111" s="332">
        <f>0.85</f>
        <v>0.85</v>
      </c>
      <c r="L111" s="332" t="s">
        <v>39805</v>
      </c>
      <c r="M111" s="332">
        <f>1</f>
        <v>1</v>
      </c>
      <c r="N111" s="335" t="s">
        <v>39794</v>
      </c>
      <c r="O111" s="332">
        <f t="shared" si="4"/>
        <v>1.32</v>
      </c>
    </row>
    <row r="112" spans="1:15" s="328" customFormat="1" x14ac:dyDescent="0.2">
      <c r="A112" s="541" t="s">
        <v>40395</v>
      </c>
      <c r="B112" s="541"/>
      <c r="C112" s="541"/>
      <c r="D112" s="332"/>
      <c r="E112" s="332"/>
      <c r="F112" s="332"/>
      <c r="G112" s="332">
        <f>3</f>
        <v>3</v>
      </c>
      <c r="H112" s="332" t="s">
        <v>39805</v>
      </c>
      <c r="I112" s="332">
        <f t="shared" si="3"/>
        <v>1.55</v>
      </c>
      <c r="J112" s="332" t="s">
        <v>39805</v>
      </c>
      <c r="K112" s="332">
        <f>0.65</f>
        <v>0.65</v>
      </c>
      <c r="L112" s="332" t="s">
        <v>39805</v>
      </c>
      <c r="M112" s="332">
        <f>0.8</f>
        <v>0.8</v>
      </c>
      <c r="N112" s="335" t="s">
        <v>39794</v>
      </c>
      <c r="O112" s="332">
        <f t="shared" si="4"/>
        <v>2.42</v>
      </c>
    </row>
    <row r="113" spans="1:15" s="328" customFormat="1" x14ac:dyDescent="0.2">
      <c r="A113" s="541" t="s">
        <v>40396</v>
      </c>
      <c r="B113" s="541"/>
      <c r="C113" s="541"/>
      <c r="D113" s="332"/>
      <c r="E113" s="332"/>
      <c r="F113" s="332"/>
      <c r="G113" s="332">
        <f>1</f>
        <v>1</v>
      </c>
      <c r="H113" s="332" t="s">
        <v>39805</v>
      </c>
      <c r="I113" s="332">
        <f t="shared" si="3"/>
        <v>1.55</v>
      </c>
      <c r="J113" s="332" t="s">
        <v>39805</v>
      </c>
      <c r="K113" s="332">
        <f>1.1</f>
        <v>1.1000000000000001</v>
      </c>
      <c r="L113" s="332" t="s">
        <v>39805</v>
      </c>
      <c r="M113" s="332">
        <f>1.9</f>
        <v>1.9</v>
      </c>
      <c r="N113" s="335" t="s">
        <v>39794</v>
      </c>
      <c r="O113" s="332">
        <f t="shared" si="4"/>
        <v>3.24</v>
      </c>
    </row>
    <row r="114" spans="1:15" s="328" customFormat="1" x14ac:dyDescent="0.2">
      <c r="A114" s="541" t="s">
        <v>40397</v>
      </c>
      <c r="B114" s="541"/>
      <c r="C114" s="541"/>
      <c r="D114" s="332"/>
      <c r="E114" s="332"/>
      <c r="F114" s="332"/>
      <c r="G114" s="332">
        <f>2</f>
        <v>2</v>
      </c>
      <c r="H114" s="332" t="s">
        <v>39805</v>
      </c>
      <c r="I114" s="332">
        <f t="shared" si="3"/>
        <v>1.55</v>
      </c>
      <c r="J114" s="332" t="s">
        <v>39805</v>
      </c>
      <c r="K114" s="332">
        <f>1.6</f>
        <v>1.6</v>
      </c>
      <c r="L114" s="332" t="s">
        <v>39805</v>
      </c>
      <c r="M114" s="332">
        <f>2.3</f>
        <v>2.2999999999999998</v>
      </c>
      <c r="N114" s="335" t="s">
        <v>39794</v>
      </c>
      <c r="O114" s="332">
        <f t="shared" si="4"/>
        <v>11.41</v>
      </c>
    </row>
    <row r="115" spans="1:15" s="328" customFormat="1" x14ac:dyDescent="0.2">
      <c r="A115" s="541" t="s">
        <v>40398</v>
      </c>
      <c r="B115" s="541"/>
      <c r="C115" s="541"/>
      <c r="D115" s="332"/>
      <c r="E115" s="332"/>
      <c r="F115" s="332"/>
      <c r="G115" s="332">
        <f>1</f>
        <v>1</v>
      </c>
      <c r="H115" s="332" t="s">
        <v>39805</v>
      </c>
      <c r="I115" s="332">
        <f t="shared" si="3"/>
        <v>1.55</v>
      </c>
      <c r="J115" s="332" t="s">
        <v>39805</v>
      </c>
      <c r="K115" s="332">
        <f>0.6</f>
        <v>0.6</v>
      </c>
      <c r="L115" s="332" t="s">
        <v>39805</v>
      </c>
      <c r="M115" s="332">
        <f>0.75</f>
        <v>0.75</v>
      </c>
      <c r="N115" s="335" t="s">
        <v>39794</v>
      </c>
      <c r="O115" s="332">
        <f t="shared" si="4"/>
        <v>0.7</v>
      </c>
    </row>
    <row r="116" spans="1:15" s="328" customFormat="1" x14ac:dyDescent="0.2">
      <c r="A116" s="541" t="s">
        <v>40399</v>
      </c>
      <c r="B116" s="541"/>
      <c r="C116" s="541"/>
      <c r="D116" s="332"/>
      <c r="E116" s="332"/>
      <c r="F116" s="332"/>
      <c r="G116" s="332">
        <f>3</f>
        <v>3</v>
      </c>
      <c r="H116" s="332" t="s">
        <v>39805</v>
      </c>
      <c r="I116" s="332">
        <f t="shared" si="3"/>
        <v>1.55</v>
      </c>
      <c r="J116" s="332" t="s">
        <v>39805</v>
      </c>
      <c r="K116" s="332">
        <f>0.6</f>
        <v>0.6</v>
      </c>
      <c r="L116" s="332" t="s">
        <v>39805</v>
      </c>
      <c r="M116" s="332">
        <f>0.75</f>
        <v>0.75</v>
      </c>
      <c r="N116" s="335" t="s">
        <v>39794</v>
      </c>
      <c r="O116" s="332">
        <f t="shared" si="4"/>
        <v>2.09</v>
      </c>
    </row>
    <row r="117" spans="1:15" s="328" customFormat="1" x14ac:dyDescent="0.2">
      <c r="A117" s="541" t="s">
        <v>40400</v>
      </c>
      <c r="B117" s="541"/>
      <c r="C117" s="541"/>
      <c r="D117" s="332"/>
      <c r="E117" s="332"/>
      <c r="F117" s="332"/>
      <c r="G117" s="332">
        <f>2</f>
        <v>2</v>
      </c>
      <c r="H117" s="332" t="s">
        <v>39805</v>
      </c>
      <c r="I117" s="332">
        <f t="shared" si="3"/>
        <v>1.55</v>
      </c>
      <c r="J117" s="332" t="s">
        <v>39805</v>
      </c>
      <c r="K117" s="332">
        <f>1</f>
        <v>1</v>
      </c>
      <c r="L117" s="332" t="s">
        <v>39805</v>
      </c>
      <c r="M117" s="332">
        <f>1</f>
        <v>1</v>
      </c>
      <c r="N117" s="335" t="s">
        <v>39794</v>
      </c>
      <c r="O117" s="332">
        <f t="shared" si="4"/>
        <v>3.1</v>
      </c>
    </row>
    <row r="118" spans="1:15" s="328" customFormat="1" x14ac:dyDescent="0.2">
      <c r="A118" s="541" t="s">
        <v>40401</v>
      </c>
      <c r="B118" s="541"/>
      <c r="C118" s="541"/>
      <c r="D118" s="332"/>
      <c r="E118" s="332"/>
      <c r="F118" s="332"/>
      <c r="G118" s="332">
        <f>1</f>
        <v>1</v>
      </c>
      <c r="H118" s="332" t="s">
        <v>39805</v>
      </c>
      <c r="I118" s="332">
        <f t="shared" si="3"/>
        <v>1.55</v>
      </c>
      <c r="J118" s="332" t="s">
        <v>39805</v>
      </c>
      <c r="K118" s="332">
        <f>0.85</f>
        <v>0.85</v>
      </c>
      <c r="L118" s="332" t="s">
        <v>39805</v>
      </c>
      <c r="M118" s="332">
        <f>0.9</f>
        <v>0.9</v>
      </c>
      <c r="N118" s="335" t="s">
        <v>39794</v>
      </c>
      <c r="O118" s="332">
        <f t="shared" si="4"/>
        <v>1.19</v>
      </c>
    </row>
    <row r="119" spans="1:15" s="328" customFormat="1" x14ac:dyDescent="0.2">
      <c r="A119" s="539" t="s">
        <v>5917</v>
      </c>
      <c r="B119" s="539"/>
      <c r="C119" s="539"/>
      <c r="D119" s="333"/>
      <c r="E119" s="333"/>
      <c r="F119" s="333"/>
      <c r="G119" s="333"/>
      <c r="H119" s="333"/>
      <c r="I119" s="333"/>
      <c r="J119" s="333"/>
      <c r="K119" s="333"/>
      <c r="L119" s="333"/>
      <c r="M119" s="333" t="s">
        <v>39803</v>
      </c>
      <c r="N119" s="333" t="s">
        <v>39794</v>
      </c>
      <c r="O119" s="333" t="s">
        <v>39795</v>
      </c>
    </row>
    <row r="120" spans="1:15" s="328" customFormat="1" x14ac:dyDescent="0.2">
      <c r="A120" s="535" t="s">
        <v>40290</v>
      </c>
      <c r="B120" s="535"/>
      <c r="C120" s="535"/>
      <c r="D120" s="332"/>
      <c r="E120" s="332"/>
      <c r="F120" s="332"/>
      <c r="G120" s="332"/>
      <c r="H120" s="332"/>
      <c r="I120" s="332"/>
      <c r="J120" s="332"/>
      <c r="K120" s="332"/>
      <c r="L120" s="332"/>
      <c r="M120" s="332">
        <v>7.1</v>
      </c>
      <c r="N120" s="335" t="s">
        <v>39794</v>
      </c>
      <c r="O120" s="332">
        <f t="shared" ref="O120:O123" si="5">ROUND(M120,2)</f>
        <v>7.1</v>
      </c>
    </row>
    <row r="121" spans="1:15" s="328" customFormat="1" x14ac:dyDescent="0.2">
      <c r="A121" s="535" t="s">
        <v>40291</v>
      </c>
      <c r="B121" s="535"/>
      <c r="C121" s="535"/>
      <c r="D121" s="332"/>
      <c r="E121" s="332"/>
      <c r="F121" s="332"/>
      <c r="G121" s="332"/>
      <c r="H121" s="332"/>
      <c r="I121" s="332"/>
      <c r="J121" s="332"/>
      <c r="K121" s="332"/>
      <c r="L121" s="332"/>
      <c r="M121" s="332">
        <v>4.8099999999999996</v>
      </c>
      <c r="N121" s="335" t="s">
        <v>39794</v>
      </c>
      <c r="O121" s="332">
        <f t="shared" si="5"/>
        <v>4.8099999999999996</v>
      </c>
    </row>
    <row r="122" spans="1:15" s="328" customFormat="1" x14ac:dyDescent="0.2">
      <c r="A122" s="535" t="s">
        <v>40292</v>
      </c>
      <c r="B122" s="535"/>
      <c r="C122" s="535"/>
      <c r="D122" s="332"/>
      <c r="E122" s="332"/>
      <c r="F122" s="332"/>
      <c r="G122" s="332"/>
      <c r="H122" s="332"/>
      <c r="I122" s="332"/>
      <c r="J122" s="332"/>
      <c r="K122" s="332"/>
      <c r="L122" s="332"/>
      <c r="M122" s="332">
        <v>3.63</v>
      </c>
      <c r="N122" s="335" t="s">
        <v>39794</v>
      </c>
      <c r="O122" s="332">
        <f t="shared" si="5"/>
        <v>3.63</v>
      </c>
    </row>
    <row r="123" spans="1:15" s="328" customFormat="1" x14ac:dyDescent="0.2">
      <c r="A123" s="535" t="s">
        <v>40292</v>
      </c>
      <c r="B123" s="535"/>
      <c r="C123" s="535"/>
      <c r="D123" s="332"/>
      <c r="E123" s="332"/>
      <c r="F123" s="332"/>
      <c r="G123" s="332"/>
      <c r="H123" s="332"/>
      <c r="I123" s="332"/>
      <c r="J123" s="332"/>
      <c r="K123" s="332"/>
      <c r="L123" s="332"/>
      <c r="M123" s="332">
        <v>3.62</v>
      </c>
      <c r="N123" s="335" t="s">
        <v>39794</v>
      </c>
      <c r="O123" s="332">
        <f t="shared" si="5"/>
        <v>3.62</v>
      </c>
    </row>
    <row r="124" spans="1:15" s="328" customFormat="1" x14ac:dyDescent="0.2">
      <c r="A124" s="535" t="s">
        <v>40293</v>
      </c>
      <c r="B124" s="535"/>
      <c r="C124" s="535"/>
      <c r="D124" s="332"/>
      <c r="E124" s="332"/>
      <c r="F124" s="332"/>
      <c r="G124" s="332"/>
      <c r="H124" s="332"/>
      <c r="I124" s="332"/>
      <c r="J124" s="332"/>
      <c r="K124" s="332"/>
      <c r="L124" s="332"/>
      <c r="M124" s="332">
        <v>3.63</v>
      </c>
      <c r="N124" s="335" t="s">
        <v>39794</v>
      </c>
      <c r="O124" s="332">
        <f>ROUND(M124,2)</f>
        <v>3.63</v>
      </c>
    </row>
    <row r="125" spans="1:15" s="328" customFormat="1" x14ac:dyDescent="0.2">
      <c r="A125" s="540"/>
      <c r="B125" s="540"/>
      <c r="C125" s="540"/>
      <c r="D125" s="540"/>
      <c r="E125" s="540"/>
      <c r="F125" s="540"/>
      <c r="G125" s="540"/>
      <c r="H125" s="540"/>
      <c r="I125" s="540"/>
      <c r="J125" s="540"/>
      <c r="K125" s="540"/>
      <c r="L125" s="334" t="s">
        <v>39796</v>
      </c>
      <c r="M125" s="334" t="s">
        <v>39168</v>
      </c>
      <c r="N125" s="333" t="s">
        <v>39794</v>
      </c>
      <c r="O125" s="334">
        <f>SUM(O96:O124)</f>
        <v>121.77</v>
      </c>
    </row>
    <row r="126" spans="1:15" s="328" customFormat="1" x14ac:dyDescent="0.2">
      <c r="A126" s="329" t="s">
        <v>39791</v>
      </c>
      <c r="B126" s="542" t="s">
        <v>5917</v>
      </c>
      <c r="C126" s="542"/>
      <c r="D126" s="542"/>
      <c r="E126" s="542"/>
      <c r="F126" s="542"/>
      <c r="G126" s="542"/>
      <c r="H126" s="542"/>
      <c r="I126" s="542"/>
      <c r="J126" s="542"/>
      <c r="K126" s="542"/>
      <c r="L126" s="542"/>
      <c r="M126" s="542"/>
      <c r="N126" s="329" t="s">
        <v>39197</v>
      </c>
      <c r="O126" s="330" t="s">
        <v>39792</v>
      </c>
    </row>
    <row r="127" spans="1:15" s="328" customFormat="1" ht="12.75" customHeight="1" x14ac:dyDescent="0.2">
      <c r="A127" s="331" t="str">
        <f>ORCAMENTO!A37</f>
        <v>3.4</v>
      </c>
      <c r="B127" s="543" t="str">
        <f>VLOOKUP(A127,ORCAMENTO!A:I,4,0)</f>
        <v>REATERRO MANUAL DE VALAS, COM COMPACTADOR DE SOLOS DE PERCUSSÃO. AF_08/2023</v>
      </c>
      <c r="C127" s="543"/>
      <c r="D127" s="543"/>
      <c r="E127" s="543"/>
      <c r="F127" s="543"/>
      <c r="G127" s="543"/>
      <c r="H127" s="543"/>
      <c r="I127" s="543"/>
      <c r="J127" s="543"/>
      <c r="K127" s="543"/>
      <c r="L127" s="543"/>
      <c r="M127" s="543"/>
      <c r="N127" s="331" t="str">
        <f>VLOOKUP(A127,ORCAMENTO!A:I,5,0)</f>
        <v>M3</v>
      </c>
      <c r="O127" s="332">
        <f>O142</f>
        <v>71.870000000000019</v>
      </c>
    </row>
    <row r="128" spans="1:15" s="328" customFormat="1" x14ac:dyDescent="0.2">
      <c r="A128" s="539" t="s">
        <v>39793</v>
      </c>
      <c r="B128" s="539"/>
      <c r="C128" s="539"/>
      <c r="D128" s="539"/>
      <c r="E128" s="539"/>
      <c r="F128" s="539"/>
      <c r="G128" s="539"/>
      <c r="H128" s="539"/>
      <c r="I128" s="539"/>
      <c r="J128" s="539"/>
      <c r="K128" s="539"/>
      <c r="L128" s="539"/>
      <c r="M128" s="539"/>
      <c r="N128" s="539"/>
      <c r="O128" s="539"/>
    </row>
    <row r="129" spans="1:15" s="328" customFormat="1" x14ac:dyDescent="0.2">
      <c r="A129" s="539" t="s">
        <v>5917</v>
      </c>
      <c r="B129" s="539"/>
      <c r="C129" s="539"/>
      <c r="D129" s="333"/>
      <c r="E129" s="333"/>
      <c r="F129" s="333"/>
      <c r="G129" s="334"/>
      <c r="H129" s="333"/>
      <c r="I129" s="334"/>
      <c r="J129" s="333"/>
      <c r="K129" s="334"/>
      <c r="L129" s="333"/>
      <c r="M129" s="334" t="s">
        <v>39803</v>
      </c>
      <c r="N129" s="333" t="s">
        <v>39794</v>
      </c>
      <c r="O129" s="334" t="s">
        <v>39795</v>
      </c>
    </row>
    <row r="130" spans="1:15" s="328" customFormat="1" x14ac:dyDescent="0.2">
      <c r="A130" s="541" t="s">
        <v>40402</v>
      </c>
      <c r="B130" s="541"/>
      <c r="C130" s="541"/>
      <c r="D130" s="333"/>
      <c r="E130" s="333"/>
      <c r="F130" s="333"/>
      <c r="G130" s="334"/>
      <c r="H130" s="333"/>
      <c r="I130" s="334"/>
      <c r="J130" s="333"/>
      <c r="K130" s="334"/>
      <c r="L130" s="333"/>
      <c r="M130" s="332">
        <f>O94</f>
        <v>121.77</v>
      </c>
      <c r="N130" s="335" t="s">
        <v>39794</v>
      </c>
      <c r="O130" s="332">
        <f t="shared" ref="O130" si="6">ROUND(M130,2)</f>
        <v>121.77</v>
      </c>
    </row>
    <row r="131" spans="1:15" s="328" customFormat="1" x14ac:dyDescent="0.2">
      <c r="A131" s="539" t="s">
        <v>5917</v>
      </c>
      <c r="B131" s="539"/>
      <c r="C131" s="539"/>
      <c r="D131" s="333"/>
      <c r="E131" s="333"/>
      <c r="F131" s="333"/>
      <c r="G131" s="334"/>
      <c r="H131" s="333"/>
      <c r="I131" s="332"/>
      <c r="J131" s="331"/>
      <c r="K131" s="334"/>
      <c r="L131" s="333"/>
      <c r="M131" s="334" t="s">
        <v>39803</v>
      </c>
      <c r="N131" s="333" t="s">
        <v>39794</v>
      </c>
      <c r="O131" s="334" t="s">
        <v>39795</v>
      </c>
    </row>
    <row r="132" spans="1:15" s="328" customFormat="1" x14ac:dyDescent="0.2">
      <c r="A132" s="535" t="s">
        <v>40403</v>
      </c>
      <c r="B132" s="535"/>
      <c r="C132" s="535"/>
      <c r="D132" s="332"/>
      <c r="E132" s="332"/>
      <c r="F132" s="332"/>
      <c r="G132" s="332"/>
      <c r="H132" s="332"/>
      <c r="I132" s="332"/>
      <c r="J132" s="332"/>
      <c r="K132" s="332"/>
      <c r="L132" s="332"/>
      <c r="M132" s="332">
        <f>-9.74</f>
        <v>-9.74</v>
      </c>
      <c r="N132" s="335" t="s">
        <v>39794</v>
      </c>
      <c r="O132" s="332">
        <f t="shared" ref="O132:O141" si="7">ROUND(M132,2)</f>
        <v>-9.74</v>
      </c>
    </row>
    <row r="133" spans="1:15" s="328" customFormat="1" x14ac:dyDescent="0.2">
      <c r="A133" s="535" t="s">
        <v>40404</v>
      </c>
      <c r="B133" s="535"/>
      <c r="C133" s="535"/>
      <c r="D133" s="332"/>
      <c r="E133" s="332"/>
      <c r="F133" s="332"/>
      <c r="G133" s="332"/>
      <c r="H133" s="332"/>
      <c r="I133" s="332"/>
      <c r="J133" s="332"/>
      <c r="K133" s="332"/>
      <c r="L133" s="332"/>
      <c r="M133" s="332">
        <f>-5.06</f>
        <v>-5.0599999999999996</v>
      </c>
      <c r="N133" s="335" t="s">
        <v>39794</v>
      </c>
      <c r="O133" s="332">
        <f t="shared" si="7"/>
        <v>-5.0599999999999996</v>
      </c>
    </row>
    <row r="134" spans="1:15" s="328" customFormat="1" x14ac:dyDescent="0.2">
      <c r="A134" s="535" t="s">
        <v>40405</v>
      </c>
      <c r="B134" s="535"/>
      <c r="C134" s="535"/>
      <c r="D134" s="332"/>
      <c r="E134" s="332"/>
      <c r="F134" s="332"/>
      <c r="G134" s="332"/>
      <c r="H134" s="332"/>
      <c r="I134" s="332"/>
      <c r="J134" s="332"/>
      <c r="K134" s="332"/>
      <c r="L134" s="332"/>
      <c r="M134" s="332">
        <f>-5.77</f>
        <v>-5.77</v>
      </c>
      <c r="N134" s="335" t="s">
        <v>39794</v>
      </c>
      <c r="O134" s="332">
        <f t="shared" si="7"/>
        <v>-5.77</v>
      </c>
    </row>
    <row r="135" spans="1:15" s="328" customFormat="1" x14ac:dyDescent="0.2">
      <c r="A135" s="535" t="s">
        <v>40406</v>
      </c>
      <c r="B135" s="535"/>
      <c r="C135" s="535"/>
      <c r="D135" s="332"/>
      <c r="E135" s="332"/>
      <c r="F135" s="332"/>
      <c r="G135" s="332"/>
      <c r="H135" s="332"/>
      <c r="I135" s="332"/>
      <c r="J135" s="332"/>
      <c r="K135" s="332"/>
      <c r="L135" s="332"/>
      <c r="M135" s="332">
        <f>-5.35</f>
        <v>-5.35</v>
      </c>
      <c r="N135" s="335" t="s">
        <v>39794</v>
      </c>
      <c r="O135" s="332">
        <f t="shared" si="7"/>
        <v>-5.35</v>
      </c>
    </row>
    <row r="136" spans="1:15" s="328" customFormat="1" x14ac:dyDescent="0.2">
      <c r="A136" s="535" t="s">
        <v>40407</v>
      </c>
      <c r="B136" s="535"/>
      <c r="C136" s="535"/>
      <c r="D136" s="332"/>
      <c r="E136" s="332"/>
      <c r="F136" s="332"/>
      <c r="G136" s="332"/>
      <c r="H136" s="332"/>
      <c r="I136" s="332"/>
      <c r="J136" s="332"/>
      <c r="K136" s="332"/>
      <c r="L136" s="332"/>
      <c r="M136" s="332">
        <f>-1.19</f>
        <v>-1.19</v>
      </c>
      <c r="N136" s="335" t="s">
        <v>39794</v>
      </c>
      <c r="O136" s="332">
        <f t="shared" si="7"/>
        <v>-1.19</v>
      </c>
    </row>
    <row r="137" spans="1:15" s="328" customFormat="1" x14ac:dyDescent="0.2">
      <c r="A137" s="535" t="s">
        <v>40408</v>
      </c>
      <c r="B137" s="535"/>
      <c r="C137" s="535"/>
      <c r="D137" s="332"/>
      <c r="E137" s="332"/>
      <c r="F137" s="332"/>
      <c r="G137" s="332"/>
      <c r="H137" s="332"/>
      <c r="I137" s="332"/>
      <c r="J137" s="332"/>
      <c r="K137" s="332"/>
      <c r="L137" s="332"/>
      <c r="M137" s="332">
        <f>-7.1</f>
        <v>-7.1</v>
      </c>
      <c r="N137" s="335" t="s">
        <v>39794</v>
      </c>
      <c r="O137" s="332">
        <f t="shared" si="7"/>
        <v>-7.1</v>
      </c>
    </row>
    <row r="138" spans="1:15" s="328" customFormat="1" x14ac:dyDescent="0.2">
      <c r="A138" s="535" t="s">
        <v>40409</v>
      </c>
      <c r="B138" s="535"/>
      <c r="C138" s="535"/>
      <c r="D138" s="332"/>
      <c r="E138" s="332"/>
      <c r="F138" s="332"/>
      <c r="G138" s="332"/>
      <c r="H138" s="332"/>
      <c r="I138" s="332"/>
      <c r="J138" s="332"/>
      <c r="K138" s="332"/>
      <c r="L138" s="332"/>
      <c r="M138" s="332">
        <f>-4.81</f>
        <v>-4.8099999999999996</v>
      </c>
      <c r="N138" s="335" t="s">
        <v>39794</v>
      </c>
      <c r="O138" s="332">
        <f t="shared" si="7"/>
        <v>-4.8099999999999996</v>
      </c>
    </row>
    <row r="139" spans="1:15" s="328" customFormat="1" x14ac:dyDescent="0.2">
      <c r="A139" s="535" t="s">
        <v>40410</v>
      </c>
      <c r="B139" s="535"/>
      <c r="C139" s="535"/>
      <c r="D139" s="332"/>
      <c r="E139" s="332"/>
      <c r="F139" s="332"/>
      <c r="G139" s="332"/>
      <c r="H139" s="332"/>
      <c r="I139" s="332"/>
      <c r="J139" s="332"/>
      <c r="K139" s="332"/>
      <c r="L139" s="332"/>
      <c r="M139" s="332">
        <f>-3.63</f>
        <v>-3.63</v>
      </c>
      <c r="N139" s="335" t="s">
        <v>39794</v>
      </c>
      <c r="O139" s="332">
        <f t="shared" si="7"/>
        <v>-3.63</v>
      </c>
    </row>
    <row r="140" spans="1:15" s="328" customFormat="1" x14ac:dyDescent="0.2">
      <c r="A140" s="535" t="s">
        <v>40410</v>
      </c>
      <c r="B140" s="535"/>
      <c r="C140" s="535"/>
      <c r="D140" s="332"/>
      <c r="E140" s="332"/>
      <c r="F140" s="332"/>
      <c r="G140" s="332"/>
      <c r="H140" s="332"/>
      <c r="I140" s="332"/>
      <c r="J140" s="332"/>
      <c r="K140" s="332"/>
      <c r="L140" s="332"/>
      <c r="M140" s="332">
        <f>-3.62</f>
        <v>-3.62</v>
      </c>
      <c r="N140" s="335" t="s">
        <v>39794</v>
      </c>
      <c r="O140" s="332">
        <f t="shared" si="7"/>
        <v>-3.62</v>
      </c>
    </row>
    <row r="141" spans="1:15" s="328" customFormat="1" x14ac:dyDescent="0.2">
      <c r="A141" s="535" t="s">
        <v>40411</v>
      </c>
      <c r="B141" s="535"/>
      <c r="C141" s="535"/>
      <c r="D141" s="332"/>
      <c r="E141" s="332"/>
      <c r="F141" s="332"/>
      <c r="G141" s="332"/>
      <c r="H141" s="332"/>
      <c r="I141" s="332"/>
      <c r="J141" s="332"/>
      <c r="K141" s="332"/>
      <c r="L141" s="332"/>
      <c r="M141" s="332">
        <f>-3.63</f>
        <v>-3.63</v>
      </c>
      <c r="N141" s="335" t="s">
        <v>39794</v>
      </c>
      <c r="O141" s="332">
        <f t="shared" si="7"/>
        <v>-3.63</v>
      </c>
    </row>
    <row r="142" spans="1:15" s="328" customFormat="1" x14ac:dyDescent="0.2">
      <c r="A142" s="540"/>
      <c r="B142" s="540"/>
      <c r="C142" s="540"/>
      <c r="D142" s="540"/>
      <c r="E142" s="540"/>
      <c r="F142" s="540"/>
      <c r="G142" s="540"/>
      <c r="H142" s="540"/>
      <c r="I142" s="540"/>
      <c r="J142" s="540"/>
      <c r="K142" s="540"/>
      <c r="L142" s="334" t="s">
        <v>39796</v>
      </c>
      <c r="M142" s="334" t="s">
        <v>39168</v>
      </c>
      <c r="N142" s="333" t="s">
        <v>39794</v>
      </c>
      <c r="O142" s="334">
        <f>SUM(O129:O141)</f>
        <v>71.870000000000019</v>
      </c>
    </row>
    <row r="143" spans="1:15" s="328" customFormat="1" x14ac:dyDescent="0.2">
      <c r="A143" s="329" t="s">
        <v>39791</v>
      </c>
      <c r="B143" s="542" t="s">
        <v>5917</v>
      </c>
      <c r="C143" s="542"/>
      <c r="D143" s="542"/>
      <c r="E143" s="542"/>
      <c r="F143" s="542"/>
      <c r="G143" s="542"/>
      <c r="H143" s="542"/>
      <c r="I143" s="542"/>
      <c r="J143" s="542"/>
      <c r="K143" s="542"/>
      <c r="L143" s="542"/>
      <c r="M143" s="542"/>
      <c r="N143" s="329" t="s">
        <v>39197</v>
      </c>
      <c r="O143" s="330" t="s">
        <v>39792</v>
      </c>
    </row>
    <row r="144" spans="1:15" s="328" customFormat="1" ht="40.15" customHeight="1" x14ac:dyDescent="0.2">
      <c r="A144" s="331" t="str">
        <f>ORCAMENTO!A38</f>
        <v>3.5</v>
      </c>
      <c r="B144" s="543" t="str">
        <f>VLOOKUP(A144,ORCAMENTO!A:I,4,0)</f>
        <v>CARGA, MANOBRA E DESCARGA DE SOLOS E MATERIAIS GRANULARES EM CAMINHÃO BASCULANTE 6 M³ - CARGA COM PÁ CARREGADEIRA (CAÇAMBA DE 1,7 A 2,8 M³ / 128 HP) E DESCARGA LIVRE (UNIDADE: M3). AF_07/2020</v>
      </c>
      <c r="C144" s="543"/>
      <c r="D144" s="543"/>
      <c r="E144" s="543"/>
      <c r="F144" s="543"/>
      <c r="G144" s="543"/>
      <c r="H144" s="543"/>
      <c r="I144" s="543"/>
      <c r="J144" s="543"/>
      <c r="K144" s="543"/>
      <c r="L144" s="543"/>
      <c r="M144" s="543"/>
      <c r="N144" s="331" t="str">
        <f>VLOOKUP(A144,ORCAMENTO!A:I,5,0)</f>
        <v>M3</v>
      </c>
      <c r="O144" s="332">
        <f>O148</f>
        <v>79.14</v>
      </c>
    </row>
    <row r="145" spans="1:15" s="328" customFormat="1" x14ac:dyDescent="0.2">
      <c r="A145" s="539" t="s">
        <v>39793</v>
      </c>
      <c r="B145" s="539"/>
      <c r="C145" s="539"/>
      <c r="D145" s="539"/>
      <c r="E145" s="539"/>
      <c r="F145" s="539"/>
      <c r="G145" s="539"/>
      <c r="H145" s="539"/>
      <c r="I145" s="539"/>
      <c r="J145" s="539"/>
      <c r="K145" s="539"/>
      <c r="L145" s="539"/>
      <c r="M145" s="539"/>
      <c r="N145" s="539"/>
      <c r="O145" s="539"/>
    </row>
    <row r="146" spans="1:15" s="328" customFormat="1" x14ac:dyDescent="0.2">
      <c r="A146" s="539" t="s">
        <v>5917</v>
      </c>
      <c r="B146" s="539"/>
      <c r="C146" s="539"/>
      <c r="D146" s="333"/>
      <c r="E146" s="333"/>
      <c r="F146" s="333"/>
      <c r="G146" s="334"/>
      <c r="H146" s="333"/>
      <c r="I146" s="332"/>
      <c r="J146" s="331"/>
      <c r="K146" s="334"/>
      <c r="L146" s="333"/>
      <c r="M146" s="334" t="s">
        <v>39803</v>
      </c>
      <c r="N146" s="333" t="s">
        <v>39794</v>
      </c>
      <c r="O146" s="334" t="s">
        <v>39795</v>
      </c>
    </row>
    <row r="147" spans="1:15" s="328" customFormat="1" x14ac:dyDescent="0.2">
      <c r="A147" s="541" t="s">
        <v>40575</v>
      </c>
      <c r="B147" s="541"/>
      <c r="C147" s="541"/>
      <c r="D147" s="333"/>
      <c r="E147" s="333"/>
      <c r="F147" s="333"/>
      <c r="G147" s="334"/>
      <c r="H147" s="333"/>
      <c r="I147" s="332"/>
      <c r="J147" s="331"/>
      <c r="K147" s="332"/>
      <c r="L147" s="332"/>
      <c r="M147" s="332">
        <f>79.14</f>
        <v>79.14</v>
      </c>
      <c r="N147" s="335" t="s">
        <v>39794</v>
      </c>
      <c r="O147" s="335">
        <f>ROUND(M147,2)</f>
        <v>79.14</v>
      </c>
    </row>
    <row r="148" spans="1:15" s="328" customFormat="1" x14ac:dyDescent="0.2">
      <c r="A148" s="540"/>
      <c r="B148" s="540"/>
      <c r="C148" s="540"/>
      <c r="D148" s="540"/>
      <c r="E148" s="540"/>
      <c r="F148" s="540"/>
      <c r="G148" s="540"/>
      <c r="H148" s="540"/>
      <c r="I148" s="540"/>
      <c r="J148" s="540"/>
      <c r="K148" s="540"/>
      <c r="L148" s="334" t="s">
        <v>39796</v>
      </c>
      <c r="M148" s="334" t="s">
        <v>39168</v>
      </c>
      <c r="N148" s="333" t="s">
        <v>39794</v>
      </c>
      <c r="O148" s="334">
        <f>SUM(O146:O147)</f>
        <v>79.14</v>
      </c>
    </row>
    <row r="149" spans="1:15" s="328" customFormat="1" x14ac:dyDescent="0.2">
      <c r="A149" s="329" t="s">
        <v>39791</v>
      </c>
      <c r="B149" s="542" t="s">
        <v>5917</v>
      </c>
      <c r="C149" s="542"/>
      <c r="D149" s="542"/>
      <c r="E149" s="542"/>
      <c r="F149" s="542"/>
      <c r="G149" s="542"/>
      <c r="H149" s="542"/>
      <c r="I149" s="542"/>
      <c r="J149" s="542"/>
      <c r="K149" s="542"/>
      <c r="L149" s="542"/>
      <c r="M149" s="542"/>
      <c r="N149" s="329" t="s">
        <v>39197</v>
      </c>
      <c r="O149" s="330" t="s">
        <v>39792</v>
      </c>
    </row>
    <row r="150" spans="1:15" s="328" customFormat="1" ht="12.75" customHeight="1" x14ac:dyDescent="0.2">
      <c r="A150" s="331" t="str">
        <f>ORCAMENTO!A39</f>
        <v>3.6</v>
      </c>
      <c r="B150" s="543" t="str">
        <f>VLOOKUP(A150,ORCAMENTO!A:I,4,0)</f>
        <v>TRANSPORTE COM CAMINHÃO BASCULANTE DE 6 M³, EM VIA URBANA PAVIMENTADA, DMT ATÉ 30 KM (UNIDADE: M3XKM). AF_07/2020</v>
      </c>
      <c r="C150" s="543"/>
      <c r="D150" s="543"/>
      <c r="E150" s="543"/>
      <c r="F150" s="543"/>
      <c r="G150" s="543"/>
      <c r="H150" s="543"/>
      <c r="I150" s="543"/>
      <c r="J150" s="543"/>
      <c r="K150" s="543"/>
      <c r="L150" s="543"/>
      <c r="M150" s="543"/>
      <c r="N150" s="331" t="str">
        <f>VLOOKUP(A150,ORCAMENTO!A:I,5,0)</f>
        <v>M3XKM</v>
      </c>
      <c r="O150" s="332">
        <f>O154</f>
        <v>902.2</v>
      </c>
    </row>
    <row r="151" spans="1:15" s="328" customFormat="1" x14ac:dyDescent="0.2">
      <c r="A151" s="539" t="s">
        <v>39793</v>
      </c>
      <c r="B151" s="539"/>
      <c r="C151" s="539"/>
      <c r="D151" s="539"/>
      <c r="E151" s="539"/>
      <c r="F151" s="539"/>
      <c r="G151" s="539"/>
      <c r="H151" s="539"/>
      <c r="I151" s="539"/>
      <c r="J151" s="539"/>
      <c r="K151" s="539"/>
      <c r="L151" s="539"/>
      <c r="M151" s="539"/>
      <c r="N151" s="539"/>
      <c r="O151" s="539"/>
    </row>
    <row r="152" spans="1:15" s="328" customFormat="1" x14ac:dyDescent="0.2">
      <c r="A152" s="539" t="s">
        <v>5917</v>
      </c>
      <c r="B152" s="539"/>
      <c r="C152" s="539"/>
      <c r="D152" s="333"/>
      <c r="E152" s="333"/>
      <c r="F152" s="333"/>
      <c r="G152" s="334"/>
      <c r="H152" s="333"/>
      <c r="I152" s="332"/>
      <c r="J152" s="331"/>
      <c r="K152" s="334" t="s">
        <v>39803</v>
      </c>
      <c r="L152" s="333" t="s">
        <v>39805</v>
      </c>
      <c r="M152" s="334" t="s">
        <v>40572</v>
      </c>
      <c r="N152" s="333" t="s">
        <v>39794</v>
      </c>
      <c r="O152" s="334" t="s">
        <v>39795</v>
      </c>
    </row>
    <row r="153" spans="1:15" s="328" customFormat="1" x14ac:dyDescent="0.2">
      <c r="A153" s="541" t="s">
        <v>40576</v>
      </c>
      <c r="B153" s="541"/>
      <c r="C153" s="541"/>
      <c r="D153" s="333"/>
      <c r="E153" s="333"/>
      <c r="F153" s="333"/>
      <c r="G153" s="334"/>
      <c r="H153" s="333"/>
      <c r="I153" s="332"/>
      <c r="J153" s="331"/>
      <c r="K153" s="332">
        <f>79.14</f>
        <v>79.14</v>
      </c>
      <c r="L153" s="332" t="s">
        <v>39805</v>
      </c>
      <c r="M153" s="332">
        <f>11.4</f>
        <v>11.4</v>
      </c>
      <c r="N153" s="335" t="s">
        <v>39794</v>
      </c>
      <c r="O153" s="335">
        <f>ROUND(K153*M153,2)</f>
        <v>902.2</v>
      </c>
    </row>
    <row r="154" spans="1:15" s="328" customFormat="1" x14ac:dyDescent="0.2">
      <c r="A154" s="540"/>
      <c r="B154" s="540"/>
      <c r="C154" s="540"/>
      <c r="D154" s="540"/>
      <c r="E154" s="540"/>
      <c r="F154" s="540"/>
      <c r="G154" s="540"/>
      <c r="H154" s="540"/>
      <c r="I154" s="540"/>
      <c r="J154" s="540"/>
      <c r="K154" s="540"/>
      <c r="L154" s="334" t="s">
        <v>39796</v>
      </c>
      <c r="M154" s="334" t="s">
        <v>39168</v>
      </c>
      <c r="N154" s="333" t="s">
        <v>39794</v>
      </c>
      <c r="O154" s="334">
        <f>SUM(O152:O153)</f>
        <v>902.2</v>
      </c>
    </row>
    <row r="155" spans="1:15" s="328" customFormat="1" x14ac:dyDescent="0.2">
      <c r="A155" s="336">
        <f>ORCAMENTO!A41</f>
        <v>4</v>
      </c>
      <c r="B155" s="545" t="str">
        <f>VLOOKUP(A155,ORCAMENTO!A:I,4,0)</f>
        <v>ESTRUTURA</v>
      </c>
      <c r="C155" s="545"/>
      <c r="D155" s="545"/>
      <c r="E155" s="545"/>
      <c r="F155" s="545"/>
      <c r="G155" s="545"/>
      <c r="H155" s="545"/>
      <c r="I155" s="545"/>
      <c r="J155" s="545"/>
      <c r="K155" s="545"/>
      <c r="L155" s="545"/>
      <c r="M155" s="545"/>
      <c r="N155" s="545"/>
      <c r="O155" s="545"/>
    </row>
    <row r="156" spans="1:15" s="328" customFormat="1" x14ac:dyDescent="0.2">
      <c r="A156" s="338" t="str">
        <f>ORCAMENTO!A42</f>
        <v>4.1</v>
      </c>
      <c r="B156" s="555" t="str">
        <f>VLOOKUP(A156,ORCAMENTO!A:I,4,0)</f>
        <v>FÔRMAS</v>
      </c>
      <c r="C156" s="555"/>
      <c r="D156" s="555"/>
      <c r="E156" s="555"/>
      <c r="F156" s="555"/>
      <c r="G156" s="555"/>
      <c r="H156" s="555"/>
      <c r="I156" s="555"/>
      <c r="J156" s="555"/>
      <c r="K156" s="555"/>
      <c r="L156" s="555"/>
      <c r="M156" s="555"/>
      <c r="N156" s="555"/>
      <c r="O156" s="555"/>
    </row>
    <row r="157" spans="1:15" s="328" customFormat="1" x14ac:dyDescent="0.2">
      <c r="A157" s="329" t="s">
        <v>39791</v>
      </c>
      <c r="B157" s="542" t="s">
        <v>5917</v>
      </c>
      <c r="C157" s="542"/>
      <c r="D157" s="542"/>
      <c r="E157" s="542"/>
      <c r="F157" s="542"/>
      <c r="G157" s="542"/>
      <c r="H157" s="542"/>
      <c r="I157" s="542"/>
      <c r="J157" s="542"/>
      <c r="K157" s="542"/>
      <c r="L157" s="542"/>
      <c r="M157" s="542"/>
      <c r="N157" s="329" t="s">
        <v>39197</v>
      </c>
      <c r="O157" s="330" t="s">
        <v>39792</v>
      </c>
    </row>
    <row r="158" spans="1:15" s="328" customFormat="1" ht="12.75" customHeight="1" x14ac:dyDescent="0.2">
      <c r="A158" s="331" t="str">
        <f>ORCAMENTO!A43</f>
        <v>4.1.1</v>
      </c>
      <c r="B158" s="543" t="str">
        <f>VLOOKUP(A158,ORCAMENTO!A:I,4,0)</f>
        <v>FORMA DE TÁBUAS DE 1" DE 3A. P/FUNDAÇÕES UTIL. 5 X</v>
      </c>
      <c r="C158" s="543"/>
      <c r="D158" s="543"/>
      <c r="E158" s="543"/>
      <c r="F158" s="543"/>
      <c r="G158" s="543"/>
      <c r="H158" s="543"/>
      <c r="I158" s="543"/>
      <c r="J158" s="543"/>
      <c r="K158" s="543"/>
      <c r="L158" s="543"/>
      <c r="M158" s="543"/>
      <c r="N158" s="331" t="str">
        <f>VLOOKUP(A158,ORCAMENTO!A:I,5,0)</f>
        <v>M2</v>
      </c>
      <c r="O158" s="332">
        <f>O171</f>
        <v>491.91</v>
      </c>
    </row>
    <row r="159" spans="1:15" s="328" customFormat="1" x14ac:dyDescent="0.2">
      <c r="A159" s="539" t="s">
        <v>39793</v>
      </c>
      <c r="B159" s="539"/>
      <c r="C159" s="539"/>
      <c r="D159" s="539"/>
      <c r="E159" s="539"/>
      <c r="F159" s="539"/>
      <c r="G159" s="539"/>
      <c r="H159" s="539"/>
      <c r="I159" s="539"/>
      <c r="J159" s="539"/>
      <c r="K159" s="539"/>
      <c r="L159" s="539"/>
      <c r="M159" s="539"/>
      <c r="N159" s="539"/>
      <c r="O159" s="539"/>
    </row>
    <row r="160" spans="1:15" s="328" customFormat="1" x14ac:dyDescent="0.2">
      <c r="A160" s="539" t="s">
        <v>5917</v>
      </c>
      <c r="B160" s="539"/>
      <c r="C160" s="539"/>
      <c r="D160" s="333"/>
      <c r="E160" s="333"/>
      <c r="F160" s="333"/>
      <c r="G160" s="334"/>
      <c r="H160" s="333"/>
      <c r="I160" s="332"/>
      <c r="J160" s="331"/>
      <c r="K160" s="334"/>
      <c r="L160" s="333"/>
      <c r="M160" s="334" t="s">
        <v>39799</v>
      </c>
      <c r="N160" s="333" t="s">
        <v>39794</v>
      </c>
      <c r="O160" s="334" t="s">
        <v>39795</v>
      </c>
    </row>
    <row r="161" spans="1:15" s="328" customFormat="1" x14ac:dyDescent="0.2">
      <c r="A161" s="541" t="s">
        <v>40285</v>
      </c>
      <c r="B161" s="541"/>
      <c r="C161" s="541"/>
      <c r="D161" s="335"/>
      <c r="E161" s="335"/>
      <c r="F161" s="335"/>
      <c r="G161" s="335"/>
      <c r="H161" s="335"/>
      <c r="I161" s="335"/>
      <c r="J161" s="335"/>
      <c r="K161" s="335"/>
      <c r="L161" s="335"/>
      <c r="M161" s="335">
        <f>54.01</f>
        <v>54.01</v>
      </c>
      <c r="N161" s="335" t="s">
        <v>39794</v>
      </c>
      <c r="O161" s="335">
        <f>ROUND(M161,2)</f>
        <v>54.01</v>
      </c>
    </row>
    <row r="162" spans="1:15" s="328" customFormat="1" x14ac:dyDescent="0.2">
      <c r="A162" s="541" t="s">
        <v>40286</v>
      </c>
      <c r="B162" s="541"/>
      <c r="C162" s="541"/>
      <c r="D162" s="335"/>
      <c r="E162" s="335"/>
      <c r="F162" s="335"/>
      <c r="G162" s="335"/>
      <c r="H162" s="335"/>
      <c r="I162" s="335"/>
      <c r="J162" s="335"/>
      <c r="K162" s="335"/>
      <c r="L162" s="335"/>
      <c r="M162" s="335">
        <f>13.44</f>
        <v>13.44</v>
      </c>
      <c r="N162" s="335" t="s">
        <v>39794</v>
      </c>
      <c r="O162" s="335">
        <f t="shared" ref="O162:O170" si="8">ROUND(M162,2)</f>
        <v>13.44</v>
      </c>
    </row>
    <row r="163" spans="1:15" s="328" customFormat="1" x14ac:dyDescent="0.2">
      <c r="A163" s="541" t="s">
        <v>40287</v>
      </c>
      <c r="B163" s="541"/>
      <c r="C163" s="541"/>
      <c r="D163" s="335"/>
      <c r="E163" s="335"/>
      <c r="F163" s="335"/>
      <c r="G163" s="335"/>
      <c r="H163" s="335"/>
      <c r="I163" s="335"/>
      <c r="J163" s="335"/>
      <c r="K163" s="335"/>
      <c r="L163" s="335"/>
      <c r="M163" s="335">
        <f>35.48</f>
        <v>35.479999999999997</v>
      </c>
      <c r="N163" s="335" t="s">
        <v>39794</v>
      </c>
      <c r="O163" s="335">
        <f t="shared" si="8"/>
        <v>35.479999999999997</v>
      </c>
    </row>
    <row r="164" spans="1:15" s="328" customFormat="1" x14ac:dyDescent="0.2">
      <c r="A164" s="541" t="s">
        <v>40288</v>
      </c>
      <c r="B164" s="541"/>
      <c r="C164" s="541"/>
      <c r="D164" s="335"/>
      <c r="E164" s="335"/>
      <c r="F164" s="335"/>
      <c r="G164" s="335"/>
      <c r="H164" s="335"/>
      <c r="I164" s="335"/>
      <c r="J164" s="335"/>
      <c r="K164" s="335"/>
      <c r="L164" s="335"/>
      <c r="M164" s="335">
        <f>22.07</f>
        <v>22.07</v>
      </c>
      <c r="N164" s="335" t="s">
        <v>39794</v>
      </c>
      <c r="O164" s="335">
        <f t="shared" si="8"/>
        <v>22.07</v>
      </c>
    </row>
    <row r="165" spans="1:15" s="328" customFormat="1" x14ac:dyDescent="0.2">
      <c r="A165" s="541" t="s">
        <v>40289</v>
      </c>
      <c r="B165" s="541"/>
      <c r="C165" s="541"/>
      <c r="D165" s="335"/>
      <c r="E165" s="335"/>
      <c r="F165" s="335"/>
      <c r="G165" s="335"/>
      <c r="H165" s="335"/>
      <c r="I165" s="335"/>
      <c r="J165" s="335"/>
      <c r="K165" s="335"/>
      <c r="L165" s="335"/>
      <c r="M165" s="335">
        <f>5.68</f>
        <v>5.68</v>
      </c>
      <c r="N165" s="335" t="s">
        <v>39794</v>
      </c>
      <c r="O165" s="335">
        <f t="shared" si="8"/>
        <v>5.68</v>
      </c>
    </row>
    <row r="166" spans="1:15" s="328" customFormat="1" x14ac:dyDescent="0.2">
      <c r="A166" s="541" t="s">
        <v>40290</v>
      </c>
      <c r="B166" s="541"/>
      <c r="C166" s="541"/>
      <c r="D166" s="335"/>
      <c r="E166" s="335"/>
      <c r="F166" s="335"/>
      <c r="G166" s="335"/>
      <c r="H166" s="335"/>
      <c r="I166" s="335"/>
      <c r="J166" s="335"/>
      <c r="K166" s="335"/>
      <c r="L166" s="335"/>
      <c r="M166" s="335">
        <f>112.27</f>
        <v>112.27</v>
      </c>
      <c r="N166" s="335" t="s">
        <v>39794</v>
      </c>
      <c r="O166" s="335">
        <f t="shared" si="8"/>
        <v>112.27</v>
      </c>
    </row>
    <row r="167" spans="1:15" s="328" customFormat="1" x14ac:dyDescent="0.2">
      <c r="A167" s="541" t="s">
        <v>40291</v>
      </c>
      <c r="B167" s="541"/>
      <c r="C167" s="541"/>
      <c r="D167" s="335"/>
      <c r="E167" s="335"/>
      <c r="F167" s="335"/>
      <c r="G167" s="335"/>
      <c r="H167" s="335"/>
      <c r="I167" s="335"/>
      <c r="J167" s="335"/>
      <c r="K167" s="335"/>
      <c r="L167" s="335"/>
      <c r="M167" s="335">
        <f>76.12</f>
        <v>76.12</v>
      </c>
      <c r="N167" s="335" t="s">
        <v>39794</v>
      </c>
      <c r="O167" s="335">
        <f t="shared" si="8"/>
        <v>76.12</v>
      </c>
    </row>
    <row r="168" spans="1:15" s="328" customFormat="1" x14ac:dyDescent="0.2">
      <c r="A168" s="541" t="s">
        <v>40292</v>
      </c>
      <c r="B168" s="541"/>
      <c r="C168" s="541"/>
      <c r="D168" s="335"/>
      <c r="E168" s="335"/>
      <c r="F168" s="335"/>
      <c r="G168" s="335"/>
      <c r="H168" s="335"/>
      <c r="I168" s="335"/>
      <c r="J168" s="335"/>
      <c r="K168" s="335"/>
      <c r="L168" s="335"/>
      <c r="M168" s="335">
        <f>57.55</f>
        <v>57.55</v>
      </c>
      <c r="N168" s="335" t="s">
        <v>39794</v>
      </c>
      <c r="O168" s="335">
        <f t="shared" si="8"/>
        <v>57.55</v>
      </c>
    </row>
    <row r="169" spans="1:15" s="328" customFormat="1" x14ac:dyDescent="0.2">
      <c r="A169" s="541" t="s">
        <v>40293</v>
      </c>
      <c r="B169" s="541"/>
      <c r="C169" s="541"/>
      <c r="D169" s="335"/>
      <c r="E169" s="335"/>
      <c r="F169" s="335"/>
      <c r="G169" s="335"/>
      <c r="H169" s="335"/>
      <c r="I169" s="335"/>
      <c r="J169" s="335"/>
      <c r="K169" s="335"/>
      <c r="L169" s="335"/>
      <c r="M169" s="335">
        <f>57.74</f>
        <v>57.74</v>
      </c>
      <c r="N169" s="335" t="s">
        <v>39794</v>
      </c>
      <c r="O169" s="335">
        <f t="shared" si="8"/>
        <v>57.74</v>
      </c>
    </row>
    <row r="170" spans="1:15" s="328" customFormat="1" x14ac:dyDescent="0.2">
      <c r="A170" s="541" t="s">
        <v>40294</v>
      </c>
      <c r="B170" s="541"/>
      <c r="C170" s="541"/>
      <c r="D170" s="335"/>
      <c r="E170" s="335"/>
      <c r="F170" s="335"/>
      <c r="G170" s="335"/>
      <c r="H170" s="335"/>
      <c r="I170" s="335"/>
      <c r="J170" s="335"/>
      <c r="K170" s="335"/>
      <c r="L170" s="335"/>
      <c r="M170" s="335">
        <f>57.55</f>
        <v>57.55</v>
      </c>
      <c r="N170" s="335" t="s">
        <v>39794</v>
      </c>
      <c r="O170" s="335">
        <f t="shared" si="8"/>
        <v>57.55</v>
      </c>
    </row>
    <row r="171" spans="1:15" s="328" customFormat="1" x14ac:dyDescent="0.2">
      <c r="A171" s="540"/>
      <c r="B171" s="540"/>
      <c r="C171" s="540"/>
      <c r="D171" s="540"/>
      <c r="E171" s="540"/>
      <c r="F171" s="540"/>
      <c r="G171" s="540"/>
      <c r="H171" s="540"/>
      <c r="I171" s="540"/>
      <c r="J171" s="540"/>
      <c r="K171" s="540"/>
      <c r="L171" s="334" t="s">
        <v>39796</v>
      </c>
      <c r="M171" s="334" t="s">
        <v>39168</v>
      </c>
      <c r="N171" s="333" t="s">
        <v>39794</v>
      </c>
      <c r="O171" s="334">
        <f>SUM(O160:O170)</f>
        <v>491.91</v>
      </c>
    </row>
    <row r="172" spans="1:15" s="328" customFormat="1" x14ac:dyDescent="0.2">
      <c r="A172" s="329" t="s">
        <v>39791</v>
      </c>
      <c r="B172" s="542" t="s">
        <v>5917</v>
      </c>
      <c r="C172" s="542"/>
      <c r="D172" s="542"/>
      <c r="E172" s="542"/>
      <c r="F172" s="542"/>
      <c r="G172" s="542"/>
      <c r="H172" s="542"/>
      <c r="I172" s="542"/>
      <c r="J172" s="542"/>
      <c r="K172" s="542"/>
      <c r="L172" s="542"/>
      <c r="M172" s="542"/>
      <c r="N172" s="329" t="s">
        <v>39197</v>
      </c>
      <c r="O172" s="330" t="s">
        <v>39792</v>
      </c>
    </row>
    <row r="173" spans="1:15" s="328" customFormat="1" ht="12.75" customHeight="1" x14ac:dyDescent="0.2">
      <c r="A173" s="331" t="str">
        <f>ORCAMENTO!A44</f>
        <v>4.1.2</v>
      </c>
      <c r="B173" s="543" t="str">
        <f>VLOOKUP(A173,ORCAMENTO!A:I,4,0)</f>
        <v>FORMA PLANA CHAPA COMPENSADA PLASTIFICADA, ESP.= 12mm UTIL. 5X</v>
      </c>
      <c r="C173" s="543"/>
      <c r="D173" s="543"/>
      <c r="E173" s="543"/>
      <c r="F173" s="543"/>
      <c r="G173" s="543"/>
      <c r="H173" s="543"/>
      <c r="I173" s="543"/>
      <c r="J173" s="543"/>
      <c r="K173" s="543"/>
      <c r="L173" s="543"/>
      <c r="M173" s="543"/>
      <c r="N173" s="331" t="str">
        <f>VLOOKUP(A173,ORCAMENTO!A:I,5,0)</f>
        <v>M2</v>
      </c>
      <c r="O173" s="332">
        <f>O188</f>
        <v>842.2299999999999</v>
      </c>
    </row>
    <row r="174" spans="1:15" s="328" customFormat="1" x14ac:dyDescent="0.2">
      <c r="A174" s="539" t="s">
        <v>39793</v>
      </c>
      <c r="B174" s="539"/>
      <c r="C174" s="539"/>
      <c r="D174" s="539"/>
      <c r="E174" s="539"/>
      <c r="F174" s="539"/>
      <c r="G174" s="539"/>
      <c r="H174" s="539"/>
      <c r="I174" s="539"/>
      <c r="J174" s="539"/>
      <c r="K174" s="539"/>
      <c r="L174" s="539"/>
      <c r="M174" s="539"/>
      <c r="N174" s="539"/>
      <c r="O174" s="539"/>
    </row>
    <row r="175" spans="1:15" s="328" customFormat="1" x14ac:dyDescent="0.2">
      <c r="A175" s="539" t="s">
        <v>5917</v>
      </c>
      <c r="B175" s="539"/>
      <c r="C175" s="539"/>
      <c r="D175" s="333"/>
      <c r="E175" s="333"/>
      <c r="F175" s="333"/>
      <c r="G175" s="334"/>
      <c r="H175" s="333"/>
      <c r="I175" s="332"/>
      <c r="J175" s="331"/>
      <c r="K175" s="334"/>
      <c r="L175" s="333"/>
      <c r="M175" s="334" t="s">
        <v>39799</v>
      </c>
      <c r="N175" s="333" t="s">
        <v>39794</v>
      </c>
      <c r="O175" s="334" t="s">
        <v>39795</v>
      </c>
    </row>
    <row r="176" spans="1:15" s="328" customFormat="1" x14ac:dyDescent="0.2">
      <c r="A176" s="541" t="s">
        <v>40295</v>
      </c>
      <c r="B176" s="541"/>
      <c r="C176" s="541"/>
      <c r="D176" s="335"/>
      <c r="E176" s="335"/>
      <c r="F176" s="335"/>
      <c r="G176" s="335"/>
      <c r="H176" s="335"/>
      <c r="I176" s="335"/>
      <c r="J176" s="335"/>
      <c r="K176" s="335"/>
      <c r="L176" s="335"/>
      <c r="M176" s="335">
        <f>27.69</f>
        <v>27.69</v>
      </c>
      <c r="N176" s="335" t="s">
        <v>39794</v>
      </c>
      <c r="O176" s="335">
        <f>ROUND(M176,2)</f>
        <v>27.69</v>
      </c>
    </row>
    <row r="177" spans="1:15" s="328" customFormat="1" x14ac:dyDescent="0.2">
      <c r="A177" s="541" t="s">
        <v>40296</v>
      </c>
      <c r="B177" s="541"/>
      <c r="C177" s="541"/>
      <c r="D177" s="335"/>
      <c r="E177" s="335"/>
      <c r="F177" s="335"/>
      <c r="G177" s="335"/>
      <c r="H177" s="335"/>
      <c r="I177" s="335"/>
      <c r="J177" s="335"/>
      <c r="K177" s="335"/>
      <c r="L177" s="335"/>
      <c r="M177" s="335">
        <f>293.38</f>
        <v>293.38</v>
      </c>
      <c r="N177" s="335" t="s">
        <v>39794</v>
      </c>
      <c r="O177" s="335">
        <f t="shared" ref="O177:O187" si="9">ROUND(M177,2)</f>
        <v>293.38</v>
      </c>
    </row>
    <row r="178" spans="1:15" s="328" customFormat="1" x14ac:dyDescent="0.2">
      <c r="A178" s="541" t="s">
        <v>40297</v>
      </c>
      <c r="B178" s="541"/>
      <c r="C178" s="541"/>
      <c r="D178" s="335"/>
      <c r="E178" s="335"/>
      <c r="F178" s="335"/>
      <c r="G178" s="335"/>
      <c r="H178" s="335"/>
      <c r="I178" s="335"/>
      <c r="J178" s="335"/>
      <c r="K178" s="335"/>
      <c r="L178" s="335"/>
      <c r="M178" s="335">
        <f>24.57</f>
        <v>24.57</v>
      </c>
      <c r="N178" s="335" t="s">
        <v>39794</v>
      </c>
      <c r="O178" s="335">
        <f t="shared" si="9"/>
        <v>24.57</v>
      </c>
    </row>
    <row r="179" spans="1:15" s="328" customFormat="1" x14ac:dyDescent="0.2">
      <c r="A179" s="541" t="s">
        <v>40298</v>
      </c>
      <c r="B179" s="541"/>
      <c r="C179" s="541"/>
      <c r="D179" s="335"/>
      <c r="E179" s="335"/>
      <c r="F179" s="335"/>
      <c r="G179" s="335"/>
      <c r="H179" s="335"/>
      <c r="I179" s="335"/>
      <c r="J179" s="335"/>
      <c r="K179" s="335"/>
      <c r="L179" s="335"/>
      <c r="M179" s="335">
        <f>3.12</f>
        <v>3.12</v>
      </c>
      <c r="N179" s="335" t="s">
        <v>39794</v>
      </c>
      <c r="O179" s="335">
        <f t="shared" si="9"/>
        <v>3.12</v>
      </c>
    </row>
    <row r="180" spans="1:15" s="328" customFormat="1" x14ac:dyDescent="0.2">
      <c r="A180" s="541" t="s">
        <v>40299</v>
      </c>
      <c r="B180" s="541"/>
      <c r="C180" s="541"/>
      <c r="D180" s="335"/>
      <c r="E180" s="332"/>
      <c r="F180" s="332"/>
      <c r="G180" s="332"/>
      <c r="H180" s="332"/>
      <c r="I180" s="332"/>
      <c r="J180" s="332"/>
      <c r="K180" s="332"/>
      <c r="L180" s="332"/>
      <c r="M180" s="332">
        <f>83.64</f>
        <v>83.64</v>
      </c>
      <c r="N180" s="335" t="s">
        <v>39794</v>
      </c>
      <c r="O180" s="335">
        <f t="shared" si="9"/>
        <v>83.64</v>
      </c>
    </row>
    <row r="181" spans="1:15" s="328" customFormat="1" x14ac:dyDescent="0.2">
      <c r="A181" s="541" t="s">
        <v>40300</v>
      </c>
      <c r="B181" s="541"/>
      <c r="C181" s="541"/>
      <c r="D181" s="335"/>
      <c r="E181" s="332"/>
      <c r="F181" s="332"/>
      <c r="G181" s="332"/>
      <c r="H181" s="332"/>
      <c r="I181" s="332"/>
      <c r="J181" s="332"/>
      <c r="K181" s="332"/>
      <c r="L181" s="332"/>
      <c r="M181" s="332">
        <f>106.18</f>
        <v>106.18</v>
      </c>
      <c r="N181" s="335" t="s">
        <v>39794</v>
      </c>
      <c r="O181" s="335">
        <f t="shared" si="9"/>
        <v>106.18</v>
      </c>
    </row>
    <row r="182" spans="1:15" s="328" customFormat="1" x14ac:dyDescent="0.2">
      <c r="A182" s="541" t="s">
        <v>40301</v>
      </c>
      <c r="B182" s="541"/>
      <c r="C182" s="541"/>
      <c r="D182" s="335"/>
      <c r="E182" s="332"/>
      <c r="F182" s="332"/>
      <c r="G182" s="332"/>
      <c r="H182" s="332"/>
      <c r="I182" s="332"/>
      <c r="J182" s="332"/>
      <c r="K182" s="332"/>
      <c r="L182" s="332"/>
      <c r="M182" s="332">
        <f>52.14</f>
        <v>52.14</v>
      </c>
      <c r="N182" s="335" t="s">
        <v>39794</v>
      </c>
      <c r="O182" s="335">
        <f t="shared" si="9"/>
        <v>52.14</v>
      </c>
    </row>
    <row r="183" spans="1:15" s="328" customFormat="1" x14ac:dyDescent="0.2">
      <c r="A183" s="541" t="s">
        <v>40302</v>
      </c>
      <c r="B183" s="541"/>
      <c r="C183" s="541"/>
      <c r="D183" s="335"/>
      <c r="E183" s="332"/>
      <c r="F183" s="332"/>
      <c r="G183" s="332"/>
      <c r="H183" s="332"/>
      <c r="I183" s="332"/>
      <c r="J183" s="332"/>
      <c r="K183" s="332"/>
      <c r="L183" s="332"/>
      <c r="M183" s="332">
        <f>52.89</f>
        <v>52.89</v>
      </c>
      <c r="N183" s="335" t="s">
        <v>39794</v>
      </c>
      <c r="O183" s="335">
        <f t="shared" si="9"/>
        <v>52.89</v>
      </c>
    </row>
    <row r="184" spans="1:15" s="328" customFormat="1" x14ac:dyDescent="0.2">
      <c r="A184" s="541" t="s">
        <v>40303</v>
      </c>
      <c r="B184" s="541"/>
      <c r="C184" s="541"/>
      <c r="D184" s="335"/>
      <c r="E184" s="332"/>
      <c r="F184" s="332"/>
      <c r="G184" s="332"/>
      <c r="H184" s="332"/>
      <c r="I184" s="332"/>
      <c r="J184" s="332"/>
      <c r="K184" s="332"/>
      <c r="L184" s="332"/>
      <c r="M184" s="332">
        <f>52.64</f>
        <v>52.64</v>
      </c>
      <c r="N184" s="335" t="s">
        <v>39794</v>
      </c>
      <c r="O184" s="335">
        <f t="shared" si="9"/>
        <v>52.64</v>
      </c>
    </row>
    <row r="185" spans="1:15" s="328" customFormat="1" x14ac:dyDescent="0.2">
      <c r="A185" s="541" t="s">
        <v>40304</v>
      </c>
      <c r="B185" s="541"/>
      <c r="C185" s="541"/>
      <c r="D185" s="335"/>
      <c r="E185" s="335"/>
      <c r="F185" s="335"/>
      <c r="G185" s="335"/>
      <c r="H185" s="335"/>
      <c r="I185" s="335"/>
      <c r="J185" s="335"/>
      <c r="K185" s="335"/>
      <c r="L185" s="335"/>
      <c r="M185" s="335">
        <f>52.77</f>
        <v>52.77</v>
      </c>
      <c r="N185" s="335" t="s">
        <v>39794</v>
      </c>
      <c r="O185" s="335">
        <f t="shared" si="9"/>
        <v>52.77</v>
      </c>
    </row>
    <row r="186" spans="1:15" s="328" customFormat="1" x14ac:dyDescent="0.2">
      <c r="A186" s="541" t="s">
        <v>40305</v>
      </c>
      <c r="B186" s="541"/>
      <c r="C186" s="541"/>
      <c r="D186" s="335"/>
      <c r="E186" s="335"/>
      <c r="F186" s="335"/>
      <c r="G186" s="335"/>
      <c r="H186" s="335"/>
      <c r="I186" s="335"/>
      <c r="J186" s="335"/>
      <c r="K186" s="335"/>
      <c r="L186" s="335"/>
      <c r="M186" s="335">
        <f>52.89</f>
        <v>52.89</v>
      </c>
      <c r="N186" s="335" t="s">
        <v>39794</v>
      </c>
      <c r="O186" s="335">
        <f t="shared" si="9"/>
        <v>52.89</v>
      </c>
    </row>
    <row r="187" spans="1:15" s="328" customFormat="1" x14ac:dyDescent="0.2">
      <c r="A187" s="541" t="s">
        <v>40306</v>
      </c>
      <c r="B187" s="541"/>
      <c r="C187" s="541"/>
      <c r="D187" s="335"/>
      <c r="E187" s="335"/>
      <c r="F187" s="335"/>
      <c r="G187" s="335"/>
      <c r="H187" s="335"/>
      <c r="I187" s="335"/>
      <c r="J187" s="335"/>
      <c r="K187" s="335"/>
      <c r="L187" s="335"/>
      <c r="M187" s="335">
        <f>40.32</f>
        <v>40.32</v>
      </c>
      <c r="N187" s="335" t="s">
        <v>39794</v>
      </c>
      <c r="O187" s="335">
        <f t="shared" si="9"/>
        <v>40.32</v>
      </c>
    </row>
    <row r="188" spans="1:15" s="328" customFormat="1" x14ac:dyDescent="0.2">
      <c r="A188" s="540"/>
      <c r="B188" s="540"/>
      <c r="C188" s="540"/>
      <c r="D188" s="540"/>
      <c r="E188" s="540"/>
      <c r="F188" s="540"/>
      <c r="G188" s="540"/>
      <c r="H188" s="540"/>
      <c r="I188" s="540"/>
      <c r="J188" s="540"/>
      <c r="K188" s="540"/>
      <c r="L188" s="334" t="s">
        <v>39796</v>
      </c>
      <c r="M188" s="334" t="s">
        <v>39168</v>
      </c>
      <c r="N188" s="333" t="s">
        <v>39794</v>
      </c>
      <c r="O188" s="334">
        <f>SUM(O175:O187)</f>
        <v>842.2299999999999</v>
      </c>
    </row>
    <row r="189" spans="1:15" s="328" customFormat="1" x14ac:dyDescent="0.2">
      <c r="A189" s="329" t="s">
        <v>39791</v>
      </c>
      <c r="B189" s="542" t="s">
        <v>5917</v>
      </c>
      <c r="C189" s="542"/>
      <c r="D189" s="542"/>
      <c r="E189" s="542"/>
      <c r="F189" s="542"/>
      <c r="G189" s="542"/>
      <c r="H189" s="542"/>
      <c r="I189" s="542"/>
      <c r="J189" s="542"/>
      <c r="K189" s="542"/>
      <c r="L189" s="542"/>
      <c r="M189" s="542"/>
      <c r="N189" s="329" t="s">
        <v>39197</v>
      </c>
      <c r="O189" s="330" t="s">
        <v>39792</v>
      </c>
    </row>
    <row r="190" spans="1:15" s="328" customFormat="1" ht="12.75" customHeight="1" x14ac:dyDescent="0.2">
      <c r="A190" s="331" t="str">
        <f>ORCAMENTO!A45</f>
        <v>4.1.3</v>
      </c>
      <c r="B190" s="543" t="str">
        <f>VLOOKUP(A190,ORCAMENTO!A:I,4,0)</f>
        <v>ESCORAMENTO TUBULAR TIPO CONVENCIONAL</v>
      </c>
      <c r="C190" s="543"/>
      <c r="D190" s="543"/>
      <c r="E190" s="543"/>
      <c r="F190" s="543"/>
      <c r="G190" s="543"/>
      <c r="H190" s="543"/>
      <c r="I190" s="543"/>
      <c r="J190" s="543"/>
      <c r="K190" s="543"/>
      <c r="L190" s="543"/>
      <c r="M190" s="543"/>
      <c r="N190" s="331" t="str">
        <f>VLOOKUP(A190,ORCAMENTO!A:I,5,0)</f>
        <v>M3</v>
      </c>
      <c r="O190" s="332">
        <f>O197</f>
        <v>458.66</v>
      </c>
    </row>
    <row r="191" spans="1:15" s="328" customFormat="1" x14ac:dyDescent="0.2">
      <c r="A191" s="539" t="s">
        <v>39793</v>
      </c>
      <c r="B191" s="539"/>
      <c r="C191" s="539"/>
      <c r="D191" s="539"/>
      <c r="E191" s="539"/>
      <c r="F191" s="539"/>
      <c r="G191" s="539"/>
      <c r="H191" s="539"/>
      <c r="I191" s="539"/>
      <c r="J191" s="539"/>
      <c r="K191" s="539"/>
      <c r="L191" s="539"/>
      <c r="M191" s="539"/>
      <c r="N191" s="539"/>
      <c r="O191" s="539"/>
    </row>
    <row r="192" spans="1:15" s="328" customFormat="1" x14ac:dyDescent="0.2">
      <c r="A192" s="539" t="s">
        <v>5917</v>
      </c>
      <c r="B192" s="539"/>
      <c r="C192" s="539"/>
      <c r="D192" s="333"/>
      <c r="E192" s="333"/>
      <c r="F192" s="333"/>
      <c r="G192" s="334"/>
      <c r="H192" s="333"/>
      <c r="I192" s="334" t="s">
        <v>39823</v>
      </c>
      <c r="J192" s="333" t="s">
        <v>39805</v>
      </c>
      <c r="K192" s="334" t="s">
        <v>39804</v>
      </c>
      <c r="L192" s="333" t="s">
        <v>39805</v>
      </c>
      <c r="M192" s="334" t="s">
        <v>39802</v>
      </c>
      <c r="N192" s="333" t="s">
        <v>39794</v>
      </c>
      <c r="O192" s="334" t="s">
        <v>39795</v>
      </c>
    </row>
    <row r="193" spans="1:15" s="328" customFormat="1" x14ac:dyDescent="0.2">
      <c r="A193" s="535" t="s">
        <v>40376</v>
      </c>
      <c r="B193" s="535"/>
      <c r="C193" s="535"/>
      <c r="D193" s="332"/>
      <c r="E193" s="332"/>
      <c r="F193" s="332"/>
      <c r="G193" s="332"/>
      <c r="H193" s="332"/>
      <c r="I193" s="332">
        <f>3.2</f>
        <v>3.2</v>
      </c>
      <c r="J193" s="332" t="s">
        <v>39805</v>
      </c>
      <c r="K193" s="332">
        <f>1</f>
        <v>1</v>
      </c>
      <c r="L193" s="332" t="s">
        <v>39805</v>
      </c>
      <c r="M193" s="332">
        <f>45.3</f>
        <v>45.3</v>
      </c>
      <c r="N193" s="332" t="s">
        <v>39794</v>
      </c>
      <c r="O193" s="332">
        <f>ROUND(I193*K193*M193,2)</f>
        <v>144.96</v>
      </c>
    </row>
    <row r="194" spans="1:15" s="328" customFormat="1" x14ac:dyDescent="0.2">
      <c r="A194" s="535" t="s">
        <v>40377</v>
      </c>
      <c r="B194" s="535"/>
      <c r="C194" s="535"/>
      <c r="D194" s="332"/>
      <c r="E194" s="332"/>
      <c r="F194" s="332"/>
      <c r="G194" s="332"/>
      <c r="H194" s="332"/>
      <c r="I194" s="332">
        <f>3.2</f>
        <v>3.2</v>
      </c>
      <c r="J194" s="332" t="s">
        <v>39805</v>
      </c>
      <c r="K194" s="332">
        <f>1</f>
        <v>1</v>
      </c>
      <c r="L194" s="332" t="s">
        <v>39805</v>
      </c>
      <c r="M194" s="332">
        <f>45.3</f>
        <v>45.3</v>
      </c>
      <c r="N194" s="332" t="s">
        <v>39794</v>
      </c>
      <c r="O194" s="332">
        <f t="shared" ref="O194:O196" si="10">ROUND(I194*K194*M194,2)</f>
        <v>144.96</v>
      </c>
    </row>
    <row r="195" spans="1:15" s="328" customFormat="1" x14ac:dyDescent="0.2">
      <c r="A195" s="535" t="s">
        <v>40378</v>
      </c>
      <c r="B195" s="535"/>
      <c r="C195" s="535"/>
      <c r="D195" s="332"/>
      <c r="E195" s="332"/>
      <c r="F195" s="332"/>
      <c r="G195" s="332"/>
      <c r="H195" s="332"/>
      <c r="I195" s="332">
        <f>4.7</f>
        <v>4.7</v>
      </c>
      <c r="J195" s="332" t="s">
        <v>39805</v>
      </c>
      <c r="K195" s="332">
        <f>1</f>
        <v>1</v>
      </c>
      <c r="L195" s="332" t="s">
        <v>39805</v>
      </c>
      <c r="M195" s="332">
        <f>17.95</f>
        <v>17.95</v>
      </c>
      <c r="N195" s="332" t="s">
        <v>39794</v>
      </c>
      <c r="O195" s="332">
        <f t="shared" si="10"/>
        <v>84.37</v>
      </c>
    </row>
    <row r="196" spans="1:15" s="328" customFormat="1" x14ac:dyDescent="0.2">
      <c r="A196" s="535" t="s">
        <v>40379</v>
      </c>
      <c r="B196" s="535"/>
      <c r="C196" s="535"/>
      <c r="D196" s="332"/>
      <c r="E196" s="332"/>
      <c r="F196" s="332"/>
      <c r="G196" s="332"/>
      <c r="H196" s="332"/>
      <c r="I196" s="332">
        <f>4.7</f>
        <v>4.7</v>
      </c>
      <c r="J196" s="332" t="s">
        <v>39805</v>
      </c>
      <c r="K196" s="332">
        <f>1</f>
        <v>1</v>
      </c>
      <c r="L196" s="332" t="s">
        <v>39805</v>
      </c>
      <c r="M196" s="332">
        <f>17.95</f>
        <v>17.95</v>
      </c>
      <c r="N196" s="332" t="s">
        <v>39794</v>
      </c>
      <c r="O196" s="332">
        <f t="shared" si="10"/>
        <v>84.37</v>
      </c>
    </row>
    <row r="197" spans="1:15" s="328" customFormat="1" x14ac:dyDescent="0.2">
      <c r="A197" s="540"/>
      <c r="B197" s="540"/>
      <c r="C197" s="540"/>
      <c r="D197" s="540"/>
      <c r="E197" s="540"/>
      <c r="F197" s="540"/>
      <c r="G197" s="540"/>
      <c r="H197" s="540"/>
      <c r="I197" s="540"/>
      <c r="J197" s="540"/>
      <c r="K197" s="540"/>
      <c r="L197" s="334" t="s">
        <v>39796</v>
      </c>
      <c r="M197" s="334" t="s">
        <v>39168</v>
      </c>
      <c r="N197" s="333" t="s">
        <v>39794</v>
      </c>
      <c r="O197" s="334">
        <f>SUM(O192:O196)</f>
        <v>458.66</v>
      </c>
    </row>
    <row r="198" spans="1:15" s="328" customFormat="1" x14ac:dyDescent="0.2">
      <c r="A198" s="338" t="str">
        <f>ORCAMENTO!A47</f>
        <v>4.2</v>
      </c>
      <c r="B198" s="555" t="str">
        <f>VLOOKUP(A198,ORCAMENTO!A:I,4,0)</f>
        <v>ARMADURA</v>
      </c>
      <c r="C198" s="555"/>
      <c r="D198" s="555"/>
      <c r="E198" s="555"/>
      <c r="F198" s="555"/>
      <c r="G198" s="555"/>
      <c r="H198" s="555"/>
      <c r="I198" s="555"/>
      <c r="J198" s="555"/>
      <c r="K198" s="555"/>
      <c r="L198" s="555"/>
      <c r="M198" s="555"/>
      <c r="N198" s="555"/>
      <c r="O198" s="555"/>
    </row>
    <row r="199" spans="1:15" s="328" customFormat="1" x14ac:dyDescent="0.2">
      <c r="A199" s="329" t="s">
        <v>39791</v>
      </c>
      <c r="B199" s="542" t="s">
        <v>5917</v>
      </c>
      <c r="C199" s="542"/>
      <c r="D199" s="542"/>
      <c r="E199" s="542"/>
      <c r="F199" s="542"/>
      <c r="G199" s="542"/>
      <c r="H199" s="542"/>
      <c r="I199" s="542"/>
      <c r="J199" s="542"/>
      <c r="K199" s="542"/>
      <c r="L199" s="542"/>
      <c r="M199" s="542"/>
      <c r="N199" s="329" t="s">
        <v>39197</v>
      </c>
      <c r="O199" s="330" t="s">
        <v>39792</v>
      </c>
    </row>
    <row r="200" spans="1:15" s="328" customFormat="1" ht="12.75" customHeight="1" x14ac:dyDescent="0.2">
      <c r="A200" s="331" t="str">
        <f>ORCAMENTO!A48</f>
        <v>4.2.1</v>
      </c>
      <c r="B200" s="543" t="str">
        <f>VLOOKUP(A200,ORCAMENTO!A:I,4,0)</f>
        <v>ARMADURA CA-60 FINA D=3,40 A 6,40mm</v>
      </c>
      <c r="C200" s="543"/>
      <c r="D200" s="543"/>
      <c r="E200" s="543"/>
      <c r="F200" s="543"/>
      <c r="G200" s="543"/>
      <c r="H200" s="543"/>
      <c r="I200" s="543"/>
      <c r="J200" s="543"/>
      <c r="K200" s="543"/>
      <c r="L200" s="543"/>
      <c r="M200" s="543"/>
      <c r="N200" s="331" t="str">
        <f>VLOOKUP(A200,ORCAMENTO!A:I,5,0)</f>
        <v>KG</v>
      </c>
      <c r="O200" s="332">
        <f>O225</f>
        <v>1556.7</v>
      </c>
    </row>
    <row r="201" spans="1:15" s="328" customFormat="1" x14ac:dyDescent="0.2">
      <c r="A201" s="539" t="s">
        <v>39793</v>
      </c>
      <c r="B201" s="539"/>
      <c r="C201" s="539"/>
      <c r="D201" s="539"/>
      <c r="E201" s="539"/>
      <c r="F201" s="539"/>
      <c r="G201" s="539"/>
      <c r="H201" s="539"/>
      <c r="I201" s="539"/>
      <c r="J201" s="539"/>
      <c r="K201" s="539"/>
      <c r="L201" s="539"/>
      <c r="M201" s="539"/>
      <c r="N201" s="539"/>
      <c r="O201" s="539"/>
    </row>
    <row r="202" spans="1:15" s="328" customFormat="1" x14ac:dyDescent="0.2">
      <c r="A202" s="539" t="s">
        <v>5917</v>
      </c>
      <c r="B202" s="539"/>
      <c r="C202" s="539"/>
      <c r="D202" s="333"/>
      <c r="E202" s="333"/>
      <c r="F202" s="333"/>
      <c r="G202" s="334"/>
      <c r="H202" s="333"/>
      <c r="I202" s="332"/>
      <c r="J202" s="331"/>
      <c r="K202" s="334"/>
      <c r="L202" s="333"/>
      <c r="M202" s="334" t="s">
        <v>40307</v>
      </c>
      <c r="N202" s="333" t="s">
        <v>39794</v>
      </c>
      <c r="O202" s="334" t="s">
        <v>39795</v>
      </c>
    </row>
    <row r="203" spans="1:15" s="328" customFormat="1" x14ac:dyDescent="0.2">
      <c r="A203" s="541" t="s">
        <v>40308</v>
      </c>
      <c r="B203" s="541"/>
      <c r="C203" s="541"/>
      <c r="D203" s="332"/>
      <c r="E203" s="332"/>
      <c r="F203" s="332"/>
      <c r="G203" s="332"/>
      <c r="H203" s="332"/>
      <c r="I203" s="332"/>
      <c r="J203" s="332"/>
      <c r="K203" s="332"/>
      <c r="L203" s="332"/>
      <c r="M203" s="332">
        <f>108.5</f>
        <v>108.5</v>
      </c>
      <c r="N203" s="335" t="s">
        <v>39794</v>
      </c>
      <c r="O203" s="335">
        <f t="shared" ref="O203:O224" si="11">ROUND(M203,2)</f>
        <v>108.5</v>
      </c>
    </row>
    <row r="204" spans="1:15" s="328" customFormat="1" x14ac:dyDescent="0.2">
      <c r="A204" s="541" t="s">
        <v>40310</v>
      </c>
      <c r="B204" s="541"/>
      <c r="C204" s="541"/>
      <c r="D204" s="332"/>
      <c r="E204" s="332"/>
      <c r="F204" s="332"/>
      <c r="G204" s="332"/>
      <c r="H204" s="332"/>
      <c r="I204" s="332"/>
      <c r="J204" s="332"/>
      <c r="K204" s="332"/>
      <c r="L204" s="332"/>
      <c r="M204" s="332">
        <f>65</f>
        <v>65</v>
      </c>
      <c r="N204" s="335" t="s">
        <v>39794</v>
      </c>
      <c r="O204" s="335">
        <f t="shared" si="11"/>
        <v>65</v>
      </c>
    </row>
    <row r="205" spans="1:15" s="328" customFormat="1" x14ac:dyDescent="0.2">
      <c r="A205" s="541" t="s">
        <v>40312</v>
      </c>
      <c r="B205" s="541"/>
      <c r="C205" s="541"/>
      <c r="D205" s="332"/>
      <c r="E205" s="332"/>
      <c r="F205" s="332"/>
      <c r="G205" s="332"/>
      <c r="H205" s="332"/>
      <c r="I205" s="332"/>
      <c r="J205" s="332"/>
      <c r="K205" s="332"/>
      <c r="L205" s="332"/>
      <c r="M205" s="332">
        <f>57.4</f>
        <v>57.4</v>
      </c>
      <c r="N205" s="335" t="s">
        <v>39794</v>
      </c>
      <c r="O205" s="335">
        <f t="shared" si="11"/>
        <v>57.4</v>
      </c>
    </row>
    <row r="206" spans="1:15" s="328" customFormat="1" x14ac:dyDescent="0.2">
      <c r="A206" s="541" t="s">
        <v>40312</v>
      </c>
      <c r="B206" s="541"/>
      <c r="C206" s="541"/>
      <c r="D206" s="332"/>
      <c r="E206" s="332"/>
      <c r="F206" s="332"/>
      <c r="G206" s="332"/>
      <c r="H206" s="332"/>
      <c r="I206" s="332"/>
      <c r="J206" s="332"/>
      <c r="K206" s="332"/>
      <c r="L206" s="332"/>
      <c r="M206" s="332">
        <f>57.2</f>
        <v>57.2</v>
      </c>
      <c r="N206" s="335" t="s">
        <v>39794</v>
      </c>
      <c r="O206" s="335">
        <f t="shared" si="11"/>
        <v>57.2</v>
      </c>
    </row>
    <row r="207" spans="1:15" s="328" customFormat="1" x14ac:dyDescent="0.2">
      <c r="A207" s="541" t="s">
        <v>40314</v>
      </c>
      <c r="B207" s="541"/>
      <c r="C207" s="541"/>
      <c r="D207" s="332"/>
      <c r="E207" s="332"/>
      <c r="F207" s="332"/>
      <c r="G207" s="332"/>
      <c r="H207" s="332"/>
      <c r="I207" s="332"/>
      <c r="J207" s="332"/>
      <c r="K207" s="332"/>
      <c r="L207" s="332"/>
      <c r="M207" s="332">
        <f>57.4</f>
        <v>57.4</v>
      </c>
      <c r="N207" s="335" t="s">
        <v>39794</v>
      </c>
      <c r="O207" s="335">
        <f t="shared" si="11"/>
        <v>57.4</v>
      </c>
    </row>
    <row r="208" spans="1:15" s="328" customFormat="1" x14ac:dyDescent="0.2">
      <c r="A208" s="541" t="s">
        <v>40316</v>
      </c>
      <c r="B208" s="541"/>
      <c r="C208" s="541"/>
      <c r="D208" s="332"/>
      <c r="E208" s="332"/>
      <c r="F208" s="332"/>
      <c r="G208" s="332"/>
      <c r="H208" s="332"/>
      <c r="I208" s="332"/>
      <c r="J208" s="332"/>
      <c r="K208" s="332"/>
      <c r="L208" s="332"/>
      <c r="M208" s="332">
        <f>51.8</f>
        <v>51.8</v>
      </c>
      <c r="N208" s="335" t="s">
        <v>39794</v>
      </c>
      <c r="O208" s="335">
        <f t="shared" si="11"/>
        <v>51.8</v>
      </c>
    </row>
    <row r="209" spans="1:15" s="328" customFormat="1" x14ac:dyDescent="0.2">
      <c r="A209" s="541" t="s">
        <v>40320</v>
      </c>
      <c r="B209" s="541"/>
      <c r="C209" s="541"/>
      <c r="D209" s="332"/>
      <c r="E209" s="332"/>
      <c r="F209" s="332"/>
      <c r="G209" s="332"/>
      <c r="H209" s="332"/>
      <c r="I209" s="332"/>
      <c r="J209" s="332"/>
      <c r="K209" s="332"/>
      <c r="L209" s="332"/>
      <c r="M209" s="332">
        <f>25.6</f>
        <v>25.6</v>
      </c>
      <c r="N209" s="335" t="s">
        <v>39794</v>
      </c>
      <c r="O209" s="335">
        <f t="shared" si="11"/>
        <v>25.6</v>
      </c>
    </row>
    <row r="210" spans="1:15" s="328" customFormat="1" x14ac:dyDescent="0.2">
      <c r="A210" s="541" t="s">
        <v>40324</v>
      </c>
      <c r="B210" s="541"/>
      <c r="C210" s="541"/>
      <c r="D210" s="332"/>
      <c r="E210" s="332"/>
      <c r="F210" s="332"/>
      <c r="G210" s="332"/>
      <c r="H210" s="332"/>
      <c r="I210" s="332"/>
      <c r="J210" s="332"/>
      <c r="K210" s="332"/>
      <c r="L210" s="332"/>
      <c r="M210" s="332">
        <f>39.4</f>
        <v>39.4</v>
      </c>
      <c r="N210" s="335" t="s">
        <v>39794</v>
      </c>
      <c r="O210" s="335">
        <f t="shared" si="11"/>
        <v>39.4</v>
      </c>
    </row>
    <row r="211" spans="1:15" s="328" customFormat="1" x14ac:dyDescent="0.2">
      <c r="A211" s="541" t="s">
        <v>40328</v>
      </c>
      <c r="B211" s="541"/>
      <c r="C211" s="541"/>
      <c r="D211" s="332"/>
      <c r="E211" s="332"/>
      <c r="F211" s="332"/>
      <c r="G211" s="332"/>
      <c r="H211" s="332"/>
      <c r="I211" s="332"/>
      <c r="J211" s="332"/>
      <c r="K211" s="332"/>
      <c r="L211" s="332"/>
      <c r="M211" s="332">
        <f>33.9</f>
        <v>33.9</v>
      </c>
      <c r="N211" s="335" t="s">
        <v>39794</v>
      </c>
      <c r="O211" s="335">
        <f t="shared" si="11"/>
        <v>33.9</v>
      </c>
    </row>
    <row r="212" spans="1:15" s="328" customFormat="1" x14ac:dyDescent="0.2">
      <c r="A212" s="541" t="s">
        <v>40332</v>
      </c>
      <c r="B212" s="541"/>
      <c r="C212" s="541"/>
      <c r="D212" s="332"/>
      <c r="E212" s="332"/>
      <c r="F212" s="332"/>
      <c r="G212" s="332"/>
      <c r="H212" s="332"/>
      <c r="I212" s="332"/>
      <c r="J212" s="332"/>
      <c r="K212" s="332"/>
      <c r="L212" s="332"/>
      <c r="M212" s="332">
        <f>5.3</f>
        <v>5.3</v>
      </c>
      <c r="N212" s="335" t="s">
        <v>39794</v>
      </c>
      <c r="O212" s="335">
        <f t="shared" si="11"/>
        <v>5.3</v>
      </c>
    </row>
    <row r="213" spans="1:15" s="328" customFormat="1" x14ac:dyDescent="0.2">
      <c r="A213" s="541" t="s">
        <v>40336</v>
      </c>
      <c r="B213" s="541"/>
      <c r="C213" s="541"/>
      <c r="D213" s="332"/>
      <c r="E213" s="332"/>
      <c r="F213" s="332"/>
      <c r="G213" s="332"/>
      <c r="H213" s="332"/>
      <c r="I213" s="332"/>
      <c r="J213" s="332"/>
      <c r="K213" s="332"/>
      <c r="L213" s="332"/>
      <c r="M213" s="332">
        <f>461.1</f>
        <v>461.1</v>
      </c>
      <c r="N213" s="335" t="s">
        <v>39794</v>
      </c>
      <c r="O213" s="335">
        <f t="shared" si="11"/>
        <v>461.1</v>
      </c>
    </row>
    <row r="214" spans="1:15" s="328" customFormat="1" x14ac:dyDescent="0.2">
      <c r="A214" s="541" t="s">
        <v>40339</v>
      </c>
      <c r="B214" s="541"/>
      <c r="C214" s="541"/>
      <c r="D214" s="332"/>
      <c r="E214" s="332"/>
      <c r="F214" s="332"/>
      <c r="G214" s="332"/>
      <c r="H214" s="332"/>
      <c r="I214" s="332"/>
      <c r="J214" s="332"/>
      <c r="K214" s="332"/>
      <c r="L214" s="332"/>
      <c r="M214" s="332">
        <f>37.9</f>
        <v>37.9</v>
      </c>
      <c r="N214" s="335" t="s">
        <v>39794</v>
      </c>
      <c r="O214" s="335">
        <f t="shared" si="11"/>
        <v>37.9</v>
      </c>
    </row>
    <row r="215" spans="1:15" s="328" customFormat="1" x14ac:dyDescent="0.2">
      <c r="A215" s="541" t="s">
        <v>40341</v>
      </c>
      <c r="B215" s="541"/>
      <c r="C215" s="541"/>
      <c r="D215" s="332"/>
      <c r="E215" s="332"/>
      <c r="F215" s="332"/>
      <c r="G215" s="332"/>
      <c r="H215" s="332"/>
      <c r="I215" s="332"/>
      <c r="J215" s="332"/>
      <c r="K215" s="332"/>
      <c r="L215" s="332"/>
      <c r="M215" s="332">
        <f>33.4</f>
        <v>33.4</v>
      </c>
      <c r="N215" s="335" t="s">
        <v>39794</v>
      </c>
      <c r="O215" s="335">
        <f t="shared" si="11"/>
        <v>33.4</v>
      </c>
    </row>
    <row r="216" spans="1:15" s="328" customFormat="1" x14ac:dyDescent="0.2">
      <c r="A216" s="541" t="s">
        <v>40343</v>
      </c>
      <c r="B216" s="541"/>
      <c r="C216" s="541"/>
      <c r="D216" s="332"/>
      <c r="E216" s="332"/>
      <c r="F216" s="332"/>
      <c r="G216" s="332"/>
      <c r="H216" s="332"/>
      <c r="I216" s="332"/>
      <c r="J216" s="332"/>
      <c r="K216" s="332"/>
      <c r="L216" s="332"/>
      <c r="M216" s="332">
        <f>4.4</f>
        <v>4.4000000000000004</v>
      </c>
      <c r="N216" s="335" t="s">
        <v>39794</v>
      </c>
      <c r="O216" s="335">
        <f t="shared" si="11"/>
        <v>4.4000000000000004</v>
      </c>
    </row>
    <row r="217" spans="1:15" s="328" customFormat="1" x14ac:dyDescent="0.2">
      <c r="A217" s="541" t="s">
        <v>40345</v>
      </c>
      <c r="B217" s="541"/>
      <c r="C217" s="541"/>
      <c r="D217" s="332"/>
      <c r="E217" s="332"/>
      <c r="F217" s="332"/>
      <c r="G217" s="332"/>
      <c r="H217" s="332"/>
      <c r="I217" s="332"/>
      <c r="J217" s="332"/>
      <c r="K217" s="332"/>
      <c r="L217" s="332"/>
      <c r="M217" s="332">
        <f>102.1</f>
        <v>102.1</v>
      </c>
      <c r="N217" s="335" t="s">
        <v>39794</v>
      </c>
      <c r="O217" s="335">
        <f t="shared" si="11"/>
        <v>102.1</v>
      </c>
    </row>
    <row r="218" spans="1:15" s="328" customFormat="1" x14ac:dyDescent="0.2">
      <c r="A218" s="541" t="s">
        <v>40349</v>
      </c>
      <c r="B218" s="541"/>
      <c r="C218" s="541"/>
      <c r="D218" s="332"/>
      <c r="E218" s="332"/>
      <c r="F218" s="332"/>
      <c r="G218" s="332"/>
      <c r="H218" s="332"/>
      <c r="I218" s="332"/>
      <c r="J218" s="332"/>
      <c r="K218" s="332"/>
      <c r="L218" s="332"/>
      <c r="M218" s="332">
        <f>127.3</f>
        <v>127.3</v>
      </c>
      <c r="N218" s="335" t="s">
        <v>39794</v>
      </c>
      <c r="O218" s="335">
        <f t="shared" si="11"/>
        <v>127.3</v>
      </c>
    </row>
    <row r="219" spans="1:15" s="328" customFormat="1" x14ac:dyDescent="0.2">
      <c r="A219" s="541" t="s">
        <v>40353</v>
      </c>
      <c r="B219" s="541"/>
      <c r="C219" s="541"/>
      <c r="D219" s="332"/>
      <c r="E219" s="332"/>
      <c r="F219" s="332"/>
      <c r="G219" s="332"/>
      <c r="H219" s="332"/>
      <c r="I219" s="332"/>
      <c r="J219" s="332"/>
      <c r="K219" s="332"/>
      <c r="L219" s="332"/>
      <c r="M219" s="332">
        <f>64.3</f>
        <v>64.3</v>
      </c>
      <c r="N219" s="335" t="s">
        <v>39794</v>
      </c>
      <c r="O219" s="335">
        <f t="shared" si="11"/>
        <v>64.3</v>
      </c>
    </row>
    <row r="220" spans="1:15" s="328" customFormat="1" x14ac:dyDescent="0.2">
      <c r="A220" s="541" t="s">
        <v>40356</v>
      </c>
      <c r="B220" s="541"/>
      <c r="C220" s="541"/>
      <c r="D220" s="332"/>
      <c r="E220" s="332"/>
      <c r="F220" s="332"/>
      <c r="G220" s="332"/>
      <c r="H220" s="332"/>
      <c r="I220" s="332"/>
      <c r="J220" s="332"/>
      <c r="K220" s="332"/>
      <c r="L220" s="332"/>
      <c r="M220" s="332">
        <f>46.5</f>
        <v>46.5</v>
      </c>
      <c r="N220" s="335" t="s">
        <v>39794</v>
      </c>
      <c r="O220" s="335">
        <f t="shared" si="11"/>
        <v>46.5</v>
      </c>
    </row>
    <row r="221" spans="1:15" s="328" customFormat="1" x14ac:dyDescent="0.2">
      <c r="A221" s="541" t="s">
        <v>40360</v>
      </c>
      <c r="B221" s="541"/>
      <c r="C221" s="541"/>
      <c r="D221" s="332"/>
      <c r="E221" s="332"/>
      <c r="F221" s="332"/>
      <c r="G221" s="332"/>
      <c r="H221" s="332"/>
      <c r="I221" s="332"/>
      <c r="J221" s="332"/>
      <c r="K221" s="332"/>
      <c r="L221" s="332"/>
      <c r="M221" s="332">
        <f>45.8</f>
        <v>45.8</v>
      </c>
      <c r="N221" s="335" t="s">
        <v>39794</v>
      </c>
      <c r="O221" s="335">
        <f t="shared" si="11"/>
        <v>45.8</v>
      </c>
    </row>
    <row r="222" spans="1:15" s="328" customFormat="1" x14ac:dyDescent="0.2">
      <c r="A222" s="541" t="s">
        <v>40363</v>
      </c>
      <c r="B222" s="541"/>
      <c r="C222" s="541"/>
      <c r="D222" s="332"/>
      <c r="E222" s="332"/>
      <c r="F222" s="332"/>
      <c r="G222" s="332"/>
      <c r="H222" s="332"/>
      <c r="I222" s="332"/>
      <c r="J222" s="332"/>
      <c r="K222" s="332"/>
      <c r="L222" s="332"/>
      <c r="M222" s="332">
        <f>45.9</f>
        <v>45.9</v>
      </c>
      <c r="N222" s="335" t="s">
        <v>39794</v>
      </c>
      <c r="O222" s="335">
        <f t="shared" si="11"/>
        <v>45.9</v>
      </c>
    </row>
    <row r="223" spans="1:15" s="328" customFormat="1" x14ac:dyDescent="0.2">
      <c r="A223" s="541" t="s">
        <v>40366</v>
      </c>
      <c r="B223" s="541"/>
      <c r="C223" s="541"/>
      <c r="D223" s="332"/>
      <c r="E223" s="332"/>
      <c r="F223" s="332"/>
      <c r="G223" s="332"/>
      <c r="H223" s="332"/>
      <c r="I223" s="332"/>
      <c r="J223" s="332"/>
      <c r="K223" s="332"/>
      <c r="L223" s="332"/>
      <c r="M223" s="332">
        <f>46.5</f>
        <v>46.5</v>
      </c>
      <c r="N223" s="335" t="s">
        <v>39794</v>
      </c>
      <c r="O223" s="335">
        <f t="shared" si="11"/>
        <v>46.5</v>
      </c>
    </row>
    <row r="224" spans="1:15" s="328" customFormat="1" x14ac:dyDescent="0.2">
      <c r="A224" s="541" t="s">
        <v>40371</v>
      </c>
      <c r="B224" s="541"/>
      <c r="C224" s="541"/>
      <c r="D224" s="335"/>
      <c r="E224" s="335"/>
      <c r="F224" s="335"/>
      <c r="G224" s="335"/>
      <c r="H224" s="335"/>
      <c r="I224" s="335"/>
      <c r="J224" s="335"/>
      <c r="K224" s="335"/>
      <c r="L224" s="332"/>
      <c r="M224" s="335">
        <f>40</f>
        <v>40</v>
      </c>
      <c r="N224" s="335" t="s">
        <v>39794</v>
      </c>
      <c r="O224" s="335">
        <f t="shared" si="11"/>
        <v>40</v>
      </c>
    </row>
    <row r="225" spans="1:15" s="328" customFormat="1" x14ac:dyDescent="0.2">
      <c r="A225" s="540"/>
      <c r="B225" s="540"/>
      <c r="C225" s="540"/>
      <c r="D225" s="540"/>
      <c r="E225" s="540"/>
      <c r="F225" s="540"/>
      <c r="G225" s="540"/>
      <c r="H225" s="540"/>
      <c r="I225" s="540"/>
      <c r="J225" s="540"/>
      <c r="K225" s="540"/>
      <c r="L225" s="334" t="s">
        <v>39796</v>
      </c>
      <c r="M225" s="334" t="s">
        <v>39168</v>
      </c>
      <c r="N225" s="333" t="s">
        <v>39794</v>
      </c>
      <c r="O225" s="334">
        <f>SUM(O202:O224)</f>
        <v>1556.7</v>
      </c>
    </row>
    <row r="226" spans="1:15" s="328" customFormat="1" x14ac:dyDescent="0.2">
      <c r="A226" s="329" t="s">
        <v>39791</v>
      </c>
      <c r="B226" s="542" t="s">
        <v>5917</v>
      </c>
      <c r="C226" s="542"/>
      <c r="D226" s="542"/>
      <c r="E226" s="542"/>
      <c r="F226" s="542"/>
      <c r="G226" s="542"/>
      <c r="H226" s="542"/>
      <c r="I226" s="542"/>
      <c r="J226" s="542"/>
      <c r="K226" s="542"/>
      <c r="L226" s="542"/>
      <c r="M226" s="542"/>
      <c r="N226" s="329" t="s">
        <v>39197</v>
      </c>
      <c r="O226" s="330" t="s">
        <v>39792</v>
      </c>
    </row>
    <row r="227" spans="1:15" s="328" customFormat="1" ht="12.75" customHeight="1" x14ac:dyDescent="0.2">
      <c r="A227" s="331" t="str">
        <f>ORCAMENTO!A49</f>
        <v>4.2.2</v>
      </c>
      <c r="B227" s="543" t="str">
        <f>VLOOKUP(A227,ORCAMENTO!A:I,4,0)</f>
        <v>ARMADURA CA-50A MÉDIA D= 6,3 A 10,0mm</v>
      </c>
      <c r="C227" s="543"/>
      <c r="D227" s="543"/>
      <c r="E227" s="543"/>
      <c r="F227" s="543"/>
      <c r="G227" s="543"/>
      <c r="H227" s="543"/>
      <c r="I227" s="543"/>
      <c r="J227" s="543"/>
      <c r="K227" s="543"/>
      <c r="L227" s="543"/>
      <c r="M227" s="543"/>
      <c r="N227" s="331" t="str">
        <f>VLOOKUP(A227,ORCAMENTO!A:I,5,0)</f>
        <v>KG</v>
      </c>
      <c r="O227" s="332">
        <f>O269</f>
        <v>3643.1999999999994</v>
      </c>
    </row>
    <row r="228" spans="1:15" s="328" customFormat="1" x14ac:dyDescent="0.2">
      <c r="A228" s="539" t="s">
        <v>39793</v>
      </c>
      <c r="B228" s="539"/>
      <c r="C228" s="539"/>
      <c r="D228" s="539"/>
      <c r="E228" s="539"/>
      <c r="F228" s="539"/>
      <c r="G228" s="539"/>
      <c r="H228" s="539"/>
      <c r="I228" s="539"/>
      <c r="J228" s="539"/>
      <c r="K228" s="539"/>
      <c r="L228" s="539"/>
      <c r="M228" s="539"/>
      <c r="N228" s="539"/>
      <c r="O228" s="539"/>
    </row>
    <row r="229" spans="1:15" s="328" customFormat="1" x14ac:dyDescent="0.2">
      <c r="A229" s="539" t="s">
        <v>5917</v>
      </c>
      <c r="B229" s="539"/>
      <c r="C229" s="539"/>
      <c r="D229" s="333"/>
      <c r="E229" s="333"/>
      <c r="F229" s="333"/>
      <c r="G229" s="334"/>
      <c r="H229" s="333"/>
      <c r="I229" s="332"/>
      <c r="J229" s="331"/>
      <c r="K229" s="334"/>
      <c r="L229" s="333"/>
      <c r="M229" s="334" t="s">
        <v>40307</v>
      </c>
      <c r="N229" s="333" t="s">
        <v>39794</v>
      </c>
      <c r="O229" s="334" t="s">
        <v>39795</v>
      </c>
    </row>
    <row r="230" spans="1:15" s="328" customFormat="1" x14ac:dyDescent="0.2">
      <c r="A230" s="541" t="s">
        <v>40309</v>
      </c>
      <c r="B230" s="541"/>
      <c r="C230" s="541"/>
      <c r="D230" s="332"/>
      <c r="E230" s="332"/>
      <c r="F230" s="332"/>
      <c r="G230" s="332"/>
      <c r="H230" s="332"/>
      <c r="I230" s="332"/>
      <c r="J230" s="332"/>
      <c r="K230" s="332"/>
      <c r="L230" s="332"/>
      <c r="M230" s="332">
        <f>186</f>
        <v>186</v>
      </c>
      <c r="N230" s="335" t="s">
        <v>39794</v>
      </c>
      <c r="O230" s="335">
        <f t="shared" ref="O230:O268" si="12">ROUND(M230,2)</f>
        <v>186</v>
      </c>
    </row>
    <row r="231" spans="1:15" s="328" customFormat="1" x14ac:dyDescent="0.2">
      <c r="A231" s="541" t="s">
        <v>40311</v>
      </c>
      <c r="B231" s="541"/>
      <c r="C231" s="541"/>
      <c r="D231" s="332"/>
      <c r="E231" s="332"/>
      <c r="F231" s="332"/>
      <c r="G231" s="332"/>
      <c r="H231" s="332"/>
      <c r="I231" s="332"/>
      <c r="J231" s="332"/>
      <c r="K231" s="332"/>
      <c r="L231" s="332"/>
      <c r="M231" s="332">
        <f>167.6</f>
        <v>167.6</v>
      </c>
      <c r="N231" s="335" t="s">
        <v>39794</v>
      </c>
      <c r="O231" s="335">
        <f t="shared" si="12"/>
        <v>167.6</v>
      </c>
    </row>
    <row r="232" spans="1:15" s="328" customFormat="1" x14ac:dyDescent="0.2">
      <c r="A232" s="541" t="s">
        <v>40313</v>
      </c>
      <c r="B232" s="541"/>
      <c r="C232" s="541"/>
      <c r="D232" s="332"/>
      <c r="E232" s="332"/>
      <c r="F232" s="332"/>
      <c r="G232" s="332"/>
      <c r="H232" s="332"/>
      <c r="I232" s="332"/>
      <c r="J232" s="332"/>
      <c r="K232" s="332"/>
      <c r="L232" s="332"/>
      <c r="M232" s="332">
        <f>89.9</f>
        <v>89.9</v>
      </c>
      <c r="N232" s="335" t="s">
        <v>39794</v>
      </c>
      <c r="O232" s="335">
        <f t="shared" si="12"/>
        <v>89.9</v>
      </c>
    </row>
    <row r="233" spans="1:15" s="328" customFormat="1" x14ac:dyDescent="0.2">
      <c r="A233" s="541" t="s">
        <v>40313</v>
      </c>
      <c r="B233" s="541"/>
      <c r="C233" s="541"/>
      <c r="D233" s="332"/>
      <c r="E233" s="332"/>
      <c r="F233" s="332"/>
      <c r="G233" s="332"/>
      <c r="H233" s="332"/>
      <c r="I233" s="332"/>
      <c r="J233" s="332"/>
      <c r="K233" s="332"/>
      <c r="L233" s="332"/>
      <c r="M233" s="332">
        <f>90.2</f>
        <v>90.2</v>
      </c>
      <c r="N233" s="335" t="s">
        <v>39794</v>
      </c>
      <c r="O233" s="335">
        <f t="shared" si="12"/>
        <v>90.2</v>
      </c>
    </row>
    <row r="234" spans="1:15" s="328" customFormat="1" x14ac:dyDescent="0.2">
      <c r="A234" s="541" t="s">
        <v>40315</v>
      </c>
      <c r="B234" s="541"/>
      <c r="C234" s="541"/>
      <c r="D234" s="332"/>
      <c r="E234" s="332"/>
      <c r="F234" s="332"/>
      <c r="G234" s="332"/>
      <c r="H234" s="332"/>
      <c r="I234" s="332"/>
      <c r="J234" s="332"/>
      <c r="K234" s="332"/>
      <c r="L234" s="332"/>
      <c r="M234" s="332">
        <f>89.9</f>
        <v>89.9</v>
      </c>
      <c r="N234" s="335" t="s">
        <v>39794</v>
      </c>
      <c r="O234" s="335">
        <f t="shared" si="12"/>
        <v>89.9</v>
      </c>
    </row>
    <row r="235" spans="1:15" s="328" customFormat="1" x14ac:dyDescent="0.2">
      <c r="A235" s="541" t="s">
        <v>40317</v>
      </c>
      <c r="B235" s="541"/>
      <c r="C235" s="541"/>
      <c r="D235" s="332"/>
      <c r="E235" s="332"/>
      <c r="F235" s="332"/>
      <c r="G235" s="332"/>
      <c r="H235" s="332"/>
      <c r="I235" s="332"/>
      <c r="J235" s="332"/>
      <c r="K235" s="332"/>
      <c r="L235" s="332"/>
      <c r="M235" s="332">
        <f>68</f>
        <v>68</v>
      </c>
      <c r="N235" s="335" t="s">
        <v>39794</v>
      </c>
      <c r="O235" s="335">
        <f t="shared" si="12"/>
        <v>68</v>
      </c>
    </row>
    <row r="236" spans="1:15" s="328" customFormat="1" x14ac:dyDescent="0.2">
      <c r="A236" s="541" t="s">
        <v>40318</v>
      </c>
      <c r="B236" s="541"/>
      <c r="C236" s="541"/>
      <c r="D236" s="332"/>
      <c r="E236" s="332"/>
      <c r="F236" s="332"/>
      <c r="G236" s="332"/>
      <c r="H236" s="332"/>
      <c r="I236" s="332"/>
      <c r="J236" s="332"/>
      <c r="K236" s="332"/>
      <c r="L236" s="332"/>
      <c r="M236" s="332">
        <f>270.1</f>
        <v>270.10000000000002</v>
      </c>
      <c r="N236" s="335" t="s">
        <v>39794</v>
      </c>
      <c r="O236" s="335">
        <f t="shared" si="12"/>
        <v>270.10000000000002</v>
      </c>
    </row>
    <row r="237" spans="1:15" s="328" customFormat="1" x14ac:dyDescent="0.2">
      <c r="A237" s="541" t="s">
        <v>40321</v>
      </c>
      <c r="B237" s="541"/>
      <c r="C237" s="541"/>
      <c r="D237" s="332"/>
      <c r="E237" s="332"/>
      <c r="F237" s="332"/>
      <c r="G237" s="332"/>
      <c r="H237" s="332"/>
      <c r="I237" s="332"/>
      <c r="J237" s="332"/>
      <c r="K237" s="332"/>
      <c r="L237" s="332"/>
      <c r="M237" s="332">
        <f>20</f>
        <v>20</v>
      </c>
      <c r="N237" s="335" t="s">
        <v>39794</v>
      </c>
      <c r="O237" s="335">
        <f t="shared" si="12"/>
        <v>20</v>
      </c>
    </row>
    <row r="238" spans="1:15" s="328" customFormat="1" x14ac:dyDescent="0.2">
      <c r="A238" s="541" t="s">
        <v>40322</v>
      </c>
      <c r="B238" s="541"/>
      <c r="C238" s="541"/>
      <c r="D238" s="332"/>
      <c r="E238" s="332"/>
      <c r="F238" s="332"/>
      <c r="G238" s="332"/>
      <c r="H238" s="332"/>
      <c r="I238" s="332"/>
      <c r="J238" s="332"/>
      <c r="K238" s="332"/>
      <c r="L238" s="332"/>
      <c r="M238" s="332">
        <f>141.7</f>
        <v>141.69999999999999</v>
      </c>
      <c r="N238" s="335" t="s">
        <v>39794</v>
      </c>
      <c r="O238" s="335">
        <f t="shared" si="12"/>
        <v>141.69999999999999</v>
      </c>
    </row>
    <row r="239" spans="1:15" s="328" customFormat="1" x14ac:dyDescent="0.2">
      <c r="A239" s="541" t="s">
        <v>40325</v>
      </c>
      <c r="B239" s="541"/>
      <c r="C239" s="541"/>
      <c r="D239" s="332"/>
      <c r="E239" s="332"/>
      <c r="F239" s="332"/>
      <c r="G239" s="332"/>
      <c r="H239" s="332"/>
      <c r="I239" s="332"/>
      <c r="J239" s="332"/>
      <c r="K239" s="332"/>
      <c r="L239" s="332"/>
      <c r="M239" s="332">
        <f>83.8</f>
        <v>83.8</v>
      </c>
      <c r="N239" s="335" t="s">
        <v>39794</v>
      </c>
      <c r="O239" s="335">
        <f t="shared" si="12"/>
        <v>83.8</v>
      </c>
    </row>
    <row r="240" spans="1:15" s="328" customFormat="1" x14ac:dyDescent="0.2">
      <c r="A240" s="541" t="s">
        <v>40326</v>
      </c>
      <c r="B240" s="541"/>
      <c r="C240" s="541"/>
      <c r="D240" s="332"/>
      <c r="E240" s="332"/>
      <c r="F240" s="332"/>
      <c r="G240" s="332"/>
      <c r="H240" s="332"/>
      <c r="I240" s="332"/>
      <c r="J240" s="332"/>
      <c r="K240" s="332"/>
      <c r="L240" s="332"/>
      <c r="M240" s="332">
        <f>167.4</f>
        <v>167.4</v>
      </c>
      <c r="N240" s="335" t="s">
        <v>39794</v>
      </c>
      <c r="O240" s="335">
        <f t="shared" si="12"/>
        <v>167.4</v>
      </c>
    </row>
    <row r="241" spans="1:15" s="328" customFormat="1" x14ac:dyDescent="0.2">
      <c r="A241" s="541" t="s">
        <v>40329</v>
      </c>
      <c r="B241" s="541"/>
      <c r="C241" s="541"/>
      <c r="D241" s="332"/>
      <c r="E241" s="332"/>
      <c r="F241" s="332"/>
      <c r="G241" s="332"/>
      <c r="H241" s="332"/>
      <c r="I241" s="332"/>
      <c r="J241" s="332"/>
      <c r="K241" s="332"/>
      <c r="L241" s="332"/>
      <c r="M241" s="332">
        <f>62.8</f>
        <v>62.8</v>
      </c>
      <c r="N241" s="335" t="s">
        <v>39794</v>
      </c>
      <c r="O241" s="335">
        <f t="shared" si="12"/>
        <v>62.8</v>
      </c>
    </row>
    <row r="242" spans="1:15" s="328" customFormat="1" x14ac:dyDescent="0.2">
      <c r="A242" s="541" t="s">
        <v>40330</v>
      </c>
      <c r="B242" s="541"/>
      <c r="C242" s="541"/>
      <c r="D242" s="332"/>
      <c r="E242" s="332"/>
      <c r="F242" s="332"/>
      <c r="G242" s="332"/>
      <c r="H242" s="332"/>
      <c r="I242" s="332"/>
      <c r="J242" s="332"/>
      <c r="K242" s="332"/>
      <c r="L242" s="332"/>
      <c r="M242" s="332">
        <f>136</f>
        <v>136</v>
      </c>
      <c r="N242" s="335" t="s">
        <v>39794</v>
      </c>
      <c r="O242" s="335">
        <f t="shared" si="12"/>
        <v>136</v>
      </c>
    </row>
    <row r="243" spans="1:15" s="328" customFormat="1" x14ac:dyDescent="0.2">
      <c r="A243" s="541" t="s">
        <v>40333</v>
      </c>
      <c r="B243" s="541"/>
      <c r="C243" s="541"/>
      <c r="D243" s="332"/>
      <c r="E243" s="332"/>
      <c r="F243" s="332"/>
      <c r="G243" s="332"/>
      <c r="H243" s="332"/>
      <c r="I243" s="332"/>
      <c r="J243" s="332"/>
      <c r="K243" s="332"/>
      <c r="L243" s="332"/>
      <c r="M243" s="332">
        <f>34.7</f>
        <v>34.700000000000003</v>
      </c>
      <c r="N243" s="335" t="s">
        <v>39794</v>
      </c>
      <c r="O243" s="335">
        <f t="shared" si="12"/>
        <v>34.700000000000003</v>
      </c>
    </row>
    <row r="244" spans="1:15" s="328" customFormat="1" x14ac:dyDescent="0.2">
      <c r="A244" s="541" t="s">
        <v>40334</v>
      </c>
      <c r="B244" s="541"/>
      <c r="C244" s="541"/>
      <c r="D244" s="332"/>
      <c r="E244" s="332"/>
      <c r="F244" s="332"/>
      <c r="G244" s="332"/>
      <c r="H244" s="332"/>
      <c r="I244" s="332"/>
      <c r="J244" s="332"/>
      <c r="K244" s="332"/>
      <c r="L244" s="332"/>
      <c r="M244" s="332">
        <f>4.7</f>
        <v>4.7</v>
      </c>
      <c r="N244" s="335" t="s">
        <v>39794</v>
      </c>
      <c r="O244" s="335">
        <f t="shared" si="12"/>
        <v>4.7</v>
      </c>
    </row>
    <row r="245" spans="1:15" s="328" customFormat="1" x14ac:dyDescent="0.2">
      <c r="A245" s="541" t="s">
        <v>40337</v>
      </c>
      <c r="B245" s="541"/>
      <c r="C245" s="541"/>
      <c r="D245" s="332"/>
      <c r="E245" s="332"/>
      <c r="F245" s="332"/>
      <c r="G245" s="332"/>
      <c r="H245" s="332"/>
      <c r="I245" s="332"/>
      <c r="J245" s="332"/>
      <c r="K245" s="332"/>
      <c r="L245" s="332"/>
      <c r="M245" s="332">
        <f>371.3</f>
        <v>371.3</v>
      </c>
      <c r="N245" s="335" t="s">
        <v>39794</v>
      </c>
      <c r="O245" s="335">
        <f t="shared" si="12"/>
        <v>371.3</v>
      </c>
    </row>
    <row r="246" spans="1:15" s="328" customFormat="1" x14ac:dyDescent="0.2">
      <c r="A246" s="541" t="s">
        <v>40340</v>
      </c>
      <c r="B246" s="541"/>
      <c r="C246" s="541"/>
      <c r="D246" s="332"/>
      <c r="E246" s="332"/>
      <c r="F246" s="332"/>
      <c r="G246" s="332"/>
      <c r="H246" s="332"/>
      <c r="I246" s="332"/>
      <c r="J246" s="332"/>
      <c r="K246" s="332"/>
      <c r="L246" s="332"/>
      <c r="M246" s="332">
        <f>84</f>
        <v>84</v>
      </c>
      <c r="N246" s="335" t="s">
        <v>39794</v>
      </c>
      <c r="O246" s="335">
        <f t="shared" si="12"/>
        <v>84</v>
      </c>
    </row>
    <row r="247" spans="1:15" s="328" customFormat="1" x14ac:dyDescent="0.2">
      <c r="A247" s="541" t="s">
        <v>40342</v>
      </c>
      <c r="B247" s="541"/>
      <c r="C247" s="541"/>
      <c r="D247" s="332"/>
      <c r="E247" s="332"/>
      <c r="F247" s="332"/>
      <c r="G247" s="332"/>
      <c r="H247" s="332"/>
      <c r="I247" s="332"/>
      <c r="J247" s="332"/>
      <c r="K247" s="332"/>
      <c r="L247" s="332"/>
      <c r="M247" s="332">
        <f>73.5</f>
        <v>73.5</v>
      </c>
      <c r="N247" s="335" t="s">
        <v>39794</v>
      </c>
      <c r="O247" s="335">
        <f t="shared" si="12"/>
        <v>73.5</v>
      </c>
    </row>
    <row r="248" spans="1:15" s="328" customFormat="1" x14ac:dyDescent="0.2">
      <c r="A248" s="541" t="s">
        <v>40344</v>
      </c>
      <c r="B248" s="541"/>
      <c r="C248" s="541"/>
      <c r="D248" s="332"/>
      <c r="E248" s="332"/>
      <c r="F248" s="332"/>
      <c r="G248" s="332"/>
      <c r="H248" s="332"/>
      <c r="I248" s="332"/>
      <c r="J248" s="332"/>
      <c r="K248" s="332"/>
      <c r="L248" s="332"/>
      <c r="M248" s="332">
        <f>10.5</f>
        <v>10.5</v>
      </c>
      <c r="N248" s="335" t="s">
        <v>39794</v>
      </c>
      <c r="O248" s="335">
        <f t="shared" si="12"/>
        <v>10.5</v>
      </c>
    </row>
    <row r="249" spans="1:15" s="328" customFormat="1" x14ac:dyDescent="0.2">
      <c r="A249" s="541" t="s">
        <v>40346</v>
      </c>
      <c r="B249" s="541"/>
      <c r="C249" s="541"/>
      <c r="D249" s="332"/>
      <c r="E249" s="332"/>
      <c r="F249" s="332"/>
      <c r="G249" s="332"/>
      <c r="H249" s="332"/>
      <c r="I249" s="332"/>
      <c r="J249" s="332"/>
      <c r="K249" s="332"/>
      <c r="L249" s="332"/>
      <c r="M249" s="332">
        <f>81</f>
        <v>81</v>
      </c>
      <c r="N249" s="335" t="s">
        <v>39794</v>
      </c>
      <c r="O249" s="335">
        <f t="shared" si="12"/>
        <v>81</v>
      </c>
    </row>
    <row r="250" spans="1:15" s="328" customFormat="1" x14ac:dyDescent="0.2">
      <c r="A250" s="541" t="s">
        <v>40347</v>
      </c>
      <c r="B250" s="541"/>
      <c r="C250" s="541"/>
      <c r="D250" s="332"/>
      <c r="E250" s="332"/>
      <c r="F250" s="332"/>
      <c r="G250" s="332"/>
      <c r="H250" s="332"/>
      <c r="I250" s="332"/>
      <c r="J250" s="332"/>
      <c r="K250" s="332"/>
      <c r="L250" s="332"/>
      <c r="M250" s="332">
        <f>162.7</f>
        <v>162.69999999999999</v>
      </c>
      <c r="N250" s="335" t="s">
        <v>39794</v>
      </c>
      <c r="O250" s="335">
        <f t="shared" si="12"/>
        <v>162.69999999999999</v>
      </c>
    </row>
    <row r="251" spans="1:15" s="328" customFormat="1" x14ac:dyDescent="0.2">
      <c r="A251" s="541" t="s">
        <v>40348</v>
      </c>
      <c r="B251" s="541"/>
      <c r="C251" s="541"/>
      <c r="D251" s="332"/>
      <c r="E251" s="332"/>
      <c r="F251" s="332"/>
      <c r="G251" s="332"/>
      <c r="H251" s="332"/>
      <c r="I251" s="332"/>
      <c r="J251" s="332"/>
      <c r="K251" s="332"/>
      <c r="L251" s="332"/>
      <c r="M251" s="332">
        <f>51.5</f>
        <v>51.5</v>
      </c>
      <c r="N251" s="335" t="s">
        <v>39794</v>
      </c>
      <c r="O251" s="335">
        <f t="shared" si="12"/>
        <v>51.5</v>
      </c>
    </row>
    <row r="252" spans="1:15" s="328" customFormat="1" x14ac:dyDescent="0.2">
      <c r="A252" s="541" t="s">
        <v>40350</v>
      </c>
      <c r="B252" s="541"/>
      <c r="C252" s="541"/>
      <c r="D252" s="332"/>
      <c r="E252" s="332"/>
      <c r="F252" s="332"/>
      <c r="G252" s="332"/>
      <c r="H252" s="332"/>
      <c r="I252" s="332"/>
      <c r="J252" s="332"/>
      <c r="K252" s="332"/>
      <c r="L252" s="332"/>
      <c r="M252" s="332">
        <f>82.7</f>
        <v>82.7</v>
      </c>
      <c r="N252" s="335" t="s">
        <v>39794</v>
      </c>
      <c r="O252" s="335">
        <f t="shared" si="12"/>
        <v>82.7</v>
      </c>
    </row>
    <row r="253" spans="1:15" s="328" customFormat="1" x14ac:dyDescent="0.2">
      <c r="A253" s="541" t="s">
        <v>40351</v>
      </c>
      <c r="B253" s="541"/>
      <c r="C253" s="541"/>
      <c r="D253" s="332"/>
      <c r="E253" s="332"/>
      <c r="F253" s="332"/>
      <c r="G253" s="332"/>
      <c r="H253" s="332"/>
      <c r="I253" s="332"/>
      <c r="J253" s="332"/>
      <c r="K253" s="332"/>
      <c r="L253" s="332"/>
      <c r="M253" s="332">
        <f>197.7</f>
        <v>197.7</v>
      </c>
      <c r="N253" s="335" t="s">
        <v>39794</v>
      </c>
      <c r="O253" s="335">
        <f t="shared" si="12"/>
        <v>197.7</v>
      </c>
    </row>
    <row r="254" spans="1:15" s="328" customFormat="1" x14ac:dyDescent="0.2">
      <c r="A254" s="541" t="s">
        <v>40352</v>
      </c>
      <c r="B254" s="541"/>
      <c r="C254" s="541"/>
      <c r="D254" s="332"/>
      <c r="E254" s="332"/>
      <c r="F254" s="332"/>
      <c r="G254" s="332"/>
      <c r="H254" s="332"/>
      <c r="I254" s="332"/>
      <c r="J254" s="332"/>
      <c r="K254" s="332"/>
      <c r="L254" s="332"/>
      <c r="M254" s="332">
        <f>51.5</f>
        <v>51.5</v>
      </c>
      <c r="N254" s="335" t="s">
        <v>39794</v>
      </c>
      <c r="O254" s="335">
        <f t="shared" si="12"/>
        <v>51.5</v>
      </c>
    </row>
    <row r="255" spans="1:15" s="328" customFormat="1" x14ac:dyDescent="0.2">
      <c r="A255" s="541" t="s">
        <v>40354</v>
      </c>
      <c r="B255" s="541"/>
      <c r="C255" s="541"/>
      <c r="D255" s="332"/>
      <c r="E255" s="332"/>
      <c r="F255" s="332"/>
      <c r="G255" s="332"/>
      <c r="H255" s="332"/>
      <c r="I255" s="332"/>
      <c r="J255" s="332"/>
      <c r="K255" s="332"/>
      <c r="L255" s="332"/>
      <c r="M255" s="332">
        <f>1.8</f>
        <v>1.8</v>
      </c>
      <c r="N255" s="335" t="s">
        <v>39794</v>
      </c>
      <c r="O255" s="335">
        <f t="shared" si="12"/>
        <v>1.8</v>
      </c>
    </row>
    <row r="256" spans="1:15" s="328" customFormat="1" x14ac:dyDescent="0.2">
      <c r="A256" s="541" t="s">
        <v>40355</v>
      </c>
      <c r="B256" s="541"/>
      <c r="C256" s="541"/>
      <c r="D256" s="332"/>
      <c r="E256" s="332"/>
      <c r="F256" s="332"/>
      <c r="G256" s="332"/>
      <c r="H256" s="332"/>
      <c r="I256" s="332"/>
      <c r="J256" s="332"/>
      <c r="K256" s="332"/>
      <c r="L256" s="332"/>
      <c r="M256" s="332">
        <f>129.1</f>
        <v>129.1</v>
      </c>
      <c r="N256" s="335" t="s">
        <v>39794</v>
      </c>
      <c r="O256" s="335">
        <f t="shared" si="12"/>
        <v>129.1</v>
      </c>
    </row>
    <row r="257" spans="1:15" s="328" customFormat="1" x14ac:dyDescent="0.2">
      <c r="A257" s="541" t="s">
        <v>40357</v>
      </c>
      <c r="B257" s="541"/>
      <c r="C257" s="541"/>
      <c r="D257" s="332"/>
      <c r="E257" s="332"/>
      <c r="F257" s="332"/>
      <c r="G257" s="332"/>
      <c r="H257" s="332"/>
      <c r="I257" s="332"/>
      <c r="J257" s="332"/>
      <c r="K257" s="332"/>
      <c r="L257" s="332"/>
      <c r="M257" s="332">
        <f>76.1</f>
        <v>76.099999999999994</v>
      </c>
      <c r="N257" s="335" t="s">
        <v>39794</v>
      </c>
      <c r="O257" s="335">
        <f t="shared" si="12"/>
        <v>76.099999999999994</v>
      </c>
    </row>
    <row r="258" spans="1:15" s="328" customFormat="1" x14ac:dyDescent="0.2">
      <c r="A258" s="541" t="s">
        <v>40358</v>
      </c>
      <c r="B258" s="541"/>
      <c r="C258" s="541"/>
      <c r="D258" s="332"/>
      <c r="E258" s="332"/>
      <c r="F258" s="332"/>
      <c r="G258" s="332"/>
      <c r="H258" s="332"/>
      <c r="I258" s="332"/>
      <c r="J258" s="332"/>
      <c r="K258" s="332"/>
      <c r="L258" s="332"/>
      <c r="M258" s="332">
        <f>77.2</f>
        <v>77.2</v>
      </c>
      <c r="N258" s="335" t="s">
        <v>39794</v>
      </c>
      <c r="O258" s="335">
        <f t="shared" si="12"/>
        <v>77.2</v>
      </c>
    </row>
    <row r="259" spans="1:15" s="328" customFormat="1" x14ac:dyDescent="0.2">
      <c r="A259" s="541" t="s">
        <v>40359</v>
      </c>
      <c r="B259" s="541"/>
      <c r="C259" s="541"/>
      <c r="D259" s="332"/>
      <c r="E259" s="332"/>
      <c r="F259" s="332"/>
      <c r="G259" s="332"/>
      <c r="H259" s="332"/>
      <c r="I259" s="332"/>
      <c r="J259" s="332"/>
      <c r="K259" s="332"/>
      <c r="L259" s="332"/>
      <c r="M259" s="332">
        <f>5</f>
        <v>5</v>
      </c>
      <c r="N259" s="335" t="s">
        <v>39794</v>
      </c>
      <c r="O259" s="335">
        <f t="shared" si="12"/>
        <v>5</v>
      </c>
    </row>
    <row r="260" spans="1:15" s="328" customFormat="1" x14ac:dyDescent="0.2">
      <c r="A260" s="541" t="s">
        <v>40361</v>
      </c>
      <c r="B260" s="541"/>
      <c r="C260" s="541"/>
      <c r="D260" s="332"/>
      <c r="E260" s="332"/>
      <c r="F260" s="332"/>
      <c r="G260" s="332"/>
      <c r="H260" s="332"/>
      <c r="I260" s="332"/>
      <c r="J260" s="332"/>
      <c r="K260" s="332"/>
      <c r="L260" s="332"/>
      <c r="M260" s="332">
        <f>76.1</f>
        <v>76.099999999999994</v>
      </c>
      <c r="N260" s="335" t="s">
        <v>39794</v>
      </c>
      <c r="O260" s="335">
        <f t="shared" si="12"/>
        <v>76.099999999999994</v>
      </c>
    </row>
    <row r="261" spans="1:15" s="328" customFormat="1" x14ac:dyDescent="0.2">
      <c r="A261" s="541" t="s">
        <v>40362</v>
      </c>
      <c r="B261" s="541"/>
      <c r="C261" s="541"/>
      <c r="D261" s="332"/>
      <c r="E261" s="332"/>
      <c r="F261" s="332"/>
      <c r="G261" s="332"/>
      <c r="H261" s="332"/>
      <c r="I261" s="332"/>
      <c r="J261" s="332"/>
      <c r="K261" s="332"/>
      <c r="L261" s="332"/>
      <c r="M261" s="332">
        <f>81.3</f>
        <v>81.3</v>
      </c>
      <c r="N261" s="335" t="s">
        <v>39794</v>
      </c>
      <c r="O261" s="335">
        <f t="shared" si="12"/>
        <v>81.3</v>
      </c>
    </row>
    <row r="262" spans="1:15" s="328" customFormat="1" x14ac:dyDescent="0.2">
      <c r="A262" s="541" t="s">
        <v>40364</v>
      </c>
      <c r="B262" s="541"/>
      <c r="C262" s="541"/>
      <c r="D262" s="332"/>
      <c r="E262" s="332"/>
      <c r="F262" s="332"/>
      <c r="G262" s="332"/>
      <c r="H262" s="332"/>
      <c r="I262" s="332"/>
      <c r="J262" s="332"/>
      <c r="K262" s="332"/>
      <c r="L262" s="332"/>
      <c r="M262" s="332">
        <f>76.1</f>
        <v>76.099999999999994</v>
      </c>
      <c r="N262" s="335" t="s">
        <v>39794</v>
      </c>
      <c r="O262" s="335">
        <f t="shared" si="12"/>
        <v>76.099999999999994</v>
      </c>
    </row>
    <row r="263" spans="1:15" s="328" customFormat="1" x14ac:dyDescent="0.2">
      <c r="A263" s="541" t="s">
        <v>40365</v>
      </c>
      <c r="B263" s="541"/>
      <c r="C263" s="541"/>
      <c r="D263" s="332"/>
      <c r="E263" s="332"/>
      <c r="F263" s="332"/>
      <c r="G263" s="332"/>
      <c r="H263" s="332"/>
      <c r="I263" s="332"/>
      <c r="J263" s="332"/>
      <c r="K263" s="332"/>
      <c r="L263" s="332"/>
      <c r="M263" s="332">
        <f>81.5</f>
        <v>81.5</v>
      </c>
      <c r="N263" s="335" t="s">
        <v>39794</v>
      </c>
      <c r="O263" s="335">
        <f t="shared" si="12"/>
        <v>81.5</v>
      </c>
    </row>
    <row r="264" spans="1:15" s="328" customFormat="1" x14ac:dyDescent="0.2">
      <c r="A264" s="541" t="s">
        <v>40367</v>
      </c>
      <c r="B264" s="541"/>
      <c r="C264" s="541"/>
      <c r="D264" s="332"/>
      <c r="E264" s="332"/>
      <c r="F264" s="332"/>
      <c r="G264" s="332"/>
      <c r="H264" s="332"/>
      <c r="I264" s="332"/>
      <c r="J264" s="332"/>
      <c r="K264" s="332"/>
      <c r="L264" s="332"/>
      <c r="M264" s="332">
        <f>76.1</f>
        <v>76.099999999999994</v>
      </c>
      <c r="N264" s="335" t="s">
        <v>39794</v>
      </c>
      <c r="O264" s="335">
        <f t="shared" si="12"/>
        <v>76.099999999999994</v>
      </c>
    </row>
    <row r="265" spans="1:15" s="328" customFormat="1" x14ac:dyDescent="0.2">
      <c r="A265" s="541" t="s">
        <v>40368</v>
      </c>
      <c r="B265" s="541"/>
      <c r="C265" s="541"/>
      <c r="D265" s="332"/>
      <c r="E265" s="332"/>
      <c r="F265" s="332"/>
      <c r="G265" s="332"/>
      <c r="H265" s="332"/>
      <c r="I265" s="332"/>
      <c r="J265" s="332"/>
      <c r="K265" s="332"/>
      <c r="L265" s="332"/>
      <c r="M265" s="332">
        <f>55.9</f>
        <v>55.9</v>
      </c>
      <c r="N265" s="335" t="s">
        <v>39794</v>
      </c>
      <c r="O265" s="335">
        <f t="shared" si="12"/>
        <v>55.9</v>
      </c>
    </row>
    <row r="266" spans="1:15" s="328" customFormat="1" x14ac:dyDescent="0.2">
      <c r="A266" s="541" t="s">
        <v>40369</v>
      </c>
      <c r="B266" s="541"/>
      <c r="C266" s="541"/>
      <c r="D266" s="332"/>
      <c r="E266" s="332"/>
      <c r="F266" s="332"/>
      <c r="G266" s="332"/>
      <c r="H266" s="332"/>
      <c r="I266" s="332"/>
      <c r="J266" s="332"/>
      <c r="K266" s="332"/>
      <c r="L266" s="332"/>
      <c r="M266" s="332">
        <f>19.6</f>
        <v>19.600000000000001</v>
      </c>
      <c r="N266" s="335" t="s">
        <v>39794</v>
      </c>
      <c r="O266" s="335">
        <f t="shared" si="12"/>
        <v>19.600000000000001</v>
      </c>
    </row>
    <row r="267" spans="1:15" s="328" customFormat="1" x14ac:dyDescent="0.2">
      <c r="A267" s="541" t="s">
        <v>40372</v>
      </c>
      <c r="B267" s="541"/>
      <c r="C267" s="541"/>
      <c r="D267" s="332"/>
      <c r="E267" s="332"/>
      <c r="F267" s="332"/>
      <c r="G267" s="332"/>
      <c r="H267" s="332"/>
      <c r="I267" s="332"/>
      <c r="J267" s="332"/>
      <c r="K267" s="332"/>
      <c r="L267" s="332"/>
      <c r="M267" s="332">
        <f>85.6</f>
        <v>85.6</v>
      </c>
      <c r="N267" s="335" t="s">
        <v>39794</v>
      </c>
      <c r="O267" s="335">
        <f t="shared" si="12"/>
        <v>85.6</v>
      </c>
    </row>
    <row r="268" spans="1:15" s="328" customFormat="1" x14ac:dyDescent="0.2">
      <c r="A268" s="541" t="s">
        <v>40373</v>
      </c>
      <c r="B268" s="541"/>
      <c r="C268" s="541"/>
      <c r="D268" s="335"/>
      <c r="E268" s="335"/>
      <c r="F268" s="335"/>
      <c r="G268" s="335"/>
      <c r="H268" s="335"/>
      <c r="I268" s="335"/>
      <c r="J268" s="335"/>
      <c r="K268" s="335"/>
      <c r="L268" s="332"/>
      <c r="M268" s="335">
        <f>22.6</f>
        <v>22.6</v>
      </c>
      <c r="N268" s="335" t="s">
        <v>39794</v>
      </c>
      <c r="O268" s="335">
        <f t="shared" si="12"/>
        <v>22.6</v>
      </c>
    </row>
    <row r="269" spans="1:15" s="328" customFormat="1" x14ac:dyDescent="0.2">
      <c r="A269" s="540"/>
      <c r="B269" s="540"/>
      <c r="C269" s="540"/>
      <c r="D269" s="540"/>
      <c r="E269" s="540"/>
      <c r="F269" s="540"/>
      <c r="G269" s="540"/>
      <c r="H269" s="540"/>
      <c r="I269" s="540"/>
      <c r="J269" s="540"/>
      <c r="K269" s="540"/>
      <c r="L269" s="334" t="s">
        <v>39796</v>
      </c>
      <c r="M269" s="334" t="s">
        <v>39168</v>
      </c>
      <c r="N269" s="333" t="s">
        <v>39794</v>
      </c>
      <c r="O269" s="334">
        <f>SUM(O229:O268)</f>
        <v>3643.1999999999994</v>
      </c>
    </row>
    <row r="270" spans="1:15" s="328" customFormat="1" x14ac:dyDescent="0.2">
      <c r="A270" s="329" t="s">
        <v>39791</v>
      </c>
      <c r="B270" s="542" t="s">
        <v>5917</v>
      </c>
      <c r="C270" s="542"/>
      <c r="D270" s="542"/>
      <c r="E270" s="542"/>
      <c r="F270" s="542"/>
      <c r="G270" s="542"/>
      <c r="H270" s="542"/>
      <c r="I270" s="542"/>
      <c r="J270" s="542"/>
      <c r="K270" s="542"/>
      <c r="L270" s="542"/>
      <c r="M270" s="542"/>
      <c r="N270" s="329" t="s">
        <v>39197</v>
      </c>
      <c r="O270" s="330" t="s">
        <v>39792</v>
      </c>
    </row>
    <row r="271" spans="1:15" s="328" customFormat="1" ht="12.75" customHeight="1" x14ac:dyDescent="0.2">
      <c r="A271" s="331" t="str">
        <f>ORCAMENTO!A50</f>
        <v>4.2.3</v>
      </c>
      <c r="B271" s="543" t="str">
        <f>VLOOKUP(A271,ORCAMENTO!A:I,4,0)</f>
        <v>ARMADURA CA-50A GROSSA D= 12,5 A 25,0mm</v>
      </c>
      <c r="C271" s="543"/>
      <c r="D271" s="543"/>
      <c r="E271" s="543"/>
      <c r="F271" s="543"/>
      <c r="G271" s="543"/>
      <c r="H271" s="543"/>
      <c r="I271" s="543"/>
      <c r="J271" s="543"/>
      <c r="K271" s="543"/>
      <c r="L271" s="543"/>
      <c r="M271" s="543"/>
      <c r="N271" s="331" t="str">
        <f>VLOOKUP(A271,ORCAMENTO!A:I,5,0)</f>
        <v>KG</v>
      </c>
      <c r="O271" s="332">
        <f>O282</f>
        <v>1020.6</v>
      </c>
    </row>
    <row r="272" spans="1:15" s="328" customFormat="1" x14ac:dyDescent="0.2">
      <c r="A272" s="539" t="s">
        <v>39793</v>
      </c>
      <c r="B272" s="539"/>
      <c r="C272" s="539"/>
      <c r="D272" s="539"/>
      <c r="E272" s="539"/>
      <c r="F272" s="539"/>
      <c r="G272" s="539"/>
      <c r="H272" s="539"/>
      <c r="I272" s="539"/>
      <c r="J272" s="539"/>
      <c r="K272" s="539"/>
      <c r="L272" s="539"/>
      <c r="M272" s="539"/>
      <c r="N272" s="539"/>
      <c r="O272" s="539"/>
    </row>
    <row r="273" spans="1:15" s="328" customFormat="1" x14ac:dyDescent="0.2">
      <c r="A273" s="539" t="s">
        <v>5917</v>
      </c>
      <c r="B273" s="539"/>
      <c r="C273" s="539"/>
      <c r="D273" s="333"/>
      <c r="E273" s="333"/>
      <c r="F273" s="333"/>
      <c r="G273" s="334"/>
      <c r="H273" s="333"/>
      <c r="I273" s="332"/>
      <c r="J273" s="331"/>
      <c r="K273" s="334"/>
      <c r="L273" s="333"/>
      <c r="M273" s="334" t="s">
        <v>40307</v>
      </c>
      <c r="N273" s="333" t="s">
        <v>39794</v>
      </c>
      <c r="O273" s="334" t="s">
        <v>39795</v>
      </c>
    </row>
    <row r="274" spans="1:15" s="328" customFormat="1" x14ac:dyDescent="0.2">
      <c r="A274" s="541" t="s">
        <v>40319</v>
      </c>
      <c r="B274" s="541"/>
      <c r="C274" s="541"/>
      <c r="D274" s="332"/>
      <c r="E274" s="332"/>
      <c r="F274" s="332"/>
      <c r="G274" s="332"/>
      <c r="H274" s="332"/>
      <c r="I274" s="332"/>
      <c r="J274" s="332"/>
      <c r="K274" s="332"/>
      <c r="L274" s="332"/>
      <c r="M274" s="332">
        <f>137.3</f>
        <v>137.30000000000001</v>
      </c>
      <c r="N274" s="335" t="s">
        <v>39794</v>
      </c>
      <c r="O274" s="335">
        <f t="shared" ref="O274:O281" si="13">ROUND(M274,2)</f>
        <v>137.30000000000001</v>
      </c>
    </row>
    <row r="275" spans="1:15" s="328" customFormat="1" x14ac:dyDescent="0.2">
      <c r="A275" s="541" t="s">
        <v>40323</v>
      </c>
      <c r="B275" s="541"/>
      <c r="C275" s="541"/>
      <c r="D275" s="332"/>
      <c r="E275" s="332"/>
      <c r="F275" s="332"/>
      <c r="G275" s="332"/>
      <c r="H275" s="332"/>
      <c r="I275" s="332"/>
      <c r="J275" s="332"/>
      <c r="K275" s="332"/>
      <c r="L275" s="332"/>
      <c r="M275" s="332">
        <f>38.1</f>
        <v>38.1</v>
      </c>
      <c r="N275" s="335" t="s">
        <v>39794</v>
      </c>
      <c r="O275" s="335">
        <f t="shared" si="13"/>
        <v>38.1</v>
      </c>
    </row>
    <row r="276" spans="1:15" s="328" customFormat="1" x14ac:dyDescent="0.2">
      <c r="A276" s="541" t="s">
        <v>40327</v>
      </c>
      <c r="B276" s="541"/>
      <c r="C276" s="541"/>
      <c r="D276" s="332"/>
      <c r="E276" s="332"/>
      <c r="F276" s="332"/>
      <c r="G276" s="332"/>
      <c r="H276" s="332"/>
      <c r="I276" s="332"/>
      <c r="J276" s="332"/>
      <c r="K276" s="332"/>
      <c r="L276" s="332"/>
      <c r="M276" s="332">
        <f>45.8</f>
        <v>45.8</v>
      </c>
      <c r="N276" s="335" t="s">
        <v>39794</v>
      </c>
      <c r="O276" s="335">
        <f t="shared" si="13"/>
        <v>45.8</v>
      </c>
    </row>
    <row r="277" spans="1:15" s="328" customFormat="1" x14ac:dyDescent="0.2">
      <c r="A277" s="541" t="s">
        <v>40331</v>
      </c>
      <c r="B277" s="541"/>
      <c r="C277" s="541"/>
      <c r="D277" s="332"/>
      <c r="E277" s="332"/>
      <c r="F277" s="332"/>
      <c r="G277" s="332"/>
      <c r="H277" s="332"/>
      <c r="I277" s="332"/>
      <c r="J277" s="332"/>
      <c r="K277" s="332"/>
      <c r="L277" s="332"/>
      <c r="M277" s="332">
        <f>38.1</f>
        <v>38.1</v>
      </c>
      <c r="N277" s="335" t="s">
        <v>39794</v>
      </c>
      <c r="O277" s="335">
        <f t="shared" si="13"/>
        <v>38.1</v>
      </c>
    </row>
    <row r="278" spans="1:15" s="328" customFormat="1" x14ac:dyDescent="0.2">
      <c r="A278" s="541" t="s">
        <v>40335</v>
      </c>
      <c r="B278" s="541"/>
      <c r="C278" s="541"/>
      <c r="D278" s="332"/>
      <c r="E278" s="332"/>
      <c r="F278" s="332"/>
      <c r="G278" s="332"/>
      <c r="H278" s="332"/>
      <c r="I278" s="332"/>
      <c r="J278" s="332"/>
      <c r="K278" s="332"/>
      <c r="L278" s="332"/>
      <c r="M278" s="332">
        <f>15.3</f>
        <v>15.3</v>
      </c>
      <c r="N278" s="335" t="s">
        <v>39794</v>
      </c>
      <c r="O278" s="335">
        <f t="shared" si="13"/>
        <v>15.3</v>
      </c>
    </row>
    <row r="279" spans="1:15" s="328" customFormat="1" x14ac:dyDescent="0.2">
      <c r="A279" s="541" t="s">
        <v>40338</v>
      </c>
      <c r="B279" s="541"/>
      <c r="C279" s="541"/>
      <c r="D279" s="332"/>
      <c r="E279" s="332"/>
      <c r="F279" s="332"/>
      <c r="G279" s="332"/>
      <c r="H279" s="332"/>
      <c r="I279" s="332"/>
      <c r="J279" s="332"/>
      <c r="K279" s="332"/>
      <c r="L279" s="332"/>
      <c r="M279" s="332">
        <f>649.9</f>
        <v>649.9</v>
      </c>
      <c r="N279" s="335" t="s">
        <v>39794</v>
      </c>
      <c r="O279" s="335">
        <f t="shared" si="13"/>
        <v>649.9</v>
      </c>
    </row>
    <row r="280" spans="1:15" s="328" customFormat="1" x14ac:dyDescent="0.2">
      <c r="A280" s="541" t="s">
        <v>40370</v>
      </c>
      <c r="B280" s="541"/>
      <c r="C280" s="541"/>
      <c r="D280" s="332"/>
      <c r="E280" s="332"/>
      <c r="F280" s="332"/>
      <c r="G280" s="332"/>
      <c r="H280" s="332"/>
      <c r="I280" s="332"/>
      <c r="J280" s="332"/>
      <c r="K280" s="332"/>
      <c r="L280" s="332"/>
      <c r="M280" s="332">
        <f>20.9</f>
        <v>20.9</v>
      </c>
      <c r="N280" s="335" t="s">
        <v>39794</v>
      </c>
      <c r="O280" s="335">
        <f t="shared" si="13"/>
        <v>20.9</v>
      </c>
    </row>
    <row r="281" spans="1:15" s="328" customFormat="1" x14ac:dyDescent="0.2">
      <c r="A281" s="541" t="s">
        <v>40374</v>
      </c>
      <c r="B281" s="541"/>
      <c r="C281" s="541"/>
      <c r="D281" s="332"/>
      <c r="E281" s="332"/>
      <c r="F281" s="332"/>
      <c r="G281" s="332"/>
      <c r="H281" s="332"/>
      <c r="I281" s="332"/>
      <c r="J281" s="332"/>
      <c r="K281" s="332"/>
      <c r="L281" s="332"/>
      <c r="M281" s="332">
        <f>75.2</f>
        <v>75.2</v>
      </c>
      <c r="N281" s="335" t="s">
        <v>39794</v>
      </c>
      <c r="O281" s="335">
        <f t="shared" si="13"/>
        <v>75.2</v>
      </c>
    </row>
    <row r="282" spans="1:15" s="328" customFormat="1" x14ac:dyDescent="0.2">
      <c r="A282" s="540"/>
      <c r="B282" s="540"/>
      <c r="C282" s="540"/>
      <c r="D282" s="540"/>
      <c r="E282" s="540"/>
      <c r="F282" s="540"/>
      <c r="G282" s="540"/>
      <c r="H282" s="540"/>
      <c r="I282" s="540"/>
      <c r="J282" s="540"/>
      <c r="K282" s="540"/>
      <c r="L282" s="334" t="s">
        <v>39796</v>
      </c>
      <c r="M282" s="334" t="s">
        <v>39168</v>
      </c>
      <c r="N282" s="333" t="s">
        <v>39794</v>
      </c>
      <c r="O282" s="334">
        <f>SUM(O273:O281)</f>
        <v>1020.6</v>
      </c>
    </row>
    <row r="283" spans="1:15" s="328" customFormat="1" x14ac:dyDescent="0.2">
      <c r="A283" s="338" t="str">
        <f>ORCAMENTO!A52</f>
        <v>4.3</v>
      </c>
      <c r="B283" s="556" t="str">
        <f>VLOOKUP(A283,ORCAMENTO!A:I,4,0)</f>
        <v>CONCRETO</v>
      </c>
      <c r="C283" s="557"/>
      <c r="D283" s="557"/>
      <c r="E283" s="557"/>
      <c r="F283" s="557"/>
      <c r="G283" s="557"/>
      <c r="H283" s="557"/>
      <c r="I283" s="557"/>
      <c r="J283" s="557"/>
      <c r="K283" s="557"/>
      <c r="L283" s="557"/>
      <c r="M283" s="557"/>
      <c r="N283" s="557"/>
      <c r="O283" s="558"/>
    </row>
    <row r="284" spans="1:15" s="328" customFormat="1" x14ac:dyDescent="0.2">
      <c r="A284" s="329" t="s">
        <v>39791</v>
      </c>
      <c r="B284" s="542" t="s">
        <v>5917</v>
      </c>
      <c r="C284" s="542"/>
      <c r="D284" s="542"/>
      <c r="E284" s="542"/>
      <c r="F284" s="542"/>
      <c r="G284" s="542"/>
      <c r="H284" s="542"/>
      <c r="I284" s="542"/>
      <c r="J284" s="542"/>
      <c r="K284" s="542"/>
      <c r="L284" s="542"/>
      <c r="M284" s="542"/>
      <c r="N284" s="329" t="s">
        <v>39197</v>
      </c>
      <c r="O284" s="330" t="s">
        <v>39792</v>
      </c>
    </row>
    <row r="285" spans="1:15" s="328" customFormat="1" ht="12.75" customHeight="1" x14ac:dyDescent="0.2">
      <c r="A285" s="331" t="str">
        <f>ORCAMENTO!A53</f>
        <v>4.3.1</v>
      </c>
      <c r="B285" s="543" t="str">
        <f>VLOOKUP(A285,ORCAMENTO!A:I,4,0)</f>
        <v>LASTRO DE CONCRETO MAGRO, APLICADO EM PISOS, LAJES SOBRE SOLO OU RADIERS, ESPESSURA DE 5 CM. AF_01/2024</v>
      </c>
      <c r="C285" s="543"/>
      <c r="D285" s="543"/>
      <c r="E285" s="543"/>
      <c r="F285" s="543"/>
      <c r="G285" s="543"/>
      <c r="H285" s="543"/>
      <c r="I285" s="543"/>
      <c r="J285" s="543"/>
      <c r="K285" s="543"/>
      <c r="L285" s="543"/>
      <c r="M285" s="543"/>
      <c r="N285" s="331" t="str">
        <f>VLOOKUP(A285,ORCAMENTO!A:I,5,0)</f>
        <v>M2</v>
      </c>
      <c r="O285" s="332">
        <f>O310</f>
        <v>63.870000000000005</v>
      </c>
    </row>
    <row r="286" spans="1:15" s="328" customFormat="1" x14ac:dyDescent="0.2">
      <c r="A286" s="539" t="s">
        <v>39793</v>
      </c>
      <c r="B286" s="539"/>
      <c r="C286" s="539"/>
      <c r="D286" s="539"/>
      <c r="E286" s="539"/>
      <c r="F286" s="539"/>
      <c r="G286" s="539"/>
      <c r="H286" s="539"/>
      <c r="I286" s="539"/>
      <c r="J286" s="539"/>
      <c r="K286" s="539"/>
      <c r="L286" s="539"/>
      <c r="M286" s="539"/>
      <c r="N286" s="539"/>
      <c r="O286" s="539"/>
    </row>
    <row r="287" spans="1:15" s="328" customFormat="1" x14ac:dyDescent="0.2">
      <c r="A287" s="539" t="s">
        <v>5917</v>
      </c>
      <c r="B287" s="539"/>
      <c r="C287" s="539"/>
      <c r="D287" s="333"/>
      <c r="E287" s="333"/>
      <c r="F287" s="333"/>
      <c r="G287" s="333"/>
      <c r="H287" s="333"/>
      <c r="I287" s="333" t="s">
        <v>39792</v>
      </c>
      <c r="J287" s="333" t="s">
        <v>39805</v>
      </c>
      <c r="K287" s="333" t="s">
        <v>39804</v>
      </c>
      <c r="L287" s="333" t="s">
        <v>39805</v>
      </c>
      <c r="M287" s="333" t="s">
        <v>39802</v>
      </c>
      <c r="N287" s="333" t="s">
        <v>39794</v>
      </c>
      <c r="O287" s="333" t="s">
        <v>39795</v>
      </c>
    </row>
    <row r="288" spans="1:15" s="328" customFormat="1" x14ac:dyDescent="0.2">
      <c r="A288" s="554" t="s">
        <v>40380</v>
      </c>
      <c r="B288" s="554"/>
      <c r="C288" s="554"/>
      <c r="D288" s="332"/>
      <c r="E288" s="332"/>
      <c r="F288" s="332"/>
      <c r="G288" s="332"/>
      <c r="H288" s="332"/>
      <c r="I288" s="332">
        <v>18</v>
      </c>
      <c r="J288" s="332" t="s">
        <v>39805</v>
      </c>
      <c r="K288" s="332">
        <f>0.9</f>
        <v>0.9</v>
      </c>
      <c r="L288" s="332" t="s">
        <v>39805</v>
      </c>
      <c r="M288" s="332">
        <f>0.9</f>
        <v>0.9</v>
      </c>
      <c r="N288" s="335" t="s">
        <v>39794</v>
      </c>
      <c r="O288" s="332">
        <f>ROUND(I288*K288*M288,2)</f>
        <v>14.58</v>
      </c>
    </row>
    <row r="289" spans="1:15" s="328" customFormat="1" x14ac:dyDescent="0.2">
      <c r="A289" s="541" t="s">
        <v>40381</v>
      </c>
      <c r="B289" s="541"/>
      <c r="C289" s="541"/>
      <c r="D289" s="332"/>
      <c r="E289" s="332"/>
      <c r="F289" s="332"/>
      <c r="G289" s="332"/>
      <c r="H289" s="332"/>
      <c r="I289" s="332">
        <f>4</f>
        <v>4</v>
      </c>
      <c r="J289" s="332" t="s">
        <v>39805</v>
      </c>
      <c r="K289" s="332">
        <f>0.75</f>
        <v>0.75</v>
      </c>
      <c r="L289" s="332" t="s">
        <v>39805</v>
      </c>
      <c r="M289" s="332">
        <f>0.7</f>
        <v>0.7</v>
      </c>
      <c r="N289" s="335" t="s">
        <v>39794</v>
      </c>
      <c r="O289" s="332">
        <f t="shared" ref="O289:O309" si="14">ROUND(I289*K289*M289,2)</f>
        <v>2.1</v>
      </c>
    </row>
    <row r="290" spans="1:15" s="328" customFormat="1" x14ac:dyDescent="0.2">
      <c r="A290" s="541" t="s">
        <v>40382</v>
      </c>
      <c r="B290" s="541"/>
      <c r="C290" s="541"/>
      <c r="D290" s="332"/>
      <c r="E290" s="332"/>
      <c r="F290" s="332"/>
      <c r="G290" s="332"/>
      <c r="H290" s="332"/>
      <c r="I290" s="332">
        <f>2</f>
        <v>2</v>
      </c>
      <c r="J290" s="332" t="s">
        <v>39805</v>
      </c>
      <c r="K290" s="332">
        <f>0.75</f>
        <v>0.75</v>
      </c>
      <c r="L290" s="332" t="s">
        <v>39805</v>
      </c>
      <c r="M290" s="332">
        <f>0.8</f>
        <v>0.8</v>
      </c>
      <c r="N290" s="335" t="s">
        <v>39794</v>
      </c>
      <c r="O290" s="332">
        <f t="shared" si="14"/>
        <v>1.2</v>
      </c>
    </row>
    <row r="291" spans="1:15" s="328" customFormat="1" x14ac:dyDescent="0.2">
      <c r="A291" s="541" t="s">
        <v>40383</v>
      </c>
      <c r="B291" s="541"/>
      <c r="C291" s="541"/>
      <c r="D291" s="332"/>
      <c r="E291" s="332"/>
      <c r="F291" s="332"/>
      <c r="G291" s="332"/>
      <c r="H291" s="332"/>
      <c r="I291" s="332">
        <v>3</v>
      </c>
      <c r="J291" s="332" t="s">
        <v>39805</v>
      </c>
      <c r="K291" s="332">
        <f>0.8</f>
        <v>0.8</v>
      </c>
      <c r="L291" s="332" t="s">
        <v>39805</v>
      </c>
      <c r="M291" s="332">
        <f>0.85</f>
        <v>0.85</v>
      </c>
      <c r="N291" s="335" t="s">
        <v>39794</v>
      </c>
      <c r="O291" s="332">
        <f t="shared" si="14"/>
        <v>2.04</v>
      </c>
    </row>
    <row r="292" spans="1:15" s="328" customFormat="1" x14ac:dyDescent="0.2">
      <c r="A292" s="541" t="s">
        <v>40384</v>
      </c>
      <c r="B292" s="541"/>
      <c r="C292" s="541"/>
      <c r="D292" s="332"/>
      <c r="E292" s="332"/>
      <c r="F292" s="332"/>
      <c r="G292" s="332"/>
      <c r="H292" s="332"/>
      <c r="I292" s="332">
        <f>2</f>
        <v>2</v>
      </c>
      <c r="J292" s="332" t="s">
        <v>39805</v>
      </c>
      <c r="K292" s="332">
        <f>0.7</f>
        <v>0.7</v>
      </c>
      <c r="L292" s="332" t="s">
        <v>39805</v>
      </c>
      <c r="M292" s="332">
        <f>0.7</f>
        <v>0.7</v>
      </c>
      <c r="N292" s="335" t="s">
        <v>39794</v>
      </c>
      <c r="O292" s="332">
        <f t="shared" si="14"/>
        <v>0.98</v>
      </c>
    </row>
    <row r="293" spans="1:15" s="328" customFormat="1" x14ac:dyDescent="0.2">
      <c r="A293" s="541" t="s">
        <v>40385</v>
      </c>
      <c r="B293" s="541"/>
      <c r="C293" s="541"/>
      <c r="D293" s="332"/>
      <c r="E293" s="332"/>
      <c r="F293" s="332"/>
      <c r="G293" s="332"/>
      <c r="H293" s="332"/>
      <c r="I293" s="332">
        <f>2</f>
        <v>2</v>
      </c>
      <c r="J293" s="332" t="s">
        <v>39805</v>
      </c>
      <c r="K293" s="332">
        <f>1.2</f>
        <v>1.2</v>
      </c>
      <c r="L293" s="332" t="s">
        <v>39805</v>
      </c>
      <c r="M293" s="332">
        <f>2</f>
        <v>2</v>
      </c>
      <c r="N293" s="335" t="s">
        <v>39794</v>
      </c>
      <c r="O293" s="332">
        <f t="shared" si="14"/>
        <v>4.8</v>
      </c>
    </row>
    <row r="294" spans="1:15" s="328" customFormat="1" x14ac:dyDescent="0.2">
      <c r="A294" s="541" t="s">
        <v>40386</v>
      </c>
      <c r="B294" s="541"/>
      <c r="C294" s="541"/>
      <c r="D294" s="332"/>
      <c r="E294" s="332"/>
      <c r="F294" s="332"/>
      <c r="G294" s="332"/>
      <c r="H294" s="332"/>
      <c r="I294" s="332">
        <f>1</f>
        <v>1</v>
      </c>
      <c r="J294" s="332" t="s">
        <v>39805</v>
      </c>
      <c r="K294" s="332">
        <f>1.75</f>
        <v>1.75</v>
      </c>
      <c r="L294" s="332" t="s">
        <v>39805</v>
      </c>
      <c r="M294" s="332">
        <f>2.45</f>
        <v>2.4500000000000002</v>
      </c>
      <c r="N294" s="335" t="s">
        <v>39794</v>
      </c>
      <c r="O294" s="332">
        <f t="shared" si="14"/>
        <v>4.29</v>
      </c>
    </row>
    <row r="295" spans="1:15" s="328" customFormat="1" x14ac:dyDescent="0.2">
      <c r="A295" s="541" t="s">
        <v>40387</v>
      </c>
      <c r="B295" s="541"/>
      <c r="C295" s="541"/>
      <c r="D295" s="332"/>
      <c r="E295" s="332"/>
      <c r="F295" s="332"/>
      <c r="G295" s="332"/>
      <c r="H295" s="332"/>
      <c r="I295" s="332">
        <f>1</f>
        <v>1</v>
      </c>
      <c r="J295" s="332" t="s">
        <v>39805</v>
      </c>
      <c r="K295" s="332">
        <f>1.8</f>
        <v>1.8</v>
      </c>
      <c r="L295" s="332" t="s">
        <v>39805</v>
      </c>
      <c r="M295" s="332">
        <f>2.5</f>
        <v>2.5</v>
      </c>
      <c r="N295" s="335" t="s">
        <v>39794</v>
      </c>
      <c r="O295" s="332">
        <f t="shared" si="14"/>
        <v>4.5</v>
      </c>
    </row>
    <row r="296" spans="1:15" s="328" customFormat="1" x14ac:dyDescent="0.2">
      <c r="A296" s="541" t="s">
        <v>40388</v>
      </c>
      <c r="B296" s="541"/>
      <c r="C296" s="541"/>
      <c r="D296" s="332"/>
      <c r="E296" s="332"/>
      <c r="F296" s="332"/>
      <c r="G296" s="332"/>
      <c r="H296" s="332"/>
      <c r="I296" s="332">
        <f>1</f>
        <v>1</v>
      </c>
      <c r="J296" s="332" t="s">
        <v>39805</v>
      </c>
      <c r="K296" s="332">
        <f>0.8</f>
        <v>0.8</v>
      </c>
      <c r="L296" s="332" t="s">
        <v>39805</v>
      </c>
      <c r="M296" s="332">
        <f>1.55</f>
        <v>1.55</v>
      </c>
      <c r="N296" s="335" t="s">
        <v>39794</v>
      </c>
      <c r="O296" s="332">
        <f t="shared" si="14"/>
        <v>1.24</v>
      </c>
    </row>
    <row r="297" spans="1:15" s="328" customFormat="1" x14ac:dyDescent="0.2">
      <c r="A297" s="541" t="s">
        <v>40389</v>
      </c>
      <c r="B297" s="541"/>
      <c r="C297" s="541"/>
      <c r="D297" s="332"/>
      <c r="E297" s="332"/>
      <c r="F297" s="332"/>
      <c r="G297" s="332"/>
      <c r="H297" s="332"/>
      <c r="I297" s="332">
        <f>6</f>
        <v>6</v>
      </c>
      <c r="J297" s="332" t="s">
        <v>39805</v>
      </c>
      <c r="K297" s="332">
        <f>0.95</f>
        <v>0.95</v>
      </c>
      <c r="L297" s="332" t="s">
        <v>39805</v>
      </c>
      <c r="M297" s="332">
        <f>0.95</f>
        <v>0.95</v>
      </c>
      <c r="N297" s="335" t="s">
        <v>39794</v>
      </c>
      <c r="O297" s="332">
        <f t="shared" si="14"/>
        <v>5.42</v>
      </c>
    </row>
    <row r="298" spans="1:15" s="328" customFormat="1" x14ac:dyDescent="0.2">
      <c r="A298" s="541" t="s">
        <v>40390</v>
      </c>
      <c r="B298" s="541"/>
      <c r="C298" s="541"/>
      <c r="D298" s="332"/>
      <c r="E298" s="332"/>
      <c r="F298" s="332"/>
      <c r="G298" s="332"/>
      <c r="H298" s="332"/>
      <c r="I298" s="332">
        <f>2</f>
        <v>2</v>
      </c>
      <c r="J298" s="332" t="s">
        <v>39805</v>
      </c>
      <c r="K298" s="332">
        <f>0.75</f>
        <v>0.75</v>
      </c>
      <c r="L298" s="332" t="s">
        <v>39805</v>
      </c>
      <c r="M298" s="332">
        <f>0.9</f>
        <v>0.9</v>
      </c>
      <c r="N298" s="335" t="s">
        <v>39794</v>
      </c>
      <c r="O298" s="332">
        <f t="shared" si="14"/>
        <v>1.35</v>
      </c>
    </row>
    <row r="299" spans="1:15" s="328" customFormat="1" x14ac:dyDescent="0.2">
      <c r="A299" s="541" t="s">
        <v>40391</v>
      </c>
      <c r="B299" s="541"/>
      <c r="C299" s="541"/>
      <c r="D299" s="332"/>
      <c r="E299" s="332"/>
      <c r="F299" s="332"/>
      <c r="G299" s="332"/>
      <c r="H299" s="332"/>
      <c r="I299" s="332">
        <f>9</f>
        <v>9</v>
      </c>
      <c r="J299" s="332" t="s">
        <v>39805</v>
      </c>
      <c r="K299" s="332">
        <f>0.55</f>
        <v>0.55000000000000004</v>
      </c>
      <c r="L299" s="332" t="s">
        <v>39805</v>
      </c>
      <c r="M299" s="332">
        <f>0.7</f>
        <v>0.7</v>
      </c>
      <c r="N299" s="335" t="s">
        <v>39794</v>
      </c>
      <c r="O299" s="332">
        <f t="shared" si="14"/>
        <v>3.47</v>
      </c>
    </row>
    <row r="300" spans="1:15" s="328" customFormat="1" x14ac:dyDescent="0.2">
      <c r="A300" s="541" t="s">
        <v>40392</v>
      </c>
      <c r="B300" s="541"/>
      <c r="C300" s="541"/>
      <c r="D300" s="332"/>
      <c r="E300" s="332"/>
      <c r="F300" s="332"/>
      <c r="G300" s="332"/>
      <c r="H300" s="332"/>
      <c r="I300" s="332">
        <f>1</f>
        <v>1</v>
      </c>
      <c r="J300" s="332" t="s">
        <v>39805</v>
      </c>
      <c r="K300" s="332">
        <f>0.95</f>
        <v>0.95</v>
      </c>
      <c r="L300" s="332" t="s">
        <v>39805</v>
      </c>
      <c r="M300" s="332">
        <f>1.1</f>
        <v>1.1000000000000001</v>
      </c>
      <c r="N300" s="335" t="s">
        <v>39794</v>
      </c>
      <c r="O300" s="332">
        <f t="shared" si="14"/>
        <v>1.05</v>
      </c>
    </row>
    <row r="301" spans="1:15" s="328" customFormat="1" x14ac:dyDescent="0.2">
      <c r="A301" s="541" t="s">
        <v>40393</v>
      </c>
      <c r="B301" s="541"/>
      <c r="C301" s="541"/>
      <c r="D301" s="332"/>
      <c r="E301" s="332"/>
      <c r="F301" s="332"/>
      <c r="G301" s="332"/>
      <c r="H301" s="332"/>
      <c r="I301" s="332">
        <f>1</f>
        <v>1</v>
      </c>
      <c r="J301" s="332" t="s">
        <v>39805</v>
      </c>
      <c r="K301" s="332">
        <f>0.6</f>
        <v>0.6</v>
      </c>
      <c r="L301" s="332" t="s">
        <v>39805</v>
      </c>
      <c r="M301" s="332">
        <f>0.7</f>
        <v>0.7</v>
      </c>
      <c r="N301" s="335" t="s">
        <v>39794</v>
      </c>
      <c r="O301" s="332">
        <f t="shared" si="14"/>
        <v>0.42</v>
      </c>
    </row>
    <row r="302" spans="1:15" s="328" customFormat="1" x14ac:dyDescent="0.2">
      <c r="A302" s="541" t="s">
        <v>40394</v>
      </c>
      <c r="B302" s="541"/>
      <c r="C302" s="541"/>
      <c r="D302" s="332"/>
      <c r="E302" s="332"/>
      <c r="F302" s="332"/>
      <c r="G302" s="332"/>
      <c r="H302" s="332"/>
      <c r="I302" s="332">
        <f>1</f>
        <v>1</v>
      </c>
      <c r="J302" s="332" t="s">
        <v>39805</v>
      </c>
      <c r="K302" s="332">
        <f>0.85</f>
        <v>0.85</v>
      </c>
      <c r="L302" s="332" t="s">
        <v>39805</v>
      </c>
      <c r="M302" s="332">
        <f>1</f>
        <v>1</v>
      </c>
      <c r="N302" s="335" t="s">
        <v>39794</v>
      </c>
      <c r="O302" s="332">
        <f t="shared" si="14"/>
        <v>0.85</v>
      </c>
    </row>
    <row r="303" spans="1:15" s="328" customFormat="1" x14ac:dyDescent="0.2">
      <c r="A303" s="541" t="s">
        <v>40395</v>
      </c>
      <c r="B303" s="541"/>
      <c r="C303" s="541"/>
      <c r="D303" s="332"/>
      <c r="E303" s="332"/>
      <c r="F303" s="332"/>
      <c r="G303" s="332"/>
      <c r="H303" s="332"/>
      <c r="I303" s="332">
        <f>3</f>
        <v>3</v>
      </c>
      <c r="J303" s="332" t="s">
        <v>39805</v>
      </c>
      <c r="K303" s="332">
        <f>0.65</f>
        <v>0.65</v>
      </c>
      <c r="L303" s="332" t="s">
        <v>39805</v>
      </c>
      <c r="M303" s="332">
        <f>0.8</f>
        <v>0.8</v>
      </c>
      <c r="N303" s="335" t="s">
        <v>39794</v>
      </c>
      <c r="O303" s="332">
        <f t="shared" si="14"/>
        <v>1.56</v>
      </c>
    </row>
    <row r="304" spans="1:15" s="328" customFormat="1" x14ac:dyDescent="0.2">
      <c r="A304" s="541" t="s">
        <v>40396</v>
      </c>
      <c r="B304" s="541"/>
      <c r="C304" s="541"/>
      <c r="D304" s="332"/>
      <c r="E304" s="332"/>
      <c r="F304" s="332"/>
      <c r="G304" s="332"/>
      <c r="H304" s="332"/>
      <c r="I304" s="332">
        <f>1</f>
        <v>1</v>
      </c>
      <c r="J304" s="332" t="s">
        <v>39805</v>
      </c>
      <c r="K304" s="332">
        <f>1.1</f>
        <v>1.1000000000000001</v>
      </c>
      <c r="L304" s="332" t="s">
        <v>39805</v>
      </c>
      <c r="M304" s="332">
        <f>1.9</f>
        <v>1.9</v>
      </c>
      <c r="N304" s="335" t="s">
        <v>39794</v>
      </c>
      <c r="O304" s="332">
        <f t="shared" si="14"/>
        <v>2.09</v>
      </c>
    </row>
    <row r="305" spans="1:15" s="328" customFormat="1" x14ac:dyDescent="0.2">
      <c r="A305" s="541" t="s">
        <v>40397</v>
      </c>
      <c r="B305" s="541"/>
      <c r="C305" s="541"/>
      <c r="D305" s="332"/>
      <c r="E305" s="332"/>
      <c r="F305" s="332"/>
      <c r="G305" s="332"/>
      <c r="H305" s="332"/>
      <c r="I305" s="332">
        <f>2</f>
        <v>2</v>
      </c>
      <c r="J305" s="332" t="s">
        <v>39805</v>
      </c>
      <c r="K305" s="332">
        <f>1.6</f>
        <v>1.6</v>
      </c>
      <c r="L305" s="332" t="s">
        <v>39805</v>
      </c>
      <c r="M305" s="332">
        <f>2.3</f>
        <v>2.2999999999999998</v>
      </c>
      <c r="N305" s="335" t="s">
        <v>39794</v>
      </c>
      <c r="O305" s="332">
        <f t="shared" si="14"/>
        <v>7.36</v>
      </c>
    </row>
    <row r="306" spans="1:15" s="328" customFormat="1" x14ac:dyDescent="0.2">
      <c r="A306" s="541" t="s">
        <v>40398</v>
      </c>
      <c r="B306" s="541"/>
      <c r="C306" s="541"/>
      <c r="D306" s="332"/>
      <c r="E306" s="332"/>
      <c r="F306" s="332"/>
      <c r="G306" s="332"/>
      <c r="H306" s="332"/>
      <c r="I306" s="332">
        <f>1</f>
        <v>1</v>
      </c>
      <c r="J306" s="332" t="s">
        <v>39805</v>
      </c>
      <c r="K306" s="332">
        <f>0.6</f>
        <v>0.6</v>
      </c>
      <c r="L306" s="332" t="s">
        <v>39805</v>
      </c>
      <c r="M306" s="332">
        <f>0.75</f>
        <v>0.75</v>
      </c>
      <c r="N306" s="335" t="s">
        <v>39794</v>
      </c>
      <c r="O306" s="332">
        <f t="shared" si="14"/>
        <v>0.45</v>
      </c>
    </row>
    <row r="307" spans="1:15" s="328" customFormat="1" x14ac:dyDescent="0.2">
      <c r="A307" s="541" t="s">
        <v>40399</v>
      </c>
      <c r="B307" s="541"/>
      <c r="C307" s="541"/>
      <c r="D307" s="332"/>
      <c r="E307" s="332"/>
      <c r="F307" s="332"/>
      <c r="G307" s="332"/>
      <c r="H307" s="332"/>
      <c r="I307" s="332">
        <f>3</f>
        <v>3</v>
      </c>
      <c r="J307" s="332" t="s">
        <v>39805</v>
      </c>
      <c r="K307" s="332">
        <f>0.6</f>
        <v>0.6</v>
      </c>
      <c r="L307" s="332" t="s">
        <v>39805</v>
      </c>
      <c r="M307" s="332">
        <f>0.75</f>
        <v>0.75</v>
      </c>
      <c r="N307" s="335" t="s">
        <v>39794</v>
      </c>
      <c r="O307" s="332">
        <f t="shared" si="14"/>
        <v>1.35</v>
      </c>
    </row>
    <row r="308" spans="1:15" s="328" customFormat="1" x14ac:dyDescent="0.2">
      <c r="A308" s="541" t="s">
        <v>40400</v>
      </c>
      <c r="B308" s="541"/>
      <c r="C308" s="541"/>
      <c r="D308" s="332"/>
      <c r="E308" s="332"/>
      <c r="F308" s="332"/>
      <c r="G308" s="332"/>
      <c r="H308" s="332"/>
      <c r="I308" s="332">
        <f>2</f>
        <v>2</v>
      </c>
      <c r="J308" s="332" t="s">
        <v>39805</v>
      </c>
      <c r="K308" s="332">
        <f>1</f>
        <v>1</v>
      </c>
      <c r="L308" s="332" t="s">
        <v>39805</v>
      </c>
      <c r="M308" s="332">
        <f>1</f>
        <v>1</v>
      </c>
      <c r="N308" s="335" t="s">
        <v>39794</v>
      </c>
      <c r="O308" s="332">
        <f t="shared" si="14"/>
        <v>2</v>
      </c>
    </row>
    <row r="309" spans="1:15" s="328" customFormat="1" x14ac:dyDescent="0.2">
      <c r="A309" s="541" t="s">
        <v>40401</v>
      </c>
      <c r="B309" s="541"/>
      <c r="C309" s="541"/>
      <c r="D309" s="332"/>
      <c r="E309" s="332"/>
      <c r="F309" s="332"/>
      <c r="G309" s="332"/>
      <c r="H309" s="332"/>
      <c r="I309" s="332">
        <f>1</f>
        <v>1</v>
      </c>
      <c r="J309" s="332" t="s">
        <v>39805</v>
      </c>
      <c r="K309" s="332">
        <f>0.85</f>
        <v>0.85</v>
      </c>
      <c r="L309" s="332" t="s">
        <v>39805</v>
      </c>
      <c r="M309" s="332">
        <f>0.9</f>
        <v>0.9</v>
      </c>
      <c r="N309" s="335" t="s">
        <v>39794</v>
      </c>
      <c r="O309" s="332">
        <f t="shared" si="14"/>
        <v>0.77</v>
      </c>
    </row>
    <row r="310" spans="1:15" s="328" customFormat="1" x14ac:dyDescent="0.2">
      <c r="A310" s="540"/>
      <c r="B310" s="540"/>
      <c r="C310" s="540"/>
      <c r="D310" s="540"/>
      <c r="E310" s="540"/>
      <c r="F310" s="540"/>
      <c r="G310" s="540"/>
      <c r="H310" s="540"/>
      <c r="I310" s="540"/>
      <c r="J310" s="540"/>
      <c r="K310" s="540"/>
      <c r="L310" s="334" t="s">
        <v>39796</v>
      </c>
      <c r="M310" s="334" t="s">
        <v>39168</v>
      </c>
      <c r="N310" s="333" t="s">
        <v>39794</v>
      </c>
      <c r="O310" s="334">
        <f>SUM(O287:O309)</f>
        <v>63.870000000000005</v>
      </c>
    </row>
    <row r="311" spans="1:15" s="328" customFormat="1" x14ac:dyDescent="0.2">
      <c r="A311" s="329" t="s">
        <v>39791</v>
      </c>
      <c r="B311" s="542" t="s">
        <v>5917</v>
      </c>
      <c r="C311" s="542"/>
      <c r="D311" s="542"/>
      <c r="E311" s="542"/>
      <c r="F311" s="542"/>
      <c r="G311" s="542"/>
      <c r="H311" s="542"/>
      <c r="I311" s="542"/>
      <c r="J311" s="542"/>
      <c r="K311" s="542"/>
      <c r="L311" s="542"/>
      <c r="M311" s="542"/>
      <c r="N311" s="329" t="s">
        <v>39197</v>
      </c>
      <c r="O311" s="330" t="s">
        <v>39792</v>
      </c>
    </row>
    <row r="312" spans="1:15" s="328" customFormat="1" ht="39.950000000000003" customHeight="1" x14ac:dyDescent="0.2">
      <c r="A312" s="331" t="str">
        <f>ORCAMENTO!A54</f>
        <v>4.3.2</v>
      </c>
      <c r="B312" s="543" t="str">
        <f>VLOOKUP(A312,ORCAMENTO!A:I,4,0)</f>
        <v>CONCRETO FCK = 25MPA, TRAÇO 1:2,3:2,7 (EM MASSA SECA DE CIMENTO/ AREIA MÉDIA/ BRITA 1) - PREPARO MECÂNICO COM BETONEIRA 400 L. AF_05/2021</v>
      </c>
      <c r="C312" s="543"/>
      <c r="D312" s="543"/>
      <c r="E312" s="543"/>
      <c r="F312" s="543"/>
      <c r="G312" s="543"/>
      <c r="H312" s="543"/>
      <c r="I312" s="543"/>
      <c r="J312" s="543"/>
      <c r="K312" s="543"/>
      <c r="L312" s="543"/>
      <c r="M312" s="543"/>
      <c r="N312" s="331" t="str">
        <f>VLOOKUP(A312,ORCAMENTO!A:I,5,0)</f>
        <v>M3</v>
      </c>
      <c r="O312" s="332">
        <f>O337</f>
        <v>114.75000000000001</v>
      </c>
    </row>
    <row r="313" spans="1:15" s="328" customFormat="1" x14ac:dyDescent="0.2">
      <c r="A313" s="539" t="s">
        <v>39793</v>
      </c>
      <c r="B313" s="539"/>
      <c r="C313" s="539"/>
      <c r="D313" s="539"/>
      <c r="E313" s="539"/>
      <c r="F313" s="539"/>
      <c r="G313" s="539"/>
      <c r="H313" s="539"/>
      <c r="I313" s="539"/>
      <c r="J313" s="539"/>
      <c r="K313" s="539"/>
      <c r="L313" s="539"/>
      <c r="M313" s="539"/>
      <c r="N313" s="539"/>
      <c r="O313" s="539"/>
    </row>
    <row r="314" spans="1:15" s="328" customFormat="1" x14ac:dyDescent="0.2">
      <c r="A314" s="539" t="s">
        <v>5917</v>
      </c>
      <c r="B314" s="539"/>
      <c r="C314" s="539"/>
      <c r="D314" s="333"/>
      <c r="E314" s="333"/>
      <c r="F314" s="333"/>
      <c r="G314" s="334"/>
      <c r="H314" s="333"/>
      <c r="I314" s="332"/>
      <c r="J314" s="331"/>
      <c r="K314" s="334"/>
      <c r="L314" s="333"/>
      <c r="M314" s="334" t="s">
        <v>39803</v>
      </c>
      <c r="N314" s="333" t="s">
        <v>39794</v>
      </c>
      <c r="O314" s="334" t="s">
        <v>39795</v>
      </c>
    </row>
    <row r="315" spans="1:15" s="328" customFormat="1" x14ac:dyDescent="0.2">
      <c r="A315" s="535" t="s">
        <v>40285</v>
      </c>
      <c r="B315" s="535"/>
      <c r="C315" s="535"/>
      <c r="D315" s="332"/>
      <c r="E315" s="332"/>
      <c r="F315" s="332"/>
      <c r="G315" s="332"/>
      <c r="H315" s="332"/>
      <c r="I315" s="332"/>
      <c r="J315" s="332"/>
      <c r="K315" s="332"/>
      <c r="L315" s="332"/>
      <c r="M315" s="332">
        <f>9.74</f>
        <v>9.74</v>
      </c>
      <c r="N315" s="335" t="s">
        <v>39794</v>
      </c>
      <c r="O315" s="335">
        <f t="shared" ref="O315:O336" si="15">ROUND(M315,2)</f>
        <v>9.74</v>
      </c>
    </row>
    <row r="316" spans="1:15" s="328" customFormat="1" x14ac:dyDescent="0.2">
      <c r="A316" s="535" t="s">
        <v>40286</v>
      </c>
      <c r="B316" s="535"/>
      <c r="C316" s="535"/>
      <c r="D316" s="332"/>
      <c r="E316" s="332"/>
      <c r="F316" s="332"/>
      <c r="G316" s="332"/>
      <c r="H316" s="332"/>
      <c r="I316" s="332"/>
      <c r="J316" s="332"/>
      <c r="K316" s="332"/>
      <c r="L316" s="332"/>
      <c r="M316" s="332">
        <f>5.06</f>
        <v>5.0599999999999996</v>
      </c>
      <c r="N316" s="335" t="s">
        <v>39794</v>
      </c>
      <c r="O316" s="335">
        <f t="shared" si="15"/>
        <v>5.0599999999999996</v>
      </c>
    </row>
    <row r="317" spans="1:15" s="328" customFormat="1" x14ac:dyDescent="0.2">
      <c r="A317" s="535" t="s">
        <v>40287</v>
      </c>
      <c r="B317" s="535"/>
      <c r="C317" s="535"/>
      <c r="D317" s="332"/>
      <c r="E317" s="332"/>
      <c r="F317" s="332"/>
      <c r="G317" s="332"/>
      <c r="H317" s="332"/>
      <c r="I317" s="332"/>
      <c r="J317" s="332"/>
      <c r="K317" s="332"/>
      <c r="L317" s="332"/>
      <c r="M317" s="332">
        <f>5.77</f>
        <v>5.77</v>
      </c>
      <c r="N317" s="332" t="s">
        <v>39794</v>
      </c>
      <c r="O317" s="335">
        <f t="shared" si="15"/>
        <v>5.77</v>
      </c>
    </row>
    <row r="318" spans="1:15" s="328" customFormat="1" x14ac:dyDescent="0.2">
      <c r="A318" s="535" t="s">
        <v>40288</v>
      </c>
      <c r="B318" s="535"/>
      <c r="C318" s="535"/>
      <c r="D318" s="332"/>
      <c r="E318" s="332"/>
      <c r="F318" s="332"/>
      <c r="G318" s="332"/>
      <c r="H318" s="332"/>
      <c r="I318" s="332"/>
      <c r="J318" s="332"/>
      <c r="K318" s="332"/>
      <c r="L318" s="332"/>
      <c r="M318" s="332">
        <f>5.35</f>
        <v>5.35</v>
      </c>
      <c r="N318" s="332" t="s">
        <v>39794</v>
      </c>
      <c r="O318" s="335">
        <f t="shared" si="15"/>
        <v>5.35</v>
      </c>
    </row>
    <row r="319" spans="1:15" s="328" customFormat="1" x14ac:dyDescent="0.2">
      <c r="A319" s="535" t="s">
        <v>40289</v>
      </c>
      <c r="B319" s="535"/>
      <c r="C319" s="535"/>
      <c r="D319" s="332"/>
      <c r="E319" s="332"/>
      <c r="F319" s="332"/>
      <c r="G319" s="332"/>
      <c r="H319" s="332"/>
      <c r="I319" s="332"/>
      <c r="J319" s="332"/>
      <c r="K319" s="332"/>
      <c r="L319" s="332"/>
      <c r="M319" s="332">
        <f>1.19</f>
        <v>1.19</v>
      </c>
      <c r="N319" s="332" t="s">
        <v>39794</v>
      </c>
      <c r="O319" s="335">
        <f t="shared" si="15"/>
        <v>1.19</v>
      </c>
    </row>
    <row r="320" spans="1:15" s="328" customFormat="1" x14ac:dyDescent="0.2">
      <c r="A320" s="535" t="s">
        <v>40290</v>
      </c>
      <c r="B320" s="535"/>
      <c r="C320" s="535"/>
      <c r="D320" s="332"/>
      <c r="E320" s="332"/>
      <c r="F320" s="332"/>
      <c r="G320" s="332"/>
      <c r="H320" s="332"/>
      <c r="I320" s="332"/>
      <c r="J320" s="332"/>
      <c r="K320" s="332"/>
      <c r="L320" s="332"/>
      <c r="M320" s="332">
        <v>7.1</v>
      </c>
      <c r="N320" s="332" t="s">
        <v>39794</v>
      </c>
      <c r="O320" s="335">
        <f t="shared" si="15"/>
        <v>7.1</v>
      </c>
    </row>
    <row r="321" spans="1:15" s="328" customFormat="1" x14ac:dyDescent="0.2">
      <c r="A321" s="535" t="s">
        <v>40291</v>
      </c>
      <c r="B321" s="535"/>
      <c r="C321" s="535"/>
      <c r="D321" s="332"/>
      <c r="E321" s="332"/>
      <c r="F321" s="332"/>
      <c r="G321" s="332"/>
      <c r="H321" s="332"/>
      <c r="I321" s="332"/>
      <c r="J321" s="332"/>
      <c r="K321" s="332"/>
      <c r="L321" s="332"/>
      <c r="M321" s="332">
        <v>4.8099999999999996</v>
      </c>
      <c r="N321" s="332" t="s">
        <v>39794</v>
      </c>
      <c r="O321" s="335">
        <f t="shared" si="15"/>
        <v>4.8099999999999996</v>
      </c>
    </row>
    <row r="322" spans="1:15" s="328" customFormat="1" x14ac:dyDescent="0.2">
      <c r="A322" s="535" t="s">
        <v>40292</v>
      </c>
      <c r="B322" s="535"/>
      <c r="C322" s="535"/>
      <c r="D322" s="332"/>
      <c r="E322" s="332"/>
      <c r="F322" s="332"/>
      <c r="G322" s="332"/>
      <c r="H322" s="332"/>
      <c r="I322" s="332"/>
      <c r="J322" s="332"/>
      <c r="K322" s="332"/>
      <c r="L322" s="332"/>
      <c r="M322" s="332">
        <v>3.63</v>
      </c>
      <c r="N322" s="332" t="s">
        <v>39794</v>
      </c>
      <c r="O322" s="335">
        <f t="shared" si="15"/>
        <v>3.63</v>
      </c>
    </row>
    <row r="323" spans="1:15" s="328" customFormat="1" x14ac:dyDescent="0.2">
      <c r="A323" s="535" t="s">
        <v>40292</v>
      </c>
      <c r="B323" s="535"/>
      <c r="C323" s="535"/>
      <c r="D323" s="332"/>
      <c r="E323" s="332"/>
      <c r="F323" s="332"/>
      <c r="G323" s="332"/>
      <c r="H323" s="332"/>
      <c r="I323" s="332"/>
      <c r="J323" s="332"/>
      <c r="K323" s="332"/>
      <c r="L323" s="332"/>
      <c r="M323" s="332">
        <v>3.62</v>
      </c>
      <c r="N323" s="332" t="s">
        <v>39794</v>
      </c>
      <c r="O323" s="335">
        <f t="shared" si="15"/>
        <v>3.62</v>
      </c>
    </row>
    <row r="324" spans="1:15" s="328" customFormat="1" x14ac:dyDescent="0.2">
      <c r="A324" s="535" t="s">
        <v>40293</v>
      </c>
      <c r="B324" s="535"/>
      <c r="C324" s="535"/>
      <c r="D324" s="332"/>
      <c r="E324" s="332"/>
      <c r="F324" s="332"/>
      <c r="G324" s="332"/>
      <c r="H324" s="332"/>
      <c r="I324" s="332"/>
      <c r="J324" s="332"/>
      <c r="K324" s="332"/>
      <c r="L324" s="332"/>
      <c r="M324" s="332">
        <v>3.63</v>
      </c>
      <c r="N324" s="332" t="s">
        <v>39794</v>
      </c>
      <c r="O324" s="335">
        <f t="shared" si="15"/>
        <v>3.63</v>
      </c>
    </row>
    <row r="325" spans="1:15" s="328" customFormat="1" x14ac:dyDescent="0.2">
      <c r="A325" s="535" t="s">
        <v>40295</v>
      </c>
      <c r="B325" s="535"/>
      <c r="C325" s="535"/>
      <c r="D325" s="332"/>
      <c r="E325" s="332"/>
      <c r="F325" s="332"/>
      <c r="G325" s="332"/>
      <c r="H325" s="332"/>
      <c r="I325" s="332"/>
      <c r="J325" s="332"/>
      <c r="K325" s="332"/>
      <c r="L325" s="332"/>
      <c r="M325" s="332">
        <f>23.17</f>
        <v>23.17</v>
      </c>
      <c r="N325" s="332" t="s">
        <v>39794</v>
      </c>
      <c r="O325" s="335">
        <f t="shared" si="15"/>
        <v>23.17</v>
      </c>
    </row>
    <row r="326" spans="1:15" s="328" customFormat="1" x14ac:dyDescent="0.2">
      <c r="A326" s="535" t="s">
        <v>40296</v>
      </c>
      <c r="B326" s="535"/>
      <c r="C326" s="535"/>
      <c r="D326" s="332"/>
      <c r="E326" s="332"/>
      <c r="F326" s="332"/>
      <c r="G326" s="332"/>
      <c r="H326" s="332"/>
      <c r="I326" s="332"/>
      <c r="J326" s="332"/>
      <c r="K326" s="332"/>
      <c r="L326" s="332"/>
      <c r="M326" s="332">
        <f>1.38</f>
        <v>1.38</v>
      </c>
      <c r="N326" s="332" t="s">
        <v>39794</v>
      </c>
      <c r="O326" s="335">
        <f t="shared" si="15"/>
        <v>1.38</v>
      </c>
    </row>
    <row r="327" spans="1:15" s="328" customFormat="1" x14ac:dyDescent="0.2">
      <c r="A327" s="535" t="s">
        <v>40297</v>
      </c>
      <c r="B327" s="535"/>
      <c r="C327" s="535"/>
      <c r="D327" s="332"/>
      <c r="E327" s="332"/>
      <c r="F327" s="332"/>
      <c r="G327" s="332"/>
      <c r="H327" s="332"/>
      <c r="I327" s="332"/>
      <c r="J327" s="332"/>
      <c r="K327" s="332"/>
      <c r="L327" s="332"/>
      <c r="M327" s="332">
        <f>1.26</f>
        <v>1.26</v>
      </c>
      <c r="N327" s="332" t="s">
        <v>39794</v>
      </c>
      <c r="O327" s="335">
        <f t="shared" si="15"/>
        <v>1.26</v>
      </c>
    </row>
    <row r="328" spans="1:15" s="328" customFormat="1" x14ac:dyDescent="0.2">
      <c r="A328" s="535" t="s">
        <v>40298</v>
      </c>
      <c r="B328" s="535"/>
      <c r="C328" s="535"/>
      <c r="D328" s="332"/>
      <c r="E328" s="332"/>
      <c r="F328" s="332"/>
      <c r="G328" s="332"/>
      <c r="H328" s="332"/>
      <c r="I328" s="332"/>
      <c r="J328" s="332"/>
      <c r="K328" s="332"/>
      <c r="L328" s="332"/>
      <c r="M328" s="332">
        <f>0.16</f>
        <v>0.16</v>
      </c>
      <c r="N328" s="332" t="s">
        <v>39794</v>
      </c>
      <c r="O328" s="335">
        <f t="shared" si="15"/>
        <v>0.16</v>
      </c>
    </row>
    <row r="329" spans="1:15" s="328" customFormat="1" x14ac:dyDescent="0.2">
      <c r="A329" s="535" t="s">
        <v>40299</v>
      </c>
      <c r="B329" s="535"/>
      <c r="C329" s="535"/>
      <c r="D329" s="332"/>
      <c r="E329" s="332"/>
      <c r="F329" s="332"/>
      <c r="G329" s="332"/>
      <c r="H329" s="332"/>
      <c r="I329" s="332"/>
      <c r="J329" s="332"/>
      <c r="K329" s="332"/>
      <c r="L329" s="332"/>
      <c r="M329" s="332">
        <f>7.58</f>
        <v>7.58</v>
      </c>
      <c r="N329" s="332" t="s">
        <v>39794</v>
      </c>
      <c r="O329" s="335">
        <f t="shared" si="15"/>
        <v>7.58</v>
      </c>
    </row>
    <row r="330" spans="1:15" s="328" customFormat="1" x14ac:dyDescent="0.2">
      <c r="A330" s="535" t="s">
        <v>40300</v>
      </c>
      <c r="B330" s="535"/>
      <c r="C330" s="535"/>
      <c r="D330" s="332"/>
      <c r="E330" s="332"/>
      <c r="F330" s="332"/>
      <c r="G330" s="332"/>
      <c r="H330" s="332"/>
      <c r="I330" s="332"/>
      <c r="J330" s="332"/>
      <c r="K330" s="332"/>
      <c r="L330" s="332"/>
      <c r="M330" s="332">
        <v>8.98</v>
      </c>
      <c r="N330" s="332" t="s">
        <v>39794</v>
      </c>
      <c r="O330" s="335">
        <f t="shared" si="15"/>
        <v>8.98</v>
      </c>
    </row>
    <row r="331" spans="1:15" s="328" customFormat="1" x14ac:dyDescent="0.2">
      <c r="A331" s="535" t="s">
        <v>40301</v>
      </c>
      <c r="B331" s="535"/>
      <c r="C331" s="535"/>
      <c r="D331" s="332"/>
      <c r="E331" s="332"/>
      <c r="F331" s="332"/>
      <c r="G331" s="332"/>
      <c r="H331" s="332"/>
      <c r="I331" s="332"/>
      <c r="J331" s="332"/>
      <c r="K331" s="332"/>
      <c r="L331" s="332"/>
      <c r="M331" s="332">
        <v>3.17</v>
      </c>
      <c r="N331" s="332" t="s">
        <v>39794</v>
      </c>
      <c r="O331" s="335">
        <f t="shared" si="15"/>
        <v>3.17</v>
      </c>
    </row>
    <row r="332" spans="1:15" s="328" customFormat="1" x14ac:dyDescent="0.2">
      <c r="A332" s="535" t="s">
        <v>40302</v>
      </c>
      <c r="B332" s="535"/>
      <c r="C332" s="535"/>
      <c r="D332" s="332"/>
      <c r="E332" s="332"/>
      <c r="F332" s="332"/>
      <c r="G332" s="332"/>
      <c r="H332" s="332"/>
      <c r="I332" s="332"/>
      <c r="J332" s="332"/>
      <c r="K332" s="332"/>
      <c r="L332" s="332"/>
      <c r="M332" s="332">
        <v>3.9</v>
      </c>
      <c r="N332" s="332" t="s">
        <v>39794</v>
      </c>
      <c r="O332" s="335">
        <f t="shared" si="15"/>
        <v>3.9</v>
      </c>
    </row>
    <row r="333" spans="1:15" s="328" customFormat="1" x14ac:dyDescent="0.2">
      <c r="A333" s="535" t="s">
        <v>40303</v>
      </c>
      <c r="B333" s="535"/>
      <c r="C333" s="535"/>
      <c r="D333" s="332"/>
      <c r="E333" s="332"/>
      <c r="F333" s="332"/>
      <c r="G333" s="332"/>
      <c r="H333" s="332"/>
      <c r="I333" s="332"/>
      <c r="J333" s="332"/>
      <c r="K333" s="332"/>
      <c r="L333" s="332"/>
      <c r="M333" s="332">
        <v>3.88</v>
      </c>
      <c r="N333" s="332" t="s">
        <v>39794</v>
      </c>
      <c r="O333" s="335">
        <f t="shared" si="15"/>
        <v>3.88</v>
      </c>
    </row>
    <row r="334" spans="1:15" s="328" customFormat="1" x14ac:dyDescent="0.2">
      <c r="A334" s="535" t="s">
        <v>40304</v>
      </c>
      <c r="B334" s="535"/>
      <c r="C334" s="535"/>
      <c r="D334" s="332"/>
      <c r="E334" s="332"/>
      <c r="F334" s="332"/>
      <c r="G334" s="332"/>
      <c r="H334" s="332"/>
      <c r="I334" s="332"/>
      <c r="J334" s="332"/>
      <c r="K334" s="332"/>
      <c r="L334" s="332"/>
      <c r="M334" s="332">
        <v>3.89</v>
      </c>
      <c r="N334" s="332" t="s">
        <v>39794</v>
      </c>
      <c r="O334" s="335">
        <f t="shared" si="15"/>
        <v>3.89</v>
      </c>
    </row>
    <row r="335" spans="1:15" s="328" customFormat="1" x14ac:dyDescent="0.2">
      <c r="A335" s="535" t="s">
        <v>40305</v>
      </c>
      <c r="B335" s="535"/>
      <c r="C335" s="535"/>
      <c r="D335" s="332"/>
      <c r="E335" s="332"/>
      <c r="F335" s="332"/>
      <c r="G335" s="332"/>
      <c r="H335" s="332"/>
      <c r="I335" s="332"/>
      <c r="J335" s="332"/>
      <c r="K335" s="332"/>
      <c r="L335" s="332"/>
      <c r="M335" s="332">
        <v>3.9</v>
      </c>
      <c r="N335" s="332" t="s">
        <v>39794</v>
      </c>
      <c r="O335" s="335">
        <f t="shared" si="15"/>
        <v>3.9</v>
      </c>
    </row>
    <row r="336" spans="1:15" s="328" customFormat="1" x14ac:dyDescent="0.2">
      <c r="A336" s="535" t="s">
        <v>40306</v>
      </c>
      <c r="B336" s="535"/>
      <c r="C336" s="535"/>
      <c r="D336" s="332"/>
      <c r="E336" s="332"/>
      <c r="F336" s="332"/>
      <c r="G336" s="332"/>
      <c r="H336" s="332"/>
      <c r="I336" s="332"/>
      <c r="J336" s="332"/>
      <c r="K336" s="332"/>
      <c r="L336" s="332"/>
      <c r="M336" s="332">
        <v>3.58</v>
      </c>
      <c r="N336" s="332" t="s">
        <v>39794</v>
      </c>
      <c r="O336" s="335">
        <f t="shared" si="15"/>
        <v>3.58</v>
      </c>
    </row>
    <row r="337" spans="1:15" s="328" customFormat="1" x14ac:dyDescent="0.2">
      <c r="A337" s="540"/>
      <c r="B337" s="540"/>
      <c r="C337" s="540"/>
      <c r="D337" s="540"/>
      <c r="E337" s="540"/>
      <c r="F337" s="540"/>
      <c r="G337" s="540"/>
      <c r="H337" s="540"/>
      <c r="I337" s="540"/>
      <c r="J337" s="540"/>
      <c r="K337" s="540"/>
      <c r="L337" s="334" t="s">
        <v>39796</v>
      </c>
      <c r="M337" s="334" t="s">
        <v>39168</v>
      </c>
      <c r="N337" s="333" t="s">
        <v>39794</v>
      </c>
      <c r="O337" s="334">
        <f>SUM(O314:O336)</f>
        <v>114.75000000000001</v>
      </c>
    </row>
    <row r="338" spans="1:15" s="328" customFormat="1" x14ac:dyDescent="0.2">
      <c r="A338" s="329" t="s">
        <v>39791</v>
      </c>
      <c r="B338" s="542" t="s">
        <v>5917</v>
      </c>
      <c r="C338" s="542"/>
      <c r="D338" s="542"/>
      <c r="E338" s="542"/>
      <c r="F338" s="542"/>
      <c r="G338" s="542"/>
      <c r="H338" s="542"/>
      <c r="I338" s="542"/>
      <c r="J338" s="542"/>
      <c r="K338" s="542"/>
      <c r="L338" s="542"/>
      <c r="M338" s="542"/>
      <c r="N338" s="329" t="s">
        <v>39197</v>
      </c>
      <c r="O338" s="330" t="s">
        <v>39792</v>
      </c>
    </row>
    <row r="339" spans="1:15" s="328" customFormat="1" ht="12.75" customHeight="1" x14ac:dyDescent="0.2">
      <c r="A339" s="331" t="str">
        <f>ORCAMENTO!A55</f>
        <v>4.3.3</v>
      </c>
      <c r="B339" s="543" t="str">
        <f>VLOOKUP(A339,ORCAMENTO!A:I,4,0)</f>
        <v>LANÇAMENTO COM USO DE BALDES, ADENSAMENTO E ACABAMENTO DE CONCRETO EM ESTRUTURAS. AF_02/2022</v>
      </c>
      <c r="C339" s="543"/>
      <c r="D339" s="543"/>
      <c r="E339" s="543"/>
      <c r="F339" s="543"/>
      <c r="G339" s="543"/>
      <c r="H339" s="543"/>
      <c r="I339" s="543"/>
      <c r="J339" s="543"/>
      <c r="K339" s="543"/>
      <c r="L339" s="543"/>
      <c r="M339" s="543"/>
      <c r="N339" s="331" t="str">
        <f>VLOOKUP(A339,ORCAMENTO!A:I,5,0)</f>
        <v>M3</v>
      </c>
      <c r="O339" s="332">
        <f>O364</f>
        <v>114.75000000000001</v>
      </c>
    </row>
    <row r="340" spans="1:15" s="328" customFormat="1" x14ac:dyDescent="0.2">
      <c r="A340" s="539" t="s">
        <v>39793</v>
      </c>
      <c r="B340" s="539"/>
      <c r="C340" s="539"/>
      <c r="D340" s="539"/>
      <c r="E340" s="539"/>
      <c r="F340" s="539"/>
      <c r="G340" s="539"/>
      <c r="H340" s="539"/>
      <c r="I340" s="539"/>
      <c r="J340" s="539"/>
      <c r="K340" s="539"/>
      <c r="L340" s="539"/>
      <c r="M340" s="539"/>
      <c r="N340" s="539"/>
      <c r="O340" s="539"/>
    </row>
    <row r="341" spans="1:15" s="328" customFormat="1" x14ac:dyDescent="0.2">
      <c r="A341" s="539" t="s">
        <v>5917</v>
      </c>
      <c r="B341" s="539"/>
      <c r="C341" s="539"/>
      <c r="D341" s="333"/>
      <c r="E341" s="333"/>
      <c r="F341" s="333"/>
      <c r="G341" s="334"/>
      <c r="H341" s="333"/>
      <c r="I341" s="332"/>
      <c r="J341" s="331"/>
      <c r="K341" s="334"/>
      <c r="L341" s="333"/>
      <c r="M341" s="334" t="s">
        <v>39803</v>
      </c>
      <c r="N341" s="333" t="s">
        <v>39794</v>
      </c>
      <c r="O341" s="334" t="s">
        <v>39795</v>
      </c>
    </row>
    <row r="342" spans="1:15" s="328" customFormat="1" x14ac:dyDescent="0.2">
      <c r="A342" s="535" t="s">
        <v>40285</v>
      </c>
      <c r="B342" s="535"/>
      <c r="C342" s="535"/>
      <c r="D342" s="332"/>
      <c r="E342" s="332"/>
      <c r="F342" s="332"/>
      <c r="G342" s="332"/>
      <c r="H342" s="332"/>
      <c r="I342" s="332"/>
      <c r="J342" s="332"/>
      <c r="K342" s="332"/>
      <c r="L342" s="332"/>
      <c r="M342" s="332">
        <f>9.74</f>
        <v>9.74</v>
      </c>
      <c r="N342" s="335" t="s">
        <v>39794</v>
      </c>
      <c r="O342" s="335">
        <f t="shared" ref="O342:O363" si="16">ROUND(M342,2)</f>
        <v>9.74</v>
      </c>
    </row>
    <row r="343" spans="1:15" s="328" customFormat="1" x14ac:dyDescent="0.2">
      <c r="A343" s="535" t="s">
        <v>40286</v>
      </c>
      <c r="B343" s="535"/>
      <c r="C343" s="535"/>
      <c r="D343" s="332"/>
      <c r="E343" s="332"/>
      <c r="F343" s="332"/>
      <c r="G343" s="332"/>
      <c r="H343" s="332"/>
      <c r="I343" s="332"/>
      <c r="J343" s="332"/>
      <c r="K343" s="332"/>
      <c r="L343" s="332"/>
      <c r="M343" s="332">
        <f>5.06</f>
        <v>5.0599999999999996</v>
      </c>
      <c r="N343" s="335" t="s">
        <v>39794</v>
      </c>
      <c r="O343" s="335">
        <f t="shared" si="16"/>
        <v>5.0599999999999996</v>
      </c>
    </row>
    <row r="344" spans="1:15" s="328" customFormat="1" x14ac:dyDescent="0.2">
      <c r="A344" s="535" t="s">
        <v>40287</v>
      </c>
      <c r="B344" s="535"/>
      <c r="C344" s="535"/>
      <c r="D344" s="332"/>
      <c r="E344" s="332"/>
      <c r="F344" s="332"/>
      <c r="G344" s="332"/>
      <c r="H344" s="332"/>
      <c r="I344" s="332"/>
      <c r="J344" s="332"/>
      <c r="K344" s="332"/>
      <c r="L344" s="332"/>
      <c r="M344" s="332">
        <f>5.77</f>
        <v>5.77</v>
      </c>
      <c r="N344" s="332" t="s">
        <v>39794</v>
      </c>
      <c r="O344" s="335">
        <f t="shared" si="16"/>
        <v>5.77</v>
      </c>
    </row>
    <row r="345" spans="1:15" s="328" customFormat="1" x14ac:dyDescent="0.2">
      <c r="A345" s="535" t="s">
        <v>40288</v>
      </c>
      <c r="B345" s="535"/>
      <c r="C345" s="535"/>
      <c r="D345" s="332"/>
      <c r="E345" s="332"/>
      <c r="F345" s="332"/>
      <c r="G345" s="332"/>
      <c r="H345" s="332"/>
      <c r="I345" s="332"/>
      <c r="J345" s="332"/>
      <c r="K345" s="332"/>
      <c r="L345" s="332"/>
      <c r="M345" s="332">
        <f>5.35</f>
        <v>5.35</v>
      </c>
      <c r="N345" s="332" t="s">
        <v>39794</v>
      </c>
      <c r="O345" s="335">
        <f t="shared" si="16"/>
        <v>5.35</v>
      </c>
    </row>
    <row r="346" spans="1:15" s="328" customFormat="1" x14ac:dyDescent="0.2">
      <c r="A346" s="535" t="s">
        <v>40289</v>
      </c>
      <c r="B346" s="535"/>
      <c r="C346" s="535"/>
      <c r="D346" s="332"/>
      <c r="E346" s="332"/>
      <c r="F346" s="332"/>
      <c r="G346" s="332"/>
      <c r="H346" s="332"/>
      <c r="I346" s="332"/>
      <c r="J346" s="332"/>
      <c r="K346" s="332"/>
      <c r="L346" s="332"/>
      <c r="M346" s="332">
        <f>1.19</f>
        <v>1.19</v>
      </c>
      <c r="N346" s="332" t="s">
        <v>39794</v>
      </c>
      <c r="O346" s="335">
        <f t="shared" si="16"/>
        <v>1.19</v>
      </c>
    </row>
    <row r="347" spans="1:15" s="328" customFormat="1" x14ac:dyDescent="0.2">
      <c r="A347" s="535" t="s">
        <v>40290</v>
      </c>
      <c r="B347" s="535"/>
      <c r="C347" s="535"/>
      <c r="D347" s="332"/>
      <c r="E347" s="332"/>
      <c r="F347" s="332"/>
      <c r="G347" s="332"/>
      <c r="H347" s="332"/>
      <c r="I347" s="332"/>
      <c r="J347" s="332"/>
      <c r="K347" s="332"/>
      <c r="L347" s="332"/>
      <c r="M347" s="332">
        <v>7.1</v>
      </c>
      <c r="N347" s="332" t="s">
        <v>39794</v>
      </c>
      <c r="O347" s="335">
        <f t="shared" si="16"/>
        <v>7.1</v>
      </c>
    </row>
    <row r="348" spans="1:15" s="328" customFormat="1" x14ac:dyDescent="0.2">
      <c r="A348" s="535" t="s">
        <v>40291</v>
      </c>
      <c r="B348" s="535"/>
      <c r="C348" s="535"/>
      <c r="D348" s="332"/>
      <c r="E348" s="332"/>
      <c r="F348" s="332"/>
      <c r="G348" s="332"/>
      <c r="H348" s="332"/>
      <c r="I348" s="332"/>
      <c r="J348" s="332"/>
      <c r="K348" s="332"/>
      <c r="L348" s="332"/>
      <c r="M348" s="332">
        <v>4.8099999999999996</v>
      </c>
      <c r="N348" s="332" t="s">
        <v>39794</v>
      </c>
      <c r="O348" s="335">
        <f t="shared" si="16"/>
        <v>4.8099999999999996</v>
      </c>
    </row>
    <row r="349" spans="1:15" s="328" customFormat="1" x14ac:dyDescent="0.2">
      <c r="A349" s="535" t="s">
        <v>40292</v>
      </c>
      <c r="B349" s="535"/>
      <c r="C349" s="535"/>
      <c r="D349" s="332"/>
      <c r="E349" s="332"/>
      <c r="F349" s="332"/>
      <c r="G349" s="332"/>
      <c r="H349" s="332"/>
      <c r="I349" s="332"/>
      <c r="J349" s="332"/>
      <c r="K349" s="332"/>
      <c r="L349" s="332"/>
      <c r="M349" s="332">
        <v>3.63</v>
      </c>
      <c r="N349" s="332" t="s">
        <v>39794</v>
      </c>
      <c r="O349" s="335">
        <f t="shared" si="16"/>
        <v>3.63</v>
      </c>
    </row>
    <row r="350" spans="1:15" s="328" customFormat="1" x14ac:dyDescent="0.2">
      <c r="A350" s="535" t="s">
        <v>40292</v>
      </c>
      <c r="B350" s="535"/>
      <c r="C350" s="535"/>
      <c r="D350" s="332"/>
      <c r="E350" s="332"/>
      <c r="F350" s="332"/>
      <c r="G350" s="332"/>
      <c r="H350" s="332"/>
      <c r="I350" s="332"/>
      <c r="J350" s="332"/>
      <c r="K350" s="332"/>
      <c r="L350" s="332"/>
      <c r="M350" s="332">
        <v>3.62</v>
      </c>
      <c r="N350" s="332" t="s">
        <v>39794</v>
      </c>
      <c r="O350" s="335">
        <f t="shared" si="16"/>
        <v>3.62</v>
      </c>
    </row>
    <row r="351" spans="1:15" s="328" customFormat="1" x14ac:dyDescent="0.2">
      <c r="A351" s="535" t="s">
        <v>40293</v>
      </c>
      <c r="B351" s="535"/>
      <c r="C351" s="535"/>
      <c r="D351" s="332"/>
      <c r="E351" s="332"/>
      <c r="F351" s="332"/>
      <c r="G351" s="332"/>
      <c r="H351" s="332"/>
      <c r="I351" s="332"/>
      <c r="J351" s="332"/>
      <c r="K351" s="332"/>
      <c r="L351" s="332"/>
      <c r="M351" s="332">
        <v>3.63</v>
      </c>
      <c r="N351" s="332" t="s">
        <v>39794</v>
      </c>
      <c r="O351" s="335">
        <f t="shared" si="16"/>
        <v>3.63</v>
      </c>
    </row>
    <row r="352" spans="1:15" s="328" customFormat="1" x14ac:dyDescent="0.2">
      <c r="A352" s="535" t="s">
        <v>40295</v>
      </c>
      <c r="B352" s="535"/>
      <c r="C352" s="535"/>
      <c r="D352" s="332"/>
      <c r="E352" s="332"/>
      <c r="F352" s="332"/>
      <c r="G352" s="332"/>
      <c r="H352" s="332"/>
      <c r="I352" s="332"/>
      <c r="J352" s="332"/>
      <c r="K352" s="332"/>
      <c r="L352" s="332"/>
      <c r="M352" s="332">
        <f>23.17</f>
        <v>23.17</v>
      </c>
      <c r="N352" s="332" t="s">
        <v>39794</v>
      </c>
      <c r="O352" s="335">
        <f t="shared" si="16"/>
        <v>23.17</v>
      </c>
    </row>
    <row r="353" spans="1:15" s="328" customFormat="1" x14ac:dyDescent="0.2">
      <c r="A353" s="535" t="s">
        <v>40296</v>
      </c>
      <c r="B353" s="535"/>
      <c r="C353" s="535"/>
      <c r="D353" s="332"/>
      <c r="E353" s="332"/>
      <c r="F353" s="332"/>
      <c r="G353" s="332"/>
      <c r="H353" s="332"/>
      <c r="I353" s="332"/>
      <c r="J353" s="332"/>
      <c r="K353" s="332"/>
      <c r="L353" s="332"/>
      <c r="M353" s="332">
        <f>1.38</f>
        <v>1.38</v>
      </c>
      <c r="N353" s="332" t="s">
        <v>39794</v>
      </c>
      <c r="O353" s="335">
        <f t="shared" si="16"/>
        <v>1.38</v>
      </c>
    </row>
    <row r="354" spans="1:15" s="328" customFormat="1" x14ac:dyDescent="0.2">
      <c r="A354" s="535" t="s">
        <v>40297</v>
      </c>
      <c r="B354" s="535"/>
      <c r="C354" s="535"/>
      <c r="D354" s="332"/>
      <c r="E354" s="332"/>
      <c r="F354" s="332"/>
      <c r="G354" s="332"/>
      <c r="H354" s="332"/>
      <c r="I354" s="332"/>
      <c r="J354" s="332"/>
      <c r="K354" s="332"/>
      <c r="L354" s="332"/>
      <c r="M354" s="332">
        <f>1.26</f>
        <v>1.26</v>
      </c>
      <c r="N354" s="332" t="s">
        <v>39794</v>
      </c>
      <c r="O354" s="335">
        <f t="shared" si="16"/>
        <v>1.26</v>
      </c>
    </row>
    <row r="355" spans="1:15" s="328" customFormat="1" x14ac:dyDescent="0.2">
      <c r="A355" s="535" t="s">
        <v>40298</v>
      </c>
      <c r="B355" s="535"/>
      <c r="C355" s="535"/>
      <c r="D355" s="332"/>
      <c r="E355" s="332"/>
      <c r="F355" s="332"/>
      <c r="G355" s="332"/>
      <c r="H355" s="332"/>
      <c r="I355" s="332"/>
      <c r="J355" s="332"/>
      <c r="K355" s="332"/>
      <c r="L355" s="332"/>
      <c r="M355" s="332">
        <f>0.16</f>
        <v>0.16</v>
      </c>
      <c r="N355" s="332" t="s">
        <v>39794</v>
      </c>
      <c r="O355" s="335">
        <f t="shared" si="16"/>
        <v>0.16</v>
      </c>
    </row>
    <row r="356" spans="1:15" s="328" customFormat="1" x14ac:dyDescent="0.2">
      <c r="A356" s="535" t="s">
        <v>40299</v>
      </c>
      <c r="B356" s="535"/>
      <c r="C356" s="535"/>
      <c r="D356" s="332"/>
      <c r="E356" s="332"/>
      <c r="F356" s="332"/>
      <c r="G356" s="332"/>
      <c r="H356" s="332"/>
      <c r="I356" s="332"/>
      <c r="J356" s="332"/>
      <c r="K356" s="332"/>
      <c r="L356" s="332"/>
      <c r="M356" s="332">
        <f>7.58</f>
        <v>7.58</v>
      </c>
      <c r="N356" s="332" t="s">
        <v>39794</v>
      </c>
      <c r="O356" s="335">
        <f t="shared" si="16"/>
        <v>7.58</v>
      </c>
    </row>
    <row r="357" spans="1:15" s="328" customFormat="1" x14ac:dyDescent="0.2">
      <c r="A357" s="535" t="s">
        <v>40300</v>
      </c>
      <c r="B357" s="535"/>
      <c r="C357" s="535"/>
      <c r="D357" s="332"/>
      <c r="E357" s="332"/>
      <c r="F357" s="332"/>
      <c r="G357" s="332"/>
      <c r="H357" s="332"/>
      <c r="I357" s="332"/>
      <c r="J357" s="332"/>
      <c r="K357" s="332"/>
      <c r="L357" s="332"/>
      <c r="M357" s="332">
        <v>8.98</v>
      </c>
      <c r="N357" s="332" t="s">
        <v>39794</v>
      </c>
      <c r="O357" s="335">
        <f t="shared" si="16"/>
        <v>8.98</v>
      </c>
    </row>
    <row r="358" spans="1:15" s="328" customFormat="1" x14ac:dyDescent="0.2">
      <c r="A358" s="535" t="s">
        <v>40301</v>
      </c>
      <c r="B358" s="535"/>
      <c r="C358" s="535"/>
      <c r="D358" s="332"/>
      <c r="E358" s="332"/>
      <c r="F358" s="332"/>
      <c r="G358" s="332"/>
      <c r="H358" s="332"/>
      <c r="I358" s="332"/>
      <c r="J358" s="332"/>
      <c r="K358" s="332"/>
      <c r="L358" s="332"/>
      <c r="M358" s="332">
        <v>3.17</v>
      </c>
      <c r="N358" s="332" t="s">
        <v>39794</v>
      </c>
      <c r="O358" s="335">
        <f t="shared" si="16"/>
        <v>3.17</v>
      </c>
    </row>
    <row r="359" spans="1:15" s="328" customFormat="1" x14ac:dyDescent="0.2">
      <c r="A359" s="535" t="s">
        <v>40302</v>
      </c>
      <c r="B359" s="535"/>
      <c r="C359" s="535"/>
      <c r="D359" s="332"/>
      <c r="E359" s="332"/>
      <c r="F359" s="332"/>
      <c r="G359" s="332"/>
      <c r="H359" s="332"/>
      <c r="I359" s="332"/>
      <c r="J359" s="332"/>
      <c r="K359" s="332"/>
      <c r="L359" s="332"/>
      <c r="M359" s="332">
        <v>3.9</v>
      </c>
      <c r="N359" s="332" t="s">
        <v>39794</v>
      </c>
      <c r="O359" s="335">
        <f t="shared" si="16"/>
        <v>3.9</v>
      </c>
    </row>
    <row r="360" spans="1:15" s="328" customFormat="1" x14ac:dyDescent="0.2">
      <c r="A360" s="535" t="s">
        <v>40303</v>
      </c>
      <c r="B360" s="535"/>
      <c r="C360" s="535"/>
      <c r="D360" s="332"/>
      <c r="E360" s="332"/>
      <c r="F360" s="332"/>
      <c r="G360" s="332"/>
      <c r="H360" s="332"/>
      <c r="I360" s="332"/>
      <c r="J360" s="332"/>
      <c r="K360" s="332"/>
      <c r="L360" s="332"/>
      <c r="M360" s="332">
        <v>3.88</v>
      </c>
      <c r="N360" s="332" t="s">
        <v>39794</v>
      </c>
      <c r="O360" s="335">
        <f t="shared" si="16"/>
        <v>3.88</v>
      </c>
    </row>
    <row r="361" spans="1:15" s="328" customFormat="1" x14ac:dyDescent="0.2">
      <c r="A361" s="535" t="s">
        <v>40304</v>
      </c>
      <c r="B361" s="535"/>
      <c r="C361" s="535"/>
      <c r="D361" s="332"/>
      <c r="E361" s="332"/>
      <c r="F361" s="332"/>
      <c r="G361" s="332"/>
      <c r="H361" s="332"/>
      <c r="I361" s="332"/>
      <c r="J361" s="332"/>
      <c r="K361" s="332"/>
      <c r="L361" s="332"/>
      <c r="M361" s="332">
        <v>3.89</v>
      </c>
      <c r="N361" s="332" t="s">
        <v>39794</v>
      </c>
      <c r="O361" s="335">
        <f t="shared" si="16"/>
        <v>3.89</v>
      </c>
    </row>
    <row r="362" spans="1:15" s="328" customFormat="1" x14ac:dyDescent="0.2">
      <c r="A362" s="535" t="s">
        <v>40305</v>
      </c>
      <c r="B362" s="535"/>
      <c r="C362" s="535"/>
      <c r="D362" s="332"/>
      <c r="E362" s="332"/>
      <c r="F362" s="332"/>
      <c r="G362" s="332"/>
      <c r="H362" s="332"/>
      <c r="I362" s="332"/>
      <c r="J362" s="332"/>
      <c r="K362" s="332"/>
      <c r="L362" s="332"/>
      <c r="M362" s="332">
        <v>3.9</v>
      </c>
      <c r="N362" s="332" t="s">
        <v>39794</v>
      </c>
      <c r="O362" s="335">
        <f t="shared" si="16"/>
        <v>3.9</v>
      </c>
    </row>
    <row r="363" spans="1:15" s="328" customFormat="1" x14ac:dyDescent="0.2">
      <c r="A363" s="535" t="s">
        <v>40306</v>
      </c>
      <c r="B363" s="535"/>
      <c r="C363" s="535"/>
      <c r="D363" s="332"/>
      <c r="E363" s="332"/>
      <c r="F363" s="332"/>
      <c r="G363" s="332"/>
      <c r="H363" s="332"/>
      <c r="I363" s="332"/>
      <c r="J363" s="332"/>
      <c r="K363" s="332"/>
      <c r="L363" s="332"/>
      <c r="M363" s="332">
        <v>3.58</v>
      </c>
      <c r="N363" s="332" t="s">
        <v>39794</v>
      </c>
      <c r="O363" s="335">
        <f t="shared" si="16"/>
        <v>3.58</v>
      </c>
    </row>
    <row r="364" spans="1:15" s="328" customFormat="1" x14ac:dyDescent="0.2">
      <c r="A364" s="540"/>
      <c r="B364" s="540"/>
      <c r="C364" s="540"/>
      <c r="D364" s="540"/>
      <c r="E364" s="540"/>
      <c r="F364" s="540"/>
      <c r="G364" s="540"/>
      <c r="H364" s="540"/>
      <c r="I364" s="540"/>
      <c r="J364" s="540"/>
      <c r="K364" s="540"/>
      <c r="L364" s="334" t="s">
        <v>39796</v>
      </c>
      <c r="M364" s="334" t="s">
        <v>39168</v>
      </c>
      <c r="N364" s="333" t="s">
        <v>39794</v>
      </c>
      <c r="O364" s="334">
        <f>SUM(O341:O363)</f>
        <v>114.75000000000001</v>
      </c>
    </row>
    <row r="365" spans="1:15" s="328" customFormat="1" x14ac:dyDescent="0.2">
      <c r="A365" s="329" t="s">
        <v>39791</v>
      </c>
      <c r="B365" s="542" t="s">
        <v>5917</v>
      </c>
      <c r="C365" s="542"/>
      <c r="D365" s="542"/>
      <c r="E365" s="542"/>
      <c r="F365" s="542"/>
      <c r="G365" s="542"/>
      <c r="H365" s="542"/>
      <c r="I365" s="542"/>
      <c r="J365" s="542"/>
      <c r="K365" s="542"/>
      <c r="L365" s="542"/>
      <c r="M365" s="542"/>
      <c r="N365" s="329" t="s">
        <v>39197</v>
      </c>
      <c r="O365" s="330" t="s">
        <v>39792</v>
      </c>
    </row>
    <row r="366" spans="1:15" s="328" customFormat="1" ht="12.75" customHeight="1" x14ac:dyDescent="0.2">
      <c r="A366" s="331" t="str">
        <f>ORCAMENTO!A56</f>
        <v>4.3.4</v>
      </c>
      <c r="B366" s="543" t="str">
        <f>VLOOKUP(A366,ORCAMENTO!A:I,4,0)</f>
        <v>LAJE PRÉ-FABRICADA P/ FÔRRO - VÃO ATÉ 2 m</v>
      </c>
      <c r="C366" s="543"/>
      <c r="D366" s="543"/>
      <c r="E366" s="543"/>
      <c r="F366" s="543"/>
      <c r="G366" s="543"/>
      <c r="H366" s="543"/>
      <c r="I366" s="543"/>
      <c r="J366" s="543"/>
      <c r="K366" s="543"/>
      <c r="L366" s="543"/>
      <c r="M366" s="543"/>
      <c r="N366" s="331" t="str">
        <f>VLOOKUP(A366,ORCAMENTO!A:I,5,0)</f>
        <v>M2</v>
      </c>
      <c r="O366" s="332">
        <f>O373</f>
        <v>126.5</v>
      </c>
    </row>
    <row r="367" spans="1:15" s="328" customFormat="1" x14ac:dyDescent="0.2">
      <c r="A367" s="539" t="s">
        <v>39793</v>
      </c>
      <c r="B367" s="539"/>
      <c r="C367" s="539"/>
      <c r="D367" s="539"/>
      <c r="E367" s="539"/>
      <c r="F367" s="539"/>
      <c r="G367" s="539"/>
      <c r="H367" s="539"/>
      <c r="I367" s="539"/>
      <c r="J367" s="539"/>
      <c r="K367" s="539"/>
      <c r="L367" s="539"/>
      <c r="M367" s="539"/>
      <c r="N367" s="539"/>
      <c r="O367" s="539"/>
    </row>
    <row r="368" spans="1:15" s="328" customFormat="1" x14ac:dyDescent="0.2">
      <c r="A368" s="539" t="s">
        <v>5917</v>
      </c>
      <c r="B368" s="539"/>
      <c r="C368" s="539"/>
      <c r="D368" s="333"/>
      <c r="E368" s="333"/>
      <c r="F368" s="333"/>
      <c r="G368" s="334"/>
      <c r="H368" s="333"/>
      <c r="I368" s="332"/>
      <c r="J368" s="331"/>
      <c r="K368" s="334" t="s">
        <v>39804</v>
      </c>
      <c r="L368" s="333" t="s">
        <v>39805</v>
      </c>
      <c r="M368" s="334" t="s">
        <v>39802</v>
      </c>
      <c r="N368" s="333" t="s">
        <v>39794</v>
      </c>
      <c r="O368" s="334" t="s">
        <v>39795</v>
      </c>
    </row>
    <row r="369" spans="1:15" s="328" customFormat="1" x14ac:dyDescent="0.2">
      <c r="A369" s="535" t="s">
        <v>40376</v>
      </c>
      <c r="B369" s="535"/>
      <c r="C369" s="535"/>
      <c r="D369" s="332"/>
      <c r="E369" s="332"/>
      <c r="F369" s="332"/>
      <c r="G369" s="332"/>
      <c r="H369" s="332"/>
      <c r="I369" s="332"/>
      <c r="J369" s="332"/>
      <c r="K369" s="332">
        <f>1</f>
        <v>1</v>
      </c>
      <c r="L369" s="332" t="s">
        <v>39805</v>
      </c>
      <c r="M369" s="332">
        <f>45.3</f>
        <v>45.3</v>
      </c>
      <c r="N369" s="332" t="s">
        <v>39794</v>
      </c>
      <c r="O369" s="332">
        <f>ROUND(K369*M369,2)</f>
        <v>45.3</v>
      </c>
    </row>
    <row r="370" spans="1:15" s="328" customFormat="1" x14ac:dyDescent="0.2">
      <c r="A370" s="535" t="s">
        <v>40377</v>
      </c>
      <c r="B370" s="535"/>
      <c r="C370" s="535"/>
      <c r="D370" s="332"/>
      <c r="E370" s="332"/>
      <c r="F370" s="332"/>
      <c r="G370" s="332"/>
      <c r="H370" s="332"/>
      <c r="I370" s="332"/>
      <c r="J370" s="332"/>
      <c r="K370" s="332">
        <f>1</f>
        <v>1</v>
      </c>
      <c r="L370" s="332" t="s">
        <v>39805</v>
      </c>
      <c r="M370" s="332">
        <f>45.3</f>
        <v>45.3</v>
      </c>
      <c r="N370" s="332" t="s">
        <v>39794</v>
      </c>
      <c r="O370" s="332">
        <f t="shared" ref="O370:O372" si="17">ROUND(K370*M370,2)</f>
        <v>45.3</v>
      </c>
    </row>
    <row r="371" spans="1:15" s="328" customFormat="1" x14ac:dyDescent="0.2">
      <c r="A371" s="535" t="s">
        <v>40378</v>
      </c>
      <c r="B371" s="535"/>
      <c r="C371" s="535"/>
      <c r="D371" s="332"/>
      <c r="E371" s="332"/>
      <c r="F371" s="332"/>
      <c r="G371" s="332"/>
      <c r="H371" s="332"/>
      <c r="I371" s="332"/>
      <c r="J371" s="332"/>
      <c r="K371" s="332">
        <f>1</f>
        <v>1</v>
      </c>
      <c r="L371" s="332" t="s">
        <v>39805</v>
      </c>
      <c r="M371" s="332">
        <f>17.95</f>
        <v>17.95</v>
      </c>
      <c r="N371" s="332" t="s">
        <v>39794</v>
      </c>
      <c r="O371" s="332">
        <f t="shared" si="17"/>
        <v>17.95</v>
      </c>
    </row>
    <row r="372" spans="1:15" s="328" customFormat="1" x14ac:dyDescent="0.2">
      <c r="A372" s="535" t="s">
        <v>40379</v>
      </c>
      <c r="B372" s="535"/>
      <c r="C372" s="535"/>
      <c r="D372" s="332"/>
      <c r="E372" s="332"/>
      <c r="F372" s="332"/>
      <c r="G372" s="332"/>
      <c r="H372" s="332"/>
      <c r="I372" s="332"/>
      <c r="J372" s="332"/>
      <c r="K372" s="332">
        <f>1</f>
        <v>1</v>
      </c>
      <c r="L372" s="332" t="s">
        <v>39805</v>
      </c>
      <c r="M372" s="332">
        <f>17.95</f>
        <v>17.95</v>
      </c>
      <c r="N372" s="332" t="s">
        <v>39794</v>
      </c>
      <c r="O372" s="332">
        <f t="shared" si="17"/>
        <v>17.95</v>
      </c>
    </row>
    <row r="373" spans="1:15" s="328" customFormat="1" x14ac:dyDescent="0.2">
      <c r="A373" s="540"/>
      <c r="B373" s="540"/>
      <c r="C373" s="540"/>
      <c r="D373" s="540"/>
      <c r="E373" s="540"/>
      <c r="F373" s="540"/>
      <c r="G373" s="540"/>
      <c r="H373" s="540"/>
      <c r="I373" s="540"/>
      <c r="J373" s="540"/>
      <c r="K373" s="540"/>
      <c r="L373" s="334" t="s">
        <v>39796</v>
      </c>
      <c r="M373" s="334" t="s">
        <v>39168</v>
      </c>
      <c r="N373" s="333" t="s">
        <v>39794</v>
      </c>
      <c r="O373" s="334">
        <f>SUM(O368:O372)</f>
        <v>126.5</v>
      </c>
    </row>
    <row r="374" spans="1:15" s="328" customFormat="1" x14ac:dyDescent="0.2">
      <c r="A374" s="336">
        <f>ORCAMENTO!A58</f>
        <v>5</v>
      </c>
      <c r="B374" s="545" t="str">
        <f>VLOOKUP(A374,ORCAMENTO!A:I,4,0)</f>
        <v>VEDAÇÕES E DIVISÓRIAS</v>
      </c>
      <c r="C374" s="545"/>
      <c r="D374" s="545"/>
      <c r="E374" s="545"/>
      <c r="F374" s="545"/>
      <c r="G374" s="545"/>
      <c r="H374" s="545"/>
      <c r="I374" s="545"/>
      <c r="J374" s="545"/>
      <c r="K374" s="545"/>
      <c r="L374" s="545"/>
      <c r="M374" s="545"/>
      <c r="N374" s="545"/>
      <c r="O374" s="545"/>
    </row>
    <row r="375" spans="1:15" s="328" customFormat="1" x14ac:dyDescent="0.2">
      <c r="A375" s="329" t="s">
        <v>39791</v>
      </c>
      <c r="B375" s="542" t="s">
        <v>5917</v>
      </c>
      <c r="C375" s="542"/>
      <c r="D375" s="542"/>
      <c r="E375" s="542"/>
      <c r="F375" s="542"/>
      <c r="G375" s="542"/>
      <c r="H375" s="542"/>
      <c r="I375" s="542"/>
      <c r="J375" s="542"/>
      <c r="K375" s="542"/>
      <c r="L375" s="542"/>
      <c r="M375" s="542"/>
      <c r="N375" s="329" t="s">
        <v>39197</v>
      </c>
      <c r="O375" s="330" t="s">
        <v>39792</v>
      </c>
    </row>
    <row r="376" spans="1:15" s="328" customFormat="1" ht="40.15" customHeight="1" x14ac:dyDescent="0.2">
      <c r="A376" s="331" t="str">
        <f>ORCAMENTO!A59</f>
        <v>5.1</v>
      </c>
      <c r="B376" s="543" t="str">
        <f>VLOOKUP(A376,ORCAMENTO!A:I,4,0)</f>
        <v>ALVENARIA DE VEDAÇÃO DE BLOCOS CERÂMICOS FURADOS NA HORIZONTAL DE 9X19X19 CM (ESPESSURA 9 CM) E ARGAMASSA DE ASSENTAMENTO COM PREPARO EM BETONEIRA. AF_12/2021</v>
      </c>
      <c r="C376" s="543"/>
      <c r="D376" s="543"/>
      <c r="E376" s="543"/>
      <c r="F376" s="543"/>
      <c r="G376" s="543"/>
      <c r="H376" s="543"/>
      <c r="I376" s="543"/>
      <c r="J376" s="543"/>
      <c r="K376" s="543"/>
      <c r="L376" s="543"/>
      <c r="M376" s="543"/>
      <c r="N376" s="331" t="str">
        <f>VLOOKUP(A376,ORCAMENTO!A:I,5,0)</f>
        <v>M2</v>
      </c>
      <c r="O376" s="332">
        <f>O511</f>
        <v>1361.6300000000006</v>
      </c>
    </row>
    <row r="377" spans="1:15" s="328" customFormat="1" x14ac:dyDescent="0.2">
      <c r="A377" s="539" t="s">
        <v>39793</v>
      </c>
      <c r="B377" s="539"/>
      <c r="C377" s="539"/>
      <c r="D377" s="539"/>
      <c r="E377" s="539"/>
      <c r="F377" s="539"/>
      <c r="G377" s="539"/>
      <c r="H377" s="539"/>
      <c r="I377" s="539"/>
      <c r="J377" s="539"/>
      <c r="K377" s="539"/>
      <c r="L377" s="539"/>
      <c r="M377" s="539"/>
      <c r="N377" s="539"/>
      <c r="O377" s="539"/>
    </row>
    <row r="378" spans="1:15" s="328" customFormat="1" x14ac:dyDescent="0.2">
      <c r="A378" s="539" t="s">
        <v>5917</v>
      </c>
      <c r="B378" s="539"/>
      <c r="C378" s="539"/>
      <c r="D378" s="333"/>
      <c r="E378" s="333"/>
      <c r="F378" s="333"/>
      <c r="G378" s="334"/>
      <c r="H378" s="333"/>
      <c r="I378" s="332"/>
      <c r="J378" s="331"/>
      <c r="K378" s="334" t="s">
        <v>40049</v>
      </c>
      <c r="L378" s="333" t="s">
        <v>39805</v>
      </c>
      <c r="M378" s="334" t="s">
        <v>39802</v>
      </c>
      <c r="N378" s="333" t="s">
        <v>39794</v>
      </c>
      <c r="O378" s="334" t="s">
        <v>39795</v>
      </c>
    </row>
    <row r="379" spans="1:15" s="328" customFormat="1" x14ac:dyDescent="0.2">
      <c r="A379" s="535" t="s">
        <v>40031</v>
      </c>
      <c r="B379" s="535"/>
      <c r="C379" s="535"/>
      <c r="D379" s="332"/>
      <c r="E379" s="332"/>
      <c r="F379" s="332"/>
      <c r="G379" s="332"/>
      <c r="H379" s="332"/>
      <c r="I379" s="332"/>
      <c r="J379" s="332"/>
      <c r="K379" s="332">
        <f>5</f>
        <v>5</v>
      </c>
      <c r="L379" s="332" t="s">
        <v>39805</v>
      </c>
      <c r="M379" s="332">
        <f>0.15</f>
        <v>0.15</v>
      </c>
      <c r="N379" s="332" t="s">
        <v>39794</v>
      </c>
      <c r="O379" s="332">
        <f>ROUND(K379*M379,2)</f>
        <v>0.75</v>
      </c>
    </row>
    <row r="380" spans="1:15" s="328" customFormat="1" x14ac:dyDescent="0.2">
      <c r="A380" s="535" t="s">
        <v>40032</v>
      </c>
      <c r="B380" s="535"/>
      <c r="C380" s="535"/>
      <c r="D380" s="332"/>
      <c r="E380" s="332"/>
      <c r="F380" s="332"/>
      <c r="G380" s="332"/>
      <c r="H380" s="332"/>
      <c r="I380" s="332"/>
      <c r="J380" s="332"/>
      <c r="K380" s="332">
        <f>5</f>
        <v>5</v>
      </c>
      <c r="L380" s="332" t="s">
        <v>39805</v>
      </c>
      <c r="M380" s="332">
        <f>0.7</f>
        <v>0.7</v>
      </c>
      <c r="N380" s="332" t="s">
        <v>39794</v>
      </c>
      <c r="O380" s="332">
        <f t="shared" ref="O380:O432" si="18">ROUND(K380*M380,2)</f>
        <v>3.5</v>
      </c>
    </row>
    <row r="381" spans="1:15" s="328" customFormat="1" x14ac:dyDescent="0.2">
      <c r="A381" s="535" t="s">
        <v>40033</v>
      </c>
      <c r="B381" s="535"/>
      <c r="C381" s="535"/>
      <c r="D381" s="332"/>
      <c r="E381" s="332"/>
      <c r="F381" s="332"/>
      <c r="G381" s="332"/>
      <c r="H381" s="332"/>
      <c r="I381" s="332"/>
      <c r="J381" s="332"/>
      <c r="K381" s="332">
        <f>5</f>
        <v>5</v>
      </c>
      <c r="L381" s="332" t="s">
        <v>39805</v>
      </c>
      <c r="M381" s="332">
        <f>0.15</f>
        <v>0.15</v>
      </c>
      <c r="N381" s="332" t="s">
        <v>39794</v>
      </c>
      <c r="O381" s="332">
        <f t="shared" si="18"/>
        <v>0.75</v>
      </c>
    </row>
    <row r="382" spans="1:15" s="328" customFormat="1" x14ac:dyDescent="0.2">
      <c r="A382" s="535" t="s">
        <v>40034</v>
      </c>
      <c r="B382" s="535"/>
      <c r="C382" s="535"/>
      <c r="D382" s="332"/>
      <c r="E382" s="332"/>
      <c r="F382" s="332"/>
      <c r="G382" s="332"/>
      <c r="H382" s="332"/>
      <c r="I382" s="332"/>
      <c r="J382" s="332"/>
      <c r="K382" s="332">
        <f>5</f>
        <v>5</v>
      </c>
      <c r="L382" s="332" t="s">
        <v>39805</v>
      </c>
      <c r="M382" s="332">
        <f>0.15</f>
        <v>0.15</v>
      </c>
      <c r="N382" s="332" t="s">
        <v>39794</v>
      </c>
      <c r="O382" s="332">
        <f t="shared" si="18"/>
        <v>0.75</v>
      </c>
    </row>
    <row r="383" spans="1:15" s="328" customFormat="1" x14ac:dyDescent="0.2">
      <c r="A383" s="535" t="s">
        <v>40035</v>
      </c>
      <c r="B383" s="535"/>
      <c r="C383" s="535"/>
      <c r="D383" s="332"/>
      <c r="E383" s="332"/>
      <c r="F383" s="332"/>
      <c r="G383" s="332"/>
      <c r="H383" s="332"/>
      <c r="I383" s="332"/>
      <c r="J383" s="332"/>
      <c r="K383" s="332">
        <f>5</f>
        <v>5</v>
      </c>
      <c r="L383" s="332" t="s">
        <v>39805</v>
      </c>
      <c r="M383" s="332">
        <f>8.55</f>
        <v>8.5500000000000007</v>
      </c>
      <c r="N383" s="332" t="s">
        <v>39794</v>
      </c>
      <c r="O383" s="332">
        <f t="shared" si="18"/>
        <v>42.75</v>
      </c>
    </row>
    <row r="384" spans="1:15" s="328" customFormat="1" x14ac:dyDescent="0.2">
      <c r="A384" s="535" t="s">
        <v>40036</v>
      </c>
      <c r="B384" s="535"/>
      <c r="C384" s="535"/>
      <c r="D384" s="332"/>
      <c r="E384" s="332"/>
      <c r="F384" s="332"/>
      <c r="G384" s="332"/>
      <c r="H384" s="332"/>
      <c r="I384" s="332"/>
      <c r="J384" s="332"/>
      <c r="K384" s="332">
        <f>5</f>
        <v>5</v>
      </c>
      <c r="L384" s="332" t="s">
        <v>39805</v>
      </c>
      <c r="M384" s="332">
        <f>0.15</f>
        <v>0.15</v>
      </c>
      <c r="N384" s="332" t="s">
        <v>39794</v>
      </c>
      <c r="O384" s="332">
        <f t="shared" si="18"/>
        <v>0.75</v>
      </c>
    </row>
    <row r="385" spans="1:15" s="328" customFormat="1" x14ac:dyDescent="0.2">
      <c r="A385" s="535" t="s">
        <v>40037</v>
      </c>
      <c r="B385" s="535"/>
      <c r="C385" s="535"/>
      <c r="D385" s="332"/>
      <c r="E385" s="332"/>
      <c r="F385" s="332"/>
      <c r="G385" s="332"/>
      <c r="H385" s="332"/>
      <c r="I385" s="332"/>
      <c r="J385" s="332"/>
      <c r="K385" s="332">
        <f>5</f>
        <v>5</v>
      </c>
      <c r="L385" s="332" t="s">
        <v>39805</v>
      </c>
      <c r="M385" s="332">
        <f>0.7</f>
        <v>0.7</v>
      </c>
      <c r="N385" s="332" t="s">
        <v>39794</v>
      </c>
      <c r="O385" s="332">
        <f t="shared" si="18"/>
        <v>3.5</v>
      </c>
    </row>
    <row r="386" spans="1:15" s="328" customFormat="1" x14ac:dyDescent="0.2">
      <c r="A386" s="535" t="s">
        <v>40038</v>
      </c>
      <c r="B386" s="535"/>
      <c r="C386" s="535"/>
      <c r="D386" s="332"/>
      <c r="E386" s="332"/>
      <c r="F386" s="332"/>
      <c r="G386" s="332"/>
      <c r="H386" s="332"/>
      <c r="I386" s="332"/>
      <c r="J386" s="332"/>
      <c r="K386" s="332">
        <f>5</f>
        <v>5</v>
      </c>
      <c r="L386" s="332" t="s">
        <v>39805</v>
      </c>
      <c r="M386" s="332">
        <f>0.15</f>
        <v>0.15</v>
      </c>
      <c r="N386" s="332" t="s">
        <v>39794</v>
      </c>
      <c r="O386" s="332">
        <f t="shared" si="18"/>
        <v>0.75</v>
      </c>
    </row>
    <row r="387" spans="1:15" s="328" customFormat="1" x14ac:dyDescent="0.2">
      <c r="A387" s="535" t="s">
        <v>40039</v>
      </c>
      <c r="B387" s="535"/>
      <c r="C387" s="535"/>
      <c r="D387" s="332"/>
      <c r="E387" s="332"/>
      <c r="F387" s="332"/>
      <c r="G387" s="332"/>
      <c r="H387" s="332"/>
      <c r="I387" s="332"/>
      <c r="J387" s="332"/>
      <c r="K387" s="332">
        <f>3.2</f>
        <v>3.2</v>
      </c>
      <c r="L387" s="332" t="s">
        <v>39805</v>
      </c>
      <c r="M387" s="332">
        <f>0.15</f>
        <v>0.15</v>
      </c>
      <c r="N387" s="332" t="s">
        <v>39794</v>
      </c>
      <c r="O387" s="332">
        <f t="shared" si="18"/>
        <v>0.48</v>
      </c>
    </row>
    <row r="388" spans="1:15" s="328" customFormat="1" x14ac:dyDescent="0.2">
      <c r="A388" s="535" t="s">
        <v>40040</v>
      </c>
      <c r="B388" s="535"/>
      <c r="C388" s="535"/>
      <c r="D388" s="332"/>
      <c r="E388" s="332"/>
      <c r="F388" s="332"/>
      <c r="G388" s="332"/>
      <c r="H388" s="332"/>
      <c r="I388" s="332"/>
      <c r="J388" s="332"/>
      <c r="K388" s="332">
        <f t="shared" ref="K388:K394" si="19">3.2</f>
        <v>3.2</v>
      </c>
      <c r="L388" s="332" t="s">
        <v>39805</v>
      </c>
      <c r="M388" s="332">
        <f>0.7</f>
        <v>0.7</v>
      </c>
      <c r="N388" s="332" t="s">
        <v>39794</v>
      </c>
      <c r="O388" s="332">
        <f t="shared" si="18"/>
        <v>2.2400000000000002</v>
      </c>
    </row>
    <row r="389" spans="1:15" s="328" customFormat="1" x14ac:dyDescent="0.2">
      <c r="A389" s="535" t="s">
        <v>40041</v>
      </c>
      <c r="B389" s="535"/>
      <c r="C389" s="535"/>
      <c r="D389" s="332"/>
      <c r="E389" s="332"/>
      <c r="F389" s="332"/>
      <c r="G389" s="332"/>
      <c r="H389" s="332"/>
      <c r="I389" s="332"/>
      <c r="J389" s="332"/>
      <c r="K389" s="332">
        <f t="shared" si="19"/>
        <v>3.2</v>
      </c>
      <c r="L389" s="332" t="s">
        <v>39805</v>
      </c>
      <c r="M389" s="332">
        <f>0.15</f>
        <v>0.15</v>
      </c>
      <c r="N389" s="332" t="s">
        <v>39794</v>
      </c>
      <c r="O389" s="332">
        <f t="shared" si="18"/>
        <v>0.48</v>
      </c>
    </row>
    <row r="390" spans="1:15" s="328" customFormat="1" x14ac:dyDescent="0.2">
      <c r="A390" s="535" t="s">
        <v>40042</v>
      </c>
      <c r="B390" s="535"/>
      <c r="C390" s="535"/>
      <c r="D390" s="332"/>
      <c r="E390" s="332"/>
      <c r="F390" s="332"/>
      <c r="G390" s="332"/>
      <c r="H390" s="332"/>
      <c r="I390" s="332"/>
      <c r="J390" s="332"/>
      <c r="K390" s="332">
        <f t="shared" si="19"/>
        <v>3.2</v>
      </c>
      <c r="L390" s="332" t="s">
        <v>39805</v>
      </c>
      <c r="M390" s="332">
        <f>0.15</f>
        <v>0.15</v>
      </c>
      <c r="N390" s="332" t="s">
        <v>39794</v>
      </c>
      <c r="O390" s="332">
        <f t="shared" si="18"/>
        <v>0.48</v>
      </c>
    </row>
    <row r="391" spans="1:15" s="328" customFormat="1" x14ac:dyDescent="0.2">
      <c r="A391" s="535" t="s">
        <v>40043</v>
      </c>
      <c r="B391" s="535"/>
      <c r="C391" s="535"/>
      <c r="D391" s="332"/>
      <c r="E391" s="332"/>
      <c r="F391" s="332"/>
      <c r="G391" s="332"/>
      <c r="H391" s="332"/>
      <c r="I391" s="332"/>
      <c r="J391" s="332"/>
      <c r="K391" s="332">
        <f t="shared" si="19"/>
        <v>3.2</v>
      </c>
      <c r="L391" s="332" t="s">
        <v>39805</v>
      </c>
      <c r="M391" s="332">
        <f>0.7</f>
        <v>0.7</v>
      </c>
      <c r="N391" s="332" t="s">
        <v>39794</v>
      </c>
      <c r="O391" s="332">
        <f t="shared" si="18"/>
        <v>2.2400000000000002</v>
      </c>
    </row>
    <row r="392" spans="1:15" s="328" customFormat="1" x14ac:dyDescent="0.2">
      <c r="A392" s="535" t="s">
        <v>40044</v>
      </c>
      <c r="B392" s="535"/>
      <c r="C392" s="535"/>
      <c r="D392" s="332"/>
      <c r="E392" s="332"/>
      <c r="F392" s="332"/>
      <c r="G392" s="332"/>
      <c r="H392" s="332"/>
      <c r="I392" s="332"/>
      <c r="J392" s="332"/>
      <c r="K392" s="332">
        <f t="shared" si="19"/>
        <v>3.2</v>
      </c>
      <c r="L392" s="332" t="s">
        <v>39805</v>
      </c>
      <c r="M392" s="332">
        <f>0.15</f>
        <v>0.15</v>
      </c>
      <c r="N392" s="332" t="s">
        <v>39794</v>
      </c>
      <c r="O392" s="332">
        <f t="shared" si="18"/>
        <v>0.48</v>
      </c>
    </row>
    <row r="393" spans="1:15" s="328" customFormat="1" x14ac:dyDescent="0.2">
      <c r="A393" s="535" t="s">
        <v>40045</v>
      </c>
      <c r="B393" s="535"/>
      <c r="C393" s="535"/>
      <c r="D393" s="332"/>
      <c r="E393" s="332"/>
      <c r="F393" s="332"/>
      <c r="G393" s="332"/>
      <c r="H393" s="332"/>
      <c r="I393" s="332"/>
      <c r="J393" s="332"/>
      <c r="K393" s="332">
        <f t="shared" si="19"/>
        <v>3.2</v>
      </c>
      <c r="L393" s="332" t="s">
        <v>39805</v>
      </c>
      <c r="M393" s="332">
        <f>0.8</f>
        <v>0.8</v>
      </c>
      <c r="N393" s="332" t="s">
        <v>39794</v>
      </c>
      <c r="O393" s="332">
        <f t="shared" si="18"/>
        <v>2.56</v>
      </c>
    </row>
    <row r="394" spans="1:15" s="328" customFormat="1" x14ac:dyDescent="0.2">
      <c r="A394" s="535" t="s">
        <v>40046</v>
      </c>
      <c r="B394" s="535"/>
      <c r="C394" s="535"/>
      <c r="D394" s="332"/>
      <c r="E394" s="332"/>
      <c r="F394" s="332"/>
      <c r="G394" s="332"/>
      <c r="H394" s="332"/>
      <c r="I394" s="332"/>
      <c r="J394" s="332"/>
      <c r="K394" s="332">
        <f t="shared" si="19"/>
        <v>3.2</v>
      </c>
      <c r="L394" s="332" t="s">
        <v>39805</v>
      </c>
      <c r="M394" s="332">
        <f>0.2</f>
        <v>0.2</v>
      </c>
      <c r="N394" s="332" t="s">
        <v>39794</v>
      </c>
      <c r="O394" s="332">
        <f t="shared" si="18"/>
        <v>0.64</v>
      </c>
    </row>
    <row r="395" spans="1:15" s="328" customFormat="1" x14ac:dyDescent="0.2">
      <c r="A395" s="535" t="s">
        <v>40047</v>
      </c>
      <c r="B395" s="535"/>
      <c r="C395" s="535"/>
      <c r="D395" s="332"/>
      <c r="E395" s="332"/>
      <c r="F395" s="332"/>
      <c r="G395" s="332"/>
      <c r="H395" s="332"/>
      <c r="I395" s="332"/>
      <c r="J395" s="332"/>
      <c r="K395" s="332">
        <f>4.4</f>
        <v>4.4000000000000004</v>
      </c>
      <c r="L395" s="332" t="s">
        <v>39805</v>
      </c>
      <c r="M395" s="332">
        <f>8.55</f>
        <v>8.5500000000000007</v>
      </c>
      <c r="N395" s="332" t="s">
        <v>39794</v>
      </c>
      <c r="O395" s="332">
        <f t="shared" si="18"/>
        <v>37.619999999999997</v>
      </c>
    </row>
    <row r="396" spans="1:15" s="328" customFormat="1" x14ac:dyDescent="0.2">
      <c r="A396" s="535" t="s">
        <v>40048</v>
      </c>
      <c r="B396" s="535"/>
      <c r="C396" s="535"/>
      <c r="D396" s="332"/>
      <c r="E396" s="332"/>
      <c r="F396" s="332"/>
      <c r="G396" s="332"/>
      <c r="H396" s="332"/>
      <c r="I396" s="332"/>
      <c r="J396" s="332"/>
      <c r="K396" s="332">
        <f>3.2</f>
        <v>3.2</v>
      </c>
      <c r="L396" s="332" t="s">
        <v>39805</v>
      </c>
      <c r="M396" s="332">
        <f>0.85</f>
        <v>0.85</v>
      </c>
      <c r="N396" s="332" t="s">
        <v>39794</v>
      </c>
      <c r="O396" s="332">
        <f t="shared" si="18"/>
        <v>2.72</v>
      </c>
    </row>
    <row r="397" spans="1:15" s="328" customFormat="1" x14ac:dyDescent="0.2">
      <c r="A397" s="535" t="s">
        <v>40050</v>
      </c>
      <c r="B397" s="535"/>
      <c r="C397" s="535"/>
      <c r="D397" s="332"/>
      <c r="E397" s="332"/>
      <c r="F397" s="332"/>
      <c r="G397" s="332"/>
      <c r="H397" s="332"/>
      <c r="I397" s="332"/>
      <c r="J397" s="332"/>
      <c r="K397" s="332">
        <f t="shared" ref="K397:K403" si="20">3.2</f>
        <v>3.2</v>
      </c>
      <c r="L397" s="332" t="s">
        <v>39805</v>
      </c>
      <c r="M397" s="332">
        <f>0.8</f>
        <v>0.8</v>
      </c>
      <c r="N397" s="332" t="s">
        <v>39794</v>
      </c>
      <c r="O397" s="332">
        <f t="shared" si="18"/>
        <v>2.56</v>
      </c>
    </row>
    <row r="398" spans="1:15" s="328" customFormat="1" x14ac:dyDescent="0.2">
      <c r="A398" s="535" t="s">
        <v>40051</v>
      </c>
      <c r="B398" s="535"/>
      <c r="C398" s="535"/>
      <c r="D398" s="332"/>
      <c r="E398" s="332"/>
      <c r="F398" s="332"/>
      <c r="G398" s="332"/>
      <c r="H398" s="332"/>
      <c r="I398" s="332"/>
      <c r="J398" s="332"/>
      <c r="K398" s="332">
        <f t="shared" si="20"/>
        <v>3.2</v>
      </c>
      <c r="L398" s="332" t="s">
        <v>39805</v>
      </c>
      <c r="M398" s="332">
        <f>0.2</f>
        <v>0.2</v>
      </c>
      <c r="N398" s="332" t="s">
        <v>39794</v>
      </c>
      <c r="O398" s="332">
        <f t="shared" si="18"/>
        <v>0.64</v>
      </c>
    </row>
    <row r="399" spans="1:15" s="328" customFormat="1" x14ac:dyDescent="0.2">
      <c r="A399" s="535" t="s">
        <v>40052</v>
      </c>
      <c r="B399" s="535"/>
      <c r="C399" s="535"/>
      <c r="D399" s="332"/>
      <c r="E399" s="332"/>
      <c r="F399" s="332"/>
      <c r="G399" s="332"/>
      <c r="H399" s="332"/>
      <c r="I399" s="332"/>
      <c r="J399" s="332"/>
      <c r="K399" s="332">
        <f>4.4</f>
        <v>4.4000000000000004</v>
      </c>
      <c r="L399" s="332" t="s">
        <v>39805</v>
      </c>
      <c r="M399" s="332">
        <f>8.55</f>
        <v>8.5500000000000007</v>
      </c>
      <c r="N399" s="332" t="s">
        <v>39794</v>
      </c>
      <c r="O399" s="332">
        <f t="shared" si="18"/>
        <v>37.619999999999997</v>
      </c>
    </row>
    <row r="400" spans="1:15" s="328" customFormat="1" x14ac:dyDescent="0.2">
      <c r="A400" s="535" t="s">
        <v>40053</v>
      </c>
      <c r="B400" s="535"/>
      <c r="C400" s="535"/>
      <c r="D400" s="332"/>
      <c r="E400" s="332"/>
      <c r="F400" s="332"/>
      <c r="G400" s="332"/>
      <c r="H400" s="332"/>
      <c r="I400" s="332"/>
      <c r="J400" s="332"/>
      <c r="K400" s="332">
        <f>3.2</f>
        <v>3.2</v>
      </c>
      <c r="L400" s="332" t="s">
        <v>39805</v>
      </c>
      <c r="M400" s="332">
        <f>0.85</f>
        <v>0.85</v>
      </c>
      <c r="N400" s="332" t="s">
        <v>39794</v>
      </c>
      <c r="O400" s="332">
        <f t="shared" si="18"/>
        <v>2.72</v>
      </c>
    </row>
    <row r="401" spans="1:15" s="328" customFormat="1" x14ac:dyDescent="0.2">
      <c r="A401" s="535" t="s">
        <v>40054</v>
      </c>
      <c r="B401" s="535"/>
      <c r="C401" s="535"/>
      <c r="D401" s="332"/>
      <c r="E401" s="332"/>
      <c r="F401" s="332"/>
      <c r="G401" s="335"/>
      <c r="H401" s="335"/>
      <c r="I401" s="335"/>
      <c r="J401" s="332"/>
      <c r="K401" s="332">
        <f>4.4</f>
        <v>4.4000000000000004</v>
      </c>
      <c r="L401" s="332" t="s">
        <v>39805</v>
      </c>
      <c r="M401" s="332">
        <f>2.2</f>
        <v>2.2000000000000002</v>
      </c>
      <c r="N401" s="332" t="s">
        <v>39794</v>
      </c>
      <c r="O401" s="332">
        <f t="shared" si="18"/>
        <v>9.68</v>
      </c>
    </row>
    <row r="402" spans="1:15" s="328" customFormat="1" x14ac:dyDescent="0.2">
      <c r="A402" s="535" t="s">
        <v>40055</v>
      </c>
      <c r="B402" s="535"/>
      <c r="C402" s="535"/>
      <c r="D402" s="332"/>
      <c r="E402" s="332"/>
      <c r="F402" s="332"/>
      <c r="G402" s="335"/>
      <c r="H402" s="335"/>
      <c r="I402" s="335"/>
      <c r="J402" s="332"/>
      <c r="K402" s="332">
        <f t="shared" si="20"/>
        <v>3.2</v>
      </c>
      <c r="L402" s="332" t="s">
        <v>39805</v>
      </c>
      <c r="M402" s="332">
        <f>0.8</f>
        <v>0.8</v>
      </c>
      <c r="N402" s="332" t="s">
        <v>39794</v>
      </c>
      <c r="O402" s="332">
        <f t="shared" si="18"/>
        <v>2.56</v>
      </c>
    </row>
    <row r="403" spans="1:15" s="328" customFormat="1" x14ac:dyDescent="0.2">
      <c r="A403" s="535" t="s">
        <v>40056</v>
      </c>
      <c r="B403" s="535"/>
      <c r="C403" s="535"/>
      <c r="D403" s="332"/>
      <c r="E403" s="332"/>
      <c r="F403" s="332"/>
      <c r="G403" s="335"/>
      <c r="H403" s="335"/>
      <c r="I403" s="335"/>
      <c r="J403" s="332"/>
      <c r="K403" s="332">
        <f t="shared" si="20"/>
        <v>3.2</v>
      </c>
      <c r="L403" s="332" t="s">
        <v>39805</v>
      </c>
      <c r="M403" s="332">
        <f>0.2</f>
        <v>0.2</v>
      </c>
      <c r="N403" s="332" t="s">
        <v>39794</v>
      </c>
      <c r="O403" s="332">
        <f t="shared" si="18"/>
        <v>0.64</v>
      </c>
    </row>
    <row r="404" spans="1:15" s="328" customFormat="1" x14ac:dyDescent="0.2">
      <c r="A404" s="535" t="s">
        <v>40057</v>
      </c>
      <c r="B404" s="535"/>
      <c r="C404" s="535"/>
      <c r="D404" s="332"/>
      <c r="E404" s="332"/>
      <c r="F404" s="332"/>
      <c r="G404" s="332"/>
      <c r="H404" s="332"/>
      <c r="I404" s="332"/>
      <c r="J404" s="332"/>
      <c r="K404" s="332">
        <f>4.4</f>
        <v>4.4000000000000004</v>
      </c>
      <c r="L404" s="332" t="s">
        <v>39805</v>
      </c>
      <c r="M404" s="332">
        <f>8.55</f>
        <v>8.5500000000000007</v>
      </c>
      <c r="N404" s="332" t="s">
        <v>39794</v>
      </c>
      <c r="O404" s="332">
        <f t="shared" si="18"/>
        <v>37.619999999999997</v>
      </c>
    </row>
    <row r="405" spans="1:15" s="328" customFormat="1" x14ac:dyDescent="0.2">
      <c r="A405" s="535" t="s">
        <v>40058</v>
      </c>
      <c r="B405" s="535"/>
      <c r="C405" s="535"/>
      <c r="D405" s="332"/>
      <c r="E405" s="332"/>
      <c r="F405" s="332"/>
      <c r="G405" s="332"/>
      <c r="H405" s="332"/>
      <c r="I405" s="332"/>
      <c r="J405" s="332"/>
      <c r="K405" s="332">
        <f>3.2</f>
        <v>3.2</v>
      </c>
      <c r="L405" s="332" t="s">
        <v>39805</v>
      </c>
      <c r="M405" s="332">
        <f>0.85</f>
        <v>0.85</v>
      </c>
      <c r="N405" s="332" t="s">
        <v>39794</v>
      </c>
      <c r="O405" s="332">
        <f t="shared" si="18"/>
        <v>2.72</v>
      </c>
    </row>
    <row r="406" spans="1:15" s="328" customFormat="1" x14ac:dyDescent="0.2">
      <c r="A406" s="535" t="s">
        <v>40059</v>
      </c>
      <c r="B406" s="535"/>
      <c r="C406" s="535"/>
      <c r="D406" s="332"/>
      <c r="E406" s="332"/>
      <c r="F406" s="332"/>
      <c r="G406" s="332"/>
      <c r="H406" s="332"/>
      <c r="I406" s="332"/>
      <c r="J406" s="332"/>
      <c r="K406" s="332">
        <f t="shared" ref="K406:K407" si="21">3.2</f>
        <v>3.2</v>
      </c>
      <c r="L406" s="332" t="s">
        <v>39805</v>
      </c>
      <c r="M406" s="332">
        <f>0.8</f>
        <v>0.8</v>
      </c>
      <c r="N406" s="332" t="s">
        <v>39794</v>
      </c>
      <c r="O406" s="332">
        <f t="shared" si="18"/>
        <v>2.56</v>
      </c>
    </row>
    <row r="407" spans="1:15" s="328" customFormat="1" x14ac:dyDescent="0.2">
      <c r="A407" s="535" t="s">
        <v>40060</v>
      </c>
      <c r="B407" s="535"/>
      <c r="C407" s="535"/>
      <c r="D407" s="332"/>
      <c r="E407" s="332"/>
      <c r="F407" s="332"/>
      <c r="G407" s="332"/>
      <c r="H407" s="332"/>
      <c r="I407" s="332"/>
      <c r="J407" s="332"/>
      <c r="K407" s="332">
        <f t="shared" si="21"/>
        <v>3.2</v>
      </c>
      <c r="L407" s="332" t="s">
        <v>39805</v>
      </c>
      <c r="M407" s="332">
        <f>0.2</f>
        <v>0.2</v>
      </c>
      <c r="N407" s="332" t="s">
        <v>39794</v>
      </c>
      <c r="O407" s="332">
        <f t="shared" si="18"/>
        <v>0.64</v>
      </c>
    </row>
    <row r="408" spans="1:15" s="328" customFormat="1" x14ac:dyDescent="0.2">
      <c r="A408" s="535" t="s">
        <v>40061</v>
      </c>
      <c r="B408" s="535"/>
      <c r="C408" s="535"/>
      <c r="D408" s="332"/>
      <c r="E408" s="332"/>
      <c r="F408" s="332"/>
      <c r="G408" s="332"/>
      <c r="H408" s="332"/>
      <c r="I408" s="332"/>
      <c r="J408" s="332"/>
      <c r="K408" s="332">
        <f>4.4</f>
        <v>4.4000000000000004</v>
      </c>
      <c r="L408" s="332" t="s">
        <v>39805</v>
      </c>
      <c r="M408" s="332">
        <f>8.55</f>
        <v>8.5500000000000007</v>
      </c>
      <c r="N408" s="332" t="s">
        <v>39794</v>
      </c>
      <c r="O408" s="332">
        <f t="shared" si="18"/>
        <v>37.619999999999997</v>
      </c>
    </row>
    <row r="409" spans="1:15" s="328" customFormat="1" x14ac:dyDescent="0.2">
      <c r="A409" s="535" t="s">
        <v>40062</v>
      </c>
      <c r="B409" s="535"/>
      <c r="C409" s="535"/>
      <c r="D409" s="332"/>
      <c r="E409" s="332"/>
      <c r="F409" s="332"/>
      <c r="G409" s="332"/>
      <c r="H409" s="332"/>
      <c r="I409" s="332"/>
      <c r="J409" s="332"/>
      <c r="K409" s="332">
        <f>3.2</f>
        <v>3.2</v>
      </c>
      <c r="L409" s="332" t="s">
        <v>39805</v>
      </c>
      <c r="M409" s="332">
        <f>0.85</f>
        <v>0.85</v>
      </c>
      <c r="N409" s="332" t="s">
        <v>39794</v>
      </c>
      <c r="O409" s="332">
        <f t="shared" si="18"/>
        <v>2.72</v>
      </c>
    </row>
    <row r="410" spans="1:15" s="328" customFormat="1" x14ac:dyDescent="0.2">
      <c r="A410" s="535" t="s">
        <v>40063</v>
      </c>
      <c r="B410" s="535"/>
      <c r="C410" s="535"/>
      <c r="D410" s="332"/>
      <c r="E410" s="332"/>
      <c r="F410" s="332"/>
      <c r="G410" s="332"/>
      <c r="H410" s="332"/>
      <c r="I410" s="332"/>
      <c r="J410" s="332"/>
      <c r="K410" s="332">
        <f>4.4</f>
        <v>4.4000000000000004</v>
      </c>
      <c r="L410" s="332" t="s">
        <v>39805</v>
      </c>
      <c r="M410" s="332">
        <f>2.2</f>
        <v>2.2000000000000002</v>
      </c>
      <c r="N410" s="332" t="s">
        <v>39794</v>
      </c>
      <c r="O410" s="332">
        <f t="shared" si="18"/>
        <v>9.68</v>
      </c>
    </row>
    <row r="411" spans="1:15" s="328" customFormat="1" x14ac:dyDescent="0.2">
      <c r="A411" s="535" t="s">
        <v>40064</v>
      </c>
      <c r="B411" s="535"/>
      <c r="C411" s="535"/>
      <c r="D411" s="332"/>
      <c r="E411" s="332"/>
      <c r="F411" s="332"/>
      <c r="G411" s="332"/>
      <c r="H411" s="332"/>
      <c r="I411" s="332"/>
      <c r="J411" s="332"/>
      <c r="K411" s="332">
        <f t="shared" ref="K411:K412" si="22">3.2</f>
        <v>3.2</v>
      </c>
      <c r="L411" s="332" t="s">
        <v>39805</v>
      </c>
      <c r="M411" s="332">
        <f>0.8</f>
        <v>0.8</v>
      </c>
      <c r="N411" s="332" t="s">
        <v>39794</v>
      </c>
      <c r="O411" s="332">
        <f t="shared" si="18"/>
        <v>2.56</v>
      </c>
    </row>
    <row r="412" spans="1:15" s="328" customFormat="1" x14ac:dyDescent="0.2">
      <c r="A412" s="535" t="s">
        <v>40065</v>
      </c>
      <c r="B412" s="535"/>
      <c r="C412" s="535"/>
      <c r="D412" s="332"/>
      <c r="E412" s="332"/>
      <c r="F412" s="332"/>
      <c r="G412" s="332"/>
      <c r="H412" s="332"/>
      <c r="I412" s="332"/>
      <c r="J412" s="332"/>
      <c r="K412" s="332">
        <f t="shared" si="22"/>
        <v>3.2</v>
      </c>
      <c r="L412" s="332" t="s">
        <v>39805</v>
      </c>
      <c r="M412" s="332">
        <f>0.2</f>
        <v>0.2</v>
      </c>
      <c r="N412" s="332" t="s">
        <v>39794</v>
      </c>
      <c r="O412" s="332">
        <f t="shared" si="18"/>
        <v>0.64</v>
      </c>
    </row>
    <row r="413" spans="1:15" s="328" customFormat="1" x14ac:dyDescent="0.2">
      <c r="A413" s="535" t="s">
        <v>40066</v>
      </c>
      <c r="B413" s="535"/>
      <c r="C413" s="535"/>
      <c r="D413" s="332"/>
      <c r="E413" s="332"/>
      <c r="F413" s="332"/>
      <c r="G413" s="332"/>
      <c r="H413" s="332"/>
      <c r="I413" s="332"/>
      <c r="J413" s="332"/>
      <c r="K413" s="332">
        <f>4.4</f>
        <v>4.4000000000000004</v>
      </c>
      <c r="L413" s="332" t="s">
        <v>39805</v>
      </c>
      <c r="M413" s="332">
        <f>8.55</f>
        <v>8.5500000000000007</v>
      </c>
      <c r="N413" s="332" t="s">
        <v>39794</v>
      </c>
      <c r="O413" s="332">
        <f t="shared" si="18"/>
        <v>37.619999999999997</v>
      </c>
    </row>
    <row r="414" spans="1:15" s="328" customFormat="1" x14ac:dyDescent="0.2">
      <c r="A414" s="535" t="s">
        <v>40067</v>
      </c>
      <c r="B414" s="535"/>
      <c r="C414" s="535"/>
      <c r="D414" s="332"/>
      <c r="E414" s="332"/>
      <c r="F414" s="332"/>
      <c r="G414" s="332"/>
      <c r="H414" s="332"/>
      <c r="I414" s="332"/>
      <c r="J414" s="332"/>
      <c r="K414" s="332">
        <f>3.2</f>
        <v>3.2</v>
      </c>
      <c r="L414" s="332" t="s">
        <v>39805</v>
      </c>
      <c r="M414" s="332">
        <f>0.85</f>
        <v>0.85</v>
      </c>
      <c r="N414" s="332" t="s">
        <v>39794</v>
      </c>
      <c r="O414" s="332">
        <f t="shared" si="18"/>
        <v>2.72</v>
      </c>
    </row>
    <row r="415" spans="1:15" s="328" customFormat="1" x14ac:dyDescent="0.2">
      <c r="A415" s="535" t="s">
        <v>40068</v>
      </c>
      <c r="B415" s="535"/>
      <c r="C415" s="535"/>
      <c r="D415" s="332"/>
      <c r="E415" s="332"/>
      <c r="F415" s="332"/>
      <c r="G415" s="332"/>
      <c r="H415" s="332"/>
      <c r="I415" s="332"/>
      <c r="J415" s="332"/>
      <c r="K415" s="332">
        <f>4.4</f>
        <v>4.4000000000000004</v>
      </c>
      <c r="L415" s="332" t="s">
        <v>39805</v>
      </c>
      <c r="M415" s="332">
        <v>1.65</v>
      </c>
      <c r="N415" s="332" t="s">
        <v>39794</v>
      </c>
      <c r="O415" s="332">
        <f t="shared" si="18"/>
        <v>7.26</v>
      </c>
    </row>
    <row r="416" spans="1:15" s="328" customFormat="1" x14ac:dyDescent="0.2">
      <c r="A416" s="535" t="s">
        <v>40069</v>
      </c>
      <c r="B416" s="535"/>
      <c r="C416" s="535"/>
      <c r="D416" s="332"/>
      <c r="E416" s="332"/>
      <c r="F416" s="332"/>
      <c r="G416" s="332"/>
      <c r="H416" s="332"/>
      <c r="I416" s="332"/>
      <c r="J416" s="332"/>
      <c r="K416" s="332">
        <f>4.4</f>
        <v>4.4000000000000004</v>
      </c>
      <c r="L416" s="332" t="s">
        <v>39805</v>
      </c>
      <c r="M416" s="332">
        <f>1.65</f>
        <v>1.65</v>
      </c>
      <c r="N416" s="332" t="s">
        <v>39794</v>
      </c>
      <c r="O416" s="332">
        <f t="shared" si="18"/>
        <v>7.26</v>
      </c>
    </row>
    <row r="417" spans="1:15" s="328" customFormat="1" x14ac:dyDescent="0.2">
      <c r="A417" s="535" t="s">
        <v>40070</v>
      </c>
      <c r="B417" s="535"/>
      <c r="C417" s="535"/>
      <c r="D417" s="332"/>
      <c r="E417" s="332"/>
      <c r="F417" s="332"/>
      <c r="G417" s="332"/>
      <c r="H417" s="332"/>
      <c r="I417" s="332"/>
      <c r="J417" s="332"/>
      <c r="K417" s="332">
        <f t="shared" ref="K417:K418" si="23">3.2</f>
        <v>3.2</v>
      </c>
      <c r="L417" s="332" t="s">
        <v>39805</v>
      </c>
      <c r="M417" s="332">
        <f>0.8</f>
        <v>0.8</v>
      </c>
      <c r="N417" s="332" t="s">
        <v>39794</v>
      </c>
      <c r="O417" s="332">
        <f t="shared" si="18"/>
        <v>2.56</v>
      </c>
    </row>
    <row r="418" spans="1:15" s="328" customFormat="1" x14ac:dyDescent="0.2">
      <c r="A418" s="535" t="s">
        <v>40071</v>
      </c>
      <c r="B418" s="535"/>
      <c r="C418" s="535"/>
      <c r="D418" s="332"/>
      <c r="E418" s="332"/>
      <c r="F418" s="332"/>
      <c r="G418" s="332"/>
      <c r="H418" s="332"/>
      <c r="I418" s="332"/>
      <c r="J418" s="332"/>
      <c r="K418" s="332">
        <f t="shared" si="23"/>
        <v>3.2</v>
      </c>
      <c r="L418" s="332" t="s">
        <v>39805</v>
      </c>
      <c r="M418" s="332">
        <f>0.2</f>
        <v>0.2</v>
      </c>
      <c r="N418" s="332" t="s">
        <v>39794</v>
      </c>
      <c r="O418" s="332">
        <f t="shared" si="18"/>
        <v>0.64</v>
      </c>
    </row>
    <row r="419" spans="1:15" s="328" customFormat="1" x14ac:dyDescent="0.2">
      <c r="A419" s="535" t="s">
        <v>40072</v>
      </c>
      <c r="B419" s="535"/>
      <c r="C419" s="535"/>
      <c r="D419" s="332"/>
      <c r="E419" s="332"/>
      <c r="F419" s="332"/>
      <c r="G419" s="332"/>
      <c r="H419" s="332"/>
      <c r="I419" s="332"/>
      <c r="J419" s="332"/>
      <c r="K419" s="332">
        <f>4.4</f>
        <v>4.4000000000000004</v>
      </c>
      <c r="L419" s="332" t="s">
        <v>39805</v>
      </c>
      <c r="M419" s="332">
        <f>2.65</f>
        <v>2.65</v>
      </c>
      <c r="N419" s="332" t="s">
        <v>39794</v>
      </c>
      <c r="O419" s="332">
        <f t="shared" si="18"/>
        <v>11.66</v>
      </c>
    </row>
    <row r="420" spans="1:15" s="328" customFormat="1" x14ac:dyDescent="0.2">
      <c r="A420" s="535" t="s">
        <v>40073</v>
      </c>
      <c r="B420" s="535"/>
      <c r="C420" s="535"/>
      <c r="D420" s="332"/>
      <c r="E420" s="332"/>
      <c r="F420" s="332"/>
      <c r="G420" s="332"/>
      <c r="H420" s="332"/>
      <c r="I420" s="332"/>
      <c r="J420" s="332"/>
      <c r="K420" s="332">
        <f>4.4</f>
        <v>4.4000000000000004</v>
      </c>
      <c r="L420" s="332" t="s">
        <v>39805</v>
      </c>
      <c r="M420" s="332">
        <f>2.65</f>
        <v>2.65</v>
      </c>
      <c r="N420" s="332" t="s">
        <v>39794</v>
      </c>
      <c r="O420" s="332">
        <f t="shared" si="18"/>
        <v>11.66</v>
      </c>
    </row>
    <row r="421" spans="1:15" s="328" customFormat="1" x14ac:dyDescent="0.2">
      <c r="A421" s="535" t="s">
        <v>40074</v>
      </c>
      <c r="B421" s="535"/>
      <c r="C421" s="535"/>
      <c r="D421" s="332"/>
      <c r="E421" s="332"/>
      <c r="F421" s="332"/>
      <c r="G421" s="332"/>
      <c r="H421" s="332"/>
      <c r="I421" s="332"/>
      <c r="J421" s="332"/>
      <c r="K421" s="332">
        <f>3.2</f>
        <v>3.2</v>
      </c>
      <c r="L421" s="332" t="s">
        <v>39805</v>
      </c>
      <c r="M421" s="332">
        <f>0.85</f>
        <v>0.85</v>
      </c>
      <c r="N421" s="332" t="s">
        <v>39794</v>
      </c>
      <c r="O421" s="332">
        <f t="shared" si="18"/>
        <v>2.72</v>
      </c>
    </row>
    <row r="422" spans="1:15" s="328" customFormat="1" x14ac:dyDescent="0.2">
      <c r="A422" s="535" t="s">
        <v>40075</v>
      </c>
      <c r="B422" s="535"/>
      <c r="C422" s="535"/>
      <c r="D422" s="335"/>
      <c r="E422" s="335"/>
      <c r="F422" s="335"/>
      <c r="G422" s="335"/>
      <c r="H422" s="335"/>
      <c r="I422" s="335"/>
      <c r="J422" s="335"/>
      <c r="K422" s="335">
        <f>4.4</f>
        <v>4.4000000000000004</v>
      </c>
      <c r="L422" s="335" t="s">
        <v>39805</v>
      </c>
      <c r="M422" s="335">
        <f>8.55</f>
        <v>8.5500000000000007</v>
      </c>
      <c r="N422" s="332" t="s">
        <v>39794</v>
      </c>
      <c r="O422" s="332">
        <f t="shared" si="18"/>
        <v>37.619999999999997</v>
      </c>
    </row>
    <row r="423" spans="1:15" s="328" customFormat="1" x14ac:dyDescent="0.2">
      <c r="A423" s="535" t="s">
        <v>40076</v>
      </c>
      <c r="B423" s="535"/>
      <c r="C423" s="535"/>
      <c r="D423" s="332"/>
      <c r="E423" s="332"/>
      <c r="F423" s="332"/>
      <c r="G423" s="332"/>
      <c r="H423" s="332"/>
      <c r="I423" s="332"/>
      <c r="J423" s="332"/>
      <c r="K423" s="332">
        <f>4.4</f>
        <v>4.4000000000000004</v>
      </c>
      <c r="L423" s="332" t="s">
        <v>39805</v>
      </c>
      <c r="M423" s="332">
        <f>2.2</f>
        <v>2.2000000000000002</v>
      </c>
      <c r="N423" s="332" t="s">
        <v>39794</v>
      </c>
      <c r="O423" s="332">
        <f t="shared" si="18"/>
        <v>9.68</v>
      </c>
    </row>
    <row r="424" spans="1:15" s="328" customFormat="1" x14ac:dyDescent="0.2">
      <c r="A424" s="535" t="s">
        <v>40077</v>
      </c>
      <c r="B424" s="535"/>
      <c r="C424" s="535"/>
      <c r="D424" s="332"/>
      <c r="E424" s="332"/>
      <c r="F424" s="332"/>
      <c r="G424" s="332"/>
      <c r="H424" s="332"/>
      <c r="I424" s="332"/>
      <c r="J424" s="332"/>
      <c r="K424" s="332">
        <f>6.89</f>
        <v>6.89</v>
      </c>
      <c r="L424" s="332" t="s">
        <v>39805</v>
      </c>
      <c r="M424" s="332">
        <f>0.8</f>
        <v>0.8</v>
      </c>
      <c r="N424" s="332" t="s">
        <v>39794</v>
      </c>
      <c r="O424" s="332">
        <f t="shared" si="18"/>
        <v>5.51</v>
      </c>
    </row>
    <row r="425" spans="1:15" s="328" customFormat="1" x14ac:dyDescent="0.2">
      <c r="A425" s="535" t="s">
        <v>40078</v>
      </c>
      <c r="B425" s="535"/>
      <c r="C425" s="535"/>
      <c r="D425" s="332"/>
      <c r="E425" s="332"/>
      <c r="F425" s="332"/>
      <c r="G425" s="332"/>
      <c r="H425" s="332"/>
      <c r="I425" s="332"/>
      <c r="J425" s="332"/>
      <c r="K425" s="332">
        <f t="shared" ref="K425:K431" si="24">6.89</f>
        <v>6.89</v>
      </c>
      <c r="L425" s="332" t="s">
        <v>39805</v>
      </c>
      <c r="M425" s="332">
        <f>2.7</f>
        <v>2.7</v>
      </c>
      <c r="N425" s="332" t="s">
        <v>39794</v>
      </c>
      <c r="O425" s="332">
        <f t="shared" si="18"/>
        <v>18.600000000000001</v>
      </c>
    </row>
    <row r="426" spans="1:15" s="328" customFormat="1" x14ac:dyDescent="0.2">
      <c r="A426" s="535" t="s">
        <v>40079</v>
      </c>
      <c r="B426" s="535"/>
      <c r="C426" s="535"/>
      <c r="D426" s="332"/>
      <c r="E426" s="332"/>
      <c r="F426" s="332"/>
      <c r="G426" s="332"/>
      <c r="H426" s="332"/>
      <c r="I426" s="332"/>
      <c r="J426" s="332"/>
      <c r="K426" s="332">
        <f t="shared" si="24"/>
        <v>6.89</v>
      </c>
      <c r="L426" s="332" t="s">
        <v>39805</v>
      </c>
      <c r="M426" s="332">
        <f>0.15</f>
        <v>0.15</v>
      </c>
      <c r="N426" s="332" t="s">
        <v>39794</v>
      </c>
      <c r="O426" s="332">
        <f t="shared" si="18"/>
        <v>1.03</v>
      </c>
    </row>
    <row r="427" spans="1:15" s="328" customFormat="1" x14ac:dyDescent="0.2">
      <c r="A427" s="535" t="s">
        <v>40080</v>
      </c>
      <c r="B427" s="535"/>
      <c r="C427" s="535"/>
      <c r="D427" s="332"/>
      <c r="E427" s="332"/>
      <c r="F427" s="332"/>
      <c r="G427" s="332"/>
      <c r="H427" s="332"/>
      <c r="I427" s="332"/>
      <c r="J427" s="332"/>
      <c r="K427" s="332">
        <f t="shared" si="24"/>
        <v>6.89</v>
      </c>
      <c r="L427" s="332" t="s">
        <v>39805</v>
      </c>
      <c r="M427" s="332">
        <f>5.35</f>
        <v>5.35</v>
      </c>
      <c r="N427" s="332" t="s">
        <v>39794</v>
      </c>
      <c r="O427" s="332">
        <f t="shared" si="18"/>
        <v>36.86</v>
      </c>
    </row>
    <row r="428" spans="1:15" s="328" customFormat="1" x14ac:dyDescent="0.2">
      <c r="A428" s="535" t="s">
        <v>40081</v>
      </c>
      <c r="B428" s="535"/>
      <c r="C428" s="535"/>
      <c r="D428" s="332"/>
      <c r="E428" s="332"/>
      <c r="F428" s="332"/>
      <c r="G428" s="332"/>
      <c r="H428" s="332"/>
      <c r="I428" s="332"/>
      <c r="J428" s="332"/>
      <c r="K428" s="332">
        <f t="shared" si="24"/>
        <v>6.89</v>
      </c>
      <c r="L428" s="332" t="s">
        <v>39805</v>
      </c>
      <c r="M428" s="332">
        <f>0.15</f>
        <v>0.15</v>
      </c>
      <c r="N428" s="332" t="s">
        <v>39794</v>
      </c>
      <c r="O428" s="332">
        <f t="shared" si="18"/>
        <v>1.03</v>
      </c>
    </row>
    <row r="429" spans="1:15" s="328" customFormat="1" x14ac:dyDescent="0.2">
      <c r="A429" s="535" t="s">
        <v>40082</v>
      </c>
      <c r="B429" s="535"/>
      <c r="C429" s="535"/>
      <c r="D429" s="332"/>
      <c r="E429" s="332"/>
      <c r="F429" s="332"/>
      <c r="G429" s="332"/>
      <c r="H429" s="332"/>
      <c r="I429" s="332"/>
      <c r="J429" s="332"/>
      <c r="K429" s="332">
        <f t="shared" si="24"/>
        <v>6.89</v>
      </c>
      <c r="L429" s="332" t="s">
        <v>39805</v>
      </c>
      <c r="M429" s="332">
        <f>3.05</f>
        <v>3.05</v>
      </c>
      <c r="N429" s="332" t="s">
        <v>39794</v>
      </c>
      <c r="O429" s="332">
        <f t="shared" si="18"/>
        <v>21.01</v>
      </c>
    </row>
    <row r="430" spans="1:15" s="328" customFormat="1" x14ac:dyDescent="0.2">
      <c r="A430" s="535" t="s">
        <v>40083</v>
      </c>
      <c r="B430" s="535"/>
      <c r="C430" s="535"/>
      <c r="D430" s="332"/>
      <c r="E430" s="332"/>
      <c r="F430" s="332"/>
      <c r="G430" s="332"/>
      <c r="H430" s="332"/>
      <c r="I430" s="332"/>
      <c r="J430" s="332"/>
      <c r="K430" s="332">
        <f t="shared" si="24"/>
        <v>6.89</v>
      </c>
      <c r="L430" s="332" t="s">
        <v>39805</v>
      </c>
      <c r="M430" s="332">
        <f>0.15</f>
        <v>0.15</v>
      </c>
      <c r="N430" s="332" t="s">
        <v>39794</v>
      </c>
      <c r="O430" s="332">
        <f t="shared" si="18"/>
        <v>1.03</v>
      </c>
    </row>
    <row r="431" spans="1:15" s="328" customFormat="1" x14ac:dyDescent="0.2">
      <c r="A431" s="535" t="s">
        <v>40084</v>
      </c>
      <c r="B431" s="535"/>
      <c r="C431" s="535"/>
      <c r="D431" s="332"/>
      <c r="E431" s="332"/>
      <c r="F431" s="332"/>
      <c r="G431" s="332"/>
      <c r="H431" s="332"/>
      <c r="I431" s="332"/>
      <c r="J431" s="332"/>
      <c r="K431" s="332">
        <f t="shared" si="24"/>
        <v>6.89</v>
      </c>
      <c r="L431" s="332" t="s">
        <v>39805</v>
      </c>
      <c r="M431" s="332">
        <f>0.85</f>
        <v>0.85</v>
      </c>
      <c r="N431" s="332" t="s">
        <v>39794</v>
      </c>
      <c r="O431" s="332">
        <f t="shared" si="18"/>
        <v>5.86</v>
      </c>
    </row>
    <row r="432" spans="1:15" s="328" customFormat="1" x14ac:dyDescent="0.2">
      <c r="A432" s="535" t="s">
        <v>40085</v>
      </c>
      <c r="B432" s="535"/>
      <c r="C432" s="535"/>
      <c r="D432" s="332"/>
      <c r="E432" s="332"/>
      <c r="F432" s="332"/>
      <c r="G432" s="332"/>
      <c r="H432" s="332"/>
      <c r="I432" s="332"/>
      <c r="J432" s="332"/>
      <c r="K432" s="332">
        <f>1.6</f>
        <v>1.6</v>
      </c>
      <c r="L432" s="332" t="s">
        <v>39805</v>
      </c>
      <c r="M432" s="332">
        <f>11.2</f>
        <v>11.2</v>
      </c>
      <c r="N432" s="332" t="s">
        <v>39794</v>
      </c>
      <c r="O432" s="332">
        <f t="shared" si="18"/>
        <v>17.920000000000002</v>
      </c>
    </row>
    <row r="433" spans="1:15" s="328" customFormat="1" x14ac:dyDescent="0.2">
      <c r="A433" s="539" t="s">
        <v>5917</v>
      </c>
      <c r="B433" s="539"/>
      <c r="C433" s="539"/>
      <c r="D433" s="333"/>
      <c r="E433" s="333"/>
      <c r="F433" s="333"/>
      <c r="G433" s="334"/>
      <c r="H433" s="333"/>
      <c r="I433" s="334" t="s">
        <v>39792</v>
      </c>
      <c r="J433" s="333" t="s">
        <v>39805</v>
      </c>
      <c r="K433" s="334" t="s">
        <v>40049</v>
      </c>
      <c r="L433" s="333" t="s">
        <v>39805</v>
      </c>
      <c r="M433" s="334" t="s">
        <v>39802</v>
      </c>
      <c r="N433" s="333" t="s">
        <v>39794</v>
      </c>
      <c r="O433" s="334" t="s">
        <v>39795</v>
      </c>
    </row>
    <row r="434" spans="1:15" s="328" customFormat="1" x14ac:dyDescent="0.2">
      <c r="A434" s="535" t="s">
        <v>40086</v>
      </c>
      <c r="B434" s="535"/>
      <c r="C434" s="535"/>
      <c r="D434" s="332"/>
      <c r="E434" s="332"/>
      <c r="F434" s="332"/>
      <c r="G434" s="332"/>
      <c r="H434" s="332"/>
      <c r="I434" s="332">
        <f>10</f>
        <v>10</v>
      </c>
      <c r="J434" s="332" t="s">
        <v>39805</v>
      </c>
      <c r="K434" s="332">
        <f>4.7</f>
        <v>4.7</v>
      </c>
      <c r="L434" s="332" t="s">
        <v>39805</v>
      </c>
      <c r="M434" s="332">
        <v>0.85</v>
      </c>
      <c r="N434" s="332" t="s">
        <v>39794</v>
      </c>
      <c r="O434" s="332">
        <f>ROUND(I434*K434*M434,2)</f>
        <v>39.950000000000003</v>
      </c>
    </row>
    <row r="435" spans="1:15" s="328" customFormat="1" x14ac:dyDescent="0.2">
      <c r="A435" s="535" t="s">
        <v>40087</v>
      </c>
      <c r="B435" s="535"/>
      <c r="C435" s="535"/>
      <c r="D435" s="332"/>
      <c r="E435" s="332"/>
      <c r="F435" s="332"/>
      <c r="G435" s="332"/>
      <c r="H435" s="332"/>
      <c r="I435" s="332">
        <f>1</f>
        <v>1</v>
      </c>
      <c r="J435" s="332" t="s">
        <v>39805</v>
      </c>
      <c r="K435" s="332">
        <f>1.6</f>
        <v>1.6</v>
      </c>
      <c r="L435" s="332" t="s">
        <v>39805</v>
      </c>
      <c r="M435" s="332">
        <f>5.9</f>
        <v>5.9</v>
      </c>
      <c r="N435" s="332" t="s">
        <v>39794</v>
      </c>
      <c r="O435" s="332">
        <f t="shared" ref="O435:O436" si="25">ROUND(I435*K435*M435,2)</f>
        <v>9.44</v>
      </c>
    </row>
    <row r="436" spans="1:15" s="328" customFormat="1" x14ac:dyDescent="0.2">
      <c r="A436" s="535" t="s">
        <v>40088</v>
      </c>
      <c r="B436" s="535"/>
      <c r="C436" s="535"/>
      <c r="D436" s="332"/>
      <c r="E436" s="332"/>
      <c r="F436" s="332"/>
      <c r="G436" s="332"/>
      <c r="H436" s="332"/>
      <c r="I436" s="332">
        <f>1</f>
        <v>1</v>
      </c>
      <c r="J436" s="332" t="s">
        <v>39805</v>
      </c>
      <c r="K436" s="332">
        <f>1.6</f>
        <v>1.6</v>
      </c>
      <c r="L436" s="332" t="s">
        <v>39805</v>
      </c>
      <c r="M436" s="332">
        <f>1.3</f>
        <v>1.3</v>
      </c>
      <c r="N436" s="332" t="s">
        <v>39794</v>
      </c>
      <c r="O436" s="332">
        <f t="shared" si="25"/>
        <v>2.08</v>
      </c>
    </row>
    <row r="437" spans="1:15" s="328" customFormat="1" x14ac:dyDescent="0.2">
      <c r="A437" s="539" t="s">
        <v>5917</v>
      </c>
      <c r="B437" s="539"/>
      <c r="C437" s="539"/>
      <c r="D437" s="333"/>
      <c r="E437" s="333"/>
      <c r="F437" s="333"/>
      <c r="G437" s="334"/>
      <c r="H437" s="333"/>
      <c r="I437" s="332"/>
      <c r="J437" s="331"/>
      <c r="K437" s="334" t="s">
        <v>40049</v>
      </c>
      <c r="L437" s="333" t="s">
        <v>39805</v>
      </c>
      <c r="M437" s="334" t="s">
        <v>39802</v>
      </c>
      <c r="N437" s="333" t="s">
        <v>39794</v>
      </c>
      <c r="O437" s="334" t="s">
        <v>39795</v>
      </c>
    </row>
    <row r="438" spans="1:15" s="328" customFormat="1" x14ac:dyDescent="0.2">
      <c r="A438" s="535" t="s">
        <v>40089</v>
      </c>
      <c r="B438" s="535"/>
      <c r="C438" s="535"/>
      <c r="D438" s="332"/>
      <c r="E438" s="332"/>
      <c r="F438" s="332"/>
      <c r="G438" s="332"/>
      <c r="H438" s="332"/>
      <c r="I438" s="332"/>
      <c r="J438" s="332"/>
      <c r="K438" s="332">
        <f>3.2</f>
        <v>3.2</v>
      </c>
      <c r="L438" s="332" t="s">
        <v>39805</v>
      </c>
      <c r="M438" s="332">
        <f>0.7</f>
        <v>0.7</v>
      </c>
      <c r="N438" s="332" t="s">
        <v>39794</v>
      </c>
      <c r="O438" s="332">
        <f t="shared" ref="O438:O493" si="26">ROUND(K438*M438,2)</f>
        <v>2.2400000000000002</v>
      </c>
    </row>
    <row r="439" spans="1:15" s="328" customFormat="1" x14ac:dyDescent="0.2">
      <c r="A439" s="535" t="s">
        <v>40090</v>
      </c>
      <c r="B439" s="535"/>
      <c r="C439" s="535"/>
      <c r="D439" s="332"/>
      <c r="E439" s="332"/>
      <c r="F439" s="332"/>
      <c r="G439" s="332"/>
      <c r="H439" s="332"/>
      <c r="I439" s="332"/>
      <c r="J439" s="332"/>
      <c r="K439" s="332">
        <f>4.14</f>
        <v>4.1399999999999997</v>
      </c>
      <c r="L439" s="332" t="s">
        <v>39805</v>
      </c>
      <c r="M439" s="332">
        <f>5.83</f>
        <v>5.83</v>
      </c>
      <c r="N439" s="332" t="s">
        <v>39794</v>
      </c>
      <c r="O439" s="332">
        <f t="shared" si="26"/>
        <v>24.14</v>
      </c>
    </row>
    <row r="440" spans="1:15" s="328" customFormat="1" x14ac:dyDescent="0.2">
      <c r="A440" s="535" t="s">
        <v>40091</v>
      </c>
      <c r="B440" s="535"/>
      <c r="C440" s="535"/>
      <c r="D440" s="332"/>
      <c r="E440" s="332"/>
      <c r="F440" s="332"/>
      <c r="G440" s="332"/>
      <c r="H440" s="332"/>
      <c r="I440" s="332"/>
      <c r="J440" s="332"/>
      <c r="K440" s="332">
        <f>4.29</f>
        <v>4.29</v>
      </c>
      <c r="L440" s="332" t="s">
        <v>39805</v>
      </c>
      <c r="M440" s="332">
        <f>5.83</f>
        <v>5.83</v>
      </c>
      <c r="N440" s="332" t="s">
        <v>39794</v>
      </c>
      <c r="O440" s="332">
        <f t="shared" si="26"/>
        <v>25.01</v>
      </c>
    </row>
    <row r="441" spans="1:15" s="328" customFormat="1" x14ac:dyDescent="0.2">
      <c r="A441" s="535" t="s">
        <v>40092</v>
      </c>
      <c r="B441" s="535"/>
      <c r="C441" s="535"/>
      <c r="D441" s="332"/>
      <c r="E441" s="332"/>
      <c r="F441" s="332"/>
      <c r="G441" s="332"/>
      <c r="H441" s="332"/>
      <c r="I441" s="332"/>
      <c r="J441" s="332"/>
      <c r="K441" s="332">
        <f>4.14</f>
        <v>4.1399999999999997</v>
      </c>
      <c r="L441" s="332" t="s">
        <v>39805</v>
      </c>
      <c r="M441" s="332">
        <f>5.85</f>
        <v>5.85</v>
      </c>
      <c r="N441" s="332" t="s">
        <v>39794</v>
      </c>
      <c r="O441" s="332">
        <f t="shared" si="26"/>
        <v>24.22</v>
      </c>
    </row>
    <row r="442" spans="1:15" s="328" customFormat="1" x14ac:dyDescent="0.2">
      <c r="A442" s="535" t="s">
        <v>40093</v>
      </c>
      <c r="B442" s="535"/>
      <c r="C442" s="535"/>
      <c r="D442" s="332"/>
      <c r="E442" s="332"/>
      <c r="F442" s="332"/>
      <c r="G442" s="332"/>
      <c r="H442" s="332"/>
      <c r="I442" s="332"/>
      <c r="J442" s="332"/>
      <c r="K442" s="332">
        <f>4.29</f>
        <v>4.29</v>
      </c>
      <c r="L442" s="332" t="s">
        <v>39805</v>
      </c>
      <c r="M442" s="332">
        <f>5.85</f>
        <v>5.85</v>
      </c>
      <c r="N442" s="332" t="s">
        <v>39794</v>
      </c>
      <c r="O442" s="332">
        <f t="shared" si="26"/>
        <v>25.1</v>
      </c>
    </row>
    <row r="443" spans="1:15" s="328" customFormat="1" x14ac:dyDescent="0.2">
      <c r="A443" s="535" t="s">
        <v>40094</v>
      </c>
      <c r="B443" s="535"/>
      <c r="C443" s="535"/>
      <c r="D443" s="332"/>
      <c r="E443" s="332"/>
      <c r="F443" s="332"/>
      <c r="G443" s="332"/>
      <c r="H443" s="332"/>
      <c r="I443" s="332"/>
      <c r="J443" s="332"/>
      <c r="K443" s="332">
        <f>4.14</f>
        <v>4.1399999999999997</v>
      </c>
      <c r="L443" s="332" t="s">
        <v>39805</v>
      </c>
      <c r="M443" s="332">
        <f>5.85</f>
        <v>5.85</v>
      </c>
      <c r="N443" s="332" t="s">
        <v>39794</v>
      </c>
      <c r="O443" s="332">
        <f t="shared" si="26"/>
        <v>24.22</v>
      </c>
    </row>
    <row r="444" spans="1:15" s="328" customFormat="1" x14ac:dyDescent="0.2">
      <c r="A444" s="535" t="s">
        <v>40095</v>
      </c>
      <c r="B444" s="535"/>
      <c r="C444" s="535"/>
      <c r="D444" s="332"/>
      <c r="E444" s="332"/>
      <c r="F444" s="332"/>
      <c r="G444" s="332"/>
      <c r="H444" s="332"/>
      <c r="I444" s="332"/>
      <c r="J444" s="332"/>
      <c r="K444" s="335">
        <f>4.4</f>
        <v>4.4000000000000004</v>
      </c>
      <c r="L444" s="332" t="s">
        <v>39805</v>
      </c>
      <c r="M444" s="332">
        <f>4.2</f>
        <v>4.2</v>
      </c>
      <c r="N444" s="332" t="s">
        <v>39794</v>
      </c>
      <c r="O444" s="332">
        <f t="shared" si="26"/>
        <v>18.48</v>
      </c>
    </row>
    <row r="445" spans="1:15" s="328" customFormat="1" x14ac:dyDescent="0.2">
      <c r="A445" s="535" t="s">
        <v>40096</v>
      </c>
      <c r="B445" s="535"/>
      <c r="C445" s="535"/>
      <c r="D445" s="332"/>
      <c r="E445" s="332"/>
      <c r="F445" s="332"/>
      <c r="G445" s="332"/>
      <c r="H445" s="332"/>
      <c r="I445" s="332"/>
      <c r="J445" s="332"/>
      <c r="K445" s="332">
        <f>4.29</f>
        <v>4.29</v>
      </c>
      <c r="L445" s="332" t="s">
        <v>39805</v>
      </c>
      <c r="M445" s="332">
        <f>5.85</f>
        <v>5.85</v>
      </c>
      <c r="N445" s="332" t="s">
        <v>39794</v>
      </c>
      <c r="O445" s="332">
        <f t="shared" si="26"/>
        <v>25.1</v>
      </c>
    </row>
    <row r="446" spans="1:15" s="328" customFormat="1" x14ac:dyDescent="0.2">
      <c r="A446" s="535" t="s">
        <v>40097</v>
      </c>
      <c r="B446" s="535"/>
      <c r="C446" s="535"/>
      <c r="D446" s="332"/>
      <c r="E446" s="332"/>
      <c r="F446" s="332"/>
      <c r="G446" s="332"/>
      <c r="H446" s="332"/>
      <c r="I446" s="332"/>
      <c r="J446" s="332"/>
      <c r="K446" s="332">
        <f>4.14</f>
        <v>4.1399999999999997</v>
      </c>
      <c r="L446" s="332" t="s">
        <v>39805</v>
      </c>
      <c r="M446" s="332">
        <f>5.85</f>
        <v>5.85</v>
      </c>
      <c r="N446" s="332" t="s">
        <v>39794</v>
      </c>
      <c r="O446" s="332">
        <f t="shared" si="26"/>
        <v>24.22</v>
      </c>
    </row>
    <row r="447" spans="1:15" s="328" customFormat="1" x14ac:dyDescent="0.2">
      <c r="A447" s="535" t="s">
        <v>40098</v>
      </c>
      <c r="B447" s="535"/>
      <c r="C447" s="535"/>
      <c r="D447" s="332"/>
      <c r="E447" s="332"/>
      <c r="F447" s="332"/>
      <c r="G447" s="332"/>
      <c r="H447" s="332"/>
      <c r="I447" s="332"/>
      <c r="J447" s="332"/>
      <c r="K447" s="332">
        <f>4.29</f>
        <v>4.29</v>
      </c>
      <c r="L447" s="332" t="s">
        <v>39805</v>
      </c>
      <c r="M447" s="332">
        <f>5.85</f>
        <v>5.85</v>
      </c>
      <c r="N447" s="332" t="s">
        <v>39794</v>
      </c>
      <c r="O447" s="332">
        <f t="shared" si="26"/>
        <v>25.1</v>
      </c>
    </row>
    <row r="448" spans="1:15" s="328" customFormat="1" x14ac:dyDescent="0.2">
      <c r="A448" s="535" t="s">
        <v>40099</v>
      </c>
      <c r="B448" s="535"/>
      <c r="C448" s="535"/>
      <c r="D448" s="332"/>
      <c r="E448" s="332"/>
      <c r="F448" s="332"/>
      <c r="G448" s="332"/>
      <c r="H448" s="332"/>
      <c r="I448" s="332"/>
      <c r="J448" s="332"/>
      <c r="K448" s="332">
        <f>4.14</f>
        <v>4.1399999999999997</v>
      </c>
      <c r="L448" s="332" t="s">
        <v>39805</v>
      </c>
      <c r="M448" s="332">
        <f>5.85</f>
        <v>5.85</v>
      </c>
      <c r="N448" s="332" t="s">
        <v>39794</v>
      </c>
      <c r="O448" s="332">
        <f t="shared" si="26"/>
        <v>24.22</v>
      </c>
    </row>
    <row r="449" spans="1:15" s="328" customFormat="1" x14ac:dyDescent="0.2">
      <c r="A449" s="535" t="s">
        <v>40100</v>
      </c>
      <c r="B449" s="535"/>
      <c r="C449" s="535"/>
      <c r="D449" s="332"/>
      <c r="E449" s="332"/>
      <c r="F449" s="332"/>
      <c r="G449" s="332"/>
      <c r="H449" s="332"/>
      <c r="I449" s="332"/>
      <c r="J449" s="332"/>
      <c r="K449" s="332">
        <f>4.4</f>
        <v>4.4000000000000004</v>
      </c>
      <c r="L449" s="332" t="s">
        <v>39805</v>
      </c>
      <c r="M449" s="332">
        <f>4.2</f>
        <v>4.2</v>
      </c>
      <c r="N449" s="332" t="s">
        <v>39794</v>
      </c>
      <c r="O449" s="332">
        <f t="shared" si="26"/>
        <v>18.48</v>
      </c>
    </row>
    <row r="450" spans="1:15" s="328" customFormat="1" x14ac:dyDescent="0.2">
      <c r="A450" s="535" t="s">
        <v>40101</v>
      </c>
      <c r="B450" s="535"/>
      <c r="C450" s="535"/>
      <c r="D450" s="332"/>
      <c r="E450" s="332"/>
      <c r="F450" s="332"/>
      <c r="G450" s="332"/>
      <c r="H450" s="332"/>
      <c r="I450" s="332"/>
      <c r="J450" s="332"/>
      <c r="K450" s="332">
        <f>4.29</f>
        <v>4.29</v>
      </c>
      <c r="L450" s="332" t="s">
        <v>39805</v>
      </c>
      <c r="M450" s="332">
        <f>5.85</f>
        <v>5.85</v>
      </c>
      <c r="N450" s="332" t="s">
        <v>39794</v>
      </c>
      <c r="O450" s="332">
        <f t="shared" si="26"/>
        <v>25.1</v>
      </c>
    </row>
    <row r="451" spans="1:15" s="328" customFormat="1" x14ac:dyDescent="0.2">
      <c r="A451" s="535" t="s">
        <v>40102</v>
      </c>
      <c r="B451" s="535"/>
      <c r="C451" s="535"/>
      <c r="D451" s="332"/>
      <c r="E451" s="332"/>
      <c r="F451" s="332"/>
      <c r="G451" s="332"/>
      <c r="H451" s="332"/>
      <c r="I451" s="332"/>
      <c r="J451" s="332"/>
      <c r="K451" s="332">
        <f>4.14</f>
        <v>4.1399999999999997</v>
      </c>
      <c r="L451" s="332" t="s">
        <v>39805</v>
      </c>
      <c r="M451" s="332">
        <f>5.93</f>
        <v>5.93</v>
      </c>
      <c r="N451" s="332" t="s">
        <v>39794</v>
      </c>
      <c r="O451" s="332">
        <f t="shared" si="26"/>
        <v>24.55</v>
      </c>
    </row>
    <row r="452" spans="1:15" s="328" customFormat="1" x14ac:dyDescent="0.2">
      <c r="A452" s="535" t="s">
        <v>40103</v>
      </c>
      <c r="B452" s="535"/>
      <c r="C452" s="535"/>
      <c r="D452" s="332"/>
      <c r="E452" s="332"/>
      <c r="F452" s="332"/>
      <c r="G452" s="332"/>
      <c r="H452" s="332"/>
      <c r="I452" s="332"/>
      <c r="J452" s="332"/>
      <c r="K452" s="332">
        <f>4.4</f>
        <v>4.4000000000000004</v>
      </c>
      <c r="L452" s="332" t="s">
        <v>39805</v>
      </c>
      <c r="M452" s="332">
        <f>2.9</f>
        <v>2.9</v>
      </c>
      <c r="N452" s="332" t="s">
        <v>39794</v>
      </c>
      <c r="O452" s="332">
        <f t="shared" si="26"/>
        <v>12.76</v>
      </c>
    </row>
    <row r="453" spans="1:15" s="328" customFormat="1" x14ac:dyDescent="0.2">
      <c r="A453" s="535" t="s">
        <v>40104</v>
      </c>
      <c r="B453" s="535"/>
      <c r="C453" s="535"/>
      <c r="D453" s="332"/>
      <c r="E453" s="332"/>
      <c r="F453" s="332"/>
      <c r="G453" s="332"/>
      <c r="H453" s="332"/>
      <c r="I453" s="332"/>
      <c r="J453" s="332"/>
      <c r="K453" s="332">
        <f t="shared" ref="K453:K454" si="27">4.4</f>
        <v>4.4000000000000004</v>
      </c>
      <c r="L453" s="332" t="s">
        <v>39805</v>
      </c>
      <c r="M453" s="332">
        <f>3.02</f>
        <v>3.02</v>
      </c>
      <c r="N453" s="332" t="s">
        <v>39794</v>
      </c>
      <c r="O453" s="332">
        <f t="shared" si="26"/>
        <v>13.29</v>
      </c>
    </row>
    <row r="454" spans="1:15" s="328" customFormat="1" x14ac:dyDescent="0.2">
      <c r="A454" s="535" t="s">
        <v>40105</v>
      </c>
      <c r="B454" s="535"/>
      <c r="C454" s="535"/>
      <c r="D454" s="332"/>
      <c r="E454" s="332"/>
      <c r="F454" s="332"/>
      <c r="G454" s="332"/>
      <c r="H454" s="332"/>
      <c r="I454" s="332"/>
      <c r="J454" s="332"/>
      <c r="K454" s="332">
        <f t="shared" si="27"/>
        <v>4.4000000000000004</v>
      </c>
      <c r="L454" s="332" t="s">
        <v>39805</v>
      </c>
      <c r="M454" s="332">
        <f>3.02</f>
        <v>3.02</v>
      </c>
      <c r="N454" s="332" t="s">
        <v>39794</v>
      </c>
      <c r="O454" s="332">
        <f t="shared" si="26"/>
        <v>13.29</v>
      </c>
    </row>
    <row r="455" spans="1:15" s="328" customFormat="1" x14ac:dyDescent="0.2">
      <c r="A455" s="535" t="s">
        <v>40106</v>
      </c>
      <c r="B455" s="535"/>
      <c r="C455" s="535"/>
      <c r="D455" s="332"/>
      <c r="E455" s="332"/>
      <c r="F455" s="332"/>
      <c r="G455" s="332"/>
      <c r="H455" s="332"/>
      <c r="I455" s="332"/>
      <c r="J455" s="332"/>
      <c r="K455" s="332">
        <f>4.29</f>
        <v>4.29</v>
      </c>
      <c r="L455" s="332" t="s">
        <v>39805</v>
      </c>
      <c r="M455" s="332">
        <f>5.93</f>
        <v>5.93</v>
      </c>
      <c r="N455" s="332" t="s">
        <v>39794</v>
      </c>
      <c r="O455" s="332">
        <f t="shared" si="26"/>
        <v>25.44</v>
      </c>
    </row>
    <row r="456" spans="1:15" s="328" customFormat="1" x14ac:dyDescent="0.2">
      <c r="A456" s="535" t="s">
        <v>40107</v>
      </c>
      <c r="B456" s="535"/>
      <c r="C456" s="535"/>
      <c r="D456" s="332"/>
      <c r="E456" s="332"/>
      <c r="F456" s="332"/>
      <c r="G456" s="332"/>
      <c r="H456" s="332"/>
      <c r="I456" s="332"/>
      <c r="J456" s="332"/>
      <c r="K456" s="332">
        <f>4.14</f>
        <v>4.1399999999999997</v>
      </c>
      <c r="L456" s="332" t="s">
        <v>39805</v>
      </c>
      <c r="M456" s="332">
        <f>5.85</f>
        <v>5.85</v>
      </c>
      <c r="N456" s="332" t="s">
        <v>39794</v>
      </c>
      <c r="O456" s="332">
        <f t="shared" si="26"/>
        <v>24.22</v>
      </c>
    </row>
    <row r="457" spans="1:15" s="328" customFormat="1" x14ac:dyDescent="0.2">
      <c r="A457" s="535" t="s">
        <v>40108</v>
      </c>
      <c r="B457" s="535"/>
      <c r="C457" s="535"/>
      <c r="D457" s="332"/>
      <c r="E457" s="332"/>
      <c r="F457" s="332"/>
      <c r="G457" s="332"/>
      <c r="H457" s="332"/>
      <c r="I457" s="332"/>
      <c r="J457" s="332"/>
      <c r="K457" s="332">
        <f>4.4</f>
        <v>4.4000000000000004</v>
      </c>
      <c r="L457" s="332" t="s">
        <v>39805</v>
      </c>
      <c r="M457" s="332">
        <f>4.2</f>
        <v>4.2</v>
      </c>
      <c r="N457" s="332" t="s">
        <v>39794</v>
      </c>
      <c r="O457" s="332">
        <f t="shared" si="26"/>
        <v>18.48</v>
      </c>
    </row>
    <row r="458" spans="1:15" s="328" customFormat="1" x14ac:dyDescent="0.2">
      <c r="A458" s="535" t="s">
        <v>40109</v>
      </c>
      <c r="B458" s="535"/>
      <c r="C458" s="535"/>
      <c r="D458" s="332"/>
      <c r="E458" s="332"/>
      <c r="F458" s="332"/>
      <c r="G458" s="332"/>
      <c r="H458" s="332"/>
      <c r="I458" s="332"/>
      <c r="J458" s="332"/>
      <c r="K458" s="332">
        <f>4.29</f>
        <v>4.29</v>
      </c>
      <c r="L458" s="332" t="s">
        <v>39805</v>
      </c>
      <c r="M458" s="332">
        <f>5.85</f>
        <v>5.85</v>
      </c>
      <c r="N458" s="332" t="s">
        <v>39794</v>
      </c>
      <c r="O458" s="332">
        <f t="shared" si="26"/>
        <v>25.1</v>
      </c>
    </row>
    <row r="459" spans="1:15" s="328" customFormat="1" x14ac:dyDescent="0.2">
      <c r="A459" s="535" t="s">
        <v>40110</v>
      </c>
      <c r="B459" s="535"/>
      <c r="C459" s="535"/>
      <c r="D459" s="332"/>
      <c r="E459" s="332"/>
      <c r="F459" s="332"/>
      <c r="G459" s="332"/>
      <c r="H459" s="332"/>
      <c r="I459" s="332"/>
      <c r="J459" s="332"/>
      <c r="K459" s="332">
        <f>4.7</f>
        <v>4.7</v>
      </c>
      <c r="L459" s="332" t="s">
        <v>39805</v>
      </c>
      <c r="M459" s="332">
        <f>0.7</f>
        <v>0.7</v>
      </c>
      <c r="N459" s="332" t="s">
        <v>39794</v>
      </c>
      <c r="O459" s="332">
        <f t="shared" si="26"/>
        <v>3.29</v>
      </c>
    </row>
    <row r="460" spans="1:15" s="328" customFormat="1" x14ac:dyDescent="0.2">
      <c r="A460" s="535" t="s">
        <v>40111</v>
      </c>
      <c r="B460" s="535"/>
      <c r="C460" s="535"/>
      <c r="D460" s="332"/>
      <c r="E460" s="332"/>
      <c r="F460" s="332"/>
      <c r="G460" s="332"/>
      <c r="H460" s="332"/>
      <c r="I460" s="332"/>
      <c r="J460" s="332"/>
      <c r="K460" s="332">
        <f t="shared" ref="K460:K462" si="28">4.7</f>
        <v>4.7</v>
      </c>
      <c r="L460" s="332" t="s">
        <v>39805</v>
      </c>
      <c r="M460" s="332">
        <f>0.7</f>
        <v>0.7</v>
      </c>
      <c r="N460" s="332" t="s">
        <v>39794</v>
      </c>
      <c r="O460" s="332">
        <f t="shared" si="26"/>
        <v>3.29</v>
      </c>
    </row>
    <row r="461" spans="1:15" s="328" customFormat="1" x14ac:dyDescent="0.2">
      <c r="A461" s="535" t="s">
        <v>40112</v>
      </c>
      <c r="B461" s="535"/>
      <c r="C461" s="535"/>
      <c r="D461" s="332"/>
      <c r="E461" s="332"/>
      <c r="F461" s="332"/>
      <c r="G461" s="332"/>
      <c r="H461" s="332"/>
      <c r="I461" s="332"/>
      <c r="J461" s="332"/>
      <c r="K461" s="332">
        <f t="shared" si="28"/>
        <v>4.7</v>
      </c>
      <c r="L461" s="332" t="s">
        <v>39805</v>
      </c>
      <c r="M461" s="332">
        <f>0.15</f>
        <v>0.15</v>
      </c>
      <c r="N461" s="332" t="s">
        <v>39794</v>
      </c>
      <c r="O461" s="332">
        <f t="shared" si="26"/>
        <v>0.71</v>
      </c>
    </row>
    <row r="462" spans="1:15" s="328" customFormat="1" x14ac:dyDescent="0.2">
      <c r="A462" s="535" t="s">
        <v>40113</v>
      </c>
      <c r="B462" s="535"/>
      <c r="C462" s="535"/>
      <c r="D462" s="332"/>
      <c r="E462" s="332"/>
      <c r="F462" s="332"/>
      <c r="G462" s="332"/>
      <c r="H462" s="332"/>
      <c r="I462" s="332"/>
      <c r="J462" s="332"/>
      <c r="K462" s="332">
        <f t="shared" si="28"/>
        <v>4.7</v>
      </c>
      <c r="L462" s="332" t="s">
        <v>39805</v>
      </c>
      <c r="M462" s="332">
        <f>0.15</f>
        <v>0.15</v>
      </c>
      <c r="N462" s="332" t="s">
        <v>39794</v>
      </c>
      <c r="O462" s="332">
        <f t="shared" si="26"/>
        <v>0.71</v>
      </c>
    </row>
    <row r="463" spans="1:15" s="328" customFormat="1" x14ac:dyDescent="0.2">
      <c r="A463" s="535" t="s">
        <v>40114</v>
      </c>
      <c r="B463" s="535"/>
      <c r="C463" s="535"/>
      <c r="D463" s="332"/>
      <c r="E463" s="332"/>
      <c r="F463" s="332"/>
      <c r="G463" s="332"/>
      <c r="H463" s="332"/>
      <c r="I463" s="332"/>
      <c r="J463" s="332"/>
      <c r="K463" s="332">
        <f>1.6</f>
        <v>1.6</v>
      </c>
      <c r="L463" s="332" t="s">
        <v>39805</v>
      </c>
      <c r="M463" s="332">
        <f>4</f>
        <v>4</v>
      </c>
      <c r="N463" s="332" t="s">
        <v>39794</v>
      </c>
      <c r="O463" s="332">
        <f t="shared" si="26"/>
        <v>6.4</v>
      </c>
    </row>
    <row r="464" spans="1:15" s="328" customFormat="1" x14ac:dyDescent="0.2">
      <c r="A464" s="535" t="s">
        <v>40115</v>
      </c>
      <c r="B464" s="535"/>
      <c r="C464" s="535"/>
      <c r="D464" s="332"/>
      <c r="E464" s="332"/>
      <c r="F464" s="332"/>
      <c r="G464" s="332"/>
      <c r="H464" s="332"/>
      <c r="I464" s="332"/>
      <c r="J464" s="332"/>
      <c r="K464" s="332">
        <f>4.7</f>
        <v>4.7</v>
      </c>
      <c r="L464" s="332" t="s">
        <v>39805</v>
      </c>
      <c r="M464" s="332">
        <f>2</f>
        <v>2</v>
      </c>
      <c r="N464" s="332" t="s">
        <v>39794</v>
      </c>
      <c r="O464" s="332">
        <f t="shared" si="26"/>
        <v>9.4</v>
      </c>
    </row>
    <row r="465" spans="1:15" s="328" customFormat="1" x14ac:dyDescent="0.2">
      <c r="A465" s="535" t="s">
        <v>40116</v>
      </c>
      <c r="B465" s="535"/>
      <c r="C465" s="535"/>
      <c r="D465" s="332"/>
      <c r="E465" s="332"/>
      <c r="F465" s="332"/>
      <c r="G465" s="332"/>
      <c r="H465" s="332"/>
      <c r="I465" s="332"/>
      <c r="J465" s="332"/>
      <c r="K465" s="332">
        <f>1.6</f>
        <v>1.6</v>
      </c>
      <c r="L465" s="332" t="s">
        <v>39805</v>
      </c>
      <c r="M465" s="332">
        <f>4</f>
        <v>4</v>
      </c>
      <c r="N465" s="332" t="s">
        <v>39794</v>
      </c>
      <c r="O465" s="332">
        <f t="shared" si="26"/>
        <v>6.4</v>
      </c>
    </row>
    <row r="466" spans="1:15" s="328" customFormat="1" x14ac:dyDescent="0.2">
      <c r="A466" s="535" t="s">
        <v>40117</v>
      </c>
      <c r="B466" s="535"/>
      <c r="C466" s="535"/>
      <c r="D466" s="332"/>
      <c r="E466" s="332"/>
      <c r="F466" s="332"/>
      <c r="G466" s="332"/>
      <c r="H466" s="332"/>
      <c r="I466" s="332"/>
      <c r="J466" s="332"/>
      <c r="K466" s="332">
        <f>4.7</f>
        <v>4.7</v>
      </c>
      <c r="L466" s="332" t="s">
        <v>39805</v>
      </c>
      <c r="M466" s="332">
        <f>1.95</f>
        <v>1.95</v>
      </c>
      <c r="N466" s="332" t="s">
        <v>39794</v>
      </c>
      <c r="O466" s="332">
        <f t="shared" si="26"/>
        <v>9.17</v>
      </c>
    </row>
    <row r="467" spans="1:15" s="328" customFormat="1" x14ac:dyDescent="0.2">
      <c r="A467" s="535" t="s">
        <v>40118</v>
      </c>
      <c r="B467" s="535"/>
      <c r="C467" s="535"/>
      <c r="D467" s="332"/>
      <c r="E467" s="332"/>
      <c r="F467" s="332"/>
      <c r="G467" s="332"/>
      <c r="H467" s="332"/>
      <c r="I467" s="332"/>
      <c r="J467" s="332"/>
      <c r="K467" s="332">
        <f>1.6</f>
        <v>1.6</v>
      </c>
      <c r="L467" s="332" t="s">
        <v>39805</v>
      </c>
      <c r="M467" s="332">
        <f>4</f>
        <v>4</v>
      </c>
      <c r="N467" s="332" t="s">
        <v>39794</v>
      </c>
      <c r="O467" s="332">
        <f t="shared" si="26"/>
        <v>6.4</v>
      </c>
    </row>
    <row r="468" spans="1:15" s="328" customFormat="1" x14ac:dyDescent="0.2">
      <c r="A468" s="535" t="s">
        <v>40119</v>
      </c>
      <c r="B468" s="535"/>
      <c r="C468" s="535"/>
      <c r="D468" s="332"/>
      <c r="E468" s="332"/>
      <c r="F468" s="332"/>
      <c r="G468" s="332"/>
      <c r="H468" s="332"/>
      <c r="I468" s="332"/>
      <c r="J468" s="332"/>
      <c r="K468" s="332">
        <f>4.7</f>
        <v>4.7</v>
      </c>
      <c r="L468" s="332" t="s">
        <v>39805</v>
      </c>
      <c r="M468" s="332">
        <f>0.15</f>
        <v>0.15</v>
      </c>
      <c r="N468" s="332" t="s">
        <v>39794</v>
      </c>
      <c r="O468" s="332">
        <f t="shared" si="26"/>
        <v>0.71</v>
      </c>
    </row>
    <row r="469" spans="1:15" s="328" customFormat="1" x14ac:dyDescent="0.2">
      <c r="A469" s="535" t="s">
        <v>40120</v>
      </c>
      <c r="B469" s="535"/>
      <c r="C469" s="535"/>
      <c r="D469" s="332"/>
      <c r="E469" s="332"/>
      <c r="F469" s="332"/>
      <c r="G469" s="332"/>
      <c r="H469" s="332"/>
      <c r="I469" s="332"/>
      <c r="J469" s="332"/>
      <c r="K469" s="332">
        <f>4.7</f>
        <v>4.7</v>
      </c>
      <c r="L469" s="332" t="s">
        <v>39805</v>
      </c>
      <c r="M469" s="332">
        <f>0.7</f>
        <v>0.7</v>
      </c>
      <c r="N469" s="332" t="s">
        <v>39794</v>
      </c>
      <c r="O469" s="332">
        <f t="shared" si="26"/>
        <v>3.29</v>
      </c>
    </row>
    <row r="470" spans="1:15" s="328" customFormat="1" x14ac:dyDescent="0.2">
      <c r="A470" s="535" t="s">
        <v>40121</v>
      </c>
      <c r="B470" s="535"/>
      <c r="C470" s="535"/>
      <c r="D470" s="332"/>
      <c r="E470" s="332"/>
      <c r="F470" s="332"/>
      <c r="G470" s="332"/>
      <c r="H470" s="332"/>
      <c r="I470" s="332"/>
      <c r="J470" s="332"/>
      <c r="K470" s="332">
        <f>4.7</f>
        <v>4.7</v>
      </c>
      <c r="L470" s="332" t="s">
        <v>39805</v>
      </c>
      <c r="M470" s="332">
        <f>0.7</f>
        <v>0.7</v>
      </c>
      <c r="N470" s="332" t="s">
        <v>39794</v>
      </c>
      <c r="O470" s="332">
        <f t="shared" si="26"/>
        <v>3.29</v>
      </c>
    </row>
    <row r="471" spans="1:15" s="328" customFormat="1" x14ac:dyDescent="0.2">
      <c r="A471" s="535" t="s">
        <v>40122</v>
      </c>
      <c r="B471" s="535"/>
      <c r="C471" s="535"/>
      <c r="D471" s="332"/>
      <c r="E471" s="332"/>
      <c r="F471" s="332"/>
      <c r="G471" s="332"/>
      <c r="H471" s="332"/>
      <c r="I471" s="332"/>
      <c r="J471" s="332"/>
      <c r="K471" s="332">
        <f>1.6</f>
        <v>1.6</v>
      </c>
      <c r="L471" s="332" t="s">
        <v>39805</v>
      </c>
      <c r="M471" s="332">
        <f>10</f>
        <v>10</v>
      </c>
      <c r="N471" s="332" t="s">
        <v>39794</v>
      </c>
      <c r="O471" s="332">
        <f t="shared" si="26"/>
        <v>16</v>
      </c>
    </row>
    <row r="472" spans="1:15" s="328" customFormat="1" x14ac:dyDescent="0.2">
      <c r="A472" s="535" t="s">
        <v>40123</v>
      </c>
      <c r="B472" s="535"/>
      <c r="C472" s="535"/>
      <c r="D472" s="332"/>
      <c r="E472" s="332"/>
      <c r="F472" s="332"/>
      <c r="G472" s="332"/>
      <c r="H472" s="332"/>
      <c r="I472" s="332"/>
      <c r="J472" s="332"/>
      <c r="K472" s="332">
        <f>1.6</f>
        <v>1.6</v>
      </c>
      <c r="L472" s="332" t="s">
        <v>39805</v>
      </c>
      <c r="M472" s="332">
        <f>5.3</f>
        <v>5.3</v>
      </c>
      <c r="N472" s="332" t="s">
        <v>39794</v>
      </c>
      <c r="O472" s="332">
        <f t="shared" si="26"/>
        <v>8.48</v>
      </c>
    </row>
    <row r="473" spans="1:15" s="328" customFormat="1" x14ac:dyDescent="0.2">
      <c r="A473" s="535" t="s">
        <v>40124</v>
      </c>
      <c r="B473" s="535"/>
      <c r="C473" s="535"/>
      <c r="D473" s="332"/>
      <c r="E473" s="332"/>
      <c r="F473" s="332"/>
      <c r="G473" s="332"/>
      <c r="H473" s="332"/>
      <c r="I473" s="332"/>
      <c r="J473" s="332"/>
      <c r="K473" s="332">
        <f>1.6</f>
        <v>1.6</v>
      </c>
      <c r="L473" s="332" t="s">
        <v>39805</v>
      </c>
      <c r="M473" s="332">
        <f>3.1</f>
        <v>3.1</v>
      </c>
      <c r="N473" s="332" t="s">
        <v>39794</v>
      </c>
      <c r="O473" s="332">
        <f t="shared" si="26"/>
        <v>4.96</v>
      </c>
    </row>
    <row r="474" spans="1:15" s="328" customFormat="1" x14ac:dyDescent="0.2">
      <c r="A474" s="535" t="s">
        <v>40125</v>
      </c>
      <c r="B474" s="535"/>
      <c r="C474" s="535"/>
      <c r="D474" s="332"/>
      <c r="E474" s="332"/>
      <c r="F474" s="332"/>
      <c r="G474" s="332"/>
      <c r="H474" s="332"/>
      <c r="I474" s="332"/>
      <c r="J474" s="332"/>
      <c r="K474" s="332">
        <f>4.7</f>
        <v>4.7</v>
      </c>
      <c r="L474" s="332" t="s">
        <v>39805</v>
      </c>
      <c r="M474" s="332">
        <f>0.7</f>
        <v>0.7</v>
      </c>
      <c r="N474" s="332" t="s">
        <v>39794</v>
      </c>
      <c r="O474" s="332">
        <f t="shared" si="26"/>
        <v>3.29</v>
      </c>
    </row>
    <row r="475" spans="1:15" s="328" customFormat="1" x14ac:dyDescent="0.2">
      <c r="A475" s="535" t="s">
        <v>40126</v>
      </c>
      <c r="B475" s="535"/>
      <c r="C475" s="535"/>
      <c r="D475" s="332"/>
      <c r="E475" s="332"/>
      <c r="F475" s="332"/>
      <c r="G475" s="332"/>
      <c r="H475" s="332"/>
      <c r="I475" s="332"/>
      <c r="J475" s="332"/>
      <c r="K475" s="332">
        <f t="shared" ref="K475:K477" si="29">4.7</f>
        <v>4.7</v>
      </c>
      <c r="L475" s="332" t="s">
        <v>39805</v>
      </c>
      <c r="M475" s="332">
        <f>0.7</f>
        <v>0.7</v>
      </c>
      <c r="N475" s="332" t="s">
        <v>39794</v>
      </c>
      <c r="O475" s="332">
        <f t="shared" si="26"/>
        <v>3.29</v>
      </c>
    </row>
    <row r="476" spans="1:15" s="328" customFormat="1" x14ac:dyDescent="0.2">
      <c r="A476" s="535" t="s">
        <v>40127</v>
      </c>
      <c r="B476" s="535"/>
      <c r="C476" s="535"/>
      <c r="D476" s="332"/>
      <c r="E476" s="332"/>
      <c r="F476" s="332"/>
      <c r="G476" s="332"/>
      <c r="H476" s="332"/>
      <c r="I476" s="332"/>
      <c r="J476" s="332"/>
      <c r="K476" s="332">
        <f t="shared" si="29"/>
        <v>4.7</v>
      </c>
      <c r="L476" s="332" t="s">
        <v>39805</v>
      </c>
      <c r="M476" s="332">
        <f>0.15</f>
        <v>0.15</v>
      </c>
      <c r="N476" s="332" t="s">
        <v>39794</v>
      </c>
      <c r="O476" s="332">
        <f t="shared" si="26"/>
        <v>0.71</v>
      </c>
    </row>
    <row r="477" spans="1:15" s="328" customFormat="1" x14ac:dyDescent="0.2">
      <c r="A477" s="535" t="s">
        <v>40128</v>
      </c>
      <c r="B477" s="535"/>
      <c r="C477" s="535"/>
      <c r="D477" s="332"/>
      <c r="E477" s="332"/>
      <c r="F477" s="332"/>
      <c r="G477" s="332"/>
      <c r="H477" s="332"/>
      <c r="I477" s="332"/>
      <c r="J477" s="332"/>
      <c r="K477" s="332">
        <f t="shared" si="29"/>
        <v>4.7</v>
      </c>
      <c r="L477" s="332" t="s">
        <v>39805</v>
      </c>
      <c r="M477" s="332">
        <f>0.15</f>
        <v>0.15</v>
      </c>
      <c r="N477" s="332" t="s">
        <v>39794</v>
      </c>
      <c r="O477" s="332">
        <f t="shared" si="26"/>
        <v>0.71</v>
      </c>
    </row>
    <row r="478" spans="1:15" s="328" customFormat="1" x14ac:dyDescent="0.2">
      <c r="A478" s="535" t="s">
        <v>40129</v>
      </c>
      <c r="B478" s="535"/>
      <c r="C478" s="535"/>
      <c r="D478" s="332"/>
      <c r="E478" s="332"/>
      <c r="F478" s="332"/>
      <c r="G478" s="332"/>
      <c r="H478" s="332"/>
      <c r="I478" s="332"/>
      <c r="J478" s="332"/>
      <c r="K478" s="332">
        <f>1.6</f>
        <v>1.6</v>
      </c>
      <c r="L478" s="332" t="s">
        <v>39805</v>
      </c>
      <c r="M478" s="332">
        <f>4</f>
        <v>4</v>
      </c>
      <c r="N478" s="332" t="s">
        <v>39794</v>
      </c>
      <c r="O478" s="332">
        <f t="shared" si="26"/>
        <v>6.4</v>
      </c>
    </row>
    <row r="479" spans="1:15" s="328" customFormat="1" x14ac:dyDescent="0.2">
      <c r="A479" s="535" t="s">
        <v>40130</v>
      </c>
      <c r="B479" s="535"/>
      <c r="C479" s="535"/>
      <c r="D479" s="332"/>
      <c r="E479" s="332"/>
      <c r="F479" s="332"/>
      <c r="G479" s="332"/>
      <c r="H479" s="332"/>
      <c r="I479" s="332"/>
      <c r="J479" s="332"/>
      <c r="K479" s="332">
        <f>4.7</f>
        <v>4.7</v>
      </c>
      <c r="L479" s="332" t="s">
        <v>39805</v>
      </c>
      <c r="M479" s="332">
        <f>2</f>
        <v>2</v>
      </c>
      <c r="N479" s="332" t="s">
        <v>39794</v>
      </c>
      <c r="O479" s="332">
        <f t="shared" si="26"/>
        <v>9.4</v>
      </c>
    </row>
    <row r="480" spans="1:15" s="328" customFormat="1" x14ac:dyDescent="0.2">
      <c r="A480" s="535" t="s">
        <v>40131</v>
      </c>
      <c r="B480" s="535"/>
      <c r="C480" s="535"/>
      <c r="D480" s="332"/>
      <c r="E480" s="332"/>
      <c r="F480" s="332"/>
      <c r="G480" s="332"/>
      <c r="H480" s="332"/>
      <c r="I480" s="332"/>
      <c r="J480" s="332"/>
      <c r="K480" s="332">
        <f>1.6</f>
        <v>1.6</v>
      </c>
      <c r="L480" s="332" t="s">
        <v>39805</v>
      </c>
      <c r="M480" s="332">
        <f>4</f>
        <v>4</v>
      </c>
      <c r="N480" s="332" t="s">
        <v>39794</v>
      </c>
      <c r="O480" s="332">
        <f t="shared" si="26"/>
        <v>6.4</v>
      </c>
    </row>
    <row r="481" spans="1:15" s="328" customFormat="1" x14ac:dyDescent="0.2">
      <c r="A481" s="535" t="s">
        <v>40132</v>
      </c>
      <c r="B481" s="535"/>
      <c r="C481" s="535"/>
      <c r="D481" s="332"/>
      <c r="E481" s="332"/>
      <c r="F481" s="332"/>
      <c r="G481" s="332"/>
      <c r="H481" s="332"/>
      <c r="I481" s="332"/>
      <c r="J481" s="332"/>
      <c r="K481" s="332">
        <f>4.7</f>
        <v>4.7</v>
      </c>
      <c r="L481" s="332" t="s">
        <v>39805</v>
      </c>
      <c r="M481" s="332">
        <f>1.95</f>
        <v>1.95</v>
      </c>
      <c r="N481" s="332" t="s">
        <v>39794</v>
      </c>
      <c r="O481" s="332">
        <f t="shared" si="26"/>
        <v>9.17</v>
      </c>
    </row>
    <row r="482" spans="1:15" s="328" customFormat="1" x14ac:dyDescent="0.2">
      <c r="A482" s="535" t="s">
        <v>40133</v>
      </c>
      <c r="B482" s="535"/>
      <c r="C482" s="535"/>
      <c r="D482" s="332"/>
      <c r="E482" s="332"/>
      <c r="F482" s="332"/>
      <c r="G482" s="332"/>
      <c r="H482" s="332"/>
      <c r="I482" s="332"/>
      <c r="J482" s="332"/>
      <c r="K482" s="332">
        <f>1.6</f>
        <v>1.6</v>
      </c>
      <c r="L482" s="332" t="s">
        <v>39805</v>
      </c>
      <c r="M482" s="332">
        <f>4</f>
        <v>4</v>
      </c>
      <c r="N482" s="332" t="s">
        <v>39794</v>
      </c>
      <c r="O482" s="332">
        <f t="shared" si="26"/>
        <v>6.4</v>
      </c>
    </row>
    <row r="483" spans="1:15" s="328" customFormat="1" x14ac:dyDescent="0.2">
      <c r="A483" s="535" t="s">
        <v>40134</v>
      </c>
      <c r="B483" s="535"/>
      <c r="C483" s="535"/>
      <c r="D483" s="332"/>
      <c r="E483" s="332"/>
      <c r="F483" s="332"/>
      <c r="G483" s="332"/>
      <c r="H483" s="332"/>
      <c r="I483" s="332"/>
      <c r="J483" s="332"/>
      <c r="K483" s="332">
        <f>4.7</f>
        <v>4.7</v>
      </c>
      <c r="L483" s="332" t="s">
        <v>39805</v>
      </c>
      <c r="M483" s="332">
        <f>0.15</f>
        <v>0.15</v>
      </c>
      <c r="N483" s="332" t="s">
        <v>39794</v>
      </c>
      <c r="O483" s="332">
        <f t="shared" si="26"/>
        <v>0.71</v>
      </c>
    </row>
    <row r="484" spans="1:15" s="328" customFormat="1" x14ac:dyDescent="0.2">
      <c r="A484" s="535" t="s">
        <v>40135</v>
      </c>
      <c r="B484" s="535"/>
      <c r="C484" s="535"/>
      <c r="D484" s="332"/>
      <c r="E484" s="332"/>
      <c r="F484" s="332"/>
      <c r="G484" s="332"/>
      <c r="H484" s="332"/>
      <c r="I484" s="332"/>
      <c r="J484" s="332"/>
      <c r="K484" s="332">
        <f t="shared" ref="K484:K486" si="30">4.7</f>
        <v>4.7</v>
      </c>
      <c r="L484" s="332" t="s">
        <v>39805</v>
      </c>
      <c r="M484" s="332">
        <f>0.15</f>
        <v>0.15</v>
      </c>
      <c r="N484" s="332" t="s">
        <v>39794</v>
      </c>
      <c r="O484" s="332">
        <f t="shared" si="26"/>
        <v>0.71</v>
      </c>
    </row>
    <row r="485" spans="1:15" s="328" customFormat="1" x14ac:dyDescent="0.2">
      <c r="A485" s="535" t="s">
        <v>40136</v>
      </c>
      <c r="B485" s="535"/>
      <c r="C485" s="535"/>
      <c r="D485" s="332"/>
      <c r="E485" s="332"/>
      <c r="F485" s="332"/>
      <c r="G485" s="332"/>
      <c r="H485" s="332"/>
      <c r="I485" s="332"/>
      <c r="J485" s="332"/>
      <c r="K485" s="332">
        <f t="shared" si="30"/>
        <v>4.7</v>
      </c>
      <c r="L485" s="332" t="s">
        <v>39805</v>
      </c>
      <c r="M485" s="332">
        <f>0.7</f>
        <v>0.7</v>
      </c>
      <c r="N485" s="332" t="s">
        <v>39794</v>
      </c>
      <c r="O485" s="332">
        <f t="shared" si="26"/>
        <v>3.29</v>
      </c>
    </row>
    <row r="486" spans="1:15" s="328" customFormat="1" x14ac:dyDescent="0.2">
      <c r="A486" s="535" t="s">
        <v>40137</v>
      </c>
      <c r="B486" s="535"/>
      <c r="C486" s="535"/>
      <c r="D486" s="332"/>
      <c r="E486" s="332"/>
      <c r="F486" s="332"/>
      <c r="G486" s="332"/>
      <c r="H486" s="332"/>
      <c r="I486" s="332"/>
      <c r="J486" s="332"/>
      <c r="K486" s="332">
        <f t="shared" si="30"/>
        <v>4.7</v>
      </c>
      <c r="L486" s="332" t="s">
        <v>39805</v>
      </c>
      <c r="M486" s="332">
        <f>0.7</f>
        <v>0.7</v>
      </c>
      <c r="N486" s="332" t="s">
        <v>39794</v>
      </c>
      <c r="O486" s="332">
        <f t="shared" si="26"/>
        <v>3.29</v>
      </c>
    </row>
    <row r="487" spans="1:15" s="328" customFormat="1" x14ac:dyDescent="0.2">
      <c r="A487" s="539" t="s">
        <v>5917</v>
      </c>
      <c r="B487" s="539"/>
      <c r="C487" s="539"/>
      <c r="D487" s="333"/>
      <c r="E487" s="333"/>
      <c r="F487" s="333"/>
      <c r="G487" s="334"/>
      <c r="H487" s="333"/>
      <c r="I487" s="332"/>
      <c r="J487" s="331"/>
      <c r="K487" s="334" t="s">
        <v>40049</v>
      </c>
      <c r="L487" s="333" t="s">
        <v>39805</v>
      </c>
      <c r="M487" s="334" t="s">
        <v>39802</v>
      </c>
      <c r="N487" s="333" t="s">
        <v>39794</v>
      </c>
      <c r="O487" s="334" t="s">
        <v>39795</v>
      </c>
    </row>
    <row r="488" spans="1:15" s="328" customFormat="1" x14ac:dyDescent="0.2">
      <c r="A488" s="535" t="s">
        <v>40138</v>
      </c>
      <c r="B488" s="535"/>
      <c r="C488" s="535"/>
      <c r="D488" s="332"/>
      <c r="E488" s="332"/>
      <c r="F488" s="332"/>
      <c r="G488" s="332"/>
      <c r="H488" s="332"/>
      <c r="I488" s="332"/>
      <c r="J488" s="332"/>
      <c r="K488" s="332">
        <f>1.68</f>
        <v>1.68</v>
      </c>
      <c r="L488" s="332" t="s">
        <v>39805</v>
      </c>
      <c r="M488" s="332">
        <f>45.3</f>
        <v>45.3</v>
      </c>
      <c r="N488" s="332" t="s">
        <v>39794</v>
      </c>
      <c r="O488" s="332">
        <f t="shared" si="26"/>
        <v>76.099999999999994</v>
      </c>
    </row>
    <row r="489" spans="1:15" s="328" customFormat="1" x14ac:dyDescent="0.2">
      <c r="A489" s="535" t="s">
        <v>40139</v>
      </c>
      <c r="B489" s="535"/>
      <c r="C489" s="535"/>
      <c r="D489" s="332"/>
      <c r="E489" s="332"/>
      <c r="F489" s="332"/>
      <c r="G489" s="332"/>
      <c r="H489" s="332"/>
      <c r="I489" s="332"/>
      <c r="J489" s="332"/>
      <c r="K489" s="332">
        <f t="shared" ref="K489:K490" si="31">1.68</f>
        <v>1.68</v>
      </c>
      <c r="L489" s="332" t="s">
        <v>39805</v>
      </c>
      <c r="M489" s="332">
        <f>13.2</f>
        <v>13.2</v>
      </c>
      <c r="N489" s="332" t="s">
        <v>39794</v>
      </c>
      <c r="O489" s="332">
        <f t="shared" si="26"/>
        <v>22.18</v>
      </c>
    </row>
    <row r="490" spans="1:15" s="328" customFormat="1" x14ac:dyDescent="0.2">
      <c r="A490" s="535" t="s">
        <v>40140</v>
      </c>
      <c r="B490" s="535"/>
      <c r="C490" s="535"/>
      <c r="D490" s="332"/>
      <c r="E490" s="332"/>
      <c r="F490" s="332"/>
      <c r="G490" s="332"/>
      <c r="H490" s="332"/>
      <c r="I490" s="332"/>
      <c r="J490" s="332"/>
      <c r="K490" s="332">
        <f t="shared" si="31"/>
        <v>1.68</v>
      </c>
      <c r="L490" s="332" t="s">
        <v>39805</v>
      </c>
      <c r="M490" s="332">
        <f>45.3</f>
        <v>45.3</v>
      </c>
      <c r="N490" s="332" t="s">
        <v>39794</v>
      </c>
      <c r="O490" s="332">
        <f t="shared" si="26"/>
        <v>76.099999999999994</v>
      </c>
    </row>
    <row r="491" spans="1:15" s="328" customFormat="1" x14ac:dyDescent="0.2">
      <c r="A491" s="535" t="s">
        <v>40141</v>
      </c>
      <c r="B491" s="535"/>
      <c r="C491" s="535"/>
      <c r="D491" s="332"/>
      <c r="E491" s="332"/>
      <c r="F491" s="332"/>
      <c r="G491" s="332"/>
      <c r="H491" s="332"/>
      <c r="I491" s="332"/>
      <c r="J491" s="332"/>
      <c r="K491" s="332">
        <f>2.08</f>
        <v>2.08</v>
      </c>
      <c r="L491" s="332" t="s">
        <v>39805</v>
      </c>
      <c r="M491" s="332">
        <f>17.95</f>
        <v>17.95</v>
      </c>
      <c r="N491" s="332" t="s">
        <v>39794</v>
      </c>
      <c r="O491" s="332">
        <f t="shared" si="26"/>
        <v>37.340000000000003</v>
      </c>
    </row>
    <row r="492" spans="1:15" s="328" customFormat="1" x14ac:dyDescent="0.2">
      <c r="A492" s="535" t="s">
        <v>40142</v>
      </c>
      <c r="B492" s="535"/>
      <c r="C492" s="535"/>
      <c r="D492" s="332"/>
      <c r="E492" s="332"/>
      <c r="F492" s="332"/>
      <c r="G492" s="332"/>
      <c r="H492" s="332"/>
      <c r="I492" s="332"/>
      <c r="J492" s="332"/>
      <c r="K492" s="332">
        <f>2.08</f>
        <v>2.08</v>
      </c>
      <c r="L492" s="332" t="s">
        <v>39805</v>
      </c>
      <c r="M492" s="332">
        <f>13.2</f>
        <v>13.2</v>
      </c>
      <c r="N492" s="332" t="s">
        <v>39794</v>
      </c>
      <c r="O492" s="332">
        <f t="shared" si="26"/>
        <v>27.46</v>
      </c>
    </row>
    <row r="493" spans="1:15" s="328" customFormat="1" x14ac:dyDescent="0.2">
      <c r="A493" s="535" t="s">
        <v>40143</v>
      </c>
      <c r="B493" s="535"/>
      <c r="C493" s="535"/>
      <c r="D493" s="332"/>
      <c r="E493" s="332"/>
      <c r="F493" s="332"/>
      <c r="G493" s="332"/>
      <c r="H493" s="332"/>
      <c r="I493" s="332"/>
      <c r="J493" s="332"/>
      <c r="K493" s="332">
        <f>2.08</f>
        <v>2.08</v>
      </c>
      <c r="L493" s="332" t="s">
        <v>39805</v>
      </c>
      <c r="M493" s="332">
        <f>17.95</f>
        <v>17.95</v>
      </c>
      <c r="N493" s="332" t="s">
        <v>39794</v>
      </c>
      <c r="O493" s="332">
        <f t="shared" si="26"/>
        <v>37.340000000000003</v>
      </c>
    </row>
    <row r="494" spans="1:15" s="328" customFormat="1" x14ac:dyDescent="0.2">
      <c r="A494" s="539" t="s">
        <v>5917</v>
      </c>
      <c r="B494" s="539"/>
      <c r="C494" s="539"/>
      <c r="D494" s="333"/>
      <c r="E494" s="333"/>
      <c r="F494" s="333"/>
      <c r="G494" s="334"/>
      <c r="H494" s="333"/>
      <c r="I494" s="332"/>
      <c r="J494" s="331"/>
      <c r="K494" s="334" t="s">
        <v>40049</v>
      </c>
      <c r="L494" s="333" t="s">
        <v>39805</v>
      </c>
      <c r="M494" s="334" t="s">
        <v>39802</v>
      </c>
      <c r="N494" s="333" t="s">
        <v>39794</v>
      </c>
      <c r="O494" s="334" t="s">
        <v>39795</v>
      </c>
    </row>
    <row r="495" spans="1:15" s="328" customFormat="1" x14ac:dyDescent="0.2">
      <c r="A495" s="546" t="s">
        <v>40144</v>
      </c>
      <c r="B495" s="547"/>
      <c r="C495" s="548"/>
      <c r="D495" s="332"/>
      <c r="E495" s="332"/>
      <c r="F495" s="332"/>
      <c r="G495" s="332"/>
      <c r="H495" s="332"/>
      <c r="I495" s="332"/>
      <c r="J495" s="332"/>
      <c r="K495" s="332">
        <f>3.9</f>
        <v>3.9</v>
      </c>
      <c r="L495" s="332" t="s">
        <v>39805</v>
      </c>
      <c r="M495" s="332">
        <f>18.24</f>
        <v>18.239999999999998</v>
      </c>
      <c r="N495" s="332" t="s">
        <v>39794</v>
      </c>
      <c r="O495" s="332">
        <f t="shared" ref="O495:O496" si="32">ROUND(K495*M495,2)</f>
        <v>71.14</v>
      </c>
    </row>
    <row r="496" spans="1:15" s="328" customFormat="1" x14ac:dyDescent="0.2">
      <c r="A496" s="546" t="s">
        <v>40145</v>
      </c>
      <c r="B496" s="547"/>
      <c r="C496" s="548"/>
      <c r="D496" s="332"/>
      <c r="E496" s="332"/>
      <c r="F496" s="332"/>
      <c r="G496" s="332"/>
      <c r="H496" s="332"/>
      <c r="I496" s="332"/>
      <c r="J496" s="332"/>
      <c r="K496" s="332">
        <f>3.9</f>
        <v>3.9</v>
      </c>
      <c r="L496" s="332" t="s">
        <v>39805</v>
      </c>
      <c r="M496" s="332">
        <f>18.24</f>
        <v>18.239999999999998</v>
      </c>
      <c r="N496" s="332" t="s">
        <v>39794</v>
      </c>
      <c r="O496" s="332">
        <f t="shared" si="32"/>
        <v>71.14</v>
      </c>
    </row>
    <row r="497" spans="1:15" s="328" customFormat="1" x14ac:dyDescent="0.2">
      <c r="A497" s="539" t="s">
        <v>5917</v>
      </c>
      <c r="B497" s="539"/>
      <c r="C497" s="539"/>
      <c r="D497" s="333"/>
      <c r="E497" s="333"/>
      <c r="F497" s="333"/>
      <c r="G497" s="334"/>
      <c r="H497" s="333"/>
      <c r="I497" s="332"/>
      <c r="J497" s="331"/>
      <c r="K497" s="334" t="s">
        <v>39792</v>
      </c>
      <c r="L497" s="333" t="s">
        <v>39805</v>
      </c>
      <c r="M497" s="334" t="s">
        <v>39799</v>
      </c>
      <c r="N497" s="333" t="s">
        <v>39794</v>
      </c>
      <c r="O497" s="334" t="s">
        <v>39795</v>
      </c>
    </row>
    <row r="498" spans="1:15" s="328" customFormat="1" x14ac:dyDescent="0.2">
      <c r="A498" s="546" t="s">
        <v>40146</v>
      </c>
      <c r="B498" s="547"/>
      <c r="C498" s="548"/>
      <c r="D498" s="332"/>
      <c r="E498" s="332"/>
      <c r="F498" s="332"/>
      <c r="G498" s="332"/>
      <c r="H498" s="332"/>
      <c r="I498" s="332"/>
      <c r="J498" s="332"/>
      <c r="K498" s="332">
        <f>4</f>
        <v>4</v>
      </c>
      <c r="L498" s="332" t="s">
        <v>39805</v>
      </c>
      <c r="M498" s="332">
        <f>-6.6*2.7</f>
        <v>-17.82</v>
      </c>
      <c r="N498" s="332" t="s">
        <v>39794</v>
      </c>
      <c r="O498" s="332">
        <f t="shared" ref="O498:O510" si="33">ROUND(K498*M498,2)</f>
        <v>-71.28</v>
      </c>
    </row>
    <row r="499" spans="1:15" s="328" customFormat="1" x14ac:dyDescent="0.2">
      <c r="A499" s="546" t="s">
        <v>40147</v>
      </c>
      <c r="B499" s="547"/>
      <c r="C499" s="548"/>
      <c r="D499" s="332"/>
      <c r="E499" s="332"/>
      <c r="F499" s="332"/>
      <c r="G499" s="332"/>
      <c r="H499" s="332"/>
      <c r="I499" s="332"/>
      <c r="J499" s="332"/>
      <c r="K499" s="332">
        <f>2</f>
        <v>2</v>
      </c>
      <c r="L499" s="332" t="s">
        <v>39805</v>
      </c>
      <c r="M499" s="332">
        <f>-3.2*3.2</f>
        <v>-10.240000000000002</v>
      </c>
      <c r="N499" s="332" t="s">
        <v>39794</v>
      </c>
      <c r="O499" s="332">
        <f t="shared" si="33"/>
        <v>-20.48</v>
      </c>
    </row>
    <row r="500" spans="1:15" s="328" customFormat="1" x14ac:dyDescent="0.2">
      <c r="A500" s="546" t="s">
        <v>40148</v>
      </c>
      <c r="B500" s="547"/>
      <c r="C500" s="548"/>
      <c r="D500" s="332"/>
      <c r="E500" s="332"/>
      <c r="F500" s="332"/>
      <c r="G500" s="332"/>
      <c r="H500" s="332"/>
      <c r="I500" s="332"/>
      <c r="J500" s="332"/>
      <c r="K500" s="332">
        <f>7</f>
        <v>7</v>
      </c>
      <c r="L500" s="332" t="s">
        <v>39805</v>
      </c>
      <c r="M500" s="332">
        <f>-1.2*2.4</f>
        <v>-2.88</v>
      </c>
      <c r="N500" s="332" t="s">
        <v>39794</v>
      </c>
      <c r="O500" s="332">
        <f t="shared" si="33"/>
        <v>-20.16</v>
      </c>
    </row>
    <row r="501" spans="1:15" s="328" customFormat="1" x14ac:dyDescent="0.2">
      <c r="A501" s="546" t="s">
        <v>40149</v>
      </c>
      <c r="B501" s="547"/>
      <c r="C501" s="548"/>
      <c r="D501" s="332"/>
      <c r="E501" s="332"/>
      <c r="F501" s="332"/>
      <c r="G501" s="332"/>
      <c r="H501" s="332"/>
      <c r="I501" s="332"/>
      <c r="J501" s="332"/>
      <c r="K501" s="332">
        <f>2</f>
        <v>2</v>
      </c>
      <c r="L501" s="332" t="s">
        <v>39805</v>
      </c>
      <c r="M501" s="332">
        <f>-0.9*2.4</f>
        <v>-2.16</v>
      </c>
      <c r="N501" s="332" t="s">
        <v>39794</v>
      </c>
      <c r="O501" s="332">
        <f t="shared" si="33"/>
        <v>-4.32</v>
      </c>
    </row>
    <row r="502" spans="1:15" s="328" customFormat="1" x14ac:dyDescent="0.2">
      <c r="A502" s="546" t="s">
        <v>40150</v>
      </c>
      <c r="B502" s="547"/>
      <c r="C502" s="548"/>
      <c r="D502" s="332"/>
      <c r="E502" s="332"/>
      <c r="F502" s="332"/>
      <c r="G502" s="332"/>
      <c r="H502" s="332"/>
      <c r="I502" s="332"/>
      <c r="J502" s="332"/>
      <c r="K502" s="332">
        <f>1</f>
        <v>1</v>
      </c>
      <c r="L502" s="332" t="s">
        <v>39805</v>
      </c>
      <c r="M502" s="332">
        <f t="shared" ref="M502" si="34">-0.9*2.4</f>
        <v>-2.16</v>
      </c>
      <c r="N502" s="332" t="s">
        <v>39794</v>
      </c>
      <c r="O502" s="332">
        <f t="shared" si="33"/>
        <v>-2.16</v>
      </c>
    </row>
    <row r="503" spans="1:15" s="328" customFormat="1" x14ac:dyDescent="0.2">
      <c r="A503" s="546" t="s">
        <v>40151</v>
      </c>
      <c r="B503" s="547"/>
      <c r="C503" s="548"/>
      <c r="D503" s="332"/>
      <c r="E503" s="332"/>
      <c r="F503" s="332"/>
      <c r="G503" s="332"/>
      <c r="H503" s="332"/>
      <c r="I503" s="332"/>
      <c r="J503" s="332"/>
      <c r="K503" s="332">
        <f>5</f>
        <v>5</v>
      </c>
      <c r="L503" s="332" t="s">
        <v>39805</v>
      </c>
      <c r="M503" s="332">
        <f>-1*1.6</f>
        <v>-1.6</v>
      </c>
      <c r="N503" s="332" t="s">
        <v>39794</v>
      </c>
      <c r="O503" s="332">
        <f t="shared" si="33"/>
        <v>-8</v>
      </c>
    </row>
    <row r="504" spans="1:15" s="328" customFormat="1" x14ac:dyDescent="0.2">
      <c r="A504" s="546" t="s">
        <v>40152</v>
      </c>
      <c r="B504" s="547"/>
      <c r="C504" s="548"/>
      <c r="D504" s="332"/>
      <c r="E504" s="332"/>
      <c r="F504" s="332"/>
      <c r="G504" s="332"/>
      <c r="H504" s="332"/>
      <c r="I504" s="332"/>
      <c r="J504" s="332"/>
      <c r="K504" s="332">
        <f>1</f>
        <v>1</v>
      </c>
      <c r="L504" s="332" t="s">
        <v>39805</v>
      </c>
      <c r="M504" s="332">
        <f>-1.2*2</f>
        <v>-2.4</v>
      </c>
      <c r="N504" s="332" t="s">
        <v>39794</v>
      </c>
      <c r="O504" s="332">
        <f t="shared" si="33"/>
        <v>-2.4</v>
      </c>
    </row>
    <row r="505" spans="1:15" s="328" customFormat="1" x14ac:dyDescent="0.2">
      <c r="A505" s="546" t="s">
        <v>40153</v>
      </c>
      <c r="B505" s="547"/>
      <c r="C505" s="548"/>
      <c r="D505" s="332"/>
      <c r="E505" s="332"/>
      <c r="F505" s="332"/>
      <c r="G505" s="332"/>
      <c r="H505" s="332"/>
      <c r="I505" s="332"/>
      <c r="J505" s="332"/>
      <c r="K505" s="332">
        <f>1</f>
        <v>1</v>
      </c>
      <c r="L505" s="332" t="s">
        <v>39805</v>
      </c>
      <c r="M505" s="332">
        <f>-2*1.6</f>
        <v>-3.2</v>
      </c>
      <c r="N505" s="332" t="s">
        <v>39794</v>
      </c>
      <c r="O505" s="332">
        <f t="shared" si="33"/>
        <v>-3.2</v>
      </c>
    </row>
    <row r="506" spans="1:15" s="328" customFormat="1" x14ac:dyDescent="0.2">
      <c r="A506" s="546" t="s">
        <v>40154</v>
      </c>
      <c r="B506" s="547"/>
      <c r="C506" s="548"/>
      <c r="D506" s="332"/>
      <c r="E506" s="332"/>
      <c r="F506" s="332"/>
      <c r="G506" s="332"/>
      <c r="H506" s="332"/>
      <c r="I506" s="332"/>
      <c r="J506" s="332"/>
      <c r="K506" s="332">
        <f>12</f>
        <v>12</v>
      </c>
      <c r="L506" s="332" t="s">
        <v>39805</v>
      </c>
      <c r="M506" s="332">
        <f>-4*0.6</f>
        <v>-2.4</v>
      </c>
      <c r="N506" s="332" t="s">
        <v>39794</v>
      </c>
      <c r="O506" s="332">
        <f t="shared" si="33"/>
        <v>-28.8</v>
      </c>
    </row>
    <row r="507" spans="1:15" s="328" customFormat="1" x14ac:dyDescent="0.2">
      <c r="A507" s="546" t="s">
        <v>40155</v>
      </c>
      <c r="B507" s="547"/>
      <c r="C507" s="548"/>
      <c r="D507" s="332"/>
      <c r="E507" s="332"/>
      <c r="F507" s="332"/>
      <c r="G507" s="332"/>
      <c r="H507" s="332"/>
      <c r="I507" s="332"/>
      <c r="J507" s="332"/>
      <c r="K507" s="332">
        <f>4</f>
        <v>4</v>
      </c>
      <c r="L507" s="332" t="s">
        <v>39805</v>
      </c>
      <c r="M507" s="332">
        <f>-2*0.6</f>
        <v>-1.2</v>
      </c>
      <c r="N507" s="332" t="s">
        <v>39794</v>
      </c>
      <c r="O507" s="332">
        <f t="shared" si="33"/>
        <v>-4.8</v>
      </c>
    </row>
    <row r="508" spans="1:15" s="328" customFormat="1" x14ac:dyDescent="0.2">
      <c r="A508" s="546" t="s">
        <v>40156</v>
      </c>
      <c r="B508" s="547"/>
      <c r="C508" s="548"/>
      <c r="D508" s="332"/>
      <c r="E508" s="332"/>
      <c r="F508" s="332"/>
      <c r="G508" s="332"/>
      <c r="H508" s="332"/>
      <c r="I508" s="332"/>
      <c r="J508" s="332"/>
      <c r="K508" s="332">
        <f>1</f>
        <v>1</v>
      </c>
      <c r="L508" s="332" t="s">
        <v>39805</v>
      </c>
      <c r="M508" s="332">
        <f>-0.5*0.6</f>
        <v>-0.3</v>
      </c>
      <c r="N508" s="332" t="s">
        <v>39794</v>
      </c>
      <c r="O508" s="332">
        <f t="shared" si="33"/>
        <v>-0.3</v>
      </c>
    </row>
    <row r="509" spans="1:15" s="328" customFormat="1" x14ac:dyDescent="0.2">
      <c r="A509" s="546" t="s">
        <v>40157</v>
      </c>
      <c r="B509" s="547"/>
      <c r="C509" s="548"/>
      <c r="D509" s="332"/>
      <c r="E509" s="332"/>
      <c r="F509" s="332"/>
      <c r="G509" s="332"/>
      <c r="H509" s="332"/>
      <c r="I509" s="332"/>
      <c r="J509" s="332"/>
      <c r="K509" s="332">
        <f>3</f>
        <v>3</v>
      </c>
      <c r="L509" s="332" t="s">
        <v>39805</v>
      </c>
      <c r="M509" s="332">
        <f>-4*1.5</f>
        <v>-6</v>
      </c>
      <c r="N509" s="332" t="s">
        <v>39794</v>
      </c>
      <c r="O509" s="332">
        <f t="shared" si="33"/>
        <v>-18</v>
      </c>
    </row>
    <row r="510" spans="1:15" s="328" customFormat="1" x14ac:dyDescent="0.2">
      <c r="A510" s="546" t="s">
        <v>40158</v>
      </c>
      <c r="B510" s="547"/>
      <c r="C510" s="548"/>
      <c r="D510" s="332"/>
      <c r="E510" s="332"/>
      <c r="F510" s="332"/>
      <c r="G510" s="332"/>
      <c r="H510" s="332"/>
      <c r="I510" s="332"/>
      <c r="J510" s="332"/>
      <c r="K510" s="332">
        <f>1</f>
        <v>1</v>
      </c>
      <c r="L510" s="332" t="s">
        <v>39805</v>
      </c>
      <c r="M510" s="332">
        <f>-0.8*0.8</f>
        <v>-0.64000000000000012</v>
      </c>
      <c r="N510" s="332" t="s">
        <v>39794</v>
      </c>
      <c r="O510" s="332">
        <f t="shared" si="33"/>
        <v>-0.64</v>
      </c>
    </row>
    <row r="511" spans="1:15" s="328" customFormat="1" x14ac:dyDescent="0.2">
      <c r="A511" s="540"/>
      <c r="B511" s="540"/>
      <c r="C511" s="540"/>
      <c r="D511" s="540"/>
      <c r="E511" s="540"/>
      <c r="F511" s="540"/>
      <c r="G511" s="540"/>
      <c r="H511" s="540"/>
      <c r="I511" s="540"/>
      <c r="J511" s="540"/>
      <c r="K511" s="540"/>
      <c r="L511" s="334" t="s">
        <v>39796</v>
      </c>
      <c r="M511" s="334" t="s">
        <v>39168</v>
      </c>
      <c r="N511" s="333" t="s">
        <v>39794</v>
      </c>
      <c r="O511" s="334">
        <f>SUM(O378:O510)</f>
        <v>1361.6300000000006</v>
      </c>
    </row>
    <row r="512" spans="1:15" s="328" customFormat="1" x14ac:dyDescent="0.2">
      <c r="A512" s="329" t="s">
        <v>39791</v>
      </c>
      <c r="B512" s="542" t="s">
        <v>5917</v>
      </c>
      <c r="C512" s="542"/>
      <c r="D512" s="542"/>
      <c r="E512" s="542"/>
      <c r="F512" s="542"/>
      <c r="G512" s="542"/>
      <c r="H512" s="542"/>
      <c r="I512" s="542"/>
      <c r="J512" s="542"/>
      <c r="K512" s="542"/>
      <c r="L512" s="542"/>
      <c r="M512" s="542"/>
      <c r="N512" s="329" t="s">
        <v>39197</v>
      </c>
      <c r="O512" s="330" t="s">
        <v>39792</v>
      </c>
    </row>
    <row r="513" spans="1:15" s="328" customFormat="1" ht="12.75" customHeight="1" x14ac:dyDescent="0.2">
      <c r="A513" s="331" t="str">
        <f>ORCAMENTO!A60</f>
        <v>5.2</v>
      </c>
      <c r="B513" s="543" t="str">
        <f>VLOOKUP(A513,ORCAMENTO!A:I,4,0)</f>
        <v>VERGA MOLDADA IN LOCO EM CONCRETO, ESPESSURA DE *15* CM. AF_03/2024</v>
      </c>
      <c r="C513" s="543"/>
      <c r="D513" s="543"/>
      <c r="E513" s="543"/>
      <c r="F513" s="543"/>
      <c r="G513" s="543"/>
      <c r="H513" s="543"/>
      <c r="I513" s="543"/>
      <c r="J513" s="543"/>
      <c r="K513" s="543"/>
      <c r="L513" s="543"/>
      <c r="M513" s="543"/>
      <c r="N513" s="331" t="str">
        <f>VLOOKUP(A513,ORCAMENTO!A:I,5,0)</f>
        <v>M</v>
      </c>
      <c r="O513" s="332">
        <f>O525</f>
        <v>130.79999999999998</v>
      </c>
    </row>
    <row r="514" spans="1:15" s="328" customFormat="1" x14ac:dyDescent="0.2">
      <c r="A514" s="539" t="s">
        <v>39793</v>
      </c>
      <c r="B514" s="539"/>
      <c r="C514" s="539"/>
      <c r="D514" s="539"/>
      <c r="E514" s="539"/>
      <c r="F514" s="539"/>
      <c r="G514" s="539"/>
      <c r="H514" s="539"/>
      <c r="I514" s="539"/>
      <c r="J514" s="539"/>
      <c r="K514" s="539"/>
      <c r="L514" s="539"/>
      <c r="M514" s="539"/>
      <c r="N514" s="539"/>
      <c r="O514" s="539"/>
    </row>
    <row r="515" spans="1:15" s="328" customFormat="1" x14ac:dyDescent="0.2">
      <c r="A515" s="539" t="s">
        <v>5917</v>
      </c>
      <c r="B515" s="539"/>
      <c r="C515" s="539"/>
      <c r="D515" s="333"/>
      <c r="E515" s="333"/>
      <c r="F515" s="333"/>
      <c r="G515" s="333" t="s">
        <v>39792</v>
      </c>
      <c r="H515" s="333" t="s">
        <v>39805</v>
      </c>
      <c r="I515" s="333" t="s">
        <v>40026</v>
      </c>
      <c r="J515" s="333" t="s">
        <v>40027</v>
      </c>
      <c r="K515" s="333" t="s">
        <v>40028</v>
      </c>
      <c r="L515" s="333" t="s">
        <v>40027</v>
      </c>
      <c r="M515" s="333" t="s">
        <v>40029</v>
      </c>
      <c r="N515" s="333" t="s">
        <v>39794</v>
      </c>
      <c r="O515" s="333" t="s">
        <v>39795</v>
      </c>
    </row>
    <row r="516" spans="1:15" s="328" customFormat="1" x14ac:dyDescent="0.2">
      <c r="A516" s="535" t="s">
        <v>39824</v>
      </c>
      <c r="B516" s="535"/>
      <c r="C516" s="535"/>
      <c r="D516" s="339"/>
      <c r="E516" s="339"/>
      <c r="F516" s="339"/>
      <c r="G516" s="339">
        <f>7</f>
        <v>7</v>
      </c>
      <c r="H516" s="339" t="s">
        <v>39805</v>
      </c>
      <c r="I516" s="339">
        <f>1.2</f>
        <v>1.2</v>
      </c>
      <c r="J516" s="339" t="s">
        <v>40027</v>
      </c>
      <c r="K516" s="339">
        <f>0.2</f>
        <v>0.2</v>
      </c>
      <c r="L516" s="339" t="s">
        <v>40027</v>
      </c>
      <c r="M516" s="339">
        <f>0.2</f>
        <v>0.2</v>
      </c>
      <c r="N516" s="339" t="s">
        <v>39794</v>
      </c>
      <c r="O516" s="339">
        <f>ROUND(G516*(I516+K516+M516),2)</f>
        <v>11.2</v>
      </c>
    </row>
    <row r="517" spans="1:15" s="328" customFormat="1" x14ac:dyDescent="0.2">
      <c r="A517" s="535" t="s">
        <v>39825</v>
      </c>
      <c r="B517" s="535"/>
      <c r="C517" s="535"/>
      <c r="D517" s="339"/>
      <c r="E517" s="339"/>
      <c r="F517" s="339"/>
      <c r="G517" s="339">
        <f>2</f>
        <v>2</v>
      </c>
      <c r="H517" s="339" t="s">
        <v>39805</v>
      </c>
      <c r="I517" s="339">
        <f>0.9</f>
        <v>0.9</v>
      </c>
      <c r="J517" s="339" t="s">
        <v>40027</v>
      </c>
      <c r="K517" s="339">
        <f t="shared" ref="K517:M518" si="35">0.2</f>
        <v>0.2</v>
      </c>
      <c r="L517" s="339" t="s">
        <v>40027</v>
      </c>
      <c r="M517" s="339">
        <f t="shared" si="35"/>
        <v>0.2</v>
      </c>
      <c r="N517" s="339" t="s">
        <v>39794</v>
      </c>
      <c r="O517" s="339">
        <f t="shared" ref="O517:O518" si="36">ROUND(G517*(I517+K517+M517),2)</f>
        <v>2.6</v>
      </c>
    </row>
    <row r="518" spans="1:15" s="328" customFormat="1" x14ac:dyDescent="0.2">
      <c r="A518" s="535" t="s">
        <v>39826</v>
      </c>
      <c r="B518" s="535"/>
      <c r="C518" s="535"/>
      <c r="D518" s="339"/>
      <c r="E518" s="339"/>
      <c r="F518" s="339"/>
      <c r="G518" s="339">
        <f>1</f>
        <v>1</v>
      </c>
      <c r="H518" s="339" t="s">
        <v>39805</v>
      </c>
      <c r="I518" s="339">
        <f>0.9</f>
        <v>0.9</v>
      </c>
      <c r="J518" s="339" t="s">
        <v>40027</v>
      </c>
      <c r="K518" s="339">
        <f t="shared" si="35"/>
        <v>0.2</v>
      </c>
      <c r="L518" s="339" t="s">
        <v>40027</v>
      </c>
      <c r="M518" s="339">
        <f t="shared" si="35"/>
        <v>0.2</v>
      </c>
      <c r="N518" s="339" t="s">
        <v>39794</v>
      </c>
      <c r="O518" s="339">
        <f t="shared" si="36"/>
        <v>1.3</v>
      </c>
    </row>
    <row r="519" spans="1:15" s="328" customFormat="1" x14ac:dyDescent="0.2">
      <c r="A519" s="539" t="s">
        <v>5917</v>
      </c>
      <c r="B519" s="539"/>
      <c r="C519" s="539"/>
      <c r="D519" s="333"/>
      <c r="E519" s="333"/>
      <c r="F519" s="333"/>
      <c r="G519" s="333" t="s">
        <v>39792</v>
      </c>
      <c r="H519" s="333" t="s">
        <v>39805</v>
      </c>
      <c r="I519" s="333" t="s">
        <v>40026</v>
      </c>
      <c r="J519" s="333" t="s">
        <v>40027</v>
      </c>
      <c r="K519" s="333" t="s">
        <v>40028</v>
      </c>
      <c r="L519" s="333" t="s">
        <v>40027</v>
      </c>
      <c r="M519" s="333" t="s">
        <v>40029</v>
      </c>
      <c r="N519" s="333" t="s">
        <v>39794</v>
      </c>
      <c r="O519" s="333" t="s">
        <v>39795</v>
      </c>
    </row>
    <row r="520" spans="1:15" s="328" customFormat="1" x14ac:dyDescent="0.2">
      <c r="A520" s="535" t="s">
        <v>39834</v>
      </c>
      <c r="B520" s="535"/>
      <c r="C520" s="535"/>
      <c r="D520" s="334"/>
      <c r="E520" s="334"/>
      <c r="F520" s="334"/>
      <c r="G520" s="332">
        <f>18</f>
        <v>18</v>
      </c>
      <c r="H520" s="339" t="s">
        <v>39805</v>
      </c>
      <c r="I520" s="332">
        <f>4</f>
        <v>4</v>
      </c>
      <c r="J520" s="339" t="s">
        <v>40027</v>
      </c>
      <c r="K520" s="339">
        <f>0.5</f>
        <v>0.5</v>
      </c>
      <c r="L520" s="339" t="s">
        <v>40027</v>
      </c>
      <c r="M520" s="339">
        <f>0.5</f>
        <v>0.5</v>
      </c>
      <c r="N520" s="339" t="s">
        <v>39794</v>
      </c>
      <c r="O520" s="339">
        <f>ROUND(G520*(I520+K520+M520),2)</f>
        <v>90</v>
      </c>
    </row>
    <row r="521" spans="1:15" s="328" customFormat="1" x14ac:dyDescent="0.2">
      <c r="A521" s="535" t="s">
        <v>39835</v>
      </c>
      <c r="B521" s="535"/>
      <c r="C521" s="535"/>
      <c r="D521" s="334"/>
      <c r="E521" s="334"/>
      <c r="F521" s="334"/>
      <c r="G521" s="332">
        <f>4</f>
        <v>4</v>
      </c>
      <c r="H521" s="339" t="s">
        <v>39805</v>
      </c>
      <c r="I521" s="332">
        <f>2</f>
        <v>2</v>
      </c>
      <c r="J521" s="339" t="s">
        <v>40027</v>
      </c>
      <c r="K521" s="339">
        <f>0.3</f>
        <v>0.3</v>
      </c>
      <c r="L521" s="339" t="s">
        <v>40027</v>
      </c>
      <c r="M521" s="339">
        <f>0.3</f>
        <v>0.3</v>
      </c>
      <c r="N521" s="339" t="s">
        <v>39794</v>
      </c>
      <c r="O521" s="339">
        <f t="shared" ref="O521:O524" si="37">ROUND(G521*(I521+K521+M521),2)</f>
        <v>10.4</v>
      </c>
    </row>
    <row r="522" spans="1:15" s="328" customFormat="1" x14ac:dyDescent="0.2">
      <c r="A522" s="535" t="s">
        <v>39836</v>
      </c>
      <c r="B522" s="535"/>
      <c r="C522" s="535"/>
      <c r="D522" s="334"/>
      <c r="E522" s="334"/>
      <c r="F522" s="334"/>
      <c r="G522" s="332">
        <f>1</f>
        <v>1</v>
      </c>
      <c r="H522" s="339" t="s">
        <v>39805</v>
      </c>
      <c r="I522" s="332">
        <f>0.5</f>
        <v>0.5</v>
      </c>
      <c r="J522" s="339" t="s">
        <v>40027</v>
      </c>
      <c r="K522" s="339">
        <f>0.2</f>
        <v>0.2</v>
      </c>
      <c r="L522" s="339" t="s">
        <v>40027</v>
      </c>
      <c r="M522" s="339">
        <f>0.2</f>
        <v>0.2</v>
      </c>
      <c r="N522" s="339" t="s">
        <v>39794</v>
      </c>
      <c r="O522" s="339">
        <f t="shared" si="37"/>
        <v>0.9</v>
      </c>
    </row>
    <row r="523" spans="1:15" s="328" customFormat="1" x14ac:dyDescent="0.2">
      <c r="A523" s="535" t="s">
        <v>39837</v>
      </c>
      <c r="B523" s="535"/>
      <c r="C523" s="535"/>
      <c r="D523" s="334"/>
      <c r="E523" s="334"/>
      <c r="F523" s="334"/>
      <c r="G523" s="332">
        <f>3</f>
        <v>3</v>
      </c>
      <c r="H523" s="339" t="s">
        <v>39805</v>
      </c>
      <c r="I523" s="332">
        <f>4</f>
        <v>4</v>
      </c>
      <c r="J523" s="339" t="s">
        <v>40027</v>
      </c>
      <c r="K523" s="339">
        <f>0.2</f>
        <v>0.2</v>
      </c>
      <c r="L523" s="339" t="s">
        <v>40027</v>
      </c>
      <c r="M523" s="339">
        <f>0.2</f>
        <v>0.2</v>
      </c>
      <c r="N523" s="339" t="s">
        <v>39794</v>
      </c>
      <c r="O523" s="339">
        <f t="shared" si="37"/>
        <v>13.2</v>
      </c>
    </row>
    <row r="524" spans="1:15" s="328" customFormat="1" x14ac:dyDescent="0.2">
      <c r="A524" s="535" t="s">
        <v>39838</v>
      </c>
      <c r="B524" s="535"/>
      <c r="C524" s="535"/>
      <c r="D524" s="334"/>
      <c r="E524" s="334"/>
      <c r="F524" s="334"/>
      <c r="G524" s="332">
        <f>1</f>
        <v>1</v>
      </c>
      <c r="H524" s="339" t="s">
        <v>39805</v>
      </c>
      <c r="I524" s="332">
        <f>0.8</f>
        <v>0.8</v>
      </c>
      <c r="J524" s="339" t="s">
        <v>40027</v>
      </c>
      <c r="K524" s="339">
        <f>0.2</f>
        <v>0.2</v>
      </c>
      <c r="L524" s="339" t="s">
        <v>40027</v>
      </c>
      <c r="M524" s="339">
        <f>0.2</f>
        <v>0.2</v>
      </c>
      <c r="N524" s="339" t="s">
        <v>39794</v>
      </c>
      <c r="O524" s="339">
        <f t="shared" si="37"/>
        <v>1.2</v>
      </c>
    </row>
    <row r="525" spans="1:15" s="328" customFormat="1" x14ac:dyDescent="0.2">
      <c r="A525" s="540" t="s">
        <v>40030</v>
      </c>
      <c r="B525" s="540"/>
      <c r="C525" s="540"/>
      <c r="D525" s="540"/>
      <c r="E525" s="540"/>
      <c r="F525" s="540"/>
      <c r="G525" s="540"/>
      <c r="H525" s="540"/>
      <c r="I525" s="540"/>
      <c r="J525" s="540"/>
      <c r="K525" s="540"/>
      <c r="L525" s="334" t="s">
        <v>39796</v>
      </c>
      <c r="M525" s="334" t="s">
        <v>39168</v>
      </c>
      <c r="N525" s="333" t="s">
        <v>39794</v>
      </c>
      <c r="O525" s="334">
        <f>SUM(O515:O524)</f>
        <v>130.79999999999998</v>
      </c>
    </row>
    <row r="526" spans="1:15" s="328" customFormat="1" x14ac:dyDescent="0.2">
      <c r="A526" s="329" t="s">
        <v>39791</v>
      </c>
      <c r="B526" s="542" t="s">
        <v>5917</v>
      </c>
      <c r="C526" s="542"/>
      <c r="D526" s="542"/>
      <c r="E526" s="542"/>
      <c r="F526" s="542"/>
      <c r="G526" s="542"/>
      <c r="H526" s="542"/>
      <c r="I526" s="542"/>
      <c r="J526" s="542"/>
      <c r="K526" s="542"/>
      <c r="L526" s="542"/>
      <c r="M526" s="542"/>
      <c r="N526" s="329" t="s">
        <v>39197</v>
      </c>
      <c r="O526" s="330" t="s">
        <v>39792</v>
      </c>
    </row>
    <row r="527" spans="1:15" s="328" customFormat="1" ht="12.75" customHeight="1" x14ac:dyDescent="0.2">
      <c r="A527" s="331" t="str">
        <f>ORCAMENTO!A61</f>
        <v>5.3</v>
      </c>
      <c r="B527" s="543" t="str">
        <f>VLOOKUP(A527,ORCAMENTO!A:I,4,0)</f>
        <v>CONTRAVERGA MOLDADA IN LOCO EM CONCRETO, ESPESSURA DE *15* CM. AF_03/2024</v>
      </c>
      <c r="C527" s="543"/>
      <c r="D527" s="543"/>
      <c r="E527" s="543"/>
      <c r="F527" s="543"/>
      <c r="G527" s="543"/>
      <c r="H527" s="543"/>
      <c r="I527" s="543"/>
      <c r="J527" s="543"/>
      <c r="K527" s="543"/>
      <c r="L527" s="543"/>
      <c r="M527" s="543"/>
      <c r="N527" s="331" t="str">
        <f>VLOOKUP(A527,ORCAMENTO!A:I,5,0)</f>
        <v>M</v>
      </c>
      <c r="O527" s="332">
        <f>O535</f>
        <v>115.70000000000002</v>
      </c>
    </row>
    <row r="528" spans="1:15" s="328" customFormat="1" x14ac:dyDescent="0.2">
      <c r="A528" s="539" t="s">
        <v>39793</v>
      </c>
      <c r="B528" s="539"/>
      <c r="C528" s="539"/>
      <c r="D528" s="539"/>
      <c r="E528" s="539"/>
      <c r="F528" s="539"/>
      <c r="G528" s="539"/>
      <c r="H528" s="539"/>
      <c r="I528" s="539"/>
      <c r="J528" s="539"/>
      <c r="K528" s="539"/>
      <c r="L528" s="539"/>
      <c r="M528" s="539"/>
      <c r="N528" s="539"/>
      <c r="O528" s="539"/>
    </row>
    <row r="529" spans="1:15" s="328" customFormat="1" x14ac:dyDescent="0.2">
      <c r="A529" s="539" t="s">
        <v>5917</v>
      </c>
      <c r="B529" s="539"/>
      <c r="C529" s="539"/>
      <c r="D529" s="333"/>
      <c r="E529" s="333"/>
      <c r="F529" s="333"/>
      <c r="G529" s="333" t="s">
        <v>39792</v>
      </c>
      <c r="H529" s="333" t="s">
        <v>39805</v>
      </c>
      <c r="I529" s="333" t="s">
        <v>40026</v>
      </c>
      <c r="J529" s="333" t="s">
        <v>40027</v>
      </c>
      <c r="K529" s="333" t="s">
        <v>40028</v>
      </c>
      <c r="L529" s="333" t="s">
        <v>40027</v>
      </c>
      <c r="M529" s="333" t="s">
        <v>40029</v>
      </c>
      <c r="N529" s="333" t="s">
        <v>39794</v>
      </c>
      <c r="O529" s="333" t="s">
        <v>39795</v>
      </c>
    </row>
    <row r="530" spans="1:15" s="328" customFormat="1" x14ac:dyDescent="0.2">
      <c r="A530" s="535" t="s">
        <v>39834</v>
      </c>
      <c r="B530" s="535"/>
      <c r="C530" s="535"/>
      <c r="D530" s="334"/>
      <c r="E530" s="334"/>
      <c r="F530" s="334"/>
      <c r="G530" s="332">
        <f>18</f>
        <v>18</v>
      </c>
      <c r="H530" s="339" t="s">
        <v>39805</v>
      </c>
      <c r="I530" s="332">
        <f>4</f>
        <v>4</v>
      </c>
      <c r="J530" s="339" t="s">
        <v>40027</v>
      </c>
      <c r="K530" s="339">
        <f>0.5</f>
        <v>0.5</v>
      </c>
      <c r="L530" s="339" t="s">
        <v>40027</v>
      </c>
      <c r="M530" s="339">
        <f>0.5</f>
        <v>0.5</v>
      </c>
      <c r="N530" s="339" t="s">
        <v>39794</v>
      </c>
      <c r="O530" s="339">
        <f>ROUND(G530*(I530+K530+M530),2)</f>
        <v>90</v>
      </c>
    </row>
    <row r="531" spans="1:15" s="328" customFormat="1" x14ac:dyDescent="0.2">
      <c r="A531" s="535" t="s">
        <v>39835</v>
      </c>
      <c r="B531" s="535"/>
      <c r="C531" s="535"/>
      <c r="D531" s="334"/>
      <c r="E531" s="334"/>
      <c r="F531" s="334"/>
      <c r="G531" s="332">
        <f>4</f>
        <v>4</v>
      </c>
      <c r="H531" s="339" t="s">
        <v>39805</v>
      </c>
      <c r="I531" s="332">
        <f>2</f>
        <v>2</v>
      </c>
      <c r="J531" s="339" t="s">
        <v>40027</v>
      </c>
      <c r="K531" s="339">
        <f>0.3</f>
        <v>0.3</v>
      </c>
      <c r="L531" s="339" t="s">
        <v>40027</v>
      </c>
      <c r="M531" s="339">
        <f>0.3</f>
        <v>0.3</v>
      </c>
      <c r="N531" s="339" t="s">
        <v>39794</v>
      </c>
      <c r="O531" s="339">
        <f t="shared" ref="O531:O534" si="38">ROUND(G531*(I531+K531+M531),2)</f>
        <v>10.4</v>
      </c>
    </row>
    <row r="532" spans="1:15" s="328" customFormat="1" x14ac:dyDescent="0.2">
      <c r="A532" s="535" t="s">
        <v>39836</v>
      </c>
      <c r="B532" s="535"/>
      <c r="C532" s="535"/>
      <c r="D532" s="334"/>
      <c r="E532" s="334"/>
      <c r="F532" s="334"/>
      <c r="G532" s="332">
        <f>1</f>
        <v>1</v>
      </c>
      <c r="H532" s="339" t="s">
        <v>39805</v>
      </c>
      <c r="I532" s="332">
        <f>0.5</f>
        <v>0.5</v>
      </c>
      <c r="J532" s="339" t="s">
        <v>40027</v>
      </c>
      <c r="K532" s="339">
        <f>0.2</f>
        <v>0.2</v>
      </c>
      <c r="L532" s="339" t="s">
        <v>40027</v>
      </c>
      <c r="M532" s="339">
        <f>0.2</f>
        <v>0.2</v>
      </c>
      <c r="N532" s="339" t="s">
        <v>39794</v>
      </c>
      <c r="O532" s="339">
        <f t="shared" si="38"/>
        <v>0.9</v>
      </c>
    </row>
    <row r="533" spans="1:15" s="328" customFormat="1" x14ac:dyDescent="0.2">
      <c r="A533" s="535" t="s">
        <v>39837</v>
      </c>
      <c r="B533" s="535"/>
      <c r="C533" s="535"/>
      <c r="D533" s="334"/>
      <c r="E533" s="334"/>
      <c r="F533" s="334"/>
      <c r="G533" s="332">
        <f>3</f>
        <v>3</v>
      </c>
      <c r="H533" s="339" t="s">
        <v>39805</v>
      </c>
      <c r="I533" s="332">
        <f>4</f>
        <v>4</v>
      </c>
      <c r="J533" s="339" t="s">
        <v>40027</v>
      </c>
      <c r="K533" s="339">
        <f>0.2</f>
        <v>0.2</v>
      </c>
      <c r="L533" s="339" t="s">
        <v>40027</v>
      </c>
      <c r="M533" s="339">
        <f>0.2</f>
        <v>0.2</v>
      </c>
      <c r="N533" s="339" t="s">
        <v>39794</v>
      </c>
      <c r="O533" s="339">
        <f t="shared" si="38"/>
        <v>13.2</v>
      </c>
    </row>
    <row r="534" spans="1:15" s="328" customFormat="1" x14ac:dyDescent="0.2">
      <c r="A534" s="535" t="s">
        <v>39838</v>
      </c>
      <c r="B534" s="535"/>
      <c r="C534" s="535"/>
      <c r="D534" s="334"/>
      <c r="E534" s="334"/>
      <c r="F534" s="334"/>
      <c r="G534" s="332">
        <f>1</f>
        <v>1</v>
      </c>
      <c r="H534" s="339" t="s">
        <v>39805</v>
      </c>
      <c r="I534" s="332">
        <f>0.8</f>
        <v>0.8</v>
      </c>
      <c r="J534" s="339" t="s">
        <v>40027</v>
      </c>
      <c r="K534" s="339">
        <f>0.2</f>
        <v>0.2</v>
      </c>
      <c r="L534" s="339" t="s">
        <v>40027</v>
      </c>
      <c r="M534" s="339">
        <f>0.2</f>
        <v>0.2</v>
      </c>
      <c r="N534" s="339" t="s">
        <v>39794</v>
      </c>
      <c r="O534" s="339">
        <f t="shared" si="38"/>
        <v>1.2</v>
      </c>
    </row>
    <row r="535" spans="1:15" s="328" customFormat="1" x14ac:dyDescent="0.2">
      <c r="A535" s="540" t="s">
        <v>40030</v>
      </c>
      <c r="B535" s="540"/>
      <c r="C535" s="540"/>
      <c r="D535" s="540"/>
      <c r="E535" s="540"/>
      <c r="F535" s="540"/>
      <c r="G535" s="540"/>
      <c r="H535" s="540"/>
      <c r="I535" s="540"/>
      <c r="J535" s="540"/>
      <c r="K535" s="540"/>
      <c r="L535" s="334" t="s">
        <v>39796</v>
      </c>
      <c r="M535" s="334" t="s">
        <v>39168</v>
      </c>
      <c r="N535" s="333" t="s">
        <v>39794</v>
      </c>
      <c r="O535" s="334">
        <f>SUM(O529:O534)</f>
        <v>115.70000000000002</v>
      </c>
    </row>
    <row r="536" spans="1:15" s="328" customFormat="1" x14ac:dyDescent="0.2">
      <c r="A536" s="329" t="s">
        <v>39791</v>
      </c>
      <c r="B536" s="542" t="s">
        <v>5917</v>
      </c>
      <c r="C536" s="542"/>
      <c r="D536" s="542"/>
      <c r="E536" s="542"/>
      <c r="F536" s="542"/>
      <c r="G536" s="542"/>
      <c r="H536" s="542"/>
      <c r="I536" s="542"/>
      <c r="J536" s="542"/>
      <c r="K536" s="542"/>
      <c r="L536" s="542"/>
      <c r="M536" s="542"/>
      <c r="N536" s="329" t="s">
        <v>39197</v>
      </c>
      <c r="O536" s="330" t="s">
        <v>39792</v>
      </c>
    </row>
    <row r="537" spans="1:15" s="328" customFormat="1" ht="12.75" customHeight="1" x14ac:dyDescent="0.2">
      <c r="A537" s="331" t="str">
        <f>ORCAMENTO!A62</f>
        <v>5.4</v>
      </c>
      <c r="B537" s="543" t="str">
        <f>VLOOKUP(A537,ORCAMENTO!A:I,4,0)</f>
        <v>DIVISÓRIA DE GRANITO CINZA E=2cm</v>
      </c>
      <c r="C537" s="543"/>
      <c r="D537" s="543"/>
      <c r="E537" s="543"/>
      <c r="F537" s="543"/>
      <c r="G537" s="543"/>
      <c r="H537" s="543"/>
      <c r="I537" s="543"/>
      <c r="J537" s="543"/>
      <c r="K537" s="543"/>
      <c r="L537" s="543"/>
      <c r="M537" s="543"/>
      <c r="N537" s="331" t="str">
        <f>VLOOKUP(A537,ORCAMENTO!A:I,5,0)</f>
        <v>M2</v>
      </c>
      <c r="O537" s="332">
        <f>O555</f>
        <v>27.709999999999997</v>
      </c>
    </row>
    <row r="538" spans="1:15" s="328" customFormat="1" x14ac:dyDescent="0.2">
      <c r="A538" s="539" t="s">
        <v>39793</v>
      </c>
      <c r="B538" s="539"/>
      <c r="C538" s="539"/>
      <c r="D538" s="539"/>
      <c r="E538" s="539"/>
      <c r="F538" s="539"/>
      <c r="G538" s="539"/>
      <c r="H538" s="539"/>
      <c r="I538" s="539"/>
      <c r="J538" s="539"/>
      <c r="K538" s="539"/>
      <c r="L538" s="539"/>
      <c r="M538" s="539"/>
      <c r="N538" s="539"/>
      <c r="O538" s="539"/>
    </row>
    <row r="539" spans="1:15" s="328" customFormat="1" x14ac:dyDescent="0.2">
      <c r="A539" s="539" t="s">
        <v>5917</v>
      </c>
      <c r="B539" s="539"/>
      <c r="C539" s="539"/>
      <c r="D539" s="333"/>
      <c r="E539" s="333"/>
      <c r="F539" s="333"/>
      <c r="G539" s="333"/>
      <c r="H539" s="333"/>
      <c r="I539" s="333" t="s">
        <v>39792</v>
      </c>
      <c r="J539" s="333" t="s">
        <v>39805</v>
      </c>
      <c r="K539" s="333" t="s">
        <v>39823</v>
      </c>
      <c r="L539" s="333" t="s">
        <v>39805</v>
      </c>
      <c r="M539" s="333" t="s">
        <v>39802</v>
      </c>
      <c r="N539" s="333" t="s">
        <v>39794</v>
      </c>
      <c r="O539" s="333" t="s">
        <v>39795</v>
      </c>
    </row>
    <row r="540" spans="1:15" s="328" customFormat="1" x14ac:dyDescent="0.2">
      <c r="A540" s="535" t="s">
        <v>40013</v>
      </c>
      <c r="B540" s="535"/>
      <c r="C540" s="535"/>
      <c r="D540" s="332"/>
      <c r="E540" s="332"/>
      <c r="F540" s="332"/>
      <c r="G540" s="332"/>
      <c r="H540" s="332"/>
      <c r="I540" s="332">
        <f>3</f>
        <v>3</v>
      </c>
      <c r="J540" s="332" t="s">
        <v>39805</v>
      </c>
      <c r="K540" s="332">
        <f>1.8</f>
        <v>1.8</v>
      </c>
      <c r="L540" s="332" t="s">
        <v>39805</v>
      </c>
      <c r="M540" s="332">
        <f>1.4</f>
        <v>1.4</v>
      </c>
      <c r="N540" s="332" t="s">
        <v>39794</v>
      </c>
      <c r="O540" s="332">
        <f>ROUND(I540*K540*M540,2)</f>
        <v>7.56</v>
      </c>
    </row>
    <row r="541" spans="1:15" s="328" customFormat="1" x14ac:dyDescent="0.2">
      <c r="A541" s="535" t="s">
        <v>40014</v>
      </c>
      <c r="B541" s="535"/>
      <c r="C541" s="535"/>
      <c r="D541" s="332"/>
      <c r="E541" s="332"/>
      <c r="F541" s="332"/>
      <c r="G541" s="332"/>
      <c r="H541" s="332"/>
      <c r="I541" s="332">
        <f>2</f>
        <v>2</v>
      </c>
      <c r="J541" s="332" t="s">
        <v>39805</v>
      </c>
      <c r="K541" s="332">
        <f>1.3</f>
        <v>1.3</v>
      </c>
      <c r="L541" s="332" t="s">
        <v>39805</v>
      </c>
      <c r="M541" s="332">
        <f>0.5</f>
        <v>0.5</v>
      </c>
      <c r="N541" s="332" t="s">
        <v>39794</v>
      </c>
      <c r="O541" s="332">
        <f t="shared" ref="O541:O545" si="39">ROUND(I541*K541*M541,2)</f>
        <v>1.3</v>
      </c>
    </row>
    <row r="542" spans="1:15" s="328" customFormat="1" x14ac:dyDescent="0.2">
      <c r="A542" s="535" t="s">
        <v>40015</v>
      </c>
      <c r="B542" s="535"/>
      <c r="C542" s="535"/>
      <c r="D542" s="332"/>
      <c r="E542" s="332"/>
      <c r="F542" s="332"/>
      <c r="G542" s="332"/>
      <c r="H542" s="332"/>
      <c r="I542" s="332">
        <f>1</f>
        <v>1</v>
      </c>
      <c r="J542" s="332" t="s">
        <v>39805</v>
      </c>
      <c r="K542" s="332">
        <f>1.8</f>
        <v>1.8</v>
      </c>
      <c r="L542" s="332" t="s">
        <v>39805</v>
      </c>
      <c r="M542" s="332">
        <f>1.6</f>
        <v>1.6</v>
      </c>
      <c r="N542" s="332" t="s">
        <v>39794</v>
      </c>
      <c r="O542" s="332">
        <f t="shared" si="39"/>
        <v>2.88</v>
      </c>
    </row>
    <row r="543" spans="1:15" s="328" customFormat="1" x14ac:dyDescent="0.2">
      <c r="A543" s="535" t="s">
        <v>40016</v>
      </c>
      <c r="B543" s="535"/>
      <c r="C543" s="535"/>
      <c r="D543" s="332"/>
      <c r="E543" s="332"/>
      <c r="F543" s="332"/>
      <c r="G543" s="332"/>
      <c r="H543" s="332"/>
      <c r="I543" s="332">
        <f>1</f>
        <v>1</v>
      </c>
      <c r="J543" s="332" t="s">
        <v>39805</v>
      </c>
      <c r="K543" s="332">
        <f>1.8</f>
        <v>1.8</v>
      </c>
      <c r="L543" s="332" t="s">
        <v>39805</v>
      </c>
      <c r="M543" s="332">
        <f>0.04</f>
        <v>0.04</v>
      </c>
      <c r="N543" s="332" t="s">
        <v>39794</v>
      </c>
      <c r="O543" s="332">
        <f t="shared" si="39"/>
        <v>7.0000000000000007E-2</v>
      </c>
    </row>
    <row r="544" spans="1:15" s="328" customFormat="1" x14ac:dyDescent="0.2">
      <c r="A544" s="535" t="s">
        <v>40017</v>
      </c>
      <c r="B544" s="535"/>
      <c r="C544" s="535"/>
      <c r="D544" s="332"/>
      <c r="E544" s="332"/>
      <c r="F544" s="332"/>
      <c r="G544" s="332"/>
      <c r="H544" s="332"/>
      <c r="I544" s="332">
        <f>2</f>
        <v>2</v>
      </c>
      <c r="J544" s="332" t="s">
        <v>39805</v>
      </c>
      <c r="K544" s="332">
        <f>1.8</f>
        <v>1.8</v>
      </c>
      <c r="L544" s="332" t="s">
        <v>39805</v>
      </c>
      <c r="M544" s="332">
        <f>0.33</f>
        <v>0.33</v>
      </c>
      <c r="N544" s="332" t="s">
        <v>39794</v>
      </c>
      <c r="O544" s="332">
        <f t="shared" si="39"/>
        <v>1.19</v>
      </c>
    </row>
    <row r="545" spans="1:15" s="328" customFormat="1" x14ac:dyDescent="0.2">
      <c r="A545" s="535" t="s">
        <v>40018</v>
      </c>
      <c r="B545" s="535"/>
      <c r="C545" s="535"/>
      <c r="D545" s="332"/>
      <c r="E545" s="332"/>
      <c r="F545" s="332"/>
      <c r="G545" s="332"/>
      <c r="H545" s="332"/>
      <c r="I545" s="332">
        <f>1</f>
        <v>1</v>
      </c>
      <c r="J545" s="332" t="s">
        <v>39805</v>
      </c>
      <c r="K545" s="332">
        <f>1.8</f>
        <v>1.8</v>
      </c>
      <c r="L545" s="332" t="s">
        <v>39805</v>
      </c>
      <c r="M545" s="332">
        <f>0.29</f>
        <v>0.28999999999999998</v>
      </c>
      <c r="N545" s="332" t="s">
        <v>39794</v>
      </c>
      <c r="O545" s="332">
        <f t="shared" si="39"/>
        <v>0.52</v>
      </c>
    </row>
    <row r="546" spans="1:15" s="328" customFormat="1" x14ac:dyDescent="0.2">
      <c r="A546" s="539" t="s">
        <v>5917</v>
      </c>
      <c r="B546" s="539"/>
      <c r="C546" s="539"/>
      <c r="D546" s="333"/>
      <c r="E546" s="333"/>
      <c r="F546" s="333"/>
      <c r="G546" s="333"/>
      <c r="H546" s="333"/>
      <c r="I546" s="333" t="s">
        <v>39792</v>
      </c>
      <c r="J546" s="333" t="s">
        <v>39805</v>
      </c>
      <c r="K546" s="333" t="s">
        <v>39823</v>
      </c>
      <c r="L546" s="333" t="s">
        <v>39805</v>
      </c>
      <c r="M546" s="333" t="s">
        <v>39802</v>
      </c>
      <c r="N546" s="333" t="s">
        <v>39794</v>
      </c>
      <c r="O546" s="333" t="s">
        <v>39795</v>
      </c>
    </row>
    <row r="547" spans="1:15" s="328" customFormat="1" x14ac:dyDescent="0.2">
      <c r="A547" s="535" t="s">
        <v>40019</v>
      </c>
      <c r="B547" s="535"/>
      <c r="C547" s="535"/>
      <c r="D547" s="332"/>
      <c r="E547" s="332"/>
      <c r="F547" s="332"/>
      <c r="G547" s="332"/>
      <c r="H547" s="332"/>
      <c r="I547" s="332">
        <f>4</f>
        <v>4</v>
      </c>
      <c r="J547" s="332" t="s">
        <v>39805</v>
      </c>
      <c r="K547" s="332">
        <f>1.8</f>
        <v>1.8</v>
      </c>
      <c r="L547" s="332" t="s">
        <v>39805</v>
      </c>
      <c r="M547" s="332">
        <f>1.4</f>
        <v>1.4</v>
      </c>
      <c r="N547" s="332" t="s">
        <v>39794</v>
      </c>
      <c r="O547" s="332">
        <f>ROUND(I547*K547*M547,2)</f>
        <v>10.08</v>
      </c>
    </row>
    <row r="548" spans="1:15" s="328" customFormat="1" x14ac:dyDescent="0.2">
      <c r="A548" s="535" t="s">
        <v>40020</v>
      </c>
      <c r="B548" s="535"/>
      <c r="C548" s="535"/>
      <c r="D548" s="332"/>
      <c r="E548" s="332"/>
      <c r="F548" s="332"/>
      <c r="G548" s="332"/>
      <c r="H548" s="332"/>
      <c r="I548" s="332">
        <f>1</f>
        <v>1</v>
      </c>
      <c r="J548" s="332" t="s">
        <v>39805</v>
      </c>
      <c r="K548" s="332">
        <f>1.8</f>
        <v>1.8</v>
      </c>
      <c r="L548" s="332" t="s">
        <v>39805</v>
      </c>
      <c r="M548" s="332">
        <f>1.6</f>
        <v>1.6</v>
      </c>
      <c r="N548" s="332" t="s">
        <v>39794</v>
      </c>
      <c r="O548" s="332">
        <f t="shared" ref="O548:O551" si="40">ROUND(I548*K548*M548,2)</f>
        <v>2.88</v>
      </c>
    </row>
    <row r="549" spans="1:15" s="328" customFormat="1" x14ac:dyDescent="0.2">
      <c r="A549" s="535" t="s">
        <v>40021</v>
      </c>
      <c r="B549" s="535"/>
      <c r="C549" s="535"/>
      <c r="D549" s="332"/>
      <c r="E549" s="332"/>
      <c r="F549" s="332"/>
      <c r="G549" s="332"/>
      <c r="H549" s="332"/>
      <c r="I549" s="332">
        <f>1</f>
        <v>1</v>
      </c>
      <c r="J549" s="332" t="s">
        <v>39805</v>
      </c>
      <c r="K549" s="332">
        <f t="shared" ref="K549:K551" si="41">1.8</f>
        <v>1.8</v>
      </c>
      <c r="L549" s="332" t="s">
        <v>39805</v>
      </c>
      <c r="M549" s="332">
        <f>0.29</f>
        <v>0.28999999999999998</v>
      </c>
      <c r="N549" s="332" t="s">
        <v>39794</v>
      </c>
      <c r="O549" s="332">
        <f t="shared" si="40"/>
        <v>0.52</v>
      </c>
    </row>
    <row r="550" spans="1:15" s="328" customFormat="1" x14ac:dyDescent="0.2">
      <c r="A550" s="535" t="s">
        <v>40022</v>
      </c>
      <c r="B550" s="535"/>
      <c r="C550" s="535"/>
      <c r="D550" s="332"/>
      <c r="E550" s="332"/>
      <c r="F550" s="332"/>
      <c r="G550" s="332"/>
      <c r="H550" s="332"/>
      <c r="I550" s="332">
        <f>4</f>
        <v>4</v>
      </c>
      <c r="J550" s="332" t="s">
        <v>39805</v>
      </c>
      <c r="K550" s="332">
        <f t="shared" si="41"/>
        <v>1.8</v>
      </c>
      <c r="L550" s="332" t="s">
        <v>39805</v>
      </c>
      <c r="M550" s="332">
        <f>0.36</f>
        <v>0.36</v>
      </c>
      <c r="N550" s="332" t="s">
        <v>39794</v>
      </c>
      <c r="O550" s="332">
        <f t="shared" si="40"/>
        <v>2.59</v>
      </c>
    </row>
    <row r="551" spans="1:15" s="328" customFormat="1" x14ac:dyDescent="0.2">
      <c r="A551" s="535" t="s">
        <v>40023</v>
      </c>
      <c r="B551" s="535"/>
      <c r="C551" s="535"/>
      <c r="D551" s="332"/>
      <c r="E551" s="332"/>
      <c r="F551" s="332"/>
      <c r="G551" s="332"/>
      <c r="H551" s="332"/>
      <c r="I551" s="332">
        <f>1</f>
        <v>1</v>
      </c>
      <c r="J551" s="332" t="s">
        <v>39805</v>
      </c>
      <c r="K551" s="332">
        <f t="shared" si="41"/>
        <v>1.8</v>
      </c>
      <c r="L551" s="332" t="s">
        <v>39805</v>
      </c>
      <c r="M551" s="332">
        <f>0.04</f>
        <v>0.04</v>
      </c>
      <c r="N551" s="332" t="s">
        <v>39794</v>
      </c>
      <c r="O551" s="332">
        <f t="shared" si="40"/>
        <v>7.0000000000000007E-2</v>
      </c>
    </row>
    <row r="552" spans="1:15" s="328" customFormat="1" x14ac:dyDescent="0.2">
      <c r="A552" s="539" t="s">
        <v>5917</v>
      </c>
      <c r="B552" s="539"/>
      <c r="C552" s="539"/>
      <c r="D552" s="333"/>
      <c r="E552" s="333"/>
      <c r="F552" s="333"/>
      <c r="G552" s="333"/>
      <c r="H552" s="333"/>
      <c r="I552" s="333"/>
      <c r="J552" s="333"/>
      <c r="K552" s="333" t="s">
        <v>39792</v>
      </c>
      <c r="L552" s="333" t="s">
        <v>39805</v>
      </c>
      <c r="M552" s="333" t="s">
        <v>39799</v>
      </c>
      <c r="N552" s="333" t="s">
        <v>39794</v>
      </c>
      <c r="O552" s="333" t="s">
        <v>39795</v>
      </c>
    </row>
    <row r="553" spans="1:15" s="328" customFormat="1" x14ac:dyDescent="0.2">
      <c r="A553" s="535" t="s">
        <v>40024</v>
      </c>
      <c r="B553" s="535"/>
      <c r="C553" s="535"/>
      <c r="D553" s="332"/>
      <c r="E553" s="332"/>
      <c r="F553" s="332"/>
      <c r="G553" s="332"/>
      <c r="H553" s="332"/>
      <c r="I553" s="332"/>
      <c r="J553" s="332"/>
      <c r="K553" s="332">
        <f>7</f>
        <v>7</v>
      </c>
      <c r="L553" s="332" t="s">
        <v>39805</v>
      </c>
      <c r="M553" s="332">
        <f>-0.21</f>
        <v>-0.21</v>
      </c>
      <c r="N553" s="332" t="s">
        <v>39794</v>
      </c>
      <c r="O553" s="332">
        <f>ROUND(K553*M553,2)</f>
        <v>-1.47</v>
      </c>
    </row>
    <row r="554" spans="1:15" s="328" customFormat="1" x14ac:dyDescent="0.2">
      <c r="A554" s="535" t="s">
        <v>40025</v>
      </c>
      <c r="B554" s="535"/>
      <c r="C554" s="535"/>
      <c r="D554" s="332"/>
      <c r="E554" s="332"/>
      <c r="F554" s="332"/>
      <c r="G554" s="332"/>
      <c r="H554" s="332"/>
      <c r="I554" s="332"/>
      <c r="J554" s="332"/>
      <c r="K554" s="332">
        <f>2</f>
        <v>2</v>
      </c>
      <c r="L554" s="332" t="s">
        <v>39805</v>
      </c>
      <c r="M554" s="332">
        <f>-0.24</f>
        <v>-0.24</v>
      </c>
      <c r="N554" s="332" t="s">
        <v>39794</v>
      </c>
      <c r="O554" s="332">
        <f>ROUND(K554*M554,2)</f>
        <v>-0.48</v>
      </c>
    </row>
    <row r="555" spans="1:15" s="328" customFormat="1" x14ac:dyDescent="0.2">
      <c r="A555" s="540"/>
      <c r="B555" s="540"/>
      <c r="C555" s="540"/>
      <c r="D555" s="540"/>
      <c r="E555" s="540"/>
      <c r="F555" s="540"/>
      <c r="G555" s="540"/>
      <c r="H555" s="540"/>
      <c r="I555" s="540"/>
      <c r="J555" s="540"/>
      <c r="K555" s="540"/>
      <c r="L555" s="334" t="s">
        <v>39796</v>
      </c>
      <c r="M555" s="334" t="s">
        <v>39168</v>
      </c>
      <c r="N555" s="333" t="s">
        <v>39794</v>
      </c>
      <c r="O555" s="334">
        <f>SUM(O539:O554)</f>
        <v>27.709999999999997</v>
      </c>
    </row>
    <row r="556" spans="1:15" s="328" customFormat="1" x14ac:dyDescent="0.2">
      <c r="A556" s="329" t="s">
        <v>39791</v>
      </c>
      <c r="B556" s="542" t="s">
        <v>5917</v>
      </c>
      <c r="C556" s="542"/>
      <c r="D556" s="542"/>
      <c r="E556" s="542"/>
      <c r="F556" s="542"/>
      <c r="G556" s="542"/>
      <c r="H556" s="542"/>
      <c r="I556" s="542"/>
      <c r="J556" s="542"/>
      <c r="K556" s="542"/>
      <c r="L556" s="542"/>
      <c r="M556" s="542"/>
      <c r="N556" s="329" t="s">
        <v>39197</v>
      </c>
      <c r="O556" s="330" t="s">
        <v>39792</v>
      </c>
    </row>
    <row r="557" spans="1:15" s="328" customFormat="1" x14ac:dyDescent="0.2">
      <c r="A557" s="331" t="str">
        <f>ORCAMENTO!A63</f>
        <v>5.5</v>
      </c>
      <c r="B557" s="543" t="str">
        <f>VLOOKUP(A557,ORCAMENTO!A:I,4,0)</f>
        <v>CERCA EM MADEIRA</v>
      </c>
      <c r="C557" s="543"/>
      <c r="D557" s="543"/>
      <c r="E557" s="543"/>
      <c r="F557" s="543"/>
      <c r="G557" s="543"/>
      <c r="H557" s="543"/>
      <c r="I557" s="543"/>
      <c r="J557" s="543"/>
      <c r="K557" s="543"/>
      <c r="L557" s="543"/>
      <c r="M557" s="543"/>
      <c r="N557" s="331" t="str">
        <f>VLOOKUP(A557,ORCAMENTO!A:I,5,0)</f>
        <v>M</v>
      </c>
      <c r="O557" s="332">
        <f>O572</f>
        <v>99.75</v>
      </c>
    </row>
    <row r="558" spans="1:15" s="328" customFormat="1" x14ac:dyDescent="0.2">
      <c r="A558" s="539" t="s">
        <v>39793</v>
      </c>
      <c r="B558" s="539"/>
      <c r="C558" s="539"/>
      <c r="D558" s="539"/>
      <c r="E558" s="539"/>
      <c r="F558" s="539"/>
      <c r="G558" s="539"/>
      <c r="H558" s="539"/>
      <c r="I558" s="539"/>
      <c r="J558" s="539"/>
      <c r="K558" s="539"/>
      <c r="L558" s="539"/>
      <c r="M558" s="539"/>
      <c r="N558" s="539"/>
      <c r="O558" s="539"/>
    </row>
    <row r="559" spans="1:15" s="328" customFormat="1" x14ac:dyDescent="0.2">
      <c r="A559" s="539" t="s">
        <v>5917</v>
      </c>
      <c r="B559" s="539"/>
      <c r="C559" s="539"/>
      <c r="D559" s="333"/>
      <c r="E559" s="333"/>
      <c r="F559" s="333"/>
      <c r="G559" s="333"/>
      <c r="H559" s="333"/>
      <c r="I559" s="333"/>
      <c r="J559" s="333"/>
      <c r="K559" s="333" t="s">
        <v>39823</v>
      </c>
      <c r="L559" s="333" t="s">
        <v>39805</v>
      </c>
      <c r="M559" s="333" t="s">
        <v>39802</v>
      </c>
      <c r="N559" s="333" t="s">
        <v>39794</v>
      </c>
      <c r="O559" s="333" t="s">
        <v>39795</v>
      </c>
    </row>
    <row r="560" spans="1:15" s="328" customFormat="1" x14ac:dyDescent="0.2">
      <c r="A560" s="546" t="s">
        <v>40004</v>
      </c>
      <c r="B560" s="547"/>
      <c r="C560" s="548"/>
      <c r="D560" s="332"/>
      <c r="E560" s="332"/>
      <c r="F560" s="332"/>
      <c r="G560" s="332"/>
      <c r="H560" s="332"/>
      <c r="I560" s="332"/>
      <c r="J560" s="332"/>
      <c r="K560" s="332">
        <f>1.6</f>
        <v>1.6</v>
      </c>
      <c r="L560" s="332" t="s">
        <v>39805</v>
      </c>
      <c r="M560" s="332">
        <f>12.3</f>
        <v>12.3</v>
      </c>
      <c r="N560" s="332" t="s">
        <v>39794</v>
      </c>
      <c r="O560" s="332">
        <f>ROUND(K560*M560,2)</f>
        <v>19.68</v>
      </c>
    </row>
    <row r="561" spans="1:15" s="328" customFormat="1" x14ac:dyDescent="0.2">
      <c r="A561" s="546" t="s">
        <v>40005</v>
      </c>
      <c r="B561" s="547"/>
      <c r="C561" s="548"/>
      <c r="D561" s="332"/>
      <c r="E561" s="332"/>
      <c r="F561" s="332"/>
      <c r="G561" s="332"/>
      <c r="H561" s="332"/>
      <c r="I561" s="332"/>
      <c r="J561" s="332"/>
      <c r="K561" s="332">
        <f t="shared" ref="K561:K568" si="42">1.6</f>
        <v>1.6</v>
      </c>
      <c r="L561" s="332" t="s">
        <v>39805</v>
      </c>
      <c r="M561" s="332">
        <f>3.31</f>
        <v>3.31</v>
      </c>
      <c r="N561" s="332" t="s">
        <v>39794</v>
      </c>
      <c r="O561" s="332">
        <f t="shared" ref="O561:O568" si="43">ROUND(K561*M561,2)</f>
        <v>5.3</v>
      </c>
    </row>
    <row r="562" spans="1:15" s="328" customFormat="1" x14ac:dyDescent="0.2">
      <c r="A562" s="546" t="s">
        <v>40006</v>
      </c>
      <c r="B562" s="547"/>
      <c r="C562" s="548"/>
      <c r="D562" s="332"/>
      <c r="E562" s="332"/>
      <c r="F562" s="332"/>
      <c r="G562" s="332"/>
      <c r="H562" s="332"/>
      <c r="I562" s="332"/>
      <c r="J562" s="332"/>
      <c r="K562" s="332">
        <f t="shared" si="42"/>
        <v>1.6</v>
      </c>
      <c r="L562" s="332" t="s">
        <v>39805</v>
      </c>
      <c r="M562" s="332">
        <f>12.3</f>
        <v>12.3</v>
      </c>
      <c r="N562" s="332" t="s">
        <v>39794</v>
      </c>
      <c r="O562" s="332">
        <f t="shared" si="43"/>
        <v>19.68</v>
      </c>
    </row>
    <row r="563" spans="1:15" s="328" customFormat="1" x14ac:dyDescent="0.2">
      <c r="A563" s="546" t="s">
        <v>40007</v>
      </c>
      <c r="B563" s="547"/>
      <c r="C563" s="548"/>
      <c r="D563" s="332"/>
      <c r="E563" s="332"/>
      <c r="F563" s="332"/>
      <c r="G563" s="332"/>
      <c r="H563" s="332"/>
      <c r="I563" s="332"/>
      <c r="J563" s="332"/>
      <c r="K563" s="332">
        <f t="shared" si="42"/>
        <v>1.6</v>
      </c>
      <c r="L563" s="332" t="s">
        <v>39805</v>
      </c>
      <c r="M563" s="332">
        <f>3.31</f>
        <v>3.31</v>
      </c>
      <c r="N563" s="332" t="s">
        <v>39794</v>
      </c>
      <c r="O563" s="332">
        <f t="shared" si="43"/>
        <v>5.3</v>
      </c>
    </row>
    <row r="564" spans="1:15" s="328" customFormat="1" x14ac:dyDescent="0.2">
      <c r="A564" s="546" t="s">
        <v>40008</v>
      </c>
      <c r="B564" s="547"/>
      <c r="C564" s="548"/>
      <c r="D564" s="332"/>
      <c r="E564" s="332"/>
      <c r="F564" s="332"/>
      <c r="G564" s="332"/>
      <c r="H564" s="332"/>
      <c r="I564" s="332"/>
      <c r="J564" s="332"/>
      <c r="K564" s="332">
        <f t="shared" si="42"/>
        <v>1.6</v>
      </c>
      <c r="L564" s="332" t="s">
        <v>39805</v>
      </c>
      <c r="M564" s="332">
        <f>3.1</f>
        <v>3.1</v>
      </c>
      <c r="N564" s="332" t="s">
        <v>39794</v>
      </c>
      <c r="O564" s="332">
        <f t="shared" si="43"/>
        <v>4.96</v>
      </c>
    </row>
    <row r="565" spans="1:15" s="328" customFormat="1" x14ac:dyDescent="0.2">
      <c r="A565" s="546" t="s">
        <v>40009</v>
      </c>
      <c r="B565" s="547"/>
      <c r="C565" s="548"/>
      <c r="D565" s="332"/>
      <c r="E565" s="332"/>
      <c r="F565" s="332"/>
      <c r="G565" s="332"/>
      <c r="H565" s="332"/>
      <c r="I565" s="332"/>
      <c r="J565" s="332"/>
      <c r="K565" s="332">
        <f t="shared" si="42"/>
        <v>1.6</v>
      </c>
      <c r="L565" s="332" t="s">
        <v>39805</v>
      </c>
      <c r="M565" s="332">
        <f>5.57</f>
        <v>5.57</v>
      </c>
      <c r="N565" s="332" t="s">
        <v>39794</v>
      </c>
      <c r="O565" s="332">
        <f t="shared" si="43"/>
        <v>8.91</v>
      </c>
    </row>
    <row r="566" spans="1:15" s="328" customFormat="1" x14ac:dyDescent="0.2">
      <c r="A566" s="546" t="s">
        <v>40010</v>
      </c>
      <c r="B566" s="547"/>
      <c r="C566" s="548"/>
      <c r="D566" s="332"/>
      <c r="E566" s="332"/>
      <c r="F566" s="332"/>
      <c r="G566" s="332"/>
      <c r="H566" s="332"/>
      <c r="I566" s="332"/>
      <c r="J566" s="332"/>
      <c r="K566" s="332">
        <f t="shared" si="42"/>
        <v>1.6</v>
      </c>
      <c r="L566" s="332" t="s">
        <v>39805</v>
      </c>
      <c r="M566" s="332">
        <f>11.9</f>
        <v>11.9</v>
      </c>
      <c r="N566" s="332" t="s">
        <v>39794</v>
      </c>
      <c r="O566" s="332">
        <f t="shared" si="43"/>
        <v>19.04</v>
      </c>
    </row>
    <row r="567" spans="1:15" s="328" customFormat="1" x14ac:dyDescent="0.2">
      <c r="A567" s="546" t="s">
        <v>40011</v>
      </c>
      <c r="B567" s="547"/>
      <c r="C567" s="548"/>
      <c r="D567" s="332"/>
      <c r="E567" s="332"/>
      <c r="F567" s="332"/>
      <c r="G567" s="332"/>
      <c r="H567" s="332"/>
      <c r="I567" s="332"/>
      <c r="J567" s="332"/>
      <c r="K567" s="332">
        <f t="shared" si="42"/>
        <v>1.6</v>
      </c>
      <c r="L567" s="332" t="s">
        <v>39805</v>
      </c>
      <c r="M567" s="332">
        <f>8.2</f>
        <v>8.1999999999999993</v>
      </c>
      <c r="N567" s="332" t="s">
        <v>39794</v>
      </c>
      <c r="O567" s="332">
        <f t="shared" si="43"/>
        <v>13.12</v>
      </c>
    </row>
    <row r="568" spans="1:15" s="328" customFormat="1" x14ac:dyDescent="0.2">
      <c r="A568" s="546" t="s">
        <v>40012</v>
      </c>
      <c r="B568" s="547"/>
      <c r="C568" s="548"/>
      <c r="D568" s="332"/>
      <c r="E568" s="332"/>
      <c r="F568" s="332"/>
      <c r="G568" s="332"/>
      <c r="H568" s="332"/>
      <c r="I568" s="332"/>
      <c r="J568" s="332"/>
      <c r="K568" s="332">
        <f t="shared" si="42"/>
        <v>1.6</v>
      </c>
      <c r="L568" s="332" t="s">
        <v>39805</v>
      </c>
      <c r="M568" s="332">
        <f>5.95</f>
        <v>5.95</v>
      </c>
      <c r="N568" s="332" t="s">
        <v>39794</v>
      </c>
      <c r="O568" s="332">
        <f t="shared" si="43"/>
        <v>9.52</v>
      </c>
    </row>
    <row r="569" spans="1:15" s="328" customFormat="1" x14ac:dyDescent="0.2">
      <c r="A569" s="539" t="s">
        <v>5917</v>
      </c>
      <c r="B569" s="539"/>
      <c r="C569" s="539"/>
      <c r="D569" s="333"/>
      <c r="E569" s="333"/>
      <c r="F569" s="333"/>
      <c r="G569" s="333"/>
      <c r="H569" s="333"/>
      <c r="I569" s="333"/>
      <c r="J569" s="333"/>
      <c r="K569" s="333" t="s">
        <v>39792</v>
      </c>
      <c r="L569" s="333" t="s">
        <v>39805</v>
      </c>
      <c r="M569" s="333" t="s">
        <v>39799</v>
      </c>
      <c r="N569" s="333" t="s">
        <v>39794</v>
      </c>
      <c r="O569" s="333" t="s">
        <v>39795</v>
      </c>
    </row>
    <row r="570" spans="1:15" s="328" customFormat="1" x14ac:dyDescent="0.2">
      <c r="A570" s="546" t="s">
        <v>40152</v>
      </c>
      <c r="B570" s="547"/>
      <c r="C570" s="548"/>
      <c r="D570" s="332"/>
      <c r="E570" s="332"/>
      <c r="F570" s="332"/>
      <c r="G570" s="332"/>
      <c r="H570" s="332"/>
      <c r="I570" s="332"/>
      <c r="J570" s="332"/>
      <c r="K570" s="332">
        <f>2</f>
        <v>2</v>
      </c>
      <c r="L570" s="332" t="s">
        <v>39805</v>
      </c>
      <c r="M570" s="332">
        <f>-1.2*1.6</f>
        <v>-1.92</v>
      </c>
      <c r="N570" s="332" t="s">
        <v>39794</v>
      </c>
      <c r="O570" s="332">
        <f>ROUND(K570*M570,2)</f>
        <v>-3.84</v>
      </c>
    </row>
    <row r="571" spans="1:15" s="328" customFormat="1" x14ac:dyDescent="0.2">
      <c r="A571" s="546" t="s">
        <v>40159</v>
      </c>
      <c r="B571" s="547"/>
      <c r="C571" s="548"/>
      <c r="D571" s="332"/>
      <c r="E571" s="332"/>
      <c r="F571" s="332"/>
      <c r="G571" s="332"/>
      <c r="H571" s="332"/>
      <c r="I571" s="332"/>
      <c r="J571" s="332"/>
      <c r="K571" s="332">
        <f>1</f>
        <v>1</v>
      </c>
      <c r="L571" s="332" t="s">
        <v>39805</v>
      </c>
      <c r="M571" s="332">
        <f>-1.2*1.6</f>
        <v>-1.92</v>
      </c>
      <c r="N571" s="332" t="s">
        <v>39794</v>
      </c>
      <c r="O571" s="332">
        <f t="shared" ref="O571" si="44">ROUND(K571*M571,2)</f>
        <v>-1.92</v>
      </c>
    </row>
    <row r="572" spans="1:15" s="328" customFormat="1" x14ac:dyDescent="0.2">
      <c r="A572" s="540"/>
      <c r="B572" s="540"/>
      <c r="C572" s="540"/>
      <c r="D572" s="540"/>
      <c r="E572" s="540"/>
      <c r="F572" s="540"/>
      <c r="G572" s="540"/>
      <c r="H572" s="540"/>
      <c r="I572" s="540"/>
      <c r="J572" s="540"/>
      <c r="K572" s="540"/>
      <c r="L572" s="334" t="s">
        <v>39796</v>
      </c>
      <c r="M572" s="334" t="s">
        <v>39168</v>
      </c>
      <c r="N572" s="333" t="s">
        <v>39794</v>
      </c>
      <c r="O572" s="334">
        <f>SUM(O559:O571)</f>
        <v>99.75</v>
      </c>
    </row>
    <row r="573" spans="1:15" s="328" customFormat="1" x14ac:dyDescent="0.2">
      <c r="A573" s="336">
        <f>ORCAMENTO!A65</f>
        <v>6</v>
      </c>
      <c r="B573" s="545" t="str">
        <f>VLOOKUP(A573,ORCAMENTO!A:I,4,0)</f>
        <v>INSTALAÇÕES ELÉTRICAS</v>
      </c>
      <c r="C573" s="545"/>
      <c r="D573" s="545"/>
      <c r="E573" s="545"/>
      <c r="F573" s="545"/>
      <c r="G573" s="545"/>
      <c r="H573" s="545"/>
      <c r="I573" s="545"/>
      <c r="J573" s="545"/>
      <c r="K573" s="545"/>
      <c r="L573" s="545"/>
      <c r="M573" s="545"/>
      <c r="N573" s="545"/>
      <c r="O573" s="545"/>
    </row>
    <row r="574" spans="1:15" s="328" customFormat="1" x14ac:dyDescent="0.2">
      <c r="A574" s="347" t="str">
        <f>ORCAMENTO!A66</f>
        <v>6.1</v>
      </c>
      <c r="B574" s="573" t="str">
        <f>VLOOKUP(A574,ORCAMENTO!A:I,4,0)</f>
        <v>ELETRODUTOS E CABOS</v>
      </c>
      <c r="C574" s="574"/>
      <c r="D574" s="574"/>
      <c r="E574" s="574"/>
      <c r="F574" s="574"/>
      <c r="G574" s="574"/>
      <c r="H574" s="574"/>
      <c r="I574" s="574"/>
      <c r="J574" s="574"/>
      <c r="K574" s="574"/>
      <c r="L574" s="574"/>
      <c r="M574" s="574"/>
      <c r="N574" s="574"/>
      <c r="O574" s="575"/>
    </row>
    <row r="575" spans="1:15" s="328" customFormat="1" x14ac:dyDescent="0.2">
      <c r="A575" s="329" t="s">
        <v>39791</v>
      </c>
      <c r="B575" s="542" t="s">
        <v>5917</v>
      </c>
      <c r="C575" s="542"/>
      <c r="D575" s="542"/>
      <c r="E575" s="542"/>
      <c r="F575" s="542"/>
      <c r="G575" s="542"/>
      <c r="H575" s="542"/>
      <c r="I575" s="542"/>
      <c r="J575" s="542"/>
      <c r="K575" s="542"/>
      <c r="L575" s="542"/>
      <c r="M575" s="542"/>
      <c r="N575" s="329" t="s">
        <v>39197</v>
      </c>
      <c r="O575" s="330" t="s">
        <v>39792</v>
      </c>
    </row>
    <row r="576" spans="1:15" s="328" customFormat="1" ht="35.1" customHeight="1" x14ac:dyDescent="0.2">
      <c r="A576" s="331" t="str">
        <f>ORCAMENTO!A67</f>
        <v>6.1.1</v>
      </c>
      <c r="B576" s="543" t="str">
        <f>VLOOKUP(A576,ORCAMENTO!A:I,4,0)</f>
        <v>ELETRODUTO FLEXÍVEL CORRUGADO, PVC, DN 25 MM (3/4"), PARA CIRCUITOS TERMINAIS, INSTALADO EM PAREDE - FORNECIMENTO E INSTALAÇÃO. AF_03/2023</v>
      </c>
      <c r="C576" s="543"/>
      <c r="D576" s="543"/>
      <c r="E576" s="543"/>
      <c r="F576" s="543"/>
      <c r="G576" s="543"/>
      <c r="H576" s="543"/>
      <c r="I576" s="543"/>
      <c r="J576" s="543"/>
      <c r="K576" s="543"/>
      <c r="L576" s="543"/>
      <c r="M576" s="543"/>
      <c r="N576" s="331" t="str">
        <f>VLOOKUP(A576,ORCAMENTO!A:I,5,0)</f>
        <v>M</v>
      </c>
      <c r="O576" s="332">
        <f>O580</f>
        <v>84.33</v>
      </c>
    </row>
    <row r="577" spans="1:15" s="328" customFormat="1" x14ac:dyDescent="0.2">
      <c r="A577" s="539" t="s">
        <v>39793</v>
      </c>
      <c r="B577" s="539"/>
      <c r="C577" s="539"/>
      <c r="D577" s="539"/>
      <c r="E577" s="539"/>
      <c r="F577" s="539"/>
      <c r="G577" s="539"/>
      <c r="H577" s="539"/>
      <c r="I577" s="539"/>
      <c r="J577" s="539"/>
      <c r="K577" s="539"/>
      <c r="L577" s="539"/>
      <c r="M577" s="539"/>
      <c r="N577" s="539"/>
      <c r="O577" s="539"/>
    </row>
    <row r="578" spans="1:15" s="328" customFormat="1" x14ac:dyDescent="0.2">
      <c r="A578" s="539" t="s">
        <v>5917</v>
      </c>
      <c r="B578" s="539"/>
      <c r="C578" s="539"/>
      <c r="D578" s="333"/>
      <c r="E578" s="333"/>
      <c r="F578" s="333"/>
      <c r="G578" s="334"/>
      <c r="H578" s="333"/>
      <c r="I578" s="332"/>
      <c r="J578" s="331"/>
      <c r="K578" s="334"/>
      <c r="L578" s="333"/>
      <c r="M578" s="334" t="s">
        <v>39802</v>
      </c>
      <c r="N578" s="333" t="s">
        <v>39794</v>
      </c>
      <c r="O578" s="334" t="s">
        <v>39795</v>
      </c>
    </row>
    <row r="579" spans="1:15" s="328" customFormat="1" x14ac:dyDescent="0.2">
      <c r="A579" s="535" t="s">
        <v>39801</v>
      </c>
      <c r="B579" s="535"/>
      <c r="C579" s="535"/>
      <c r="D579" s="333"/>
      <c r="E579" s="333"/>
      <c r="F579" s="333"/>
      <c r="G579" s="334"/>
      <c r="H579" s="333"/>
      <c r="I579" s="332"/>
      <c r="J579" s="331"/>
      <c r="K579" s="332"/>
      <c r="L579" s="332"/>
      <c r="M579" s="340">
        <f>84.33</f>
        <v>84.33</v>
      </c>
      <c r="N579" s="332" t="s">
        <v>39794</v>
      </c>
      <c r="O579" s="332">
        <f>ROUND(M579,2)</f>
        <v>84.33</v>
      </c>
    </row>
    <row r="580" spans="1:15" s="328" customFormat="1" x14ac:dyDescent="0.2">
      <c r="A580" s="540"/>
      <c r="B580" s="540"/>
      <c r="C580" s="540"/>
      <c r="D580" s="540"/>
      <c r="E580" s="540"/>
      <c r="F580" s="540"/>
      <c r="G580" s="540"/>
      <c r="H580" s="540"/>
      <c r="I580" s="540"/>
      <c r="J580" s="540"/>
      <c r="K580" s="540"/>
      <c r="L580" s="334" t="s">
        <v>39796</v>
      </c>
      <c r="M580" s="334" t="s">
        <v>39168</v>
      </c>
      <c r="N580" s="333" t="s">
        <v>39794</v>
      </c>
      <c r="O580" s="334">
        <f>SUM(O578:O579)</f>
        <v>84.33</v>
      </c>
    </row>
    <row r="581" spans="1:15" s="328" customFormat="1" x14ac:dyDescent="0.2">
      <c r="A581" s="329" t="s">
        <v>39791</v>
      </c>
      <c r="B581" s="542" t="s">
        <v>5917</v>
      </c>
      <c r="C581" s="542"/>
      <c r="D581" s="542"/>
      <c r="E581" s="542"/>
      <c r="F581" s="542"/>
      <c r="G581" s="542"/>
      <c r="H581" s="542"/>
      <c r="I581" s="542"/>
      <c r="J581" s="542"/>
      <c r="K581" s="542"/>
      <c r="L581" s="542"/>
      <c r="M581" s="542"/>
      <c r="N581" s="329" t="s">
        <v>39197</v>
      </c>
      <c r="O581" s="330" t="s">
        <v>39792</v>
      </c>
    </row>
    <row r="582" spans="1:15" s="328" customFormat="1" ht="35.1" customHeight="1" x14ac:dyDescent="0.2">
      <c r="A582" s="331" t="str">
        <f>ORCAMENTO!A68</f>
        <v>6.1.2</v>
      </c>
      <c r="B582" s="543" t="str">
        <f>VLOOKUP(A582,ORCAMENTO!A:I,4,0)</f>
        <v>ELETRODUTO FLEXÍVEL CORRUGADO, PVC, DN 25 MM (3/4"), PARA CIRCUITOS TERMINAIS, INSTALADO EM FORRO - FORNECIMENTO E INSTALAÇÃO. AF_03/2023</v>
      </c>
      <c r="C582" s="543"/>
      <c r="D582" s="543"/>
      <c r="E582" s="543"/>
      <c r="F582" s="543"/>
      <c r="G582" s="543"/>
      <c r="H582" s="543"/>
      <c r="I582" s="543"/>
      <c r="J582" s="543"/>
      <c r="K582" s="543"/>
      <c r="L582" s="543"/>
      <c r="M582" s="543"/>
      <c r="N582" s="331" t="str">
        <f>VLOOKUP(A582,ORCAMENTO!A:I,5,0)</f>
        <v>M</v>
      </c>
      <c r="O582" s="332">
        <f>O586</f>
        <v>337.32</v>
      </c>
    </row>
    <row r="583" spans="1:15" s="328" customFormat="1" x14ac:dyDescent="0.2">
      <c r="A583" s="539" t="s">
        <v>39793</v>
      </c>
      <c r="B583" s="539"/>
      <c r="C583" s="539"/>
      <c r="D583" s="539"/>
      <c r="E583" s="539"/>
      <c r="F583" s="539"/>
      <c r="G583" s="539"/>
      <c r="H583" s="539"/>
      <c r="I583" s="539"/>
      <c r="J583" s="539"/>
      <c r="K583" s="539"/>
      <c r="L583" s="539"/>
      <c r="M583" s="539"/>
      <c r="N583" s="539"/>
      <c r="O583" s="539"/>
    </row>
    <row r="584" spans="1:15" s="328" customFormat="1" x14ac:dyDescent="0.2">
      <c r="A584" s="539" t="s">
        <v>5917</v>
      </c>
      <c r="B584" s="539"/>
      <c r="C584" s="539"/>
      <c r="D584" s="333"/>
      <c r="E584" s="333"/>
      <c r="F584" s="333"/>
      <c r="G584" s="334"/>
      <c r="H584" s="333"/>
      <c r="I584" s="332"/>
      <c r="J584" s="331"/>
      <c r="K584" s="334"/>
      <c r="L584" s="333"/>
      <c r="M584" s="334" t="s">
        <v>39802</v>
      </c>
      <c r="N584" s="333" t="s">
        <v>39794</v>
      </c>
      <c r="O584" s="334" t="s">
        <v>39795</v>
      </c>
    </row>
    <row r="585" spans="1:15" s="328" customFormat="1" x14ac:dyDescent="0.2">
      <c r="A585" s="535" t="s">
        <v>39801</v>
      </c>
      <c r="B585" s="535"/>
      <c r="C585" s="535"/>
      <c r="D585" s="333"/>
      <c r="E585" s="333"/>
      <c r="F585" s="333"/>
      <c r="G585" s="334"/>
      <c r="H585" s="333"/>
      <c r="I585" s="332"/>
      <c r="J585" s="331"/>
      <c r="K585" s="332"/>
      <c r="L585" s="332"/>
      <c r="M585" s="340">
        <f>337.32</f>
        <v>337.32</v>
      </c>
      <c r="N585" s="332" t="s">
        <v>39794</v>
      </c>
      <c r="O585" s="332">
        <f>ROUND(M585,2)</f>
        <v>337.32</v>
      </c>
    </row>
    <row r="586" spans="1:15" s="328" customFormat="1" x14ac:dyDescent="0.2">
      <c r="A586" s="540"/>
      <c r="B586" s="540"/>
      <c r="C586" s="540"/>
      <c r="D586" s="540"/>
      <c r="E586" s="540"/>
      <c r="F586" s="540"/>
      <c r="G586" s="540"/>
      <c r="H586" s="540"/>
      <c r="I586" s="540"/>
      <c r="J586" s="540"/>
      <c r="K586" s="540"/>
      <c r="L586" s="334" t="s">
        <v>39796</v>
      </c>
      <c r="M586" s="334" t="s">
        <v>39168</v>
      </c>
      <c r="N586" s="333" t="s">
        <v>39794</v>
      </c>
      <c r="O586" s="334">
        <f>SUM(O584:O585)</f>
        <v>337.32</v>
      </c>
    </row>
    <row r="587" spans="1:15" s="328" customFormat="1" x14ac:dyDescent="0.2">
      <c r="A587" s="329" t="s">
        <v>39791</v>
      </c>
      <c r="B587" s="542" t="s">
        <v>5917</v>
      </c>
      <c r="C587" s="542"/>
      <c r="D587" s="542"/>
      <c r="E587" s="542"/>
      <c r="F587" s="542"/>
      <c r="G587" s="542"/>
      <c r="H587" s="542"/>
      <c r="I587" s="542"/>
      <c r="J587" s="542"/>
      <c r="K587" s="542"/>
      <c r="L587" s="542"/>
      <c r="M587" s="542"/>
      <c r="N587" s="329" t="s">
        <v>39197</v>
      </c>
      <c r="O587" s="330" t="s">
        <v>39792</v>
      </c>
    </row>
    <row r="588" spans="1:15" s="328" customFormat="1" ht="35.1" customHeight="1" x14ac:dyDescent="0.2">
      <c r="A588" s="331" t="str">
        <f>ORCAMENTO!A69</f>
        <v>6.1.3</v>
      </c>
      <c r="B588" s="543" t="str">
        <f>VLOOKUP(A588,ORCAMENTO!A:I,4,0)</f>
        <v>ELETRODUTO FLEXÍVEL CORRUGADO, PVC, DN 32 MM (1"), PARA CIRCUITOS TERMINAIS, INSTALADO EM FORRO - FORNECIMENTO E INSTALAÇÃO. AF_03/2023</v>
      </c>
      <c r="C588" s="543"/>
      <c r="D588" s="543"/>
      <c r="E588" s="543"/>
      <c r="F588" s="543"/>
      <c r="G588" s="543"/>
      <c r="H588" s="543"/>
      <c r="I588" s="543"/>
      <c r="J588" s="543"/>
      <c r="K588" s="543"/>
      <c r="L588" s="543"/>
      <c r="M588" s="543"/>
      <c r="N588" s="331" t="str">
        <f>VLOOKUP(A588,ORCAMENTO!A:I,5,0)</f>
        <v>M</v>
      </c>
      <c r="O588" s="332">
        <f>O592</f>
        <v>112.19</v>
      </c>
    </row>
    <row r="589" spans="1:15" s="328" customFormat="1" x14ac:dyDescent="0.2">
      <c r="A589" s="539" t="s">
        <v>39793</v>
      </c>
      <c r="B589" s="539"/>
      <c r="C589" s="539"/>
      <c r="D589" s="539"/>
      <c r="E589" s="539"/>
      <c r="F589" s="539"/>
      <c r="G589" s="539"/>
      <c r="H589" s="539"/>
      <c r="I589" s="539"/>
      <c r="J589" s="539"/>
      <c r="K589" s="539"/>
      <c r="L589" s="539"/>
      <c r="M589" s="539"/>
      <c r="N589" s="539"/>
      <c r="O589" s="539"/>
    </row>
    <row r="590" spans="1:15" s="328" customFormat="1" x14ac:dyDescent="0.2">
      <c r="A590" s="539" t="s">
        <v>5917</v>
      </c>
      <c r="B590" s="539"/>
      <c r="C590" s="539"/>
      <c r="D590" s="333"/>
      <c r="E590" s="333"/>
      <c r="F590" s="333"/>
      <c r="G590" s="334"/>
      <c r="H590" s="333"/>
      <c r="I590" s="332"/>
      <c r="J590" s="331"/>
      <c r="K590" s="334"/>
      <c r="L590" s="333"/>
      <c r="M590" s="334" t="s">
        <v>39802</v>
      </c>
      <c r="N590" s="333" t="s">
        <v>39794</v>
      </c>
      <c r="O590" s="334" t="s">
        <v>39795</v>
      </c>
    </row>
    <row r="591" spans="1:15" s="328" customFormat="1" x14ac:dyDescent="0.2">
      <c r="A591" s="535" t="s">
        <v>39801</v>
      </c>
      <c r="B591" s="535"/>
      <c r="C591" s="535"/>
      <c r="D591" s="333"/>
      <c r="E591" s="333"/>
      <c r="F591" s="333"/>
      <c r="G591" s="334"/>
      <c r="H591" s="333"/>
      <c r="I591" s="332"/>
      <c r="J591" s="331"/>
      <c r="K591" s="332"/>
      <c r="L591" s="332"/>
      <c r="M591" s="340">
        <f>112.19</f>
        <v>112.19</v>
      </c>
      <c r="N591" s="332" t="s">
        <v>39794</v>
      </c>
      <c r="O591" s="332">
        <f>ROUND(M591,2)</f>
        <v>112.19</v>
      </c>
    </row>
    <row r="592" spans="1:15" s="328" customFormat="1" x14ac:dyDescent="0.2">
      <c r="A592" s="540"/>
      <c r="B592" s="540"/>
      <c r="C592" s="540"/>
      <c r="D592" s="540"/>
      <c r="E592" s="540"/>
      <c r="F592" s="540"/>
      <c r="G592" s="540"/>
      <c r="H592" s="540"/>
      <c r="I592" s="540"/>
      <c r="J592" s="540"/>
      <c r="K592" s="540"/>
      <c r="L592" s="334" t="s">
        <v>39796</v>
      </c>
      <c r="M592" s="334" t="s">
        <v>39168</v>
      </c>
      <c r="N592" s="333" t="s">
        <v>39794</v>
      </c>
      <c r="O592" s="334">
        <f>SUM(O590:O591)</f>
        <v>112.19</v>
      </c>
    </row>
    <row r="593" spans="1:15" s="328" customFormat="1" x14ac:dyDescent="0.2">
      <c r="A593" s="329" t="s">
        <v>39791</v>
      </c>
      <c r="B593" s="542" t="s">
        <v>5917</v>
      </c>
      <c r="C593" s="542"/>
      <c r="D593" s="542"/>
      <c r="E593" s="542"/>
      <c r="F593" s="542"/>
      <c r="G593" s="542"/>
      <c r="H593" s="542"/>
      <c r="I593" s="542"/>
      <c r="J593" s="542"/>
      <c r="K593" s="542"/>
      <c r="L593" s="542"/>
      <c r="M593" s="542"/>
      <c r="N593" s="329" t="s">
        <v>39197</v>
      </c>
      <c r="O593" s="330" t="s">
        <v>39792</v>
      </c>
    </row>
    <row r="594" spans="1:15" s="328" customFormat="1" x14ac:dyDescent="0.2">
      <c r="A594" s="331" t="str">
        <f>ORCAMENTO!A70</f>
        <v>6.1.4</v>
      </c>
      <c r="B594" s="543" t="str">
        <f>VLOOKUP(A594,ORCAMENTO!A:I,4,0)</f>
        <v>DUTOS FLEXÍVEIS EM PEAD (POLIETILENO DE ALTA DENSIDADE) - D=1 1/4", INCLUSIVE CONEXÕES</v>
      </c>
      <c r="C594" s="543"/>
      <c r="D594" s="543"/>
      <c r="E594" s="543"/>
      <c r="F594" s="543"/>
      <c r="G594" s="543"/>
      <c r="H594" s="543"/>
      <c r="I594" s="543"/>
      <c r="J594" s="543"/>
      <c r="K594" s="543"/>
      <c r="L594" s="543"/>
      <c r="M594" s="543"/>
      <c r="N594" s="331" t="str">
        <f>VLOOKUP(A594,ORCAMENTO!A:I,5,0)</f>
        <v>M</v>
      </c>
      <c r="O594" s="332">
        <f>O598</f>
        <v>2.4</v>
      </c>
    </row>
    <row r="595" spans="1:15" s="328" customFormat="1" x14ac:dyDescent="0.2">
      <c r="A595" s="539" t="s">
        <v>39793</v>
      </c>
      <c r="B595" s="539"/>
      <c r="C595" s="539"/>
      <c r="D595" s="539"/>
      <c r="E595" s="539"/>
      <c r="F595" s="539"/>
      <c r="G595" s="539"/>
      <c r="H595" s="539"/>
      <c r="I595" s="539"/>
      <c r="J595" s="539"/>
      <c r="K595" s="539"/>
      <c r="L595" s="539"/>
      <c r="M595" s="539"/>
      <c r="N595" s="539"/>
      <c r="O595" s="539"/>
    </row>
    <row r="596" spans="1:15" s="328" customFormat="1" x14ac:dyDescent="0.2">
      <c r="A596" s="539" t="s">
        <v>5917</v>
      </c>
      <c r="B596" s="539"/>
      <c r="C596" s="539"/>
      <c r="D596" s="333"/>
      <c r="E596" s="333"/>
      <c r="F596" s="333"/>
      <c r="G596" s="334"/>
      <c r="H596" s="333"/>
      <c r="I596" s="332"/>
      <c r="J596" s="331"/>
      <c r="K596" s="334"/>
      <c r="L596" s="333"/>
      <c r="M596" s="334" t="s">
        <v>39802</v>
      </c>
      <c r="N596" s="333" t="s">
        <v>39794</v>
      </c>
      <c r="O596" s="334" t="s">
        <v>39795</v>
      </c>
    </row>
    <row r="597" spans="1:15" s="328" customFormat="1" x14ac:dyDescent="0.2">
      <c r="A597" s="535" t="s">
        <v>39801</v>
      </c>
      <c r="B597" s="535"/>
      <c r="C597" s="535"/>
      <c r="D597" s="333"/>
      <c r="E597" s="333"/>
      <c r="F597" s="333"/>
      <c r="G597" s="334"/>
      <c r="H597" s="333"/>
      <c r="I597" s="332"/>
      <c r="J597" s="331"/>
      <c r="K597" s="332"/>
      <c r="L597" s="332"/>
      <c r="M597" s="340">
        <f>2.4</f>
        <v>2.4</v>
      </c>
      <c r="N597" s="339" t="s">
        <v>39794</v>
      </c>
      <c r="O597" s="339">
        <f>ROUND(M597,2)</f>
        <v>2.4</v>
      </c>
    </row>
    <row r="598" spans="1:15" s="328" customFormat="1" x14ac:dyDescent="0.2">
      <c r="A598" s="540"/>
      <c r="B598" s="540"/>
      <c r="C598" s="540"/>
      <c r="D598" s="540"/>
      <c r="E598" s="540"/>
      <c r="F598" s="540"/>
      <c r="G598" s="540"/>
      <c r="H598" s="540"/>
      <c r="I598" s="540"/>
      <c r="J598" s="540"/>
      <c r="K598" s="540"/>
      <c r="L598" s="334" t="s">
        <v>39796</v>
      </c>
      <c r="M598" s="334" t="s">
        <v>39168</v>
      </c>
      <c r="N598" s="333" t="s">
        <v>39794</v>
      </c>
      <c r="O598" s="334">
        <f>SUM(O596:O597)</f>
        <v>2.4</v>
      </c>
    </row>
    <row r="599" spans="1:15" s="328" customFormat="1" x14ac:dyDescent="0.2">
      <c r="A599" s="329" t="s">
        <v>39791</v>
      </c>
      <c r="B599" s="542" t="s">
        <v>5917</v>
      </c>
      <c r="C599" s="542"/>
      <c r="D599" s="542"/>
      <c r="E599" s="542"/>
      <c r="F599" s="542"/>
      <c r="G599" s="542"/>
      <c r="H599" s="542"/>
      <c r="I599" s="542"/>
      <c r="J599" s="542"/>
      <c r="K599" s="542"/>
      <c r="L599" s="542"/>
      <c r="M599" s="542"/>
      <c r="N599" s="329" t="s">
        <v>39197</v>
      </c>
      <c r="O599" s="330" t="s">
        <v>39792</v>
      </c>
    </row>
    <row r="600" spans="1:15" s="328" customFormat="1" x14ac:dyDescent="0.2">
      <c r="A600" s="331" t="str">
        <f>ORCAMENTO!A71</f>
        <v>6.1.5</v>
      </c>
      <c r="B600" s="543" t="str">
        <f>VLOOKUP(A600,ORCAMENTO!A:I,4,0)</f>
        <v>DUTOS FLEXÍVEIS EM PEAD (POLIETILENO DE ALTA DENSIDADE) - D=1 1/2", INCLUSIVE CONEXÕES</v>
      </c>
      <c r="C600" s="543"/>
      <c r="D600" s="543"/>
      <c r="E600" s="543"/>
      <c r="F600" s="543"/>
      <c r="G600" s="543"/>
      <c r="H600" s="543"/>
      <c r="I600" s="543"/>
      <c r="J600" s="543"/>
      <c r="K600" s="543"/>
      <c r="L600" s="543"/>
      <c r="M600" s="543"/>
      <c r="N600" s="331" t="str">
        <f>VLOOKUP(A600,ORCAMENTO!A:I,5,0)</f>
        <v>M</v>
      </c>
      <c r="O600" s="332">
        <f>O604</f>
        <v>25.75</v>
      </c>
    </row>
    <row r="601" spans="1:15" s="328" customFormat="1" x14ac:dyDescent="0.2">
      <c r="A601" s="539" t="s">
        <v>39793</v>
      </c>
      <c r="B601" s="539"/>
      <c r="C601" s="539"/>
      <c r="D601" s="539"/>
      <c r="E601" s="539"/>
      <c r="F601" s="539"/>
      <c r="G601" s="539"/>
      <c r="H601" s="539"/>
      <c r="I601" s="539"/>
      <c r="J601" s="539"/>
      <c r="K601" s="539"/>
      <c r="L601" s="539"/>
      <c r="M601" s="539"/>
      <c r="N601" s="539"/>
      <c r="O601" s="539"/>
    </row>
    <row r="602" spans="1:15" s="328" customFormat="1" x14ac:dyDescent="0.2">
      <c r="A602" s="539" t="s">
        <v>5917</v>
      </c>
      <c r="B602" s="539"/>
      <c r="C602" s="539"/>
      <c r="D602" s="333"/>
      <c r="E602" s="333"/>
      <c r="F602" s="333"/>
      <c r="G602" s="334"/>
      <c r="H602" s="333"/>
      <c r="I602" s="332"/>
      <c r="J602" s="331"/>
      <c r="K602" s="334"/>
      <c r="L602" s="333"/>
      <c r="M602" s="334" t="s">
        <v>39802</v>
      </c>
      <c r="N602" s="333" t="s">
        <v>39794</v>
      </c>
      <c r="O602" s="334" t="s">
        <v>39795</v>
      </c>
    </row>
    <row r="603" spans="1:15" s="328" customFormat="1" x14ac:dyDescent="0.2">
      <c r="A603" s="535" t="s">
        <v>39801</v>
      </c>
      <c r="B603" s="535"/>
      <c r="C603" s="535"/>
      <c r="D603" s="333"/>
      <c r="E603" s="333"/>
      <c r="F603" s="333"/>
      <c r="G603" s="334"/>
      <c r="H603" s="333"/>
      <c r="I603" s="332"/>
      <c r="J603" s="331"/>
      <c r="K603" s="332"/>
      <c r="L603" s="332"/>
      <c r="M603" s="340">
        <f>25.75</f>
        <v>25.75</v>
      </c>
      <c r="N603" s="339" t="s">
        <v>39794</v>
      </c>
      <c r="O603" s="339">
        <f>ROUND(M603,2)</f>
        <v>25.75</v>
      </c>
    </row>
    <row r="604" spans="1:15" s="328" customFormat="1" x14ac:dyDescent="0.2">
      <c r="A604" s="540"/>
      <c r="B604" s="540"/>
      <c r="C604" s="540"/>
      <c r="D604" s="540"/>
      <c r="E604" s="540"/>
      <c r="F604" s="540"/>
      <c r="G604" s="540"/>
      <c r="H604" s="540"/>
      <c r="I604" s="540"/>
      <c r="J604" s="540"/>
      <c r="K604" s="540"/>
      <c r="L604" s="334" t="s">
        <v>39796</v>
      </c>
      <c r="M604" s="334" t="s">
        <v>39168</v>
      </c>
      <c r="N604" s="333" t="s">
        <v>39794</v>
      </c>
      <c r="O604" s="334">
        <f>SUM(O602:O603)</f>
        <v>25.75</v>
      </c>
    </row>
    <row r="605" spans="1:15" s="328" customFormat="1" x14ac:dyDescent="0.2">
      <c r="A605" s="329" t="s">
        <v>39791</v>
      </c>
      <c r="B605" s="542" t="s">
        <v>5917</v>
      </c>
      <c r="C605" s="542"/>
      <c r="D605" s="542"/>
      <c r="E605" s="542"/>
      <c r="F605" s="542"/>
      <c r="G605" s="542"/>
      <c r="H605" s="542"/>
      <c r="I605" s="542"/>
      <c r="J605" s="542"/>
      <c r="K605" s="542"/>
      <c r="L605" s="542"/>
      <c r="M605" s="542"/>
      <c r="N605" s="329" t="s">
        <v>39197</v>
      </c>
      <c r="O605" s="330" t="s">
        <v>39792</v>
      </c>
    </row>
    <row r="606" spans="1:15" s="328" customFormat="1" x14ac:dyDescent="0.2">
      <c r="A606" s="331" t="str">
        <f>ORCAMENTO!A72</f>
        <v>6.1.6</v>
      </c>
      <c r="B606" s="543" t="str">
        <f>VLOOKUP(A606,ORCAMENTO!A:I,4,0)</f>
        <v>DUTO PERFURADO - PERFILADOS CHAPA DE AÇO (38X38)mm</v>
      </c>
      <c r="C606" s="543"/>
      <c r="D606" s="543"/>
      <c r="E606" s="543"/>
      <c r="F606" s="543"/>
      <c r="G606" s="543"/>
      <c r="H606" s="543"/>
      <c r="I606" s="543"/>
      <c r="J606" s="543"/>
      <c r="K606" s="543"/>
      <c r="L606" s="543"/>
      <c r="M606" s="543"/>
      <c r="N606" s="331" t="str">
        <f>VLOOKUP(A606,ORCAMENTO!A:I,5,0)</f>
        <v>M</v>
      </c>
      <c r="O606" s="332">
        <f>O610</f>
        <v>76.599999999999994</v>
      </c>
    </row>
    <row r="607" spans="1:15" s="328" customFormat="1" x14ac:dyDescent="0.2">
      <c r="A607" s="539" t="s">
        <v>39793</v>
      </c>
      <c r="B607" s="539"/>
      <c r="C607" s="539"/>
      <c r="D607" s="539"/>
      <c r="E607" s="539"/>
      <c r="F607" s="539"/>
      <c r="G607" s="539"/>
      <c r="H607" s="539"/>
      <c r="I607" s="539"/>
      <c r="J607" s="539"/>
      <c r="K607" s="539"/>
      <c r="L607" s="539"/>
      <c r="M607" s="539"/>
      <c r="N607" s="539"/>
      <c r="O607" s="539"/>
    </row>
    <row r="608" spans="1:15" s="328" customFormat="1" x14ac:dyDescent="0.2">
      <c r="A608" s="539" t="s">
        <v>5917</v>
      </c>
      <c r="B608" s="539"/>
      <c r="C608" s="539"/>
      <c r="D608" s="333"/>
      <c r="E608" s="333"/>
      <c r="F608" s="333"/>
      <c r="G608" s="334"/>
      <c r="H608" s="333"/>
      <c r="I608" s="332"/>
      <c r="J608" s="331"/>
      <c r="K608" s="334"/>
      <c r="L608" s="333"/>
      <c r="M608" s="334" t="s">
        <v>39802</v>
      </c>
      <c r="N608" s="333" t="s">
        <v>39794</v>
      </c>
      <c r="O608" s="334" t="s">
        <v>39795</v>
      </c>
    </row>
    <row r="609" spans="1:15" s="328" customFormat="1" x14ac:dyDescent="0.2">
      <c r="A609" s="535" t="s">
        <v>39801</v>
      </c>
      <c r="B609" s="535"/>
      <c r="C609" s="535"/>
      <c r="D609" s="333"/>
      <c r="E609" s="333"/>
      <c r="F609" s="333"/>
      <c r="G609" s="334"/>
      <c r="H609" s="333"/>
      <c r="I609" s="332"/>
      <c r="J609" s="331"/>
      <c r="K609" s="332"/>
      <c r="L609" s="332"/>
      <c r="M609" s="340">
        <f>76.6</f>
        <v>76.599999999999994</v>
      </c>
      <c r="N609" s="332" t="s">
        <v>39794</v>
      </c>
      <c r="O609" s="332">
        <f>ROUND(M609,2)</f>
        <v>76.599999999999994</v>
      </c>
    </row>
    <row r="610" spans="1:15" s="328" customFormat="1" x14ac:dyDescent="0.2">
      <c r="A610" s="540"/>
      <c r="B610" s="540"/>
      <c r="C610" s="540"/>
      <c r="D610" s="540"/>
      <c r="E610" s="540"/>
      <c r="F610" s="540"/>
      <c r="G610" s="540"/>
      <c r="H610" s="540"/>
      <c r="I610" s="540"/>
      <c r="J610" s="540"/>
      <c r="K610" s="540"/>
      <c r="L610" s="334" t="s">
        <v>39796</v>
      </c>
      <c r="M610" s="334" t="s">
        <v>39168</v>
      </c>
      <c r="N610" s="333" t="s">
        <v>39794</v>
      </c>
      <c r="O610" s="334">
        <f>SUM(O608:O609)</f>
        <v>76.599999999999994</v>
      </c>
    </row>
    <row r="611" spans="1:15" s="328" customFormat="1" x14ac:dyDescent="0.2">
      <c r="A611" s="329" t="s">
        <v>39791</v>
      </c>
      <c r="B611" s="542" t="s">
        <v>5917</v>
      </c>
      <c r="C611" s="542"/>
      <c r="D611" s="542"/>
      <c r="E611" s="542"/>
      <c r="F611" s="542"/>
      <c r="G611" s="542"/>
      <c r="H611" s="542"/>
      <c r="I611" s="542"/>
      <c r="J611" s="542"/>
      <c r="K611" s="542"/>
      <c r="L611" s="542"/>
      <c r="M611" s="542"/>
      <c r="N611" s="329" t="s">
        <v>39197</v>
      </c>
      <c r="O611" s="330" t="s">
        <v>39792</v>
      </c>
    </row>
    <row r="612" spans="1:15" s="328" customFormat="1" ht="35.1" customHeight="1" x14ac:dyDescent="0.2">
      <c r="A612" s="331" t="str">
        <f>ORCAMENTO!A73</f>
        <v>6.1.7</v>
      </c>
      <c r="B612" s="543" t="str">
        <f>VLOOKUP(A612,ORCAMENTO!A:I,4,0)</f>
        <v>ELETRODUTO FLEXÍVEL CORRUGADO, PEAD, DN 63 (2"), PARA REDE ENTERRADA DE DISTRIBUIÇÃO DE ENERGIA ELÉTRICA - FORNECIMENTO E INSTALAÇÃO. AF_12/2021</v>
      </c>
      <c r="C612" s="543"/>
      <c r="D612" s="543"/>
      <c r="E612" s="543"/>
      <c r="F612" s="543"/>
      <c r="G612" s="543"/>
      <c r="H612" s="543"/>
      <c r="I612" s="543"/>
      <c r="J612" s="543"/>
      <c r="K612" s="543"/>
      <c r="L612" s="543"/>
      <c r="M612" s="543"/>
      <c r="N612" s="331" t="str">
        <f>VLOOKUP(A612,ORCAMENTO!A:I,5,0)</f>
        <v>M</v>
      </c>
      <c r="O612" s="332">
        <f>O616</f>
        <v>183.61</v>
      </c>
    </row>
    <row r="613" spans="1:15" s="328" customFormat="1" x14ac:dyDescent="0.2">
      <c r="A613" s="539" t="s">
        <v>39793</v>
      </c>
      <c r="B613" s="539"/>
      <c r="C613" s="539"/>
      <c r="D613" s="539"/>
      <c r="E613" s="539"/>
      <c r="F613" s="539"/>
      <c r="G613" s="539"/>
      <c r="H613" s="539"/>
      <c r="I613" s="539"/>
      <c r="J613" s="539"/>
      <c r="K613" s="539"/>
      <c r="L613" s="539"/>
      <c r="M613" s="539"/>
      <c r="N613" s="539"/>
      <c r="O613" s="539"/>
    </row>
    <row r="614" spans="1:15" s="328" customFormat="1" x14ac:dyDescent="0.2">
      <c r="A614" s="539" t="s">
        <v>5917</v>
      </c>
      <c r="B614" s="539"/>
      <c r="C614" s="539"/>
      <c r="D614" s="333"/>
      <c r="E614" s="333"/>
      <c r="F614" s="333"/>
      <c r="G614" s="334"/>
      <c r="H614" s="333"/>
      <c r="I614" s="332"/>
      <c r="J614" s="331"/>
      <c r="K614" s="334"/>
      <c r="L614" s="333"/>
      <c r="M614" s="334" t="s">
        <v>39802</v>
      </c>
      <c r="N614" s="333" t="s">
        <v>39794</v>
      </c>
      <c r="O614" s="334" t="s">
        <v>39795</v>
      </c>
    </row>
    <row r="615" spans="1:15" s="328" customFormat="1" x14ac:dyDescent="0.2">
      <c r="A615" s="535" t="s">
        <v>39801</v>
      </c>
      <c r="B615" s="535"/>
      <c r="C615" s="535"/>
      <c r="D615" s="333"/>
      <c r="E615" s="333"/>
      <c r="F615" s="333"/>
      <c r="G615" s="334"/>
      <c r="H615" s="333"/>
      <c r="I615" s="332"/>
      <c r="J615" s="331"/>
      <c r="K615" s="332"/>
      <c r="L615" s="332"/>
      <c r="M615" s="340">
        <f>183.61</f>
        <v>183.61</v>
      </c>
      <c r="N615" s="332" t="s">
        <v>39794</v>
      </c>
      <c r="O615" s="332">
        <f>ROUND(M615,2)</f>
        <v>183.61</v>
      </c>
    </row>
    <row r="616" spans="1:15" s="328" customFormat="1" x14ac:dyDescent="0.2">
      <c r="A616" s="540"/>
      <c r="B616" s="540"/>
      <c r="C616" s="540"/>
      <c r="D616" s="540"/>
      <c r="E616" s="540"/>
      <c r="F616" s="540"/>
      <c r="G616" s="540"/>
      <c r="H616" s="540"/>
      <c r="I616" s="540"/>
      <c r="J616" s="540"/>
      <c r="K616" s="540"/>
      <c r="L616" s="334" t="s">
        <v>39796</v>
      </c>
      <c r="M616" s="334" t="s">
        <v>39168</v>
      </c>
      <c r="N616" s="333" t="s">
        <v>39794</v>
      </c>
      <c r="O616" s="334">
        <f>SUM(O614:O615)</f>
        <v>183.61</v>
      </c>
    </row>
    <row r="617" spans="1:15" s="328" customFormat="1" x14ac:dyDescent="0.2">
      <c r="A617" s="329" t="s">
        <v>39791</v>
      </c>
      <c r="B617" s="565" t="s">
        <v>5917</v>
      </c>
      <c r="C617" s="566"/>
      <c r="D617" s="566"/>
      <c r="E617" s="566"/>
      <c r="F617" s="566"/>
      <c r="G617" s="566"/>
      <c r="H617" s="566"/>
      <c r="I617" s="566"/>
      <c r="J617" s="566"/>
      <c r="K617" s="566"/>
      <c r="L617" s="566"/>
      <c r="M617" s="567"/>
      <c r="N617" s="329" t="s">
        <v>39197</v>
      </c>
      <c r="O617" s="330" t="s">
        <v>39792</v>
      </c>
    </row>
    <row r="618" spans="1:15" s="328" customFormat="1" ht="35.1" customHeight="1" x14ac:dyDescent="0.2">
      <c r="A618" s="331" t="str">
        <f>ORCAMENTO!A74</f>
        <v>6.1.8</v>
      </c>
      <c r="B618" s="543" t="str">
        <f>VLOOKUP(A618,ORCAMENTO!A:I,4,0)</f>
        <v>CABO DE COBRE FLEXÍVEL ISOLADO, 1,5 MM², ANTI-CHAMA 450/750 V, PARA CIRCUITOS TERMINAIS - FORNECIMENTO E INSTALAÇÃO. AF_03/2023</v>
      </c>
      <c r="C618" s="543"/>
      <c r="D618" s="543"/>
      <c r="E618" s="543"/>
      <c r="F618" s="543"/>
      <c r="G618" s="543"/>
      <c r="H618" s="543"/>
      <c r="I618" s="543"/>
      <c r="J618" s="543"/>
      <c r="K618" s="543"/>
      <c r="L618" s="543"/>
      <c r="M618" s="543"/>
      <c r="N618" s="331" t="str">
        <f>VLOOKUP(A618,ORCAMENTO!A:I,5,0)</f>
        <v>M</v>
      </c>
      <c r="O618" s="332">
        <f>O627</f>
        <v>1166.3</v>
      </c>
    </row>
    <row r="619" spans="1:15" s="328" customFormat="1" x14ac:dyDescent="0.2">
      <c r="A619" s="559" t="s">
        <v>39793</v>
      </c>
      <c r="B619" s="560"/>
      <c r="C619" s="560"/>
      <c r="D619" s="560"/>
      <c r="E619" s="560"/>
      <c r="F619" s="560"/>
      <c r="G619" s="560"/>
      <c r="H619" s="560"/>
      <c r="I619" s="560"/>
      <c r="J619" s="560"/>
      <c r="K619" s="560"/>
      <c r="L619" s="560"/>
      <c r="M619" s="560"/>
      <c r="N619" s="560"/>
      <c r="O619" s="561"/>
    </row>
    <row r="620" spans="1:15" s="328" customFormat="1" x14ac:dyDescent="0.2">
      <c r="A620" s="539" t="s">
        <v>5917</v>
      </c>
      <c r="B620" s="539"/>
      <c r="C620" s="539"/>
      <c r="D620" s="333"/>
      <c r="E620" s="333"/>
      <c r="F620" s="333"/>
      <c r="G620" s="334"/>
      <c r="H620" s="333"/>
      <c r="I620" s="332"/>
      <c r="J620" s="331"/>
      <c r="K620" s="334"/>
      <c r="L620" s="333"/>
      <c r="M620" s="334" t="s">
        <v>39802</v>
      </c>
      <c r="N620" s="333" t="s">
        <v>39794</v>
      </c>
      <c r="O620" s="334" t="s">
        <v>39795</v>
      </c>
    </row>
    <row r="621" spans="1:15" s="328" customFormat="1" x14ac:dyDescent="0.2">
      <c r="A621" s="535" t="s">
        <v>47116</v>
      </c>
      <c r="B621" s="535"/>
      <c r="C621" s="535"/>
      <c r="D621" s="333"/>
      <c r="E621" s="339"/>
      <c r="F621" s="339"/>
      <c r="G621" s="339"/>
      <c r="H621" s="339"/>
      <c r="I621" s="339"/>
      <c r="J621" s="339"/>
      <c r="K621" s="339"/>
      <c r="L621" s="339"/>
      <c r="M621" s="339">
        <f>313</f>
        <v>313</v>
      </c>
      <c r="N621" s="332" t="s">
        <v>39794</v>
      </c>
      <c r="O621" s="332">
        <f>ROUND(M621,2)</f>
        <v>313</v>
      </c>
    </row>
    <row r="622" spans="1:15" s="328" customFormat="1" x14ac:dyDescent="0.2">
      <c r="A622" s="535" t="s">
        <v>47117</v>
      </c>
      <c r="B622" s="535"/>
      <c r="C622" s="535"/>
      <c r="D622" s="333"/>
      <c r="E622" s="339"/>
      <c r="F622" s="339"/>
      <c r="G622" s="339"/>
      <c r="H622" s="339"/>
      <c r="I622" s="339"/>
      <c r="J622" s="339"/>
      <c r="K622" s="339"/>
      <c r="L622" s="339"/>
      <c r="M622" s="339">
        <f>371</f>
        <v>371</v>
      </c>
      <c r="N622" s="332" t="s">
        <v>39794</v>
      </c>
      <c r="O622" s="332">
        <f t="shared" ref="O622:O626" si="45">ROUND(M622,2)</f>
        <v>371</v>
      </c>
    </row>
    <row r="623" spans="1:15" s="328" customFormat="1" x14ac:dyDescent="0.2">
      <c r="A623" s="535" t="s">
        <v>47118</v>
      </c>
      <c r="B623" s="535"/>
      <c r="C623" s="535"/>
      <c r="D623" s="333"/>
      <c r="E623" s="339"/>
      <c r="F623" s="339"/>
      <c r="G623" s="339"/>
      <c r="H623" s="339"/>
      <c r="I623" s="339"/>
      <c r="J623" s="339"/>
      <c r="K623" s="339"/>
      <c r="L623" s="339"/>
      <c r="M623" s="339">
        <f>92.5</f>
        <v>92.5</v>
      </c>
      <c r="N623" s="332" t="s">
        <v>39794</v>
      </c>
      <c r="O623" s="332">
        <f t="shared" si="45"/>
        <v>92.5</v>
      </c>
    </row>
    <row r="624" spans="1:15" s="328" customFormat="1" x14ac:dyDescent="0.2">
      <c r="A624" s="535" t="s">
        <v>47119</v>
      </c>
      <c r="B624" s="535"/>
      <c r="C624" s="535"/>
      <c r="D624" s="333"/>
      <c r="E624" s="339"/>
      <c r="F624" s="339"/>
      <c r="G624" s="339"/>
      <c r="H624" s="339"/>
      <c r="I624" s="339"/>
      <c r="J624" s="339"/>
      <c r="K624" s="339"/>
      <c r="L624" s="339"/>
      <c r="M624" s="339">
        <f>97</f>
        <v>97</v>
      </c>
      <c r="N624" s="332" t="s">
        <v>39794</v>
      </c>
      <c r="O624" s="332">
        <f t="shared" si="45"/>
        <v>97</v>
      </c>
    </row>
    <row r="625" spans="1:15" s="328" customFormat="1" x14ac:dyDescent="0.2">
      <c r="A625" s="535" t="s">
        <v>47120</v>
      </c>
      <c r="B625" s="535"/>
      <c r="C625" s="535"/>
      <c r="D625" s="333"/>
      <c r="E625" s="339"/>
      <c r="F625" s="339"/>
      <c r="G625" s="339"/>
      <c r="H625" s="339"/>
      <c r="I625" s="339"/>
      <c r="J625" s="339"/>
      <c r="K625" s="339"/>
      <c r="L625" s="339"/>
      <c r="M625" s="339">
        <f>184.7</f>
        <v>184.7</v>
      </c>
      <c r="N625" s="332" t="s">
        <v>39794</v>
      </c>
      <c r="O625" s="332">
        <f t="shared" si="45"/>
        <v>184.7</v>
      </c>
    </row>
    <row r="626" spans="1:15" s="328" customFormat="1" x14ac:dyDescent="0.2">
      <c r="A626" s="535" t="s">
        <v>47121</v>
      </c>
      <c r="B626" s="535"/>
      <c r="C626" s="535"/>
      <c r="D626" s="333"/>
      <c r="E626" s="339"/>
      <c r="F626" s="339"/>
      <c r="G626" s="339"/>
      <c r="H626" s="339"/>
      <c r="I626" s="339"/>
      <c r="J626" s="339"/>
      <c r="K626" s="339"/>
      <c r="L626" s="339"/>
      <c r="M626" s="340">
        <f>108.1</f>
        <v>108.1</v>
      </c>
      <c r="N626" s="332" t="s">
        <v>39794</v>
      </c>
      <c r="O626" s="332">
        <f t="shared" si="45"/>
        <v>108.1</v>
      </c>
    </row>
    <row r="627" spans="1:15" s="328" customFormat="1" x14ac:dyDescent="0.2">
      <c r="A627" s="562"/>
      <c r="B627" s="563"/>
      <c r="C627" s="563"/>
      <c r="D627" s="563"/>
      <c r="E627" s="563"/>
      <c r="F627" s="563"/>
      <c r="G627" s="563"/>
      <c r="H627" s="563"/>
      <c r="I627" s="563"/>
      <c r="J627" s="563"/>
      <c r="K627" s="564"/>
      <c r="L627" s="334" t="s">
        <v>39796</v>
      </c>
      <c r="M627" s="334" t="s">
        <v>39168</v>
      </c>
      <c r="N627" s="333" t="s">
        <v>39794</v>
      </c>
      <c r="O627" s="334">
        <f>SUM(O620:O626)</f>
        <v>1166.3</v>
      </c>
    </row>
    <row r="628" spans="1:15" s="328" customFormat="1" x14ac:dyDescent="0.2">
      <c r="A628" s="329" t="s">
        <v>39791</v>
      </c>
      <c r="B628" s="542" t="s">
        <v>5917</v>
      </c>
      <c r="C628" s="542"/>
      <c r="D628" s="542"/>
      <c r="E628" s="542"/>
      <c r="F628" s="542"/>
      <c r="G628" s="542"/>
      <c r="H628" s="542"/>
      <c r="I628" s="542"/>
      <c r="J628" s="542"/>
      <c r="K628" s="542"/>
      <c r="L628" s="542"/>
      <c r="M628" s="542"/>
      <c r="N628" s="329" t="s">
        <v>39197</v>
      </c>
      <c r="O628" s="330" t="s">
        <v>39792</v>
      </c>
    </row>
    <row r="629" spans="1:15" s="328" customFormat="1" ht="35.1" customHeight="1" x14ac:dyDescent="0.2">
      <c r="A629" s="331" t="str">
        <f>ORCAMENTO!A75</f>
        <v>6.1.9</v>
      </c>
      <c r="B629" s="543" t="str">
        <f>VLOOKUP(A629,ORCAMENTO!A:I,4,0)</f>
        <v>CABO DE COBRE FLEXÍVEL ISOLADO, 2,5 MM², ANTI-CHAMA 450/750 V, PARA CIRCUITOS TERMINAIS - FORNECIMENTO E INSTALAÇÃO. AF_03/2023</v>
      </c>
      <c r="C629" s="543"/>
      <c r="D629" s="543"/>
      <c r="E629" s="543"/>
      <c r="F629" s="543"/>
      <c r="G629" s="543"/>
      <c r="H629" s="543"/>
      <c r="I629" s="543"/>
      <c r="J629" s="543"/>
      <c r="K629" s="543"/>
      <c r="L629" s="543"/>
      <c r="M629" s="543"/>
      <c r="N629" s="331" t="str">
        <f>VLOOKUP(A629,ORCAMENTO!A:I,5,0)</f>
        <v>M</v>
      </c>
      <c r="O629" s="332">
        <f>O637</f>
        <v>1722.8999999999999</v>
      </c>
    </row>
    <row r="630" spans="1:15" s="328" customFormat="1" x14ac:dyDescent="0.2">
      <c r="A630" s="539" t="s">
        <v>39793</v>
      </c>
      <c r="B630" s="539"/>
      <c r="C630" s="539"/>
      <c r="D630" s="539"/>
      <c r="E630" s="539"/>
      <c r="F630" s="539"/>
      <c r="G630" s="539"/>
      <c r="H630" s="539"/>
      <c r="I630" s="539"/>
      <c r="J630" s="539"/>
      <c r="K630" s="539"/>
      <c r="L630" s="539"/>
      <c r="M630" s="539"/>
      <c r="N630" s="539"/>
      <c r="O630" s="539"/>
    </row>
    <row r="631" spans="1:15" s="328" customFormat="1" x14ac:dyDescent="0.2">
      <c r="A631" s="539" t="s">
        <v>5917</v>
      </c>
      <c r="B631" s="539"/>
      <c r="C631" s="539"/>
      <c r="D631" s="333"/>
      <c r="E631" s="333"/>
      <c r="F631" s="333"/>
      <c r="G631" s="334"/>
      <c r="H631" s="333"/>
      <c r="I631" s="332"/>
      <c r="J631" s="331"/>
      <c r="K631" s="334"/>
      <c r="L631" s="333"/>
      <c r="M631" s="334" t="s">
        <v>39802</v>
      </c>
      <c r="N631" s="333" t="s">
        <v>39794</v>
      </c>
      <c r="O631" s="334" t="s">
        <v>39795</v>
      </c>
    </row>
    <row r="632" spans="1:15" s="328" customFormat="1" x14ac:dyDescent="0.2">
      <c r="A632" s="535" t="s">
        <v>47122</v>
      </c>
      <c r="B632" s="535"/>
      <c r="C632" s="535"/>
      <c r="D632" s="333"/>
      <c r="E632" s="331"/>
      <c r="F632" s="331"/>
      <c r="G632" s="332"/>
      <c r="H632" s="331"/>
      <c r="I632" s="332"/>
      <c r="J632" s="331"/>
      <c r="K632" s="332"/>
      <c r="L632" s="331"/>
      <c r="M632" s="339">
        <f>574.3</f>
        <v>574.29999999999995</v>
      </c>
      <c r="N632" s="332" t="s">
        <v>39794</v>
      </c>
      <c r="O632" s="332">
        <f>ROUND(M632,2)</f>
        <v>574.29999999999995</v>
      </c>
    </row>
    <row r="633" spans="1:15" s="328" customFormat="1" x14ac:dyDescent="0.2">
      <c r="A633" s="535" t="s">
        <v>47123</v>
      </c>
      <c r="B633" s="535"/>
      <c r="C633" s="535"/>
      <c r="D633" s="333"/>
      <c r="E633" s="331"/>
      <c r="F633" s="331"/>
      <c r="G633" s="332"/>
      <c r="H633" s="331"/>
      <c r="I633" s="332"/>
      <c r="J633" s="331"/>
      <c r="K633" s="332"/>
      <c r="L633" s="331"/>
      <c r="M633" s="339">
        <f>333.5</f>
        <v>333.5</v>
      </c>
      <c r="N633" s="332" t="s">
        <v>39794</v>
      </c>
      <c r="O633" s="332">
        <f t="shared" ref="O633:O636" si="46">ROUND(M633,2)</f>
        <v>333.5</v>
      </c>
    </row>
    <row r="634" spans="1:15" s="328" customFormat="1" x14ac:dyDescent="0.2">
      <c r="A634" s="535" t="s">
        <v>47124</v>
      </c>
      <c r="B634" s="535"/>
      <c r="C634" s="535"/>
      <c r="D634" s="333"/>
      <c r="E634" s="331"/>
      <c r="F634" s="331"/>
      <c r="G634" s="332"/>
      <c r="H634" s="331"/>
      <c r="I634" s="332"/>
      <c r="J634" s="331"/>
      <c r="K634" s="332"/>
      <c r="L634" s="331"/>
      <c r="M634" s="339">
        <f>131.7</f>
        <v>131.69999999999999</v>
      </c>
      <c r="N634" s="332" t="s">
        <v>39794</v>
      </c>
      <c r="O634" s="332">
        <f t="shared" si="46"/>
        <v>131.69999999999999</v>
      </c>
    </row>
    <row r="635" spans="1:15" s="328" customFormat="1" x14ac:dyDescent="0.2">
      <c r="A635" s="535" t="s">
        <v>47125</v>
      </c>
      <c r="B635" s="535"/>
      <c r="C635" s="535"/>
      <c r="D635" s="333"/>
      <c r="E635" s="331"/>
      <c r="F635" s="331"/>
      <c r="G635" s="332"/>
      <c r="H635" s="331"/>
      <c r="I635" s="332"/>
      <c r="J635" s="331"/>
      <c r="K635" s="332"/>
      <c r="L635" s="331"/>
      <c r="M635" s="339">
        <f>574.3</f>
        <v>574.29999999999995</v>
      </c>
      <c r="N635" s="332" t="s">
        <v>39794</v>
      </c>
      <c r="O635" s="332">
        <f t="shared" si="46"/>
        <v>574.29999999999995</v>
      </c>
    </row>
    <row r="636" spans="1:15" s="328" customFormat="1" x14ac:dyDescent="0.2">
      <c r="A636" s="535" t="s">
        <v>47126</v>
      </c>
      <c r="B636" s="535"/>
      <c r="C636" s="535"/>
      <c r="D636" s="333"/>
      <c r="E636" s="331"/>
      <c r="F636" s="331"/>
      <c r="G636" s="332"/>
      <c r="H636" s="331"/>
      <c r="I636" s="332"/>
      <c r="J636" s="331"/>
      <c r="K636" s="332"/>
      <c r="L636" s="332"/>
      <c r="M636" s="340">
        <f>109.1</f>
        <v>109.1</v>
      </c>
      <c r="N636" s="332" t="s">
        <v>39794</v>
      </c>
      <c r="O636" s="332">
        <f t="shared" si="46"/>
        <v>109.1</v>
      </c>
    </row>
    <row r="637" spans="1:15" s="328" customFormat="1" x14ac:dyDescent="0.2">
      <c r="A637" s="540"/>
      <c r="B637" s="540"/>
      <c r="C637" s="540"/>
      <c r="D637" s="540"/>
      <c r="E637" s="540"/>
      <c r="F637" s="540"/>
      <c r="G637" s="540"/>
      <c r="H637" s="540"/>
      <c r="I637" s="540"/>
      <c r="J637" s="540"/>
      <c r="K637" s="540"/>
      <c r="L637" s="334" t="s">
        <v>39796</v>
      </c>
      <c r="M637" s="334" t="s">
        <v>39168</v>
      </c>
      <c r="N637" s="333" t="s">
        <v>39794</v>
      </c>
      <c r="O637" s="334">
        <f>SUM(O631:O636)</f>
        <v>1722.8999999999999</v>
      </c>
    </row>
    <row r="638" spans="1:15" s="328" customFormat="1" x14ac:dyDescent="0.2">
      <c r="A638" s="329" t="s">
        <v>39791</v>
      </c>
      <c r="B638" s="542" t="s">
        <v>5917</v>
      </c>
      <c r="C638" s="542"/>
      <c r="D638" s="542"/>
      <c r="E638" s="542"/>
      <c r="F638" s="542"/>
      <c r="G638" s="542"/>
      <c r="H638" s="542"/>
      <c r="I638" s="542"/>
      <c r="J638" s="542"/>
      <c r="K638" s="542"/>
      <c r="L638" s="542"/>
      <c r="M638" s="542"/>
      <c r="N638" s="329" t="s">
        <v>39197</v>
      </c>
      <c r="O638" s="330" t="s">
        <v>39792</v>
      </c>
    </row>
    <row r="639" spans="1:15" s="328" customFormat="1" ht="35.1" customHeight="1" x14ac:dyDescent="0.2">
      <c r="A639" s="331" t="str">
        <f>ORCAMENTO!A76</f>
        <v>6.1.10</v>
      </c>
      <c r="B639" s="543" t="str">
        <f>VLOOKUP(A639,ORCAMENTO!A:I,4,0)</f>
        <v>CABO DE COBRE FLEXÍVEL ISOLADO, 4 MM², ANTI-CHAMA 450/750 V, PARA CIRCUITOS TERMINAIS - FORNECIMENTO E INSTALAÇÃO. AF_03/2023</v>
      </c>
      <c r="C639" s="543"/>
      <c r="D639" s="543"/>
      <c r="E639" s="543"/>
      <c r="F639" s="543"/>
      <c r="G639" s="543"/>
      <c r="H639" s="543"/>
      <c r="I639" s="543"/>
      <c r="J639" s="543"/>
      <c r="K639" s="543"/>
      <c r="L639" s="543"/>
      <c r="M639" s="543"/>
      <c r="N639" s="331" t="str">
        <f>VLOOKUP(A639,ORCAMENTO!A:I,5,0)</f>
        <v>M</v>
      </c>
      <c r="O639" s="332">
        <f>O647</f>
        <v>919.5</v>
      </c>
    </row>
    <row r="640" spans="1:15" s="328" customFormat="1" x14ac:dyDescent="0.2">
      <c r="A640" s="539" t="s">
        <v>39793</v>
      </c>
      <c r="B640" s="539"/>
      <c r="C640" s="539"/>
      <c r="D640" s="539"/>
      <c r="E640" s="539"/>
      <c r="F640" s="539"/>
      <c r="G640" s="539"/>
      <c r="H640" s="539"/>
      <c r="I640" s="539"/>
      <c r="J640" s="539"/>
      <c r="K640" s="539"/>
      <c r="L640" s="539"/>
      <c r="M640" s="539"/>
      <c r="N640" s="539"/>
      <c r="O640" s="539"/>
    </row>
    <row r="641" spans="1:15" s="328" customFormat="1" x14ac:dyDescent="0.2">
      <c r="A641" s="539" t="s">
        <v>5917</v>
      </c>
      <c r="B641" s="539"/>
      <c r="C641" s="539"/>
      <c r="D641" s="333"/>
      <c r="E641" s="333"/>
      <c r="F641" s="333"/>
      <c r="G641" s="334"/>
      <c r="H641" s="333"/>
      <c r="I641" s="334"/>
      <c r="J641" s="333"/>
      <c r="K641" s="334"/>
      <c r="L641" s="333"/>
      <c r="M641" s="334" t="s">
        <v>39802</v>
      </c>
      <c r="N641" s="333" t="s">
        <v>39794</v>
      </c>
      <c r="O641" s="334" t="s">
        <v>39795</v>
      </c>
    </row>
    <row r="642" spans="1:15" s="328" customFormat="1" x14ac:dyDescent="0.2">
      <c r="A642" s="535" t="s">
        <v>47127</v>
      </c>
      <c r="B642" s="535"/>
      <c r="C642" s="535"/>
      <c r="D642" s="333"/>
      <c r="E642" s="331"/>
      <c r="F642" s="331"/>
      <c r="G642" s="332"/>
      <c r="H642" s="331"/>
      <c r="I642" s="332"/>
      <c r="J642" s="331"/>
      <c r="K642" s="332"/>
      <c r="L642" s="331"/>
      <c r="M642" s="339">
        <f>306.5</f>
        <v>306.5</v>
      </c>
      <c r="N642" s="332" t="s">
        <v>39794</v>
      </c>
      <c r="O642" s="332">
        <f>ROUND(M642,2)</f>
        <v>306.5</v>
      </c>
    </row>
    <row r="643" spans="1:15" s="328" customFormat="1" x14ac:dyDescent="0.2">
      <c r="A643" s="535" t="s">
        <v>47128</v>
      </c>
      <c r="B643" s="535"/>
      <c r="C643" s="535"/>
      <c r="D643" s="333"/>
      <c r="E643" s="331"/>
      <c r="F643" s="331"/>
      <c r="G643" s="332"/>
      <c r="H643" s="331"/>
      <c r="I643" s="332"/>
      <c r="J643" s="331"/>
      <c r="K643" s="332"/>
      <c r="L643" s="331"/>
      <c r="M643" s="339">
        <f>140.2</f>
        <v>140.19999999999999</v>
      </c>
      <c r="N643" s="332" t="s">
        <v>39794</v>
      </c>
      <c r="O643" s="332">
        <f t="shared" ref="O643:O646" si="47">ROUND(M643,2)</f>
        <v>140.19999999999999</v>
      </c>
    </row>
    <row r="644" spans="1:15" s="328" customFormat="1" x14ac:dyDescent="0.2">
      <c r="A644" s="535" t="s">
        <v>47129</v>
      </c>
      <c r="B644" s="535"/>
      <c r="C644" s="535"/>
      <c r="D644" s="333"/>
      <c r="E644" s="331"/>
      <c r="F644" s="331"/>
      <c r="G644" s="332"/>
      <c r="H644" s="331"/>
      <c r="I644" s="332"/>
      <c r="J644" s="331"/>
      <c r="K644" s="332"/>
      <c r="L644" s="331"/>
      <c r="M644" s="339">
        <f>78.2</f>
        <v>78.2</v>
      </c>
      <c r="N644" s="332" t="s">
        <v>39794</v>
      </c>
      <c r="O644" s="332">
        <f t="shared" si="47"/>
        <v>78.2</v>
      </c>
    </row>
    <row r="645" spans="1:15" s="328" customFormat="1" x14ac:dyDescent="0.2">
      <c r="A645" s="535" t="s">
        <v>47130</v>
      </c>
      <c r="B645" s="535"/>
      <c r="C645" s="535"/>
      <c r="D645" s="333"/>
      <c r="E645" s="331"/>
      <c r="F645" s="331"/>
      <c r="G645" s="332"/>
      <c r="H645" s="331"/>
      <c r="I645" s="332"/>
      <c r="J645" s="331"/>
      <c r="K645" s="332"/>
      <c r="L645" s="331"/>
      <c r="M645" s="339">
        <f>306.5</f>
        <v>306.5</v>
      </c>
      <c r="N645" s="332" t="s">
        <v>39794</v>
      </c>
      <c r="O645" s="332">
        <f t="shared" si="47"/>
        <v>306.5</v>
      </c>
    </row>
    <row r="646" spans="1:15" s="328" customFormat="1" x14ac:dyDescent="0.2">
      <c r="A646" s="535" t="s">
        <v>47131</v>
      </c>
      <c r="B646" s="535"/>
      <c r="C646" s="535"/>
      <c r="D646" s="333"/>
      <c r="E646" s="331"/>
      <c r="F646" s="331"/>
      <c r="G646" s="332"/>
      <c r="H646" s="331"/>
      <c r="I646" s="332"/>
      <c r="J646" s="332"/>
      <c r="K646" s="332"/>
      <c r="L646" s="332"/>
      <c r="M646" s="340">
        <f>88.1</f>
        <v>88.1</v>
      </c>
      <c r="N646" s="332" t="s">
        <v>39794</v>
      </c>
      <c r="O646" s="332">
        <f t="shared" si="47"/>
        <v>88.1</v>
      </c>
    </row>
    <row r="647" spans="1:15" s="328" customFormat="1" x14ac:dyDescent="0.2">
      <c r="A647" s="540"/>
      <c r="B647" s="540"/>
      <c r="C647" s="540"/>
      <c r="D647" s="540"/>
      <c r="E647" s="540"/>
      <c r="F647" s="540"/>
      <c r="G647" s="540"/>
      <c r="H647" s="540"/>
      <c r="I647" s="540"/>
      <c r="J647" s="540"/>
      <c r="K647" s="540"/>
      <c r="L647" s="334" t="s">
        <v>39796</v>
      </c>
      <c r="M647" s="334" t="s">
        <v>39168</v>
      </c>
      <c r="N647" s="333" t="s">
        <v>39794</v>
      </c>
      <c r="O647" s="334">
        <f>SUM(O641:O646)</f>
        <v>919.5</v>
      </c>
    </row>
    <row r="648" spans="1:15" s="328" customFormat="1" x14ac:dyDescent="0.2">
      <c r="A648" s="329" t="s">
        <v>39791</v>
      </c>
      <c r="B648" s="542" t="s">
        <v>5917</v>
      </c>
      <c r="C648" s="542"/>
      <c r="D648" s="542"/>
      <c r="E648" s="542"/>
      <c r="F648" s="542"/>
      <c r="G648" s="542"/>
      <c r="H648" s="542"/>
      <c r="I648" s="542"/>
      <c r="J648" s="542"/>
      <c r="K648" s="542"/>
      <c r="L648" s="542"/>
      <c r="M648" s="542"/>
      <c r="N648" s="329" t="s">
        <v>39197</v>
      </c>
      <c r="O648" s="330" t="s">
        <v>39792</v>
      </c>
    </row>
    <row r="649" spans="1:15" s="328" customFormat="1" ht="35.1" customHeight="1" x14ac:dyDescent="0.2">
      <c r="A649" s="331" t="str">
        <f>ORCAMENTO!A77</f>
        <v>6.1.11</v>
      </c>
      <c r="B649" s="543" t="str">
        <f>VLOOKUP(A649,ORCAMENTO!A:I,4,0)</f>
        <v>CABO DE COBRE FLEXÍVEL ISOLADO, 10 MM², ANTI-CHAMA 450/750 V, PARA CIRCUITOS TERMINAIS - FORNECIMENTO E INSTALAÇÃO. AF_03/2023</v>
      </c>
      <c r="C649" s="543"/>
      <c r="D649" s="543"/>
      <c r="E649" s="543"/>
      <c r="F649" s="543"/>
      <c r="G649" s="543"/>
      <c r="H649" s="543"/>
      <c r="I649" s="543"/>
      <c r="J649" s="543"/>
      <c r="K649" s="543"/>
      <c r="L649" s="543"/>
      <c r="M649" s="543"/>
      <c r="N649" s="331" t="str">
        <f>VLOOKUP(A649,ORCAMENTO!A:I,5,0)</f>
        <v>M</v>
      </c>
      <c r="O649" s="332">
        <f>O657</f>
        <v>1</v>
      </c>
    </row>
    <row r="650" spans="1:15" s="328" customFormat="1" x14ac:dyDescent="0.2">
      <c r="A650" s="539" t="s">
        <v>39793</v>
      </c>
      <c r="B650" s="539"/>
      <c r="C650" s="539"/>
      <c r="D650" s="539"/>
      <c r="E650" s="539"/>
      <c r="F650" s="539"/>
      <c r="G650" s="539"/>
      <c r="H650" s="539"/>
      <c r="I650" s="539"/>
      <c r="J650" s="539"/>
      <c r="K650" s="539"/>
      <c r="L650" s="539"/>
      <c r="M650" s="539"/>
      <c r="N650" s="539"/>
      <c r="O650" s="539"/>
    </row>
    <row r="651" spans="1:15" s="328" customFormat="1" x14ac:dyDescent="0.2">
      <c r="A651" s="539" t="s">
        <v>5917</v>
      </c>
      <c r="B651" s="539"/>
      <c r="C651" s="539"/>
      <c r="D651" s="333"/>
      <c r="E651" s="333"/>
      <c r="F651" s="333"/>
      <c r="G651" s="334"/>
      <c r="H651" s="333"/>
      <c r="I651" s="332"/>
      <c r="J651" s="331"/>
      <c r="K651" s="334"/>
      <c r="L651" s="333"/>
      <c r="M651" s="334" t="s">
        <v>39802</v>
      </c>
      <c r="N651" s="333" t="s">
        <v>39794</v>
      </c>
      <c r="O651" s="334" t="s">
        <v>39795</v>
      </c>
    </row>
    <row r="652" spans="1:15" s="328" customFormat="1" x14ac:dyDescent="0.2">
      <c r="A652" s="535" t="s">
        <v>47132</v>
      </c>
      <c r="B652" s="535"/>
      <c r="C652" s="535"/>
      <c r="D652" s="333"/>
      <c r="E652" s="331"/>
      <c r="F652" s="331"/>
      <c r="G652" s="332"/>
      <c r="H652" s="331"/>
      <c r="I652" s="332"/>
      <c r="J652" s="331"/>
      <c r="K652" s="332"/>
      <c r="L652" s="331"/>
      <c r="M652" s="332">
        <f>0.2</f>
        <v>0.2</v>
      </c>
      <c r="N652" s="332" t="s">
        <v>39794</v>
      </c>
      <c r="O652" s="332">
        <f>ROUND(M652,2)</f>
        <v>0.2</v>
      </c>
    </row>
    <row r="653" spans="1:15" s="328" customFormat="1" x14ac:dyDescent="0.2">
      <c r="A653" s="535" t="s">
        <v>47133</v>
      </c>
      <c r="B653" s="535"/>
      <c r="C653" s="535"/>
      <c r="D653" s="333"/>
      <c r="E653" s="331"/>
      <c r="F653" s="331"/>
      <c r="G653" s="332"/>
      <c r="H653" s="331"/>
      <c r="I653" s="332"/>
      <c r="J653" s="331"/>
      <c r="K653" s="332"/>
      <c r="L653" s="331"/>
      <c r="M653" s="332">
        <f t="shared" ref="M653:M656" si="48">0.2</f>
        <v>0.2</v>
      </c>
      <c r="N653" s="332" t="s">
        <v>39794</v>
      </c>
      <c r="O653" s="332">
        <f t="shared" ref="O653:O656" si="49">ROUND(M653,2)</f>
        <v>0.2</v>
      </c>
    </row>
    <row r="654" spans="1:15" s="328" customFormat="1" x14ac:dyDescent="0.2">
      <c r="A654" s="535" t="s">
        <v>47134</v>
      </c>
      <c r="B654" s="535"/>
      <c r="C654" s="535"/>
      <c r="D654" s="333"/>
      <c r="E654" s="331"/>
      <c r="F654" s="331"/>
      <c r="G654" s="332"/>
      <c r="H654" s="331"/>
      <c r="I654" s="332"/>
      <c r="J654" s="331"/>
      <c r="K654" s="332"/>
      <c r="L654" s="331"/>
      <c r="M654" s="332">
        <f t="shared" si="48"/>
        <v>0.2</v>
      </c>
      <c r="N654" s="332" t="s">
        <v>39794</v>
      </c>
      <c r="O654" s="332">
        <f t="shared" si="49"/>
        <v>0.2</v>
      </c>
    </row>
    <row r="655" spans="1:15" s="328" customFormat="1" x14ac:dyDescent="0.2">
      <c r="A655" s="535" t="s">
        <v>47135</v>
      </c>
      <c r="B655" s="535"/>
      <c r="C655" s="535"/>
      <c r="D655" s="333"/>
      <c r="E655" s="331"/>
      <c r="F655" s="331"/>
      <c r="G655" s="332"/>
      <c r="H655" s="331"/>
      <c r="I655" s="332"/>
      <c r="J655" s="331"/>
      <c r="K655" s="332"/>
      <c r="L655" s="331"/>
      <c r="M655" s="332">
        <f t="shared" si="48"/>
        <v>0.2</v>
      </c>
      <c r="N655" s="332" t="s">
        <v>39794</v>
      </c>
      <c r="O655" s="332">
        <f t="shared" si="49"/>
        <v>0.2</v>
      </c>
    </row>
    <row r="656" spans="1:15" s="328" customFormat="1" x14ac:dyDescent="0.2">
      <c r="A656" s="535" t="s">
        <v>47136</v>
      </c>
      <c r="B656" s="535"/>
      <c r="C656" s="535"/>
      <c r="D656" s="333"/>
      <c r="E656" s="331"/>
      <c r="F656" s="331"/>
      <c r="G656" s="332"/>
      <c r="H656" s="331"/>
      <c r="I656" s="332"/>
      <c r="J656" s="331"/>
      <c r="K656" s="332"/>
      <c r="L656" s="331"/>
      <c r="M656" s="332">
        <f t="shared" si="48"/>
        <v>0.2</v>
      </c>
      <c r="N656" s="332" t="s">
        <v>39794</v>
      </c>
      <c r="O656" s="332">
        <f t="shared" si="49"/>
        <v>0.2</v>
      </c>
    </row>
    <row r="657" spans="1:15" s="328" customFormat="1" x14ac:dyDescent="0.2">
      <c r="A657" s="540"/>
      <c r="B657" s="540"/>
      <c r="C657" s="540"/>
      <c r="D657" s="540"/>
      <c r="E657" s="540"/>
      <c r="F657" s="540"/>
      <c r="G657" s="540"/>
      <c r="H657" s="540"/>
      <c r="I657" s="540"/>
      <c r="J657" s="540"/>
      <c r="K657" s="540"/>
      <c r="L657" s="334" t="s">
        <v>39796</v>
      </c>
      <c r="M657" s="334" t="s">
        <v>39168</v>
      </c>
      <c r="N657" s="333" t="s">
        <v>39794</v>
      </c>
      <c r="O657" s="334">
        <f>SUM(O651:O656)</f>
        <v>1</v>
      </c>
    </row>
    <row r="658" spans="1:15" s="328" customFormat="1" x14ac:dyDescent="0.2">
      <c r="A658" s="329" t="s">
        <v>39791</v>
      </c>
      <c r="B658" s="542" t="s">
        <v>5917</v>
      </c>
      <c r="C658" s="542"/>
      <c r="D658" s="542"/>
      <c r="E658" s="542"/>
      <c r="F658" s="542"/>
      <c r="G658" s="542"/>
      <c r="H658" s="542"/>
      <c r="I658" s="542"/>
      <c r="J658" s="542"/>
      <c r="K658" s="542"/>
      <c r="L658" s="542"/>
      <c r="M658" s="542"/>
      <c r="N658" s="329" t="s">
        <v>39197</v>
      </c>
      <c r="O658" s="330" t="s">
        <v>39792</v>
      </c>
    </row>
    <row r="659" spans="1:15" s="328" customFormat="1" ht="35.1" customHeight="1" x14ac:dyDescent="0.2">
      <c r="A659" s="331" t="str">
        <f>ORCAMENTO!A78</f>
        <v>6.1.12</v>
      </c>
      <c r="B659" s="543" t="str">
        <f>VLOOKUP(A659,ORCAMENTO!A:I,4,0)</f>
        <v>CABO DE COBRE FLEXÍVEL ISOLADO, 16 MM², ANTI-CHAMA 450/750 V, PARA CIRCUITOS TERMINAIS - FORNECIMENTO E INSTALAÇÃO. AF_03/2023</v>
      </c>
      <c r="C659" s="543"/>
      <c r="D659" s="543"/>
      <c r="E659" s="543"/>
      <c r="F659" s="543"/>
      <c r="G659" s="543"/>
      <c r="H659" s="543"/>
      <c r="I659" s="543"/>
      <c r="J659" s="543"/>
      <c r="K659" s="543"/>
      <c r="L659" s="543"/>
      <c r="M659" s="543"/>
      <c r="N659" s="331" t="str">
        <f>VLOOKUP(A659,ORCAMENTO!A:I,5,0)</f>
        <v>M</v>
      </c>
      <c r="O659" s="332">
        <f>O663</f>
        <v>162.21</v>
      </c>
    </row>
    <row r="660" spans="1:15" s="328" customFormat="1" x14ac:dyDescent="0.2">
      <c r="A660" s="539" t="s">
        <v>39793</v>
      </c>
      <c r="B660" s="539"/>
      <c r="C660" s="539"/>
      <c r="D660" s="539"/>
      <c r="E660" s="539"/>
      <c r="F660" s="539"/>
      <c r="G660" s="539"/>
      <c r="H660" s="539"/>
      <c r="I660" s="539"/>
      <c r="J660" s="539"/>
      <c r="K660" s="539"/>
      <c r="L660" s="539"/>
      <c r="M660" s="539"/>
      <c r="N660" s="539"/>
      <c r="O660" s="539"/>
    </row>
    <row r="661" spans="1:15" s="328" customFormat="1" x14ac:dyDescent="0.2">
      <c r="A661" s="539" t="s">
        <v>5917</v>
      </c>
      <c r="B661" s="539"/>
      <c r="C661" s="539"/>
      <c r="D661" s="333"/>
      <c r="E661" s="333"/>
      <c r="F661" s="333"/>
      <c r="G661" s="334"/>
      <c r="H661" s="333"/>
      <c r="I661" s="332"/>
      <c r="J661" s="331"/>
      <c r="K661" s="334"/>
      <c r="L661" s="333"/>
      <c r="M661" s="334" t="s">
        <v>39802</v>
      </c>
      <c r="N661" s="333" t="s">
        <v>39794</v>
      </c>
      <c r="O661" s="334" t="s">
        <v>39795</v>
      </c>
    </row>
    <row r="662" spans="1:15" s="328" customFormat="1" x14ac:dyDescent="0.2">
      <c r="A662" s="535" t="s">
        <v>47137</v>
      </c>
      <c r="B662" s="535"/>
      <c r="C662" s="535"/>
      <c r="D662" s="333"/>
      <c r="E662" s="333"/>
      <c r="F662" s="333"/>
      <c r="G662" s="334"/>
      <c r="H662" s="333"/>
      <c r="I662" s="332"/>
      <c r="J662" s="331"/>
      <c r="K662" s="332"/>
      <c r="L662" s="332"/>
      <c r="M662" s="339">
        <f>162.21</f>
        <v>162.21</v>
      </c>
      <c r="N662" s="332" t="s">
        <v>39794</v>
      </c>
      <c r="O662" s="332">
        <f>ROUND(M662,2)</f>
        <v>162.21</v>
      </c>
    </row>
    <row r="663" spans="1:15" s="328" customFormat="1" x14ac:dyDescent="0.2">
      <c r="A663" s="535"/>
      <c r="B663" s="535"/>
      <c r="C663" s="535"/>
      <c r="D663" s="535"/>
      <c r="E663" s="535"/>
      <c r="F663" s="535"/>
      <c r="G663" s="535"/>
      <c r="H663" s="535"/>
      <c r="I663" s="535"/>
      <c r="J663" s="535"/>
      <c r="K663" s="535"/>
      <c r="L663" s="334" t="s">
        <v>39796</v>
      </c>
      <c r="M663" s="334" t="s">
        <v>39168</v>
      </c>
      <c r="N663" s="333" t="s">
        <v>39794</v>
      </c>
      <c r="O663" s="334">
        <f>SUM(O661:O662)</f>
        <v>162.21</v>
      </c>
    </row>
    <row r="664" spans="1:15" s="328" customFormat="1" x14ac:dyDescent="0.2">
      <c r="A664" s="329" t="s">
        <v>39791</v>
      </c>
      <c r="B664" s="542" t="s">
        <v>5917</v>
      </c>
      <c r="C664" s="542"/>
      <c r="D664" s="542"/>
      <c r="E664" s="542"/>
      <c r="F664" s="542"/>
      <c r="G664" s="542"/>
      <c r="H664" s="542"/>
      <c r="I664" s="542"/>
      <c r="J664" s="542"/>
      <c r="K664" s="542"/>
      <c r="L664" s="542"/>
      <c r="M664" s="542"/>
      <c r="N664" s="329" t="s">
        <v>39197</v>
      </c>
      <c r="O664" s="330" t="s">
        <v>39792</v>
      </c>
    </row>
    <row r="665" spans="1:15" s="328" customFormat="1" ht="35.25" customHeight="1" x14ac:dyDescent="0.2">
      <c r="A665" s="331" t="str">
        <f>ORCAMENTO!A79</f>
        <v>6.1.13</v>
      </c>
      <c r="B665" s="543" t="str">
        <f>VLOOKUP(A665,ORCAMENTO!A:I,4,0)</f>
        <v>CABO DE COBRE FLEXÍVEL ISOLADO, 35 MM², ANTI-CHAMA 0,6/1,0 KV, PARA REDE ENTERRADA DE DISTRIBUIÇÃO DE ENERGIA ELÉTRICA - FORNECIMENTO E INSTALAÇÃO. AF_12/2021</v>
      </c>
      <c r="C665" s="543"/>
      <c r="D665" s="543"/>
      <c r="E665" s="543"/>
      <c r="F665" s="543"/>
      <c r="G665" s="543"/>
      <c r="H665" s="543"/>
      <c r="I665" s="543"/>
      <c r="J665" s="543"/>
      <c r="K665" s="543"/>
      <c r="L665" s="543"/>
      <c r="M665" s="543"/>
      <c r="N665" s="331" t="str">
        <f>VLOOKUP(A665,ORCAMENTO!A:I,5,0)</f>
        <v>M</v>
      </c>
      <c r="O665" s="332">
        <f>O672</f>
        <v>648.84</v>
      </c>
    </row>
    <row r="666" spans="1:15" s="328" customFormat="1" x14ac:dyDescent="0.2">
      <c r="A666" s="539" t="s">
        <v>39793</v>
      </c>
      <c r="B666" s="539"/>
      <c r="C666" s="539"/>
      <c r="D666" s="539"/>
      <c r="E666" s="539"/>
      <c r="F666" s="539"/>
      <c r="G666" s="539"/>
      <c r="H666" s="539"/>
      <c r="I666" s="539"/>
      <c r="J666" s="539"/>
      <c r="K666" s="539"/>
      <c r="L666" s="539"/>
      <c r="M666" s="539"/>
      <c r="N666" s="539"/>
      <c r="O666" s="539"/>
    </row>
    <row r="667" spans="1:15" s="328" customFormat="1" x14ac:dyDescent="0.2">
      <c r="A667" s="539" t="s">
        <v>5917</v>
      </c>
      <c r="B667" s="539"/>
      <c r="C667" s="539"/>
      <c r="D667" s="333"/>
      <c r="E667" s="333"/>
      <c r="F667" s="333"/>
      <c r="G667" s="334"/>
      <c r="H667" s="333"/>
      <c r="I667" s="332"/>
      <c r="J667" s="331"/>
      <c r="K667" s="334"/>
      <c r="L667" s="333"/>
      <c r="M667" s="334" t="s">
        <v>39802</v>
      </c>
      <c r="N667" s="333" t="s">
        <v>39794</v>
      </c>
      <c r="O667" s="334" t="s">
        <v>39795</v>
      </c>
    </row>
    <row r="668" spans="1:15" s="328" customFormat="1" x14ac:dyDescent="0.2">
      <c r="A668" s="535" t="s">
        <v>47139</v>
      </c>
      <c r="B668" s="535"/>
      <c r="C668" s="535"/>
      <c r="D668" s="333"/>
      <c r="E668" s="333"/>
      <c r="F668" s="333"/>
      <c r="G668" s="334"/>
      <c r="H668" s="333"/>
      <c r="I668" s="332"/>
      <c r="J668" s="331"/>
      <c r="K668" s="334"/>
      <c r="L668" s="333"/>
      <c r="M668" s="339">
        <f>162.21</f>
        <v>162.21</v>
      </c>
      <c r="N668" s="332" t="s">
        <v>39794</v>
      </c>
      <c r="O668" s="332">
        <f>ROUND(M668,2)</f>
        <v>162.21</v>
      </c>
    </row>
    <row r="669" spans="1:15" s="328" customFormat="1" x14ac:dyDescent="0.2">
      <c r="A669" s="535" t="s">
        <v>47138</v>
      </c>
      <c r="B669" s="535"/>
      <c r="C669" s="535"/>
      <c r="D669" s="333"/>
      <c r="E669" s="333"/>
      <c r="F669" s="333"/>
      <c r="G669" s="334"/>
      <c r="H669" s="333"/>
      <c r="I669" s="332"/>
      <c r="J669" s="331"/>
      <c r="K669" s="334"/>
      <c r="L669" s="333"/>
      <c r="M669" s="339">
        <f t="shared" ref="M669:M671" si="50">162.21</f>
        <v>162.21</v>
      </c>
      <c r="N669" s="332" t="s">
        <v>39794</v>
      </c>
      <c r="O669" s="332">
        <f t="shared" ref="O669:O671" si="51">ROUND(M669,2)</f>
        <v>162.21</v>
      </c>
    </row>
    <row r="670" spans="1:15" s="328" customFormat="1" x14ac:dyDescent="0.2">
      <c r="A670" s="535" t="s">
        <v>47140</v>
      </c>
      <c r="B670" s="535"/>
      <c r="C670" s="535"/>
      <c r="D670" s="333"/>
      <c r="E670" s="333"/>
      <c r="F670" s="333"/>
      <c r="G670" s="334"/>
      <c r="H670" s="333"/>
      <c r="I670" s="332"/>
      <c r="J670" s="331"/>
      <c r="K670" s="334"/>
      <c r="L670" s="333"/>
      <c r="M670" s="339">
        <f t="shared" si="50"/>
        <v>162.21</v>
      </c>
      <c r="N670" s="332" t="s">
        <v>39794</v>
      </c>
      <c r="O670" s="332">
        <f t="shared" si="51"/>
        <v>162.21</v>
      </c>
    </row>
    <row r="671" spans="1:15" s="328" customFormat="1" x14ac:dyDescent="0.2">
      <c r="A671" s="535" t="s">
        <v>47141</v>
      </c>
      <c r="B671" s="535"/>
      <c r="C671" s="535"/>
      <c r="D671" s="335"/>
      <c r="E671" s="335"/>
      <c r="F671" s="335"/>
      <c r="G671" s="335"/>
      <c r="H671" s="335"/>
      <c r="I671" s="335"/>
      <c r="J671" s="335"/>
      <c r="K671" s="335"/>
      <c r="L671" s="335"/>
      <c r="M671" s="339">
        <f t="shared" si="50"/>
        <v>162.21</v>
      </c>
      <c r="N671" s="332" t="s">
        <v>39794</v>
      </c>
      <c r="O671" s="332">
        <f t="shared" si="51"/>
        <v>162.21</v>
      </c>
    </row>
    <row r="672" spans="1:15" s="328" customFormat="1" x14ac:dyDescent="0.2">
      <c r="A672" s="540"/>
      <c r="B672" s="540"/>
      <c r="C672" s="540"/>
      <c r="D672" s="540"/>
      <c r="E672" s="540"/>
      <c r="F672" s="540"/>
      <c r="G672" s="540"/>
      <c r="H672" s="540"/>
      <c r="I672" s="540"/>
      <c r="J672" s="540"/>
      <c r="K672" s="540"/>
      <c r="L672" s="334" t="s">
        <v>39796</v>
      </c>
      <c r="M672" s="334" t="s">
        <v>39168</v>
      </c>
      <c r="N672" s="333" t="s">
        <v>39794</v>
      </c>
      <c r="O672" s="334">
        <f>SUM(O667:O671)</f>
        <v>648.84</v>
      </c>
    </row>
    <row r="673" spans="1:15" s="328" customFormat="1" x14ac:dyDescent="0.2">
      <c r="A673" s="347" t="str">
        <f>ORCAMENTO!A81</f>
        <v>6.2</v>
      </c>
      <c r="B673" s="544" t="str">
        <f>VLOOKUP(A673,ORCAMENTO!A:I,4,0)</f>
        <v>CAIXAS, INTERRUPTORES E TOMADAS</v>
      </c>
      <c r="C673" s="544"/>
      <c r="D673" s="544"/>
      <c r="E673" s="544"/>
      <c r="F673" s="544"/>
      <c r="G673" s="544"/>
      <c r="H673" s="544"/>
      <c r="I673" s="544"/>
      <c r="J673" s="544"/>
      <c r="K673" s="544"/>
      <c r="L673" s="544"/>
      <c r="M673" s="544"/>
      <c r="N673" s="544"/>
      <c r="O673" s="544"/>
    </row>
    <row r="674" spans="1:15" s="328" customFormat="1" x14ac:dyDescent="0.2">
      <c r="A674" s="329" t="s">
        <v>39791</v>
      </c>
      <c r="B674" s="542" t="s">
        <v>5917</v>
      </c>
      <c r="C674" s="542"/>
      <c r="D674" s="542"/>
      <c r="E674" s="542"/>
      <c r="F674" s="542"/>
      <c r="G674" s="542"/>
      <c r="H674" s="542"/>
      <c r="I674" s="542"/>
      <c r="J674" s="542"/>
      <c r="K674" s="542"/>
      <c r="L674" s="542"/>
      <c r="M674" s="542"/>
      <c r="N674" s="329" t="s">
        <v>39197</v>
      </c>
      <c r="O674" s="330" t="s">
        <v>39792</v>
      </c>
    </row>
    <row r="675" spans="1:15" s="328" customFormat="1" ht="12.75" customHeight="1" x14ac:dyDescent="0.2">
      <c r="A675" s="331" t="str">
        <f>ORCAMENTO!A82</f>
        <v>6.2.1</v>
      </c>
      <c r="B675" s="543" t="str">
        <f>VLOOKUP(A675,ORCAMENTO!A:I,4,0)</f>
        <v>CAIXA DE EMBUTIR PVC - 4X2 RETANGULAR - FORNECIMENTO E INSTALAÇÃO</v>
      </c>
      <c r="C675" s="543"/>
      <c r="D675" s="543"/>
      <c r="E675" s="543"/>
      <c r="F675" s="543"/>
      <c r="G675" s="543"/>
      <c r="H675" s="543"/>
      <c r="I675" s="543"/>
      <c r="J675" s="543"/>
      <c r="K675" s="543"/>
      <c r="L675" s="543"/>
      <c r="M675" s="543"/>
      <c r="N675" s="331" t="str">
        <f>VLOOKUP(A675,ORCAMENTO!A:I,5,0)</f>
        <v>UN</v>
      </c>
      <c r="O675" s="332">
        <f>O679</f>
        <v>12</v>
      </c>
    </row>
    <row r="676" spans="1:15" s="328" customFormat="1" ht="12.75" customHeight="1" x14ac:dyDescent="0.2">
      <c r="A676" s="539" t="s">
        <v>39793</v>
      </c>
      <c r="B676" s="539"/>
      <c r="C676" s="539"/>
      <c r="D676" s="539"/>
      <c r="E676" s="539"/>
      <c r="F676" s="539"/>
      <c r="G676" s="539"/>
      <c r="H676" s="539"/>
      <c r="I676" s="539"/>
      <c r="J676" s="539"/>
      <c r="K676" s="539"/>
      <c r="L676" s="539"/>
      <c r="M676" s="539"/>
      <c r="N676" s="539"/>
      <c r="O676" s="539"/>
    </row>
    <row r="677" spans="1:15" s="328" customFormat="1" x14ac:dyDescent="0.2">
      <c r="A677" s="539" t="s">
        <v>5917</v>
      </c>
      <c r="B677" s="539"/>
      <c r="C677" s="539"/>
      <c r="D677" s="333"/>
      <c r="E677" s="333"/>
      <c r="F677" s="333"/>
      <c r="G677" s="334"/>
      <c r="H677" s="333"/>
      <c r="I677" s="334"/>
      <c r="J677" s="333"/>
      <c r="K677" s="334"/>
      <c r="L677" s="333"/>
      <c r="M677" s="334" t="s">
        <v>39792</v>
      </c>
      <c r="N677" s="333" t="s">
        <v>39794</v>
      </c>
      <c r="O677" s="334" t="s">
        <v>39795</v>
      </c>
    </row>
    <row r="678" spans="1:15" s="328" customFormat="1" x14ac:dyDescent="0.2">
      <c r="A678" s="535" t="s">
        <v>39801</v>
      </c>
      <c r="B678" s="535"/>
      <c r="C678" s="535"/>
      <c r="D678" s="333"/>
      <c r="E678" s="333"/>
      <c r="F678" s="333"/>
      <c r="G678" s="334"/>
      <c r="H678" s="333"/>
      <c r="I678" s="335"/>
      <c r="J678" s="332"/>
      <c r="K678" s="335"/>
      <c r="L678" s="332"/>
      <c r="M678" s="340">
        <f>12</f>
        <v>12</v>
      </c>
      <c r="N678" s="332" t="s">
        <v>39794</v>
      </c>
      <c r="O678" s="332">
        <f>ROUND(M678,2)</f>
        <v>12</v>
      </c>
    </row>
    <row r="679" spans="1:15" s="328" customFormat="1" x14ac:dyDescent="0.2">
      <c r="A679" s="540"/>
      <c r="B679" s="540"/>
      <c r="C679" s="540"/>
      <c r="D679" s="540"/>
      <c r="E679" s="540"/>
      <c r="F679" s="540"/>
      <c r="G679" s="540"/>
      <c r="H679" s="540"/>
      <c r="I679" s="540"/>
      <c r="J679" s="540"/>
      <c r="K679" s="540"/>
      <c r="L679" s="334" t="s">
        <v>39796</v>
      </c>
      <c r="M679" s="334" t="s">
        <v>39168</v>
      </c>
      <c r="N679" s="333" t="s">
        <v>39794</v>
      </c>
      <c r="O679" s="334">
        <f>SUM(O677:O678)</f>
        <v>12</v>
      </c>
    </row>
    <row r="680" spans="1:15" s="328" customFormat="1" x14ac:dyDescent="0.2">
      <c r="A680" s="329" t="s">
        <v>39791</v>
      </c>
      <c r="B680" s="542" t="s">
        <v>5917</v>
      </c>
      <c r="C680" s="542"/>
      <c r="D680" s="542"/>
      <c r="E680" s="542"/>
      <c r="F680" s="542"/>
      <c r="G680" s="542"/>
      <c r="H680" s="542"/>
      <c r="I680" s="542"/>
      <c r="J680" s="542"/>
      <c r="K680" s="542"/>
      <c r="L680" s="542"/>
      <c r="M680" s="542"/>
      <c r="N680" s="329" t="s">
        <v>39197</v>
      </c>
      <c r="O680" s="330" t="s">
        <v>39792</v>
      </c>
    </row>
    <row r="681" spans="1:15" s="328" customFormat="1" ht="12.75" customHeight="1" x14ac:dyDescent="0.2">
      <c r="A681" s="331" t="str">
        <f>ORCAMENTO!A83</f>
        <v>6.2.2</v>
      </c>
      <c r="B681" s="543" t="str">
        <f>VLOOKUP(A681,ORCAMENTO!A:I,4,0)</f>
        <v>CAIXA DE EMBUTIR PVC - 4X4 OCTOGONAL - FORNECIMENTO E INSTALAÇÃO</v>
      </c>
      <c r="C681" s="543"/>
      <c r="D681" s="543"/>
      <c r="E681" s="543"/>
      <c r="F681" s="543"/>
      <c r="G681" s="543"/>
      <c r="H681" s="543"/>
      <c r="I681" s="543"/>
      <c r="J681" s="543"/>
      <c r="K681" s="543"/>
      <c r="L681" s="543"/>
      <c r="M681" s="543"/>
      <c r="N681" s="331" t="str">
        <f>VLOOKUP(A681,ORCAMENTO!A:I,5,0)</f>
        <v>UN</v>
      </c>
      <c r="O681" s="332">
        <f>O685</f>
        <v>49</v>
      </c>
    </row>
    <row r="682" spans="1:15" s="328" customFormat="1" x14ac:dyDescent="0.2">
      <c r="A682" s="539" t="s">
        <v>39793</v>
      </c>
      <c r="B682" s="539"/>
      <c r="C682" s="539"/>
      <c r="D682" s="539"/>
      <c r="E682" s="539"/>
      <c r="F682" s="539"/>
      <c r="G682" s="539"/>
      <c r="H682" s="539"/>
      <c r="I682" s="539"/>
      <c r="J682" s="539"/>
      <c r="K682" s="539"/>
      <c r="L682" s="539"/>
      <c r="M682" s="539"/>
      <c r="N682" s="539"/>
      <c r="O682" s="539"/>
    </row>
    <row r="683" spans="1:15" s="328" customFormat="1" x14ac:dyDescent="0.2">
      <c r="A683" s="539" t="s">
        <v>5917</v>
      </c>
      <c r="B683" s="539"/>
      <c r="C683" s="539"/>
      <c r="D683" s="333"/>
      <c r="E683" s="333"/>
      <c r="F683" s="333"/>
      <c r="G683" s="334"/>
      <c r="H683" s="333"/>
      <c r="I683" s="334"/>
      <c r="J683" s="333"/>
      <c r="K683" s="334"/>
      <c r="L683" s="333"/>
      <c r="M683" s="334" t="s">
        <v>39792</v>
      </c>
      <c r="N683" s="333" t="s">
        <v>39794</v>
      </c>
      <c r="O683" s="334" t="s">
        <v>39795</v>
      </c>
    </row>
    <row r="684" spans="1:15" s="328" customFormat="1" x14ac:dyDescent="0.2">
      <c r="A684" s="535" t="s">
        <v>39801</v>
      </c>
      <c r="B684" s="535"/>
      <c r="C684" s="535"/>
      <c r="D684" s="333"/>
      <c r="E684" s="333"/>
      <c r="F684" s="333"/>
      <c r="G684" s="334"/>
      <c r="H684" s="333"/>
      <c r="I684" s="335"/>
      <c r="J684" s="332"/>
      <c r="K684" s="335"/>
      <c r="L684" s="332"/>
      <c r="M684" s="340">
        <f>49</f>
        <v>49</v>
      </c>
      <c r="N684" s="332" t="s">
        <v>39794</v>
      </c>
      <c r="O684" s="332">
        <f>ROUND(M684,2)</f>
        <v>49</v>
      </c>
    </row>
    <row r="685" spans="1:15" s="328" customFormat="1" x14ac:dyDescent="0.2">
      <c r="A685" s="540"/>
      <c r="B685" s="540"/>
      <c r="C685" s="540"/>
      <c r="D685" s="540"/>
      <c r="E685" s="540"/>
      <c r="F685" s="540"/>
      <c r="G685" s="540"/>
      <c r="H685" s="540"/>
      <c r="I685" s="540"/>
      <c r="J685" s="540"/>
      <c r="K685" s="540"/>
      <c r="L685" s="334" t="s">
        <v>39796</v>
      </c>
      <c r="M685" s="334" t="s">
        <v>39168</v>
      </c>
      <c r="N685" s="333" t="s">
        <v>39794</v>
      </c>
      <c r="O685" s="334">
        <f>SUM(O683:O684)</f>
        <v>49</v>
      </c>
    </row>
    <row r="686" spans="1:15" s="328" customFormat="1" x14ac:dyDescent="0.2">
      <c r="A686" s="329" t="s">
        <v>39791</v>
      </c>
      <c r="B686" s="542" t="s">
        <v>5917</v>
      </c>
      <c r="C686" s="542"/>
      <c r="D686" s="542"/>
      <c r="E686" s="542"/>
      <c r="F686" s="542"/>
      <c r="G686" s="542"/>
      <c r="H686" s="542"/>
      <c r="I686" s="542"/>
      <c r="J686" s="542"/>
      <c r="K686" s="542"/>
      <c r="L686" s="542"/>
      <c r="M686" s="542"/>
      <c r="N686" s="329" t="s">
        <v>39197</v>
      </c>
      <c r="O686" s="330" t="s">
        <v>39792</v>
      </c>
    </row>
    <row r="687" spans="1:15" s="328" customFormat="1" ht="12.75" customHeight="1" x14ac:dyDescent="0.2">
      <c r="A687" s="331" t="str">
        <f>ORCAMENTO!A84</f>
        <v>6.2.3</v>
      </c>
      <c r="B687" s="543" t="str">
        <f>VLOOKUP(A687,ORCAMENTO!A:I,4,0)</f>
        <v>CAIXA PASSAG. CHAPA C/TAMPA PARAF. 100X100X80MM - FORNECIMENTO E INSTALAÇÃO</v>
      </c>
      <c r="C687" s="543"/>
      <c r="D687" s="543"/>
      <c r="E687" s="543"/>
      <c r="F687" s="543"/>
      <c r="G687" s="543"/>
      <c r="H687" s="543"/>
      <c r="I687" s="543"/>
      <c r="J687" s="543"/>
      <c r="K687" s="543"/>
      <c r="L687" s="543"/>
      <c r="M687" s="543"/>
      <c r="N687" s="331" t="str">
        <f>VLOOKUP(A687,ORCAMENTO!A:I,5,0)</f>
        <v>UN</v>
      </c>
      <c r="O687" s="332">
        <f>O691</f>
        <v>13</v>
      </c>
    </row>
    <row r="688" spans="1:15" s="328" customFormat="1" x14ac:dyDescent="0.2">
      <c r="A688" s="539" t="s">
        <v>39793</v>
      </c>
      <c r="B688" s="539"/>
      <c r="C688" s="539"/>
      <c r="D688" s="539"/>
      <c r="E688" s="539"/>
      <c r="F688" s="539"/>
      <c r="G688" s="539"/>
      <c r="H688" s="539"/>
      <c r="I688" s="539"/>
      <c r="J688" s="539"/>
      <c r="K688" s="539"/>
      <c r="L688" s="539"/>
      <c r="M688" s="539"/>
      <c r="N688" s="539"/>
      <c r="O688" s="539"/>
    </row>
    <row r="689" spans="1:15" s="328" customFormat="1" x14ac:dyDescent="0.2">
      <c r="A689" s="539" t="s">
        <v>5917</v>
      </c>
      <c r="B689" s="539"/>
      <c r="C689" s="539"/>
      <c r="D689" s="333"/>
      <c r="E689" s="333"/>
      <c r="F689" s="333"/>
      <c r="G689" s="334"/>
      <c r="H689" s="333"/>
      <c r="I689" s="332"/>
      <c r="J689" s="331"/>
      <c r="K689" s="334"/>
      <c r="L689" s="333"/>
      <c r="M689" s="334" t="s">
        <v>39792</v>
      </c>
      <c r="N689" s="333" t="s">
        <v>39794</v>
      </c>
      <c r="O689" s="334" t="s">
        <v>39795</v>
      </c>
    </row>
    <row r="690" spans="1:15" s="328" customFormat="1" x14ac:dyDescent="0.2">
      <c r="A690" s="535" t="s">
        <v>39801</v>
      </c>
      <c r="B690" s="535"/>
      <c r="C690" s="535"/>
      <c r="D690" s="332"/>
      <c r="E690" s="332"/>
      <c r="F690" s="332"/>
      <c r="G690" s="332"/>
      <c r="H690" s="332"/>
      <c r="I690" s="332"/>
      <c r="J690" s="332"/>
      <c r="K690" s="332"/>
      <c r="L690" s="332"/>
      <c r="M690" s="340">
        <f>13</f>
        <v>13</v>
      </c>
      <c r="N690" s="332" t="s">
        <v>39794</v>
      </c>
      <c r="O690" s="332">
        <f>ROUND(M690,2)</f>
        <v>13</v>
      </c>
    </row>
    <row r="691" spans="1:15" s="328" customFormat="1" x14ac:dyDescent="0.2">
      <c r="A691" s="540"/>
      <c r="B691" s="540"/>
      <c r="C691" s="540"/>
      <c r="D691" s="540"/>
      <c r="E691" s="540"/>
      <c r="F691" s="540"/>
      <c r="G691" s="540"/>
      <c r="H691" s="540"/>
      <c r="I691" s="540"/>
      <c r="J691" s="540"/>
      <c r="K691" s="540"/>
      <c r="L691" s="334" t="s">
        <v>39796</v>
      </c>
      <c r="M691" s="334" t="s">
        <v>39168</v>
      </c>
      <c r="N691" s="333" t="s">
        <v>39794</v>
      </c>
      <c r="O691" s="334">
        <f>SUM(O689:O690)</f>
        <v>13</v>
      </c>
    </row>
    <row r="692" spans="1:15" s="328" customFormat="1" x14ac:dyDescent="0.2">
      <c r="A692" s="329" t="s">
        <v>39791</v>
      </c>
      <c r="B692" s="542" t="s">
        <v>5917</v>
      </c>
      <c r="C692" s="542"/>
      <c r="D692" s="542"/>
      <c r="E692" s="542"/>
      <c r="F692" s="542"/>
      <c r="G692" s="542"/>
      <c r="H692" s="542"/>
      <c r="I692" s="542"/>
      <c r="J692" s="542"/>
      <c r="K692" s="542"/>
      <c r="L692" s="542"/>
      <c r="M692" s="542"/>
      <c r="N692" s="329" t="s">
        <v>39197</v>
      </c>
      <c r="O692" s="330" t="s">
        <v>39792</v>
      </c>
    </row>
    <row r="693" spans="1:15" s="328" customFormat="1" ht="12.75" customHeight="1" x14ac:dyDescent="0.2">
      <c r="A693" s="331" t="str">
        <f>ORCAMENTO!A85</f>
        <v>6.2.4</v>
      </c>
      <c r="B693" s="543" t="str">
        <f>VLOOKUP(A693,ORCAMENTO!A:I,4,0)</f>
        <v>CAIXA PASSAG. CHAPA C/TAMPA PARAF. 200X200X100MM - FORNECIMENTO E INSTALAÇÃO</v>
      </c>
      <c r="C693" s="543"/>
      <c r="D693" s="543"/>
      <c r="E693" s="543"/>
      <c r="F693" s="543"/>
      <c r="G693" s="543"/>
      <c r="H693" s="543"/>
      <c r="I693" s="543"/>
      <c r="J693" s="543"/>
      <c r="K693" s="543"/>
      <c r="L693" s="543"/>
      <c r="M693" s="543"/>
      <c r="N693" s="331" t="str">
        <f>VLOOKUP(A693,ORCAMENTO!A:I,5,0)</f>
        <v>UN</v>
      </c>
      <c r="O693" s="332">
        <f>O697</f>
        <v>11</v>
      </c>
    </row>
    <row r="694" spans="1:15" s="328" customFormat="1" x14ac:dyDescent="0.2">
      <c r="A694" s="539" t="s">
        <v>39793</v>
      </c>
      <c r="B694" s="539"/>
      <c r="C694" s="539"/>
      <c r="D694" s="539"/>
      <c r="E694" s="539"/>
      <c r="F694" s="539"/>
      <c r="G694" s="539"/>
      <c r="H694" s="539"/>
      <c r="I694" s="539"/>
      <c r="J694" s="539"/>
      <c r="K694" s="539"/>
      <c r="L694" s="539"/>
      <c r="M694" s="539"/>
      <c r="N694" s="539"/>
      <c r="O694" s="539"/>
    </row>
    <row r="695" spans="1:15" s="328" customFormat="1" x14ac:dyDescent="0.2">
      <c r="A695" s="539" t="s">
        <v>5917</v>
      </c>
      <c r="B695" s="539"/>
      <c r="C695" s="539"/>
      <c r="D695" s="333"/>
      <c r="E695" s="333"/>
      <c r="F695" s="333"/>
      <c r="G695" s="334"/>
      <c r="H695" s="333"/>
      <c r="I695" s="332"/>
      <c r="J695" s="331"/>
      <c r="K695" s="334"/>
      <c r="L695" s="333"/>
      <c r="M695" s="334" t="s">
        <v>39792</v>
      </c>
      <c r="N695" s="333" t="s">
        <v>39794</v>
      </c>
      <c r="O695" s="334" t="s">
        <v>39795</v>
      </c>
    </row>
    <row r="696" spans="1:15" s="328" customFormat="1" x14ac:dyDescent="0.2">
      <c r="A696" s="535" t="s">
        <v>39801</v>
      </c>
      <c r="B696" s="535"/>
      <c r="C696" s="535"/>
      <c r="D696" s="332"/>
      <c r="E696" s="332"/>
      <c r="F696" s="332"/>
      <c r="G696" s="332"/>
      <c r="H696" s="332"/>
      <c r="I696" s="332"/>
      <c r="J696" s="332"/>
      <c r="K696" s="332"/>
      <c r="L696" s="332"/>
      <c r="M696" s="340">
        <f>11</f>
        <v>11</v>
      </c>
      <c r="N696" s="332" t="s">
        <v>39794</v>
      </c>
      <c r="O696" s="332">
        <f>ROUND(M696,2)</f>
        <v>11</v>
      </c>
    </row>
    <row r="697" spans="1:15" s="328" customFormat="1" x14ac:dyDescent="0.2">
      <c r="A697" s="540"/>
      <c r="B697" s="540"/>
      <c r="C697" s="540"/>
      <c r="D697" s="540"/>
      <c r="E697" s="540"/>
      <c r="F697" s="540"/>
      <c r="G697" s="540"/>
      <c r="H697" s="540"/>
      <c r="I697" s="540"/>
      <c r="J697" s="540"/>
      <c r="K697" s="540"/>
      <c r="L697" s="334" t="s">
        <v>39796</v>
      </c>
      <c r="M697" s="334" t="s">
        <v>39168</v>
      </c>
      <c r="N697" s="333" t="s">
        <v>39794</v>
      </c>
      <c r="O697" s="334">
        <f>SUM(O695:O696)</f>
        <v>11</v>
      </c>
    </row>
    <row r="698" spans="1:15" s="328" customFormat="1" x14ac:dyDescent="0.2">
      <c r="A698" s="329" t="s">
        <v>39791</v>
      </c>
      <c r="B698" s="542" t="s">
        <v>5917</v>
      </c>
      <c r="C698" s="542"/>
      <c r="D698" s="542"/>
      <c r="E698" s="542"/>
      <c r="F698" s="542"/>
      <c r="G698" s="542"/>
      <c r="H698" s="542"/>
      <c r="I698" s="542"/>
      <c r="J698" s="542"/>
      <c r="K698" s="542"/>
      <c r="L698" s="542"/>
      <c r="M698" s="542"/>
      <c r="N698" s="329" t="s">
        <v>39197</v>
      </c>
      <c r="O698" s="330" t="s">
        <v>39792</v>
      </c>
    </row>
    <row r="699" spans="1:15" s="328" customFormat="1" ht="39.950000000000003" customHeight="1" x14ac:dyDescent="0.2">
      <c r="A699" s="331" t="str">
        <f>ORCAMENTO!A86</f>
        <v>6.2.5</v>
      </c>
      <c r="B699" s="543" t="str">
        <f>VLOOKUP(A699,ORCAMENTO!A:I,4,0)</f>
        <v>CAIXA ENTERRADA ELÉTRICA RETANGULAR, EM ALVENARIA COM BLOCOS DE CONCRETO, FUNDO COM BRITA, DIMENSÕES INTERNAS: 0,4X0,4X0,4 M. AF_12/2020</v>
      </c>
      <c r="C699" s="543"/>
      <c r="D699" s="543"/>
      <c r="E699" s="543"/>
      <c r="F699" s="543"/>
      <c r="G699" s="543"/>
      <c r="H699" s="543"/>
      <c r="I699" s="543"/>
      <c r="J699" s="543"/>
      <c r="K699" s="543"/>
      <c r="L699" s="543"/>
      <c r="M699" s="543"/>
      <c r="N699" s="331" t="str">
        <f>VLOOKUP(A699,ORCAMENTO!A:I,5,0)</f>
        <v>UN</v>
      </c>
      <c r="O699" s="332">
        <f>O703</f>
        <v>9</v>
      </c>
    </row>
    <row r="700" spans="1:15" s="328" customFormat="1" x14ac:dyDescent="0.2">
      <c r="A700" s="539" t="s">
        <v>39793</v>
      </c>
      <c r="B700" s="539"/>
      <c r="C700" s="539"/>
      <c r="D700" s="539"/>
      <c r="E700" s="539"/>
      <c r="F700" s="539"/>
      <c r="G700" s="539"/>
      <c r="H700" s="539"/>
      <c r="I700" s="539"/>
      <c r="J700" s="539"/>
      <c r="K700" s="539"/>
      <c r="L700" s="539"/>
      <c r="M700" s="539"/>
      <c r="N700" s="539"/>
      <c r="O700" s="539"/>
    </row>
    <row r="701" spans="1:15" s="328" customFormat="1" x14ac:dyDescent="0.2">
      <c r="A701" s="539" t="s">
        <v>5917</v>
      </c>
      <c r="B701" s="539"/>
      <c r="C701" s="539"/>
      <c r="D701" s="333"/>
      <c r="E701" s="333"/>
      <c r="F701" s="333"/>
      <c r="G701" s="334"/>
      <c r="H701" s="333"/>
      <c r="I701" s="332"/>
      <c r="J701" s="331"/>
      <c r="K701" s="334"/>
      <c r="L701" s="333"/>
      <c r="M701" s="334" t="s">
        <v>39792</v>
      </c>
      <c r="N701" s="333" t="s">
        <v>39794</v>
      </c>
      <c r="O701" s="334" t="s">
        <v>39795</v>
      </c>
    </row>
    <row r="702" spans="1:15" s="328" customFormat="1" x14ac:dyDescent="0.2">
      <c r="A702" s="535" t="s">
        <v>39801</v>
      </c>
      <c r="B702" s="535"/>
      <c r="C702" s="535"/>
      <c r="D702" s="332"/>
      <c r="E702" s="332"/>
      <c r="F702" s="332"/>
      <c r="G702" s="332"/>
      <c r="H702" s="332"/>
      <c r="I702" s="332"/>
      <c r="J702" s="332"/>
      <c r="K702" s="332"/>
      <c r="L702" s="332"/>
      <c r="M702" s="340">
        <f>9</f>
        <v>9</v>
      </c>
      <c r="N702" s="332" t="s">
        <v>39794</v>
      </c>
      <c r="O702" s="332">
        <f>ROUND(M702,2)</f>
        <v>9</v>
      </c>
    </row>
    <row r="703" spans="1:15" s="328" customFormat="1" x14ac:dyDescent="0.2">
      <c r="A703" s="540"/>
      <c r="B703" s="540"/>
      <c r="C703" s="540"/>
      <c r="D703" s="540"/>
      <c r="E703" s="540"/>
      <c r="F703" s="540"/>
      <c r="G703" s="540"/>
      <c r="H703" s="540"/>
      <c r="I703" s="540"/>
      <c r="J703" s="540"/>
      <c r="K703" s="540"/>
      <c r="L703" s="334" t="s">
        <v>39796</v>
      </c>
      <c r="M703" s="334" t="s">
        <v>39168</v>
      </c>
      <c r="N703" s="333" t="s">
        <v>39794</v>
      </c>
      <c r="O703" s="334">
        <f>SUM(O701:O702)</f>
        <v>9</v>
      </c>
    </row>
    <row r="704" spans="1:15" s="328" customFormat="1" x14ac:dyDescent="0.2">
      <c r="A704" s="329" t="s">
        <v>39791</v>
      </c>
      <c r="B704" s="542" t="s">
        <v>5917</v>
      </c>
      <c r="C704" s="542"/>
      <c r="D704" s="542"/>
      <c r="E704" s="542"/>
      <c r="F704" s="542"/>
      <c r="G704" s="542"/>
      <c r="H704" s="542"/>
      <c r="I704" s="542"/>
      <c r="J704" s="542"/>
      <c r="K704" s="542"/>
      <c r="L704" s="542"/>
      <c r="M704" s="542"/>
      <c r="N704" s="329" t="s">
        <v>39197</v>
      </c>
      <c r="O704" s="330" t="s">
        <v>39792</v>
      </c>
    </row>
    <row r="705" spans="1:15" s="328" customFormat="1" x14ac:dyDescent="0.2">
      <c r="A705" s="331" t="str">
        <f>ORCAMENTO!A87</f>
        <v>6.2.6</v>
      </c>
      <c r="B705" s="543" t="str">
        <f>VLOOKUP(A705,ORCAMENTO!A:I,4,0)</f>
        <v>INTERRUPTOR SIMPLES (1 MÓDULO), 10A/250V, INCLUINDO SUPORTE E PLACA - FORNECIMENTO E INSTALAÇÃO. AF_03/2023</v>
      </c>
      <c r="C705" s="543"/>
      <c r="D705" s="543"/>
      <c r="E705" s="543"/>
      <c r="F705" s="543"/>
      <c r="G705" s="543"/>
      <c r="H705" s="543"/>
      <c r="I705" s="543"/>
      <c r="J705" s="543"/>
      <c r="K705" s="543"/>
      <c r="L705" s="543"/>
      <c r="M705" s="543"/>
      <c r="N705" s="331" t="str">
        <f>VLOOKUP(A705,ORCAMENTO!A:I,5,0)</f>
        <v>UN</v>
      </c>
      <c r="O705" s="332">
        <f>O709</f>
        <v>5</v>
      </c>
    </row>
    <row r="706" spans="1:15" s="328" customFormat="1" x14ac:dyDescent="0.2">
      <c r="A706" s="539" t="s">
        <v>39793</v>
      </c>
      <c r="B706" s="539"/>
      <c r="C706" s="539"/>
      <c r="D706" s="539"/>
      <c r="E706" s="539"/>
      <c r="F706" s="539"/>
      <c r="G706" s="539"/>
      <c r="H706" s="539"/>
      <c r="I706" s="539"/>
      <c r="J706" s="539"/>
      <c r="K706" s="539"/>
      <c r="L706" s="539"/>
      <c r="M706" s="539"/>
      <c r="N706" s="539"/>
      <c r="O706" s="539"/>
    </row>
    <row r="707" spans="1:15" s="328" customFormat="1" x14ac:dyDescent="0.2">
      <c r="A707" s="539" t="s">
        <v>5917</v>
      </c>
      <c r="B707" s="539"/>
      <c r="C707" s="539"/>
      <c r="D707" s="333"/>
      <c r="E707" s="333"/>
      <c r="F707" s="333"/>
      <c r="G707" s="334"/>
      <c r="H707" s="333"/>
      <c r="I707" s="332"/>
      <c r="J707" s="331"/>
      <c r="K707" s="334"/>
      <c r="L707" s="333"/>
      <c r="M707" s="334" t="s">
        <v>39792</v>
      </c>
      <c r="N707" s="333" t="s">
        <v>39794</v>
      </c>
      <c r="O707" s="334" t="s">
        <v>39795</v>
      </c>
    </row>
    <row r="708" spans="1:15" s="328" customFormat="1" x14ac:dyDescent="0.2">
      <c r="A708" s="535" t="s">
        <v>39801</v>
      </c>
      <c r="B708" s="535"/>
      <c r="C708" s="535"/>
      <c r="D708" s="332"/>
      <c r="E708" s="332"/>
      <c r="F708" s="332"/>
      <c r="G708" s="332"/>
      <c r="H708" s="332"/>
      <c r="I708" s="332"/>
      <c r="J708" s="332"/>
      <c r="K708" s="332"/>
      <c r="L708" s="332"/>
      <c r="M708" s="340">
        <f>5</f>
        <v>5</v>
      </c>
      <c r="N708" s="332" t="s">
        <v>39794</v>
      </c>
      <c r="O708" s="332">
        <f>ROUND(M708,2)</f>
        <v>5</v>
      </c>
    </row>
    <row r="709" spans="1:15" s="328" customFormat="1" x14ac:dyDescent="0.2">
      <c r="A709" s="540"/>
      <c r="B709" s="540"/>
      <c r="C709" s="540"/>
      <c r="D709" s="540"/>
      <c r="E709" s="540"/>
      <c r="F709" s="540"/>
      <c r="G709" s="540"/>
      <c r="H709" s="540"/>
      <c r="I709" s="540"/>
      <c r="J709" s="540"/>
      <c r="K709" s="540"/>
      <c r="L709" s="334" t="s">
        <v>39796</v>
      </c>
      <c r="M709" s="334" t="s">
        <v>39168</v>
      </c>
      <c r="N709" s="333" t="s">
        <v>39794</v>
      </c>
      <c r="O709" s="334">
        <f>SUM(O707:O708)</f>
        <v>5</v>
      </c>
    </row>
    <row r="710" spans="1:15" s="328" customFormat="1" x14ac:dyDescent="0.2">
      <c r="A710" s="329" t="s">
        <v>39791</v>
      </c>
      <c r="B710" s="542" t="s">
        <v>5917</v>
      </c>
      <c r="C710" s="542"/>
      <c r="D710" s="542"/>
      <c r="E710" s="542"/>
      <c r="F710" s="542"/>
      <c r="G710" s="542"/>
      <c r="H710" s="542"/>
      <c r="I710" s="542"/>
      <c r="J710" s="542"/>
      <c r="K710" s="542"/>
      <c r="L710" s="542"/>
      <c r="M710" s="542"/>
      <c r="N710" s="329" t="s">
        <v>39197</v>
      </c>
      <c r="O710" s="330" t="s">
        <v>39792</v>
      </c>
    </row>
    <row r="711" spans="1:15" s="328" customFormat="1" ht="35.1" customHeight="1" x14ac:dyDescent="0.2">
      <c r="A711" s="331" t="str">
        <f>ORCAMENTO!A88</f>
        <v>6.2.7</v>
      </c>
      <c r="B711" s="543" t="str">
        <f>VLOOKUP(A711,ORCAMENTO!A:I,4,0)</f>
        <v>INTERRUPTOR SIMPLES (2 MÓDULOS), 10A/250V, INCLUINDO SUPORTE E PLACA - FORNECIMENTO E INSTALAÇÃO. AF_03/2023</v>
      </c>
      <c r="C711" s="543"/>
      <c r="D711" s="543"/>
      <c r="E711" s="543"/>
      <c r="F711" s="543"/>
      <c r="G711" s="543"/>
      <c r="H711" s="543"/>
      <c r="I711" s="543"/>
      <c r="J711" s="543"/>
      <c r="K711" s="543"/>
      <c r="L711" s="543"/>
      <c r="M711" s="543"/>
      <c r="N711" s="331" t="str">
        <f>VLOOKUP(A711,ORCAMENTO!A:I,5,0)</f>
        <v>UN</v>
      </c>
      <c r="O711" s="332">
        <f>O715</f>
        <v>4</v>
      </c>
    </row>
    <row r="712" spans="1:15" s="328" customFormat="1" x14ac:dyDescent="0.2">
      <c r="A712" s="539" t="s">
        <v>39793</v>
      </c>
      <c r="B712" s="539"/>
      <c r="C712" s="539"/>
      <c r="D712" s="539"/>
      <c r="E712" s="539"/>
      <c r="F712" s="539"/>
      <c r="G712" s="539"/>
      <c r="H712" s="539"/>
      <c r="I712" s="539"/>
      <c r="J712" s="539"/>
      <c r="K712" s="539"/>
      <c r="L712" s="539"/>
      <c r="M712" s="539"/>
      <c r="N712" s="539"/>
      <c r="O712" s="539"/>
    </row>
    <row r="713" spans="1:15" s="328" customFormat="1" x14ac:dyDescent="0.2">
      <c r="A713" s="539" t="s">
        <v>5917</v>
      </c>
      <c r="B713" s="539"/>
      <c r="C713" s="539"/>
      <c r="D713" s="333"/>
      <c r="E713" s="333"/>
      <c r="F713" s="333"/>
      <c r="G713" s="334"/>
      <c r="H713" s="333"/>
      <c r="I713" s="332"/>
      <c r="J713" s="331"/>
      <c r="K713" s="334"/>
      <c r="L713" s="333"/>
      <c r="M713" s="334" t="s">
        <v>39792</v>
      </c>
      <c r="N713" s="333" t="s">
        <v>39794</v>
      </c>
      <c r="O713" s="334" t="s">
        <v>39795</v>
      </c>
    </row>
    <row r="714" spans="1:15" s="328" customFormat="1" x14ac:dyDescent="0.2">
      <c r="A714" s="535" t="s">
        <v>39801</v>
      </c>
      <c r="B714" s="535"/>
      <c r="C714" s="535"/>
      <c r="D714" s="332"/>
      <c r="E714" s="332"/>
      <c r="F714" s="332"/>
      <c r="G714" s="332"/>
      <c r="H714" s="332"/>
      <c r="I714" s="332"/>
      <c r="J714" s="332"/>
      <c r="K714" s="332"/>
      <c r="L714" s="332"/>
      <c r="M714" s="340">
        <f>4</f>
        <v>4</v>
      </c>
      <c r="N714" s="332" t="s">
        <v>39794</v>
      </c>
      <c r="O714" s="332">
        <f>ROUND(M714,2)</f>
        <v>4</v>
      </c>
    </row>
    <row r="715" spans="1:15" s="328" customFormat="1" x14ac:dyDescent="0.2">
      <c r="A715" s="540"/>
      <c r="B715" s="540"/>
      <c r="C715" s="540"/>
      <c r="D715" s="540"/>
      <c r="E715" s="540"/>
      <c r="F715" s="540"/>
      <c r="G715" s="540"/>
      <c r="H715" s="540"/>
      <c r="I715" s="540"/>
      <c r="J715" s="540"/>
      <c r="K715" s="540"/>
      <c r="L715" s="334" t="s">
        <v>39796</v>
      </c>
      <c r="M715" s="334" t="s">
        <v>39168</v>
      </c>
      <c r="N715" s="333" t="s">
        <v>39794</v>
      </c>
      <c r="O715" s="334">
        <f>SUM(O713:O714)</f>
        <v>4</v>
      </c>
    </row>
    <row r="716" spans="1:15" s="328" customFormat="1" x14ac:dyDescent="0.2">
      <c r="A716" s="329" t="s">
        <v>39791</v>
      </c>
      <c r="B716" s="542" t="s">
        <v>5917</v>
      </c>
      <c r="C716" s="542"/>
      <c r="D716" s="542"/>
      <c r="E716" s="542"/>
      <c r="F716" s="542"/>
      <c r="G716" s="542"/>
      <c r="H716" s="542"/>
      <c r="I716" s="542"/>
      <c r="J716" s="542"/>
      <c r="K716" s="542"/>
      <c r="L716" s="542"/>
      <c r="M716" s="542"/>
      <c r="N716" s="329" t="s">
        <v>39197</v>
      </c>
      <c r="O716" s="330" t="s">
        <v>39792</v>
      </c>
    </row>
    <row r="717" spans="1:15" s="328" customFormat="1" ht="35.1" customHeight="1" x14ac:dyDescent="0.2">
      <c r="A717" s="331" t="str">
        <f>ORCAMENTO!A89</f>
        <v>6.2.8</v>
      </c>
      <c r="B717" s="543" t="str">
        <f>VLOOKUP(A717,ORCAMENTO!A:I,4,0)</f>
        <v>INTERRUPTOR SIMPLES (3 MÓDULOS), 10A/250V, INCLUINDO SUPORTE E PLACA - FORNECIMENTO E INSTALAÇÃO. AF_03/2023</v>
      </c>
      <c r="C717" s="543"/>
      <c r="D717" s="543"/>
      <c r="E717" s="543"/>
      <c r="F717" s="543"/>
      <c r="G717" s="543"/>
      <c r="H717" s="543"/>
      <c r="I717" s="543"/>
      <c r="J717" s="543"/>
      <c r="K717" s="543"/>
      <c r="L717" s="543"/>
      <c r="M717" s="543"/>
      <c r="N717" s="331" t="str">
        <f>VLOOKUP(A717,ORCAMENTO!A:I,5,0)</f>
        <v>UN</v>
      </c>
      <c r="O717" s="332">
        <f>O721</f>
        <v>5</v>
      </c>
    </row>
    <row r="718" spans="1:15" s="328" customFormat="1" x14ac:dyDescent="0.2">
      <c r="A718" s="539" t="s">
        <v>39793</v>
      </c>
      <c r="B718" s="539"/>
      <c r="C718" s="539"/>
      <c r="D718" s="539"/>
      <c r="E718" s="539"/>
      <c r="F718" s="539"/>
      <c r="G718" s="539"/>
      <c r="H718" s="539"/>
      <c r="I718" s="539"/>
      <c r="J718" s="539"/>
      <c r="K718" s="539"/>
      <c r="L718" s="539"/>
      <c r="M718" s="539"/>
      <c r="N718" s="539"/>
      <c r="O718" s="539"/>
    </row>
    <row r="719" spans="1:15" s="328" customFormat="1" x14ac:dyDescent="0.2">
      <c r="A719" s="539" t="s">
        <v>5917</v>
      </c>
      <c r="B719" s="539"/>
      <c r="C719" s="539"/>
      <c r="D719" s="333"/>
      <c r="E719" s="333"/>
      <c r="F719" s="333"/>
      <c r="G719" s="334"/>
      <c r="H719" s="333"/>
      <c r="I719" s="332"/>
      <c r="J719" s="331"/>
      <c r="K719" s="334"/>
      <c r="L719" s="333"/>
      <c r="M719" s="334" t="s">
        <v>39792</v>
      </c>
      <c r="N719" s="333" t="s">
        <v>39794</v>
      </c>
      <c r="O719" s="334" t="s">
        <v>39795</v>
      </c>
    </row>
    <row r="720" spans="1:15" s="328" customFormat="1" x14ac:dyDescent="0.2">
      <c r="A720" s="535" t="s">
        <v>39801</v>
      </c>
      <c r="B720" s="535"/>
      <c r="C720" s="535"/>
      <c r="D720" s="332"/>
      <c r="E720" s="332"/>
      <c r="F720" s="332"/>
      <c r="G720" s="332"/>
      <c r="H720" s="332"/>
      <c r="I720" s="332"/>
      <c r="J720" s="332"/>
      <c r="K720" s="332"/>
      <c r="L720" s="332"/>
      <c r="M720" s="340">
        <f>5</f>
        <v>5</v>
      </c>
      <c r="N720" s="332" t="s">
        <v>39794</v>
      </c>
      <c r="O720" s="332">
        <f>ROUND(M720,2)</f>
        <v>5</v>
      </c>
    </row>
    <row r="721" spans="1:15" s="328" customFormat="1" x14ac:dyDescent="0.2">
      <c r="A721" s="540"/>
      <c r="B721" s="540"/>
      <c r="C721" s="540"/>
      <c r="D721" s="540"/>
      <c r="E721" s="540"/>
      <c r="F721" s="540"/>
      <c r="G721" s="540"/>
      <c r="H721" s="540"/>
      <c r="I721" s="540"/>
      <c r="J721" s="540"/>
      <c r="K721" s="540"/>
      <c r="L721" s="334" t="s">
        <v>39796</v>
      </c>
      <c r="M721" s="334" t="s">
        <v>39168</v>
      </c>
      <c r="N721" s="333" t="s">
        <v>39794</v>
      </c>
      <c r="O721" s="334">
        <f>SUM(O719:O720)</f>
        <v>5</v>
      </c>
    </row>
    <row r="722" spans="1:15" s="328" customFormat="1" x14ac:dyDescent="0.2">
      <c r="A722" s="329" t="s">
        <v>39791</v>
      </c>
      <c r="B722" s="542" t="s">
        <v>5917</v>
      </c>
      <c r="C722" s="542"/>
      <c r="D722" s="542"/>
      <c r="E722" s="542"/>
      <c r="F722" s="542"/>
      <c r="G722" s="542"/>
      <c r="H722" s="542"/>
      <c r="I722" s="542"/>
      <c r="J722" s="542"/>
      <c r="K722" s="542"/>
      <c r="L722" s="542"/>
      <c r="M722" s="542"/>
      <c r="N722" s="329" t="s">
        <v>39197</v>
      </c>
      <c r="O722" s="330" t="s">
        <v>39792</v>
      </c>
    </row>
    <row r="723" spans="1:15" s="328" customFormat="1" ht="12.75" customHeight="1" x14ac:dyDescent="0.2">
      <c r="A723" s="331" t="str">
        <f>ORCAMENTO!A90</f>
        <v>6.2.9</v>
      </c>
      <c r="B723" s="543" t="str">
        <f>VLOOKUP(A723,ORCAMENTO!A:I,4,0)</f>
        <v>TOMADA BAIXA DE EMBUTIR (1 MÓDULO), 2P+T 10 A, INCLUINDO SUPORTE E PLACA - FORNECIMENTO E INSTALAÇÃO. AF_03/2023</v>
      </c>
      <c r="C723" s="543"/>
      <c r="D723" s="543"/>
      <c r="E723" s="543"/>
      <c r="F723" s="543"/>
      <c r="G723" s="543"/>
      <c r="H723" s="543"/>
      <c r="I723" s="543"/>
      <c r="J723" s="543"/>
      <c r="K723" s="543"/>
      <c r="L723" s="543"/>
      <c r="M723" s="543"/>
      <c r="N723" s="331" t="str">
        <f>VLOOKUP(A723,ORCAMENTO!A:I,5,0)</f>
        <v>UN</v>
      </c>
      <c r="O723" s="332">
        <f>O727</f>
        <v>2</v>
      </c>
    </row>
    <row r="724" spans="1:15" s="328" customFormat="1" x14ac:dyDescent="0.2">
      <c r="A724" s="539" t="s">
        <v>39793</v>
      </c>
      <c r="B724" s="539"/>
      <c r="C724" s="539"/>
      <c r="D724" s="539"/>
      <c r="E724" s="539"/>
      <c r="F724" s="539"/>
      <c r="G724" s="539"/>
      <c r="H724" s="539"/>
      <c r="I724" s="539"/>
      <c r="J724" s="539"/>
      <c r="K724" s="539"/>
      <c r="L724" s="539"/>
      <c r="M724" s="539"/>
      <c r="N724" s="539"/>
      <c r="O724" s="539"/>
    </row>
    <row r="725" spans="1:15" s="328" customFormat="1" x14ac:dyDescent="0.2">
      <c r="A725" s="539" t="s">
        <v>5917</v>
      </c>
      <c r="B725" s="539"/>
      <c r="C725" s="539"/>
      <c r="D725" s="333"/>
      <c r="E725" s="333"/>
      <c r="F725" s="333"/>
      <c r="G725" s="334"/>
      <c r="H725" s="333"/>
      <c r="I725" s="332"/>
      <c r="J725" s="331"/>
      <c r="K725" s="334"/>
      <c r="L725" s="333"/>
      <c r="M725" s="334" t="s">
        <v>39792</v>
      </c>
      <c r="N725" s="333" t="s">
        <v>39794</v>
      </c>
      <c r="O725" s="334" t="s">
        <v>39795</v>
      </c>
    </row>
    <row r="726" spans="1:15" s="328" customFormat="1" x14ac:dyDescent="0.2">
      <c r="A726" s="535" t="s">
        <v>39801</v>
      </c>
      <c r="B726" s="535"/>
      <c r="C726" s="535"/>
      <c r="D726" s="332"/>
      <c r="E726" s="332"/>
      <c r="F726" s="332"/>
      <c r="G726" s="332"/>
      <c r="H726" s="332"/>
      <c r="I726" s="332"/>
      <c r="J726" s="332"/>
      <c r="K726" s="332"/>
      <c r="L726" s="332"/>
      <c r="M726" s="340">
        <f>2</f>
        <v>2</v>
      </c>
      <c r="N726" s="332" t="s">
        <v>39794</v>
      </c>
      <c r="O726" s="332">
        <f>ROUND(M726,2)</f>
        <v>2</v>
      </c>
    </row>
    <row r="727" spans="1:15" s="328" customFormat="1" x14ac:dyDescent="0.2">
      <c r="A727" s="540"/>
      <c r="B727" s="540"/>
      <c r="C727" s="540"/>
      <c r="D727" s="540"/>
      <c r="E727" s="540"/>
      <c r="F727" s="540"/>
      <c r="G727" s="540"/>
      <c r="H727" s="540"/>
      <c r="I727" s="540"/>
      <c r="J727" s="540"/>
      <c r="K727" s="540"/>
      <c r="L727" s="334" t="s">
        <v>39796</v>
      </c>
      <c r="M727" s="334" t="s">
        <v>39168</v>
      </c>
      <c r="N727" s="333" t="s">
        <v>39794</v>
      </c>
      <c r="O727" s="334">
        <f>SUM(O725:O726)</f>
        <v>2</v>
      </c>
    </row>
    <row r="728" spans="1:15" s="328" customFormat="1" x14ac:dyDescent="0.2">
      <c r="A728" s="329" t="s">
        <v>39791</v>
      </c>
      <c r="B728" s="542" t="s">
        <v>5917</v>
      </c>
      <c r="C728" s="542"/>
      <c r="D728" s="542"/>
      <c r="E728" s="542"/>
      <c r="F728" s="542"/>
      <c r="G728" s="542"/>
      <c r="H728" s="542"/>
      <c r="I728" s="542"/>
      <c r="J728" s="542"/>
      <c r="K728" s="542"/>
      <c r="L728" s="542"/>
      <c r="M728" s="542"/>
      <c r="N728" s="329" t="s">
        <v>39197</v>
      </c>
      <c r="O728" s="330" t="s">
        <v>39792</v>
      </c>
    </row>
    <row r="729" spans="1:15" s="328" customFormat="1" ht="12.75" customHeight="1" x14ac:dyDescent="0.2">
      <c r="A729" s="331" t="str">
        <f>ORCAMENTO!A91</f>
        <v>6.2.10</v>
      </c>
      <c r="B729" s="543" t="str">
        <f>VLOOKUP(A729,ORCAMENTO!A:I,4,0)</f>
        <v>TOMADA MÉDIA DE EMBUTIR (2 MÓDULOS), 2P+T 10 A, INCLUINDO SUPORTE E PLACA - FORNECIMENTO E INSTALAÇÃO. AF_03/2023</v>
      </c>
      <c r="C729" s="543"/>
      <c r="D729" s="543"/>
      <c r="E729" s="543"/>
      <c r="F729" s="543"/>
      <c r="G729" s="543"/>
      <c r="H729" s="543"/>
      <c r="I729" s="543"/>
      <c r="J729" s="543"/>
      <c r="K729" s="543"/>
      <c r="L729" s="543"/>
      <c r="M729" s="543"/>
      <c r="N729" s="331" t="str">
        <f>VLOOKUP(A729,ORCAMENTO!A:I,5,0)</f>
        <v>UN</v>
      </c>
      <c r="O729" s="332">
        <f>O733</f>
        <v>40</v>
      </c>
    </row>
    <row r="730" spans="1:15" s="328" customFormat="1" x14ac:dyDescent="0.2">
      <c r="A730" s="539" t="s">
        <v>39793</v>
      </c>
      <c r="B730" s="539"/>
      <c r="C730" s="539"/>
      <c r="D730" s="539"/>
      <c r="E730" s="539"/>
      <c r="F730" s="539"/>
      <c r="G730" s="539"/>
      <c r="H730" s="539"/>
      <c r="I730" s="539"/>
      <c r="J730" s="539"/>
      <c r="K730" s="539"/>
      <c r="L730" s="539"/>
      <c r="M730" s="539"/>
      <c r="N730" s="539"/>
      <c r="O730" s="539"/>
    </row>
    <row r="731" spans="1:15" s="328" customFormat="1" x14ac:dyDescent="0.2">
      <c r="A731" s="539" t="s">
        <v>5917</v>
      </c>
      <c r="B731" s="539"/>
      <c r="C731" s="539"/>
      <c r="D731" s="333"/>
      <c r="E731" s="333"/>
      <c r="F731" s="333"/>
      <c r="G731" s="334"/>
      <c r="H731" s="333"/>
      <c r="I731" s="332"/>
      <c r="J731" s="331"/>
      <c r="K731" s="334"/>
      <c r="L731" s="333"/>
      <c r="M731" s="334" t="s">
        <v>39792</v>
      </c>
      <c r="N731" s="333" t="s">
        <v>39794</v>
      </c>
      <c r="O731" s="334" t="s">
        <v>39795</v>
      </c>
    </row>
    <row r="732" spans="1:15" s="328" customFormat="1" x14ac:dyDescent="0.2">
      <c r="A732" s="535" t="s">
        <v>39801</v>
      </c>
      <c r="B732" s="535"/>
      <c r="C732" s="535"/>
      <c r="D732" s="332"/>
      <c r="E732" s="332"/>
      <c r="F732" s="332"/>
      <c r="G732" s="332"/>
      <c r="H732" s="332"/>
      <c r="I732" s="332"/>
      <c r="J732" s="332"/>
      <c r="K732" s="332"/>
      <c r="L732" s="332"/>
      <c r="M732" s="340">
        <f>40</f>
        <v>40</v>
      </c>
      <c r="N732" s="332" t="s">
        <v>39794</v>
      </c>
      <c r="O732" s="332">
        <f>ROUND(M732,2)</f>
        <v>40</v>
      </c>
    </row>
    <row r="733" spans="1:15" s="328" customFormat="1" x14ac:dyDescent="0.2">
      <c r="A733" s="540"/>
      <c r="B733" s="540"/>
      <c r="C733" s="540"/>
      <c r="D733" s="540"/>
      <c r="E733" s="540"/>
      <c r="F733" s="540"/>
      <c r="G733" s="540"/>
      <c r="H733" s="540"/>
      <c r="I733" s="540"/>
      <c r="J733" s="540"/>
      <c r="K733" s="540"/>
      <c r="L733" s="334" t="s">
        <v>39796</v>
      </c>
      <c r="M733" s="334" t="s">
        <v>39168</v>
      </c>
      <c r="N733" s="333" t="s">
        <v>39794</v>
      </c>
      <c r="O733" s="334">
        <f>SUM(O731:O732)</f>
        <v>40</v>
      </c>
    </row>
    <row r="734" spans="1:15" s="328" customFormat="1" x14ac:dyDescent="0.2">
      <c r="A734" s="329" t="s">
        <v>39791</v>
      </c>
      <c r="B734" s="542" t="s">
        <v>5917</v>
      </c>
      <c r="C734" s="542"/>
      <c r="D734" s="542"/>
      <c r="E734" s="542"/>
      <c r="F734" s="542"/>
      <c r="G734" s="542"/>
      <c r="H734" s="542"/>
      <c r="I734" s="542"/>
      <c r="J734" s="542"/>
      <c r="K734" s="542"/>
      <c r="L734" s="542"/>
      <c r="M734" s="542"/>
      <c r="N734" s="329" t="s">
        <v>39197</v>
      </c>
      <c r="O734" s="330" t="s">
        <v>39792</v>
      </c>
    </row>
    <row r="735" spans="1:15" s="328" customFormat="1" ht="35.1" customHeight="1" x14ac:dyDescent="0.2">
      <c r="A735" s="331" t="str">
        <f>ORCAMENTO!A92</f>
        <v>6.2.11</v>
      </c>
      <c r="B735" s="543" t="str">
        <f>VLOOKUP(A735,ORCAMENTO!A:I,4,0)</f>
        <v>TOMADA ALTA DE EMBUTIR (1 MÓDULO), 2P+T 10 A, INCLUINDO SUPORTE E PLACA - FORNECIMENTO E INSTALAÇÃO. AF_03/2023</v>
      </c>
      <c r="C735" s="543"/>
      <c r="D735" s="543"/>
      <c r="E735" s="543"/>
      <c r="F735" s="543"/>
      <c r="G735" s="543"/>
      <c r="H735" s="543"/>
      <c r="I735" s="543"/>
      <c r="J735" s="543"/>
      <c r="K735" s="543"/>
      <c r="L735" s="543"/>
      <c r="M735" s="543"/>
      <c r="N735" s="331" t="str">
        <f>VLOOKUP(A735,ORCAMENTO!A:I,5,0)</f>
        <v>UN</v>
      </c>
      <c r="O735" s="332">
        <f>O739</f>
        <v>15</v>
      </c>
    </row>
    <row r="736" spans="1:15" s="328" customFormat="1" x14ac:dyDescent="0.2">
      <c r="A736" s="539" t="s">
        <v>39793</v>
      </c>
      <c r="B736" s="539"/>
      <c r="C736" s="539"/>
      <c r="D736" s="539"/>
      <c r="E736" s="539"/>
      <c r="F736" s="539"/>
      <c r="G736" s="539"/>
      <c r="H736" s="539"/>
      <c r="I736" s="539"/>
      <c r="J736" s="539"/>
      <c r="K736" s="539"/>
      <c r="L736" s="539"/>
      <c r="M736" s="539"/>
      <c r="N736" s="539"/>
      <c r="O736" s="539"/>
    </row>
    <row r="737" spans="1:15" s="328" customFormat="1" x14ac:dyDescent="0.2">
      <c r="A737" s="539" t="s">
        <v>5917</v>
      </c>
      <c r="B737" s="539"/>
      <c r="C737" s="539"/>
      <c r="D737" s="333"/>
      <c r="E737" s="333"/>
      <c r="F737" s="333"/>
      <c r="G737" s="334"/>
      <c r="H737" s="333"/>
      <c r="I737" s="332"/>
      <c r="J737" s="331"/>
      <c r="K737" s="334"/>
      <c r="L737" s="333"/>
      <c r="M737" s="334" t="s">
        <v>39792</v>
      </c>
      <c r="N737" s="333" t="s">
        <v>39794</v>
      </c>
      <c r="O737" s="334" t="s">
        <v>39795</v>
      </c>
    </row>
    <row r="738" spans="1:15" s="328" customFormat="1" x14ac:dyDescent="0.2">
      <c r="A738" s="535" t="s">
        <v>39801</v>
      </c>
      <c r="B738" s="535"/>
      <c r="C738" s="535"/>
      <c r="D738" s="332"/>
      <c r="E738" s="332"/>
      <c r="F738" s="332"/>
      <c r="G738" s="332"/>
      <c r="H738" s="332"/>
      <c r="I738" s="332"/>
      <c r="J738" s="332"/>
      <c r="K738" s="332"/>
      <c r="L738" s="332"/>
      <c r="M738" s="339">
        <f>15</f>
        <v>15</v>
      </c>
      <c r="N738" s="332" t="s">
        <v>39794</v>
      </c>
      <c r="O738" s="332">
        <f>ROUND(M738,2)</f>
        <v>15</v>
      </c>
    </row>
    <row r="739" spans="1:15" s="328" customFormat="1" x14ac:dyDescent="0.2">
      <c r="A739" s="540"/>
      <c r="B739" s="540"/>
      <c r="C739" s="540"/>
      <c r="D739" s="540"/>
      <c r="E739" s="540"/>
      <c r="F739" s="540"/>
      <c r="G739" s="540"/>
      <c r="H739" s="540"/>
      <c r="I739" s="540"/>
      <c r="J739" s="540"/>
      <c r="K739" s="540"/>
      <c r="L739" s="334" t="s">
        <v>39796</v>
      </c>
      <c r="M739" s="334" t="s">
        <v>39168</v>
      </c>
      <c r="N739" s="333" t="s">
        <v>39794</v>
      </c>
      <c r="O739" s="334">
        <f>SUM(O737:O738)</f>
        <v>15</v>
      </c>
    </row>
    <row r="740" spans="1:15" s="328" customFormat="1" x14ac:dyDescent="0.2">
      <c r="A740" s="347" t="str">
        <f>ORCAMENTO!A94</f>
        <v>6.3</v>
      </c>
      <c r="B740" s="568" t="str">
        <f>VLOOKUP(A740,ORCAMENTO!A:I,4,0)</f>
        <v>LUMINÁRIAS E REFLETORES</v>
      </c>
      <c r="C740" s="568"/>
      <c r="D740" s="568"/>
      <c r="E740" s="568"/>
      <c r="F740" s="568"/>
      <c r="G740" s="568"/>
      <c r="H740" s="568"/>
      <c r="I740" s="568"/>
      <c r="J740" s="568"/>
      <c r="K740" s="568"/>
      <c r="L740" s="568"/>
      <c r="M740" s="568"/>
      <c r="N740" s="568"/>
      <c r="O740" s="568"/>
    </row>
    <row r="741" spans="1:15" s="328" customFormat="1" x14ac:dyDescent="0.2">
      <c r="A741" s="329" t="s">
        <v>39791</v>
      </c>
      <c r="B741" s="542" t="s">
        <v>5917</v>
      </c>
      <c r="C741" s="542"/>
      <c r="D741" s="542"/>
      <c r="E741" s="542"/>
      <c r="F741" s="542"/>
      <c r="G741" s="542"/>
      <c r="H741" s="542"/>
      <c r="I741" s="542"/>
      <c r="J741" s="542"/>
      <c r="K741" s="542"/>
      <c r="L741" s="542"/>
      <c r="M741" s="542"/>
      <c r="N741" s="329" t="s">
        <v>39197</v>
      </c>
      <c r="O741" s="330" t="s">
        <v>39792</v>
      </c>
    </row>
    <row r="742" spans="1:15" s="328" customFormat="1" ht="45" customHeight="1" x14ac:dyDescent="0.2">
      <c r="A742" s="331" t="str">
        <f>ORCAMENTO!A95</f>
        <v>6.3.1</v>
      </c>
      <c r="B742" s="543" t="str">
        <f>VLOOKUP(A742,ORCAMENTO!A:I,4,0)</f>
        <v>LUMINÁRIA DE EMBUTIR CILÍNDRICA COM CORPO EM CHAPA DE AÇO FOSFATIZADA E PINTADA ELETROSTATICAMENTE E REFLETOR REPUXADO EM ALUMÍNIO ANODIZADO, COM VIDRO JATEADO CENTRAL PARA DUAS LÂMPADAS FLUORESCENTES COMPACTAS 20W, COMPLETA</v>
      </c>
      <c r="C742" s="543"/>
      <c r="D742" s="543"/>
      <c r="E742" s="543"/>
      <c r="F742" s="543"/>
      <c r="G742" s="543"/>
      <c r="H742" s="543"/>
      <c r="I742" s="543"/>
      <c r="J742" s="543"/>
      <c r="K742" s="543"/>
      <c r="L742" s="543"/>
      <c r="M742" s="543"/>
      <c r="N742" s="331" t="str">
        <f>VLOOKUP(A742,ORCAMENTO!A:I,5,0)</f>
        <v>UN</v>
      </c>
      <c r="O742" s="332">
        <f>O746</f>
        <v>49</v>
      </c>
    </row>
    <row r="743" spans="1:15" s="328" customFormat="1" x14ac:dyDescent="0.2">
      <c r="A743" s="539" t="s">
        <v>39793</v>
      </c>
      <c r="B743" s="539"/>
      <c r="C743" s="539"/>
      <c r="D743" s="539"/>
      <c r="E743" s="539"/>
      <c r="F743" s="539"/>
      <c r="G743" s="539"/>
      <c r="H743" s="539"/>
      <c r="I743" s="539"/>
      <c r="J743" s="539"/>
      <c r="K743" s="539"/>
      <c r="L743" s="539"/>
      <c r="M743" s="539"/>
      <c r="N743" s="539"/>
      <c r="O743" s="539"/>
    </row>
    <row r="744" spans="1:15" s="328" customFormat="1" x14ac:dyDescent="0.2">
      <c r="A744" s="539" t="s">
        <v>5917</v>
      </c>
      <c r="B744" s="539"/>
      <c r="C744" s="539"/>
      <c r="D744" s="333"/>
      <c r="E744" s="333"/>
      <c r="F744" s="333"/>
      <c r="G744" s="334"/>
      <c r="H744" s="333"/>
      <c r="I744" s="332"/>
      <c r="J744" s="331"/>
      <c r="K744" s="334"/>
      <c r="L744" s="333"/>
      <c r="M744" s="334" t="s">
        <v>39792</v>
      </c>
      <c r="N744" s="333" t="s">
        <v>39794</v>
      </c>
      <c r="O744" s="334" t="s">
        <v>39795</v>
      </c>
    </row>
    <row r="745" spans="1:15" s="328" customFormat="1" x14ac:dyDescent="0.2">
      <c r="A745" s="535" t="s">
        <v>39801</v>
      </c>
      <c r="B745" s="535"/>
      <c r="C745" s="535"/>
      <c r="D745" s="332"/>
      <c r="E745" s="332"/>
      <c r="F745" s="332"/>
      <c r="G745" s="332"/>
      <c r="H745" s="332"/>
      <c r="I745" s="332"/>
      <c r="J745" s="332"/>
      <c r="K745" s="332"/>
      <c r="L745" s="332"/>
      <c r="M745" s="339">
        <f>49</f>
        <v>49</v>
      </c>
      <c r="N745" s="332" t="s">
        <v>39794</v>
      </c>
      <c r="O745" s="332">
        <f>ROUND(M745,2)</f>
        <v>49</v>
      </c>
    </row>
    <row r="746" spans="1:15" s="328" customFormat="1" x14ac:dyDescent="0.2">
      <c r="A746" s="540"/>
      <c r="B746" s="540"/>
      <c r="C746" s="540"/>
      <c r="D746" s="540"/>
      <c r="E746" s="540"/>
      <c r="F746" s="540"/>
      <c r="G746" s="540"/>
      <c r="H746" s="540"/>
      <c r="I746" s="540"/>
      <c r="J746" s="540"/>
      <c r="K746" s="540"/>
      <c r="L746" s="334" t="s">
        <v>39796</v>
      </c>
      <c r="M746" s="334" t="s">
        <v>39168</v>
      </c>
      <c r="N746" s="333" t="s">
        <v>39794</v>
      </c>
      <c r="O746" s="334">
        <f>SUM(O744:O745)</f>
        <v>49</v>
      </c>
    </row>
    <row r="747" spans="1:15" s="328" customFormat="1" x14ac:dyDescent="0.2">
      <c r="A747" s="329" t="s">
        <v>39791</v>
      </c>
      <c r="B747" s="542" t="s">
        <v>5917</v>
      </c>
      <c r="C747" s="542"/>
      <c r="D747" s="542"/>
      <c r="E747" s="542"/>
      <c r="F747" s="542"/>
      <c r="G747" s="542"/>
      <c r="H747" s="542"/>
      <c r="I747" s="542"/>
      <c r="J747" s="542"/>
      <c r="K747" s="542"/>
      <c r="L747" s="542"/>
      <c r="M747" s="542"/>
      <c r="N747" s="329" t="s">
        <v>39197</v>
      </c>
      <c r="O747" s="330" t="s">
        <v>39792</v>
      </c>
    </row>
    <row r="748" spans="1:15" s="328" customFormat="1" x14ac:dyDescent="0.2">
      <c r="A748" s="331" t="str">
        <f>ORCAMENTO!A96</f>
        <v>6.3.2</v>
      </c>
      <c r="B748" s="543" t="str">
        <f>VLOOKUP(A748,ORCAMENTO!A:I,4,0)</f>
        <v>LUMINARIA LED REFLETOR RETANGULAR BIVOLT, LUZ BRANCA, 50 W - FORNECIMENTO E INSTALAÇÃO</v>
      </c>
      <c r="C748" s="543"/>
      <c r="D748" s="543"/>
      <c r="E748" s="543"/>
      <c r="F748" s="543"/>
      <c r="G748" s="543"/>
      <c r="H748" s="543"/>
      <c r="I748" s="543"/>
      <c r="J748" s="543"/>
      <c r="K748" s="543"/>
      <c r="L748" s="543"/>
      <c r="M748" s="543"/>
      <c r="N748" s="331" t="str">
        <f>VLOOKUP(A748,ORCAMENTO!A:I,5,0)</f>
        <v>UN</v>
      </c>
      <c r="O748" s="332">
        <f>O752</f>
        <v>12</v>
      </c>
    </row>
    <row r="749" spans="1:15" s="328" customFormat="1" x14ac:dyDescent="0.2">
      <c r="A749" s="539" t="s">
        <v>39793</v>
      </c>
      <c r="B749" s="539"/>
      <c r="C749" s="539"/>
      <c r="D749" s="539"/>
      <c r="E749" s="539"/>
      <c r="F749" s="539"/>
      <c r="G749" s="539"/>
      <c r="H749" s="539"/>
      <c r="I749" s="539"/>
      <c r="J749" s="539"/>
      <c r="K749" s="539"/>
      <c r="L749" s="539"/>
      <c r="M749" s="539"/>
      <c r="N749" s="539"/>
      <c r="O749" s="539"/>
    </row>
    <row r="750" spans="1:15" s="328" customFormat="1" x14ac:dyDescent="0.2">
      <c r="A750" s="539" t="s">
        <v>5917</v>
      </c>
      <c r="B750" s="539"/>
      <c r="C750" s="539"/>
      <c r="D750" s="333"/>
      <c r="E750" s="333"/>
      <c r="F750" s="333"/>
      <c r="G750" s="334"/>
      <c r="H750" s="333"/>
      <c r="I750" s="332"/>
      <c r="J750" s="331"/>
      <c r="K750" s="334"/>
      <c r="L750" s="333"/>
      <c r="M750" s="334" t="s">
        <v>39792</v>
      </c>
      <c r="N750" s="333" t="s">
        <v>39794</v>
      </c>
      <c r="O750" s="334" t="s">
        <v>39795</v>
      </c>
    </row>
    <row r="751" spans="1:15" s="328" customFormat="1" x14ac:dyDescent="0.2">
      <c r="A751" s="535" t="s">
        <v>39801</v>
      </c>
      <c r="B751" s="535"/>
      <c r="C751" s="535"/>
      <c r="D751" s="332"/>
      <c r="E751" s="332"/>
      <c r="F751" s="332"/>
      <c r="G751" s="332"/>
      <c r="H751" s="332"/>
      <c r="I751" s="332"/>
      <c r="J751" s="332"/>
      <c r="K751" s="332"/>
      <c r="L751" s="332"/>
      <c r="M751" s="339">
        <f>12</f>
        <v>12</v>
      </c>
      <c r="N751" s="332" t="s">
        <v>39794</v>
      </c>
      <c r="O751" s="332">
        <f>ROUND(M751,2)</f>
        <v>12</v>
      </c>
    </row>
    <row r="752" spans="1:15" s="328" customFormat="1" x14ac:dyDescent="0.2">
      <c r="A752" s="540"/>
      <c r="B752" s="540"/>
      <c r="C752" s="540"/>
      <c r="D752" s="540"/>
      <c r="E752" s="540"/>
      <c r="F752" s="540"/>
      <c r="G752" s="540"/>
      <c r="H752" s="540"/>
      <c r="I752" s="540"/>
      <c r="J752" s="540"/>
      <c r="K752" s="540"/>
      <c r="L752" s="334" t="s">
        <v>39796</v>
      </c>
      <c r="M752" s="334" t="s">
        <v>39168</v>
      </c>
      <c r="N752" s="333" t="s">
        <v>39794</v>
      </c>
      <c r="O752" s="334">
        <f>SUM(O750:O751)</f>
        <v>12</v>
      </c>
    </row>
    <row r="753" spans="1:15" s="328" customFormat="1" x14ac:dyDescent="0.2">
      <c r="A753" s="329" t="s">
        <v>39791</v>
      </c>
      <c r="B753" s="542" t="s">
        <v>5917</v>
      </c>
      <c r="C753" s="542"/>
      <c r="D753" s="542"/>
      <c r="E753" s="542"/>
      <c r="F753" s="542"/>
      <c r="G753" s="542"/>
      <c r="H753" s="542"/>
      <c r="I753" s="542"/>
      <c r="J753" s="542"/>
      <c r="K753" s="542"/>
      <c r="L753" s="542"/>
      <c r="M753" s="542"/>
      <c r="N753" s="329" t="s">
        <v>39197</v>
      </c>
      <c r="O753" s="330" t="s">
        <v>39792</v>
      </c>
    </row>
    <row r="754" spans="1:15" s="328" customFormat="1" x14ac:dyDescent="0.2">
      <c r="A754" s="331" t="str">
        <f>ORCAMENTO!A97</f>
        <v>6.3.3</v>
      </c>
      <c r="B754" s="543" t="str">
        <f>VLOOKUP(A754,ORCAMENTO!A:I,4,0)</f>
        <v>LUMINÁRIA TIPO PLAFON REDONDA, DE EMBUTIR, COM LED DE 18 W - FORNECIMENTO E INSTALAÇÃO</v>
      </c>
      <c r="C754" s="543"/>
      <c r="D754" s="543"/>
      <c r="E754" s="543"/>
      <c r="F754" s="543"/>
      <c r="G754" s="543"/>
      <c r="H754" s="543"/>
      <c r="I754" s="543"/>
      <c r="J754" s="543"/>
      <c r="K754" s="543"/>
      <c r="L754" s="543"/>
      <c r="M754" s="543"/>
      <c r="N754" s="331" t="str">
        <f>VLOOKUP(A754,ORCAMENTO!A:I,5,0)</f>
        <v>UN</v>
      </c>
      <c r="O754" s="332">
        <f>O758</f>
        <v>5</v>
      </c>
    </row>
    <row r="755" spans="1:15" s="328" customFormat="1" x14ac:dyDescent="0.2">
      <c r="A755" s="539" t="s">
        <v>39793</v>
      </c>
      <c r="B755" s="539"/>
      <c r="C755" s="539"/>
      <c r="D755" s="539"/>
      <c r="E755" s="539"/>
      <c r="F755" s="539"/>
      <c r="G755" s="539"/>
      <c r="H755" s="539"/>
      <c r="I755" s="539"/>
      <c r="J755" s="539"/>
      <c r="K755" s="539"/>
      <c r="L755" s="539"/>
      <c r="M755" s="539"/>
      <c r="N755" s="539"/>
      <c r="O755" s="539"/>
    </row>
    <row r="756" spans="1:15" s="328" customFormat="1" x14ac:dyDescent="0.2">
      <c r="A756" s="539" t="s">
        <v>5917</v>
      </c>
      <c r="B756" s="539"/>
      <c r="C756" s="539"/>
      <c r="D756" s="333"/>
      <c r="E756" s="333"/>
      <c r="F756" s="333"/>
      <c r="G756" s="334"/>
      <c r="H756" s="333"/>
      <c r="I756" s="332"/>
      <c r="J756" s="331"/>
      <c r="K756" s="334"/>
      <c r="L756" s="333"/>
      <c r="M756" s="334" t="s">
        <v>39792</v>
      </c>
      <c r="N756" s="333" t="s">
        <v>39794</v>
      </c>
      <c r="O756" s="334" t="s">
        <v>39795</v>
      </c>
    </row>
    <row r="757" spans="1:15" s="328" customFormat="1" x14ac:dyDescent="0.2">
      <c r="A757" s="535" t="s">
        <v>39801</v>
      </c>
      <c r="B757" s="535"/>
      <c r="C757" s="535"/>
      <c r="D757" s="332"/>
      <c r="E757" s="332"/>
      <c r="F757" s="332"/>
      <c r="G757" s="332"/>
      <c r="H757" s="332"/>
      <c r="I757" s="332"/>
      <c r="J757" s="332"/>
      <c r="K757" s="332"/>
      <c r="L757" s="332"/>
      <c r="M757" s="339">
        <f>5</f>
        <v>5</v>
      </c>
      <c r="N757" s="332" t="s">
        <v>39794</v>
      </c>
      <c r="O757" s="332">
        <f>ROUND(M757,2)</f>
        <v>5</v>
      </c>
    </row>
    <row r="758" spans="1:15" s="328" customFormat="1" x14ac:dyDescent="0.2">
      <c r="A758" s="540"/>
      <c r="B758" s="540"/>
      <c r="C758" s="540"/>
      <c r="D758" s="540"/>
      <c r="E758" s="540"/>
      <c r="F758" s="540"/>
      <c r="G758" s="540"/>
      <c r="H758" s="540"/>
      <c r="I758" s="540"/>
      <c r="J758" s="540"/>
      <c r="K758" s="540"/>
      <c r="L758" s="334" t="s">
        <v>39796</v>
      </c>
      <c r="M758" s="334" t="s">
        <v>39168</v>
      </c>
      <c r="N758" s="333" t="s">
        <v>39794</v>
      </c>
      <c r="O758" s="334">
        <f>SUM(O756:O757)</f>
        <v>5</v>
      </c>
    </row>
    <row r="759" spans="1:15" s="328" customFormat="1" x14ac:dyDescent="0.2">
      <c r="A759" s="329" t="s">
        <v>39791</v>
      </c>
      <c r="B759" s="542" t="s">
        <v>5917</v>
      </c>
      <c r="C759" s="542"/>
      <c r="D759" s="542"/>
      <c r="E759" s="542"/>
      <c r="F759" s="542"/>
      <c r="G759" s="542"/>
      <c r="H759" s="542"/>
      <c r="I759" s="542"/>
      <c r="J759" s="542"/>
      <c r="K759" s="542"/>
      <c r="L759" s="542"/>
      <c r="M759" s="542"/>
      <c r="N759" s="329" t="s">
        <v>39197</v>
      </c>
      <c r="O759" s="330" t="s">
        <v>39792</v>
      </c>
    </row>
    <row r="760" spans="1:15" s="328" customFormat="1" x14ac:dyDescent="0.2">
      <c r="A760" s="331" t="str">
        <f>ORCAMENTO!A98</f>
        <v>6.3.4</v>
      </c>
      <c r="B760" s="543" t="str">
        <f>VLOOKUP(A760,ORCAMENTO!A:I,4,0)</f>
        <v>LUMINÁRIA DE EMERGÊNCIA, COM 30 LÂMPADAS LED DE 2 W, SEM REATOR - FORNECIMENTO E INSTALAÇÃO. AF_09/2024</v>
      </c>
      <c r="C760" s="543"/>
      <c r="D760" s="543"/>
      <c r="E760" s="543"/>
      <c r="F760" s="543"/>
      <c r="G760" s="543"/>
      <c r="H760" s="543"/>
      <c r="I760" s="543"/>
      <c r="J760" s="543"/>
      <c r="K760" s="543"/>
      <c r="L760" s="543"/>
      <c r="M760" s="543"/>
      <c r="N760" s="331" t="str">
        <f>VLOOKUP(A760,ORCAMENTO!A:I,5,0)</f>
        <v>UN</v>
      </c>
      <c r="O760" s="332">
        <f>O764</f>
        <v>15</v>
      </c>
    </row>
    <row r="761" spans="1:15" s="328" customFormat="1" x14ac:dyDescent="0.2">
      <c r="A761" s="539" t="s">
        <v>39793</v>
      </c>
      <c r="B761" s="539"/>
      <c r="C761" s="539"/>
      <c r="D761" s="539"/>
      <c r="E761" s="539"/>
      <c r="F761" s="539"/>
      <c r="G761" s="539"/>
      <c r="H761" s="539"/>
      <c r="I761" s="539"/>
      <c r="J761" s="539"/>
      <c r="K761" s="539"/>
      <c r="L761" s="539"/>
      <c r="M761" s="539"/>
      <c r="N761" s="539"/>
      <c r="O761" s="539"/>
    </row>
    <row r="762" spans="1:15" s="328" customFormat="1" x14ac:dyDescent="0.2">
      <c r="A762" s="539" t="s">
        <v>5917</v>
      </c>
      <c r="B762" s="539"/>
      <c r="C762" s="539"/>
      <c r="D762" s="333"/>
      <c r="E762" s="333"/>
      <c r="F762" s="333"/>
      <c r="G762" s="334"/>
      <c r="H762" s="333"/>
      <c r="I762" s="332"/>
      <c r="J762" s="331"/>
      <c r="K762" s="334"/>
      <c r="L762" s="333"/>
      <c r="M762" s="334" t="s">
        <v>39792</v>
      </c>
      <c r="N762" s="333" t="s">
        <v>39794</v>
      </c>
      <c r="O762" s="334" t="s">
        <v>39795</v>
      </c>
    </row>
    <row r="763" spans="1:15" s="328" customFormat="1" x14ac:dyDescent="0.2">
      <c r="A763" s="535" t="s">
        <v>39801</v>
      </c>
      <c r="B763" s="535"/>
      <c r="C763" s="535"/>
      <c r="D763" s="332"/>
      <c r="E763" s="332"/>
      <c r="F763" s="332"/>
      <c r="G763" s="332"/>
      <c r="H763" s="332"/>
      <c r="I763" s="332"/>
      <c r="J763" s="332"/>
      <c r="K763" s="332"/>
      <c r="L763" s="332"/>
      <c r="M763" s="339">
        <f>15</f>
        <v>15</v>
      </c>
      <c r="N763" s="332" t="s">
        <v>39794</v>
      </c>
      <c r="O763" s="332">
        <f>ROUND(M763,2)</f>
        <v>15</v>
      </c>
    </row>
    <row r="764" spans="1:15" s="328" customFormat="1" x14ac:dyDescent="0.2">
      <c r="A764" s="540"/>
      <c r="B764" s="540"/>
      <c r="C764" s="540"/>
      <c r="D764" s="540"/>
      <c r="E764" s="540"/>
      <c r="F764" s="540"/>
      <c r="G764" s="540"/>
      <c r="H764" s="540"/>
      <c r="I764" s="540"/>
      <c r="J764" s="540"/>
      <c r="K764" s="540"/>
      <c r="L764" s="334" t="s">
        <v>39796</v>
      </c>
      <c r="M764" s="334" t="s">
        <v>39168</v>
      </c>
      <c r="N764" s="333" t="s">
        <v>39794</v>
      </c>
      <c r="O764" s="334">
        <f>SUM(O762:O763)</f>
        <v>15</v>
      </c>
    </row>
    <row r="765" spans="1:15" s="328" customFormat="1" x14ac:dyDescent="0.2">
      <c r="A765" s="347" t="str">
        <f>ORCAMENTO!A100</f>
        <v>6.4</v>
      </c>
      <c r="B765" s="568" t="str">
        <f>VLOOKUP(A765,ORCAMENTO!A:I,4,0)</f>
        <v>QUADROS E DISJUNTORES</v>
      </c>
      <c r="C765" s="568"/>
      <c r="D765" s="568"/>
      <c r="E765" s="568"/>
      <c r="F765" s="568"/>
      <c r="G765" s="568"/>
      <c r="H765" s="568"/>
      <c r="I765" s="568"/>
      <c r="J765" s="568"/>
      <c r="K765" s="568"/>
      <c r="L765" s="568"/>
      <c r="M765" s="568"/>
      <c r="N765" s="568"/>
      <c r="O765" s="568"/>
    </row>
    <row r="766" spans="1:15" s="328" customFormat="1" x14ac:dyDescent="0.2">
      <c r="A766" s="329" t="s">
        <v>39791</v>
      </c>
      <c r="B766" s="542" t="s">
        <v>5917</v>
      </c>
      <c r="C766" s="542"/>
      <c r="D766" s="542"/>
      <c r="E766" s="542"/>
      <c r="F766" s="542"/>
      <c r="G766" s="542"/>
      <c r="H766" s="542"/>
      <c r="I766" s="542"/>
      <c r="J766" s="542"/>
      <c r="K766" s="542"/>
      <c r="L766" s="542"/>
      <c r="M766" s="542"/>
      <c r="N766" s="329" t="s">
        <v>39197</v>
      </c>
      <c r="O766" s="330" t="s">
        <v>39792</v>
      </c>
    </row>
    <row r="767" spans="1:15" s="328" customFormat="1" ht="35.1" customHeight="1" x14ac:dyDescent="0.2">
      <c r="A767" s="331" t="str">
        <f>ORCAMENTO!A101</f>
        <v>6.4.1</v>
      </c>
      <c r="B767" s="543" t="str">
        <f>VLOOKUP(A767,ORCAMENTO!A:I,4,0)</f>
        <v>QUADRO DE DISTRIBUIÇÃO DE ENERGIA EM CHAPA DE AÇO GALVANIZADO, DE EMBUTIR, COM BARRAMENTO TRIFÁSICO, PARA 40 DISJUNTORES DIN 100A - FORNECIMENTO E INSTALAÇÃO. AF_10/2020</v>
      </c>
      <c r="C767" s="543"/>
      <c r="D767" s="543"/>
      <c r="E767" s="543"/>
      <c r="F767" s="543"/>
      <c r="G767" s="543"/>
      <c r="H767" s="543"/>
      <c r="I767" s="543"/>
      <c r="J767" s="543"/>
      <c r="K767" s="543"/>
      <c r="L767" s="543"/>
      <c r="M767" s="543"/>
      <c r="N767" s="331" t="str">
        <f>VLOOKUP(A767,ORCAMENTO!A:I,5,0)</f>
        <v>UN</v>
      </c>
      <c r="O767" s="332">
        <f>O771</f>
        <v>2</v>
      </c>
    </row>
    <row r="768" spans="1:15" s="328" customFormat="1" x14ac:dyDescent="0.2">
      <c r="A768" s="539" t="s">
        <v>39793</v>
      </c>
      <c r="B768" s="539"/>
      <c r="C768" s="539"/>
      <c r="D768" s="539"/>
      <c r="E768" s="539"/>
      <c r="F768" s="539"/>
      <c r="G768" s="539"/>
      <c r="H768" s="539"/>
      <c r="I768" s="539"/>
      <c r="J768" s="539"/>
      <c r="K768" s="539"/>
      <c r="L768" s="539"/>
      <c r="M768" s="539"/>
      <c r="N768" s="539"/>
      <c r="O768" s="539"/>
    </row>
    <row r="769" spans="1:15" s="328" customFormat="1" x14ac:dyDescent="0.2">
      <c r="A769" s="539" t="s">
        <v>5917</v>
      </c>
      <c r="B769" s="539"/>
      <c r="C769" s="539"/>
      <c r="D769" s="333"/>
      <c r="E769" s="333"/>
      <c r="F769" s="333"/>
      <c r="G769" s="334"/>
      <c r="H769" s="333"/>
      <c r="I769" s="332"/>
      <c r="J769" s="331"/>
      <c r="K769" s="334"/>
      <c r="L769" s="333"/>
      <c r="M769" s="334" t="s">
        <v>39792</v>
      </c>
      <c r="N769" s="333" t="s">
        <v>39794</v>
      </c>
      <c r="O769" s="334" t="s">
        <v>39795</v>
      </c>
    </row>
    <row r="770" spans="1:15" s="328" customFormat="1" x14ac:dyDescent="0.2">
      <c r="A770" s="535" t="s">
        <v>39801</v>
      </c>
      <c r="B770" s="535"/>
      <c r="C770" s="535"/>
      <c r="D770" s="332"/>
      <c r="E770" s="332"/>
      <c r="F770" s="332"/>
      <c r="G770" s="332"/>
      <c r="H770" s="332"/>
      <c r="I770" s="332"/>
      <c r="J770" s="332"/>
      <c r="K770" s="332"/>
      <c r="L770" s="332"/>
      <c r="M770" s="339">
        <f>2</f>
        <v>2</v>
      </c>
      <c r="N770" s="332" t="s">
        <v>39794</v>
      </c>
      <c r="O770" s="332">
        <f>ROUND(M770,2)</f>
        <v>2</v>
      </c>
    </row>
    <row r="771" spans="1:15" s="328" customFormat="1" x14ac:dyDescent="0.2">
      <c r="A771" s="540"/>
      <c r="B771" s="540"/>
      <c r="C771" s="540"/>
      <c r="D771" s="540"/>
      <c r="E771" s="540"/>
      <c r="F771" s="540"/>
      <c r="G771" s="540"/>
      <c r="H771" s="540"/>
      <c r="I771" s="540"/>
      <c r="J771" s="540"/>
      <c r="K771" s="540"/>
      <c r="L771" s="334" t="s">
        <v>39796</v>
      </c>
      <c r="M771" s="334" t="s">
        <v>39168</v>
      </c>
      <c r="N771" s="333" t="s">
        <v>39794</v>
      </c>
      <c r="O771" s="334">
        <f>SUM(O769:O770)</f>
        <v>2</v>
      </c>
    </row>
    <row r="772" spans="1:15" s="328" customFormat="1" x14ac:dyDescent="0.2">
      <c r="A772" s="329" t="s">
        <v>39791</v>
      </c>
      <c r="B772" s="542" t="s">
        <v>5917</v>
      </c>
      <c r="C772" s="542"/>
      <c r="D772" s="542"/>
      <c r="E772" s="542"/>
      <c r="F772" s="542"/>
      <c r="G772" s="542"/>
      <c r="H772" s="542"/>
      <c r="I772" s="542"/>
      <c r="J772" s="542"/>
      <c r="K772" s="542"/>
      <c r="L772" s="542"/>
      <c r="M772" s="542"/>
      <c r="N772" s="329" t="s">
        <v>39197</v>
      </c>
      <c r="O772" s="330" t="s">
        <v>39792</v>
      </c>
    </row>
    <row r="773" spans="1:15" s="328" customFormat="1" x14ac:dyDescent="0.2">
      <c r="A773" s="331" t="str">
        <f>ORCAMENTO!A102</f>
        <v>6.4.2</v>
      </c>
      <c r="B773" s="543" t="str">
        <f>VLOOKUP(A773,ORCAMENTO!A:I,4,0)</f>
        <v>DISJUNTOR MONOPOLAR TIPO DIN, CORRENTE NOMINAL DE 10A - FORNECIMENTO E INSTALAÇÃO. AF_10/2020</v>
      </c>
      <c r="C773" s="543"/>
      <c r="D773" s="543"/>
      <c r="E773" s="543"/>
      <c r="F773" s="543"/>
      <c r="G773" s="543"/>
      <c r="H773" s="543"/>
      <c r="I773" s="543"/>
      <c r="J773" s="543"/>
      <c r="K773" s="543"/>
      <c r="L773" s="543"/>
      <c r="M773" s="543"/>
      <c r="N773" s="331" t="str">
        <f>VLOOKUP(A773,ORCAMENTO!A:I,5,0)</f>
        <v>UN</v>
      </c>
      <c r="O773" s="332">
        <f>O777</f>
        <v>20</v>
      </c>
    </row>
    <row r="774" spans="1:15" s="328" customFormat="1" x14ac:dyDescent="0.2">
      <c r="A774" s="539" t="s">
        <v>39793</v>
      </c>
      <c r="B774" s="539"/>
      <c r="C774" s="539"/>
      <c r="D774" s="539"/>
      <c r="E774" s="539"/>
      <c r="F774" s="539"/>
      <c r="G774" s="539"/>
      <c r="H774" s="539"/>
      <c r="I774" s="539"/>
      <c r="J774" s="539"/>
      <c r="K774" s="539"/>
      <c r="L774" s="539"/>
      <c r="M774" s="539"/>
      <c r="N774" s="539"/>
      <c r="O774" s="539"/>
    </row>
    <row r="775" spans="1:15" s="328" customFormat="1" x14ac:dyDescent="0.2">
      <c r="A775" s="539" t="s">
        <v>5917</v>
      </c>
      <c r="B775" s="539"/>
      <c r="C775" s="539"/>
      <c r="D775" s="333"/>
      <c r="E775" s="333"/>
      <c r="F775" s="333"/>
      <c r="G775" s="334"/>
      <c r="H775" s="333"/>
      <c r="I775" s="332"/>
      <c r="J775" s="331"/>
      <c r="K775" s="334"/>
      <c r="L775" s="333"/>
      <c r="M775" s="334" t="s">
        <v>39792</v>
      </c>
      <c r="N775" s="333" t="s">
        <v>39794</v>
      </c>
      <c r="O775" s="334" t="s">
        <v>39795</v>
      </c>
    </row>
    <row r="776" spans="1:15" s="328" customFormat="1" x14ac:dyDescent="0.2">
      <c r="A776" s="535" t="s">
        <v>39801</v>
      </c>
      <c r="B776" s="535"/>
      <c r="C776" s="535"/>
      <c r="D776" s="332"/>
      <c r="E776" s="332"/>
      <c r="F776" s="332"/>
      <c r="G776" s="332"/>
      <c r="H776" s="332"/>
      <c r="I776" s="332"/>
      <c r="J776" s="332"/>
      <c r="K776" s="332"/>
      <c r="L776" s="332"/>
      <c r="M776" s="339">
        <f>20</f>
        <v>20</v>
      </c>
      <c r="N776" s="332" t="s">
        <v>39794</v>
      </c>
      <c r="O776" s="332">
        <f>ROUND(M776,2)</f>
        <v>20</v>
      </c>
    </row>
    <row r="777" spans="1:15" s="328" customFormat="1" x14ac:dyDescent="0.2">
      <c r="A777" s="540"/>
      <c r="B777" s="540"/>
      <c r="C777" s="540"/>
      <c r="D777" s="540"/>
      <c r="E777" s="540"/>
      <c r="F777" s="540"/>
      <c r="G777" s="540"/>
      <c r="H777" s="540"/>
      <c r="I777" s="540"/>
      <c r="J777" s="540"/>
      <c r="K777" s="540"/>
      <c r="L777" s="334" t="s">
        <v>39796</v>
      </c>
      <c r="M777" s="334" t="s">
        <v>39168</v>
      </c>
      <c r="N777" s="333" t="s">
        <v>39794</v>
      </c>
      <c r="O777" s="334">
        <f>SUM(O775:O776)</f>
        <v>20</v>
      </c>
    </row>
    <row r="778" spans="1:15" s="328" customFormat="1" x14ac:dyDescent="0.2">
      <c r="A778" s="329" t="s">
        <v>39791</v>
      </c>
      <c r="B778" s="542" t="s">
        <v>5917</v>
      </c>
      <c r="C778" s="542"/>
      <c r="D778" s="542"/>
      <c r="E778" s="542"/>
      <c r="F778" s="542"/>
      <c r="G778" s="542"/>
      <c r="H778" s="542"/>
      <c r="I778" s="542"/>
      <c r="J778" s="542"/>
      <c r="K778" s="542"/>
      <c r="L778" s="542"/>
      <c r="M778" s="542"/>
      <c r="N778" s="329" t="s">
        <v>39197</v>
      </c>
      <c r="O778" s="330" t="s">
        <v>39792</v>
      </c>
    </row>
    <row r="779" spans="1:15" s="328" customFormat="1" ht="12.75" customHeight="1" x14ac:dyDescent="0.2">
      <c r="A779" s="331" t="str">
        <f>ORCAMENTO!A103</f>
        <v>6.4.3</v>
      </c>
      <c r="B779" s="543" t="str">
        <f>VLOOKUP(A779,ORCAMENTO!A:I,4,0)</f>
        <v>DISJUNTOR MONOPOLAR TIPO DIN, CORRENTE NOMINAL DE 16A - FORNECIMENTO E INSTALAÇÃO. AF_10/2020</v>
      </c>
      <c r="C779" s="543"/>
      <c r="D779" s="543"/>
      <c r="E779" s="543"/>
      <c r="F779" s="543"/>
      <c r="G779" s="543"/>
      <c r="H779" s="543"/>
      <c r="I779" s="543"/>
      <c r="J779" s="543"/>
      <c r="K779" s="543"/>
      <c r="L779" s="543"/>
      <c r="M779" s="543"/>
      <c r="N779" s="331" t="str">
        <f>VLOOKUP(A779,ORCAMENTO!A:I,5,0)</f>
        <v>UN</v>
      </c>
      <c r="O779" s="332">
        <f>O783</f>
        <v>12</v>
      </c>
    </row>
    <row r="780" spans="1:15" s="328" customFormat="1" x14ac:dyDescent="0.2">
      <c r="A780" s="539" t="s">
        <v>39793</v>
      </c>
      <c r="B780" s="539"/>
      <c r="C780" s="539"/>
      <c r="D780" s="539"/>
      <c r="E780" s="539"/>
      <c r="F780" s="539"/>
      <c r="G780" s="539"/>
      <c r="H780" s="539"/>
      <c r="I780" s="539"/>
      <c r="J780" s="539"/>
      <c r="K780" s="539"/>
      <c r="L780" s="539"/>
      <c r="M780" s="539"/>
      <c r="N780" s="539"/>
      <c r="O780" s="539"/>
    </row>
    <row r="781" spans="1:15" s="328" customFormat="1" x14ac:dyDescent="0.2">
      <c r="A781" s="539" t="s">
        <v>5917</v>
      </c>
      <c r="B781" s="539"/>
      <c r="C781" s="539"/>
      <c r="D781" s="333"/>
      <c r="E781" s="333"/>
      <c r="F781" s="333"/>
      <c r="G781" s="334"/>
      <c r="H781" s="333"/>
      <c r="I781" s="332"/>
      <c r="J781" s="331"/>
      <c r="K781" s="334"/>
      <c r="L781" s="333"/>
      <c r="M781" s="334" t="s">
        <v>39792</v>
      </c>
      <c r="N781" s="333" t="s">
        <v>39794</v>
      </c>
      <c r="O781" s="334" t="s">
        <v>39795</v>
      </c>
    </row>
    <row r="782" spans="1:15" s="328" customFormat="1" x14ac:dyDescent="0.2">
      <c r="A782" s="535" t="s">
        <v>39801</v>
      </c>
      <c r="B782" s="535"/>
      <c r="C782" s="535"/>
      <c r="D782" s="332"/>
      <c r="E782" s="332"/>
      <c r="F782" s="332"/>
      <c r="G782" s="332"/>
      <c r="H782" s="332"/>
      <c r="I782" s="332"/>
      <c r="J782" s="332"/>
      <c r="K782" s="332"/>
      <c r="L782" s="332"/>
      <c r="M782" s="339">
        <f>12</f>
        <v>12</v>
      </c>
      <c r="N782" s="332" t="s">
        <v>39794</v>
      </c>
      <c r="O782" s="332">
        <f>ROUND(M782,2)</f>
        <v>12</v>
      </c>
    </row>
    <row r="783" spans="1:15" s="328" customFormat="1" x14ac:dyDescent="0.2">
      <c r="A783" s="540"/>
      <c r="B783" s="540"/>
      <c r="C783" s="540"/>
      <c r="D783" s="540"/>
      <c r="E783" s="540"/>
      <c r="F783" s="540"/>
      <c r="G783" s="540"/>
      <c r="H783" s="540"/>
      <c r="I783" s="540"/>
      <c r="J783" s="540"/>
      <c r="K783" s="540"/>
      <c r="L783" s="334" t="s">
        <v>39796</v>
      </c>
      <c r="M783" s="334" t="s">
        <v>39168</v>
      </c>
      <c r="N783" s="333" t="s">
        <v>39794</v>
      </c>
      <c r="O783" s="334">
        <f>SUM(O781:O782)</f>
        <v>12</v>
      </c>
    </row>
    <row r="784" spans="1:15" s="328" customFormat="1" x14ac:dyDescent="0.2">
      <c r="A784" s="329" t="s">
        <v>39791</v>
      </c>
      <c r="B784" s="542" t="s">
        <v>5917</v>
      </c>
      <c r="C784" s="542"/>
      <c r="D784" s="542"/>
      <c r="E784" s="542"/>
      <c r="F784" s="542"/>
      <c r="G784" s="542"/>
      <c r="H784" s="542"/>
      <c r="I784" s="542"/>
      <c r="J784" s="542"/>
      <c r="K784" s="542"/>
      <c r="L784" s="542"/>
      <c r="M784" s="542"/>
      <c r="N784" s="329" t="s">
        <v>39197</v>
      </c>
      <c r="O784" s="330" t="s">
        <v>39792</v>
      </c>
    </row>
    <row r="785" spans="1:15" s="328" customFormat="1" x14ac:dyDescent="0.2">
      <c r="A785" s="331" t="str">
        <f>ORCAMENTO!A104</f>
        <v>6.4.4</v>
      </c>
      <c r="B785" s="543" t="str">
        <f>VLOOKUP(A785,ORCAMENTO!A:I,4,0)</f>
        <v>DISJUNTOR TRIPOLAR TIPO DIN, CORRENTE NOMINAL DE 50A - FORNECIMENTO E INSTALAÇÃO. AF_10/2020</v>
      </c>
      <c r="C785" s="543"/>
      <c r="D785" s="543"/>
      <c r="E785" s="543"/>
      <c r="F785" s="543"/>
      <c r="G785" s="543"/>
      <c r="H785" s="543"/>
      <c r="I785" s="543"/>
      <c r="J785" s="543"/>
      <c r="K785" s="543"/>
      <c r="L785" s="543"/>
      <c r="M785" s="543"/>
      <c r="N785" s="331" t="str">
        <f>VLOOKUP(A785,ORCAMENTO!A:I,5,0)</f>
        <v>UN</v>
      </c>
      <c r="O785" s="332">
        <f>O789</f>
        <v>2</v>
      </c>
    </row>
    <row r="786" spans="1:15" s="328" customFormat="1" x14ac:dyDescent="0.2">
      <c r="A786" s="539" t="s">
        <v>39793</v>
      </c>
      <c r="B786" s="539"/>
      <c r="C786" s="539"/>
      <c r="D786" s="539"/>
      <c r="E786" s="539"/>
      <c r="F786" s="539"/>
      <c r="G786" s="539"/>
      <c r="H786" s="539"/>
      <c r="I786" s="539"/>
      <c r="J786" s="539"/>
      <c r="K786" s="539"/>
      <c r="L786" s="539"/>
      <c r="M786" s="539"/>
      <c r="N786" s="539"/>
      <c r="O786" s="539"/>
    </row>
    <row r="787" spans="1:15" s="328" customFormat="1" x14ac:dyDescent="0.2">
      <c r="A787" s="539" t="s">
        <v>5917</v>
      </c>
      <c r="B787" s="539"/>
      <c r="C787" s="539"/>
      <c r="D787" s="333"/>
      <c r="E787" s="333"/>
      <c r="F787" s="333"/>
      <c r="G787" s="334"/>
      <c r="H787" s="333"/>
      <c r="I787" s="334"/>
      <c r="J787" s="333"/>
      <c r="K787" s="334"/>
      <c r="L787" s="333"/>
      <c r="M787" s="334" t="s">
        <v>39792</v>
      </c>
      <c r="N787" s="333" t="s">
        <v>39794</v>
      </c>
      <c r="O787" s="334" t="s">
        <v>39795</v>
      </c>
    </row>
    <row r="788" spans="1:15" s="328" customFormat="1" x14ac:dyDescent="0.2">
      <c r="A788" s="535" t="s">
        <v>39801</v>
      </c>
      <c r="B788" s="535"/>
      <c r="C788" s="535"/>
      <c r="D788" s="332"/>
      <c r="E788" s="332"/>
      <c r="F788" s="332"/>
      <c r="G788" s="332"/>
      <c r="H788" s="332"/>
      <c r="I788" s="332"/>
      <c r="J788" s="332"/>
      <c r="K788" s="332"/>
      <c r="L788" s="332"/>
      <c r="M788" s="339">
        <f>2</f>
        <v>2</v>
      </c>
      <c r="N788" s="332" t="s">
        <v>39794</v>
      </c>
      <c r="O788" s="332">
        <f>ROUND(M788,2)</f>
        <v>2</v>
      </c>
    </row>
    <row r="789" spans="1:15" s="328" customFormat="1" x14ac:dyDescent="0.2">
      <c r="A789" s="540"/>
      <c r="B789" s="540"/>
      <c r="C789" s="540"/>
      <c r="D789" s="540"/>
      <c r="E789" s="540"/>
      <c r="F789" s="540"/>
      <c r="G789" s="540"/>
      <c r="H789" s="540"/>
      <c r="I789" s="540"/>
      <c r="J789" s="540"/>
      <c r="K789" s="540"/>
      <c r="L789" s="334" t="s">
        <v>39796</v>
      </c>
      <c r="M789" s="334" t="s">
        <v>39168</v>
      </c>
      <c r="N789" s="333" t="s">
        <v>39794</v>
      </c>
      <c r="O789" s="334">
        <f>SUM(O787:O788)</f>
        <v>2</v>
      </c>
    </row>
    <row r="790" spans="1:15" s="328" customFormat="1" x14ac:dyDescent="0.2">
      <c r="A790" s="329" t="s">
        <v>39791</v>
      </c>
      <c r="B790" s="542" t="s">
        <v>5917</v>
      </c>
      <c r="C790" s="542"/>
      <c r="D790" s="542"/>
      <c r="E790" s="542"/>
      <c r="F790" s="542"/>
      <c r="G790" s="542"/>
      <c r="H790" s="542"/>
      <c r="I790" s="542"/>
      <c r="J790" s="542"/>
      <c r="K790" s="542"/>
      <c r="L790" s="542"/>
      <c r="M790" s="542"/>
      <c r="N790" s="329" t="s">
        <v>39197</v>
      </c>
      <c r="O790" s="330" t="s">
        <v>39792</v>
      </c>
    </row>
    <row r="791" spans="1:15" s="328" customFormat="1" x14ac:dyDescent="0.2">
      <c r="A791" s="331" t="str">
        <f>ORCAMENTO!A105</f>
        <v>6.4.5</v>
      </c>
      <c r="B791" s="543" t="str">
        <f>VLOOKUP(A791,ORCAMENTO!A:I,4,0)</f>
        <v>DISJUNTOR TRIPOLAR EM QUADRO DE DISTRIBUIÇÃO 70A</v>
      </c>
      <c r="C791" s="543"/>
      <c r="D791" s="543"/>
      <c r="E791" s="543"/>
      <c r="F791" s="543"/>
      <c r="G791" s="543"/>
      <c r="H791" s="543"/>
      <c r="I791" s="543"/>
      <c r="J791" s="543"/>
      <c r="K791" s="543"/>
      <c r="L791" s="543"/>
      <c r="M791" s="543"/>
      <c r="N791" s="331" t="str">
        <f>VLOOKUP(A791,ORCAMENTO!A:I,5,0)</f>
        <v>UN</v>
      </c>
      <c r="O791" s="332">
        <f>O795</f>
        <v>2</v>
      </c>
    </row>
    <row r="792" spans="1:15" s="328" customFormat="1" x14ac:dyDescent="0.2">
      <c r="A792" s="539" t="s">
        <v>39793</v>
      </c>
      <c r="B792" s="539"/>
      <c r="C792" s="539"/>
      <c r="D792" s="539"/>
      <c r="E792" s="539"/>
      <c r="F792" s="539"/>
      <c r="G792" s="539"/>
      <c r="H792" s="539"/>
      <c r="I792" s="539"/>
      <c r="J792" s="539"/>
      <c r="K792" s="539"/>
      <c r="L792" s="539"/>
      <c r="M792" s="539"/>
      <c r="N792" s="539"/>
      <c r="O792" s="539"/>
    </row>
    <row r="793" spans="1:15" s="328" customFormat="1" x14ac:dyDescent="0.2">
      <c r="A793" s="539" t="s">
        <v>5917</v>
      </c>
      <c r="B793" s="539"/>
      <c r="C793" s="539"/>
      <c r="D793" s="333"/>
      <c r="E793" s="333"/>
      <c r="F793" s="333"/>
      <c r="G793" s="334"/>
      <c r="H793" s="333"/>
      <c r="I793" s="334"/>
      <c r="J793" s="333"/>
      <c r="K793" s="334"/>
      <c r="L793" s="333"/>
      <c r="M793" s="334" t="s">
        <v>39792</v>
      </c>
      <c r="N793" s="333" t="s">
        <v>39794</v>
      </c>
      <c r="O793" s="334" t="s">
        <v>39795</v>
      </c>
    </row>
    <row r="794" spans="1:15" s="328" customFormat="1" x14ac:dyDescent="0.2">
      <c r="A794" s="535" t="s">
        <v>39801</v>
      </c>
      <c r="B794" s="535"/>
      <c r="C794" s="535"/>
      <c r="D794" s="332"/>
      <c r="E794" s="332"/>
      <c r="F794" s="332"/>
      <c r="G794" s="332"/>
      <c r="H794" s="332"/>
      <c r="I794" s="332"/>
      <c r="J794" s="332"/>
      <c r="K794" s="332"/>
      <c r="L794" s="332"/>
      <c r="M794" s="339">
        <f>2</f>
        <v>2</v>
      </c>
      <c r="N794" s="332" t="s">
        <v>39794</v>
      </c>
      <c r="O794" s="332">
        <f>ROUND(M794,2)</f>
        <v>2</v>
      </c>
    </row>
    <row r="795" spans="1:15" s="328" customFormat="1" x14ac:dyDescent="0.2">
      <c r="A795" s="540"/>
      <c r="B795" s="540"/>
      <c r="C795" s="540"/>
      <c r="D795" s="540"/>
      <c r="E795" s="540"/>
      <c r="F795" s="540"/>
      <c r="G795" s="540"/>
      <c r="H795" s="540"/>
      <c r="I795" s="540"/>
      <c r="J795" s="540"/>
      <c r="K795" s="540"/>
      <c r="L795" s="334" t="s">
        <v>39796</v>
      </c>
      <c r="M795" s="334" t="s">
        <v>39168</v>
      </c>
      <c r="N795" s="333" t="s">
        <v>39794</v>
      </c>
      <c r="O795" s="334">
        <f>SUM(O793:O794)</f>
        <v>2</v>
      </c>
    </row>
    <row r="796" spans="1:15" s="328" customFormat="1" x14ac:dyDescent="0.2">
      <c r="A796" s="329" t="s">
        <v>39791</v>
      </c>
      <c r="B796" s="542" t="s">
        <v>5917</v>
      </c>
      <c r="C796" s="542"/>
      <c r="D796" s="542"/>
      <c r="E796" s="542"/>
      <c r="F796" s="542"/>
      <c r="G796" s="542"/>
      <c r="H796" s="542"/>
      <c r="I796" s="542"/>
      <c r="J796" s="542"/>
      <c r="K796" s="542"/>
      <c r="L796" s="542"/>
      <c r="M796" s="542"/>
      <c r="N796" s="329" t="s">
        <v>39197</v>
      </c>
      <c r="O796" s="330" t="s">
        <v>39792</v>
      </c>
    </row>
    <row r="797" spans="1:15" s="328" customFormat="1" x14ac:dyDescent="0.2">
      <c r="A797" s="331" t="str">
        <f>ORCAMENTO!A106</f>
        <v>6.4.6</v>
      </c>
      <c r="B797" s="543" t="str">
        <f>VLOOKUP(A797,ORCAMENTO!A:I,4,0)</f>
        <v>DISPOSITIVO DPS CLASSE II, 1 POLO, TENSAO MAXIMA DE 275 V, CORRENTE MAXIMA DE *90* KA (TIPO AC)</v>
      </c>
      <c r="C797" s="543"/>
      <c r="D797" s="543"/>
      <c r="E797" s="543"/>
      <c r="F797" s="543"/>
      <c r="G797" s="543"/>
      <c r="H797" s="543"/>
      <c r="I797" s="543"/>
      <c r="J797" s="543"/>
      <c r="K797" s="543"/>
      <c r="L797" s="543"/>
      <c r="M797" s="543"/>
      <c r="N797" s="331" t="str">
        <f>VLOOKUP(A797,ORCAMENTO!A:I,5,0)</f>
        <v>UN</v>
      </c>
      <c r="O797" s="332">
        <f>O801</f>
        <v>8</v>
      </c>
    </row>
    <row r="798" spans="1:15" s="328" customFormat="1" x14ac:dyDescent="0.2">
      <c r="A798" s="539" t="s">
        <v>39793</v>
      </c>
      <c r="B798" s="539"/>
      <c r="C798" s="539"/>
      <c r="D798" s="539"/>
      <c r="E798" s="539"/>
      <c r="F798" s="539"/>
      <c r="G798" s="539"/>
      <c r="H798" s="539"/>
      <c r="I798" s="539"/>
      <c r="J798" s="539"/>
      <c r="K798" s="539"/>
      <c r="L798" s="539"/>
      <c r="M798" s="539"/>
      <c r="N798" s="539"/>
      <c r="O798" s="539"/>
    </row>
    <row r="799" spans="1:15" s="328" customFormat="1" x14ac:dyDescent="0.2">
      <c r="A799" s="539" t="s">
        <v>5917</v>
      </c>
      <c r="B799" s="539"/>
      <c r="C799" s="539"/>
      <c r="D799" s="333"/>
      <c r="E799" s="333"/>
      <c r="F799" s="333"/>
      <c r="G799" s="334"/>
      <c r="H799" s="333"/>
      <c r="I799" s="334"/>
      <c r="J799" s="333"/>
      <c r="K799" s="334"/>
      <c r="L799" s="333"/>
      <c r="M799" s="334" t="s">
        <v>39792</v>
      </c>
      <c r="N799" s="333" t="s">
        <v>39794</v>
      </c>
      <c r="O799" s="334" t="s">
        <v>39795</v>
      </c>
    </row>
    <row r="800" spans="1:15" s="328" customFormat="1" x14ac:dyDescent="0.2">
      <c r="A800" s="535" t="s">
        <v>39801</v>
      </c>
      <c r="B800" s="535"/>
      <c r="C800" s="535"/>
      <c r="D800" s="332"/>
      <c r="E800" s="332"/>
      <c r="F800" s="332"/>
      <c r="G800" s="332"/>
      <c r="H800" s="332"/>
      <c r="I800" s="332"/>
      <c r="J800" s="332"/>
      <c r="K800" s="332"/>
      <c r="L800" s="332"/>
      <c r="M800" s="339">
        <f>8</f>
        <v>8</v>
      </c>
      <c r="N800" s="332" t="s">
        <v>39794</v>
      </c>
      <c r="O800" s="332">
        <f>ROUND(M800,2)</f>
        <v>8</v>
      </c>
    </row>
    <row r="801" spans="1:15" s="328" customFormat="1" x14ac:dyDescent="0.2">
      <c r="A801" s="540"/>
      <c r="B801" s="540"/>
      <c r="C801" s="540"/>
      <c r="D801" s="540"/>
      <c r="E801" s="540"/>
      <c r="F801" s="540"/>
      <c r="G801" s="540"/>
      <c r="H801" s="540"/>
      <c r="I801" s="540"/>
      <c r="J801" s="540"/>
      <c r="K801" s="540"/>
      <c r="L801" s="334" t="s">
        <v>39796</v>
      </c>
      <c r="M801" s="334" t="s">
        <v>39168</v>
      </c>
      <c r="N801" s="333" t="s">
        <v>39794</v>
      </c>
      <c r="O801" s="334">
        <f>SUM(O799:O800)</f>
        <v>8</v>
      </c>
    </row>
    <row r="802" spans="1:15" s="328" customFormat="1" x14ac:dyDescent="0.2">
      <c r="A802" s="329" t="s">
        <v>39791</v>
      </c>
      <c r="B802" s="542" t="s">
        <v>5917</v>
      </c>
      <c r="C802" s="542"/>
      <c r="D802" s="542"/>
      <c r="E802" s="542"/>
      <c r="F802" s="542"/>
      <c r="G802" s="542"/>
      <c r="H802" s="542"/>
      <c r="I802" s="542"/>
      <c r="J802" s="542"/>
      <c r="K802" s="542"/>
      <c r="L802" s="542"/>
      <c r="M802" s="542"/>
      <c r="N802" s="329" t="s">
        <v>39197</v>
      </c>
      <c r="O802" s="330" t="s">
        <v>39792</v>
      </c>
    </row>
    <row r="803" spans="1:15" s="328" customFormat="1" x14ac:dyDescent="0.2">
      <c r="A803" s="331" t="str">
        <f>ORCAMENTO!A107</f>
        <v>6.4.7</v>
      </c>
      <c r="B803" s="543" t="str">
        <f>VLOOKUP(A803,ORCAMENTO!A:I,4,0)</f>
        <v>DISPOSITIVO DR, 4 POLOS, SENSIBILIDADE DE 30 MA, CORRENTE DE 63 A, TIPO AC</v>
      </c>
      <c r="C803" s="543"/>
      <c r="D803" s="543"/>
      <c r="E803" s="543"/>
      <c r="F803" s="543"/>
      <c r="G803" s="543"/>
      <c r="H803" s="543"/>
      <c r="I803" s="543"/>
      <c r="J803" s="543"/>
      <c r="K803" s="543"/>
      <c r="L803" s="543"/>
      <c r="M803" s="543"/>
      <c r="N803" s="331" t="str">
        <f>VLOOKUP(A803,ORCAMENTO!A:I,5,0)</f>
        <v>UN</v>
      </c>
      <c r="O803" s="332">
        <f>O807</f>
        <v>1</v>
      </c>
    </row>
    <row r="804" spans="1:15" s="328" customFormat="1" x14ac:dyDescent="0.2">
      <c r="A804" s="539" t="s">
        <v>39793</v>
      </c>
      <c r="B804" s="539"/>
      <c r="C804" s="539"/>
      <c r="D804" s="539"/>
      <c r="E804" s="539"/>
      <c r="F804" s="539"/>
      <c r="G804" s="539"/>
      <c r="H804" s="539"/>
      <c r="I804" s="539"/>
      <c r="J804" s="539"/>
      <c r="K804" s="539"/>
      <c r="L804" s="539"/>
      <c r="M804" s="539"/>
      <c r="N804" s="539"/>
      <c r="O804" s="539"/>
    </row>
    <row r="805" spans="1:15" s="328" customFormat="1" x14ac:dyDescent="0.2">
      <c r="A805" s="539" t="s">
        <v>5917</v>
      </c>
      <c r="B805" s="539"/>
      <c r="C805" s="539"/>
      <c r="D805" s="333"/>
      <c r="E805" s="333"/>
      <c r="F805" s="333"/>
      <c r="G805" s="334"/>
      <c r="H805" s="333"/>
      <c r="I805" s="334"/>
      <c r="J805" s="333"/>
      <c r="K805" s="334"/>
      <c r="L805" s="333"/>
      <c r="M805" s="334" t="s">
        <v>39792</v>
      </c>
      <c r="N805" s="333" t="s">
        <v>39794</v>
      </c>
      <c r="O805" s="334" t="s">
        <v>39795</v>
      </c>
    </row>
    <row r="806" spans="1:15" s="328" customFormat="1" x14ac:dyDescent="0.2">
      <c r="A806" s="535" t="s">
        <v>39801</v>
      </c>
      <c r="B806" s="535"/>
      <c r="C806" s="535"/>
      <c r="D806" s="332"/>
      <c r="E806" s="332"/>
      <c r="F806" s="332"/>
      <c r="G806" s="332"/>
      <c r="H806" s="332"/>
      <c r="I806" s="332"/>
      <c r="J806" s="332"/>
      <c r="K806" s="332"/>
      <c r="L806" s="332"/>
      <c r="M806" s="339">
        <f>1</f>
        <v>1</v>
      </c>
      <c r="N806" s="332" t="s">
        <v>39794</v>
      </c>
      <c r="O806" s="332">
        <f>ROUND(M806,2)</f>
        <v>1</v>
      </c>
    </row>
    <row r="807" spans="1:15" s="328" customFormat="1" x14ac:dyDescent="0.2">
      <c r="A807" s="540"/>
      <c r="B807" s="540"/>
      <c r="C807" s="540"/>
      <c r="D807" s="540"/>
      <c r="E807" s="540"/>
      <c r="F807" s="540"/>
      <c r="G807" s="540"/>
      <c r="H807" s="540"/>
      <c r="I807" s="540"/>
      <c r="J807" s="540"/>
      <c r="K807" s="540"/>
      <c r="L807" s="334" t="s">
        <v>39796</v>
      </c>
      <c r="M807" s="334" t="s">
        <v>39168</v>
      </c>
      <c r="N807" s="333" t="s">
        <v>39794</v>
      </c>
      <c r="O807" s="334">
        <f>SUM(O805:O806)</f>
        <v>1</v>
      </c>
    </row>
    <row r="808" spans="1:15" s="328" customFormat="1" x14ac:dyDescent="0.2">
      <c r="A808" s="329" t="s">
        <v>39791</v>
      </c>
      <c r="B808" s="542" t="s">
        <v>5917</v>
      </c>
      <c r="C808" s="542"/>
      <c r="D808" s="542"/>
      <c r="E808" s="542"/>
      <c r="F808" s="542"/>
      <c r="G808" s="542"/>
      <c r="H808" s="542"/>
      <c r="I808" s="542"/>
      <c r="J808" s="542"/>
      <c r="K808" s="542"/>
      <c r="L808" s="542"/>
      <c r="M808" s="542"/>
      <c r="N808" s="329" t="s">
        <v>39197</v>
      </c>
      <c r="O808" s="330" t="s">
        <v>39792</v>
      </c>
    </row>
    <row r="809" spans="1:15" s="328" customFormat="1" x14ac:dyDescent="0.2">
      <c r="A809" s="331" t="str">
        <f>ORCAMENTO!A108</f>
        <v>6.4.8</v>
      </c>
      <c r="B809" s="543" t="str">
        <f>VLOOKUP(A809,ORCAMENTO!A:I,4,0)</f>
        <v>DISPOSITIVO DR, 4 POLOS, SENSIBILIDADE DE 30 MA, CORRENTE DE 80 A, TIPO AC</v>
      </c>
      <c r="C809" s="543"/>
      <c r="D809" s="543"/>
      <c r="E809" s="543"/>
      <c r="F809" s="543"/>
      <c r="G809" s="543"/>
      <c r="H809" s="543"/>
      <c r="I809" s="543"/>
      <c r="J809" s="543"/>
      <c r="K809" s="543"/>
      <c r="L809" s="543"/>
      <c r="M809" s="543"/>
      <c r="N809" s="331" t="str">
        <f>VLOOKUP(A809,ORCAMENTO!A:I,5,0)</f>
        <v>UN</v>
      </c>
      <c r="O809" s="332">
        <f>O813</f>
        <v>1</v>
      </c>
    </row>
    <row r="810" spans="1:15" s="328" customFormat="1" x14ac:dyDescent="0.2">
      <c r="A810" s="539" t="s">
        <v>39793</v>
      </c>
      <c r="B810" s="539"/>
      <c r="C810" s="539"/>
      <c r="D810" s="539"/>
      <c r="E810" s="539"/>
      <c r="F810" s="539"/>
      <c r="G810" s="539"/>
      <c r="H810" s="539"/>
      <c r="I810" s="539"/>
      <c r="J810" s="539"/>
      <c r="K810" s="539"/>
      <c r="L810" s="539"/>
      <c r="M810" s="539"/>
      <c r="N810" s="539"/>
      <c r="O810" s="539"/>
    </row>
    <row r="811" spans="1:15" s="328" customFormat="1" x14ac:dyDescent="0.2">
      <c r="A811" s="539" t="s">
        <v>5917</v>
      </c>
      <c r="B811" s="539"/>
      <c r="C811" s="539"/>
      <c r="D811" s="333"/>
      <c r="E811" s="333"/>
      <c r="F811" s="333"/>
      <c r="G811" s="334"/>
      <c r="H811" s="333"/>
      <c r="I811" s="334"/>
      <c r="J811" s="333"/>
      <c r="K811" s="334"/>
      <c r="L811" s="333"/>
      <c r="M811" s="334" t="s">
        <v>39792</v>
      </c>
      <c r="N811" s="333" t="s">
        <v>39794</v>
      </c>
      <c r="O811" s="334" t="s">
        <v>39795</v>
      </c>
    </row>
    <row r="812" spans="1:15" s="328" customFormat="1" x14ac:dyDescent="0.2">
      <c r="A812" s="535" t="s">
        <v>39801</v>
      </c>
      <c r="B812" s="535"/>
      <c r="C812" s="535"/>
      <c r="D812" s="332"/>
      <c r="E812" s="332"/>
      <c r="F812" s="332"/>
      <c r="G812" s="332"/>
      <c r="H812" s="332"/>
      <c r="I812" s="332"/>
      <c r="J812" s="332"/>
      <c r="K812" s="332"/>
      <c r="L812" s="332"/>
      <c r="M812" s="339">
        <f>1</f>
        <v>1</v>
      </c>
      <c r="N812" s="332" t="s">
        <v>39794</v>
      </c>
      <c r="O812" s="332">
        <f>ROUND(M812,2)</f>
        <v>1</v>
      </c>
    </row>
    <row r="813" spans="1:15" s="328" customFormat="1" x14ac:dyDescent="0.2">
      <c r="A813" s="540"/>
      <c r="B813" s="540"/>
      <c r="C813" s="540"/>
      <c r="D813" s="540"/>
      <c r="E813" s="540"/>
      <c r="F813" s="540"/>
      <c r="G813" s="540"/>
      <c r="H813" s="540"/>
      <c r="I813" s="540"/>
      <c r="J813" s="540"/>
      <c r="K813" s="540"/>
      <c r="L813" s="334" t="s">
        <v>39796</v>
      </c>
      <c r="M813" s="334" t="s">
        <v>39168</v>
      </c>
      <c r="N813" s="333" t="s">
        <v>39794</v>
      </c>
      <c r="O813" s="334">
        <f>SUM(O811:O812)</f>
        <v>1</v>
      </c>
    </row>
    <row r="814" spans="1:15" s="328" customFormat="1" x14ac:dyDescent="0.2">
      <c r="A814" s="336">
        <f>ORCAMENTO!A110</f>
        <v>7</v>
      </c>
      <c r="B814" s="569" t="str">
        <f>VLOOKUP(A814,ORCAMENTO!A:I,4,0)</f>
        <v>INSTALAÇÕES DE CLIMATIZAÇÃO</v>
      </c>
      <c r="C814" s="570"/>
      <c r="D814" s="570"/>
      <c r="E814" s="570"/>
      <c r="F814" s="570"/>
      <c r="G814" s="570"/>
      <c r="H814" s="570"/>
      <c r="I814" s="570"/>
      <c r="J814" s="570"/>
      <c r="K814" s="570"/>
      <c r="L814" s="570"/>
      <c r="M814" s="570"/>
      <c r="N814" s="570"/>
      <c r="O814" s="571"/>
    </row>
    <row r="815" spans="1:15" s="328" customFormat="1" x14ac:dyDescent="0.2">
      <c r="A815" s="347" t="str">
        <f>ORCAMENTO!A111</f>
        <v>7.1</v>
      </c>
      <c r="B815" s="568" t="str">
        <f>VLOOKUP(A815,ORCAMENTO!A:I,4,0)</f>
        <v>TUBOS E CONEXÕES</v>
      </c>
      <c r="C815" s="568"/>
      <c r="D815" s="568"/>
      <c r="E815" s="568"/>
      <c r="F815" s="568"/>
      <c r="G815" s="568"/>
      <c r="H815" s="568"/>
      <c r="I815" s="568"/>
      <c r="J815" s="568"/>
      <c r="K815" s="568"/>
      <c r="L815" s="568"/>
      <c r="M815" s="568"/>
      <c r="N815" s="568"/>
      <c r="O815" s="568"/>
    </row>
    <row r="816" spans="1:15" s="328" customFormat="1" x14ac:dyDescent="0.2">
      <c r="A816" s="329" t="s">
        <v>39791</v>
      </c>
      <c r="B816" s="542" t="s">
        <v>5917</v>
      </c>
      <c r="C816" s="542"/>
      <c r="D816" s="542"/>
      <c r="E816" s="542"/>
      <c r="F816" s="542"/>
      <c r="G816" s="542"/>
      <c r="H816" s="542"/>
      <c r="I816" s="542"/>
      <c r="J816" s="542"/>
      <c r="K816" s="542"/>
      <c r="L816" s="542"/>
      <c r="M816" s="542"/>
      <c r="N816" s="329" t="s">
        <v>39197</v>
      </c>
      <c r="O816" s="330" t="s">
        <v>39792</v>
      </c>
    </row>
    <row r="817" spans="1:15" s="328" customFormat="1" ht="40.15" customHeight="1" x14ac:dyDescent="0.2">
      <c r="A817" s="331" t="str">
        <f>ORCAMENTO!A112</f>
        <v>7.1.1</v>
      </c>
      <c r="B817" s="543" t="str">
        <f>VLOOKUP(A817,ORCAMENTO!A:I,4,0)</f>
        <v>TUBO EM COBRE FLEXÍVEL, DN 5/8", COM ISOLAMENTO, INSTALADO EM RAMAL DE ALIMENTAÇÃO DE AR CONDICIONADO COM CONDENSADORA INDIVIDUAL - FORNECIMENTO E INSTALAÇÃO. AF_12/2015</v>
      </c>
      <c r="C817" s="543"/>
      <c r="D817" s="543"/>
      <c r="E817" s="543"/>
      <c r="F817" s="543"/>
      <c r="G817" s="543"/>
      <c r="H817" s="543"/>
      <c r="I817" s="543"/>
      <c r="J817" s="543"/>
      <c r="K817" s="543"/>
      <c r="L817" s="543"/>
      <c r="M817" s="543"/>
      <c r="N817" s="331" t="str">
        <f>VLOOKUP(A817,ORCAMENTO!A:I,5,0)</f>
        <v>M</v>
      </c>
      <c r="O817" s="332">
        <f>O821</f>
        <v>9.9600000000000009</v>
      </c>
    </row>
    <row r="818" spans="1:15" s="328" customFormat="1" x14ac:dyDescent="0.2">
      <c r="A818" s="539" t="s">
        <v>39793</v>
      </c>
      <c r="B818" s="539"/>
      <c r="C818" s="539"/>
      <c r="D818" s="539"/>
      <c r="E818" s="539"/>
      <c r="F818" s="539"/>
      <c r="G818" s="539"/>
      <c r="H818" s="539"/>
      <c r="I818" s="539"/>
      <c r="J818" s="539"/>
      <c r="K818" s="539"/>
      <c r="L818" s="539"/>
      <c r="M818" s="539"/>
      <c r="N818" s="539"/>
      <c r="O818" s="539"/>
    </row>
    <row r="819" spans="1:15" s="328" customFormat="1" x14ac:dyDescent="0.2">
      <c r="A819" s="539" t="s">
        <v>5917</v>
      </c>
      <c r="B819" s="539"/>
      <c r="C819" s="539"/>
      <c r="D819" s="333"/>
      <c r="E819" s="333"/>
      <c r="F819" s="333"/>
      <c r="G819" s="334"/>
      <c r="H819" s="333"/>
      <c r="I819" s="334"/>
      <c r="J819" s="333"/>
      <c r="K819" s="334"/>
      <c r="L819" s="333"/>
      <c r="M819" s="334" t="s">
        <v>39802</v>
      </c>
      <c r="N819" s="333" t="s">
        <v>39794</v>
      </c>
      <c r="O819" s="334" t="s">
        <v>39795</v>
      </c>
    </row>
    <row r="820" spans="1:15" s="328" customFormat="1" x14ac:dyDescent="0.2">
      <c r="A820" s="535" t="s">
        <v>39801</v>
      </c>
      <c r="B820" s="535"/>
      <c r="C820" s="535"/>
      <c r="D820" s="332"/>
      <c r="E820" s="332"/>
      <c r="F820" s="332"/>
      <c r="G820" s="332"/>
      <c r="H820" s="332"/>
      <c r="I820" s="332"/>
      <c r="J820" s="332"/>
      <c r="K820" s="332"/>
      <c r="L820" s="332"/>
      <c r="M820" s="332">
        <f>9.96</f>
        <v>9.9600000000000009</v>
      </c>
      <c r="N820" s="332" t="s">
        <v>39794</v>
      </c>
      <c r="O820" s="332">
        <f>ROUND(M820,2)</f>
        <v>9.9600000000000009</v>
      </c>
    </row>
    <row r="821" spans="1:15" s="328" customFormat="1" x14ac:dyDescent="0.2">
      <c r="A821" s="540"/>
      <c r="B821" s="540"/>
      <c r="C821" s="540"/>
      <c r="D821" s="540"/>
      <c r="E821" s="540"/>
      <c r="F821" s="540"/>
      <c r="G821" s="540"/>
      <c r="H821" s="540"/>
      <c r="I821" s="540"/>
      <c r="J821" s="540"/>
      <c r="K821" s="540"/>
      <c r="L821" s="334" t="s">
        <v>39796</v>
      </c>
      <c r="M821" s="334" t="s">
        <v>39168</v>
      </c>
      <c r="N821" s="333" t="s">
        <v>39794</v>
      </c>
      <c r="O821" s="334">
        <f>SUM(O819:O820)</f>
        <v>9.9600000000000009</v>
      </c>
    </row>
    <row r="822" spans="1:15" s="328" customFormat="1" x14ac:dyDescent="0.2">
      <c r="A822" s="347" t="str">
        <f>ORCAMENTO!A114</f>
        <v>7.2</v>
      </c>
      <c r="B822" s="544" t="str">
        <f>VLOOKUP(A822,ORCAMENTO!A:I,4,0)</f>
        <v>APARELHOS</v>
      </c>
      <c r="C822" s="544"/>
      <c r="D822" s="544"/>
      <c r="E822" s="544"/>
      <c r="F822" s="544"/>
      <c r="G822" s="544"/>
      <c r="H822" s="544"/>
      <c r="I822" s="544"/>
      <c r="J822" s="544"/>
      <c r="K822" s="544"/>
      <c r="L822" s="544"/>
      <c r="M822" s="544"/>
      <c r="N822" s="544"/>
      <c r="O822" s="544"/>
    </row>
    <row r="823" spans="1:15" s="328" customFormat="1" x14ac:dyDescent="0.2">
      <c r="A823" s="329" t="s">
        <v>39791</v>
      </c>
      <c r="B823" s="542" t="s">
        <v>5917</v>
      </c>
      <c r="C823" s="542"/>
      <c r="D823" s="542"/>
      <c r="E823" s="542"/>
      <c r="F823" s="542"/>
      <c r="G823" s="542"/>
      <c r="H823" s="542"/>
      <c r="I823" s="542"/>
      <c r="J823" s="542"/>
      <c r="K823" s="542"/>
      <c r="L823" s="542"/>
      <c r="M823" s="542"/>
      <c r="N823" s="329" t="s">
        <v>39197</v>
      </c>
      <c r="O823" s="330" t="s">
        <v>39792</v>
      </c>
    </row>
    <row r="824" spans="1:15" s="328" customFormat="1" ht="12.75" customHeight="1" x14ac:dyDescent="0.2">
      <c r="A824" s="331" t="str">
        <f>ORCAMENTO!A115</f>
        <v>7.2.1</v>
      </c>
      <c r="B824" s="543" t="str">
        <f>VLOOKUP(A824,ORCAMENTO!A:I,4,0)</f>
        <v>AR CONDICIONADO SPLIT INVERTER, PISO TETO, 24000 BTU/H, QUENTE/FRIO - FORNECIMENTO E INSTALAÇÃO. AF_11/2021_PSE</v>
      </c>
      <c r="C824" s="543"/>
      <c r="D824" s="543"/>
      <c r="E824" s="543"/>
      <c r="F824" s="543"/>
      <c r="G824" s="543"/>
      <c r="H824" s="543"/>
      <c r="I824" s="543"/>
      <c r="J824" s="543"/>
      <c r="K824" s="543"/>
      <c r="L824" s="543"/>
      <c r="M824" s="543"/>
      <c r="N824" s="331" t="str">
        <f>VLOOKUP(A824,ORCAMENTO!A:I,5,0)</f>
        <v>UN</v>
      </c>
      <c r="O824" s="332">
        <f>O828</f>
        <v>12</v>
      </c>
    </row>
    <row r="825" spans="1:15" s="328" customFormat="1" x14ac:dyDescent="0.2">
      <c r="A825" s="539" t="s">
        <v>39793</v>
      </c>
      <c r="B825" s="539"/>
      <c r="C825" s="539"/>
      <c r="D825" s="539"/>
      <c r="E825" s="539"/>
      <c r="F825" s="539"/>
      <c r="G825" s="539"/>
      <c r="H825" s="539"/>
      <c r="I825" s="539"/>
      <c r="J825" s="539"/>
      <c r="K825" s="539"/>
      <c r="L825" s="539"/>
      <c r="M825" s="539"/>
      <c r="N825" s="539"/>
      <c r="O825" s="539"/>
    </row>
    <row r="826" spans="1:15" s="328" customFormat="1" x14ac:dyDescent="0.2">
      <c r="A826" s="539" t="s">
        <v>5917</v>
      </c>
      <c r="B826" s="539"/>
      <c r="C826" s="539"/>
      <c r="D826" s="333"/>
      <c r="E826" s="333"/>
      <c r="F826" s="333"/>
      <c r="G826" s="334"/>
      <c r="H826" s="333"/>
      <c r="I826" s="334"/>
      <c r="J826" s="333"/>
      <c r="K826" s="334"/>
      <c r="L826" s="333"/>
      <c r="M826" s="334" t="s">
        <v>39792</v>
      </c>
      <c r="N826" s="333" t="s">
        <v>39794</v>
      </c>
      <c r="O826" s="334" t="s">
        <v>39795</v>
      </c>
    </row>
    <row r="827" spans="1:15" s="328" customFormat="1" x14ac:dyDescent="0.2">
      <c r="A827" s="535" t="s">
        <v>39801</v>
      </c>
      <c r="B827" s="535"/>
      <c r="C827" s="535"/>
      <c r="D827" s="332"/>
      <c r="E827" s="332"/>
      <c r="F827" s="332"/>
      <c r="G827" s="332"/>
      <c r="H827" s="332"/>
      <c r="I827" s="332"/>
      <c r="J827" s="332"/>
      <c r="K827" s="332"/>
      <c r="L827" s="332"/>
      <c r="M827" s="332">
        <f>12</f>
        <v>12</v>
      </c>
      <c r="N827" s="332" t="s">
        <v>39794</v>
      </c>
      <c r="O827" s="332">
        <f>ROUND(M827,2)</f>
        <v>12</v>
      </c>
    </row>
    <row r="828" spans="1:15" s="328" customFormat="1" x14ac:dyDescent="0.2">
      <c r="A828" s="540"/>
      <c r="B828" s="540"/>
      <c r="C828" s="540"/>
      <c r="D828" s="540"/>
      <c r="E828" s="540"/>
      <c r="F828" s="540"/>
      <c r="G828" s="540"/>
      <c r="H828" s="540"/>
      <c r="I828" s="540"/>
      <c r="J828" s="540"/>
      <c r="K828" s="540"/>
      <c r="L828" s="334" t="s">
        <v>39796</v>
      </c>
      <c r="M828" s="334" t="s">
        <v>39168</v>
      </c>
      <c r="N828" s="333" t="s">
        <v>39794</v>
      </c>
      <c r="O828" s="334">
        <f>SUM(O826:O827)</f>
        <v>12</v>
      </c>
    </row>
    <row r="829" spans="1:15" s="328" customFormat="1" x14ac:dyDescent="0.2">
      <c r="A829" s="347" t="str">
        <f>ORCAMENTO!A117</f>
        <v>7.3</v>
      </c>
      <c r="B829" s="544" t="str">
        <f>VLOOKUP(A829,ORCAMENTO!A:I,4,0)</f>
        <v>DRENO</v>
      </c>
      <c r="C829" s="544"/>
      <c r="D829" s="544"/>
      <c r="E829" s="544"/>
      <c r="F829" s="544"/>
      <c r="G829" s="544"/>
      <c r="H829" s="544"/>
      <c r="I829" s="544"/>
      <c r="J829" s="544"/>
      <c r="K829" s="544"/>
      <c r="L829" s="544"/>
      <c r="M829" s="544"/>
      <c r="N829" s="544"/>
      <c r="O829" s="544"/>
    </row>
    <row r="830" spans="1:15" s="328" customFormat="1" x14ac:dyDescent="0.2">
      <c r="A830" s="329" t="s">
        <v>39791</v>
      </c>
      <c r="B830" s="542" t="s">
        <v>5917</v>
      </c>
      <c r="C830" s="542"/>
      <c r="D830" s="542"/>
      <c r="E830" s="542"/>
      <c r="F830" s="542"/>
      <c r="G830" s="542"/>
      <c r="H830" s="542"/>
      <c r="I830" s="542"/>
      <c r="J830" s="542"/>
      <c r="K830" s="542"/>
      <c r="L830" s="542"/>
      <c r="M830" s="542"/>
      <c r="N830" s="329" t="s">
        <v>39197</v>
      </c>
      <c r="O830" s="330" t="s">
        <v>39792</v>
      </c>
    </row>
    <row r="831" spans="1:15" s="328" customFormat="1" ht="12.75" customHeight="1" x14ac:dyDescent="0.2">
      <c r="A831" s="331" t="str">
        <f>ORCAMENTO!A118</f>
        <v>7.3.1</v>
      </c>
      <c r="B831" s="543" t="str">
        <f>VLOOKUP(A831,ORCAMENTO!A:I,4,0)</f>
        <v>TUBO, PVC, SOLDÁVEL, DE 25MM, INSTALADO EM DRENO DE AR-CONDICIONADO - FORNECIMENTO E INSTALAÇÃO. AF_08/2022</v>
      </c>
      <c r="C831" s="543"/>
      <c r="D831" s="543"/>
      <c r="E831" s="543"/>
      <c r="F831" s="543"/>
      <c r="G831" s="543"/>
      <c r="H831" s="543"/>
      <c r="I831" s="543"/>
      <c r="J831" s="543"/>
      <c r="K831" s="543"/>
      <c r="L831" s="543"/>
      <c r="M831" s="543"/>
      <c r="N831" s="331" t="str">
        <f>VLOOKUP(A831,ORCAMENTO!A:I,5,0)</f>
        <v>M</v>
      </c>
      <c r="O831" s="332">
        <f>O835</f>
        <v>34.549999999999997</v>
      </c>
    </row>
    <row r="832" spans="1:15" s="328" customFormat="1" x14ac:dyDescent="0.2">
      <c r="A832" s="539" t="s">
        <v>39793</v>
      </c>
      <c r="B832" s="539"/>
      <c r="C832" s="539"/>
      <c r="D832" s="539"/>
      <c r="E832" s="539"/>
      <c r="F832" s="539"/>
      <c r="G832" s="539"/>
      <c r="H832" s="539"/>
      <c r="I832" s="539"/>
      <c r="J832" s="539"/>
      <c r="K832" s="539"/>
      <c r="L832" s="539"/>
      <c r="M832" s="539"/>
      <c r="N832" s="539"/>
      <c r="O832" s="539"/>
    </row>
    <row r="833" spans="1:15" s="328" customFormat="1" x14ac:dyDescent="0.2">
      <c r="A833" s="539" t="s">
        <v>5917</v>
      </c>
      <c r="B833" s="539"/>
      <c r="C833" s="539"/>
      <c r="D833" s="333"/>
      <c r="E833" s="333"/>
      <c r="F833" s="333"/>
      <c r="G833" s="333"/>
      <c r="H833" s="333"/>
      <c r="I833" s="331"/>
      <c r="J833" s="331"/>
      <c r="K833" s="333"/>
      <c r="L833" s="333"/>
      <c r="M833" s="334" t="s">
        <v>39802</v>
      </c>
      <c r="N833" s="333" t="s">
        <v>39794</v>
      </c>
      <c r="O833" s="334" t="s">
        <v>39795</v>
      </c>
    </row>
    <row r="834" spans="1:15" s="328" customFormat="1" x14ac:dyDescent="0.2">
      <c r="A834" s="535" t="s">
        <v>39801</v>
      </c>
      <c r="B834" s="535"/>
      <c r="C834" s="535"/>
      <c r="D834" s="332"/>
      <c r="E834" s="332"/>
      <c r="F834" s="332"/>
      <c r="G834" s="332"/>
      <c r="H834" s="332"/>
      <c r="I834" s="332"/>
      <c r="J834" s="332"/>
      <c r="K834" s="339"/>
      <c r="L834" s="332"/>
      <c r="M834" s="332">
        <f>34.55</f>
        <v>34.549999999999997</v>
      </c>
      <c r="N834" s="332" t="s">
        <v>39794</v>
      </c>
      <c r="O834" s="332">
        <f>ROUND(M834,2)</f>
        <v>34.549999999999997</v>
      </c>
    </row>
    <row r="835" spans="1:15" s="328" customFormat="1" x14ac:dyDescent="0.2">
      <c r="A835" s="540"/>
      <c r="B835" s="540"/>
      <c r="C835" s="540"/>
      <c r="D835" s="540"/>
      <c r="E835" s="540"/>
      <c r="F835" s="540"/>
      <c r="G835" s="540"/>
      <c r="H835" s="540"/>
      <c r="I835" s="540"/>
      <c r="J835" s="540"/>
      <c r="K835" s="540"/>
      <c r="L835" s="334" t="s">
        <v>39796</v>
      </c>
      <c r="M835" s="334" t="s">
        <v>39168</v>
      </c>
      <c r="N835" s="333" t="s">
        <v>39794</v>
      </c>
      <c r="O835" s="334">
        <f>SUM(O833:O834)</f>
        <v>34.549999999999997</v>
      </c>
    </row>
    <row r="836" spans="1:15" s="328" customFormat="1" x14ac:dyDescent="0.2">
      <c r="A836" s="329" t="s">
        <v>39791</v>
      </c>
      <c r="B836" s="542" t="s">
        <v>5917</v>
      </c>
      <c r="C836" s="542"/>
      <c r="D836" s="542"/>
      <c r="E836" s="542"/>
      <c r="F836" s="542"/>
      <c r="G836" s="542"/>
      <c r="H836" s="542"/>
      <c r="I836" s="542"/>
      <c r="J836" s="542"/>
      <c r="K836" s="542"/>
      <c r="L836" s="542"/>
      <c r="M836" s="542"/>
      <c r="N836" s="329" t="s">
        <v>39197</v>
      </c>
      <c r="O836" s="330" t="s">
        <v>39792</v>
      </c>
    </row>
    <row r="837" spans="1:15" s="328" customFormat="1" ht="40.15" customHeight="1" x14ac:dyDescent="0.2">
      <c r="A837" s="331" t="str">
        <f>ORCAMENTO!A119</f>
        <v>7.3.2</v>
      </c>
      <c r="B837" s="543" t="str">
        <f>VLOOKUP(A837,ORCAMENTO!A:I,4,0)</f>
        <v>CAIXA ENTERRADA HIDRÁULICA RETANGULAR EM ALVENARIA COM TIJOLOS CERÂMICOS MACIÇOS, DIMENSÕES INTERNAS: 0,3X0,3X0,3 M PARA REDE DE DRENAGEM. AF_12/2020</v>
      </c>
      <c r="C837" s="543"/>
      <c r="D837" s="543"/>
      <c r="E837" s="543"/>
      <c r="F837" s="543"/>
      <c r="G837" s="543"/>
      <c r="H837" s="543"/>
      <c r="I837" s="543"/>
      <c r="J837" s="543"/>
      <c r="K837" s="543"/>
      <c r="L837" s="543"/>
      <c r="M837" s="543"/>
      <c r="N837" s="331" t="str">
        <f>VLOOKUP(A837,ORCAMENTO!A:I,5,0)</f>
        <v>UN</v>
      </c>
      <c r="O837" s="332">
        <f>O841</f>
        <v>12</v>
      </c>
    </row>
    <row r="838" spans="1:15" s="328" customFormat="1" x14ac:dyDescent="0.2">
      <c r="A838" s="539" t="s">
        <v>39793</v>
      </c>
      <c r="B838" s="539"/>
      <c r="C838" s="539"/>
      <c r="D838" s="539"/>
      <c r="E838" s="539"/>
      <c r="F838" s="539"/>
      <c r="G838" s="539"/>
      <c r="H838" s="539"/>
      <c r="I838" s="539"/>
      <c r="J838" s="539"/>
      <c r="K838" s="539"/>
      <c r="L838" s="539"/>
      <c r="M838" s="539"/>
      <c r="N838" s="539"/>
      <c r="O838" s="539"/>
    </row>
    <row r="839" spans="1:15" s="328" customFormat="1" x14ac:dyDescent="0.2">
      <c r="A839" s="539" t="s">
        <v>5917</v>
      </c>
      <c r="B839" s="539"/>
      <c r="C839" s="539"/>
      <c r="D839" s="333"/>
      <c r="E839" s="333"/>
      <c r="F839" s="333"/>
      <c r="G839" s="334"/>
      <c r="H839" s="333"/>
      <c r="I839" s="332"/>
      <c r="J839" s="331"/>
      <c r="K839" s="333"/>
      <c r="L839" s="333"/>
      <c r="M839" s="334" t="s">
        <v>39792</v>
      </c>
      <c r="N839" s="333" t="s">
        <v>39794</v>
      </c>
      <c r="O839" s="334" t="s">
        <v>39795</v>
      </c>
    </row>
    <row r="840" spans="1:15" s="328" customFormat="1" x14ac:dyDescent="0.2">
      <c r="A840" s="535" t="s">
        <v>39801</v>
      </c>
      <c r="B840" s="535"/>
      <c r="C840" s="535"/>
      <c r="D840" s="332"/>
      <c r="E840" s="332"/>
      <c r="F840" s="332"/>
      <c r="G840" s="332"/>
      <c r="H840" s="332"/>
      <c r="I840" s="332"/>
      <c r="J840" s="332"/>
      <c r="K840" s="339"/>
      <c r="L840" s="332"/>
      <c r="M840" s="332">
        <f>12</f>
        <v>12</v>
      </c>
      <c r="N840" s="332" t="s">
        <v>39794</v>
      </c>
      <c r="O840" s="332">
        <f>ROUND(M840,2)</f>
        <v>12</v>
      </c>
    </row>
    <row r="841" spans="1:15" s="328" customFormat="1" x14ac:dyDescent="0.2">
      <c r="A841" s="540"/>
      <c r="B841" s="540"/>
      <c r="C841" s="540"/>
      <c r="D841" s="540"/>
      <c r="E841" s="540"/>
      <c r="F841" s="540"/>
      <c r="G841" s="540"/>
      <c r="H841" s="540"/>
      <c r="I841" s="540"/>
      <c r="J841" s="540"/>
      <c r="K841" s="540"/>
      <c r="L841" s="334" t="s">
        <v>39796</v>
      </c>
      <c r="M841" s="334" t="s">
        <v>39168</v>
      </c>
      <c r="N841" s="333" t="s">
        <v>39794</v>
      </c>
      <c r="O841" s="334">
        <f>SUM(O839:O840)</f>
        <v>12</v>
      </c>
    </row>
    <row r="842" spans="1:15" s="328" customFormat="1" x14ac:dyDescent="0.2">
      <c r="A842" s="336">
        <f>ORCAMENTO!A121</f>
        <v>8</v>
      </c>
      <c r="B842" s="545" t="str">
        <f>VLOOKUP(A842,ORCAMENTO!A:I,4,0)</f>
        <v>INSTALAÇÕES HIDRÁULICAS</v>
      </c>
      <c r="C842" s="545"/>
      <c r="D842" s="545"/>
      <c r="E842" s="545"/>
      <c r="F842" s="545"/>
      <c r="G842" s="545"/>
      <c r="H842" s="545"/>
      <c r="I842" s="545"/>
      <c r="J842" s="545"/>
      <c r="K842" s="545"/>
      <c r="L842" s="545"/>
      <c r="M842" s="545"/>
      <c r="N842" s="545"/>
      <c r="O842" s="545"/>
    </row>
    <row r="843" spans="1:15" s="328" customFormat="1" x14ac:dyDescent="0.2">
      <c r="A843" s="347" t="str">
        <f>ORCAMENTO!A122</f>
        <v>8.1</v>
      </c>
      <c r="B843" s="544" t="str">
        <f>VLOOKUP(A843,ORCAMENTO!A:I,4,0)</f>
        <v>TUBOS E CONEXÕES</v>
      </c>
      <c r="C843" s="544"/>
      <c r="D843" s="544"/>
      <c r="E843" s="544"/>
      <c r="F843" s="544"/>
      <c r="G843" s="544"/>
      <c r="H843" s="544"/>
      <c r="I843" s="544"/>
      <c r="J843" s="544"/>
      <c r="K843" s="544"/>
      <c r="L843" s="544"/>
      <c r="M843" s="544"/>
      <c r="N843" s="544"/>
      <c r="O843" s="544"/>
    </row>
    <row r="844" spans="1:15" s="328" customFormat="1" x14ac:dyDescent="0.2">
      <c r="A844" s="329" t="s">
        <v>39791</v>
      </c>
      <c r="B844" s="542" t="s">
        <v>5917</v>
      </c>
      <c r="C844" s="542"/>
      <c r="D844" s="542"/>
      <c r="E844" s="542"/>
      <c r="F844" s="542"/>
      <c r="G844" s="542"/>
      <c r="H844" s="542"/>
      <c r="I844" s="542"/>
      <c r="J844" s="542"/>
      <c r="K844" s="542"/>
      <c r="L844" s="542"/>
      <c r="M844" s="542"/>
      <c r="N844" s="329" t="s">
        <v>39197</v>
      </c>
      <c r="O844" s="330" t="s">
        <v>39792</v>
      </c>
    </row>
    <row r="845" spans="1:15" s="328" customFormat="1" ht="39.950000000000003" customHeight="1" x14ac:dyDescent="0.2">
      <c r="A845" s="331" t="str">
        <f>ORCAMENTO!A123</f>
        <v>8.1.1</v>
      </c>
      <c r="B845" s="543" t="str">
        <f>VLOOKUP(A845,ORCAMENTO!A:I,4,0)</f>
        <v>TUBO, PVC, SOLDÁVEL, DE 25MM, INSTALADO EM RAMAL DE DISTRIBUIÇÃO DE ÁGUA - FORNECIMENTO E INSTALAÇÃO. AF_06/2022</v>
      </c>
      <c r="C845" s="543"/>
      <c r="D845" s="543"/>
      <c r="E845" s="543"/>
      <c r="F845" s="543"/>
      <c r="G845" s="543"/>
      <c r="H845" s="543"/>
      <c r="I845" s="543"/>
      <c r="J845" s="543"/>
      <c r="K845" s="543"/>
      <c r="L845" s="543"/>
      <c r="M845" s="543"/>
      <c r="N845" s="331" t="str">
        <f>VLOOKUP(A845,ORCAMENTO!A:I,5,0)</f>
        <v>M</v>
      </c>
      <c r="O845" s="332">
        <f>O849</f>
        <v>18.04</v>
      </c>
    </row>
    <row r="846" spans="1:15" s="328" customFormat="1" x14ac:dyDescent="0.2">
      <c r="A846" s="539" t="s">
        <v>39793</v>
      </c>
      <c r="B846" s="539"/>
      <c r="C846" s="539"/>
      <c r="D846" s="539"/>
      <c r="E846" s="539"/>
      <c r="F846" s="539"/>
      <c r="G846" s="539"/>
      <c r="H846" s="539"/>
      <c r="I846" s="539"/>
      <c r="J846" s="539"/>
      <c r="K846" s="539"/>
      <c r="L846" s="539"/>
      <c r="M846" s="539"/>
      <c r="N846" s="539"/>
      <c r="O846" s="539"/>
    </row>
    <row r="847" spans="1:15" s="328" customFormat="1" x14ac:dyDescent="0.2">
      <c r="A847" s="539" t="s">
        <v>5917</v>
      </c>
      <c r="B847" s="539"/>
      <c r="C847" s="539"/>
      <c r="D847" s="333"/>
      <c r="E847" s="333"/>
      <c r="F847" s="333"/>
      <c r="G847" s="333"/>
      <c r="H847" s="333"/>
      <c r="I847" s="331"/>
      <c r="J847" s="331"/>
      <c r="K847" s="333"/>
      <c r="L847" s="333"/>
      <c r="M847" s="334" t="s">
        <v>39802</v>
      </c>
      <c r="N847" s="333" t="s">
        <v>39794</v>
      </c>
      <c r="O847" s="334" t="s">
        <v>39795</v>
      </c>
    </row>
    <row r="848" spans="1:15" s="328" customFormat="1" x14ac:dyDescent="0.2">
      <c r="A848" s="535" t="s">
        <v>39801</v>
      </c>
      <c r="B848" s="535"/>
      <c r="C848" s="535"/>
      <c r="D848" s="333"/>
      <c r="E848" s="333"/>
      <c r="F848" s="333"/>
      <c r="G848" s="333"/>
      <c r="H848" s="333"/>
      <c r="I848" s="331"/>
      <c r="J848" s="331"/>
      <c r="K848" s="339"/>
      <c r="L848" s="332"/>
      <c r="M848" s="339">
        <f>18.04</f>
        <v>18.04</v>
      </c>
      <c r="N848" s="332" t="s">
        <v>39794</v>
      </c>
      <c r="O848" s="332">
        <f>ROUND(M848,2)</f>
        <v>18.04</v>
      </c>
    </row>
    <row r="849" spans="1:15" s="328" customFormat="1" x14ac:dyDescent="0.2">
      <c r="A849" s="540"/>
      <c r="B849" s="540"/>
      <c r="C849" s="540"/>
      <c r="D849" s="540"/>
      <c r="E849" s="540"/>
      <c r="F849" s="540"/>
      <c r="G849" s="540"/>
      <c r="H849" s="540"/>
      <c r="I849" s="540"/>
      <c r="J849" s="540"/>
      <c r="K849" s="540"/>
      <c r="L849" s="334" t="s">
        <v>39796</v>
      </c>
      <c r="M849" s="334" t="s">
        <v>39168</v>
      </c>
      <c r="N849" s="333" t="s">
        <v>39794</v>
      </c>
      <c r="O849" s="334">
        <f>SUM(O847:O848)</f>
        <v>18.04</v>
      </c>
    </row>
    <row r="850" spans="1:15" s="328" customFormat="1" x14ac:dyDescent="0.2">
      <c r="A850" s="329" t="s">
        <v>39791</v>
      </c>
      <c r="B850" s="542" t="s">
        <v>5917</v>
      </c>
      <c r="C850" s="542"/>
      <c r="D850" s="542"/>
      <c r="E850" s="542"/>
      <c r="F850" s="542"/>
      <c r="G850" s="542"/>
      <c r="H850" s="542"/>
      <c r="I850" s="542"/>
      <c r="J850" s="542"/>
      <c r="K850" s="542"/>
      <c r="L850" s="542"/>
      <c r="M850" s="542"/>
      <c r="N850" s="329" t="s">
        <v>39197</v>
      </c>
      <c r="O850" s="330" t="s">
        <v>39792</v>
      </c>
    </row>
    <row r="851" spans="1:15" s="328" customFormat="1" ht="39.950000000000003" customHeight="1" x14ac:dyDescent="0.2">
      <c r="A851" s="331" t="str">
        <f>ORCAMENTO!A124</f>
        <v>8.1.2</v>
      </c>
      <c r="B851" s="543" t="str">
        <f>VLOOKUP(A851,ORCAMENTO!A:I,4,0)</f>
        <v>TUBO, PVC, SOLDÁVEL, DE 25MM, INSTALADO EM RAMAL OU SUB-RAMAL DE ÁGUA - FORNECIMENTO E INSTALAÇÃO. AF_06/2022</v>
      </c>
      <c r="C851" s="543"/>
      <c r="D851" s="543"/>
      <c r="E851" s="543"/>
      <c r="F851" s="543"/>
      <c r="G851" s="543"/>
      <c r="H851" s="543"/>
      <c r="I851" s="543"/>
      <c r="J851" s="543"/>
      <c r="K851" s="543"/>
      <c r="L851" s="543"/>
      <c r="M851" s="543"/>
      <c r="N851" s="331" t="str">
        <f>VLOOKUP(A851,ORCAMENTO!A:I,5,0)</f>
        <v>M</v>
      </c>
      <c r="O851" s="332">
        <f>O855</f>
        <v>31.59</v>
      </c>
    </row>
    <row r="852" spans="1:15" s="328" customFormat="1" x14ac:dyDescent="0.2">
      <c r="A852" s="539" t="s">
        <v>39793</v>
      </c>
      <c r="B852" s="539"/>
      <c r="C852" s="539"/>
      <c r="D852" s="539"/>
      <c r="E852" s="539"/>
      <c r="F852" s="539"/>
      <c r="G852" s="539"/>
      <c r="H852" s="539"/>
      <c r="I852" s="539"/>
      <c r="J852" s="539"/>
      <c r="K852" s="539"/>
      <c r="L852" s="539"/>
      <c r="M852" s="539"/>
      <c r="N852" s="539"/>
      <c r="O852" s="539"/>
    </row>
    <row r="853" spans="1:15" s="328" customFormat="1" x14ac:dyDescent="0.2">
      <c r="A853" s="539" t="s">
        <v>5917</v>
      </c>
      <c r="B853" s="539"/>
      <c r="C853" s="539"/>
      <c r="D853" s="333"/>
      <c r="E853" s="333"/>
      <c r="F853" s="333"/>
      <c r="G853" s="333"/>
      <c r="H853" s="333"/>
      <c r="I853" s="331"/>
      <c r="J853" s="331"/>
      <c r="K853" s="333"/>
      <c r="L853" s="333"/>
      <c r="M853" s="334" t="s">
        <v>39802</v>
      </c>
      <c r="N853" s="333" t="s">
        <v>39794</v>
      </c>
      <c r="O853" s="334" t="s">
        <v>39795</v>
      </c>
    </row>
    <row r="854" spans="1:15" s="328" customFormat="1" x14ac:dyDescent="0.2">
      <c r="A854" s="535" t="s">
        <v>39801</v>
      </c>
      <c r="B854" s="535"/>
      <c r="C854" s="535"/>
      <c r="D854" s="333"/>
      <c r="E854" s="333"/>
      <c r="F854" s="333"/>
      <c r="G854" s="333"/>
      <c r="H854" s="333"/>
      <c r="I854" s="331"/>
      <c r="J854" s="331"/>
      <c r="K854" s="339"/>
      <c r="L854" s="332"/>
      <c r="M854" s="339">
        <f>31.59</f>
        <v>31.59</v>
      </c>
      <c r="N854" s="332" t="s">
        <v>39794</v>
      </c>
      <c r="O854" s="332">
        <f>ROUND(M854,2)</f>
        <v>31.59</v>
      </c>
    </row>
    <row r="855" spans="1:15" s="328" customFormat="1" x14ac:dyDescent="0.2">
      <c r="A855" s="540"/>
      <c r="B855" s="540"/>
      <c r="C855" s="540"/>
      <c r="D855" s="540"/>
      <c r="E855" s="540"/>
      <c r="F855" s="540"/>
      <c r="G855" s="540"/>
      <c r="H855" s="540"/>
      <c r="I855" s="540"/>
      <c r="J855" s="540"/>
      <c r="K855" s="540"/>
      <c r="L855" s="334" t="s">
        <v>39796</v>
      </c>
      <c r="M855" s="334" t="s">
        <v>39168</v>
      </c>
      <c r="N855" s="333" t="s">
        <v>39794</v>
      </c>
      <c r="O855" s="334">
        <f>SUM(O853:O854)</f>
        <v>31.59</v>
      </c>
    </row>
    <row r="856" spans="1:15" s="328" customFormat="1" x14ac:dyDescent="0.2">
      <c r="A856" s="329" t="s">
        <v>39791</v>
      </c>
      <c r="B856" s="542" t="s">
        <v>5917</v>
      </c>
      <c r="C856" s="542"/>
      <c r="D856" s="542"/>
      <c r="E856" s="542"/>
      <c r="F856" s="542"/>
      <c r="G856" s="542"/>
      <c r="H856" s="542"/>
      <c r="I856" s="542"/>
      <c r="J856" s="542"/>
      <c r="K856" s="542"/>
      <c r="L856" s="542"/>
      <c r="M856" s="542"/>
      <c r="N856" s="329" t="s">
        <v>39197</v>
      </c>
      <c r="O856" s="330" t="s">
        <v>39792</v>
      </c>
    </row>
    <row r="857" spans="1:15" s="328" customFormat="1" ht="39.950000000000003" customHeight="1" x14ac:dyDescent="0.2">
      <c r="A857" s="331" t="str">
        <f>ORCAMENTO!A125</f>
        <v>8.1.3</v>
      </c>
      <c r="B857" s="543" t="str">
        <f>VLOOKUP(A857,ORCAMENTO!A:I,4,0)</f>
        <v>TUBO, PVC, SOLDÁVEL, DE 32MM, INSTALADO EM RAMAL DE DISTRIBUIÇÃO DE ÁGUA - FORNECIMENTO E INSTALAÇÃO. AF_06/2022</v>
      </c>
      <c r="C857" s="543"/>
      <c r="D857" s="543"/>
      <c r="E857" s="543"/>
      <c r="F857" s="543"/>
      <c r="G857" s="543"/>
      <c r="H857" s="543"/>
      <c r="I857" s="543"/>
      <c r="J857" s="543"/>
      <c r="K857" s="543"/>
      <c r="L857" s="543"/>
      <c r="M857" s="543"/>
      <c r="N857" s="331" t="str">
        <f>VLOOKUP(A857,ORCAMENTO!A:I,5,0)</f>
        <v>M</v>
      </c>
      <c r="O857" s="332">
        <f>O861</f>
        <v>25.39</v>
      </c>
    </row>
    <row r="858" spans="1:15" s="328" customFormat="1" x14ac:dyDescent="0.2">
      <c r="A858" s="539" t="s">
        <v>39793</v>
      </c>
      <c r="B858" s="539"/>
      <c r="C858" s="539"/>
      <c r="D858" s="539"/>
      <c r="E858" s="539"/>
      <c r="F858" s="539"/>
      <c r="G858" s="539"/>
      <c r="H858" s="539"/>
      <c r="I858" s="539"/>
      <c r="J858" s="539"/>
      <c r="K858" s="539"/>
      <c r="L858" s="539"/>
      <c r="M858" s="539"/>
      <c r="N858" s="539"/>
      <c r="O858" s="539"/>
    </row>
    <row r="859" spans="1:15" s="328" customFormat="1" x14ac:dyDescent="0.2">
      <c r="A859" s="539" t="s">
        <v>5917</v>
      </c>
      <c r="B859" s="539"/>
      <c r="C859" s="539"/>
      <c r="D859" s="333"/>
      <c r="E859" s="333"/>
      <c r="F859" s="333"/>
      <c r="G859" s="333"/>
      <c r="H859" s="333"/>
      <c r="I859" s="331"/>
      <c r="J859" s="331"/>
      <c r="K859" s="333"/>
      <c r="L859" s="333"/>
      <c r="M859" s="334" t="s">
        <v>39802</v>
      </c>
      <c r="N859" s="333" t="s">
        <v>39794</v>
      </c>
      <c r="O859" s="334" t="s">
        <v>39795</v>
      </c>
    </row>
    <row r="860" spans="1:15" s="328" customFormat="1" x14ac:dyDescent="0.2">
      <c r="A860" s="535" t="s">
        <v>39801</v>
      </c>
      <c r="B860" s="535"/>
      <c r="C860" s="535"/>
      <c r="D860" s="333"/>
      <c r="E860" s="333"/>
      <c r="F860" s="333"/>
      <c r="G860" s="333"/>
      <c r="H860" s="333"/>
      <c r="I860" s="331"/>
      <c r="J860" s="331"/>
      <c r="K860" s="339"/>
      <c r="L860" s="332"/>
      <c r="M860" s="339">
        <f>25.39</f>
        <v>25.39</v>
      </c>
      <c r="N860" s="332" t="s">
        <v>39794</v>
      </c>
      <c r="O860" s="332">
        <f>ROUND(M860,2)</f>
        <v>25.39</v>
      </c>
    </row>
    <row r="861" spans="1:15" s="328" customFormat="1" x14ac:dyDescent="0.2">
      <c r="A861" s="540"/>
      <c r="B861" s="540"/>
      <c r="C861" s="540"/>
      <c r="D861" s="540"/>
      <c r="E861" s="540"/>
      <c r="F861" s="540"/>
      <c r="G861" s="540"/>
      <c r="H861" s="540"/>
      <c r="I861" s="540"/>
      <c r="J861" s="540"/>
      <c r="K861" s="540"/>
      <c r="L861" s="334" t="s">
        <v>39796</v>
      </c>
      <c r="M861" s="334" t="s">
        <v>39168</v>
      </c>
      <c r="N861" s="333" t="s">
        <v>39794</v>
      </c>
      <c r="O861" s="334">
        <f>SUM(O859:O860)</f>
        <v>25.39</v>
      </c>
    </row>
    <row r="862" spans="1:15" s="328" customFormat="1" x14ac:dyDescent="0.2">
      <c r="A862" s="329" t="s">
        <v>39791</v>
      </c>
      <c r="B862" s="542" t="s">
        <v>5917</v>
      </c>
      <c r="C862" s="542"/>
      <c r="D862" s="542"/>
      <c r="E862" s="542"/>
      <c r="F862" s="542"/>
      <c r="G862" s="542"/>
      <c r="H862" s="542"/>
      <c r="I862" s="542"/>
      <c r="J862" s="542"/>
      <c r="K862" s="542"/>
      <c r="L862" s="542"/>
      <c r="M862" s="542"/>
      <c r="N862" s="329" t="s">
        <v>39197</v>
      </c>
      <c r="O862" s="330" t="s">
        <v>39792</v>
      </c>
    </row>
    <row r="863" spans="1:15" s="328" customFormat="1" ht="39.950000000000003" customHeight="1" x14ac:dyDescent="0.2">
      <c r="A863" s="331" t="str">
        <f>ORCAMENTO!A126</f>
        <v>8.1.4</v>
      </c>
      <c r="B863" s="543" t="str">
        <f>VLOOKUP(A863,ORCAMENTO!A:I,4,0)</f>
        <v>TUBO, PVC, SOLDÁVEL, DE 50MM, INSTALADO EM RAMAL DE DISTRIBUIÇÃO DE ÁGUA - FORNECIMENTO E INSTALAÇÃO. AF_06/2022</v>
      </c>
      <c r="C863" s="543"/>
      <c r="D863" s="543"/>
      <c r="E863" s="543"/>
      <c r="F863" s="543"/>
      <c r="G863" s="543"/>
      <c r="H863" s="543"/>
      <c r="I863" s="543"/>
      <c r="J863" s="543"/>
      <c r="K863" s="543"/>
      <c r="L863" s="543"/>
      <c r="M863" s="543"/>
      <c r="N863" s="331" t="str">
        <f>VLOOKUP(A863,ORCAMENTO!A:I,5,0)</f>
        <v>M</v>
      </c>
      <c r="O863" s="332">
        <f>O867</f>
        <v>77.73</v>
      </c>
    </row>
    <row r="864" spans="1:15" s="328" customFormat="1" x14ac:dyDescent="0.2">
      <c r="A864" s="539" t="s">
        <v>39793</v>
      </c>
      <c r="B864" s="539"/>
      <c r="C864" s="539"/>
      <c r="D864" s="539"/>
      <c r="E864" s="539"/>
      <c r="F864" s="539"/>
      <c r="G864" s="539"/>
      <c r="H864" s="539"/>
      <c r="I864" s="539"/>
      <c r="J864" s="539"/>
      <c r="K864" s="539"/>
      <c r="L864" s="539"/>
      <c r="M864" s="539"/>
      <c r="N864" s="539"/>
      <c r="O864" s="539"/>
    </row>
    <row r="865" spans="1:15" s="328" customFormat="1" x14ac:dyDescent="0.2">
      <c r="A865" s="539" t="s">
        <v>5917</v>
      </c>
      <c r="B865" s="539"/>
      <c r="C865" s="539"/>
      <c r="D865" s="333"/>
      <c r="E865" s="333"/>
      <c r="F865" s="333"/>
      <c r="G865" s="333"/>
      <c r="H865" s="333"/>
      <c r="I865" s="331"/>
      <c r="J865" s="331"/>
      <c r="K865" s="333"/>
      <c r="L865" s="333"/>
      <c r="M865" s="334" t="s">
        <v>39802</v>
      </c>
      <c r="N865" s="333" t="s">
        <v>39794</v>
      </c>
      <c r="O865" s="334" t="s">
        <v>39795</v>
      </c>
    </row>
    <row r="866" spans="1:15" s="328" customFormat="1" x14ac:dyDescent="0.2">
      <c r="A866" s="535" t="s">
        <v>39801</v>
      </c>
      <c r="B866" s="535"/>
      <c r="C866" s="535"/>
      <c r="D866" s="333"/>
      <c r="E866" s="333"/>
      <c r="F866" s="333"/>
      <c r="G866" s="333"/>
      <c r="H866" s="333"/>
      <c r="I866" s="331"/>
      <c r="J866" s="331"/>
      <c r="K866" s="339"/>
      <c r="L866" s="332"/>
      <c r="M866" s="339">
        <f>77.73</f>
        <v>77.73</v>
      </c>
      <c r="N866" s="332" t="s">
        <v>39794</v>
      </c>
      <c r="O866" s="332">
        <f>ROUND(M866,2)</f>
        <v>77.73</v>
      </c>
    </row>
    <row r="867" spans="1:15" s="328" customFormat="1" x14ac:dyDescent="0.2">
      <c r="A867" s="540"/>
      <c r="B867" s="540"/>
      <c r="C867" s="540"/>
      <c r="D867" s="540"/>
      <c r="E867" s="540"/>
      <c r="F867" s="540"/>
      <c r="G867" s="540"/>
      <c r="H867" s="540"/>
      <c r="I867" s="540"/>
      <c r="J867" s="540"/>
      <c r="K867" s="540"/>
      <c r="L867" s="334" t="s">
        <v>39796</v>
      </c>
      <c r="M867" s="334" t="s">
        <v>39168</v>
      </c>
      <c r="N867" s="333" t="s">
        <v>39794</v>
      </c>
      <c r="O867" s="334">
        <f>SUM(O865:O866)</f>
        <v>77.73</v>
      </c>
    </row>
    <row r="868" spans="1:15" s="328" customFormat="1" x14ac:dyDescent="0.2">
      <c r="A868" s="329" t="s">
        <v>39791</v>
      </c>
      <c r="B868" s="542" t="s">
        <v>5917</v>
      </c>
      <c r="C868" s="542"/>
      <c r="D868" s="542"/>
      <c r="E868" s="542"/>
      <c r="F868" s="542"/>
      <c r="G868" s="542"/>
      <c r="H868" s="542"/>
      <c r="I868" s="542"/>
      <c r="J868" s="542"/>
      <c r="K868" s="542"/>
      <c r="L868" s="542"/>
      <c r="M868" s="542"/>
      <c r="N868" s="329" t="s">
        <v>39197</v>
      </c>
      <c r="O868" s="330" t="s">
        <v>39792</v>
      </c>
    </row>
    <row r="869" spans="1:15" s="328" customFormat="1" ht="40.15" customHeight="1" x14ac:dyDescent="0.2">
      <c r="A869" s="331" t="str">
        <f>ORCAMENTO!A127</f>
        <v>8.1.5</v>
      </c>
      <c r="B869" s="543" t="str">
        <f>VLOOKUP(A869,ORCAMENTO!A:I,4,0)</f>
        <v>JOELHO 90 GRAUS, PVC, SOLDÁVEL, DN 25MM, INSTALADO EM RAMAL DE DISTRIBUIÇÃO DE ÁGUA - FORNECIMENTO E INSTALAÇÃO. AF_06/2022</v>
      </c>
      <c r="C869" s="543"/>
      <c r="D869" s="543"/>
      <c r="E869" s="543"/>
      <c r="F869" s="543"/>
      <c r="G869" s="543"/>
      <c r="H869" s="543"/>
      <c r="I869" s="543"/>
      <c r="J869" s="543"/>
      <c r="K869" s="543"/>
      <c r="L869" s="543"/>
      <c r="M869" s="543"/>
      <c r="N869" s="331" t="str">
        <f>VLOOKUP(A869,ORCAMENTO!A:I,5,0)</f>
        <v>UN</v>
      </c>
      <c r="O869" s="332">
        <f>O873</f>
        <v>2</v>
      </c>
    </row>
    <row r="870" spans="1:15" s="328" customFormat="1" x14ac:dyDescent="0.2">
      <c r="A870" s="539" t="s">
        <v>39793</v>
      </c>
      <c r="B870" s="539"/>
      <c r="C870" s="539"/>
      <c r="D870" s="539"/>
      <c r="E870" s="539"/>
      <c r="F870" s="539"/>
      <c r="G870" s="539"/>
      <c r="H870" s="539"/>
      <c r="I870" s="539"/>
      <c r="J870" s="539"/>
      <c r="K870" s="539"/>
      <c r="L870" s="539"/>
      <c r="M870" s="539"/>
      <c r="N870" s="539"/>
      <c r="O870" s="539"/>
    </row>
    <row r="871" spans="1:15" s="328" customFormat="1" x14ac:dyDescent="0.2">
      <c r="A871" s="539" t="s">
        <v>5917</v>
      </c>
      <c r="B871" s="539"/>
      <c r="C871" s="539"/>
      <c r="D871" s="333"/>
      <c r="E871" s="333"/>
      <c r="F871" s="333"/>
      <c r="G871" s="333"/>
      <c r="H871" s="333"/>
      <c r="I871" s="331"/>
      <c r="J871" s="331"/>
      <c r="K871" s="333"/>
      <c r="L871" s="333"/>
      <c r="M871" s="334" t="s">
        <v>39792</v>
      </c>
      <c r="N871" s="333" t="s">
        <v>39794</v>
      </c>
      <c r="O871" s="334" t="s">
        <v>39795</v>
      </c>
    </row>
    <row r="872" spans="1:15" s="328" customFormat="1" x14ac:dyDescent="0.2">
      <c r="A872" s="535" t="s">
        <v>39801</v>
      </c>
      <c r="B872" s="535"/>
      <c r="C872" s="535"/>
      <c r="D872" s="333"/>
      <c r="E872" s="333"/>
      <c r="F872" s="333"/>
      <c r="G872" s="333"/>
      <c r="H872" s="333"/>
      <c r="I872" s="331"/>
      <c r="J872" s="331"/>
      <c r="K872" s="339"/>
      <c r="L872" s="332"/>
      <c r="M872" s="339">
        <f>2</f>
        <v>2</v>
      </c>
      <c r="N872" s="332" t="s">
        <v>39794</v>
      </c>
      <c r="O872" s="332">
        <f>ROUND(M872,2)</f>
        <v>2</v>
      </c>
    </row>
    <row r="873" spans="1:15" s="328" customFormat="1" x14ac:dyDescent="0.2">
      <c r="A873" s="540"/>
      <c r="B873" s="540"/>
      <c r="C873" s="540"/>
      <c r="D873" s="540"/>
      <c r="E873" s="540"/>
      <c r="F873" s="540"/>
      <c r="G873" s="540"/>
      <c r="H873" s="540"/>
      <c r="I873" s="540"/>
      <c r="J873" s="540"/>
      <c r="K873" s="540"/>
      <c r="L873" s="334" t="s">
        <v>39796</v>
      </c>
      <c r="M873" s="334" t="s">
        <v>39168</v>
      </c>
      <c r="N873" s="333" t="s">
        <v>39794</v>
      </c>
      <c r="O873" s="334">
        <f>SUM(O871:O872)</f>
        <v>2</v>
      </c>
    </row>
    <row r="874" spans="1:15" s="328" customFormat="1" x14ac:dyDescent="0.2">
      <c r="A874" s="329" t="s">
        <v>39791</v>
      </c>
      <c r="B874" s="542" t="s">
        <v>5917</v>
      </c>
      <c r="C874" s="542"/>
      <c r="D874" s="542"/>
      <c r="E874" s="542"/>
      <c r="F874" s="542"/>
      <c r="G874" s="542"/>
      <c r="H874" s="542"/>
      <c r="I874" s="542"/>
      <c r="J874" s="542"/>
      <c r="K874" s="542"/>
      <c r="L874" s="542"/>
      <c r="M874" s="542"/>
      <c r="N874" s="329" t="s">
        <v>39197</v>
      </c>
      <c r="O874" s="330" t="s">
        <v>39792</v>
      </c>
    </row>
    <row r="875" spans="1:15" s="328" customFormat="1" ht="40.15" customHeight="1" x14ac:dyDescent="0.2">
      <c r="A875" s="331" t="str">
        <f>ORCAMENTO!A128</f>
        <v>8.1.6</v>
      </c>
      <c r="B875" s="543" t="str">
        <f>VLOOKUP(A875,ORCAMENTO!A:I,4,0)</f>
        <v>JOELHO 90 GRAUS, PVC, SOLDÁVEL, DN 32MM, INSTALADO EM RAMAL DE DISTRIBUIÇÃO DE ÁGUA - FORNECIMENTO E INSTALAÇÃO. AF_06/2022</v>
      </c>
      <c r="C875" s="543"/>
      <c r="D875" s="543"/>
      <c r="E875" s="543"/>
      <c r="F875" s="543"/>
      <c r="G875" s="543"/>
      <c r="H875" s="543"/>
      <c r="I875" s="543"/>
      <c r="J875" s="543"/>
      <c r="K875" s="543"/>
      <c r="L875" s="543"/>
      <c r="M875" s="543"/>
      <c r="N875" s="331" t="str">
        <f>VLOOKUP(A875,ORCAMENTO!A:I,5,0)</f>
        <v>UN</v>
      </c>
      <c r="O875" s="332">
        <f>O879</f>
        <v>1</v>
      </c>
    </row>
    <row r="876" spans="1:15" s="328" customFormat="1" x14ac:dyDescent="0.2">
      <c r="A876" s="539" t="s">
        <v>39793</v>
      </c>
      <c r="B876" s="539"/>
      <c r="C876" s="539"/>
      <c r="D876" s="539"/>
      <c r="E876" s="539"/>
      <c r="F876" s="539"/>
      <c r="G876" s="539"/>
      <c r="H876" s="539"/>
      <c r="I876" s="539"/>
      <c r="J876" s="539"/>
      <c r="K876" s="539"/>
      <c r="L876" s="539"/>
      <c r="M876" s="539"/>
      <c r="N876" s="539"/>
      <c r="O876" s="539"/>
    </row>
    <row r="877" spans="1:15" s="328" customFormat="1" x14ac:dyDescent="0.2">
      <c r="A877" s="539" t="s">
        <v>5917</v>
      </c>
      <c r="B877" s="539"/>
      <c r="C877" s="539"/>
      <c r="D877" s="333"/>
      <c r="E877" s="333"/>
      <c r="F877" s="333"/>
      <c r="G877" s="333"/>
      <c r="H877" s="333"/>
      <c r="I877" s="331"/>
      <c r="J877" s="331"/>
      <c r="K877" s="333"/>
      <c r="L877" s="333"/>
      <c r="M877" s="334" t="s">
        <v>39792</v>
      </c>
      <c r="N877" s="333" t="s">
        <v>39794</v>
      </c>
      <c r="O877" s="334" t="s">
        <v>39795</v>
      </c>
    </row>
    <row r="878" spans="1:15" s="328" customFormat="1" x14ac:dyDescent="0.2">
      <c r="A878" s="535" t="s">
        <v>39801</v>
      </c>
      <c r="B878" s="535"/>
      <c r="C878" s="535"/>
      <c r="D878" s="333"/>
      <c r="E878" s="333"/>
      <c r="F878" s="333"/>
      <c r="G878" s="333"/>
      <c r="H878" s="333"/>
      <c r="I878" s="331"/>
      <c r="J878" s="331"/>
      <c r="K878" s="339"/>
      <c r="L878" s="332"/>
      <c r="M878" s="339">
        <f>1</f>
        <v>1</v>
      </c>
      <c r="N878" s="332" t="s">
        <v>39794</v>
      </c>
      <c r="O878" s="332">
        <f>ROUND(M878,2)</f>
        <v>1</v>
      </c>
    </row>
    <row r="879" spans="1:15" s="328" customFormat="1" x14ac:dyDescent="0.2">
      <c r="A879" s="540"/>
      <c r="B879" s="540"/>
      <c r="C879" s="540"/>
      <c r="D879" s="540"/>
      <c r="E879" s="540"/>
      <c r="F879" s="540"/>
      <c r="G879" s="540"/>
      <c r="H879" s="540"/>
      <c r="I879" s="540"/>
      <c r="J879" s="540"/>
      <c r="K879" s="540"/>
      <c r="L879" s="334" t="s">
        <v>39796</v>
      </c>
      <c r="M879" s="334" t="s">
        <v>39168</v>
      </c>
      <c r="N879" s="333" t="s">
        <v>39794</v>
      </c>
      <c r="O879" s="334">
        <f>SUM(O877:O878)</f>
        <v>1</v>
      </c>
    </row>
    <row r="880" spans="1:15" s="328" customFormat="1" x14ac:dyDescent="0.2">
      <c r="A880" s="329" t="s">
        <v>39791</v>
      </c>
      <c r="B880" s="542" t="s">
        <v>5917</v>
      </c>
      <c r="C880" s="542"/>
      <c r="D880" s="542"/>
      <c r="E880" s="542"/>
      <c r="F880" s="542"/>
      <c r="G880" s="542"/>
      <c r="H880" s="542"/>
      <c r="I880" s="542"/>
      <c r="J880" s="542"/>
      <c r="K880" s="542"/>
      <c r="L880" s="542"/>
      <c r="M880" s="542"/>
      <c r="N880" s="329" t="s">
        <v>39197</v>
      </c>
      <c r="O880" s="330" t="s">
        <v>39792</v>
      </c>
    </row>
    <row r="881" spans="1:15" s="328" customFormat="1" ht="40.15" customHeight="1" x14ac:dyDescent="0.2">
      <c r="A881" s="331" t="str">
        <f>ORCAMENTO!A129</f>
        <v>8.1.7</v>
      </c>
      <c r="B881" s="543" t="str">
        <f>VLOOKUP(A881,ORCAMENTO!A:I,4,0)</f>
        <v>JOELHO 90 GRAUS, PVC, SOLDÁVEL, DN 50MM, INSTALADO EM RAMAL DE DISTRIBUIÇÃO DE ÁGUA - FORNECIMENTO E INSTALAÇÃO. AF_06/2022</v>
      </c>
      <c r="C881" s="543"/>
      <c r="D881" s="543"/>
      <c r="E881" s="543"/>
      <c r="F881" s="543"/>
      <c r="G881" s="543"/>
      <c r="H881" s="543"/>
      <c r="I881" s="543"/>
      <c r="J881" s="543"/>
      <c r="K881" s="543"/>
      <c r="L881" s="543"/>
      <c r="M881" s="543"/>
      <c r="N881" s="331" t="str">
        <f>VLOOKUP(A881,ORCAMENTO!A:I,5,0)</f>
        <v>UN</v>
      </c>
      <c r="O881" s="332">
        <f>O885</f>
        <v>1</v>
      </c>
    </row>
    <row r="882" spans="1:15" s="328" customFormat="1" x14ac:dyDescent="0.2">
      <c r="A882" s="539" t="s">
        <v>39793</v>
      </c>
      <c r="B882" s="539"/>
      <c r="C882" s="539"/>
      <c r="D882" s="539"/>
      <c r="E882" s="539"/>
      <c r="F882" s="539"/>
      <c r="G882" s="539"/>
      <c r="H882" s="539"/>
      <c r="I882" s="539"/>
      <c r="J882" s="539"/>
      <c r="K882" s="539"/>
      <c r="L882" s="539"/>
      <c r="M882" s="539"/>
      <c r="N882" s="539"/>
      <c r="O882" s="539"/>
    </row>
    <row r="883" spans="1:15" s="328" customFormat="1" x14ac:dyDescent="0.2">
      <c r="A883" s="539" t="s">
        <v>5917</v>
      </c>
      <c r="B883" s="539"/>
      <c r="C883" s="539"/>
      <c r="D883" s="333"/>
      <c r="E883" s="333"/>
      <c r="F883" s="333"/>
      <c r="G883" s="333"/>
      <c r="H883" s="333"/>
      <c r="I883" s="331"/>
      <c r="J883" s="331"/>
      <c r="K883" s="333"/>
      <c r="L883" s="333"/>
      <c r="M883" s="334" t="s">
        <v>39792</v>
      </c>
      <c r="N883" s="333" t="s">
        <v>39794</v>
      </c>
      <c r="O883" s="334" t="s">
        <v>39795</v>
      </c>
    </row>
    <row r="884" spans="1:15" s="328" customFormat="1" x14ac:dyDescent="0.2">
      <c r="A884" s="535" t="s">
        <v>39801</v>
      </c>
      <c r="B884" s="535"/>
      <c r="C884" s="535"/>
      <c r="D884" s="333"/>
      <c r="E884" s="333"/>
      <c r="F884" s="333"/>
      <c r="G884" s="333"/>
      <c r="H884" s="333"/>
      <c r="I884" s="331"/>
      <c r="J884" s="331"/>
      <c r="K884" s="339"/>
      <c r="L884" s="332"/>
      <c r="M884" s="339">
        <f>1</f>
        <v>1</v>
      </c>
      <c r="N884" s="332" t="s">
        <v>39794</v>
      </c>
      <c r="O884" s="332">
        <f>ROUND(M884,2)</f>
        <v>1</v>
      </c>
    </row>
    <row r="885" spans="1:15" s="328" customFormat="1" x14ac:dyDescent="0.2">
      <c r="A885" s="540"/>
      <c r="B885" s="540"/>
      <c r="C885" s="540"/>
      <c r="D885" s="540"/>
      <c r="E885" s="540"/>
      <c r="F885" s="540"/>
      <c r="G885" s="540"/>
      <c r="H885" s="540"/>
      <c r="I885" s="540"/>
      <c r="J885" s="540"/>
      <c r="K885" s="540"/>
      <c r="L885" s="334" t="s">
        <v>39796</v>
      </c>
      <c r="M885" s="334" t="s">
        <v>39168</v>
      </c>
      <c r="N885" s="333" t="s">
        <v>39794</v>
      </c>
      <c r="O885" s="334">
        <f>SUM(O883:O884)</f>
        <v>1</v>
      </c>
    </row>
    <row r="886" spans="1:15" s="328" customFormat="1" x14ac:dyDescent="0.2">
      <c r="A886" s="329" t="s">
        <v>39791</v>
      </c>
      <c r="B886" s="542" t="s">
        <v>5917</v>
      </c>
      <c r="C886" s="542"/>
      <c r="D886" s="542"/>
      <c r="E886" s="542"/>
      <c r="F886" s="542"/>
      <c r="G886" s="542"/>
      <c r="H886" s="542"/>
      <c r="I886" s="542"/>
      <c r="J886" s="542"/>
      <c r="K886" s="542"/>
      <c r="L886" s="542"/>
      <c r="M886" s="542"/>
      <c r="N886" s="329" t="s">
        <v>39197</v>
      </c>
      <c r="O886" s="330" t="s">
        <v>39792</v>
      </c>
    </row>
    <row r="887" spans="1:15" s="328" customFormat="1" ht="40.15" customHeight="1" x14ac:dyDescent="0.2">
      <c r="A887" s="331" t="str">
        <f>ORCAMENTO!A130</f>
        <v>8.1.8</v>
      </c>
      <c r="B887" s="543" t="str">
        <f>VLOOKUP(A887,ORCAMENTO!A:I,4,0)</f>
        <v>JOELHO 90 GRAUS, PVC, SOLDÁVEL, DN 25MM, INSTALADO EM RAMAL OU SUB-RAMAL DE ÁGUA - FORNECIMENTO E INSTALAÇÃO. AF_06/2022</v>
      </c>
      <c r="C887" s="543"/>
      <c r="D887" s="543"/>
      <c r="E887" s="543"/>
      <c r="F887" s="543"/>
      <c r="G887" s="543"/>
      <c r="H887" s="543"/>
      <c r="I887" s="543"/>
      <c r="J887" s="543"/>
      <c r="K887" s="543"/>
      <c r="L887" s="543"/>
      <c r="M887" s="543"/>
      <c r="N887" s="331" t="str">
        <f>VLOOKUP(A887,ORCAMENTO!A:I,5,0)</f>
        <v>UN</v>
      </c>
      <c r="O887" s="332">
        <f>O891</f>
        <v>7</v>
      </c>
    </row>
    <row r="888" spans="1:15" s="328" customFormat="1" x14ac:dyDescent="0.2">
      <c r="A888" s="539" t="s">
        <v>39793</v>
      </c>
      <c r="B888" s="539"/>
      <c r="C888" s="539"/>
      <c r="D888" s="539"/>
      <c r="E888" s="539"/>
      <c r="F888" s="539"/>
      <c r="G888" s="539"/>
      <c r="H888" s="539"/>
      <c r="I888" s="539"/>
      <c r="J888" s="539"/>
      <c r="K888" s="539"/>
      <c r="L888" s="539"/>
      <c r="M888" s="539"/>
      <c r="N888" s="539"/>
      <c r="O888" s="539"/>
    </row>
    <row r="889" spans="1:15" s="328" customFormat="1" x14ac:dyDescent="0.2">
      <c r="A889" s="539" t="s">
        <v>5917</v>
      </c>
      <c r="B889" s="539"/>
      <c r="C889" s="539"/>
      <c r="D889" s="333"/>
      <c r="E889" s="333"/>
      <c r="F889" s="333"/>
      <c r="G889" s="333"/>
      <c r="H889" s="333"/>
      <c r="I889" s="331"/>
      <c r="J889" s="331"/>
      <c r="K889" s="333"/>
      <c r="L889" s="333"/>
      <c r="M889" s="334" t="s">
        <v>39792</v>
      </c>
      <c r="N889" s="333" t="s">
        <v>39794</v>
      </c>
      <c r="O889" s="334" t="s">
        <v>39795</v>
      </c>
    </row>
    <row r="890" spans="1:15" s="328" customFormat="1" x14ac:dyDescent="0.2">
      <c r="A890" s="535" t="s">
        <v>39801</v>
      </c>
      <c r="B890" s="535"/>
      <c r="C890" s="535"/>
      <c r="D890" s="333"/>
      <c r="E890" s="333"/>
      <c r="F890" s="333"/>
      <c r="G890" s="333"/>
      <c r="H890" s="333"/>
      <c r="I890" s="331"/>
      <c r="J890" s="331"/>
      <c r="K890" s="339"/>
      <c r="L890" s="332"/>
      <c r="M890" s="339">
        <f>7</f>
        <v>7</v>
      </c>
      <c r="N890" s="332" t="s">
        <v>39794</v>
      </c>
      <c r="O890" s="332">
        <f>ROUND(M890,2)</f>
        <v>7</v>
      </c>
    </row>
    <row r="891" spans="1:15" s="328" customFormat="1" x14ac:dyDescent="0.2">
      <c r="A891" s="540"/>
      <c r="B891" s="540"/>
      <c r="C891" s="540"/>
      <c r="D891" s="540"/>
      <c r="E891" s="540"/>
      <c r="F891" s="540"/>
      <c r="G891" s="540"/>
      <c r="H891" s="540"/>
      <c r="I891" s="540"/>
      <c r="J891" s="540"/>
      <c r="K891" s="540"/>
      <c r="L891" s="334" t="s">
        <v>39796</v>
      </c>
      <c r="M891" s="334" t="s">
        <v>39168</v>
      </c>
      <c r="N891" s="333" t="s">
        <v>39794</v>
      </c>
      <c r="O891" s="334">
        <f>SUM(O889:O890)</f>
        <v>7</v>
      </c>
    </row>
    <row r="892" spans="1:15" s="328" customFormat="1" x14ac:dyDescent="0.2">
      <c r="A892" s="329" t="s">
        <v>39791</v>
      </c>
      <c r="B892" s="542" t="s">
        <v>5917</v>
      </c>
      <c r="C892" s="542"/>
      <c r="D892" s="542"/>
      <c r="E892" s="542"/>
      <c r="F892" s="542"/>
      <c r="G892" s="542"/>
      <c r="H892" s="542"/>
      <c r="I892" s="542"/>
      <c r="J892" s="542"/>
      <c r="K892" s="542"/>
      <c r="L892" s="542"/>
      <c r="M892" s="542"/>
      <c r="N892" s="329" t="s">
        <v>39197</v>
      </c>
      <c r="O892" s="330" t="s">
        <v>39792</v>
      </c>
    </row>
    <row r="893" spans="1:15" s="328" customFormat="1" ht="12.75" customHeight="1" x14ac:dyDescent="0.2">
      <c r="A893" s="331" t="str">
        <f>ORCAMENTO!A131</f>
        <v>8.1.9</v>
      </c>
      <c r="B893" s="543" t="str">
        <f>VLOOKUP(A893,ORCAMENTO!A:I,4,0)</f>
        <v>JOELHO REDUÇÃO PVC SOLD./ROSCA. D=25mmX1/2"</v>
      </c>
      <c r="C893" s="543"/>
      <c r="D893" s="543"/>
      <c r="E893" s="543"/>
      <c r="F893" s="543"/>
      <c r="G893" s="543"/>
      <c r="H893" s="543"/>
      <c r="I893" s="543"/>
      <c r="J893" s="543"/>
      <c r="K893" s="543"/>
      <c r="L893" s="543"/>
      <c r="M893" s="543"/>
      <c r="N893" s="331" t="str">
        <f>VLOOKUP(A893,ORCAMENTO!A:I,5,0)</f>
        <v>UN</v>
      </c>
      <c r="O893" s="332">
        <f>O897</f>
        <v>13</v>
      </c>
    </row>
    <row r="894" spans="1:15" s="328" customFormat="1" x14ac:dyDescent="0.2">
      <c r="A894" s="539" t="s">
        <v>39793</v>
      </c>
      <c r="B894" s="539"/>
      <c r="C894" s="539"/>
      <c r="D894" s="539"/>
      <c r="E894" s="539"/>
      <c r="F894" s="539"/>
      <c r="G894" s="539"/>
      <c r="H894" s="539"/>
      <c r="I894" s="539"/>
      <c r="J894" s="539"/>
      <c r="K894" s="539"/>
      <c r="L894" s="539"/>
      <c r="M894" s="539"/>
      <c r="N894" s="539"/>
      <c r="O894" s="539"/>
    </row>
    <row r="895" spans="1:15" s="328" customFormat="1" x14ac:dyDescent="0.2">
      <c r="A895" s="539" t="s">
        <v>5917</v>
      </c>
      <c r="B895" s="539"/>
      <c r="C895" s="539"/>
      <c r="D895" s="333"/>
      <c r="E895" s="333"/>
      <c r="F895" s="333"/>
      <c r="G895" s="333"/>
      <c r="H895" s="333"/>
      <c r="I895" s="331"/>
      <c r="J895" s="331"/>
      <c r="K895" s="333"/>
      <c r="L895" s="333"/>
      <c r="M895" s="334" t="s">
        <v>39792</v>
      </c>
      <c r="N895" s="333" t="s">
        <v>39794</v>
      </c>
      <c r="O895" s="334" t="s">
        <v>39795</v>
      </c>
    </row>
    <row r="896" spans="1:15" s="328" customFormat="1" x14ac:dyDescent="0.2">
      <c r="A896" s="535" t="s">
        <v>39801</v>
      </c>
      <c r="B896" s="535"/>
      <c r="C896" s="535"/>
      <c r="D896" s="333"/>
      <c r="E896" s="333"/>
      <c r="F896" s="333"/>
      <c r="G896" s="333"/>
      <c r="H896" s="333"/>
      <c r="I896" s="331"/>
      <c r="J896" s="331"/>
      <c r="K896" s="339"/>
      <c r="L896" s="332"/>
      <c r="M896" s="339">
        <f>13</f>
        <v>13</v>
      </c>
      <c r="N896" s="332" t="s">
        <v>39794</v>
      </c>
      <c r="O896" s="332">
        <f>ROUND(M896,2)</f>
        <v>13</v>
      </c>
    </row>
    <row r="897" spans="1:15" s="328" customFormat="1" x14ac:dyDescent="0.2">
      <c r="A897" s="540"/>
      <c r="B897" s="540"/>
      <c r="C897" s="540"/>
      <c r="D897" s="540"/>
      <c r="E897" s="540"/>
      <c r="F897" s="540"/>
      <c r="G897" s="540"/>
      <c r="H897" s="540"/>
      <c r="I897" s="540"/>
      <c r="J897" s="540"/>
      <c r="K897" s="540"/>
      <c r="L897" s="334" t="s">
        <v>39796</v>
      </c>
      <c r="M897" s="334" t="s">
        <v>39168</v>
      </c>
      <c r="N897" s="333" t="s">
        <v>39794</v>
      </c>
      <c r="O897" s="334">
        <f>SUM(O895:O896)</f>
        <v>13</v>
      </c>
    </row>
    <row r="898" spans="1:15" s="328" customFormat="1" x14ac:dyDescent="0.2">
      <c r="A898" s="329" t="s">
        <v>39791</v>
      </c>
      <c r="B898" s="542" t="s">
        <v>5917</v>
      </c>
      <c r="C898" s="542"/>
      <c r="D898" s="542"/>
      <c r="E898" s="542"/>
      <c r="F898" s="542"/>
      <c r="G898" s="542"/>
      <c r="H898" s="542"/>
      <c r="I898" s="542"/>
      <c r="J898" s="542"/>
      <c r="K898" s="542"/>
      <c r="L898" s="542"/>
      <c r="M898" s="542"/>
      <c r="N898" s="329" t="s">
        <v>39197</v>
      </c>
      <c r="O898" s="330" t="s">
        <v>39792</v>
      </c>
    </row>
    <row r="899" spans="1:15" s="328" customFormat="1" ht="39.950000000000003" customHeight="1" x14ac:dyDescent="0.2">
      <c r="A899" s="331" t="str">
        <f>ORCAMENTO!A132</f>
        <v>8.1.10</v>
      </c>
      <c r="B899" s="543" t="str">
        <f>VLOOKUP(A899,ORCAMENTO!A:I,4,0)</f>
        <v>TE, PVC, SOLDÁVEL, DN 25MM, INSTALADO EM RAMAL OU SUB-RAMAL DE ÁGUA - FORNECIMENTO E INSTALAÇÃO. AF_06/2022</v>
      </c>
      <c r="C899" s="543"/>
      <c r="D899" s="543"/>
      <c r="E899" s="543"/>
      <c r="F899" s="543"/>
      <c r="G899" s="543"/>
      <c r="H899" s="543"/>
      <c r="I899" s="543"/>
      <c r="J899" s="543"/>
      <c r="K899" s="543"/>
      <c r="L899" s="543"/>
      <c r="M899" s="543"/>
      <c r="N899" s="331" t="str">
        <f>VLOOKUP(A899,ORCAMENTO!A:I,5,0)</f>
        <v>UN</v>
      </c>
      <c r="O899" s="332">
        <f>O903</f>
        <v>12</v>
      </c>
    </row>
    <row r="900" spans="1:15" s="328" customFormat="1" x14ac:dyDescent="0.2">
      <c r="A900" s="539" t="s">
        <v>39793</v>
      </c>
      <c r="B900" s="539"/>
      <c r="C900" s="539"/>
      <c r="D900" s="539"/>
      <c r="E900" s="539"/>
      <c r="F900" s="539"/>
      <c r="G900" s="539"/>
      <c r="H900" s="539"/>
      <c r="I900" s="539"/>
      <c r="J900" s="539"/>
      <c r="K900" s="539"/>
      <c r="L900" s="539"/>
      <c r="M900" s="539"/>
      <c r="N900" s="539"/>
      <c r="O900" s="539"/>
    </row>
    <row r="901" spans="1:15" s="328" customFormat="1" x14ac:dyDescent="0.2">
      <c r="A901" s="539" t="s">
        <v>5917</v>
      </c>
      <c r="B901" s="539"/>
      <c r="C901" s="539"/>
      <c r="D901" s="333"/>
      <c r="E901" s="333"/>
      <c r="F901" s="333"/>
      <c r="G901" s="333"/>
      <c r="H901" s="333"/>
      <c r="I901" s="331"/>
      <c r="J901" s="331"/>
      <c r="K901" s="333"/>
      <c r="L901" s="333"/>
      <c r="M901" s="334" t="s">
        <v>39792</v>
      </c>
      <c r="N901" s="333" t="s">
        <v>39794</v>
      </c>
      <c r="O901" s="334" t="s">
        <v>39795</v>
      </c>
    </row>
    <row r="902" spans="1:15" s="328" customFormat="1" x14ac:dyDescent="0.2">
      <c r="A902" s="535" t="s">
        <v>39801</v>
      </c>
      <c r="B902" s="535"/>
      <c r="C902" s="535"/>
      <c r="D902" s="333"/>
      <c r="E902" s="333"/>
      <c r="F902" s="333"/>
      <c r="G902" s="333"/>
      <c r="H902" s="333"/>
      <c r="I902" s="331"/>
      <c r="J902" s="331"/>
      <c r="K902" s="339"/>
      <c r="L902" s="332"/>
      <c r="M902" s="339">
        <f>12</f>
        <v>12</v>
      </c>
      <c r="N902" s="332" t="s">
        <v>39794</v>
      </c>
      <c r="O902" s="332">
        <f>ROUND(M902,2)</f>
        <v>12</v>
      </c>
    </row>
    <row r="903" spans="1:15" s="328" customFormat="1" x14ac:dyDescent="0.2">
      <c r="A903" s="540"/>
      <c r="B903" s="540"/>
      <c r="C903" s="540"/>
      <c r="D903" s="540"/>
      <c r="E903" s="540"/>
      <c r="F903" s="540"/>
      <c r="G903" s="540"/>
      <c r="H903" s="540"/>
      <c r="I903" s="540"/>
      <c r="J903" s="540"/>
      <c r="K903" s="540"/>
      <c r="L903" s="334" t="s">
        <v>39796</v>
      </c>
      <c r="M903" s="334" t="s">
        <v>39168</v>
      </c>
      <c r="N903" s="333" t="s">
        <v>39794</v>
      </c>
      <c r="O903" s="334">
        <f>SUM(O901:O902)</f>
        <v>12</v>
      </c>
    </row>
    <row r="904" spans="1:15" s="328" customFormat="1" x14ac:dyDescent="0.2">
      <c r="A904" s="329" t="s">
        <v>39791</v>
      </c>
      <c r="B904" s="542" t="s">
        <v>5917</v>
      </c>
      <c r="C904" s="542"/>
      <c r="D904" s="542"/>
      <c r="E904" s="542"/>
      <c r="F904" s="542"/>
      <c r="G904" s="542"/>
      <c r="H904" s="542"/>
      <c r="I904" s="542"/>
      <c r="J904" s="542"/>
      <c r="K904" s="542"/>
      <c r="L904" s="542"/>
      <c r="M904" s="542"/>
      <c r="N904" s="329" t="s">
        <v>39197</v>
      </c>
      <c r="O904" s="330" t="s">
        <v>39792</v>
      </c>
    </row>
    <row r="905" spans="1:15" s="328" customFormat="1" ht="12.75" customHeight="1" x14ac:dyDescent="0.2">
      <c r="A905" s="331" t="str">
        <f>ORCAMENTO!A133</f>
        <v>8.1.11</v>
      </c>
      <c r="B905" s="543" t="str">
        <f>VLOOKUP(A905,ORCAMENTO!A:I,4,0)</f>
        <v>TÊ REDUÇÃO PVC SOLD./ROSCA. D=25mmX25mmX1/2"</v>
      </c>
      <c r="C905" s="543"/>
      <c r="D905" s="543"/>
      <c r="E905" s="543"/>
      <c r="F905" s="543"/>
      <c r="G905" s="543"/>
      <c r="H905" s="543"/>
      <c r="I905" s="543"/>
      <c r="J905" s="543"/>
      <c r="K905" s="543"/>
      <c r="L905" s="543"/>
      <c r="M905" s="543"/>
      <c r="N905" s="331" t="str">
        <f>VLOOKUP(A905,ORCAMENTO!A:I,5,0)</f>
        <v>UN</v>
      </c>
      <c r="O905" s="332">
        <f>O909</f>
        <v>7</v>
      </c>
    </row>
    <row r="906" spans="1:15" s="328" customFormat="1" x14ac:dyDescent="0.2">
      <c r="A906" s="539" t="s">
        <v>39793</v>
      </c>
      <c r="B906" s="539"/>
      <c r="C906" s="539"/>
      <c r="D906" s="539"/>
      <c r="E906" s="539"/>
      <c r="F906" s="539"/>
      <c r="G906" s="539"/>
      <c r="H906" s="539"/>
      <c r="I906" s="539"/>
      <c r="J906" s="539"/>
      <c r="K906" s="539"/>
      <c r="L906" s="539"/>
      <c r="M906" s="539"/>
      <c r="N906" s="539"/>
      <c r="O906" s="539"/>
    </row>
    <row r="907" spans="1:15" s="328" customFormat="1" x14ac:dyDescent="0.2">
      <c r="A907" s="539" t="s">
        <v>5917</v>
      </c>
      <c r="B907" s="539"/>
      <c r="C907" s="539"/>
      <c r="D907" s="333"/>
      <c r="E907" s="333"/>
      <c r="F907" s="333"/>
      <c r="G907" s="333"/>
      <c r="H907" s="333"/>
      <c r="I907" s="331"/>
      <c r="J907" s="331"/>
      <c r="K907" s="333"/>
      <c r="L907" s="333"/>
      <c r="M907" s="334" t="s">
        <v>39792</v>
      </c>
      <c r="N907" s="333" t="s">
        <v>39794</v>
      </c>
      <c r="O907" s="334" t="s">
        <v>39795</v>
      </c>
    </row>
    <row r="908" spans="1:15" s="328" customFormat="1" x14ac:dyDescent="0.2">
      <c r="A908" s="535" t="s">
        <v>39801</v>
      </c>
      <c r="B908" s="535"/>
      <c r="C908" s="535"/>
      <c r="D908" s="333"/>
      <c r="E908" s="333"/>
      <c r="F908" s="333"/>
      <c r="G908" s="333"/>
      <c r="H908" s="333"/>
      <c r="I908" s="331"/>
      <c r="J908" s="331"/>
      <c r="K908" s="339"/>
      <c r="L908" s="332"/>
      <c r="M908" s="339">
        <f>7</f>
        <v>7</v>
      </c>
      <c r="N908" s="332" t="s">
        <v>39794</v>
      </c>
      <c r="O908" s="332">
        <f>ROUND(M908,2)</f>
        <v>7</v>
      </c>
    </row>
    <row r="909" spans="1:15" s="328" customFormat="1" x14ac:dyDescent="0.2">
      <c r="A909" s="540"/>
      <c r="B909" s="540"/>
      <c r="C909" s="540"/>
      <c r="D909" s="540"/>
      <c r="E909" s="540"/>
      <c r="F909" s="540"/>
      <c r="G909" s="540"/>
      <c r="H909" s="540"/>
      <c r="I909" s="540"/>
      <c r="J909" s="540"/>
      <c r="K909" s="540"/>
      <c r="L909" s="334" t="s">
        <v>39796</v>
      </c>
      <c r="M909" s="334" t="s">
        <v>39168</v>
      </c>
      <c r="N909" s="333" t="s">
        <v>39794</v>
      </c>
      <c r="O909" s="334">
        <f>SUM(O907:O908)</f>
        <v>7</v>
      </c>
    </row>
    <row r="910" spans="1:15" s="328" customFormat="1" x14ac:dyDescent="0.2">
      <c r="A910" s="329" t="s">
        <v>39791</v>
      </c>
      <c r="B910" s="542" t="s">
        <v>5917</v>
      </c>
      <c r="C910" s="542"/>
      <c r="D910" s="542"/>
      <c r="E910" s="542"/>
      <c r="F910" s="542"/>
      <c r="G910" s="542"/>
      <c r="H910" s="542"/>
      <c r="I910" s="542"/>
      <c r="J910" s="542"/>
      <c r="K910" s="542"/>
      <c r="L910" s="542"/>
      <c r="M910" s="542"/>
      <c r="N910" s="329" t="s">
        <v>39197</v>
      </c>
      <c r="O910" s="330" t="s">
        <v>39792</v>
      </c>
    </row>
    <row r="911" spans="1:15" s="328" customFormat="1" ht="39.950000000000003" customHeight="1" x14ac:dyDescent="0.2">
      <c r="A911" s="331" t="str">
        <f>ORCAMENTO!A134</f>
        <v>8.1.12</v>
      </c>
      <c r="B911" s="543" t="str">
        <f>VLOOKUP(A911,ORCAMENTO!A:I,4,0)</f>
        <v>TE, PVC, SOLDÁVEL, DN 32MM, INSTALADO EM RAMAL DE DISTRIBUIÇÃO DE ÁGUA - FORNECIMENTO E INSTALAÇÃO. AF_06/2022</v>
      </c>
      <c r="C911" s="543"/>
      <c r="D911" s="543"/>
      <c r="E911" s="543"/>
      <c r="F911" s="543"/>
      <c r="G911" s="543"/>
      <c r="H911" s="543"/>
      <c r="I911" s="543"/>
      <c r="J911" s="543"/>
      <c r="K911" s="543"/>
      <c r="L911" s="543"/>
      <c r="M911" s="543"/>
      <c r="N911" s="331" t="str">
        <f>VLOOKUP(A911,ORCAMENTO!A:I,5,0)</f>
        <v>UN</v>
      </c>
      <c r="O911" s="332">
        <f>O915</f>
        <v>1</v>
      </c>
    </row>
    <row r="912" spans="1:15" s="328" customFormat="1" x14ac:dyDescent="0.2">
      <c r="A912" s="539" t="s">
        <v>39793</v>
      </c>
      <c r="B912" s="539"/>
      <c r="C912" s="539"/>
      <c r="D912" s="539"/>
      <c r="E912" s="539"/>
      <c r="F912" s="539"/>
      <c r="G912" s="539"/>
      <c r="H912" s="539"/>
      <c r="I912" s="539"/>
      <c r="J912" s="539"/>
      <c r="K912" s="539"/>
      <c r="L912" s="539"/>
      <c r="M912" s="539"/>
      <c r="N912" s="539"/>
      <c r="O912" s="539"/>
    </row>
    <row r="913" spans="1:15" s="328" customFormat="1" x14ac:dyDescent="0.2">
      <c r="A913" s="539" t="s">
        <v>5917</v>
      </c>
      <c r="B913" s="539"/>
      <c r="C913" s="539"/>
      <c r="D913" s="333"/>
      <c r="E913" s="333"/>
      <c r="F913" s="333"/>
      <c r="G913" s="333"/>
      <c r="H913" s="333"/>
      <c r="I913" s="331"/>
      <c r="J913" s="331"/>
      <c r="K913" s="333"/>
      <c r="L913" s="333"/>
      <c r="M913" s="334" t="s">
        <v>39792</v>
      </c>
      <c r="N913" s="333" t="s">
        <v>39794</v>
      </c>
      <c r="O913" s="334" t="s">
        <v>39795</v>
      </c>
    </row>
    <row r="914" spans="1:15" s="328" customFormat="1" x14ac:dyDescent="0.2">
      <c r="A914" s="535" t="s">
        <v>39801</v>
      </c>
      <c r="B914" s="535"/>
      <c r="C914" s="535"/>
      <c r="D914" s="333"/>
      <c r="E914" s="333"/>
      <c r="F914" s="333"/>
      <c r="G914" s="333"/>
      <c r="H914" s="333"/>
      <c r="I914" s="331"/>
      <c r="J914" s="331"/>
      <c r="K914" s="339"/>
      <c r="L914" s="332"/>
      <c r="M914" s="339">
        <f>1</f>
        <v>1</v>
      </c>
      <c r="N914" s="332" t="s">
        <v>39794</v>
      </c>
      <c r="O914" s="332">
        <f>ROUND(M914,2)</f>
        <v>1</v>
      </c>
    </row>
    <row r="915" spans="1:15" s="328" customFormat="1" x14ac:dyDescent="0.2">
      <c r="A915" s="540"/>
      <c r="B915" s="540"/>
      <c r="C915" s="540"/>
      <c r="D915" s="540"/>
      <c r="E915" s="540"/>
      <c r="F915" s="540"/>
      <c r="G915" s="540"/>
      <c r="H915" s="540"/>
      <c r="I915" s="540"/>
      <c r="J915" s="540"/>
      <c r="K915" s="540"/>
      <c r="L915" s="334" t="s">
        <v>39796</v>
      </c>
      <c r="M915" s="334" t="s">
        <v>39168</v>
      </c>
      <c r="N915" s="333" t="s">
        <v>39794</v>
      </c>
      <c r="O915" s="334">
        <f>SUM(O913:O914)</f>
        <v>1</v>
      </c>
    </row>
    <row r="916" spans="1:15" s="328" customFormat="1" x14ac:dyDescent="0.2">
      <c r="A916" s="329" t="s">
        <v>39791</v>
      </c>
      <c r="B916" s="542" t="s">
        <v>5917</v>
      </c>
      <c r="C916" s="542"/>
      <c r="D916" s="542"/>
      <c r="E916" s="542"/>
      <c r="F916" s="542"/>
      <c r="G916" s="542"/>
      <c r="H916" s="542"/>
      <c r="I916" s="542"/>
      <c r="J916" s="542"/>
      <c r="K916" s="542"/>
      <c r="L916" s="542"/>
      <c r="M916" s="542"/>
      <c r="N916" s="329" t="s">
        <v>39197</v>
      </c>
      <c r="O916" s="330" t="s">
        <v>39792</v>
      </c>
    </row>
    <row r="917" spans="1:15" s="328" customFormat="1" ht="39.950000000000003" customHeight="1" x14ac:dyDescent="0.2">
      <c r="A917" s="331" t="str">
        <f>ORCAMENTO!A135</f>
        <v>8.1.13</v>
      </c>
      <c r="B917" s="543" t="str">
        <f>VLOOKUP(A917,ORCAMENTO!A:I,4,0)</f>
        <v>TE, PVC, SOLDÁVEL, DN 50MM, INSTALADO EM RAMAL DE DISTRIBUIÇÃO DE ÁGUA - FORNECIMENTO E INSTALAÇÃO. AF_06/2022</v>
      </c>
      <c r="C917" s="543"/>
      <c r="D917" s="543"/>
      <c r="E917" s="543"/>
      <c r="F917" s="543"/>
      <c r="G917" s="543"/>
      <c r="H917" s="543"/>
      <c r="I917" s="543"/>
      <c r="J917" s="543"/>
      <c r="K917" s="543"/>
      <c r="L917" s="543"/>
      <c r="M917" s="543"/>
      <c r="N917" s="331" t="str">
        <f>VLOOKUP(A917,ORCAMENTO!A:I,5,0)</f>
        <v>UN</v>
      </c>
      <c r="O917" s="332">
        <f>O921</f>
        <v>1</v>
      </c>
    </row>
    <row r="918" spans="1:15" s="328" customFormat="1" x14ac:dyDescent="0.2">
      <c r="A918" s="539" t="s">
        <v>39793</v>
      </c>
      <c r="B918" s="539"/>
      <c r="C918" s="539"/>
      <c r="D918" s="539"/>
      <c r="E918" s="539"/>
      <c r="F918" s="539"/>
      <c r="G918" s="539"/>
      <c r="H918" s="539"/>
      <c r="I918" s="539"/>
      <c r="J918" s="539"/>
      <c r="K918" s="539"/>
      <c r="L918" s="539"/>
      <c r="M918" s="539"/>
      <c r="N918" s="539"/>
      <c r="O918" s="539"/>
    </row>
    <row r="919" spans="1:15" s="328" customFormat="1" x14ac:dyDescent="0.2">
      <c r="A919" s="539" t="s">
        <v>5917</v>
      </c>
      <c r="B919" s="539"/>
      <c r="C919" s="539"/>
      <c r="D919" s="333"/>
      <c r="E919" s="333"/>
      <c r="F919" s="333"/>
      <c r="G919" s="333"/>
      <c r="H919" s="333"/>
      <c r="I919" s="331"/>
      <c r="J919" s="331"/>
      <c r="K919" s="333"/>
      <c r="L919" s="333"/>
      <c r="M919" s="334" t="s">
        <v>39792</v>
      </c>
      <c r="N919" s="333" t="s">
        <v>39794</v>
      </c>
      <c r="O919" s="334" t="s">
        <v>39795</v>
      </c>
    </row>
    <row r="920" spans="1:15" s="328" customFormat="1" x14ac:dyDescent="0.2">
      <c r="A920" s="535" t="s">
        <v>39801</v>
      </c>
      <c r="B920" s="535"/>
      <c r="C920" s="535"/>
      <c r="D920" s="333"/>
      <c r="E920" s="333"/>
      <c r="F920" s="333"/>
      <c r="G920" s="333"/>
      <c r="H920" s="333"/>
      <c r="I920" s="331"/>
      <c r="J920" s="331"/>
      <c r="K920" s="339"/>
      <c r="L920" s="332"/>
      <c r="M920" s="339">
        <f>1</f>
        <v>1</v>
      </c>
      <c r="N920" s="332" t="s">
        <v>39794</v>
      </c>
      <c r="O920" s="332">
        <f>ROUND(M920,2)</f>
        <v>1</v>
      </c>
    </row>
    <row r="921" spans="1:15" s="328" customFormat="1" x14ac:dyDescent="0.2">
      <c r="A921" s="540"/>
      <c r="B921" s="540"/>
      <c r="C921" s="540"/>
      <c r="D921" s="540"/>
      <c r="E921" s="540"/>
      <c r="F921" s="540"/>
      <c r="G921" s="540"/>
      <c r="H921" s="540"/>
      <c r="I921" s="540"/>
      <c r="J921" s="540"/>
      <c r="K921" s="540"/>
      <c r="L921" s="334" t="s">
        <v>39796</v>
      </c>
      <c r="M921" s="334" t="s">
        <v>39168</v>
      </c>
      <c r="N921" s="333" t="s">
        <v>39794</v>
      </c>
      <c r="O921" s="334">
        <f>SUM(O919:O920)</f>
        <v>1</v>
      </c>
    </row>
    <row r="922" spans="1:15" s="328" customFormat="1" x14ac:dyDescent="0.2">
      <c r="A922" s="329" t="s">
        <v>39791</v>
      </c>
      <c r="B922" s="542" t="s">
        <v>5917</v>
      </c>
      <c r="C922" s="542"/>
      <c r="D922" s="542"/>
      <c r="E922" s="542"/>
      <c r="F922" s="542"/>
      <c r="G922" s="542"/>
      <c r="H922" s="542"/>
      <c r="I922" s="542"/>
      <c r="J922" s="542"/>
      <c r="K922" s="542"/>
      <c r="L922" s="542"/>
      <c r="M922" s="542"/>
      <c r="N922" s="329" t="s">
        <v>39197</v>
      </c>
      <c r="O922" s="330" t="s">
        <v>39792</v>
      </c>
    </row>
    <row r="923" spans="1:15" s="328" customFormat="1" ht="39.950000000000003" customHeight="1" x14ac:dyDescent="0.2">
      <c r="A923" s="339" t="str">
        <f>ORCAMENTO!A136</f>
        <v>8.1.14</v>
      </c>
      <c r="B923" s="543" t="str">
        <f>VLOOKUP(A923,ORCAMENTO!A:I,4,0)</f>
        <v>LUVA DE REDUÇÃO, PVC, SOLDÁVEL, DN 32MM X 25MM, INSTALADO EM RAMAL DE DISTRIBUIÇÃO DE ÁGUA - FORNECIMENTO E INSTALAÇÃO. AF_06/2022</v>
      </c>
      <c r="C923" s="543"/>
      <c r="D923" s="543"/>
      <c r="E923" s="543"/>
      <c r="F923" s="543"/>
      <c r="G923" s="543"/>
      <c r="H923" s="543"/>
      <c r="I923" s="543"/>
      <c r="J923" s="543"/>
      <c r="K923" s="543"/>
      <c r="L923" s="543"/>
      <c r="M923" s="543"/>
      <c r="N923" s="331" t="str">
        <f>VLOOKUP(A923,ORCAMENTO!A:I,5,0)</f>
        <v>UN</v>
      </c>
      <c r="O923" s="332">
        <f>O927</f>
        <v>3</v>
      </c>
    </row>
    <row r="924" spans="1:15" s="328" customFormat="1" x14ac:dyDescent="0.2">
      <c r="A924" s="539" t="s">
        <v>39793</v>
      </c>
      <c r="B924" s="539"/>
      <c r="C924" s="539"/>
      <c r="D924" s="539"/>
      <c r="E924" s="539"/>
      <c r="F924" s="539"/>
      <c r="G924" s="539"/>
      <c r="H924" s="539"/>
      <c r="I924" s="539"/>
      <c r="J924" s="539"/>
      <c r="K924" s="539"/>
      <c r="L924" s="539"/>
      <c r="M924" s="539"/>
      <c r="N924" s="539"/>
      <c r="O924" s="539"/>
    </row>
    <row r="925" spans="1:15" s="328" customFormat="1" x14ac:dyDescent="0.2">
      <c r="A925" s="539" t="s">
        <v>5917</v>
      </c>
      <c r="B925" s="539"/>
      <c r="C925" s="539"/>
      <c r="D925" s="333"/>
      <c r="E925" s="333"/>
      <c r="F925" s="333"/>
      <c r="G925" s="333"/>
      <c r="H925" s="333"/>
      <c r="I925" s="331"/>
      <c r="J925" s="331"/>
      <c r="K925" s="333"/>
      <c r="L925" s="333"/>
      <c r="M925" s="334" t="s">
        <v>39792</v>
      </c>
      <c r="N925" s="333" t="s">
        <v>39794</v>
      </c>
      <c r="O925" s="334" t="s">
        <v>39795</v>
      </c>
    </row>
    <row r="926" spans="1:15" s="328" customFormat="1" x14ac:dyDescent="0.2">
      <c r="A926" s="535" t="s">
        <v>39801</v>
      </c>
      <c r="B926" s="535"/>
      <c r="C926" s="535"/>
      <c r="D926" s="333"/>
      <c r="E926" s="333"/>
      <c r="F926" s="333"/>
      <c r="G926" s="333"/>
      <c r="H926" s="333"/>
      <c r="I926" s="331"/>
      <c r="J926" s="331"/>
      <c r="K926" s="339"/>
      <c r="L926" s="332"/>
      <c r="M926" s="339">
        <f>3</f>
        <v>3</v>
      </c>
      <c r="N926" s="332" t="s">
        <v>39794</v>
      </c>
      <c r="O926" s="332">
        <f>ROUND(M926,2)</f>
        <v>3</v>
      </c>
    </row>
    <row r="927" spans="1:15" s="328" customFormat="1" x14ac:dyDescent="0.2">
      <c r="A927" s="540"/>
      <c r="B927" s="540"/>
      <c r="C927" s="540"/>
      <c r="D927" s="540"/>
      <c r="E927" s="540"/>
      <c r="F927" s="540"/>
      <c r="G927" s="540"/>
      <c r="H927" s="540"/>
      <c r="I927" s="540"/>
      <c r="J927" s="540"/>
      <c r="K927" s="540"/>
      <c r="L927" s="334" t="s">
        <v>39796</v>
      </c>
      <c r="M927" s="334" t="s">
        <v>39168</v>
      </c>
      <c r="N927" s="333" t="s">
        <v>39794</v>
      </c>
      <c r="O927" s="334">
        <f>SUM(O925:O926)</f>
        <v>3</v>
      </c>
    </row>
    <row r="928" spans="1:15" s="328" customFormat="1" x14ac:dyDescent="0.2">
      <c r="A928" s="329" t="s">
        <v>39791</v>
      </c>
      <c r="B928" s="542" t="s">
        <v>5917</v>
      </c>
      <c r="C928" s="542"/>
      <c r="D928" s="542"/>
      <c r="E928" s="542"/>
      <c r="F928" s="542"/>
      <c r="G928" s="542"/>
      <c r="H928" s="542"/>
      <c r="I928" s="542"/>
      <c r="J928" s="542"/>
      <c r="K928" s="542"/>
      <c r="L928" s="542"/>
      <c r="M928" s="542"/>
      <c r="N928" s="329" t="s">
        <v>39197</v>
      </c>
      <c r="O928" s="330" t="s">
        <v>39792</v>
      </c>
    </row>
    <row r="929" spans="1:15" s="328" customFormat="1" ht="39.950000000000003" customHeight="1" x14ac:dyDescent="0.2">
      <c r="A929" s="331" t="str">
        <f>ORCAMENTO!A137</f>
        <v>8.1.15</v>
      </c>
      <c r="B929" s="543" t="str">
        <f>VLOOKUP(A929,ORCAMENTO!A:I,4,0)</f>
        <v>BUCHA DE REDUÇÃO, LONGA, PVC, SOLDÁVEL, DN 50 X 32 MM, INSTALADO EM RAMAL DE DISTRIBUIÇÃO DE ÁGUA - FORNECIMENTO E INSTALAÇÃO. AF_06/2022</v>
      </c>
      <c r="C929" s="543"/>
      <c r="D929" s="543"/>
      <c r="E929" s="543"/>
      <c r="F929" s="543"/>
      <c r="G929" s="543"/>
      <c r="H929" s="543"/>
      <c r="I929" s="543"/>
      <c r="J929" s="543"/>
      <c r="K929" s="543"/>
      <c r="L929" s="543"/>
      <c r="M929" s="543"/>
      <c r="N929" s="331" t="str">
        <f>VLOOKUP(A929,ORCAMENTO!A:I,5,0)</f>
        <v>UN</v>
      </c>
      <c r="O929" s="332">
        <f>O933</f>
        <v>2</v>
      </c>
    </row>
    <row r="930" spans="1:15" s="328" customFormat="1" x14ac:dyDescent="0.2">
      <c r="A930" s="539" t="s">
        <v>39793</v>
      </c>
      <c r="B930" s="539"/>
      <c r="C930" s="539"/>
      <c r="D930" s="539"/>
      <c r="E930" s="539"/>
      <c r="F930" s="539"/>
      <c r="G930" s="539"/>
      <c r="H930" s="539"/>
      <c r="I930" s="539"/>
      <c r="J930" s="539"/>
      <c r="K930" s="539"/>
      <c r="L930" s="539"/>
      <c r="M930" s="539"/>
      <c r="N930" s="539"/>
      <c r="O930" s="539"/>
    </row>
    <row r="931" spans="1:15" s="328" customFormat="1" x14ac:dyDescent="0.2">
      <c r="A931" s="539" t="s">
        <v>5917</v>
      </c>
      <c r="B931" s="539"/>
      <c r="C931" s="539"/>
      <c r="D931" s="333"/>
      <c r="E931" s="333"/>
      <c r="F931" s="333"/>
      <c r="G931" s="333"/>
      <c r="H931" s="333"/>
      <c r="I931" s="331"/>
      <c r="J931" s="331"/>
      <c r="K931" s="333"/>
      <c r="L931" s="333"/>
      <c r="M931" s="334" t="s">
        <v>39792</v>
      </c>
      <c r="N931" s="333" t="s">
        <v>39794</v>
      </c>
      <c r="O931" s="334" t="s">
        <v>39795</v>
      </c>
    </row>
    <row r="932" spans="1:15" s="328" customFormat="1" x14ac:dyDescent="0.2">
      <c r="A932" s="535" t="s">
        <v>39801</v>
      </c>
      <c r="B932" s="535"/>
      <c r="C932" s="535"/>
      <c r="D932" s="333"/>
      <c r="E932" s="333"/>
      <c r="F932" s="333"/>
      <c r="G932" s="333"/>
      <c r="H932" s="333"/>
      <c r="I932" s="331"/>
      <c r="J932" s="331"/>
      <c r="K932" s="339"/>
      <c r="L932" s="332"/>
      <c r="M932" s="339">
        <f>2</f>
        <v>2</v>
      </c>
      <c r="N932" s="332" t="s">
        <v>39794</v>
      </c>
      <c r="O932" s="332">
        <f>ROUND(M932,2)</f>
        <v>2</v>
      </c>
    </row>
    <row r="933" spans="1:15" s="328" customFormat="1" x14ac:dyDescent="0.2">
      <c r="A933" s="540"/>
      <c r="B933" s="540"/>
      <c r="C933" s="540"/>
      <c r="D933" s="540"/>
      <c r="E933" s="540"/>
      <c r="F933" s="540"/>
      <c r="G933" s="540"/>
      <c r="H933" s="540"/>
      <c r="I933" s="540"/>
      <c r="J933" s="540"/>
      <c r="K933" s="540"/>
      <c r="L933" s="334" t="s">
        <v>39796</v>
      </c>
      <c r="M933" s="334" t="s">
        <v>39168</v>
      </c>
      <c r="N933" s="333" t="s">
        <v>39794</v>
      </c>
      <c r="O933" s="334">
        <f>SUM(O931:O932)</f>
        <v>2</v>
      </c>
    </row>
    <row r="934" spans="1:15" s="328" customFormat="1" x14ac:dyDescent="0.2">
      <c r="A934" s="329" t="s">
        <v>39791</v>
      </c>
      <c r="B934" s="542" t="s">
        <v>5917</v>
      </c>
      <c r="C934" s="542"/>
      <c r="D934" s="542"/>
      <c r="E934" s="542"/>
      <c r="F934" s="542"/>
      <c r="G934" s="542"/>
      <c r="H934" s="542"/>
      <c r="I934" s="542"/>
      <c r="J934" s="542"/>
      <c r="K934" s="542"/>
      <c r="L934" s="542"/>
      <c r="M934" s="542"/>
      <c r="N934" s="329" t="s">
        <v>39197</v>
      </c>
      <c r="O934" s="330" t="s">
        <v>39792</v>
      </c>
    </row>
    <row r="935" spans="1:15" s="328" customFormat="1" ht="39.950000000000003" customHeight="1" x14ac:dyDescent="0.2">
      <c r="A935" s="331" t="str">
        <f>ORCAMENTO!A138</f>
        <v>8.1.16</v>
      </c>
      <c r="B935" s="543" t="str">
        <f>VLOOKUP(A935,ORCAMENTO!A:I,4,0)</f>
        <v>ADAPTADOR CURTO COM BOLSA E ROSCA PARA REGISTRO, PVC, SOLDÁVEL, DN 25MM X 3/4, INSTALADO EM RAMAL DE DISTRIBUIÇÃO DE ÁGUA - FORNECIMENTO E INSTALAÇÃO. AF_06/2022</v>
      </c>
      <c r="C935" s="543"/>
      <c r="D935" s="543"/>
      <c r="E935" s="543"/>
      <c r="F935" s="543"/>
      <c r="G935" s="543"/>
      <c r="H935" s="543"/>
      <c r="I935" s="543"/>
      <c r="J935" s="543"/>
      <c r="K935" s="543"/>
      <c r="L935" s="543"/>
      <c r="M935" s="543"/>
      <c r="N935" s="331" t="str">
        <f>VLOOKUP(A935,ORCAMENTO!A:I,5,0)</f>
        <v>UN</v>
      </c>
      <c r="O935" s="332">
        <f>O939</f>
        <v>8</v>
      </c>
    </row>
    <row r="936" spans="1:15" s="328" customFormat="1" x14ac:dyDescent="0.2">
      <c r="A936" s="539" t="s">
        <v>39793</v>
      </c>
      <c r="B936" s="539"/>
      <c r="C936" s="539"/>
      <c r="D936" s="539"/>
      <c r="E936" s="539"/>
      <c r="F936" s="539"/>
      <c r="G936" s="539"/>
      <c r="H936" s="539"/>
      <c r="I936" s="539"/>
      <c r="J936" s="539"/>
      <c r="K936" s="539"/>
      <c r="L936" s="539"/>
      <c r="M936" s="539"/>
      <c r="N936" s="539"/>
      <c r="O936" s="539"/>
    </row>
    <row r="937" spans="1:15" s="328" customFormat="1" x14ac:dyDescent="0.2">
      <c r="A937" s="539" t="s">
        <v>5917</v>
      </c>
      <c r="B937" s="539"/>
      <c r="C937" s="539"/>
      <c r="D937" s="333"/>
      <c r="E937" s="333"/>
      <c r="F937" s="333"/>
      <c r="G937" s="333"/>
      <c r="H937" s="333"/>
      <c r="I937" s="331"/>
      <c r="J937" s="331"/>
      <c r="K937" s="333"/>
      <c r="L937" s="333"/>
      <c r="M937" s="334" t="s">
        <v>39792</v>
      </c>
      <c r="N937" s="333" t="s">
        <v>39794</v>
      </c>
      <c r="O937" s="334" t="s">
        <v>39795</v>
      </c>
    </row>
    <row r="938" spans="1:15" s="328" customFormat="1" x14ac:dyDescent="0.2">
      <c r="A938" s="535" t="s">
        <v>39801</v>
      </c>
      <c r="B938" s="535"/>
      <c r="C938" s="535"/>
      <c r="D938" s="333"/>
      <c r="E938" s="333"/>
      <c r="F938" s="333"/>
      <c r="G938" s="333"/>
      <c r="H938" s="333"/>
      <c r="I938" s="331"/>
      <c r="J938" s="331"/>
      <c r="K938" s="339"/>
      <c r="L938" s="332"/>
      <c r="M938" s="339">
        <f>8</f>
        <v>8</v>
      </c>
      <c r="N938" s="332" t="s">
        <v>39794</v>
      </c>
      <c r="O938" s="332">
        <f>ROUND(M938,2)</f>
        <v>8</v>
      </c>
    </row>
    <row r="939" spans="1:15" s="328" customFormat="1" x14ac:dyDescent="0.2">
      <c r="A939" s="540"/>
      <c r="B939" s="540"/>
      <c r="C939" s="540"/>
      <c r="D939" s="540"/>
      <c r="E939" s="540"/>
      <c r="F939" s="540"/>
      <c r="G939" s="540"/>
      <c r="H939" s="540"/>
      <c r="I939" s="540"/>
      <c r="J939" s="540"/>
      <c r="K939" s="540"/>
      <c r="L939" s="334" t="s">
        <v>39796</v>
      </c>
      <c r="M939" s="334" t="s">
        <v>39168</v>
      </c>
      <c r="N939" s="333" t="s">
        <v>39794</v>
      </c>
      <c r="O939" s="334">
        <f>SUM(O937:O938)</f>
        <v>8</v>
      </c>
    </row>
    <row r="940" spans="1:15" s="328" customFormat="1" x14ac:dyDescent="0.2">
      <c r="A940" s="347" t="str">
        <f>ORCAMENTO!A140</f>
        <v>8.2</v>
      </c>
      <c r="B940" s="544" t="str">
        <f>VLOOKUP(A940,ORCAMENTO!A:I,4,0)</f>
        <v>ESCAVAÇÕES E RASGOS</v>
      </c>
      <c r="C940" s="544"/>
      <c r="D940" s="544"/>
      <c r="E940" s="544"/>
      <c r="F940" s="544"/>
      <c r="G940" s="544"/>
      <c r="H940" s="544"/>
      <c r="I940" s="544"/>
      <c r="J940" s="544"/>
      <c r="K940" s="544"/>
      <c r="L940" s="544"/>
      <c r="M940" s="544"/>
      <c r="N940" s="544"/>
      <c r="O940" s="544"/>
    </row>
    <row r="941" spans="1:15" s="328" customFormat="1" x14ac:dyDescent="0.2">
      <c r="A941" s="329" t="s">
        <v>39791</v>
      </c>
      <c r="B941" s="542" t="s">
        <v>5917</v>
      </c>
      <c r="C941" s="542"/>
      <c r="D941" s="542"/>
      <c r="E941" s="542"/>
      <c r="F941" s="542"/>
      <c r="G941" s="542"/>
      <c r="H941" s="542"/>
      <c r="I941" s="542"/>
      <c r="J941" s="542"/>
      <c r="K941" s="542"/>
      <c r="L941" s="542"/>
      <c r="M941" s="542"/>
      <c r="N941" s="329" t="s">
        <v>39197</v>
      </c>
      <c r="O941" s="330" t="s">
        <v>39792</v>
      </c>
    </row>
    <row r="942" spans="1:15" s="328" customFormat="1" ht="39.950000000000003" customHeight="1" x14ac:dyDescent="0.2">
      <c r="A942" s="331" t="str">
        <f>ORCAMENTO!A141</f>
        <v>8.2.1</v>
      </c>
      <c r="B942" s="543" t="str">
        <f>VLOOKUP(A942,ORCAMENTO!A:I,4,0)</f>
        <v>RASGO LINEAR MECANIZADO EM CONTRAPISO, PARA RAMAIS/ DISTRIBUIÇÃO DE INSTALAÇÕES HIDRÁULICAS, DIÂMETROS MENORES OU IGUAIS A 40 MM. AF_09/2023_PS</v>
      </c>
      <c r="C942" s="543"/>
      <c r="D942" s="543"/>
      <c r="E942" s="543"/>
      <c r="F942" s="543"/>
      <c r="G942" s="543"/>
      <c r="H942" s="543"/>
      <c r="I942" s="543"/>
      <c r="J942" s="543"/>
      <c r="K942" s="543"/>
      <c r="L942" s="543"/>
      <c r="M942" s="543"/>
      <c r="N942" s="331" t="str">
        <f>VLOOKUP(A942,ORCAMENTO!A:I,5,0)</f>
        <v>M</v>
      </c>
      <c r="O942" s="332">
        <f>O946</f>
        <v>43.43</v>
      </c>
    </row>
    <row r="943" spans="1:15" s="328" customFormat="1" x14ac:dyDescent="0.2">
      <c r="A943" s="539" t="s">
        <v>39793</v>
      </c>
      <c r="B943" s="539"/>
      <c r="C943" s="539"/>
      <c r="D943" s="539"/>
      <c r="E943" s="539"/>
      <c r="F943" s="539"/>
      <c r="G943" s="539"/>
      <c r="H943" s="539"/>
      <c r="I943" s="539"/>
      <c r="J943" s="539"/>
      <c r="K943" s="539"/>
      <c r="L943" s="539"/>
      <c r="M943" s="539"/>
      <c r="N943" s="539"/>
      <c r="O943" s="539"/>
    </row>
    <row r="944" spans="1:15" s="328" customFormat="1" x14ac:dyDescent="0.2">
      <c r="A944" s="539" t="s">
        <v>5917</v>
      </c>
      <c r="B944" s="539"/>
      <c r="C944" s="539"/>
      <c r="D944" s="333"/>
      <c r="E944" s="333"/>
      <c r="F944" s="333"/>
      <c r="G944" s="333"/>
      <c r="H944" s="333"/>
      <c r="I944" s="331"/>
      <c r="J944" s="331"/>
      <c r="K944" s="333"/>
      <c r="L944" s="333"/>
      <c r="M944" s="334" t="s">
        <v>39802</v>
      </c>
      <c r="N944" s="333" t="s">
        <v>39794</v>
      </c>
      <c r="O944" s="334" t="s">
        <v>39795</v>
      </c>
    </row>
    <row r="945" spans="1:15" s="328" customFormat="1" x14ac:dyDescent="0.2">
      <c r="A945" s="535" t="s">
        <v>39801</v>
      </c>
      <c r="B945" s="535"/>
      <c r="C945" s="535"/>
      <c r="D945" s="333"/>
      <c r="E945" s="333"/>
      <c r="F945" s="333"/>
      <c r="G945" s="333"/>
      <c r="H945" s="333"/>
      <c r="I945" s="331"/>
      <c r="J945" s="331"/>
      <c r="K945" s="339"/>
      <c r="L945" s="332"/>
      <c r="M945" s="339">
        <f>43.43</f>
        <v>43.43</v>
      </c>
      <c r="N945" s="332" t="s">
        <v>39794</v>
      </c>
      <c r="O945" s="332">
        <f>ROUND(M945,2)</f>
        <v>43.43</v>
      </c>
    </row>
    <row r="946" spans="1:15" s="328" customFormat="1" x14ac:dyDescent="0.2">
      <c r="A946" s="540"/>
      <c r="B946" s="540"/>
      <c r="C946" s="540"/>
      <c r="D946" s="540"/>
      <c r="E946" s="540"/>
      <c r="F946" s="540"/>
      <c r="G946" s="540"/>
      <c r="H946" s="540"/>
      <c r="I946" s="540"/>
      <c r="J946" s="540"/>
      <c r="K946" s="540"/>
      <c r="L946" s="334" t="s">
        <v>39796</v>
      </c>
      <c r="M946" s="334" t="s">
        <v>39168</v>
      </c>
      <c r="N946" s="333" t="s">
        <v>39794</v>
      </c>
      <c r="O946" s="334">
        <f>SUM(O944:O945)</f>
        <v>43.43</v>
      </c>
    </row>
    <row r="947" spans="1:15" s="328" customFormat="1" x14ac:dyDescent="0.2">
      <c r="A947" s="329" t="s">
        <v>39791</v>
      </c>
      <c r="B947" s="542" t="s">
        <v>5917</v>
      </c>
      <c r="C947" s="542"/>
      <c r="D947" s="542"/>
      <c r="E947" s="542"/>
      <c r="F947" s="542"/>
      <c r="G947" s="542"/>
      <c r="H947" s="542"/>
      <c r="I947" s="542"/>
      <c r="J947" s="542"/>
      <c r="K947" s="542"/>
      <c r="L947" s="542"/>
      <c r="M947" s="542"/>
      <c r="N947" s="329" t="s">
        <v>39197</v>
      </c>
      <c r="O947" s="330" t="s">
        <v>39792</v>
      </c>
    </row>
    <row r="948" spans="1:15" s="328" customFormat="1" ht="39.950000000000003" customHeight="1" x14ac:dyDescent="0.2">
      <c r="A948" s="331" t="str">
        <f>ORCAMENTO!A142</f>
        <v>8.2.2</v>
      </c>
      <c r="B948" s="543" t="str">
        <f>VLOOKUP(A948,ORCAMENTO!A:I,4,0)</f>
        <v>RASGO LINEAR MECANIZADO EM CONTRAPISO, PARA RAMAIS/ DISTRIBUIÇÃO DE INSTALAÇÕES HIDRÁULICAS, DIÂMETROS MAIORES QUE 40 MM E MENORES OU IGUAIS A 75 MM. AF_09/2023_PS</v>
      </c>
      <c r="C948" s="543"/>
      <c r="D948" s="543"/>
      <c r="E948" s="543"/>
      <c r="F948" s="543"/>
      <c r="G948" s="543"/>
      <c r="H948" s="543"/>
      <c r="I948" s="543"/>
      <c r="J948" s="543"/>
      <c r="K948" s="543"/>
      <c r="L948" s="543"/>
      <c r="M948" s="543"/>
      <c r="N948" s="331" t="str">
        <f>VLOOKUP(A948,ORCAMENTO!A:I,5,0)</f>
        <v>M</v>
      </c>
      <c r="O948" s="332">
        <f>O952</f>
        <v>77.73</v>
      </c>
    </row>
    <row r="949" spans="1:15" s="328" customFormat="1" x14ac:dyDescent="0.2">
      <c r="A949" s="539" t="s">
        <v>39793</v>
      </c>
      <c r="B949" s="539"/>
      <c r="C949" s="539"/>
      <c r="D949" s="539"/>
      <c r="E949" s="539"/>
      <c r="F949" s="539"/>
      <c r="G949" s="539"/>
      <c r="H949" s="539"/>
      <c r="I949" s="539"/>
      <c r="J949" s="539"/>
      <c r="K949" s="539"/>
      <c r="L949" s="539"/>
      <c r="M949" s="539"/>
      <c r="N949" s="539"/>
      <c r="O949" s="539"/>
    </row>
    <row r="950" spans="1:15" s="328" customFormat="1" x14ac:dyDescent="0.2">
      <c r="A950" s="539" t="s">
        <v>5917</v>
      </c>
      <c r="B950" s="539"/>
      <c r="C950" s="539"/>
      <c r="D950" s="333"/>
      <c r="E950" s="333"/>
      <c r="F950" s="333"/>
      <c r="G950" s="333"/>
      <c r="H950" s="333"/>
      <c r="I950" s="331"/>
      <c r="J950" s="331"/>
      <c r="K950" s="333"/>
      <c r="L950" s="333"/>
      <c r="M950" s="334" t="s">
        <v>39802</v>
      </c>
      <c r="N950" s="333" t="s">
        <v>39794</v>
      </c>
      <c r="O950" s="334" t="s">
        <v>39795</v>
      </c>
    </row>
    <row r="951" spans="1:15" s="328" customFormat="1" x14ac:dyDescent="0.2">
      <c r="A951" s="535" t="s">
        <v>39801</v>
      </c>
      <c r="B951" s="535"/>
      <c r="C951" s="535"/>
      <c r="D951" s="333"/>
      <c r="E951" s="333"/>
      <c r="F951" s="333"/>
      <c r="G951" s="333"/>
      <c r="H951" s="333"/>
      <c r="I951" s="331"/>
      <c r="J951" s="331"/>
      <c r="K951" s="339"/>
      <c r="L951" s="332"/>
      <c r="M951" s="339">
        <f>77.73</f>
        <v>77.73</v>
      </c>
      <c r="N951" s="332" t="s">
        <v>39794</v>
      </c>
      <c r="O951" s="332">
        <f>ROUND(M951,2)</f>
        <v>77.73</v>
      </c>
    </row>
    <row r="952" spans="1:15" s="328" customFormat="1" x14ac:dyDescent="0.2">
      <c r="A952" s="540"/>
      <c r="B952" s="540"/>
      <c r="C952" s="540"/>
      <c r="D952" s="540"/>
      <c r="E952" s="540"/>
      <c r="F952" s="540"/>
      <c r="G952" s="540"/>
      <c r="H952" s="540"/>
      <c r="I952" s="540"/>
      <c r="J952" s="540"/>
      <c r="K952" s="540"/>
      <c r="L952" s="334" t="s">
        <v>39796</v>
      </c>
      <c r="M952" s="334" t="s">
        <v>39168</v>
      </c>
      <c r="N952" s="333" t="s">
        <v>39794</v>
      </c>
      <c r="O952" s="334">
        <f>SUM(O950:O951)</f>
        <v>77.73</v>
      </c>
    </row>
    <row r="953" spans="1:15" s="328" customFormat="1" x14ac:dyDescent="0.2">
      <c r="A953" s="329" t="s">
        <v>39791</v>
      </c>
      <c r="B953" s="542" t="s">
        <v>5917</v>
      </c>
      <c r="C953" s="542"/>
      <c r="D953" s="542"/>
      <c r="E953" s="542"/>
      <c r="F953" s="542"/>
      <c r="G953" s="542"/>
      <c r="H953" s="542"/>
      <c r="I953" s="542"/>
      <c r="J953" s="542"/>
      <c r="K953" s="542"/>
      <c r="L953" s="542"/>
      <c r="M953" s="542"/>
      <c r="N953" s="329" t="s">
        <v>39197</v>
      </c>
      <c r="O953" s="330" t="s">
        <v>39792</v>
      </c>
    </row>
    <row r="954" spans="1:15" s="328" customFormat="1" ht="39.950000000000003" customHeight="1" x14ac:dyDescent="0.2">
      <c r="A954" s="331" t="str">
        <f>ORCAMENTO!A143</f>
        <v>8.2.3</v>
      </c>
      <c r="B954" s="543" t="str">
        <f>VLOOKUP(A954,ORCAMENTO!A:I,4,0)</f>
        <v>RASGO LINEAR MANUAL EM ALVENARIA, PARA RAMAIS/ DISTRIBUIÇÃO DE INSTALAÇÕES HIDRÁULICAS, DIÂMETROS MENORES OU IGUAIS A 40 MM. AF_09/2023</v>
      </c>
      <c r="C954" s="543"/>
      <c r="D954" s="543"/>
      <c r="E954" s="543"/>
      <c r="F954" s="543"/>
      <c r="G954" s="543"/>
      <c r="H954" s="543"/>
      <c r="I954" s="543"/>
      <c r="J954" s="543"/>
      <c r="K954" s="543"/>
      <c r="L954" s="543"/>
      <c r="M954" s="543"/>
      <c r="N954" s="331" t="str">
        <f>VLOOKUP(A954,ORCAMENTO!A:I,5,0)</f>
        <v>M</v>
      </c>
      <c r="O954" s="332">
        <f>O958</f>
        <v>31.59</v>
      </c>
    </row>
    <row r="955" spans="1:15" s="328" customFormat="1" x14ac:dyDescent="0.2">
      <c r="A955" s="539" t="s">
        <v>39793</v>
      </c>
      <c r="B955" s="539"/>
      <c r="C955" s="539"/>
      <c r="D955" s="539"/>
      <c r="E955" s="539"/>
      <c r="F955" s="539"/>
      <c r="G955" s="539"/>
      <c r="H955" s="539"/>
      <c r="I955" s="539"/>
      <c r="J955" s="539"/>
      <c r="K955" s="539"/>
      <c r="L955" s="539"/>
      <c r="M955" s="539"/>
      <c r="N955" s="539"/>
      <c r="O955" s="539"/>
    </row>
    <row r="956" spans="1:15" s="328" customFormat="1" x14ac:dyDescent="0.2">
      <c r="A956" s="539" t="s">
        <v>5917</v>
      </c>
      <c r="B956" s="539"/>
      <c r="C956" s="539"/>
      <c r="D956" s="333"/>
      <c r="E956" s="333"/>
      <c r="F956" s="333"/>
      <c r="G956" s="333"/>
      <c r="H956" s="333"/>
      <c r="I956" s="331"/>
      <c r="J956" s="331"/>
      <c r="K956" s="333"/>
      <c r="L956" s="333"/>
      <c r="M956" s="334" t="s">
        <v>39802</v>
      </c>
      <c r="N956" s="333" t="s">
        <v>39794</v>
      </c>
      <c r="O956" s="334" t="s">
        <v>39795</v>
      </c>
    </row>
    <row r="957" spans="1:15" s="328" customFormat="1" x14ac:dyDescent="0.2">
      <c r="A957" s="535" t="s">
        <v>39801</v>
      </c>
      <c r="B957" s="535"/>
      <c r="C957" s="535"/>
      <c r="D957" s="333"/>
      <c r="E957" s="333"/>
      <c r="F957" s="333"/>
      <c r="G957" s="333"/>
      <c r="H957" s="333"/>
      <c r="I957" s="331"/>
      <c r="J957" s="331"/>
      <c r="K957" s="339"/>
      <c r="L957" s="332"/>
      <c r="M957" s="339">
        <f>31.59</f>
        <v>31.59</v>
      </c>
      <c r="N957" s="332" t="s">
        <v>39794</v>
      </c>
      <c r="O957" s="332">
        <f>ROUND(M957,2)</f>
        <v>31.59</v>
      </c>
    </row>
    <row r="958" spans="1:15" s="328" customFormat="1" x14ac:dyDescent="0.2">
      <c r="A958" s="540"/>
      <c r="B958" s="540"/>
      <c r="C958" s="540"/>
      <c r="D958" s="540"/>
      <c r="E958" s="540"/>
      <c r="F958" s="540"/>
      <c r="G958" s="540"/>
      <c r="H958" s="540"/>
      <c r="I958" s="540"/>
      <c r="J958" s="540"/>
      <c r="K958" s="540"/>
      <c r="L958" s="334" t="s">
        <v>39796</v>
      </c>
      <c r="M958" s="334" t="s">
        <v>39168</v>
      </c>
      <c r="N958" s="333" t="s">
        <v>39794</v>
      </c>
      <c r="O958" s="334">
        <f>SUM(O956:O957)</f>
        <v>31.59</v>
      </c>
    </row>
    <row r="959" spans="1:15" s="328" customFormat="1" x14ac:dyDescent="0.2">
      <c r="A959" s="329" t="s">
        <v>39791</v>
      </c>
      <c r="B959" s="542" t="s">
        <v>5917</v>
      </c>
      <c r="C959" s="542"/>
      <c r="D959" s="542"/>
      <c r="E959" s="542"/>
      <c r="F959" s="542"/>
      <c r="G959" s="542"/>
      <c r="H959" s="542"/>
      <c r="I959" s="542"/>
      <c r="J959" s="542"/>
      <c r="K959" s="542"/>
      <c r="L959" s="542"/>
      <c r="M959" s="542"/>
      <c r="N959" s="329" t="s">
        <v>39197</v>
      </c>
      <c r="O959" s="330" t="s">
        <v>39792</v>
      </c>
    </row>
    <row r="960" spans="1:15" s="328" customFormat="1" ht="39.950000000000003" customHeight="1" x14ac:dyDescent="0.2">
      <c r="A960" s="331" t="str">
        <f>ORCAMENTO!A144</f>
        <v>8.2.4</v>
      </c>
      <c r="B960" s="543" t="str">
        <f>VLOOKUP(A960,ORCAMENTO!A:I,4,0)</f>
        <v>CHUMBAMENTO LINEAR EM CONTRAPISO PARA RAMAIS/DISTRIBUIÇÃO DE INSTALAÇÕES HIDRÁULICAS COM DIÂMETROS MENORES OU IGUAIS A 40 MM. AF_09/2023</v>
      </c>
      <c r="C960" s="543"/>
      <c r="D960" s="543"/>
      <c r="E960" s="543"/>
      <c r="F960" s="543"/>
      <c r="G960" s="543"/>
      <c r="H960" s="543"/>
      <c r="I960" s="543"/>
      <c r="J960" s="543"/>
      <c r="K960" s="543"/>
      <c r="L960" s="543"/>
      <c r="M960" s="543"/>
      <c r="N960" s="331" t="str">
        <f>VLOOKUP(A960,ORCAMENTO!A:I,5,0)</f>
        <v>M</v>
      </c>
      <c r="O960" s="332">
        <f>O964</f>
        <v>43.43</v>
      </c>
    </row>
    <row r="961" spans="1:15" s="328" customFormat="1" x14ac:dyDescent="0.2">
      <c r="A961" s="539" t="s">
        <v>39793</v>
      </c>
      <c r="B961" s="539"/>
      <c r="C961" s="539"/>
      <c r="D961" s="539"/>
      <c r="E961" s="539"/>
      <c r="F961" s="539"/>
      <c r="G961" s="539"/>
      <c r="H961" s="539"/>
      <c r="I961" s="539"/>
      <c r="J961" s="539"/>
      <c r="K961" s="539"/>
      <c r="L961" s="539"/>
      <c r="M961" s="539"/>
      <c r="N961" s="539"/>
      <c r="O961" s="539"/>
    </row>
    <row r="962" spans="1:15" s="328" customFormat="1" x14ac:dyDescent="0.2">
      <c r="A962" s="539" t="s">
        <v>5917</v>
      </c>
      <c r="B962" s="539"/>
      <c r="C962" s="539"/>
      <c r="D962" s="333"/>
      <c r="E962" s="333"/>
      <c r="F962" s="333"/>
      <c r="G962" s="333"/>
      <c r="H962" s="333"/>
      <c r="I962" s="331"/>
      <c r="J962" s="331"/>
      <c r="K962" s="333"/>
      <c r="L962" s="333"/>
      <c r="M962" s="334" t="s">
        <v>39802</v>
      </c>
      <c r="N962" s="333" t="s">
        <v>39794</v>
      </c>
      <c r="O962" s="334" t="s">
        <v>39795</v>
      </c>
    </row>
    <row r="963" spans="1:15" s="328" customFormat="1" x14ac:dyDescent="0.2">
      <c r="A963" s="535" t="s">
        <v>39801</v>
      </c>
      <c r="B963" s="535"/>
      <c r="C963" s="535"/>
      <c r="D963" s="333"/>
      <c r="E963" s="333"/>
      <c r="F963" s="333"/>
      <c r="G963" s="333"/>
      <c r="H963" s="333"/>
      <c r="I963" s="331"/>
      <c r="J963" s="331"/>
      <c r="K963" s="339"/>
      <c r="L963" s="332"/>
      <c r="M963" s="339">
        <v>43.43</v>
      </c>
      <c r="N963" s="332" t="s">
        <v>39794</v>
      </c>
      <c r="O963" s="332">
        <f>ROUND(M963,2)</f>
        <v>43.43</v>
      </c>
    </row>
    <row r="964" spans="1:15" s="328" customFormat="1" x14ac:dyDescent="0.2">
      <c r="A964" s="540"/>
      <c r="B964" s="540"/>
      <c r="C964" s="540"/>
      <c r="D964" s="540"/>
      <c r="E964" s="540"/>
      <c r="F964" s="540"/>
      <c r="G964" s="540"/>
      <c r="H964" s="540"/>
      <c r="I964" s="540"/>
      <c r="J964" s="540"/>
      <c r="K964" s="540"/>
      <c r="L964" s="334" t="s">
        <v>39796</v>
      </c>
      <c r="M964" s="334" t="s">
        <v>39168</v>
      </c>
      <c r="N964" s="333" t="s">
        <v>39794</v>
      </c>
      <c r="O964" s="334">
        <f>SUM(O962:O963)</f>
        <v>43.43</v>
      </c>
    </row>
    <row r="965" spans="1:15" s="328" customFormat="1" x14ac:dyDescent="0.2">
      <c r="A965" s="329" t="s">
        <v>39791</v>
      </c>
      <c r="B965" s="542" t="s">
        <v>5917</v>
      </c>
      <c r="C965" s="542"/>
      <c r="D965" s="542"/>
      <c r="E965" s="542"/>
      <c r="F965" s="542"/>
      <c r="G965" s="542"/>
      <c r="H965" s="542"/>
      <c r="I965" s="542"/>
      <c r="J965" s="542"/>
      <c r="K965" s="542"/>
      <c r="L965" s="542"/>
      <c r="M965" s="542"/>
      <c r="N965" s="329" t="s">
        <v>39197</v>
      </c>
      <c r="O965" s="330" t="s">
        <v>39792</v>
      </c>
    </row>
    <row r="966" spans="1:15" s="328" customFormat="1" ht="39.950000000000003" customHeight="1" x14ac:dyDescent="0.2">
      <c r="A966" s="331" t="str">
        <f>ORCAMENTO!A145</f>
        <v>8.2.5</v>
      </c>
      <c r="B966" s="543" t="str">
        <f>VLOOKUP(A966,ORCAMENTO!A:I,4,0)</f>
        <v>CHUMBAMENTO LINEAR EM CONTRAPISO PARA RAMAIS/DISTRIBUIÇÃO DE INSTALAÇÕES HIDRÁULICAS COM DIÂMETROS MAIORES QUE 40 MM E MENORES OU IGUAIS A 75 MM. AF_09/2023</v>
      </c>
      <c r="C966" s="543"/>
      <c r="D966" s="543"/>
      <c r="E966" s="543"/>
      <c r="F966" s="543"/>
      <c r="G966" s="543"/>
      <c r="H966" s="543"/>
      <c r="I966" s="543"/>
      <c r="J966" s="543"/>
      <c r="K966" s="543"/>
      <c r="L966" s="543"/>
      <c r="M966" s="543"/>
      <c r="N966" s="331" t="str">
        <f>VLOOKUP(A966,ORCAMENTO!A:I,5,0)</f>
        <v>M</v>
      </c>
      <c r="O966" s="332">
        <f>O970</f>
        <v>77.73</v>
      </c>
    </row>
    <row r="967" spans="1:15" s="328" customFormat="1" x14ac:dyDescent="0.2">
      <c r="A967" s="539" t="s">
        <v>39793</v>
      </c>
      <c r="B967" s="539"/>
      <c r="C967" s="539"/>
      <c r="D967" s="539"/>
      <c r="E967" s="539"/>
      <c r="F967" s="539"/>
      <c r="G967" s="539"/>
      <c r="H967" s="539"/>
      <c r="I967" s="539"/>
      <c r="J967" s="539"/>
      <c r="K967" s="539"/>
      <c r="L967" s="539"/>
      <c r="M967" s="539"/>
      <c r="N967" s="539"/>
      <c r="O967" s="539"/>
    </row>
    <row r="968" spans="1:15" s="328" customFormat="1" x14ac:dyDescent="0.2">
      <c r="A968" s="539" t="s">
        <v>5917</v>
      </c>
      <c r="B968" s="539"/>
      <c r="C968" s="539"/>
      <c r="D968" s="333"/>
      <c r="E968" s="333"/>
      <c r="F968" s="333"/>
      <c r="G968" s="333"/>
      <c r="H968" s="333"/>
      <c r="I968" s="331"/>
      <c r="J968" s="331"/>
      <c r="K968" s="333"/>
      <c r="L968" s="333"/>
      <c r="M968" s="334" t="s">
        <v>39802</v>
      </c>
      <c r="N968" s="333" t="s">
        <v>39794</v>
      </c>
      <c r="O968" s="334" t="s">
        <v>39795</v>
      </c>
    </row>
    <row r="969" spans="1:15" s="328" customFormat="1" x14ac:dyDescent="0.2">
      <c r="A969" s="535" t="s">
        <v>39801</v>
      </c>
      <c r="B969" s="535"/>
      <c r="C969" s="535"/>
      <c r="D969" s="333"/>
      <c r="E969" s="333"/>
      <c r="F969" s="333"/>
      <c r="G969" s="333"/>
      <c r="H969" s="333"/>
      <c r="I969" s="331"/>
      <c r="J969" s="331"/>
      <c r="K969" s="339"/>
      <c r="L969" s="332"/>
      <c r="M969" s="339">
        <f>77.73</f>
        <v>77.73</v>
      </c>
      <c r="N969" s="332" t="s">
        <v>39794</v>
      </c>
      <c r="O969" s="332">
        <f>ROUND(M969,2)</f>
        <v>77.73</v>
      </c>
    </row>
    <row r="970" spans="1:15" s="328" customFormat="1" x14ac:dyDescent="0.2">
      <c r="A970" s="540"/>
      <c r="B970" s="540"/>
      <c r="C970" s="540"/>
      <c r="D970" s="540"/>
      <c r="E970" s="540"/>
      <c r="F970" s="540"/>
      <c r="G970" s="540"/>
      <c r="H970" s="540"/>
      <c r="I970" s="540"/>
      <c r="J970" s="540"/>
      <c r="K970" s="540"/>
      <c r="L970" s="334" t="s">
        <v>39796</v>
      </c>
      <c r="M970" s="334" t="s">
        <v>39168</v>
      </c>
      <c r="N970" s="333" t="s">
        <v>39794</v>
      </c>
      <c r="O970" s="334">
        <f>SUM(O968:O969)</f>
        <v>77.73</v>
      </c>
    </row>
    <row r="971" spans="1:15" s="328" customFormat="1" x14ac:dyDescent="0.2">
      <c r="A971" s="329" t="s">
        <v>39791</v>
      </c>
      <c r="B971" s="542" t="s">
        <v>5917</v>
      </c>
      <c r="C971" s="542"/>
      <c r="D971" s="542"/>
      <c r="E971" s="542"/>
      <c r="F971" s="542"/>
      <c r="G971" s="542"/>
      <c r="H971" s="542"/>
      <c r="I971" s="542"/>
      <c r="J971" s="542"/>
      <c r="K971" s="542"/>
      <c r="L971" s="542"/>
      <c r="M971" s="542"/>
      <c r="N971" s="329" t="s">
        <v>39197</v>
      </c>
      <c r="O971" s="330" t="s">
        <v>39792</v>
      </c>
    </row>
    <row r="972" spans="1:15" s="328" customFormat="1" ht="39.950000000000003" customHeight="1" x14ac:dyDescent="0.2">
      <c r="A972" s="331" t="str">
        <f>ORCAMENTO!A146</f>
        <v>8.2.6</v>
      </c>
      <c r="B972" s="543" t="str">
        <f>VLOOKUP(A972,ORCAMENTO!A:I,4,0)</f>
        <v>CHUMBAMENTO LINEAR EM ALVENARIA PARA RAMAIS/DISTRIBUIÇÃO DE INSTALAÇÕES HIDRÁULICAS COM DIÂMETROS MENORES OU IGUAIS A 40 MM. AF_09/2023</v>
      </c>
      <c r="C972" s="543"/>
      <c r="D972" s="543"/>
      <c r="E972" s="543"/>
      <c r="F972" s="543"/>
      <c r="G972" s="543"/>
      <c r="H972" s="543"/>
      <c r="I972" s="543"/>
      <c r="J972" s="543"/>
      <c r="K972" s="543"/>
      <c r="L972" s="543"/>
      <c r="M972" s="543"/>
      <c r="N972" s="331" t="str">
        <f>VLOOKUP(A972,ORCAMENTO!A:I,5,0)</f>
        <v>M</v>
      </c>
      <c r="O972" s="332">
        <f>O976</f>
        <v>31.59</v>
      </c>
    </row>
    <row r="973" spans="1:15" s="328" customFormat="1" x14ac:dyDescent="0.2">
      <c r="A973" s="539" t="s">
        <v>39793</v>
      </c>
      <c r="B973" s="539"/>
      <c r="C973" s="539"/>
      <c r="D973" s="539"/>
      <c r="E973" s="539"/>
      <c r="F973" s="539"/>
      <c r="G973" s="539"/>
      <c r="H973" s="539"/>
      <c r="I973" s="539"/>
      <c r="J973" s="539"/>
      <c r="K973" s="539"/>
      <c r="L973" s="539"/>
      <c r="M973" s="539"/>
      <c r="N973" s="539"/>
      <c r="O973" s="539"/>
    </row>
    <row r="974" spans="1:15" s="328" customFormat="1" x14ac:dyDescent="0.2">
      <c r="A974" s="539" t="s">
        <v>5917</v>
      </c>
      <c r="B974" s="539"/>
      <c r="C974" s="539"/>
      <c r="D974" s="333"/>
      <c r="E974" s="333"/>
      <c r="F974" s="333"/>
      <c r="G974" s="333"/>
      <c r="H974" s="333"/>
      <c r="I974" s="331"/>
      <c r="J974" s="331"/>
      <c r="K974" s="333"/>
      <c r="L974" s="333"/>
      <c r="M974" s="334" t="s">
        <v>39802</v>
      </c>
      <c r="N974" s="333" t="s">
        <v>39794</v>
      </c>
      <c r="O974" s="334" t="s">
        <v>39795</v>
      </c>
    </row>
    <row r="975" spans="1:15" s="328" customFormat="1" x14ac:dyDescent="0.2">
      <c r="A975" s="535" t="s">
        <v>39801</v>
      </c>
      <c r="B975" s="535"/>
      <c r="C975" s="535"/>
      <c r="D975" s="333"/>
      <c r="E975" s="333"/>
      <c r="F975" s="333"/>
      <c r="G975" s="333"/>
      <c r="H975" s="333"/>
      <c r="I975" s="331"/>
      <c r="J975" s="331"/>
      <c r="K975" s="339"/>
      <c r="L975" s="332"/>
      <c r="M975" s="339">
        <f>31.59</f>
        <v>31.59</v>
      </c>
      <c r="N975" s="332" t="s">
        <v>39794</v>
      </c>
      <c r="O975" s="332">
        <f>ROUND(M975,2)</f>
        <v>31.59</v>
      </c>
    </row>
    <row r="976" spans="1:15" s="328" customFormat="1" x14ac:dyDescent="0.2">
      <c r="A976" s="540"/>
      <c r="B976" s="540"/>
      <c r="C976" s="540"/>
      <c r="D976" s="540"/>
      <c r="E976" s="540"/>
      <c r="F976" s="540"/>
      <c r="G976" s="540"/>
      <c r="H976" s="540"/>
      <c r="I976" s="540"/>
      <c r="J976" s="540"/>
      <c r="K976" s="540"/>
      <c r="L976" s="334" t="s">
        <v>39796</v>
      </c>
      <c r="M976" s="334" t="s">
        <v>39168</v>
      </c>
      <c r="N976" s="333" t="s">
        <v>39794</v>
      </c>
      <c r="O976" s="334">
        <f>SUM(O974:O975)</f>
        <v>31.59</v>
      </c>
    </row>
    <row r="977" spans="1:15" s="328" customFormat="1" x14ac:dyDescent="0.2">
      <c r="A977" s="347" t="str">
        <f>ORCAMENTO!A148</f>
        <v>8.3</v>
      </c>
      <c r="B977" s="544" t="str">
        <f>VLOOKUP(A977,ORCAMENTO!A:I,4,0)</f>
        <v>REGISTROS</v>
      </c>
      <c r="C977" s="544"/>
      <c r="D977" s="544"/>
      <c r="E977" s="544"/>
      <c r="F977" s="544"/>
      <c r="G977" s="544"/>
      <c r="H977" s="544"/>
      <c r="I977" s="544"/>
      <c r="J977" s="544"/>
      <c r="K977" s="544"/>
      <c r="L977" s="544"/>
      <c r="M977" s="544"/>
      <c r="N977" s="544"/>
      <c r="O977" s="544"/>
    </row>
    <row r="978" spans="1:15" s="328" customFormat="1" x14ac:dyDescent="0.2">
      <c r="A978" s="329" t="s">
        <v>39791</v>
      </c>
      <c r="B978" s="542" t="s">
        <v>5917</v>
      </c>
      <c r="C978" s="542"/>
      <c r="D978" s="542"/>
      <c r="E978" s="542"/>
      <c r="F978" s="542"/>
      <c r="G978" s="542"/>
      <c r="H978" s="542"/>
      <c r="I978" s="542"/>
      <c r="J978" s="542"/>
      <c r="K978" s="542"/>
      <c r="L978" s="542"/>
      <c r="M978" s="542"/>
      <c r="N978" s="329" t="s">
        <v>39197</v>
      </c>
      <c r="O978" s="330" t="s">
        <v>39792</v>
      </c>
    </row>
    <row r="979" spans="1:15" s="328" customFormat="1" ht="39.950000000000003" customHeight="1" x14ac:dyDescent="0.2">
      <c r="A979" s="331" t="str">
        <f>ORCAMENTO!A149</f>
        <v>8.3.1</v>
      </c>
      <c r="B979" s="543" t="str">
        <f>VLOOKUP(A979,ORCAMENTO!A:I,4,0)</f>
        <v>REGISTRO DE GAVETA BRUTO, LATÃO, ROSCÁVEL, 3/4", COM ACABAMENTO E CANOPLA CROMADOS - FORNECIMENTO E INSTALAÇÃO. AF_08/2021</v>
      </c>
      <c r="C979" s="543"/>
      <c r="D979" s="543"/>
      <c r="E979" s="543"/>
      <c r="F979" s="543"/>
      <c r="G979" s="543"/>
      <c r="H979" s="543"/>
      <c r="I979" s="543"/>
      <c r="J979" s="543"/>
      <c r="K979" s="543"/>
      <c r="L979" s="543"/>
      <c r="M979" s="543"/>
      <c r="N979" s="331" t="str">
        <f>VLOOKUP(A979,ORCAMENTO!A:I,5,0)</f>
        <v>UN</v>
      </c>
      <c r="O979" s="332">
        <f>O983</f>
        <v>8</v>
      </c>
    </row>
    <row r="980" spans="1:15" s="328" customFormat="1" x14ac:dyDescent="0.2">
      <c r="A980" s="539" t="s">
        <v>39793</v>
      </c>
      <c r="B980" s="539"/>
      <c r="C980" s="539"/>
      <c r="D980" s="539"/>
      <c r="E980" s="539"/>
      <c r="F980" s="539"/>
      <c r="G980" s="539"/>
      <c r="H980" s="539"/>
      <c r="I980" s="539"/>
      <c r="J980" s="539"/>
      <c r="K980" s="539"/>
      <c r="L980" s="539"/>
      <c r="M980" s="539"/>
      <c r="N980" s="539"/>
      <c r="O980" s="539"/>
    </row>
    <row r="981" spans="1:15" s="328" customFormat="1" x14ac:dyDescent="0.2">
      <c r="A981" s="539" t="s">
        <v>5917</v>
      </c>
      <c r="B981" s="539"/>
      <c r="C981" s="539"/>
      <c r="D981" s="333"/>
      <c r="E981" s="333"/>
      <c r="F981" s="333"/>
      <c r="G981" s="333"/>
      <c r="H981" s="333"/>
      <c r="I981" s="331"/>
      <c r="J981" s="331"/>
      <c r="K981" s="333"/>
      <c r="L981" s="333"/>
      <c r="M981" s="334" t="s">
        <v>39792</v>
      </c>
      <c r="N981" s="333" t="s">
        <v>39794</v>
      </c>
      <c r="O981" s="334" t="s">
        <v>39795</v>
      </c>
    </row>
    <row r="982" spans="1:15" s="328" customFormat="1" x14ac:dyDescent="0.2">
      <c r="A982" s="535" t="s">
        <v>39801</v>
      </c>
      <c r="B982" s="535"/>
      <c r="C982" s="535"/>
      <c r="D982" s="333"/>
      <c r="E982" s="333"/>
      <c r="F982" s="333"/>
      <c r="G982" s="333"/>
      <c r="H982" s="333"/>
      <c r="I982" s="331"/>
      <c r="J982" s="331"/>
      <c r="K982" s="339"/>
      <c r="L982" s="332"/>
      <c r="M982" s="339">
        <f>8</f>
        <v>8</v>
      </c>
      <c r="N982" s="332" t="s">
        <v>39794</v>
      </c>
      <c r="O982" s="332">
        <f>ROUND(M982,2)</f>
        <v>8</v>
      </c>
    </row>
    <row r="983" spans="1:15" s="328" customFormat="1" x14ac:dyDescent="0.2">
      <c r="A983" s="540"/>
      <c r="B983" s="540"/>
      <c r="C983" s="540"/>
      <c r="D983" s="540"/>
      <c r="E983" s="540"/>
      <c r="F983" s="540"/>
      <c r="G983" s="540"/>
      <c r="H983" s="540"/>
      <c r="I983" s="540"/>
      <c r="J983" s="540"/>
      <c r="K983" s="540"/>
      <c r="L983" s="334" t="s">
        <v>39796</v>
      </c>
      <c r="M983" s="334" t="s">
        <v>39168</v>
      </c>
      <c r="N983" s="333" t="s">
        <v>39794</v>
      </c>
      <c r="O983" s="334">
        <f>SUM(O981:O982)</f>
        <v>8</v>
      </c>
    </row>
    <row r="984" spans="1:15" s="328" customFormat="1" x14ac:dyDescent="0.2">
      <c r="A984" s="336">
        <f>ORCAMENTO!A151</f>
        <v>9</v>
      </c>
      <c r="B984" s="545" t="str">
        <f>VLOOKUP(A984,ORCAMENTO!A:I,4,0)</f>
        <v>INSTALAÇÕES SANITÁRIAS</v>
      </c>
      <c r="C984" s="545"/>
      <c r="D984" s="545"/>
      <c r="E984" s="545"/>
      <c r="F984" s="545"/>
      <c r="G984" s="545"/>
      <c r="H984" s="545"/>
      <c r="I984" s="545"/>
      <c r="J984" s="545"/>
      <c r="K984" s="545"/>
      <c r="L984" s="545"/>
      <c r="M984" s="545"/>
      <c r="N984" s="545"/>
      <c r="O984" s="545"/>
    </row>
    <row r="985" spans="1:15" s="328" customFormat="1" x14ac:dyDescent="0.2">
      <c r="A985" s="347" t="str">
        <f>ORCAMENTO!A152</f>
        <v>9.1</v>
      </c>
      <c r="B985" s="544" t="str">
        <f>VLOOKUP(A985,ORCAMENTO!A:I,4,0)</f>
        <v>TUBOS E CONEXÕES</v>
      </c>
      <c r="C985" s="544"/>
      <c r="D985" s="544"/>
      <c r="E985" s="544"/>
      <c r="F985" s="544"/>
      <c r="G985" s="544"/>
      <c r="H985" s="544"/>
      <c r="I985" s="544"/>
      <c r="J985" s="544"/>
      <c r="K985" s="544"/>
      <c r="L985" s="544"/>
      <c r="M985" s="544"/>
      <c r="N985" s="544"/>
      <c r="O985" s="544"/>
    </row>
    <row r="986" spans="1:15" s="328" customFormat="1" x14ac:dyDescent="0.2">
      <c r="A986" s="329" t="s">
        <v>39791</v>
      </c>
      <c r="B986" s="542" t="s">
        <v>5917</v>
      </c>
      <c r="C986" s="542"/>
      <c r="D986" s="542"/>
      <c r="E986" s="542"/>
      <c r="F986" s="542"/>
      <c r="G986" s="542"/>
      <c r="H986" s="542"/>
      <c r="I986" s="542"/>
      <c r="J986" s="542"/>
      <c r="K986" s="542"/>
      <c r="L986" s="542"/>
      <c r="M986" s="542"/>
      <c r="N986" s="329" t="s">
        <v>39197</v>
      </c>
      <c r="O986" s="330" t="s">
        <v>39792</v>
      </c>
    </row>
    <row r="987" spans="1:15" s="328" customFormat="1" ht="39.950000000000003" customHeight="1" x14ac:dyDescent="0.2">
      <c r="A987" s="331" t="str">
        <f>ORCAMENTO!A153</f>
        <v>9.1.1</v>
      </c>
      <c r="B987" s="543" t="str">
        <f>VLOOKUP(A987,ORCAMENTO!A:I,4,0)</f>
        <v>TUBO PVC, SERIE NORMAL, ESGOTO PREDIAL, DN 100 MM, FORNECIDO E INSTALADO EM RAMAL DE DESCARGA OU RAMAL DE ESGOTO SANITÁRIO. AF_08/2022</v>
      </c>
      <c r="C987" s="543"/>
      <c r="D987" s="543"/>
      <c r="E987" s="543"/>
      <c r="F987" s="543"/>
      <c r="G987" s="543"/>
      <c r="H987" s="543"/>
      <c r="I987" s="543"/>
      <c r="J987" s="543"/>
      <c r="K987" s="543"/>
      <c r="L987" s="543"/>
      <c r="M987" s="543"/>
      <c r="N987" s="331" t="str">
        <f>VLOOKUP(A987,ORCAMENTO!A:I,5,0)</f>
        <v>M</v>
      </c>
      <c r="O987" s="332">
        <f>O991</f>
        <v>70.489999999999995</v>
      </c>
    </row>
    <row r="988" spans="1:15" s="328" customFormat="1" x14ac:dyDescent="0.2">
      <c r="A988" s="539" t="s">
        <v>39793</v>
      </c>
      <c r="B988" s="539"/>
      <c r="C988" s="539"/>
      <c r="D988" s="539"/>
      <c r="E988" s="539"/>
      <c r="F988" s="539"/>
      <c r="G988" s="539"/>
      <c r="H988" s="539"/>
      <c r="I988" s="539"/>
      <c r="J988" s="539"/>
      <c r="K988" s="539"/>
      <c r="L988" s="539"/>
      <c r="M988" s="539"/>
      <c r="N988" s="539"/>
      <c r="O988" s="539"/>
    </row>
    <row r="989" spans="1:15" s="328" customFormat="1" x14ac:dyDescent="0.2">
      <c r="A989" s="539" t="s">
        <v>5917</v>
      </c>
      <c r="B989" s="539"/>
      <c r="C989" s="539"/>
      <c r="D989" s="333"/>
      <c r="E989" s="333"/>
      <c r="F989" s="333"/>
      <c r="G989" s="333"/>
      <c r="H989" s="333"/>
      <c r="I989" s="331"/>
      <c r="J989" s="331"/>
      <c r="K989" s="333"/>
      <c r="L989" s="333"/>
      <c r="M989" s="334" t="s">
        <v>39802</v>
      </c>
      <c r="N989" s="333" t="s">
        <v>39794</v>
      </c>
      <c r="O989" s="334" t="s">
        <v>39795</v>
      </c>
    </row>
    <row r="990" spans="1:15" s="328" customFormat="1" x14ac:dyDescent="0.2">
      <c r="A990" s="535" t="s">
        <v>39801</v>
      </c>
      <c r="B990" s="535"/>
      <c r="C990" s="535"/>
      <c r="D990" s="333"/>
      <c r="E990" s="333"/>
      <c r="F990" s="333"/>
      <c r="G990" s="333"/>
      <c r="H990" s="333"/>
      <c r="I990" s="331"/>
      <c r="J990" s="331"/>
      <c r="K990" s="339"/>
      <c r="L990" s="332"/>
      <c r="M990" s="339">
        <f>70.49</f>
        <v>70.489999999999995</v>
      </c>
      <c r="N990" s="332" t="s">
        <v>39794</v>
      </c>
      <c r="O990" s="332">
        <f>ROUND(M990,2)</f>
        <v>70.489999999999995</v>
      </c>
    </row>
    <row r="991" spans="1:15" s="328" customFormat="1" x14ac:dyDescent="0.2">
      <c r="A991" s="540"/>
      <c r="B991" s="540"/>
      <c r="C991" s="540"/>
      <c r="D991" s="540"/>
      <c r="E991" s="540"/>
      <c r="F991" s="540"/>
      <c r="G991" s="540"/>
      <c r="H991" s="540"/>
      <c r="I991" s="540"/>
      <c r="J991" s="540"/>
      <c r="K991" s="540"/>
      <c r="L991" s="334" t="s">
        <v>39796</v>
      </c>
      <c r="M991" s="334" t="s">
        <v>39168</v>
      </c>
      <c r="N991" s="333" t="s">
        <v>39794</v>
      </c>
      <c r="O991" s="334">
        <f>SUM(O989:O990)</f>
        <v>70.489999999999995</v>
      </c>
    </row>
    <row r="992" spans="1:15" s="328" customFormat="1" x14ac:dyDescent="0.2">
      <c r="A992" s="329" t="s">
        <v>39791</v>
      </c>
      <c r="B992" s="542" t="s">
        <v>5917</v>
      </c>
      <c r="C992" s="542"/>
      <c r="D992" s="542"/>
      <c r="E992" s="542"/>
      <c r="F992" s="542"/>
      <c r="G992" s="542"/>
      <c r="H992" s="542"/>
      <c r="I992" s="542"/>
      <c r="J992" s="542"/>
      <c r="K992" s="542"/>
      <c r="L992" s="542"/>
      <c r="M992" s="542"/>
      <c r="N992" s="329" t="s">
        <v>39197</v>
      </c>
      <c r="O992" s="330" t="s">
        <v>39792</v>
      </c>
    </row>
    <row r="993" spans="1:15" s="328" customFormat="1" ht="39.950000000000003" customHeight="1" x14ac:dyDescent="0.2">
      <c r="A993" s="331" t="str">
        <f>ORCAMENTO!A154</f>
        <v>9.1.2</v>
      </c>
      <c r="B993" s="543" t="str">
        <f>VLOOKUP(A993,ORCAMENTO!A:I,4,0)</f>
        <v>TUBO PVC, SERIE NORMAL, ESGOTO PREDIAL, DN 50 MM, FORNECIDO E INSTALADO EM RAMAL DE DESCARGA OU RAMAL DE ESGOTO SANITÁRIO. AF_08/2022</v>
      </c>
      <c r="C993" s="543"/>
      <c r="D993" s="543"/>
      <c r="E993" s="543"/>
      <c r="F993" s="543"/>
      <c r="G993" s="543"/>
      <c r="H993" s="543"/>
      <c r="I993" s="543"/>
      <c r="J993" s="543"/>
      <c r="K993" s="543"/>
      <c r="L993" s="543"/>
      <c r="M993" s="543"/>
      <c r="N993" s="331" t="str">
        <f>VLOOKUP(A993,ORCAMENTO!A:I,5,0)</f>
        <v>M</v>
      </c>
      <c r="O993" s="332">
        <f>O997</f>
        <v>13.45</v>
      </c>
    </row>
    <row r="994" spans="1:15" s="328" customFormat="1" x14ac:dyDescent="0.2">
      <c r="A994" s="539" t="s">
        <v>39793</v>
      </c>
      <c r="B994" s="539"/>
      <c r="C994" s="539"/>
      <c r="D994" s="539"/>
      <c r="E994" s="539"/>
      <c r="F994" s="539"/>
      <c r="G994" s="539"/>
      <c r="H994" s="539"/>
      <c r="I994" s="539"/>
      <c r="J994" s="539"/>
      <c r="K994" s="539"/>
      <c r="L994" s="539"/>
      <c r="M994" s="539"/>
      <c r="N994" s="539"/>
      <c r="O994" s="539"/>
    </row>
    <row r="995" spans="1:15" s="328" customFormat="1" x14ac:dyDescent="0.2">
      <c r="A995" s="539" t="s">
        <v>5917</v>
      </c>
      <c r="B995" s="539"/>
      <c r="C995" s="539"/>
      <c r="D995" s="333"/>
      <c r="E995" s="333"/>
      <c r="F995" s="333"/>
      <c r="G995" s="333"/>
      <c r="H995" s="333"/>
      <c r="I995" s="331"/>
      <c r="J995" s="331"/>
      <c r="K995" s="333"/>
      <c r="L995" s="333"/>
      <c r="M995" s="334" t="s">
        <v>39802</v>
      </c>
      <c r="N995" s="333" t="s">
        <v>39794</v>
      </c>
      <c r="O995" s="334" t="s">
        <v>39795</v>
      </c>
    </row>
    <row r="996" spans="1:15" s="328" customFormat="1" x14ac:dyDescent="0.2">
      <c r="A996" s="535" t="s">
        <v>39801</v>
      </c>
      <c r="B996" s="535"/>
      <c r="C996" s="535"/>
      <c r="D996" s="333"/>
      <c r="E996" s="333"/>
      <c r="F996" s="333"/>
      <c r="G996" s="333"/>
      <c r="H996" s="333"/>
      <c r="I996" s="331"/>
      <c r="J996" s="331"/>
      <c r="K996" s="339"/>
      <c r="L996" s="332"/>
      <c r="M996" s="339">
        <f>13.45</f>
        <v>13.45</v>
      </c>
      <c r="N996" s="332" t="s">
        <v>39794</v>
      </c>
      <c r="O996" s="332">
        <f>ROUND(M996,2)</f>
        <v>13.45</v>
      </c>
    </row>
    <row r="997" spans="1:15" s="328" customFormat="1" x14ac:dyDescent="0.2">
      <c r="A997" s="540"/>
      <c r="B997" s="540"/>
      <c r="C997" s="540"/>
      <c r="D997" s="540"/>
      <c r="E997" s="540"/>
      <c r="F997" s="540"/>
      <c r="G997" s="540"/>
      <c r="H997" s="540"/>
      <c r="I997" s="540"/>
      <c r="J997" s="540"/>
      <c r="K997" s="540"/>
      <c r="L997" s="334" t="s">
        <v>39796</v>
      </c>
      <c r="M997" s="334" t="s">
        <v>39168</v>
      </c>
      <c r="N997" s="333" t="s">
        <v>39794</v>
      </c>
      <c r="O997" s="334">
        <f>SUM(O995:O996)</f>
        <v>13.45</v>
      </c>
    </row>
    <row r="998" spans="1:15" s="328" customFormat="1" x14ac:dyDescent="0.2">
      <c r="A998" s="329" t="s">
        <v>39791</v>
      </c>
      <c r="B998" s="542" t="s">
        <v>5917</v>
      </c>
      <c r="C998" s="542"/>
      <c r="D998" s="542"/>
      <c r="E998" s="542"/>
      <c r="F998" s="542"/>
      <c r="G998" s="542"/>
      <c r="H998" s="542"/>
      <c r="I998" s="542"/>
      <c r="J998" s="542"/>
      <c r="K998" s="542"/>
      <c r="L998" s="542"/>
      <c r="M998" s="542"/>
      <c r="N998" s="329" t="s">
        <v>39197</v>
      </c>
      <c r="O998" s="330" t="s">
        <v>39792</v>
      </c>
    </row>
    <row r="999" spans="1:15" s="328" customFormat="1" ht="39.950000000000003" customHeight="1" x14ac:dyDescent="0.2">
      <c r="A999" s="331" t="str">
        <f>ORCAMENTO!A155</f>
        <v>9.1.3</v>
      </c>
      <c r="B999" s="543" t="str">
        <f>VLOOKUP(A999,ORCAMENTO!A:I,4,0)</f>
        <v>TUBO PVC, SERIE NORMAL, ESGOTO PREDIAL, DN 50 MM, FORNECIDO E INSTALADO EM PRUMADA DE ESGOTO SANITÁRIO OU VENTILAÇÃO. AF_08/2022</v>
      </c>
      <c r="C999" s="543"/>
      <c r="D999" s="543"/>
      <c r="E999" s="543"/>
      <c r="F999" s="543"/>
      <c r="G999" s="543"/>
      <c r="H999" s="543"/>
      <c r="I999" s="543"/>
      <c r="J999" s="543"/>
      <c r="K999" s="543"/>
      <c r="L999" s="543"/>
      <c r="M999" s="543"/>
      <c r="N999" s="331" t="str">
        <f>VLOOKUP(A999,ORCAMENTO!A:I,5,0)</f>
        <v>M</v>
      </c>
      <c r="O999" s="332">
        <f>O1003</f>
        <v>30.04</v>
      </c>
    </row>
    <row r="1000" spans="1:15" s="328" customFormat="1" x14ac:dyDescent="0.2">
      <c r="A1000" s="539" t="s">
        <v>39793</v>
      </c>
      <c r="B1000" s="539"/>
      <c r="C1000" s="539"/>
      <c r="D1000" s="539"/>
      <c r="E1000" s="539"/>
      <c r="F1000" s="539"/>
      <c r="G1000" s="539"/>
      <c r="H1000" s="539"/>
      <c r="I1000" s="539"/>
      <c r="J1000" s="539"/>
      <c r="K1000" s="539"/>
      <c r="L1000" s="539"/>
      <c r="M1000" s="539"/>
      <c r="N1000" s="539"/>
      <c r="O1000" s="539"/>
    </row>
    <row r="1001" spans="1:15" s="328" customFormat="1" x14ac:dyDescent="0.2">
      <c r="A1001" s="539" t="s">
        <v>5917</v>
      </c>
      <c r="B1001" s="539"/>
      <c r="C1001" s="539"/>
      <c r="D1001" s="333"/>
      <c r="E1001" s="333"/>
      <c r="F1001" s="333"/>
      <c r="G1001" s="333"/>
      <c r="H1001" s="333"/>
      <c r="I1001" s="331"/>
      <c r="J1001" s="331"/>
      <c r="K1001" s="333"/>
      <c r="L1001" s="333"/>
      <c r="M1001" s="334" t="s">
        <v>39802</v>
      </c>
      <c r="N1001" s="333" t="s">
        <v>39794</v>
      </c>
      <c r="O1001" s="334" t="s">
        <v>39795</v>
      </c>
    </row>
    <row r="1002" spans="1:15" s="328" customFormat="1" x14ac:dyDescent="0.2">
      <c r="A1002" s="535" t="s">
        <v>39801</v>
      </c>
      <c r="B1002" s="535"/>
      <c r="C1002" s="535"/>
      <c r="D1002" s="333"/>
      <c r="E1002" s="333"/>
      <c r="F1002" s="333"/>
      <c r="G1002" s="333"/>
      <c r="H1002" s="333"/>
      <c r="I1002" s="331"/>
      <c r="J1002" s="331"/>
      <c r="K1002" s="339"/>
      <c r="L1002" s="332"/>
      <c r="M1002" s="339">
        <f>30.04</f>
        <v>30.04</v>
      </c>
      <c r="N1002" s="332" t="s">
        <v>39794</v>
      </c>
      <c r="O1002" s="332">
        <f>ROUND(M1002,2)</f>
        <v>30.04</v>
      </c>
    </row>
    <row r="1003" spans="1:15" s="328" customFormat="1" x14ac:dyDescent="0.2">
      <c r="A1003" s="540"/>
      <c r="B1003" s="540"/>
      <c r="C1003" s="540"/>
      <c r="D1003" s="540"/>
      <c r="E1003" s="540"/>
      <c r="F1003" s="540"/>
      <c r="G1003" s="540"/>
      <c r="H1003" s="540"/>
      <c r="I1003" s="540"/>
      <c r="J1003" s="540"/>
      <c r="K1003" s="540"/>
      <c r="L1003" s="334" t="s">
        <v>39796</v>
      </c>
      <c r="M1003" s="334" t="s">
        <v>39168</v>
      </c>
      <c r="N1003" s="333" t="s">
        <v>39794</v>
      </c>
      <c r="O1003" s="334">
        <f>SUM(O1001:O1002)</f>
        <v>30.04</v>
      </c>
    </row>
    <row r="1004" spans="1:15" s="328" customFormat="1" x14ac:dyDescent="0.2">
      <c r="A1004" s="329" t="s">
        <v>39791</v>
      </c>
      <c r="B1004" s="542" t="s">
        <v>5917</v>
      </c>
      <c r="C1004" s="542"/>
      <c r="D1004" s="542"/>
      <c r="E1004" s="542"/>
      <c r="F1004" s="542"/>
      <c r="G1004" s="542"/>
      <c r="H1004" s="542"/>
      <c r="I1004" s="542"/>
      <c r="J1004" s="542"/>
      <c r="K1004" s="542"/>
      <c r="L1004" s="542"/>
      <c r="M1004" s="542"/>
      <c r="N1004" s="329" t="s">
        <v>39197</v>
      </c>
      <c r="O1004" s="330" t="s">
        <v>39792</v>
      </c>
    </row>
    <row r="1005" spans="1:15" s="328" customFormat="1" ht="39.950000000000003" customHeight="1" x14ac:dyDescent="0.2">
      <c r="A1005" s="331" t="str">
        <f>ORCAMENTO!A156</f>
        <v>9.1.4</v>
      </c>
      <c r="B1005" s="543" t="str">
        <f>VLOOKUP(A1005,ORCAMENTO!A:I,4,0)</f>
        <v>TUBO PVC, SERIE NORMAL, ESGOTO PREDIAL, DN 40 MM, FORNECIDO E INSTALADO EM RAMAL DE DESCARGA OU RAMAL DE ESGOTO SANITÁRIO. AF_08/2022</v>
      </c>
      <c r="C1005" s="543"/>
      <c r="D1005" s="543"/>
      <c r="E1005" s="543"/>
      <c r="F1005" s="543"/>
      <c r="G1005" s="543"/>
      <c r="H1005" s="543"/>
      <c r="I1005" s="543"/>
      <c r="J1005" s="543"/>
      <c r="K1005" s="543"/>
      <c r="L1005" s="543"/>
      <c r="M1005" s="543"/>
      <c r="N1005" s="331" t="str">
        <f>VLOOKUP(A1005,ORCAMENTO!A:I,5,0)</f>
        <v>M</v>
      </c>
      <c r="O1005" s="332">
        <f>O1009</f>
        <v>30.42</v>
      </c>
    </row>
    <row r="1006" spans="1:15" s="328" customFormat="1" x14ac:dyDescent="0.2">
      <c r="A1006" s="539" t="s">
        <v>39793</v>
      </c>
      <c r="B1006" s="539"/>
      <c r="C1006" s="539"/>
      <c r="D1006" s="539"/>
      <c r="E1006" s="539"/>
      <c r="F1006" s="539"/>
      <c r="G1006" s="539"/>
      <c r="H1006" s="539"/>
      <c r="I1006" s="539"/>
      <c r="J1006" s="539"/>
      <c r="K1006" s="539"/>
      <c r="L1006" s="539"/>
      <c r="M1006" s="539"/>
      <c r="N1006" s="539"/>
      <c r="O1006" s="539"/>
    </row>
    <row r="1007" spans="1:15" s="328" customFormat="1" x14ac:dyDescent="0.2">
      <c r="A1007" s="539" t="s">
        <v>5917</v>
      </c>
      <c r="B1007" s="539"/>
      <c r="C1007" s="539"/>
      <c r="D1007" s="333"/>
      <c r="E1007" s="333"/>
      <c r="F1007" s="333"/>
      <c r="G1007" s="333"/>
      <c r="H1007" s="333"/>
      <c r="I1007" s="331"/>
      <c r="J1007" s="331"/>
      <c r="K1007" s="333"/>
      <c r="L1007" s="333"/>
      <c r="M1007" s="334" t="s">
        <v>39802</v>
      </c>
      <c r="N1007" s="333" t="s">
        <v>39794</v>
      </c>
      <c r="O1007" s="334" t="s">
        <v>39795</v>
      </c>
    </row>
    <row r="1008" spans="1:15" s="328" customFormat="1" x14ac:dyDescent="0.2">
      <c r="A1008" s="535" t="s">
        <v>39801</v>
      </c>
      <c r="B1008" s="535"/>
      <c r="C1008" s="535"/>
      <c r="D1008" s="333"/>
      <c r="E1008" s="333"/>
      <c r="F1008" s="333"/>
      <c r="G1008" s="333"/>
      <c r="H1008" s="333"/>
      <c r="I1008" s="331"/>
      <c r="J1008" s="331"/>
      <c r="K1008" s="339"/>
      <c r="L1008" s="332"/>
      <c r="M1008" s="339">
        <f>30.42</f>
        <v>30.42</v>
      </c>
      <c r="N1008" s="332" t="s">
        <v>39794</v>
      </c>
      <c r="O1008" s="332">
        <f>ROUND(M1008,2)</f>
        <v>30.42</v>
      </c>
    </row>
    <row r="1009" spans="1:15" s="328" customFormat="1" x14ac:dyDescent="0.2">
      <c r="A1009" s="540"/>
      <c r="B1009" s="540"/>
      <c r="C1009" s="540"/>
      <c r="D1009" s="540"/>
      <c r="E1009" s="540"/>
      <c r="F1009" s="540"/>
      <c r="G1009" s="540"/>
      <c r="H1009" s="540"/>
      <c r="I1009" s="540"/>
      <c r="J1009" s="540"/>
      <c r="K1009" s="540"/>
      <c r="L1009" s="334" t="s">
        <v>39796</v>
      </c>
      <c r="M1009" s="334" t="s">
        <v>39168</v>
      </c>
      <c r="N1009" s="333" t="s">
        <v>39794</v>
      </c>
      <c r="O1009" s="334">
        <f>SUM(O1007:O1008)</f>
        <v>30.42</v>
      </c>
    </row>
    <row r="1010" spans="1:15" s="328" customFormat="1" x14ac:dyDescent="0.2">
      <c r="A1010" s="329" t="s">
        <v>39791</v>
      </c>
      <c r="B1010" s="542" t="s">
        <v>5917</v>
      </c>
      <c r="C1010" s="542"/>
      <c r="D1010" s="542"/>
      <c r="E1010" s="542"/>
      <c r="F1010" s="542"/>
      <c r="G1010" s="542"/>
      <c r="H1010" s="542"/>
      <c r="I1010" s="542"/>
      <c r="J1010" s="542"/>
      <c r="K1010" s="542"/>
      <c r="L1010" s="542"/>
      <c r="M1010" s="542"/>
      <c r="N1010" s="329" t="s">
        <v>39197</v>
      </c>
      <c r="O1010" s="330" t="s">
        <v>39792</v>
      </c>
    </row>
    <row r="1011" spans="1:15" s="328" customFormat="1" ht="39.950000000000003" customHeight="1" x14ac:dyDescent="0.2">
      <c r="A1011" s="331" t="str">
        <f>ORCAMENTO!A157</f>
        <v>9.1.5</v>
      </c>
      <c r="B1011" s="543" t="str">
        <f>VLOOKUP(A1011,ORCAMENTO!A:I,4,0)</f>
        <v>TERMINAL DE VENTILAÇÃO, PVC, SÉRIE NORMAL, ESGOTO PREDIAL, DN 50 MM, JUNTA SOLDÁVEL, FORNECIDO E INSTALADO EM PRUMADA DE ESGOTO SANITÁRIO OU VENTILAÇÃO. AF_08/2022</v>
      </c>
      <c r="C1011" s="543"/>
      <c r="D1011" s="543"/>
      <c r="E1011" s="543"/>
      <c r="F1011" s="543"/>
      <c r="G1011" s="543"/>
      <c r="H1011" s="543"/>
      <c r="I1011" s="543"/>
      <c r="J1011" s="543"/>
      <c r="K1011" s="543"/>
      <c r="L1011" s="543"/>
      <c r="M1011" s="543"/>
      <c r="N1011" s="331" t="str">
        <f>VLOOKUP(A1011,ORCAMENTO!A:I,5,0)</f>
        <v>UN</v>
      </c>
      <c r="O1011" s="332">
        <f>O1015</f>
        <v>9</v>
      </c>
    </row>
    <row r="1012" spans="1:15" s="328" customFormat="1" x14ac:dyDescent="0.2">
      <c r="A1012" s="539" t="s">
        <v>39793</v>
      </c>
      <c r="B1012" s="539"/>
      <c r="C1012" s="539"/>
      <c r="D1012" s="539"/>
      <c r="E1012" s="539"/>
      <c r="F1012" s="539"/>
      <c r="G1012" s="539"/>
      <c r="H1012" s="539"/>
      <c r="I1012" s="539"/>
      <c r="J1012" s="539"/>
      <c r="K1012" s="539"/>
      <c r="L1012" s="539"/>
      <c r="M1012" s="539"/>
      <c r="N1012" s="539"/>
      <c r="O1012" s="539"/>
    </row>
    <row r="1013" spans="1:15" s="328" customFormat="1" x14ac:dyDescent="0.2">
      <c r="A1013" s="539" t="s">
        <v>5917</v>
      </c>
      <c r="B1013" s="539"/>
      <c r="C1013" s="539"/>
      <c r="D1013" s="333"/>
      <c r="E1013" s="333"/>
      <c r="F1013" s="333"/>
      <c r="G1013" s="333"/>
      <c r="H1013" s="333"/>
      <c r="I1013" s="331"/>
      <c r="J1013" s="331"/>
      <c r="K1013" s="333"/>
      <c r="L1013" s="333"/>
      <c r="M1013" s="334" t="s">
        <v>39792</v>
      </c>
      <c r="N1013" s="333" t="s">
        <v>39794</v>
      </c>
      <c r="O1013" s="334" t="s">
        <v>39795</v>
      </c>
    </row>
    <row r="1014" spans="1:15" s="328" customFormat="1" x14ac:dyDescent="0.2">
      <c r="A1014" s="535" t="s">
        <v>39801</v>
      </c>
      <c r="B1014" s="535"/>
      <c r="C1014" s="535"/>
      <c r="D1014" s="333"/>
      <c r="E1014" s="333"/>
      <c r="F1014" s="333"/>
      <c r="G1014" s="333"/>
      <c r="H1014" s="333"/>
      <c r="I1014" s="331"/>
      <c r="J1014" s="331"/>
      <c r="K1014" s="339"/>
      <c r="L1014" s="332"/>
      <c r="M1014" s="339">
        <f>9</f>
        <v>9</v>
      </c>
      <c r="N1014" s="332" t="s">
        <v>39794</v>
      </c>
      <c r="O1014" s="332">
        <f>ROUND(M1014,2)</f>
        <v>9</v>
      </c>
    </row>
    <row r="1015" spans="1:15" s="328" customFormat="1" x14ac:dyDescent="0.2">
      <c r="A1015" s="540"/>
      <c r="B1015" s="540"/>
      <c r="C1015" s="540"/>
      <c r="D1015" s="540"/>
      <c r="E1015" s="540"/>
      <c r="F1015" s="540"/>
      <c r="G1015" s="540"/>
      <c r="H1015" s="540"/>
      <c r="I1015" s="540"/>
      <c r="J1015" s="540"/>
      <c r="K1015" s="540"/>
      <c r="L1015" s="334" t="s">
        <v>39796</v>
      </c>
      <c r="M1015" s="334" t="s">
        <v>39168</v>
      </c>
      <c r="N1015" s="333" t="s">
        <v>39794</v>
      </c>
      <c r="O1015" s="334">
        <f>SUM(O1013:O1014)</f>
        <v>9</v>
      </c>
    </row>
    <row r="1016" spans="1:15" s="328" customFormat="1" x14ac:dyDescent="0.2">
      <c r="A1016" s="329" t="s">
        <v>39791</v>
      </c>
      <c r="B1016" s="542" t="s">
        <v>5917</v>
      </c>
      <c r="C1016" s="542"/>
      <c r="D1016" s="542"/>
      <c r="E1016" s="542"/>
      <c r="F1016" s="542"/>
      <c r="G1016" s="542"/>
      <c r="H1016" s="542"/>
      <c r="I1016" s="542"/>
      <c r="J1016" s="542"/>
      <c r="K1016" s="542"/>
      <c r="L1016" s="542"/>
      <c r="M1016" s="542"/>
      <c r="N1016" s="329" t="s">
        <v>39197</v>
      </c>
      <c r="O1016" s="330" t="s">
        <v>39792</v>
      </c>
    </row>
    <row r="1017" spans="1:15" s="328" customFormat="1" ht="39.950000000000003" customHeight="1" x14ac:dyDescent="0.2">
      <c r="A1017" s="331" t="str">
        <f>ORCAMENTO!A158</f>
        <v>9.1.6</v>
      </c>
      <c r="B1017" s="543" t="str">
        <f>VLOOKUP(A1017,ORCAMENTO!A:I,4,0)</f>
        <v>JOELHO 45 GRAUS, PVC, SERIE NORMAL, ESGOTO PREDIAL, DN 100 MM, JUNTA ELÁSTICA, FORNECIDO E INSTALADO EM RAMAL DE DESCARGA OU RAMAL DE ESGOTO SANITÁRIO. AF_08/2022</v>
      </c>
      <c r="C1017" s="543"/>
      <c r="D1017" s="543"/>
      <c r="E1017" s="543"/>
      <c r="F1017" s="543"/>
      <c r="G1017" s="543"/>
      <c r="H1017" s="543"/>
      <c r="I1017" s="543"/>
      <c r="J1017" s="543"/>
      <c r="K1017" s="543"/>
      <c r="L1017" s="543"/>
      <c r="M1017" s="543"/>
      <c r="N1017" s="331" t="str">
        <f>VLOOKUP(A1017,ORCAMENTO!A:I,5,0)</f>
        <v>UN</v>
      </c>
      <c r="O1017" s="332">
        <f>O1021</f>
        <v>10</v>
      </c>
    </row>
    <row r="1018" spans="1:15" s="328" customFormat="1" x14ac:dyDescent="0.2">
      <c r="A1018" s="539" t="s">
        <v>39793</v>
      </c>
      <c r="B1018" s="539"/>
      <c r="C1018" s="539"/>
      <c r="D1018" s="539"/>
      <c r="E1018" s="539"/>
      <c r="F1018" s="539"/>
      <c r="G1018" s="539"/>
      <c r="H1018" s="539"/>
      <c r="I1018" s="539"/>
      <c r="J1018" s="539"/>
      <c r="K1018" s="539"/>
      <c r="L1018" s="539"/>
      <c r="M1018" s="539"/>
      <c r="N1018" s="539"/>
      <c r="O1018" s="539"/>
    </row>
    <row r="1019" spans="1:15" s="328" customFormat="1" x14ac:dyDescent="0.2">
      <c r="A1019" s="539" t="s">
        <v>5917</v>
      </c>
      <c r="B1019" s="539"/>
      <c r="C1019" s="539"/>
      <c r="D1019" s="333"/>
      <c r="E1019" s="333"/>
      <c r="F1019" s="333"/>
      <c r="G1019" s="333"/>
      <c r="H1019" s="333"/>
      <c r="I1019" s="331"/>
      <c r="J1019" s="331"/>
      <c r="K1019" s="333"/>
      <c r="L1019" s="333"/>
      <c r="M1019" s="334" t="s">
        <v>39792</v>
      </c>
      <c r="N1019" s="333" t="s">
        <v>39794</v>
      </c>
      <c r="O1019" s="334" t="s">
        <v>39795</v>
      </c>
    </row>
    <row r="1020" spans="1:15" s="328" customFormat="1" x14ac:dyDescent="0.2">
      <c r="A1020" s="535" t="s">
        <v>39801</v>
      </c>
      <c r="B1020" s="535"/>
      <c r="C1020" s="535"/>
      <c r="D1020" s="333"/>
      <c r="E1020" s="333"/>
      <c r="F1020" s="333"/>
      <c r="G1020" s="333"/>
      <c r="H1020" s="333"/>
      <c r="I1020" s="331"/>
      <c r="J1020" s="331"/>
      <c r="K1020" s="339"/>
      <c r="L1020" s="332"/>
      <c r="M1020" s="339">
        <f>10</f>
        <v>10</v>
      </c>
      <c r="N1020" s="332" t="s">
        <v>39794</v>
      </c>
      <c r="O1020" s="332">
        <f>ROUND(M1020,2)</f>
        <v>10</v>
      </c>
    </row>
    <row r="1021" spans="1:15" s="328" customFormat="1" x14ac:dyDescent="0.2">
      <c r="A1021" s="540"/>
      <c r="B1021" s="540"/>
      <c r="C1021" s="540"/>
      <c r="D1021" s="540"/>
      <c r="E1021" s="540"/>
      <c r="F1021" s="540"/>
      <c r="G1021" s="540"/>
      <c r="H1021" s="540"/>
      <c r="I1021" s="540"/>
      <c r="J1021" s="540"/>
      <c r="K1021" s="540"/>
      <c r="L1021" s="334" t="s">
        <v>39796</v>
      </c>
      <c r="M1021" s="334" t="s">
        <v>39168</v>
      </c>
      <c r="N1021" s="333" t="s">
        <v>39794</v>
      </c>
      <c r="O1021" s="334">
        <f>SUM(O1019:O1020)</f>
        <v>10</v>
      </c>
    </row>
    <row r="1022" spans="1:15" s="328" customFormat="1" x14ac:dyDescent="0.2">
      <c r="A1022" s="329" t="s">
        <v>39791</v>
      </c>
      <c r="B1022" s="542" t="s">
        <v>5917</v>
      </c>
      <c r="C1022" s="542"/>
      <c r="D1022" s="542"/>
      <c r="E1022" s="542"/>
      <c r="F1022" s="542"/>
      <c r="G1022" s="542"/>
      <c r="H1022" s="542"/>
      <c r="I1022" s="542"/>
      <c r="J1022" s="542"/>
      <c r="K1022" s="542"/>
      <c r="L1022" s="542"/>
      <c r="M1022" s="542"/>
      <c r="N1022" s="329" t="s">
        <v>39197</v>
      </c>
      <c r="O1022" s="330" t="s">
        <v>39792</v>
      </c>
    </row>
    <row r="1023" spans="1:15" s="328" customFormat="1" ht="39.950000000000003" customHeight="1" x14ac:dyDescent="0.2">
      <c r="A1023" s="331" t="str">
        <f>ORCAMENTO!A159</f>
        <v>9.1.7</v>
      </c>
      <c r="B1023" s="543" t="str">
        <f>VLOOKUP(A1023,ORCAMENTO!A:I,4,0)</f>
        <v>CURVA CURTA 90 GRAUS, PVC, SERIE NORMAL, ESGOTO PREDIAL, DN 100 MM, JUNTA ELÁSTICA, FORNECIDO E INSTALADO EM RAMAL DE DESCARGA OU RAMAL DE ESGOTO SANITÁRIO. AF_08/2022</v>
      </c>
      <c r="C1023" s="543"/>
      <c r="D1023" s="543"/>
      <c r="E1023" s="543"/>
      <c r="F1023" s="543"/>
      <c r="G1023" s="543"/>
      <c r="H1023" s="543"/>
      <c r="I1023" s="543"/>
      <c r="J1023" s="543"/>
      <c r="K1023" s="543"/>
      <c r="L1023" s="543"/>
      <c r="M1023" s="543"/>
      <c r="N1023" s="331" t="str">
        <f>VLOOKUP(A1023,ORCAMENTO!A:I,5,0)</f>
        <v>UN</v>
      </c>
      <c r="O1023" s="332">
        <f>O1027</f>
        <v>9</v>
      </c>
    </row>
    <row r="1024" spans="1:15" s="328" customFormat="1" x14ac:dyDescent="0.2">
      <c r="A1024" s="539" t="s">
        <v>39793</v>
      </c>
      <c r="B1024" s="539"/>
      <c r="C1024" s="539"/>
      <c r="D1024" s="539"/>
      <c r="E1024" s="539"/>
      <c r="F1024" s="539"/>
      <c r="G1024" s="539"/>
      <c r="H1024" s="539"/>
      <c r="I1024" s="539"/>
      <c r="J1024" s="539"/>
      <c r="K1024" s="539"/>
      <c r="L1024" s="539"/>
      <c r="M1024" s="539"/>
      <c r="N1024" s="539"/>
      <c r="O1024" s="539"/>
    </row>
    <row r="1025" spans="1:15" s="328" customFormat="1" x14ac:dyDescent="0.2">
      <c r="A1025" s="539" t="s">
        <v>5917</v>
      </c>
      <c r="B1025" s="539"/>
      <c r="C1025" s="539"/>
      <c r="D1025" s="333"/>
      <c r="E1025" s="333"/>
      <c r="F1025" s="333"/>
      <c r="G1025" s="333"/>
      <c r="H1025" s="333"/>
      <c r="I1025" s="331"/>
      <c r="J1025" s="331"/>
      <c r="K1025" s="333"/>
      <c r="L1025" s="333"/>
      <c r="M1025" s="334" t="s">
        <v>39792</v>
      </c>
      <c r="N1025" s="333" t="s">
        <v>39794</v>
      </c>
      <c r="O1025" s="334" t="s">
        <v>39795</v>
      </c>
    </row>
    <row r="1026" spans="1:15" s="328" customFormat="1" x14ac:dyDescent="0.2">
      <c r="A1026" s="535" t="s">
        <v>39801</v>
      </c>
      <c r="B1026" s="535"/>
      <c r="C1026" s="535"/>
      <c r="D1026" s="333"/>
      <c r="E1026" s="333"/>
      <c r="F1026" s="333"/>
      <c r="G1026" s="333"/>
      <c r="H1026" s="333"/>
      <c r="I1026" s="331"/>
      <c r="J1026" s="331"/>
      <c r="K1026" s="339"/>
      <c r="L1026" s="332"/>
      <c r="M1026" s="339">
        <f>9</f>
        <v>9</v>
      </c>
      <c r="N1026" s="332" t="s">
        <v>39794</v>
      </c>
      <c r="O1026" s="332">
        <f>ROUND(M1026,2)</f>
        <v>9</v>
      </c>
    </row>
    <row r="1027" spans="1:15" s="328" customFormat="1" x14ac:dyDescent="0.2">
      <c r="A1027" s="540"/>
      <c r="B1027" s="540"/>
      <c r="C1027" s="540"/>
      <c r="D1027" s="540"/>
      <c r="E1027" s="540"/>
      <c r="F1027" s="540"/>
      <c r="G1027" s="540"/>
      <c r="H1027" s="540"/>
      <c r="I1027" s="540"/>
      <c r="J1027" s="540"/>
      <c r="K1027" s="540"/>
      <c r="L1027" s="334" t="s">
        <v>39796</v>
      </c>
      <c r="M1027" s="334" t="s">
        <v>39168</v>
      </c>
      <c r="N1027" s="333" t="s">
        <v>39794</v>
      </c>
      <c r="O1027" s="334">
        <f>SUM(O1025:O1026)</f>
        <v>9</v>
      </c>
    </row>
    <row r="1028" spans="1:15" s="328" customFormat="1" x14ac:dyDescent="0.2">
      <c r="A1028" s="329" t="s">
        <v>39791</v>
      </c>
      <c r="B1028" s="542" t="s">
        <v>5917</v>
      </c>
      <c r="C1028" s="542"/>
      <c r="D1028" s="542"/>
      <c r="E1028" s="542"/>
      <c r="F1028" s="542"/>
      <c r="G1028" s="542"/>
      <c r="H1028" s="542"/>
      <c r="I1028" s="542"/>
      <c r="J1028" s="542"/>
      <c r="K1028" s="542"/>
      <c r="L1028" s="542"/>
      <c r="M1028" s="542"/>
      <c r="N1028" s="329" t="s">
        <v>39197</v>
      </c>
      <c r="O1028" s="330" t="s">
        <v>39792</v>
      </c>
    </row>
    <row r="1029" spans="1:15" s="328" customFormat="1" ht="39.950000000000003" customHeight="1" x14ac:dyDescent="0.2">
      <c r="A1029" s="331" t="str">
        <f>ORCAMENTO!A160</f>
        <v>9.1.8</v>
      </c>
      <c r="B1029" s="543" t="str">
        <f>VLOOKUP(A1029,ORCAMENTO!A:I,4,0)</f>
        <v>JUNÇÃO SIMPLES, PVC, SERIE NORMAL, ESGOTO PREDIAL, DN 100 X 100 MM, JUNTA ELÁSTICA, FORNECIDO E INSTALADO EM RAMAL DE DESCARGA OU RAMAL DE ESGOTO SANITÁRIO. AF_08/2022</v>
      </c>
      <c r="C1029" s="543"/>
      <c r="D1029" s="543"/>
      <c r="E1029" s="543"/>
      <c r="F1029" s="543"/>
      <c r="G1029" s="543"/>
      <c r="H1029" s="543"/>
      <c r="I1029" s="543"/>
      <c r="J1029" s="543"/>
      <c r="K1029" s="543"/>
      <c r="L1029" s="543"/>
      <c r="M1029" s="543"/>
      <c r="N1029" s="331" t="str">
        <f>VLOOKUP(A1029,ORCAMENTO!A:I,5,0)</f>
        <v>UN</v>
      </c>
      <c r="O1029" s="332">
        <f>O1033</f>
        <v>8</v>
      </c>
    </row>
    <row r="1030" spans="1:15" s="328" customFormat="1" x14ac:dyDescent="0.2">
      <c r="A1030" s="539" t="s">
        <v>39793</v>
      </c>
      <c r="B1030" s="539"/>
      <c r="C1030" s="539"/>
      <c r="D1030" s="539"/>
      <c r="E1030" s="539"/>
      <c r="F1030" s="539"/>
      <c r="G1030" s="539"/>
      <c r="H1030" s="539"/>
      <c r="I1030" s="539"/>
      <c r="J1030" s="539"/>
      <c r="K1030" s="539"/>
      <c r="L1030" s="539"/>
      <c r="M1030" s="539"/>
      <c r="N1030" s="539"/>
      <c r="O1030" s="539"/>
    </row>
    <row r="1031" spans="1:15" s="328" customFormat="1" x14ac:dyDescent="0.2">
      <c r="A1031" s="539" t="s">
        <v>5917</v>
      </c>
      <c r="B1031" s="539"/>
      <c r="C1031" s="539"/>
      <c r="D1031" s="333"/>
      <c r="E1031" s="333"/>
      <c r="F1031" s="333"/>
      <c r="G1031" s="333"/>
      <c r="H1031" s="333"/>
      <c r="I1031" s="331"/>
      <c r="J1031" s="331"/>
      <c r="K1031" s="333"/>
      <c r="L1031" s="333"/>
      <c r="M1031" s="334" t="s">
        <v>39792</v>
      </c>
      <c r="N1031" s="333" t="s">
        <v>39794</v>
      </c>
      <c r="O1031" s="334" t="s">
        <v>39795</v>
      </c>
    </row>
    <row r="1032" spans="1:15" s="328" customFormat="1" x14ac:dyDescent="0.2">
      <c r="A1032" s="535" t="s">
        <v>39801</v>
      </c>
      <c r="B1032" s="535"/>
      <c r="C1032" s="535"/>
      <c r="D1032" s="333"/>
      <c r="E1032" s="333"/>
      <c r="F1032" s="333"/>
      <c r="G1032" s="333"/>
      <c r="H1032" s="333"/>
      <c r="I1032" s="331"/>
      <c r="J1032" s="331"/>
      <c r="K1032" s="339"/>
      <c r="L1032" s="332"/>
      <c r="M1032" s="339">
        <f>8</f>
        <v>8</v>
      </c>
      <c r="N1032" s="332" t="s">
        <v>39794</v>
      </c>
      <c r="O1032" s="332">
        <f>ROUND(M1032,2)</f>
        <v>8</v>
      </c>
    </row>
    <row r="1033" spans="1:15" s="328" customFormat="1" x14ac:dyDescent="0.2">
      <c r="A1033" s="540"/>
      <c r="B1033" s="540"/>
      <c r="C1033" s="540"/>
      <c r="D1033" s="540"/>
      <c r="E1033" s="540"/>
      <c r="F1033" s="540"/>
      <c r="G1033" s="540"/>
      <c r="H1033" s="540"/>
      <c r="I1033" s="540"/>
      <c r="J1033" s="540"/>
      <c r="K1033" s="540"/>
      <c r="L1033" s="334" t="s">
        <v>39796</v>
      </c>
      <c r="M1033" s="334" t="s">
        <v>39168</v>
      </c>
      <c r="N1033" s="333" t="s">
        <v>39794</v>
      </c>
      <c r="O1033" s="334">
        <f>SUM(O1031:O1032)</f>
        <v>8</v>
      </c>
    </row>
    <row r="1034" spans="1:15" s="328" customFormat="1" x14ac:dyDescent="0.2">
      <c r="A1034" s="329" t="s">
        <v>39791</v>
      </c>
      <c r="B1034" s="542" t="s">
        <v>5917</v>
      </c>
      <c r="C1034" s="542"/>
      <c r="D1034" s="542"/>
      <c r="E1034" s="542"/>
      <c r="F1034" s="542"/>
      <c r="G1034" s="542"/>
      <c r="H1034" s="542"/>
      <c r="I1034" s="542"/>
      <c r="J1034" s="542"/>
      <c r="K1034" s="542"/>
      <c r="L1034" s="542"/>
      <c r="M1034" s="542"/>
      <c r="N1034" s="329" t="s">
        <v>39197</v>
      </c>
      <c r="O1034" s="330" t="s">
        <v>39792</v>
      </c>
    </row>
    <row r="1035" spans="1:15" s="328" customFormat="1" ht="39.950000000000003" customHeight="1" x14ac:dyDescent="0.2">
      <c r="A1035" s="331" t="str">
        <f>ORCAMENTO!A161</f>
        <v>9.1.9</v>
      </c>
      <c r="B1035" s="543" t="str">
        <f>VLOOKUP(A1035,ORCAMENTO!A:I,4,0)</f>
        <v>JOELHO 90 GRAUS, PVC, SERIE NORMAL, ESGOTO PREDIAL, DN 50 MM, JUNTA ELÁSTICA, FORNECIDO E INSTALADO EM RAMAL DE DESCARGA OU RAMAL DE ESGOTO SANITÁRIO. AF_08/2022</v>
      </c>
      <c r="C1035" s="543"/>
      <c r="D1035" s="543"/>
      <c r="E1035" s="543"/>
      <c r="F1035" s="543"/>
      <c r="G1035" s="543"/>
      <c r="H1035" s="543"/>
      <c r="I1035" s="543"/>
      <c r="J1035" s="543"/>
      <c r="K1035" s="543"/>
      <c r="L1035" s="543"/>
      <c r="M1035" s="543"/>
      <c r="N1035" s="331" t="str">
        <f>VLOOKUP(A1035,ORCAMENTO!A:I,5,0)</f>
        <v>UN</v>
      </c>
      <c r="O1035" s="332">
        <f>O1039</f>
        <v>4</v>
      </c>
    </row>
    <row r="1036" spans="1:15" s="328" customFormat="1" x14ac:dyDescent="0.2">
      <c r="A1036" s="539" t="s">
        <v>39793</v>
      </c>
      <c r="B1036" s="539"/>
      <c r="C1036" s="539"/>
      <c r="D1036" s="539"/>
      <c r="E1036" s="539"/>
      <c r="F1036" s="539"/>
      <c r="G1036" s="539"/>
      <c r="H1036" s="539"/>
      <c r="I1036" s="539"/>
      <c r="J1036" s="539"/>
      <c r="K1036" s="539"/>
      <c r="L1036" s="539"/>
      <c r="M1036" s="539"/>
      <c r="N1036" s="539"/>
      <c r="O1036" s="539"/>
    </row>
    <row r="1037" spans="1:15" s="328" customFormat="1" x14ac:dyDescent="0.2">
      <c r="A1037" s="539" t="s">
        <v>5917</v>
      </c>
      <c r="B1037" s="539"/>
      <c r="C1037" s="539"/>
      <c r="D1037" s="333"/>
      <c r="E1037" s="333"/>
      <c r="F1037" s="333"/>
      <c r="G1037" s="333"/>
      <c r="H1037" s="333"/>
      <c r="I1037" s="331"/>
      <c r="J1037" s="331"/>
      <c r="K1037" s="333"/>
      <c r="L1037" s="333"/>
      <c r="M1037" s="334" t="s">
        <v>39792</v>
      </c>
      <c r="N1037" s="333" t="s">
        <v>39794</v>
      </c>
      <c r="O1037" s="334" t="s">
        <v>39795</v>
      </c>
    </row>
    <row r="1038" spans="1:15" s="328" customFormat="1" x14ac:dyDescent="0.2">
      <c r="A1038" s="535" t="s">
        <v>39801</v>
      </c>
      <c r="B1038" s="535"/>
      <c r="C1038" s="535"/>
      <c r="D1038" s="333"/>
      <c r="E1038" s="333"/>
      <c r="F1038" s="333"/>
      <c r="G1038" s="333"/>
      <c r="H1038" s="333"/>
      <c r="I1038" s="331"/>
      <c r="J1038" s="331"/>
      <c r="K1038" s="339"/>
      <c r="L1038" s="332"/>
      <c r="M1038" s="339">
        <f>4</f>
        <v>4</v>
      </c>
      <c r="N1038" s="332" t="s">
        <v>39794</v>
      </c>
      <c r="O1038" s="332">
        <f>ROUND(M1038,2)</f>
        <v>4</v>
      </c>
    </row>
    <row r="1039" spans="1:15" s="328" customFormat="1" x14ac:dyDescent="0.2">
      <c r="A1039" s="540"/>
      <c r="B1039" s="540"/>
      <c r="C1039" s="540"/>
      <c r="D1039" s="540"/>
      <c r="E1039" s="540"/>
      <c r="F1039" s="540"/>
      <c r="G1039" s="540"/>
      <c r="H1039" s="540"/>
      <c r="I1039" s="540"/>
      <c r="J1039" s="540"/>
      <c r="K1039" s="540"/>
      <c r="L1039" s="334" t="s">
        <v>39796</v>
      </c>
      <c r="M1039" s="334" t="s">
        <v>39168</v>
      </c>
      <c r="N1039" s="333" t="s">
        <v>39794</v>
      </c>
      <c r="O1039" s="334">
        <f>SUM(O1037:O1038)</f>
        <v>4</v>
      </c>
    </row>
    <row r="1040" spans="1:15" s="328" customFormat="1" x14ac:dyDescent="0.2">
      <c r="A1040" s="329" t="s">
        <v>39791</v>
      </c>
      <c r="B1040" s="542" t="s">
        <v>5917</v>
      </c>
      <c r="C1040" s="542"/>
      <c r="D1040" s="542"/>
      <c r="E1040" s="542"/>
      <c r="F1040" s="542"/>
      <c r="G1040" s="542"/>
      <c r="H1040" s="542"/>
      <c r="I1040" s="542"/>
      <c r="J1040" s="542"/>
      <c r="K1040" s="542"/>
      <c r="L1040" s="542"/>
      <c r="M1040" s="542"/>
      <c r="N1040" s="329" t="s">
        <v>39197</v>
      </c>
      <c r="O1040" s="330" t="s">
        <v>39792</v>
      </c>
    </row>
    <row r="1041" spans="1:15" s="328" customFormat="1" ht="39.950000000000003" customHeight="1" x14ac:dyDescent="0.2">
      <c r="A1041" s="331" t="str">
        <f>ORCAMENTO!A162</f>
        <v>9.1.10</v>
      </c>
      <c r="B1041" s="543" t="str">
        <f>VLOOKUP(A1041,ORCAMENTO!A:I,4,0)</f>
        <v>JOELHO 45 GRAUS, PVC, SERIE NORMAL, ESGOTO PREDIAL, DN 50 MM, JUNTA ELÁSTICA, FORNECIDO E INSTALADO EM RAMAL DE DESCARGA OU RAMAL DE ESGOTO SANITÁRIO. AF_08/2022</v>
      </c>
      <c r="C1041" s="543"/>
      <c r="D1041" s="543"/>
      <c r="E1041" s="543"/>
      <c r="F1041" s="543"/>
      <c r="G1041" s="543"/>
      <c r="H1041" s="543"/>
      <c r="I1041" s="543"/>
      <c r="J1041" s="543"/>
      <c r="K1041" s="543"/>
      <c r="L1041" s="543"/>
      <c r="M1041" s="543"/>
      <c r="N1041" s="331" t="str">
        <f>VLOOKUP(A1041,ORCAMENTO!A:I,5,0)</f>
        <v>UN</v>
      </c>
      <c r="O1041" s="332">
        <f>O1045</f>
        <v>3</v>
      </c>
    </row>
    <row r="1042" spans="1:15" s="328" customFormat="1" x14ac:dyDescent="0.2">
      <c r="A1042" s="539" t="s">
        <v>39793</v>
      </c>
      <c r="B1042" s="539"/>
      <c r="C1042" s="539"/>
      <c r="D1042" s="539"/>
      <c r="E1042" s="539"/>
      <c r="F1042" s="539"/>
      <c r="G1042" s="539"/>
      <c r="H1042" s="539"/>
      <c r="I1042" s="539"/>
      <c r="J1042" s="539"/>
      <c r="K1042" s="539"/>
      <c r="L1042" s="539"/>
      <c r="M1042" s="539"/>
      <c r="N1042" s="539"/>
      <c r="O1042" s="539"/>
    </row>
    <row r="1043" spans="1:15" s="328" customFormat="1" x14ac:dyDescent="0.2">
      <c r="A1043" s="539" t="s">
        <v>5917</v>
      </c>
      <c r="B1043" s="539"/>
      <c r="C1043" s="539"/>
      <c r="D1043" s="333"/>
      <c r="E1043" s="333"/>
      <c r="F1043" s="333"/>
      <c r="G1043" s="333"/>
      <c r="H1043" s="333"/>
      <c r="I1043" s="331"/>
      <c r="J1043" s="331"/>
      <c r="K1043" s="333"/>
      <c r="L1043" s="333"/>
      <c r="M1043" s="334" t="s">
        <v>39792</v>
      </c>
      <c r="N1043" s="333" t="s">
        <v>39794</v>
      </c>
      <c r="O1043" s="334" t="s">
        <v>39795</v>
      </c>
    </row>
    <row r="1044" spans="1:15" s="328" customFormat="1" x14ac:dyDescent="0.2">
      <c r="A1044" s="535" t="s">
        <v>39801</v>
      </c>
      <c r="B1044" s="535"/>
      <c r="C1044" s="535"/>
      <c r="D1044" s="333"/>
      <c r="E1044" s="333"/>
      <c r="F1044" s="333"/>
      <c r="G1044" s="333"/>
      <c r="H1044" s="333"/>
      <c r="I1044" s="331"/>
      <c r="J1044" s="331"/>
      <c r="K1044" s="339"/>
      <c r="L1044" s="332"/>
      <c r="M1044" s="339">
        <f>3</f>
        <v>3</v>
      </c>
      <c r="N1044" s="332" t="s">
        <v>39794</v>
      </c>
      <c r="O1044" s="332">
        <f>ROUND(M1044,2)</f>
        <v>3</v>
      </c>
    </row>
    <row r="1045" spans="1:15" s="328" customFormat="1" x14ac:dyDescent="0.2">
      <c r="A1045" s="540"/>
      <c r="B1045" s="540"/>
      <c r="C1045" s="540"/>
      <c r="D1045" s="540"/>
      <c r="E1045" s="540"/>
      <c r="F1045" s="540"/>
      <c r="G1045" s="540"/>
      <c r="H1045" s="540"/>
      <c r="I1045" s="540"/>
      <c r="J1045" s="540"/>
      <c r="K1045" s="540"/>
      <c r="L1045" s="334" t="s">
        <v>39796</v>
      </c>
      <c r="M1045" s="334" t="s">
        <v>39168</v>
      </c>
      <c r="N1045" s="333" t="s">
        <v>39794</v>
      </c>
      <c r="O1045" s="334">
        <f>SUM(O1043:O1044)</f>
        <v>3</v>
      </c>
    </row>
    <row r="1046" spans="1:15" s="328" customFormat="1" x14ac:dyDescent="0.2">
      <c r="A1046" s="329" t="s">
        <v>39791</v>
      </c>
      <c r="B1046" s="542" t="s">
        <v>5917</v>
      </c>
      <c r="C1046" s="542"/>
      <c r="D1046" s="542"/>
      <c r="E1046" s="542"/>
      <c r="F1046" s="542"/>
      <c r="G1046" s="542"/>
      <c r="H1046" s="542"/>
      <c r="I1046" s="542"/>
      <c r="J1046" s="542"/>
      <c r="K1046" s="542"/>
      <c r="L1046" s="542"/>
      <c r="M1046" s="542"/>
      <c r="N1046" s="329" t="s">
        <v>39197</v>
      </c>
      <c r="O1046" s="330" t="s">
        <v>39792</v>
      </c>
    </row>
    <row r="1047" spans="1:15" s="328" customFormat="1" ht="39.950000000000003" customHeight="1" x14ac:dyDescent="0.2">
      <c r="A1047" s="331" t="str">
        <f>ORCAMENTO!A163</f>
        <v>9.1.11</v>
      </c>
      <c r="B1047" s="543" t="str">
        <f>VLOOKUP(A1047,ORCAMENTO!A:I,4,0)</f>
        <v>JOELHO 90 GRAUS, PVC, SERIE NORMAL, ESGOTO PREDIAL, DN 50 MM, JUNTA ELÁSTICA, FORNECIDO E INSTALADO EM PRUMADA DE ESGOTO SANITÁRIO OU VENTILAÇÃO. AF_08/2022</v>
      </c>
      <c r="C1047" s="543"/>
      <c r="D1047" s="543"/>
      <c r="E1047" s="543"/>
      <c r="F1047" s="543"/>
      <c r="G1047" s="543"/>
      <c r="H1047" s="543"/>
      <c r="I1047" s="543"/>
      <c r="J1047" s="543"/>
      <c r="K1047" s="543"/>
      <c r="L1047" s="543"/>
      <c r="M1047" s="543"/>
      <c r="N1047" s="331" t="str">
        <f>VLOOKUP(A1047,ORCAMENTO!A:I,5,0)</f>
        <v>UN</v>
      </c>
      <c r="O1047" s="332">
        <f>O1051</f>
        <v>6</v>
      </c>
    </row>
    <row r="1048" spans="1:15" s="328" customFormat="1" x14ac:dyDescent="0.2">
      <c r="A1048" s="539" t="s">
        <v>39793</v>
      </c>
      <c r="B1048" s="539"/>
      <c r="C1048" s="539"/>
      <c r="D1048" s="539"/>
      <c r="E1048" s="539"/>
      <c r="F1048" s="539"/>
      <c r="G1048" s="539"/>
      <c r="H1048" s="539"/>
      <c r="I1048" s="539"/>
      <c r="J1048" s="539"/>
      <c r="K1048" s="539"/>
      <c r="L1048" s="539"/>
      <c r="M1048" s="539"/>
      <c r="N1048" s="539"/>
      <c r="O1048" s="539"/>
    </row>
    <row r="1049" spans="1:15" s="328" customFormat="1" x14ac:dyDescent="0.2">
      <c r="A1049" s="539" t="s">
        <v>5917</v>
      </c>
      <c r="B1049" s="539"/>
      <c r="C1049" s="539"/>
      <c r="D1049" s="333"/>
      <c r="E1049" s="333"/>
      <c r="F1049" s="333"/>
      <c r="G1049" s="333"/>
      <c r="H1049" s="333"/>
      <c r="I1049" s="331"/>
      <c r="J1049" s="331"/>
      <c r="K1049" s="333"/>
      <c r="L1049" s="333"/>
      <c r="M1049" s="334" t="s">
        <v>39792</v>
      </c>
      <c r="N1049" s="333" t="s">
        <v>39794</v>
      </c>
      <c r="O1049" s="334" t="s">
        <v>39795</v>
      </c>
    </row>
    <row r="1050" spans="1:15" s="328" customFormat="1" x14ac:dyDescent="0.2">
      <c r="A1050" s="535" t="s">
        <v>39801</v>
      </c>
      <c r="B1050" s="535"/>
      <c r="C1050" s="535"/>
      <c r="D1050" s="333"/>
      <c r="E1050" s="333"/>
      <c r="F1050" s="333"/>
      <c r="G1050" s="333"/>
      <c r="H1050" s="333"/>
      <c r="I1050" s="331"/>
      <c r="J1050" s="331"/>
      <c r="K1050" s="339"/>
      <c r="L1050" s="332"/>
      <c r="M1050" s="339">
        <f>6</f>
        <v>6</v>
      </c>
      <c r="N1050" s="332" t="s">
        <v>39794</v>
      </c>
      <c r="O1050" s="332">
        <f>ROUND(M1050,2)</f>
        <v>6</v>
      </c>
    </row>
    <row r="1051" spans="1:15" s="328" customFormat="1" x14ac:dyDescent="0.2">
      <c r="A1051" s="540"/>
      <c r="B1051" s="540"/>
      <c r="C1051" s="540"/>
      <c r="D1051" s="540"/>
      <c r="E1051" s="540"/>
      <c r="F1051" s="540"/>
      <c r="G1051" s="540"/>
      <c r="H1051" s="540"/>
      <c r="I1051" s="540"/>
      <c r="J1051" s="540"/>
      <c r="K1051" s="540"/>
      <c r="L1051" s="334" t="s">
        <v>39796</v>
      </c>
      <c r="M1051" s="334" t="s">
        <v>39168</v>
      </c>
      <c r="N1051" s="333" t="s">
        <v>39794</v>
      </c>
      <c r="O1051" s="334">
        <f>SUM(O1049:O1050)</f>
        <v>6</v>
      </c>
    </row>
    <row r="1052" spans="1:15" s="328" customFormat="1" x14ac:dyDescent="0.2">
      <c r="A1052" s="329" t="s">
        <v>39791</v>
      </c>
      <c r="B1052" s="542" t="s">
        <v>5917</v>
      </c>
      <c r="C1052" s="542"/>
      <c r="D1052" s="542"/>
      <c r="E1052" s="542"/>
      <c r="F1052" s="542"/>
      <c r="G1052" s="542"/>
      <c r="H1052" s="542"/>
      <c r="I1052" s="542"/>
      <c r="J1052" s="542"/>
      <c r="K1052" s="542"/>
      <c r="L1052" s="542"/>
      <c r="M1052" s="542"/>
      <c r="N1052" s="329" t="s">
        <v>39197</v>
      </c>
      <c r="O1052" s="330" t="s">
        <v>39792</v>
      </c>
    </row>
    <row r="1053" spans="1:15" s="328" customFormat="1" ht="39.950000000000003" customHeight="1" x14ac:dyDescent="0.2">
      <c r="A1053" s="331" t="str">
        <f>ORCAMENTO!A164</f>
        <v>9.1.12</v>
      </c>
      <c r="B1053" s="543" t="str">
        <f>VLOOKUP(A1053,ORCAMENTO!A:I,4,0)</f>
        <v>JUNÇÃO SIMPLES, PVC, SERIE NORMAL, ESGOTO PREDIAL, DN 50 X 50 MM, JUNTA ELÁSTICA, FORNECIDO E INSTALADO EM RAMAL DE DESCARGA OU RAMAL DE ESGOTO SANITÁRIO. AF_08/2022</v>
      </c>
      <c r="C1053" s="543"/>
      <c r="D1053" s="543"/>
      <c r="E1053" s="543"/>
      <c r="F1053" s="543"/>
      <c r="G1053" s="543"/>
      <c r="H1053" s="543"/>
      <c r="I1053" s="543"/>
      <c r="J1053" s="543"/>
      <c r="K1053" s="543"/>
      <c r="L1053" s="543"/>
      <c r="M1053" s="543"/>
      <c r="N1053" s="331" t="str">
        <f>VLOOKUP(A1053,ORCAMENTO!A:I,5,0)</f>
        <v>UN</v>
      </c>
      <c r="O1053" s="332">
        <f>O1057</f>
        <v>1</v>
      </c>
    </row>
    <row r="1054" spans="1:15" s="328" customFormat="1" x14ac:dyDescent="0.2">
      <c r="A1054" s="539" t="s">
        <v>39793</v>
      </c>
      <c r="B1054" s="539"/>
      <c r="C1054" s="539"/>
      <c r="D1054" s="539"/>
      <c r="E1054" s="539"/>
      <c r="F1054" s="539"/>
      <c r="G1054" s="539"/>
      <c r="H1054" s="539"/>
      <c r="I1054" s="539"/>
      <c r="J1054" s="539"/>
      <c r="K1054" s="539"/>
      <c r="L1054" s="539"/>
      <c r="M1054" s="539"/>
      <c r="N1054" s="539"/>
      <c r="O1054" s="539"/>
    </row>
    <row r="1055" spans="1:15" s="328" customFormat="1" x14ac:dyDescent="0.2">
      <c r="A1055" s="539" t="s">
        <v>5917</v>
      </c>
      <c r="B1055" s="539"/>
      <c r="C1055" s="539"/>
      <c r="D1055" s="333"/>
      <c r="E1055" s="333"/>
      <c r="F1055" s="333"/>
      <c r="G1055" s="333"/>
      <c r="H1055" s="333"/>
      <c r="I1055" s="331"/>
      <c r="J1055" s="331"/>
      <c r="K1055" s="333"/>
      <c r="L1055" s="333"/>
      <c r="M1055" s="334" t="s">
        <v>39792</v>
      </c>
      <c r="N1055" s="333" t="s">
        <v>39794</v>
      </c>
      <c r="O1055" s="334" t="s">
        <v>39795</v>
      </c>
    </row>
    <row r="1056" spans="1:15" s="328" customFormat="1" x14ac:dyDescent="0.2">
      <c r="A1056" s="535" t="s">
        <v>39801</v>
      </c>
      <c r="B1056" s="535"/>
      <c r="C1056" s="535"/>
      <c r="D1056" s="333"/>
      <c r="E1056" s="333"/>
      <c r="F1056" s="333"/>
      <c r="G1056" s="333"/>
      <c r="H1056" s="333"/>
      <c r="I1056" s="331"/>
      <c r="J1056" s="331"/>
      <c r="K1056" s="339"/>
      <c r="L1056" s="332"/>
      <c r="M1056" s="339">
        <f>1</f>
        <v>1</v>
      </c>
      <c r="N1056" s="332" t="s">
        <v>39794</v>
      </c>
      <c r="O1056" s="332">
        <f>ROUND(M1056,2)</f>
        <v>1</v>
      </c>
    </row>
    <row r="1057" spans="1:15" s="328" customFormat="1" x14ac:dyDescent="0.2">
      <c r="A1057" s="540"/>
      <c r="B1057" s="540"/>
      <c r="C1057" s="540"/>
      <c r="D1057" s="540"/>
      <c r="E1057" s="540"/>
      <c r="F1057" s="540"/>
      <c r="G1057" s="540"/>
      <c r="H1057" s="540"/>
      <c r="I1057" s="540"/>
      <c r="J1057" s="540"/>
      <c r="K1057" s="540"/>
      <c r="L1057" s="334" t="s">
        <v>39796</v>
      </c>
      <c r="M1057" s="334" t="s">
        <v>39168</v>
      </c>
      <c r="N1057" s="333" t="s">
        <v>39794</v>
      </c>
      <c r="O1057" s="334">
        <f>SUM(O1055:O1056)</f>
        <v>1</v>
      </c>
    </row>
    <row r="1058" spans="1:15" s="328" customFormat="1" x14ac:dyDescent="0.2">
      <c r="A1058" s="329" t="s">
        <v>39791</v>
      </c>
      <c r="B1058" s="542" t="s">
        <v>5917</v>
      </c>
      <c r="C1058" s="542"/>
      <c r="D1058" s="542"/>
      <c r="E1058" s="542"/>
      <c r="F1058" s="542"/>
      <c r="G1058" s="542"/>
      <c r="H1058" s="542"/>
      <c r="I1058" s="542"/>
      <c r="J1058" s="542"/>
      <c r="K1058" s="542"/>
      <c r="L1058" s="542"/>
      <c r="M1058" s="542"/>
      <c r="N1058" s="329" t="s">
        <v>39197</v>
      </c>
      <c r="O1058" s="330" t="s">
        <v>39792</v>
      </c>
    </row>
    <row r="1059" spans="1:15" s="328" customFormat="1" ht="39.950000000000003" customHeight="1" x14ac:dyDescent="0.2">
      <c r="A1059" s="331" t="str">
        <f>ORCAMENTO!A165</f>
        <v>9.1.13</v>
      </c>
      <c r="B1059" s="543" t="str">
        <f>VLOOKUP(A1059,ORCAMENTO!A:I,4,0)</f>
        <v>JUNÇÃO DE REDUÇÃO INVERTIDA, PVC, SÉRIE NORMAL, ESGOTO PREDIAL, DN 100 X 50 MM, JUNTA ELÁSTICA, FORNECIDO E INSTALADO EM RAMAL DE DESCARGA OU RAMAL DE ESGOTO SANITÁRIO. AF_08/2022</v>
      </c>
      <c r="C1059" s="543"/>
      <c r="D1059" s="543"/>
      <c r="E1059" s="543"/>
      <c r="F1059" s="543"/>
      <c r="G1059" s="543"/>
      <c r="H1059" s="543"/>
      <c r="I1059" s="543"/>
      <c r="J1059" s="543"/>
      <c r="K1059" s="543"/>
      <c r="L1059" s="543"/>
      <c r="M1059" s="543"/>
      <c r="N1059" s="331" t="str">
        <f>VLOOKUP(A1059,ORCAMENTO!A:I,5,0)</f>
        <v>UN</v>
      </c>
      <c r="O1059" s="332">
        <f>O1063</f>
        <v>4</v>
      </c>
    </row>
    <row r="1060" spans="1:15" s="328" customFormat="1" x14ac:dyDescent="0.2">
      <c r="A1060" s="539" t="s">
        <v>39793</v>
      </c>
      <c r="B1060" s="539"/>
      <c r="C1060" s="539"/>
      <c r="D1060" s="539"/>
      <c r="E1060" s="539"/>
      <c r="F1060" s="539"/>
      <c r="G1060" s="539"/>
      <c r="H1060" s="539"/>
      <c r="I1060" s="539"/>
      <c r="J1060" s="539"/>
      <c r="K1060" s="539"/>
      <c r="L1060" s="539"/>
      <c r="M1060" s="539"/>
      <c r="N1060" s="539"/>
      <c r="O1060" s="539"/>
    </row>
    <row r="1061" spans="1:15" s="328" customFormat="1" x14ac:dyDescent="0.2">
      <c r="A1061" s="539" t="s">
        <v>5917</v>
      </c>
      <c r="B1061" s="539"/>
      <c r="C1061" s="539"/>
      <c r="D1061" s="333"/>
      <c r="E1061" s="333"/>
      <c r="F1061" s="333"/>
      <c r="G1061" s="333"/>
      <c r="H1061" s="333"/>
      <c r="I1061" s="331"/>
      <c r="J1061" s="331"/>
      <c r="K1061" s="333"/>
      <c r="L1061" s="333"/>
      <c r="M1061" s="334" t="s">
        <v>39792</v>
      </c>
      <c r="N1061" s="333" t="s">
        <v>39794</v>
      </c>
      <c r="O1061" s="334" t="s">
        <v>39795</v>
      </c>
    </row>
    <row r="1062" spans="1:15" s="328" customFormat="1" x14ac:dyDescent="0.2">
      <c r="A1062" s="535" t="s">
        <v>39801</v>
      </c>
      <c r="B1062" s="535"/>
      <c r="C1062" s="535"/>
      <c r="D1062" s="333"/>
      <c r="E1062" s="333"/>
      <c r="F1062" s="333"/>
      <c r="G1062" s="333"/>
      <c r="H1062" s="333"/>
      <c r="I1062" s="331"/>
      <c r="J1062" s="331"/>
      <c r="K1062" s="339"/>
      <c r="L1062" s="332"/>
      <c r="M1062" s="339">
        <f>4</f>
        <v>4</v>
      </c>
      <c r="N1062" s="332" t="s">
        <v>39794</v>
      </c>
      <c r="O1062" s="332">
        <f>ROUND(M1062,2)</f>
        <v>4</v>
      </c>
    </row>
    <row r="1063" spans="1:15" s="328" customFormat="1" x14ac:dyDescent="0.2">
      <c r="A1063" s="540"/>
      <c r="B1063" s="540"/>
      <c r="C1063" s="540"/>
      <c r="D1063" s="540"/>
      <c r="E1063" s="540"/>
      <c r="F1063" s="540"/>
      <c r="G1063" s="540"/>
      <c r="H1063" s="540"/>
      <c r="I1063" s="540"/>
      <c r="J1063" s="540"/>
      <c r="K1063" s="540"/>
      <c r="L1063" s="334" t="s">
        <v>39796</v>
      </c>
      <c r="M1063" s="334" t="s">
        <v>39168</v>
      </c>
      <c r="N1063" s="333" t="s">
        <v>39794</v>
      </c>
      <c r="O1063" s="334">
        <f>SUM(O1061:O1062)</f>
        <v>4</v>
      </c>
    </row>
    <row r="1064" spans="1:15" s="328" customFormat="1" x14ac:dyDescent="0.2">
      <c r="A1064" s="329" t="s">
        <v>39791</v>
      </c>
      <c r="B1064" s="542" t="s">
        <v>5917</v>
      </c>
      <c r="C1064" s="542"/>
      <c r="D1064" s="542"/>
      <c r="E1064" s="542"/>
      <c r="F1064" s="542"/>
      <c r="G1064" s="542"/>
      <c r="H1064" s="542"/>
      <c r="I1064" s="542"/>
      <c r="J1064" s="542"/>
      <c r="K1064" s="542"/>
      <c r="L1064" s="542"/>
      <c r="M1064" s="542"/>
      <c r="N1064" s="329" t="s">
        <v>39197</v>
      </c>
      <c r="O1064" s="330" t="s">
        <v>39792</v>
      </c>
    </row>
    <row r="1065" spans="1:15" s="328" customFormat="1" ht="39.950000000000003" customHeight="1" x14ac:dyDescent="0.2">
      <c r="A1065" s="331" t="str">
        <f>ORCAMENTO!A166</f>
        <v>9.1.14</v>
      </c>
      <c r="B1065" s="543" t="str">
        <f>VLOOKUP(A1065,ORCAMENTO!A:I,4,0)</f>
        <v>JOELHO 90 GRAUS, PVC, SERIE NORMAL, ESGOTO PREDIAL, DN 50 MM, JUNTA ELÁSTICA, FORNECIDO E INSTALADO EM PRUMADA DE ESGOTO SANITÁRIO OU VENTILAÇÃO. AF_08/2022</v>
      </c>
      <c r="C1065" s="543"/>
      <c r="D1065" s="543"/>
      <c r="E1065" s="543"/>
      <c r="F1065" s="543"/>
      <c r="G1065" s="543"/>
      <c r="H1065" s="543"/>
      <c r="I1065" s="543"/>
      <c r="J1065" s="543"/>
      <c r="K1065" s="543"/>
      <c r="L1065" s="543"/>
      <c r="M1065" s="543"/>
      <c r="N1065" s="331" t="str">
        <f>VLOOKUP(A1065,ORCAMENTO!A:I,5,0)</f>
        <v>UN</v>
      </c>
      <c r="O1065" s="332">
        <f>O1069</f>
        <v>4</v>
      </c>
    </row>
    <row r="1066" spans="1:15" s="328" customFormat="1" x14ac:dyDescent="0.2">
      <c r="A1066" s="539" t="s">
        <v>39793</v>
      </c>
      <c r="B1066" s="539"/>
      <c r="C1066" s="539"/>
      <c r="D1066" s="539"/>
      <c r="E1066" s="539"/>
      <c r="F1066" s="539"/>
      <c r="G1066" s="539"/>
      <c r="H1066" s="539"/>
      <c r="I1066" s="539"/>
      <c r="J1066" s="539"/>
      <c r="K1066" s="539"/>
      <c r="L1066" s="539"/>
      <c r="M1066" s="539"/>
      <c r="N1066" s="539"/>
      <c r="O1066" s="539"/>
    </row>
    <row r="1067" spans="1:15" s="328" customFormat="1" x14ac:dyDescent="0.2">
      <c r="A1067" s="539" t="s">
        <v>5917</v>
      </c>
      <c r="B1067" s="539"/>
      <c r="C1067" s="539"/>
      <c r="D1067" s="333"/>
      <c r="E1067" s="333"/>
      <c r="F1067" s="333"/>
      <c r="G1067" s="333"/>
      <c r="H1067" s="333"/>
      <c r="I1067" s="331"/>
      <c r="J1067" s="331"/>
      <c r="K1067" s="333"/>
      <c r="L1067" s="333"/>
      <c r="M1067" s="334" t="s">
        <v>39792</v>
      </c>
      <c r="N1067" s="333" t="s">
        <v>39794</v>
      </c>
      <c r="O1067" s="334" t="s">
        <v>39795</v>
      </c>
    </row>
    <row r="1068" spans="1:15" s="328" customFormat="1" x14ac:dyDescent="0.2">
      <c r="A1068" s="535" t="s">
        <v>39801</v>
      </c>
      <c r="B1068" s="535"/>
      <c r="C1068" s="535"/>
      <c r="D1068" s="333"/>
      <c r="E1068" s="333"/>
      <c r="F1068" s="333"/>
      <c r="G1068" s="333"/>
      <c r="H1068" s="333"/>
      <c r="I1068" s="331"/>
      <c r="J1068" s="331"/>
      <c r="K1068" s="339"/>
      <c r="L1068" s="332"/>
      <c r="M1068" s="339">
        <f>4</f>
        <v>4</v>
      </c>
      <c r="N1068" s="332" t="s">
        <v>39794</v>
      </c>
      <c r="O1068" s="332">
        <f>ROUND(M1068,2)</f>
        <v>4</v>
      </c>
    </row>
    <row r="1069" spans="1:15" s="328" customFormat="1" x14ac:dyDescent="0.2">
      <c r="A1069" s="540"/>
      <c r="B1069" s="540"/>
      <c r="C1069" s="540"/>
      <c r="D1069" s="540"/>
      <c r="E1069" s="540"/>
      <c r="F1069" s="540"/>
      <c r="G1069" s="540"/>
      <c r="H1069" s="540"/>
      <c r="I1069" s="540"/>
      <c r="J1069" s="540"/>
      <c r="K1069" s="540"/>
      <c r="L1069" s="334" t="s">
        <v>39796</v>
      </c>
      <c r="M1069" s="334" t="s">
        <v>39168</v>
      </c>
      <c r="N1069" s="333" t="s">
        <v>39794</v>
      </c>
      <c r="O1069" s="334">
        <f>SUM(O1067:O1068)</f>
        <v>4</v>
      </c>
    </row>
    <row r="1070" spans="1:15" s="328" customFormat="1" x14ac:dyDescent="0.2">
      <c r="A1070" s="329" t="s">
        <v>39791</v>
      </c>
      <c r="B1070" s="542" t="s">
        <v>5917</v>
      </c>
      <c r="C1070" s="542"/>
      <c r="D1070" s="542"/>
      <c r="E1070" s="542"/>
      <c r="F1070" s="542"/>
      <c r="G1070" s="542"/>
      <c r="H1070" s="542"/>
      <c r="I1070" s="542"/>
      <c r="J1070" s="542"/>
      <c r="K1070" s="542"/>
      <c r="L1070" s="542"/>
      <c r="M1070" s="542"/>
      <c r="N1070" s="329" t="s">
        <v>39197</v>
      </c>
      <c r="O1070" s="330" t="s">
        <v>39792</v>
      </c>
    </row>
    <row r="1071" spans="1:15" s="328" customFormat="1" ht="39.950000000000003" customHeight="1" x14ac:dyDescent="0.2">
      <c r="A1071" s="331" t="str">
        <f>ORCAMENTO!A167</f>
        <v>9.1.15</v>
      </c>
      <c r="B1071" s="543" t="str">
        <f>VLOOKUP(A1071,ORCAMENTO!A:I,4,0)</f>
        <v>JOELHO 90 GRAUS, PVC, SERIE NORMAL, ESGOTO PREDIAL, DN 50 MM, JUNTA ELÁSTICA, FORNECIDO E INSTALADO EM PRUMADA DE ESGOTO SANITÁRIO OU VENTILAÇÃO. AF_08/2022</v>
      </c>
      <c r="C1071" s="543"/>
      <c r="D1071" s="543"/>
      <c r="E1071" s="543"/>
      <c r="F1071" s="543"/>
      <c r="G1071" s="543"/>
      <c r="H1071" s="543"/>
      <c r="I1071" s="543"/>
      <c r="J1071" s="543"/>
      <c r="K1071" s="543"/>
      <c r="L1071" s="543"/>
      <c r="M1071" s="543"/>
      <c r="N1071" s="331" t="str">
        <f>VLOOKUP(A1071,ORCAMENTO!A:I,5,0)</f>
        <v>UN</v>
      </c>
      <c r="O1071" s="332">
        <f>O1075</f>
        <v>8</v>
      </c>
    </row>
    <row r="1072" spans="1:15" s="328" customFormat="1" x14ac:dyDescent="0.2">
      <c r="A1072" s="539" t="s">
        <v>39793</v>
      </c>
      <c r="B1072" s="539"/>
      <c r="C1072" s="539"/>
      <c r="D1072" s="539"/>
      <c r="E1072" s="539"/>
      <c r="F1072" s="539"/>
      <c r="G1072" s="539"/>
      <c r="H1072" s="539"/>
      <c r="I1072" s="539"/>
      <c r="J1072" s="539"/>
      <c r="K1072" s="539"/>
      <c r="L1072" s="539"/>
      <c r="M1072" s="539"/>
      <c r="N1072" s="539"/>
      <c r="O1072" s="539"/>
    </row>
    <row r="1073" spans="1:15" s="328" customFormat="1" x14ac:dyDescent="0.2">
      <c r="A1073" s="539" t="s">
        <v>5917</v>
      </c>
      <c r="B1073" s="539"/>
      <c r="C1073" s="539"/>
      <c r="D1073" s="333"/>
      <c r="E1073" s="333"/>
      <c r="F1073" s="333"/>
      <c r="G1073" s="333"/>
      <c r="H1073" s="333"/>
      <c r="I1073" s="331"/>
      <c r="J1073" s="331"/>
      <c r="K1073" s="333"/>
      <c r="L1073" s="333"/>
      <c r="M1073" s="334" t="s">
        <v>39792</v>
      </c>
      <c r="N1073" s="333" t="s">
        <v>39794</v>
      </c>
      <c r="O1073" s="334" t="s">
        <v>39795</v>
      </c>
    </row>
    <row r="1074" spans="1:15" s="328" customFormat="1" x14ac:dyDescent="0.2">
      <c r="A1074" s="535" t="s">
        <v>39801</v>
      </c>
      <c r="B1074" s="535"/>
      <c r="C1074" s="535"/>
      <c r="D1074" s="333"/>
      <c r="E1074" s="333"/>
      <c r="F1074" s="333"/>
      <c r="G1074" s="333"/>
      <c r="H1074" s="333"/>
      <c r="I1074" s="331"/>
      <c r="J1074" s="331"/>
      <c r="K1074" s="339"/>
      <c r="L1074" s="332"/>
      <c r="M1074" s="339">
        <f>8</f>
        <v>8</v>
      </c>
      <c r="N1074" s="332" t="s">
        <v>39794</v>
      </c>
      <c r="O1074" s="332">
        <f>ROUND(M1074,2)</f>
        <v>8</v>
      </c>
    </row>
    <row r="1075" spans="1:15" s="328" customFormat="1" x14ac:dyDescent="0.2">
      <c r="A1075" s="540"/>
      <c r="B1075" s="540"/>
      <c r="C1075" s="540"/>
      <c r="D1075" s="540"/>
      <c r="E1075" s="540"/>
      <c r="F1075" s="540"/>
      <c r="G1075" s="540"/>
      <c r="H1075" s="540"/>
      <c r="I1075" s="540"/>
      <c r="J1075" s="540"/>
      <c r="K1075" s="540"/>
      <c r="L1075" s="334" t="s">
        <v>39796</v>
      </c>
      <c r="M1075" s="334" t="s">
        <v>39168</v>
      </c>
      <c r="N1075" s="333" t="s">
        <v>39794</v>
      </c>
      <c r="O1075" s="334">
        <f>SUM(O1073:O1074)</f>
        <v>8</v>
      </c>
    </row>
    <row r="1076" spans="1:15" s="328" customFormat="1" x14ac:dyDescent="0.2">
      <c r="A1076" s="329" t="s">
        <v>39791</v>
      </c>
      <c r="B1076" s="542" t="s">
        <v>5917</v>
      </c>
      <c r="C1076" s="542"/>
      <c r="D1076" s="542"/>
      <c r="E1076" s="542"/>
      <c r="F1076" s="542"/>
      <c r="G1076" s="542"/>
      <c r="H1076" s="542"/>
      <c r="I1076" s="542"/>
      <c r="J1076" s="542"/>
      <c r="K1076" s="542"/>
      <c r="L1076" s="542"/>
      <c r="M1076" s="542"/>
      <c r="N1076" s="329" t="s">
        <v>39197</v>
      </c>
      <c r="O1076" s="330" t="s">
        <v>39792</v>
      </c>
    </row>
    <row r="1077" spans="1:15" s="328" customFormat="1" ht="39.950000000000003" customHeight="1" x14ac:dyDescent="0.2">
      <c r="A1077" s="331" t="str">
        <f>ORCAMENTO!A168</f>
        <v>9.1.16</v>
      </c>
      <c r="B1077" s="543" t="str">
        <f>VLOOKUP(A1077,ORCAMENTO!A:I,4,0)</f>
        <v>TE, PVC, SÉRIE NORMAL, ESGOTO PREDIAL, DN 100 X 50 MM, JUNTA ELÁSTICA, FORNECIDO E INSTALADO EM PRUMADA DE ESGOTO SANITÁRIO OU VENTILAÇÃO. AF_08/2022</v>
      </c>
      <c r="C1077" s="543"/>
      <c r="D1077" s="543"/>
      <c r="E1077" s="543"/>
      <c r="F1077" s="543"/>
      <c r="G1077" s="543"/>
      <c r="H1077" s="543"/>
      <c r="I1077" s="543"/>
      <c r="J1077" s="543"/>
      <c r="K1077" s="543"/>
      <c r="L1077" s="543"/>
      <c r="M1077" s="543"/>
      <c r="N1077" s="331" t="str">
        <f>VLOOKUP(A1077,ORCAMENTO!A:I,5,0)</f>
        <v>UN</v>
      </c>
      <c r="O1077" s="332">
        <f>O1081</f>
        <v>3</v>
      </c>
    </row>
    <row r="1078" spans="1:15" s="328" customFormat="1" x14ac:dyDescent="0.2">
      <c r="A1078" s="539" t="s">
        <v>39793</v>
      </c>
      <c r="B1078" s="539"/>
      <c r="C1078" s="539"/>
      <c r="D1078" s="539"/>
      <c r="E1078" s="539"/>
      <c r="F1078" s="539"/>
      <c r="G1078" s="539"/>
      <c r="H1078" s="539"/>
      <c r="I1078" s="539"/>
      <c r="J1078" s="539"/>
      <c r="K1078" s="539"/>
      <c r="L1078" s="539"/>
      <c r="M1078" s="539"/>
      <c r="N1078" s="539"/>
      <c r="O1078" s="539"/>
    </row>
    <row r="1079" spans="1:15" s="328" customFormat="1" x14ac:dyDescent="0.2">
      <c r="A1079" s="539" t="s">
        <v>5917</v>
      </c>
      <c r="B1079" s="539"/>
      <c r="C1079" s="539"/>
      <c r="D1079" s="333"/>
      <c r="E1079" s="333"/>
      <c r="F1079" s="333"/>
      <c r="G1079" s="333"/>
      <c r="H1079" s="333"/>
      <c r="I1079" s="331"/>
      <c r="J1079" s="331"/>
      <c r="K1079" s="333"/>
      <c r="L1079" s="333"/>
      <c r="M1079" s="334" t="s">
        <v>39792</v>
      </c>
      <c r="N1079" s="333" t="s">
        <v>39794</v>
      </c>
      <c r="O1079" s="334" t="s">
        <v>39795</v>
      </c>
    </row>
    <row r="1080" spans="1:15" s="328" customFormat="1" x14ac:dyDescent="0.2">
      <c r="A1080" s="535" t="s">
        <v>39801</v>
      </c>
      <c r="B1080" s="535"/>
      <c r="C1080" s="535"/>
      <c r="D1080" s="333"/>
      <c r="E1080" s="333"/>
      <c r="F1080" s="333"/>
      <c r="G1080" s="333"/>
      <c r="H1080" s="333"/>
      <c r="I1080" s="331"/>
      <c r="J1080" s="331"/>
      <c r="K1080" s="339"/>
      <c r="L1080" s="332"/>
      <c r="M1080" s="339">
        <f>3</f>
        <v>3</v>
      </c>
      <c r="N1080" s="332" t="s">
        <v>39794</v>
      </c>
      <c r="O1080" s="332">
        <f>ROUND(M1080,2)</f>
        <v>3</v>
      </c>
    </row>
    <row r="1081" spans="1:15" s="328" customFormat="1" x14ac:dyDescent="0.2">
      <c r="A1081" s="540"/>
      <c r="B1081" s="540"/>
      <c r="C1081" s="540"/>
      <c r="D1081" s="540"/>
      <c r="E1081" s="540"/>
      <c r="F1081" s="540"/>
      <c r="G1081" s="540"/>
      <c r="H1081" s="540"/>
      <c r="I1081" s="540"/>
      <c r="J1081" s="540"/>
      <c r="K1081" s="540"/>
      <c r="L1081" s="334" t="s">
        <v>39796</v>
      </c>
      <c r="M1081" s="334" t="s">
        <v>39168</v>
      </c>
      <c r="N1081" s="333" t="s">
        <v>39794</v>
      </c>
      <c r="O1081" s="334">
        <f>SUM(O1079:O1080)</f>
        <v>3</v>
      </c>
    </row>
    <row r="1082" spans="1:15" s="328" customFormat="1" x14ac:dyDescent="0.2">
      <c r="A1082" s="329" t="s">
        <v>39791</v>
      </c>
      <c r="B1082" s="542" t="s">
        <v>5917</v>
      </c>
      <c r="C1082" s="542"/>
      <c r="D1082" s="542"/>
      <c r="E1082" s="542"/>
      <c r="F1082" s="542"/>
      <c r="G1082" s="542"/>
      <c r="H1082" s="542"/>
      <c r="I1082" s="542"/>
      <c r="J1082" s="542"/>
      <c r="K1082" s="542"/>
      <c r="L1082" s="542"/>
      <c r="M1082" s="542"/>
      <c r="N1082" s="329" t="s">
        <v>39197</v>
      </c>
      <c r="O1082" s="330" t="s">
        <v>39792</v>
      </c>
    </row>
    <row r="1083" spans="1:15" s="328" customFormat="1" ht="39.950000000000003" customHeight="1" x14ac:dyDescent="0.2">
      <c r="A1083" s="331" t="str">
        <f>ORCAMENTO!A169</f>
        <v>9.1.17</v>
      </c>
      <c r="B1083" s="543" t="str">
        <f>VLOOKUP(A1083,ORCAMENTO!A:I,4,0)</f>
        <v>TE, PVC, SERIE NORMAL, ESGOTO PREDIAL, DN 50 X 50 MM, JUNTA ELÁSTICA, FORNECIDO E INSTALADO EM PRUMADA DE ESGOTO SANITÁRIO OU VENTILAÇÃO. AF_08/2022</v>
      </c>
      <c r="C1083" s="543"/>
      <c r="D1083" s="543"/>
      <c r="E1083" s="543"/>
      <c r="F1083" s="543"/>
      <c r="G1083" s="543"/>
      <c r="H1083" s="543"/>
      <c r="I1083" s="543"/>
      <c r="J1083" s="543"/>
      <c r="K1083" s="543"/>
      <c r="L1083" s="543"/>
      <c r="M1083" s="543"/>
      <c r="N1083" s="331" t="str">
        <f>VLOOKUP(A1083,ORCAMENTO!A:I,5,0)</f>
        <v>UN</v>
      </c>
      <c r="O1083" s="332">
        <f>O1087</f>
        <v>3</v>
      </c>
    </row>
    <row r="1084" spans="1:15" s="328" customFormat="1" x14ac:dyDescent="0.2">
      <c r="A1084" s="539" t="s">
        <v>39793</v>
      </c>
      <c r="B1084" s="539"/>
      <c r="C1084" s="539"/>
      <c r="D1084" s="539"/>
      <c r="E1084" s="539"/>
      <c r="F1084" s="539"/>
      <c r="G1084" s="539"/>
      <c r="H1084" s="539"/>
      <c r="I1084" s="539"/>
      <c r="J1084" s="539"/>
      <c r="K1084" s="539"/>
      <c r="L1084" s="539"/>
      <c r="M1084" s="539"/>
      <c r="N1084" s="539"/>
      <c r="O1084" s="539"/>
    </row>
    <row r="1085" spans="1:15" s="328" customFormat="1" x14ac:dyDescent="0.2">
      <c r="A1085" s="539" t="s">
        <v>5917</v>
      </c>
      <c r="B1085" s="539"/>
      <c r="C1085" s="539"/>
      <c r="D1085" s="333"/>
      <c r="E1085" s="333"/>
      <c r="F1085" s="333"/>
      <c r="G1085" s="333"/>
      <c r="H1085" s="333"/>
      <c r="I1085" s="331"/>
      <c r="J1085" s="331"/>
      <c r="K1085" s="333"/>
      <c r="L1085" s="333"/>
      <c r="M1085" s="334" t="s">
        <v>39792</v>
      </c>
      <c r="N1085" s="333" t="s">
        <v>39794</v>
      </c>
      <c r="O1085" s="334" t="s">
        <v>39795</v>
      </c>
    </row>
    <row r="1086" spans="1:15" s="328" customFormat="1" x14ac:dyDescent="0.2">
      <c r="A1086" s="535" t="s">
        <v>39801</v>
      </c>
      <c r="B1086" s="535"/>
      <c r="C1086" s="535"/>
      <c r="D1086" s="333"/>
      <c r="E1086" s="333"/>
      <c r="F1086" s="333"/>
      <c r="G1086" s="333"/>
      <c r="H1086" s="333"/>
      <c r="I1086" s="331"/>
      <c r="J1086" s="331"/>
      <c r="K1086" s="339"/>
      <c r="L1086" s="332"/>
      <c r="M1086" s="339">
        <f>3</f>
        <v>3</v>
      </c>
      <c r="N1086" s="332" t="s">
        <v>39794</v>
      </c>
      <c r="O1086" s="332">
        <f>ROUND(M1086,2)</f>
        <v>3</v>
      </c>
    </row>
    <row r="1087" spans="1:15" s="328" customFormat="1" x14ac:dyDescent="0.2">
      <c r="A1087" s="540"/>
      <c r="B1087" s="540"/>
      <c r="C1087" s="540"/>
      <c r="D1087" s="540"/>
      <c r="E1087" s="540"/>
      <c r="F1087" s="540"/>
      <c r="G1087" s="540"/>
      <c r="H1087" s="540"/>
      <c r="I1087" s="540"/>
      <c r="J1087" s="540"/>
      <c r="K1087" s="540"/>
      <c r="L1087" s="334" t="s">
        <v>39796</v>
      </c>
      <c r="M1087" s="334" t="s">
        <v>39168</v>
      </c>
      <c r="N1087" s="333" t="s">
        <v>39794</v>
      </c>
      <c r="O1087" s="334">
        <f>SUM(O1085:O1086)</f>
        <v>3</v>
      </c>
    </row>
    <row r="1088" spans="1:15" s="328" customFormat="1" x14ac:dyDescent="0.2">
      <c r="A1088" s="329" t="s">
        <v>39791</v>
      </c>
      <c r="B1088" s="542" t="s">
        <v>5917</v>
      </c>
      <c r="C1088" s="542"/>
      <c r="D1088" s="542"/>
      <c r="E1088" s="542"/>
      <c r="F1088" s="542"/>
      <c r="G1088" s="542"/>
      <c r="H1088" s="542"/>
      <c r="I1088" s="542"/>
      <c r="J1088" s="542"/>
      <c r="K1088" s="542"/>
      <c r="L1088" s="542"/>
      <c r="M1088" s="542"/>
      <c r="N1088" s="329" t="s">
        <v>39197</v>
      </c>
      <c r="O1088" s="330" t="s">
        <v>39792</v>
      </c>
    </row>
    <row r="1089" spans="1:15" s="328" customFormat="1" ht="39.950000000000003" customHeight="1" x14ac:dyDescent="0.2">
      <c r="A1089" s="331" t="str">
        <f>ORCAMENTO!A170</f>
        <v>9.1.18</v>
      </c>
      <c r="B1089" s="543" t="str">
        <f>VLOOKUP(A1089,ORCAMENTO!A:I,4,0)</f>
        <v>JOELHO 90 GRAUS, PVC, SERIE NORMAL, ESGOTO PREDIAL, DN 40 MM, JUNTA SOLDÁVEL, FORNECIDO E INSTALADO EM RAMAL DE DESCARGA OU RAMAL DE ESGOTO SANITÁRIO. AF_08/2022</v>
      </c>
      <c r="C1089" s="543"/>
      <c r="D1089" s="543"/>
      <c r="E1089" s="543"/>
      <c r="F1089" s="543"/>
      <c r="G1089" s="543"/>
      <c r="H1089" s="543"/>
      <c r="I1089" s="543"/>
      <c r="J1089" s="543"/>
      <c r="K1089" s="543"/>
      <c r="L1089" s="543"/>
      <c r="M1089" s="543"/>
      <c r="N1089" s="331" t="str">
        <f>VLOOKUP(A1089,ORCAMENTO!A:I,5,0)</f>
        <v>UN</v>
      </c>
      <c r="O1089" s="332">
        <f>O1093</f>
        <v>21</v>
      </c>
    </row>
    <row r="1090" spans="1:15" s="328" customFormat="1" x14ac:dyDescent="0.2">
      <c r="A1090" s="539" t="s">
        <v>39793</v>
      </c>
      <c r="B1090" s="539"/>
      <c r="C1090" s="539"/>
      <c r="D1090" s="539"/>
      <c r="E1090" s="539"/>
      <c r="F1090" s="539"/>
      <c r="G1090" s="539"/>
      <c r="H1090" s="539"/>
      <c r="I1090" s="539"/>
      <c r="J1090" s="539"/>
      <c r="K1090" s="539"/>
      <c r="L1090" s="539"/>
      <c r="M1090" s="539"/>
      <c r="N1090" s="539"/>
      <c r="O1090" s="539"/>
    </row>
    <row r="1091" spans="1:15" s="328" customFormat="1" x14ac:dyDescent="0.2">
      <c r="A1091" s="539" t="s">
        <v>5917</v>
      </c>
      <c r="B1091" s="539"/>
      <c r="C1091" s="539"/>
      <c r="D1091" s="333"/>
      <c r="E1091" s="333"/>
      <c r="F1091" s="333"/>
      <c r="G1091" s="333"/>
      <c r="H1091" s="333"/>
      <c r="I1091" s="331"/>
      <c r="J1091" s="331"/>
      <c r="K1091" s="333"/>
      <c r="L1091" s="333"/>
      <c r="M1091" s="334" t="s">
        <v>39792</v>
      </c>
      <c r="N1091" s="333" t="s">
        <v>39794</v>
      </c>
      <c r="O1091" s="334" t="s">
        <v>39795</v>
      </c>
    </row>
    <row r="1092" spans="1:15" s="328" customFormat="1" x14ac:dyDescent="0.2">
      <c r="A1092" s="535" t="s">
        <v>39801</v>
      </c>
      <c r="B1092" s="535"/>
      <c r="C1092" s="535"/>
      <c r="D1092" s="333"/>
      <c r="E1092" s="333"/>
      <c r="F1092" s="333"/>
      <c r="G1092" s="333"/>
      <c r="H1092" s="333"/>
      <c r="I1092" s="331"/>
      <c r="J1092" s="331"/>
      <c r="K1092" s="339"/>
      <c r="L1092" s="332"/>
      <c r="M1092" s="339">
        <f>21</f>
        <v>21</v>
      </c>
      <c r="N1092" s="332" t="s">
        <v>39794</v>
      </c>
      <c r="O1092" s="332">
        <f>ROUND(M1092,2)</f>
        <v>21</v>
      </c>
    </row>
    <row r="1093" spans="1:15" s="328" customFormat="1" x14ac:dyDescent="0.2">
      <c r="A1093" s="540"/>
      <c r="B1093" s="540"/>
      <c r="C1093" s="540"/>
      <c r="D1093" s="540"/>
      <c r="E1093" s="540"/>
      <c r="F1093" s="540"/>
      <c r="G1093" s="540"/>
      <c r="H1093" s="540"/>
      <c r="I1093" s="540"/>
      <c r="J1093" s="540"/>
      <c r="K1093" s="540"/>
      <c r="L1093" s="334" t="s">
        <v>39796</v>
      </c>
      <c r="M1093" s="334" t="s">
        <v>39168</v>
      </c>
      <c r="N1093" s="333" t="s">
        <v>39794</v>
      </c>
      <c r="O1093" s="334">
        <f>SUM(O1091:O1092)</f>
        <v>21</v>
      </c>
    </row>
    <row r="1094" spans="1:15" s="328" customFormat="1" x14ac:dyDescent="0.2">
      <c r="A1094" s="329" t="s">
        <v>39791</v>
      </c>
      <c r="B1094" s="542" t="s">
        <v>5917</v>
      </c>
      <c r="C1094" s="542"/>
      <c r="D1094" s="542"/>
      <c r="E1094" s="542"/>
      <c r="F1094" s="542"/>
      <c r="G1094" s="542"/>
      <c r="H1094" s="542"/>
      <c r="I1094" s="542"/>
      <c r="J1094" s="542"/>
      <c r="K1094" s="542"/>
      <c r="L1094" s="542"/>
      <c r="M1094" s="542"/>
      <c r="N1094" s="329" t="s">
        <v>39197</v>
      </c>
      <c r="O1094" s="330" t="s">
        <v>39792</v>
      </c>
    </row>
    <row r="1095" spans="1:15" s="328" customFormat="1" ht="39.950000000000003" customHeight="1" x14ac:dyDescent="0.2">
      <c r="A1095" s="331" t="str">
        <f>ORCAMENTO!A171</f>
        <v>9.1.19</v>
      </c>
      <c r="B1095" s="543" t="str">
        <f>VLOOKUP(A1095,ORCAMENTO!A:I,4,0)</f>
        <v>JOELHO 45 GRAUS, PVC, SERIE NORMAL, ESGOTO PREDIAL, DN 40 MM, JUNTA SOLDÁVEL, FORNECIDO E INSTALADO EM RAMAL DE DESCARGA OU RAMAL DE ESGOTO SANITÁRIO. AF_08/2022</v>
      </c>
      <c r="C1095" s="543"/>
      <c r="D1095" s="543"/>
      <c r="E1095" s="543"/>
      <c r="F1095" s="543"/>
      <c r="G1095" s="543"/>
      <c r="H1095" s="543"/>
      <c r="I1095" s="543"/>
      <c r="J1095" s="543"/>
      <c r="K1095" s="543"/>
      <c r="L1095" s="543"/>
      <c r="M1095" s="543"/>
      <c r="N1095" s="331" t="str">
        <f>VLOOKUP(A1095,ORCAMENTO!A:I,5,0)</f>
        <v>UN</v>
      </c>
      <c r="O1095" s="332">
        <f>O1099</f>
        <v>25</v>
      </c>
    </row>
    <row r="1096" spans="1:15" s="328" customFormat="1" x14ac:dyDescent="0.2">
      <c r="A1096" s="539" t="s">
        <v>39793</v>
      </c>
      <c r="B1096" s="539"/>
      <c r="C1096" s="539"/>
      <c r="D1096" s="539"/>
      <c r="E1096" s="539"/>
      <c r="F1096" s="539"/>
      <c r="G1096" s="539"/>
      <c r="H1096" s="539"/>
      <c r="I1096" s="539"/>
      <c r="J1096" s="539"/>
      <c r="K1096" s="539"/>
      <c r="L1096" s="539"/>
      <c r="M1096" s="539"/>
      <c r="N1096" s="539"/>
      <c r="O1096" s="539"/>
    </row>
    <row r="1097" spans="1:15" s="328" customFormat="1" x14ac:dyDescent="0.2">
      <c r="A1097" s="539" t="s">
        <v>5917</v>
      </c>
      <c r="B1097" s="539"/>
      <c r="C1097" s="539"/>
      <c r="D1097" s="333"/>
      <c r="E1097" s="333"/>
      <c r="F1097" s="333"/>
      <c r="G1097" s="333"/>
      <c r="H1097" s="333"/>
      <c r="I1097" s="331"/>
      <c r="J1097" s="331"/>
      <c r="K1097" s="333"/>
      <c r="L1097" s="333"/>
      <c r="M1097" s="334" t="s">
        <v>39792</v>
      </c>
      <c r="N1097" s="333" t="s">
        <v>39794</v>
      </c>
      <c r="O1097" s="334" t="s">
        <v>39795</v>
      </c>
    </row>
    <row r="1098" spans="1:15" s="328" customFormat="1" x14ac:dyDescent="0.2">
      <c r="A1098" s="535" t="s">
        <v>39801</v>
      </c>
      <c r="B1098" s="535"/>
      <c r="C1098" s="535"/>
      <c r="D1098" s="333"/>
      <c r="E1098" s="333"/>
      <c r="F1098" s="333"/>
      <c r="G1098" s="333"/>
      <c r="H1098" s="333"/>
      <c r="I1098" s="331"/>
      <c r="J1098" s="331"/>
      <c r="K1098" s="339"/>
      <c r="L1098" s="332"/>
      <c r="M1098" s="339">
        <f>25</f>
        <v>25</v>
      </c>
      <c r="N1098" s="332" t="s">
        <v>39794</v>
      </c>
      <c r="O1098" s="332">
        <f>ROUND(M1098,2)</f>
        <v>25</v>
      </c>
    </row>
    <row r="1099" spans="1:15" s="328" customFormat="1" x14ac:dyDescent="0.2">
      <c r="A1099" s="540"/>
      <c r="B1099" s="540"/>
      <c r="C1099" s="540"/>
      <c r="D1099" s="540"/>
      <c r="E1099" s="540"/>
      <c r="F1099" s="540"/>
      <c r="G1099" s="540"/>
      <c r="H1099" s="540"/>
      <c r="I1099" s="540"/>
      <c r="J1099" s="540"/>
      <c r="K1099" s="540"/>
      <c r="L1099" s="334" t="s">
        <v>39796</v>
      </c>
      <c r="M1099" s="334" t="s">
        <v>39168</v>
      </c>
      <c r="N1099" s="333" t="s">
        <v>39794</v>
      </c>
      <c r="O1099" s="334">
        <f>SUM(O1097:O1098)</f>
        <v>25</v>
      </c>
    </row>
    <row r="1100" spans="1:15" s="328" customFormat="1" x14ac:dyDescent="0.2">
      <c r="A1100" s="347" t="str">
        <f>ORCAMENTO!A173</f>
        <v>9.2</v>
      </c>
      <c r="B1100" s="544" t="str">
        <f>VLOOKUP(A1100,ORCAMENTO!A:I,4,0)</f>
        <v>ESCAVAÇÕES E RASGOS</v>
      </c>
      <c r="C1100" s="544"/>
      <c r="D1100" s="544"/>
      <c r="E1100" s="544"/>
      <c r="F1100" s="544"/>
      <c r="G1100" s="544"/>
      <c r="H1100" s="544"/>
      <c r="I1100" s="544"/>
      <c r="J1100" s="544"/>
      <c r="K1100" s="544"/>
      <c r="L1100" s="544"/>
      <c r="M1100" s="544"/>
      <c r="N1100" s="544"/>
      <c r="O1100" s="544"/>
    </row>
    <row r="1101" spans="1:15" s="328" customFormat="1" x14ac:dyDescent="0.2">
      <c r="A1101" s="329" t="s">
        <v>39791</v>
      </c>
      <c r="B1101" s="542" t="s">
        <v>5917</v>
      </c>
      <c r="C1101" s="542"/>
      <c r="D1101" s="542"/>
      <c r="E1101" s="542"/>
      <c r="F1101" s="542"/>
      <c r="G1101" s="542"/>
      <c r="H1101" s="542"/>
      <c r="I1101" s="542"/>
      <c r="J1101" s="542"/>
      <c r="K1101" s="542"/>
      <c r="L1101" s="542"/>
      <c r="M1101" s="542"/>
      <c r="N1101" s="329" t="s">
        <v>39197</v>
      </c>
      <c r="O1101" s="330" t="s">
        <v>39792</v>
      </c>
    </row>
    <row r="1102" spans="1:15" s="328" customFormat="1" ht="39.950000000000003" customHeight="1" x14ac:dyDescent="0.2">
      <c r="A1102" s="331" t="str">
        <f>ORCAMENTO!A174</f>
        <v>9.2.1</v>
      </c>
      <c r="B1102" s="543" t="str">
        <f>VLOOKUP(A1102,ORCAMENTO!A:I,4,0)</f>
        <v>RASGO LINEAR MECANIZADO EM CONTRAPISO, PARA RAMAIS/ DISTRIBUIÇÃO DE INSTALAÇÕES HIDRÁULICAS, DIÂMETROS MAIORES QUE 75 MM E MENORES OU IGUAIS A 100 MM. AF_09/2023_PS</v>
      </c>
      <c r="C1102" s="543"/>
      <c r="D1102" s="543"/>
      <c r="E1102" s="543"/>
      <c r="F1102" s="543"/>
      <c r="G1102" s="543"/>
      <c r="H1102" s="543"/>
      <c r="I1102" s="543"/>
      <c r="J1102" s="543"/>
      <c r="K1102" s="543"/>
      <c r="L1102" s="543"/>
      <c r="M1102" s="543"/>
      <c r="N1102" s="331" t="str">
        <f>VLOOKUP(A1102,ORCAMENTO!A:I,5,0)</f>
        <v>M</v>
      </c>
      <c r="O1102" s="332">
        <f>O1106</f>
        <v>70.489999999999995</v>
      </c>
    </row>
    <row r="1103" spans="1:15" s="328" customFormat="1" x14ac:dyDescent="0.2">
      <c r="A1103" s="539" t="s">
        <v>39793</v>
      </c>
      <c r="B1103" s="539"/>
      <c r="C1103" s="539"/>
      <c r="D1103" s="539"/>
      <c r="E1103" s="539"/>
      <c r="F1103" s="539"/>
      <c r="G1103" s="539"/>
      <c r="H1103" s="539"/>
      <c r="I1103" s="539"/>
      <c r="J1103" s="539"/>
      <c r="K1103" s="539"/>
      <c r="L1103" s="539"/>
      <c r="M1103" s="539"/>
      <c r="N1103" s="539"/>
      <c r="O1103" s="539"/>
    </row>
    <row r="1104" spans="1:15" s="328" customFormat="1" x14ac:dyDescent="0.2">
      <c r="A1104" s="539" t="s">
        <v>5917</v>
      </c>
      <c r="B1104" s="539"/>
      <c r="C1104" s="539"/>
      <c r="D1104" s="333"/>
      <c r="E1104" s="333"/>
      <c r="F1104" s="333"/>
      <c r="G1104" s="333"/>
      <c r="H1104" s="333"/>
      <c r="I1104" s="331"/>
      <c r="J1104" s="331"/>
      <c r="K1104" s="333"/>
      <c r="L1104" s="333"/>
      <c r="M1104" s="334" t="s">
        <v>39802</v>
      </c>
      <c r="N1104" s="333" t="s">
        <v>39794</v>
      </c>
      <c r="O1104" s="334" t="s">
        <v>39795</v>
      </c>
    </row>
    <row r="1105" spans="1:15" s="328" customFormat="1" x14ac:dyDescent="0.2">
      <c r="A1105" s="535" t="s">
        <v>39801</v>
      </c>
      <c r="B1105" s="535"/>
      <c r="C1105" s="535"/>
      <c r="D1105" s="333"/>
      <c r="E1105" s="333"/>
      <c r="F1105" s="333"/>
      <c r="G1105" s="333"/>
      <c r="H1105" s="333"/>
      <c r="I1105" s="331"/>
      <c r="J1105" s="331"/>
      <c r="K1105" s="339"/>
      <c r="L1105" s="332"/>
      <c r="M1105" s="339">
        <f>70.49</f>
        <v>70.489999999999995</v>
      </c>
      <c r="N1105" s="332" t="s">
        <v>39794</v>
      </c>
      <c r="O1105" s="332">
        <f>ROUND(M1105,2)</f>
        <v>70.489999999999995</v>
      </c>
    </row>
    <row r="1106" spans="1:15" s="328" customFormat="1" x14ac:dyDescent="0.2">
      <c r="A1106" s="540"/>
      <c r="B1106" s="540"/>
      <c r="C1106" s="540"/>
      <c r="D1106" s="540"/>
      <c r="E1106" s="540"/>
      <c r="F1106" s="540"/>
      <c r="G1106" s="540"/>
      <c r="H1106" s="540"/>
      <c r="I1106" s="540"/>
      <c r="J1106" s="540"/>
      <c r="K1106" s="540"/>
      <c r="L1106" s="334" t="s">
        <v>39796</v>
      </c>
      <c r="M1106" s="334" t="s">
        <v>39168</v>
      </c>
      <c r="N1106" s="333" t="s">
        <v>39794</v>
      </c>
      <c r="O1106" s="334">
        <f>SUM(O1104:O1105)</f>
        <v>70.489999999999995</v>
      </c>
    </row>
    <row r="1107" spans="1:15" s="328" customFormat="1" x14ac:dyDescent="0.2">
      <c r="A1107" s="329" t="s">
        <v>39791</v>
      </c>
      <c r="B1107" s="542" t="s">
        <v>5917</v>
      </c>
      <c r="C1107" s="542"/>
      <c r="D1107" s="542"/>
      <c r="E1107" s="542"/>
      <c r="F1107" s="542"/>
      <c r="G1107" s="542"/>
      <c r="H1107" s="542"/>
      <c r="I1107" s="542"/>
      <c r="J1107" s="542"/>
      <c r="K1107" s="542"/>
      <c r="L1107" s="542"/>
      <c r="M1107" s="542"/>
      <c r="N1107" s="329" t="s">
        <v>39197</v>
      </c>
      <c r="O1107" s="330" t="s">
        <v>39792</v>
      </c>
    </row>
    <row r="1108" spans="1:15" s="328" customFormat="1" ht="39.950000000000003" customHeight="1" x14ac:dyDescent="0.2">
      <c r="A1108" s="331" t="str">
        <f>ORCAMENTO!A175</f>
        <v>9.2.2</v>
      </c>
      <c r="B1108" s="543" t="str">
        <f>VLOOKUP(A1108,ORCAMENTO!A:I,4,0)</f>
        <v>RASGO LINEAR MECANIZADO EM CONTRAPISO, PARA RAMAIS/ DISTRIBUIÇÃO DE INSTALAÇÕES HIDRÁULICAS, DIÂMETROS MAIORES QUE 40 MM E MENORES OU IGUAIS A 75 MM. AF_09/2023_PS</v>
      </c>
      <c r="C1108" s="543"/>
      <c r="D1108" s="543"/>
      <c r="E1108" s="543"/>
      <c r="F1108" s="543"/>
      <c r="G1108" s="543"/>
      <c r="H1108" s="543"/>
      <c r="I1108" s="543"/>
      <c r="J1108" s="543"/>
      <c r="K1108" s="543"/>
      <c r="L1108" s="543"/>
      <c r="M1108" s="543"/>
      <c r="N1108" s="331" t="str">
        <f>VLOOKUP(A1108,ORCAMENTO!A:I,5,0)</f>
        <v>M</v>
      </c>
      <c r="O1108" s="332">
        <f>O1112</f>
        <v>30.09</v>
      </c>
    </row>
    <row r="1109" spans="1:15" s="328" customFormat="1" x14ac:dyDescent="0.2">
      <c r="A1109" s="539" t="s">
        <v>39793</v>
      </c>
      <c r="B1109" s="539"/>
      <c r="C1109" s="539"/>
      <c r="D1109" s="539"/>
      <c r="E1109" s="539"/>
      <c r="F1109" s="539"/>
      <c r="G1109" s="539"/>
      <c r="H1109" s="539"/>
      <c r="I1109" s="539"/>
      <c r="J1109" s="539"/>
      <c r="K1109" s="539"/>
      <c r="L1109" s="539"/>
      <c r="M1109" s="539"/>
      <c r="N1109" s="539"/>
      <c r="O1109" s="539"/>
    </row>
    <row r="1110" spans="1:15" s="328" customFormat="1" x14ac:dyDescent="0.2">
      <c r="A1110" s="539" t="s">
        <v>5917</v>
      </c>
      <c r="B1110" s="539"/>
      <c r="C1110" s="539"/>
      <c r="D1110" s="333"/>
      <c r="E1110" s="333"/>
      <c r="F1110" s="333"/>
      <c r="G1110" s="333"/>
      <c r="H1110" s="333"/>
      <c r="I1110" s="331"/>
      <c r="J1110" s="331"/>
      <c r="K1110" s="333"/>
      <c r="L1110" s="333"/>
      <c r="M1110" s="334" t="s">
        <v>39802</v>
      </c>
      <c r="N1110" s="333" t="s">
        <v>39794</v>
      </c>
      <c r="O1110" s="334" t="s">
        <v>39795</v>
      </c>
    </row>
    <row r="1111" spans="1:15" s="328" customFormat="1" x14ac:dyDescent="0.2">
      <c r="A1111" s="535" t="s">
        <v>39801</v>
      </c>
      <c r="B1111" s="535"/>
      <c r="C1111" s="535"/>
      <c r="D1111" s="333"/>
      <c r="E1111" s="333"/>
      <c r="F1111" s="333"/>
      <c r="G1111" s="333"/>
      <c r="H1111" s="333"/>
      <c r="I1111" s="331"/>
      <c r="J1111" s="331"/>
      <c r="K1111" s="339"/>
      <c r="L1111" s="332"/>
      <c r="M1111" s="339">
        <f>30.09</f>
        <v>30.09</v>
      </c>
      <c r="N1111" s="332" t="s">
        <v>39794</v>
      </c>
      <c r="O1111" s="332">
        <f>ROUND(M1111,2)</f>
        <v>30.09</v>
      </c>
    </row>
    <row r="1112" spans="1:15" s="328" customFormat="1" x14ac:dyDescent="0.2">
      <c r="A1112" s="540"/>
      <c r="B1112" s="540"/>
      <c r="C1112" s="540"/>
      <c r="D1112" s="540"/>
      <c r="E1112" s="540"/>
      <c r="F1112" s="540"/>
      <c r="G1112" s="540"/>
      <c r="H1112" s="540"/>
      <c r="I1112" s="540"/>
      <c r="J1112" s="540"/>
      <c r="K1112" s="540"/>
      <c r="L1112" s="334" t="s">
        <v>39796</v>
      </c>
      <c r="M1112" s="334" t="s">
        <v>39168</v>
      </c>
      <c r="N1112" s="333" t="s">
        <v>39794</v>
      </c>
      <c r="O1112" s="334">
        <f>SUM(O1110:O1111)</f>
        <v>30.09</v>
      </c>
    </row>
    <row r="1113" spans="1:15" s="328" customFormat="1" x14ac:dyDescent="0.2">
      <c r="A1113" s="329" t="s">
        <v>39791</v>
      </c>
      <c r="B1113" s="542" t="s">
        <v>5917</v>
      </c>
      <c r="C1113" s="542"/>
      <c r="D1113" s="542"/>
      <c r="E1113" s="542"/>
      <c r="F1113" s="542"/>
      <c r="G1113" s="542"/>
      <c r="H1113" s="542"/>
      <c r="I1113" s="542"/>
      <c r="J1113" s="542"/>
      <c r="K1113" s="542"/>
      <c r="L1113" s="542"/>
      <c r="M1113" s="542"/>
      <c r="N1113" s="329" t="s">
        <v>39197</v>
      </c>
      <c r="O1113" s="330" t="s">
        <v>39792</v>
      </c>
    </row>
    <row r="1114" spans="1:15" s="328" customFormat="1" ht="39.950000000000003" customHeight="1" x14ac:dyDescent="0.2">
      <c r="A1114" s="331" t="str">
        <f>ORCAMENTO!A176</f>
        <v>9.2.3</v>
      </c>
      <c r="B1114" s="543" t="str">
        <f>VLOOKUP(A1114,ORCAMENTO!A:I,4,0)</f>
        <v>RASGO LINEAR MECANIZADO EM CONTRAPISO, PARA RAMAIS/ DISTRIBUIÇÃO DE INSTALAÇÕES HIDRÁULICAS, DIÂMETROS MENORES OU IGUAIS A 40 MM. AF_09/2023_PS</v>
      </c>
      <c r="C1114" s="543"/>
      <c r="D1114" s="543"/>
      <c r="E1114" s="543"/>
      <c r="F1114" s="543"/>
      <c r="G1114" s="543"/>
      <c r="H1114" s="543"/>
      <c r="I1114" s="543"/>
      <c r="J1114" s="543"/>
      <c r="K1114" s="543"/>
      <c r="L1114" s="543"/>
      <c r="M1114" s="543"/>
      <c r="N1114" s="331" t="str">
        <f>VLOOKUP(A1114,ORCAMENTO!A:I,5,0)</f>
        <v>M</v>
      </c>
      <c r="O1114" s="332">
        <f>O1118</f>
        <v>24.12</v>
      </c>
    </row>
    <row r="1115" spans="1:15" s="328" customFormat="1" x14ac:dyDescent="0.2">
      <c r="A1115" s="539" t="s">
        <v>39793</v>
      </c>
      <c r="B1115" s="539"/>
      <c r="C1115" s="539"/>
      <c r="D1115" s="539"/>
      <c r="E1115" s="539"/>
      <c r="F1115" s="539"/>
      <c r="G1115" s="539"/>
      <c r="H1115" s="539"/>
      <c r="I1115" s="539"/>
      <c r="J1115" s="539"/>
      <c r="K1115" s="539"/>
      <c r="L1115" s="539"/>
      <c r="M1115" s="539"/>
      <c r="N1115" s="539"/>
      <c r="O1115" s="539"/>
    </row>
    <row r="1116" spans="1:15" s="328" customFormat="1" x14ac:dyDescent="0.2">
      <c r="A1116" s="539" t="s">
        <v>5917</v>
      </c>
      <c r="B1116" s="539"/>
      <c r="C1116" s="539"/>
      <c r="D1116" s="333"/>
      <c r="E1116" s="333"/>
      <c r="F1116" s="333"/>
      <c r="G1116" s="333"/>
      <c r="H1116" s="333"/>
      <c r="I1116" s="331"/>
      <c r="J1116" s="331"/>
      <c r="K1116" s="333"/>
      <c r="L1116" s="333"/>
      <c r="M1116" s="334" t="s">
        <v>39802</v>
      </c>
      <c r="N1116" s="333" t="s">
        <v>39794</v>
      </c>
      <c r="O1116" s="334" t="s">
        <v>39795</v>
      </c>
    </row>
    <row r="1117" spans="1:15" s="328" customFormat="1" x14ac:dyDescent="0.2">
      <c r="A1117" s="535" t="s">
        <v>39801</v>
      </c>
      <c r="B1117" s="535"/>
      <c r="C1117" s="535"/>
      <c r="D1117" s="333"/>
      <c r="E1117" s="333"/>
      <c r="F1117" s="333"/>
      <c r="G1117" s="333"/>
      <c r="H1117" s="333"/>
      <c r="I1117" s="331"/>
      <c r="J1117" s="331"/>
      <c r="K1117" s="339"/>
      <c r="L1117" s="332"/>
      <c r="M1117" s="339">
        <f>24.12</f>
        <v>24.12</v>
      </c>
      <c r="N1117" s="332" t="s">
        <v>39794</v>
      </c>
      <c r="O1117" s="332">
        <f>ROUND(M1117,2)</f>
        <v>24.12</v>
      </c>
    </row>
    <row r="1118" spans="1:15" s="328" customFormat="1" x14ac:dyDescent="0.2">
      <c r="A1118" s="540"/>
      <c r="B1118" s="540"/>
      <c r="C1118" s="540"/>
      <c r="D1118" s="540"/>
      <c r="E1118" s="540"/>
      <c r="F1118" s="540"/>
      <c r="G1118" s="540"/>
      <c r="H1118" s="540"/>
      <c r="I1118" s="540"/>
      <c r="J1118" s="540"/>
      <c r="K1118" s="540"/>
      <c r="L1118" s="334" t="s">
        <v>39796</v>
      </c>
      <c r="M1118" s="334" t="s">
        <v>39168</v>
      </c>
      <c r="N1118" s="333" t="s">
        <v>39794</v>
      </c>
      <c r="O1118" s="334">
        <f>SUM(O1116:O1117)</f>
        <v>24.12</v>
      </c>
    </row>
    <row r="1119" spans="1:15" s="328" customFormat="1" x14ac:dyDescent="0.2">
      <c r="A1119" s="329" t="s">
        <v>39791</v>
      </c>
      <c r="B1119" s="542" t="s">
        <v>5917</v>
      </c>
      <c r="C1119" s="542"/>
      <c r="D1119" s="542"/>
      <c r="E1119" s="542"/>
      <c r="F1119" s="542"/>
      <c r="G1119" s="542"/>
      <c r="H1119" s="542"/>
      <c r="I1119" s="542"/>
      <c r="J1119" s="542"/>
      <c r="K1119" s="542"/>
      <c r="L1119" s="542"/>
      <c r="M1119" s="542"/>
      <c r="N1119" s="329" t="s">
        <v>39197</v>
      </c>
      <c r="O1119" s="330" t="s">
        <v>39792</v>
      </c>
    </row>
    <row r="1120" spans="1:15" s="328" customFormat="1" ht="39.950000000000003" customHeight="1" x14ac:dyDescent="0.2">
      <c r="A1120" s="331" t="str">
        <f>ORCAMENTO!A177</f>
        <v>9.2.4</v>
      </c>
      <c r="B1120" s="543" t="str">
        <f>VLOOKUP(A1120,ORCAMENTO!A:I,4,0)</f>
        <v>RASGO LINEAR MANUAL EM ALVENARIA, PARA RAMAIS/ DISTRIBUIÇÃO DE INSTALAÇÕES HIDRÁULICAS, DIÂMETROS MAIORES QUE 40 MM E MENORES OU IGUAIS A 75 MM. AF_09/2023</v>
      </c>
      <c r="C1120" s="543"/>
      <c r="D1120" s="543"/>
      <c r="E1120" s="543"/>
      <c r="F1120" s="543"/>
      <c r="G1120" s="543"/>
      <c r="H1120" s="543"/>
      <c r="I1120" s="543"/>
      <c r="J1120" s="543"/>
      <c r="K1120" s="543"/>
      <c r="L1120" s="543"/>
      <c r="M1120" s="543"/>
      <c r="N1120" s="331" t="str">
        <f>VLOOKUP(A1120,ORCAMENTO!A:I,5,0)</f>
        <v>M</v>
      </c>
      <c r="O1120" s="332">
        <f>O1124</f>
        <v>13.4</v>
      </c>
    </row>
    <row r="1121" spans="1:15" s="328" customFormat="1" x14ac:dyDescent="0.2">
      <c r="A1121" s="539" t="s">
        <v>39793</v>
      </c>
      <c r="B1121" s="539"/>
      <c r="C1121" s="539"/>
      <c r="D1121" s="539"/>
      <c r="E1121" s="539"/>
      <c r="F1121" s="539"/>
      <c r="G1121" s="539"/>
      <c r="H1121" s="539"/>
      <c r="I1121" s="539"/>
      <c r="J1121" s="539"/>
      <c r="K1121" s="539"/>
      <c r="L1121" s="539"/>
      <c r="M1121" s="539"/>
      <c r="N1121" s="539"/>
      <c r="O1121" s="539"/>
    </row>
    <row r="1122" spans="1:15" s="328" customFormat="1" x14ac:dyDescent="0.2">
      <c r="A1122" s="539" t="s">
        <v>5917</v>
      </c>
      <c r="B1122" s="539"/>
      <c r="C1122" s="539"/>
      <c r="D1122" s="333"/>
      <c r="E1122" s="333"/>
      <c r="F1122" s="333"/>
      <c r="G1122" s="333"/>
      <c r="H1122" s="333"/>
      <c r="I1122" s="331"/>
      <c r="J1122" s="331"/>
      <c r="K1122" s="333"/>
      <c r="L1122" s="333"/>
      <c r="M1122" s="334" t="s">
        <v>39802</v>
      </c>
      <c r="N1122" s="333" t="s">
        <v>39794</v>
      </c>
      <c r="O1122" s="334" t="s">
        <v>39795</v>
      </c>
    </row>
    <row r="1123" spans="1:15" s="328" customFormat="1" x14ac:dyDescent="0.2">
      <c r="A1123" s="535" t="s">
        <v>39801</v>
      </c>
      <c r="B1123" s="535"/>
      <c r="C1123" s="535"/>
      <c r="D1123" s="333"/>
      <c r="E1123" s="333"/>
      <c r="F1123" s="333"/>
      <c r="G1123" s="333"/>
      <c r="H1123" s="333"/>
      <c r="I1123" s="331"/>
      <c r="J1123" s="331"/>
      <c r="K1123" s="339"/>
      <c r="L1123" s="332"/>
      <c r="M1123" s="339">
        <f>13.4</f>
        <v>13.4</v>
      </c>
      <c r="N1123" s="332" t="s">
        <v>39794</v>
      </c>
      <c r="O1123" s="332">
        <f>ROUND(M1123,2)</f>
        <v>13.4</v>
      </c>
    </row>
    <row r="1124" spans="1:15" s="328" customFormat="1" x14ac:dyDescent="0.2">
      <c r="A1124" s="540"/>
      <c r="B1124" s="540"/>
      <c r="C1124" s="540"/>
      <c r="D1124" s="540"/>
      <c r="E1124" s="540"/>
      <c r="F1124" s="540"/>
      <c r="G1124" s="540"/>
      <c r="H1124" s="540"/>
      <c r="I1124" s="540"/>
      <c r="J1124" s="540"/>
      <c r="K1124" s="540"/>
      <c r="L1124" s="334" t="s">
        <v>39796</v>
      </c>
      <c r="M1124" s="334" t="s">
        <v>39168</v>
      </c>
      <c r="N1124" s="333" t="s">
        <v>39794</v>
      </c>
      <c r="O1124" s="334">
        <f>SUM(O1122:O1123)</f>
        <v>13.4</v>
      </c>
    </row>
    <row r="1125" spans="1:15" s="328" customFormat="1" x14ac:dyDescent="0.2">
      <c r="A1125" s="329" t="s">
        <v>39791</v>
      </c>
      <c r="B1125" s="542" t="s">
        <v>5917</v>
      </c>
      <c r="C1125" s="542"/>
      <c r="D1125" s="542"/>
      <c r="E1125" s="542"/>
      <c r="F1125" s="542"/>
      <c r="G1125" s="542"/>
      <c r="H1125" s="542"/>
      <c r="I1125" s="542"/>
      <c r="J1125" s="542"/>
      <c r="K1125" s="542"/>
      <c r="L1125" s="542"/>
      <c r="M1125" s="542"/>
      <c r="N1125" s="329" t="s">
        <v>39197</v>
      </c>
      <c r="O1125" s="330" t="s">
        <v>39792</v>
      </c>
    </row>
    <row r="1126" spans="1:15" s="328" customFormat="1" ht="39.950000000000003" customHeight="1" x14ac:dyDescent="0.2">
      <c r="A1126" s="331" t="str">
        <f>ORCAMENTO!A178</f>
        <v>9.2.5</v>
      </c>
      <c r="B1126" s="543" t="str">
        <f>VLOOKUP(A1126,ORCAMENTO!A:I,4,0)</f>
        <v>RASGO LINEAR MANUAL EM ALVENARIA, PARA RAMAIS/ DISTRIBUIÇÃO DE INSTALAÇÕES HIDRÁULICAS, DIÂMETROS MENORES OU IGUAIS A 40 MM. AF_09/2023</v>
      </c>
      <c r="C1126" s="543"/>
      <c r="D1126" s="543"/>
      <c r="E1126" s="543"/>
      <c r="F1126" s="543"/>
      <c r="G1126" s="543"/>
      <c r="H1126" s="543"/>
      <c r="I1126" s="543"/>
      <c r="J1126" s="543"/>
      <c r="K1126" s="543"/>
      <c r="L1126" s="543"/>
      <c r="M1126" s="543"/>
      <c r="N1126" s="331" t="str">
        <f>VLOOKUP(A1126,ORCAMENTO!A:I,5,0)</f>
        <v>M</v>
      </c>
      <c r="O1126" s="332">
        <f>O1130</f>
        <v>6.3</v>
      </c>
    </row>
    <row r="1127" spans="1:15" s="328" customFormat="1" x14ac:dyDescent="0.2">
      <c r="A1127" s="539" t="s">
        <v>39793</v>
      </c>
      <c r="B1127" s="539"/>
      <c r="C1127" s="539"/>
      <c r="D1127" s="539"/>
      <c r="E1127" s="539"/>
      <c r="F1127" s="539"/>
      <c r="G1127" s="539"/>
      <c r="H1127" s="539"/>
      <c r="I1127" s="539"/>
      <c r="J1127" s="539"/>
      <c r="K1127" s="539"/>
      <c r="L1127" s="539"/>
      <c r="M1127" s="539"/>
      <c r="N1127" s="539"/>
      <c r="O1127" s="539"/>
    </row>
    <row r="1128" spans="1:15" s="328" customFormat="1" x14ac:dyDescent="0.2">
      <c r="A1128" s="539" t="s">
        <v>5917</v>
      </c>
      <c r="B1128" s="539"/>
      <c r="C1128" s="539"/>
      <c r="D1128" s="333"/>
      <c r="E1128" s="333"/>
      <c r="F1128" s="333"/>
      <c r="G1128" s="333"/>
      <c r="H1128" s="333"/>
      <c r="I1128" s="331"/>
      <c r="J1128" s="331"/>
      <c r="K1128" s="333"/>
      <c r="L1128" s="333"/>
      <c r="M1128" s="334" t="s">
        <v>39802</v>
      </c>
      <c r="N1128" s="333" t="s">
        <v>39794</v>
      </c>
      <c r="O1128" s="334" t="s">
        <v>39795</v>
      </c>
    </row>
    <row r="1129" spans="1:15" s="328" customFormat="1" x14ac:dyDescent="0.2">
      <c r="A1129" s="535" t="s">
        <v>39801</v>
      </c>
      <c r="B1129" s="535"/>
      <c r="C1129" s="535"/>
      <c r="D1129" s="333"/>
      <c r="E1129" s="333"/>
      <c r="F1129" s="333"/>
      <c r="G1129" s="333"/>
      <c r="H1129" s="333"/>
      <c r="I1129" s="331"/>
      <c r="J1129" s="331"/>
      <c r="K1129" s="339"/>
      <c r="L1129" s="332"/>
      <c r="M1129" s="339">
        <f>6.3</f>
        <v>6.3</v>
      </c>
      <c r="N1129" s="332" t="s">
        <v>39794</v>
      </c>
      <c r="O1129" s="332">
        <f>ROUND(M1129,2)</f>
        <v>6.3</v>
      </c>
    </row>
    <row r="1130" spans="1:15" s="328" customFormat="1" x14ac:dyDescent="0.2">
      <c r="A1130" s="540"/>
      <c r="B1130" s="540"/>
      <c r="C1130" s="540"/>
      <c r="D1130" s="540"/>
      <c r="E1130" s="540"/>
      <c r="F1130" s="540"/>
      <c r="G1130" s="540"/>
      <c r="H1130" s="540"/>
      <c r="I1130" s="540"/>
      <c r="J1130" s="540"/>
      <c r="K1130" s="540"/>
      <c r="L1130" s="334" t="s">
        <v>39796</v>
      </c>
      <c r="M1130" s="334" t="s">
        <v>39168</v>
      </c>
      <c r="N1130" s="333" t="s">
        <v>39794</v>
      </c>
      <c r="O1130" s="334">
        <f>SUM(O1128:O1129)</f>
        <v>6.3</v>
      </c>
    </row>
    <row r="1131" spans="1:15" s="328" customFormat="1" x14ac:dyDescent="0.2">
      <c r="A1131" s="329" t="s">
        <v>39791</v>
      </c>
      <c r="B1131" s="542" t="s">
        <v>5917</v>
      </c>
      <c r="C1131" s="542"/>
      <c r="D1131" s="542"/>
      <c r="E1131" s="542"/>
      <c r="F1131" s="542"/>
      <c r="G1131" s="542"/>
      <c r="H1131" s="542"/>
      <c r="I1131" s="542"/>
      <c r="J1131" s="542"/>
      <c r="K1131" s="542"/>
      <c r="L1131" s="542"/>
      <c r="M1131" s="542"/>
      <c r="N1131" s="329" t="s">
        <v>39197</v>
      </c>
      <c r="O1131" s="330" t="s">
        <v>39792</v>
      </c>
    </row>
    <row r="1132" spans="1:15" s="328" customFormat="1" ht="39.950000000000003" customHeight="1" x14ac:dyDescent="0.2">
      <c r="A1132" s="331" t="str">
        <f>ORCAMENTO!A179</f>
        <v>9.2.6</v>
      </c>
      <c r="B1132" s="543" t="str">
        <f>VLOOKUP(A1132,ORCAMENTO!A:I,4,0)</f>
        <v>CHUMBAMENTO LINEAR EM CONTRAPISO PARA RAMAIS/DISTRIBUIÇÃO DE INSTALAÇÕES HIDRÁULICAS COM DIÂMETROS MAIORES QUE 75 MM E MENORES OU IGUAIS A 100 MM. AF_09/2023</v>
      </c>
      <c r="C1132" s="543"/>
      <c r="D1132" s="543"/>
      <c r="E1132" s="543"/>
      <c r="F1132" s="543"/>
      <c r="G1132" s="543"/>
      <c r="H1132" s="543"/>
      <c r="I1132" s="543"/>
      <c r="J1132" s="543"/>
      <c r="K1132" s="543"/>
      <c r="L1132" s="543"/>
      <c r="M1132" s="543"/>
      <c r="N1132" s="331" t="str">
        <f>VLOOKUP(A1132,ORCAMENTO!A:I,5,0)</f>
        <v>M</v>
      </c>
      <c r="O1132" s="332">
        <f>O1136</f>
        <v>70.489999999999995</v>
      </c>
    </row>
    <row r="1133" spans="1:15" s="328" customFormat="1" x14ac:dyDescent="0.2">
      <c r="A1133" s="539" t="s">
        <v>39793</v>
      </c>
      <c r="B1133" s="539"/>
      <c r="C1133" s="539"/>
      <c r="D1133" s="539"/>
      <c r="E1133" s="539"/>
      <c r="F1133" s="539"/>
      <c r="G1133" s="539"/>
      <c r="H1133" s="539"/>
      <c r="I1133" s="539"/>
      <c r="J1133" s="539"/>
      <c r="K1133" s="539"/>
      <c r="L1133" s="539"/>
      <c r="M1133" s="539"/>
      <c r="N1133" s="539"/>
      <c r="O1133" s="539"/>
    </row>
    <row r="1134" spans="1:15" s="328" customFormat="1" x14ac:dyDescent="0.2">
      <c r="A1134" s="539" t="s">
        <v>5917</v>
      </c>
      <c r="B1134" s="539"/>
      <c r="C1134" s="539"/>
      <c r="D1134" s="333"/>
      <c r="E1134" s="333"/>
      <c r="F1134" s="333"/>
      <c r="G1134" s="333"/>
      <c r="H1134" s="333"/>
      <c r="I1134" s="331"/>
      <c r="J1134" s="331"/>
      <c r="K1134" s="333"/>
      <c r="L1134" s="333"/>
      <c r="M1134" s="334" t="s">
        <v>39802</v>
      </c>
      <c r="N1134" s="333" t="s">
        <v>39794</v>
      </c>
      <c r="O1134" s="334" t="s">
        <v>39795</v>
      </c>
    </row>
    <row r="1135" spans="1:15" s="328" customFormat="1" x14ac:dyDescent="0.2">
      <c r="A1135" s="535" t="s">
        <v>39801</v>
      </c>
      <c r="B1135" s="535"/>
      <c r="C1135" s="535"/>
      <c r="D1135" s="333"/>
      <c r="E1135" s="333"/>
      <c r="F1135" s="333"/>
      <c r="G1135" s="333"/>
      <c r="H1135" s="333"/>
      <c r="I1135" s="331"/>
      <c r="J1135" s="331"/>
      <c r="K1135" s="339"/>
      <c r="L1135" s="332"/>
      <c r="M1135" s="339">
        <f>70.49</f>
        <v>70.489999999999995</v>
      </c>
      <c r="N1135" s="332" t="s">
        <v>39794</v>
      </c>
      <c r="O1135" s="332">
        <f>ROUND(M1135,2)</f>
        <v>70.489999999999995</v>
      </c>
    </row>
    <row r="1136" spans="1:15" s="328" customFormat="1" x14ac:dyDescent="0.2">
      <c r="A1136" s="540"/>
      <c r="B1136" s="540"/>
      <c r="C1136" s="540"/>
      <c r="D1136" s="540"/>
      <c r="E1136" s="540"/>
      <c r="F1136" s="540"/>
      <c r="G1136" s="540"/>
      <c r="H1136" s="540"/>
      <c r="I1136" s="540"/>
      <c r="J1136" s="540"/>
      <c r="K1136" s="540"/>
      <c r="L1136" s="334" t="s">
        <v>39796</v>
      </c>
      <c r="M1136" s="334" t="s">
        <v>39168</v>
      </c>
      <c r="N1136" s="333" t="s">
        <v>39794</v>
      </c>
      <c r="O1136" s="334">
        <f>SUM(O1134:O1135)</f>
        <v>70.489999999999995</v>
      </c>
    </row>
    <row r="1137" spans="1:15" s="328" customFormat="1" x14ac:dyDescent="0.2">
      <c r="A1137" s="329" t="s">
        <v>39791</v>
      </c>
      <c r="B1137" s="542" t="s">
        <v>5917</v>
      </c>
      <c r="C1137" s="542"/>
      <c r="D1137" s="542"/>
      <c r="E1137" s="542"/>
      <c r="F1137" s="542"/>
      <c r="G1137" s="542"/>
      <c r="H1137" s="542"/>
      <c r="I1137" s="542"/>
      <c r="J1137" s="542"/>
      <c r="K1137" s="542"/>
      <c r="L1137" s="542"/>
      <c r="M1137" s="542"/>
      <c r="N1137" s="329" t="s">
        <v>39197</v>
      </c>
      <c r="O1137" s="330" t="s">
        <v>39792</v>
      </c>
    </row>
    <row r="1138" spans="1:15" s="328" customFormat="1" ht="39.950000000000003" customHeight="1" x14ac:dyDescent="0.2">
      <c r="A1138" s="331" t="str">
        <f>ORCAMENTO!A180</f>
        <v>9.2.7</v>
      </c>
      <c r="B1138" s="543" t="str">
        <f>VLOOKUP(A1138,ORCAMENTO!A:I,4,0)</f>
        <v>CHUMBAMENTO LINEAR EM CONTRAPISO PARA RAMAIS/DISTRIBUIÇÃO DE INSTALAÇÕES HIDRÁULICAS COM DIÂMETROS MAIORES QUE 40 MM E MENORES OU IGUAIS A 75 MM. AF_09/2023</v>
      </c>
      <c r="C1138" s="543"/>
      <c r="D1138" s="543"/>
      <c r="E1138" s="543"/>
      <c r="F1138" s="543"/>
      <c r="G1138" s="543"/>
      <c r="H1138" s="543"/>
      <c r="I1138" s="543"/>
      <c r="J1138" s="543"/>
      <c r="K1138" s="543"/>
      <c r="L1138" s="543"/>
      <c r="M1138" s="543"/>
      <c r="N1138" s="331" t="str">
        <f>VLOOKUP(A1138,ORCAMENTO!A:I,5,0)</f>
        <v>M</v>
      </c>
      <c r="O1138" s="332">
        <f>O1142</f>
        <v>30.09</v>
      </c>
    </row>
    <row r="1139" spans="1:15" s="328" customFormat="1" x14ac:dyDescent="0.2">
      <c r="A1139" s="539" t="s">
        <v>39793</v>
      </c>
      <c r="B1139" s="539"/>
      <c r="C1139" s="539"/>
      <c r="D1139" s="539"/>
      <c r="E1139" s="539"/>
      <c r="F1139" s="539"/>
      <c r="G1139" s="539"/>
      <c r="H1139" s="539"/>
      <c r="I1139" s="539"/>
      <c r="J1139" s="539"/>
      <c r="K1139" s="539"/>
      <c r="L1139" s="539"/>
      <c r="M1139" s="539"/>
      <c r="N1139" s="539"/>
      <c r="O1139" s="539"/>
    </row>
    <row r="1140" spans="1:15" s="328" customFormat="1" x14ac:dyDescent="0.2">
      <c r="A1140" s="539" t="s">
        <v>5917</v>
      </c>
      <c r="B1140" s="539"/>
      <c r="C1140" s="539"/>
      <c r="D1140" s="333"/>
      <c r="E1140" s="333"/>
      <c r="F1140" s="333"/>
      <c r="G1140" s="333"/>
      <c r="H1140" s="333"/>
      <c r="I1140" s="331"/>
      <c r="J1140" s="331"/>
      <c r="K1140" s="333"/>
      <c r="L1140" s="333"/>
      <c r="M1140" s="334" t="s">
        <v>39802</v>
      </c>
      <c r="N1140" s="333" t="s">
        <v>39794</v>
      </c>
      <c r="O1140" s="334" t="s">
        <v>39795</v>
      </c>
    </row>
    <row r="1141" spans="1:15" s="328" customFormat="1" x14ac:dyDescent="0.2">
      <c r="A1141" s="535" t="s">
        <v>39801</v>
      </c>
      <c r="B1141" s="535"/>
      <c r="C1141" s="535"/>
      <c r="D1141" s="333"/>
      <c r="E1141" s="333"/>
      <c r="F1141" s="333"/>
      <c r="G1141" s="333"/>
      <c r="H1141" s="333"/>
      <c r="I1141" s="331"/>
      <c r="J1141" s="331"/>
      <c r="K1141" s="339"/>
      <c r="L1141" s="332"/>
      <c r="M1141" s="339">
        <f>30.09</f>
        <v>30.09</v>
      </c>
      <c r="N1141" s="332" t="s">
        <v>39794</v>
      </c>
      <c r="O1141" s="332">
        <f>ROUND(M1141,2)</f>
        <v>30.09</v>
      </c>
    </row>
    <row r="1142" spans="1:15" s="328" customFormat="1" x14ac:dyDescent="0.2">
      <c r="A1142" s="540"/>
      <c r="B1142" s="540"/>
      <c r="C1142" s="540"/>
      <c r="D1142" s="540"/>
      <c r="E1142" s="540"/>
      <c r="F1142" s="540"/>
      <c r="G1142" s="540"/>
      <c r="H1142" s="540"/>
      <c r="I1142" s="540"/>
      <c r="J1142" s="540"/>
      <c r="K1142" s="540"/>
      <c r="L1142" s="334" t="s">
        <v>39796</v>
      </c>
      <c r="M1142" s="334" t="s">
        <v>39168</v>
      </c>
      <c r="N1142" s="333" t="s">
        <v>39794</v>
      </c>
      <c r="O1142" s="334">
        <f>SUM(O1140:O1141)</f>
        <v>30.09</v>
      </c>
    </row>
    <row r="1143" spans="1:15" s="328" customFormat="1" x14ac:dyDescent="0.2">
      <c r="A1143" s="329" t="s">
        <v>39791</v>
      </c>
      <c r="B1143" s="542" t="s">
        <v>5917</v>
      </c>
      <c r="C1143" s="542"/>
      <c r="D1143" s="542"/>
      <c r="E1143" s="542"/>
      <c r="F1143" s="542"/>
      <c r="G1143" s="542"/>
      <c r="H1143" s="542"/>
      <c r="I1143" s="542"/>
      <c r="J1143" s="542"/>
      <c r="K1143" s="542"/>
      <c r="L1143" s="542"/>
      <c r="M1143" s="542"/>
      <c r="N1143" s="329" t="s">
        <v>39197</v>
      </c>
      <c r="O1143" s="330" t="s">
        <v>39792</v>
      </c>
    </row>
    <row r="1144" spans="1:15" s="328" customFormat="1" ht="39.950000000000003" customHeight="1" x14ac:dyDescent="0.2">
      <c r="A1144" s="331" t="str">
        <f>ORCAMENTO!A181</f>
        <v>9.2.8</v>
      </c>
      <c r="B1144" s="543" t="str">
        <f>VLOOKUP(A1144,ORCAMENTO!A:I,4,0)</f>
        <v>CHUMBAMENTO LINEAR EM CONTRAPISO PARA RAMAIS/DISTRIBUIÇÃO DE INSTALAÇÕES HIDRÁULICAS COM DIÂMETROS MENORES OU IGUAIS A 40 MM. AF_09/2023</v>
      </c>
      <c r="C1144" s="543"/>
      <c r="D1144" s="543"/>
      <c r="E1144" s="543"/>
      <c r="F1144" s="543"/>
      <c r="G1144" s="543"/>
      <c r="H1144" s="543"/>
      <c r="I1144" s="543"/>
      <c r="J1144" s="543"/>
      <c r="K1144" s="543"/>
      <c r="L1144" s="543"/>
      <c r="M1144" s="543"/>
      <c r="N1144" s="331" t="str">
        <f>VLOOKUP(A1144,ORCAMENTO!A:I,5,0)</f>
        <v>M</v>
      </c>
      <c r="O1144" s="332">
        <f>O1148</f>
        <v>24.12</v>
      </c>
    </row>
    <row r="1145" spans="1:15" s="328" customFormat="1" x14ac:dyDescent="0.2">
      <c r="A1145" s="539" t="s">
        <v>39793</v>
      </c>
      <c r="B1145" s="539"/>
      <c r="C1145" s="539"/>
      <c r="D1145" s="539"/>
      <c r="E1145" s="539"/>
      <c r="F1145" s="539"/>
      <c r="G1145" s="539"/>
      <c r="H1145" s="539"/>
      <c r="I1145" s="539"/>
      <c r="J1145" s="539"/>
      <c r="K1145" s="539"/>
      <c r="L1145" s="539"/>
      <c r="M1145" s="539"/>
      <c r="N1145" s="539"/>
      <c r="O1145" s="539"/>
    </row>
    <row r="1146" spans="1:15" s="328" customFormat="1" x14ac:dyDescent="0.2">
      <c r="A1146" s="539" t="s">
        <v>5917</v>
      </c>
      <c r="B1146" s="539"/>
      <c r="C1146" s="539"/>
      <c r="D1146" s="333"/>
      <c r="E1146" s="333"/>
      <c r="F1146" s="333"/>
      <c r="G1146" s="333"/>
      <c r="H1146" s="333"/>
      <c r="I1146" s="331"/>
      <c r="J1146" s="331"/>
      <c r="K1146" s="333"/>
      <c r="L1146" s="333"/>
      <c r="M1146" s="334" t="s">
        <v>39802</v>
      </c>
      <c r="N1146" s="333" t="s">
        <v>39794</v>
      </c>
      <c r="O1146" s="334" t="s">
        <v>39795</v>
      </c>
    </row>
    <row r="1147" spans="1:15" s="328" customFormat="1" x14ac:dyDescent="0.2">
      <c r="A1147" s="535" t="s">
        <v>39801</v>
      </c>
      <c r="B1147" s="535"/>
      <c r="C1147" s="535"/>
      <c r="D1147" s="333"/>
      <c r="E1147" s="333"/>
      <c r="F1147" s="333"/>
      <c r="G1147" s="333"/>
      <c r="H1147" s="333"/>
      <c r="I1147" s="331"/>
      <c r="J1147" s="331"/>
      <c r="K1147" s="339"/>
      <c r="L1147" s="332"/>
      <c r="M1147" s="339">
        <f>24.12</f>
        <v>24.12</v>
      </c>
      <c r="N1147" s="332" t="s">
        <v>39794</v>
      </c>
      <c r="O1147" s="332">
        <f>ROUND(M1147,2)</f>
        <v>24.12</v>
      </c>
    </row>
    <row r="1148" spans="1:15" s="328" customFormat="1" x14ac:dyDescent="0.2">
      <c r="A1148" s="540"/>
      <c r="B1148" s="540"/>
      <c r="C1148" s="540"/>
      <c r="D1148" s="540"/>
      <c r="E1148" s="540"/>
      <c r="F1148" s="540"/>
      <c r="G1148" s="540"/>
      <c r="H1148" s="540"/>
      <c r="I1148" s="540"/>
      <c r="J1148" s="540"/>
      <c r="K1148" s="540"/>
      <c r="L1148" s="334" t="s">
        <v>39796</v>
      </c>
      <c r="M1148" s="334" t="s">
        <v>39168</v>
      </c>
      <c r="N1148" s="333" t="s">
        <v>39794</v>
      </c>
      <c r="O1148" s="334">
        <f>SUM(O1146:O1147)</f>
        <v>24.12</v>
      </c>
    </row>
    <row r="1149" spans="1:15" s="328" customFormat="1" x14ac:dyDescent="0.2">
      <c r="A1149" s="329" t="s">
        <v>39791</v>
      </c>
      <c r="B1149" s="542" t="s">
        <v>5917</v>
      </c>
      <c r="C1149" s="542"/>
      <c r="D1149" s="542"/>
      <c r="E1149" s="542"/>
      <c r="F1149" s="542"/>
      <c r="G1149" s="542"/>
      <c r="H1149" s="542"/>
      <c r="I1149" s="542"/>
      <c r="J1149" s="542"/>
      <c r="K1149" s="542"/>
      <c r="L1149" s="542"/>
      <c r="M1149" s="542"/>
      <c r="N1149" s="329" t="s">
        <v>39197</v>
      </c>
      <c r="O1149" s="330" t="s">
        <v>39792</v>
      </c>
    </row>
    <row r="1150" spans="1:15" s="328" customFormat="1" ht="39.950000000000003" customHeight="1" x14ac:dyDescent="0.2">
      <c r="A1150" s="331" t="str">
        <f>ORCAMENTO!A182</f>
        <v>9.2.9</v>
      </c>
      <c r="B1150" s="543" t="str">
        <f>VLOOKUP(A1150,ORCAMENTO!A:I,4,0)</f>
        <v>CHUMBAMENTO LINEAR EM ALVENARIA PARA RAMAIS/DISTRIBUIÇÃO DE INSTALAÇÕES HIDRÁULICAS COM DIÂMETROS MAIORES QUE 40 MM E MENORES OU IGUAIS A 75 MM. AF_09/2023</v>
      </c>
      <c r="C1150" s="543"/>
      <c r="D1150" s="543"/>
      <c r="E1150" s="543"/>
      <c r="F1150" s="543"/>
      <c r="G1150" s="543"/>
      <c r="H1150" s="543"/>
      <c r="I1150" s="543"/>
      <c r="J1150" s="543"/>
      <c r="K1150" s="543"/>
      <c r="L1150" s="543"/>
      <c r="M1150" s="543"/>
      <c r="N1150" s="331" t="str">
        <f>VLOOKUP(A1150,ORCAMENTO!A:I,5,0)</f>
        <v>M</v>
      </c>
      <c r="O1150" s="332">
        <f>O1154</f>
        <v>13.4</v>
      </c>
    </row>
    <row r="1151" spans="1:15" s="328" customFormat="1" x14ac:dyDescent="0.2">
      <c r="A1151" s="539" t="s">
        <v>39793</v>
      </c>
      <c r="B1151" s="539"/>
      <c r="C1151" s="539"/>
      <c r="D1151" s="539"/>
      <c r="E1151" s="539"/>
      <c r="F1151" s="539"/>
      <c r="G1151" s="539"/>
      <c r="H1151" s="539"/>
      <c r="I1151" s="539"/>
      <c r="J1151" s="539"/>
      <c r="K1151" s="539"/>
      <c r="L1151" s="539"/>
      <c r="M1151" s="539"/>
      <c r="N1151" s="539"/>
      <c r="O1151" s="539"/>
    </row>
    <row r="1152" spans="1:15" s="328" customFormat="1" x14ac:dyDescent="0.2">
      <c r="A1152" s="539" t="s">
        <v>5917</v>
      </c>
      <c r="B1152" s="539"/>
      <c r="C1152" s="539"/>
      <c r="D1152" s="333"/>
      <c r="E1152" s="333"/>
      <c r="F1152" s="333"/>
      <c r="G1152" s="333"/>
      <c r="H1152" s="333"/>
      <c r="I1152" s="331"/>
      <c r="J1152" s="331"/>
      <c r="K1152" s="333"/>
      <c r="L1152" s="333"/>
      <c r="M1152" s="334" t="s">
        <v>39802</v>
      </c>
      <c r="N1152" s="333" t="s">
        <v>39794</v>
      </c>
      <c r="O1152" s="334" t="s">
        <v>39795</v>
      </c>
    </row>
    <row r="1153" spans="1:15" s="328" customFormat="1" x14ac:dyDescent="0.2">
      <c r="A1153" s="535" t="s">
        <v>39801</v>
      </c>
      <c r="B1153" s="535"/>
      <c r="C1153" s="535"/>
      <c r="D1153" s="333"/>
      <c r="E1153" s="333"/>
      <c r="F1153" s="333"/>
      <c r="G1153" s="333"/>
      <c r="H1153" s="333"/>
      <c r="I1153" s="331"/>
      <c r="J1153" s="331"/>
      <c r="K1153" s="339"/>
      <c r="L1153" s="332"/>
      <c r="M1153" s="339">
        <f>13.4</f>
        <v>13.4</v>
      </c>
      <c r="N1153" s="332" t="s">
        <v>39794</v>
      </c>
      <c r="O1153" s="332">
        <f>ROUND(M1153,2)</f>
        <v>13.4</v>
      </c>
    </row>
    <row r="1154" spans="1:15" s="328" customFormat="1" x14ac:dyDescent="0.2">
      <c r="A1154" s="540"/>
      <c r="B1154" s="540"/>
      <c r="C1154" s="540"/>
      <c r="D1154" s="540"/>
      <c r="E1154" s="540"/>
      <c r="F1154" s="540"/>
      <c r="G1154" s="540"/>
      <c r="H1154" s="540"/>
      <c r="I1154" s="540"/>
      <c r="J1154" s="540"/>
      <c r="K1154" s="540"/>
      <c r="L1154" s="334" t="s">
        <v>39796</v>
      </c>
      <c r="M1154" s="334" t="s">
        <v>39168</v>
      </c>
      <c r="N1154" s="333" t="s">
        <v>39794</v>
      </c>
      <c r="O1154" s="334">
        <f>SUM(O1152:O1153)</f>
        <v>13.4</v>
      </c>
    </row>
    <row r="1155" spans="1:15" s="328" customFormat="1" x14ac:dyDescent="0.2">
      <c r="A1155" s="329" t="s">
        <v>39791</v>
      </c>
      <c r="B1155" s="542" t="s">
        <v>5917</v>
      </c>
      <c r="C1155" s="542"/>
      <c r="D1155" s="542"/>
      <c r="E1155" s="542"/>
      <c r="F1155" s="542"/>
      <c r="G1155" s="542"/>
      <c r="H1155" s="542"/>
      <c r="I1155" s="542"/>
      <c r="J1155" s="542"/>
      <c r="K1155" s="542"/>
      <c r="L1155" s="542"/>
      <c r="M1155" s="542"/>
      <c r="N1155" s="329" t="s">
        <v>39197</v>
      </c>
      <c r="O1155" s="330" t="s">
        <v>39792</v>
      </c>
    </row>
    <row r="1156" spans="1:15" s="328" customFormat="1" ht="39.950000000000003" customHeight="1" x14ac:dyDescent="0.2">
      <c r="A1156" s="331" t="str">
        <f>ORCAMENTO!A183</f>
        <v>9.2.10</v>
      </c>
      <c r="B1156" s="543" t="str">
        <f>VLOOKUP(A1156,ORCAMENTO!A:I,4,0)</f>
        <v>CHUMBAMENTO LINEAR EM ALVENARIA PARA RAMAIS/DISTRIBUIÇÃO DE INSTALAÇÕES HIDRÁULICAS COM DIÂMETROS MENORES OU IGUAIS A 40 MM. AF_09/2023</v>
      </c>
      <c r="C1156" s="543"/>
      <c r="D1156" s="543"/>
      <c r="E1156" s="543"/>
      <c r="F1156" s="543"/>
      <c r="G1156" s="543"/>
      <c r="H1156" s="543"/>
      <c r="I1156" s="543"/>
      <c r="J1156" s="543"/>
      <c r="K1156" s="543"/>
      <c r="L1156" s="543"/>
      <c r="M1156" s="543"/>
      <c r="N1156" s="331" t="str">
        <f>VLOOKUP(A1156,ORCAMENTO!A:I,5,0)</f>
        <v>M</v>
      </c>
      <c r="O1156" s="332">
        <f>O1160</f>
        <v>6.3</v>
      </c>
    </row>
    <row r="1157" spans="1:15" s="328" customFormat="1" x14ac:dyDescent="0.2">
      <c r="A1157" s="539" t="s">
        <v>39793</v>
      </c>
      <c r="B1157" s="539"/>
      <c r="C1157" s="539"/>
      <c r="D1157" s="539"/>
      <c r="E1157" s="539"/>
      <c r="F1157" s="539"/>
      <c r="G1157" s="539"/>
      <c r="H1157" s="539"/>
      <c r="I1157" s="539"/>
      <c r="J1157" s="539"/>
      <c r="K1157" s="539"/>
      <c r="L1157" s="539"/>
      <c r="M1157" s="539"/>
      <c r="N1157" s="539"/>
      <c r="O1157" s="539"/>
    </row>
    <row r="1158" spans="1:15" s="328" customFormat="1" x14ac:dyDescent="0.2">
      <c r="A1158" s="539" t="s">
        <v>5917</v>
      </c>
      <c r="B1158" s="539"/>
      <c r="C1158" s="539"/>
      <c r="D1158" s="333"/>
      <c r="E1158" s="333"/>
      <c r="F1158" s="333"/>
      <c r="G1158" s="333"/>
      <c r="H1158" s="333"/>
      <c r="I1158" s="331"/>
      <c r="J1158" s="331"/>
      <c r="K1158" s="333"/>
      <c r="L1158" s="333"/>
      <c r="M1158" s="334" t="s">
        <v>39802</v>
      </c>
      <c r="N1158" s="333" t="s">
        <v>39794</v>
      </c>
      <c r="O1158" s="334" t="s">
        <v>39795</v>
      </c>
    </row>
    <row r="1159" spans="1:15" s="328" customFormat="1" x14ac:dyDescent="0.2">
      <c r="A1159" s="535" t="s">
        <v>39801</v>
      </c>
      <c r="B1159" s="535"/>
      <c r="C1159" s="535"/>
      <c r="D1159" s="333"/>
      <c r="E1159" s="333"/>
      <c r="F1159" s="333"/>
      <c r="G1159" s="333"/>
      <c r="H1159" s="333"/>
      <c r="I1159" s="331"/>
      <c r="J1159" s="331"/>
      <c r="K1159" s="339"/>
      <c r="L1159" s="332"/>
      <c r="M1159" s="339">
        <f>6.3</f>
        <v>6.3</v>
      </c>
      <c r="N1159" s="332" t="s">
        <v>39794</v>
      </c>
      <c r="O1159" s="332">
        <f>ROUND(M1159,2)</f>
        <v>6.3</v>
      </c>
    </row>
    <row r="1160" spans="1:15" s="328" customFormat="1" x14ac:dyDescent="0.2">
      <c r="A1160" s="540"/>
      <c r="B1160" s="540"/>
      <c r="C1160" s="540"/>
      <c r="D1160" s="540"/>
      <c r="E1160" s="540"/>
      <c r="F1160" s="540"/>
      <c r="G1160" s="540"/>
      <c r="H1160" s="540"/>
      <c r="I1160" s="540"/>
      <c r="J1160" s="540"/>
      <c r="K1160" s="540"/>
      <c r="L1160" s="334" t="s">
        <v>39796</v>
      </c>
      <c r="M1160" s="334" t="s">
        <v>39168</v>
      </c>
      <c r="N1160" s="333" t="s">
        <v>39794</v>
      </c>
      <c r="O1160" s="334">
        <f>SUM(O1158:O1159)</f>
        <v>6.3</v>
      </c>
    </row>
    <row r="1161" spans="1:15" s="328" customFormat="1" x14ac:dyDescent="0.2">
      <c r="A1161" s="347" t="str">
        <f>ORCAMENTO!A185</f>
        <v>9.3</v>
      </c>
      <c r="B1161" s="544" t="str">
        <f>VLOOKUP(A1161,ORCAMENTO!A:I,4,0)</f>
        <v>RALOS E CAIXAS</v>
      </c>
      <c r="C1161" s="544"/>
      <c r="D1161" s="544"/>
      <c r="E1161" s="544"/>
      <c r="F1161" s="544"/>
      <c r="G1161" s="544"/>
      <c r="H1161" s="544"/>
      <c r="I1161" s="544"/>
      <c r="J1161" s="544"/>
      <c r="K1161" s="544"/>
      <c r="L1161" s="544"/>
      <c r="M1161" s="544"/>
      <c r="N1161" s="544"/>
      <c r="O1161" s="544"/>
    </row>
    <row r="1162" spans="1:15" s="328" customFormat="1" x14ac:dyDescent="0.2">
      <c r="A1162" s="329" t="s">
        <v>39791</v>
      </c>
      <c r="B1162" s="542" t="s">
        <v>5917</v>
      </c>
      <c r="C1162" s="542"/>
      <c r="D1162" s="542"/>
      <c r="E1162" s="542"/>
      <c r="F1162" s="542"/>
      <c r="G1162" s="542"/>
      <c r="H1162" s="542"/>
      <c r="I1162" s="542"/>
      <c r="J1162" s="542"/>
      <c r="K1162" s="542"/>
      <c r="L1162" s="542"/>
      <c r="M1162" s="542"/>
      <c r="N1162" s="329" t="s">
        <v>39197</v>
      </c>
      <c r="O1162" s="330" t="s">
        <v>39792</v>
      </c>
    </row>
    <row r="1163" spans="1:15" s="328" customFormat="1" ht="12.75" customHeight="1" x14ac:dyDescent="0.2">
      <c r="A1163" s="331" t="str">
        <f>ORCAMENTO!A186</f>
        <v>9.3.1</v>
      </c>
      <c r="B1163" s="543" t="str">
        <f>VLOOKUP(A1163,ORCAMENTO!A:I,4,0)</f>
        <v>CAIXA SIFONADA PVC 100 X 100 X 50MM, ACABAMENTO CROMADO (GRELHA OU TAMPA CEGA)</v>
      </c>
      <c r="C1163" s="543"/>
      <c r="D1163" s="543"/>
      <c r="E1163" s="543"/>
      <c r="F1163" s="543"/>
      <c r="G1163" s="543"/>
      <c r="H1163" s="543"/>
      <c r="I1163" s="543"/>
      <c r="J1163" s="543"/>
      <c r="K1163" s="543"/>
      <c r="L1163" s="543"/>
      <c r="M1163" s="543"/>
      <c r="N1163" s="331" t="str">
        <f>VLOOKUP(A1163,ORCAMENTO!A:I,5,0)</f>
        <v>UN</v>
      </c>
      <c r="O1163" s="332">
        <f>O1167</f>
        <v>5</v>
      </c>
    </row>
    <row r="1164" spans="1:15" s="328" customFormat="1" x14ac:dyDescent="0.2">
      <c r="A1164" s="539" t="s">
        <v>39793</v>
      </c>
      <c r="B1164" s="539"/>
      <c r="C1164" s="539"/>
      <c r="D1164" s="539"/>
      <c r="E1164" s="539"/>
      <c r="F1164" s="539"/>
      <c r="G1164" s="539"/>
      <c r="H1164" s="539"/>
      <c r="I1164" s="539"/>
      <c r="J1164" s="539"/>
      <c r="K1164" s="539"/>
      <c r="L1164" s="539"/>
      <c r="M1164" s="539"/>
      <c r="N1164" s="539"/>
      <c r="O1164" s="539"/>
    </row>
    <row r="1165" spans="1:15" s="328" customFormat="1" x14ac:dyDescent="0.2">
      <c r="A1165" s="539" t="s">
        <v>5917</v>
      </c>
      <c r="B1165" s="539"/>
      <c r="C1165" s="539"/>
      <c r="D1165" s="333"/>
      <c r="E1165" s="333"/>
      <c r="F1165" s="333"/>
      <c r="G1165" s="333"/>
      <c r="H1165" s="333"/>
      <c r="I1165" s="331"/>
      <c r="J1165" s="331"/>
      <c r="K1165" s="333"/>
      <c r="L1165" s="333"/>
      <c r="M1165" s="334" t="s">
        <v>39792</v>
      </c>
      <c r="N1165" s="333" t="s">
        <v>39794</v>
      </c>
      <c r="O1165" s="334" t="s">
        <v>39795</v>
      </c>
    </row>
    <row r="1166" spans="1:15" s="328" customFormat="1" x14ac:dyDescent="0.2">
      <c r="A1166" s="535" t="s">
        <v>39801</v>
      </c>
      <c r="B1166" s="535"/>
      <c r="C1166" s="535"/>
      <c r="D1166" s="333"/>
      <c r="E1166" s="333"/>
      <c r="F1166" s="333"/>
      <c r="G1166" s="333"/>
      <c r="H1166" s="333"/>
      <c r="I1166" s="331"/>
      <c r="J1166" s="331"/>
      <c r="K1166" s="339"/>
      <c r="L1166" s="332"/>
      <c r="M1166" s="339">
        <f>5</f>
        <v>5</v>
      </c>
      <c r="N1166" s="332" t="s">
        <v>39794</v>
      </c>
      <c r="O1166" s="332">
        <f>ROUND(M1166,2)</f>
        <v>5</v>
      </c>
    </row>
    <row r="1167" spans="1:15" s="328" customFormat="1" x14ac:dyDescent="0.2">
      <c r="A1167" s="540"/>
      <c r="B1167" s="540"/>
      <c r="C1167" s="540"/>
      <c r="D1167" s="540"/>
      <c r="E1167" s="540"/>
      <c r="F1167" s="540"/>
      <c r="G1167" s="540"/>
      <c r="H1167" s="540"/>
      <c r="I1167" s="540"/>
      <c r="J1167" s="540"/>
      <c r="K1167" s="540"/>
      <c r="L1167" s="334" t="s">
        <v>39796</v>
      </c>
      <c r="M1167" s="334" t="s">
        <v>39168</v>
      </c>
      <c r="N1167" s="333" t="s">
        <v>39794</v>
      </c>
      <c r="O1167" s="334">
        <f>SUM(O1165:O1166)</f>
        <v>5</v>
      </c>
    </row>
    <row r="1168" spans="1:15" s="328" customFormat="1" x14ac:dyDescent="0.2">
      <c r="A1168" s="329" t="s">
        <v>39791</v>
      </c>
      <c r="B1168" s="542" t="s">
        <v>5917</v>
      </c>
      <c r="C1168" s="542"/>
      <c r="D1168" s="542"/>
      <c r="E1168" s="542"/>
      <c r="F1168" s="542"/>
      <c r="G1168" s="542"/>
      <c r="H1168" s="542"/>
      <c r="I1168" s="542"/>
      <c r="J1168" s="542"/>
      <c r="K1168" s="542"/>
      <c r="L1168" s="542"/>
      <c r="M1168" s="542"/>
      <c r="N1168" s="329" t="s">
        <v>39197</v>
      </c>
      <c r="O1168" s="330" t="s">
        <v>39792</v>
      </c>
    </row>
    <row r="1169" spans="1:15" s="328" customFormat="1" ht="12.75" customHeight="1" x14ac:dyDescent="0.2">
      <c r="A1169" s="331" t="str">
        <f>ORCAMENTO!A187</f>
        <v>9.3.2</v>
      </c>
      <c r="B1169" s="543" t="str">
        <f>VLOOKUP(A1169,ORCAMENTO!A:I,4,0)</f>
        <v>CAIXA DE GORDURA/SABÃO PRÉ MOLDADA - PADRÃO POPULAR</v>
      </c>
      <c r="C1169" s="543"/>
      <c r="D1169" s="543"/>
      <c r="E1169" s="543"/>
      <c r="F1169" s="543"/>
      <c r="G1169" s="543"/>
      <c r="H1169" s="543"/>
      <c r="I1169" s="543"/>
      <c r="J1169" s="543"/>
      <c r="K1169" s="543"/>
      <c r="L1169" s="543"/>
      <c r="M1169" s="543"/>
      <c r="N1169" s="331" t="str">
        <f>VLOOKUP(A1169,ORCAMENTO!A:I,5,0)</f>
        <v>UN</v>
      </c>
      <c r="O1169" s="332">
        <f>O1173</f>
        <v>1</v>
      </c>
    </row>
    <row r="1170" spans="1:15" s="328" customFormat="1" x14ac:dyDescent="0.2">
      <c r="A1170" s="539" t="s">
        <v>39793</v>
      </c>
      <c r="B1170" s="539"/>
      <c r="C1170" s="539"/>
      <c r="D1170" s="539"/>
      <c r="E1170" s="539"/>
      <c r="F1170" s="539"/>
      <c r="G1170" s="539"/>
      <c r="H1170" s="539"/>
      <c r="I1170" s="539"/>
      <c r="J1170" s="539"/>
      <c r="K1170" s="539"/>
      <c r="L1170" s="539"/>
      <c r="M1170" s="539"/>
      <c r="N1170" s="539"/>
      <c r="O1170" s="539"/>
    </row>
    <row r="1171" spans="1:15" s="328" customFormat="1" x14ac:dyDescent="0.2">
      <c r="A1171" s="539" t="s">
        <v>5917</v>
      </c>
      <c r="B1171" s="539"/>
      <c r="C1171" s="539"/>
      <c r="D1171" s="333"/>
      <c r="E1171" s="333"/>
      <c r="F1171" s="333"/>
      <c r="G1171" s="333"/>
      <c r="H1171" s="333"/>
      <c r="I1171" s="331"/>
      <c r="J1171" s="331"/>
      <c r="K1171" s="333"/>
      <c r="L1171" s="333"/>
      <c r="M1171" s="334" t="s">
        <v>39792</v>
      </c>
      <c r="N1171" s="333" t="s">
        <v>39794</v>
      </c>
      <c r="O1171" s="334" t="s">
        <v>39795</v>
      </c>
    </row>
    <row r="1172" spans="1:15" s="328" customFormat="1" x14ac:dyDescent="0.2">
      <c r="A1172" s="535" t="s">
        <v>39801</v>
      </c>
      <c r="B1172" s="535"/>
      <c r="C1172" s="535"/>
      <c r="D1172" s="333"/>
      <c r="E1172" s="333"/>
      <c r="F1172" s="333"/>
      <c r="G1172" s="333"/>
      <c r="H1172" s="333"/>
      <c r="I1172" s="331"/>
      <c r="J1172" s="331"/>
      <c r="K1172" s="339"/>
      <c r="L1172" s="332"/>
      <c r="M1172" s="339">
        <f>1</f>
        <v>1</v>
      </c>
      <c r="N1172" s="332" t="s">
        <v>39794</v>
      </c>
      <c r="O1172" s="332">
        <f>ROUND(M1172,2)</f>
        <v>1</v>
      </c>
    </row>
    <row r="1173" spans="1:15" s="328" customFormat="1" x14ac:dyDescent="0.2">
      <c r="A1173" s="540"/>
      <c r="B1173" s="540"/>
      <c r="C1173" s="540"/>
      <c r="D1173" s="540"/>
      <c r="E1173" s="540"/>
      <c r="F1173" s="540"/>
      <c r="G1173" s="540"/>
      <c r="H1173" s="540"/>
      <c r="I1173" s="540"/>
      <c r="J1173" s="540"/>
      <c r="K1173" s="540"/>
      <c r="L1173" s="334" t="s">
        <v>39796</v>
      </c>
      <c r="M1173" s="334" t="s">
        <v>39168</v>
      </c>
      <c r="N1173" s="333" t="s">
        <v>39794</v>
      </c>
      <c r="O1173" s="334">
        <f>SUM(O1171:O1172)</f>
        <v>1</v>
      </c>
    </row>
    <row r="1174" spans="1:15" s="328" customFormat="1" x14ac:dyDescent="0.2">
      <c r="A1174" s="329" t="s">
        <v>39791</v>
      </c>
      <c r="B1174" s="542" t="s">
        <v>5917</v>
      </c>
      <c r="C1174" s="542"/>
      <c r="D1174" s="542"/>
      <c r="E1174" s="542"/>
      <c r="F1174" s="542"/>
      <c r="G1174" s="542"/>
      <c r="H1174" s="542"/>
      <c r="I1174" s="542"/>
      <c r="J1174" s="542"/>
      <c r="K1174" s="542"/>
      <c r="L1174" s="542"/>
      <c r="M1174" s="542"/>
      <c r="N1174" s="329" t="s">
        <v>39197</v>
      </c>
      <c r="O1174" s="330" t="s">
        <v>39792</v>
      </c>
    </row>
    <row r="1175" spans="1:15" s="328" customFormat="1" ht="12.75" customHeight="1" x14ac:dyDescent="0.2">
      <c r="A1175" s="331" t="str">
        <f>ORCAMENTO!A188</f>
        <v>9.3.3</v>
      </c>
      <c r="B1175" s="543" t="str">
        <f>VLOOKUP(A1175,ORCAMENTO!A:I,4,0)</f>
        <v>CAIXA INSPEÇÃO NO PASSEIO EM ALVENARIA DI=(50X50)cm, PADRÃO CAGECE</v>
      </c>
      <c r="C1175" s="543"/>
      <c r="D1175" s="543"/>
      <c r="E1175" s="543"/>
      <c r="F1175" s="543"/>
      <c r="G1175" s="543"/>
      <c r="H1175" s="543"/>
      <c r="I1175" s="543"/>
      <c r="J1175" s="543"/>
      <c r="K1175" s="543"/>
      <c r="L1175" s="543"/>
      <c r="M1175" s="543"/>
      <c r="N1175" s="331" t="str">
        <f>VLOOKUP(A1175,ORCAMENTO!A:I,5,0)</f>
        <v>UN</v>
      </c>
      <c r="O1175" s="332">
        <f>O1179</f>
        <v>3</v>
      </c>
    </row>
    <row r="1176" spans="1:15" s="328" customFormat="1" x14ac:dyDescent="0.2">
      <c r="A1176" s="539" t="s">
        <v>39793</v>
      </c>
      <c r="B1176" s="539"/>
      <c r="C1176" s="539"/>
      <c r="D1176" s="539"/>
      <c r="E1176" s="539"/>
      <c r="F1176" s="539"/>
      <c r="G1176" s="539"/>
      <c r="H1176" s="539"/>
      <c r="I1176" s="539"/>
      <c r="J1176" s="539"/>
      <c r="K1176" s="539"/>
      <c r="L1176" s="539"/>
      <c r="M1176" s="539"/>
      <c r="N1176" s="539"/>
      <c r="O1176" s="539"/>
    </row>
    <row r="1177" spans="1:15" s="328" customFormat="1" x14ac:dyDescent="0.2">
      <c r="A1177" s="539" t="s">
        <v>5917</v>
      </c>
      <c r="B1177" s="539"/>
      <c r="C1177" s="539"/>
      <c r="D1177" s="333"/>
      <c r="E1177" s="333"/>
      <c r="F1177" s="333"/>
      <c r="G1177" s="333"/>
      <c r="H1177" s="333"/>
      <c r="I1177" s="331"/>
      <c r="J1177" s="331"/>
      <c r="K1177" s="333"/>
      <c r="L1177" s="333"/>
      <c r="M1177" s="334" t="s">
        <v>39792</v>
      </c>
      <c r="N1177" s="333" t="s">
        <v>39794</v>
      </c>
      <c r="O1177" s="334" t="s">
        <v>39795</v>
      </c>
    </row>
    <row r="1178" spans="1:15" s="328" customFormat="1" x14ac:dyDescent="0.2">
      <c r="A1178" s="535" t="s">
        <v>39801</v>
      </c>
      <c r="B1178" s="535"/>
      <c r="C1178" s="535"/>
      <c r="D1178" s="333"/>
      <c r="E1178" s="333"/>
      <c r="F1178" s="333"/>
      <c r="G1178" s="333"/>
      <c r="H1178" s="333"/>
      <c r="I1178" s="331"/>
      <c r="J1178" s="331"/>
      <c r="K1178" s="339"/>
      <c r="L1178" s="332"/>
      <c r="M1178" s="339">
        <f>3</f>
        <v>3</v>
      </c>
      <c r="N1178" s="332" t="s">
        <v>39794</v>
      </c>
      <c r="O1178" s="332">
        <f>ROUND(M1178,2)</f>
        <v>3</v>
      </c>
    </row>
    <row r="1179" spans="1:15" s="328" customFormat="1" x14ac:dyDescent="0.2">
      <c r="A1179" s="540"/>
      <c r="B1179" s="540"/>
      <c r="C1179" s="540"/>
      <c r="D1179" s="540"/>
      <c r="E1179" s="540"/>
      <c r="F1179" s="540"/>
      <c r="G1179" s="540"/>
      <c r="H1179" s="540"/>
      <c r="I1179" s="540"/>
      <c r="J1179" s="540"/>
      <c r="K1179" s="540"/>
      <c r="L1179" s="334" t="s">
        <v>39796</v>
      </c>
      <c r="M1179" s="334" t="s">
        <v>39168</v>
      </c>
      <c r="N1179" s="333" t="s">
        <v>39794</v>
      </c>
      <c r="O1179" s="334">
        <f>SUM(O1177:O1178)</f>
        <v>3</v>
      </c>
    </row>
    <row r="1180" spans="1:15" s="328" customFormat="1" x14ac:dyDescent="0.2">
      <c r="A1180" s="347" t="str">
        <f>ORCAMENTO!A190</f>
        <v>9.4</v>
      </c>
      <c r="B1180" s="544" t="str">
        <f>VLOOKUP(A1180,ORCAMENTO!A:I,4,0)</f>
        <v>ACESSÓRIOS</v>
      </c>
      <c r="C1180" s="544"/>
      <c r="D1180" s="544"/>
      <c r="E1180" s="544"/>
      <c r="F1180" s="544"/>
      <c r="G1180" s="544"/>
      <c r="H1180" s="544"/>
      <c r="I1180" s="544"/>
      <c r="J1180" s="544"/>
      <c r="K1180" s="544"/>
      <c r="L1180" s="544"/>
      <c r="M1180" s="544"/>
      <c r="N1180" s="544"/>
      <c r="O1180" s="544"/>
    </row>
    <row r="1181" spans="1:15" s="328" customFormat="1" x14ac:dyDescent="0.2">
      <c r="A1181" s="329" t="s">
        <v>39791</v>
      </c>
      <c r="B1181" s="542" t="s">
        <v>5917</v>
      </c>
      <c r="C1181" s="542"/>
      <c r="D1181" s="542"/>
      <c r="E1181" s="542"/>
      <c r="F1181" s="542"/>
      <c r="G1181" s="542"/>
      <c r="H1181" s="542"/>
      <c r="I1181" s="542"/>
      <c r="J1181" s="542"/>
      <c r="K1181" s="542"/>
      <c r="L1181" s="542"/>
      <c r="M1181" s="542"/>
      <c r="N1181" s="329" t="s">
        <v>39197</v>
      </c>
      <c r="O1181" s="330" t="s">
        <v>39792</v>
      </c>
    </row>
    <row r="1182" spans="1:15" s="328" customFormat="1" ht="12.75" customHeight="1" x14ac:dyDescent="0.2">
      <c r="A1182" s="331" t="str">
        <f>ORCAMENTO!A191</f>
        <v>9.4.1</v>
      </c>
      <c r="B1182" s="543" t="str">
        <f>VLOOKUP(A1182,ORCAMENTO!A:I,4,0)</f>
        <v>SIFÃO DO TIPO FLEXÍVEL EM PVC 1 X 1.1/2 - FORNECIMENTO E INSTALAÇÃO. AF_01/2020</v>
      </c>
      <c r="C1182" s="543"/>
      <c r="D1182" s="543"/>
      <c r="E1182" s="543"/>
      <c r="F1182" s="543"/>
      <c r="G1182" s="543"/>
      <c r="H1182" s="543"/>
      <c r="I1182" s="543"/>
      <c r="J1182" s="543"/>
      <c r="K1182" s="543"/>
      <c r="L1182" s="543"/>
      <c r="M1182" s="543"/>
      <c r="N1182" s="331" t="str">
        <f>VLOOKUP(A1182,ORCAMENTO!A:I,5,0)</f>
        <v>UN</v>
      </c>
      <c r="O1182" s="332">
        <f>O1186</f>
        <v>2</v>
      </c>
    </row>
    <row r="1183" spans="1:15" s="328" customFormat="1" x14ac:dyDescent="0.2">
      <c r="A1183" s="539" t="s">
        <v>39793</v>
      </c>
      <c r="B1183" s="539"/>
      <c r="C1183" s="539"/>
      <c r="D1183" s="539"/>
      <c r="E1183" s="539"/>
      <c r="F1183" s="539"/>
      <c r="G1183" s="539"/>
      <c r="H1183" s="539"/>
      <c r="I1183" s="539"/>
      <c r="J1183" s="539"/>
      <c r="K1183" s="539"/>
      <c r="L1183" s="539"/>
      <c r="M1183" s="539"/>
      <c r="N1183" s="539"/>
      <c r="O1183" s="539"/>
    </row>
    <row r="1184" spans="1:15" s="328" customFormat="1" x14ac:dyDescent="0.2">
      <c r="A1184" s="539" t="s">
        <v>5917</v>
      </c>
      <c r="B1184" s="539"/>
      <c r="C1184" s="539"/>
      <c r="D1184" s="333"/>
      <c r="E1184" s="333"/>
      <c r="F1184" s="333"/>
      <c r="G1184" s="333"/>
      <c r="H1184" s="333"/>
      <c r="I1184" s="331"/>
      <c r="J1184" s="331"/>
      <c r="K1184" s="333"/>
      <c r="L1184" s="333"/>
      <c r="M1184" s="334" t="s">
        <v>39792</v>
      </c>
      <c r="N1184" s="333" t="s">
        <v>39794</v>
      </c>
      <c r="O1184" s="334" t="s">
        <v>39795</v>
      </c>
    </row>
    <row r="1185" spans="1:15" s="328" customFormat="1" x14ac:dyDescent="0.2">
      <c r="A1185" s="535" t="s">
        <v>39801</v>
      </c>
      <c r="B1185" s="535"/>
      <c r="C1185" s="535"/>
      <c r="D1185" s="333"/>
      <c r="E1185" s="333"/>
      <c r="F1185" s="333"/>
      <c r="G1185" s="333"/>
      <c r="H1185" s="333"/>
      <c r="I1185" s="331"/>
      <c r="J1185" s="331"/>
      <c r="K1185" s="339"/>
      <c r="L1185" s="332"/>
      <c r="M1185" s="339">
        <f>2</f>
        <v>2</v>
      </c>
      <c r="N1185" s="332" t="s">
        <v>39794</v>
      </c>
      <c r="O1185" s="332">
        <f>ROUND(M1185,2)</f>
        <v>2</v>
      </c>
    </row>
    <row r="1186" spans="1:15" s="328" customFormat="1" x14ac:dyDescent="0.2">
      <c r="A1186" s="540"/>
      <c r="B1186" s="540"/>
      <c r="C1186" s="540"/>
      <c r="D1186" s="540"/>
      <c r="E1186" s="540"/>
      <c r="F1186" s="540"/>
      <c r="G1186" s="540"/>
      <c r="H1186" s="540"/>
      <c r="I1186" s="540"/>
      <c r="J1186" s="540"/>
      <c r="K1186" s="540"/>
      <c r="L1186" s="334" t="s">
        <v>39796</v>
      </c>
      <c r="M1186" s="334" t="s">
        <v>39168</v>
      </c>
      <c r="N1186" s="333" t="s">
        <v>39794</v>
      </c>
      <c r="O1186" s="334">
        <f>SUM(O1184:O1185)</f>
        <v>2</v>
      </c>
    </row>
    <row r="1187" spans="1:15" s="328" customFormat="1" x14ac:dyDescent="0.2">
      <c r="A1187" s="329" t="s">
        <v>39791</v>
      </c>
      <c r="B1187" s="542" t="s">
        <v>5917</v>
      </c>
      <c r="C1187" s="542"/>
      <c r="D1187" s="542"/>
      <c r="E1187" s="542"/>
      <c r="F1187" s="542"/>
      <c r="G1187" s="542"/>
      <c r="H1187" s="542"/>
      <c r="I1187" s="542"/>
      <c r="J1187" s="542"/>
      <c r="K1187" s="542"/>
      <c r="L1187" s="542"/>
      <c r="M1187" s="542"/>
      <c r="N1187" s="329" t="s">
        <v>39197</v>
      </c>
      <c r="O1187" s="330" t="s">
        <v>39792</v>
      </c>
    </row>
    <row r="1188" spans="1:15" s="328" customFormat="1" ht="12.75" customHeight="1" x14ac:dyDescent="0.2">
      <c r="A1188" s="331" t="str">
        <f>ORCAMENTO!A192</f>
        <v>9.4.2</v>
      </c>
      <c r="B1188" s="543" t="str">
        <f>VLOOKUP(A1188,ORCAMENTO!A:I,4,0)</f>
        <v>SIFÃO DE PVC RÍGIDO D= 2"  (INSTALADO)</v>
      </c>
      <c r="C1188" s="543"/>
      <c r="D1188" s="543"/>
      <c r="E1188" s="543"/>
      <c r="F1188" s="543"/>
      <c r="G1188" s="543"/>
      <c r="H1188" s="543"/>
      <c r="I1188" s="543"/>
      <c r="J1188" s="543"/>
      <c r="K1188" s="543"/>
      <c r="L1188" s="543"/>
      <c r="M1188" s="543"/>
      <c r="N1188" s="331" t="str">
        <f>VLOOKUP(A1188,ORCAMENTO!A:I,5,0)</f>
        <v>UN</v>
      </c>
      <c r="O1188" s="332">
        <f>O1192</f>
        <v>9</v>
      </c>
    </row>
    <row r="1189" spans="1:15" s="328" customFormat="1" x14ac:dyDescent="0.2">
      <c r="A1189" s="539" t="s">
        <v>39793</v>
      </c>
      <c r="B1189" s="539"/>
      <c r="C1189" s="539"/>
      <c r="D1189" s="539"/>
      <c r="E1189" s="539"/>
      <c r="F1189" s="539"/>
      <c r="G1189" s="539"/>
      <c r="H1189" s="539"/>
      <c r="I1189" s="539"/>
      <c r="J1189" s="539"/>
      <c r="K1189" s="539"/>
      <c r="L1189" s="539"/>
      <c r="M1189" s="539"/>
      <c r="N1189" s="539"/>
      <c r="O1189" s="539"/>
    </row>
    <row r="1190" spans="1:15" s="328" customFormat="1" x14ac:dyDescent="0.2">
      <c r="A1190" s="539" t="s">
        <v>5917</v>
      </c>
      <c r="B1190" s="539"/>
      <c r="C1190" s="539"/>
      <c r="D1190" s="333"/>
      <c r="E1190" s="333"/>
      <c r="F1190" s="333"/>
      <c r="G1190" s="333"/>
      <c r="H1190" s="333"/>
      <c r="I1190" s="331"/>
      <c r="J1190" s="331"/>
      <c r="K1190" s="333"/>
      <c r="L1190" s="333"/>
      <c r="M1190" s="334" t="s">
        <v>39792</v>
      </c>
      <c r="N1190" s="333" t="s">
        <v>39794</v>
      </c>
      <c r="O1190" s="334" t="s">
        <v>39795</v>
      </c>
    </row>
    <row r="1191" spans="1:15" s="328" customFormat="1" x14ac:dyDescent="0.2">
      <c r="A1191" s="535" t="s">
        <v>39801</v>
      </c>
      <c r="B1191" s="535"/>
      <c r="C1191" s="535"/>
      <c r="D1191" s="333"/>
      <c r="E1191" s="333"/>
      <c r="F1191" s="333"/>
      <c r="G1191" s="333"/>
      <c r="H1191" s="333"/>
      <c r="I1191" s="331"/>
      <c r="J1191" s="331"/>
      <c r="K1191" s="339"/>
      <c r="L1191" s="332"/>
      <c r="M1191" s="339">
        <f>9</f>
        <v>9</v>
      </c>
      <c r="N1191" s="332" t="s">
        <v>39794</v>
      </c>
      <c r="O1191" s="332">
        <f>ROUND(M1191,2)</f>
        <v>9</v>
      </c>
    </row>
    <row r="1192" spans="1:15" s="328" customFormat="1" x14ac:dyDescent="0.2">
      <c r="A1192" s="540"/>
      <c r="B1192" s="540"/>
      <c r="C1192" s="540"/>
      <c r="D1192" s="540"/>
      <c r="E1192" s="540"/>
      <c r="F1192" s="540"/>
      <c r="G1192" s="540"/>
      <c r="H1192" s="540"/>
      <c r="I1192" s="540"/>
      <c r="J1192" s="540"/>
      <c r="K1192" s="540"/>
      <c r="L1192" s="334" t="s">
        <v>39796</v>
      </c>
      <c r="M1192" s="334" t="s">
        <v>39168</v>
      </c>
      <c r="N1192" s="333" t="s">
        <v>39794</v>
      </c>
      <c r="O1192" s="334">
        <f>SUM(O1190:O1191)</f>
        <v>9</v>
      </c>
    </row>
    <row r="1193" spans="1:15" s="328" customFormat="1" x14ac:dyDescent="0.2">
      <c r="A1193" s="347" t="str">
        <f>ORCAMENTO!A194</f>
        <v>9.5</v>
      </c>
      <c r="B1193" s="544" t="str">
        <f>VLOOKUP(A1193,ORCAMENTO!A:I,4,0)</f>
        <v>EMISSÁRIO FINAL</v>
      </c>
      <c r="C1193" s="544"/>
      <c r="D1193" s="544"/>
      <c r="E1193" s="544"/>
      <c r="F1193" s="544"/>
      <c r="G1193" s="544"/>
      <c r="H1193" s="544"/>
      <c r="I1193" s="544"/>
      <c r="J1193" s="544"/>
      <c r="K1193" s="544"/>
      <c r="L1193" s="544"/>
      <c r="M1193" s="544"/>
      <c r="N1193" s="544"/>
      <c r="O1193" s="544"/>
    </row>
    <row r="1194" spans="1:15" s="328" customFormat="1" x14ac:dyDescent="0.2">
      <c r="A1194" s="329" t="s">
        <v>39791</v>
      </c>
      <c r="B1194" s="542" t="s">
        <v>5917</v>
      </c>
      <c r="C1194" s="542"/>
      <c r="D1194" s="542"/>
      <c r="E1194" s="542"/>
      <c r="F1194" s="542"/>
      <c r="G1194" s="542"/>
      <c r="H1194" s="542"/>
      <c r="I1194" s="542"/>
      <c r="J1194" s="542"/>
      <c r="K1194" s="542"/>
      <c r="L1194" s="542"/>
      <c r="M1194" s="542"/>
      <c r="N1194" s="329" t="s">
        <v>39197</v>
      </c>
      <c r="O1194" s="330" t="s">
        <v>39792</v>
      </c>
    </row>
    <row r="1195" spans="1:15" s="328" customFormat="1" ht="39.950000000000003" customHeight="1" x14ac:dyDescent="0.2">
      <c r="A1195" s="331" t="str">
        <f>ORCAMENTO!A195</f>
        <v>9.5.1</v>
      </c>
      <c r="B1195" s="543" t="str">
        <f>VLOOKUP(A1195,ORCAMENTO!A:I,4,0)</f>
        <v>TANQUE SÉPTICO CIRCULAR, EM CONCRETO PRÉ-MOLDADO, DIÂMETRO INTERNO = 1,40 M, ALTURA INTERNA = 2,50 M, VOLUME ÚTIL: 3463,6 L (PARA 13 CONTRIBUINTES). AF_12/2020</v>
      </c>
      <c r="C1195" s="543"/>
      <c r="D1195" s="543"/>
      <c r="E1195" s="543"/>
      <c r="F1195" s="543"/>
      <c r="G1195" s="543"/>
      <c r="H1195" s="543"/>
      <c r="I1195" s="543"/>
      <c r="J1195" s="543"/>
      <c r="K1195" s="543"/>
      <c r="L1195" s="543"/>
      <c r="M1195" s="543"/>
      <c r="N1195" s="331" t="str">
        <f>VLOOKUP(A1195,ORCAMENTO!A:I,5,0)</f>
        <v>UN</v>
      </c>
      <c r="O1195" s="332">
        <f>O1199</f>
        <v>1</v>
      </c>
    </row>
    <row r="1196" spans="1:15" s="328" customFormat="1" x14ac:dyDescent="0.2">
      <c r="A1196" s="539" t="s">
        <v>39793</v>
      </c>
      <c r="B1196" s="539"/>
      <c r="C1196" s="539"/>
      <c r="D1196" s="539"/>
      <c r="E1196" s="539"/>
      <c r="F1196" s="539"/>
      <c r="G1196" s="539"/>
      <c r="H1196" s="539"/>
      <c r="I1196" s="539"/>
      <c r="J1196" s="539"/>
      <c r="K1196" s="539"/>
      <c r="L1196" s="539"/>
      <c r="M1196" s="539"/>
      <c r="N1196" s="539"/>
      <c r="O1196" s="539"/>
    </row>
    <row r="1197" spans="1:15" s="328" customFormat="1" x14ac:dyDescent="0.2">
      <c r="A1197" s="539" t="s">
        <v>5917</v>
      </c>
      <c r="B1197" s="539"/>
      <c r="C1197" s="539"/>
      <c r="D1197" s="333"/>
      <c r="E1197" s="333"/>
      <c r="F1197" s="333"/>
      <c r="G1197" s="333"/>
      <c r="H1197" s="333"/>
      <c r="I1197" s="331"/>
      <c r="J1197" s="331"/>
      <c r="K1197" s="333"/>
      <c r="L1197" s="333"/>
      <c r="M1197" s="334" t="s">
        <v>39792</v>
      </c>
      <c r="N1197" s="333" t="s">
        <v>39794</v>
      </c>
      <c r="O1197" s="334" t="s">
        <v>39795</v>
      </c>
    </row>
    <row r="1198" spans="1:15" s="328" customFormat="1" x14ac:dyDescent="0.2">
      <c r="A1198" s="535" t="s">
        <v>39801</v>
      </c>
      <c r="B1198" s="535"/>
      <c r="C1198" s="535"/>
      <c r="D1198" s="333"/>
      <c r="E1198" s="333"/>
      <c r="F1198" s="333"/>
      <c r="G1198" s="333"/>
      <c r="H1198" s="333"/>
      <c r="I1198" s="331"/>
      <c r="J1198" s="331"/>
      <c r="K1198" s="339"/>
      <c r="L1198" s="332"/>
      <c r="M1198" s="339">
        <f>1</f>
        <v>1</v>
      </c>
      <c r="N1198" s="332" t="s">
        <v>39794</v>
      </c>
      <c r="O1198" s="332">
        <f>ROUND(M1198,2)</f>
        <v>1</v>
      </c>
    </row>
    <row r="1199" spans="1:15" s="328" customFormat="1" x14ac:dyDescent="0.2">
      <c r="A1199" s="540"/>
      <c r="B1199" s="540"/>
      <c r="C1199" s="540"/>
      <c r="D1199" s="540"/>
      <c r="E1199" s="540"/>
      <c r="F1199" s="540"/>
      <c r="G1199" s="540"/>
      <c r="H1199" s="540"/>
      <c r="I1199" s="540"/>
      <c r="J1199" s="540"/>
      <c r="K1199" s="540"/>
      <c r="L1199" s="334" t="s">
        <v>39796</v>
      </c>
      <c r="M1199" s="334" t="s">
        <v>39168</v>
      </c>
      <c r="N1199" s="333" t="s">
        <v>39794</v>
      </c>
      <c r="O1199" s="334">
        <f>SUM(O1197:O1198)</f>
        <v>1</v>
      </c>
    </row>
    <row r="1200" spans="1:15" s="328" customFormat="1" x14ac:dyDescent="0.2">
      <c r="A1200" s="329" t="s">
        <v>39791</v>
      </c>
      <c r="B1200" s="542" t="s">
        <v>5917</v>
      </c>
      <c r="C1200" s="542"/>
      <c r="D1200" s="542"/>
      <c r="E1200" s="542"/>
      <c r="F1200" s="542"/>
      <c r="G1200" s="542"/>
      <c r="H1200" s="542"/>
      <c r="I1200" s="542"/>
      <c r="J1200" s="542"/>
      <c r="K1200" s="542"/>
      <c r="L1200" s="542"/>
      <c r="M1200" s="542"/>
      <c r="N1200" s="329" t="s">
        <v>39197</v>
      </c>
      <c r="O1200" s="330" t="s">
        <v>39792</v>
      </c>
    </row>
    <row r="1201" spans="1:15" s="328" customFormat="1" ht="39.950000000000003" customHeight="1" x14ac:dyDescent="0.2">
      <c r="A1201" s="331" t="str">
        <f>ORCAMENTO!A196</f>
        <v>9.5.2</v>
      </c>
      <c r="B1201" s="543" t="str">
        <f>VLOOKUP(A1201,ORCAMENTO!A:I,4,0)</f>
        <v>FILTRO ANAERÓBIO CIRCULAR, EM CONCRETO PRÉ-MOLDADO, DIÂMETRO INTERNO = 1,10 M, ALTURA INTERNA = 1,50 M, VOLUME ÚTIL: 1140,4 L (PARA 5 CONTRIBUINTES). AF_12/2020</v>
      </c>
      <c r="C1201" s="543"/>
      <c r="D1201" s="543"/>
      <c r="E1201" s="543"/>
      <c r="F1201" s="543"/>
      <c r="G1201" s="543"/>
      <c r="H1201" s="543"/>
      <c r="I1201" s="543"/>
      <c r="J1201" s="543"/>
      <c r="K1201" s="543"/>
      <c r="L1201" s="543"/>
      <c r="M1201" s="543"/>
      <c r="N1201" s="331" t="str">
        <f>VLOOKUP(A1201,ORCAMENTO!A:I,5,0)</f>
        <v>UN</v>
      </c>
      <c r="O1201" s="332">
        <f>O1205</f>
        <v>1</v>
      </c>
    </row>
    <row r="1202" spans="1:15" s="328" customFormat="1" x14ac:dyDescent="0.2">
      <c r="A1202" s="539" t="s">
        <v>39793</v>
      </c>
      <c r="B1202" s="539"/>
      <c r="C1202" s="539"/>
      <c r="D1202" s="539"/>
      <c r="E1202" s="539"/>
      <c r="F1202" s="539"/>
      <c r="G1202" s="539"/>
      <c r="H1202" s="539"/>
      <c r="I1202" s="539"/>
      <c r="J1202" s="539"/>
      <c r="K1202" s="539"/>
      <c r="L1202" s="539"/>
      <c r="M1202" s="539"/>
      <c r="N1202" s="539"/>
      <c r="O1202" s="539"/>
    </row>
    <row r="1203" spans="1:15" s="328" customFormat="1" x14ac:dyDescent="0.2">
      <c r="A1203" s="539" t="s">
        <v>5917</v>
      </c>
      <c r="B1203" s="539"/>
      <c r="C1203" s="539"/>
      <c r="D1203" s="333"/>
      <c r="E1203" s="333"/>
      <c r="F1203" s="333"/>
      <c r="G1203" s="333"/>
      <c r="H1203" s="333"/>
      <c r="I1203" s="331"/>
      <c r="J1203" s="331"/>
      <c r="K1203" s="333"/>
      <c r="L1203" s="333"/>
      <c r="M1203" s="334" t="s">
        <v>39792</v>
      </c>
      <c r="N1203" s="333" t="s">
        <v>39794</v>
      </c>
      <c r="O1203" s="334" t="s">
        <v>39795</v>
      </c>
    </row>
    <row r="1204" spans="1:15" s="328" customFormat="1" x14ac:dyDescent="0.2">
      <c r="A1204" s="535" t="s">
        <v>39801</v>
      </c>
      <c r="B1204" s="535"/>
      <c r="C1204" s="535"/>
      <c r="D1204" s="333"/>
      <c r="E1204" s="333"/>
      <c r="F1204" s="333"/>
      <c r="G1204" s="333"/>
      <c r="H1204" s="333"/>
      <c r="I1204" s="331"/>
      <c r="J1204" s="331"/>
      <c r="K1204" s="339"/>
      <c r="L1204" s="332"/>
      <c r="M1204" s="339">
        <f>1</f>
        <v>1</v>
      </c>
      <c r="N1204" s="332" t="s">
        <v>39794</v>
      </c>
      <c r="O1204" s="332">
        <f>ROUND(M1204,2)</f>
        <v>1</v>
      </c>
    </row>
    <row r="1205" spans="1:15" s="328" customFormat="1" x14ac:dyDescent="0.2">
      <c r="A1205" s="540"/>
      <c r="B1205" s="540"/>
      <c r="C1205" s="540"/>
      <c r="D1205" s="540"/>
      <c r="E1205" s="540"/>
      <c r="F1205" s="540"/>
      <c r="G1205" s="540"/>
      <c r="H1205" s="540"/>
      <c r="I1205" s="540"/>
      <c r="J1205" s="540"/>
      <c r="K1205" s="540"/>
      <c r="L1205" s="334" t="s">
        <v>39796</v>
      </c>
      <c r="M1205" s="334" t="s">
        <v>39168</v>
      </c>
      <c r="N1205" s="333" t="s">
        <v>39794</v>
      </c>
      <c r="O1205" s="334">
        <f>SUM(O1203:O1204)</f>
        <v>1</v>
      </c>
    </row>
    <row r="1206" spans="1:15" s="328" customFormat="1" x14ac:dyDescent="0.2">
      <c r="A1206" s="329" t="s">
        <v>39791</v>
      </c>
      <c r="B1206" s="542" t="s">
        <v>5917</v>
      </c>
      <c r="C1206" s="542"/>
      <c r="D1206" s="542"/>
      <c r="E1206" s="542"/>
      <c r="F1206" s="542"/>
      <c r="G1206" s="542"/>
      <c r="H1206" s="542"/>
      <c r="I1206" s="542"/>
      <c r="J1206" s="542"/>
      <c r="K1206" s="542"/>
      <c r="L1206" s="542"/>
      <c r="M1206" s="542"/>
      <c r="N1206" s="329" t="s">
        <v>39197</v>
      </c>
      <c r="O1206" s="330" t="s">
        <v>39792</v>
      </c>
    </row>
    <row r="1207" spans="1:15" s="328" customFormat="1" ht="39.950000000000003" customHeight="1" x14ac:dyDescent="0.2">
      <c r="A1207" s="331" t="str">
        <f>ORCAMENTO!A197</f>
        <v>9.5.3</v>
      </c>
      <c r="B1207" s="543" t="str">
        <f>VLOOKUP(A1207,ORCAMENTO!A:I,4,0)</f>
        <v>SUMIDOURO RETANGULAR, EM ALVENARIA COM BLOCOS DE CONCRETO, DIMENSÕES INTERNAS: 1,6 X 3,4 X H=3,0 M, ÁREA DE INFILTRAÇÃO: 32,9 M² (PARA 13 CONTRIBUINTES). . AF_12/2020</v>
      </c>
      <c r="C1207" s="543"/>
      <c r="D1207" s="543"/>
      <c r="E1207" s="543"/>
      <c r="F1207" s="543"/>
      <c r="G1207" s="543"/>
      <c r="H1207" s="543"/>
      <c r="I1207" s="543"/>
      <c r="J1207" s="543"/>
      <c r="K1207" s="543"/>
      <c r="L1207" s="543"/>
      <c r="M1207" s="543"/>
      <c r="N1207" s="331" t="str">
        <f>VLOOKUP(A1207,ORCAMENTO!A:I,5,0)</f>
        <v>UN</v>
      </c>
      <c r="O1207" s="332">
        <f>O1211</f>
        <v>1</v>
      </c>
    </row>
    <row r="1208" spans="1:15" s="328" customFormat="1" x14ac:dyDescent="0.2">
      <c r="A1208" s="539" t="s">
        <v>39793</v>
      </c>
      <c r="B1208" s="539"/>
      <c r="C1208" s="539"/>
      <c r="D1208" s="539"/>
      <c r="E1208" s="539"/>
      <c r="F1208" s="539"/>
      <c r="G1208" s="539"/>
      <c r="H1208" s="539"/>
      <c r="I1208" s="539"/>
      <c r="J1208" s="539"/>
      <c r="K1208" s="539"/>
      <c r="L1208" s="539"/>
      <c r="M1208" s="539"/>
      <c r="N1208" s="539"/>
      <c r="O1208" s="539"/>
    </row>
    <row r="1209" spans="1:15" s="328" customFormat="1" x14ac:dyDescent="0.2">
      <c r="A1209" s="539" t="s">
        <v>5917</v>
      </c>
      <c r="B1209" s="539"/>
      <c r="C1209" s="539"/>
      <c r="D1209" s="333"/>
      <c r="E1209" s="333"/>
      <c r="F1209" s="333"/>
      <c r="G1209" s="333"/>
      <c r="H1209" s="333"/>
      <c r="I1209" s="331"/>
      <c r="J1209" s="331"/>
      <c r="K1209" s="333"/>
      <c r="L1209" s="333"/>
      <c r="M1209" s="334" t="s">
        <v>39792</v>
      </c>
      <c r="N1209" s="333" t="s">
        <v>39794</v>
      </c>
      <c r="O1209" s="334" t="s">
        <v>39795</v>
      </c>
    </row>
    <row r="1210" spans="1:15" s="328" customFormat="1" x14ac:dyDescent="0.2">
      <c r="A1210" s="535" t="s">
        <v>39801</v>
      </c>
      <c r="B1210" s="535"/>
      <c r="C1210" s="535"/>
      <c r="D1210" s="333"/>
      <c r="E1210" s="333"/>
      <c r="F1210" s="333"/>
      <c r="G1210" s="333"/>
      <c r="H1210" s="333"/>
      <c r="I1210" s="331"/>
      <c r="J1210" s="331"/>
      <c r="K1210" s="339"/>
      <c r="L1210" s="332"/>
      <c r="M1210" s="339">
        <f>1</f>
        <v>1</v>
      </c>
      <c r="N1210" s="332" t="s">
        <v>39794</v>
      </c>
      <c r="O1210" s="332">
        <f>ROUND(M1210,2)</f>
        <v>1</v>
      </c>
    </row>
    <row r="1211" spans="1:15" s="328" customFormat="1" x14ac:dyDescent="0.2">
      <c r="A1211" s="540"/>
      <c r="B1211" s="540"/>
      <c r="C1211" s="540"/>
      <c r="D1211" s="540"/>
      <c r="E1211" s="540"/>
      <c r="F1211" s="540"/>
      <c r="G1211" s="540"/>
      <c r="H1211" s="540"/>
      <c r="I1211" s="540"/>
      <c r="J1211" s="540"/>
      <c r="K1211" s="540"/>
      <c r="L1211" s="334" t="s">
        <v>39796</v>
      </c>
      <c r="M1211" s="334" t="s">
        <v>39168</v>
      </c>
      <c r="N1211" s="333" t="s">
        <v>39794</v>
      </c>
      <c r="O1211" s="334">
        <f>SUM(O1209:O1210)</f>
        <v>1</v>
      </c>
    </row>
    <row r="1212" spans="1:15" s="328" customFormat="1" x14ac:dyDescent="0.2">
      <c r="A1212" s="336">
        <f>ORCAMENTO!A199</f>
        <v>10</v>
      </c>
      <c r="B1212" s="545" t="str">
        <f>VLOOKUP(A1212,ORCAMENTO!A:I,4,0)</f>
        <v>INSTALAÇÕES PLUVIAIS</v>
      </c>
      <c r="C1212" s="545"/>
      <c r="D1212" s="545"/>
      <c r="E1212" s="545"/>
      <c r="F1212" s="545"/>
      <c r="G1212" s="545"/>
      <c r="H1212" s="545"/>
      <c r="I1212" s="545"/>
      <c r="J1212" s="545"/>
      <c r="K1212" s="545"/>
      <c r="L1212" s="545"/>
      <c r="M1212" s="545"/>
      <c r="N1212" s="545"/>
      <c r="O1212" s="545"/>
    </row>
    <row r="1213" spans="1:15" s="328" customFormat="1" x14ac:dyDescent="0.2">
      <c r="A1213" s="347" t="str">
        <f>ORCAMENTO!A200</f>
        <v>10.1</v>
      </c>
      <c r="B1213" s="544" t="str">
        <f>VLOOKUP(A1213,ORCAMENTO!A:I,4,0)</f>
        <v>TUBOS E CONEXÕES</v>
      </c>
      <c r="C1213" s="544"/>
      <c r="D1213" s="544"/>
      <c r="E1213" s="544"/>
      <c r="F1213" s="544"/>
      <c r="G1213" s="544"/>
      <c r="H1213" s="544"/>
      <c r="I1213" s="544"/>
      <c r="J1213" s="544"/>
      <c r="K1213" s="544"/>
      <c r="L1213" s="544"/>
      <c r="M1213" s="544"/>
      <c r="N1213" s="544"/>
      <c r="O1213" s="544"/>
    </row>
    <row r="1214" spans="1:15" s="328" customFormat="1" x14ac:dyDescent="0.2">
      <c r="A1214" s="329" t="s">
        <v>39791</v>
      </c>
      <c r="B1214" s="542" t="s">
        <v>5917</v>
      </c>
      <c r="C1214" s="542"/>
      <c r="D1214" s="542"/>
      <c r="E1214" s="542"/>
      <c r="F1214" s="542"/>
      <c r="G1214" s="542"/>
      <c r="H1214" s="542"/>
      <c r="I1214" s="542"/>
      <c r="J1214" s="542"/>
      <c r="K1214" s="542"/>
      <c r="L1214" s="542"/>
      <c r="M1214" s="542"/>
      <c r="N1214" s="329" t="s">
        <v>39197</v>
      </c>
      <c r="O1214" s="330" t="s">
        <v>39792</v>
      </c>
    </row>
    <row r="1215" spans="1:15" s="328" customFormat="1" ht="12.75" customHeight="1" x14ac:dyDescent="0.2">
      <c r="A1215" s="331" t="str">
        <f>ORCAMENTO!A201</f>
        <v>10.1.1</v>
      </c>
      <c r="B1215" s="543" t="str">
        <f>VLOOKUP(A1215,ORCAMENTO!A:I,4,0)</f>
        <v>TUBO PVC, SÉRIE R, ÁGUA PLUVIAL, DN 150 MM, FORNECIDO E INSTALADO EM RAMAL DE ENCAMINHAMENTO. AF_06/2022</v>
      </c>
      <c r="C1215" s="543"/>
      <c r="D1215" s="543"/>
      <c r="E1215" s="543"/>
      <c r="F1215" s="543"/>
      <c r="G1215" s="543"/>
      <c r="H1215" s="543"/>
      <c r="I1215" s="543"/>
      <c r="J1215" s="543"/>
      <c r="K1215" s="543"/>
      <c r="L1215" s="543"/>
      <c r="M1215" s="543"/>
      <c r="N1215" s="331" t="str">
        <f>VLOOKUP(A1215,ORCAMENTO!A:I,5,0)</f>
        <v>M</v>
      </c>
      <c r="O1215" s="332">
        <f>O1219</f>
        <v>124.8</v>
      </c>
    </row>
    <row r="1216" spans="1:15" s="328" customFormat="1" x14ac:dyDescent="0.2">
      <c r="A1216" s="539" t="s">
        <v>39793</v>
      </c>
      <c r="B1216" s="539"/>
      <c r="C1216" s="539"/>
      <c r="D1216" s="539"/>
      <c r="E1216" s="539"/>
      <c r="F1216" s="539"/>
      <c r="G1216" s="539"/>
      <c r="H1216" s="539"/>
      <c r="I1216" s="539"/>
      <c r="J1216" s="539"/>
      <c r="K1216" s="539"/>
      <c r="L1216" s="539"/>
      <c r="M1216" s="539"/>
      <c r="N1216" s="539"/>
      <c r="O1216" s="539"/>
    </row>
    <row r="1217" spans="1:15" s="328" customFormat="1" x14ac:dyDescent="0.2">
      <c r="A1217" s="539" t="s">
        <v>5917</v>
      </c>
      <c r="B1217" s="539"/>
      <c r="C1217" s="539"/>
      <c r="D1217" s="333"/>
      <c r="E1217" s="333"/>
      <c r="F1217" s="333"/>
      <c r="G1217" s="333"/>
      <c r="H1217" s="333"/>
      <c r="I1217" s="331"/>
      <c r="J1217" s="331"/>
      <c r="K1217" s="333"/>
      <c r="L1217" s="333"/>
      <c r="M1217" s="334" t="s">
        <v>39802</v>
      </c>
      <c r="N1217" s="333" t="s">
        <v>39794</v>
      </c>
      <c r="O1217" s="334" t="s">
        <v>39795</v>
      </c>
    </row>
    <row r="1218" spans="1:15" s="328" customFormat="1" x14ac:dyDescent="0.2">
      <c r="A1218" s="535" t="s">
        <v>39801</v>
      </c>
      <c r="B1218" s="535"/>
      <c r="C1218" s="535"/>
      <c r="D1218" s="333"/>
      <c r="E1218" s="333"/>
      <c r="F1218" s="333"/>
      <c r="G1218" s="333"/>
      <c r="H1218" s="333"/>
      <c r="I1218" s="331"/>
      <c r="J1218" s="331"/>
      <c r="K1218" s="339"/>
      <c r="L1218" s="332"/>
      <c r="M1218" s="339">
        <f>124.8</f>
        <v>124.8</v>
      </c>
      <c r="N1218" s="332" t="s">
        <v>39794</v>
      </c>
      <c r="O1218" s="332">
        <f>ROUND(M1218,2)</f>
        <v>124.8</v>
      </c>
    </row>
    <row r="1219" spans="1:15" s="328" customFormat="1" x14ac:dyDescent="0.2">
      <c r="A1219" s="540"/>
      <c r="B1219" s="540"/>
      <c r="C1219" s="540"/>
      <c r="D1219" s="540"/>
      <c r="E1219" s="540"/>
      <c r="F1219" s="540"/>
      <c r="G1219" s="540"/>
      <c r="H1219" s="540"/>
      <c r="I1219" s="540"/>
      <c r="J1219" s="540"/>
      <c r="K1219" s="540"/>
      <c r="L1219" s="334" t="s">
        <v>39796</v>
      </c>
      <c r="M1219" s="334" t="s">
        <v>39168</v>
      </c>
      <c r="N1219" s="333" t="s">
        <v>39794</v>
      </c>
      <c r="O1219" s="334">
        <f>SUM(O1217:O1218)</f>
        <v>124.8</v>
      </c>
    </row>
    <row r="1220" spans="1:15" s="328" customFormat="1" x14ac:dyDescent="0.2">
      <c r="A1220" s="329" t="s">
        <v>39791</v>
      </c>
      <c r="B1220" s="542" t="s">
        <v>5917</v>
      </c>
      <c r="C1220" s="542"/>
      <c r="D1220" s="542"/>
      <c r="E1220" s="542"/>
      <c r="F1220" s="542"/>
      <c r="G1220" s="542"/>
      <c r="H1220" s="542"/>
      <c r="I1220" s="542"/>
      <c r="J1220" s="542"/>
      <c r="K1220" s="542"/>
      <c r="L1220" s="542"/>
      <c r="M1220" s="542"/>
      <c r="N1220" s="329" t="s">
        <v>39197</v>
      </c>
      <c r="O1220" s="330" t="s">
        <v>39792</v>
      </c>
    </row>
    <row r="1221" spans="1:15" s="328" customFormat="1" ht="39.950000000000003" customHeight="1" x14ac:dyDescent="0.2">
      <c r="A1221" s="331" t="str">
        <f>ORCAMENTO!A202</f>
        <v>10.1.2</v>
      </c>
      <c r="B1221" s="543" t="str">
        <f>VLOOKUP(A1221,ORCAMENTO!A:I,4,0)</f>
        <v>TUBO PVC, SÉRIE R, ÁGUA PLUVIAL, DN 100 MM, FORNECIDO E INSTALADO EM CONDUTORES VERTICAIS DE ÁGUAS PLUVIAIS. AF_06/2022</v>
      </c>
      <c r="C1221" s="543"/>
      <c r="D1221" s="543"/>
      <c r="E1221" s="543"/>
      <c r="F1221" s="543"/>
      <c r="G1221" s="543"/>
      <c r="H1221" s="543"/>
      <c r="I1221" s="543"/>
      <c r="J1221" s="543"/>
      <c r="K1221" s="543"/>
      <c r="L1221" s="543"/>
      <c r="M1221" s="543"/>
      <c r="N1221" s="331" t="str">
        <f>VLOOKUP(A1221,ORCAMENTO!A:I,5,0)</f>
        <v>M</v>
      </c>
      <c r="O1221" s="332">
        <f>O1225</f>
        <v>53.1</v>
      </c>
    </row>
    <row r="1222" spans="1:15" s="328" customFormat="1" x14ac:dyDescent="0.2">
      <c r="A1222" s="539" t="s">
        <v>39793</v>
      </c>
      <c r="B1222" s="539"/>
      <c r="C1222" s="539"/>
      <c r="D1222" s="539"/>
      <c r="E1222" s="539"/>
      <c r="F1222" s="539"/>
      <c r="G1222" s="539"/>
      <c r="H1222" s="539"/>
      <c r="I1222" s="539"/>
      <c r="J1222" s="539"/>
      <c r="K1222" s="539"/>
      <c r="L1222" s="539"/>
      <c r="M1222" s="539"/>
      <c r="N1222" s="539"/>
      <c r="O1222" s="539"/>
    </row>
    <row r="1223" spans="1:15" s="328" customFormat="1" x14ac:dyDescent="0.2">
      <c r="A1223" s="539" t="s">
        <v>5917</v>
      </c>
      <c r="B1223" s="539"/>
      <c r="C1223" s="539"/>
      <c r="D1223" s="333"/>
      <c r="E1223" s="333"/>
      <c r="F1223" s="333"/>
      <c r="G1223" s="333"/>
      <c r="H1223" s="333"/>
      <c r="I1223" s="331"/>
      <c r="J1223" s="331"/>
      <c r="K1223" s="333"/>
      <c r="L1223" s="333"/>
      <c r="M1223" s="334" t="s">
        <v>39802</v>
      </c>
      <c r="N1223" s="333" t="s">
        <v>39794</v>
      </c>
      <c r="O1223" s="334" t="s">
        <v>39795</v>
      </c>
    </row>
    <row r="1224" spans="1:15" s="328" customFormat="1" x14ac:dyDescent="0.2">
      <c r="A1224" s="535" t="s">
        <v>39801</v>
      </c>
      <c r="B1224" s="535"/>
      <c r="C1224" s="535"/>
      <c r="D1224" s="333"/>
      <c r="E1224" s="333"/>
      <c r="F1224" s="333"/>
      <c r="G1224" s="333"/>
      <c r="H1224" s="333"/>
      <c r="I1224" s="331"/>
      <c r="J1224" s="331"/>
      <c r="K1224" s="339"/>
      <c r="L1224" s="332"/>
      <c r="M1224" s="339">
        <f>53.1</f>
        <v>53.1</v>
      </c>
      <c r="N1224" s="332" t="s">
        <v>39794</v>
      </c>
      <c r="O1224" s="332">
        <f>ROUND(M1224,2)</f>
        <v>53.1</v>
      </c>
    </row>
    <row r="1225" spans="1:15" s="328" customFormat="1" x14ac:dyDescent="0.2">
      <c r="A1225" s="540"/>
      <c r="B1225" s="540"/>
      <c r="C1225" s="540"/>
      <c r="D1225" s="540"/>
      <c r="E1225" s="540"/>
      <c r="F1225" s="540"/>
      <c r="G1225" s="540"/>
      <c r="H1225" s="540"/>
      <c r="I1225" s="540"/>
      <c r="J1225" s="540"/>
      <c r="K1225" s="540"/>
      <c r="L1225" s="334" t="s">
        <v>39796</v>
      </c>
      <c r="M1225" s="334" t="s">
        <v>39168</v>
      </c>
      <c r="N1225" s="333" t="s">
        <v>39794</v>
      </c>
      <c r="O1225" s="334">
        <f>SUM(O1223:O1224)</f>
        <v>53.1</v>
      </c>
    </row>
    <row r="1226" spans="1:15" s="328" customFormat="1" x14ac:dyDescent="0.2">
      <c r="A1226" s="329" t="s">
        <v>39791</v>
      </c>
      <c r="B1226" s="542" t="s">
        <v>5917</v>
      </c>
      <c r="C1226" s="542"/>
      <c r="D1226" s="542"/>
      <c r="E1226" s="542"/>
      <c r="F1226" s="542"/>
      <c r="G1226" s="542"/>
      <c r="H1226" s="542"/>
      <c r="I1226" s="542"/>
      <c r="J1226" s="542"/>
      <c r="K1226" s="542"/>
      <c r="L1226" s="542"/>
      <c r="M1226" s="542"/>
      <c r="N1226" s="329" t="s">
        <v>39197</v>
      </c>
      <c r="O1226" s="330" t="s">
        <v>39792</v>
      </c>
    </row>
    <row r="1227" spans="1:15" s="328" customFormat="1" ht="12.75" customHeight="1" x14ac:dyDescent="0.2">
      <c r="A1227" s="331" t="str">
        <f>ORCAMENTO!A203</f>
        <v>10.1.3</v>
      </c>
      <c r="B1227" s="543" t="str">
        <f>VLOOKUP(A1227,ORCAMENTO!A:I,4,0)</f>
        <v>TUBO PVC, SÉRIE R, ÁGUA PLUVIAL, DN 40 MM, FORNECIDO E INSTALADO EM RAMAL DE ENCAMINHAMENTO. AF_06/2022</v>
      </c>
      <c r="C1227" s="543"/>
      <c r="D1227" s="543"/>
      <c r="E1227" s="543"/>
      <c r="F1227" s="543"/>
      <c r="G1227" s="543"/>
      <c r="H1227" s="543"/>
      <c r="I1227" s="543"/>
      <c r="J1227" s="543"/>
      <c r="K1227" s="543"/>
      <c r="L1227" s="543"/>
      <c r="M1227" s="543"/>
      <c r="N1227" s="331" t="str">
        <f>VLOOKUP(A1227,ORCAMENTO!A:I,5,0)</f>
        <v>M</v>
      </c>
      <c r="O1227" s="332">
        <f>O1231</f>
        <v>101.05</v>
      </c>
    </row>
    <row r="1228" spans="1:15" s="328" customFormat="1" x14ac:dyDescent="0.2">
      <c r="A1228" s="539" t="s">
        <v>39793</v>
      </c>
      <c r="B1228" s="539"/>
      <c r="C1228" s="539"/>
      <c r="D1228" s="539"/>
      <c r="E1228" s="539"/>
      <c r="F1228" s="539"/>
      <c r="G1228" s="539"/>
      <c r="H1228" s="539"/>
      <c r="I1228" s="539"/>
      <c r="J1228" s="539"/>
      <c r="K1228" s="539"/>
      <c r="L1228" s="539"/>
      <c r="M1228" s="539"/>
      <c r="N1228" s="539"/>
      <c r="O1228" s="539"/>
    </row>
    <row r="1229" spans="1:15" s="328" customFormat="1" x14ac:dyDescent="0.2">
      <c r="A1229" s="539" t="s">
        <v>5917</v>
      </c>
      <c r="B1229" s="539"/>
      <c r="C1229" s="539"/>
      <c r="D1229" s="333"/>
      <c r="E1229" s="333"/>
      <c r="F1229" s="333"/>
      <c r="G1229" s="333"/>
      <c r="H1229" s="333"/>
      <c r="I1229" s="331"/>
      <c r="J1229" s="331"/>
      <c r="K1229" s="333"/>
      <c r="L1229" s="333"/>
      <c r="M1229" s="334" t="s">
        <v>39802</v>
      </c>
      <c r="N1229" s="333" t="s">
        <v>39794</v>
      </c>
      <c r="O1229" s="334" t="s">
        <v>39795</v>
      </c>
    </row>
    <row r="1230" spans="1:15" s="328" customFormat="1" x14ac:dyDescent="0.2">
      <c r="A1230" s="535" t="s">
        <v>39801</v>
      </c>
      <c r="B1230" s="535"/>
      <c r="C1230" s="535"/>
      <c r="D1230" s="333"/>
      <c r="E1230" s="333"/>
      <c r="F1230" s="333"/>
      <c r="G1230" s="333"/>
      <c r="H1230" s="333"/>
      <c r="I1230" s="331"/>
      <c r="J1230" s="331"/>
      <c r="K1230" s="339"/>
      <c r="L1230" s="332"/>
      <c r="M1230" s="339">
        <f>101.05</f>
        <v>101.05</v>
      </c>
      <c r="N1230" s="332" t="s">
        <v>39794</v>
      </c>
      <c r="O1230" s="332">
        <f>ROUND(M1230,2)</f>
        <v>101.05</v>
      </c>
    </row>
    <row r="1231" spans="1:15" s="328" customFormat="1" x14ac:dyDescent="0.2">
      <c r="A1231" s="540"/>
      <c r="B1231" s="540"/>
      <c r="C1231" s="540"/>
      <c r="D1231" s="540"/>
      <c r="E1231" s="540"/>
      <c r="F1231" s="540"/>
      <c r="G1231" s="540"/>
      <c r="H1231" s="540"/>
      <c r="I1231" s="540"/>
      <c r="J1231" s="540"/>
      <c r="K1231" s="540"/>
      <c r="L1231" s="334" t="s">
        <v>39796</v>
      </c>
      <c r="M1231" s="334" t="s">
        <v>39168</v>
      </c>
      <c r="N1231" s="333" t="s">
        <v>39794</v>
      </c>
      <c r="O1231" s="334">
        <f>SUM(O1229:O1230)</f>
        <v>101.05</v>
      </c>
    </row>
    <row r="1232" spans="1:15" s="328" customFormat="1" x14ac:dyDescent="0.2">
      <c r="A1232" s="329" t="s">
        <v>39791</v>
      </c>
      <c r="B1232" s="542" t="s">
        <v>5917</v>
      </c>
      <c r="C1232" s="542"/>
      <c r="D1232" s="542"/>
      <c r="E1232" s="542"/>
      <c r="F1232" s="542"/>
      <c r="G1232" s="542"/>
      <c r="H1232" s="542"/>
      <c r="I1232" s="542"/>
      <c r="J1232" s="542"/>
      <c r="K1232" s="542"/>
      <c r="L1232" s="542"/>
      <c r="M1232" s="542"/>
      <c r="N1232" s="329" t="s">
        <v>39197</v>
      </c>
      <c r="O1232" s="330" t="s">
        <v>39792</v>
      </c>
    </row>
    <row r="1233" spans="1:15" s="328" customFormat="1" ht="39.950000000000003" customHeight="1" x14ac:dyDescent="0.2">
      <c r="A1233" s="331" t="str">
        <f>ORCAMENTO!A204</f>
        <v>10.1.4</v>
      </c>
      <c r="B1233" s="543" t="str">
        <f>VLOOKUP(A1233,ORCAMENTO!A:I,4,0)</f>
        <v>JOELHO 90 GRAUS, PVC, SERIE R, ÁGUA PLUVIAL, DN 100 MM, JUNTA ELÁSTICA, FORNECIDO E INSTALADO EM CONDUTORES VERTICAIS DE ÁGUAS PLUVIAIS. AF_06/2022</v>
      </c>
      <c r="C1233" s="543"/>
      <c r="D1233" s="543"/>
      <c r="E1233" s="543"/>
      <c r="F1233" s="543"/>
      <c r="G1233" s="543"/>
      <c r="H1233" s="543"/>
      <c r="I1233" s="543"/>
      <c r="J1233" s="543"/>
      <c r="K1233" s="543"/>
      <c r="L1233" s="543"/>
      <c r="M1233" s="543"/>
      <c r="N1233" s="331" t="str">
        <f>VLOOKUP(A1233,ORCAMENTO!A:I,5,0)</f>
        <v>UN</v>
      </c>
      <c r="O1233" s="332">
        <f>O1237</f>
        <v>22</v>
      </c>
    </row>
    <row r="1234" spans="1:15" s="328" customFormat="1" x14ac:dyDescent="0.2">
      <c r="A1234" s="539" t="s">
        <v>39793</v>
      </c>
      <c r="B1234" s="539"/>
      <c r="C1234" s="539"/>
      <c r="D1234" s="539"/>
      <c r="E1234" s="539"/>
      <c r="F1234" s="539"/>
      <c r="G1234" s="539"/>
      <c r="H1234" s="539"/>
      <c r="I1234" s="539"/>
      <c r="J1234" s="539"/>
      <c r="K1234" s="539"/>
      <c r="L1234" s="539"/>
      <c r="M1234" s="539"/>
      <c r="N1234" s="539"/>
      <c r="O1234" s="539"/>
    </row>
    <row r="1235" spans="1:15" s="328" customFormat="1" x14ac:dyDescent="0.2">
      <c r="A1235" s="539" t="s">
        <v>5917</v>
      </c>
      <c r="B1235" s="539"/>
      <c r="C1235" s="539"/>
      <c r="D1235" s="333"/>
      <c r="E1235" s="333"/>
      <c r="F1235" s="333"/>
      <c r="G1235" s="333"/>
      <c r="H1235" s="333"/>
      <c r="I1235" s="331"/>
      <c r="J1235" s="331"/>
      <c r="K1235" s="333"/>
      <c r="L1235" s="333"/>
      <c r="M1235" s="334" t="s">
        <v>39792</v>
      </c>
      <c r="N1235" s="333" t="s">
        <v>39794</v>
      </c>
      <c r="O1235" s="334" t="s">
        <v>39795</v>
      </c>
    </row>
    <row r="1236" spans="1:15" s="328" customFormat="1" x14ac:dyDescent="0.2">
      <c r="A1236" s="535" t="s">
        <v>39801</v>
      </c>
      <c r="B1236" s="535"/>
      <c r="C1236" s="535"/>
      <c r="D1236" s="333"/>
      <c r="E1236" s="333"/>
      <c r="F1236" s="333"/>
      <c r="G1236" s="333"/>
      <c r="H1236" s="333"/>
      <c r="I1236" s="331"/>
      <c r="J1236" s="331"/>
      <c r="K1236" s="339"/>
      <c r="L1236" s="332"/>
      <c r="M1236" s="339">
        <f>22</f>
        <v>22</v>
      </c>
      <c r="N1236" s="332" t="s">
        <v>39794</v>
      </c>
      <c r="O1236" s="332">
        <f>ROUND(M1236,2)</f>
        <v>22</v>
      </c>
    </row>
    <row r="1237" spans="1:15" s="328" customFormat="1" x14ac:dyDescent="0.2">
      <c r="A1237" s="540"/>
      <c r="B1237" s="540"/>
      <c r="C1237" s="540"/>
      <c r="D1237" s="540"/>
      <c r="E1237" s="540"/>
      <c r="F1237" s="540"/>
      <c r="G1237" s="540"/>
      <c r="H1237" s="540"/>
      <c r="I1237" s="540"/>
      <c r="J1237" s="540"/>
      <c r="K1237" s="540"/>
      <c r="L1237" s="334" t="s">
        <v>39796</v>
      </c>
      <c r="M1237" s="334" t="s">
        <v>39168</v>
      </c>
      <c r="N1237" s="333" t="s">
        <v>39794</v>
      </c>
      <c r="O1237" s="334">
        <f>SUM(O1235:O1236)</f>
        <v>22</v>
      </c>
    </row>
    <row r="1238" spans="1:15" s="328" customFormat="1" x14ac:dyDescent="0.2">
      <c r="A1238" s="329" t="s">
        <v>39791</v>
      </c>
      <c r="B1238" s="542" t="s">
        <v>5917</v>
      </c>
      <c r="C1238" s="542"/>
      <c r="D1238" s="542"/>
      <c r="E1238" s="542"/>
      <c r="F1238" s="542"/>
      <c r="G1238" s="542"/>
      <c r="H1238" s="542"/>
      <c r="I1238" s="542"/>
      <c r="J1238" s="542"/>
      <c r="K1238" s="542"/>
      <c r="L1238" s="542"/>
      <c r="M1238" s="542"/>
      <c r="N1238" s="329" t="s">
        <v>39197</v>
      </c>
      <c r="O1238" s="330" t="s">
        <v>39792</v>
      </c>
    </row>
    <row r="1239" spans="1:15" s="328" customFormat="1" ht="39.950000000000003" customHeight="1" x14ac:dyDescent="0.2">
      <c r="A1239" s="331" t="str">
        <f>ORCAMENTO!A205</f>
        <v>10.1.5</v>
      </c>
      <c r="B1239" s="543" t="str">
        <f>VLOOKUP(A1239,ORCAMENTO!A:I,4,0)</f>
        <v>JOELHO 90 GRAUS, PVC, SERIE R, ÁGUA PLUVIAL, DN 40 MM, JUNTA SOLDÁVEL, FORNECIDO E INSTALADO EM RAMAL DE ENCAMINHAMENTO. AF_06/2022</v>
      </c>
      <c r="C1239" s="543"/>
      <c r="D1239" s="543"/>
      <c r="E1239" s="543"/>
      <c r="F1239" s="543"/>
      <c r="G1239" s="543"/>
      <c r="H1239" s="543"/>
      <c r="I1239" s="543"/>
      <c r="J1239" s="543"/>
      <c r="K1239" s="543"/>
      <c r="L1239" s="543"/>
      <c r="M1239" s="543"/>
      <c r="N1239" s="331" t="str">
        <f>VLOOKUP(A1239,ORCAMENTO!A:I,5,0)</f>
        <v>UN</v>
      </c>
      <c r="O1239" s="332">
        <f>O1243</f>
        <v>24</v>
      </c>
    </row>
    <row r="1240" spans="1:15" s="328" customFormat="1" x14ac:dyDescent="0.2">
      <c r="A1240" s="539" t="s">
        <v>39793</v>
      </c>
      <c r="B1240" s="539"/>
      <c r="C1240" s="539"/>
      <c r="D1240" s="539"/>
      <c r="E1240" s="539"/>
      <c r="F1240" s="539"/>
      <c r="G1240" s="539"/>
      <c r="H1240" s="539"/>
      <c r="I1240" s="539"/>
      <c r="J1240" s="539"/>
      <c r="K1240" s="539"/>
      <c r="L1240" s="539"/>
      <c r="M1240" s="539"/>
      <c r="N1240" s="539"/>
      <c r="O1240" s="539"/>
    </row>
    <row r="1241" spans="1:15" s="328" customFormat="1" x14ac:dyDescent="0.2">
      <c r="A1241" s="539" t="s">
        <v>5917</v>
      </c>
      <c r="B1241" s="539"/>
      <c r="C1241" s="539"/>
      <c r="D1241" s="333"/>
      <c r="E1241" s="333"/>
      <c r="F1241" s="333"/>
      <c r="G1241" s="333"/>
      <c r="H1241" s="333"/>
      <c r="I1241" s="331"/>
      <c r="J1241" s="331"/>
      <c r="K1241" s="333"/>
      <c r="L1241" s="333"/>
      <c r="M1241" s="334" t="s">
        <v>39792</v>
      </c>
      <c r="N1241" s="333" t="s">
        <v>39794</v>
      </c>
      <c r="O1241" s="334" t="s">
        <v>39795</v>
      </c>
    </row>
    <row r="1242" spans="1:15" s="328" customFormat="1" x14ac:dyDescent="0.2">
      <c r="A1242" s="535" t="s">
        <v>39801</v>
      </c>
      <c r="B1242" s="535"/>
      <c r="C1242" s="535"/>
      <c r="D1242" s="333"/>
      <c r="E1242" s="333"/>
      <c r="F1242" s="333"/>
      <c r="G1242" s="333"/>
      <c r="H1242" s="333"/>
      <c r="I1242" s="331"/>
      <c r="J1242" s="331"/>
      <c r="K1242" s="339"/>
      <c r="L1242" s="332"/>
      <c r="M1242" s="339">
        <f>24</f>
        <v>24</v>
      </c>
      <c r="N1242" s="332" t="s">
        <v>39794</v>
      </c>
      <c r="O1242" s="332">
        <f>ROUND(M1242,2)</f>
        <v>24</v>
      </c>
    </row>
    <row r="1243" spans="1:15" s="328" customFormat="1" x14ac:dyDescent="0.2">
      <c r="A1243" s="540"/>
      <c r="B1243" s="540"/>
      <c r="C1243" s="540"/>
      <c r="D1243" s="540"/>
      <c r="E1243" s="540"/>
      <c r="F1243" s="540"/>
      <c r="G1243" s="540"/>
      <c r="H1243" s="540"/>
      <c r="I1243" s="540"/>
      <c r="J1243" s="540"/>
      <c r="K1243" s="540"/>
      <c r="L1243" s="334" t="s">
        <v>39796</v>
      </c>
      <c r="M1243" s="334" t="s">
        <v>39168</v>
      </c>
      <c r="N1243" s="333" t="s">
        <v>39794</v>
      </c>
      <c r="O1243" s="334">
        <f>SUM(O1241:O1242)</f>
        <v>24</v>
      </c>
    </row>
    <row r="1244" spans="1:15" s="328" customFormat="1" x14ac:dyDescent="0.2">
      <c r="A1244" s="329" t="s">
        <v>39791</v>
      </c>
      <c r="B1244" s="542" t="s">
        <v>5917</v>
      </c>
      <c r="C1244" s="542"/>
      <c r="D1244" s="542"/>
      <c r="E1244" s="542"/>
      <c r="F1244" s="542"/>
      <c r="G1244" s="542"/>
      <c r="H1244" s="542"/>
      <c r="I1244" s="542"/>
      <c r="J1244" s="542"/>
      <c r="K1244" s="542"/>
      <c r="L1244" s="542"/>
      <c r="M1244" s="542"/>
      <c r="N1244" s="329" t="s">
        <v>39197</v>
      </c>
      <c r="O1244" s="330" t="s">
        <v>39792</v>
      </c>
    </row>
    <row r="1245" spans="1:15" s="328" customFormat="1" ht="39.950000000000003" customHeight="1" x14ac:dyDescent="0.2">
      <c r="A1245" s="331" t="str">
        <f>ORCAMENTO!A206</f>
        <v>10.1.6</v>
      </c>
      <c r="B1245" s="543" t="str">
        <f>VLOOKUP(A1245,ORCAMENTO!A:I,4,0)</f>
        <v>JOELHO 45 GRAUS, PVC, SERIE R, ÁGUA PLUVIAL, DN 40 MM, JUNTA SOLDÁVEL, FORNECIDO E INSTALADO EM RAMAL DE ENCAMINHAMENTO. AF_06/2022</v>
      </c>
      <c r="C1245" s="543"/>
      <c r="D1245" s="543"/>
      <c r="E1245" s="543"/>
      <c r="F1245" s="543"/>
      <c r="G1245" s="543"/>
      <c r="H1245" s="543"/>
      <c r="I1245" s="543"/>
      <c r="J1245" s="543"/>
      <c r="K1245" s="543"/>
      <c r="L1245" s="543"/>
      <c r="M1245" s="543"/>
      <c r="N1245" s="331" t="str">
        <f>VLOOKUP(A1245,ORCAMENTO!A:I,5,0)</f>
        <v>UN</v>
      </c>
      <c r="O1245" s="332">
        <f>O1249</f>
        <v>11</v>
      </c>
    </row>
    <row r="1246" spans="1:15" s="328" customFormat="1" x14ac:dyDescent="0.2">
      <c r="A1246" s="539" t="s">
        <v>39793</v>
      </c>
      <c r="B1246" s="539"/>
      <c r="C1246" s="539"/>
      <c r="D1246" s="539"/>
      <c r="E1246" s="539"/>
      <c r="F1246" s="539"/>
      <c r="G1246" s="539"/>
      <c r="H1246" s="539"/>
      <c r="I1246" s="539"/>
      <c r="J1246" s="539"/>
      <c r="K1246" s="539"/>
      <c r="L1246" s="539"/>
      <c r="M1246" s="539"/>
      <c r="N1246" s="539"/>
      <c r="O1246" s="539"/>
    </row>
    <row r="1247" spans="1:15" s="328" customFormat="1" x14ac:dyDescent="0.2">
      <c r="A1247" s="539" t="s">
        <v>5917</v>
      </c>
      <c r="B1247" s="539"/>
      <c r="C1247" s="539"/>
      <c r="D1247" s="333"/>
      <c r="E1247" s="333"/>
      <c r="F1247" s="333"/>
      <c r="G1247" s="333"/>
      <c r="H1247" s="333"/>
      <c r="I1247" s="331"/>
      <c r="J1247" s="331"/>
      <c r="K1247" s="333"/>
      <c r="L1247" s="333"/>
      <c r="M1247" s="334" t="s">
        <v>39792</v>
      </c>
      <c r="N1247" s="333" t="s">
        <v>39794</v>
      </c>
      <c r="O1247" s="334" t="s">
        <v>39795</v>
      </c>
    </row>
    <row r="1248" spans="1:15" s="328" customFormat="1" x14ac:dyDescent="0.2">
      <c r="A1248" s="535" t="s">
        <v>39801</v>
      </c>
      <c r="B1248" s="535"/>
      <c r="C1248" s="535"/>
      <c r="D1248" s="333"/>
      <c r="E1248" s="333"/>
      <c r="F1248" s="333"/>
      <c r="G1248" s="333"/>
      <c r="H1248" s="333"/>
      <c r="I1248" s="331"/>
      <c r="J1248" s="331"/>
      <c r="K1248" s="339"/>
      <c r="L1248" s="332"/>
      <c r="M1248" s="339">
        <f>11</f>
        <v>11</v>
      </c>
      <c r="N1248" s="332" t="s">
        <v>39794</v>
      </c>
      <c r="O1248" s="332">
        <f>ROUND(M1248,2)</f>
        <v>11</v>
      </c>
    </row>
    <row r="1249" spans="1:15" s="328" customFormat="1" x14ac:dyDescent="0.2">
      <c r="A1249" s="540"/>
      <c r="B1249" s="540"/>
      <c r="C1249" s="540"/>
      <c r="D1249" s="540"/>
      <c r="E1249" s="540"/>
      <c r="F1249" s="540"/>
      <c r="G1249" s="540"/>
      <c r="H1249" s="540"/>
      <c r="I1249" s="540"/>
      <c r="J1249" s="540"/>
      <c r="K1249" s="540"/>
      <c r="L1249" s="334" t="s">
        <v>39796</v>
      </c>
      <c r="M1249" s="334" t="s">
        <v>39168</v>
      </c>
      <c r="N1249" s="333" t="s">
        <v>39794</v>
      </c>
      <c r="O1249" s="334">
        <f>SUM(O1247:O1248)</f>
        <v>11</v>
      </c>
    </row>
    <row r="1250" spans="1:15" s="328" customFormat="1" x14ac:dyDescent="0.2">
      <c r="A1250" s="329" t="s">
        <v>39791</v>
      </c>
      <c r="B1250" s="542" t="s">
        <v>5917</v>
      </c>
      <c r="C1250" s="542"/>
      <c r="D1250" s="542"/>
      <c r="E1250" s="542"/>
      <c r="F1250" s="542"/>
      <c r="G1250" s="542"/>
      <c r="H1250" s="542"/>
      <c r="I1250" s="542"/>
      <c r="J1250" s="542"/>
      <c r="K1250" s="542"/>
      <c r="L1250" s="542"/>
      <c r="M1250" s="542"/>
      <c r="N1250" s="329" t="s">
        <v>39197</v>
      </c>
      <c r="O1250" s="330" t="s">
        <v>39792</v>
      </c>
    </row>
    <row r="1251" spans="1:15" s="328" customFormat="1" ht="39.950000000000003" customHeight="1" x14ac:dyDescent="0.2">
      <c r="A1251" s="331" t="str">
        <f>ORCAMENTO!A207</f>
        <v>10.1.7</v>
      </c>
      <c r="B1251" s="543" t="str">
        <f>VLOOKUP(A1251,ORCAMENTO!A:I,4,0)</f>
        <v>JUNÇÃO SIMPLES, PVC, SERIE R, ÁGUA PLUVIAL, DN 40 MM, JUNTA SOLDÁVEL, FORNECIDO E INSTALADO EM RAMAL DE ENCAMINHAMENTO. AF_06/2022</v>
      </c>
      <c r="C1251" s="543"/>
      <c r="D1251" s="543"/>
      <c r="E1251" s="543"/>
      <c r="F1251" s="543"/>
      <c r="G1251" s="543"/>
      <c r="H1251" s="543"/>
      <c r="I1251" s="543"/>
      <c r="J1251" s="543"/>
      <c r="K1251" s="543"/>
      <c r="L1251" s="543"/>
      <c r="M1251" s="543"/>
      <c r="N1251" s="331" t="str">
        <f>VLOOKUP(A1251,ORCAMENTO!A:I,5,0)</f>
        <v>UN</v>
      </c>
      <c r="O1251" s="332">
        <f>O1255</f>
        <v>8</v>
      </c>
    </row>
    <row r="1252" spans="1:15" s="328" customFormat="1" x14ac:dyDescent="0.2">
      <c r="A1252" s="539" t="s">
        <v>39793</v>
      </c>
      <c r="B1252" s="539"/>
      <c r="C1252" s="539"/>
      <c r="D1252" s="539"/>
      <c r="E1252" s="539"/>
      <c r="F1252" s="539"/>
      <c r="G1252" s="539"/>
      <c r="H1252" s="539"/>
      <c r="I1252" s="539"/>
      <c r="J1252" s="539"/>
      <c r="K1252" s="539"/>
      <c r="L1252" s="539"/>
      <c r="M1252" s="539"/>
      <c r="N1252" s="539"/>
      <c r="O1252" s="539"/>
    </row>
    <row r="1253" spans="1:15" s="328" customFormat="1" x14ac:dyDescent="0.2">
      <c r="A1253" s="539" t="s">
        <v>5917</v>
      </c>
      <c r="B1253" s="539"/>
      <c r="C1253" s="539"/>
      <c r="D1253" s="333"/>
      <c r="E1253" s="333"/>
      <c r="F1253" s="333"/>
      <c r="G1253" s="333"/>
      <c r="H1253" s="333"/>
      <c r="I1253" s="331"/>
      <c r="J1253" s="331"/>
      <c r="K1253" s="333"/>
      <c r="L1253" s="333"/>
      <c r="M1253" s="334" t="s">
        <v>39792</v>
      </c>
      <c r="N1253" s="333" t="s">
        <v>39794</v>
      </c>
      <c r="O1253" s="334" t="s">
        <v>39795</v>
      </c>
    </row>
    <row r="1254" spans="1:15" s="328" customFormat="1" x14ac:dyDescent="0.2">
      <c r="A1254" s="535" t="s">
        <v>39801</v>
      </c>
      <c r="B1254" s="535"/>
      <c r="C1254" s="535"/>
      <c r="D1254" s="333"/>
      <c r="E1254" s="333"/>
      <c r="F1254" s="333"/>
      <c r="G1254" s="333"/>
      <c r="H1254" s="333"/>
      <c r="I1254" s="331"/>
      <c r="J1254" s="331"/>
      <c r="K1254" s="339"/>
      <c r="L1254" s="332"/>
      <c r="M1254" s="339">
        <f>8</f>
        <v>8</v>
      </c>
      <c r="N1254" s="332" t="s">
        <v>39794</v>
      </c>
      <c r="O1254" s="332">
        <f>ROUND(M1254,2)</f>
        <v>8</v>
      </c>
    </row>
    <row r="1255" spans="1:15" s="328" customFormat="1" x14ac:dyDescent="0.2">
      <c r="A1255" s="540"/>
      <c r="B1255" s="540"/>
      <c r="C1255" s="540"/>
      <c r="D1255" s="540"/>
      <c r="E1255" s="540"/>
      <c r="F1255" s="540"/>
      <c r="G1255" s="540"/>
      <c r="H1255" s="540"/>
      <c r="I1255" s="540"/>
      <c r="J1255" s="540"/>
      <c r="K1255" s="540"/>
      <c r="L1255" s="334" t="s">
        <v>39796</v>
      </c>
      <c r="M1255" s="334" t="s">
        <v>39168</v>
      </c>
      <c r="N1255" s="333" t="s">
        <v>39794</v>
      </c>
      <c r="O1255" s="334">
        <f>SUM(O1253:O1254)</f>
        <v>8</v>
      </c>
    </row>
    <row r="1256" spans="1:15" s="328" customFormat="1" x14ac:dyDescent="0.2">
      <c r="A1256" s="347" t="str">
        <f>ORCAMENTO!A209</f>
        <v>10.2</v>
      </c>
      <c r="B1256" s="544" t="str">
        <f>VLOOKUP(A1256,ORCAMENTO!A:I,4,0)</f>
        <v>ESCAVAÇÕES E RASGOS</v>
      </c>
      <c r="C1256" s="544"/>
      <c r="D1256" s="544"/>
      <c r="E1256" s="544"/>
      <c r="F1256" s="544"/>
      <c r="G1256" s="544"/>
      <c r="H1256" s="544"/>
      <c r="I1256" s="544"/>
      <c r="J1256" s="544"/>
      <c r="K1256" s="544"/>
      <c r="L1256" s="544"/>
      <c r="M1256" s="544"/>
      <c r="N1256" s="544"/>
      <c r="O1256" s="544"/>
    </row>
    <row r="1257" spans="1:15" s="328" customFormat="1" x14ac:dyDescent="0.2">
      <c r="A1257" s="329" t="s">
        <v>39791</v>
      </c>
      <c r="B1257" s="542" t="s">
        <v>5917</v>
      </c>
      <c r="C1257" s="542"/>
      <c r="D1257" s="542"/>
      <c r="E1257" s="542"/>
      <c r="F1257" s="542"/>
      <c r="G1257" s="542"/>
      <c r="H1257" s="542"/>
      <c r="I1257" s="542"/>
      <c r="J1257" s="542"/>
      <c r="K1257" s="542"/>
      <c r="L1257" s="542"/>
      <c r="M1257" s="542"/>
      <c r="N1257" s="329" t="s">
        <v>39197</v>
      </c>
      <c r="O1257" s="330" t="s">
        <v>39792</v>
      </c>
    </row>
    <row r="1258" spans="1:15" s="328" customFormat="1" ht="39.950000000000003" customHeight="1" x14ac:dyDescent="0.2">
      <c r="A1258" s="331" t="str">
        <f>ORCAMENTO!A210</f>
        <v>10.2.1</v>
      </c>
      <c r="B1258" s="543" t="str">
        <f>VLOOKUP(A1258,ORCAMENTO!A:I,4,0)</f>
        <v>RASGO LINEAR MECANIZADO EM CONTRAPISO, PARA RAMAIS/ DISTRIBUIÇÃO DE INSTALAÇÕES HIDRÁULICAS, DIÂMETROS MAIORES QUE 75 MM E MENORES OU IGUAIS A 100 MM. AF_09/2023_PS</v>
      </c>
      <c r="C1258" s="543"/>
      <c r="D1258" s="543"/>
      <c r="E1258" s="543"/>
      <c r="F1258" s="543"/>
      <c r="G1258" s="543"/>
      <c r="H1258" s="543"/>
      <c r="I1258" s="543"/>
      <c r="J1258" s="543"/>
      <c r="K1258" s="543"/>
      <c r="L1258" s="543"/>
      <c r="M1258" s="543"/>
      <c r="N1258" s="331" t="str">
        <f>VLOOKUP(A1258,ORCAMENTO!A:I,5,0)</f>
        <v>M</v>
      </c>
      <c r="O1258" s="332">
        <f>O1262</f>
        <v>147.9</v>
      </c>
    </row>
    <row r="1259" spans="1:15" s="328" customFormat="1" x14ac:dyDescent="0.2">
      <c r="A1259" s="539" t="s">
        <v>39793</v>
      </c>
      <c r="B1259" s="539"/>
      <c r="C1259" s="539"/>
      <c r="D1259" s="539"/>
      <c r="E1259" s="539"/>
      <c r="F1259" s="539"/>
      <c r="G1259" s="539"/>
      <c r="H1259" s="539"/>
      <c r="I1259" s="539"/>
      <c r="J1259" s="539"/>
      <c r="K1259" s="539"/>
      <c r="L1259" s="539"/>
      <c r="M1259" s="539"/>
      <c r="N1259" s="539"/>
      <c r="O1259" s="539"/>
    </row>
    <row r="1260" spans="1:15" s="328" customFormat="1" x14ac:dyDescent="0.2">
      <c r="A1260" s="539" t="s">
        <v>5917</v>
      </c>
      <c r="B1260" s="539"/>
      <c r="C1260" s="539"/>
      <c r="D1260" s="333"/>
      <c r="E1260" s="333"/>
      <c r="F1260" s="333"/>
      <c r="G1260" s="333"/>
      <c r="H1260" s="333"/>
      <c r="I1260" s="331"/>
      <c r="J1260" s="331"/>
      <c r="K1260" s="333"/>
      <c r="L1260" s="333"/>
      <c r="M1260" s="334" t="s">
        <v>39802</v>
      </c>
      <c r="N1260" s="333" t="s">
        <v>39794</v>
      </c>
      <c r="O1260" s="334" t="s">
        <v>39795</v>
      </c>
    </row>
    <row r="1261" spans="1:15" s="328" customFormat="1" x14ac:dyDescent="0.2">
      <c r="A1261" s="535" t="s">
        <v>39801</v>
      </c>
      <c r="B1261" s="535"/>
      <c r="C1261" s="535"/>
      <c r="D1261" s="333"/>
      <c r="E1261" s="333"/>
      <c r="F1261" s="333"/>
      <c r="G1261" s="333"/>
      <c r="H1261" s="333"/>
      <c r="I1261" s="331"/>
      <c r="J1261" s="331"/>
      <c r="K1261" s="339"/>
      <c r="L1261" s="332"/>
      <c r="M1261" s="339">
        <f>147.9</f>
        <v>147.9</v>
      </c>
      <c r="N1261" s="332" t="s">
        <v>39794</v>
      </c>
      <c r="O1261" s="332">
        <f>ROUND(M1261,2)</f>
        <v>147.9</v>
      </c>
    </row>
    <row r="1262" spans="1:15" s="328" customFormat="1" x14ac:dyDescent="0.2">
      <c r="A1262" s="540"/>
      <c r="B1262" s="540"/>
      <c r="C1262" s="540"/>
      <c r="D1262" s="540"/>
      <c r="E1262" s="540"/>
      <c r="F1262" s="540"/>
      <c r="G1262" s="540"/>
      <c r="H1262" s="540"/>
      <c r="I1262" s="540"/>
      <c r="J1262" s="540"/>
      <c r="K1262" s="540"/>
      <c r="L1262" s="334" t="s">
        <v>39796</v>
      </c>
      <c r="M1262" s="334" t="s">
        <v>39168</v>
      </c>
      <c r="N1262" s="333" t="s">
        <v>39794</v>
      </c>
      <c r="O1262" s="334">
        <f>SUM(O1260:O1261)</f>
        <v>147.9</v>
      </c>
    </row>
    <row r="1263" spans="1:15" s="328" customFormat="1" x14ac:dyDescent="0.2">
      <c r="A1263" s="329" t="s">
        <v>39791</v>
      </c>
      <c r="B1263" s="542" t="s">
        <v>5917</v>
      </c>
      <c r="C1263" s="542"/>
      <c r="D1263" s="542"/>
      <c r="E1263" s="542"/>
      <c r="F1263" s="542"/>
      <c r="G1263" s="542"/>
      <c r="H1263" s="542"/>
      <c r="I1263" s="542"/>
      <c r="J1263" s="542"/>
      <c r="K1263" s="542"/>
      <c r="L1263" s="542"/>
      <c r="M1263" s="542"/>
      <c r="N1263" s="329" t="s">
        <v>39197</v>
      </c>
      <c r="O1263" s="330" t="s">
        <v>39792</v>
      </c>
    </row>
    <row r="1264" spans="1:15" s="328" customFormat="1" ht="39.950000000000003" customHeight="1" x14ac:dyDescent="0.2">
      <c r="A1264" s="331" t="str">
        <f>ORCAMENTO!A211</f>
        <v>10.2.2</v>
      </c>
      <c r="B1264" s="543" t="str">
        <f>VLOOKUP(A1264,ORCAMENTO!A:I,4,0)</f>
        <v>RASGO LINEAR MECANIZADO EM CONTRAPISO, PARA RAMAIS/ DISTRIBUIÇÃO DE INSTALAÇÕES HIDRÁULICAS, DIÂMETROS MENORES OU IGUAIS A 40 MM. AF_09/2023_PS</v>
      </c>
      <c r="C1264" s="543"/>
      <c r="D1264" s="543"/>
      <c r="E1264" s="543"/>
      <c r="F1264" s="543"/>
      <c r="G1264" s="543"/>
      <c r="H1264" s="543"/>
      <c r="I1264" s="543"/>
      <c r="J1264" s="543"/>
      <c r="K1264" s="543"/>
      <c r="L1264" s="543"/>
      <c r="M1264" s="543"/>
      <c r="N1264" s="331" t="str">
        <f>VLOOKUP(A1264,ORCAMENTO!A:I,5,0)</f>
        <v>M</v>
      </c>
      <c r="O1264" s="332">
        <f>O1268</f>
        <v>65.05</v>
      </c>
    </row>
    <row r="1265" spans="1:15" s="328" customFormat="1" x14ac:dyDescent="0.2">
      <c r="A1265" s="539" t="s">
        <v>39793</v>
      </c>
      <c r="B1265" s="539"/>
      <c r="C1265" s="539"/>
      <c r="D1265" s="539"/>
      <c r="E1265" s="539"/>
      <c r="F1265" s="539"/>
      <c r="G1265" s="539"/>
      <c r="H1265" s="539"/>
      <c r="I1265" s="539"/>
      <c r="J1265" s="539"/>
      <c r="K1265" s="539"/>
      <c r="L1265" s="539"/>
      <c r="M1265" s="539"/>
      <c r="N1265" s="539"/>
      <c r="O1265" s="539"/>
    </row>
    <row r="1266" spans="1:15" s="328" customFormat="1" x14ac:dyDescent="0.2">
      <c r="A1266" s="539" t="s">
        <v>5917</v>
      </c>
      <c r="B1266" s="539"/>
      <c r="C1266" s="539"/>
      <c r="D1266" s="333"/>
      <c r="E1266" s="333"/>
      <c r="F1266" s="333"/>
      <c r="G1266" s="333"/>
      <c r="H1266" s="333"/>
      <c r="I1266" s="331"/>
      <c r="J1266" s="331"/>
      <c r="K1266" s="333"/>
      <c r="L1266" s="333"/>
      <c r="M1266" s="334" t="s">
        <v>39802</v>
      </c>
      <c r="N1266" s="333" t="s">
        <v>39794</v>
      </c>
      <c r="O1266" s="334" t="s">
        <v>39795</v>
      </c>
    </row>
    <row r="1267" spans="1:15" s="328" customFormat="1" x14ac:dyDescent="0.2">
      <c r="A1267" s="535" t="s">
        <v>39801</v>
      </c>
      <c r="B1267" s="535"/>
      <c r="C1267" s="535"/>
      <c r="D1267" s="333"/>
      <c r="E1267" s="333"/>
      <c r="F1267" s="333"/>
      <c r="G1267" s="333"/>
      <c r="H1267" s="333"/>
      <c r="I1267" s="331"/>
      <c r="J1267" s="331"/>
      <c r="K1267" s="339"/>
      <c r="L1267" s="332"/>
      <c r="M1267" s="339">
        <f>65.05</f>
        <v>65.05</v>
      </c>
      <c r="N1267" s="332" t="s">
        <v>39794</v>
      </c>
      <c r="O1267" s="332">
        <f>ROUND(M1267,2)</f>
        <v>65.05</v>
      </c>
    </row>
    <row r="1268" spans="1:15" s="328" customFormat="1" x14ac:dyDescent="0.2">
      <c r="A1268" s="540"/>
      <c r="B1268" s="540"/>
      <c r="C1268" s="540"/>
      <c r="D1268" s="540"/>
      <c r="E1268" s="540"/>
      <c r="F1268" s="540"/>
      <c r="G1268" s="540"/>
      <c r="H1268" s="540"/>
      <c r="I1268" s="540"/>
      <c r="J1268" s="540"/>
      <c r="K1268" s="540"/>
      <c r="L1268" s="334" t="s">
        <v>39796</v>
      </c>
      <c r="M1268" s="334" t="s">
        <v>39168</v>
      </c>
      <c r="N1268" s="333" t="s">
        <v>39794</v>
      </c>
      <c r="O1268" s="334">
        <f>SUM(O1266:O1267)</f>
        <v>65.05</v>
      </c>
    </row>
    <row r="1269" spans="1:15" s="328" customFormat="1" x14ac:dyDescent="0.2">
      <c r="A1269" s="329" t="s">
        <v>39791</v>
      </c>
      <c r="B1269" s="542" t="s">
        <v>5917</v>
      </c>
      <c r="C1269" s="542"/>
      <c r="D1269" s="542"/>
      <c r="E1269" s="542"/>
      <c r="F1269" s="542"/>
      <c r="G1269" s="542"/>
      <c r="H1269" s="542"/>
      <c r="I1269" s="542"/>
      <c r="J1269" s="542"/>
      <c r="K1269" s="542"/>
      <c r="L1269" s="542"/>
      <c r="M1269" s="542"/>
      <c r="N1269" s="329" t="s">
        <v>39197</v>
      </c>
      <c r="O1269" s="330" t="s">
        <v>39792</v>
      </c>
    </row>
    <row r="1270" spans="1:15" s="328" customFormat="1" ht="39.950000000000003" customHeight="1" x14ac:dyDescent="0.2">
      <c r="A1270" s="331" t="str">
        <f>ORCAMENTO!A212</f>
        <v>10.2.3</v>
      </c>
      <c r="B1270" s="543" t="str">
        <f>VLOOKUP(A1270,ORCAMENTO!A:I,4,0)</f>
        <v>RASGO LINEAR MANUAL EM ALVENARIA, PARA RAMAIS/ DISTRIBUIÇÃO DE INSTALAÇÕES HIDRÁULICAS, DIÂMETROS MENORES OU IGUAIS A 40 MM. AF_09/2023</v>
      </c>
      <c r="C1270" s="543"/>
      <c r="D1270" s="543"/>
      <c r="E1270" s="543"/>
      <c r="F1270" s="543"/>
      <c r="G1270" s="543"/>
      <c r="H1270" s="543"/>
      <c r="I1270" s="543"/>
      <c r="J1270" s="543"/>
      <c r="K1270" s="543"/>
      <c r="L1270" s="543"/>
      <c r="M1270" s="543"/>
      <c r="N1270" s="331" t="str">
        <f>VLOOKUP(A1270,ORCAMENTO!A:I,5,0)</f>
        <v>M</v>
      </c>
      <c r="O1270" s="332">
        <f>O1274</f>
        <v>36</v>
      </c>
    </row>
    <row r="1271" spans="1:15" s="328" customFormat="1" x14ac:dyDescent="0.2">
      <c r="A1271" s="539" t="s">
        <v>39793</v>
      </c>
      <c r="B1271" s="539"/>
      <c r="C1271" s="539"/>
      <c r="D1271" s="539"/>
      <c r="E1271" s="539"/>
      <c r="F1271" s="539"/>
      <c r="G1271" s="539"/>
      <c r="H1271" s="539"/>
      <c r="I1271" s="539"/>
      <c r="J1271" s="539"/>
      <c r="K1271" s="539"/>
      <c r="L1271" s="539"/>
      <c r="M1271" s="539"/>
      <c r="N1271" s="539"/>
      <c r="O1271" s="539"/>
    </row>
    <row r="1272" spans="1:15" s="328" customFormat="1" x14ac:dyDescent="0.2">
      <c r="A1272" s="539" t="s">
        <v>5917</v>
      </c>
      <c r="B1272" s="539"/>
      <c r="C1272" s="539"/>
      <c r="D1272" s="333"/>
      <c r="E1272" s="333"/>
      <c r="F1272" s="333"/>
      <c r="G1272" s="333"/>
      <c r="H1272" s="333"/>
      <c r="I1272" s="331"/>
      <c r="J1272" s="331"/>
      <c r="K1272" s="333"/>
      <c r="L1272" s="333"/>
      <c r="M1272" s="334" t="s">
        <v>39802</v>
      </c>
      <c r="N1272" s="333" t="s">
        <v>39794</v>
      </c>
      <c r="O1272" s="334" t="s">
        <v>39795</v>
      </c>
    </row>
    <row r="1273" spans="1:15" s="328" customFormat="1" x14ac:dyDescent="0.2">
      <c r="A1273" s="535" t="s">
        <v>39801</v>
      </c>
      <c r="B1273" s="535"/>
      <c r="C1273" s="535"/>
      <c r="D1273" s="333"/>
      <c r="E1273" s="333"/>
      <c r="F1273" s="333"/>
      <c r="G1273" s="333"/>
      <c r="H1273" s="333"/>
      <c r="I1273" s="331"/>
      <c r="J1273" s="331"/>
      <c r="K1273" s="339"/>
      <c r="L1273" s="332"/>
      <c r="M1273" s="339">
        <f>36</f>
        <v>36</v>
      </c>
      <c r="N1273" s="332" t="s">
        <v>39794</v>
      </c>
      <c r="O1273" s="332">
        <f>ROUND(M1273,2)</f>
        <v>36</v>
      </c>
    </row>
    <row r="1274" spans="1:15" s="328" customFormat="1" x14ac:dyDescent="0.2">
      <c r="A1274" s="540"/>
      <c r="B1274" s="540"/>
      <c r="C1274" s="540"/>
      <c r="D1274" s="540"/>
      <c r="E1274" s="540"/>
      <c r="F1274" s="540"/>
      <c r="G1274" s="540"/>
      <c r="H1274" s="540"/>
      <c r="I1274" s="540"/>
      <c r="J1274" s="540"/>
      <c r="K1274" s="540"/>
      <c r="L1274" s="334" t="s">
        <v>39796</v>
      </c>
      <c r="M1274" s="334" t="s">
        <v>39168</v>
      </c>
      <c r="N1274" s="333" t="s">
        <v>39794</v>
      </c>
      <c r="O1274" s="334">
        <f>SUM(O1272:O1273)</f>
        <v>36</v>
      </c>
    </row>
    <row r="1275" spans="1:15" s="328" customFormat="1" x14ac:dyDescent="0.2">
      <c r="A1275" s="329" t="s">
        <v>39791</v>
      </c>
      <c r="B1275" s="542" t="s">
        <v>5917</v>
      </c>
      <c r="C1275" s="542"/>
      <c r="D1275" s="542"/>
      <c r="E1275" s="542"/>
      <c r="F1275" s="542"/>
      <c r="G1275" s="542"/>
      <c r="H1275" s="542"/>
      <c r="I1275" s="542"/>
      <c r="J1275" s="542"/>
      <c r="K1275" s="542"/>
      <c r="L1275" s="542"/>
      <c r="M1275" s="542"/>
      <c r="N1275" s="329" t="s">
        <v>39197</v>
      </c>
      <c r="O1275" s="330" t="s">
        <v>39792</v>
      </c>
    </row>
    <row r="1276" spans="1:15" s="328" customFormat="1" ht="39.950000000000003" customHeight="1" x14ac:dyDescent="0.2">
      <c r="A1276" s="331" t="str">
        <f>ORCAMENTO!A213</f>
        <v>10.2.4</v>
      </c>
      <c r="B1276" s="543" t="str">
        <f>VLOOKUP(A1276,ORCAMENTO!A:I,4,0)</f>
        <v>CHUMBAMENTO LINEAR EM CONTRAPISO PARA RAMAIS/DISTRIBUIÇÃO DE INSTALAÇÕES HIDRÁULICAS COM DIÂMETROS MAIORES QUE 75 MM E MENORES OU IGUAIS A 100 MM. AF_09/2023</v>
      </c>
      <c r="C1276" s="543"/>
      <c r="D1276" s="543"/>
      <c r="E1276" s="543"/>
      <c r="F1276" s="543"/>
      <c r="G1276" s="543"/>
      <c r="H1276" s="543"/>
      <c r="I1276" s="543"/>
      <c r="J1276" s="543"/>
      <c r="K1276" s="543"/>
      <c r="L1276" s="543"/>
      <c r="M1276" s="543"/>
      <c r="N1276" s="331" t="str">
        <f>VLOOKUP(A1276,ORCAMENTO!A:I,5,0)</f>
        <v>M</v>
      </c>
      <c r="O1276" s="332">
        <f>O1280</f>
        <v>147.9</v>
      </c>
    </row>
    <row r="1277" spans="1:15" s="328" customFormat="1" x14ac:dyDescent="0.2">
      <c r="A1277" s="539" t="s">
        <v>39793</v>
      </c>
      <c r="B1277" s="539"/>
      <c r="C1277" s="539"/>
      <c r="D1277" s="539"/>
      <c r="E1277" s="539"/>
      <c r="F1277" s="539"/>
      <c r="G1277" s="539"/>
      <c r="H1277" s="539"/>
      <c r="I1277" s="539"/>
      <c r="J1277" s="539"/>
      <c r="K1277" s="539"/>
      <c r="L1277" s="539"/>
      <c r="M1277" s="539"/>
      <c r="N1277" s="539"/>
      <c r="O1277" s="539"/>
    </row>
    <row r="1278" spans="1:15" s="328" customFormat="1" x14ac:dyDescent="0.2">
      <c r="A1278" s="539" t="s">
        <v>5917</v>
      </c>
      <c r="B1278" s="539"/>
      <c r="C1278" s="539"/>
      <c r="D1278" s="333"/>
      <c r="E1278" s="333"/>
      <c r="F1278" s="333"/>
      <c r="G1278" s="333"/>
      <c r="H1278" s="333"/>
      <c r="I1278" s="331"/>
      <c r="J1278" s="331"/>
      <c r="K1278" s="333"/>
      <c r="L1278" s="333"/>
      <c r="M1278" s="334" t="s">
        <v>39802</v>
      </c>
      <c r="N1278" s="333" t="s">
        <v>39794</v>
      </c>
      <c r="O1278" s="334" t="s">
        <v>39795</v>
      </c>
    </row>
    <row r="1279" spans="1:15" s="328" customFormat="1" x14ac:dyDescent="0.2">
      <c r="A1279" s="535" t="s">
        <v>39801</v>
      </c>
      <c r="B1279" s="535"/>
      <c r="C1279" s="535"/>
      <c r="D1279" s="333"/>
      <c r="E1279" s="333"/>
      <c r="F1279" s="333"/>
      <c r="G1279" s="333"/>
      <c r="H1279" s="333"/>
      <c r="I1279" s="331"/>
      <c r="J1279" s="331"/>
      <c r="K1279" s="339"/>
      <c r="L1279" s="332"/>
      <c r="M1279" s="339">
        <f>147.9</f>
        <v>147.9</v>
      </c>
      <c r="N1279" s="332" t="s">
        <v>39794</v>
      </c>
      <c r="O1279" s="332">
        <f>ROUND(M1279,2)</f>
        <v>147.9</v>
      </c>
    </row>
    <row r="1280" spans="1:15" s="328" customFormat="1" x14ac:dyDescent="0.2">
      <c r="A1280" s="540"/>
      <c r="B1280" s="540"/>
      <c r="C1280" s="540"/>
      <c r="D1280" s="540"/>
      <c r="E1280" s="540"/>
      <c r="F1280" s="540"/>
      <c r="G1280" s="540"/>
      <c r="H1280" s="540"/>
      <c r="I1280" s="540"/>
      <c r="J1280" s="540"/>
      <c r="K1280" s="540"/>
      <c r="L1280" s="334" t="s">
        <v>39796</v>
      </c>
      <c r="M1280" s="334" t="s">
        <v>39168</v>
      </c>
      <c r="N1280" s="333" t="s">
        <v>39794</v>
      </c>
      <c r="O1280" s="334">
        <f>SUM(O1278:O1279)</f>
        <v>147.9</v>
      </c>
    </row>
    <row r="1281" spans="1:15" s="328" customFormat="1" x14ac:dyDescent="0.2">
      <c r="A1281" s="329" t="s">
        <v>39791</v>
      </c>
      <c r="B1281" s="542" t="s">
        <v>5917</v>
      </c>
      <c r="C1281" s="542"/>
      <c r="D1281" s="542"/>
      <c r="E1281" s="542"/>
      <c r="F1281" s="542"/>
      <c r="G1281" s="542"/>
      <c r="H1281" s="542"/>
      <c r="I1281" s="542"/>
      <c r="J1281" s="542"/>
      <c r="K1281" s="542"/>
      <c r="L1281" s="542"/>
      <c r="M1281" s="542"/>
      <c r="N1281" s="329" t="s">
        <v>39197</v>
      </c>
      <c r="O1281" s="330" t="s">
        <v>39792</v>
      </c>
    </row>
    <row r="1282" spans="1:15" s="328" customFormat="1" ht="39.950000000000003" customHeight="1" x14ac:dyDescent="0.2">
      <c r="A1282" s="331" t="str">
        <f>ORCAMENTO!A214</f>
        <v>10.2.5</v>
      </c>
      <c r="B1282" s="543" t="str">
        <f>VLOOKUP(A1282,ORCAMENTO!A:I,4,0)</f>
        <v>CHUMBAMENTO LINEAR EM CONTRAPISO PARA RAMAIS/DISTRIBUIÇÃO DE INSTALAÇÕES HIDRÁULICAS COM DIÂMETROS MENORES OU IGUAIS A 40 MM. AF_09/2023</v>
      </c>
      <c r="C1282" s="543"/>
      <c r="D1282" s="543"/>
      <c r="E1282" s="543"/>
      <c r="F1282" s="543"/>
      <c r="G1282" s="543"/>
      <c r="H1282" s="543"/>
      <c r="I1282" s="543"/>
      <c r="J1282" s="543"/>
      <c r="K1282" s="543"/>
      <c r="L1282" s="543"/>
      <c r="M1282" s="543"/>
      <c r="N1282" s="331" t="str">
        <f>VLOOKUP(A1282,ORCAMENTO!A:I,5,0)</f>
        <v>M</v>
      </c>
      <c r="O1282" s="332">
        <f>O1286</f>
        <v>65.05</v>
      </c>
    </row>
    <row r="1283" spans="1:15" s="328" customFormat="1" x14ac:dyDescent="0.2">
      <c r="A1283" s="539" t="s">
        <v>39793</v>
      </c>
      <c r="B1283" s="539"/>
      <c r="C1283" s="539"/>
      <c r="D1283" s="539"/>
      <c r="E1283" s="539"/>
      <c r="F1283" s="539"/>
      <c r="G1283" s="539"/>
      <c r="H1283" s="539"/>
      <c r="I1283" s="539"/>
      <c r="J1283" s="539"/>
      <c r="K1283" s="539"/>
      <c r="L1283" s="539"/>
      <c r="M1283" s="539"/>
      <c r="N1283" s="539"/>
      <c r="O1283" s="539"/>
    </row>
    <row r="1284" spans="1:15" s="328" customFormat="1" x14ac:dyDescent="0.2">
      <c r="A1284" s="539" t="s">
        <v>5917</v>
      </c>
      <c r="B1284" s="539"/>
      <c r="C1284" s="539"/>
      <c r="D1284" s="333"/>
      <c r="E1284" s="333"/>
      <c r="F1284" s="333"/>
      <c r="G1284" s="333"/>
      <c r="H1284" s="333"/>
      <c r="I1284" s="331"/>
      <c r="J1284" s="331"/>
      <c r="K1284" s="333"/>
      <c r="L1284" s="333"/>
      <c r="M1284" s="334" t="s">
        <v>39802</v>
      </c>
      <c r="N1284" s="333" t="s">
        <v>39794</v>
      </c>
      <c r="O1284" s="334" t="s">
        <v>39795</v>
      </c>
    </row>
    <row r="1285" spans="1:15" s="328" customFormat="1" x14ac:dyDescent="0.2">
      <c r="A1285" s="535" t="s">
        <v>39801</v>
      </c>
      <c r="B1285" s="535"/>
      <c r="C1285" s="535"/>
      <c r="D1285" s="333"/>
      <c r="E1285" s="333"/>
      <c r="F1285" s="333"/>
      <c r="G1285" s="333"/>
      <c r="H1285" s="333"/>
      <c r="I1285" s="331"/>
      <c r="J1285" s="331"/>
      <c r="K1285" s="339"/>
      <c r="L1285" s="332"/>
      <c r="M1285" s="339">
        <v>65.05</v>
      </c>
      <c r="N1285" s="332" t="s">
        <v>39794</v>
      </c>
      <c r="O1285" s="332">
        <f>ROUND(M1285,2)</f>
        <v>65.05</v>
      </c>
    </row>
    <row r="1286" spans="1:15" s="328" customFormat="1" x14ac:dyDescent="0.2">
      <c r="A1286" s="540"/>
      <c r="B1286" s="540"/>
      <c r="C1286" s="540"/>
      <c r="D1286" s="540"/>
      <c r="E1286" s="540"/>
      <c r="F1286" s="540"/>
      <c r="G1286" s="540"/>
      <c r="H1286" s="540"/>
      <c r="I1286" s="540"/>
      <c r="J1286" s="540"/>
      <c r="K1286" s="540"/>
      <c r="L1286" s="334" t="s">
        <v>39796</v>
      </c>
      <c r="M1286" s="334" t="s">
        <v>39168</v>
      </c>
      <c r="N1286" s="333" t="s">
        <v>39794</v>
      </c>
      <c r="O1286" s="334">
        <f>SUM(O1284:O1285)</f>
        <v>65.05</v>
      </c>
    </row>
    <row r="1287" spans="1:15" s="328" customFormat="1" x14ac:dyDescent="0.2">
      <c r="A1287" s="329" t="s">
        <v>39791</v>
      </c>
      <c r="B1287" s="542" t="s">
        <v>5917</v>
      </c>
      <c r="C1287" s="542"/>
      <c r="D1287" s="542"/>
      <c r="E1287" s="542"/>
      <c r="F1287" s="542"/>
      <c r="G1287" s="542"/>
      <c r="H1287" s="542"/>
      <c r="I1287" s="542"/>
      <c r="J1287" s="542"/>
      <c r="K1287" s="542"/>
      <c r="L1287" s="542"/>
      <c r="M1287" s="542"/>
      <c r="N1287" s="329" t="s">
        <v>39197</v>
      </c>
      <c r="O1287" s="330" t="s">
        <v>39792</v>
      </c>
    </row>
    <row r="1288" spans="1:15" s="328" customFormat="1" ht="39.950000000000003" customHeight="1" x14ac:dyDescent="0.2">
      <c r="A1288" s="331" t="str">
        <f>ORCAMENTO!A215</f>
        <v>10.2.6</v>
      </c>
      <c r="B1288" s="543" t="str">
        <f>VLOOKUP(A1288,ORCAMENTO!A:I,4,0)</f>
        <v>CHUMBAMENTO LINEAR EM ALVENARIA PARA RAMAIS/DISTRIBUIÇÃO DE INSTALAÇÕES HIDRÁULICAS COM DIÂMETROS MENORES OU IGUAIS A 40 MM. AF_09/2023</v>
      </c>
      <c r="C1288" s="543"/>
      <c r="D1288" s="543"/>
      <c r="E1288" s="543"/>
      <c r="F1288" s="543"/>
      <c r="G1288" s="543"/>
      <c r="H1288" s="543"/>
      <c r="I1288" s="543"/>
      <c r="J1288" s="543"/>
      <c r="K1288" s="543"/>
      <c r="L1288" s="543"/>
      <c r="M1288" s="543"/>
      <c r="N1288" s="331" t="str">
        <f>VLOOKUP(A1288,ORCAMENTO!A:I,5,0)</f>
        <v>M</v>
      </c>
      <c r="O1288" s="332">
        <f>O1292</f>
        <v>36</v>
      </c>
    </row>
    <row r="1289" spans="1:15" s="328" customFormat="1" x14ac:dyDescent="0.2">
      <c r="A1289" s="539" t="s">
        <v>39793</v>
      </c>
      <c r="B1289" s="539"/>
      <c r="C1289" s="539"/>
      <c r="D1289" s="539"/>
      <c r="E1289" s="539"/>
      <c r="F1289" s="539"/>
      <c r="G1289" s="539"/>
      <c r="H1289" s="539"/>
      <c r="I1289" s="539"/>
      <c r="J1289" s="539"/>
      <c r="K1289" s="539"/>
      <c r="L1289" s="539"/>
      <c r="M1289" s="539"/>
      <c r="N1289" s="539"/>
      <c r="O1289" s="539"/>
    </row>
    <row r="1290" spans="1:15" s="328" customFormat="1" x14ac:dyDescent="0.2">
      <c r="A1290" s="539" t="s">
        <v>5917</v>
      </c>
      <c r="B1290" s="539"/>
      <c r="C1290" s="539"/>
      <c r="D1290" s="333"/>
      <c r="E1290" s="333"/>
      <c r="F1290" s="333"/>
      <c r="G1290" s="333"/>
      <c r="H1290" s="333"/>
      <c r="I1290" s="331"/>
      <c r="J1290" s="331"/>
      <c r="K1290" s="333"/>
      <c r="L1290" s="333"/>
      <c r="M1290" s="334" t="s">
        <v>39802</v>
      </c>
      <c r="N1290" s="333" t="s">
        <v>39794</v>
      </c>
      <c r="O1290" s="334" t="s">
        <v>39795</v>
      </c>
    </row>
    <row r="1291" spans="1:15" s="328" customFormat="1" x14ac:dyDescent="0.2">
      <c r="A1291" s="535" t="s">
        <v>39801</v>
      </c>
      <c r="B1291" s="535"/>
      <c r="C1291" s="535"/>
      <c r="D1291" s="333"/>
      <c r="E1291" s="333"/>
      <c r="F1291" s="333"/>
      <c r="G1291" s="333"/>
      <c r="H1291" s="333"/>
      <c r="I1291" s="331"/>
      <c r="J1291" s="331"/>
      <c r="K1291" s="339"/>
      <c r="L1291" s="332"/>
      <c r="M1291" s="339">
        <f>36</f>
        <v>36</v>
      </c>
      <c r="N1291" s="332" t="s">
        <v>39794</v>
      </c>
      <c r="O1291" s="332">
        <f>ROUND(M1291,2)</f>
        <v>36</v>
      </c>
    </row>
    <row r="1292" spans="1:15" s="328" customFormat="1" x14ac:dyDescent="0.2">
      <c r="A1292" s="540"/>
      <c r="B1292" s="540"/>
      <c r="C1292" s="540"/>
      <c r="D1292" s="540"/>
      <c r="E1292" s="540"/>
      <c r="F1292" s="540"/>
      <c r="G1292" s="540"/>
      <c r="H1292" s="540"/>
      <c r="I1292" s="540"/>
      <c r="J1292" s="540"/>
      <c r="K1292" s="540"/>
      <c r="L1292" s="334" t="s">
        <v>39796</v>
      </c>
      <c r="M1292" s="334" t="s">
        <v>39168</v>
      </c>
      <c r="N1292" s="333" t="s">
        <v>39794</v>
      </c>
      <c r="O1292" s="334">
        <f>SUM(O1290:O1291)</f>
        <v>36</v>
      </c>
    </row>
    <row r="1293" spans="1:15" s="328" customFormat="1" x14ac:dyDescent="0.2">
      <c r="A1293" s="347" t="str">
        <f>ORCAMENTO!A217</f>
        <v>10.3</v>
      </c>
      <c r="B1293" s="544" t="str">
        <f>VLOOKUP(A1293,ORCAMENTO!A:I,4,0)</f>
        <v>RALOS E CAIXAS</v>
      </c>
      <c r="C1293" s="544"/>
      <c r="D1293" s="544"/>
      <c r="E1293" s="544"/>
      <c r="F1293" s="544"/>
      <c r="G1293" s="544"/>
      <c r="H1293" s="544"/>
      <c r="I1293" s="544"/>
      <c r="J1293" s="544"/>
      <c r="K1293" s="544"/>
      <c r="L1293" s="544"/>
      <c r="M1293" s="544"/>
      <c r="N1293" s="544"/>
      <c r="O1293" s="544"/>
    </row>
    <row r="1294" spans="1:15" s="328" customFormat="1" x14ac:dyDescent="0.2">
      <c r="A1294" s="329" t="s">
        <v>39791</v>
      </c>
      <c r="B1294" s="542" t="s">
        <v>5917</v>
      </c>
      <c r="C1294" s="542"/>
      <c r="D1294" s="542"/>
      <c r="E1294" s="542"/>
      <c r="F1294" s="542"/>
      <c r="G1294" s="542"/>
      <c r="H1294" s="542"/>
      <c r="I1294" s="542"/>
      <c r="J1294" s="542"/>
      <c r="K1294" s="542"/>
      <c r="L1294" s="542"/>
      <c r="M1294" s="542"/>
      <c r="N1294" s="329" t="s">
        <v>39197</v>
      </c>
      <c r="O1294" s="330" t="s">
        <v>39792</v>
      </c>
    </row>
    <row r="1295" spans="1:15" s="328" customFormat="1" ht="39.950000000000003" customHeight="1" x14ac:dyDescent="0.2">
      <c r="A1295" s="331" t="str">
        <f>ORCAMENTO!A218</f>
        <v>10.3.1</v>
      </c>
      <c r="B1295" s="543" t="str">
        <f>VLOOKUP(A1295,ORCAMENTO!A:I,4,0)</f>
        <v>CAIXA ENTERRADA HIDRÁULICA RETANGULAR EM ALVENARIA COM TIJOLOS CERÂMICOS MACIÇOS, DIMENSÕES INTERNAS: 0,6X0,6X0,6 M PARA REDE DE DRENAGEM. AF_12/2020</v>
      </c>
      <c r="C1295" s="543"/>
      <c r="D1295" s="543"/>
      <c r="E1295" s="543"/>
      <c r="F1295" s="543"/>
      <c r="G1295" s="543"/>
      <c r="H1295" s="543"/>
      <c r="I1295" s="543"/>
      <c r="J1295" s="543"/>
      <c r="K1295" s="543"/>
      <c r="L1295" s="543"/>
      <c r="M1295" s="543"/>
      <c r="N1295" s="331" t="str">
        <f>VLOOKUP(A1295,ORCAMENTO!A:I,5,0)</f>
        <v>UN</v>
      </c>
      <c r="O1295" s="332">
        <f>O1299</f>
        <v>5</v>
      </c>
    </row>
    <row r="1296" spans="1:15" s="328" customFormat="1" x14ac:dyDescent="0.2">
      <c r="A1296" s="539" t="s">
        <v>39793</v>
      </c>
      <c r="B1296" s="539"/>
      <c r="C1296" s="539"/>
      <c r="D1296" s="539"/>
      <c r="E1296" s="539"/>
      <c r="F1296" s="539"/>
      <c r="G1296" s="539"/>
      <c r="H1296" s="539"/>
      <c r="I1296" s="539"/>
      <c r="J1296" s="539"/>
      <c r="K1296" s="539"/>
      <c r="L1296" s="539"/>
      <c r="M1296" s="539"/>
      <c r="N1296" s="539"/>
      <c r="O1296" s="539"/>
    </row>
    <row r="1297" spans="1:15" s="328" customFormat="1" x14ac:dyDescent="0.2">
      <c r="A1297" s="539" t="s">
        <v>5917</v>
      </c>
      <c r="B1297" s="539"/>
      <c r="C1297" s="539"/>
      <c r="D1297" s="333"/>
      <c r="E1297" s="333"/>
      <c r="F1297" s="333"/>
      <c r="G1297" s="333"/>
      <c r="H1297" s="333"/>
      <c r="I1297" s="331"/>
      <c r="J1297" s="331"/>
      <c r="K1297" s="333"/>
      <c r="L1297" s="333"/>
      <c r="M1297" s="334" t="s">
        <v>39792</v>
      </c>
      <c r="N1297" s="333" t="s">
        <v>39794</v>
      </c>
      <c r="O1297" s="334" t="s">
        <v>39795</v>
      </c>
    </row>
    <row r="1298" spans="1:15" s="328" customFormat="1" x14ac:dyDescent="0.2">
      <c r="A1298" s="535" t="s">
        <v>39801</v>
      </c>
      <c r="B1298" s="535"/>
      <c r="C1298" s="535"/>
      <c r="D1298" s="333"/>
      <c r="E1298" s="333"/>
      <c r="F1298" s="333"/>
      <c r="G1298" s="333"/>
      <c r="H1298" s="333"/>
      <c r="I1298" s="331"/>
      <c r="J1298" s="331"/>
      <c r="K1298" s="339"/>
      <c r="L1298" s="332"/>
      <c r="M1298" s="339">
        <f>5</f>
        <v>5</v>
      </c>
      <c r="N1298" s="332" t="s">
        <v>39794</v>
      </c>
      <c r="O1298" s="332">
        <f>ROUND(M1298,2)</f>
        <v>5</v>
      </c>
    </row>
    <row r="1299" spans="1:15" s="328" customFormat="1" x14ac:dyDescent="0.2">
      <c r="A1299" s="540"/>
      <c r="B1299" s="540"/>
      <c r="C1299" s="540"/>
      <c r="D1299" s="540"/>
      <c r="E1299" s="540"/>
      <c r="F1299" s="540"/>
      <c r="G1299" s="540"/>
      <c r="H1299" s="540"/>
      <c r="I1299" s="540"/>
      <c r="J1299" s="540"/>
      <c r="K1299" s="540"/>
      <c r="L1299" s="334" t="s">
        <v>39796</v>
      </c>
      <c r="M1299" s="334" t="s">
        <v>39168</v>
      </c>
      <c r="N1299" s="333" t="s">
        <v>39794</v>
      </c>
      <c r="O1299" s="334">
        <f>SUM(O1297:O1298)</f>
        <v>5</v>
      </c>
    </row>
    <row r="1300" spans="1:15" s="328" customFormat="1" x14ac:dyDescent="0.2">
      <c r="A1300" s="329" t="s">
        <v>39791</v>
      </c>
      <c r="B1300" s="542" t="s">
        <v>5917</v>
      </c>
      <c r="C1300" s="542"/>
      <c r="D1300" s="542"/>
      <c r="E1300" s="542"/>
      <c r="F1300" s="542"/>
      <c r="G1300" s="542"/>
      <c r="H1300" s="542"/>
      <c r="I1300" s="542"/>
      <c r="J1300" s="542"/>
      <c r="K1300" s="542"/>
      <c r="L1300" s="542"/>
      <c r="M1300" s="542"/>
      <c r="N1300" s="329" t="s">
        <v>39197</v>
      </c>
      <c r="O1300" s="330" t="s">
        <v>39792</v>
      </c>
    </row>
    <row r="1301" spans="1:15" s="328" customFormat="1" ht="12.75" customHeight="1" x14ac:dyDescent="0.2">
      <c r="A1301" s="331" t="str">
        <f>ORCAMENTO!A219</f>
        <v>10.3.2</v>
      </c>
      <c r="B1301" s="543" t="str">
        <f>VLOOKUP(A1301,ORCAMENTO!A:I,4,0)</f>
        <v>RALO SEMIESFÉRICO 100 MM FORNECIDO E INSTALADO EM RAMAIS DE ENCAMINHAMENTO DE ÁGUA PLUVIAL</v>
      </c>
      <c r="C1301" s="543"/>
      <c r="D1301" s="543"/>
      <c r="E1301" s="543"/>
      <c r="F1301" s="543"/>
      <c r="G1301" s="543"/>
      <c r="H1301" s="543"/>
      <c r="I1301" s="543"/>
      <c r="J1301" s="543"/>
      <c r="K1301" s="543"/>
      <c r="L1301" s="543"/>
      <c r="M1301" s="543"/>
      <c r="N1301" s="331" t="str">
        <f>VLOOKUP(A1301,ORCAMENTO!A:I,5,0)</f>
        <v>UN</v>
      </c>
      <c r="O1301" s="332">
        <f>O1305</f>
        <v>10</v>
      </c>
    </row>
    <row r="1302" spans="1:15" s="328" customFormat="1" x14ac:dyDescent="0.2">
      <c r="A1302" s="539" t="s">
        <v>39793</v>
      </c>
      <c r="B1302" s="539"/>
      <c r="C1302" s="539"/>
      <c r="D1302" s="539"/>
      <c r="E1302" s="539"/>
      <c r="F1302" s="539"/>
      <c r="G1302" s="539"/>
      <c r="H1302" s="539"/>
      <c r="I1302" s="539"/>
      <c r="J1302" s="539"/>
      <c r="K1302" s="539"/>
      <c r="L1302" s="539"/>
      <c r="M1302" s="539"/>
      <c r="N1302" s="539"/>
      <c r="O1302" s="539"/>
    </row>
    <row r="1303" spans="1:15" s="328" customFormat="1" x14ac:dyDescent="0.2">
      <c r="A1303" s="539" t="s">
        <v>5917</v>
      </c>
      <c r="B1303" s="539"/>
      <c r="C1303" s="539"/>
      <c r="D1303" s="333"/>
      <c r="E1303" s="333"/>
      <c r="F1303" s="333"/>
      <c r="G1303" s="333"/>
      <c r="H1303" s="333"/>
      <c r="I1303" s="331"/>
      <c r="J1303" s="331"/>
      <c r="K1303" s="333"/>
      <c r="L1303" s="333"/>
      <c r="M1303" s="334" t="s">
        <v>39792</v>
      </c>
      <c r="N1303" s="333" t="s">
        <v>39794</v>
      </c>
      <c r="O1303" s="334" t="s">
        <v>39795</v>
      </c>
    </row>
    <row r="1304" spans="1:15" s="328" customFormat="1" x14ac:dyDescent="0.2">
      <c r="A1304" s="535" t="s">
        <v>39801</v>
      </c>
      <c r="B1304" s="535"/>
      <c r="C1304" s="535"/>
      <c r="D1304" s="333"/>
      <c r="E1304" s="333"/>
      <c r="F1304" s="333"/>
      <c r="G1304" s="333"/>
      <c r="H1304" s="333"/>
      <c r="I1304" s="331"/>
      <c r="J1304" s="331"/>
      <c r="K1304" s="339"/>
      <c r="L1304" s="332"/>
      <c r="M1304" s="339">
        <f>10</f>
        <v>10</v>
      </c>
      <c r="N1304" s="332" t="s">
        <v>39794</v>
      </c>
      <c r="O1304" s="332">
        <f>ROUND(M1304,2)</f>
        <v>10</v>
      </c>
    </row>
    <row r="1305" spans="1:15" s="328" customFormat="1" x14ac:dyDescent="0.2">
      <c r="A1305" s="540"/>
      <c r="B1305" s="540"/>
      <c r="C1305" s="540"/>
      <c r="D1305" s="540"/>
      <c r="E1305" s="540"/>
      <c r="F1305" s="540"/>
      <c r="G1305" s="540"/>
      <c r="H1305" s="540"/>
      <c r="I1305" s="540"/>
      <c r="J1305" s="540"/>
      <c r="K1305" s="540"/>
      <c r="L1305" s="334" t="s">
        <v>39796</v>
      </c>
      <c r="M1305" s="334" t="s">
        <v>39168</v>
      </c>
      <c r="N1305" s="333" t="s">
        <v>39794</v>
      </c>
      <c r="O1305" s="334">
        <f>SUM(O1303:O1304)</f>
        <v>10</v>
      </c>
    </row>
    <row r="1306" spans="1:15" s="328" customFormat="1" x14ac:dyDescent="0.2">
      <c r="A1306" s="336">
        <f>ORCAMENTO!A221</f>
        <v>11</v>
      </c>
      <c r="B1306" s="545" t="str">
        <f>VLOOKUP(A1306,ORCAMENTO!A:I,4,0)</f>
        <v>INSTALAÇÕES DE COMBATE A INCÊNDIO</v>
      </c>
      <c r="C1306" s="545"/>
      <c r="D1306" s="545"/>
      <c r="E1306" s="545"/>
      <c r="F1306" s="545"/>
      <c r="G1306" s="545"/>
      <c r="H1306" s="545"/>
      <c r="I1306" s="545"/>
      <c r="J1306" s="545"/>
      <c r="K1306" s="545"/>
      <c r="L1306" s="545"/>
      <c r="M1306" s="545"/>
      <c r="N1306" s="545"/>
      <c r="O1306" s="545"/>
    </row>
    <row r="1307" spans="1:15" s="328" customFormat="1" x14ac:dyDescent="0.2">
      <c r="A1307" s="347" t="str">
        <f>ORCAMENTO!A222</f>
        <v>11.1</v>
      </c>
      <c r="B1307" s="544" t="str">
        <f>VLOOKUP(A1307,ORCAMENTO!A:I,4,0)</f>
        <v>ELETRODUTOS, DUTOS E CONEXÕES</v>
      </c>
      <c r="C1307" s="544"/>
      <c r="D1307" s="544"/>
      <c r="E1307" s="544"/>
      <c r="F1307" s="544"/>
      <c r="G1307" s="544"/>
      <c r="H1307" s="544"/>
      <c r="I1307" s="544"/>
      <c r="J1307" s="544"/>
      <c r="K1307" s="544"/>
      <c r="L1307" s="544"/>
      <c r="M1307" s="544"/>
      <c r="N1307" s="544"/>
      <c r="O1307" s="544"/>
    </row>
    <row r="1308" spans="1:15" s="328" customFormat="1" x14ac:dyDescent="0.2">
      <c r="A1308" s="329" t="s">
        <v>39791</v>
      </c>
      <c r="B1308" s="542" t="s">
        <v>5917</v>
      </c>
      <c r="C1308" s="542"/>
      <c r="D1308" s="542"/>
      <c r="E1308" s="542"/>
      <c r="F1308" s="542"/>
      <c r="G1308" s="542"/>
      <c r="H1308" s="542"/>
      <c r="I1308" s="542"/>
      <c r="J1308" s="542"/>
      <c r="K1308" s="542"/>
      <c r="L1308" s="542"/>
      <c r="M1308" s="542"/>
      <c r="N1308" s="329" t="s">
        <v>39197</v>
      </c>
      <c r="O1308" s="330" t="s">
        <v>39792</v>
      </c>
    </row>
    <row r="1309" spans="1:15" s="328" customFormat="1" ht="35.1" customHeight="1" x14ac:dyDescent="0.2">
      <c r="A1309" s="331" t="str">
        <f>ORCAMENTO!A223</f>
        <v>11.1.1</v>
      </c>
      <c r="B1309" s="543" t="str">
        <f>VLOOKUP(A1309,ORCAMENTO!A:I,4,0)</f>
        <v>ELETRODUTO RÍGIDO ROSCÁVEL, PVC, DN 32 MM (1"), PARA CIRCUITOS TERMINAIS, INSTALADO EM FORRO - FORNECIMENTO E INSTALAÇÃO. AF_03/2023</v>
      </c>
      <c r="C1309" s="543"/>
      <c r="D1309" s="543"/>
      <c r="E1309" s="543"/>
      <c r="F1309" s="543"/>
      <c r="G1309" s="543"/>
      <c r="H1309" s="543"/>
      <c r="I1309" s="543"/>
      <c r="J1309" s="543"/>
      <c r="K1309" s="543"/>
      <c r="L1309" s="543"/>
      <c r="M1309" s="543"/>
      <c r="N1309" s="331" t="str">
        <f>VLOOKUP(A1309,ORCAMENTO!A:I,5,0)</f>
        <v>M</v>
      </c>
      <c r="O1309" s="332">
        <f>O1313</f>
        <v>30.43</v>
      </c>
    </row>
    <row r="1310" spans="1:15" s="328" customFormat="1" x14ac:dyDescent="0.2">
      <c r="A1310" s="539" t="s">
        <v>39793</v>
      </c>
      <c r="B1310" s="539"/>
      <c r="C1310" s="539"/>
      <c r="D1310" s="539"/>
      <c r="E1310" s="539"/>
      <c r="F1310" s="539"/>
      <c r="G1310" s="539"/>
      <c r="H1310" s="539"/>
      <c r="I1310" s="539"/>
      <c r="J1310" s="539"/>
      <c r="K1310" s="539"/>
      <c r="L1310" s="539"/>
      <c r="M1310" s="539"/>
      <c r="N1310" s="539"/>
      <c r="O1310" s="539"/>
    </row>
    <row r="1311" spans="1:15" s="328" customFormat="1" x14ac:dyDescent="0.2">
      <c r="A1311" s="539" t="s">
        <v>5917</v>
      </c>
      <c r="B1311" s="539"/>
      <c r="C1311" s="539"/>
      <c r="D1311" s="333"/>
      <c r="E1311" s="333"/>
      <c r="F1311" s="333"/>
      <c r="G1311" s="333"/>
      <c r="H1311" s="333"/>
      <c r="I1311" s="331"/>
      <c r="J1311" s="331"/>
      <c r="K1311" s="333"/>
      <c r="L1311" s="333"/>
      <c r="M1311" s="334" t="s">
        <v>39802</v>
      </c>
      <c r="N1311" s="333" t="s">
        <v>39794</v>
      </c>
      <c r="O1311" s="334" t="s">
        <v>39795</v>
      </c>
    </row>
    <row r="1312" spans="1:15" s="328" customFormat="1" x14ac:dyDescent="0.2">
      <c r="A1312" s="535" t="s">
        <v>39801</v>
      </c>
      <c r="B1312" s="535"/>
      <c r="C1312" s="535"/>
      <c r="D1312" s="333"/>
      <c r="E1312" s="333"/>
      <c r="F1312" s="333"/>
      <c r="G1312" s="333"/>
      <c r="H1312" s="333"/>
      <c r="I1312" s="331"/>
      <c r="J1312" s="331"/>
      <c r="K1312" s="339"/>
      <c r="L1312" s="332"/>
      <c r="M1312" s="339">
        <f>30.43</f>
        <v>30.43</v>
      </c>
      <c r="N1312" s="332" t="s">
        <v>39794</v>
      </c>
      <c r="O1312" s="332">
        <f>ROUND(M1312,2)</f>
        <v>30.43</v>
      </c>
    </row>
    <row r="1313" spans="1:15" s="328" customFormat="1" x14ac:dyDescent="0.2">
      <c r="A1313" s="540"/>
      <c r="B1313" s="540"/>
      <c r="C1313" s="540"/>
      <c r="D1313" s="540"/>
      <c r="E1313" s="540"/>
      <c r="F1313" s="540"/>
      <c r="G1313" s="540"/>
      <c r="H1313" s="540"/>
      <c r="I1313" s="540"/>
      <c r="J1313" s="540"/>
      <c r="K1313" s="540"/>
      <c r="L1313" s="334" t="s">
        <v>39796</v>
      </c>
      <c r="M1313" s="334" t="s">
        <v>39168</v>
      </c>
      <c r="N1313" s="333" t="s">
        <v>39794</v>
      </c>
      <c r="O1313" s="334">
        <f>SUM(O1311:O1312)</f>
        <v>30.43</v>
      </c>
    </row>
    <row r="1314" spans="1:15" s="328" customFormat="1" x14ac:dyDescent="0.2">
      <c r="A1314" s="329" t="s">
        <v>39791</v>
      </c>
      <c r="B1314" s="542" t="s">
        <v>5917</v>
      </c>
      <c r="C1314" s="542"/>
      <c r="D1314" s="542"/>
      <c r="E1314" s="542"/>
      <c r="F1314" s="542"/>
      <c r="G1314" s="542"/>
      <c r="H1314" s="542"/>
      <c r="I1314" s="542"/>
      <c r="J1314" s="542"/>
      <c r="K1314" s="542"/>
      <c r="L1314" s="542"/>
      <c r="M1314" s="542"/>
      <c r="N1314" s="329" t="s">
        <v>39197</v>
      </c>
      <c r="O1314" s="330" t="s">
        <v>39792</v>
      </c>
    </row>
    <row r="1315" spans="1:15" s="328" customFormat="1" ht="12.75" customHeight="1" x14ac:dyDescent="0.2">
      <c r="A1315" s="331" t="str">
        <f>ORCAMENTO!A224</f>
        <v>11.1.2</v>
      </c>
      <c r="B1315" s="543" t="str">
        <f>VLOOKUP(A1315,ORCAMENTO!A:I,4,0)</f>
        <v>CONDULETE DE PVC DE 3/4" TIPO C - E - LL - LR</v>
      </c>
      <c r="C1315" s="543"/>
      <c r="D1315" s="543"/>
      <c r="E1315" s="543"/>
      <c r="F1315" s="543"/>
      <c r="G1315" s="543"/>
      <c r="H1315" s="543"/>
      <c r="I1315" s="543"/>
      <c r="J1315" s="543"/>
      <c r="K1315" s="543"/>
      <c r="L1315" s="543"/>
      <c r="M1315" s="543"/>
      <c r="N1315" s="331" t="str">
        <f>VLOOKUP(A1315,ORCAMENTO!A:I,5,0)</f>
        <v>UN</v>
      </c>
      <c r="O1315" s="332">
        <f>O1319</f>
        <v>1</v>
      </c>
    </row>
    <row r="1316" spans="1:15" s="328" customFormat="1" x14ac:dyDescent="0.2">
      <c r="A1316" s="539" t="s">
        <v>39793</v>
      </c>
      <c r="B1316" s="539"/>
      <c r="C1316" s="539"/>
      <c r="D1316" s="539"/>
      <c r="E1316" s="539"/>
      <c r="F1316" s="539"/>
      <c r="G1316" s="539"/>
      <c r="H1316" s="539"/>
      <c r="I1316" s="539"/>
      <c r="J1316" s="539"/>
      <c r="K1316" s="539"/>
      <c r="L1316" s="539"/>
      <c r="M1316" s="539"/>
      <c r="N1316" s="539"/>
      <c r="O1316" s="539"/>
    </row>
    <row r="1317" spans="1:15" s="328" customFormat="1" x14ac:dyDescent="0.2">
      <c r="A1317" s="539" t="s">
        <v>5917</v>
      </c>
      <c r="B1317" s="539"/>
      <c r="C1317" s="539"/>
      <c r="D1317" s="333"/>
      <c r="E1317" s="333"/>
      <c r="F1317" s="333"/>
      <c r="G1317" s="333"/>
      <c r="H1317" s="333"/>
      <c r="I1317" s="331"/>
      <c r="J1317" s="331"/>
      <c r="K1317" s="333"/>
      <c r="L1317" s="333"/>
      <c r="M1317" s="334" t="s">
        <v>39792</v>
      </c>
      <c r="N1317" s="333" t="s">
        <v>39794</v>
      </c>
      <c r="O1317" s="334" t="s">
        <v>39795</v>
      </c>
    </row>
    <row r="1318" spans="1:15" s="328" customFormat="1" x14ac:dyDescent="0.2">
      <c r="A1318" s="535" t="s">
        <v>39801</v>
      </c>
      <c r="B1318" s="535"/>
      <c r="C1318" s="535"/>
      <c r="D1318" s="333"/>
      <c r="E1318" s="333"/>
      <c r="F1318" s="333"/>
      <c r="G1318" s="333"/>
      <c r="H1318" s="333"/>
      <c r="I1318" s="331"/>
      <c r="J1318" s="331"/>
      <c r="K1318" s="339"/>
      <c r="L1318" s="332"/>
      <c r="M1318" s="339">
        <f>1</f>
        <v>1</v>
      </c>
      <c r="N1318" s="332" t="s">
        <v>39794</v>
      </c>
      <c r="O1318" s="332">
        <f>ROUND(M1318,2)</f>
        <v>1</v>
      </c>
    </row>
    <row r="1319" spans="1:15" s="328" customFormat="1" x14ac:dyDescent="0.2">
      <c r="A1319" s="540"/>
      <c r="B1319" s="540"/>
      <c r="C1319" s="540"/>
      <c r="D1319" s="540"/>
      <c r="E1319" s="540"/>
      <c r="F1319" s="540"/>
      <c r="G1319" s="540"/>
      <c r="H1319" s="540"/>
      <c r="I1319" s="540"/>
      <c r="J1319" s="540"/>
      <c r="K1319" s="540"/>
      <c r="L1319" s="334" t="s">
        <v>39796</v>
      </c>
      <c r="M1319" s="334" t="s">
        <v>39168</v>
      </c>
      <c r="N1319" s="333" t="s">
        <v>39794</v>
      </c>
      <c r="O1319" s="334">
        <f>SUM(O1317:O1318)</f>
        <v>1</v>
      </c>
    </row>
    <row r="1320" spans="1:15" s="328" customFormat="1" x14ac:dyDescent="0.2">
      <c r="A1320" s="347" t="str">
        <f>ORCAMENTO!A226</f>
        <v>11.2</v>
      </c>
      <c r="B1320" s="544" t="str">
        <f>VLOOKUP(A1320,ORCAMENTO!A:I,4,0)</f>
        <v>FIOS, CABOS E ACESSÓRIOS</v>
      </c>
      <c r="C1320" s="544"/>
      <c r="D1320" s="544"/>
      <c r="E1320" s="544"/>
      <c r="F1320" s="544"/>
      <c r="G1320" s="544"/>
      <c r="H1320" s="544"/>
      <c r="I1320" s="544"/>
      <c r="J1320" s="544"/>
      <c r="K1320" s="544"/>
      <c r="L1320" s="544"/>
      <c r="M1320" s="544"/>
      <c r="N1320" s="544"/>
      <c r="O1320" s="544"/>
    </row>
    <row r="1321" spans="1:15" s="328" customFormat="1" x14ac:dyDescent="0.2">
      <c r="A1321" s="329" t="s">
        <v>39791</v>
      </c>
      <c r="B1321" s="542" t="s">
        <v>5917</v>
      </c>
      <c r="C1321" s="542"/>
      <c r="D1321" s="542"/>
      <c r="E1321" s="542"/>
      <c r="F1321" s="542"/>
      <c r="G1321" s="542"/>
      <c r="H1321" s="542"/>
      <c r="I1321" s="542"/>
      <c r="J1321" s="542"/>
      <c r="K1321" s="542"/>
      <c r="L1321" s="542"/>
      <c r="M1321" s="542"/>
      <c r="N1321" s="329" t="s">
        <v>39197</v>
      </c>
      <c r="O1321" s="330" t="s">
        <v>39792</v>
      </c>
    </row>
    <row r="1322" spans="1:15" s="328" customFormat="1" ht="12.75" customHeight="1" x14ac:dyDescent="0.2">
      <c r="A1322" s="331" t="str">
        <f>ORCAMENTO!A227</f>
        <v>11.2.1</v>
      </c>
      <c r="B1322" s="543" t="str">
        <f>VLOOKUP(A1322,ORCAMENTO!A:I,4,0)</f>
        <v>CABO BLINDADO PARA ALARME E DETECÇÃO DE INCÊNDIO 3 X 1,5 MM2 - FORNECIMENTO E INSTALAÇÃO</v>
      </c>
      <c r="C1322" s="543"/>
      <c r="D1322" s="543"/>
      <c r="E1322" s="543"/>
      <c r="F1322" s="543"/>
      <c r="G1322" s="543"/>
      <c r="H1322" s="543"/>
      <c r="I1322" s="543"/>
      <c r="J1322" s="543"/>
      <c r="K1322" s="543"/>
      <c r="L1322" s="543"/>
      <c r="M1322" s="543"/>
      <c r="N1322" s="331" t="str">
        <f>VLOOKUP(A1322,ORCAMENTO!A:I,5,0)</f>
        <v>M</v>
      </c>
      <c r="O1322" s="332">
        <f>O1326</f>
        <v>60.86</v>
      </c>
    </row>
    <row r="1323" spans="1:15" s="328" customFormat="1" x14ac:dyDescent="0.2">
      <c r="A1323" s="539" t="s">
        <v>39793</v>
      </c>
      <c r="B1323" s="539"/>
      <c r="C1323" s="539"/>
      <c r="D1323" s="539"/>
      <c r="E1323" s="539"/>
      <c r="F1323" s="539"/>
      <c r="G1323" s="539"/>
      <c r="H1323" s="539"/>
      <c r="I1323" s="539"/>
      <c r="J1323" s="539"/>
      <c r="K1323" s="539"/>
      <c r="L1323" s="539"/>
      <c r="M1323" s="539"/>
      <c r="N1323" s="539"/>
      <c r="O1323" s="539"/>
    </row>
    <row r="1324" spans="1:15" s="328" customFormat="1" x14ac:dyDescent="0.2">
      <c r="A1324" s="539" t="s">
        <v>5917</v>
      </c>
      <c r="B1324" s="539"/>
      <c r="C1324" s="539"/>
      <c r="D1324" s="333"/>
      <c r="E1324" s="333"/>
      <c r="F1324" s="333"/>
      <c r="G1324" s="333"/>
      <c r="H1324" s="333"/>
      <c r="I1324" s="331"/>
      <c r="J1324" s="331"/>
      <c r="K1324" s="333"/>
      <c r="L1324" s="333"/>
      <c r="M1324" s="334" t="s">
        <v>39802</v>
      </c>
      <c r="N1324" s="333" t="s">
        <v>39794</v>
      </c>
      <c r="O1324" s="334" t="s">
        <v>39795</v>
      </c>
    </row>
    <row r="1325" spans="1:15" s="328" customFormat="1" x14ac:dyDescent="0.2">
      <c r="A1325" s="535" t="s">
        <v>39801</v>
      </c>
      <c r="B1325" s="535"/>
      <c r="C1325" s="535"/>
      <c r="D1325" s="333"/>
      <c r="E1325" s="333"/>
      <c r="F1325" s="333"/>
      <c r="G1325" s="333"/>
      <c r="H1325" s="333"/>
      <c r="I1325" s="331"/>
      <c r="J1325" s="331"/>
      <c r="K1325" s="339"/>
      <c r="L1325" s="332"/>
      <c r="M1325" s="339">
        <f>60.86</f>
        <v>60.86</v>
      </c>
      <c r="N1325" s="332" t="s">
        <v>39794</v>
      </c>
      <c r="O1325" s="332">
        <f>ROUND(M1325,2)</f>
        <v>60.86</v>
      </c>
    </row>
    <row r="1326" spans="1:15" s="328" customFormat="1" x14ac:dyDescent="0.2">
      <c r="A1326" s="540"/>
      <c r="B1326" s="540"/>
      <c r="C1326" s="540"/>
      <c r="D1326" s="540"/>
      <c r="E1326" s="540"/>
      <c r="F1326" s="540"/>
      <c r="G1326" s="540"/>
      <c r="H1326" s="540"/>
      <c r="I1326" s="540"/>
      <c r="J1326" s="540"/>
      <c r="K1326" s="540"/>
      <c r="L1326" s="334" t="s">
        <v>39796</v>
      </c>
      <c r="M1326" s="334" t="s">
        <v>39168</v>
      </c>
      <c r="N1326" s="333" t="s">
        <v>39794</v>
      </c>
      <c r="O1326" s="334">
        <f>SUM(O1324:O1325)</f>
        <v>60.86</v>
      </c>
    </row>
    <row r="1327" spans="1:15" s="328" customFormat="1" x14ac:dyDescent="0.2">
      <c r="A1327" s="347" t="str">
        <f>ORCAMENTO!A229</f>
        <v>11.3</v>
      </c>
      <c r="B1327" s="544" t="str">
        <f>VLOOKUP(A1327,ORCAMENTO!A:I,4,0)</f>
        <v>TUBOS E CONEXÕES</v>
      </c>
      <c r="C1327" s="544"/>
      <c r="D1327" s="544"/>
      <c r="E1327" s="544"/>
      <c r="F1327" s="544"/>
      <c r="G1327" s="544"/>
      <c r="H1327" s="544"/>
      <c r="I1327" s="544"/>
      <c r="J1327" s="544"/>
      <c r="K1327" s="544"/>
      <c r="L1327" s="544"/>
      <c r="M1327" s="544"/>
      <c r="N1327" s="544"/>
      <c r="O1327" s="544"/>
    </row>
    <row r="1328" spans="1:15" s="328" customFormat="1" x14ac:dyDescent="0.2">
      <c r="A1328" s="329" t="s">
        <v>39791</v>
      </c>
      <c r="B1328" s="542" t="s">
        <v>5917</v>
      </c>
      <c r="C1328" s="542"/>
      <c r="D1328" s="542"/>
      <c r="E1328" s="542"/>
      <c r="F1328" s="542"/>
      <c r="G1328" s="542"/>
      <c r="H1328" s="542"/>
      <c r="I1328" s="542"/>
      <c r="J1328" s="542"/>
      <c r="K1328" s="542"/>
      <c r="L1328" s="542"/>
      <c r="M1328" s="542"/>
      <c r="N1328" s="329" t="s">
        <v>39197</v>
      </c>
      <c r="O1328" s="330" t="s">
        <v>39792</v>
      </c>
    </row>
    <row r="1329" spans="1:15" s="328" customFormat="1" ht="35.1" customHeight="1" x14ac:dyDescent="0.2">
      <c r="A1329" s="331" t="str">
        <f>ORCAMENTO!A230</f>
        <v>11.3.1</v>
      </c>
      <c r="B1329" s="543" t="str">
        <f>VLOOKUP(A1329,ORCAMENTO!A:I,4,0)</f>
        <v>TUBO DE AÇO GALVANIZADO COM COSTURA, CLASSE MÉDIA, DN 65 (2 1/2"), CONEXÃO ROSQUEADA, INSTALADO EM REDE DE ALIMENTAÇÃO PARA HIDRANTE - FORNECIMENTO E INSTALAÇÃO. AF_10/2020</v>
      </c>
      <c r="C1329" s="543"/>
      <c r="D1329" s="543"/>
      <c r="E1329" s="543"/>
      <c r="F1329" s="543"/>
      <c r="G1329" s="543"/>
      <c r="H1329" s="543"/>
      <c r="I1329" s="543"/>
      <c r="J1329" s="543"/>
      <c r="K1329" s="543"/>
      <c r="L1329" s="543"/>
      <c r="M1329" s="543"/>
      <c r="N1329" s="331" t="str">
        <f>VLOOKUP(A1329,ORCAMENTO!A:I,5,0)</f>
        <v>M</v>
      </c>
      <c r="O1329" s="332">
        <f>O1333</f>
        <v>144.19999999999999</v>
      </c>
    </row>
    <row r="1330" spans="1:15" s="328" customFormat="1" x14ac:dyDescent="0.2">
      <c r="A1330" s="539" t="s">
        <v>39793</v>
      </c>
      <c r="B1330" s="539"/>
      <c r="C1330" s="539"/>
      <c r="D1330" s="539"/>
      <c r="E1330" s="539"/>
      <c r="F1330" s="539"/>
      <c r="G1330" s="539"/>
      <c r="H1330" s="539"/>
      <c r="I1330" s="539"/>
      <c r="J1330" s="539"/>
      <c r="K1330" s="539"/>
      <c r="L1330" s="539"/>
      <c r="M1330" s="539"/>
      <c r="N1330" s="539"/>
      <c r="O1330" s="539"/>
    </row>
    <row r="1331" spans="1:15" s="328" customFormat="1" x14ac:dyDescent="0.2">
      <c r="A1331" s="539" t="s">
        <v>5917</v>
      </c>
      <c r="B1331" s="539"/>
      <c r="C1331" s="539"/>
      <c r="D1331" s="333"/>
      <c r="E1331" s="333"/>
      <c r="F1331" s="333"/>
      <c r="G1331" s="333"/>
      <c r="H1331" s="333"/>
      <c r="I1331" s="331"/>
      <c r="J1331" s="331"/>
      <c r="K1331" s="333"/>
      <c r="L1331" s="333"/>
      <c r="M1331" s="334" t="s">
        <v>39802</v>
      </c>
      <c r="N1331" s="333" t="s">
        <v>39794</v>
      </c>
      <c r="O1331" s="334" t="s">
        <v>39795</v>
      </c>
    </row>
    <row r="1332" spans="1:15" s="328" customFormat="1" x14ac:dyDescent="0.2">
      <c r="A1332" s="535" t="s">
        <v>39801</v>
      </c>
      <c r="B1332" s="535"/>
      <c r="C1332" s="535"/>
      <c r="D1332" s="333"/>
      <c r="E1332" s="333"/>
      <c r="F1332" s="333"/>
      <c r="G1332" s="333"/>
      <c r="H1332" s="333"/>
      <c r="I1332" s="331"/>
      <c r="J1332" s="331"/>
      <c r="K1332" s="339"/>
      <c r="L1332" s="332"/>
      <c r="M1332" s="339">
        <f>144.2</f>
        <v>144.19999999999999</v>
      </c>
      <c r="N1332" s="332" t="s">
        <v>39794</v>
      </c>
      <c r="O1332" s="332">
        <f>ROUND(M1332,2)</f>
        <v>144.19999999999999</v>
      </c>
    </row>
    <row r="1333" spans="1:15" s="328" customFormat="1" x14ac:dyDescent="0.2">
      <c r="A1333" s="540"/>
      <c r="B1333" s="540"/>
      <c r="C1333" s="540"/>
      <c r="D1333" s="540"/>
      <c r="E1333" s="540"/>
      <c r="F1333" s="540"/>
      <c r="G1333" s="540"/>
      <c r="H1333" s="540"/>
      <c r="I1333" s="540"/>
      <c r="J1333" s="540"/>
      <c r="K1333" s="540"/>
      <c r="L1333" s="334" t="s">
        <v>39796</v>
      </c>
      <c r="M1333" s="334" t="s">
        <v>39168</v>
      </c>
      <c r="N1333" s="333" t="s">
        <v>39794</v>
      </c>
      <c r="O1333" s="334">
        <f>SUM(O1331:O1332)</f>
        <v>144.19999999999999</v>
      </c>
    </row>
    <row r="1334" spans="1:15" s="328" customFormat="1" x14ac:dyDescent="0.2">
      <c r="A1334" s="329" t="s">
        <v>39791</v>
      </c>
      <c r="B1334" s="542" t="s">
        <v>5917</v>
      </c>
      <c r="C1334" s="542"/>
      <c r="D1334" s="542"/>
      <c r="E1334" s="542"/>
      <c r="F1334" s="542"/>
      <c r="G1334" s="542"/>
      <c r="H1334" s="542"/>
      <c r="I1334" s="542"/>
      <c r="J1334" s="542"/>
      <c r="K1334" s="542"/>
      <c r="L1334" s="542"/>
      <c r="M1334" s="542"/>
      <c r="N1334" s="329" t="s">
        <v>39197</v>
      </c>
      <c r="O1334" s="330" t="s">
        <v>39792</v>
      </c>
    </row>
    <row r="1335" spans="1:15" s="328" customFormat="1" ht="35.1" customHeight="1" x14ac:dyDescent="0.2">
      <c r="A1335" s="331" t="str">
        <f>ORCAMENTO!A231</f>
        <v>11.3.2</v>
      </c>
      <c r="B1335" s="543" t="str">
        <f>VLOOKUP(A1335,ORCAMENTO!A:I,4,0)</f>
        <v>TÊ, EM FERRO GALVANIZADO, CONEXÃO ROSQUEADA, DN 65 (2 1/2"), INSTALADO EM REDE DE ALIMENTAÇÃO PARA HIDRANTE - FORNECIMENTO E INSTALAÇÃO. AF_10/2020</v>
      </c>
      <c r="C1335" s="543"/>
      <c r="D1335" s="543"/>
      <c r="E1335" s="543"/>
      <c r="F1335" s="543"/>
      <c r="G1335" s="543"/>
      <c r="H1335" s="543"/>
      <c r="I1335" s="543"/>
      <c r="J1335" s="543"/>
      <c r="K1335" s="543"/>
      <c r="L1335" s="543"/>
      <c r="M1335" s="543"/>
      <c r="N1335" s="331" t="str">
        <f>VLOOKUP(A1335,ORCAMENTO!A:I,5,0)</f>
        <v>UN</v>
      </c>
      <c r="O1335" s="332">
        <f>O1339</f>
        <v>1</v>
      </c>
    </row>
    <row r="1336" spans="1:15" s="328" customFormat="1" x14ac:dyDescent="0.2">
      <c r="A1336" s="539" t="s">
        <v>39793</v>
      </c>
      <c r="B1336" s="539"/>
      <c r="C1336" s="539"/>
      <c r="D1336" s="539"/>
      <c r="E1336" s="539"/>
      <c r="F1336" s="539"/>
      <c r="G1336" s="539"/>
      <c r="H1336" s="539"/>
      <c r="I1336" s="539"/>
      <c r="J1336" s="539"/>
      <c r="K1336" s="539"/>
      <c r="L1336" s="539"/>
      <c r="M1336" s="539"/>
      <c r="N1336" s="539"/>
      <c r="O1336" s="539"/>
    </row>
    <row r="1337" spans="1:15" s="328" customFormat="1" x14ac:dyDescent="0.2">
      <c r="A1337" s="539" t="s">
        <v>5917</v>
      </c>
      <c r="B1337" s="539"/>
      <c r="C1337" s="539"/>
      <c r="D1337" s="333"/>
      <c r="E1337" s="333"/>
      <c r="F1337" s="333"/>
      <c r="G1337" s="333"/>
      <c r="H1337" s="333"/>
      <c r="I1337" s="331"/>
      <c r="J1337" s="331"/>
      <c r="K1337" s="333"/>
      <c r="L1337" s="333"/>
      <c r="M1337" s="334" t="s">
        <v>39792</v>
      </c>
      <c r="N1337" s="333" t="s">
        <v>39794</v>
      </c>
      <c r="O1337" s="334" t="s">
        <v>39795</v>
      </c>
    </row>
    <row r="1338" spans="1:15" s="328" customFormat="1" x14ac:dyDescent="0.2">
      <c r="A1338" s="535" t="s">
        <v>39801</v>
      </c>
      <c r="B1338" s="535"/>
      <c r="C1338" s="535"/>
      <c r="D1338" s="333"/>
      <c r="E1338" s="333"/>
      <c r="F1338" s="333"/>
      <c r="G1338" s="333"/>
      <c r="H1338" s="333"/>
      <c r="I1338" s="331"/>
      <c r="J1338" s="331"/>
      <c r="K1338" s="339"/>
      <c r="L1338" s="332"/>
      <c r="M1338" s="339">
        <f>1</f>
        <v>1</v>
      </c>
      <c r="N1338" s="332" t="s">
        <v>39794</v>
      </c>
      <c r="O1338" s="332">
        <f>ROUND(M1338,2)</f>
        <v>1</v>
      </c>
    </row>
    <row r="1339" spans="1:15" s="328" customFormat="1" x14ac:dyDescent="0.2">
      <c r="A1339" s="540"/>
      <c r="B1339" s="540"/>
      <c r="C1339" s="540"/>
      <c r="D1339" s="540"/>
      <c r="E1339" s="540"/>
      <c r="F1339" s="540"/>
      <c r="G1339" s="540"/>
      <c r="H1339" s="540"/>
      <c r="I1339" s="540"/>
      <c r="J1339" s="540"/>
      <c r="K1339" s="540"/>
      <c r="L1339" s="334" t="s">
        <v>39796</v>
      </c>
      <c r="M1339" s="334" t="s">
        <v>39168</v>
      </c>
      <c r="N1339" s="333" t="s">
        <v>39794</v>
      </c>
      <c r="O1339" s="334">
        <f>SUM(O1337:O1338)</f>
        <v>1</v>
      </c>
    </row>
    <row r="1340" spans="1:15" s="328" customFormat="1" x14ac:dyDescent="0.2">
      <c r="A1340" s="329" t="s">
        <v>39791</v>
      </c>
      <c r="B1340" s="542" t="s">
        <v>5917</v>
      </c>
      <c r="C1340" s="542"/>
      <c r="D1340" s="542"/>
      <c r="E1340" s="542"/>
      <c r="F1340" s="542"/>
      <c r="G1340" s="542"/>
      <c r="H1340" s="542"/>
      <c r="I1340" s="542"/>
      <c r="J1340" s="542"/>
      <c r="K1340" s="542"/>
      <c r="L1340" s="542"/>
      <c r="M1340" s="542"/>
      <c r="N1340" s="329" t="s">
        <v>39197</v>
      </c>
      <c r="O1340" s="330" t="s">
        <v>39792</v>
      </c>
    </row>
    <row r="1341" spans="1:15" s="328" customFormat="1" ht="35.1" customHeight="1" x14ac:dyDescent="0.2">
      <c r="A1341" s="331" t="str">
        <f>ORCAMENTO!A232</f>
        <v>11.3.3</v>
      </c>
      <c r="B1341" s="543" t="str">
        <f>VLOOKUP(A1341,ORCAMENTO!A:I,4,0)</f>
        <v>JOELHO 90 GRAUS, EM FERRO GALVANIZADO, DN 65 (2 1/2"), CONEXÃO ROSQUEADA, INSTALADO EM REDE DE ALIMENTAÇÃO PARA HIDRANTE - FORNECIMENTO E INSTALAÇÃO. AF_10/2020</v>
      </c>
      <c r="C1341" s="543"/>
      <c r="D1341" s="543"/>
      <c r="E1341" s="543"/>
      <c r="F1341" s="543"/>
      <c r="G1341" s="543"/>
      <c r="H1341" s="543"/>
      <c r="I1341" s="543"/>
      <c r="J1341" s="543"/>
      <c r="K1341" s="543"/>
      <c r="L1341" s="543"/>
      <c r="M1341" s="543"/>
      <c r="N1341" s="331" t="str">
        <f>VLOOKUP(A1341,ORCAMENTO!A:I,5,0)</f>
        <v>UN</v>
      </c>
      <c r="O1341" s="332">
        <f>O1345</f>
        <v>8</v>
      </c>
    </row>
    <row r="1342" spans="1:15" s="328" customFormat="1" x14ac:dyDescent="0.2">
      <c r="A1342" s="539" t="s">
        <v>39793</v>
      </c>
      <c r="B1342" s="539"/>
      <c r="C1342" s="539"/>
      <c r="D1342" s="539"/>
      <c r="E1342" s="539"/>
      <c r="F1342" s="539"/>
      <c r="G1342" s="539"/>
      <c r="H1342" s="539"/>
      <c r="I1342" s="539"/>
      <c r="J1342" s="539"/>
      <c r="K1342" s="539"/>
      <c r="L1342" s="539"/>
      <c r="M1342" s="539"/>
      <c r="N1342" s="539"/>
      <c r="O1342" s="539"/>
    </row>
    <row r="1343" spans="1:15" s="328" customFormat="1" x14ac:dyDescent="0.2">
      <c r="A1343" s="539" t="s">
        <v>5917</v>
      </c>
      <c r="B1343" s="539"/>
      <c r="C1343" s="539"/>
      <c r="D1343" s="333"/>
      <c r="E1343" s="333"/>
      <c r="F1343" s="333"/>
      <c r="G1343" s="333"/>
      <c r="H1343" s="333"/>
      <c r="I1343" s="331"/>
      <c r="J1343" s="331"/>
      <c r="K1343" s="333"/>
      <c r="L1343" s="333"/>
      <c r="M1343" s="334" t="s">
        <v>39792</v>
      </c>
      <c r="N1343" s="333" t="s">
        <v>39794</v>
      </c>
      <c r="O1343" s="334" t="s">
        <v>39795</v>
      </c>
    </row>
    <row r="1344" spans="1:15" s="328" customFormat="1" x14ac:dyDescent="0.2">
      <c r="A1344" s="535" t="s">
        <v>39801</v>
      </c>
      <c r="B1344" s="535"/>
      <c r="C1344" s="535"/>
      <c r="D1344" s="333"/>
      <c r="E1344" s="333"/>
      <c r="F1344" s="333"/>
      <c r="G1344" s="333"/>
      <c r="H1344" s="333"/>
      <c r="I1344" s="331"/>
      <c r="J1344" s="331"/>
      <c r="K1344" s="339"/>
      <c r="L1344" s="332"/>
      <c r="M1344" s="339">
        <f>8</f>
        <v>8</v>
      </c>
      <c r="N1344" s="332" t="s">
        <v>39794</v>
      </c>
      <c r="O1344" s="332">
        <f>ROUND(M1344,2)</f>
        <v>8</v>
      </c>
    </row>
    <row r="1345" spans="1:15" s="328" customFormat="1" x14ac:dyDescent="0.2">
      <c r="A1345" s="540"/>
      <c r="B1345" s="540"/>
      <c r="C1345" s="540"/>
      <c r="D1345" s="540"/>
      <c r="E1345" s="540"/>
      <c r="F1345" s="540"/>
      <c r="G1345" s="540"/>
      <c r="H1345" s="540"/>
      <c r="I1345" s="540"/>
      <c r="J1345" s="540"/>
      <c r="K1345" s="540"/>
      <c r="L1345" s="334" t="s">
        <v>39796</v>
      </c>
      <c r="M1345" s="334" t="s">
        <v>39168</v>
      </c>
      <c r="N1345" s="333" t="s">
        <v>39794</v>
      </c>
      <c r="O1345" s="334">
        <f>SUM(O1343:O1344)</f>
        <v>8</v>
      </c>
    </row>
    <row r="1346" spans="1:15" s="328" customFormat="1" x14ac:dyDescent="0.2">
      <c r="A1346" s="347" t="str">
        <f>ORCAMENTO!A234</f>
        <v>11.4</v>
      </c>
      <c r="B1346" s="544" t="str">
        <f>VLOOKUP(A1346,ORCAMENTO!A:I,4,0)</f>
        <v>ESCAVAÇÕES E RASGOS</v>
      </c>
      <c r="C1346" s="544"/>
      <c r="D1346" s="544"/>
      <c r="E1346" s="544"/>
      <c r="F1346" s="544"/>
      <c r="G1346" s="544"/>
      <c r="H1346" s="544"/>
      <c r="I1346" s="544"/>
      <c r="J1346" s="544"/>
      <c r="K1346" s="544"/>
      <c r="L1346" s="544"/>
      <c r="M1346" s="544"/>
      <c r="N1346" s="544"/>
      <c r="O1346" s="544"/>
    </row>
    <row r="1347" spans="1:15" s="328" customFormat="1" x14ac:dyDescent="0.2">
      <c r="A1347" s="329" t="s">
        <v>39791</v>
      </c>
      <c r="B1347" s="542" t="s">
        <v>5917</v>
      </c>
      <c r="C1347" s="542"/>
      <c r="D1347" s="542"/>
      <c r="E1347" s="542"/>
      <c r="F1347" s="542"/>
      <c r="G1347" s="542"/>
      <c r="H1347" s="542"/>
      <c r="I1347" s="542"/>
      <c r="J1347" s="542"/>
      <c r="K1347" s="542"/>
      <c r="L1347" s="542"/>
      <c r="M1347" s="542"/>
      <c r="N1347" s="329" t="s">
        <v>39197</v>
      </c>
      <c r="O1347" s="330" t="s">
        <v>39792</v>
      </c>
    </row>
    <row r="1348" spans="1:15" s="328" customFormat="1" ht="35.1" customHeight="1" x14ac:dyDescent="0.2">
      <c r="A1348" s="331" t="str">
        <f>ORCAMENTO!A235</f>
        <v>11.4.1</v>
      </c>
      <c r="B1348" s="543" t="str">
        <f>VLOOKUP(A1348,ORCAMENTO!A:I,4,0)</f>
        <v>RASGO LINEAR MECANIZADO EM CONTRAPISO, PARA RAMAIS/ DISTRIBUIÇÃO DE INSTALAÇÕES HIDRÁULICAS, DIÂMETROS MAIORES QUE 75 MM E MENORES OU IGUAIS A 100 MM. AF_09/2023_PS</v>
      </c>
      <c r="C1348" s="543"/>
      <c r="D1348" s="543"/>
      <c r="E1348" s="543"/>
      <c r="F1348" s="543"/>
      <c r="G1348" s="543"/>
      <c r="H1348" s="543"/>
      <c r="I1348" s="543"/>
      <c r="J1348" s="543"/>
      <c r="K1348" s="543"/>
      <c r="L1348" s="543"/>
      <c r="M1348" s="543"/>
      <c r="N1348" s="331" t="str">
        <f>VLOOKUP(A1348,ORCAMENTO!A:I,5,0)</f>
        <v>M</v>
      </c>
      <c r="O1348" s="332">
        <f>O1352</f>
        <v>144.19999999999999</v>
      </c>
    </row>
    <row r="1349" spans="1:15" s="328" customFormat="1" x14ac:dyDescent="0.2">
      <c r="A1349" s="539" t="s">
        <v>39793</v>
      </c>
      <c r="B1349" s="539"/>
      <c r="C1349" s="539"/>
      <c r="D1349" s="539"/>
      <c r="E1349" s="539"/>
      <c r="F1349" s="539"/>
      <c r="G1349" s="539"/>
      <c r="H1349" s="539"/>
      <c r="I1349" s="539"/>
      <c r="J1349" s="539"/>
      <c r="K1349" s="539"/>
      <c r="L1349" s="539"/>
      <c r="M1349" s="539"/>
      <c r="N1349" s="539"/>
      <c r="O1349" s="539"/>
    </row>
    <row r="1350" spans="1:15" s="328" customFormat="1" x14ac:dyDescent="0.2">
      <c r="A1350" s="539" t="s">
        <v>5917</v>
      </c>
      <c r="B1350" s="539"/>
      <c r="C1350" s="539"/>
      <c r="D1350" s="333"/>
      <c r="E1350" s="333"/>
      <c r="F1350" s="333"/>
      <c r="G1350" s="333"/>
      <c r="H1350" s="333"/>
      <c r="I1350" s="331"/>
      <c r="J1350" s="331"/>
      <c r="K1350" s="333"/>
      <c r="L1350" s="333"/>
      <c r="M1350" s="334" t="s">
        <v>39802</v>
      </c>
      <c r="N1350" s="333" t="s">
        <v>39794</v>
      </c>
      <c r="O1350" s="334" t="s">
        <v>39795</v>
      </c>
    </row>
    <row r="1351" spans="1:15" s="328" customFormat="1" x14ac:dyDescent="0.2">
      <c r="A1351" s="535" t="s">
        <v>39801</v>
      </c>
      <c r="B1351" s="535"/>
      <c r="C1351" s="535"/>
      <c r="D1351" s="333"/>
      <c r="E1351" s="333"/>
      <c r="F1351" s="333"/>
      <c r="G1351" s="333"/>
      <c r="H1351" s="333"/>
      <c r="I1351" s="331"/>
      <c r="J1351" s="331"/>
      <c r="K1351" s="339"/>
      <c r="L1351" s="332"/>
      <c r="M1351" s="339">
        <f>144.2</f>
        <v>144.19999999999999</v>
      </c>
      <c r="N1351" s="332" t="s">
        <v>39794</v>
      </c>
      <c r="O1351" s="332">
        <f>ROUND(M1351,2)</f>
        <v>144.19999999999999</v>
      </c>
    </row>
    <row r="1352" spans="1:15" s="328" customFormat="1" x14ac:dyDescent="0.2">
      <c r="A1352" s="540"/>
      <c r="B1352" s="540"/>
      <c r="C1352" s="540"/>
      <c r="D1352" s="540"/>
      <c r="E1352" s="540"/>
      <c r="F1352" s="540"/>
      <c r="G1352" s="540"/>
      <c r="H1352" s="540"/>
      <c r="I1352" s="540"/>
      <c r="J1352" s="540"/>
      <c r="K1352" s="540"/>
      <c r="L1352" s="334" t="s">
        <v>39796</v>
      </c>
      <c r="M1352" s="334" t="s">
        <v>39168</v>
      </c>
      <c r="N1352" s="333" t="s">
        <v>39794</v>
      </c>
      <c r="O1352" s="334">
        <f>SUM(O1350:O1351)</f>
        <v>144.19999999999999</v>
      </c>
    </row>
    <row r="1353" spans="1:15" s="328" customFormat="1" x14ac:dyDescent="0.2">
      <c r="A1353" s="329" t="s">
        <v>39791</v>
      </c>
      <c r="B1353" s="542" t="s">
        <v>5917</v>
      </c>
      <c r="C1353" s="542"/>
      <c r="D1353" s="542"/>
      <c r="E1353" s="542"/>
      <c r="F1353" s="542"/>
      <c r="G1353" s="542"/>
      <c r="H1353" s="542"/>
      <c r="I1353" s="542"/>
      <c r="J1353" s="542"/>
      <c r="K1353" s="542"/>
      <c r="L1353" s="542"/>
      <c r="M1353" s="542"/>
      <c r="N1353" s="329" t="s">
        <v>39197</v>
      </c>
      <c r="O1353" s="330" t="s">
        <v>39792</v>
      </c>
    </row>
    <row r="1354" spans="1:15" s="328" customFormat="1" ht="35.1" customHeight="1" x14ac:dyDescent="0.2">
      <c r="A1354" s="331" t="str">
        <f>ORCAMENTO!A236</f>
        <v>11.4.2</v>
      </c>
      <c r="B1354" s="543" t="str">
        <f>VLOOKUP(A1354,ORCAMENTO!A:I,4,0)</f>
        <v>CHUMBAMENTO LINEAR EM CONTRAPISO PARA RAMAIS/DISTRIBUIÇÃO DE INSTALAÇÕES HIDRÁULICAS COM DIÂMETROS MAIORES QUE 75 MM E MENORES OU IGUAIS A 100 MM. AF_09/2023</v>
      </c>
      <c r="C1354" s="543"/>
      <c r="D1354" s="543"/>
      <c r="E1354" s="543"/>
      <c r="F1354" s="543"/>
      <c r="G1354" s="543"/>
      <c r="H1354" s="543"/>
      <c r="I1354" s="543"/>
      <c r="J1354" s="543"/>
      <c r="K1354" s="543"/>
      <c r="L1354" s="543"/>
      <c r="M1354" s="543"/>
      <c r="N1354" s="331" t="str">
        <f>VLOOKUP(A1354,ORCAMENTO!A:I,5,0)</f>
        <v>M</v>
      </c>
      <c r="O1354" s="332">
        <f>O1358</f>
        <v>144.19999999999999</v>
      </c>
    </row>
    <row r="1355" spans="1:15" s="328" customFormat="1" x14ac:dyDescent="0.2">
      <c r="A1355" s="539" t="s">
        <v>39793</v>
      </c>
      <c r="B1355" s="539"/>
      <c r="C1355" s="539"/>
      <c r="D1355" s="539"/>
      <c r="E1355" s="539"/>
      <c r="F1355" s="539"/>
      <c r="G1355" s="539"/>
      <c r="H1355" s="539"/>
      <c r="I1355" s="539"/>
      <c r="J1355" s="539"/>
      <c r="K1355" s="539"/>
      <c r="L1355" s="539"/>
      <c r="M1355" s="539"/>
      <c r="N1355" s="539"/>
      <c r="O1355" s="539"/>
    </row>
    <row r="1356" spans="1:15" s="328" customFormat="1" x14ac:dyDescent="0.2">
      <c r="A1356" s="539" t="s">
        <v>5917</v>
      </c>
      <c r="B1356" s="539"/>
      <c r="C1356" s="539"/>
      <c r="D1356" s="333"/>
      <c r="E1356" s="333"/>
      <c r="F1356" s="333"/>
      <c r="G1356" s="333"/>
      <c r="H1356" s="333"/>
      <c r="I1356" s="331"/>
      <c r="J1356" s="331"/>
      <c r="K1356" s="333"/>
      <c r="L1356" s="333"/>
      <c r="M1356" s="334" t="s">
        <v>39802</v>
      </c>
      <c r="N1356" s="333" t="s">
        <v>39794</v>
      </c>
      <c r="O1356" s="334" t="s">
        <v>39795</v>
      </c>
    </row>
    <row r="1357" spans="1:15" s="328" customFormat="1" x14ac:dyDescent="0.2">
      <c r="A1357" s="535" t="s">
        <v>39801</v>
      </c>
      <c r="B1357" s="535"/>
      <c r="C1357" s="535"/>
      <c r="D1357" s="333"/>
      <c r="E1357" s="333"/>
      <c r="F1357" s="333"/>
      <c r="G1357" s="333"/>
      <c r="H1357" s="333"/>
      <c r="I1357" s="331"/>
      <c r="J1357" s="331"/>
      <c r="K1357" s="339"/>
      <c r="L1357" s="332"/>
      <c r="M1357" s="339">
        <f>144.2</f>
        <v>144.19999999999999</v>
      </c>
      <c r="N1357" s="332" t="s">
        <v>39794</v>
      </c>
      <c r="O1357" s="332">
        <f>ROUND(M1357,2)</f>
        <v>144.19999999999999</v>
      </c>
    </row>
    <row r="1358" spans="1:15" s="328" customFormat="1" x14ac:dyDescent="0.2">
      <c r="A1358" s="540"/>
      <c r="B1358" s="540"/>
      <c r="C1358" s="540"/>
      <c r="D1358" s="540"/>
      <c r="E1358" s="540"/>
      <c r="F1358" s="540"/>
      <c r="G1358" s="540"/>
      <c r="H1358" s="540"/>
      <c r="I1358" s="540"/>
      <c r="J1358" s="540"/>
      <c r="K1358" s="540"/>
      <c r="L1358" s="334" t="s">
        <v>39796</v>
      </c>
      <c r="M1358" s="334" t="s">
        <v>39168</v>
      </c>
      <c r="N1358" s="333" t="s">
        <v>39794</v>
      </c>
      <c r="O1358" s="334">
        <f>SUM(O1356:O1357)</f>
        <v>144.19999999999999</v>
      </c>
    </row>
    <row r="1359" spans="1:15" s="328" customFormat="1" x14ac:dyDescent="0.2">
      <c r="A1359" s="347" t="str">
        <f>ORCAMENTO!A238</f>
        <v>11.5</v>
      </c>
      <c r="B1359" s="544" t="str">
        <f>VLOOKUP(A1359,ORCAMENTO!A:I,4,0)</f>
        <v>HIDRANTES E EXTINTORES</v>
      </c>
      <c r="C1359" s="544"/>
      <c r="D1359" s="544"/>
      <c r="E1359" s="544"/>
      <c r="F1359" s="544"/>
      <c r="G1359" s="544"/>
      <c r="H1359" s="544"/>
      <c r="I1359" s="544"/>
      <c r="J1359" s="544"/>
      <c r="K1359" s="544"/>
      <c r="L1359" s="544"/>
      <c r="M1359" s="544"/>
      <c r="N1359" s="544"/>
      <c r="O1359" s="544"/>
    </row>
    <row r="1360" spans="1:15" s="328" customFormat="1" x14ac:dyDescent="0.2">
      <c r="A1360" s="329" t="s">
        <v>39791</v>
      </c>
      <c r="B1360" s="542" t="s">
        <v>5917</v>
      </c>
      <c r="C1360" s="542"/>
      <c r="D1360" s="542"/>
      <c r="E1360" s="542"/>
      <c r="F1360" s="542"/>
      <c r="G1360" s="542"/>
      <c r="H1360" s="542"/>
      <c r="I1360" s="542"/>
      <c r="J1360" s="542"/>
      <c r="K1360" s="542"/>
      <c r="L1360" s="542"/>
      <c r="M1360" s="542"/>
      <c r="N1360" s="329" t="s">
        <v>39197</v>
      </c>
      <c r="O1360" s="330" t="s">
        <v>39792</v>
      </c>
    </row>
    <row r="1361" spans="1:15" s="328" customFormat="1" ht="50.1" customHeight="1" x14ac:dyDescent="0.2">
      <c r="A1361" s="331" t="str">
        <f>ORCAMENTO!A239</f>
        <v>11.5.1</v>
      </c>
      <c r="B1361" s="543" t="str">
        <f>VLOOKUP(A1361,ORCAMENTO!A:I,4,0)</f>
        <v>ABRIGO PARA HIDRANTE, 90X60X17CM, COM REGISTRO GLOBO ANGULAR 45 GRAUS 2 1/2", ADAPTADOR STORZ 2 1/2", DUAS MANGUEIRAS DE INCÊNDIO DE 15M, REDUÇÃO 2 1/2" X 1 1/2" E ESGUICHO EM LATÃO 1 1/2" - FORNECIMENTO E INSTALAÇÃO</v>
      </c>
      <c r="C1361" s="543"/>
      <c r="D1361" s="543"/>
      <c r="E1361" s="543"/>
      <c r="F1361" s="543"/>
      <c r="G1361" s="543"/>
      <c r="H1361" s="543"/>
      <c r="I1361" s="543"/>
      <c r="J1361" s="543"/>
      <c r="K1361" s="543"/>
      <c r="L1361" s="543"/>
      <c r="M1361" s="543"/>
      <c r="N1361" s="331" t="str">
        <f>VLOOKUP(A1361,ORCAMENTO!A:I,5,0)</f>
        <v>UN</v>
      </c>
      <c r="O1361" s="332">
        <f>O1365</f>
        <v>2</v>
      </c>
    </row>
    <row r="1362" spans="1:15" s="328" customFormat="1" x14ac:dyDescent="0.2">
      <c r="A1362" s="539" t="s">
        <v>39793</v>
      </c>
      <c r="B1362" s="539"/>
      <c r="C1362" s="539"/>
      <c r="D1362" s="539"/>
      <c r="E1362" s="539"/>
      <c r="F1362" s="539"/>
      <c r="G1362" s="539"/>
      <c r="H1362" s="539"/>
      <c r="I1362" s="539"/>
      <c r="J1362" s="539"/>
      <c r="K1362" s="539"/>
      <c r="L1362" s="539"/>
      <c r="M1362" s="539"/>
      <c r="N1362" s="539"/>
      <c r="O1362" s="539"/>
    </row>
    <row r="1363" spans="1:15" s="328" customFormat="1" x14ac:dyDescent="0.2">
      <c r="A1363" s="539" t="s">
        <v>5917</v>
      </c>
      <c r="B1363" s="539"/>
      <c r="C1363" s="539"/>
      <c r="D1363" s="333"/>
      <c r="E1363" s="333"/>
      <c r="F1363" s="333"/>
      <c r="G1363" s="333"/>
      <c r="H1363" s="333"/>
      <c r="I1363" s="331"/>
      <c r="J1363" s="331"/>
      <c r="K1363" s="333"/>
      <c r="L1363" s="333"/>
      <c r="M1363" s="334" t="s">
        <v>39792</v>
      </c>
      <c r="N1363" s="333" t="s">
        <v>39794</v>
      </c>
      <c r="O1363" s="334" t="s">
        <v>39795</v>
      </c>
    </row>
    <row r="1364" spans="1:15" s="328" customFormat="1" x14ac:dyDescent="0.2">
      <c r="A1364" s="535" t="s">
        <v>39801</v>
      </c>
      <c r="B1364" s="535"/>
      <c r="C1364" s="535"/>
      <c r="D1364" s="333"/>
      <c r="E1364" s="333"/>
      <c r="F1364" s="333"/>
      <c r="G1364" s="333"/>
      <c r="H1364" s="333"/>
      <c r="I1364" s="331"/>
      <c r="J1364" s="331"/>
      <c r="K1364" s="339"/>
      <c r="L1364" s="332"/>
      <c r="M1364" s="339">
        <f>2</f>
        <v>2</v>
      </c>
      <c r="N1364" s="332" t="s">
        <v>39794</v>
      </c>
      <c r="O1364" s="332">
        <f>ROUND(M1364,2)</f>
        <v>2</v>
      </c>
    </row>
    <row r="1365" spans="1:15" s="328" customFormat="1" x14ac:dyDescent="0.2">
      <c r="A1365" s="540"/>
      <c r="B1365" s="540"/>
      <c r="C1365" s="540"/>
      <c r="D1365" s="540"/>
      <c r="E1365" s="540"/>
      <c r="F1365" s="540"/>
      <c r="G1365" s="540"/>
      <c r="H1365" s="540"/>
      <c r="I1365" s="540"/>
      <c r="J1365" s="540"/>
      <c r="K1365" s="540"/>
      <c r="L1365" s="334" t="s">
        <v>39796</v>
      </c>
      <c r="M1365" s="334" t="s">
        <v>39168</v>
      </c>
      <c r="N1365" s="333" t="s">
        <v>39794</v>
      </c>
      <c r="O1365" s="334">
        <f>SUM(O1363:O1364)</f>
        <v>2</v>
      </c>
    </row>
    <row r="1366" spans="1:15" s="328" customFormat="1" x14ac:dyDescent="0.2">
      <c r="A1366" s="329" t="s">
        <v>39791</v>
      </c>
      <c r="B1366" s="542" t="s">
        <v>5917</v>
      </c>
      <c r="C1366" s="542"/>
      <c r="D1366" s="542"/>
      <c r="E1366" s="542"/>
      <c r="F1366" s="542"/>
      <c r="G1366" s="542"/>
      <c r="H1366" s="542"/>
      <c r="I1366" s="542"/>
      <c r="J1366" s="542"/>
      <c r="K1366" s="542"/>
      <c r="L1366" s="542"/>
      <c r="M1366" s="542"/>
      <c r="N1366" s="329" t="s">
        <v>39197</v>
      </c>
      <c r="O1366" s="330" t="s">
        <v>39792</v>
      </c>
    </row>
    <row r="1367" spans="1:15" s="328" customFormat="1" ht="35.1" customHeight="1" x14ac:dyDescent="0.2">
      <c r="A1367" s="331" t="str">
        <f>ORCAMENTO!A240</f>
        <v>11.5.2</v>
      </c>
      <c r="B1367" s="543" t="str">
        <f>VLOOKUP(A1367,ORCAMENTO!A:I,4,0)</f>
        <v>EXTINTOR DE INCÊNDIO PORTÁTIL COM CARGA DE PQS DE 4 KG, CLASSE BC - FORNECIMENTO E INSTALAÇÃO. AF_10/2020_PE</v>
      </c>
      <c r="C1367" s="543"/>
      <c r="D1367" s="543"/>
      <c r="E1367" s="543"/>
      <c r="F1367" s="543"/>
      <c r="G1367" s="543"/>
      <c r="H1367" s="543"/>
      <c r="I1367" s="543"/>
      <c r="J1367" s="543"/>
      <c r="K1367" s="543"/>
      <c r="L1367" s="543"/>
      <c r="M1367" s="543"/>
      <c r="N1367" s="331" t="str">
        <f>VLOOKUP(A1367,ORCAMENTO!A:I,5,0)</f>
        <v>UN</v>
      </c>
      <c r="O1367" s="332">
        <f>O1371</f>
        <v>5</v>
      </c>
    </row>
    <row r="1368" spans="1:15" s="328" customFormat="1" x14ac:dyDescent="0.2">
      <c r="A1368" s="539" t="s">
        <v>39793</v>
      </c>
      <c r="B1368" s="539"/>
      <c r="C1368" s="539"/>
      <c r="D1368" s="539"/>
      <c r="E1368" s="539"/>
      <c r="F1368" s="539"/>
      <c r="G1368" s="539"/>
      <c r="H1368" s="539"/>
      <c r="I1368" s="539"/>
      <c r="J1368" s="539"/>
      <c r="K1368" s="539"/>
      <c r="L1368" s="539"/>
      <c r="M1368" s="539"/>
      <c r="N1368" s="539"/>
      <c r="O1368" s="539"/>
    </row>
    <row r="1369" spans="1:15" s="328" customFormat="1" x14ac:dyDescent="0.2">
      <c r="A1369" s="539" t="s">
        <v>5917</v>
      </c>
      <c r="B1369" s="539"/>
      <c r="C1369" s="539"/>
      <c r="D1369" s="333"/>
      <c r="E1369" s="333"/>
      <c r="F1369" s="333"/>
      <c r="G1369" s="333"/>
      <c r="H1369" s="333"/>
      <c r="I1369" s="331"/>
      <c r="J1369" s="331"/>
      <c r="K1369" s="333"/>
      <c r="L1369" s="333"/>
      <c r="M1369" s="334" t="s">
        <v>39792</v>
      </c>
      <c r="N1369" s="333" t="s">
        <v>39794</v>
      </c>
      <c r="O1369" s="334" t="s">
        <v>39795</v>
      </c>
    </row>
    <row r="1370" spans="1:15" s="328" customFormat="1" x14ac:dyDescent="0.2">
      <c r="A1370" s="535" t="s">
        <v>39801</v>
      </c>
      <c r="B1370" s="535"/>
      <c r="C1370" s="535"/>
      <c r="D1370" s="333"/>
      <c r="E1370" s="333"/>
      <c r="F1370" s="333"/>
      <c r="G1370" s="333"/>
      <c r="H1370" s="333"/>
      <c r="I1370" s="331"/>
      <c r="J1370" s="331"/>
      <c r="K1370" s="339"/>
      <c r="L1370" s="332"/>
      <c r="M1370" s="339">
        <f>5</f>
        <v>5</v>
      </c>
      <c r="N1370" s="332" t="s">
        <v>39794</v>
      </c>
      <c r="O1370" s="332">
        <f>ROUND(M1370,2)</f>
        <v>5</v>
      </c>
    </row>
    <row r="1371" spans="1:15" s="328" customFormat="1" x14ac:dyDescent="0.2">
      <c r="A1371" s="540"/>
      <c r="B1371" s="540"/>
      <c r="C1371" s="540"/>
      <c r="D1371" s="540"/>
      <c r="E1371" s="540"/>
      <c r="F1371" s="540"/>
      <c r="G1371" s="540"/>
      <c r="H1371" s="540"/>
      <c r="I1371" s="540"/>
      <c r="J1371" s="540"/>
      <c r="K1371" s="540"/>
      <c r="L1371" s="334" t="s">
        <v>39796</v>
      </c>
      <c r="M1371" s="334" t="s">
        <v>39168</v>
      </c>
      <c r="N1371" s="333" t="s">
        <v>39794</v>
      </c>
      <c r="O1371" s="334">
        <f>SUM(O1369:O1370)</f>
        <v>5</v>
      </c>
    </row>
    <row r="1372" spans="1:15" s="328" customFormat="1" x14ac:dyDescent="0.2">
      <c r="A1372" s="347" t="str">
        <f>ORCAMENTO!A242</f>
        <v>11.6</v>
      </c>
      <c r="B1372" s="544" t="str">
        <f>VLOOKUP(A1372,ORCAMENTO!A:I,4,0)</f>
        <v>SINALIZAÇÃO</v>
      </c>
      <c r="C1372" s="544"/>
      <c r="D1372" s="544"/>
      <c r="E1372" s="544"/>
      <c r="F1372" s="544"/>
      <c r="G1372" s="544"/>
      <c r="H1372" s="544"/>
      <c r="I1372" s="544"/>
      <c r="J1372" s="544"/>
      <c r="K1372" s="544"/>
      <c r="L1372" s="544"/>
      <c r="M1372" s="544"/>
      <c r="N1372" s="544"/>
      <c r="O1372" s="544"/>
    </row>
    <row r="1373" spans="1:15" s="328" customFormat="1" x14ac:dyDescent="0.2">
      <c r="A1373" s="329" t="s">
        <v>39791</v>
      </c>
      <c r="B1373" s="542" t="s">
        <v>5917</v>
      </c>
      <c r="C1373" s="542"/>
      <c r="D1373" s="542"/>
      <c r="E1373" s="542"/>
      <c r="F1373" s="542"/>
      <c r="G1373" s="542"/>
      <c r="H1373" s="542"/>
      <c r="I1373" s="542"/>
      <c r="J1373" s="542"/>
      <c r="K1373" s="542"/>
      <c r="L1373" s="542"/>
      <c r="M1373" s="542"/>
      <c r="N1373" s="329" t="s">
        <v>39197</v>
      </c>
      <c r="O1373" s="330" t="s">
        <v>39792</v>
      </c>
    </row>
    <row r="1374" spans="1:15" s="328" customFormat="1" ht="12.75" customHeight="1" x14ac:dyDescent="0.2">
      <c r="A1374" s="331" t="str">
        <f>ORCAMENTO!A243</f>
        <v>11.6.1</v>
      </c>
      <c r="B1374" s="543" t="str">
        <f>VLOOKUP(A1374,ORCAMENTO!A:I,4,0)</f>
        <v>SINALIZAÇÃO PARA EXTINTOR</v>
      </c>
      <c r="C1374" s="543"/>
      <c r="D1374" s="543"/>
      <c r="E1374" s="543"/>
      <c r="F1374" s="543"/>
      <c r="G1374" s="543"/>
      <c r="H1374" s="543"/>
      <c r="I1374" s="543"/>
      <c r="J1374" s="543"/>
      <c r="K1374" s="543"/>
      <c r="L1374" s="543"/>
      <c r="M1374" s="543"/>
      <c r="N1374" s="331" t="str">
        <f>VLOOKUP(A1374,ORCAMENTO!A:I,5,0)</f>
        <v>UN</v>
      </c>
      <c r="O1374" s="332">
        <f>O1378</f>
        <v>5</v>
      </c>
    </row>
    <row r="1375" spans="1:15" s="328" customFormat="1" x14ac:dyDescent="0.2">
      <c r="A1375" s="539" t="s">
        <v>39793</v>
      </c>
      <c r="B1375" s="539"/>
      <c r="C1375" s="539"/>
      <c r="D1375" s="539"/>
      <c r="E1375" s="539"/>
      <c r="F1375" s="539"/>
      <c r="G1375" s="539"/>
      <c r="H1375" s="539"/>
      <c r="I1375" s="539"/>
      <c r="J1375" s="539"/>
      <c r="K1375" s="539"/>
      <c r="L1375" s="539"/>
      <c r="M1375" s="539"/>
      <c r="N1375" s="539"/>
      <c r="O1375" s="539"/>
    </row>
    <row r="1376" spans="1:15" s="328" customFormat="1" x14ac:dyDescent="0.2">
      <c r="A1376" s="539" t="s">
        <v>5917</v>
      </c>
      <c r="B1376" s="539"/>
      <c r="C1376" s="539"/>
      <c r="D1376" s="333"/>
      <c r="E1376" s="333"/>
      <c r="F1376" s="333"/>
      <c r="G1376" s="333"/>
      <c r="H1376" s="333"/>
      <c r="I1376" s="331"/>
      <c r="J1376" s="331"/>
      <c r="K1376" s="333"/>
      <c r="L1376" s="333"/>
      <c r="M1376" s="334" t="s">
        <v>39792</v>
      </c>
      <c r="N1376" s="333" t="s">
        <v>39794</v>
      </c>
      <c r="O1376" s="334" t="s">
        <v>39795</v>
      </c>
    </row>
    <row r="1377" spans="1:15" s="328" customFormat="1" x14ac:dyDescent="0.2">
      <c r="A1377" s="535" t="s">
        <v>39801</v>
      </c>
      <c r="B1377" s="535"/>
      <c r="C1377" s="535"/>
      <c r="D1377" s="333"/>
      <c r="E1377" s="333"/>
      <c r="F1377" s="333"/>
      <c r="G1377" s="333"/>
      <c r="H1377" s="333"/>
      <c r="I1377" s="331"/>
      <c r="J1377" s="331"/>
      <c r="K1377" s="339"/>
      <c r="L1377" s="332"/>
      <c r="M1377" s="339">
        <f>5</f>
        <v>5</v>
      </c>
      <c r="N1377" s="332" t="s">
        <v>39794</v>
      </c>
      <c r="O1377" s="332">
        <f>ROUND(M1377,2)</f>
        <v>5</v>
      </c>
    </row>
    <row r="1378" spans="1:15" s="328" customFormat="1" x14ac:dyDescent="0.2">
      <c r="A1378" s="540"/>
      <c r="B1378" s="540"/>
      <c r="C1378" s="540"/>
      <c r="D1378" s="540"/>
      <c r="E1378" s="540"/>
      <c r="F1378" s="540"/>
      <c r="G1378" s="540"/>
      <c r="H1378" s="540"/>
      <c r="I1378" s="540"/>
      <c r="J1378" s="540"/>
      <c r="K1378" s="540"/>
      <c r="L1378" s="334" t="s">
        <v>39796</v>
      </c>
      <c r="M1378" s="334" t="s">
        <v>39168</v>
      </c>
      <c r="N1378" s="333" t="s">
        <v>39794</v>
      </c>
      <c r="O1378" s="334">
        <f>SUM(O1376:O1377)</f>
        <v>5</v>
      </c>
    </row>
    <row r="1379" spans="1:15" s="328" customFormat="1" x14ac:dyDescent="0.2">
      <c r="A1379" s="329" t="s">
        <v>39791</v>
      </c>
      <c r="B1379" s="542" t="s">
        <v>5917</v>
      </c>
      <c r="C1379" s="542"/>
      <c r="D1379" s="542"/>
      <c r="E1379" s="542"/>
      <c r="F1379" s="542"/>
      <c r="G1379" s="542"/>
      <c r="H1379" s="542"/>
      <c r="I1379" s="542"/>
      <c r="J1379" s="542"/>
      <c r="K1379" s="542"/>
      <c r="L1379" s="542"/>
      <c r="M1379" s="542"/>
      <c r="N1379" s="329" t="s">
        <v>39197</v>
      </c>
      <c r="O1379" s="330" t="s">
        <v>39792</v>
      </c>
    </row>
    <row r="1380" spans="1:15" s="328" customFormat="1" ht="39.950000000000003" customHeight="1" x14ac:dyDescent="0.2">
      <c r="A1380" s="331" t="str">
        <f>ORCAMENTO!A244</f>
        <v>11.6.2</v>
      </c>
      <c r="B1380" s="543" t="str">
        <f>VLOOKUP(A1380,ORCAMENTO!A:I,4,0)</f>
        <v>PLACA DE SINALIZACAO DE SEGURANCA CONTRA INCENDIO, FOTOLUMINESCENTE, QUADRADA, *20 X 20* CM, EM PVC *2* MM ANTI-CHAMAS (SIMBOLOS, CORES E PICTOGRAMAS CONFORME NBR 16820)</v>
      </c>
      <c r="C1380" s="543"/>
      <c r="D1380" s="543"/>
      <c r="E1380" s="543"/>
      <c r="F1380" s="543"/>
      <c r="G1380" s="543"/>
      <c r="H1380" s="543"/>
      <c r="I1380" s="543"/>
      <c r="J1380" s="543"/>
      <c r="K1380" s="543"/>
      <c r="L1380" s="543"/>
      <c r="M1380" s="543"/>
      <c r="N1380" s="331" t="str">
        <f>VLOOKUP(A1380,ORCAMENTO!A:I,5,0)</f>
        <v>UN</v>
      </c>
      <c r="O1380" s="332">
        <f>O1384</f>
        <v>7</v>
      </c>
    </row>
    <row r="1381" spans="1:15" s="328" customFormat="1" x14ac:dyDescent="0.2">
      <c r="A1381" s="539" t="s">
        <v>39793</v>
      </c>
      <c r="B1381" s="539"/>
      <c r="C1381" s="539"/>
      <c r="D1381" s="539"/>
      <c r="E1381" s="539"/>
      <c r="F1381" s="539"/>
      <c r="G1381" s="539"/>
      <c r="H1381" s="539"/>
      <c r="I1381" s="539"/>
      <c r="J1381" s="539"/>
      <c r="K1381" s="539"/>
      <c r="L1381" s="539"/>
      <c r="M1381" s="539"/>
      <c r="N1381" s="539"/>
      <c r="O1381" s="539"/>
    </row>
    <row r="1382" spans="1:15" s="328" customFormat="1" x14ac:dyDescent="0.2">
      <c r="A1382" s="539" t="s">
        <v>5917</v>
      </c>
      <c r="B1382" s="539"/>
      <c r="C1382" s="539"/>
      <c r="D1382" s="333"/>
      <c r="E1382" s="333"/>
      <c r="F1382" s="333"/>
      <c r="G1382" s="333"/>
      <c r="H1382" s="333"/>
      <c r="I1382" s="331"/>
      <c r="J1382" s="331"/>
      <c r="K1382" s="333"/>
      <c r="L1382" s="333"/>
      <c r="M1382" s="334" t="s">
        <v>39792</v>
      </c>
      <c r="N1382" s="333" t="s">
        <v>39794</v>
      </c>
      <c r="O1382" s="334" t="s">
        <v>39795</v>
      </c>
    </row>
    <row r="1383" spans="1:15" s="328" customFormat="1" x14ac:dyDescent="0.2">
      <c r="A1383" s="535" t="s">
        <v>39801</v>
      </c>
      <c r="B1383" s="535"/>
      <c r="C1383" s="535"/>
      <c r="D1383" s="333"/>
      <c r="E1383" s="333"/>
      <c r="F1383" s="333"/>
      <c r="G1383" s="333"/>
      <c r="H1383" s="333"/>
      <c r="I1383" s="331"/>
      <c r="J1383" s="331"/>
      <c r="K1383" s="339"/>
      <c r="L1383" s="332"/>
      <c r="M1383" s="339">
        <f>7</f>
        <v>7</v>
      </c>
      <c r="N1383" s="332" t="s">
        <v>39794</v>
      </c>
      <c r="O1383" s="332">
        <f>ROUND(M1383,2)</f>
        <v>7</v>
      </c>
    </row>
    <row r="1384" spans="1:15" s="328" customFormat="1" x14ac:dyDescent="0.2">
      <c r="A1384" s="540"/>
      <c r="B1384" s="540"/>
      <c r="C1384" s="540"/>
      <c r="D1384" s="540"/>
      <c r="E1384" s="540"/>
      <c r="F1384" s="540"/>
      <c r="G1384" s="540"/>
      <c r="H1384" s="540"/>
      <c r="I1384" s="540"/>
      <c r="J1384" s="540"/>
      <c r="K1384" s="540"/>
      <c r="L1384" s="334" t="s">
        <v>39796</v>
      </c>
      <c r="M1384" s="334" t="s">
        <v>39168</v>
      </c>
      <c r="N1384" s="333" t="s">
        <v>39794</v>
      </c>
      <c r="O1384" s="334">
        <f>SUM(O1382:O1383)</f>
        <v>7</v>
      </c>
    </row>
    <row r="1385" spans="1:15" s="328" customFormat="1" x14ac:dyDescent="0.2">
      <c r="A1385" s="329" t="s">
        <v>39791</v>
      </c>
      <c r="B1385" s="542" t="s">
        <v>5917</v>
      </c>
      <c r="C1385" s="542"/>
      <c r="D1385" s="542"/>
      <c r="E1385" s="542"/>
      <c r="F1385" s="542"/>
      <c r="G1385" s="542"/>
      <c r="H1385" s="542"/>
      <c r="I1385" s="542"/>
      <c r="J1385" s="542"/>
      <c r="K1385" s="542"/>
      <c r="L1385" s="542"/>
      <c r="M1385" s="542"/>
      <c r="N1385" s="329" t="s">
        <v>39197</v>
      </c>
      <c r="O1385" s="330" t="s">
        <v>39792</v>
      </c>
    </row>
    <row r="1386" spans="1:15" s="328" customFormat="1" ht="39.950000000000003" customHeight="1" x14ac:dyDescent="0.2">
      <c r="A1386" s="331" t="str">
        <f>ORCAMENTO!A245</f>
        <v>11.6.3</v>
      </c>
      <c r="B1386" s="543" t="str">
        <f>VLOOKUP(A1386,ORCAMENTO!A:I,4,0)</f>
        <v>PLACA DE SINALIZACAO DE SEGURANCA CONTRA INCENDIO, FOTOLUMINESCENTE, RETANGULAR, *13 X 26* CM, EM PVC MM ANTI-CHAMAS (SIMBOLOS, CORES E PICTOGRAMAS CONFORME NBR 16820)</v>
      </c>
      <c r="C1386" s="543"/>
      <c r="D1386" s="543"/>
      <c r="E1386" s="543"/>
      <c r="F1386" s="543"/>
      <c r="G1386" s="543"/>
      <c r="H1386" s="543"/>
      <c r="I1386" s="543"/>
      <c r="J1386" s="543"/>
      <c r="K1386" s="543"/>
      <c r="L1386" s="543"/>
      <c r="M1386" s="543"/>
      <c r="N1386" s="331" t="str">
        <f>VLOOKUP(A1386,ORCAMENTO!A:I,5,0)</f>
        <v>UN</v>
      </c>
      <c r="O1386" s="332">
        <f>O1390</f>
        <v>13</v>
      </c>
    </row>
    <row r="1387" spans="1:15" s="328" customFormat="1" x14ac:dyDescent="0.2">
      <c r="A1387" s="539" t="s">
        <v>39793</v>
      </c>
      <c r="B1387" s="539"/>
      <c r="C1387" s="539"/>
      <c r="D1387" s="539"/>
      <c r="E1387" s="539"/>
      <c r="F1387" s="539"/>
      <c r="G1387" s="539"/>
      <c r="H1387" s="539"/>
      <c r="I1387" s="539"/>
      <c r="J1387" s="539"/>
      <c r="K1387" s="539"/>
      <c r="L1387" s="539"/>
      <c r="M1387" s="539"/>
      <c r="N1387" s="539"/>
      <c r="O1387" s="539"/>
    </row>
    <row r="1388" spans="1:15" s="328" customFormat="1" x14ac:dyDescent="0.2">
      <c r="A1388" s="539" t="s">
        <v>5917</v>
      </c>
      <c r="B1388" s="539"/>
      <c r="C1388" s="539"/>
      <c r="D1388" s="333"/>
      <c r="E1388" s="333"/>
      <c r="F1388" s="333"/>
      <c r="G1388" s="333"/>
      <c r="H1388" s="333"/>
      <c r="I1388" s="331"/>
      <c r="J1388" s="331"/>
      <c r="K1388" s="333"/>
      <c r="L1388" s="333"/>
      <c r="M1388" s="334" t="s">
        <v>39792</v>
      </c>
      <c r="N1388" s="333" t="s">
        <v>39794</v>
      </c>
      <c r="O1388" s="334" t="s">
        <v>39795</v>
      </c>
    </row>
    <row r="1389" spans="1:15" s="328" customFormat="1" x14ac:dyDescent="0.2">
      <c r="A1389" s="535" t="s">
        <v>39801</v>
      </c>
      <c r="B1389" s="535"/>
      <c r="C1389" s="535"/>
      <c r="D1389" s="333"/>
      <c r="E1389" s="333"/>
      <c r="F1389" s="333"/>
      <c r="G1389" s="333"/>
      <c r="H1389" s="333"/>
      <c r="I1389" s="331"/>
      <c r="J1389" s="331"/>
      <c r="K1389" s="339"/>
      <c r="L1389" s="332"/>
      <c r="M1389" s="339">
        <f>13</f>
        <v>13</v>
      </c>
      <c r="N1389" s="332" t="s">
        <v>39794</v>
      </c>
      <c r="O1389" s="332">
        <f>ROUND(M1389,2)</f>
        <v>13</v>
      </c>
    </row>
    <row r="1390" spans="1:15" s="328" customFormat="1" ht="12.75" customHeight="1" x14ac:dyDescent="0.2">
      <c r="A1390" s="540"/>
      <c r="B1390" s="540"/>
      <c r="C1390" s="540"/>
      <c r="D1390" s="540"/>
      <c r="E1390" s="540"/>
      <c r="F1390" s="540"/>
      <c r="G1390" s="540"/>
      <c r="H1390" s="540"/>
      <c r="I1390" s="540"/>
      <c r="J1390" s="540"/>
      <c r="K1390" s="540"/>
      <c r="L1390" s="334" t="s">
        <v>39796</v>
      </c>
      <c r="M1390" s="334" t="s">
        <v>39168</v>
      </c>
      <c r="N1390" s="333" t="s">
        <v>39794</v>
      </c>
      <c r="O1390" s="334">
        <f>SUM(O1388:O1389)</f>
        <v>13</v>
      </c>
    </row>
    <row r="1391" spans="1:15" s="328" customFormat="1" x14ac:dyDescent="0.2">
      <c r="A1391" s="347" t="str">
        <f>ORCAMENTO!A247</f>
        <v>11.7</v>
      </c>
      <c r="B1391" s="544" t="str">
        <f>VLOOKUP(A1391,ORCAMENTO!A:I,4,0)</f>
        <v>LUMINÁRIAS DE EMERGÊNCIA</v>
      </c>
      <c r="C1391" s="544"/>
      <c r="D1391" s="544"/>
      <c r="E1391" s="544"/>
      <c r="F1391" s="544"/>
      <c r="G1391" s="544"/>
      <c r="H1391" s="544"/>
      <c r="I1391" s="544"/>
      <c r="J1391" s="544"/>
      <c r="K1391" s="544"/>
      <c r="L1391" s="544"/>
      <c r="M1391" s="544"/>
      <c r="N1391" s="544"/>
      <c r="O1391" s="544"/>
    </row>
    <row r="1392" spans="1:15" s="328" customFormat="1" x14ac:dyDescent="0.2">
      <c r="A1392" s="329" t="s">
        <v>39791</v>
      </c>
      <c r="B1392" s="542" t="s">
        <v>5917</v>
      </c>
      <c r="C1392" s="542"/>
      <c r="D1392" s="542"/>
      <c r="E1392" s="542"/>
      <c r="F1392" s="542"/>
      <c r="G1392" s="542"/>
      <c r="H1392" s="542"/>
      <c r="I1392" s="542"/>
      <c r="J1392" s="542"/>
      <c r="K1392" s="542"/>
      <c r="L1392" s="542"/>
      <c r="M1392" s="542"/>
      <c r="N1392" s="329" t="s">
        <v>39197</v>
      </c>
      <c r="O1392" s="330" t="s">
        <v>39792</v>
      </c>
    </row>
    <row r="1393" spans="1:15" s="328" customFormat="1" ht="12.75" customHeight="1" x14ac:dyDescent="0.2">
      <c r="A1393" s="331" t="str">
        <f>ORCAMENTO!A248</f>
        <v>11.7.1</v>
      </c>
      <c r="B1393" s="543" t="str">
        <f>VLOOKUP(A1393,ORCAMENTO!A:I,4,0)</f>
        <v>BLOCO LUMINOSO AUTÔNOMO, INDICADOR DE SETA, MOD. UNITRON/SIMILAR</v>
      </c>
      <c r="C1393" s="543"/>
      <c r="D1393" s="543"/>
      <c r="E1393" s="543"/>
      <c r="F1393" s="543"/>
      <c r="G1393" s="543"/>
      <c r="H1393" s="543"/>
      <c r="I1393" s="543"/>
      <c r="J1393" s="543"/>
      <c r="K1393" s="543"/>
      <c r="L1393" s="543"/>
      <c r="M1393" s="543"/>
      <c r="N1393" s="331" t="str">
        <f>VLOOKUP(A1393,ORCAMENTO!A:I,5,0)</f>
        <v>UN</v>
      </c>
      <c r="O1393" s="332">
        <f>O1397</f>
        <v>15</v>
      </c>
    </row>
    <row r="1394" spans="1:15" s="328" customFormat="1" x14ac:dyDescent="0.2">
      <c r="A1394" s="539" t="s">
        <v>39793</v>
      </c>
      <c r="B1394" s="539"/>
      <c r="C1394" s="539"/>
      <c r="D1394" s="539"/>
      <c r="E1394" s="539"/>
      <c r="F1394" s="539"/>
      <c r="G1394" s="539"/>
      <c r="H1394" s="539"/>
      <c r="I1394" s="539"/>
      <c r="J1394" s="539"/>
      <c r="K1394" s="539"/>
      <c r="L1394" s="539"/>
      <c r="M1394" s="539"/>
      <c r="N1394" s="539"/>
      <c r="O1394" s="539"/>
    </row>
    <row r="1395" spans="1:15" s="328" customFormat="1" x14ac:dyDescent="0.2">
      <c r="A1395" s="539" t="s">
        <v>5917</v>
      </c>
      <c r="B1395" s="539"/>
      <c r="C1395" s="539"/>
      <c r="D1395" s="333"/>
      <c r="E1395" s="333"/>
      <c r="F1395" s="333"/>
      <c r="G1395" s="333"/>
      <c r="H1395" s="333"/>
      <c r="I1395" s="331"/>
      <c r="J1395" s="331"/>
      <c r="K1395" s="333"/>
      <c r="L1395" s="333"/>
      <c r="M1395" s="334" t="s">
        <v>39792</v>
      </c>
      <c r="N1395" s="333" t="s">
        <v>39794</v>
      </c>
      <c r="O1395" s="334" t="s">
        <v>39795</v>
      </c>
    </row>
    <row r="1396" spans="1:15" s="328" customFormat="1" x14ac:dyDescent="0.2">
      <c r="A1396" s="535" t="s">
        <v>39801</v>
      </c>
      <c r="B1396" s="535"/>
      <c r="C1396" s="535"/>
      <c r="D1396" s="333"/>
      <c r="E1396" s="333"/>
      <c r="F1396" s="333"/>
      <c r="G1396" s="333"/>
      <c r="H1396" s="333"/>
      <c r="I1396" s="331"/>
      <c r="J1396" s="331"/>
      <c r="K1396" s="339"/>
      <c r="L1396" s="332"/>
      <c r="M1396" s="339">
        <f>15</f>
        <v>15</v>
      </c>
      <c r="N1396" s="332" t="s">
        <v>39794</v>
      </c>
      <c r="O1396" s="332">
        <f>ROUND(M1396,2)</f>
        <v>15</v>
      </c>
    </row>
    <row r="1397" spans="1:15" s="328" customFormat="1" x14ac:dyDescent="0.2">
      <c r="A1397" s="540"/>
      <c r="B1397" s="540"/>
      <c r="C1397" s="540"/>
      <c r="D1397" s="540"/>
      <c r="E1397" s="540"/>
      <c r="F1397" s="540"/>
      <c r="G1397" s="540"/>
      <c r="H1397" s="540"/>
      <c r="I1397" s="540"/>
      <c r="J1397" s="540"/>
      <c r="K1397" s="540"/>
      <c r="L1397" s="334" t="s">
        <v>39796</v>
      </c>
      <c r="M1397" s="334" t="s">
        <v>39168</v>
      </c>
      <c r="N1397" s="333" t="s">
        <v>39794</v>
      </c>
      <c r="O1397" s="334">
        <f>SUM(O1395:O1396)</f>
        <v>15</v>
      </c>
    </row>
    <row r="1398" spans="1:15" s="328" customFormat="1" x14ac:dyDescent="0.2">
      <c r="A1398" s="347" t="str">
        <f>ORCAMENTO!A250</f>
        <v>11.8</v>
      </c>
      <c r="B1398" s="544" t="str">
        <f>VLOOKUP(A1398,ORCAMENTO!A:I,4,0)</f>
        <v>ALARMES</v>
      </c>
      <c r="C1398" s="544"/>
      <c r="D1398" s="544"/>
      <c r="E1398" s="544"/>
      <c r="F1398" s="544"/>
      <c r="G1398" s="544"/>
      <c r="H1398" s="544"/>
      <c r="I1398" s="544"/>
      <c r="J1398" s="544"/>
      <c r="K1398" s="544"/>
      <c r="L1398" s="544"/>
      <c r="M1398" s="544"/>
      <c r="N1398" s="544"/>
      <c r="O1398" s="544"/>
    </row>
    <row r="1399" spans="1:15" s="328" customFormat="1" x14ac:dyDescent="0.2">
      <c r="A1399" s="329" t="s">
        <v>39791</v>
      </c>
      <c r="B1399" s="542" t="s">
        <v>5917</v>
      </c>
      <c r="C1399" s="542"/>
      <c r="D1399" s="542"/>
      <c r="E1399" s="542"/>
      <c r="F1399" s="542"/>
      <c r="G1399" s="542"/>
      <c r="H1399" s="542"/>
      <c r="I1399" s="542"/>
      <c r="J1399" s="542"/>
      <c r="K1399" s="542"/>
      <c r="L1399" s="542"/>
      <c r="M1399" s="542"/>
      <c r="N1399" s="329" t="s">
        <v>39197</v>
      </c>
      <c r="O1399" s="330" t="s">
        <v>39792</v>
      </c>
    </row>
    <row r="1400" spans="1:15" s="328" customFormat="1" ht="12.75" customHeight="1" x14ac:dyDescent="0.2">
      <c r="A1400" s="331" t="str">
        <f>ORCAMENTO!A251</f>
        <v>11.8.1</v>
      </c>
      <c r="B1400" s="543" t="str">
        <f>VLOOKUP(A1400,ORCAMENTO!A:I,4,0)</f>
        <v>CENTRAL ALARME P/6 LAÇOS SUPERV., MOD. FIRE-LITE/SIMILAR</v>
      </c>
      <c r="C1400" s="543"/>
      <c r="D1400" s="543"/>
      <c r="E1400" s="543"/>
      <c r="F1400" s="543"/>
      <c r="G1400" s="543"/>
      <c r="H1400" s="543"/>
      <c r="I1400" s="543"/>
      <c r="J1400" s="543"/>
      <c r="K1400" s="543"/>
      <c r="L1400" s="543"/>
      <c r="M1400" s="543"/>
      <c r="N1400" s="331" t="str">
        <f>VLOOKUP(A1400,ORCAMENTO!A:I,5,0)</f>
        <v>UN</v>
      </c>
      <c r="O1400" s="332">
        <f>O1404</f>
        <v>1</v>
      </c>
    </row>
    <row r="1401" spans="1:15" s="328" customFormat="1" x14ac:dyDescent="0.2">
      <c r="A1401" s="539" t="s">
        <v>39793</v>
      </c>
      <c r="B1401" s="539"/>
      <c r="C1401" s="539"/>
      <c r="D1401" s="539"/>
      <c r="E1401" s="539"/>
      <c r="F1401" s="539"/>
      <c r="G1401" s="539"/>
      <c r="H1401" s="539"/>
      <c r="I1401" s="539"/>
      <c r="J1401" s="539"/>
      <c r="K1401" s="539"/>
      <c r="L1401" s="539"/>
      <c r="M1401" s="539"/>
      <c r="N1401" s="539"/>
      <c r="O1401" s="539"/>
    </row>
    <row r="1402" spans="1:15" s="328" customFormat="1" x14ac:dyDescent="0.2">
      <c r="A1402" s="539" t="s">
        <v>5917</v>
      </c>
      <c r="B1402" s="539"/>
      <c r="C1402" s="539"/>
      <c r="D1402" s="333"/>
      <c r="E1402" s="333"/>
      <c r="F1402" s="333"/>
      <c r="G1402" s="333"/>
      <c r="H1402" s="333"/>
      <c r="I1402" s="331"/>
      <c r="J1402" s="331"/>
      <c r="K1402" s="333"/>
      <c r="L1402" s="333"/>
      <c r="M1402" s="334" t="s">
        <v>39792</v>
      </c>
      <c r="N1402" s="333" t="s">
        <v>39794</v>
      </c>
      <c r="O1402" s="334" t="s">
        <v>39795</v>
      </c>
    </row>
    <row r="1403" spans="1:15" s="328" customFormat="1" x14ac:dyDescent="0.2">
      <c r="A1403" s="535" t="s">
        <v>39801</v>
      </c>
      <c r="B1403" s="535"/>
      <c r="C1403" s="535"/>
      <c r="D1403" s="333"/>
      <c r="E1403" s="333"/>
      <c r="F1403" s="333"/>
      <c r="G1403" s="333"/>
      <c r="H1403" s="333"/>
      <c r="I1403" s="331"/>
      <c r="J1403" s="331"/>
      <c r="K1403" s="339"/>
      <c r="L1403" s="332"/>
      <c r="M1403" s="339">
        <f>1</f>
        <v>1</v>
      </c>
      <c r="N1403" s="332" t="s">
        <v>39794</v>
      </c>
      <c r="O1403" s="332">
        <f>ROUND(M1403,2)</f>
        <v>1</v>
      </c>
    </row>
    <row r="1404" spans="1:15" s="328" customFormat="1" x14ac:dyDescent="0.2">
      <c r="A1404" s="540"/>
      <c r="B1404" s="540"/>
      <c r="C1404" s="540"/>
      <c r="D1404" s="540"/>
      <c r="E1404" s="540"/>
      <c r="F1404" s="540"/>
      <c r="G1404" s="540"/>
      <c r="H1404" s="540"/>
      <c r="I1404" s="540"/>
      <c r="J1404" s="540"/>
      <c r="K1404" s="540"/>
      <c r="L1404" s="334" t="s">
        <v>39796</v>
      </c>
      <c r="M1404" s="334" t="s">
        <v>39168</v>
      </c>
      <c r="N1404" s="333" t="s">
        <v>39794</v>
      </c>
      <c r="O1404" s="334">
        <f>SUM(O1402:O1403)</f>
        <v>1</v>
      </c>
    </row>
    <row r="1405" spans="1:15" s="328" customFormat="1" x14ac:dyDescent="0.2">
      <c r="A1405" s="329" t="s">
        <v>39791</v>
      </c>
      <c r="B1405" s="542" t="s">
        <v>5917</v>
      </c>
      <c r="C1405" s="542"/>
      <c r="D1405" s="542"/>
      <c r="E1405" s="542"/>
      <c r="F1405" s="542"/>
      <c r="G1405" s="542"/>
      <c r="H1405" s="542"/>
      <c r="I1405" s="542"/>
      <c r="J1405" s="542"/>
      <c r="K1405" s="542"/>
      <c r="L1405" s="542"/>
      <c r="M1405" s="542"/>
      <c r="N1405" s="329" t="s">
        <v>39197</v>
      </c>
      <c r="O1405" s="330" t="s">
        <v>39792</v>
      </c>
    </row>
    <row r="1406" spans="1:15" s="328" customFormat="1" ht="12.75" customHeight="1" x14ac:dyDescent="0.2">
      <c r="A1406" s="331" t="str">
        <f>ORCAMENTO!A252</f>
        <v>11.8.2</v>
      </c>
      <c r="B1406" s="543" t="str">
        <f>VLOOKUP(A1406,ORCAMENTO!A:I,4,0)</f>
        <v>ALARME SONORO/VISUAL, SIRENE 120 dB, COM ACIONADOR MANUAL, ALIMENTAÇÃO 220 VAC - INSTALADO</v>
      </c>
      <c r="C1406" s="543"/>
      <c r="D1406" s="543"/>
      <c r="E1406" s="543"/>
      <c r="F1406" s="543"/>
      <c r="G1406" s="543"/>
      <c r="H1406" s="543"/>
      <c r="I1406" s="543"/>
      <c r="J1406" s="543"/>
      <c r="K1406" s="543"/>
      <c r="L1406" s="543"/>
      <c r="M1406" s="543"/>
      <c r="N1406" s="331" t="str">
        <f>VLOOKUP(A1406,ORCAMENTO!A:I,5,0)</f>
        <v>UN</v>
      </c>
      <c r="O1406" s="332">
        <f>O1410</f>
        <v>2</v>
      </c>
    </row>
    <row r="1407" spans="1:15" s="328" customFormat="1" x14ac:dyDescent="0.2">
      <c r="A1407" s="539" t="s">
        <v>39793</v>
      </c>
      <c r="B1407" s="539"/>
      <c r="C1407" s="539"/>
      <c r="D1407" s="539"/>
      <c r="E1407" s="539"/>
      <c r="F1407" s="539"/>
      <c r="G1407" s="539"/>
      <c r="H1407" s="539"/>
      <c r="I1407" s="539"/>
      <c r="J1407" s="539"/>
      <c r="K1407" s="539"/>
      <c r="L1407" s="539"/>
      <c r="M1407" s="539"/>
      <c r="N1407" s="539"/>
      <c r="O1407" s="539"/>
    </row>
    <row r="1408" spans="1:15" s="328" customFormat="1" x14ac:dyDescent="0.2">
      <c r="A1408" s="539" t="s">
        <v>5917</v>
      </c>
      <c r="B1408" s="539"/>
      <c r="C1408" s="539"/>
      <c r="D1408" s="333"/>
      <c r="E1408" s="333"/>
      <c r="F1408" s="333"/>
      <c r="G1408" s="333"/>
      <c r="H1408" s="333"/>
      <c r="I1408" s="331"/>
      <c r="J1408" s="331"/>
      <c r="K1408" s="333"/>
      <c r="L1408" s="333"/>
      <c r="M1408" s="334" t="s">
        <v>39792</v>
      </c>
      <c r="N1408" s="333" t="s">
        <v>39794</v>
      </c>
      <c r="O1408" s="334" t="s">
        <v>39795</v>
      </c>
    </row>
    <row r="1409" spans="1:15" s="328" customFormat="1" x14ac:dyDescent="0.2">
      <c r="A1409" s="535" t="s">
        <v>39801</v>
      </c>
      <c r="B1409" s="535"/>
      <c r="C1409" s="535"/>
      <c r="D1409" s="333"/>
      <c r="E1409" s="333"/>
      <c r="F1409" s="333"/>
      <c r="G1409" s="333"/>
      <c r="H1409" s="333"/>
      <c r="I1409" s="331"/>
      <c r="J1409" s="331"/>
      <c r="K1409" s="339"/>
      <c r="L1409" s="332"/>
      <c r="M1409" s="339">
        <f>2</f>
        <v>2</v>
      </c>
      <c r="N1409" s="332" t="s">
        <v>39794</v>
      </c>
      <c r="O1409" s="332">
        <f>ROUND(M1409,2)</f>
        <v>2</v>
      </c>
    </row>
    <row r="1410" spans="1:15" s="328" customFormat="1" x14ac:dyDescent="0.2">
      <c r="A1410" s="540"/>
      <c r="B1410" s="540"/>
      <c r="C1410" s="540"/>
      <c r="D1410" s="540"/>
      <c r="E1410" s="540"/>
      <c r="F1410" s="540"/>
      <c r="G1410" s="540"/>
      <c r="H1410" s="540"/>
      <c r="I1410" s="540"/>
      <c r="J1410" s="540"/>
      <c r="K1410" s="540"/>
      <c r="L1410" s="334" t="s">
        <v>39796</v>
      </c>
      <c r="M1410" s="334" t="s">
        <v>39168</v>
      </c>
      <c r="N1410" s="333" t="s">
        <v>39794</v>
      </c>
      <c r="O1410" s="334">
        <f>SUM(O1408:O1409)</f>
        <v>2</v>
      </c>
    </row>
    <row r="1411" spans="1:15" s="328" customFormat="1" x14ac:dyDescent="0.2">
      <c r="A1411" s="336">
        <f>ORCAMENTO!A254</f>
        <v>12</v>
      </c>
      <c r="B1411" s="545" t="str">
        <f>VLOOKUP(A1411,ORCAMENTO!A:I,4,0)</f>
        <v>INSTALAÇÕES SPDA</v>
      </c>
      <c r="C1411" s="545"/>
      <c r="D1411" s="545"/>
      <c r="E1411" s="545"/>
      <c r="F1411" s="545"/>
      <c r="G1411" s="545"/>
      <c r="H1411" s="545"/>
      <c r="I1411" s="545"/>
      <c r="J1411" s="545"/>
      <c r="K1411" s="545"/>
      <c r="L1411" s="545"/>
      <c r="M1411" s="545"/>
      <c r="N1411" s="545"/>
      <c r="O1411" s="545"/>
    </row>
    <row r="1412" spans="1:15" s="328" customFormat="1" x14ac:dyDescent="0.2">
      <c r="A1412" s="347" t="str">
        <f>ORCAMENTO!A255</f>
        <v>12.1</v>
      </c>
      <c r="B1412" s="544" t="str">
        <f>VLOOKUP(A1412,ORCAMENTO!A:I,4,0)</f>
        <v>FIOS, CABOS E ACESSÓRIOS</v>
      </c>
      <c r="C1412" s="544"/>
      <c r="D1412" s="544"/>
      <c r="E1412" s="544"/>
      <c r="F1412" s="544"/>
      <c r="G1412" s="544"/>
      <c r="H1412" s="544"/>
      <c r="I1412" s="544"/>
      <c r="J1412" s="544"/>
      <c r="K1412" s="544"/>
      <c r="L1412" s="544"/>
      <c r="M1412" s="544"/>
      <c r="N1412" s="544"/>
      <c r="O1412" s="544"/>
    </row>
    <row r="1413" spans="1:15" s="328" customFormat="1" x14ac:dyDescent="0.2">
      <c r="A1413" s="329" t="s">
        <v>39791</v>
      </c>
      <c r="B1413" s="542" t="s">
        <v>5917</v>
      </c>
      <c r="C1413" s="542"/>
      <c r="D1413" s="542"/>
      <c r="E1413" s="542"/>
      <c r="F1413" s="542"/>
      <c r="G1413" s="542"/>
      <c r="H1413" s="542"/>
      <c r="I1413" s="542"/>
      <c r="J1413" s="542"/>
      <c r="K1413" s="542"/>
      <c r="L1413" s="542"/>
      <c r="M1413" s="542"/>
      <c r="N1413" s="329" t="s">
        <v>39197</v>
      </c>
      <c r="O1413" s="330" t="s">
        <v>39792</v>
      </c>
    </row>
    <row r="1414" spans="1:15" s="328" customFormat="1" x14ac:dyDescent="0.2">
      <c r="A1414" s="331" t="str">
        <f>ORCAMENTO!A256</f>
        <v>12.1.1</v>
      </c>
      <c r="B1414" s="543" t="str">
        <f>VLOOKUP(A1414,ORCAMENTO!A:I,4,0)</f>
        <v>CORDOALHA DE COBRE NU 50 MM², NÃO ENTERRADA, COM ISOLADOR - FORNECIMENTO E INSTALAÇÃO. AF_08/2023</v>
      </c>
      <c r="C1414" s="543"/>
      <c r="D1414" s="543"/>
      <c r="E1414" s="543"/>
      <c r="F1414" s="543"/>
      <c r="G1414" s="543"/>
      <c r="H1414" s="543"/>
      <c r="I1414" s="543"/>
      <c r="J1414" s="543"/>
      <c r="K1414" s="543"/>
      <c r="L1414" s="543"/>
      <c r="M1414" s="543"/>
      <c r="N1414" s="331" t="str">
        <f>VLOOKUP(A1414,ORCAMENTO!A:I,5,0)</f>
        <v>M</v>
      </c>
      <c r="O1414" s="332">
        <f>O1418</f>
        <v>169.79</v>
      </c>
    </row>
    <row r="1415" spans="1:15" s="328" customFormat="1" x14ac:dyDescent="0.2">
      <c r="A1415" s="539" t="s">
        <v>39793</v>
      </c>
      <c r="B1415" s="539"/>
      <c r="C1415" s="539"/>
      <c r="D1415" s="539"/>
      <c r="E1415" s="539"/>
      <c r="F1415" s="539"/>
      <c r="G1415" s="539"/>
      <c r="H1415" s="539"/>
      <c r="I1415" s="539"/>
      <c r="J1415" s="539"/>
      <c r="K1415" s="539"/>
      <c r="L1415" s="539"/>
      <c r="M1415" s="539"/>
      <c r="N1415" s="539"/>
      <c r="O1415" s="539"/>
    </row>
    <row r="1416" spans="1:15" s="328" customFormat="1" x14ac:dyDescent="0.2">
      <c r="A1416" s="539" t="s">
        <v>5917</v>
      </c>
      <c r="B1416" s="539"/>
      <c r="C1416" s="539"/>
      <c r="D1416" s="333"/>
      <c r="E1416" s="333"/>
      <c r="F1416" s="333"/>
      <c r="G1416" s="333"/>
      <c r="H1416" s="333"/>
      <c r="I1416" s="331"/>
      <c r="J1416" s="331"/>
      <c r="K1416" s="333"/>
      <c r="L1416" s="333"/>
      <c r="M1416" s="334" t="s">
        <v>39802</v>
      </c>
      <c r="N1416" s="333" t="s">
        <v>39794</v>
      </c>
      <c r="O1416" s="334" t="s">
        <v>39795</v>
      </c>
    </row>
    <row r="1417" spans="1:15" s="328" customFormat="1" x14ac:dyDescent="0.2">
      <c r="A1417" s="535" t="s">
        <v>39801</v>
      </c>
      <c r="B1417" s="535"/>
      <c r="C1417" s="535"/>
      <c r="D1417" s="333"/>
      <c r="E1417" s="333"/>
      <c r="F1417" s="333"/>
      <c r="G1417" s="333"/>
      <c r="H1417" s="333"/>
      <c r="I1417" s="331"/>
      <c r="J1417" s="331"/>
      <c r="K1417" s="339"/>
      <c r="L1417" s="332"/>
      <c r="M1417" s="339">
        <f>169.79</f>
        <v>169.79</v>
      </c>
      <c r="N1417" s="332" t="s">
        <v>39794</v>
      </c>
      <c r="O1417" s="332">
        <f>ROUND(M1417,2)</f>
        <v>169.79</v>
      </c>
    </row>
    <row r="1418" spans="1:15" s="328" customFormat="1" x14ac:dyDescent="0.2">
      <c r="A1418" s="540"/>
      <c r="B1418" s="540"/>
      <c r="C1418" s="540"/>
      <c r="D1418" s="540"/>
      <c r="E1418" s="540"/>
      <c r="F1418" s="540"/>
      <c r="G1418" s="540"/>
      <c r="H1418" s="540"/>
      <c r="I1418" s="540"/>
      <c r="J1418" s="540"/>
      <c r="K1418" s="540"/>
      <c r="L1418" s="334" t="s">
        <v>39796</v>
      </c>
      <c r="M1418" s="334" t="s">
        <v>39168</v>
      </c>
      <c r="N1418" s="333" t="s">
        <v>39794</v>
      </c>
      <c r="O1418" s="334">
        <f>SUM(O1416:O1417)</f>
        <v>169.79</v>
      </c>
    </row>
    <row r="1419" spans="1:15" s="328" customFormat="1" x14ac:dyDescent="0.2">
      <c r="A1419" s="329" t="s">
        <v>39791</v>
      </c>
      <c r="B1419" s="542" t="s">
        <v>5917</v>
      </c>
      <c r="C1419" s="542"/>
      <c r="D1419" s="542"/>
      <c r="E1419" s="542"/>
      <c r="F1419" s="542"/>
      <c r="G1419" s="542"/>
      <c r="H1419" s="542"/>
      <c r="I1419" s="542"/>
      <c r="J1419" s="542"/>
      <c r="K1419" s="542"/>
      <c r="L1419" s="542"/>
      <c r="M1419" s="542"/>
      <c r="N1419" s="329" t="s">
        <v>39197</v>
      </c>
      <c r="O1419" s="330" t="s">
        <v>39792</v>
      </c>
    </row>
    <row r="1420" spans="1:15" s="328" customFormat="1" ht="12.75" customHeight="1" x14ac:dyDescent="0.2">
      <c r="A1420" s="331" t="str">
        <f>ORCAMENTO!A257</f>
        <v>12.1.2</v>
      </c>
      <c r="B1420" s="543" t="str">
        <f>VLOOKUP(A1420,ORCAMENTO!A:I,4,0)</f>
        <v>BARRA CHATA DE ALUMÍNIO DE 7/8" X 1/8" - FORNECIMENTO E INSTALAÇÃO</v>
      </c>
      <c r="C1420" s="543"/>
      <c r="D1420" s="543"/>
      <c r="E1420" s="543"/>
      <c r="F1420" s="543"/>
      <c r="G1420" s="543"/>
      <c r="H1420" s="543"/>
      <c r="I1420" s="543"/>
      <c r="J1420" s="543"/>
      <c r="K1420" s="543"/>
      <c r="L1420" s="543"/>
      <c r="M1420" s="543"/>
      <c r="N1420" s="331" t="str">
        <f>VLOOKUP(A1420,ORCAMENTO!A:I,5,0)</f>
        <v>M</v>
      </c>
      <c r="O1420" s="332">
        <f>O1424</f>
        <v>238.4</v>
      </c>
    </row>
    <row r="1421" spans="1:15" s="328" customFormat="1" x14ac:dyDescent="0.2">
      <c r="A1421" s="539" t="s">
        <v>39793</v>
      </c>
      <c r="B1421" s="539"/>
      <c r="C1421" s="539"/>
      <c r="D1421" s="539"/>
      <c r="E1421" s="539"/>
      <c r="F1421" s="539"/>
      <c r="G1421" s="539"/>
      <c r="H1421" s="539"/>
      <c r="I1421" s="539"/>
      <c r="J1421" s="539"/>
      <c r="K1421" s="539"/>
      <c r="L1421" s="539"/>
      <c r="M1421" s="539"/>
      <c r="N1421" s="539"/>
      <c r="O1421" s="539"/>
    </row>
    <row r="1422" spans="1:15" s="328" customFormat="1" x14ac:dyDescent="0.2">
      <c r="A1422" s="539" t="s">
        <v>5917</v>
      </c>
      <c r="B1422" s="539"/>
      <c r="C1422" s="539"/>
      <c r="D1422" s="333"/>
      <c r="E1422" s="333"/>
      <c r="F1422" s="333"/>
      <c r="G1422" s="333"/>
      <c r="H1422" s="333"/>
      <c r="I1422" s="331"/>
      <c r="J1422" s="331"/>
      <c r="K1422" s="333"/>
      <c r="L1422" s="333"/>
      <c r="M1422" s="334" t="s">
        <v>39802</v>
      </c>
      <c r="N1422" s="333" t="s">
        <v>39794</v>
      </c>
      <c r="O1422" s="334" t="s">
        <v>39795</v>
      </c>
    </row>
    <row r="1423" spans="1:15" s="328" customFormat="1" x14ac:dyDescent="0.2">
      <c r="A1423" s="535" t="s">
        <v>39801</v>
      </c>
      <c r="B1423" s="535"/>
      <c r="C1423" s="535"/>
      <c r="D1423" s="333"/>
      <c r="E1423" s="333"/>
      <c r="F1423" s="333"/>
      <c r="G1423" s="333"/>
      <c r="H1423" s="333"/>
      <c r="I1423" s="331"/>
      <c r="J1423" s="331"/>
      <c r="K1423" s="339"/>
      <c r="L1423" s="332"/>
      <c r="M1423" s="339">
        <f>238.4</f>
        <v>238.4</v>
      </c>
      <c r="N1423" s="332" t="s">
        <v>39794</v>
      </c>
      <c r="O1423" s="332">
        <f>ROUND(M1423,2)</f>
        <v>238.4</v>
      </c>
    </row>
    <row r="1424" spans="1:15" s="328" customFormat="1" x14ac:dyDescent="0.2">
      <c r="A1424" s="540"/>
      <c r="B1424" s="540"/>
      <c r="C1424" s="540"/>
      <c r="D1424" s="540"/>
      <c r="E1424" s="540"/>
      <c r="F1424" s="540"/>
      <c r="G1424" s="540"/>
      <c r="H1424" s="540"/>
      <c r="I1424" s="540"/>
      <c r="J1424" s="540"/>
      <c r="K1424" s="540"/>
      <c r="L1424" s="334" t="s">
        <v>39796</v>
      </c>
      <c r="M1424" s="334" t="s">
        <v>39168</v>
      </c>
      <c r="N1424" s="333" t="s">
        <v>39794</v>
      </c>
      <c r="O1424" s="334">
        <f>SUM(O1422:O1423)</f>
        <v>238.4</v>
      </c>
    </row>
    <row r="1425" spans="1:15" s="328" customFormat="1" x14ac:dyDescent="0.2">
      <c r="A1425" s="329" t="s">
        <v>39791</v>
      </c>
      <c r="B1425" s="542" t="s">
        <v>5917</v>
      </c>
      <c r="C1425" s="542"/>
      <c r="D1425" s="542"/>
      <c r="E1425" s="542"/>
      <c r="F1425" s="542"/>
      <c r="G1425" s="542"/>
      <c r="H1425" s="542"/>
      <c r="I1425" s="542"/>
      <c r="J1425" s="542"/>
      <c r="K1425" s="542"/>
      <c r="L1425" s="542"/>
      <c r="M1425" s="542"/>
      <c r="N1425" s="329" t="s">
        <v>39197</v>
      </c>
      <c r="O1425" s="330" t="s">
        <v>39792</v>
      </c>
    </row>
    <row r="1426" spans="1:15" s="328" customFormat="1" ht="12.75" customHeight="1" x14ac:dyDescent="0.2">
      <c r="A1426" s="331" t="str">
        <f>ORCAMENTO!A258</f>
        <v>12.1.3</v>
      </c>
      <c r="B1426" s="543" t="str">
        <f>VLOOKUP(A1426,ORCAMENTO!A:I,4,0)</f>
        <v>TERMINAL AÉREO EM AÇO GALVANIZADO, COM FIXAÇÃO HORIZONTAL - FORNECIMENTO E INSTALAÇÃO</v>
      </c>
      <c r="C1426" s="543"/>
      <c r="D1426" s="543"/>
      <c r="E1426" s="543"/>
      <c r="F1426" s="543"/>
      <c r="G1426" s="543"/>
      <c r="H1426" s="543"/>
      <c r="I1426" s="543"/>
      <c r="J1426" s="543"/>
      <c r="K1426" s="543"/>
      <c r="L1426" s="543"/>
      <c r="M1426" s="543"/>
      <c r="N1426" s="331" t="str">
        <f>VLOOKUP(A1426,ORCAMENTO!A:I,5,0)</f>
        <v>UN</v>
      </c>
      <c r="O1426" s="332">
        <f>O1430</f>
        <v>32</v>
      </c>
    </row>
    <row r="1427" spans="1:15" s="328" customFormat="1" x14ac:dyDescent="0.2">
      <c r="A1427" s="539" t="s">
        <v>39793</v>
      </c>
      <c r="B1427" s="539"/>
      <c r="C1427" s="539"/>
      <c r="D1427" s="539"/>
      <c r="E1427" s="539"/>
      <c r="F1427" s="539"/>
      <c r="G1427" s="539"/>
      <c r="H1427" s="539"/>
      <c r="I1427" s="539"/>
      <c r="J1427" s="539"/>
      <c r="K1427" s="539"/>
      <c r="L1427" s="539"/>
      <c r="M1427" s="539"/>
      <c r="N1427" s="539"/>
      <c r="O1427" s="539"/>
    </row>
    <row r="1428" spans="1:15" s="328" customFormat="1" x14ac:dyDescent="0.2">
      <c r="A1428" s="539" t="s">
        <v>5917</v>
      </c>
      <c r="B1428" s="539"/>
      <c r="C1428" s="539"/>
      <c r="D1428" s="333"/>
      <c r="E1428" s="333"/>
      <c r="F1428" s="333"/>
      <c r="G1428" s="333"/>
      <c r="H1428" s="333"/>
      <c r="I1428" s="331"/>
      <c r="J1428" s="331"/>
      <c r="K1428" s="333"/>
      <c r="L1428" s="333"/>
      <c r="M1428" s="334" t="s">
        <v>39792</v>
      </c>
      <c r="N1428" s="333" t="s">
        <v>39794</v>
      </c>
      <c r="O1428" s="334" t="s">
        <v>39795</v>
      </c>
    </row>
    <row r="1429" spans="1:15" s="328" customFormat="1" x14ac:dyDescent="0.2">
      <c r="A1429" s="535" t="s">
        <v>39801</v>
      </c>
      <c r="B1429" s="535"/>
      <c r="C1429" s="535"/>
      <c r="D1429" s="333"/>
      <c r="E1429" s="333"/>
      <c r="F1429" s="333"/>
      <c r="G1429" s="333"/>
      <c r="H1429" s="333"/>
      <c r="I1429" s="331"/>
      <c r="J1429" s="331"/>
      <c r="K1429" s="339"/>
      <c r="L1429" s="332"/>
      <c r="M1429" s="339">
        <f>32</f>
        <v>32</v>
      </c>
      <c r="N1429" s="332" t="s">
        <v>39794</v>
      </c>
      <c r="O1429" s="332">
        <f>ROUND(M1429,2)</f>
        <v>32</v>
      </c>
    </row>
    <row r="1430" spans="1:15" s="328" customFormat="1" x14ac:dyDescent="0.2">
      <c r="A1430" s="540"/>
      <c r="B1430" s="540"/>
      <c r="C1430" s="540"/>
      <c r="D1430" s="540"/>
      <c r="E1430" s="540"/>
      <c r="F1430" s="540"/>
      <c r="G1430" s="540"/>
      <c r="H1430" s="540"/>
      <c r="I1430" s="540"/>
      <c r="J1430" s="540"/>
      <c r="K1430" s="540"/>
      <c r="L1430" s="334" t="s">
        <v>39796</v>
      </c>
      <c r="M1430" s="334" t="s">
        <v>39168</v>
      </c>
      <c r="N1430" s="333" t="s">
        <v>39794</v>
      </c>
      <c r="O1430" s="334">
        <f>SUM(O1428:O1429)</f>
        <v>32</v>
      </c>
    </row>
    <row r="1431" spans="1:15" s="328" customFormat="1" x14ac:dyDescent="0.2">
      <c r="A1431" s="329" t="s">
        <v>39791</v>
      </c>
      <c r="B1431" s="542" t="s">
        <v>5917</v>
      </c>
      <c r="C1431" s="542"/>
      <c r="D1431" s="542"/>
      <c r="E1431" s="542"/>
      <c r="F1431" s="542"/>
      <c r="G1431" s="542"/>
      <c r="H1431" s="542"/>
      <c r="I1431" s="542"/>
      <c r="J1431" s="542"/>
      <c r="K1431" s="542"/>
      <c r="L1431" s="542"/>
      <c r="M1431" s="542"/>
      <c r="N1431" s="329" t="s">
        <v>39197</v>
      </c>
      <c r="O1431" s="330" t="s">
        <v>39792</v>
      </c>
    </row>
    <row r="1432" spans="1:15" s="328" customFormat="1" ht="12.75" customHeight="1" x14ac:dyDescent="0.2">
      <c r="A1432" s="331" t="str">
        <f>ORCAMENTO!A259</f>
        <v>12.1.4</v>
      </c>
      <c r="B1432" s="543" t="str">
        <f>VLOOKUP(A1432,ORCAMENTO!A:I,4,0)</f>
        <v>HASTE DE ATERRAMENTO, DIÂMETRO 5/8", COM 3 METROS - FORNECIMENTO E INSTALAÇÃO. AF_08/2023</v>
      </c>
      <c r="C1432" s="543"/>
      <c r="D1432" s="543"/>
      <c r="E1432" s="543"/>
      <c r="F1432" s="543"/>
      <c r="G1432" s="543"/>
      <c r="H1432" s="543"/>
      <c r="I1432" s="543"/>
      <c r="J1432" s="543"/>
      <c r="K1432" s="543"/>
      <c r="L1432" s="543"/>
      <c r="M1432" s="543"/>
      <c r="N1432" s="331" t="str">
        <f>VLOOKUP(A1432,ORCAMENTO!A:I,5,0)</f>
        <v>UN</v>
      </c>
      <c r="O1432" s="332">
        <f>O1436</f>
        <v>11</v>
      </c>
    </row>
    <row r="1433" spans="1:15" s="328" customFormat="1" x14ac:dyDescent="0.2">
      <c r="A1433" s="539" t="s">
        <v>39793</v>
      </c>
      <c r="B1433" s="539"/>
      <c r="C1433" s="539"/>
      <c r="D1433" s="539"/>
      <c r="E1433" s="539"/>
      <c r="F1433" s="539"/>
      <c r="G1433" s="539"/>
      <c r="H1433" s="539"/>
      <c r="I1433" s="539"/>
      <c r="J1433" s="539"/>
      <c r="K1433" s="539"/>
      <c r="L1433" s="539"/>
      <c r="M1433" s="539"/>
      <c r="N1433" s="539"/>
      <c r="O1433" s="539"/>
    </row>
    <row r="1434" spans="1:15" s="328" customFormat="1" x14ac:dyDescent="0.2">
      <c r="A1434" s="539" t="s">
        <v>5917</v>
      </c>
      <c r="B1434" s="539"/>
      <c r="C1434" s="539"/>
      <c r="D1434" s="333"/>
      <c r="E1434" s="333"/>
      <c r="F1434" s="333"/>
      <c r="G1434" s="333"/>
      <c r="H1434" s="333"/>
      <c r="I1434" s="331"/>
      <c r="J1434" s="331"/>
      <c r="K1434" s="333"/>
      <c r="L1434" s="333"/>
      <c r="M1434" s="334" t="s">
        <v>39792</v>
      </c>
      <c r="N1434" s="333" t="s">
        <v>39794</v>
      </c>
      <c r="O1434" s="334" t="s">
        <v>39795</v>
      </c>
    </row>
    <row r="1435" spans="1:15" s="328" customFormat="1" x14ac:dyDescent="0.2">
      <c r="A1435" s="535" t="s">
        <v>39801</v>
      </c>
      <c r="B1435" s="535"/>
      <c r="C1435" s="535"/>
      <c r="D1435" s="333"/>
      <c r="E1435" s="333"/>
      <c r="F1435" s="333"/>
      <c r="G1435" s="333"/>
      <c r="H1435" s="333"/>
      <c r="I1435" s="331"/>
      <c r="J1435" s="331"/>
      <c r="K1435" s="339"/>
      <c r="L1435" s="332"/>
      <c r="M1435" s="339">
        <f>11</f>
        <v>11</v>
      </c>
      <c r="N1435" s="332" t="s">
        <v>39794</v>
      </c>
      <c r="O1435" s="332">
        <f>ROUND(M1435,2)</f>
        <v>11</v>
      </c>
    </row>
    <row r="1436" spans="1:15" s="328" customFormat="1" x14ac:dyDescent="0.2">
      <c r="A1436" s="540"/>
      <c r="B1436" s="540"/>
      <c r="C1436" s="540"/>
      <c r="D1436" s="540"/>
      <c r="E1436" s="540"/>
      <c r="F1436" s="540"/>
      <c r="G1436" s="540"/>
      <c r="H1436" s="540"/>
      <c r="I1436" s="540"/>
      <c r="J1436" s="540"/>
      <c r="K1436" s="540"/>
      <c r="L1436" s="334" t="s">
        <v>39796</v>
      </c>
      <c r="M1436" s="334" t="s">
        <v>39168</v>
      </c>
      <c r="N1436" s="333" t="s">
        <v>39794</v>
      </c>
      <c r="O1436" s="334">
        <f>SUM(O1434:O1435)</f>
        <v>11</v>
      </c>
    </row>
    <row r="1437" spans="1:15" s="328" customFormat="1" x14ac:dyDescent="0.2">
      <c r="A1437" s="347" t="str">
        <f>ORCAMENTO!A261</f>
        <v>12.2</v>
      </c>
      <c r="B1437" s="544" t="str">
        <f>VLOOKUP(A1437,ORCAMENTO!A:I,4,0)</f>
        <v>ESCAVAÇÕES E RASGOS</v>
      </c>
      <c r="C1437" s="544"/>
      <c r="D1437" s="544"/>
      <c r="E1437" s="544"/>
      <c r="F1437" s="544"/>
      <c r="G1437" s="544"/>
      <c r="H1437" s="544"/>
      <c r="I1437" s="544"/>
      <c r="J1437" s="544"/>
      <c r="K1437" s="544"/>
      <c r="L1437" s="544"/>
      <c r="M1437" s="544"/>
      <c r="N1437" s="544"/>
      <c r="O1437" s="544"/>
    </row>
    <row r="1438" spans="1:15" s="328" customFormat="1" x14ac:dyDescent="0.2">
      <c r="A1438" s="329" t="s">
        <v>39791</v>
      </c>
      <c r="B1438" s="542" t="s">
        <v>5917</v>
      </c>
      <c r="C1438" s="542"/>
      <c r="D1438" s="542"/>
      <c r="E1438" s="542"/>
      <c r="F1438" s="542"/>
      <c r="G1438" s="542"/>
      <c r="H1438" s="542"/>
      <c r="I1438" s="542"/>
      <c r="J1438" s="542"/>
      <c r="K1438" s="542"/>
      <c r="L1438" s="542"/>
      <c r="M1438" s="542"/>
      <c r="N1438" s="329" t="s">
        <v>39197</v>
      </c>
      <c r="O1438" s="330" t="s">
        <v>39792</v>
      </c>
    </row>
    <row r="1439" spans="1:15" s="328" customFormat="1" ht="12.75" customHeight="1" x14ac:dyDescent="0.2">
      <c r="A1439" s="331" t="str">
        <f>ORCAMENTO!A262</f>
        <v>12.2.1</v>
      </c>
      <c r="B1439" s="543" t="str">
        <f>VLOOKUP(A1439,ORCAMENTO!A:I,4,0)</f>
        <v>ESCAVAÇÃO MANUAL DE VALA. AF_09/2024</v>
      </c>
      <c r="C1439" s="543"/>
      <c r="D1439" s="543"/>
      <c r="E1439" s="543"/>
      <c r="F1439" s="543"/>
      <c r="G1439" s="543"/>
      <c r="H1439" s="543"/>
      <c r="I1439" s="543"/>
      <c r="J1439" s="543"/>
      <c r="K1439" s="543"/>
      <c r="L1439" s="543"/>
      <c r="M1439" s="543"/>
      <c r="N1439" s="331" t="str">
        <f>VLOOKUP(A1439,ORCAMENTO!A:I,5,0)</f>
        <v>M3</v>
      </c>
      <c r="O1439" s="332">
        <f>O1443</f>
        <v>42.45</v>
      </c>
    </row>
    <row r="1440" spans="1:15" s="328" customFormat="1" x14ac:dyDescent="0.2">
      <c r="A1440" s="539" t="s">
        <v>39793</v>
      </c>
      <c r="B1440" s="539"/>
      <c r="C1440" s="539"/>
      <c r="D1440" s="539"/>
      <c r="E1440" s="539"/>
      <c r="F1440" s="539"/>
      <c r="G1440" s="539"/>
      <c r="H1440" s="539"/>
      <c r="I1440" s="539"/>
      <c r="J1440" s="539"/>
      <c r="K1440" s="539"/>
      <c r="L1440" s="539"/>
      <c r="M1440" s="539"/>
      <c r="N1440" s="539"/>
      <c r="O1440" s="539"/>
    </row>
    <row r="1441" spans="1:15" s="328" customFormat="1" x14ac:dyDescent="0.2">
      <c r="A1441" s="539" t="s">
        <v>5917</v>
      </c>
      <c r="B1441" s="539"/>
      <c r="C1441" s="539"/>
      <c r="D1441" s="333"/>
      <c r="E1441" s="333"/>
      <c r="F1441" s="333"/>
      <c r="G1441" s="333"/>
      <c r="H1441" s="333"/>
      <c r="I1441" s="331"/>
      <c r="J1441" s="331"/>
      <c r="K1441" s="333"/>
      <c r="L1441" s="333"/>
      <c r="M1441" s="334" t="s">
        <v>39803</v>
      </c>
      <c r="N1441" s="333" t="s">
        <v>39794</v>
      </c>
      <c r="O1441" s="334" t="s">
        <v>39795</v>
      </c>
    </row>
    <row r="1442" spans="1:15" s="328" customFormat="1" x14ac:dyDescent="0.2">
      <c r="A1442" s="535" t="s">
        <v>39801</v>
      </c>
      <c r="B1442" s="535"/>
      <c r="C1442" s="535"/>
      <c r="D1442" s="333"/>
      <c r="E1442" s="333"/>
      <c r="F1442" s="333"/>
      <c r="G1442" s="333"/>
      <c r="H1442" s="333"/>
      <c r="I1442" s="331"/>
      <c r="J1442" s="331"/>
      <c r="K1442" s="339"/>
      <c r="L1442" s="332"/>
      <c r="M1442" s="339">
        <f>42.45</f>
        <v>42.45</v>
      </c>
      <c r="N1442" s="332" t="s">
        <v>39794</v>
      </c>
      <c r="O1442" s="332">
        <f>ROUND(M1442,2)</f>
        <v>42.45</v>
      </c>
    </row>
    <row r="1443" spans="1:15" s="328" customFormat="1" x14ac:dyDescent="0.2">
      <c r="A1443" s="540"/>
      <c r="B1443" s="540"/>
      <c r="C1443" s="540"/>
      <c r="D1443" s="540"/>
      <c r="E1443" s="540"/>
      <c r="F1443" s="540"/>
      <c r="G1443" s="540"/>
      <c r="H1443" s="540"/>
      <c r="I1443" s="540"/>
      <c r="J1443" s="540"/>
      <c r="K1443" s="540"/>
      <c r="L1443" s="334" t="s">
        <v>39796</v>
      </c>
      <c r="M1443" s="334" t="s">
        <v>39168</v>
      </c>
      <c r="N1443" s="333" t="s">
        <v>39794</v>
      </c>
      <c r="O1443" s="334">
        <f>SUM(O1441:O1442)</f>
        <v>42.45</v>
      </c>
    </row>
    <row r="1444" spans="1:15" s="328" customFormat="1" x14ac:dyDescent="0.2">
      <c r="A1444" s="329" t="s">
        <v>39791</v>
      </c>
      <c r="B1444" s="542" t="s">
        <v>5917</v>
      </c>
      <c r="C1444" s="542"/>
      <c r="D1444" s="542"/>
      <c r="E1444" s="542"/>
      <c r="F1444" s="542"/>
      <c r="G1444" s="542"/>
      <c r="H1444" s="542"/>
      <c r="I1444" s="542"/>
      <c r="J1444" s="542"/>
      <c r="K1444" s="542"/>
      <c r="L1444" s="542"/>
      <c r="M1444" s="542"/>
      <c r="N1444" s="329" t="s">
        <v>39197</v>
      </c>
      <c r="O1444" s="330" t="s">
        <v>39792</v>
      </c>
    </row>
    <row r="1445" spans="1:15" s="328" customFormat="1" ht="12.75" customHeight="1" x14ac:dyDescent="0.2">
      <c r="A1445" s="331" t="str">
        <f>ORCAMENTO!A263</f>
        <v>12.2.2</v>
      </c>
      <c r="B1445" s="543" t="str">
        <f>VLOOKUP(A1445,ORCAMENTO!A:I,4,0)</f>
        <v>REATERRO MANUAL DE VALAS, COM COMPACTADOR DE SOLOS DE PERCUSSÃO. AF_08/2023</v>
      </c>
      <c r="C1445" s="543"/>
      <c r="D1445" s="543"/>
      <c r="E1445" s="543"/>
      <c r="F1445" s="543"/>
      <c r="G1445" s="543"/>
      <c r="H1445" s="543"/>
      <c r="I1445" s="543"/>
      <c r="J1445" s="543"/>
      <c r="K1445" s="543"/>
      <c r="L1445" s="543"/>
      <c r="M1445" s="543"/>
      <c r="N1445" s="331" t="str">
        <f>VLOOKUP(A1445,ORCAMENTO!A:I,5,0)</f>
        <v>M3</v>
      </c>
      <c r="O1445" s="332">
        <f>O1449</f>
        <v>42.45</v>
      </c>
    </row>
    <row r="1446" spans="1:15" s="328" customFormat="1" x14ac:dyDescent="0.2">
      <c r="A1446" s="539" t="s">
        <v>39793</v>
      </c>
      <c r="B1446" s="539"/>
      <c r="C1446" s="539"/>
      <c r="D1446" s="539"/>
      <c r="E1446" s="539"/>
      <c r="F1446" s="539"/>
      <c r="G1446" s="539"/>
      <c r="H1446" s="539"/>
      <c r="I1446" s="539"/>
      <c r="J1446" s="539"/>
      <c r="K1446" s="539"/>
      <c r="L1446" s="539"/>
      <c r="M1446" s="539"/>
      <c r="N1446" s="539"/>
      <c r="O1446" s="539"/>
    </row>
    <row r="1447" spans="1:15" s="328" customFormat="1" x14ac:dyDescent="0.2">
      <c r="A1447" s="539" t="s">
        <v>5917</v>
      </c>
      <c r="B1447" s="539"/>
      <c r="C1447" s="539"/>
      <c r="D1447" s="333"/>
      <c r="E1447" s="333"/>
      <c r="F1447" s="333"/>
      <c r="G1447" s="333"/>
      <c r="H1447" s="333"/>
      <c r="I1447" s="331"/>
      <c r="J1447" s="331"/>
      <c r="K1447" s="333"/>
      <c r="L1447" s="333"/>
      <c r="M1447" s="334" t="s">
        <v>39803</v>
      </c>
      <c r="N1447" s="333" t="s">
        <v>39794</v>
      </c>
      <c r="O1447" s="334" t="s">
        <v>39795</v>
      </c>
    </row>
    <row r="1448" spans="1:15" s="328" customFormat="1" x14ac:dyDescent="0.2">
      <c r="A1448" s="535" t="s">
        <v>39801</v>
      </c>
      <c r="B1448" s="535"/>
      <c r="C1448" s="535"/>
      <c r="D1448" s="333"/>
      <c r="E1448" s="333"/>
      <c r="F1448" s="333"/>
      <c r="G1448" s="333"/>
      <c r="H1448" s="333"/>
      <c r="I1448" s="331"/>
      <c r="J1448" s="331"/>
      <c r="K1448" s="339"/>
      <c r="L1448" s="332"/>
      <c r="M1448" s="339">
        <f>42.45</f>
        <v>42.45</v>
      </c>
      <c r="N1448" s="332" t="s">
        <v>39794</v>
      </c>
      <c r="O1448" s="332">
        <f>ROUND(M1448,2)</f>
        <v>42.45</v>
      </c>
    </row>
    <row r="1449" spans="1:15" s="328" customFormat="1" x14ac:dyDescent="0.2">
      <c r="A1449" s="540"/>
      <c r="B1449" s="540"/>
      <c r="C1449" s="540"/>
      <c r="D1449" s="540"/>
      <c r="E1449" s="540"/>
      <c r="F1449" s="540"/>
      <c r="G1449" s="540"/>
      <c r="H1449" s="540"/>
      <c r="I1449" s="540"/>
      <c r="J1449" s="540"/>
      <c r="K1449" s="540"/>
      <c r="L1449" s="334" t="s">
        <v>39796</v>
      </c>
      <c r="M1449" s="334" t="s">
        <v>39168</v>
      </c>
      <c r="N1449" s="333" t="s">
        <v>39794</v>
      </c>
      <c r="O1449" s="334">
        <f>SUM(O1447:O1448)</f>
        <v>42.45</v>
      </c>
    </row>
    <row r="1450" spans="1:15" s="328" customFormat="1" x14ac:dyDescent="0.2">
      <c r="A1450" s="347" t="str">
        <f>ORCAMENTO!A265</f>
        <v>12.3</v>
      </c>
      <c r="B1450" s="544" t="str">
        <f>VLOOKUP(A1450,ORCAMENTO!A:I,4,0)</f>
        <v>CAIXAS</v>
      </c>
      <c r="C1450" s="544"/>
      <c r="D1450" s="544"/>
      <c r="E1450" s="544"/>
      <c r="F1450" s="544"/>
      <c r="G1450" s="544"/>
      <c r="H1450" s="544"/>
      <c r="I1450" s="544"/>
      <c r="J1450" s="544"/>
      <c r="K1450" s="544"/>
      <c r="L1450" s="544"/>
      <c r="M1450" s="544"/>
      <c r="N1450" s="544"/>
      <c r="O1450" s="544"/>
    </row>
    <row r="1451" spans="1:15" s="328" customFormat="1" x14ac:dyDescent="0.2">
      <c r="A1451" s="329" t="s">
        <v>39791</v>
      </c>
      <c r="B1451" s="542" t="s">
        <v>5917</v>
      </c>
      <c r="C1451" s="542"/>
      <c r="D1451" s="542"/>
      <c r="E1451" s="542"/>
      <c r="F1451" s="542"/>
      <c r="G1451" s="542"/>
      <c r="H1451" s="542"/>
      <c r="I1451" s="542"/>
      <c r="J1451" s="542"/>
      <c r="K1451" s="542"/>
      <c r="L1451" s="542"/>
      <c r="M1451" s="542"/>
      <c r="N1451" s="329" t="s">
        <v>39197</v>
      </c>
      <c r="O1451" s="330" t="s">
        <v>39792</v>
      </c>
    </row>
    <row r="1452" spans="1:15" s="328" customFormat="1" ht="12.75" customHeight="1" x14ac:dyDescent="0.2">
      <c r="A1452" s="331" t="str">
        <f>ORCAMENTO!A266</f>
        <v>12.3.1</v>
      </c>
      <c r="B1452" s="543" t="str">
        <f>VLOOKUP(A1452,ORCAMENTO!A:I,4,0)</f>
        <v>CAIXA DE INSPEÇÃO PARA ATERRAMENTO, CIRCULAR, EM POLIETILENO, DIÂMETRO INTERNO = 0,3 M. AF_12/2020</v>
      </c>
      <c r="C1452" s="543"/>
      <c r="D1452" s="543"/>
      <c r="E1452" s="543"/>
      <c r="F1452" s="543"/>
      <c r="G1452" s="543"/>
      <c r="H1452" s="543"/>
      <c r="I1452" s="543"/>
      <c r="J1452" s="543"/>
      <c r="K1452" s="543"/>
      <c r="L1452" s="543"/>
      <c r="M1452" s="543"/>
      <c r="N1452" s="331" t="str">
        <f>VLOOKUP(A1452,ORCAMENTO!A:I,5,0)</f>
        <v>UN</v>
      </c>
      <c r="O1452" s="332">
        <f>O1456</f>
        <v>11</v>
      </c>
    </row>
    <row r="1453" spans="1:15" s="328" customFormat="1" x14ac:dyDescent="0.2">
      <c r="A1453" s="539" t="s">
        <v>39793</v>
      </c>
      <c r="B1453" s="539"/>
      <c r="C1453" s="539"/>
      <c r="D1453" s="539"/>
      <c r="E1453" s="539"/>
      <c r="F1453" s="539"/>
      <c r="G1453" s="539"/>
      <c r="H1453" s="539"/>
      <c r="I1453" s="539"/>
      <c r="J1453" s="539"/>
      <c r="K1453" s="539"/>
      <c r="L1453" s="539"/>
      <c r="M1453" s="539"/>
      <c r="N1453" s="539"/>
      <c r="O1453" s="539"/>
    </row>
    <row r="1454" spans="1:15" s="328" customFormat="1" x14ac:dyDescent="0.2">
      <c r="A1454" s="539" t="s">
        <v>5917</v>
      </c>
      <c r="B1454" s="539"/>
      <c r="C1454" s="539"/>
      <c r="D1454" s="333"/>
      <c r="E1454" s="333"/>
      <c r="F1454" s="333"/>
      <c r="G1454" s="333"/>
      <c r="H1454" s="333"/>
      <c r="I1454" s="331"/>
      <c r="J1454" s="331"/>
      <c r="K1454" s="333"/>
      <c r="L1454" s="333"/>
      <c r="M1454" s="334" t="s">
        <v>39792</v>
      </c>
      <c r="N1454" s="333" t="s">
        <v>39794</v>
      </c>
      <c r="O1454" s="334" t="s">
        <v>39795</v>
      </c>
    </row>
    <row r="1455" spans="1:15" s="328" customFormat="1" x14ac:dyDescent="0.2">
      <c r="A1455" s="535" t="s">
        <v>39801</v>
      </c>
      <c r="B1455" s="535"/>
      <c r="C1455" s="535"/>
      <c r="D1455" s="333"/>
      <c r="E1455" s="333"/>
      <c r="F1455" s="333"/>
      <c r="G1455" s="333"/>
      <c r="H1455" s="333"/>
      <c r="I1455" s="331"/>
      <c r="J1455" s="331"/>
      <c r="K1455" s="339"/>
      <c r="L1455" s="332"/>
      <c r="M1455" s="339">
        <f>11</f>
        <v>11</v>
      </c>
      <c r="N1455" s="332" t="s">
        <v>39794</v>
      </c>
      <c r="O1455" s="332">
        <f>ROUND(M1455,2)</f>
        <v>11</v>
      </c>
    </row>
    <row r="1456" spans="1:15" s="328" customFormat="1" x14ac:dyDescent="0.2">
      <c r="A1456" s="540"/>
      <c r="B1456" s="540"/>
      <c r="C1456" s="540"/>
      <c r="D1456" s="540"/>
      <c r="E1456" s="540"/>
      <c r="F1456" s="540"/>
      <c r="G1456" s="540"/>
      <c r="H1456" s="540"/>
      <c r="I1456" s="540"/>
      <c r="J1456" s="540"/>
      <c r="K1456" s="540"/>
      <c r="L1456" s="334" t="s">
        <v>39796</v>
      </c>
      <c r="M1456" s="334" t="s">
        <v>39168</v>
      </c>
      <c r="N1456" s="333" t="s">
        <v>39794</v>
      </c>
      <c r="O1456" s="334">
        <f>SUM(O1454:O1455)</f>
        <v>11</v>
      </c>
    </row>
    <row r="1457" spans="1:15" s="328" customFormat="1" x14ac:dyDescent="0.2">
      <c r="A1457" s="329" t="s">
        <v>39791</v>
      </c>
      <c r="B1457" s="542" t="s">
        <v>5917</v>
      </c>
      <c r="C1457" s="542"/>
      <c r="D1457" s="542"/>
      <c r="E1457" s="542"/>
      <c r="F1457" s="542"/>
      <c r="G1457" s="542"/>
      <c r="H1457" s="542"/>
      <c r="I1457" s="542"/>
      <c r="J1457" s="542"/>
      <c r="K1457" s="542"/>
      <c r="L1457" s="542"/>
      <c r="M1457" s="542"/>
      <c r="N1457" s="329" t="s">
        <v>39197</v>
      </c>
      <c r="O1457" s="330" t="s">
        <v>39792</v>
      </c>
    </row>
    <row r="1458" spans="1:15" s="328" customFormat="1" ht="12.75" customHeight="1" x14ac:dyDescent="0.2">
      <c r="A1458" s="331" t="str">
        <f>ORCAMENTO!A267</f>
        <v>12.3.2</v>
      </c>
      <c r="B1458" s="543" t="str">
        <f>VLOOKUP(A1458,ORCAMENTO!A:I,4,0)</f>
        <v>TAMPA PARA CAIXA DE INSPEÇÃO DE TERRA EM FERRO FUNDIDO 300mm</v>
      </c>
      <c r="C1458" s="543"/>
      <c r="D1458" s="543"/>
      <c r="E1458" s="543"/>
      <c r="F1458" s="543"/>
      <c r="G1458" s="543"/>
      <c r="H1458" s="543"/>
      <c r="I1458" s="543"/>
      <c r="J1458" s="543"/>
      <c r="K1458" s="543"/>
      <c r="L1458" s="543"/>
      <c r="M1458" s="543"/>
      <c r="N1458" s="331" t="str">
        <f>VLOOKUP(A1458,ORCAMENTO!A:I,5,0)</f>
        <v>UN</v>
      </c>
      <c r="O1458" s="332">
        <f>O1462</f>
        <v>11</v>
      </c>
    </row>
    <row r="1459" spans="1:15" s="328" customFormat="1" x14ac:dyDescent="0.2">
      <c r="A1459" s="539" t="s">
        <v>39793</v>
      </c>
      <c r="B1459" s="539"/>
      <c r="C1459" s="539"/>
      <c r="D1459" s="539"/>
      <c r="E1459" s="539"/>
      <c r="F1459" s="539"/>
      <c r="G1459" s="539"/>
      <c r="H1459" s="539"/>
      <c r="I1459" s="539"/>
      <c r="J1459" s="539"/>
      <c r="K1459" s="539"/>
      <c r="L1459" s="539"/>
      <c r="M1459" s="539"/>
      <c r="N1459" s="539"/>
      <c r="O1459" s="539"/>
    </row>
    <row r="1460" spans="1:15" s="328" customFormat="1" x14ac:dyDescent="0.2">
      <c r="A1460" s="539" t="s">
        <v>5917</v>
      </c>
      <c r="B1460" s="539"/>
      <c r="C1460" s="539"/>
      <c r="D1460" s="333"/>
      <c r="E1460" s="333"/>
      <c r="F1460" s="333"/>
      <c r="G1460" s="333"/>
      <c r="H1460" s="333"/>
      <c r="I1460" s="331"/>
      <c r="J1460" s="331"/>
      <c r="K1460" s="333"/>
      <c r="L1460" s="333"/>
      <c r="M1460" s="334" t="s">
        <v>39792</v>
      </c>
      <c r="N1460" s="333" t="s">
        <v>39794</v>
      </c>
      <c r="O1460" s="334" t="s">
        <v>39795</v>
      </c>
    </row>
    <row r="1461" spans="1:15" s="328" customFormat="1" x14ac:dyDescent="0.2">
      <c r="A1461" s="535" t="s">
        <v>39801</v>
      </c>
      <c r="B1461" s="535"/>
      <c r="C1461" s="535"/>
      <c r="D1461" s="333"/>
      <c r="E1461" s="333"/>
      <c r="F1461" s="333"/>
      <c r="G1461" s="333"/>
      <c r="H1461" s="333"/>
      <c r="I1461" s="331"/>
      <c r="J1461" s="331"/>
      <c r="K1461" s="339"/>
      <c r="L1461" s="332"/>
      <c r="M1461" s="339">
        <f>11</f>
        <v>11</v>
      </c>
      <c r="N1461" s="332" t="s">
        <v>39794</v>
      </c>
      <c r="O1461" s="332">
        <f>ROUND(M1461,2)</f>
        <v>11</v>
      </c>
    </row>
    <row r="1462" spans="1:15" s="328" customFormat="1" x14ac:dyDescent="0.2">
      <c r="A1462" s="540"/>
      <c r="B1462" s="540"/>
      <c r="C1462" s="540"/>
      <c r="D1462" s="540"/>
      <c r="E1462" s="540"/>
      <c r="F1462" s="540"/>
      <c r="G1462" s="540"/>
      <c r="H1462" s="540"/>
      <c r="I1462" s="540"/>
      <c r="J1462" s="540"/>
      <c r="K1462" s="540"/>
      <c r="L1462" s="334" t="s">
        <v>39796</v>
      </c>
      <c r="M1462" s="334" t="s">
        <v>39168</v>
      </c>
      <c r="N1462" s="333" t="s">
        <v>39794</v>
      </c>
      <c r="O1462" s="334">
        <f>SUM(O1460:O1461)</f>
        <v>11</v>
      </c>
    </row>
    <row r="1463" spans="1:15" s="328" customFormat="1" x14ac:dyDescent="0.2">
      <c r="A1463" s="329" t="s">
        <v>39791</v>
      </c>
      <c r="B1463" s="542" t="s">
        <v>5917</v>
      </c>
      <c r="C1463" s="542"/>
      <c r="D1463" s="542"/>
      <c r="E1463" s="542"/>
      <c r="F1463" s="542"/>
      <c r="G1463" s="542"/>
      <c r="H1463" s="542"/>
      <c r="I1463" s="542"/>
      <c r="J1463" s="542"/>
      <c r="K1463" s="542"/>
      <c r="L1463" s="542"/>
      <c r="M1463" s="542"/>
      <c r="N1463" s="329" t="s">
        <v>39197</v>
      </c>
      <c r="O1463" s="330" t="s">
        <v>39792</v>
      </c>
    </row>
    <row r="1464" spans="1:15" s="328" customFormat="1" ht="35.1" customHeight="1" x14ac:dyDescent="0.2">
      <c r="A1464" s="331" t="str">
        <f>ORCAMENTO!A268</f>
        <v>12.3.3</v>
      </c>
      <c r="B1464" s="543" t="str">
        <f>VLOOKUP(A1464,ORCAMENTO!A:I,4,0)</f>
        <v>CAIXA ENTERRADA ELÉTRICA RETANGULAR, EM ALVENARIA COM BLOCOS DE CONCRETO, FUNDO COM BRITA, DIMENSÕES INTERNAS: 0,8X0,8X0,6 M. AF_12/2020</v>
      </c>
      <c r="C1464" s="543"/>
      <c r="D1464" s="543"/>
      <c r="E1464" s="543"/>
      <c r="F1464" s="543"/>
      <c r="G1464" s="543"/>
      <c r="H1464" s="543"/>
      <c r="I1464" s="543"/>
      <c r="J1464" s="543"/>
      <c r="K1464" s="543"/>
      <c r="L1464" s="543"/>
      <c r="M1464" s="543"/>
      <c r="N1464" s="331" t="str">
        <f>VLOOKUP(A1464,ORCAMENTO!A:I,5,0)</f>
        <v>UN</v>
      </c>
      <c r="O1464" s="332">
        <f>O1468</f>
        <v>1</v>
      </c>
    </row>
    <row r="1465" spans="1:15" s="328" customFormat="1" x14ac:dyDescent="0.2">
      <c r="A1465" s="539" t="s">
        <v>39793</v>
      </c>
      <c r="B1465" s="539"/>
      <c r="C1465" s="539"/>
      <c r="D1465" s="539"/>
      <c r="E1465" s="539"/>
      <c r="F1465" s="539"/>
      <c r="G1465" s="539"/>
      <c r="H1465" s="539"/>
      <c r="I1465" s="539"/>
      <c r="J1465" s="539"/>
      <c r="K1465" s="539"/>
      <c r="L1465" s="539"/>
      <c r="M1465" s="539"/>
      <c r="N1465" s="539"/>
      <c r="O1465" s="539"/>
    </row>
    <row r="1466" spans="1:15" s="328" customFormat="1" x14ac:dyDescent="0.2">
      <c r="A1466" s="539" t="s">
        <v>5917</v>
      </c>
      <c r="B1466" s="539"/>
      <c r="C1466" s="539"/>
      <c r="D1466" s="333"/>
      <c r="E1466" s="333"/>
      <c r="F1466" s="333"/>
      <c r="G1466" s="333"/>
      <c r="H1466" s="333"/>
      <c r="I1466" s="331"/>
      <c r="J1466" s="331"/>
      <c r="K1466" s="333"/>
      <c r="L1466" s="333"/>
      <c r="M1466" s="334" t="s">
        <v>39792</v>
      </c>
      <c r="N1466" s="333" t="s">
        <v>39794</v>
      </c>
      <c r="O1466" s="334" t="s">
        <v>39795</v>
      </c>
    </row>
    <row r="1467" spans="1:15" s="328" customFormat="1" x14ac:dyDescent="0.2">
      <c r="A1467" s="535" t="s">
        <v>39801</v>
      </c>
      <c r="B1467" s="535"/>
      <c r="C1467" s="535"/>
      <c r="D1467" s="333"/>
      <c r="E1467" s="333"/>
      <c r="F1467" s="333"/>
      <c r="G1467" s="333"/>
      <c r="H1467" s="333"/>
      <c r="I1467" s="331"/>
      <c r="J1467" s="331"/>
      <c r="K1467" s="339"/>
      <c r="L1467" s="332"/>
      <c r="M1467" s="339">
        <f>1</f>
        <v>1</v>
      </c>
      <c r="N1467" s="332" t="s">
        <v>39794</v>
      </c>
      <c r="O1467" s="332">
        <f>ROUND(M1467,2)</f>
        <v>1</v>
      </c>
    </row>
    <row r="1468" spans="1:15" s="328" customFormat="1" x14ac:dyDescent="0.2">
      <c r="A1468" s="540"/>
      <c r="B1468" s="540"/>
      <c r="C1468" s="540"/>
      <c r="D1468" s="540"/>
      <c r="E1468" s="540"/>
      <c r="F1468" s="540"/>
      <c r="G1468" s="540"/>
      <c r="H1468" s="540"/>
      <c r="I1468" s="540"/>
      <c r="J1468" s="540"/>
      <c r="K1468" s="540"/>
      <c r="L1468" s="334" t="s">
        <v>39796</v>
      </c>
      <c r="M1468" s="334" t="s">
        <v>39168</v>
      </c>
      <c r="N1468" s="333" t="s">
        <v>39794</v>
      </c>
      <c r="O1468" s="334">
        <f>SUM(O1466:O1467)</f>
        <v>1</v>
      </c>
    </row>
    <row r="1469" spans="1:15" s="328" customFormat="1" x14ac:dyDescent="0.2">
      <c r="A1469" s="329" t="s">
        <v>39791</v>
      </c>
      <c r="B1469" s="542" t="s">
        <v>5917</v>
      </c>
      <c r="C1469" s="542"/>
      <c r="D1469" s="542"/>
      <c r="E1469" s="542"/>
      <c r="F1469" s="542"/>
      <c r="G1469" s="542"/>
      <c r="H1469" s="542"/>
      <c r="I1469" s="542"/>
      <c r="J1469" s="542"/>
      <c r="K1469" s="542"/>
      <c r="L1469" s="542"/>
      <c r="M1469" s="542"/>
      <c r="N1469" s="329" t="s">
        <v>39197</v>
      </c>
      <c r="O1469" s="330" t="s">
        <v>39792</v>
      </c>
    </row>
    <row r="1470" spans="1:15" s="328" customFormat="1" x14ac:dyDescent="0.2">
      <c r="A1470" s="331" t="str">
        <f>ORCAMENTO!A269</f>
        <v>12.3.4</v>
      </c>
      <c r="B1470" s="543" t="str">
        <f>VLOOKUP(A1470,ORCAMENTO!A:I,4,0)</f>
        <v>CAIXA COM BARRAMENTO DE EQUALIZAÇÃO DE POTÊNCIAS - FORNECIMENTO E INSTALAÇÃO</v>
      </c>
      <c r="C1470" s="543"/>
      <c r="D1470" s="543"/>
      <c r="E1470" s="543"/>
      <c r="F1470" s="543"/>
      <c r="G1470" s="543"/>
      <c r="H1470" s="543"/>
      <c r="I1470" s="543"/>
      <c r="J1470" s="543"/>
      <c r="K1470" s="543"/>
      <c r="L1470" s="543"/>
      <c r="M1470" s="543"/>
      <c r="N1470" s="331" t="str">
        <f>VLOOKUP(A1470,ORCAMENTO!A:I,5,0)</f>
        <v>UN</v>
      </c>
      <c r="O1470" s="332">
        <f>O1474</f>
        <v>1</v>
      </c>
    </row>
    <row r="1471" spans="1:15" s="328" customFormat="1" x14ac:dyDescent="0.2">
      <c r="A1471" s="539" t="s">
        <v>39793</v>
      </c>
      <c r="B1471" s="539"/>
      <c r="C1471" s="539"/>
      <c r="D1471" s="539"/>
      <c r="E1471" s="539"/>
      <c r="F1471" s="539"/>
      <c r="G1471" s="539"/>
      <c r="H1471" s="539"/>
      <c r="I1471" s="539"/>
      <c r="J1471" s="539"/>
      <c r="K1471" s="539"/>
      <c r="L1471" s="539"/>
      <c r="M1471" s="539"/>
      <c r="N1471" s="539"/>
      <c r="O1471" s="539"/>
    </row>
    <row r="1472" spans="1:15" s="328" customFormat="1" x14ac:dyDescent="0.2">
      <c r="A1472" s="539" t="s">
        <v>5917</v>
      </c>
      <c r="B1472" s="539"/>
      <c r="C1472" s="539"/>
      <c r="D1472" s="333"/>
      <c r="E1472" s="333"/>
      <c r="F1472" s="333"/>
      <c r="G1472" s="333"/>
      <c r="H1472" s="333"/>
      <c r="I1472" s="331"/>
      <c r="J1472" s="331"/>
      <c r="K1472" s="333"/>
      <c r="L1472" s="333"/>
      <c r="M1472" s="334" t="s">
        <v>39792</v>
      </c>
      <c r="N1472" s="333" t="s">
        <v>39794</v>
      </c>
      <c r="O1472" s="334" t="s">
        <v>39795</v>
      </c>
    </row>
    <row r="1473" spans="1:15" s="328" customFormat="1" x14ac:dyDescent="0.2">
      <c r="A1473" s="535" t="s">
        <v>39801</v>
      </c>
      <c r="B1473" s="535"/>
      <c r="C1473" s="535"/>
      <c r="D1473" s="333"/>
      <c r="E1473" s="333"/>
      <c r="F1473" s="333"/>
      <c r="G1473" s="333"/>
      <c r="H1473" s="333"/>
      <c r="I1473" s="331"/>
      <c r="J1473" s="331"/>
      <c r="K1473" s="339"/>
      <c r="L1473" s="332"/>
      <c r="M1473" s="339">
        <f>1</f>
        <v>1</v>
      </c>
      <c r="N1473" s="332" t="s">
        <v>39794</v>
      </c>
      <c r="O1473" s="332">
        <f>ROUND(M1473,2)</f>
        <v>1</v>
      </c>
    </row>
    <row r="1474" spans="1:15" s="328" customFormat="1" x14ac:dyDescent="0.2">
      <c r="A1474" s="540"/>
      <c r="B1474" s="540"/>
      <c r="C1474" s="540"/>
      <c r="D1474" s="540"/>
      <c r="E1474" s="540"/>
      <c r="F1474" s="540"/>
      <c r="G1474" s="540"/>
      <c r="H1474" s="540"/>
      <c r="I1474" s="540"/>
      <c r="J1474" s="540"/>
      <c r="K1474" s="540"/>
      <c r="L1474" s="334" t="s">
        <v>39796</v>
      </c>
      <c r="M1474" s="334" t="s">
        <v>39168</v>
      </c>
      <c r="N1474" s="333" t="s">
        <v>39794</v>
      </c>
      <c r="O1474" s="334">
        <f>SUM(O1472:O1473)</f>
        <v>1</v>
      </c>
    </row>
    <row r="1475" spans="1:15" s="328" customFormat="1" x14ac:dyDescent="0.2">
      <c r="A1475" s="336">
        <f>ORCAMENTO!A271</f>
        <v>13</v>
      </c>
      <c r="B1475" s="545" t="str">
        <f>VLOOKUP(A1475,ORCAMENTO!A:I,4,0)</f>
        <v>PAVIMENTAÇÃO</v>
      </c>
      <c r="C1475" s="545"/>
      <c r="D1475" s="545"/>
      <c r="E1475" s="545"/>
      <c r="F1475" s="545"/>
      <c r="G1475" s="545"/>
      <c r="H1475" s="545"/>
      <c r="I1475" s="545"/>
      <c r="J1475" s="545"/>
      <c r="K1475" s="545"/>
      <c r="L1475" s="545"/>
      <c r="M1475" s="545"/>
      <c r="N1475" s="545"/>
      <c r="O1475" s="545"/>
    </row>
    <row r="1476" spans="1:15" s="328" customFormat="1" x14ac:dyDescent="0.2">
      <c r="A1476" s="347" t="str">
        <f>ORCAMENTO!A272</f>
        <v>13.1</v>
      </c>
      <c r="B1476" s="544" t="str">
        <f>VLOOKUP(A1476,ORCAMENTO!A:I,4,0)</f>
        <v>PAVIMENTAÇÃO EXTERNA</v>
      </c>
      <c r="C1476" s="544"/>
      <c r="D1476" s="544"/>
      <c r="E1476" s="544"/>
      <c r="F1476" s="544"/>
      <c r="G1476" s="544"/>
      <c r="H1476" s="544"/>
      <c r="I1476" s="544"/>
      <c r="J1476" s="544"/>
      <c r="K1476" s="544"/>
      <c r="L1476" s="544"/>
      <c r="M1476" s="544"/>
      <c r="N1476" s="544"/>
      <c r="O1476" s="544"/>
    </row>
    <row r="1477" spans="1:15" s="328" customFormat="1" x14ac:dyDescent="0.2">
      <c r="A1477" s="329" t="s">
        <v>39791</v>
      </c>
      <c r="B1477" s="542" t="s">
        <v>5917</v>
      </c>
      <c r="C1477" s="542"/>
      <c r="D1477" s="542"/>
      <c r="E1477" s="542"/>
      <c r="F1477" s="542"/>
      <c r="G1477" s="542"/>
      <c r="H1477" s="542"/>
      <c r="I1477" s="542"/>
      <c r="J1477" s="542"/>
      <c r="K1477" s="542"/>
      <c r="L1477" s="542"/>
      <c r="M1477" s="542"/>
      <c r="N1477" s="329" t="s">
        <v>39197</v>
      </c>
      <c r="O1477" s="330" t="s">
        <v>39792</v>
      </c>
    </row>
    <row r="1478" spans="1:15" s="328" customFormat="1" ht="35.1" customHeight="1" x14ac:dyDescent="0.2">
      <c r="A1478" s="331" t="str">
        <f>ORCAMENTO!A273</f>
        <v>13.1.1</v>
      </c>
      <c r="B1478" s="543" t="str">
        <f>VLOOKUP(A1478,ORCAMENTO!A:I,4,0)</f>
        <v>ASSENTAMENTO DE GUIA (MEIO-FIO) EM TRECHO RETO, CONFECCIONADA EM CONCRETO PRÉ-FABRICADO, DIMENSÕES 100X15X13X30 CM (COMPRIMENTO X BASE INFERIOR X BASE SUPERIOR X ALTURA). AF_01/2024</v>
      </c>
      <c r="C1478" s="543"/>
      <c r="D1478" s="543"/>
      <c r="E1478" s="543"/>
      <c r="F1478" s="543"/>
      <c r="G1478" s="543"/>
      <c r="H1478" s="543"/>
      <c r="I1478" s="543"/>
      <c r="J1478" s="543"/>
      <c r="K1478" s="543"/>
      <c r="L1478" s="543"/>
      <c r="M1478" s="543"/>
      <c r="N1478" s="331" t="str">
        <f>VLOOKUP(A1478,ORCAMENTO!A:I,5,0)</f>
        <v>M</v>
      </c>
      <c r="O1478" s="332">
        <f>O1493</f>
        <v>101.62000000000002</v>
      </c>
    </row>
    <row r="1479" spans="1:15" s="328" customFormat="1" x14ac:dyDescent="0.2">
      <c r="A1479" s="539" t="s">
        <v>39793</v>
      </c>
      <c r="B1479" s="539"/>
      <c r="C1479" s="539"/>
      <c r="D1479" s="539"/>
      <c r="E1479" s="539"/>
      <c r="F1479" s="539"/>
      <c r="G1479" s="539"/>
      <c r="H1479" s="539"/>
      <c r="I1479" s="539"/>
      <c r="J1479" s="539"/>
      <c r="K1479" s="539"/>
      <c r="L1479" s="539"/>
      <c r="M1479" s="539"/>
      <c r="N1479" s="539"/>
      <c r="O1479" s="539"/>
    </row>
    <row r="1480" spans="1:15" s="328" customFormat="1" x14ac:dyDescent="0.2">
      <c r="A1480" s="539" t="s">
        <v>5917</v>
      </c>
      <c r="B1480" s="539"/>
      <c r="C1480" s="539"/>
      <c r="D1480" s="333"/>
      <c r="E1480" s="333"/>
      <c r="F1480" s="333"/>
      <c r="G1480" s="333"/>
      <c r="H1480" s="333"/>
      <c r="I1480" s="331"/>
      <c r="J1480" s="331"/>
      <c r="K1480" s="333"/>
      <c r="L1480" s="333"/>
      <c r="M1480" s="333" t="s">
        <v>39802</v>
      </c>
      <c r="N1480" s="333" t="s">
        <v>39794</v>
      </c>
      <c r="O1480" s="333" t="s">
        <v>39795</v>
      </c>
    </row>
    <row r="1481" spans="1:15" s="328" customFormat="1" x14ac:dyDescent="0.2">
      <c r="A1481" s="535" t="s">
        <v>39840</v>
      </c>
      <c r="B1481" s="535"/>
      <c r="C1481" s="535"/>
      <c r="D1481" s="333"/>
      <c r="E1481" s="333"/>
      <c r="F1481" s="333"/>
      <c r="G1481" s="333"/>
      <c r="H1481" s="333"/>
      <c r="I1481" s="331"/>
      <c r="J1481" s="331"/>
      <c r="K1481" s="339"/>
      <c r="L1481" s="332"/>
      <c r="M1481" s="339">
        <f>15.5</f>
        <v>15.5</v>
      </c>
      <c r="N1481" s="332" t="s">
        <v>39794</v>
      </c>
      <c r="O1481" s="332">
        <f t="shared" ref="O1481:O1483" si="52">ROUND(M1481,2)</f>
        <v>15.5</v>
      </c>
    </row>
    <row r="1482" spans="1:15" s="328" customFormat="1" x14ac:dyDescent="0.2">
      <c r="A1482" s="535" t="s">
        <v>39841</v>
      </c>
      <c r="B1482" s="535"/>
      <c r="C1482" s="535"/>
      <c r="D1482" s="333"/>
      <c r="E1482" s="333"/>
      <c r="F1482" s="333"/>
      <c r="G1482" s="333"/>
      <c r="H1482" s="333"/>
      <c r="I1482" s="331"/>
      <c r="J1482" s="331"/>
      <c r="K1482" s="339"/>
      <c r="L1482" s="332"/>
      <c r="M1482" s="339">
        <f>2.35</f>
        <v>2.35</v>
      </c>
      <c r="N1482" s="332" t="s">
        <v>39794</v>
      </c>
      <c r="O1482" s="332">
        <f t="shared" si="52"/>
        <v>2.35</v>
      </c>
    </row>
    <row r="1483" spans="1:15" s="328" customFormat="1" x14ac:dyDescent="0.2">
      <c r="A1483" s="535" t="s">
        <v>39842</v>
      </c>
      <c r="B1483" s="535"/>
      <c r="C1483" s="535"/>
      <c r="D1483" s="333"/>
      <c r="E1483" s="333"/>
      <c r="F1483" s="333"/>
      <c r="G1483" s="333"/>
      <c r="H1483" s="333"/>
      <c r="I1483" s="331"/>
      <c r="J1483" s="331"/>
      <c r="K1483" s="339"/>
      <c r="L1483" s="332"/>
      <c r="M1483" s="339">
        <f>2.35</f>
        <v>2.35</v>
      </c>
      <c r="N1483" s="332" t="s">
        <v>39794</v>
      </c>
      <c r="O1483" s="332">
        <f t="shared" si="52"/>
        <v>2.35</v>
      </c>
    </row>
    <row r="1484" spans="1:15" s="328" customFormat="1" x14ac:dyDescent="0.2">
      <c r="A1484" s="535" t="s">
        <v>39843</v>
      </c>
      <c r="B1484" s="535"/>
      <c r="C1484" s="535"/>
      <c r="D1484" s="333"/>
      <c r="E1484" s="333"/>
      <c r="F1484" s="333"/>
      <c r="G1484" s="333"/>
      <c r="H1484" s="333"/>
      <c r="I1484" s="331"/>
      <c r="J1484" s="331"/>
      <c r="K1484" s="339"/>
      <c r="L1484" s="332"/>
      <c r="M1484" s="339">
        <f>19.86</f>
        <v>19.86</v>
      </c>
      <c r="N1484" s="332" t="s">
        <v>39794</v>
      </c>
      <c r="O1484" s="332">
        <f>ROUND(M1484,2)</f>
        <v>19.86</v>
      </c>
    </row>
    <row r="1485" spans="1:15" s="328" customFormat="1" x14ac:dyDescent="0.2">
      <c r="A1485" s="535" t="s">
        <v>39844</v>
      </c>
      <c r="B1485" s="535"/>
      <c r="C1485" s="535"/>
      <c r="D1485" s="333"/>
      <c r="E1485" s="333"/>
      <c r="F1485" s="333"/>
      <c r="G1485" s="333"/>
      <c r="H1485" s="333"/>
      <c r="I1485" s="331"/>
      <c r="J1485" s="331"/>
      <c r="K1485" s="339"/>
      <c r="L1485" s="332"/>
      <c r="M1485" s="339">
        <f>22.96</f>
        <v>22.96</v>
      </c>
      <c r="N1485" s="332" t="s">
        <v>39794</v>
      </c>
      <c r="O1485" s="332">
        <f t="shared" ref="O1485:O1486" si="53">ROUND(M1485,2)</f>
        <v>22.96</v>
      </c>
    </row>
    <row r="1486" spans="1:15" s="328" customFormat="1" x14ac:dyDescent="0.2">
      <c r="A1486" s="535" t="s">
        <v>39845</v>
      </c>
      <c r="B1486" s="535"/>
      <c r="C1486" s="535"/>
      <c r="D1486" s="333"/>
      <c r="E1486" s="333"/>
      <c r="F1486" s="333"/>
      <c r="G1486" s="333"/>
      <c r="H1486" s="333"/>
      <c r="I1486" s="331"/>
      <c r="J1486" s="331"/>
      <c r="K1486" s="339"/>
      <c r="L1486" s="332"/>
      <c r="M1486" s="339">
        <f>2.3</f>
        <v>2.2999999999999998</v>
      </c>
      <c r="N1486" s="332" t="s">
        <v>39794</v>
      </c>
      <c r="O1486" s="332">
        <f t="shared" si="53"/>
        <v>2.2999999999999998</v>
      </c>
    </row>
    <row r="1487" spans="1:15" s="328" customFormat="1" x14ac:dyDescent="0.2">
      <c r="A1487" s="535" t="s">
        <v>39848</v>
      </c>
      <c r="B1487" s="535"/>
      <c r="C1487" s="535"/>
      <c r="D1487" s="333"/>
      <c r="E1487" s="333"/>
      <c r="F1487" s="333"/>
      <c r="G1487" s="333"/>
      <c r="H1487" s="333"/>
      <c r="I1487" s="331"/>
      <c r="J1487" s="331"/>
      <c r="K1487" s="339"/>
      <c r="L1487" s="332"/>
      <c r="M1487" s="339">
        <f>23.8</f>
        <v>23.8</v>
      </c>
      <c r="N1487" s="332" t="s">
        <v>39794</v>
      </c>
      <c r="O1487" s="332">
        <f>ROUND(M1487,2)</f>
        <v>23.8</v>
      </c>
    </row>
    <row r="1488" spans="1:15" s="328" customFormat="1" x14ac:dyDescent="0.2">
      <c r="A1488" s="535" t="s">
        <v>39849</v>
      </c>
      <c r="B1488" s="535"/>
      <c r="C1488" s="535"/>
      <c r="D1488" s="333"/>
      <c r="E1488" s="333"/>
      <c r="F1488" s="333"/>
      <c r="G1488" s="333"/>
      <c r="H1488" s="333"/>
      <c r="I1488" s="331"/>
      <c r="J1488" s="331"/>
      <c r="K1488" s="339"/>
      <c r="L1488" s="332"/>
      <c r="M1488" s="339">
        <f>2.3</f>
        <v>2.2999999999999998</v>
      </c>
      <c r="N1488" s="332" t="s">
        <v>39794</v>
      </c>
      <c r="O1488" s="332">
        <f t="shared" ref="O1488:O1492" si="54">ROUND(M1488,2)</f>
        <v>2.2999999999999998</v>
      </c>
    </row>
    <row r="1489" spans="1:15" s="328" customFormat="1" x14ac:dyDescent="0.2">
      <c r="A1489" s="535" t="s">
        <v>39851</v>
      </c>
      <c r="B1489" s="535"/>
      <c r="C1489" s="535"/>
      <c r="D1489" s="333"/>
      <c r="E1489" s="333"/>
      <c r="F1489" s="333"/>
      <c r="G1489" s="333"/>
      <c r="H1489" s="333"/>
      <c r="I1489" s="331"/>
      <c r="J1489" s="331"/>
      <c r="K1489" s="339"/>
      <c r="L1489" s="332"/>
      <c r="M1489" s="339">
        <f>0.9</f>
        <v>0.9</v>
      </c>
      <c r="N1489" s="332" t="s">
        <v>39794</v>
      </c>
      <c r="O1489" s="332">
        <f t="shared" si="54"/>
        <v>0.9</v>
      </c>
    </row>
    <row r="1490" spans="1:15" s="328" customFormat="1" x14ac:dyDescent="0.2">
      <c r="A1490" s="535" t="s">
        <v>39852</v>
      </c>
      <c r="B1490" s="535"/>
      <c r="C1490" s="535"/>
      <c r="D1490" s="333"/>
      <c r="E1490" s="333"/>
      <c r="F1490" s="333"/>
      <c r="G1490" s="333"/>
      <c r="H1490" s="333"/>
      <c r="I1490" s="331"/>
      <c r="J1490" s="331"/>
      <c r="K1490" s="339"/>
      <c r="L1490" s="332"/>
      <c r="M1490" s="339">
        <f>0.9</f>
        <v>0.9</v>
      </c>
      <c r="N1490" s="332" t="s">
        <v>39794</v>
      </c>
      <c r="O1490" s="332">
        <f t="shared" si="54"/>
        <v>0.9</v>
      </c>
    </row>
    <row r="1491" spans="1:15" s="328" customFormat="1" x14ac:dyDescent="0.2">
      <c r="A1491" s="535" t="s">
        <v>39853</v>
      </c>
      <c r="B1491" s="535"/>
      <c r="C1491" s="535"/>
      <c r="D1491" s="333"/>
      <c r="E1491" s="333"/>
      <c r="F1491" s="333"/>
      <c r="G1491" s="333"/>
      <c r="H1491" s="333"/>
      <c r="I1491" s="331"/>
      <c r="J1491" s="331"/>
      <c r="K1491" s="339"/>
      <c r="L1491" s="332"/>
      <c r="M1491" s="339">
        <f>4.2</f>
        <v>4.2</v>
      </c>
      <c r="N1491" s="332" t="s">
        <v>39794</v>
      </c>
      <c r="O1491" s="332">
        <f t="shared" si="54"/>
        <v>4.2</v>
      </c>
    </row>
    <row r="1492" spans="1:15" s="328" customFormat="1" x14ac:dyDescent="0.2">
      <c r="A1492" s="535" t="s">
        <v>39854</v>
      </c>
      <c r="B1492" s="535"/>
      <c r="C1492" s="535"/>
      <c r="D1492" s="333"/>
      <c r="E1492" s="333"/>
      <c r="F1492" s="333"/>
      <c r="G1492" s="333"/>
      <c r="H1492" s="333"/>
      <c r="I1492" s="331"/>
      <c r="J1492" s="331"/>
      <c r="K1492" s="339"/>
      <c r="L1492" s="332"/>
      <c r="M1492" s="339">
        <f>4.2</f>
        <v>4.2</v>
      </c>
      <c r="N1492" s="332" t="s">
        <v>39794</v>
      </c>
      <c r="O1492" s="332">
        <f t="shared" si="54"/>
        <v>4.2</v>
      </c>
    </row>
    <row r="1493" spans="1:15" s="328" customFormat="1" x14ac:dyDescent="0.2">
      <c r="A1493" s="540"/>
      <c r="B1493" s="540"/>
      <c r="C1493" s="540"/>
      <c r="D1493" s="540"/>
      <c r="E1493" s="540"/>
      <c r="F1493" s="540"/>
      <c r="G1493" s="540"/>
      <c r="H1493" s="540"/>
      <c r="I1493" s="540"/>
      <c r="J1493" s="540"/>
      <c r="K1493" s="540"/>
      <c r="L1493" s="334" t="s">
        <v>39796</v>
      </c>
      <c r="M1493" s="334" t="s">
        <v>39168</v>
      </c>
      <c r="N1493" s="333" t="s">
        <v>39794</v>
      </c>
      <c r="O1493" s="334">
        <f>SUM(O1480:O1492)</f>
        <v>101.62000000000002</v>
      </c>
    </row>
    <row r="1494" spans="1:15" s="328" customFormat="1" x14ac:dyDescent="0.2">
      <c r="A1494" s="329" t="s">
        <v>39791</v>
      </c>
      <c r="B1494" s="542" t="s">
        <v>5917</v>
      </c>
      <c r="C1494" s="542"/>
      <c r="D1494" s="542"/>
      <c r="E1494" s="542"/>
      <c r="F1494" s="542"/>
      <c r="G1494" s="542"/>
      <c r="H1494" s="542"/>
      <c r="I1494" s="542"/>
      <c r="J1494" s="542"/>
      <c r="K1494" s="542"/>
      <c r="L1494" s="542"/>
      <c r="M1494" s="542"/>
      <c r="N1494" s="329" t="s">
        <v>39197</v>
      </c>
      <c r="O1494" s="330" t="s">
        <v>39792</v>
      </c>
    </row>
    <row r="1495" spans="1:15" s="328" customFormat="1" ht="35.1" customHeight="1" x14ac:dyDescent="0.2">
      <c r="A1495" s="331" t="str">
        <f>ORCAMENTO!A274</f>
        <v>13.1.2</v>
      </c>
      <c r="B1495" s="543" t="str">
        <f>VLOOKUP(A1495,ORCAMENTO!A:I,4,0)</f>
        <v>LASTRO COM MATERIAL GRANULAR (AREIA MÉDIA), APLICADO EM PISOS OU LAJES SOBRE SOLO, ESPESSURA DE *10 CM*. AF_01/2024</v>
      </c>
      <c r="C1495" s="543"/>
      <c r="D1495" s="543"/>
      <c r="E1495" s="543"/>
      <c r="F1495" s="543"/>
      <c r="G1495" s="543"/>
      <c r="H1495" s="543"/>
      <c r="I1495" s="543"/>
      <c r="J1495" s="543"/>
      <c r="K1495" s="543"/>
      <c r="L1495" s="543"/>
      <c r="M1495" s="543"/>
      <c r="N1495" s="331" t="str">
        <f>VLOOKUP(A1495,ORCAMENTO!A:I,5,0)</f>
        <v>M3</v>
      </c>
      <c r="O1495" s="332">
        <f>O1500</f>
        <v>7.5600000000000005</v>
      </c>
    </row>
    <row r="1496" spans="1:15" s="328" customFormat="1" x14ac:dyDescent="0.2">
      <c r="A1496" s="539" t="s">
        <v>39793</v>
      </c>
      <c r="B1496" s="539"/>
      <c r="C1496" s="539"/>
      <c r="D1496" s="539"/>
      <c r="E1496" s="539"/>
      <c r="F1496" s="539"/>
      <c r="G1496" s="539"/>
      <c r="H1496" s="539"/>
      <c r="I1496" s="539"/>
      <c r="J1496" s="539"/>
      <c r="K1496" s="539"/>
      <c r="L1496" s="539"/>
      <c r="M1496" s="539"/>
      <c r="N1496" s="539"/>
      <c r="O1496" s="539"/>
    </row>
    <row r="1497" spans="1:15" s="328" customFormat="1" x14ac:dyDescent="0.2">
      <c r="A1497" s="539" t="s">
        <v>5917</v>
      </c>
      <c r="B1497" s="539"/>
      <c r="C1497" s="539"/>
      <c r="D1497" s="333"/>
      <c r="E1497" s="333"/>
      <c r="F1497" s="333"/>
      <c r="G1497" s="333"/>
      <c r="H1497" s="333"/>
      <c r="I1497" s="331"/>
      <c r="J1497" s="331"/>
      <c r="K1497" s="333" t="s">
        <v>39850</v>
      </c>
      <c r="L1497" s="333" t="s">
        <v>39805</v>
      </c>
      <c r="M1497" s="333" t="s">
        <v>39799</v>
      </c>
      <c r="N1497" s="333" t="s">
        <v>39794</v>
      </c>
      <c r="O1497" s="333" t="s">
        <v>39795</v>
      </c>
    </row>
    <row r="1498" spans="1:15" s="328" customFormat="1" x14ac:dyDescent="0.2">
      <c r="A1498" s="535" t="s">
        <v>39847</v>
      </c>
      <c r="B1498" s="535"/>
      <c r="C1498" s="535"/>
      <c r="D1498" s="333"/>
      <c r="E1498" s="333"/>
      <c r="F1498" s="333"/>
      <c r="G1498" s="333"/>
      <c r="H1498" s="333"/>
      <c r="I1498" s="331"/>
      <c r="J1498" s="331"/>
      <c r="K1498" s="339">
        <f>0.05</f>
        <v>0.05</v>
      </c>
      <c r="L1498" s="332" t="s">
        <v>39805</v>
      </c>
      <c r="M1498" s="339">
        <f>43.11</f>
        <v>43.11</v>
      </c>
      <c r="N1498" s="332" t="s">
        <v>39794</v>
      </c>
      <c r="O1498" s="340">
        <f>ROUND(K1498*M1498,2)</f>
        <v>2.16</v>
      </c>
    </row>
    <row r="1499" spans="1:15" s="328" customFormat="1" x14ac:dyDescent="0.2">
      <c r="A1499" s="535" t="s">
        <v>39846</v>
      </c>
      <c r="B1499" s="535"/>
      <c r="C1499" s="535"/>
      <c r="D1499" s="333"/>
      <c r="E1499" s="333"/>
      <c r="F1499" s="333"/>
      <c r="G1499" s="333"/>
      <c r="H1499" s="333"/>
      <c r="I1499" s="331"/>
      <c r="J1499" s="331"/>
      <c r="K1499" s="339">
        <f>0.05</f>
        <v>0.05</v>
      </c>
      <c r="L1499" s="332" t="s">
        <v>39805</v>
      </c>
      <c r="M1499" s="339">
        <f>107.95</f>
        <v>107.95</v>
      </c>
      <c r="N1499" s="332" t="s">
        <v>39794</v>
      </c>
      <c r="O1499" s="340">
        <f>ROUND(K1499*M1499,2)</f>
        <v>5.4</v>
      </c>
    </row>
    <row r="1500" spans="1:15" s="328" customFormat="1" x14ac:dyDescent="0.2">
      <c r="A1500" s="540"/>
      <c r="B1500" s="540"/>
      <c r="C1500" s="540"/>
      <c r="D1500" s="540"/>
      <c r="E1500" s="540"/>
      <c r="F1500" s="540"/>
      <c r="G1500" s="540"/>
      <c r="H1500" s="540"/>
      <c r="I1500" s="540"/>
      <c r="J1500" s="540"/>
      <c r="K1500" s="540"/>
      <c r="L1500" s="334" t="s">
        <v>39796</v>
      </c>
      <c r="M1500" s="334" t="s">
        <v>39168</v>
      </c>
      <c r="N1500" s="333" t="s">
        <v>39794</v>
      </c>
      <c r="O1500" s="334">
        <f>SUM(O1497:O1499)</f>
        <v>7.5600000000000005</v>
      </c>
    </row>
    <row r="1501" spans="1:15" s="328" customFormat="1" x14ac:dyDescent="0.2">
      <c r="A1501" s="329" t="s">
        <v>39791</v>
      </c>
      <c r="B1501" s="542" t="s">
        <v>5917</v>
      </c>
      <c r="C1501" s="542"/>
      <c r="D1501" s="542"/>
      <c r="E1501" s="542"/>
      <c r="F1501" s="542"/>
      <c r="G1501" s="542"/>
      <c r="H1501" s="542"/>
      <c r="I1501" s="542"/>
      <c r="J1501" s="542"/>
      <c r="K1501" s="542"/>
      <c r="L1501" s="542"/>
      <c r="M1501" s="542"/>
      <c r="N1501" s="329" t="s">
        <v>39197</v>
      </c>
      <c r="O1501" s="330" t="s">
        <v>39792</v>
      </c>
    </row>
    <row r="1502" spans="1:15" s="328" customFormat="1" x14ac:dyDescent="0.2">
      <c r="A1502" s="331" t="str">
        <f>ORCAMENTO!A275</f>
        <v>13.1.3</v>
      </c>
      <c r="B1502" s="543" t="str">
        <f>VLOOKUP(A1502,ORCAMENTO!A:I,4,0)</f>
        <v>LASTRO DE PÓ DE PEDRA</v>
      </c>
      <c r="C1502" s="543"/>
      <c r="D1502" s="543"/>
      <c r="E1502" s="543"/>
      <c r="F1502" s="543"/>
      <c r="G1502" s="543"/>
      <c r="H1502" s="543"/>
      <c r="I1502" s="543"/>
      <c r="J1502" s="543"/>
      <c r="K1502" s="543"/>
      <c r="L1502" s="543"/>
      <c r="M1502" s="543"/>
      <c r="N1502" s="331" t="str">
        <f>VLOOKUP(A1502,ORCAMENTO!A:I,5,0)</f>
        <v>M3</v>
      </c>
      <c r="O1502" s="332">
        <f>O1507</f>
        <v>9.07</v>
      </c>
    </row>
    <row r="1503" spans="1:15" s="328" customFormat="1" x14ac:dyDescent="0.2">
      <c r="A1503" s="539" t="s">
        <v>39793</v>
      </c>
      <c r="B1503" s="539"/>
      <c r="C1503" s="539"/>
      <c r="D1503" s="539"/>
      <c r="E1503" s="539"/>
      <c r="F1503" s="539"/>
      <c r="G1503" s="539"/>
      <c r="H1503" s="539"/>
      <c r="I1503" s="539"/>
      <c r="J1503" s="539"/>
      <c r="K1503" s="539"/>
      <c r="L1503" s="539"/>
      <c r="M1503" s="539"/>
      <c r="N1503" s="539"/>
      <c r="O1503" s="539"/>
    </row>
    <row r="1504" spans="1:15" s="328" customFormat="1" x14ac:dyDescent="0.2">
      <c r="A1504" s="539" t="s">
        <v>5917</v>
      </c>
      <c r="B1504" s="539"/>
      <c r="C1504" s="539"/>
      <c r="D1504" s="333"/>
      <c r="E1504" s="333"/>
      <c r="F1504" s="333"/>
      <c r="G1504" s="333"/>
      <c r="H1504" s="333"/>
      <c r="I1504" s="331"/>
      <c r="J1504" s="331"/>
      <c r="K1504" s="333" t="s">
        <v>39850</v>
      </c>
      <c r="L1504" s="333" t="s">
        <v>39805</v>
      </c>
      <c r="M1504" s="333" t="s">
        <v>39799</v>
      </c>
      <c r="N1504" s="333" t="s">
        <v>39794</v>
      </c>
      <c r="O1504" s="333" t="s">
        <v>39795</v>
      </c>
    </row>
    <row r="1505" spans="1:15" s="328" customFormat="1" x14ac:dyDescent="0.2">
      <c r="A1505" s="535" t="s">
        <v>39847</v>
      </c>
      <c r="B1505" s="535"/>
      <c r="C1505" s="535"/>
      <c r="D1505" s="333"/>
      <c r="E1505" s="333"/>
      <c r="F1505" s="333"/>
      <c r="G1505" s="333"/>
      <c r="H1505" s="333"/>
      <c r="I1505" s="331"/>
      <c r="J1505" s="331"/>
      <c r="K1505" s="339">
        <f>0.06</f>
        <v>0.06</v>
      </c>
      <c r="L1505" s="332" t="s">
        <v>39805</v>
      </c>
      <c r="M1505" s="339">
        <f>43.11</f>
        <v>43.11</v>
      </c>
      <c r="N1505" s="332" t="s">
        <v>39794</v>
      </c>
      <c r="O1505" s="340">
        <f>ROUND(K1505*M1505,2)</f>
        <v>2.59</v>
      </c>
    </row>
    <row r="1506" spans="1:15" s="328" customFormat="1" x14ac:dyDescent="0.2">
      <c r="A1506" s="535" t="s">
        <v>39846</v>
      </c>
      <c r="B1506" s="535"/>
      <c r="C1506" s="535"/>
      <c r="D1506" s="333"/>
      <c r="E1506" s="333"/>
      <c r="F1506" s="333"/>
      <c r="G1506" s="333"/>
      <c r="H1506" s="333"/>
      <c r="I1506" s="331"/>
      <c r="J1506" s="331"/>
      <c r="K1506" s="339">
        <f>0.06</f>
        <v>0.06</v>
      </c>
      <c r="L1506" s="332" t="s">
        <v>39805</v>
      </c>
      <c r="M1506" s="339">
        <f>107.95</f>
        <v>107.95</v>
      </c>
      <c r="N1506" s="332" t="s">
        <v>39794</v>
      </c>
      <c r="O1506" s="340">
        <f>ROUND(K1506*M1506,2)</f>
        <v>6.48</v>
      </c>
    </row>
    <row r="1507" spans="1:15" s="328" customFormat="1" x14ac:dyDescent="0.2">
      <c r="A1507" s="540"/>
      <c r="B1507" s="540"/>
      <c r="C1507" s="540"/>
      <c r="D1507" s="540"/>
      <c r="E1507" s="540"/>
      <c r="F1507" s="540"/>
      <c r="G1507" s="540"/>
      <c r="H1507" s="540"/>
      <c r="I1507" s="540"/>
      <c r="J1507" s="540"/>
      <c r="K1507" s="540"/>
      <c r="L1507" s="334" t="s">
        <v>39796</v>
      </c>
      <c r="M1507" s="334" t="s">
        <v>39168</v>
      </c>
      <c r="N1507" s="333" t="s">
        <v>39794</v>
      </c>
      <c r="O1507" s="334">
        <f>SUM(O1504:O1506)</f>
        <v>9.07</v>
      </c>
    </row>
    <row r="1508" spans="1:15" s="328" customFormat="1" x14ac:dyDescent="0.2">
      <c r="A1508" s="329" t="s">
        <v>39791</v>
      </c>
      <c r="B1508" s="542" t="s">
        <v>5917</v>
      </c>
      <c r="C1508" s="542"/>
      <c r="D1508" s="542"/>
      <c r="E1508" s="542"/>
      <c r="F1508" s="542"/>
      <c r="G1508" s="542"/>
      <c r="H1508" s="542"/>
      <c r="I1508" s="542"/>
      <c r="J1508" s="542"/>
      <c r="K1508" s="542"/>
      <c r="L1508" s="542"/>
      <c r="M1508" s="542"/>
      <c r="N1508" s="329" t="s">
        <v>39197</v>
      </c>
      <c r="O1508" s="330" t="s">
        <v>39792</v>
      </c>
    </row>
    <row r="1509" spans="1:15" s="328" customFormat="1" ht="12.75" customHeight="1" x14ac:dyDescent="0.2">
      <c r="A1509" s="331" t="str">
        <f>ORCAMENTO!A276</f>
        <v>13.1.4</v>
      </c>
      <c r="B1509" s="543" t="str">
        <f>VLOOKUP(A1509,ORCAMENTO!A:I,4,0)</f>
        <v>PISO INTERTRAVADO TIPO TIJOLINHO (20 X 10 X 4CM), CINZA - COMPACTAÇÃO MECANIZADA</v>
      </c>
      <c r="C1509" s="543"/>
      <c r="D1509" s="543"/>
      <c r="E1509" s="543"/>
      <c r="F1509" s="543"/>
      <c r="G1509" s="543"/>
      <c r="H1509" s="543"/>
      <c r="I1509" s="543"/>
      <c r="J1509" s="543"/>
      <c r="K1509" s="543"/>
      <c r="L1509" s="543"/>
      <c r="M1509" s="543"/>
      <c r="N1509" s="331" t="str">
        <f>VLOOKUP(A1509,ORCAMENTO!A:I,5,0)</f>
        <v>M2</v>
      </c>
      <c r="O1509" s="332">
        <f>O1514</f>
        <v>151.06</v>
      </c>
    </row>
    <row r="1510" spans="1:15" s="328" customFormat="1" x14ac:dyDescent="0.2">
      <c r="A1510" s="539" t="s">
        <v>39793</v>
      </c>
      <c r="B1510" s="539"/>
      <c r="C1510" s="539"/>
      <c r="D1510" s="539"/>
      <c r="E1510" s="539"/>
      <c r="F1510" s="539"/>
      <c r="G1510" s="539"/>
      <c r="H1510" s="539"/>
      <c r="I1510" s="539"/>
      <c r="J1510" s="539"/>
      <c r="K1510" s="539"/>
      <c r="L1510" s="539"/>
      <c r="M1510" s="539"/>
      <c r="N1510" s="539"/>
      <c r="O1510" s="539"/>
    </row>
    <row r="1511" spans="1:15" s="328" customFormat="1" x14ac:dyDescent="0.2">
      <c r="A1511" s="539" t="s">
        <v>5917</v>
      </c>
      <c r="B1511" s="539"/>
      <c r="C1511" s="539"/>
      <c r="D1511" s="333"/>
      <c r="E1511" s="333"/>
      <c r="F1511" s="333"/>
      <c r="G1511" s="333"/>
      <c r="H1511" s="333"/>
      <c r="I1511" s="331"/>
      <c r="J1511" s="331"/>
      <c r="K1511" s="333"/>
      <c r="L1511" s="333"/>
      <c r="M1511" s="333" t="s">
        <v>39799</v>
      </c>
      <c r="N1511" s="333" t="s">
        <v>39794</v>
      </c>
      <c r="O1511" s="333" t="s">
        <v>39795</v>
      </c>
    </row>
    <row r="1512" spans="1:15" s="328" customFormat="1" x14ac:dyDescent="0.2">
      <c r="A1512" s="535" t="s">
        <v>39847</v>
      </c>
      <c r="B1512" s="535"/>
      <c r="C1512" s="535"/>
      <c r="D1512" s="333"/>
      <c r="E1512" s="333"/>
      <c r="F1512" s="333"/>
      <c r="G1512" s="333"/>
      <c r="H1512" s="333"/>
      <c r="I1512" s="331"/>
      <c r="J1512" s="331"/>
      <c r="K1512" s="339"/>
      <c r="L1512" s="332"/>
      <c r="M1512" s="339">
        <f>43.11</f>
        <v>43.11</v>
      </c>
      <c r="N1512" s="332" t="s">
        <v>39794</v>
      </c>
      <c r="O1512" s="340">
        <f>ROUND(M1512,2)</f>
        <v>43.11</v>
      </c>
    </row>
    <row r="1513" spans="1:15" s="328" customFormat="1" x14ac:dyDescent="0.2">
      <c r="A1513" s="535" t="s">
        <v>39846</v>
      </c>
      <c r="B1513" s="535"/>
      <c r="C1513" s="535"/>
      <c r="D1513" s="333"/>
      <c r="E1513" s="333"/>
      <c r="F1513" s="333"/>
      <c r="G1513" s="333"/>
      <c r="H1513" s="333"/>
      <c r="I1513" s="331"/>
      <c r="J1513" s="331"/>
      <c r="K1513" s="339"/>
      <c r="L1513" s="332"/>
      <c r="M1513" s="339">
        <f>107.95</f>
        <v>107.95</v>
      </c>
      <c r="N1513" s="332" t="s">
        <v>39794</v>
      </c>
      <c r="O1513" s="340">
        <f>ROUND(M1513,2)</f>
        <v>107.95</v>
      </c>
    </row>
    <row r="1514" spans="1:15" s="328" customFormat="1" x14ac:dyDescent="0.2">
      <c r="A1514" s="540"/>
      <c r="B1514" s="540"/>
      <c r="C1514" s="540"/>
      <c r="D1514" s="540"/>
      <c r="E1514" s="540"/>
      <c r="F1514" s="540"/>
      <c r="G1514" s="540"/>
      <c r="H1514" s="540"/>
      <c r="I1514" s="540"/>
      <c r="J1514" s="540"/>
      <c r="K1514" s="540"/>
      <c r="L1514" s="334" t="s">
        <v>39796</v>
      </c>
      <c r="M1514" s="334" t="s">
        <v>39168</v>
      </c>
      <c r="N1514" s="333" t="s">
        <v>39794</v>
      </c>
      <c r="O1514" s="334">
        <f>SUM(O1511:O1513)</f>
        <v>151.06</v>
      </c>
    </row>
    <row r="1515" spans="1:15" s="328" customFormat="1" x14ac:dyDescent="0.2">
      <c r="A1515" s="329" t="s">
        <v>39791</v>
      </c>
      <c r="B1515" s="542" t="s">
        <v>5917</v>
      </c>
      <c r="C1515" s="542"/>
      <c r="D1515" s="542"/>
      <c r="E1515" s="542"/>
      <c r="F1515" s="542"/>
      <c r="G1515" s="542"/>
      <c r="H1515" s="542"/>
      <c r="I1515" s="542"/>
      <c r="J1515" s="542"/>
      <c r="K1515" s="542"/>
      <c r="L1515" s="542"/>
      <c r="M1515" s="542"/>
      <c r="N1515" s="329" t="s">
        <v>39197</v>
      </c>
      <c r="O1515" s="330" t="s">
        <v>39792</v>
      </c>
    </row>
    <row r="1516" spans="1:15" s="328" customFormat="1" ht="12.75" customHeight="1" x14ac:dyDescent="0.2">
      <c r="A1516" s="331" t="str">
        <f>ORCAMENTO!A277</f>
        <v>13.1.5</v>
      </c>
      <c r="B1516" s="543" t="str">
        <f>VLOOKUP(A1516,ORCAMENTO!A:I,4,0)</f>
        <v>PISO PODOTÁTIL DE ALERTA OU DIRECIONAL, DE CONCRETO, ASSENTADO SOBRE ARGAMASSA. AF_03/2024</v>
      </c>
      <c r="C1516" s="543"/>
      <c r="D1516" s="543"/>
      <c r="E1516" s="543"/>
      <c r="F1516" s="543"/>
      <c r="G1516" s="543"/>
      <c r="H1516" s="543"/>
      <c r="I1516" s="543"/>
      <c r="J1516" s="543"/>
      <c r="K1516" s="543"/>
      <c r="L1516" s="543"/>
      <c r="M1516" s="543"/>
      <c r="N1516" s="331" t="str">
        <f>VLOOKUP(A1516,ORCAMENTO!A:I,5,0)</f>
        <v>M2</v>
      </c>
      <c r="O1516" s="332">
        <f>O1527</f>
        <v>10.640000000000002</v>
      </c>
    </row>
    <row r="1517" spans="1:15" s="328" customFormat="1" x14ac:dyDescent="0.2">
      <c r="A1517" s="539" t="s">
        <v>39793</v>
      </c>
      <c r="B1517" s="539"/>
      <c r="C1517" s="539"/>
      <c r="D1517" s="539"/>
      <c r="E1517" s="539"/>
      <c r="F1517" s="539"/>
      <c r="G1517" s="539"/>
      <c r="H1517" s="539"/>
      <c r="I1517" s="539"/>
      <c r="J1517" s="539"/>
      <c r="K1517" s="539"/>
      <c r="L1517" s="539"/>
      <c r="M1517" s="539"/>
      <c r="N1517" s="539"/>
      <c r="O1517" s="539"/>
    </row>
    <row r="1518" spans="1:15" s="328" customFormat="1" x14ac:dyDescent="0.2">
      <c r="A1518" s="539" t="s">
        <v>5917</v>
      </c>
      <c r="B1518" s="539"/>
      <c r="C1518" s="539"/>
      <c r="D1518" s="333"/>
      <c r="E1518" s="333"/>
      <c r="F1518" s="333"/>
      <c r="G1518" s="333"/>
      <c r="H1518" s="333"/>
      <c r="I1518" s="331"/>
      <c r="J1518" s="331"/>
      <c r="K1518" s="333" t="s">
        <v>39804</v>
      </c>
      <c r="L1518" s="333" t="s">
        <v>39805</v>
      </c>
      <c r="M1518" s="333" t="s">
        <v>39802</v>
      </c>
      <c r="N1518" s="333" t="s">
        <v>39794</v>
      </c>
      <c r="O1518" s="333" t="s">
        <v>39795</v>
      </c>
    </row>
    <row r="1519" spans="1:15" s="328" customFormat="1" x14ac:dyDescent="0.2">
      <c r="A1519" s="535" t="s">
        <v>39855</v>
      </c>
      <c r="B1519" s="535"/>
      <c r="C1519" s="535"/>
      <c r="D1519" s="333"/>
      <c r="E1519" s="333"/>
      <c r="F1519" s="333"/>
      <c r="G1519" s="333"/>
      <c r="H1519" s="333"/>
      <c r="I1519" s="331"/>
      <c r="J1519" s="331"/>
      <c r="K1519" s="339">
        <f>0.25</f>
        <v>0.25</v>
      </c>
      <c r="L1519" s="332" t="s">
        <v>39805</v>
      </c>
      <c r="M1519" s="339">
        <f>19.75</f>
        <v>19.75</v>
      </c>
      <c r="N1519" s="332" t="s">
        <v>39794</v>
      </c>
      <c r="O1519" s="340">
        <f>ROUND(K1519*M1519,2)</f>
        <v>4.9400000000000004</v>
      </c>
    </row>
    <row r="1520" spans="1:15" s="328" customFormat="1" x14ac:dyDescent="0.2">
      <c r="A1520" s="535" t="s">
        <v>39856</v>
      </c>
      <c r="B1520" s="535"/>
      <c r="C1520" s="535"/>
      <c r="D1520" s="333"/>
      <c r="E1520" s="333"/>
      <c r="F1520" s="333"/>
      <c r="G1520" s="333"/>
      <c r="H1520" s="333"/>
      <c r="I1520" s="331"/>
      <c r="J1520" s="331"/>
      <c r="K1520" s="339">
        <f t="shared" ref="K1520:K1521" si="55">0.25</f>
        <v>0.25</v>
      </c>
      <c r="L1520" s="332" t="s">
        <v>39805</v>
      </c>
      <c r="M1520" s="339">
        <f>16.5</f>
        <v>16.5</v>
      </c>
      <c r="N1520" s="332" t="s">
        <v>39794</v>
      </c>
      <c r="O1520" s="340">
        <f t="shared" ref="O1520:O1521" si="56">ROUND(K1520*M1520,2)</f>
        <v>4.13</v>
      </c>
    </row>
    <row r="1521" spans="1:15" s="328" customFormat="1" x14ac:dyDescent="0.2">
      <c r="A1521" s="535" t="s">
        <v>39857</v>
      </c>
      <c r="B1521" s="535"/>
      <c r="C1521" s="535"/>
      <c r="D1521" s="333"/>
      <c r="E1521" s="333"/>
      <c r="F1521" s="333"/>
      <c r="G1521" s="333"/>
      <c r="H1521" s="333"/>
      <c r="I1521" s="331"/>
      <c r="J1521" s="331"/>
      <c r="K1521" s="339">
        <f t="shared" si="55"/>
        <v>0.25</v>
      </c>
      <c r="L1521" s="332" t="s">
        <v>39805</v>
      </c>
      <c r="M1521" s="339">
        <f>1.5</f>
        <v>1.5</v>
      </c>
      <c r="N1521" s="332" t="s">
        <v>39794</v>
      </c>
      <c r="O1521" s="340">
        <f t="shared" si="56"/>
        <v>0.38</v>
      </c>
    </row>
    <row r="1522" spans="1:15" s="328" customFormat="1" x14ac:dyDescent="0.2">
      <c r="A1522" s="539" t="s">
        <v>5917</v>
      </c>
      <c r="B1522" s="539"/>
      <c r="C1522" s="539"/>
      <c r="D1522" s="333"/>
      <c r="E1522" s="333"/>
      <c r="F1522" s="333"/>
      <c r="G1522" s="333"/>
      <c r="H1522" s="333"/>
      <c r="I1522" s="331"/>
      <c r="J1522" s="331"/>
      <c r="K1522" s="333" t="s">
        <v>39804</v>
      </c>
      <c r="L1522" s="333" t="s">
        <v>39805</v>
      </c>
      <c r="M1522" s="333" t="s">
        <v>39802</v>
      </c>
      <c r="N1522" s="333" t="s">
        <v>39794</v>
      </c>
      <c r="O1522" s="333" t="s">
        <v>39795</v>
      </c>
    </row>
    <row r="1523" spans="1:15" s="328" customFormat="1" x14ac:dyDescent="0.2">
      <c r="A1523" s="535" t="s">
        <v>39858</v>
      </c>
      <c r="B1523" s="535"/>
      <c r="C1523" s="535"/>
      <c r="D1523" s="333"/>
      <c r="E1523" s="333"/>
      <c r="F1523" s="333"/>
      <c r="G1523" s="333"/>
      <c r="H1523" s="333"/>
      <c r="I1523" s="331"/>
      <c r="J1523" s="331"/>
      <c r="K1523" s="339">
        <f>0.25</f>
        <v>0.25</v>
      </c>
      <c r="L1523" s="332" t="s">
        <v>39805</v>
      </c>
      <c r="M1523" s="339">
        <v>1.5</v>
      </c>
      <c r="N1523" s="332" t="s">
        <v>39794</v>
      </c>
      <c r="O1523" s="340">
        <f>ROUND(K1523*M1523,2)</f>
        <v>0.38</v>
      </c>
    </row>
    <row r="1524" spans="1:15" s="328" customFormat="1" x14ac:dyDescent="0.2">
      <c r="A1524" s="535" t="s">
        <v>39859</v>
      </c>
      <c r="B1524" s="535"/>
      <c r="C1524" s="535"/>
      <c r="D1524" s="333"/>
      <c r="E1524" s="333"/>
      <c r="F1524" s="333"/>
      <c r="G1524" s="333"/>
      <c r="H1524" s="333"/>
      <c r="I1524" s="331"/>
      <c r="J1524" s="331"/>
      <c r="K1524" s="339">
        <f>0.5</f>
        <v>0.5</v>
      </c>
      <c r="L1524" s="332" t="s">
        <v>39805</v>
      </c>
      <c r="M1524" s="339">
        <f>0.5</f>
        <v>0.5</v>
      </c>
      <c r="N1524" s="332" t="s">
        <v>39794</v>
      </c>
      <c r="O1524" s="340">
        <f t="shared" ref="O1524:O1526" si="57">ROUND(K1524*M1524,2)</f>
        <v>0.25</v>
      </c>
    </row>
    <row r="1525" spans="1:15" s="328" customFormat="1" x14ac:dyDescent="0.2">
      <c r="A1525" s="535" t="s">
        <v>39860</v>
      </c>
      <c r="B1525" s="535"/>
      <c r="C1525" s="535"/>
      <c r="D1525" s="333"/>
      <c r="E1525" s="333"/>
      <c r="F1525" s="333"/>
      <c r="G1525" s="333"/>
      <c r="H1525" s="333"/>
      <c r="I1525" s="331"/>
      <c r="J1525" s="331"/>
      <c r="K1525" s="339">
        <f>0.5</f>
        <v>0.5</v>
      </c>
      <c r="L1525" s="332" t="s">
        <v>39805</v>
      </c>
      <c r="M1525" s="339">
        <f>0.5</f>
        <v>0.5</v>
      </c>
      <c r="N1525" s="332" t="s">
        <v>39794</v>
      </c>
      <c r="O1525" s="340">
        <f t="shared" si="57"/>
        <v>0.25</v>
      </c>
    </row>
    <row r="1526" spans="1:15" s="328" customFormat="1" x14ac:dyDescent="0.2">
      <c r="A1526" s="535" t="s">
        <v>39861</v>
      </c>
      <c r="B1526" s="535"/>
      <c r="C1526" s="535"/>
      <c r="D1526" s="333"/>
      <c r="E1526" s="333"/>
      <c r="F1526" s="333"/>
      <c r="G1526" s="333"/>
      <c r="H1526" s="333"/>
      <c r="I1526" s="331"/>
      <c r="J1526" s="331"/>
      <c r="K1526" s="339">
        <f>0.25</f>
        <v>0.25</v>
      </c>
      <c r="L1526" s="332" t="s">
        <v>39805</v>
      </c>
      <c r="M1526" s="339">
        <f>1.25</f>
        <v>1.25</v>
      </c>
      <c r="N1526" s="332" t="s">
        <v>39794</v>
      </c>
      <c r="O1526" s="340">
        <f t="shared" si="57"/>
        <v>0.31</v>
      </c>
    </row>
    <row r="1527" spans="1:15" s="328" customFormat="1" x14ac:dyDescent="0.2">
      <c r="A1527" s="540"/>
      <c r="B1527" s="540"/>
      <c r="C1527" s="540"/>
      <c r="D1527" s="540"/>
      <c r="E1527" s="540"/>
      <c r="F1527" s="540"/>
      <c r="G1527" s="540"/>
      <c r="H1527" s="540"/>
      <c r="I1527" s="540"/>
      <c r="J1527" s="540"/>
      <c r="K1527" s="540"/>
      <c r="L1527" s="334" t="s">
        <v>39796</v>
      </c>
      <c r="M1527" s="334" t="s">
        <v>39168</v>
      </c>
      <c r="N1527" s="333" t="s">
        <v>39794</v>
      </c>
      <c r="O1527" s="334">
        <f>SUM(O1518:O1526)</f>
        <v>10.640000000000002</v>
      </c>
    </row>
    <row r="1528" spans="1:15" s="328" customFormat="1" x14ac:dyDescent="0.2">
      <c r="A1528" s="347" t="str">
        <f>ORCAMENTO!A279</f>
        <v>13.2</v>
      </c>
      <c r="B1528" s="544" t="str">
        <f>VLOOKUP(A1528,ORCAMENTO!A:I,4,0)</f>
        <v>PAVIMENTAÇÃO INTERNA</v>
      </c>
      <c r="C1528" s="544"/>
      <c r="D1528" s="544"/>
      <c r="E1528" s="544"/>
      <c r="F1528" s="544"/>
      <c r="G1528" s="544"/>
      <c r="H1528" s="544"/>
      <c r="I1528" s="544"/>
      <c r="J1528" s="544"/>
      <c r="K1528" s="544"/>
      <c r="L1528" s="544"/>
      <c r="M1528" s="544"/>
      <c r="N1528" s="544"/>
      <c r="O1528" s="544"/>
    </row>
    <row r="1529" spans="1:15" s="328" customFormat="1" x14ac:dyDescent="0.2">
      <c r="A1529" s="329" t="s">
        <v>39791</v>
      </c>
      <c r="B1529" s="542" t="s">
        <v>5917</v>
      </c>
      <c r="C1529" s="542"/>
      <c r="D1529" s="542"/>
      <c r="E1529" s="542"/>
      <c r="F1529" s="542"/>
      <c r="G1529" s="542"/>
      <c r="H1529" s="542"/>
      <c r="I1529" s="542"/>
      <c r="J1529" s="542"/>
      <c r="K1529" s="542"/>
      <c r="L1529" s="542"/>
      <c r="M1529" s="542"/>
      <c r="N1529" s="329" t="s">
        <v>39197</v>
      </c>
      <c r="O1529" s="330" t="s">
        <v>39792</v>
      </c>
    </row>
    <row r="1530" spans="1:15" s="328" customFormat="1" ht="35.1" customHeight="1" x14ac:dyDescent="0.2">
      <c r="A1530" s="331" t="str">
        <f>ORCAMENTO!A280</f>
        <v>13.2.1</v>
      </c>
      <c r="B1530" s="543" t="str">
        <f>VLOOKUP(A1530,ORCAMENTO!A:I,4,0)</f>
        <v>LASTRO COM MATERIAL GRANULAR (AREIA MÉDIA), APLICADO EM PISOS OU LAJES SOBRE SOLO, ESPESSURA DE *10 CM*. AF_01/2024</v>
      </c>
      <c r="C1530" s="543"/>
      <c r="D1530" s="543"/>
      <c r="E1530" s="543"/>
      <c r="F1530" s="543"/>
      <c r="G1530" s="543"/>
      <c r="H1530" s="543"/>
      <c r="I1530" s="543"/>
      <c r="J1530" s="543"/>
      <c r="K1530" s="543"/>
      <c r="L1530" s="543"/>
      <c r="M1530" s="543"/>
      <c r="N1530" s="331" t="str">
        <f>VLOOKUP(A1530,ORCAMENTO!A:I,5,0)</f>
        <v>M3</v>
      </c>
      <c r="O1530" s="332">
        <f>O1557</f>
        <v>61.080000000000005</v>
      </c>
    </row>
    <row r="1531" spans="1:15" s="328" customFormat="1" x14ac:dyDescent="0.2">
      <c r="A1531" s="539" t="s">
        <v>39793</v>
      </c>
      <c r="B1531" s="539"/>
      <c r="C1531" s="539"/>
      <c r="D1531" s="539"/>
      <c r="E1531" s="539"/>
      <c r="F1531" s="539"/>
      <c r="G1531" s="539"/>
      <c r="H1531" s="539"/>
      <c r="I1531" s="539"/>
      <c r="J1531" s="539"/>
      <c r="K1531" s="539"/>
      <c r="L1531" s="539"/>
      <c r="M1531" s="539"/>
      <c r="N1531" s="539"/>
      <c r="O1531" s="539"/>
    </row>
    <row r="1532" spans="1:15" s="328" customFormat="1" x14ac:dyDescent="0.2">
      <c r="A1532" s="539" t="s">
        <v>5917</v>
      </c>
      <c r="B1532" s="539"/>
      <c r="C1532" s="539"/>
      <c r="D1532" s="333"/>
      <c r="E1532" s="333"/>
      <c r="F1532" s="333"/>
      <c r="G1532" s="333"/>
      <c r="H1532" s="333"/>
      <c r="I1532" s="331"/>
      <c r="J1532" s="331"/>
      <c r="K1532" s="333" t="s">
        <v>39850</v>
      </c>
      <c r="L1532" s="333" t="s">
        <v>39805</v>
      </c>
      <c r="M1532" s="333" t="s">
        <v>39799</v>
      </c>
      <c r="N1532" s="333" t="s">
        <v>39794</v>
      </c>
      <c r="O1532" s="333" t="s">
        <v>39795</v>
      </c>
    </row>
    <row r="1533" spans="1:15" s="328" customFormat="1" x14ac:dyDescent="0.2">
      <c r="A1533" s="535" t="s">
        <v>39884</v>
      </c>
      <c r="B1533" s="535"/>
      <c r="C1533" s="535"/>
      <c r="D1533" s="333"/>
      <c r="E1533" s="333"/>
      <c r="F1533" s="333"/>
      <c r="G1533" s="333"/>
      <c r="H1533" s="333"/>
      <c r="I1533" s="331"/>
      <c r="J1533" s="331"/>
      <c r="K1533" s="339">
        <f>0.09</f>
        <v>0.09</v>
      </c>
      <c r="L1533" s="332" t="s">
        <v>39805</v>
      </c>
      <c r="M1533" s="339">
        <f>49.8</f>
        <v>49.8</v>
      </c>
      <c r="N1533" s="332" t="s">
        <v>39794</v>
      </c>
      <c r="O1533" s="340">
        <f>ROUND(K1533*M1533,2)</f>
        <v>4.4800000000000004</v>
      </c>
    </row>
    <row r="1534" spans="1:15" s="328" customFormat="1" x14ac:dyDescent="0.2">
      <c r="A1534" s="535" t="s">
        <v>39883</v>
      </c>
      <c r="B1534" s="535"/>
      <c r="C1534" s="535"/>
      <c r="D1534" s="333"/>
      <c r="E1534" s="333"/>
      <c r="F1534" s="333"/>
      <c r="G1534" s="333"/>
      <c r="H1534" s="333"/>
      <c r="I1534" s="331"/>
      <c r="J1534" s="331"/>
      <c r="K1534" s="339">
        <f t="shared" ref="K1534:K1542" si="58">0.09</f>
        <v>0.09</v>
      </c>
      <c r="L1534" s="332" t="s">
        <v>39805</v>
      </c>
      <c r="M1534" s="339">
        <f>50.02</f>
        <v>50.02</v>
      </c>
      <c r="N1534" s="332" t="s">
        <v>39794</v>
      </c>
      <c r="O1534" s="340">
        <f t="shared" ref="O1534:O1542" si="59">ROUND(K1534*M1534,2)</f>
        <v>4.5</v>
      </c>
    </row>
    <row r="1535" spans="1:15" s="328" customFormat="1" x14ac:dyDescent="0.2">
      <c r="A1535" s="534" t="s">
        <v>39882</v>
      </c>
      <c r="B1535" s="535"/>
      <c r="C1535" s="535"/>
      <c r="D1535" s="333"/>
      <c r="E1535" s="333"/>
      <c r="F1535" s="333"/>
      <c r="G1535" s="333"/>
      <c r="H1535" s="333"/>
      <c r="I1535" s="331"/>
      <c r="J1535" s="331"/>
      <c r="K1535" s="339">
        <f t="shared" si="58"/>
        <v>0.09</v>
      </c>
      <c r="L1535" s="332" t="s">
        <v>39805</v>
      </c>
      <c r="M1535" s="339">
        <f>36.25</f>
        <v>36.25</v>
      </c>
      <c r="N1535" s="332" t="s">
        <v>39794</v>
      </c>
      <c r="O1535" s="340">
        <f t="shared" si="59"/>
        <v>3.26</v>
      </c>
    </row>
    <row r="1536" spans="1:15" s="328" customFormat="1" x14ac:dyDescent="0.2">
      <c r="A1536" s="535" t="s">
        <v>39877</v>
      </c>
      <c r="B1536" s="535"/>
      <c r="C1536" s="535"/>
      <c r="D1536" s="333"/>
      <c r="E1536" s="333"/>
      <c r="F1536" s="333"/>
      <c r="G1536" s="333"/>
      <c r="H1536" s="333"/>
      <c r="I1536" s="331"/>
      <c r="J1536" s="331"/>
      <c r="K1536" s="339">
        <f t="shared" si="58"/>
        <v>0.09</v>
      </c>
      <c r="L1536" s="332" t="s">
        <v>39805</v>
      </c>
      <c r="M1536" s="339">
        <f>12.81</f>
        <v>12.81</v>
      </c>
      <c r="N1536" s="332" t="s">
        <v>39794</v>
      </c>
      <c r="O1536" s="340">
        <f t="shared" si="59"/>
        <v>1.1499999999999999</v>
      </c>
    </row>
    <row r="1537" spans="1:15" s="328" customFormat="1" x14ac:dyDescent="0.2">
      <c r="A1537" s="535" t="s">
        <v>39881</v>
      </c>
      <c r="B1537" s="535"/>
      <c r="C1537" s="535"/>
      <c r="D1537" s="333"/>
      <c r="E1537" s="333"/>
      <c r="F1537" s="333"/>
      <c r="G1537" s="333"/>
      <c r="H1537" s="333"/>
      <c r="I1537" s="331"/>
      <c r="J1537" s="331"/>
      <c r="K1537" s="339">
        <f t="shared" si="58"/>
        <v>0.09</v>
      </c>
      <c r="L1537" s="332" t="s">
        <v>39805</v>
      </c>
      <c r="M1537" s="339">
        <f>50.02</f>
        <v>50.02</v>
      </c>
      <c r="N1537" s="332" t="s">
        <v>39794</v>
      </c>
      <c r="O1537" s="340">
        <f t="shared" si="59"/>
        <v>4.5</v>
      </c>
    </row>
    <row r="1538" spans="1:15" s="328" customFormat="1" x14ac:dyDescent="0.2">
      <c r="A1538" s="534" t="s">
        <v>39880</v>
      </c>
      <c r="B1538" s="535"/>
      <c r="C1538" s="535"/>
      <c r="D1538" s="333"/>
      <c r="E1538" s="333"/>
      <c r="F1538" s="333"/>
      <c r="G1538" s="333"/>
      <c r="H1538" s="333"/>
      <c r="I1538" s="331"/>
      <c r="J1538" s="331"/>
      <c r="K1538" s="339">
        <f t="shared" si="58"/>
        <v>0.09</v>
      </c>
      <c r="L1538" s="332" t="s">
        <v>39805</v>
      </c>
      <c r="M1538" s="339">
        <f>36.25</f>
        <v>36.25</v>
      </c>
      <c r="N1538" s="332" t="s">
        <v>39794</v>
      </c>
      <c r="O1538" s="340">
        <f t="shared" si="59"/>
        <v>3.26</v>
      </c>
    </row>
    <row r="1539" spans="1:15" s="328" customFormat="1" x14ac:dyDescent="0.2">
      <c r="A1539" s="535" t="s">
        <v>39877</v>
      </c>
      <c r="B1539" s="535"/>
      <c r="C1539" s="535"/>
      <c r="D1539" s="333"/>
      <c r="E1539" s="333"/>
      <c r="F1539" s="333"/>
      <c r="G1539" s="333"/>
      <c r="H1539" s="333"/>
      <c r="I1539" s="331"/>
      <c r="J1539" s="331"/>
      <c r="K1539" s="339">
        <f t="shared" si="58"/>
        <v>0.09</v>
      </c>
      <c r="L1539" s="332" t="s">
        <v>39805</v>
      </c>
      <c r="M1539" s="339">
        <f>12.81</f>
        <v>12.81</v>
      </c>
      <c r="N1539" s="332" t="s">
        <v>39794</v>
      </c>
      <c r="O1539" s="340">
        <f t="shared" si="59"/>
        <v>1.1499999999999999</v>
      </c>
    </row>
    <row r="1540" spans="1:15" s="328" customFormat="1" x14ac:dyDescent="0.2">
      <c r="A1540" s="535" t="s">
        <v>39879</v>
      </c>
      <c r="B1540" s="535"/>
      <c r="C1540" s="535"/>
      <c r="D1540" s="333"/>
      <c r="E1540" s="333"/>
      <c r="F1540" s="333"/>
      <c r="G1540" s="333"/>
      <c r="H1540" s="333"/>
      <c r="I1540" s="331"/>
      <c r="J1540" s="331"/>
      <c r="K1540" s="339">
        <f t="shared" si="58"/>
        <v>0.09</v>
      </c>
      <c r="L1540" s="332" t="s">
        <v>39805</v>
      </c>
      <c r="M1540" s="339">
        <f>155.12</f>
        <v>155.12</v>
      </c>
      <c r="N1540" s="332" t="s">
        <v>39794</v>
      </c>
      <c r="O1540" s="340">
        <f t="shared" si="59"/>
        <v>13.96</v>
      </c>
    </row>
    <row r="1541" spans="1:15" s="328" customFormat="1" x14ac:dyDescent="0.2">
      <c r="A1541" s="534" t="s">
        <v>39878</v>
      </c>
      <c r="B1541" s="535"/>
      <c r="C1541" s="535"/>
      <c r="D1541" s="333"/>
      <c r="E1541" s="333"/>
      <c r="F1541" s="333"/>
      <c r="G1541" s="333"/>
      <c r="H1541" s="333"/>
      <c r="I1541" s="331"/>
      <c r="J1541" s="331"/>
      <c r="K1541" s="339">
        <f t="shared" si="58"/>
        <v>0.09</v>
      </c>
      <c r="L1541" s="332" t="s">
        <v>39805</v>
      </c>
      <c r="M1541" s="339">
        <f>36.25</f>
        <v>36.25</v>
      </c>
      <c r="N1541" s="332" t="s">
        <v>39794</v>
      </c>
      <c r="O1541" s="340">
        <f t="shared" si="59"/>
        <v>3.26</v>
      </c>
    </row>
    <row r="1542" spans="1:15" s="328" customFormat="1" x14ac:dyDescent="0.2">
      <c r="A1542" s="535" t="s">
        <v>39877</v>
      </c>
      <c r="B1542" s="535"/>
      <c r="C1542" s="535"/>
      <c r="D1542" s="333"/>
      <c r="E1542" s="333"/>
      <c r="F1542" s="333"/>
      <c r="G1542" s="333"/>
      <c r="H1542" s="333"/>
      <c r="I1542" s="331"/>
      <c r="J1542" s="331"/>
      <c r="K1542" s="339">
        <f t="shared" si="58"/>
        <v>0.09</v>
      </c>
      <c r="L1542" s="332" t="s">
        <v>39805</v>
      </c>
      <c r="M1542" s="339">
        <f>12.81</f>
        <v>12.81</v>
      </c>
      <c r="N1542" s="332" t="s">
        <v>39794</v>
      </c>
      <c r="O1542" s="340">
        <f t="shared" si="59"/>
        <v>1.1499999999999999</v>
      </c>
    </row>
    <row r="1543" spans="1:15" s="328" customFormat="1" x14ac:dyDescent="0.2">
      <c r="A1543" s="539" t="s">
        <v>5917</v>
      </c>
      <c r="B1543" s="539"/>
      <c r="C1543" s="539"/>
      <c r="D1543" s="333"/>
      <c r="E1543" s="333"/>
      <c r="F1543" s="333"/>
      <c r="G1543" s="333"/>
      <c r="H1543" s="333"/>
      <c r="I1543" s="331"/>
      <c r="J1543" s="331"/>
      <c r="K1543" s="333" t="s">
        <v>39850</v>
      </c>
      <c r="L1543" s="333" t="s">
        <v>39805</v>
      </c>
      <c r="M1543" s="333" t="s">
        <v>39799</v>
      </c>
      <c r="N1543" s="333" t="s">
        <v>39794</v>
      </c>
      <c r="O1543" s="333" t="s">
        <v>39795</v>
      </c>
    </row>
    <row r="1544" spans="1:15" s="328" customFormat="1" x14ac:dyDescent="0.2">
      <c r="A1544" s="534" t="s">
        <v>39868</v>
      </c>
      <c r="B1544" s="535"/>
      <c r="C1544" s="535"/>
      <c r="D1544" s="333"/>
      <c r="E1544" s="333"/>
      <c r="F1544" s="333"/>
      <c r="G1544" s="333"/>
      <c r="H1544" s="333"/>
      <c r="I1544" s="331"/>
      <c r="J1544" s="331"/>
      <c r="K1544" s="339">
        <f>0.06</f>
        <v>0.06</v>
      </c>
      <c r="L1544" s="332" t="s">
        <v>39805</v>
      </c>
      <c r="M1544" s="339">
        <f>27.9</f>
        <v>27.9</v>
      </c>
      <c r="N1544" s="332" t="s">
        <v>39794</v>
      </c>
      <c r="O1544" s="340">
        <f>ROUND(K1544*M1544,2)</f>
        <v>1.67</v>
      </c>
    </row>
    <row r="1545" spans="1:15" s="328" customFormat="1" x14ac:dyDescent="0.2">
      <c r="A1545" s="534" t="s">
        <v>39869</v>
      </c>
      <c r="B1545" s="535"/>
      <c r="C1545" s="535"/>
      <c r="D1545" s="333"/>
      <c r="E1545" s="333"/>
      <c r="F1545" s="333"/>
      <c r="G1545" s="333"/>
      <c r="H1545" s="333"/>
      <c r="I1545" s="331"/>
      <c r="J1545" s="331"/>
      <c r="K1545" s="339">
        <f t="shared" ref="K1545:K1552" si="60">0.06</f>
        <v>0.06</v>
      </c>
      <c r="L1545" s="332" t="s">
        <v>39805</v>
      </c>
      <c r="M1545" s="339">
        <f>65.87</f>
        <v>65.87</v>
      </c>
      <c r="N1545" s="332" t="s">
        <v>39794</v>
      </c>
      <c r="O1545" s="340">
        <f t="shared" ref="O1545:O1552" si="61">ROUND(K1545*M1545,2)</f>
        <v>3.95</v>
      </c>
    </row>
    <row r="1546" spans="1:15" s="328" customFormat="1" x14ac:dyDescent="0.2">
      <c r="A1546" s="534" t="s">
        <v>39870</v>
      </c>
      <c r="B1546" s="535"/>
      <c r="C1546" s="535"/>
      <c r="D1546" s="333"/>
      <c r="E1546" s="333"/>
      <c r="F1546" s="333"/>
      <c r="G1546" s="333"/>
      <c r="H1546" s="333"/>
      <c r="I1546" s="331"/>
      <c r="J1546" s="331"/>
      <c r="K1546" s="339">
        <f t="shared" si="60"/>
        <v>0.06</v>
      </c>
      <c r="L1546" s="332" t="s">
        <v>39805</v>
      </c>
      <c r="M1546" s="339">
        <f>26.01</f>
        <v>26.01</v>
      </c>
      <c r="N1546" s="332" t="s">
        <v>39794</v>
      </c>
      <c r="O1546" s="340">
        <f t="shared" si="61"/>
        <v>1.56</v>
      </c>
    </row>
    <row r="1547" spans="1:15" s="328" customFormat="1" x14ac:dyDescent="0.2">
      <c r="A1547" s="534" t="s">
        <v>39871</v>
      </c>
      <c r="B1547" s="535"/>
      <c r="C1547" s="535"/>
      <c r="D1547" s="333"/>
      <c r="E1547" s="333"/>
      <c r="F1547" s="333"/>
      <c r="G1547" s="333"/>
      <c r="H1547" s="333"/>
      <c r="I1547" s="331"/>
      <c r="J1547" s="331"/>
      <c r="K1547" s="339">
        <f t="shared" si="60"/>
        <v>0.06</v>
      </c>
      <c r="L1547" s="332" t="s">
        <v>39805</v>
      </c>
      <c r="M1547" s="339">
        <f>82.05</f>
        <v>82.05</v>
      </c>
      <c r="N1547" s="332" t="s">
        <v>39794</v>
      </c>
      <c r="O1547" s="340">
        <f t="shared" si="61"/>
        <v>4.92</v>
      </c>
    </row>
    <row r="1548" spans="1:15" s="328" customFormat="1" x14ac:dyDescent="0.2">
      <c r="A1548" s="534" t="s">
        <v>39872</v>
      </c>
      <c r="B1548" s="535"/>
      <c r="C1548" s="535"/>
      <c r="D1548" s="333"/>
      <c r="E1548" s="333"/>
      <c r="F1548" s="333"/>
      <c r="G1548" s="333"/>
      <c r="H1548" s="333"/>
      <c r="I1548" s="331"/>
      <c r="J1548" s="331"/>
      <c r="K1548" s="339">
        <f t="shared" si="60"/>
        <v>0.06</v>
      </c>
      <c r="L1548" s="332" t="s">
        <v>39805</v>
      </c>
      <c r="M1548" s="339">
        <f>2.9</f>
        <v>2.9</v>
      </c>
      <c r="N1548" s="332" t="s">
        <v>39794</v>
      </c>
      <c r="O1548" s="340">
        <f t="shared" si="61"/>
        <v>0.17</v>
      </c>
    </row>
    <row r="1549" spans="1:15" s="328" customFormat="1" x14ac:dyDescent="0.2">
      <c r="A1549" s="534" t="s">
        <v>39873</v>
      </c>
      <c r="B1549" s="535"/>
      <c r="C1549" s="535"/>
      <c r="D1549" s="333"/>
      <c r="E1549" s="333"/>
      <c r="F1549" s="333"/>
      <c r="G1549" s="333"/>
      <c r="H1549" s="333"/>
      <c r="I1549" s="331"/>
      <c r="J1549" s="331"/>
      <c r="K1549" s="339">
        <f t="shared" si="60"/>
        <v>0.06</v>
      </c>
      <c r="L1549" s="332" t="s">
        <v>39805</v>
      </c>
      <c r="M1549" s="339">
        <f>3.31</f>
        <v>3.31</v>
      </c>
      <c r="N1549" s="332" t="s">
        <v>39794</v>
      </c>
      <c r="O1549" s="340">
        <f t="shared" si="61"/>
        <v>0.2</v>
      </c>
    </row>
    <row r="1550" spans="1:15" s="328" customFormat="1" x14ac:dyDescent="0.2">
      <c r="A1550" s="536" t="s">
        <v>39874</v>
      </c>
      <c r="B1550" s="537"/>
      <c r="C1550" s="538"/>
      <c r="D1550" s="333"/>
      <c r="E1550" s="333"/>
      <c r="F1550" s="333"/>
      <c r="G1550" s="333"/>
      <c r="H1550" s="333"/>
      <c r="I1550" s="331"/>
      <c r="J1550" s="331"/>
      <c r="K1550" s="339">
        <f t="shared" si="60"/>
        <v>0.06</v>
      </c>
      <c r="L1550" s="332" t="s">
        <v>39805</v>
      </c>
      <c r="M1550" s="339">
        <f>4.64</f>
        <v>4.6399999999999997</v>
      </c>
      <c r="N1550" s="332" t="s">
        <v>39794</v>
      </c>
      <c r="O1550" s="340">
        <f t="shared" si="61"/>
        <v>0.28000000000000003</v>
      </c>
    </row>
    <row r="1551" spans="1:15" s="328" customFormat="1" x14ac:dyDescent="0.2">
      <c r="A1551" s="536" t="s">
        <v>39875</v>
      </c>
      <c r="B1551" s="537"/>
      <c r="C1551" s="538"/>
      <c r="D1551" s="333"/>
      <c r="E1551" s="333"/>
      <c r="F1551" s="333"/>
      <c r="G1551" s="333"/>
      <c r="H1551" s="333"/>
      <c r="I1551" s="331"/>
      <c r="J1551" s="331"/>
      <c r="K1551" s="339">
        <f t="shared" si="60"/>
        <v>0.06</v>
      </c>
      <c r="L1551" s="332" t="s">
        <v>39805</v>
      </c>
      <c r="M1551" s="339">
        <f>28.87</f>
        <v>28.87</v>
      </c>
      <c r="N1551" s="332" t="s">
        <v>39794</v>
      </c>
      <c r="O1551" s="340">
        <f t="shared" si="61"/>
        <v>1.73</v>
      </c>
    </row>
    <row r="1552" spans="1:15" s="328" customFormat="1" x14ac:dyDescent="0.2">
      <c r="A1552" s="536" t="s">
        <v>39876</v>
      </c>
      <c r="B1552" s="537"/>
      <c r="C1552" s="538"/>
      <c r="D1552" s="333"/>
      <c r="E1552" s="333"/>
      <c r="F1552" s="333"/>
      <c r="G1552" s="333"/>
      <c r="H1552" s="333"/>
      <c r="I1552" s="331"/>
      <c r="J1552" s="331"/>
      <c r="K1552" s="339">
        <f t="shared" si="60"/>
        <v>0.06</v>
      </c>
      <c r="L1552" s="332" t="s">
        <v>39805</v>
      </c>
      <c r="M1552" s="339">
        <f>39.21</f>
        <v>39.21</v>
      </c>
      <c r="N1552" s="332" t="s">
        <v>39794</v>
      </c>
      <c r="O1552" s="340">
        <f t="shared" si="61"/>
        <v>2.35</v>
      </c>
    </row>
    <row r="1553" spans="1:15" s="328" customFormat="1" x14ac:dyDescent="0.2">
      <c r="A1553" s="539" t="s">
        <v>5917</v>
      </c>
      <c r="B1553" s="539"/>
      <c r="C1553" s="539"/>
      <c r="D1553" s="333"/>
      <c r="E1553" s="333"/>
      <c r="F1553" s="333"/>
      <c r="G1553" s="333"/>
      <c r="H1553" s="333"/>
      <c r="I1553" s="331"/>
      <c r="J1553" s="331"/>
      <c r="K1553" s="333" t="s">
        <v>39850</v>
      </c>
      <c r="L1553" s="333" t="s">
        <v>39805</v>
      </c>
      <c r="M1553" s="333" t="s">
        <v>39799</v>
      </c>
      <c r="N1553" s="333" t="s">
        <v>39794</v>
      </c>
      <c r="O1553" s="333" t="s">
        <v>39795</v>
      </c>
    </row>
    <row r="1554" spans="1:15" s="328" customFormat="1" x14ac:dyDescent="0.2">
      <c r="A1554" s="534" t="s">
        <v>39818</v>
      </c>
      <c r="B1554" s="535"/>
      <c r="C1554" s="535"/>
      <c r="D1554" s="333"/>
      <c r="E1554" s="333"/>
      <c r="F1554" s="333"/>
      <c r="G1554" s="333"/>
      <c r="H1554" s="333"/>
      <c r="I1554" s="331"/>
      <c r="J1554" s="331"/>
      <c r="K1554" s="339">
        <f t="shared" ref="K1554:K1556" si="62">0.09</f>
        <v>0.09</v>
      </c>
      <c r="L1554" s="332" t="s">
        <v>39805</v>
      </c>
      <c r="M1554" s="339">
        <f>3.14</f>
        <v>3.14</v>
      </c>
      <c r="N1554" s="332" t="s">
        <v>39794</v>
      </c>
      <c r="O1554" s="340">
        <f>ROUND(K1554*M1554,2)</f>
        <v>0.28000000000000003</v>
      </c>
    </row>
    <row r="1555" spans="1:15" s="328" customFormat="1" x14ac:dyDescent="0.2">
      <c r="A1555" s="534" t="s">
        <v>39816</v>
      </c>
      <c r="B1555" s="535"/>
      <c r="C1555" s="535"/>
      <c r="D1555" s="333"/>
      <c r="E1555" s="333"/>
      <c r="F1555" s="333"/>
      <c r="G1555" s="333"/>
      <c r="H1555" s="333"/>
      <c r="I1555" s="331"/>
      <c r="J1555" s="331"/>
      <c r="K1555" s="339">
        <f t="shared" si="62"/>
        <v>0.09</v>
      </c>
      <c r="L1555" s="332" t="s">
        <v>39805</v>
      </c>
      <c r="M1555" s="339">
        <f>18.31</f>
        <v>18.309999999999999</v>
      </c>
      <c r="N1555" s="332" t="s">
        <v>39794</v>
      </c>
      <c r="O1555" s="340">
        <f t="shared" ref="O1555:O1556" si="63">ROUND(K1555*M1555,2)</f>
        <v>1.65</v>
      </c>
    </row>
    <row r="1556" spans="1:15" s="328" customFormat="1" x14ac:dyDescent="0.2">
      <c r="A1556" s="534" t="s">
        <v>39817</v>
      </c>
      <c r="B1556" s="535"/>
      <c r="C1556" s="535"/>
      <c r="D1556" s="333"/>
      <c r="E1556" s="333"/>
      <c r="F1556" s="333"/>
      <c r="G1556" s="333"/>
      <c r="H1556" s="333"/>
      <c r="I1556" s="331"/>
      <c r="J1556" s="331"/>
      <c r="K1556" s="339">
        <f t="shared" si="62"/>
        <v>0.09</v>
      </c>
      <c r="L1556" s="332" t="s">
        <v>39805</v>
      </c>
      <c r="M1556" s="339">
        <f>18.31</f>
        <v>18.309999999999999</v>
      </c>
      <c r="N1556" s="332" t="s">
        <v>39794</v>
      </c>
      <c r="O1556" s="340">
        <f t="shared" si="63"/>
        <v>1.65</v>
      </c>
    </row>
    <row r="1557" spans="1:15" s="328" customFormat="1" x14ac:dyDescent="0.2">
      <c r="A1557" s="540"/>
      <c r="B1557" s="540"/>
      <c r="C1557" s="540"/>
      <c r="D1557" s="540"/>
      <c r="E1557" s="540"/>
      <c r="F1557" s="540"/>
      <c r="G1557" s="540"/>
      <c r="H1557" s="540"/>
      <c r="I1557" s="540"/>
      <c r="J1557" s="540"/>
      <c r="K1557" s="540"/>
      <c r="L1557" s="334" t="s">
        <v>39796</v>
      </c>
      <c r="M1557" s="334" t="s">
        <v>39168</v>
      </c>
      <c r="N1557" s="333" t="s">
        <v>39794</v>
      </c>
      <c r="O1557" s="334">
        <f>SUM(O1532:O1556)</f>
        <v>61.080000000000005</v>
      </c>
    </row>
    <row r="1558" spans="1:15" s="328" customFormat="1" x14ac:dyDescent="0.2">
      <c r="A1558" s="329" t="s">
        <v>39791</v>
      </c>
      <c r="B1558" s="542" t="s">
        <v>5917</v>
      </c>
      <c r="C1558" s="542"/>
      <c r="D1558" s="542"/>
      <c r="E1558" s="542"/>
      <c r="F1558" s="542"/>
      <c r="G1558" s="542"/>
      <c r="H1558" s="542"/>
      <c r="I1558" s="542"/>
      <c r="J1558" s="542"/>
      <c r="K1558" s="542"/>
      <c r="L1558" s="542"/>
      <c r="M1558" s="542"/>
      <c r="N1558" s="329" t="s">
        <v>39197</v>
      </c>
      <c r="O1558" s="330" t="s">
        <v>39792</v>
      </c>
    </row>
    <row r="1559" spans="1:15" s="328" customFormat="1" ht="35.1" customHeight="1" x14ac:dyDescent="0.2">
      <c r="A1559" s="331" t="str">
        <f>ORCAMENTO!A281</f>
        <v>13.2.2</v>
      </c>
      <c r="B1559" s="543" t="str">
        <f>VLOOKUP(A1559,ORCAMENTO!A:I,4,0)</f>
        <v>LASTRO DE CONCRETO MAGRO, APLICADO EM PISOS, LAJES SOBRE SOLO OU RADIERS, ESPESSURA DE 5 CM. AF_01/2024</v>
      </c>
      <c r="C1559" s="543"/>
      <c r="D1559" s="543"/>
      <c r="E1559" s="543"/>
      <c r="F1559" s="543"/>
      <c r="G1559" s="543"/>
      <c r="H1559" s="543"/>
      <c r="I1559" s="543"/>
      <c r="J1559" s="543"/>
      <c r="K1559" s="543"/>
      <c r="L1559" s="543"/>
      <c r="M1559" s="543"/>
      <c r="N1559" s="331" t="str">
        <f>VLOOKUP(A1559,ORCAMENTO!A:I,5,0)</f>
        <v>M2</v>
      </c>
      <c r="O1559" s="332">
        <f>O1590</f>
        <v>823.14999999999986</v>
      </c>
    </row>
    <row r="1560" spans="1:15" s="328" customFormat="1" x14ac:dyDescent="0.2">
      <c r="A1560" s="539" t="s">
        <v>39793</v>
      </c>
      <c r="B1560" s="539"/>
      <c r="C1560" s="539"/>
      <c r="D1560" s="539"/>
      <c r="E1560" s="539"/>
      <c r="F1560" s="539"/>
      <c r="G1560" s="539"/>
      <c r="H1560" s="539"/>
      <c r="I1560" s="539"/>
      <c r="J1560" s="539"/>
      <c r="K1560" s="539"/>
      <c r="L1560" s="539"/>
      <c r="M1560" s="539"/>
      <c r="N1560" s="539"/>
      <c r="O1560" s="539"/>
    </row>
    <row r="1561" spans="1:15" s="328" customFormat="1" x14ac:dyDescent="0.2">
      <c r="A1561" s="539" t="s">
        <v>5917</v>
      </c>
      <c r="B1561" s="539"/>
      <c r="C1561" s="539"/>
      <c r="D1561" s="333"/>
      <c r="E1561" s="333"/>
      <c r="F1561" s="333"/>
      <c r="G1561" s="333"/>
      <c r="H1561" s="333"/>
      <c r="I1561" s="331"/>
      <c r="J1561" s="331"/>
      <c r="K1561" s="333"/>
      <c r="L1561" s="333"/>
      <c r="M1561" s="333" t="s">
        <v>39799</v>
      </c>
      <c r="N1561" s="333" t="s">
        <v>39794</v>
      </c>
      <c r="O1561" s="333" t="s">
        <v>39795</v>
      </c>
    </row>
    <row r="1562" spans="1:15" s="328" customFormat="1" x14ac:dyDescent="0.2">
      <c r="A1562" s="535" t="s">
        <v>39884</v>
      </c>
      <c r="B1562" s="535"/>
      <c r="C1562" s="535"/>
      <c r="D1562" s="333"/>
      <c r="E1562" s="333"/>
      <c r="F1562" s="333"/>
      <c r="G1562" s="333"/>
      <c r="H1562" s="333"/>
      <c r="I1562" s="331"/>
      <c r="J1562" s="331"/>
      <c r="K1562" s="339"/>
      <c r="L1562" s="332"/>
      <c r="M1562" s="339">
        <f>49.8</f>
        <v>49.8</v>
      </c>
      <c r="N1562" s="332" t="s">
        <v>39794</v>
      </c>
      <c r="O1562" s="340">
        <f>ROUND(M1562,2)</f>
        <v>49.8</v>
      </c>
    </row>
    <row r="1563" spans="1:15" s="328" customFormat="1" x14ac:dyDescent="0.2">
      <c r="A1563" s="535" t="s">
        <v>39883</v>
      </c>
      <c r="B1563" s="535"/>
      <c r="C1563" s="535"/>
      <c r="D1563" s="333"/>
      <c r="E1563" s="333"/>
      <c r="F1563" s="333"/>
      <c r="G1563" s="333"/>
      <c r="H1563" s="333"/>
      <c r="I1563" s="331"/>
      <c r="J1563" s="331"/>
      <c r="K1563" s="339"/>
      <c r="L1563" s="332"/>
      <c r="M1563" s="339">
        <f>50.02</f>
        <v>50.02</v>
      </c>
      <c r="N1563" s="332" t="s">
        <v>39794</v>
      </c>
      <c r="O1563" s="340">
        <f t="shared" ref="O1563:O1571" si="64">ROUND(M1563,2)</f>
        <v>50.02</v>
      </c>
    </row>
    <row r="1564" spans="1:15" s="328" customFormat="1" x14ac:dyDescent="0.2">
      <c r="A1564" s="534" t="s">
        <v>39882</v>
      </c>
      <c r="B1564" s="535"/>
      <c r="C1564" s="535"/>
      <c r="D1564" s="333"/>
      <c r="E1564" s="333"/>
      <c r="F1564" s="333"/>
      <c r="G1564" s="333"/>
      <c r="H1564" s="333"/>
      <c r="I1564" s="331"/>
      <c r="J1564" s="331"/>
      <c r="K1564" s="339"/>
      <c r="L1564" s="332"/>
      <c r="M1564" s="339">
        <f>36.25</f>
        <v>36.25</v>
      </c>
      <c r="N1564" s="332" t="s">
        <v>39794</v>
      </c>
      <c r="O1564" s="340">
        <f t="shared" si="64"/>
        <v>36.25</v>
      </c>
    </row>
    <row r="1565" spans="1:15" s="328" customFormat="1" x14ac:dyDescent="0.2">
      <c r="A1565" s="535" t="s">
        <v>39877</v>
      </c>
      <c r="B1565" s="535"/>
      <c r="C1565" s="535"/>
      <c r="D1565" s="333"/>
      <c r="E1565" s="333"/>
      <c r="F1565" s="333"/>
      <c r="G1565" s="333"/>
      <c r="H1565" s="333"/>
      <c r="I1565" s="331"/>
      <c r="J1565" s="331"/>
      <c r="K1565" s="339"/>
      <c r="L1565" s="332"/>
      <c r="M1565" s="339">
        <f>12.81</f>
        <v>12.81</v>
      </c>
      <c r="N1565" s="332" t="s">
        <v>39794</v>
      </c>
      <c r="O1565" s="340">
        <f t="shared" si="64"/>
        <v>12.81</v>
      </c>
    </row>
    <row r="1566" spans="1:15" s="328" customFormat="1" x14ac:dyDescent="0.2">
      <c r="A1566" s="535" t="s">
        <v>39881</v>
      </c>
      <c r="B1566" s="535"/>
      <c r="C1566" s="535"/>
      <c r="D1566" s="333"/>
      <c r="E1566" s="333"/>
      <c r="F1566" s="333"/>
      <c r="G1566" s="333"/>
      <c r="H1566" s="333"/>
      <c r="I1566" s="331"/>
      <c r="J1566" s="331"/>
      <c r="K1566" s="339"/>
      <c r="L1566" s="332"/>
      <c r="M1566" s="339">
        <f>50.02</f>
        <v>50.02</v>
      </c>
      <c r="N1566" s="332" t="s">
        <v>39794</v>
      </c>
      <c r="O1566" s="340">
        <f t="shared" si="64"/>
        <v>50.02</v>
      </c>
    </row>
    <row r="1567" spans="1:15" s="328" customFormat="1" x14ac:dyDescent="0.2">
      <c r="A1567" s="534" t="s">
        <v>39880</v>
      </c>
      <c r="B1567" s="535"/>
      <c r="C1567" s="535"/>
      <c r="D1567" s="333"/>
      <c r="E1567" s="333"/>
      <c r="F1567" s="333"/>
      <c r="G1567" s="333"/>
      <c r="H1567" s="333"/>
      <c r="I1567" s="331"/>
      <c r="J1567" s="331"/>
      <c r="K1567" s="339"/>
      <c r="L1567" s="332"/>
      <c r="M1567" s="339">
        <f>36.25</f>
        <v>36.25</v>
      </c>
      <c r="N1567" s="332" t="s">
        <v>39794</v>
      </c>
      <c r="O1567" s="340">
        <f t="shared" si="64"/>
        <v>36.25</v>
      </c>
    </row>
    <row r="1568" spans="1:15" s="328" customFormat="1" x14ac:dyDescent="0.2">
      <c r="A1568" s="535" t="s">
        <v>39877</v>
      </c>
      <c r="B1568" s="535"/>
      <c r="C1568" s="535"/>
      <c r="D1568" s="333"/>
      <c r="E1568" s="333"/>
      <c r="F1568" s="333"/>
      <c r="G1568" s="333"/>
      <c r="H1568" s="333"/>
      <c r="I1568" s="331"/>
      <c r="J1568" s="331"/>
      <c r="K1568" s="339"/>
      <c r="L1568" s="332"/>
      <c r="M1568" s="339">
        <f>12.81</f>
        <v>12.81</v>
      </c>
      <c r="N1568" s="332" t="s">
        <v>39794</v>
      </c>
      <c r="O1568" s="340">
        <f t="shared" si="64"/>
        <v>12.81</v>
      </c>
    </row>
    <row r="1569" spans="1:15" s="328" customFormat="1" x14ac:dyDescent="0.2">
      <c r="A1569" s="535" t="s">
        <v>39879</v>
      </c>
      <c r="B1569" s="535"/>
      <c r="C1569" s="535"/>
      <c r="D1569" s="333"/>
      <c r="E1569" s="333"/>
      <c r="F1569" s="333"/>
      <c r="G1569" s="333"/>
      <c r="H1569" s="333"/>
      <c r="I1569" s="331"/>
      <c r="J1569" s="331"/>
      <c r="K1569" s="339"/>
      <c r="L1569" s="332"/>
      <c r="M1569" s="339">
        <f>155.12</f>
        <v>155.12</v>
      </c>
      <c r="N1569" s="332" t="s">
        <v>39794</v>
      </c>
      <c r="O1569" s="340">
        <f t="shared" si="64"/>
        <v>155.12</v>
      </c>
    </row>
    <row r="1570" spans="1:15" s="328" customFormat="1" x14ac:dyDescent="0.2">
      <c r="A1570" s="534" t="s">
        <v>39878</v>
      </c>
      <c r="B1570" s="535"/>
      <c r="C1570" s="535"/>
      <c r="D1570" s="333"/>
      <c r="E1570" s="333"/>
      <c r="F1570" s="333"/>
      <c r="G1570" s="333"/>
      <c r="H1570" s="333"/>
      <c r="I1570" s="331"/>
      <c r="J1570" s="331"/>
      <c r="K1570" s="339"/>
      <c r="L1570" s="332"/>
      <c r="M1570" s="339">
        <f>36.25</f>
        <v>36.25</v>
      </c>
      <c r="N1570" s="332" t="s">
        <v>39794</v>
      </c>
      <c r="O1570" s="340">
        <f t="shared" si="64"/>
        <v>36.25</v>
      </c>
    </row>
    <row r="1571" spans="1:15" s="328" customFormat="1" x14ac:dyDescent="0.2">
      <c r="A1571" s="535" t="s">
        <v>39877</v>
      </c>
      <c r="B1571" s="535"/>
      <c r="C1571" s="535"/>
      <c r="D1571" s="333"/>
      <c r="E1571" s="333"/>
      <c r="F1571" s="333"/>
      <c r="G1571" s="333"/>
      <c r="H1571" s="333"/>
      <c r="I1571" s="331"/>
      <c r="J1571" s="331"/>
      <c r="K1571" s="339"/>
      <c r="L1571" s="332"/>
      <c r="M1571" s="339">
        <f>12.81</f>
        <v>12.81</v>
      </c>
      <c r="N1571" s="332" t="s">
        <v>39794</v>
      </c>
      <c r="O1571" s="340">
        <f t="shared" si="64"/>
        <v>12.81</v>
      </c>
    </row>
    <row r="1572" spans="1:15" s="328" customFormat="1" x14ac:dyDescent="0.2">
      <c r="A1572" s="539" t="s">
        <v>5917</v>
      </c>
      <c r="B1572" s="539"/>
      <c r="C1572" s="539"/>
      <c r="D1572" s="333"/>
      <c r="E1572" s="333"/>
      <c r="F1572" s="333"/>
      <c r="G1572" s="333"/>
      <c r="H1572" s="333"/>
      <c r="I1572" s="331"/>
      <c r="J1572" s="331"/>
      <c r="K1572" s="333"/>
      <c r="L1572" s="333"/>
      <c r="M1572" s="333" t="s">
        <v>39799</v>
      </c>
      <c r="N1572" s="333" t="s">
        <v>39794</v>
      </c>
      <c r="O1572" s="333" t="s">
        <v>39795</v>
      </c>
    </row>
    <row r="1573" spans="1:15" s="328" customFormat="1" x14ac:dyDescent="0.2">
      <c r="A1573" s="534" t="s">
        <v>39868</v>
      </c>
      <c r="B1573" s="535"/>
      <c r="C1573" s="535"/>
      <c r="D1573" s="333"/>
      <c r="E1573" s="333"/>
      <c r="F1573" s="333"/>
      <c r="G1573" s="333"/>
      <c r="H1573" s="333"/>
      <c r="I1573" s="331"/>
      <c r="J1573" s="331"/>
      <c r="K1573" s="339"/>
      <c r="L1573" s="332"/>
      <c r="M1573" s="339">
        <f>27.9</f>
        <v>27.9</v>
      </c>
      <c r="N1573" s="332" t="s">
        <v>39794</v>
      </c>
      <c r="O1573" s="340">
        <f>ROUND(M1573,2)</f>
        <v>27.9</v>
      </c>
    </row>
    <row r="1574" spans="1:15" s="328" customFormat="1" x14ac:dyDescent="0.2">
      <c r="A1574" s="534" t="s">
        <v>39869</v>
      </c>
      <c r="B1574" s="535"/>
      <c r="C1574" s="535"/>
      <c r="D1574" s="333"/>
      <c r="E1574" s="333"/>
      <c r="F1574" s="333"/>
      <c r="G1574" s="333"/>
      <c r="H1574" s="333"/>
      <c r="I1574" s="331"/>
      <c r="J1574" s="331"/>
      <c r="K1574" s="339"/>
      <c r="L1574" s="332"/>
      <c r="M1574" s="339">
        <f>65.87</f>
        <v>65.87</v>
      </c>
      <c r="N1574" s="332" t="s">
        <v>39794</v>
      </c>
      <c r="O1574" s="340">
        <f t="shared" ref="O1574:O1585" si="65">ROUND(M1574,2)</f>
        <v>65.87</v>
      </c>
    </row>
    <row r="1575" spans="1:15" s="328" customFormat="1" x14ac:dyDescent="0.2">
      <c r="A1575" s="534" t="s">
        <v>39870</v>
      </c>
      <c r="B1575" s="535"/>
      <c r="C1575" s="535"/>
      <c r="D1575" s="333"/>
      <c r="E1575" s="333"/>
      <c r="F1575" s="333"/>
      <c r="G1575" s="333"/>
      <c r="H1575" s="333"/>
      <c r="I1575" s="331"/>
      <c r="J1575" s="331"/>
      <c r="K1575" s="339"/>
      <c r="L1575" s="332"/>
      <c r="M1575" s="339">
        <f>26.01</f>
        <v>26.01</v>
      </c>
      <c r="N1575" s="332" t="s">
        <v>39794</v>
      </c>
      <c r="O1575" s="340">
        <f t="shared" si="65"/>
        <v>26.01</v>
      </c>
    </row>
    <row r="1576" spans="1:15" s="328" customFormat="1" x14ac:dyDescent="0.2">
      <c r="A1576" s="534" t="s">
        <v>39871</v>
      </c>
      <c r="B1576" s="535"/>
      <c r="C1576" s="535"/>
      <c r="D1576" s="333"/>
      <c r="E1576" s="333"/>
      <c r="F1576" s="333"/>
      <c r="G1576" s="333"/>
      <c r="H1576" s="333"/>
      <c r="I1576" s="331"/>
      <c r="J1576" s="331"/>
      <c r="K1576" s="339"/>
      <c r="L1576" s="332"/>
      <c r="M1576" s="339">
        <f>82.05</f>
        <v>82.05</v>
      </c>
      <c r="N1576" s="332" t="s">
        <v>39794</v>
      </c>
      <c r="O1576" s="340">
        <f t="shared" si="65"/>
        <v>82.05</v>
      </c>
    </row>
    <row r="1577" spans="1:15" s="328" customFormat="1" x14ac:dyDescent="0.2">
      <c r="A1577" s="534" t="s">
        <v>39872</v>
      </c>
      <c r="B1577" s="535"/>
      <c r="C1577" s="535"/>
      <c r="D1577" s="333"/>
      <c r="E1577" s="333"/>
      <c r="F1577" s="333"/>
      <c r="G1577" s="333"/>
      <c r="H1577" s="333"/>
      <c r="I1577" s="331"/>
      <c r="J1577" s="331"/>
      <c r="K1577" s="339"/>
      <c r="L1577" s="332"/>
      <c r="M1577" s="339">
        <f>2.9</f>
        <v>2.9</v>
      </c>
      <c r="N1577" s="332" t="s">
        <v>39794</v>
      </c>
      <c r="O1577" s="340">
        <f t="shared" si="65"/>
        <v>2.9</v>
      </c>
    </row>
    <row r="1578" spans="1:15" s="328" customFormat="1" x14ac:dyDescent="0.2">
      <c r="A1578" s="534" t="s">
        <v>39873</v>
      </c>
      <c r="B1578" s="535"/>
      <c r="C1578" s="535"/>
      <c r="D1578" s="333"/>
      <c r="E1578" s="333"/>
      <c r="F1578" s="333"/>
      <c r="G1578" s="333"/>
      <c r="H1578" s="333"/>
      <c r="I1578" s="331"/>
      <c r="J1578" s="331"/>
      <c r="K1578" s="339"/>
      <c r="L1578" s="332"/>
      <c r="M1578" s="339">
        <f>3.31</f>
        <v>3.31</v>
      </c>
      <c r="N1578" s="332" t="s">
        <v>39794</v>
      </c>
      <c r="O1578" s="340">
        <f t="shared" si="65"/>
        <v>3.31</v>
      </c>
    </row>
    <row r="1579" spans="1:15" s="328" customFormat="1" x14ac:dyDescent="0.2">
      <c r="A1579" s="536" t="s">
        <v>39874</v>
      </c>
      <c r="B1579" s="537"/>
      <c r="C1579" s="538"/>
      <c r="D1579" s="333"/>
      <c r="E1579" s="333"/>
      <c r="F1579" s="333"/>
      <c r="G1579" s="333"/>
      <c r="H1579" s="333"/>
      <c r="I1579" s="331"/>
      <c r="J1579" s="331"/>
      <c r="K1579" s="339"/>
      <c r="L1579" s="332"/>
      <c r="M1579" s="339">
        <f>4.64</f>
        <v>4.6399999999999997</v>
      </c>
      <c r="N1579" s="332" t="s">
        <v>39794</v>
      </c>
      <c r="O1579" s="340">
        <f t="shared" si="65"/>
        <v>4.6399999999999997</v>
      </c>
    </row>
    <row r="1580" spans="1:15" s="328" customFormat="1" x14ac:dyDescent="0.2">
      <c r="A1580" s="536" t="s">
        <v>39875</v>
      </c>
      <c r="B1580" s="537"/>
      <c r="C1580" s="538"/>
      <c r="D1580" s="333"/>
      <c r="E1580" s="333"/>
      <c r="F1580" s="333"/>
      <c r="G1580" s="333"/>
      <c r="H1580" s="333"/>
      <c r="I1580" s="331"/>
      <c r="J1580" s="331"/>
      <c r="K1580" s="339"/>
      <c r="L1580" s="332"/>
      <c r="M1580" s="339">
        <f>28.87</f>
        <v>28.87</v>
      </c>
      <c r="N1580" s="332" t="s">
        <v>39794</v>
      </c>
      <c r="O1580" s="340">
        <f t="shared" si="65"/>
        <v>28.87</v>
      </c>
    </row>
    <row r="1581" spans="1:15" s="328" customFormat="1" x14ac:dyDescent="0.2">
      <c r="A1581" s="536" t="s">
        <v>39876</v>
      </c>
      <c r="B1581" s="537"/>
      <c r="C1581" s="538"/>
      <c r="D1581" s="333"/>
      <c r="E1581" s="333"/>
      <c r="F1581" s="333"/>
      <c r="G1581" s="333"/>
      <c r="H1581" s="333"/>
      <c r="I1581" s="331"/>
      <c r="J1581" s="331"/>
      <c r="K1581" s="339"/>
      <c r="L1581" s="332"/>
      <c r="M1581" s="339">
        <f>39.21</f>
        <v>39.21</v>
      </c>
      <c r="N1581" s="332" t="s">
        <v>39794</v>
      </c>
      <c r="O1581" s="340">
        <f t="shared" si="65"/>
        <v>39.21</v>
      </c>
    </row>
    <row r="1582" spans="1:15" s="328" customFormat="1" x14ac:dyDescent="0.2">
      <c r="A1582" s="536" t="s">
        <v>39955</v>
      </c>
      <c r="B1582" s="537"/>
      <c r="C1582" s="538"/>
      <c r="D1582" s="333"/>
      <c r="E1582" s="333"/>
      <c r="F1582" s="333"/>
      <c r="G1582" s="333"/>
      <c r="H1582" s="333"/>
      <c r="I1582" s="331"/>
      <c r="J1582" s="331"/>
      <c r="K1582" s="339"/>
      <c r="L1582" s="332"/>
      <c r="M1582" s="339">
        <f>30.68</f>
        <v>30.68</v>
      </c>
      <c r="N1582" s="332" t="s">
        <v>39794</v>
      </c>
      <c r="O1582" s="340">
        <f t="shared" si="65"/>
        <v>30.68</v>
      </c>
    </row>
    <row r="1583" spans="1:15" s="328" customFormat="1" x14ac:dyDescent="0.2">
      <c r="A1583" s="536" t="s">
        <v>39956</v>
      </c>
      <c r="B1583" s="537"/>
      <c r="C1583" s="538"/>
      <c r="D1583" s="333"/>
      <c r="E1583" s="333"/>
      <c r="F1583" s="333"/>
      <c r="G1583" s="333"/>
      <c r="H1583" s="333"/>
      <c r="I1583" s="331"/>
      <c r="J1583" s="331"/>
      <c r="K1583" s="339"/>
      <c r="L1583" s="332"/>
      <c r="M1583" s="339">
        <f>6.22</f>
        <v>6.22</v>
      </c>
      <c r="N1583" s="332" t="s">
        <v>39794</v>
      </c>
      <c r="O1583" s="340">
        <f t="shared" si="65"/>
        <v>6.22</v>
      </c>
    </row>
    <row r="1584" spans="1:15" s="328" customFormat="1" x14ac:dyDescent="0.2">
      <c r="A1584" s="536" t="s">
        <v>39957</v>
      </c>
      <c r="B1584" s="537"/>
      <c r="C1584" s="538"/>
      <c r="D1584" s="333"/>
      <c r="E1584" s="333"/>
      <c r="F1584" s="333"/>
      <c r="G1584" s="333"/>
      <c r="H1584" s="333"/>
      <c r="I1584" s="331"/>
      <c r="J1584" s="331"/>
      <c r="K1584" s="339"/>
      <c r="L1584" s="332"/>
      <c r="M1584" s="339">
        <f>9.09</f>
        <v>9.09</v>
      </c>
      <c r="N1584" s="332" t="s">
        <v>39794</v>
      </c>
      <c r="O1584" s="340">
        <f t="shared" si="65"/>
        <v>9.09</v>
      </c>
    </row>
    <row r="1585" spans="1:15" s="328" customFormat="1" x14ac:dyDescent="0.2">
      <c r="A1585" s="536" t="s">
        <v>40280</v>
      </c>
      <c r="B1585" s="537"/>
      <c r="C1585" s="538"/>
      <c r="D1585" s="333"/>
      <c r="E1585" s="333"/>
      <c r="F1585" s="333"/>
      <c r="G1585" s="333"/>
      <c r="H1585" s="333"/>
      <c r="I1585" s="331"/>
      <c r="J1585" s="331"/>
      <c r="K1585" s="339"/>
      <c r="L1585" s="332"/>
      <c r="M1585" s="339">
        <f>3*1.5</f>
        <v>4.5</v>
      </c>
      <c r="N1585" s="332" t="s">
        <v>39794</v>
      </c>
      <c r="O1585" s="340">
        <f t="shared" si="65"/>
        <v>4.5</v>
      </c>
    </row>
    <row r="1586" spans="1:15" s="328" customFormat="1" x14ac:dyDescent="0.2">
      <c r="A1586" s="539" t="s">
        <v>5917</v>
      </c>
      <c r="B1586" s="539"/>
      <c r="C1586" s="539"/>
      <c r="D1586" s="333"/>
      <c r="E1586" s="333"/>
      <c r="F1586" s="333"/>
      <c r="G1586" s="333"/>
      <c r="H1586" s="333"/>
      <c r="I1586" s="331"/>
      <c r="J1586" s="331"/>
      <c r="K1586" s="333"/>
      <c r="L1586" s="333"/>
      <c r="M1586" s="333" t="s">
        <v>39799</v>
      </c>
      <c r="N1586" s="333" t="s">
        <v>39794</v>
      </c>
      <c r="O1586" s="333" t="s">
        <v>39795</v>
      </c>
    </row>
    <row r="1587" spans="1:15" s="328" customFormat="1" x14ac:dyDescent="0.2">
      <c r="A1587" s="534" t="s">
        <v>39818</v>
      </c>
      <c r="B1587" s="535"/>
      <c r="C1587" s="535"/>
      <c r="D1587" s="333"/>
      <c r="E1587" s="333"/>
      <c r="F1587" s="333"/>
      <c r="G1587" s="333"/>
      <c r="H1587" s="333"/>
      <c r="I1587" s="331"/>
      <c r="J1587" s="331"/>
      <c r="K1587" s="339"/>
      <c r="L1587" s="332"/>
      <c r="M1587" s="339">
        <f>3.14</f>
        <v>3.14</v>
      </c>
      <c r="N1587" s="332" t="s">
        <v>39794</v>
      </c>
      <c r="O1587" s="340">
        <f t="shared" ref="O1587:O1589" si="66">ROUND(M1587,2)</f>
        <v>3.14</v>
      </c>
    </row>
    <row r="1588" spans="1:15" s="328" customFormat="1" x14ac:dyDescent="0.2">
      <c r="A1588" s="534" t="s">
        <v>39816</v>
      </c>
      <c r="B1588" s="535"/>
      <c r="C1588" s="535"/>
      <c r="D1588" s="333"/>
      <c r="E1588" s="333"/>
      <c r="F1588" s="333"/>
      <c r="G1588" s="333"/>
      <c r="H1588" s="333"/>
      <c r="I1588" s="331"/>
      <c r="J1588" s="331"/>
      <c r="K1588" s="339"/>
      <c r="L1588" s="332"/>
      <c r="M1588" s="339">
        <f>18.31</f>
        <v>18.309999999999999</v>
      </c>
      <c r="N1588" s="332" t="s">
        <v>39794</v>
      </c>
      <c r="O1588" s="340">
        <f t="shared" si="66"/>
        <v>18.309999999999999</v>
      </c>
    </row>
    <row r="1589" spans="1:15" s="328" customFormat="1" x14ac:dyDescent="0.2">
      <c r="A1589" s="534" t="s">
        <v>39817</v>
      </c>
      <c r="B1589" s="535"/>
      <c r="C1589" s="535"/>
      <c r="D1589" s="333"/>
      <c r="E1589" s="333"/>
      <c r="F1589" s="333"/>
      <c r="G1589" s="333"/>
      <c r="H1589" s="333"/>
      <c r="I1589" s="331"/>
      <c r="J1589" s="331"/>
      <c r="K1589" s="339"/>
      <c r="L1589" s="332"/>
      <c r="M1589" s="339">
        <f>18.31</f>
        <v>18.309999999999999</v>
      </c>
      <c r="N1589" s="332" t="s">
        <v>39794</v>
      </c>
      <c r="O1589" s="340">
        <f t="shared" si="66"/>
        <v>18.309999999999999</v>
      </c>
    </row>
    <row r="1590" spans="1:15" s="328" customFormat="1" x14ac:dyDescent="0.2">
      <c r="A1590" s="540"/>
      <c r="B1590" s="540"/>
      <c r="C1590" s="540"/>
      <c r="D1590" s="540"/>
      <c r="E1590" s="540"/>
      <c r="F1590" s="540"/>
      <c r="G1590" s="540"/>
      <c r="H1590" s="540"/>
      <c r="I1590" s="540"/>
      <c r="J1590" s="540"/>
      <c r="K1590" s="540"/>
      <c r="L1590" s="334" t="s">
        <v>39796</v>
      </c>
      <c r="M1590" s="334" t="s">
        <v>39168</v>
      </c>
      <c r="N1590" s="333" t="s">
        <v>39794</v>
      </c>
      <c r="O1590" s="334">
        <f>SUM(O1561:O1589)</f>
        <v>823.14999999999986</v>
      </c>
    </row>
    <row r="1591" spans="1:15" s="328" customFormat="1" x14ac:dyDescent="0.2">
      <c r="A1591" s="329" t="s">
        <v>39791</v>
      </c>
      <c r="B1591" s="542" t="s">
        <v>5917</v>
      </c>
      <c r="C1591" s="542"/>
      <c r="D1591" s="542"/>
      <c r="E1591" s="542"/>
      <c r="F1591" s="542"/>
      <c r="G1591" s="542"/>
      <c r="H1591" s="542"/>
      <c r="I1591" s="542"/>
      <c r="J1591" s="542"/>
      <c r="K1591" s="542"/>
      <c r="L1591" s="542"/>
      <c r="M1591" s="542"/>
      <c r="N1591" s="329" t="s">
        <v>39197</v>
      </c>
      <c r="O1591" s="330" t="s">
        <v>39792</v>
      </c>
    </row>
    <row r="1592" spans="1:15" s="328" customFormat="1" ht="12.75" customHeight="1" x14ac:dyDescent="0.2">
      <c r="A1592" s="331" t="str">
        <f>ORCAMENTO!A282</f>
        <v>13.2.3</v>
      </c>
      <c r="B1592" s="543" t="str">
        <f>VLOOKUP(A1592,ORCAMENTO!A:I,4,0)</f>
        <v>IMPERMEABILIZAÇÃO DE SUPERFÍCIE COM EMULSÃO ASFÁLTICA, 2 DEMÃOS. AF_09/2023</v>
      </c>
      <c r="C1592" s="543"/>
      <c r="D1592" s="543"/>
      <c r="E1592" s="543"/>
      <c r="F1592" s="543"/>
      <c r="G1592" s="543"/>
      <c r="H1592" s="543"/>
      <c r="I1592" s="543"/>
      <c r="J1592" s="543"/>
      <c r="K1592" s="543"/>
      <c r="L1592" s="543"/>
      <c r="M1592" s="543"/>
      <c r="N1592" s="331" t="str">
        <f>VLOOKUP(A1592,ORCAMENTO!A:I,5,0)</f>
        <v>M2</v>
      </c>
      <c r="O1592" s="332">
        <f>O1602</f>
        <v>57.759999999999991</v>
      </c>
    </row>
    <row r="1593" spans="1:15" s="328" customFormat="1" x14ac:dyDescent="0.2">
      <c r="A1593" s="539" t="s">
        <v>39793</v>
      </c>
      <c r="B1593" s="539"/>
      <c r="C1593" s="539"/>
      <c r="D1593" s="539"/>
      <c r="E1593" s="539"/>
      <c r="F1593" s="539"/>
      <c r="G1593" s="539"/>
      <c r="H1593" s="539"/>
      <c r="I1593" s="539"/>
      <c r="J1593" s="539"/>
      <c r="K1593" s="539"/>
      <c r="L1593" s="539"/>
      <c r="M1593" s="539"/>
      <c r="N1593" s="539"/>
      <c r="O1593" s="539"/>
    </row>
    <row r="1594" spans="1:15" s="328" customFormat="1" x14ac:dyDescent="0.2">
      <c r="A1594" s="539" t="s">
        <v>5917</v>
      </c>
      <c r="B1594" s="539"/>
      <c r="C1594" s="539"/>
      <c r="D1594" s="333"/>
      <c r="E1594" s="333"/>
      <c r="F1594" s="333"/>
      <c r="G1594" s="333"/>
      <c r="H1594" s="333"/>
      <c r="I1594" s="331"/>
      <c r="J1594" s="331"/>
      <c r="K1594" s="333"/>
      <c r="L1594" s="333"/>
      <c r="M1594" s="333" t="s">
        <v>39799</v>
      </c>
      <c r="N1594" s="333" t="s">
        <v>39794</v>
      </c>
      <c r="O1594" s="333" t="s">
        <v>39795</v>
      </c>
    </row>
    <row r="1595" spans="1:15" s="328" customFormat="1" x14ac:dyDescent="0.2">
      <c r="A1595" s="534" t="s">
        <v>39818</v>
      </c>
      <c r="B1595" s="535"/>
      <c r="C1595" s="535"/>
      <c r="D1595" s="333"/>
      <c r="E1595" s="333"/>
      <c r="F1595" s="333"/>
      <c r="G1595" s="333"/>
      <c r="H1595" s="333"/>
      <c r="I1595" s="331"/>
      <c r="J1595" s="331"/>
      <c r="K1595" s="339"/>
      <c r="L1595" s="332"/>
      <c r="M1595" s="339">
        <f>3.14</f>
        <v>3.14</v>
      </c>
      <c r="N1595" s="332" t="s">
        <v>39794</v>
      </c>
      <c r="O1595" s="340">
        <f>ROUND(M1595,2)</f>
        <v>3.14</v>
      </c>
    </row>
    <row r="1596" spans="1:15" s="328" customFormat="1" x14ac:dyDescent="0.2">
      <c r="A1596" s="534" t="s">
        <v>39816</v>
      </c>
      <c r="B1596" s="535"/>
      <c r="C1596" s="535"/>
      <c r="D1596" s="333"/>
      <c r="E1596" s="333"/>
      <c r="F1596" s="333"/>
      <c r="G1596" s="333"/>
      <c r="H1596" s="333"/>
      <c r="I1596" s="331"/>
      <c r="J1596" s="331"/>
      <c r="K1596" s="339"/>
      <c r="L1596" s="332"/>
      <c r="M1596" s="339">
        <f>18.31</f>
        <v>18.309999999999999</v>
      </c>
      <c r="N1596" s="332" t="s">
        <v>39794</v>
      </c>
      <c r="O1596" s="340">
        <f>ROUND(M1596,2)</f>
        <v>18.309999999999999</v>
      </c>
    </row>
    <row r="1597" spans="1:15" s="328" customFormat="1" x14ac:dyDescent="0.2">
      <c r="A1597" s="534" t="s">
        <v>39817</v>
      </c>
      <c r="B1597" s="535"/>
      <c r="C1597" s="535"/>
      <c r="D1597" s="333"/>
      <c r="E1597" s="333"/>
      <c r="F1597" s="333"/>
      <c r="G1597" s="333"/>
      <c r="H1597" s="333"/>
      <c r="I1597" s="331"/>
      <c r="J1597" s="331"/>
      <c r="K1597" s="339"/>
      <c r="L1597" s="332"/>
      <c r="M1597" s="339">
        <f>18.31</f>
        <v>18.309999999999999</v>
      </c>
      <c r="N1597" s="332" t="s">
        <v>39794</v>
      </c>
      <c r="O1597" s="340">
        <f>ROUND(M1597,2)</f>
        <v>18.309999999999999</v>
      </c>
    </row>
    <row r="1598" spans="1:15" s="328" customFormat="1" x14ac:dyDescent="0.2">
      <c r="A1598" s="539" t="s">
        <v>5917</v>
      </c>
      <c r="B1598" s="539"/>
      <c r="C1598" s="539"/>
      <c r="D1598" s="333"/>
      <c r="E1598" s="333"/>
      <c r="F1598" s="333"/>
      <c r="G1598" s="333"/>
      <c r="H1598" s="333"/>
      <c r="I1598" s="333"/>
      <c r="J1598" s="333"/>
      <c r="K1598" s="354" t="s">
        <v>39823</v>
      </c>
      <c r="L1598" s="334" t="s">
        <v>39805</v>
      </c>
      <c r="M1598" s="354" t="s">
        <v>39885</v>
      </c>
      <c r="N1598" s="333" t="s">
        <v>39794</v>
      </c>
      <c r="O1598" s="333" t="s">
        <v>39795</v>
      </c>
    </row>
    <row r="1599" spans="1:15" s="328" customFormat="1" x14ac:dyDescent="0.2">
      <c r="A1599" s="534" t="s">
        <v>39818</v>
      </c>
      <c r="B1599" s="535"/>
      <c r="C1599" s="535"/>
      <c r="D1599" s="333"/>
      <c r="E1599" s="333"/>
      <c r="F1599" s="333"/>
      <c r="G1599" s="333"/>
      <c r="H1599" s="333"/>
      <c r="I1599" s="331"/>
      <c r="J1599" s="331"/>
      <c r="K1599" s="339">
        <f>0.4</f>
        <v>0.4</v>
      </c>
      <c r="L1599" s="332" t="s">
        <v>39805</v>
      </c>
      <c r="M1599" s="339">
        <f>7.1</f>
        <v>7.1</v>
      </c>
      <c r="N1599" s="332" t="s">
        <v>39794</v>
      </c>
      <c r="O1599" s="340">
        <f>ROUND(K1599*M1599,2)</f>
        <v>2.84</v>
      </c>
    </row>
    <row r="1600" spans="1:15" s="328" customFormat="1" x14ac:dyDescent="0.2">
      <c r="A1600" s="534" t="s">
        <v>39816</v>
      </c>
      <c r="B1600" s="535"/>
      <c r="C1600" s="535"/>
      <c r="D1600" s="333"/>
      <c r="E1600" s="333"/>
      <c r="F1600" s="333"/>
      <c r="G1600" s="333"/>
      <c r="H1600" s="333"/>
      <c r="I1600" s="331"/>
      <c r="J1600" s="331"/>
      <c r="K1600" s="339">
        <f>0.4</f>
        <v>0.4</v>
      </c>
      <c r="L1600" s="332" t="s">
        <v>39805</v>
      </c>
      <c r="M1600" s="339">
        <f>18.95</f>
        <v>18.95</v>
      </c>
      <c r="N1600" s="332" t="s">
        <v>39794</v>
      </c>
      <c r="O1600" s="340">
        <f t="shared" ref="O1600:O1601" si="67">ROUND(K1600*M1600,2)</f>
        <v>7.58</v>
      </c>
    </row>
    <row r="1601" spans="1:15" s="328" customFormat="1" x14ac:dyDescent="0.2">
      <c r="A1601" s="534" t="s">
        <v>39817</v>
      </c>
      <c r="B1601" s="535"/>
      <c r="C1601" s="535"/>
      <c r="D1601" s="333"/>
      <c r="E1601" s="333"/>
      <c r="F1601" s="333"/>
      <c r="G1601" s="333"/>
      <c r="H1601" s="333"/>
      <c r="I1601" s="331"/>
      <c r="J1601" s="331"/>
      <c r="K1601" s="339">
        <f>0.4</f>
        <v>0.4</v>
      </c>
      <c r="L1601" s="332" t="s">
        <v>39805</v>
      </c>
      <c r="M1601" s="339">
        <f>18.95</f>
        <v>18.95</v>
      </c>
      <c r="N1601" s="332" t="s">
        <v>39794</v>
      </c>
      <c r="O1601" s="340">
        <f t="shared" si="67"/>
        <v>7.58</v>
      </c>
    </row>
    <row r="1602" spans="1:15" s="328" customFormat="1" x14ac:dyDescent="0.2">
      <c r="A1602" s="540"/>
      <c r="B1602" s="540"/>
      <c r="C1602" s="540"/>
      <c r="D1602" s="540"/>
      <c r="E1602" s="540"/>
      <c r="F1602" s="540"/>
      <c r="G1602" s="540"/>
      <c r="H1602" s="540"/>
      <c r="I1602" s="540"/>
      <c r="J1602" s="540"/>
      <c r="K1602" s="540"/>
      <c r="L1602" s="334" t="s">
        <v>39796</v>
      </c>
      <c r="M1602" s="334" t="s">
        <v>39168</v>
      </c>
      <c r="N1602" s="333" t="s">
        <v>39794</v>
      </c>
      <c r="O1602" s="334">
        <f>SUM(O1594:O1601)</f>
        <v>57.759999999999991</v>
      </c>
    </row>
    <row r="1603" spans="1:15" s="328" customFormat="1" x14ac:dyDescent="0.2">
      <c r="A1603" s="329" t="s">
        <v>39791</v>
      </c>
      <c r="B1603" s="542" t="s">
        <v>5917</v>
      </c>
      <c r="C1603" s="542"/>
      <c r="D1603" s="542"/>
      <c r="E1603" s="542"/>
      <c r="F1603" s="542"/>
      <c r="G1603" s="542"/>
      <c r="H1603" s="542"/>
      <c r="I1603" s="542"/>
      <c r="J1603" s="542"/>
      <c r="K1603" s="542"/>
      <c r="L1603" s="542"/>
      <c r="M1603" s="542"/>
      <c r="N1603" s="329" t="s">
        <v>39197</v>
      </c>
      <c r="O1603" s="330" t="s">
        <v>39792</v>
      </c>
    </row>
    <row r="1604" spans="1:15" s="328" customFormat="1" ht="12.75" customHeight="1" x14ac:dyDescent="0.2">
      <c r="A1604" s="331" t="str">
        <f>ORCAMENTO!A283</f>
        <v>13.2.4</v>
      </c>
      <c r="B1604" s="543" t="str">
        <f>VLOOKUP(A1604,ORCAMENTO!A:I,4,0)</f>
        <v>PISO INDUSTRIAL NATURAL  ESP.= 12mm, INCLUS. POLIMENTO (INTERNO)</v>
      </c>
      <c r="C1604" s="543"/>
      <c r="D1604" s="543"/>
      <c r="E1604" s="543"/>
      <c r="F1604" s="543"/>
      <c r="G1604" s="543"/>
      <c r="H1604" s="543"/>
      <c r="I1604" s="543"/>
      <c r="J1604" s="543"/>
      <c r="K1604" s="543"/>
      <c r="L1604" s="543"/>
      <c r="M1604" s="543"/>
      <c r="N1604" s="331" t="str">
        <f>VLOOKUP(A1604,ORCAMENTO!A:I,5,0)</f>
        <v>M2</v>
      </c>
      <c r="O1604" s="332">
        <f>O1617</f>
        <v>452.14000000000004</v>
      </c>
    </row>
    <row r="1605" spans="1:15" s="328" customFormat="1" x14ac:dyDescent="0.2">
      <c r="A1605" s="539" t="s">
        <v>39793</v>
      </c>
      <c r="B1605" s="539"/>
      <c r="C1605" s="539"/>
      <c r="D1605" s="539"/>
      <c r="E1605" s="539"/>
      <c r="F1605" s="539"/>
      <c r="G1605" s="539"/>
      <c r="H1605" s="539"/>
      <c r="I1605" s="539"/>
      <c r="J1605" s="539"/>
      <c r="K1605" s="539"/>
      <c r="L1605" s="539"/>
      <c r="M1605" s="539"/>
      <c r="N1605" s="539"/>
      <c r="O1605" s="539"/>
    </row>
    <row r="1606" spans="1:15" s="328" customFormat="1" x14ac:dyDescent="0.2">
      <c r="A1606" s="539" t="s">
        <v>5917</v>
      </c>
      <c r="B1606" s="539"/>
      <c r="C1606" s="539"/>
      <c r="D1606" s="333"/>
      <c r="E1606" s="333"/>
      <c r="F1606" s="333"/>
      <c r="G1606" s="333"/>
      <c r="H1606" s="333"/>
      <c r="I1606" s="331"/>
      <c r="J1606" s="331"/>
      <c r="K1606" s="333"/>
      <c r="L1606" s="333"/>
      <c r="M1606" s="333" t="s">
        <v>39799</v>
      </c>
      <c r="N1606" s="333" t="s">
        <v>39794</v>
      </c>
      <c r="O1606" s="333" t="s">
        <v>39795</v>
      </c>
    </row>
    <row r="1607" spans="1:15" s="328" customFormat="1" x14ac:dyDescent="0.2">
      <c r="A1607" s="535" t="s">
        <v>39884</v>
      </c>
      <c r="B1607" s="535"/>
      <c r="C1607" s="535"/>
      <c r="D1607" s="333"/>
      <c r="E1607" s="333"/>
      <c r="F1607" s="333"/>
      <c r="G1607" s="333"/>
      <c r="H1607" s="333"/>
      <c r="I1607" s="331"/>
      <c r="J1607" s="331"/>
      <c r="K1607" s="339"/>
      <c r="L1607" s="332"/>
      <c r="M1607" s="339">
        <f>49.8</f>
        <v>49.8</v>
      </c>
      <c r="N1607" s="332" t="s">
        <v>39794</v>
      </c>
      <c r="O1607" s="340">
        <f>ROUND(M1607,2)</f>
        <v>49.8</v>
      </c>
    </row>
    <row r="1608" spans="1:15" s="328" customFormat="1" x14ac:dyDescent="0.2">
      <c r="A1608" s="535" t="s">
        <v>39883</v>
      </c>
      <c r="B1608" s="535"/>
      <c r="C1608" s="535"/>
      <c r="D1608" s="333"/>
      <c r="E1608" s="333"/>
      <c r="F1608" s="333"/>
      <c r="G1608" s="333"/>
      <c r="H1608" s="333"/>
      <c r="I1608" s="331"/>
      <c r="J1608" s="331"/>
      <c r="K1608" s="339"/>
      <c r="L1608" s="332"/>
      <c r="M1608" s="339">
        <f>50.02</f>
        <v>50.02</v>
      </c>
      <c r="N1608" s="332" t="s">
        <v>39794</v>
      </c>
      <c r="O1608" s="340">
        <f t="shared" ref="O1608:O1616" si="68">ROUND(M1608,2)</f>
        <v>50.02</v>
      </c>
    </row>
    <row r="1609" spans="1:15" s="328" customFormat="1" x14ac:dyDescent="0.2">
      <c r="A1609" s="534" t="s">
        <v>39882</v>
      </c>
      <c r="B1609" s="535"/>
      <c r="C1609" s="535"/>
      <c r="D1609" s="333"/>
      <c r="E1609" s="333"/>
      <c r="F1609" s="333"/>
      <c r="G1609" s="333"/>
      <c r="H1609" s="333"/>
      <c r="I1609" s="331"/>
      <c r="J1609" s="331"/>
      <c r="K1609" s="339"/>
      <c r="L1609" s="332"/>
      <c r="M1609" s="339">
        <f>36.25</f>
        <v>36.25</v>
      </c>
      <c r="N1609" s="332" t="s">
        <v>39794</v>
      </c>
      <c r="O1609" s="340">
        <f t="shared" si="68"/>
        <v>36.25</v>
      </c>
    </row>
    <row r="1610" spans="1:15" s="328" customFormat="1" x14ac:dyDescent="0.2">
      <c r="A1610" s="535" t="s">
        <v>39877</v>
      </c>
      <c r="B1610" s="535"/>
      <c r="C1610" s="535"/>
      <c r="D1610" s="333"/>
      <c r="E1610" s="333"/>
      <c r="F1610" s="333"/>
      <c r="G1610" s="333"/>
      <c r="H1610" s="333"/>
      <c r="I1610" s="331"/>
      <c r="J1610" s="331"/>
      <c r="K1610" s="339"/>
      <c r="L1610" s="332"/>
      <c r="M1610" s="339">
        <f>12.81</f>
        <v>12.81</v>
      </c>
      <c r="N1610" s="332" t="s">
        <v>39794</v>
      </c>
      <c r="O1610" s="340">
        <f t="shared" si="68"/>
        <v>12.81</v>
      </c>
    </row>
    <row r="1611" spans="1:15" s="328" customFormat="1" x14ac:dyDescent="0.2">
      <c r="A1611" s="535" t="s">
        <v>39881</v>
      </c>
      <c r="B1611" s="535"/>
      <c r="C1611" s="535"/>
      <c r="D1611" s="333"/>
      <c r="E1611" s="333"/>
      <c r="F1611" s="333"/>
      <c r="G1611" s="333"/>
      <c r="H1611" s="333"/>
      <c r="I1611" s="331"/>
      <c r="J1611" s="331"/>
      <c r="K1611" s="339"/>
      <c r="L1611" s="332"/>
      <c r="M1611" s="339">
        <f>50.02</f>
        <v>50.02</v>
      </c>
      <c r="N1611" s="332" t="s">
        <v>39794</v>
      </c>
      <c r="O1611" s="340">
        <f t="shared" si="68"/>
        <v>50.02</v>
      </c>
    </row>
    <row r="1612" spans="1:15" s="328" customFormat="1" x14ac:dyDescent="0.2">
      <c r="A1612" s="534" t="s">
        <v>39880</v>
      </c>
      <c r="B1612" s="535"/>
      <c r="C1612" s="535"/>
      <c r="D1612" s="333"/>
      <c r="E1612" s="333"/>
      <c r="F1612" s="333"/>
      <c r="G1612" s="333"/>
      <c r="H1612" s="333"/>
      <c r="I1612" s="331"/>
      <c r="J1612" s="331"/>
      <c r="K1612" s="339"/>
      <c r="L1612" s="332"/>
      <c r="M1612" s="339">
        <f>36.25</f>
        <v>36.25</v>
      </c>
      <c r="N1612" s="332" t="s">
        <v>39794</v>
      </c>
      <c r="O1612" s="340">
        <f t="shared" si="68"/>
        <v>36.25</v>
      </c>
    </row>
    <row r="1613" spans="1:15" s="328" customFormat="1" x14ac:dyDescent="0.2">
      <c r="A1613" s="535" t="s">
        <v>39877</v>
      </c>
      <c r="B1613" s="535"/>
      <c r="C1613" s="535"/>
      <c r="D1613" s="333"/>
      <c r="E1613" s="333"/>
      <c r="F1613" s="333"/>
      <c r="G1613" s="333"/>
      <c r="H1613" s="333"/>
      <c r="I1613" s="331"/>
      <c r="J1613" s="331"/>
      <c r="K1613" s="339"/>
      <c r="L1613" s="332"/>
      <c r="M1613" s="339">
        <f>12.81</f>
        <v>12.81</v>
      </c>
      <c r="N1613" s="332" t="s">
        <v>39794</v>
      </c>
      <c r="O1613" s="340">
        <f t="shared" si="68"/>
        <v>12.81</v>
      </c>
    </row>
    <row r="1614" spans="1:15" s="328" customFormat="1" x14ac:dyDescent="0.2">
      <c r="A1614" s="535" t="s">
        <v>39879</v>
      </c>
      <c r="B1614" s="535"/>
      <c r="C1614" s="535"/>
      <c r="D1614" s="333"/>
      <c r="E1614" s="333"/>
      <c r="F1614" s="333"/>
      <c r="G1614" s="333"/>
      <c r="H1614" s="333"/>
      <c r="I1614" s="331"/>
      <c r="J1614" s="331"/>
      <c r="K1614" s="339"/>
      <c r="L1614" s="332"/>
      <c r="M1614" s="339">
        <f>155.12</f>
        <v>155.12</v>
      </c>
      <c r="N1614" s="332" t="s">
        <v>39794</v>
      </c>
      <c r="O1614" s="340">
        <f t="shared" si="68"/>
        <v>155.12</v>
      </c>
    </row>
    <row r="1615" spans="1:15" s="328" customFormat="1" x14ac:dyDescent="0.2">
      <c r="A1615" s="534" t="s">
        <v>39878</v>
      </c>
      <c r="B1615" s="535"/>
      <c r="C1615" s="535"/>
      <c r="D1615" s="333"/>
      <c r="E1615" s="333"/>
      <c r="F1615" s="333"/>
      <c r="G1615" s="333"/>
      <c r="H1615" s="333"/>
      <c r="I1615" s="331"/>
      <c r="J1615" s="331"/>
      <c r="K1615" s="339"/>
      <c r="L1615" s="332"/>
      <c r="M1615" s="339">
        <f>36.25</f>
        <v>36.25</v>
      </c>
      <c r="N1615" s="332" t="s">
        <v>39794</v>
      </c>
      <c r="O1615" s="340">
        <f t="shared" si="68"/>
        <v>36.25</v>
      </c>
    </row>
    <row r="1616" spans="1:15" s="328" customFormat="1" x14ac:dyDescent="0.2">
      <c r="A1616" s="535" t="s">
        <v>39877</v>
      </c>
      <c r="B1616" s="535"/>
      <c r="C1616" s="535"/>
      <c r="D1616" s="333"/>
      <c r="E1616" s="333"/>
      <c r="F1616" s="333"/>
      <c r="G1616" s="333"/>
      <c r="H1616" s="333"/>
      <c r="I1616" s="331"/>
      <c r="J1616" s="331"/>
      <c r="K1616" s="339"/>
      <c r="L1616" s="332"/>
      <c r="M1616" s="339">
        <f>12.81</f>
        <v>12.81</v>
      </c>
      <c r="N1616" s="332" t="s">
        <v>39794</v>
      </c>
      <c r="O1616" s="340">
        <f t="shared" si="68"/>
        <v>12.81</v>
      </c>
    </row>
    <row r="1617" spans="1:15" s="328" customFormat="1" x14ac:dyDescent="0.2">
      <c r="A1617" s="540"/>
      <c r="B1617" s="540"/>
      <c r="C1617" s="540"/>
      <c r="D1617" s="540"/>
      <c r="E1617" s="540"/>
      <c r="F1617" s="540"/>
      <c r="G1617" s="540"/>
      <c r="H1617" s="540"/>
      <c r="I1617" s="540"/>
      <c r="J1617" s="540"/>
      <c r="K1617" s="540"/>
      <c r="L1617" s="334" t="s">
        <v>39796</v>
      </c>
      <c r="M1617" s="334" t="s">
        <v>39168</v>
      </c>
      <c r="N1617" s="333" t="s">
        <v>39794</v>
      </c>
      <c r="O1617" s="334">
        <f>SUM(O1606:O1616)</f>
        <v>452.14000000000004</v>
      </c>
    </row>
    <row r="1618" spans="1:15" s="328" customFormat="1" x14ac:dyDescent="0.2">
      <c r="A1618" s="329" t="s">
        <v>39791</v>
      </c>
      <c r="B1618" s="542" t="s">
        <v>5917</v>
      </c>
      <c r="C1618" s="542"/>
      <c r="D1618" s="542"/>
      <c r="E1618" s="542"/>
      <c r="F1618" s="542"/>
      <c r="G1618" s="542"/>
      <c r="H1618" s="542"/>
      <c r="I1618" s="542"/>
      <c r="J1618" s="542"/>
      <c r="K1618" s="542"/>
      <c r="L1618" s="542"/>
      <c r="M1618" s="542"/>
      <c r="N1618" s="329" t="s">
        <v>39197</v>
      </c>
      <c r="O1618" s="330" t="s">
        <v>39792</v>
      </c>
    </row>
    <row r="1619" spans="1:15" s="328" customFormat="1" ht="35.1" customHeight="1" x14ac:dyDescent="0.2">
      <c r="A1619" s="331" t="str">
        <f>ORCAMENTO!A284</f>
        <v>13.2.5</v>
      </c>
      <c r="B1619" s="543" t="str">
        <f>VLOOKUP(A1619,ORCAMENTO!A:I,4,0)</f>
        <v>PISO CIMENTADO, TRAÇO 1:3 (CIMENTO E AREIA), ACABAMENTO RÚSTICO, ESPESSURA 4,0 CM, PREPARO MECÂNICO DA ARGAMASSA. AF_09/2020</v>
      </c>
      <c r="C1619" s="543"/>
      <c r="D1619" s="543"/>
      <c r="E1619" s="543"/>
      <c r="F1619" s="543"/>
      <c r="G1619" s="543"/>
      <c r="H1619" s="543"/>
      <c r="I1619" s="543"/>
      <c r="J1619" s="543"/>
      <c r="K1619" s="543"/>
      <c r="L1619" s="543"/>
      <c r="M1619" s="543"/>
      <c r="N1619" s="331" t="str">
        <f>VLOOKUP(A1619,ORCAMENTO!A:I,5,0)</f>
        <v>M2</v>
      </c>
      <c r="O1619" s="332">
        <f>O1635</f>
        <v>331.25</v>
      </c>
    </row>
    <row r="1620" spans="1:15" s="328" customFormat="1" x14ac:dyDescent="0.2">
      <c r="A1620" s="539" t="s">
        <v>39793</v>
      </c>
      <c r="B1620" s="539"/>
      <c r="C1620" s="539"/>
      <c r="D1620" s="539"/>
      <c r="E1620" s="539"/>
      <c r="F1620" s="539"/>
      <c r="G1620" s="539"/>
      <c r="H1620" s="539"/>
      <c r="I1620" s="539"/>
      <c r="J1620" s="539"/>
      <c r="K1620" s="539"/>
      <c r="L1620" s="539"/>
      <c r="M1620" s="539"/>
      <c r="N1620" s="539"/>
      <c r="O1620" s="539"/>
    </row>
    <row r="1621" spans="1:15" s="328" customFormat="1" x14ac:dyDescent="0.2">
      <c r="A1621" s="539" t="s">
        <v>5917</v>
      </c>
      <c r="B1621" s="539"/>
      <c r="C1621" s="539"/>
      <c r="D1621" s="333"/>
      <c r="E1621" s="333"/>
      <c r="F1621" s="333"/>
      <c r="G1621" s="333"/>
      <c r="H1621" s="333"/>
      <c r="I1621" s="331"/>
      <c r="J1621" s="331"/>
      <c r="K1621" s="333"/>
      <c r="L1621" s="333"/>
      <c r="M1621" s="333" t="s">
        <v>39799</v>
      </c>
      <c r="N1621" s="333" t="s">
        <v>39794</v>
      </c>
      <c r="O1621" s="333" t="s">
        <v>39795</v>
      </c>
    </row>
    <row r="1622" spans="1:15" s="328" customFormat="1" x14ac:dyDescent="0.2">
      <c r="A1622" s="534" t="s">
        <v>39868</v>
      </c>
      <c r="B1622" s="535"/>
      <c r="C1622" s="535"/>
      <c r="D1622" s="333"/>
      <c r="E1622" s="333"/>
      <c r="F1622" s="333"/>
      <c r="G1622" s="333"/>
      <c r="H1622" s="333"/>
      <c r="I1622" s="331"/>
      <c r="J1622" s="331"/>
      <c r="K1622" s="339"/>
      <c r="L1622" s="332"/>
      <c r="M1622" s="339">
        <f>27.9</f>
        <v>27.9</v>
      </c>
      <c r="N1622" s="332" t="s">
        <v>39794</v>
      </c>
      <c r="O1622" s="340">
        <f>ROUND(M1622,2)</f>
        <v>27.9</v>
      </c>
    </row>
    <row r="1623" spans="1:15" s="328" customFormat="1" x14ac:dyDescent="0.2">
      <c r="A1623" s="534" t="s">
        <v>39869</v>
      </c>
      <c r="B1623" s="535"/>
      <c r="C1623" s="535"/>
      <c r="D1623" s="333"/>
      <c r="E1623" s="333"/>
      <c r="F1623" s="333"/>
      <c r="G1623" s="333"/>
      <c r="H1623" s="333"/>
      <c r="I1623" s="331"/>
      <c r="J1623" s="331"/>
      <c r="K1623" s="339"/>
      <c r="L1623" s="332"/>
      <c r="M1623" s="339">
        <f>65.87</f>
        <v>65.87</v>
      </c>
      <c r="N1623" s="332" t="s">
        <v>39794</v>
      </c>
      <c r="O1623" s="340">
        <f t="shared" ref="O1623:O1634" si="69">ROUND(M1623,2)</f>
        <v>65.87</v>
      </c>
    </row>
    <row r="1624" spans="1:15" s="328" customFormat="1" x14ac:dyDescent="0.2">
      <c r="A1624" s="534" t="s">
        <v>39870</v>
      </c>
      <c r="B1624" s="535"/>
      <c r="C1624" s="535"/>
      <c r="D1624" s="333"/>
      <c r="E1624" s="333"/>
      <c r="F1624" s="333"/>
      <c r="G1624" s="333"/>
      <c r="H1624" s="333"/>
      <c r="I1624" s="331"/>
      <c r="J1624" s="331"/>
      <c r="K1624" s="339"/>
      <c r="L1624" s="332"/>
      <c r="M1624" s="339">
        <f>26.01</f>
        <v>26.01</v>
      </c>
      <c r="N1624" s="332" t="s">
        <v>39794</v>
      </c>
      <c r="O1624" s="340">
        <f t="shared" si="69"/>
        <v>26.01</v>
      </c>
    </row>
    <row r="1625" spans="1:15" s="328" customFormat="1" x14ac:dyDescent="0.2">
      <c r="A1625" s="534" t="s">
        <v>39871</v>
      </c>
      <c r="B1625" s="535"/>
      <c r="C1625" s="535"/>
      <c r="D1625" s="333"/>
      <c r="E1625" s="333"/>
      <c r="F1625" s="333"/>
      <c r="G1625" s="333"/>
      <c r="H1625" s="333"/>
      <c r="I1625" s="331"/>
      <c r="J1625" s="331"/>
      <c r="K1625" s="339"/>
      <c r="L1625" s="332"/>
      <c r="M1625" s="339">
        <f>82.05</f>
        <v>82.05</v>
      </c>
      <c r="N1625" s="332" t="s">
        <v>39794</v>
      </c>
      <c r="O1625" s="340">
        <f t="shared" si="69"/>
        <v>82.05</v>
      </c>
    </row>
    <row r="1626" spans="1:15" s="328" customFormat="1" x14ac:dyDescent="0.2">
      <c r="A1626" s="534" t="s">
        <v>39872</v>
      </c>
      <c r="B1626" s="535"/>
      <c r="C1626" s="535"/>
      <c r="D1626" s="333"/>
      <c r="E1626" s="333"/>
      <c r="F1626" s="333"/>
      <c r="G1626" s="333"/>
      <c r="H1626" s="333"/>
      <c r="I1626" s="331"/>
      <c r="J1626" s="331"/>
      <c r="K1626" s="339"/>
      <c r="L1626" s="332"/>
      <c r="M1626" s="339">
        <f>2.9</f>
        <v>2.9</v>
      </c>
      <c r="N1626" s="332" t="s">
        <v>39794</v>
      </c>
      <c r="O1626" s="340">
        <f t="shared" si="69"/>
        <v>2.9</v>
      </c>
    </row>
    <row r="1627" spans="1:15" s="328" customFormat="1" x14ac:dyDescent="0.2">
      <c r="A1627" s="534" t="s">
        <v>39873</v>
      </c>
      <c r="B1627" s="535"/>
      <c r="C1627" s="535"/>
      <c r="D1627" s="333"/>
      <c r="E1627" s="333"/>
      <c r="F1627" s="333"/>
      <c r="G1627" s="333"/>
      <c r="H1627" s="333"/>
      <c r="I1627" s="331"/>
      <c r="J1627" s="331"/>
      <c r="K1627" s="339"/>
      <c r="L1627" s="332"/>
      <c r="M1627" s="339">
        <f>3.31</f>
        <v>3.31</v>
      </c>
      <c r="N1627" s="332" t="s">
        <v>39794</v>
      </c>
      <c r="O1627" s="340">
        <f t="shared" si="69"/>
        <v>3.31</v>
      </c>
    </row>
    <row r="1628" spans="1:15" s="328" customFormat="1" x14ac:dyDescent="0.2">
      <c r="A1628" s="536" t="s">
        <v>39874</v>
      </c>
      <c r="B1628" s="537"/>
      <c r="C1628" s="538"/>
      <c r="D1628" s="333"/>
      <c r="E1628" s="333"/>
      <c r="F1628" s="333"/>
      <c r="G1628" s="333"/>
      <c r="H1628" s="333"/>
      <c r="I1628" s="331"/>
      <c r="J1628" s="331"/>
      <c r="K1628" s="339"/>
      <c r="L1628" s="332"/>
      <c r="M1628" s="339">
        <f>4.64</f>
        <v>4.6399999999999997</v>
      </c>
      <c r="N1628" s="332" t="s">
        <v>39794</v>
      </c>
      <c r="O1628" s="340">
        <f t="shared" si="69"/>
        <v>4.6399999999999997</v>
      </c>
    </row>
    <row r="1629" spans="1:15" s="328" customFormat="1" x14ac:dyDescent="0.2">
      <c r="A1629" s="536" t="s">
        <v>39875</v>
      </c>
      <c r="B1629" s="537"/>
      <c r="C1629" s="538"/>
      <c r="D1629" s="333"/>
      <c r="E1629" s="333"/>
      <c r="F1629" s="333"/>
      <c r="G1629" s="333"/>
      <c r="H1629" s="333"/>
      <c r="I1629" s="331"/>
      <c r="J1629" s="331"/>
      <c r="K1629" s="339"/>
      <c r="L1629" s="332"/>
      <c r="M1629" s="339">
        <f>28.87</f>
        <v>28.87</v>
      </c>
      <c r="N1629" s="332" t="s">
        <v>39794</v>
      </c>
      <c r="O1629" s="340">
        <f t="shared" si="69"/>
        <v>28.87</v>
      </c>
    </row>
    <row r="1630" spans="1:15" s="328" customFormat="1" x14ac:dyDescent="0.2">
      <c r="A1630" s="536" t="s">
        <v>39876</v>
      </c>
      <c r="B1630" s="537"/>
      <c r="C1630" s="538"/>
      <c r="D1630" s="333"/>
      <c r="E1630" s="333"/>
      <c r="F1630" s="333"/>
      <c r="G1630" s="333"/>
      <c r="H1630" s="333"/>
      <c r="I1630" s="331"/>
      <c r="J1630" s="331"/>
      <c r="K1630" s="339"/>
      <c r="L1630" s="332"/>
      <c r="M1630" s="339">
        <f>39.21</f>
        <v>39.21</v>
      </c>
      <c r="N1630" s="332" t="s">
        <v>39794</v>
      </c>
      <c r="O1630" s="340">
        <f t="shared" si="69"/>
        <v>39.21</v>
      </c>
    </row>
    <row r="1631" spans="1:15" s="328" customFormat="1" x14ac:dyDescent="0.2">
      <c r="A1631" s="536" t="s">
        <v>39955</v>
      </c>
      <c r="B1631" s="537"/>
      <c r="C1631" s="538"/>
      <c r="D1631" s="333"/>
      <c r="E1631" s="333"/>
      <c r="F1631" s="333"/>
      <c r="G1631" s="333"/>
      <c r="H1631" s="333"/>
      <c r="I1631" s="331"/>
      <c r="J1631" s="331"/>
      <c r="K1631" s="339"/>
      <c r="L1631" s="332"/>
      <c r="M1631" s="339">
        <f>30.68</f>
        <v>30.68</v>
      </c>
      <c r="N1631" s="332" t="s">
        <v>39794</v>
      </c>
      <c r="O1631" s="340">
        <f t="shared" si="69"/>
        <v>30.68</v>
      </c>
    </row>
    <row r="1632" spans="1:15" s="328" customFormat="1" x14ac:dyDescent="0.2">
      <c r="A1632" s="536" t="s">
        <v>39956</v>
      </c>
      <c r="B1632" s="537"/>
      <c r="C1632" s="538"/>
      <c r="D1632" s="333"/>
      <c r="E1632" s="333"/>
      <c r="F1632" s="333"/>
      <c r="G1632" s="333"/>
      <c r="H1632" s="333"/>
      <c r="I1632" s="331"/>
      <c r="J1632" s="331"/>
      <c r="K1632" s="339"/>
      <c r="L1632" s="332"/>
      <c r="M1632" s="339">
        <f>6.22</f>
        <v>6.22</v>
      </c>
      <c r="N1632" s="332" t="s">
        <v>39794</v>
      </c>
      <c r="O1632" s="340">
        <f t="shared" si="69"/>
        <v>6.22</v>
      </c>
    </row>
    <row r="1633" spans="1:15" s="328" customFormat="1" x14ac:dyDescent="0.2">
      <c r="A1633" s="536" t="s">
        <v>39957</v>
      </c>
      <c r="B1633" s="537"/>
      <c r="C1633" s="538"/>
      <c r="D1633" s="333"/>
      <c r="E1633" s="333"/>
      <c r="F1633" s="333"/>
      <c r="G1633" s="333"/>
      <c r="H1633" s="333"/>
      <c r="I1633" s="331"/>
      <c r="J1633" s="331"/>
      <c r="K1633" s="339"/>
      <c r="L1633" s="332"/>
      <c r="M1633" s="339">
        <f>9.09</f>
        <v>9.09</v>
      </c>
      <c r="N1633" s="332" t="s">
        <v>39794</v>
      </c>
      <c r="O1633" s="340">
        <f t="shared" si="69"/>
        <v>9.09</v>
      </c>
    </row>
    <row r="1634" spans="1:15" s="328" customFormat="1" x14ac:dyDescent="0.2">
      <c r="A1634" s="536" t="s">
        <v>40280</v>
      </c>
      <c r="B1634" s="537"/>
      <c r="C1634" s="538"/>
      <c r="D1634" s="333"/>
      <c r="E1634" s="333"/>
      <c r="F1634" s="333"/>
      <c r="G1634" s="333"/>
      <c r="H1634" s="333"/>
      <c r="I1634" s="331"/>
      <c r="J1634" s="331"/>
      <c r="K1634" s="339"/>
      <c r="L1634" s="332"/>
      <c r="M1634" s="339">
        <f>3*1.5</f>
        <v>4.5</v>
      </c>
      <c r="N1634" s="332" t="s">
        <v>39794</v>
      </c>
      <c r="O1634" s="340">
        <f t="shared" si="69"/>
        <v>4.5</v>
      </c>
    </row>
    <row r="1635" spans="1:15" s="328" customFormat="1" x14ac:dyDescent="0.2">
      <c r="A1635" s="540"/>
      <c r="B1635" s="540"/>
      <c r="C1635" s="540"/>
      <c r="D1635" s="540"/>
      <c r="E1635" s="540"/>
      <c r="F1635" s="540"/>
      <c r="G1635" s="540"/>
      <c r="H1635" s="540"/>
      <c r="I1635" s="540"/>
      <c r="J1635" s="540"/>
      <c r="K1635" s="540"/>
      <c r="L1635" s="334" t="s">
        <v>39796</v>
      </c>
      <c r="M1635" s="334" t="s">
        <v>39168</v>
      </c>
      <c r="N1635" s="333" t="s">
        <v>39794</v>
      </c>
      <c r="O1635" s="334">
        <f>SUM(O1621:O1634)</f>
        <v>331.25</v>
      </c>
    </row>
    <row r="1636" spans="1:15" s="328" customFormat="1" x14ac:dyDescent="0.2">
      <c r="A1636" s="329" t="s">
        <v>39791</v>
      </c>
      <c r="B1636" s="542" t="s">
        <v>5917</v>
      </c>
      <c r="C1636" s="542"/>
      <c r="D1636" s="542"/>
      <c r="E1636" s="542"/>
      <c r="F1636" s="542"/>
      <c r="G1636" s="542"/>
      <c r="H1636" s="542"/>
      <c r="I1636" s="542"/>
      <c r="J1636" s="542"/>
      <c r="K1636" s="542"/>
      <c r="L1636" s="542"/>
      <c r="M1636" s="542"/>
      <c r="N1636" s="329" t="s">
        <v>39197</v>
      </c>
      <c r="O1636" s="330" t="s">
        <v>39792</v>
      </c>
    </row>
    <row r="1637" spans="1:15" s="328" customFormat="1" ht="35.1" customHeight="1" x14ac:dyDescent="0.2">
      <c r="A1637" s="331" t="str">
        <f>ORCAMENTO!A285</f>
        <v>13.2.6</v>
      </c>
      <c r="B1637" s="543" t="str">
        <f>VLOOKUP(A1637,ORCAMENTO!A:I,4,0)</f>
        <v>REVESTIMENTO CERÂMICO PARA PISO COM PLACAS TIPO ESMALTADA DE DIMENSÕES 60X60 CM APLICADA EM AMBIENTES DE ÁREA MENOR QUE 5 M2. AF_02/2023_PE</v>
      </c>
      <c r="C1637" s="543"/>
      <c r="D1637" s="543"/>
      <c r="E1637" s="543"/>
      <c r="F1637" s="543"/>
      <c r="G1637" s="543"/>
      <c r="H1637" s="543"/>
      <c r="I1637" s="543"/>
      <c r="J1637" s="543"/>
      <c r="K1637" s="543"/>
      <c r="L1637" s="543"/>
      <c r="M1637" s="543"/>
      <c r="N1637" s="331" t="str">
        <f>VLOOKUP(A1637,ORCAMENTO!A:I,5,0)</f>
        <v>M2</v>
      </c>
      <c r="O1637" s="332">
        <f>O1641</f>
        <v>3.14</v>
      </c>
    </row>
    <row r="1638" spans="1:15" s="328" customFormat="1" x14ac:dyDescent="0.2">
      <c r="A1638" s="539" t="s">
        <v>39793</v>
      </c>
      <c r="B1638" s="539"/>
      <c r="C1638" s="539"/>
      <c r="D1638" s="539"/>
      <c r="E1638" s="539"/>
      <c r="F1638" s="539"/>
      <c r="G1638" s="539"/>
      <c r="H1638" s="539"/>
      <c r="I1638" s="539"/>
      <c r="J1638" s="539"/>
      <c r="K1638" s="539"/>
      <c r="L1638" s="539"/>
      <c r="M1638" s="539"/>
      <c r="N1638" s="539"/>
      <c r="O1638" s="539"/>
    </row>
    <row r="1639" spans="1:15" s="328" customFormat="1" x14ac:dyDescent="0.2">
      <c r="A1639" s="539" t="s">
        <v>5917</v>
      </c>
      <c r="B1639" s="539"/>
      <c r="C1639" s="539"/>
      <c r="D1639" s="333"/>
      <c r="E1639" s="333"/>
      <c r="F1639" s="333"/>
      <c r="G1639" s="333"/>
      <c r="H1639" s="333"/>
      <c r="I1639" s="331"/>
      <c r="J1639" s="331"/>
      <c r="K1639" s="333"/>
      <c r="L1639" s="333"/>
      <c r="M1639" s="333" t="s">
        <v>39799</v>
      </c>
      <c r="N1639" s="333" t="s">
        <v>39794</v>
      </c>
      <c r="O1639" s="333" t="s">
        <v>39795</v>
      </c>
    </row>
    <row r="1640" spans="1:15" s="328" customFormat="1" x14ac:dyDescent="0.2">
      <c r="A1640" s="534" t="s">
        <v>39818</v>
      </c>
      <c r="B1640" s="535"/>
      <c r="C1640" s="535"/>
      <c r="D1640" s="333"/>
      <c r="E1640" s="333"/>
      <c r="F1640" s="333"/>
      <c r="G1640" s="333"/>
      <c r="H1640" s="333"/>
      <c r="I1640" s="331"/>
      <c r="J1640" s="331"/>
      <c r="K1640" s="339"/>
      <c r="L1640" s="332"/>
      <c r="M1640" s="339">
        <f>3.14</f>
        <v>3.14</v>
      </c>
      <c r="N1640" s="332" t="s">
        <v>39794</v>
      </c>
      <c r="O1640" s="340">
        <f t="shared" ref="O1640" si="70">ROUND(M1640,2)</f>
        <v>3.14</v>
      </c>
    </row>
    <row r="1641" spans="1:15" s="328" customFormat="1" x14ac:dyDescent="0.2">
      <c r="A1641" s="540"/>
      <c r="B1641" s="540"/>
      <c r="C1641" s="540"/>
      <c r="D1641" s="540"/>
      <c r="E1641" s="540"/>
      <c r="F1641" s="540"/>
      <c r="G1641" s="540"/>
      <c r="H1641" s="540"/>
      <c r="I1641" s="540"/>
      <c r="J1641" s="540"/>
      <c r="K1641" s="540"/>
      <c r="L1641" s="334" t="s">
        <v>39796</v>
      </c>
      <c r="M1641" s="334" t="s">
        <v>39168</v>
      </c>
      <c r="N1641" s="333" t="s">
        <v>39794</v>
      </c>
      <c r="O1641" s="334">
        <f>SUM(O1639:O1640)</f>
        <v>3.14</v>
      </c>
    </row>
    <row r="1642" spans="1:15" s="328" customFormat="1" x14ac:dyDescent="0.2">
      <c r="A1642" s="329" t="s">
        <v>39791</v>
      </c>
      <c r="B1642" s="542" t="s">
        <v>5917</v>
      </c>
      <c r="C1642" s="542"/>
      <c r="D1642" s="542"/>
      <c r="E1642" s="542"/>
      <c r="F1642" s="542"/>
      <c r="G1642" s="542"/>
      <c r="H1642" s="542"/>
      <c r="I1642" s="542"/>
      <c r="J1642" s="542"/>
      <c r="K1642" s="542"/>
      <c r="L1642" s="542"/>
      <c r="M1642" s="542"/>
      <c r="N1642" s="329" t="s">
        <v>39197</v>
      </c>
      <c r="O1642" s="330" t="s">
        <v>39792</v>
      </c>
    </row>
    <row r="1643" spans="1:15" s="328" customFormat="1" ht="35.1" customHeight="1" x14ac:dyDescent="0.2">
      <c r="A1643" s="331" t="str">
        <f>ORCAMENTO!A286</f>
        <v>13.2.7</v>
      </c>
      <c r="B1643" s="543" t="str">
        <f>VLOOKUP(A1643,ORCAMENTO!A:I,4,0)</f>
        <v>REVESTIMENTO CERÂMICO PARA PISO COM PLACAS TIPO ESMALTADA DE DIMENSÕES 60X60 CM APLICADA EM AMBIENTES DE ÁREA MAIOR QUE 10 M2. AF_02/2023_PE</v>
      </c>
      <c r="C1643" s="543"/>
      <c r="D1643" s="543"/>
      <c r="E1643" s="543"/>
      <c r="F1643" s="543"/>
      <c r="G1643" s="543"/>
      <c r="H1643" s="543"/>
      <c r="I1643" s="543"/>
      <c r="J1643" s="543"/>
      <c r="K1643" s="543"/>
      <c r="L1643" s="543"/>
      <c r="M1643" s="543"/>
      <c r="N1643" s="331" t="str">
        <f>VLOOKUP(A1643,ORCAMENTO!A:I,5,0)</f>
        <v>M2</v>
      </c>
      <c r="O1643" s="332">
        <f>O1648</f>
        <v>36.619999999999997</v>
      </c>
    </row>
    <row r="1644" spans="1:15" s="328" customFormat="1" x14ac:dyDescent="0.2">
      <c r="A1644" s="539" t="s">
        <v>39793</v>
      </c>
      <c r="B1644" s="539"/>
      <c r="C1644" s="539"/>
      <c r="D1644" s="539"/>
      <c r="E1644" s="539"/>
      <c r="F1644" s="539"/>
      <c r="G1644" s="539"/>
      <c r="H1644" s="539"/>
      <c r="I1644" s="539"/>
      <c r="J1644" s="539"/>
      <c r="K1644" s="539"/>
      <c r="L1644" s="539"/>
      <c r="M1644" s="539"/>
      <c r="N1644" s="539"/>
      <c r="O1644" s="539"/>
    </row>
    <row r="1645" spans="1:15" s="328" customFormat="1" x14ac:dyDescent="0.2">
      <c r="A1645" s="539" t="s">
        <v>5917</v>
      </c>
      <c r="B1645" s="539"/>
      <c r="C1645" s="539"/>
      <c r="D1645" s="333"/>
      <c r="E1645" s="333"/>
      <c r="F1645" s="333"/>
      <c r="G1645" s="333"/>
      <c r="H1645" s="333"/>
      <c r="I1645" s="331"/>
      <c r="J1645" s="331"/>
      <c r="K1645" s="333"/>
      <c r="L1645" s="333"/>
      <c r="M1645" s="333" t="s">
        <v>39799</v>
      </c>
      <c r="N1645" s="333" t="s">
        <v>39794</v>
      </c>
      <c r="O1645" s="333" t="s">
        <v>39795</v>
      </c>
    </row>
    <row r="1646" spans="1:15" s="328" customFormat="1" x14ac:dyDescent="0.2">
      <c r="A1646" s="534" t="s">
        <v>39816</v>
      </c>
      <c r="B1646" s="535"/>
      <c r="C1646" s="535"/>
      <c r="D1646" s="333"/>
      <c r="E1646" s="333"/>
      <c r="F1646" s="333"/>
      <c r="G1646" s="333"/>
      <c r="H1646" s="333"/>
      <c r="I1646" s="331"/>
      <c r="J1646" s="331"/>
      <c r="K1646" s="339"/>
      <c r="L1646" s="332"/>
      <c r="M1646" s="339">
        <f>18.31</f>
        <v>18.309999999999999</v>
      </c>
      <c r="N1646" s="332" t="s">
        <v>39794</v>
      </c>
      <c r="O1646" s="340">
        <f t="shared" ref="O1646:O1647" si="71">ROUND(M1646,2)</f>
        <v>18.309999999999999</v>
      </c>
    </row>
    <row r="1647" spans="1:15" s="328" customFormat="1" x14ac:dyDescent="0.2">
      <c r="A1647" s="534" t="s">
        <v>39817</v>
      </c>
      <c r="B1647" s="535"/>
      <c r="C1647" s="535"/>
      <c r="D1647" s="333"/>
      <c r="E1647" s="333"/>
      <c r="F1647" s="333"/>
      <c r="G1647" s="333"/>
      <c r="H1647" s="333"/>
      <c r="I1647" s="331"/>
      <c r="J1647" s="331"/>
      <c r="K1647" s="339"/>
      <c r="L1647" s="332"/>
      <c r="M1647" s="339">
        <f>18.31</f>
        <v>18.309999999999999</v>
      </c>
      <c r="N1647" s="332" t="s">
        <v>39794</v>
      </c>
      <c r="O1647" s="340">
        <f t="shared" si="71"/>
        <v>18.309999999999999</v>
      </c>
    </row>
    <row r="1648" spans="1:15" s="328" customFormat="1" x14ac:dyDescent="0.2">
      <c r="A1648" s="540"/>
      <c r="B1648" s="540"/>
      <c r="C1648" s="540"/>
      <c r="D1648" s="540"/>
      <c r="E1648" s="540"/>
      <c r="F1648" s="540"/>
      <c r="G1648" s="540"/>
      <c r="H1648" s="540"/>
      <c r="I1648" s="540"/>
      <c r="J1648" s="540"/>
      <c r="K1648" s="540"/>
      <c r="L1648" s="334" t="s">
        <v>39796</v>
      </c>
      <c r="M1648" s="334" t="s">
        <v>39168</v>
      </c>
      <c r="N1648" s="333" t="s">
        <v>39794</v>
      </c>
      <c r="O1648" s="334">
        <f>SUM(O1645:O1647)</f>
        <v>36.619999999999997</v>
      </c>
    </row>
    <row r="1649" spans="1:15" s="328" customFormat="1" x14ac:dyDescent="0.2">
      <c r="A1649" s="329" t="s">
        <v>39791</v>
      </c>
      <c r="B1649" s="542" t="s">
        <v>5917</v>
      </c>
      <c r="C1649" s="542"/>
      <c r="D1649" s="542"/>
      <c r="E1649" s="542"/>
      <c r="F1649" s="542"/>
      <c r="G1649" s="542"/>
      <c r="H1649" s="542"/>
      <c r="I1649" s="542"/>
      <c r="J1649" s="542"/>
      <c r="K1649" s="542"/>
      <c r="L1649" s="542"/>
      <c r="M1649" s="542"/>
      <c r="N1649" s="329" t="s">
        <v>39197</v>
      </c>
      <c r="O1649" s="330" t="s">
        <v>39792</v>
      </c>
    </row>
    <row r="1650" spans="1:15" s="328" customFormat="1" ht="12.75" customHeight="1" x14ac:dyDescent="0.2">
      <c r="A1650" s="331" t="str">
        <f>ORCAMENTO!A287</f>
        <v>13.2.8</v>
      </c>
      <c r="B1650" s="543" t="str">
        <f>VLOOKUP(A1650,ORCAMENTO!A:I,4,0)</f>
        <v>SOLEIRA EM GRANITO, LARGURA 15 CM, ESPESSURA 2,0 CM. AF_09/2020</v>
      </c>
      <c r="C1650" s="543"/>
      <c r="D1650" s="543"/>
      <c r="E1650" s="543"/>
      <c r="F1650" s="543"/>
      <c r="G1650" s="543"/>
      <c r="H1650" s="543"/>
      <c r="I1650" s="543"/>
      <c r="J1650" s="543"/>
      <c r="K1650" s="543"/>
      <c r="L1650" s="543"/>
      <c r="M1650" s="543"/>
      <c r="N1650" s="331" t="str">
        <f>VLOOKUP(A1650,ORCAMENTO!A:I,5,0)</f>
        <v>M</v>
      </c>
      <c r="O1650" s="332">
        <f>O1668</f>
        <v>59.250000000000007</v>
      </c>
    </row>
    <row r="1651" spans="1:15" s="328" customFormat="1" x14ac:dyDescent="0.2">
      <c r="A1651" s="539" t="s">
        <v>39793</v>
      </c>
      <c r="B1651" s="539"/>
      <c r="C1651" s="539"/>
      <c r="D1651" s="539"/>
      <c r="E1651" s="539"/>
      <c r="F1651" s="539"/>
      <c r="G1651" s="539"/>
      <c r="H1651" s="539"/>
      <c r="I1651" s="539"/>
      <c r="J1651" s="539"/>
      <c r="K1651" s="539"/>
      <c r="L1651" s="539"/>
      <c r="M1651" s="539"/>
      <c r="N1651" s="539"/>
      <c r="O1651" s="539"/>
    </row>
    <row r="1652" spans="1:15" s="328" customFormat="1" x14ac:dyDescent="0.2">
      <c r="A1652" s="539" t="s">
        <v>5917</v>
      </c>
      <c r="B1652" s="539"/>
      <c r="C1652" s="539"/>
      <c r="D1652" s="333"/>
      <c r="E1652" s="333"/>
      <c r="F1652" s="333"/>
      <c r="G1652" s="333"/>
      <c r="H1652" s="333"/>
      <c r="I1652" s="331"/>
      <c r="J1652" s="331"/>
      <c r="K1652" s="333" t="s">
        <v>39792</v>
      </c>
      <c r="L1652" s="333" t="s">
        <v>39805</v>
      </c>
      <c r="M1652" s="333" t="s">
        <v>39802</v>
      </c>
      <c r="N1652" s="333" t="s">
        <v>39794</v>
      </c>
      <c r="O1652" s="333" t="s">
        <v>39795</v>
      </c>
    </row>
    <row r="1653" spans="1:15" s="328" customFormat="1" x14ac:dyDescent="0.2">
      <c r="A1653" s="535" t="s">
        <v>39824</v>
      </c>
      <c r="B1653" s="535"/>
      <c r="C1653" s="535"/>
      <c r="D1653" s="333"/>
      <c r="E1653" s="333"/>
      <c r="F1653" s="333"/>
      <c r="G1653" s="333"/>
      <c r="H1653" s="333"/>
      <c r="I1653" s="331"/>
      <c r="J1653" s="331"/>
      <c r="K1653" s="339">
        <f>7</f>
        <v>7</v>
      </c>
      <c r="L1653" s="332" t="s">
        <v>39805</v>
      </c>
      <c r="M1653" s="339">
        <f>1.2</f>
        <v>1.2</v>
      </c>
      <c r="N1653" s="332" t="s">
        <v>39794</v>
      </c>
      <c r="O1653" s="340">
        <f>ROUND(K1653*M1653,2)</f>
        <v>8.4</v>
      </c>
    </row>
    <row r="1654" spans="1:15" s="328" customFormat="1" x14ac:dyDescent="0.2">
      <c r="A1654" s="535" t="s">
        <v>39825</v>
      </c>
      <c r="B1654" s="535"/>
      <c r="C1654" s="535"/>
      <c r="D1654" s="333"/>
      <c r="E1654" s="333"/>
      <c r="F1654" s="333"/>
      <c r="G1654" s="333"/>
      <c r="H1654" s="333"/>
      <c r="I1654" s="331"/>
      <c r="J1654" s="331"/>
      <c r="K1654" s="339">
        <f>2</f>
        <v>2</v>
      </c>
      <c r="L1654" s="332" t="s">
        <v>39805</v>
      </c>
      <c r="M1654" s="339">
        <f>0.9</f>
        <v>0.9</v>
      </c>
      <c r="N1654" s="332" t="s">
        <v>39794</v>
      </c>
      <c r="O1654" s="340">
        <f t="shared" ref="O1654:O1655" si="72">ROUND(K1654*M1654,2)</f>
        <v>1.8</v>
      </c>
    </row>
    <row r="1655" spans="1:15" s="328" customFormat="1" x14ac:dyDescent="0.2">
      <c r="A1655" s="535" t="s">
        <v>39826</v>
      </c>
      <c r="B1655" s="535"/>
      <c r="C1655" s="535"/>
      <c r="D1655" s="333"/>
      <c r="E1655" s="333"/>
      <c r="F1655" s="333"/>
      <c r="G1655" s="333"/>
      <c r="H1655" s="333"/>
      <c r="I1655" s="331"/>
      <c r="J1655" s="331"/>
      <c r="K1655" s="339">
        <f>1</f>
        <v>1</v>
      </c>
      <c r="L1655" s="332" t="s">
        <v>39805</v>
      </c>
      <c r="M1655" s="339">
        <f>0.9</f>
        <v>0.9</v>
      </c>
      <c r="N1655" s="332" t="s">
        <v>39794</v>
      </c>
      <c r="O1655" s="340">
        <f t="shared" si="72"/>
        <v>0.9</v>
      </c>
    </row>
    <row r="1656" spans="1:15" s="328" customFormat="1" x14ac:dyDescent="0.2">
      <c r="A1656" s="539" t="s">
        <v>5917</v>
      </c>
      <c r="B1656" s="539"/>
      <c r="C1656" s="539"/>
      <c r="D1656" s="333"/>
      <c r="E1656" s="333"/>
      <c r="F1656" s="333"/>
      <c r="G1656" s="333"/>
      <c r="H1656" s="333"/>
      <c r="I1656" s="331"/>
      <c r="J1656" s="331"/>
      <c r="K1656" s="339"/>
      <c r="L1656" s="332"/>
      <c r="M1656" s="333" t="s">
        <v>39802</v>
      </c>
      <c r="N1656" s="333" t="s">
        <v>39794</v>
      </c>
      <c r="O1656" s="333" t="s">
        <v>39795</v>
      </c>
    </row>
    <row r="1657" spans="1:15" s="328" customFormat="1" x14ac:dyDescent="0.2">
      <c r="A1657" s="535" t="s">
        <v>39886</v>
      </c>
      <c r="B1657" s="535"/>
      <c r="C1657" s="535"/>
      <c r="D1657" s="333"/>
      <c r="E1657" s="333"/>
      <c r="F1657" s="333"/>
      <c r="G1657" s="333"/>
      <c r="H1657" s="333"/>
      <c r="I1657" s="331"/>
      <c r="J1657" s="331"/>
      <c r="K1657" s="339"/>
      <c r="L1657" s="332"/>
      <c r="M1657" s="339">
        <f>2.5</f>
        <v>2.5</v>
      </c>
      <c r="N1657" s="332" t="s">
        <v>39794</v>
      </c>
      <c r="O1657" s="340">
        <f>ROUND(M1657,2)</f>
        <v>2.5</v>
      </c>
    </row>
    <row r="1658" spans="1:15" s="328" customFormat="1" x14ac:dyDescent="0.2">
      <c r="A1658" s="535" t="s">
        <v>39887</v>
      </c>
      <c r="B1658" s="535"/>
      <c r="C1658" s="535"/>
      <c r="D1658" s="333"/>
      <c r="E1658" s="333"/>
      <c r="F1658" s="333"/>
      <c r="G1658" s="333"/>
      <c r="H1658" s="333"/>
      <c r="I1658" s="331"/>
      <c r="J1658" s="331"/>
      <c r="K1658" s="339"/>
      <c r="L1658" s="332"/>
      <c r="M1658" s="339">
        <f>4.95</f>
        <v>4.95</v>
      </c>
      <c r="N1658" s="332" t="s">
        <v>39794</v>
      </c>
      <c r="O1658" s="340">
        <f t="shared" ref="O1658:O1667" si="73">ROUND(M1658,2)</f>
        <v>4.95</v>
      </c>
    </row>
    <row r="1659" spans="1:15" s="328" customFormat="1" x14ac:dyDescent="0.2">
      <c r="A1659" s="535" t="s">
        <v>39888</v>
      </c>
      <c r="B1659" s="535"/>
      <c r="C1659" s="535"/>
      <c r="D1659" s="333"/>
      <c r="E1659" s="333"/>
      <c r="F1659" s="333"/>
      <c r="G1659" s="333"/>
      <c r="H1659" s="333"/>
      <c r="I1659" s="331"/>
      <c r="J1659" s="331"/>
      <c r="K1659" s="339"/>
      <c r="L1659" s="332"/>
      <c r="M1659" s="339">
        <f>5.7</f>
        <v>5.7</v>
      </c>
      <c r="N1659" s="332" t="s">
        <v>39794</v>
      </c>
      <c r="O1659" s="340">
        <f t="shared" si="73"/>
        <v>5.7</v>
      </c>
    </row>
    <row r="1660" spans="1:15" s="328" customFormat="1" x14ac:dyDescent="0.2">
      <c r="A1660" s="535" t="s">
        <v>39889</v>
      </c>
      <c r="B1660" s="535"/>
      <c r="C1660" s="535"/>
      <c r="D1660" s="333"/>
      <c r="E1660" s="333"/>
      <c r="F1660" s="333"/>
      <c r="G1660" s="333"/>
      <c r="H1660" s="333"/>
      <c r="I1660" s="331"/>
      <c r="J1660" s="331"/>
      <c r="K1660" s="339"/>
      <c r="L1660" s="332"/>
      <c r="M1660" s="339">
        <f>5.7</f>
        <v>5.7</v>
      </c>
      <c r="N1660" s="332" t="s">
        <v>39794</v>
      </c>
      <c r="O1660" s="340">
        <f t="shared" si="73"/>
        <v>5.7</v>
      </c>
    </row>
    <row r="1661" spans="1:15" s="328" customFormat="1" x14ac:dyDescent="0.2">
      <c r="A1661" s="535" t="s">
        <v>39890</v>
      </c>
      <c r="B1661" s="535"/>
      <c r="C1661" s="535"/>
      <c r="D1661" s="333"/>
      <c r="E1661" s="333"/>
      <c r="F1661" s="333"/>
      <c r="G1661" s="333"/>
      <c r="H1661" s="333"/>
      <c r="I1661" s="331"/>
      <c r="J1661" s="331"/>
      <c r="K1661" s="339"/>
      <c r="L1661" s="332"/>
      <c r="M1661" s="339">
        <f>1.25</f>
        <v>1.25</v>
      </c>
      <c r="N1661" s="332" t="s">
        <v>39794</v>
      </c>
      <c r="O1661" s="340">
        <f t="shared" si="73"/>
        <v>1.25</v>
      </c>
    </row>
    <row r="1662" spans="1:15" s="328" customFormat="1" x14ac:dyDescent="0.2">
      <c r="A1662" s="535" t="s">
        <v>39891</v>
      </c>
      <c r="B1662" s="535"/>
      <c r="C1662" s="535"/>
      <c r="D1662" s="333"/>
      <c r="E1662" s="333"/>
      <c r="F1662" s="333"/>
      <c r="G1662" s="333"/>
      <c r="H1662" s="333"/>
      <c r="I1662" s="331"/>
      <c r="J1662" s="331"/>
      <c r="K1662" s="339"/>
      <c r="L1662" s="332"/>
      <c r="M1662" s="339">
        <f>4.45</f>
        <v>4.45</v>
      </c>
      <c r="N1662" s="332" t="s">
        <v>39794</v>
      </c>
      <c r="O1662" s="340">
        <f t="shared" si="73"/>
        <v>4.45</v>
      </c>
    </row>
    <row r="1663" spans="1:15" s="328" customFormat="1" x14ac:dyDescent="0.2">
      <c r="A1663" s="535" t="s">
        <v>39892</v>
      </c>
      <c r="B1663" s="535"/>
      <c r="C1663" s="535"/>
      <c r="D1663" s="333"/>
      <c r="E1663" s="333"/>
      <c r="F1663" s="333"/>
      <c r="G1663" s="333"/>
      <c r="H1663" s="333"/>
      <c r="I1663" s="331"/>
      <c r="J1663" s="331"/>
      <c r="K1663" s="339"/>
      <c r="L1663" s="332"/>
      <c r="M1663" s="339">
        <f>5.7</f>
        <v>5.7</v>
      </c>
      <c r="N1663" s="332" t="s">
        <v>39794</v>
      </c>
      <c r="O1663" s="340">
        <f t="shared" si="73"/>
        <v>5.7</v>
      </c>
    </row>
    <row r="1664" spans="1:15" s="328" customFormat="1" x14ac:dyDescent="0.2">
      <c r="A1664" s="535" t="s">
        <v>39893</v>
      </c>
      <c r="B1664" s="535"/>
      <c r="C1664" s="535"/>
      <c r="D1664" s="333"/>
      <c r="E1664" s="333"/>
      <c r="F1664" s="333"/>
      <c r="G1664" s="333"/>
      <c r="H1664" s="333"/>
      <c r="I1664" s="331"/>
      <c r="J1664" s="331"/>
      <c r="K1664" s="339"/>
      <c r="L1664" s="332"/>
      <c r="M1664" s="339">
        <f>5.7</f>
        <v>5.7</v>
      </c>
      <c r="N1664" s="332" t="s">
        <v>39794</v>
      </c>
      <c r="O1664" s="340">
        <f t="shared" si="73"/>
        <v>5.7</v>
      </c>
    </row>
    <row r="1665" spans="1:15" s="328" customFormat="1" x14ac:dyDescent="0.2">
      <c r="A1665" s="535" t="s">
        <v>39894</v>
      </c>
      <c r="B1665" s="535"/>
      <c r="C1665" s="535"/>
      <c r="D1665" s="333"/>
      <c r="E1665" s="333"/>
      <c r="F1665" s="333"/>
      <c r="G1665" s="333"/>
      <c r="H1665" s="333"/>
      <c r="I1665" s="331"/>
      <c r="J1665" s="331"/>
      <c r="K1665" s="339"/>
      <c r="L1665" s="332"/>
      <c r="M1665" s="339">
        <f>5.8</f>
        <v>5.8</v>
      </c>
      <c r="N1665" s="332" t="s">
        <v>39794</v>
      </c>
      <c r="O1665" s="340">
        <f t="shared" si="73"/>
        <v>5.8</v>
      </c>
    </row>
    <row r="1666" spans="1:15" s="328" customFormat="1" x14ac:dyDescent="0.2">
      <c r="A1666" s="535" t="s">
        <v>39895</v>
      </c>
      <c r="B1666" s="535"/>
      <c r="C1666" s="535"/>
      <c r="D1666" s="333"/>
      <c r="E1666" s="333"/>
      <c r="F1666" s="333"/>
      <c r="G1666" s="333"/>
      <c r="H1666" s="333"/>
      <c r="I1666" s="331"/>
      <c r="J1666" s="331"/>
      <c r="K1666" s="339"/>
      <c r="L1666" s="332"/>
      <c r="M1666" s="339">
        <f>3.2</f>
        <v>3.2</v>
      </c>
      <c r="N1666" s="332" t="s">
        <v>39794</v>
      </c>
      <c r="O1666" s="340">
        <f t="shared" si="73"/>
        <v>3.2</v>
      </c>
    </row>
    <row r="1667" spans="1:15" s="328" customFormat="1" x14ac:dyDescent="0.2">
      <c r="A1667" s="535" t="s">
        <v>39896</v>
      </c>
      <c r="B1667" s="535"/>
      <c r="C1667" s="535"/>
      <c r="D1667" s="333"/>
      <c r="E1667" s="333"/>
      <c r="F1667" s="333"/>
      <c r="G1667" s="333"/>
      <c r="H1667" s="333"/>
      <c r="I1667" s="331"/>
      <c r="J1667" s="331"/>
      <c r="K1667" s="339"/>
      <c r="L1667" s="332"/>
      <c r="M1667" s="339">
        <f>3.2</f>
        <v>3.2</v>
      </c>
      <c r="N1667" s="332" t="s">
        <v>39794</v>
      </c>
      <c r="O1667" s="340">
        <f t="shared" si="73"/>
        <v>3.2</v>
      </c>
    </row>
    <row r="1668" spans="1:15" s="328" customFormat="1" x14ac:dyDescent="0.2">
      <c r="A1668" s="540"/>
      <c r="B1668" s="540"/>
      <c r="C1668" s="540"/>
      <c r="D1668" s="540"/>
      <c r="E1668" s="540"/>
      <c r="F1668" s="540"/>
      <c r="G1668" s="540"/>
      <c r="H1668" s="540"/>
      <c r="I1668" s="540"/>
      <c r="J1668" s="540"/>
      <c r="K1668" s="540"/>
      <c r="L1668" s="334" t="s">
        <v>39796</v>
      </c>
      <c r="M1668" s="334" t="s">
        <v>39168</v>
      </c>
      <c r="N1668" s="333" t="s">
        <v>39794</v>
      </c>
      <c r="O1668" s="334">
        <f>SUM(O1652:O1667)</f>
        <v>59.250000000000007</v>
      </c>
    </row>
    <row r="1669" spans="1:15" s="328" customFormat="1" x14ac:dyDescent="0.2">
      <c r="A1669" s="329" t="s">
        <v>39791</v>
      </c>
      <c r="B1669" s="542" t="s">
        <v>5917</v>
      </c>
      <c r="C1669" s="542"/>
      <c r="D1669" s="542"/>
      <c r="E1669" s="542"/>
      <c r="F1669" s="542"/>
      <c r="G1669" s="542"/>
      <c r="H1669" s="542"/>
      <c r="I1669" s="542"/>
      <c r="J1669" s="542"/>
      <c r="K1669" s="542"/>
      <c r="L1669" s="542"/>
      <c r="M1669" s="542"/>
      <c r="N1669" s="329" t="s">
        <v>39197</v>
      </c>
      <c r="O1669" s="330" t="s">
        <v>39792</v>
      </c>
    </row>
    <row r="1670" spans="1:15" s="328" customFormat="1" ht="12.75" customHeight="1" x14ac:dyDescent="0.2">
      <c r="A1670" s="331" t="str">
        <f>ORCAMENTO!A288</f>
        <v>13.2.9</v>
      </c>
      <c r="B1670" s="543" t="str">
        <f>VLOOKUP(A1670,ORCAMENTO!A:I,4,0)</f>
        <v>RODAPÉ INDUSTRIAL MONOLÍTICO H= 10cm</v>
      </c>
      <c r="C1670" s="543"/>
      <c r="D1670" s="543"/>
      <c r="E1670" s="543"/>
      <c r="F1670" s="543"/>
      <c r="G1670" s="543"/>
      <c r="H1670" s="543"/>
      <c r="I1670" s="543"/>
      <c r="J1670" s="543"/>
      <c r="K1670" s="543"/>
      <c r="L1670" s="543"/>
      <c r="M1670" s="543"/>
      <c r="N1670" s="331" t="str">
        <f>VLOOKUP(A1670,ORCAMENTO!A:I,5,0)</f>
        <v>M</v>
      </c>
      <c r="O1670" s="332">
        <f>O1694</f>
        <v>279.51</v>
      </c>
    </row>
    <row r="1671" spans="1:15" s="328" customFormat="1" x14ac:dyDescent="0.2">
      <c r="A1671" s="539" t="s">
        <v>39793</v>
      </c>
      <c r="B1671" s="539"/>
      <c r="C1671" s="539"/>
      <c r="D1671" s="539"/>
      <c r="E1671" s="539"/>
      <c r="F1671" s="539"/>
      <c r="G1671" s="539"/>
      <c r="H1671" s="539"/>
      <c r="I1671" s="539"/>
      <c r="J1671" s="539"/>
      <c r="K1671" s="539"/>
      <c r="L1671" s="539"/>
      <c r="M1671" s="539"/>
      <c r="N1671" s="539"/>
      <c r="O1671" s="539"/>
    </row>
    <row r="1672" spans="1:15" s="328" customFormat="1" x14ac:dyDescent="0.2">
      <c r="A1672" s="539" t="s">
        <v>5917</v>
      </c>
      <c r="B1672" s="539"/>
      <c r="C1672" s="539"/>
      <c r="D1672" s="333"/>
      <c r="E1672" s="333"/>
      <c r="F1672" s="333"/>
      <c r="G1672" s="333"/>
      <c r="H1672" s="333"/>
      <c r="I1672" s="331"/>
      <c r="J1672" s="331"/>
      <c r="K1672" s="333"/>
      <c r="L1672" s="333"/>
      <c r="M1672" s="333" t="s">
        <v>39885</v>
      </c>
      <c r="N1672" s="333" t="s">
        <v>39794</v>
      </c>
      <c r="O1672" s="333" t="s">
        <v>39795</v>
      </c>
    </row>
    <row r="1673" spans="1:15" s="328" customFormat="1" x14ac:dyDescent="0.2">
      <c r="A1673" s="534" t="s">
        <v>39862</v>
      </c>
      <c r="B1673" s="535"/>
      <c r="C1673" s="535"/>
      <c r="D1673" s="333"/>
      <c r="E1673" s="333"/>
      <c r="F1673" s="333"/>
      <c r="G1673" s="333"/>
      <c r="H1673" s="333"/>
      <c r="I1673" s="331"/>
      <c r="J1673" s="331"/>
      <c r="K1673" s="339"/>
      <c r="L1673" s="332"/>
      <c r="M1673" s="339">
        <f>28.75</f>
        <v>28.75</v>
      </c>
      <c r="N1673" s="332" t="s">
        <v>39794</v>
      </c>
      <c r="O1673" s="340">
        <f t="shared" ref="O1673:O1681" si="74">ROUND(M1673,2)</f>
        <v>28.75</v>
      </c>
    </row>
    <row r="1674" spans="1:15" s="328" customFormat="1" x14ac:dyDescent="0.2">
      <c r="A1674" s="534" t="s">
        <v>39863</v>
      </c>
      <c r="B1674" s="535"/>
      <c r="C1674" s="535"/>
      <c r="D1674" s="333"/>
      <c r="E1674" s="333"/>
      <c r="F1674" s="333"/>
      <c r="G1674" s="333"/>
      <c r="H1674" s="333"/>
      <c r="I1674" s="331"/>
      <c r="J1674" s="331"/>
      <c r="K1674" s="339"/>
      <c r="L1674" s="332"/>
      <c r="M1674" s="339">
        <f>28.8</f>
        <v>28.8</v>
      </c>
      <c r="N1674" s="332" t="s">
        <v>39794</v>
      </c>
      <c r="O1674" s="340">
        <f t="shared" si="74"/>
        <v>28.8</v>
      </c>
    </row>
    <row r="1675" spans="1:15" s="328" customFormat="1" x14ac:dyDescent="0.2">
      <c r="A1675" s="534" t="s">
        <v>39864</v>
      </c>
      <c r="B1675" s="535"/>
      <c r="C1675" s="535"/>
      <c r="D1675" s="333"/>
      <c r="E1675" s="333"/>
      <c r="F1675" s="333"/>
      <c r="G1675" s="333"/>
      <c r="H1675" s="333"/>
      <c r="I1675" s="331"/>
      <c r="J1675" s="331"/>
      <c r="K1675" s="339"/>
      <c r="L1675" s="332"/>
      <c r="M1675" s="339">
        <f>29.1</f>
        <v>29.1</v>
      </c>
      <c r="N1675" s="332" t="s">
        <v>39794</v>
      </c>
      <c r="O1675" s="340">
        <f t="shared" si="74"/>
        <v>29.1</v>
      </c>
    </row>
    <row r="1676" spans="1:15" s="328" customFormat="1" x14ac:dyDescent="0.2">
      <c r="A1676" s="534" t="s">
        <v>39865</v>
      </c>
      <c r="B1676" s="535"/>
      <c r="C1676" s="535"/>
      <c r="D1676" s="333"/>
      <c r="E1676" s="333"/>
      <c r="F1676" s="333"/>
      <c r="G1676" s="333"/>
      <c r="H1676" s="333"/>
      <c r="I1676" s="331"/>
      <c r="J1676" s="331"/>
      <c r="K1676" s="339"/>
      <c r="L1676" s="332"/>
      <c r="M1676" s="339">
        <f>14.5</f>
        <v>14.5</v>
      </c>
      <c r="N1676" s="332" t="s">
        <v>39794</v>
      </c>
      <c r="O1676" s="340">
        <f t="shared" si="74"/>
        <v>14.5</v>
      </c>
    </row>
    <row r="1677" spans="1:15" s="328" customFormat="1" x14ac:dyDescent="0.2">
      <c r="A1677" s="534" t="s">
        <v>39866</v>
      </c>
      <c r="B1677" s="535"/>
      <c r="C1677" s="535"/>
      <c r="D1677" s="333"/>
      <c r="E1677" s="333"/>
      <c r="F1677" s="333"/>
      <c r="G1677" s="333"/>
      <c r="H1677" s="333"/>
      <c r="I1677" s="331"/>
      <c r="J1677" s="331"/>
      <c r="K1677" s="339"/>
      <c r="L1677" s="332"/>
      <c r="M1677" s="339">
        <f>28.8</f>
        <v>28.8</v>
      </c>
      <c r="N1677" s="332" t="s">
        <v>39794</v>
      </c>
      <c r="O1677" s="340">
        <f t="shared" si="74"/>
        <v>28.8</v>
      </c>
    </row>
    <row r="1678" spans="1:15" s="328" customFormat="1" x14ac:dyDescent="0.2">
      <c r="A1678" s="534" t="s">
        <v>39867</v>
      </c>
      <c r="B1678" s="535"/>
      <c r="C1678" s="535"/>
      <c r="D1678" s="333"/>
      <c r="E1678" s="333"/>
      <c r="F1678" s="333"/>
      <c r="G1678" s="333"/>
      <c r="H1678" s="333"/>
      <c r="I1678" s="331"/>
      <c r="J1678" s="331"/>
      <c r="K1678" s="339"/>
      <c r="L1678" s="332"/>
      <c r="M1678" s="339">
        <f>29.1</f>
        <v>29.1</v>
      </c>
      <c r="N1678" s="332" t="s">
        <v>39794</v>
      </c>
      <c r="O1678" s="340">
        <f t="shared" si="74"/>
        <v>29.1</v>
      </c>
    </row>
    <row r="1679" spans="1:15" s="328" customFormat="1" x14ac:dyDescent="0.2">
      <c r="A1679" s="534" t="s">
        <v>39865</v>
      </c>
      <c r="B1679" s="535"/>
      <c r="C1679" s="535"/>
      <c r="D1679" s="333"/>
      <c r="E1679" s="333"/>
      <c r="F1679" s="333"/>
      <c r="G1679" s="333"/>
      <c r="H1679" s="333"/>
      <c r="I1679" s="331"/>
      <c r="J1679" s="331"/>
      <c r="K1679" s="339"/>
      <c r="L1679" s="332"/>
      <c r="M1679" s="339">
        <f>14.5</f>
        <v>14.5</v>
      </c>
      <c r="N1679" s="332" t="s">
        <v>39794</v>
      </c>
      <c r="O1679" s="340">
        <f t="shared" si="74"/>
        <v>14.5</v>
      </c>
    </row>
    <row r="1680" spans="1:15" s="328" customFormat="1" x14ac:dyDescent="0.2">
      <c r="A1680" s="534" t="s">
        <v>39897</v>
      </c>
      <c r="B1680" s="535"/>
      <c r="C1680" s="535"/>
      <c r="D1680" s="333"/>
      <c r="E1680" s="333"/>
      <c r="F1680" s="333"/>
      <c r="G1680" s="333"/>
      <c r="H1680" s="333"/>
      <c r="I1680" s="331"/>
      <c r="J1680" s="331"/>
      <c r="K1680" s="339"/>
      <c r="L1680" s="332"/>
      <c r="M1680" s="339">
        <f>29.1</f>
        <v>29.1</v>
      </c>
      <c r="N1680" s="332" t="s">
        <v>39794</v>
      </c>
      <c r="O1680" s="340">
        <f t="shared" si="74"/>
        <v>29.1</v>
      </c>
    </row>
    <row r="1681" spans="1:15" s="328" customFormat="1" x14ac:dyDescent="0.2">
      <c r="A1681" s="534" t="s">
        <v>39865</v>
      </c>
      <c r="B1681" s="535"/>
      <c r="C1681" s="535"/>
      <c r="D1681" s="333"/>
      <c r="E1681" s="333"/>
      <c r="F1681" s="333"/>
      <c r="G1681" s="333"/>
      <c r="H1681" s="333"/>
      <c r="I1681" s="331"/>
      <c r="J1681" s="331"/>
      <c r="K1681" s="339"/>
      <c r="L1681" s="332"/>
      <c r="M1681" s="339">
        <f>14.5</f>
        <v>14.5</v>
      </c>
      <c r="N1681" s="332" t="s">
        <v>39794</v>
      </c>
      <c r="O1681" s="340">
        <f t="shared" si="74"/>
        <v>14.5</v>
      </c>
    </row>
    <row r="1682" spans="1:15" s="328" customFormat="1" x14ac:dyDescent="0.2">
      <c r="A1682" s="539" t="s">
        <v>5917</v>
      </c>
      <c r="B1682" s="539"/>
      <c r="C1682" s="539"/>
      <c r="D1682" s="333"/>
      <c r="E1682" s="333"/>
      <c r="F1682" s="333"/>
      <c r="G1682" s="333"/>
      <c r="H1682" s="333"/>
      <c r="I1682" s="331"/>
      <c r="J1682" s="331"/>
      <c r="K1682" s="333"/>
      <c r="L1682" s="333"/>
      <c r="M1682" s="333" t="s">
        <v>39802</v>
      </c>
      <c r="N1682" s="333" t="s">
        <v>39794</v>
      </c>
      <c r="O1682" s="333" t="s">
        <v>39795</v>
      </c>
    </row>
    <row r="1683" spans="1:15" s="328" customFormat="1" x14ac:dyDescent="0.2">
      <c r="A1683" s="535" t="s">
        <v>39886</v>
      </c>
      <c r="B1683" s="535"/>
      <c r="C1683" s="535"/>
      <c r="D1683" s="333"/>
      <c r="E1683" s="333"/>
      <c r="F1683" s="333"/>
      <c r="G1683" s="333"/>
      <c r="H1683" s="333"/>
      <c r="I1683" s="331"/>
      <c r="J1683" s="331"/>
      <c r="K1683" s="339"/>
      <c r="L1683" s="332"/>
      <c r="M1683" s="339">
        <f>30.18</f>
        <v>30.18</v>
      </c>
      <c r="N1683" s="332" t="s">
        <v>39794</v>
      </c>
      <c r="O1683" s="340">
        <f t="shared" ref="O1683:O1693" si="75">ROUND(M1683,2)</f>
        <v>30.18</v>
      </c>
    </row>
    <row r="1684" spans="1:15" s="328" customFormat="1" x14ac:dyDescent="0.2">
      <c r="A1684" s="535" t="s">
        <v>39887</v>
      </c>
      <c r="B1684" s="535"/>
      <c r="C1684" s="535"/>
      <c r="D1684" s="333"/>
      <c r="E1684" s="333"/>
      <c r="F1684" s="333"/>
      <c r="G1684" s="333"/>
      <c r="H1684" s="333"/>
      <c r="I1684" s="331"/>
      <c r="J1684" s="331"/>
      <c r="K1684" s="339"/>
      <c r="L1684" s="332"/>
      <c r="M1684" s="339">
        <f>5.93</f>
        <v>5.93</v>
      </c>
      <c r="N1684" s="332" t="s">
        <v>39794</v>
      </c>
      <c r="O1684" s="340">
        <f t="shared" si="75"/>
        <v>5.93</v>
      </c>
    </row>
    <row r="1685" spans="1:15" s="328" customFormat="1" x14ac:dyDescent="0.2">
      <c r="A1685" s="535" t="s">
        <v>39888</v>
      </c>
      <c r="B1685" s="535"/>
      <c r="C1685" s="535"/>
      <c r="D1685" s="333"/>
      <c r="E1685" s="333"/>
      <c r="F1685" s="333"/>
      <c r="G1685" s="333"/>
      <c r="H1685" s="333"/>
      <c r="I1685" s="331"/>
      <c r="J1685" s="331"/>
      <c r="K1685" s="339"/>
      <c r="L1685" s="332"/>
      <c r="M1685" s="339">
        <f>0.15</f>
        <v>0.15</v>
      </c>
      <c r="N1685" s="332" t="s">
        <v>39794</v>
      </c>
      <c r="O1685" s="340">
        <f t="shared" si="75"/>
        <v>0.15</v>
      </c>
    </row>
    <row r="1686" spans="1:15" s="328" customFormat="1" x14ac:dyDescent="0.2">
      <c r="A1686" s="535" t="s">
        <v>39889</v>
      </c>
      <c r="B1686" s="535"/>
      <c r="C1686" s="535"/>
      <c r="D1686" s="333"/>
      <c r="E1686" s="333"/>
      <c r="F1686" s="333"/>
      <c r="G1686" s="333"/>
      <c r="H1686" s="333"/>
      <c r="I1686" s="331"/>
      <c r="J1686" s="331"/>
      <c r="K1686" s="339"/>
      <c r="L1686" s="332"/>
      <c r="M1686" s="339">
        <f>1.15</f>
        <v>1.1499999999999999</v>
      </c>
      <c r="N1686" s="332" t="s">
        <v>39794</v>
      </c>
      <c r="O1686" s="340">
        <f t="shared" si="75"/>
        <v>1.1499999999999999</v>
      </c>
    </row>
    <row r="1687" spans="1:15" s="328" customFormat="1" x14ac:dyDescent="0.2">
      <c r="A1687" s="535" t="s">
        <v>39890</v>
      </c>
      <c r="B1687" s="535"/>
      <c r="C1687" s="535"/>
      <c r="D1687" s="333"/>
      <c r="E1687" s="333"/>
      <c r="F1687" s="333"/>
      <c r="G1687" s="333"/>
      <c r="H1687" s="333"/>
      <c r="I1687" s="331"/>
      <c r="J1687" s="331"/>
      <c r="K1687" s="339"/>
      <c r="L1687" s="332"/>
      <c r="M1687" s="339">
        <f>7.4</f>
        <v>7.4</v>
      </c>
      <c r="N1687" s="332" t="s">
        <v>39794</v>
      </c>
      <c r="O1687" s="340">
        <f t="shared" si="75"/>
        <v>7.4</v>
      </c>
    </row>
    <row r="1688" spans="1:15" s="328" customFormat="1" x14ac:dyDescent="0.2">
      <c r="A1688" s="535" t="s">
        <v>39891</v>
      </c>
      <c r="B1688" s="535"/>
      <c r="C1688" s="535"/>
      <c r="D1688" s="333"/>
      <c r="E1688" s="333"/>
      <c r="F1688" s="333"/>
      <c r="G1688" s="333"/>
      <c r="H1688" s="333"/>
      <c r="I1688" s="331"/>
      <c r="J1688" s="331"/>
      <c r="K1688" s="339"/>
      <c r="L1688" s="332"/>
      <c r="M1688" s="339">
        <f>0.15</f>
        <v>0.15</v>
      </c>
      <c r="N1688" s="332" t="s">
        <v>39794</v>
      </c>
      <c r="O1688" s="340">
        <f t="shared" si="75"/>
        <v>0.15</v>
      </c>
    </row>
    <row r="1689" spans="1:15" s="328" customFormat="1" x14ac:dyDescent="0.2">
      <c r="A1689" s="535" t="s">
        <v>39892</v>
      </c>
      <c r="B1689" s="535"/>
      <c r="C1689" s="535"/>
      <c r="D1689" s="333"/>
      <c r="E1689" s="333"/>
      <c r="F1689" s="333"/>
      <c r="G1689" s="333"/>
      <c r="H1689" s="333"/>
      <c r="I1689" s="331"/>
      <c r="J1689" s="331"/>
      <c r="K1689" s="339"/>
      <c r="L1689" s="332"/>
      <c r="M1689" s="339">
        <f>8.55</f>
        <v>8.5500000000000007</v>
      </c>
      <c r="N1689" s="332" t="s">
        <v>39794</v>
      </c>
      <c r="O1689" s="340">
        <f t="shared" si="75"/>
        <v>8.5500000000000007</v>
      </c>
    </row>
    <row r="1690" spans="1:15" s="328" customFormat="1" x14ac:dyDescent="0.2">
      <c r="A1690" s="535" t="s">
        <v>39893</v>
      </c>
      <c r="B1690" s="535"/>
      <c r="C1690" s="535"/>
      <c r="D1690" s="333"/>
      <c r="E1690" s="333"/>
      <c r="F1690" s="333"/>
      <c r="G1690" s="333"/>
      <c r="H1690" s="333"/>
      <c r="I1690" s="331"/>
      <c r="J1690" s="331"/>
      <c r="K1690" s="339"/>
      <c r="L1690" s="332"/>
      <c r="M1690" s="339">
        <f>0.15</f>
        <v>0.15</v>
      </c>
      <c r="N1690" s="332" t="s">
        <v>39794</v>
      </c>
      <c r="O1690" s="340">
        <f t="shared" si="75"/>
        <v>0.15</v>
      </c>
    </row>
    <row r="1691" spans="1:15" s="328" customFormat="1" x14ac:dyDescent="0.2">
      <c r="A1691" s="535" t="s">
        <v>39894</v>
      </c>
      <c r="B1691" s="535"/>
      <c r="C1691" s="535"/>
      <c r="D1691" s="333"/>
      <c r="E1691" s="333"/>
      <c r="F1691" s="333"/>
      <c r="G1691" s="333"/>
      <c r="H1691" s="333"/>
      <c r="I1691" s="331"/>
      <c r="J1691" s="331"/>
      <c r="K1691" s="339"/>
      <c r="L1691" s="332"/>
      <c r="M1691" s="339">
        <f>0.15</f>
        <v>0.15</v>
      </c>
      <c r="N1691" s="332" t="s">
        <v>39794</v>
      </c>
      <c r="O1691" s="340">
        <f t="shared" si="75"/>
        <v>0.15</v>
      </c>
    </row>
    <row r="1692" spans="1:15" s="328" customFormat="1" x14ac:dyDescent="0.2">
      <c r="A1692" s="535" t="s">
        <v>39895</v>
      </c>
      <c r="B1692" s="535"/>
      <c r="C1692" s="535"/>
      <c r="D1692" s="333"/>
      <c r="E1692" s="333"/>
      <c r="F1692" s="333"/>
      <c r="G1692" s="333"/>
      <c r="H1692" s="333"/>
      <c r="I1692" s="331"/>
      <c r="J1692" s="331"/>
      <c r="K1692" s="339"/>
      <c r="L1692" s="332"/>
      <c r="M1692" s="339">
        <f>5.85</f>
        <v>5.85</v>
      </c>
      <c r="N1692" s="332" t="s">
        <v>39794</v>
      </c>
      <c r="O1692" s="340">
        <f t="shared" si="75"/>
        <v>5.85</v>
      </c>
    </row>
    <row r="1693" spans="1:15" s="328" customFormat="1" x14ac:dyDescent="0.2">
      <c r="A1693" s="535" t="s">
        <v>39896</v>
      </c>
      <c r="B1693" s="535"/>
      <c r="C1693" s="535"/>
      <c r="D1693" s="333"/>
      <c r="E1693" s="333"/>
      <c r="F1693" s="333"/>
      <c r="G1693" s="333"/>
      <c r="H1693" s="333"/>
      <c r="I1693" s="331"/>
      <c r="J1693" s="331"/>
      <c r="K1693" s="339"/>
      <c r="L1693" s="332"/>
      <c r="M1693" s="339">
        <f>2.7</f>
        <v>2.7</v>
      </c>
      <c r="N1693" s="332" t="s">
        <v>39794</v>
      </c>
      <c r="O1693" s="340">
        <f t="shared" si="75"/>
        <v>2.7</v>
      </c>
    </row>
    <row r="1694" spans="1:15" s="328" customFormat="1" x14ac:dyDescent="0.2">
      <c r="A1694" s="540"/>
      <c r="B1694" s="540"/>
      <c r="C1694" s="540"/>
      <c r="D1694" s="540"/>
      <c r="E1694" s="540"/>
      <c r="F1694" s="540"/>
      <c r="G1694" s="540"/>
      <c r="H1694" s="540"/>
      <c r="I1694" s="540"/>
      <c r="J1694" s="540"/>
      <c r="K1694" s="540"/>
      <c r="L1694" s="334" t="s">
        <v>39796</v>
      </c>
      <c r="M1694" s="334" t="s">
        <v>39168</v>
      </c>
      <c r="N1694" s="333" t="s">
        <v>39794</v>
      </c>
      <c r="O1694" s="334">
        <f>SUM(O1672:O1693)</f>
        <v>279.51</v>
      </c>
    </row>
    <row r="1695" spans="1:15" s="328" customFormat="1" x14ac:dyDescent="0.2">
      <c r="A1695" s="329" t="s">
        <v>39791</v>
      </c>
      <c r="B1695" s="542" t="s">
        <v>5917</v>
      </c>
      <c r="C1695" s="542"/>
      <c r="D1695" s="542"/>
      <c r="E1695" s="542"/>
      <c r="F1695" s="542"/>
      <c r="G1695" s="542"/>
      <c r="H1695" s="542"/>
      <c r="I1695" s="542"/>
      <c r="J1695" s="542"/>
      <c r="K1695" s="542"/>
      <c r="L1695" s="542"/>
      <c r="M1695" s="542"/>
      <c r="N1695" s="329" t="s">
        <v>39197</v>
      </c>
      <c r="O1695" s="330" t="s">
        <v>39792</v>
      </c>
    </row>
    <row r="1696" spans="1:15" s="328" customFormat="1" ht="12.75" customHeight="1" x14ac:dyDescent="0.2">
      <c r="A1696" s="331" t="str">
        <f>ORCAMENTO!A289</f>
        <v>13.2.10</v>
      </c>
      <c r="B1696" s="543" t="str">
        <f>VLOOKUP(A1696,ORCAMENTO!A:I,4,0)</f>
        <v>PISO PODOTÁTIL DE ALERTA OU DIRECIONAL, DE BORRACHA, ASSENTADO SOBRE ARGAMASSA. AF_05/2020</v>
      </c>
      <c r="C1696" s="543"/>
      <c r="D1696" s="543"/>
      <c r="E1696" s="543"/>
      <c r="F1696" s="543"/>
      <c r="G1696" s="543"/>
      <c r="H1696" s="543"/>
      <c r="I1696" s="543"/>
      <c r="J1696" s="543"/>
      <c r="K1696" s="543"/>
      <c r="L1696" s="543"/>
      <c r="M1696" s="543"/>
      <c r="N1696" s="331" t="str">
        <f>VLOOKUP(A1696,ORCAMENTO!A:I,5,0)</f>
        <v>M</v>
      </c>
      <c r="O1696" s="332">
        <f>O1741</f>
        <v>77.5</v>
      </c>
    </row>
    <row r="1697" spans="1:15" s="328" customFormat="1" x14ac:dyDescent="0.2">
      <c r="A1697" s="539" t="s">
        <v>39793</v>
      </c>
      <c r="B1697" s="539"/>
      <c r="C1697" s="539"/>
      <c r="D1697" s="539"/>
      <c r="E1697" s="539"/>
      <c r="F1697" s="539"/>
      <c r="G1697" s="539"/>
      <c r="H1697" s="539"/>
      <c r="I1697" s="539"/>
      <c r="J1697" s="539"/>
      <c r="K1697" s="539"/>
      <c r="L1697" s="539"/>
      <c r="M1697" s="539"/>
      <c r="N1697" s="539"/>
      <c r="O1697" s="539"/>
    </row>
    <row r="1698" spans="1:15" s="328" customFormat="1" x14ac:dyDescent="0.2">
      <c r="A1698" s="539" t="s">
        <v>5917</v>
      </c>
      <c r="B1698" s="539"/>
      <c r="C1698" s="539"/>
      <c r="D1698" s="333"/>
      <c r="E1698" s="333"/>
      <c r="F1698" s="333"/>
      <c r="G1698" s="333"/>
      <c r="H1698" s="333"/>
      <c r="I1698" s="331"/>
      <c r="J1698" s="331"/>
      <c r="K1698" s="333"/>
      <c r="L1698" s="333"/>
      <c r="M1698" s="333" t="s">
        <v>39802</v>
      </c>
      <c r="N1698" s="333" t="s">
        <v>39794</v>
      </c>
      <c r="O1698" s="333" t="s">
        <v>39795</v>
      </c>
    </row>
    <row r="1699" spans="1:15" s="328" customFormat="1" x14ac:dyDescent="0.2">
      <c r="A1699" s="535" t="s">
        <v>39855</v>
      </c>
      <c r="B1699" s="535"/>
      <c r="C1699" s="535"/>
      <c r="D1699" s="333"/>
      <c r="E1699" s="333"/>
      <c r="F1699" s="333"/>
      <c r="G1699" s="333"/>
      <c r="H1699" s="333"/>
      <c r="I1699" s="331"/>
      <c r="J1699" s="331"/>
      <c r="K1699" s="339"/>
      <c r="L1699" s="332"/>
      <c r="M1699" s="339">
        <f>4.25</f>
        <v>4.25</v>
      </c>
      <c r="N1699" s="332" t="s">
        <v>39794</v>
      </c>
      <c r="O1699" s="340">
        <f t="shared" ref="O1699:O1718" si="76">ROUND(M1699,2)</f>
        <v>4.25</v>
      </c>
    </row>
    <row r="1700" spans="1:15" s="328" customFormat="1" x14ac:dyDescent="0.2">
      <c r="A1700" s="535" t="s">
        <v>39856</v>
      </c>
      <c r="B1700" s="535"/>
      <c r="C1700" s="535"/>
      <c r="D1700" s="333"/>
      <c r="E1700" s="333"/>
      <c r="F1700" s="333"/>
      <c r="G1700" s="333"/>
      <c r="H1700" s="333"/>
      <c r="I1700" s="331"/>
      <c r="J1700" s="331"/>
      <c r="K1700" s="339"/>
      <c r="L1700" s="332"/>
      <c r="M1700" s="339">
        <f>0.5</f>
        <v>0.5</v>
      </c>
      <c r="N1700" s="332" t="s">
        <v>39794</v>
      </c>
      <c r="O1700" s="340">
        <f t="shared" si="76"/>
        <v>0.5</v>
      </c>
    </row>
    <row r="1701" spans="1:15" s="328" customFormat="1" x14ac:dyDescent="0.2">
      <c r="A1701" s="535" t="s">
        <v>39857</v>
      </c>
      <c r="B1701" s="535"/>
      <c r="C1701" s="535"/>
      <c r="D1701" s="333"/>
      <c r="E1701" s="333"/>
      <c r="F1701" s="333"/>
      <c r="G1701" s="333"/>
      <c r="H1701" s="333"/>
      <c r="I1701" s="331"/>
      <c r="J1701" s="331"/>
      <c r="K1701" s="339"/>
      <c r="L1701" s="332"/>
      <c r="M1701" s="339">
        <f>1.5</f>
        <v>1.5</v>
      </c>
      <c r="N1701" s="332" t="s">
        <v>39794</v>
      </c>
      <c r="O1701" s="340">
        <f t="shared" si="76"/>
        <v>1.5</v>
      </c>
    </row>
    <row r="1702" spans="1:15" s="328" customFormat="1" x14ac:dyDescent="0.2">
      <c r="A1702" s="535" t="s">
        <v>39898</v>
      </c>
      <c r="B1702" s="535"/>
      <c r="C1702" s="535"/>
      <c r="D1702" s="333"/>
      <c r="E1702" s="333"/>
      <c r="F1702" s="333"/>
      <c r="G1702" s="333"/>
      <c r="H1702" s="333"/>
      <c r="I1702" s="331"/>
      <c r="J1702" s="331"/>
      <c r="K1702" s="339"/>
      <c r="L1702" s="332"/>
      <c r="M1702" s="339">
        <f>0.5</f>
        <v>0.5</v>
      </c>
      <c r="N1702" s="332" t="s">
        <v>39794</v>
      </c>
      <c r="O1702" s="340">
        <f t="shared" si="76"/>
        <v>0.5</v>
      </c>
    </row>
    <row r="1703" spans="1:15" s="328" customFormat="1" x14ac:dyDescent="0.2">
      <c r="A1703" s="535" t="s">
        <v>39899</v>
      </c>
      <c r="B1703" s="535"/>
      <c r="C1703" s="535"/>
      <c r="D1703" s="333"/>
      <c r="E1703" s="333"/>
      <c r="F1703" s="333"/>
      <c r="G1703" s="333"/>
      <c r="H1703" s="333"/>
      <c r="I1703" s="331"/>
      <c r="J1703" s="331"/>
      <c r="K1703" s="339"/>
      <c r="L1703" s="332"/>
      <c r="M1703" s="339">
        <f>2.75</f>
        <v>2.75</v>
      </c>
      <c r="N1703" s="332" t="s">
        <v>39794</v>
      </c>
      <c r="O1703" s="340">
        <f t="shared" si="76"/>
        <v>2.75</v>
      </c>
    </row>
    <row r="1704" spans="1:15" s="328" customFormat="1" x14ac:dyDescent="0.2">
      <c r="A1704" s="535" t="s">
        <v>39900</v>
      </c>
      <c r="B1704" s="535"/>
      <c r="C1704" s="535"/>
      <c r="D1704" s="333"/>
      <c r="E1704" s="333"/>
      <c r="F1704" s="333"/>
      <c r="G1704" s="333"/>
      <c r="H1704" s="333"/>
      <c r="I1704" s="331"/>
      <c r="J1704" s="331"/>
      <c r="K1704" s="339"/>
      <c r="L1704" s="332"/>
      <c r="M1704" s="339">
        <f>1</f>
        <v>1</v>
      </c>
      <c r="N1704" s="332" t="s">
        <v>39794</v>
      </c>
      <c r="O1704" s="340">
        <f t="shared" si="76"/>
        <v>1</v>
      </c>
    </row>
    <row r="1705" spans="1:15" s="328" customFormat="1" x14ac:dyDescent="0.2">
      <c r="A1705" s="535" t="s">
        <v>39901</v>
      </c>
      <c r="B1705" s="535"/>
      <c r="C1705" s="535"/>
      <c r="D1705" s="333"/>
      <c r="E1705" s="333"/>
      <c r="F1705" s="333"/>
      <c r="G1705" s="333"/>
      <c r="H1705" s="333"/>
      <c r="I1705" s="331"/>
      <c r="J1705" s="331"/>
      <c r="K1705" s="339"/>
      <c r="L1705" s="332"/>
      <c r="M1705" s="339">
        <f>2</f>
        <v>2</v>
      </c>
      <c r="N1705" s="332" t="s">
        <v>39794</v>
      </c>
      <c r="O1705" s="340">
        <f t="shared" si="76"/>
        <v>2</v>
      </c>
    </row>
    <row r="1706" spans="1:15" s="328" customFormat="1" x14ac:dyDescent="0.2">
      <c r="A1706" s="535" t="s">
        <v>39902</v>
      </c>
      <c r="B1706" s="535"/>
      <c r="C1706" s="535"/>
      <c r="D1706" s="333"/>
      <c r="E1706" s="333"/>
      <c r="F1706" s="333"/>
      <c r="G1706" s="333"/>
      <c r="H1706" s="333"/>
      <c r="I1706" s="331"/>
      <c r="J1706" s="331"/>
      <c r="K1706" s="339"/>
      <c r="L1706" s="332"/>
      <c r="M1706" s="339">
        <f>2</f>
        <v>2</v>
      </c>
      <c r="N1706" s="332" t="s">
        <v>39794</v>
      </c>
      <c r="O1706" s="340">
        <f t="shared" si="76"/>
        <v>2</v>
      </c>
    </row>
    <row r="1707" spans="1:15" s="328" customFormat="1" x14ac:dyDescent="0.2">
      <c r="A1707" s="535" t="s">
        <v>39903</v>
      </c>
      <c r="B1707" s="535"/>
      <c r="C1707" s="535"/>
      <c r="D1707" s="333"/>
      <c r="E1707" s="333"/>
      <c r="F1707" s="333"/>
      <c r="G1707" s="333"/>
      <c r="H1707" s="333"/>
      <c r="I1707" s="331"/>
      <c r="J1707" s="331"/>
      <c r="K1707" s="339"/>
      <c r="L1707" s="332"/>
      <c r="M1707" s="339">
        <f>2.75</f>
        <v>2.75</v>
      </c>
      <c r="N1707" s="332" t="s">
        <v>39794</v>
      </c>
      <c r="O1707" s="340">
        <f t="shared" si="76"/>
        <v>2.75</v>
      </c>
    </row>
    <row r="1708" spans="1:15" s="328" customFormat="1" x14ac:dyDescent="0.2">
      <c r="A1708" s="535" t="s">
        <v>39904</v>
      </c>
      <c r="B1708" s="535"/>
      <c r="C1708" s="535"/>
      <c r="D1708" s="333"/>
      <c r="E1708" s="333"/>
      <c r="F1708" s="333"/>
      <c r="G1708" s="333"/>
      <c r="H1708" s="333"/>
      <c r="I1708" s="331"/>
      <c r="J1708" s="331"/>
      <c r="K1708" s="339"/>
      <c r="L1708" s="332"/>
      <c r="M1708" s="339">
        <f>1</f>
        <v>1</v>
      </c>
      <c r="N1708" s="332" t="s">
        <v>39794</v>
      </c>
      <c r="O1708" s="340">
        <f t="shared" si="76"/>
        <v>1</v>
      </c>
    </row>
    <row r="1709" spans="1:15" s="328" customFormat="1" x14ac:dyDescent="0.2">
      <c r="A1709" s="535" t="s">
        <v>39905</v>
      </c>
      <c r="B1709" s="535"/>
      <c r="C1709" s="535"/>
      <c r="D1709" s="333"/>
      <c r="E1709" s="333"/>
      <c r="F1709" s="333"/>
      <c r="G1709" s="333"/>
      <c r="H1709" s="333"/>
      <c r="I1709" s="331"/>
      <c r="J1709" s="331"/>
      <c r="K1709" s="339"/>
      <c r="L1709" s="332"/>
      <c r="M1709" s="339">
        <f>12.25</f>
        <v>12.25</v>
      </c>
      <c r="N1709" s="332" t="s">
        <v>39794</v>
      </c>
      <c r="O1709" s="340">
        <f t="shared" si="76"/>
        <v>12.25</v>
      </c>
    </row>
    <row r="1710" spans="1:15" s="328" customFormat="1" x14ac:dyDescent="0.2">
      <c r="A1710" s="535" t="s">
        <v>39906</v>
      </c>
      <c r="B1710" s="535"/>
      <c r="C1710" s="535"/>
      <c r="D1710" s="333"/>
      <c r="E1710" s="333"/>
      <c r="F1710" s="333"/>
      <c r="G1710" s="333"/>
      <c r="H1710" s="333"/>
      <c r="I1710" s="331"/>
      <c r="J1710" s="331"/>
      <c r="K1710" s="339"/>
      <c r="L1710" s="332"/>
      <c r="M1710" s="339">
        <f>0.5</f>
        <v>0.5</v>
      </c>
      <c r="N1710" s="332" t="s">
        <v>39794</v>
      </c>
      <c r="O1710" s="340">
        <f t="shared" si="76"/>
        <v>0.5</v>
      </c>
    </row>
    <row r="1711" spans="1:15" s="328" customFormat="1" x14ac:dyDescent="0.2">
      <c r="A1711" s="535" t="s">
        <v>39907</v>
      </c>
      <c r="B1711" s="535"/>
      <c r="C1711" s="535"/>
      <c r="D1711" s="333"/>
      <c r="E1711" s="333"/>
      <c r="F1711" s="333"/>
      <c r="G1711" s="333"/>
      <c r="H1711" s="333"/>
      <c r="I1711" s="331"/>
      <c r="J1711" s="331"/>
      <c r="K1711" s="339"/>
      <c r="L1711" s="332"/>
      <c r="M1711" s="339">
        <f>5.5</f>
        <v>5.5</v>
      </c>
      <c r="N1711" s="332" t="s">
        <v>39794</v>
      </c>
      <c r="O1711" s="340">
        <f t="shared" si="76"/>
        <v>5.5</v>
      </c>
    </row>
    <row r="1712" spans="1:15" s="328" customFormat="1" x14ac:dyDescent="0.2">
      <c r="A1712" s="535" t="s">
        <v>39908</v>
      </c>
      <c r="B1712" s="535"/>
      <c r="C1712" s="535"/>
      <c r="D1712" s="333"/>
      <c r="E1712" s="333"/>
      <c r="F1712" s="333"/>
      <c r="G1712" s="333"/>
      <c r="H1712" s="333"/>
      <c r="I1712" s="331"/>
      <c r="J1712" s="331"/>
      <c r="K1712" s="339"/>
      <c r="L1712" s="332"/>
      <c r="M1712" s="339">
        <f>0.5</f>
        <v>0.5</v>
      </c>
      <c r="N1712" s="332" t="s">
        <v>39794</v>
      </c>
      <c r="O1712" s="340">
        <f t="shared" si="76"/>
        <v>0.5</v>
      </c>
    </row>
    <row r="1713" spans="1:15" s="328" customFormat="1" x14ac:dyDescent="0.2">
      <c r="A1713" s="535" t="s">
        <v>39909</v>
      </c>
      <c r="B1713" s="535"/>
      <c r="C1713" s="535"/>
      <c r="D1713" s="333"/>
      <c r="E1713" s="333"/>
      <c r="F1713" s="333"/>
      <c r="G1713" s="333"/>
      <c r="H1713" s="333"/>
      <c r="I1713" s="331"/>
      <c r="J1713" s="331"/>
      <c r="K1713" s="339"/>
      <c r="L1713" s="332"/>
      <c r="M1713" s="339">
        <f>5.25</f>
        <v>5.25</v>
      </c>
      <c r="N1713" s="332" t="s">
        <v>39794</v>
      </c>
      <c r="O1713" s="340">
        <f t="shared" si="76"/>
        <v>5.25</v>
      </c>
    </row>
    <row r="1714" spans="1:15" s="328" customFormat="1" x14ac:dyDescent="0.2">
      <c r="A1714" s="535" t="s">
        <v>39910</v>
      </c>
      <c r="B1714" s="535"/>
      <c r="C1714" s="535"/>
      <c r="D1714" s="333"/>
      <c r="E1714" s="333"/>
      <c r="F1714" s="333"/>
      <c r="G1714" s="333"/>
      <c r="H1714" s="333"/>
      <c r="I1714" s="331"/>
      <c r="J1714" s="331"/>
      <c r="K1714" s="339"/>
      <c r="L1714" s="332"/>
      <c r="M1714" s="339">
        <f>0.5</f>
        <v>0.5</v>
      </c>
      <c r="N1714" s="332" t="s">
        <v>39794</v>
      </c>
      <c r="O1714" s="340">
        <f t="shared" si="76"/>
        <v>0.5</v>
      </c>
    </row>
    <row r="1715" spans="1:15" s="328" customFormat="1" x14ac:dyDescent="0.2">
      <c r="A1715" s="535" t="s">
        <v>39911</v>
      </c>
      <c r="B1715" s="535"/>
      <c r="C1715" s="535"/>
      <c r="D1715" s="333"/>
      <c r="E1715" s="333"/>
      <c r="F1715" s="333"/>
      <c r="G1715" s="333"/>
      <c r="H1715" s="333"/>
      <c r="I1715" s="331"/>
      <c r="J1715" s="331"/>
      <c r="K1715" s="339"/>
      <c r="L1715" s="332"/>
      <c r="M1715" s="339">
        <f>5.25</f>
        <v>5.25</v>
      </c>
      <c r="N1715" s="332" t="s">
        <v>39794</v>
      </c>
      <c r="O1715" s="340">
        <f t="shared" si="76"/>
        <v>5.25</v>
      </c>
    </row>
    <row r="1716" spans="1:15" s="328" customFormat="1" x14ac:dyDescent="0.2">
      <c r="A1716" s="535" t="s">
        <v>39912</v>
      </c>
      <c r="B1716" s="535"/>
      <c r="C1716" s="535"/>
      <c r="D1716" s="333"/>
      <c r="E1716" s="333"/>
      <c r="F1716" s="333"/>
      <c r="G1716" s="333"/>
      <c r="H1716" s="333"/>
      <c r="I1716" s="331"/>
      <c r="J1716" s="331"/>
      <c r="K1716" s="339"/>
      <c r="L1716" s="332"/>
      <c r="M1716" s="339">
        <f>0.5</f>
        <v>0.5</v>
      </c>
      <c r="N1716" s="332" t="s">
        <v>39794</v>
      </c>
      <c r="O1716" s="340">
        <f t="shared" si="76"/>
        <v>0.5</v>
      </c>
    </row>
    <row r="1717" spans="1:15" s="328" customFormat="1" x14ac:dyDescent="0.2">
      <c r="A1717" s="535" t="s">
        <v>39913</v>
      </c>
      <c r="B1717" s="535"/>
      <c r="C1717" s="535"/>
      <c r="D1717" s="333"/>
      <c r="E1717" s="333"/>
      <c r="F1717" s="333"/>
      <c r="G1717" s="333"/>
      <c r="H1717" s="333"/>
      <c r="I1717" s="331"/>
      <c r="J1717" s="331"/>
      <c r="K1717" s="339"/>
      <c r="L1717" s="332"/>
      <c r="M1717" s="339">
        <f>1</f>
        <v>1</v>
      </c>
      <c r="N1717" s="332" t="s">
        <v>39794</v>
      </c>
      <c r="O1717" s="340">
        <f t="shared" si="76"/>
        <v>1</v>
      </c>
    </row>
    <row r="1718" spans="1:15" s="328" customFormat="1" x14ac:dyDescent="0.2">
      <c r="A1718" s="535" t="s">
        <v>39914</v>
      </c>
      <c r="B1718" s="535"/>
      <c r="C1718" s="535"/>
      <c r="D1718" s="337"/>
      <c r="E1718" s="337"/>
      <c r="F1718" s="337"/>
      <c r="G1718" s="337"/>
      <c r="H1718" s="337"/>
      <c r="I1718" s="355"/>
      <c r="J1718" s="355"/>
      <c r="K1718" s="340"/>
      <c r="L1718" s="335"/>
      <c r="M1718" s="339">
        <f>0.5</f>
        <v>0.5</v>
      </c>
      <c r="N1718" s="332" t="s">
        <v>39794</v>
      </c>
      <c r="O1718" s="340">
        <f t="shared" si="76"/>
        <v>0.5</v>
      </c>
    </row>
    <row r="1719" spans="1:15" s="328" customFormat="1" x14ac:dyDescent="0.2">
      <c r="A1719" s="539" t="s">
        <v>5917</v>
      </c>
      <c r="B1719" s="539"/>
      <c r="C1719" s="539"/>
      <c r="D1719" s="333"/>
      <c r="E1719" s="333"/>
      <c r="F1719" s="333"/>
      <c r="G1719" s="333"/>
      <c r="H1719" s="333"/>
      <c r="I1719" s="331"/>
      <c r="J1719" s="331"/>
      <c r="K1719" s="333" t="s">
        <v>39792</v>
      </c>
      <c r="L1719" s="333" t="s">
        <v>39805</v>
      </c>
      <c r="M1719" s="333" t="s">
        <v>39802</v>
      </c>
      <c r="N1719" s="333" t="s">
        <v>39794</v>
      </c>
      <c r="O1719" s="333" t="s">
        <v>39795</v>
      </c>
    </row>
    <row r="1720" spans="1:15" s="328" customFormat="1" x14ac:dyDescent="0.2">
      <c r="A1720" s="535" t="s">
        <v>39858</v>
      </c>
      <c r="B1720" s="535"/>
      <c r="C1720" s="535"/>
      <c r="D1720" s="333"/>
      <c r="E1720" s="333"/>
      <c r="F1720" s="333"/>
      <c r="G1720" s="333"/>
      <c r="H1720" s="333"/>
      <c r="I1720" s="331"/>
      <c r="J1720" s="331"/>
      <c r="K1720" s="339">
        <f>1</f>
        <v>1</v>
      </c>
      <c r="L1720" s="332" t="s">
        <v>39805</v>
      </c>
      <c r="M1720" s="339">
        <f>1.25</f>
        <v>1.25</v>
      </c>
      <c r="N1720" s="332" t="s">
        <v>39794</v>
      </c>
      <c r="O1720" s="340">
        <f>ROUND(K1720*M1720,2)</f>
        <v>1.25</v>
      </c>
    </row>
    <row r="1721" spans="1:15" s="328" customFormat="1" x14ac:dyDescent="0.2">
      <c r="A1721" s="535" t="s">
        <v>39859</v>
      </c>
      <c r="B1721" s="535"/>
      <c r="C1721" s="535"/>
      <c r="D1721" s="333"/>
      <c r="E1721" s="333"/>
      <c r="F1721" s="333"/>
      <c r="G1721" s="333"/>
      <c r="H1721" s="333"/>
      <c r="I1721" s="331"/>
      <c r="J1721" s="331"/>
      <c r="K1721" s="339">
        <f>2</f>
        <v>2</v>
      </c>
      <c r="L1721" s="332" t="s">
        <v>39805</v>
      </c>
      <c r="M1721" s="339">
        <f>0.75</f>
        <v>0.75</v>
      </c>
      <c r="N1721" s="332" t="s">
        <v>39794</v>
      </c>
      <c r="O1721" s="340">
        <f t="shared" ref="O1721:O1740" si="77">ROUND(K1721*M1721,2)</f>
        <v>1.5</v>
      </c>
    </row>
    <row r="1722" spans="1:15" s="328" customFormat="1" x14ac:dyDescent="0.2">
      <c r="A1722" s="535" t="s">
        <v>39860</v>
      </c>
      <c r="B1722" s="535"/>
      <c r="C1722" s="535"/>
      <c r="D1722" s="333"/>
      <c r="E1722" s="333"/>
      <c r="F1722" s="333"/>
      <c r="G1722" s="333"/>
      <c r="H1722" s="333"/>
      <c r="I1722" s="331"/>
      <c r="J1722" s="331"/>
      <c r="K1722" s="339">
        <f>1</f>
        <v>1</v>
      </c>
      <c r="L1722" s="332" t="s">
        <v>39805</v>
      </c>
      <c r="M1722" s="339">
        <f>1</f>
        <v>1</v>
      </c>
      <c r="N1722" s="332" t="s">
        <v>39794</v>
      </c>
      <c r="O1722" s="340">
        <f t="shared" si="77"/>
        <v>1</v>
      </c>
    </row>
    <row r="1723" spans="1:15" s="328" customFormat="1" x14ac:dyDescent="0.2">
      <c r="A1723" s="535" t="s">
        <v>39861</v>
      </c>
      <c r="B1723" s="535"/>
      <c r="C1723" s="535"/>
      <c r="D1723" s="333"/>
      <c r="E1723" s="333"/>
      <c r="F1723" s="333"/>
      <c r="G1723" s="333"/>
      <c r="H1723" s="333"/>
      <c r="I1723" s="331"/>
      <c r="J1723" s="331"/>
      <c r="K1723" s="339">
        <v>1</v>
      </c>
      <c r="L1723" s="332" t="s">
        <v>39805</v>
      </c>
      <c r="M1723" s="339">
        <f>1.25</f>
        <v>1.25</v>
      </c>
      <c r="N1723" s="332" t="s">
        <v>39794</v>
      </c>
      <c r="O1723" s="340">
        <f t="shared" si="77"/>
        <v>1.25</v>
      </c>
    </row>
    <row r="1724" spans="1:15" s="328" customFormat="1" x14ac:dyDescent="0.2">
      <c r="A1724" s="535" t="s">
        <v>39915</v>
      </c>
      <c r="B1724" s="535"/>
      <c r="C1724" s="535"/>
      <c r="D1724" s="333"/>
      <c r="E1724" s="333"/>
      <c r="F1724" s="333"/>
      <c r="G1724" s="333"/>
      <c r="H1724" s="333"/>
      <c r="I1724" s="331"/>
      <c r="J1724" s="331"/>
      <c r="K1724" s="339">
        <f>3</f>
        <v>3</v>
      </c>
      <c r="L1724" s="332" t="s">
        <v>39805</v>
      </c>
      <c r="M1724" s="339">
        <f>0.75</f>
        <v>0.75</v>
      </c>
      <c r="N1724" s="332" t="s">
        <v>39794</v>
      </c>
      <c r="O1724" s="340">
        <f t="shared" si="77"/>
        <v>2.25</v>
      </c>
    </row>
    <row r="1725" spans="1:15" s="328" customFormat="1" x14ac:dyDescent="0.2">
      <c r="A1725" s="535" t="s">
        <v>39916</v>
      </c>
      <c r="B1725" s="535"/>
      <c r="C1725" s="535"/>
      <c r="D1725" s="333"/>
      <c r="E1725" s="333"/>
      <c r="F1725" s="333"/>
      <c r="G1725" s="333"/>
      <c r="H1725" s="333"/>
      <c r="I1725" s="331"/>
      <c r="J1725" s="331"/>
      <c r="K1725" s="339">
        <f>2</f>
        <v>2</v>
      </c>
      <c r="L1725" s="332" t="s">
        <v>39805</v>
      </c>
      <c r="M1725" s="339">
        <f>0.75</f>
        <v>0.75</v>
      </c>
      <c r="N1725" s="332" t="s">
        <v>39794</v>
      </c>
      <c r="O1725" s="340">
        <f t="shared" si="77"/>
        <v>1.5</v>
      </c>
    </row>
    <row r="1726" spans="1:15" s="328" customFormat="1" x14ac:dyDescent="0.2">
      <c r="A1726" s="535" t="s">
        <v>39917</v>
      </c>
      <c r="B1726" s="535"/>
      <c r="C1726" s="535"/>
      <c r="D1726" s="333"/>
      <c r="E1726" s="333"/>
      <c r="F1726" s="333"/>
      <c r="G1726" s="333"/>
      <c r="H1726" s="333"/>
      <c r="I1726" s="331"/>
      <c r="J1726" s="331"/>
      <c r="K1726" s="339">
        <f>1</f>
        <v>1</v>
      </c>
      <c r="L1726" s="332" t="s">
        <v>39805</v>
      </c>
      <c r="M1726" s="339">
        <f>1</f>
        <v>1</v>
      </c>
      <c r="N1726" s="332" t="s">
        <v>39794</v>
      </c>
      <c r="O1726" s="340">
        <f t="shared" si="77"/>
        <v>1</v>
      </c>
    </row>
    <row r="1727" spans="1:15" s="328" customFormat="1" x14ac:dyDescent="0.2">
      <c r="A1727" s="535" t="s">
        <v>39918</v>
      </c>
      <c r="B1727" s="535"/>
      <c r="C1727" s="535"/>
      <c r="D1727" s="333"/>
      <c r="E1727" s="333"/>
      <c r="F1727" s="333"/>
      <c r="G1727" s="333"/>
      <c r="H1727" s="333"/>
      <c r="I1727" s="331"/>
      <c r="J1727" s="331"/>
      <c r="K1727" s="339">
        <f>2</f>
        <v>2</v>
      </c>
      <c r="L1727" s="332" t="s">
        <v>39805</v>
      </c>
      <c r="M1727" s="339">
        <f>0.75</f>
        <v>0.75</v>
      </c>
      <c r="N1727" s="332" t="s">
        <v>39794</v>
      </c>
      <c r="O1727" s="340">
        <f t="shared" si="77"/>
        <v>1.5</v>
      </c>
    </row>
    <row r="1728" spans="1:15" s="328" customFormat="1" x14ac:dyDescent="0.2">
      <c r="A1728" s="535" t="s">
        <v>39919</v>
      </c>
      <c r="B1728" s="535"/>
      <c r="C1728" s="535"/>
      <c r="D1728" s="333"/>
      <c r="E1728" s="333"/>
      <c r="F1728" s="333"/>
      <c r="G1728" s="333"/>
      <c r="H1728" s="333"/>
      <c r="I1728" s="331"/>
      <c r="J1728" s="331"/>
      <c r="K1728" s="339">
        <f>1</f>
        <v>1</v>
      </c>
      <c r="L1728" s="332" t="s">
        <v>39805</v>
      </c>
      <c r="M1728" s="339">
        <f>1</f>
        <v>1</v>
      </c>
      <c r="N1728" s="332" t="s">
        <v>39794</v>
      </c>
      <c r="O1728" s="340">
        <f t="shared" si="77"/>
        <v>1</v>
      </c>
    </row>
    <row r="1729" spans="1:15" s="328" customFormat="1" x14ac:dyDescent="0.2">
      <c r="A1729" s="535" t="s">
        <v>39920</v>
      </c>
      <c r="B1729" s="535"/>
      <c r="C1729" s="535"/>
      <c r="D1729" s="333"/>
      <c r="E1729" s="333"/>
      <c r="F1729" s="333"/>
      <c r="G1729" s="333"/>
      <c r="H1729" s="333"/>
      <c r="I1729" s="331"/>
      <c r="J1729" s="331"/>
      <c r="K1729" s="339">
        <f>2</f>
        <v>2</v>
      </c>
      <c r="L1729" s="332" t="s">
        <v>39805</v>
      </c>
      <c r="M1729" s="339">
        <f>0.5</f>
        <v>0.5</v>
      </c>
      <c r="N1729" s="332" t="s">
        <v>39794</v>
      </c>
      <c r="O1729" s="340">
        <f t="shared" si="77"/>
        <v>1</v>
      </c>
    </row>
    <row r="1730" spans="1:15" s="328" customFormat="1" x14ac:dyDescent="0.2">
      <c r="A1730" s="535" t="s">
        <v>39921</v>
      </c>
      <c r="B1730" s="535"/>
      <c r="C1730" s="535"/>
      <c r="D1730" s="333"/>
      <c r="E1730" s="333"/>
      <c r="F1730" s="333"/>
      <c r="G1730" s="333"/>
      <c r="H1730" s="333"/>
      <c r="I1730" s="331"/>
      <c r="J1730" s="331"/>
      <c r="K1730" s="339">
        <f>1</f>
        <v>1</v>
      </c>
      <c r="L1730" s="332" t="s">
        <v>39805</v>
      </c>
      <c r="M1730" s="339">
        <f>1</f>
        <v>1</v>
      </c>
      <c r="N1730" s="332" t="s">
        <v>39794</v>
      </c>
      <c r="O1730" s="340">
        <f t="shared" si="77"/>
        <v>1</v>
      </c>
    </row>
    <row r="1731" spans="1:15" s="328" customFormat="1" x14ac:dyDescent="0.2">
      <c r="A1731" s="535" t="s">
        <v>39922</v>
      </c>
      <c r="B1731" s="535"/>
      <c r="C1731" s="535"/>
      <c r="D1731" s="333"/>
      <c r="E1731" s="333"/>
      <c r="F1731" s="333"/>
      <c r="G1731" s="333"/>
      <c r="H1731" s="333"/>
      <c r="I1731" s="331"/>
      <c r="J1731" s="331"/>
      <c r="K1731" s="339">
        <f>2</f>
        <v>2</v>
      </c>
      <c r="L1731" s="332" t="s">
        <v>39805</v>
      </c>
      <c r="M1731" s="339">
        <f>0.75</f>
        <v>0.75</v>
      </c>
      <c r="N1731" s="332" t="s">
        <v>39794</v>
      </c>
      <c r="O1731" s="340">
        <f t="shared" si="77"/>
        <v>1.5</v>
      </c>
    </row>
    <row r="1732" spans="1:15" s="328" customFormat="1" x14ac:dyDescent="0.2">
      <c r="A1732" s="535" t="s">
        <v>39923</v>
      </c>
      <c r="B1732" s="535"/>
      <c r="C1732" s="535"/>
      <c r="D1732" s="333"/>
      <c r="E1732" s="333"/>
      <c r="F1732" s="333"/>
      <c r="G1732" s="333"/>
      <c r="H1732" s="333"/>
      <c r="I1732" s="331"/>
      <c r="J1732" s="331"/>
      <c r="K1732" s="339">
        <f>1</f>
        <v>1</v>
      </c>
      <c r="L1732" s="332" t="s">
        <v>39805</v>
      </c>
      <c r="M1732" s="339">
        <f>1.25</f>
        <v>1.25</v>
      </c>
      <c r="N1732" s="332" t="s">
        <v>39794</v>
      </c>
      <c r="O1732" s="340">
        <f t="shared" si="77"/>
        <v>1.25</v>
      </c>
    </row>
    <row r="1733" spans="1:15" s="328" customFormat="1" x14ac:dyDescent="0.2">
      <c r="A1733" s="535" t="s">
        <v>39924</v>
      </c>
      <c r="B1733" s="535"/>
      <c r="C1733" s="535"/>
      <c r="D1733" s="333"/>
      <c r="E1733" s="333"/>
      <c r="F1733" s="333"/>
      <c r="G1733" s="333"/>
      <c r="H1733" s="333"/>
      <c r="I1733" s="331"/>
      <c r="J1733" s="331"/>
      <c r="K1733" s="339">
        <f>2</f>
        <v>2</v>
      </c>
      <c r="L1733" s="332" t="s">
        <v>39805</v>
      </c>
      <c r="M1733" s="339">
        <f>0.75</f>
        <v>0.75</v>
      </c>
      <c r="N1733" s="332" t="s">
        <v>39794</v>
      </c>
      <c r="O1733" s="340">
        <f t="shared" si="77"/>
        <v>1.5</v>
      </c>
    </row>
    <row r="1734" spans="1:15" s="328" customFormat="1" x14ac:dyDescent="0.2">
      <c r="A1734" s="535" t="s">
        <v>39925</v>
      </c>
      <c r="B1734" s="535"/>
      <c r="C1734" s="535"/>
      <c r="D1734" s="333"/>
      <c r="E1734" s="333"/>
      <c r="F1734" s="333"/>
      <c r="G1734" s="333"/>
      <c r="H1734" s="333"/>
      <c r="I1734" s="331"/>
      <c r="J1734" s="331"/>
      <c r="K1734" s="339">
        <f>1</f>
        <v>1</v>
      </c>
      <c r="L1734" s="332" t="s">
        <v>39805</v>
      </c>
      <c r="M1734" s="339">
        <f>1.25</f>
        <v>1.25</v>
      </c>
      <c r="N1734" s="332" t="s">
        <v>39794</v>
      </c>
      <c r="O1734" s="340">
        <f t="shared" si="77"/>
        <v>1.25</v>
      </c>
    </row>
    <row r="1735" spans="1:15" s="328" customFormat="1" x14ac:dyDescent="0.2">
      <c r="A1735" s="535" t="s">
        <v>39926</v>
      </c>
      <c r="B1735" s="535"/>
      <c r="C1735" s="535"/>
      <c r="D1735" s="333"/>
      <c r="E1735" s="333"/>
      <c r="F1735" s="333"/>
      <c r="G1735" s="333"/>
      <c r="H1735" s="333"/>
      <c r="I1735" s="331"/>
      <c r="J1735" s="331"/>
      <c r="K1735" s="339">
        <f>2</f>
        <v>2</v>
      </c>
      <c r="L1735" s="332" t="s">
        <v>39805</v>
      </c>
      <c r="M1735" s="339">
        <f>0.75</f>
        <v>0.75</v>
      </c>
      <c r="N1735" s="332" t="s">
        <v>39794</v>
      </c>
      <c r="O1735" s="340">
        <f t="shared" si="77"/>
        <v>1.5</v>
      </c>
    </row>
    <row r="1736" spans="1:15" s="328" customFormat="1" x14ac:dyDescent="0.2">
      <c r="A1736" s="535" t="s">
        <v>39927</v>
      </c>
      <c r="B1736" s="535"/>
      <c r="C1736" s="535"/>
      <c r="D1736" s="333"/>
      <c r="E1736" s="333"/>
      <c r="F1736" s="333"/>
      <c r="G1736" s="333"/>
      <c r="H1736" s="333"/>
      <c r="I1736" s="331"/>
      <c r="J1736" s="331"/>
      <c r="K1736" s="339">
        <f>1</f>
        <v>1</v>
      </c>
      <c r="L1736" s="332" t="s">
        <v>39805</v>
      </c>
      <c r="M1736" s="339">
        <f>1.25</f>
        <v>1.25</v>
      </c>
      <c r="N1736" s="332" t="s">
        <v>39794</v>
      </c>
      <c r="O1736" s="340">
        <f t="shared" si="77"/>
        <v>1.25</v>
      </c>
    </row>
    <row r="1737" spans="1:15" s="328" customFormat="1" x14ac:dyDescent="0.2">
      <c r="A1737" s="535" t="s">
        <v>39928</v>
      </c>
      <c r="B1737" s="535"/>
      <c r="C1737" s="535"/>
      <c r="D1737" s="333"/>
      <c r="E1737" s="333"/>
      <c r="F1737" s="333"/>
      <c r="G1737" s="333"/>
      <c r="H1737" s="333"/>
      <c r="I1737" s="331"/>
      <c r="J1737" s="331"/>
      <c r="K1737" s="339">
        <f>2</f>
        <v>2</v>
      </c>
      <c r="L1737" s="332" t="s">
        <v>39805</v>
      </c>
      <c r="M1737" s="339">
        <f>0.75</f>
        <v>0.75</v>
      </c>
      <c r="N1737" s="332" t="s">
        <v>39794</v>
      </c>
      <c r="O1737" s="340">
        <f t="shared" si="77"/>
        <v>1.5</v>
      </c>
    </row>
    <row r="1738" spans="1:15" s="328" customFormat="1" x14ac:dyDescent="0.2">
      <c r="A1738" s="535" t="s">
        <v>39929</v>
      </c>
      <c r="B1738" s="535"/>
      <c r="C1738" s="535"/>
      <c r="D1738" s="333"/>
      <c r="E1738" s="333"/>
      <c r="F1738" s="333"/>
      <c r="G1738" s="333"/>
      <c r="H1738" s="333"/>
      <c r="I1738" s="331"/>
      <c r="J1738" s="331"/>
      <c r="K1738" s="339">
        <f>1</f>
        <v>1</v>
      </c>
      <c r="L1738" s="332" t="s">
        <v>39805</v>
      </c>
      <c r="M1738" s="339">
        <f>1.25</f>
        <v>1.25</v>
      </c>
      <c r="N1738" s="332" t="s">
        <v>39794</v>
      </c>
      <c r="O1738" s="340">
        <f t="shared" si="77"/>
        <v>1.25</v>
      </c>
    </row>
    <row r="1739" spans="1:15" s="328" customFormat="1" x14ac:dyDescent="0.2">
      <c r="A1739" s="535" t="s">
        <v>39930</v>
      </c>
      <c r="B1739" s="535"/>
      <c r="C1739" s="535"/>
      <c r="D1739" s="333"/>
      <c r="E1739" s="333"/>
      <c r="F1739" s="333"/>
      <c r="G1739" s="333"/>
      <c r="H1739" s="333"/>
      <c r="I1739" s="331"/>
      <c r="J1739" s="331"/>
      <c r="K1739" s="339">
        <f>2</f>
        <v>2</v>
      </c>
      <c r="L1739" s="332" t="s">
        <v>39805</v>
      </c>
      <c r="M1739" s="339">
        <f>0.5</f>
        <v>0.5</v>
      </c>
      <c r="N1739" s="332" t="s">
        <v>39794</v>
      </c>
      <c r="O1739" s="340">
        <f t="shared" si="77"/>
        <v>1</v>
      </c>
    </row>
    <row r="1740" spans="1:15" s="328" customFormat="1" x14ac:dyDescent="0.2">
      <c r="A1740" s="535" t="s">
        <v>39931</v>
      </c>
      <c r="B1740" s="535"/>
      <c r="C1740" s="535"/>
      <c r="D1740" s="333"/>
      <c r="E1740" s="333"/>
      <c r="F1740" s="333"/>
      <c r="G1740" s="333"/>
      <c r="H1740" s="333"/>
      <c r="I1740" s="331"/>
      <c r="J1740" s="331"/>
      <c r="K1740" s="339">
        <f>1</f>
        <v>1</v>
      </c>
      <c r="L1740" s="332" t="s">
        <v>39805</v>
      </c>
      <c r="M1740" s="339">
        <f>1.25</f>
        <v>1.25</v>
      </c>
      <c r="N1740" s="332" t="s">
        <v>39794</v>
      </c>
      <c r="O1740" s="340">
        <f t="shared" si="77"/>
        <v>1.25</v>
      </c>
    </row>
    <row r="1741" spans="1:15" s="328" customFormat="1" x14ac:dyDescent="0.2">
      <c r="A1741" s="540"/>
      <c r="B1741" s="540"/>
      <c r="C1741" s="540"/>
      <c r="D1741" s="540"/>
      <c r="E1741" s="540"/>
      <c r="F1741" s="540"/>
      <c r="G1741" s="540"/>
      <c r="H1741" s="540"/>
      <c r="I1741" s="540"/>
      <c r="J1741" s="540"/>
      <c r="K1741" s="540"/>
      <c r="L1741" s="334" t="s">
        <v>39796</v>
      </c>
      <c r="M1741" s="334" t="s">
        <v>39168</v>
      </c>
      <c r="N1741" s="333" t="s">
        <v>39794</v>
      </c>
      <c r="O1741" s="334">
        <f>SUM(O1698:O1740)</f>
        <v>77.5</v>
      </c>
    </row>
    <row r="1742" spans="1:15" s="328" customFormat="1" x14ac:dyDescent="0.2">
      <c r="A1742" s="336">
        <f>ORCAMENTO!A291</f>
        <v>14</v>
      </c>
      <c r="B1742" s="545" t="str">
        <f>VLOOKUP(A1742,ORCAMENTO!A:I,4,0)</f>
        <v>REVESTIMENTO</v>
      </c>
      <c r="C1742" s="545"/>
      <c r="D1742" s="545"/>
      <c r="E1742" s="545"/>
      <c r="F1742" s="545"/>
      <c r="G1742" s="545"/>
      <c r="H1742" s="545"/>
      <c r="I1742" s="545"/>
      <c r="J1742" s="545"/>
      <c r="K1742" s="545"/>
      <c r="L1742" s="545"/>
      <c r="M1742" s="545"/>
      <c r="N1742" s="545"/>
      <c r="O1742" s="545"/>
    </row>
    <row r="1743" spans="1:15" s="328" customFormat="1" x14ac:dyDescent="0.2">
      <c r="A1743" s="347" t="str">
        <f>ORCAMENTO!A292</f>
        <v>14.1</v>
      </c>
      <c r="B1743" s="544" t="str">
        <f>VLOOKUP(A1743,ORCAMENTO!A:I,4,0)</f>
        <v>REVESTIMENTO EM PAREDE</v>
      </c>
      <c r="C1743" s="544"/>
      <c r="D1743" s="544"/>
      <c r="E1743" s="544"/>
      <c r="F1743" s="544"/>
      <c r="G1743" s="544"/>
      <c r="H1743" s="544"/>
      <c r="I1743" s="544"/>
      <c r="J1743" s="544"/>
      <c r="K1743" s="544"/>
      <c r="L1743" s="544"/>
      <c r="M1743" s="544"/>
      <c r="N1743" s="544"/>
      <c r="O1743" s="544"/>
    </row>
    <row r="1744" spans="1:15" s="328" customFormat="1" x14ac:dyDescent="0.2">
      <c r="A1744" s="329" t="s">
        <v>39791</v>
      </c>
      <c r="B1744" s="542" t="s">
        <v>5917</v>
      </c>
      <c r="C1744" s="542"/>
      <c r="D1744" s="542"/>
      <c r="E1744" s="542"/>
      <c r="F1744" s="542"/>
      <c r="G1744" s="542"/>
      <c r="H1744" s="542"/>
      <c r="I1744" s="542"/>
      <c r="J1744" s="542"/>
      <c r="K1744" s="542"/>
      <c r="L1744" s="542"/>
      <c r="M1744" s="542"/>
      <c r="N1744" s="329" t="s">
        <v>39197</v>
      </c>
      <c r="O1744" s="330" t="s">
        <v>39792</v>
      </c>
    </row>
    <row r="1745" spans="1:15" s="328" customFormat="1" ht="12.75" customHeight="1" x14ac:dyDescent="0.2">
      <c r="A1745" s="331" t="str">
        <f>ORCAMENTO!A293</f>
        <v>14.1.1</v>
      </c>
      <c r="B1745" s="543" t="str">
        <f>VLOOKUP(A1745,ORCAMENTO!A:I,4,0)</f>
        <v>CHAPISCO C/ ARGAMASSA DE CIMENTO E AREIA S/PENEIRAR TRAÇO 1:3  ESP.= 5mm P/ PAREDE</v>
      </c>
      <c r="C1745" s="543"/>
      <c r="D1745" s="543"/>
      <c r="E1745" s="543"/>
      <c r="F1745" s="543"/>
      <c r="G1745" s="543"/>
      <c r="H1745" s="543"/>
      <c r="I1745" s="543"/>
      <c r="J1745" s="543"/>
      <c r="K1745" s="543"/>
      <c r="L1745" s="543"/>
      <c r="M1745" s="543"/>
      <c r="N1745" s="331" t="str">
        <f>VLOOKUP(A1745,ORCAMENTO!A:I,5,0)</f>
        <v>M2</v>
      </c>
      <c r="O1745" s="332">
        <f>O1749</f>
        <v>2723.26</v>
      </c>
    </row>
    <row r="1746" spans="1:15" s="328" customFormat="1" x14ac:dyDescent="0.2">
      <c r="A1746" s="539" t="s">
        <v>39793</v>
      </c>
      <c r="B1746" s="539"/>
      <c r="C1746" s="539"/>
      <c r="D1746" s="539"/>
      <c r="E1746" s="539"/>
      <c r="F1746" s="539"/>
      <c r="G1746" s="539"/>
      <c r="H1746" s="539"/>
      <c r="I1746" s="539"/>
      <c r="J1746" s="539"/>
      <c r="K1746" s="539"/>
      <c r="L1746" s="539"/>
      <c r="M1746" s="539"/>
      <c r="N1746" s="539"/>
      <c r="O1746" s="539"/>
    </row>
    <row r="1747" spans="1:15" s="328" customFormat="1" x14ac:dyDescent="0.2">
      <c r="A1747" s="539" t="s">
        <v>5917</v>
      </c>
      <c r="B1747" s="539"/>
      <c r="C1747" s="539"/>
      <c r="D1747" s="333"/>
      <c r="E1747" s="333"/>
      <c r="F1747" s="333"/>
      <c r="G1747" s="333"/>
      <c r="H1747" s="333"/>
      <c r="I1747" s="333"/>
      <c r="J1747" s="333"/>
      <c r="K1747" s="333" t="s">
        <v>39833</v>
      </c>
      <c r="L1747" s="333" t="s">
        <v>39805</v>
      </c>
      <c r="M1747" s="333" t="s">
        <v>39799</v>
      </c>
      <c r="N1747" s="333" t="s">
        <v>39794</v>
      </c>
      <c r="O1747" s="333" t="s">
        <v>39795</v>
      </c>
    </row>
    <row r="1748" spans="1:15" s="328" customFormat="1" x14ac:dyDescent="0.2">
      <c r="A1748" s="535" t="s">
        <v>40160</v>
      </c>
      <c r="B1748" s="535"/>
      <c r="C1748" s="535"/>
      <c r="D1748" s="334"/>
      <c r="E1748" s="334"/>
      <c r="F1748" s="334"/>
      <c r="G1748" s="334"/>
      <c r="H1748" s="334"/>
      <c r="I1748" s="332"/>
      <c r="J1748" s="332"/>
      <c r="K1748" s="332">
        <f>2</f>
        <v>2</v>
      </c>
      <c r="L1748" s="332" t="s">
        <v>39805</v>
      </c>
      <c r="M1748" s="332">
        <f>O376</f>
        <v>1361.6300000000006</v>
      </c>
      <c r="N1748" s="332" t="s">
        <v>39794</v>
      </c>
      <c r="O1748" s="335">
        <f t="shared" ref="O1748" si="78">ROUND(K1748*M1748,2)</f>
        <v>2723.26</v>
      </c>
    </row>
    <row r="1749" spans="1:15" s="328" customFormat="1" x14ac:dyDescent="0.2">
      <c r="A1749" s="540"/>
      <c r="B1749" s="540"/>
      <c r="C1749" s="540"/>
      <c r="D1749" s="540"/>
      <c r="E1749" s="540"/>
      <c r="F1749" s="540"/>
      <c r="G1749" s="540"/>
      <c r="H1749" s="540"/>
      <c r="I1749" s="540"/>
      <c r="J1749" s="540"/>
      <c r="K1749" s="540"/>
      <c r="L1749" s="334" t="s">
        <v>39796</v>
      </c>
      <c r="M1749" s="334" t="s">
        <v>39168</v>
      </c>
      <c r="N1749" s="333" t="s">
        <v>39794</v>
      </c>
      <c r="O1749" s="334">
        <f>SUM(O1747:O1748)</f>
        <v>2723.26</v>
      </c>
    </row>
    <row r="1750" spans="1:15" s="328" customFormat="1" x14ac:dyDescent="0.2">
      <c r="A1750" s="329" t="s">
        <v>39791</v>
      </c>
      <c r="B1750" s="542" t="s">
        <v>5917</v>
      </c>
      <c r="C1750" s="542"/>
      <c r="D1750" s="542"/>
      <c r="E1750" s="542"/>
      <c r="F1750" s="542"/>
      <c r="G1750" s="542"/>
      <c r="H1750" s="542"/>
      <c r="I1750" s="542"/>
      <c r="J1750" s="542"/>
      <c r="K1750" s="542"/>
      <c r="L1750" s="542"/>
      <c r="M1750" s="542"/>
      <c r="N1750" s="329" t="s">
        <v>39197</v>
      </c>
      <c r="O1750" s="330" t="s">
        <v>39792</v>
      </c>
    </row>
    <row r="1751" spans="1:15" s="328" customFormat="1" ht="12.75" customHeight="1" x14ac:dyDescent="0.2">
      <c r="A1751" s="331" t="str">
        <f>ORCAMENTO!A294</f>
        <v>14.1.2</v>
      </c>
      <c r="B1751" s="543" t="str">
        <f>VLOOKUP(A1751,ORCAMENTO!A:I,4,0)</f>
        <v>EMBOÇO C/ ARGAMASSA DE CIMENTO E AREIA PENEIRADA, TRAÇO 1:3</v>
      </c>
      <c r="C1751" s="543"/>
      <c r="D1751" s="543"/>
      <c r="E1751" s="543"/>
      <c r="F1751" s="543"/>
      <c r="G1751" s="543"/>
      <c r="H1751" s="543"/>
      <c r="I1751" s="543"/>
      <c r="J1751" s="543"/>
      <c r="K1751" s="543"/>
      <c r="L1751" s="543"/>
      <c r="M1751" s="543"/>
      <c r="N1751" s="331" t="str">
        <f>VLOOKUP(A1751,ORCAMENTO!A:I,5,0)</f>
        <v>M2</v>
      </c>
      <c r="O1751" s="332">
        <f>O1783</f>
        <v>632.37999999999988</v>
      </c>
    </row>
    <row r="1752" spans="1:15" s="328" customFormat="1" x14ac:dyDescent="0.2">
      <c r="A1752" s="539" t="s">
        <v>39793</v>
      </c>
      <c r="B1752" s="539"/>
      <c r="C1752" s="539"/>
      <c r="D1752" s="539"/>
      <c r="E1752" s="539"/>
      <c r="F1752" s="539"/>
      <c r="G1752" s="539"/>
      <c r="H1752" s="539"/>
      <c r="I1752" s="539"/>
      <c r="J1752" s="539"/>
      <c r="K1752" s="539"/>
      <c r="L1752" s="539"/>
      <c r="M1752" s="539"/>
      <c r="N1752" s="539"/>
      <c r="O1752" s="539"/>
    </row>
    <row r="1753" spans="1:15" s="328" customFormat="1" x14ac:dyDescent="0.2">
      <c r="A1753" s="539" t="s">
        <v>5917</v>
      </c>
      <c r="B1753" s="539"/>
      <c r="C1753" s="539"/>
      <c r="D1753" s="333"/>
      <c r="E1753" s="333"/>
      <c r="F1753" s="333"/>
      <c r="G1753" s="333"/>
      <c r="H1753" s="333"/>
      <c r="I1753" s="331"/>
      <c r="J1753" s="331"/>
      <c r="K1753" s="333" t="s">
        <v>39823</v>
      </c>
      <c r="L1753" s="333" t="s">
        <v>39805</v>
      </c>
      <c r="M1753" s="333" t="s">
        <v>39885</v>
      </c>
      <c r="N1753" s="333" t="s">
        <v>39794</v>
      </c>
      <c r="O1753" s="333" t="s">
        <v>39795</v>
      </c>
    </row>
    <row r="1754" spans="1:15" s="328" customFormat="1" x14ac:dyDescent="0.2">
      <c r="A1754" s="534" t="s">
        <v>39862</v>
      </c>
      <c r="B1754" s="535"/>
      <c r="C1754" s="535"/>
      <c r="D1754" s="333"/>
      <c r="E1754" s="333"/>
      <c r="F1754" s="333"/>
      <c r="G1754" s="333"/>
      <c r="H1754" s="333"/>
      <c r="I1754" s="331"/>
      <c r="J1754" s="331"/>
      <c r="K1754" s="339">
        <f>1.8</f>
        <v>1.8</v>
      </c>
      <c r="L1754" s="332" t="s">
        <v>39805</v>
      </c>
      <c r="M1754" s="339">
        <f>28.75</f>
        <v>28.75</v>
      </c>
      <c r="N1754" s="332" t="s">
        <v>39794</v>
      </c>
      <c r="O1754" s="335">
        <f t="shared" ref="O1754:O1782" si="79">ROUND(K1754*M1754,2)</f>
        <v>51.75</v>
      </c>
    </row>
    <row r="1755" spans="1:15" s="328" customFormat="1" x14ac:dyDescent="0.2">
      <c r="A1755" s="534" t="s">
        <v>39863</v>
      </c>
      <c r="B1755" s="535"/>
      <c r="C1755" s="535"/>
      <c r="D1755" s="333"/>
      <c r="E1755" s="333"/>
      <c r="F1755" s="333"/>
      <c r="G1755" s="333"/>
      <c r="H1755" s="333"/>
      <c r="I1755" s="331"/>
      <c r="J1755" s="331"/>
      <c r="K1755" s="339">
        <f t="shared" ref="K1755:K1778" si="80">1.8</f>
        <v>1.8</v>
      </c>
      <c r="L1755" s="332" t="s">
        <v>39805</v>
      </c>
      <c r="M1755" s="339">
        <f>28.8</f>
        <v>28.8</v>
      </c>
      <c r="N1755" s="332" t="s">
        <v>39794</v>
      </c>
      <c r="O1755" s="335">
        <f t="shared" si="79"/>
        <v>51.84</v>
      </c>
    </row>
    <row r="1756" spans="1:15" s="328" customFormat="1" x14ac:dyDescent="0.2">
      <c r="A1756" s="534" t="s">
        <v>40161</v>
      </c>
      <c r="B1756" s="535"/>
      <c r="C1756" s="535"/>
      <c r="D1756" s="333"/>
      <c r="E1756" s="333"/>
      <c r="F1756" s="333"/>
      <c r="G1756" s="333"/>
      <c r="H1756" s="333"/>
      <c r="I1756" s="331"/>
      <c r="J1756" s="331"/>
      <c r="K1756" s="339">
        <f t="shared" si="80"/>
        <v>1.8</v>
      </c>
      <c r="L1756" s="332" t="s">
        <v>39805</v>
      </c>
      <c r="M1756" s="339">
        <f>29.1</f>
        <v>29.1</v>
      </c>
      <c r="N1756" s="332" t="s">
        <v>39794</v>
      </c>
      <c r="O1756" s="335">
        <f t="shared" si="79"/>
        <v>52.38</v>
      </c>
    </row>
    <row r="1757" spans="1:15" s="328" customFormat="1" x14ac:dyDescent="0.2">
      <c r="A1757" s="534" t="s">
        <v>39865</v>
      </c>
      <c r="B1757" s="535"/>
      <c r="C1757" s="535"/>
      <c r="D1757" s="333"/>
      <c r="E1757" s="333"/>
      <c r="F1757" s="333"/>
      <c r="G1757" s="333"/>
      <c r="H1757" s="333"/>
      <c r="I1757" s="331"/>
      <c r="J1757" s="331"/>
      <c r="K1757" s="339">
        <f t="shared" si="80"/>
        <v>1.8</v>
      </c>
      <c r="L1757" s="332" t="s">
        <v>39805</v>
      </c>
      <c r="M1757" s="339">
        <f>14.5</f>
        <v>14.5</v>
      </c>
      <c r="N1757" s="332" t="s">
        <v>39794</v>
      </c>
      <c r="O1757" s="335">
        <f t="shared" si="79"/>
        <v>26.1</v>
      </c>
    </row>
    <row r="1758" spans="1:15" s="328" customFormat="1" x14ac:dyDescent="0.2">
      <c r="A1758" s="534" t="s">
        <v>39866</v>
      </c>
      <c r="B1758" s="535"/>
      <c r="C1758" s="535"/>
      <c r="D1758" s="333"/>
      <c r="E1758" s="333"/>
      <c r="F1758" s="333"/>
      <c r="G1758" s="333"/>
      <c r="H1758" s="333"/>
      <c r="I1758" s="331"/>
      <c r="J1758" s="331"/>
      <c r="K1758" s="339">
        <f t="shared" si="80"/>
        <v>1.8</v>
      </c>
      <c r="L1758" s="332" t="s">
        <v>39805</v>
      </c>
      <c r="M1758" s="339">
        <f>28.8</f>
        <v>28.8</v>
      </c>
      <c r="N1758" s="332" t="s">
        <v>39794</v>
      </c>
      <c r="O1758" s="335">
        <f t="shared" si="79"/>
        <v>51.84</v>
      </c>
    </row>
    <row r="1759" spans="1:15" s="328" customFormat="1" x14ac:dyDescent="0.2">
      <c r="A1759" s="534" t="s">
        <v>40162</v>
      </c>
      <c r="B1759" s="535"/>
      <c r="C1759" s="535"/>
      <c r="D1759" s="333"/>
      <c r="E1759" s="333"/>
      <c r="F1759" s="333"/>
      <c r="G1759" s="333"/>
      <c r="H1759" s="333"/>
      <c r="I1759" s="331"/>
      <c r="J1759" s="331"/>
      <c r="K1759" s="339">
        <f t="shared" si="80"/>
        <v>1.8</v>
      </c>
      <c r="L1759" s="332" t="s">
        <v>39805</v>
      </c>
      <c r="M1759" s="339">
        <f>29.1</f>
        <v>29.1</v>
      </c>
      <c r="N1759" s="332" t="s">
        <v>39794</v>
      </c>
      <c r="O1759" s="335">
        <f t="shared" si="79"/>
        <v>52.38</v>
      </c>
    </row>
    <row r="1760" spans="1:15" s="328" customFormat="1" x14ac:dyDescent="0.2">
      <c r="A1760" s="534" t="s">
        <v>39865</v>
      </c>
      <c r="B1760" s="535"/>
      <c r="C1760" s="535"/>
      <c r="D1760" s="333"/>
      <c r="E1760" s="333"/>
      <c r="F1760" s="333"/>
      <c r="G1760" s="333"/>
      <c r="H1760" s="333"/>
      <c r="I1760" s="331"/>
      <c r="J1760" s="331"/>
      <c r="K1760" s="339">
        <f t="shared" si="80"/>
        <v>1.8</v>
      </c>
      <c r="L1760" s="332" t="s">
        <v>39805</v>
      </c>
      <c r="M1760" s="339">
        <f>14.5</f>
        <v>14.5</v>
      </c>
      <c r="N1760" s="332" t="s">
        <v>39794</v>
      </c>
      <c r="O1760" s="335">
        <f t="shared" si="79"/>
        <v>26.1</v>
      </c>
    </row>
    <row r="1761" spans="1:15" s="328" customFormat="1" x14ac:dyDescent="0.2">
      <c r="A1761" s="534" t="s">
        <v>39961</v>
      </c>
      <c r="B1761" s="535"/>
      <c r="C1761" s="535"/>
      <c r="D1761" s="333"/>
      <c r="E1761" s="333"/>
      <c r="F1761" s="333"/>
      <c r="G1761" s="333"/>
      <c r="H1761" s="333"/>
      <c r="I1761" s="331"/>
      <c r="J1761" s="331"/>
      <c r="K1761" s="339">
        <f t="shared" si="80"/>
        <v>1.8</v>
      </c>
      <c r="L1761" s="332" t="s">
        <v>39805</v>
      </c>
      <c r="M1761" s="339">
        <f>29.1</f>
        <v>29.1</v>
      </c>
      <c r="N1761" s="332" t="s">
        <v>39794</v>
      </c>
      <c r="O1761" s="335">
        <f t="shared" si="79"/>
        <v>52.38</v>
      </c>
    </row>
    <row r="1762" spans="1:15" s="328" customFormat="1" x14ac:dyDescent="0.2">
      <c r="A1762" s="534" t="s">
        <v>39865</v>
      </c>
      <c r="B1762" s="535"/>
      <c r="C1762" s="535"/>
      <c r="D1762" s="333"/>
      <c r="E1762" s="333"/>
      <c r="F1762" s="333"/>
      <c r="G1762" s="333"/>
      <c r="H1762" s="333"/>
      <c r="I1762" s="331"/>
      <c r="J1762" s="331"/>
      <c r="K1762" s="339">
        <f t="shared" si="80"/>
        <v>1.8</v>
      </c>
      <c r="L1762" s="332" t="s">
        <v>39805</v>
      </c>
      <c r="M1762" s="339">
        <f>14.5</f>
        <v>14.5</v>
      </c>
      <c r="N1762" s="332" t="s">
        <v>39794</v>
      </c>
      <c r="O1762" s="335">
        <f t="shared" si="79"/>
        <v>26.1</v>
      </c>
    </row>
    <row r="1763" spans="1:15" s="328" customFormat="1" x14ac:dyDescent="0.2">
      <c r="A1763" s="539" t="s">
        <v>5917</v>
      </c>
      <c r="B1763" s="539"/>
      <c r="C1763" s="539"/>
      <c r="D1763" s="333"/>
      <c r="E1763" s="333"/>
      <c r="F1763" s="333"/>
      <c r="G1763" s="333"/>
      <c r="H1763" s="333"/>
      <c r="I1763" s="331"/>
      <c r="J1763" s="331"/>
      <c r="K1763" s="333" t="s">
        <v>39823</v>
      </c>
      <c r="L1763" s="333" t="s">
        <v>39805</v>
      </c>
      <c r="M1763" s="333" t="s">
        <v>39802</v>
      </c>
      <c r="N1763" s="333" t="s">
        <v>39794</v>
      </c>
      <c r="O1763" s="333" t="s">
        <v>39795</v>
      </c>
    </row>
    <row r="1764" spans="1:15" s="328" customFormat="1" x14ac:dyDescent="0.2">
      <c r="A1764" s="536" t="s">
        <v>39886</v>
      </c>
      <c r="B1764" s="537"/>
      <c r="C1764" s="538"/>
      <c r="D1764" s="333"/>
      <c r="E1764" s="333"/>
      <c r="F1764" s="333"/>
      <c r="G1764" s="333"/>
      <c r="H1764" s="333"/>
      <c r="I1764" s="331"/>
      <c r="J1764" s="331"/>
      <c r="K1764" s="339">
        <f t="shared" si="80"/>
        <v>1.8</v>
      </c>
      <c r="L1764" s="332" t="s">
        <v>39805</v>
      </c>
      <c r="M1764" s="339">
        <f>30.18</f>
        <v>30.18</v>
      </c>
      <c r="N1764" s="332" t="s">
        <v>39794</v>
      </c>
      <c r="O1764" s="335">
        <f>ROUND(K1764*M1764,2)</f>
        <v>54.32</v>
      </c>
    </row>
    <row r="1765" spans="1:15" s="328" customFormat="1" x14ac:dyDescent="0.2">
      <c r="A1765" s="536" t="s">
        <v>39887</v>
      </c>
      <c r="B1765" s="537"/>
      <c r="C1765" s="538"/>
      <c r="D1765" s="333"/>
      <c r="E1765" s="333"/>
      <c r="F1765" s="333"/>
      <c r="G1765" s="333"/>
      <c r="H1765" s="333"/>
      <c r="I1765" s="331"/>
      <c r="J1765" s="331"/>
      <c r="K1765" s="339">
        <f t="shared" si="80"/>
        <v>1.8</v>
      </c>
      <c r="L1765" s="332" t="s">
        <v>39805</v>
      </c>
      <c r="M1765" s="339">
        <f>0.15</f>
        <v>0.15</v>
      </c>
      <c r="N1765" s="332" t="s">
        <v>39794</v>
      </c>
      <c r="O1765" s="335">
        <f t="shared" ref="O1765:O1778" si="81">ROUND(K1765*M1765,2)</f>
        <v>0.27</v>
      </c>
    </row>
    <row r="1766" spans="1:15" s="328" customFormat="1" x14ac:dyDescent="0.2">
      <c r="A1766" s="536" t="s">
        <v>39888</v>
      </c>
      <c r="B1766" s="537"/>
      <c r="C1766" s="538"/>
      <c r="D1766" s="333"/>
      <c r="E1766" s="333"/>
      <c r="F1766" s="333"/>
      <c r="G1766" s="333"/>
      <c r="H1766" s="333"/>
      <c r="I1766" s="331"/>
      <c r="J1766" s="331"/>
      <c r="K1766" s="339">
        <f t="shared" si="80"/>
        <v>1.8</v>
      </c>
      <c r="L1766" s="332" t="s">
        <v>39805</v>
      </c>
      <c r="M1766" s="339">
        <f>1.15</f>
        <v>1.1499999999999999</v>
      </c>
      <c r="N1766" s="332" t="s">
        <v>39794</v>
      </c>
      <c r="O1766" s="335">
        <f t="shared" si="81"/>
        <v>2.0699999999999998</v>
      </c>
    </row>
    <row r="1767" spans="1:15" s="328" customFormat="1" x14ac:dyDescent="0.2">
      <c r="A1767" s="536" t="s">
        <v>39889</v>
      </c>
      <c r="B1767" s="537"/>
      <c r="C1767" s="538"/>
      <c r="D1767" s="333"/>
      <c r="E1767" s="333"/>
      <c r="F1767" s="333"/>
      <c r="G1767" s="333"/>
      <c r="H1767" s="333"/>
      <c r="I1767" s="331"/>
      <c r="J1767" s="331"/>
      <c r="K1767" s="339">
        <f t="shared" si="80"/>
        <v>1.8</v>
      </c>
      <c r="L1767" s="332" t="s">
        <v>39805</v>
      </c>
      <c r="M1767" s="339">
        <f>7.4</f>
        <v>7.4</v>
      </c>
      <c r="N1767" s="332" t="s">
        <v>39794</v>
      </c>
      <c r="O1767" s="335">
        <f t="shared" si="81"/>
        <v>13.32</v>
      </c>
    </row>
    <row r="1768" spans="1:15" s="328" customFormat="1" x14ac:dyDescent="0.2">
      <c r="A1768" s="536" t="s">
        <v>39890</v>
      </c>
      <c r="B1768" s="537"/>
      <c r="C1768" s="538"/>
      <c r="D1768" s="333"/>
      <c r="E1768" s="333"/>
      <c r="F1768" s="333"/>
      <c r="G1768" s="333"/>
      <c r="H1768" s="333"/>
      <c r="I1768" s="331"/>
      <c r="J1768" s="331"/>
      <c r="K1768" s="339">
        <f t="shared" si="80"/>
        <v>1.8</v>
      </c>
      <c r="L1768" s="332" t="s">
        <v>39805</v>
      </c>
      <c r="M1768" s="339">
        <f>0.82</f>
        <v>0.82</v>
      </c>
      <c r="N1768" s="332" t="s">
        <v>39794</v>
      </c>
      <c r="O1768" s="335">
        <f t="shared" si="81"/>
        <v>1.48</v>
      </c>
    </row>
    <row r="1769" spans="1:15" s="328" customFormat="1" x14ac:dyDescent="0.2">
      <c r="A1769" s="536" t="s">
        <v>39891</v>
      </c>
      <c r="B1769" s="537"/>
      <c r="C1769" s="538"/>
      <c r="D1769" s="333"/>
      <c r="E1769" s="333"/>
      <c r="F1769" s="333"/>
      <c r="G1769" s="333"/>
      <c r="H1769" s="333"/>
      <c r="I1769" s="331"/>
      <c r="J1769" s="331"/>
      <c r="K1769" s="339">
        <f t="shared" si="80"/>
        <v>1.8</v>
      </c>
      <c r="L1769" s="332" t="s">
        <v>39805</v>
      </c>
      <c r="M1769" s="339">
        <f>0.15</f>
        <v>0.15</v>
      </c>
      <c r="N1769" s="332" t="s">
        <v>39794</v>
      </c>
      <c r="O1769" s="335">
        <f t="shared" si="81"/>
        <v>0.27</v>
      </c>
    </row>
    <row r="1770" spans="1:15" s="328" customFormat="1" x14ac:dyDescent="0.2">
      <c r="A1770" s="536" t="s">
        <v>39892</v>
      </c>
      <c r="B1770" s="537"/>
      <c r="C1770" s="538"/>
      <c r="D1770" s="333"/>
      <c r="E1770" s="333"/>
      <c r="F1770" s="333"/>
      <c r="G1770" s="333"/>
      <c r="H1770" s="333"/>
      <c r="I1770" s="331"/>
      <c r="J1770" s="331"/>
      <c r="K1770" s="339">
        <f t="shared" si="80"/>
        <v>1.8</v>
      </c>
      <c r="L1770" s="332" t="s">
        <v>39805</v>
      </c>
      <c r="M1770" s="339">
        <f>0.82</f>
        <v>0.82</v>
      </c>
      <c r="N1770" s="332" t="s">
        <v>39794</v>
      </c>
      <c r="O1770" s="335">
        <f t="shared" si="81"/>
        <v>1.48</v>
      </c>
    </row>
    <row r="1771" spans="1:15" s="328" customFormat="1" x14ac:dyDescent="0.2">
      <c r="A1771" s="536" t="s">
        <v>39893</v>
      </c>
      <c r="B1771" s="537"/>
      <c r="C1771" s="538"/>
      <c r="D1771" s="333"/>
      <c r="E1771" s="333"/>
      <c r="F1771" s="333"/>
      <c r="G1771" s="333"/>
      <c r="H1771" s="333"/>
      <c r="I1771" s="331"/>
      <c r="J1771" s="331"/>
      <c r="K1771" s="339">
        <f t="shared" si="80"/>
        <v>1.8</v>
      </c>
      <c r="L1771" s="332" t="s">
        <v>39805</v>
      </c>
      <c r="M1771" s="339">
        <f>0.15</f>
        <v>0.15</v>
      </c>
      <c r="N1771" s="332" t="s">
        <v>39794</v>
      </c>
      <c r="O1771" s="335">
        <f t="shared" si="81"/>
        <v>0.27</v>
      </c>
    </row>
    <row r="1772" spans="1:15" s="328" customFormat="1" x14ac:dyDescent="0.2">
      <c r="A1772" s="536" t="s">
        <v>39894</v>
      </c>
      <c r="B1772" s="537"/>
      <c r="C1772" s="538"/>
      <c r="D1772" s="333"/>
      <c r="E1772" s="333"/>
      <c r="F1772" s="333"/>
      <c r="G1772" s="333"/>
      <c r="H1772" s="333"/>
      <c r="I1772" s="331"/>
      <c r="J1772" s="331"/>
      <c r="K1772" s="339">
        <f t="shared" si="80"/>
        <v>1.8</v>
      </c>
      <c r="L1772" s="332" t="s">
        <v>39805</v>
      </c>
      <c r="M1772" s="339">
        <f>0.15</f>
        <v>0.15</v>
      </c>
      <c r="N1772" s="332" t="s">
        <v>39794</v>
      </c>
      <c r="O1772" s="335">
        <f t="shared" si="81"/>
        <v>0.27</v>
      </c>
    </row>
    <row r="1773" spans="1:15" s="328" customFormat="1" x14ac:dyDescent="0.2">
      <c r="A1773" s="536" t="s">
        <v>39895</v>
      </c>
      <c r="B1773" s="537"/>
      <c r="C1773" s="538"/>
      <c r="D1773" s="333"/>
      <c r="E1773" s="333"/>
      <c r="F1773" s="333"/>
      <c r="G1773" s="333"/>
      <c r="H1773" s="333"/>
      <c r="I1773" s="331"/>
      <c r="J1773" s="331"/>
      <c r="K1773" s="339">
        <f t="shared" si="80"/>
        <v>1.8</v>
      </c>
      <c r="L1773" s="332" t="s">
        <v>39805</v>
      </c>
      <c r="M1773" s="339">
        <f>8.55</f>
        <v>8.5500000000000007</v>
      </c>
      <c r="N1773" s="332" t="s">
        <v>39794</v>
      </c>
      <c r="O1773" s="335">
        <f t="shared" si="81"/>
        <v>15.39</v>
      </c>
    </row>
    <row r="1774" spans="1:15" s="328" customFormat="1" x14ac:dyDescent="0.2">
      <c r="A1774" s="536" t="s">
        <v>39896</v>
      </c>
      <c r="B1774" s="537"/>
      <c r="C1774" s="538"/>
      <c r="D1774" s="333"/>
      <c r="E1774" s="333"/>
      <c r="F1774" s="333"/>
      <c r="G1774" s="333"/>
      <c r="H1774" s="333"/>
      <c r="I1774" s="331"/>
      <c r="J1774" s="331"/>
      <c r="K1774" s="339">
        <f t="shared" si="80"/>
        <v>1.8</v>
      </c>
      <c r="L1774" s="332" t="s">
        <v>39805</v>
      </c>
      <c r="M1774" s="339">
        <f>0.15</f>
        <v>0.15</v>
      </c>
      <c r="N1774" s="332" t="s">
        <v>39794</v>
      </c>
      <c r="O1774" s="335">
        <f t="shared" si="81"/>
        <v>0.27</v>
      </c>
    </row>
    <row r="1775" spans="1:15" s="328" customFormat="1" x14ac:dyDescent="0.2">
      <c r="A1775" s="536" t="s">
        <v>40163</v>
      </c>
      <c r="B1775" s="537"/>
      <c r="C1775" s="538"/>
      <c r="D1775" s="333"/>
      <c r="E1775" s="333"/>
      <c r="F1775" s="333"/>
      <c r="G1775" s="333"/>
      <c r="H1775" s="333"/>
      <c r="I1775" s="331"/>
      <c r="J1775" s="331"/>
      <c r="K1775" s="339">
        <f t="shared" si="80"/>
        <v>1.8</v>
      </c>
      <c r="L1775" s="332" t="s">
        <v>39805</v>
      </c>
      <c r="M1775" s="339">
        <f>0.15</f>
        <v>0.15</v>
      </c>
      <c r="N1775" s="332" t="s">
        <v>39794</v>
      </c>
      <c r="O1775" s="335">
        <f t="shared" si="81"/>
        <v>0.27</v>
      </c>
    </row>
    <row r="1776" spans="1:15" s="328" customFormat="1" x14ac:dyDescent="0.2">
      <c r="A1776" s="536" t="s">
        <v>40164</v>
      </c>
      <c r="B1776" s="537"/>
      <c r="C1776" s="538"/>
      <c r="D1776" s="333"/>
      <c r="E1776" s="333"/>
      <c r="F1776" s="333"/>
      <c r="G1776" s="333"/>
      <c r="H1776" s="333"/>
      <c r="I1776" s="331"/>
      <c r="J1776" s="331"/>
      <c r="K1776" s="339">
        <f t="shared" si="80"/>
        <v>1.8</v>
      </c>
      <c r="L1776" s="332" t="s">
        <v>39805</v>
      </c>
      <c r="M1776" s="339">
        <f>5.85</f>
        <v>5.85</v>
      </c>
      <c r="N1776" s="332" t="s">
        <v>39794</v>
      </c>
      <c r="O1776" s="335">
        <f t="shared" si="81"/>
        <v>10.53</v>
      </c>
    </row>
    <row r="1777" spans="1:15" s="328" customFormat="1" x14ac:dyDescent="0.2">
      <c r="A1777" s="536" t="s">
        <v>40165</v>
      </c>
      <c r="B1777" s="537"/>
      <c r="C1777" s="538"/>
      <c r="D1777" s="333"/>
      <c r="E1777" s="333"/>
      <c r="F1777" s="333"/>
      <c r="G1777" s="333"/>
      <c r="H1777" s="333"/>
      <c r="I1777" s="331"/>
      <c r="J1777" s="331"/>
      <c r="K1777" s="339">
        <f t="shared" si="80"/>
        <v>1.8</v>
      </c>
      <c r="L1777" s="332" t="s">
        <v>39805</v>
      </c>
      <c r="M1777" s="339">
        <f>2.7</f>
        <v>2.7</v>
      </c>
      <c r="N1777" s="332" t="s">
        <v>39794</v>
      </c>
      <c r="O1777" s="335">
        <f t="shared" si="81"/>
        <v>4.8600000000000003</v>
      </c>
    </row>
    <row r="1778" spans="1:15" s="328" customFormat="1" x14ac:dyDescent="0.2">
      <c r="A1778" s="536" t="s">
        <v>40166</v>
      </c>
      <c r="B1778" s="537"/>
      <c r="C1778" s="538"/>
      <c r="D1778" s="333"/>
      <c r="E1778" s="333"/>
      <c r="F1778" s="333"/>
      <c r="G1778" s="333"/>
      <c r="H1778" s="333"/>
      <c r="I1778" s="331"/>
      <c r="J1778" s="331"/>
      <c r="K1778" s="339">
        <f t="shared" si="80"/>
        <v>1.8</v>
      </c>
      <c r="L1778" s="332" t="s">
        <v>39805</v>
      </c>
      <c r="M1778" s="339">
        <f>0.8</f>
        <v>0.8</v>
      </c>
      <c r="N1778" s="332" t="s">
        <v>39794</v>
      </c>
      <c r="O1778" s="335">
        <f t="shared" si="81"/>
        <v>1.44</v>
      </c>
    </row>
    <row r="1779" spans="1:15" s="328" customFormat="1" x14ac:dyDescent="0.2">
      <c r="A1779" s="539" t="s">
        <v>5917</v>
      </c>
      <c r="B1779" s="539"/>
      <c r="C1779" s="539"/>
      <c r="D1779" s="333"/>
      <c r="E1779" s="333"/>
      <c r="F1779" s="333"/>
      <c r="G1779" s="333"/>
      <c r="H1779" s="333"/>
      <c r="I1779" s="331"/>
      <c r="J1779" s="331"/>
      <c r="K1779" s="333" t="s">
        <v>39823</v>
      </c>
      <c r="L1779" s="333" t="s">
        <v>39805</v>
      </c>
      <c r="M1779" s="333" t="s">
        <v>39885</v>
      </c>
      <c r="N1779" s="333" t="s">
        <v>39794</v>
      </c>
      <c r="O1779" s="333" t="s">
        <v>39795</v>
      </c>
    </row>
    <row r="1780" spans="1:15" s="328" customFormat="1" x14ac:dyDescent="0.2">
      <c r="A1780" s="534" t="s">
        <v>39959</v>
      </c>
      <c r="B1780" s="535"/>
      <c r="C1780" s="535"/>
      <c r="D1780" s="333"/>
      <c r="E1780" s="333"/>
      <c r="F1780" s="333"/>
      <c r="G1780" s="333"/>
      <c r="H1780" s="333"/>
      <c r="I1780" s="331"/>
      <c r="J1780" s="331"/>
      <c r="K1780" s="339">
        <f>3</f>
        <v>3</v>
      </c>
      <c r="L1780" s="332" t="s">
        <v>39805</v>
      </c>
      <c r="M1780" s="339">
        <f>18.95</f>
        <v>18.95</v>
      </c>
      <c r="N1780" s="332" t="s">
        <v>39794</v>
      </c>
      <c r="O1780" s="335">
        <f t="shared" si="79"/>
        <v>56.85</v>
      </c>
    </row>
    <row r="1781" spans="1:15" s="328" customFormat="1" x14ac:dyDescent="0.2">
      <c r="A1781" s="534" t="s">
        <v>39818</v>
      </c>
      <c r="B1781" s="535"/>
      <c r="C1781" s="535"/>
      <c r="D1781" s="333"/>
      <c r="E1781" s="333"/>
      <c r="F1781" s="333"/>
      <c r="G1781" s="333"/>
      <c r="H1781" s="333"/>
      <c r="I1781" s="331"/>
      <c r="J1781" s="331"/>
      <c r="K1781" s="339">
        <f>3</f>
        <v>3</v>
      </c>
      <c r="L1781" s="332" t="s">
        <v>39805</v>
      </c>
      <c r="M1781" s="339">
        <f>7.1</f>
        <v>7.1</v>
      </c>
      <c r="N1781" s="332" t="s">
        <v>39794</v>
      </c>
      <c r="O1781" s="335">
        <f t="shared" si="79"/>
        <v>21.3</v>
      </c>
    </row>
    <row r="1782" spans="1:15" s="328" customFormat="1" x14ac:dyDescent="0.2">
      <c r="A1782" s="534" t="s">
        <v>39817</v>
      </c>
      <c r="B1782" s="535"/>
      <c r="C1782" s="535"/>
      <c r="D1782" s="333"/>
      <c r="E1782" s="333"/>
      <c r="F1782" s="333"/>
      <c r="G1782" s="333"/>
      <c r="H1782" s="333"/>
      <c r="I1782" s="331"/>
      <c r="J1782" s="331"/>
      <c r="K1782" s="339">
        <f>3</f>
        <v>3</v>
      </c>
      <c r="L1782" s="332" t="s">
        <v>39805</v>
      </c>
      <c r="M1782" s="339">
        <f>18.95</f>
        <v>18.95</v>
      </c>
      <c r="N1782" s="332" t="s">
        <v>39794</v>
      </c>
      <c r="O1782" s="335">
        <f t="shared" si="79"/>
        <v>56.85</v>
      </c>
    </row>
    <row r="1783" spans="1:15" s="328" customFormat="1" x14ac:dyDescent="0.2">
      <c r="A1783" s="540"/>
      <c r="B1783" s="540"/>
      <c r="C1783" s="540"/>
      <c r="D1783" s="540"/>
      <c r="E1783" s="540"/>
      <c r="F1783" s="540"/>
      <c r="G1783" s="540"/>
      <c r="H1783" s="540"/>
      <c r="I1783" s="540"/>
      <c r="J1783" s="540"/>
      <c r="K1783" s="540"/>
      <c r="L1783" s="334" t="s">
        <v>39796</v>
      </c>
      <c r="M1783" s="334" t="s">
        <v>39168</v>
      </c>
      <c r="N1783" s="333" t="s">
        <v>39794</v>
      </c>
      <c r="O1783" s="334">
        <f>SUM(O1753:O1782)</f>
        <v>632.37999999999988</v>
      </c>
    </row>
    <row r="1784" spans="1:15" s="328" customFormat="1" x14ac:dyDescent="0.2">
      <c r="A1784" s="329" t="s">
        <v>39791</v>
      </c>
      <c r="B1784" s="542" t="s">
        <v>5917</v>
      </c>
      <c r="C1784" s="542"/>
      <c r="D1784" s="542"/>
      <c r="E1784" s="542"/>
      <c r="F1784" s="542"/>
      <c r="G1784" s="542"/>
      <c r="H1784" s="542"/>
      <c r="I1784" s="542"/>
      <c r="J1784" s="542"/>
      <c r="K1784" s="542"/>
      <c r="L1784" s="542"/>
      <c r="M1784" s="542"/>
      <c r="N1784" s="329" t="s">
        <v>39197</v>
      </c>
      <c r="O1784" s="330" t="s">
        <v>39792</v>
      </c>
    </row>
    <row r="1785" spans="1:15" s="328" customFormat="1" ht="12.75" customHeight="1" x14ac:dyDescent="0.2">
      <c r="A1785" s="331" t="str">
        <f>ORCAMENTO!A295</f>
        <v>14.1.3</v>
      </c>
      <c r="B1785" s="543" t="str">
        <f>VLOOKUP(A1785,ORCAMENTO!A:I,4,0)</f>
        <v>CERÂMICA ESMALTADA C/ ARG. PRÉ-FABRICADA ATÉ 10x10cm (100cm²) - DECORATIVA - P/ PAREDE</v>
      </c>
      <c r="C1785" s="543"/>
      <c r="D1785" s="543"/>
      <c r="E1785" s="543"/>
      <c r="F1785" s="543"/>
      <c r="G1785" s="543"/>
      <c r="H1785" s="543"/>
      <c r="I1785" s="543"/>
      <c r="J1785" s="543"/>
      <c r="K1785" s="543"/>
      <c r="L1785" s="543"/>
      <c r="M1785" s="543"/>
      <c r="N1785" s="331" t="str">
        <f>VLOOKUP(A1785,ORCAMENTO!A:I,5,0)</f>
        <v>M2</v>
      </c>
      <c r="O1785" s="332">
        <f>O1813</f>
        <v>497.37999999999994</v>
      </c>
    </row>
    <row r="1786" spans="1:15" s="328" customFormat="1" x14ac:dyDescent="0.2">
      <c r="A1786" s="539" t="s">
        <v>39793</v>
      </c>
      <c r="B1786" s="539"/>
      <c r="C1786" s="539"/>
      <c r="D1786" s="539"/>
      <c r="E1786" s="539"/>
      <c r="F1786" s="539"/>
      <c r="G1786" s="539"/>
      <c r="H1786" s="539"/>
      <c r="I1786" s="539"/>
      <c r="J1786" s="539"/>
      <c r="K1786" s="539"/>
      <c r="L1786" s="539"/>
      <c r="M1786" s="539"/>
      <c r="N1786" s="539"/>
      <c r="O1786" s="539"/>
    </row>
    <row r="1787" spans="1:15" s="328" customFormat="1" x14ac:dyDescent="0.2">
      <c r="A1787" s="539" t="s">
        <v>5917</v>
      </c>
      <c r="B1787" s="539"/>
      <c r="C1787" s="539"/>
      <c r="D1787" s="333"/>
      <c r="E1787" s="333"/>
      <c r="F1787" s="333"/>
      <c r="G1787" s="333"/>
      <c r="H1787" s="333"/>
      <c r="I1787" s="331"/>
      <c r="J1787" s="331"/>
      <c r="K1787" s="333" t="s">
        <v>39823</v>
      </c>
      <c r="L1787" s="333" t="s">
        <v>39805</v>
      </c>
      <c r="M1787" s="333" t="s">
        <v>39885</v>
      </c>
      <c r="N1787" s="333" t="s">
        <v>39794</v>
      </c>
      <c r="O1787" s="333" t="s">
        <v>39795</v>
      </c>
    </row>
    <row r="1788" spans="1:15" s="328" customFormat="1" x14ac:dyDescent="0.2">
      <c r="A1788" s="534" t="s">
        <v>39862</v>
      </c>
      <c r="B1788" s="535"/>
      <c r="C1788" s="535"/>
      <c r="D1788" s="333"/>
      <c r="E1788" s="333"/>
      <c r="F1788" s="333"/>
      <c r="G1788" s="333"/>
      <c r="H1788" s="333"/>
      <c r="I1788" s="331"/>
      <c r="J1788" s="331"/>
      <c r="K1788" s="339">
        <f>1.8</f>
        <v>1.8</v>
      </c>
      <c r="L1788" s="332" t="s">
        <v>39805</v>
      </c>
      <c r="M1788" s="339">
        <f>28.75</f>
        <v>28.75</v>
      </c>
      <c r="N1788" s="332" t="s">
        <v>39794</v>
      </c>
      <c r="O1788" s="335">
        <f t="shared" ref="O1788:O1796" si="82">ROUND(K1788*M1788,2)</f>
        <v>51.75</v>
      </c>
    </row>
    <row r="1789" spans="1:15" s="328" customFormat="1" x14ac:dyDescent="0.2">
      <c r="A1789" s="534" t="s">
        <v>39863</v>
      </c>
      <c r="B1789" s="535"/>
      <c r="C1789" s="535"/>
      <c r="D1789" s="333"/>
      <c r="E1789" s="333"/>
      <c r="F1789" s="333"/>
      <c r="G1789" s="333"/>
      <c r="H1789" s="333"/>
      <c r="I1789" s="331"/>
      <c r="J1789" s="331"/>
      <c r="K1789" s="339">
        <f t="shared" ref="K1789:K1796" si="83">1.8</f>
        <v>1.8</v>
      </c>
      <c r="L1789" s="332" t="s">
        <v>39805</v>
      </c>
      <c r="M1789" s="339">
        <f>28.8</f>
        <v>28.8</v>
      </c>
      <c r="N1789" s="332" t="s">
        <v>39794</v>
      </c>
      <c r="O1789" s="335">
        <f t="shared" si="82"/>
        <v>51.84</v>
      </c>
    </row>
    <row r="1790" spans="1:15" s="328" customFormat="1" x14ac:dyDescent="0.2">
      <c r="A1790" s="534" t="s">
        <v>40161</v>
      </c>
      <c r="B1790" s="535"/>
      <c r="C1790" s="535"/>
      <c r="D1790" s="333"/>
      <c r="E1790" s="333"/>
      <c r="F1790" s="333"/>
      <c r="G1790" s="333"/>
      <c r="H1790" s="333"/>
      <c r="I1790" s="331"/>
      <c r="J1790" s="331"/>
      <c r="K1790" s="339">
        <f t="shared" si="83"/>
        <v>1.8</v>
      </c>
      <c r="L1790" s="332" t="s">
        <v>39805</v>
      </c>
      <c r="M1790" s="339">
        <f>29.1</f>
        <v>29.1</v>
      </c>
      <c r="N1790" s="332" t="s">
        <v>39794</v>
      </c>
      <c r="O1790" s="335">
        <f t="shared" si="82"/>
        <v>52.38</v>
      </c>
    </row>
    <row r="1791" spans="1:15" s="328" customFormat="1" x14ac:dyDescent="0.2">
      <c r="A1791" s="534" t="s">
        <v>39865</v>
      </c>
      <c r="B1791" s="535"/>
      <c r="C1791" s="535"/>
      <c r="D1791" s="333"/>
      <c r="E1791" s="333"/>
      <c r="F1791" s="333"/>
      <c r="G1791" s="333"/>
      <c r="H1791" s="333"/>
      <c r="I1791" s="331"/>
      <c r="J1791" s="331"/>
      <c r="K1791" s="339">
        <f t="shared" si="83"/>
        <v>1.8</v>
      </c>
      <c r="L1791" s="332" t="s">
        <v>39805</v>
      </c>
      <c r="M1791" s="339">
        <f>14.5</f>
        <v>14.5</v>
      </c>
      <c r="N1791" s="332" t="s">
        <v>39794</v>
      </c>
      <c r="O1791" s="335">
        <f t="shared" si="82"/>
        <v>26.1</v>
      </c>
    </row>
    <row r="1792" spans="1:15" s="328" customFormat="1" x14ac:dyDescent="0.2">
      <c r="A1792" s="534" t="s">
        <v>39866</v>
      </c>
      <c r="B1792" s="535"/>
      <c r="C1792" s="535"/>
      <c r="D1792" s="333"/>
      <c r="E1792" s="333"/>
      <c r="F1792" s="333"/>
      <c r="G1792" s="333"/>
      <c r="H1792" s="333"/>
      <c r="I1792" s="331"/>
      <c r="J1792" s="331"/>
      <c r="K1792" s="339">
        <f t="shared" si="83"/>
        <v>1.8</v>
      </c>
      <c r="L1792" s="332" t="s">
        <v>39805</v>
      </c>
      <c r="M1792" s="339">
        <f>28.8</f>
        <v>28.8</v>
      </c>
      <c r="N1792" s="332" t="s">
        <v>39794</v>
      </c>
      <c r="O1792" s="335">
        <f t="shared" si="82"/>
        <v>51.84</v>
      </c>
    </row>
    <row r="1793" spans="1:15" s="328" customFormat="1" x14ac:dyDescent="0.2">
      <c r="A1793" s="534" t="s">
        <v>40162</v>
      </c>
      <c r="B1793" s="535"/>
      <c r="C1793" s="535"/>
      <c r="D1793" s="333"/>
      <c r="E1793" s="333"/>
      <c r="F1793" s="333"/>
      <c r="G1793" s="333"/>
      <c r="H1793" s="333"/>
      <c r="I1793" s="331"/>
      <c r="J1793" s="331"/>
      <c r="K1793" s="339">
        <f t="shared" si="83"/>
        <v>1.8</v>
      </c>
      <c r="L1793" s="332" t="s">
        <v>39805</v>
      </c>
      <c r="M1793" s="339">
        <f>29.1</f>
        <v>29.1</v>
      </c>
      <c r="N1793" s="332" t="s">
        <v>39794</v>
      </c>
      <c r="O1793" s="335">
        <f t="shared" si="82"/>
        <v>52.38</v>
      </c>
    </row>
    <row r="1794" spans="1:15" s="328" customFormat="1" x14ac:dyDescent="0.2">
      <c r="A1794" s="534" t="s">
        <v>39865</v>
      </c>
      <c r="B1794" s="535"/>
      <c r="C1794" s="535"/>
      <c r="D1794" s="333"/>
      <c r="E1794" s="333"/>
      <c r="F1794" s="333"/>
      <c r="G1794" s="333"/>
      <c r="H1794" s="333"/>
      <c r="I1794" s="331"/>
      <c r="J1794" s="331"/>
      <c r="K1794" s="339">
        <f t="shared" si="83"/>
        <v>1.8</v>
      </c>
      <c r="L1794" s="332" t="s">
        <v>39805</v>
      </c>
      <c r="M1794" s="339">
        <f>14.5</f>
        <v>14.5</v>
      </c>
      <c r="N1794" s="332" t="s">
        <v>39794</v>
      </c>
      <c r="O1794" s="335">
        <f t="shared" si="82"/>
        <v>26.1</v>
      </c>
    </row>
    <row r="1795" spans="1:15" s="328" customFormat="1" x14ac:dyDescent="0.2">
      <c r="A1795" s="534" t="s">
        <v>39961</v>
      </c>
      <c r="B1795" s="535"/>
      <c r="C1795" s="535"/>
      <c r="D1795" s="333"/>
      <c r="E1795" s="333"/>
      <c r="F1795" s="333"/>
      <c r="G1795" s="333"/>
      <c r="H1795" s="333"/>
      <c r="I1795" s="331"/>
      <c r="J1795" s="331"/>
      <c r="K1795" s="339">
        <f t="shared" si="83"/>
        <v>1.8</v>
      </c>
      <c r="L1795" s="332" t="s">
        <v>39805</v>
      </c>
      <c r="M1795" s="339">
        <f>29.1</f>
        <v>29.1</v>
      </c>
      <c r="N1795" s="332" t="s">
        <v>39794</v>
      </c>
      <c r="O1795" s="335">
        <f t="shared" si="82"/>
        <v>52.38</v>
      </c>
    </row>
    <row r="1796" spans="1:15" s="328" customFormat="1" x14ac:dyDescent="0.2">
      <c r="A1796" s="534" t="s">
        <v>39865</v>
      </c>
      <c r="B1796" s="535"/>
      <c r="C1796" s="535"/>
      <c r="D1796" s="333"/>
      <c r="E1796" s="333"/>
      <c r="F1796" s="333"/>
      <c r="G1796" s="333"/>
      <c r="H1796" s="333"/>
      <c r="I1796" s="331"/>
      <c r="J1796" s="331"/>
      <c r="K1796" s="339">
        <f t="shared" si="83"/>
        <v>1.8</v>
      </c>
      <c r="L1796" s="332" t="s">
        <v>39805</v>
      </c>
      <c r="M1796" s="339">
        <f>14.5</f>
        <v>14.5</v>
      </c>
      <c r="N1796" s="332" t="s">
        <v>39794</v>
      </c>
      <c r="O1796" s="335">
        <f t="shared" si="82"/>
        <v>26.1</v>
      </c>
    </row>
    <row r="1797" spans="1:15" s="328" customFormat="1" x14ac:dyDescent="0.2">
      <c r="A1797" s="539" t="s">
        <v>5917</v>
      </c>
      <c r="B1797" s="539"/>
      <c r="C1797" s="539"/>
      <c r="D1797" s="333"/>
      <c r="E1797" s="333"/>
      <c r="F1797" s="333"/>
      <c r="G1797" s="333"/>
      <c r="H1797" s="333"/>
      <c r="I1797" s="331"/>
      <c r="J1797" s="331"/>
      <c r="K1797" s="333" t="s">
        <v>39823</v>
      </c>
      <c r="L1797" s="333" t="s">
        <v>39805</v>
      </c>
      <c r="M1797" s="333" t="s">
        <v>39802</v>
      </c>
      <c r="N1797" s="333" t="s">
        <v>39794</v>
      </c>
      <c r="O1797" s="333" t="s">
        <v>39795</v>
      </c>
    </row>
    <row r="1798" spans="1:15" s="328" customFormat="1" x14ac:dyDescent="0.2">
      <c r="A1798" s="536" t="s">
        <v>39886</v>
      </c>
      <c r="B1798" s="537"/>
      <c r="C1798" s="538"/>
      <c r="D1798" s="333"/>
      <c r="E1798" s="333"/>
      <c r="F1798" s="333"/>
      <c r="G1798" s="333"/>
      <c r="H1798" s="333"/>
      <c r="I1798" s="331"/>
      <c r="J1798" s="331"/>
      <c r="K1798" s="339">
        <f t="shared" ref="K1798:K1812" si="84">1.8</f>
        <v>1.8</v>
      </c>
      <c r="L1798" s="332" t="s">
        <v>39805</v>
      </c>
      <c r="M1798" s="339">
        <f>30.18</f>
        <v>30.18</v>
      </c>
      <c r="N1798" s="332" t="s">
        <v>39794</v>
      </c>
      <c r="O1798" s="335">
        <f>ROUND(K1798*M1798,2)</f>
        <v>54.32</v>
      </c>
    </row>
    <row r="1799" spans="1:15" s="328" customFormat="1" x14ac:dyDescent="0.2">
      <c r="A1799" s="536" t="s">
        <v>39887</v>
      </c>
      <c r="B1799" s="537"/>
      <c r="C1799" s="538"/>
      <c r="D1799" s="333"/>
      <c r="E1799" s="333"/>
      <c r="F1799" s="333"/>
      <c r="G1799" s="333"/>
      <c r="H1799" s="333"/>
      <c r="I1799" s="331"/>
      <c r="J1799" s="331"/>
      <c r="K1799" s="339">
        <f t="shared" si="84"/>
        <v>1.8</v>
      </c>
      <c r="L1799" s="332" t="s">
        <v>39805</v>
      </c>
      <c r="M1799" s="339">
        <f>0.15</f>
        <v>0.15</v>
      </c>
      <c r="N1799" s="332" t="s">
        <v>39794</v>
      </c>
      <c r="O1799" s="335">
        <f t="shared" ref="O1799:O1812" si="85">ROUND(K1799*M1799,2)</f>
        <v>0.27</v>
      </c>
    </row>
    <row r="1800" spans="1:15" s="328" customFormat="1" x14ac:dyDescent="0.2">
      <c r="A1800" s="536" t="s">
        <v>39888</v>
      </c>
      <c r="B1800" s="537"/>
      <c r="C1800" s="538"/>
      <c r="D1800" s="333"/>
      <c r="E1800" s="333"/>
      <c r="F1800" s="333"/>
      <c r="G1800" s="333"/>
      <c r="H1800" s="333"/>
      <c r="I1800" s="331"/>
      <c r="J1800" s="331"/>
      <c r="K1800" s="339">
        <f t="shared" si="84"/>
        <v>1.8</v>
      </c>
      <c r="L1800" s="332" t="s">
        <v>39805</v>
      </c>
      <c r="M1800" s="339">
        <f>1.15</f>
        <v>1.1499999999999999</v>
      </c>
      <c r="N1800" s="332" t="s">
        <v>39794</v>
      </c>
      <c r="O1800" s="335">
        <f t="shared" si="85"/>
        <v>2.0699999999999998</v>
      </c>
    </row>
    <row r="1801" spans="1:15" s="328" customFormat="1" x14ac:dyDescent="0.2">
      <c r="A1801" s="536" t="s">
        <v>39889</v>
      </c>
      <c r="B1801" s="537"/>
      <c r="C1801" s="538"/>
      <c r="D1801" s="333"/>
      <c r="E1801" s="333"/>
      <c r="F1801" s="333"/>
      <c r="G1801" s="333"/>
      <c r="H1801" s="333"/>
      <c r="I1801" s="331"/>
      <c r="J1801" s="331"/>
      <c r="K1801" s="339">
        <f t="shared" si="84"/>
        <v>1.8</v>
      </c>
      <c r="L1801" s="332" t="s">
        <v>39805</v>
      </c>
      <c r="M1801" s="339">
        <f>7.4</f>
        <v>7.4</v>
      </c>
      <c r="N1801" s="332" t="s">
        <v>39794</v>
      </c>
      <c r="O1801" s="335">
        <f t="shared" si="85"/>
        <v>13.32</v>
      </c>
    </row>
    <row r="1802" spans="1:15" s="328" customFormat="1" x14ac:dyDescent="0.2">
      <c r="A1802" s="536" t="s">
        <v>39890</v>
      </c>
      <c r="B1802" s="537"/>
      <c r="C1802" s="538"/>
      <c r="D1802" s="333"/>
      <c r="E1802" s="333"/>
      <c r="F1802" s="333"/>
      <c r="G1802" s="333"/>
      <c r="H1802" s="333"/>
      <c r="I1802" s="331"/>
      <c r="J1802" s="331"/>
      <c r="K1802" s="339">
        <f t="shared" si="84"/>
        <v>1.8</v>
      </c>
      <c r="L1802" s="332" t="s">
        <v>39805</v>
      </c>
      <c r="M1802" s="339">
        <f>0.82</f>
        <v>0.82</v>
      </c>
      <c r="N1802" s="332" t="s">
        <v>39794</v>
      </c>
      <c r="O1802" s="335">
        <f t="shared" si="85"/>
        <v>1.48</v>
      </c>
    </row>
    <row r="1803" spans="1:15" s="328" customFormat="1" x14ac:dyDescent="0.2">
      <c r="A1803" s="536" t="s">
        <v>39891</v>
      </c>
      <c r="B1803" s="537"/>
      <c r="C1803" s="538"/>
      <c r="D1803" s="333"/>
      <c r="E1803" s="333"/>
      <c r="F1803" s="333"/>
      <c r="G1803" s="333"/>
      <c r="H1803" s="333"/>
      <c r="I1803" s="331"/>
      <c r="J1803" s="331"/>
      <c r="K1803" s="339">
        <f t="shared" si="84"/>
        <v>1.8</v>
      </c>
      <c r="L1803" s="332" t="s">
        <v>39805</v>
      </c>
      <c r="M1803" s="339">
        <f>0.15</f>
        <v>0.15</v>
      </c>
      <c r="N1803" s="332" t="s">
        <v>39794</v>
      </c>
      <c r="O1803" s="335">
        <f t="shared" si="85"/>
        <v>0.27</v>
      </c>
    </row>
    <row r="1804" spans="1:15" s="328" customFormat="1" x14ac:dyDescent="0.2">
      <c r="A1804" s="536" t="s">
        <v>39892</v>
      </c>
      <c r="B1804" s="537"/>
      <c r="C1804" s="538"/>
      <c r="D1804" s="333"/>
      <c r="E1804" s="333"/>
      <c r="F1804" s="333"/>
      <c r="G1804" s="333"/>
      <c r="H1804" s="333"/>
      <c r="I1804" s="331"/>
      <c r="J1804" s="331"/>
      <c r="K1804" s="339">
        <f t="shared" si="84"/>
        <v>1.8</v>
      </c>
      <c r="L1804" s="332" t="s">
        <v>39805</v>
      </c>
      <c r="M1804" s="339">
        <f>0.82</f>
        <v>0.82</v>
      </c>
      <c r="N1804" s="332" t="s">
        <v>39794</v>
      </c>
      <c r="O1804" s="335">
        <f t="shared" si="85"/>
        <v>1.48</v>
      </c>
    </row>
    <row r="1805" spans="1:15" s="328" customFormat="1" x14ac:dyDescent="0.2">
      <c r="A1805" s="536" t="s">
        <v>39893</v>
      </c>
      <c r="B1805" s="537"/>
      <c r="C1805" s="538"/>
      <c r="D1805" s="333"/>
      <c r="E1805" s="333"/>
      <c r="F1805" s="333"/>
      <c r="G1805" s="333"/>
      <c r="H1805" s="333"/>
      <c r="I1805" s="331"/>
      <c r="J1805" s="331"/>
      <c r="K1805" s="339">
        <f t="shared" si="84"/>
        <v>1.8</v>
      </c>
      <c r="L1805" s="332" t="s">
        <v>39805</v>
      </c>
      <c r="M1805" s="339">
        <f>0.15</f>
        <v>0.15</v>
      </c>
      <c r="N1805" s="332" t="s">
        <v>39794</v>
      </c>
      <c r="O1805" s="335">
        <f t="shared" si="85"/>
        <v>0.27</v>
      </c>
    </row>
    <row r="1806" spans="1:15" s="328" customFormat="1" x14ac:dyDescent="0.2">
      <c r="A1806" s="536" t="s">
        <v>39894</v>
      </c>
      <c r="B1806" s="537"/>
      <c r="C1806" s="538"/>
      <c r="D1806" s="333"/>
      <c r="E1806" s="333"/>
      <c r="F1806" s="333"/>
      <c r="G1806" s="333"/>
      <c r="H1806" s="333"/>
      <c r="I1806" s="331"/>
      <c r="J1806" s="331"/>
      <c r="K1806" s="339">
        <f t="shared" si="84"/>
        <v>1.8</v>
      </c>
      <c r="L1806" s="332" t="s">
        <v>39805</v>
      </c>
      <c r="M1806" s="339">
        <f>0.15</f>
        <v>0.15</v>
      </c>
      <c r="N1806" s="332" t="s">
        <v>39794</v>
      </c>
      <c r="O1806" s="335">
        <f t="shared" si="85"/>
        <v>0.27</v>
      </c>
    </row>
    <row r="1807" spans="1:15" s="328" customFormat="1" x14ac:dyDescent="0.2">
      <c r="A1807" s="536" t="s">
        <v>39895</v>
      </c>
      <c r="B1807" s="537"/>
      <c r="C1807" s="538"/>
      <c r="D1807" s="333"/>
      <c r="E1807" s="333"/>
      <c r="F1807" s="333"/>
      <c r="G1807" s="333"/>
      <c r="H1807" s="333"/>
      <c r="I1807" s="331"/>
      <c r="J1807" s="331"/>
      <c r="K1807" s="339">
        <f t="shared" si="84"/>
        <v>1.8</v>
      </c>
      <c r="L1807" s="332" t="s">
        <v>39805</v>
      </c>
      <c r="M1807" s="339">
        <f>8.55</f>
        <v>8.5500000000000007</v>
      </c>
      <c r="N1807" s="332" t="s">
        <v>39794</v>
      </c>
      <c r="O1807" s="335">
        <f t="shared" si="85"/>
        <v>15.39</v>
      </c>
    </row>
    <row r="1808" spans="1:15" s="328" customFormat="1" x14ac:dyDescent="0.2">
      <c r="A1808" s="536" t="s">
        <v>39896</v>
      </c>
      <c r="B1808" s="537"/>
      <c r="C1808" s="538"/>
      <c r="D1808" s="333"/>
      <c r="E1808" s="333"/>
      <c r="F1808" s="333"/>
      <c r="G1808" s="333"/>
      <c r="H1808" s="333"/>
      <c r="I1808" s="331"/>
      <c r="J1808" s="331"/>
      <c r="K1808" s="339">
        <f t="shared" si="84"/>
        <v>1.8</v>
      </c>
      <c r="L1808" s="332" t="s">
        <v>39805</v>
      </c>
      <c r="M1808" s="339">
        <f>0.15</f>
        <v>0.15</v>
      </c>
      <c r="N1808" s="332" t="s">
        <v>39794</v>
      </c>
      <c r="O1808" s="335">
        <f t="shared" si="85"/>
        <v>0.27</v>
      </c>
    </row>
    <row r="1809" spans="1:15" s="328" customFormat="1" x14ac:dyDescent="0.2">
      <c r="A1809" s="536" t="s">
        <v>40163</v>
      </c>
      <c r="B1809" s="537"/>
      <c r="C1809" s="538"/>
      <c r="D1809" s="333"/>
      <c r="E1809" s="333"/>
      <c r="F1809" s="333"/>
      <c r="G1809" s="333"/>
      <c r="H1809" s="333"/>
      <c r="I1809" s="331"/>
      <c r="J1809" s="331"/>
      <c r="K1809" s="339">
        <f t="shared" si="84"/>
        <v>1.8</v>
      </c>
      <c r="L1809" s="332" t="s">
        <v>39805</v>
      </c>
      <c r="M1809" s="339">
        <f>0.15</f>
        <v>0.15</v>
      </c>
      <c r="N1809" s="332" t="s">
        <v>39794</v>
      </c>
      <c r="O1809" s="335">
        <f t="shared" si="85"/>
        <v>0.27</v>
      </c>
    </row>
    <row r="1810" spans="1:15" s="328" customFormat="1" x14ac:dyDescent="0.2">
      <c r="A1810" s="536" t="s">
        <v>40164</v>
      </c>
      <c r="B1810" s="537"/>
      <c r="C1810" s="538"/>
      <c r="D1810" s="333"/>
      <c r="E1810" s="333"/>
      <c r="F1810" s="333"/>
      <c r="G1810" s="333"/>
      <c r="H1810" s="333"/>
      <c r="I1810" s="331"/>
      <c r="J1810" s="331"/>
      <c r="K1810" s="339">
        <f t="shared" si="84"/>
        <v>1.8</v>
      </c>
      <c r="L1810" s="332" t="s">
        <v>39805</v>
      </c>
      <c r="M1810" s="339">
        <f>5.85</f>
        <v>5.85</v>
      </c>
      <c r="N1810" s="332" t="s">
        <v>39794</v>
      </c>
      <c r="O1810" s="335">
        <f t="shared" si="85"/>
        <v>10.53</v>
      </c>
    </row>
    <row r="1811" spans="1:15" s="328" customFormat="1" x14ac:dyDescent="0.2">
      <c r="A1811" s="536" t="s">
        <v>40165</v>
      </c>
      <c r="B1811" s="537"/>
      <c r="C1811" s="538"/>
      <c r="D1811" s="333"/>
      <c r="E1811" s="333"/>
      <c r="F1811" s="333"/>
      <c r="G1811" s="333"/>
      <c r="H1811" s="333"/>
      <c r="I1811" s="331"/>
      <c r="J1811" s="331"/>
      <c r="K1811" s="339">
        <f t="shared" si="84"/>
        <v>1.8</v>
      </c>
      <c r="L1811" s="332" t="s">
        <v>39805</v>
      </c>
      <c r="M1811" s="339">
        <f>2.7</f>
        <v>2.7</v>
      </c>
      <c r="N1811" s="332" t="s">
        <v>39794</v>
      </c>
      <c r="O1811" s="335">
        <f t="shared" si="85"/>
        <v>4.8600000000000003</v>
      </c>
    </row>
    <row r="1812" spans="1:15" s="328" customFormat="1" x14ac:dyDescent="0.2">
      <c r="A1812" s="536" t="s">
        <v>40166</v>
      </c>
      <c r="B1812" s="537"/>
      <c r="C1812" s="538"/>
      <c r="D1812" s="333"/>
      <c r="E1812" s="333"/>
      <c r="F1812" s="333"/>
      <c r="G1812" s="333"/>
      <c r="H1812" s="333"/>
      <c r="I1812" s="331"/>
      <c r="J1812" s="331"/>
      <c r="K1812" s="339">
        <f t="shared" si="84"/>
        <v>1.8</v>
      </c>
      <c r="L1812" s="332" t="s">
        <v>39805</v>
      </c>
      <c r="M1812" s="339">
        <f>0.8</f>
        <v>0.8</v>
      </c>
      <c r="N1812" s="332" t="s">
        <v>39794</v>
      </c>
      <c r="O1812" s="335">
        <f t="shared" si="85"/>
        <v>1.44</v>
      </c>
    </row>
    <row r="1813" spans="1:15" s="328" customFormat="1" x14ac:dyDescent="0.2">
      <c r="A1813" s="540"/>
      <c r="B1813" s="540"/>
      <c r="C1813" s="540"/>
      <c r="D1813" s="540"/>
      <c r="E1813" s="540"/>
      <c r="F1813" s="540"/>
      <c r="G1813" s="540"/>
      <c r="H1813" s="540"/>
      <c r="I1813" s="540"/>
      <c r="J1813" s="540"/>
      <c r="K1813" s="540"/>
      <c r="L1813" s="334" t="s">
        <v>39796</v>
      </c>
      <c r="M1813" s="334" t="s">
        <v>39168</v>
      </c>
      <c r="N1813" s="333" t="s">
        <v>39794</v>
      </c>
      <c r="O1813" s="334">
        <f>SUM(O1787:O1812)</f>
        <v>497.37999999999994</v>
      </c>
    </row>
    <row r="1814" spans="1:15" s="328" customFormat="1" x14ac:dyDescent="0.2">
      <c r="A1814" s="329" t="s">
        <v>39791</v>
      </c>
      <c r="B1814" s="542" t="s">
        <v>5917</v>
      </c>
      <c r="C1814" s="542"/>
      <c r="D1814" s="542"/>
      <c r="E1814" s="542"/>
      <c r="F1814" s="542"/>
      <c r="G1814" s="542"/>
      <c r="H1814" s="542"/>
      <c r="I1814" s="542"/>
      <c r="J1814" s="542"/>
      <c r="K1814" s="542"/>
      <c r="L1814" s="542"/>
      <c r="M1814" s="542"/>
      <c r="N1814" s="329" t="s">
        <v>39197</v>
      </c>
      <c r="O1814" s="330" t="s">
        <v>39792</v>
      </c>
    </row>
    <row r="1815" spans="1:15" s="328" customFormat="1" ht="39.950000000000003" customHeight="1" x14ac:dyDescent="0.2">
      <c r="A1815" s="331" t="str">
        <f>ORCAMENTO!A296</f>
        <v>14.1.4</v>
      </c>
      <c r="B1815" s="543" t="str">
        <f>VLOOKUP(A1815,ORCAMENTO!A:I,4,0)</f>
        <v>REJUNTAMENTO C/ ARG. PRÉ-FABRICADA, JUNTA ENTRE 2mm E 6mm EM CERÂMICA, ATÉ 10x10 cm (100 cm²) - DECORATIVA (PAREDE/PISO)</v>
      </c>
      <c r="C1815" s="543"/>
      <c r="D1815" s="543"/>
      <c r="E1815" s="543"/>
      <c r="F1815" s="543"/>
      <c r="G1815" s="543"/>
      <c r="H1815" s="543"/>
      <c r="I1815" s="543"/>
      <c r="J1815" s="543"/>
      <c r="K1815" s="543"/>
      <c r="L1815" s="543"/>
      <c r="M1815" s="543"/>
      <c r="N1815" s="331" t="str">
        <f>VLOOKUP(A1815,ORCAMENTO!A:I,5,0)</f>
        <v>M2</v>
      </c>
      <c r="O1815" s="332">
        <f>O1843</f>
        <v>497.37999999999994</v>
      </c>
    </row>
    <row r="1816" spans="1:15" s="328" customFormat="1" x14ac:dyDescent="0.2">
      <c r="A1816" s="539" t="s">
        <v>39793</v>
      </c>
      <c r="B1816" s="539"/>
      <c r="C1816" s="539"/>
      <c r="D1816" s="539"/>
      <c r="E1816" s="539"/>
      <c r="F1816" s="539"/>
      <c r="G1816" s="539"/>
      <c r="H1816" s="539"/>
      <c r="I1816" s="539"/>
      <c r="J1816" s="539"/>
      <c r="K1816" s="539"/>
      <c r="L1816" s="539"/>
      <c r="M1816" s="539"/>
      <c r="N1816" s="539"/>
      <c r="O1816" s="539"/>
    </row>
    <row r="1817" spans="1:15" s="328" customFormat="1" x14ac:dyDescent="0.2">
      <c r="A1817" s="539" t="s">
        <v>5917</v>
      </c>
      <c r="B1817" s="539"/>
      <c r="C1817" s="539"/>
      <c r="D1817" s="333"/>
      <c r="E1817" s="333"/>
      <c r="F1817" s="333"/>
      <c r="G1817" s="333"/>
      <c r="H1817" s="333"/>
      <c r="I1817" s="331"/>
      <c r="J1817" s="331"/>
      <c r="K1817" s="333" t="s">
        <v>39823</v>
      </c>
      <c r="L1817" s="333" t="s">
        <v>39805</v>
      </c>
      <c r="M1817" s="333" t="s">
        <v>39885</v>
      </c>
      <c r="N1817" s="333" t="s">
        <v>39794</v>
      </c>
      <c r="O1817" s="333" t="s">
        <v>39795</v>
      </c>
    </row>
    <row r="1818" spans="1:15" s="328" customFormat="1" x14ac:dyDescent="0.2">
      <c r="A1818" s="534" t="s">
        <v>39862</v>
      </c>
      <c r="B1818" s="535"/>
      <c r="C1818" s="535"/>
      <c r="D1818" s="333"/>
      <c r="E1818" s="333"/>
      <c r="F1818" s="333"/>
      <c r="G1818" s="333"/>
      <c r="H1818" s="333"/>
      <c r="I1818" s="331"/>
      <c r="J1818" s="331"/>
      <c r="K1818" s="339">
        <f>1.8</f>
        <v>1.8</v>
      </c>
      <c r="L1818" s="332" t="s">
        <v>39805</v>
      </c>
      <c r="M1818" s="339">
        <f>28.75</f>
        <v>28.75</v>
      </c>
      <c r="N1818" s="332" t="s">
        <v>39794</v>
      </c>
      <c r="O1818" s="335">
        <f t="shared" ref="O1818:O1826" si="86">ROUND(K1818*M1818,2)</f>
        <v>51.75</v>
      </c>
    </row>
    <row r="1819" spans="1:15" s="328" customFormat="1" x14ac:dyDescent="0.2">
      <c r="A1819" s="534" t="s">
        <v>39863</v>
      </c>
      <c r="B1819" s="535"/>
      <c r="C1819" s="535"/>
      <c r="D1819" s="333"/>
      <c r="E1819" s="333"/>
      <c r="F1819" s="333"/>
      <c r="G1819" s="333"/>
      <c r="H1819" s="333"/>
      <c r="I1819" s="331"/>
      <c r="J1819" s="331"/>
      <c r="K1819" s="339">
        <f t="shared" ref="K1819:K1826" si="87">1.8</f>
        <v>1.8</v>
      </c>
      <c r="L1819" s="332" t="s">
        <v>39805</v>
      </c>
      <c r="M1819" s="339">
        <f>28.8</f>
        <v>28.8</v>
      </c>
      <c r="N1819" s="332" t="s">
        <v>39794</v>
      </c>
      <c r="O1819" s="335">
        <f t="shared" si="86"/>
        <v>51.84</v>
      </c>
    </row>
    <row r="1820" spans="1:15" s="328" customFormat="1" x14ac:dyDescent="0.2">
      <c r="A1820" s="534" t="s">
        <v>40161</v>
      </c>
      <c r="B1820" s="535"/>
      <c r="C1820" s="535"/>
      <c r="D1820" s="333"/>
      <c r="E1820" s="333"/>
      <c r="F1820" s="333"/>
      <c r="G1820" s="333"/>
      <c r="H1820" s="333"/>
      <c r="I1820" s="331"/>
      <c r="J1820" s="331"/>
      <c r="K1820" s="339">
        <f t="shared" si="87"/>
        <v>1.8</v>
      </c>
      <c r="L1820" s="332" t="s">
        <v>39805</v>
      </c>
      <c r="M1820" s="339">
        <f>29.1</f>
        <v>29.1</v>
      </c>
      <c r="N1820" s="332" t="s">
        <v>39794</v>
      </c>
      <c r="O1820" s="335">
        <f t="shared" si="86"/>
        <v>52.38</v>
      </c>
    </row>
    <row r="1821" spans="1:15" s="328" customFormat="1" x14ac:dyDescent="0.2">
      <c r="A1821" s="534" t="s">
        <v>39865</v>
      </c>
      <c r="B1821" s="535"/>
      <c r="C1821" s="535"/>
      <c r="D1821" s="333"/>
      <c r="E1821" s="333"/>
      <c r="F1821" s="333"/>
      <c r="G1821" s="333"/>
      <c r="H1821" s="333"/>
      <c r="I1821" s="331"/>
      <c r="J1821" s="331"/>
      <c r="K1821" s="339">
        <f t="shared" si="87"/>
        <v>1.8</v>
      </c>
      <c r="L1821" s="332" t="s">
        <v>39805</v>
      </c>
      <c r="M1821" s="339">
        <f>14.5</f>
        <v>14.5</v>
      </c>
      <c r="N1821" s="332" t="s">
        <v>39794</v>
      </c>
      <c r="O1821" s="335">
        <f t="shared" si="86"/>
        <v>26.1</v>
      </c>
    </row>
    <row r="1822" spans="1:15" s="328" customFormat="1" x14ac:dyDescent="0.2">
      <c r="A1822" s="534" t="s">
        <v>39866</v>
      </c>
      <c r="B1822" s="535"/>
      <c r="C1822" s="535"/>
      <c r="D1822" s="333"/>
      <c r="E1822" s="333"/>
      <c r="F1822" s="333"/>
      <c r="G1822" s="333"/>
      <c r="H1822" s="333"/>
      <c r="I1822" s="331"/>
      <c r="J1822" s="331"/>
      <c r="K1822" s="339">
        <f t="shared" si="87"/>
        <v>1.8</v>
      </c>
      <c r="L1822" s="332" t="s">
        <v>39805</v>
      </c>
      <c r="M1822" s="339">
        <f>28.8</f>
        <v>28.8</v>
      </c>
      <c r="N1822" s="332" t="s">
        <v>39794</v>
      </c>
      <c r="O1822" s="335">
        <f t="shared" si="86"/>
        <v>51.84</v>
      </c>
    </row>
    <row r="1823" spans="1:15" s="328" customFormat="1" x14ac:dyDescent="0.2">
      <c r="A1823" s="534" t="s">
        <v>40162</v>
      </c>
      <c r="B1823" s="535"/>
      <c r="C1823" s="535"/>
      <c r="D1823" s="333"/>
      <c r="E1823" s="333"/>
      <c r="F1823" s="333"/>
      <c r="G1823" s="333"/>
      <c r="H1823" s="333"/>
      <c r="I1823" s="331"/>
      <c r="J1823" s="331"/>
      <c r="K1823" s="339">
        <f t="shared" si="87"/>
        <v>1.8</v>
      </c>
      <c r="L1823" s="332" t="s">
        <v>39805</v>
      </c>
      <c r="M1823" s="339">
        <f>29.1</f>
        <v>29.1</v>
      </c>
      <c r="N1823" s="332" t="s">
        <v>39794</v>
      </c>
      <c r="O1823" s="335">
        <f t="shared" si="86"/>
        <v>52.38</v>
      </c>
    </row>
    <row r="1824" spans="1:15" s="328" customFormat="1" x14ac:dyDescent="0.2">
      <c r="A1824" s="534" t="s">
        <v>39865</v>
      </c>
      <c r="B1824" s="535"/>
      <c r="C1824" s="535"/>
      <c r="D1824" s="333"/>
      <c r="E1824" s="333"/>
      <c r="F1824" s="333"/>
      <c r="G1824" s="333"/>
      <c r="H1824" s="333"/>
      <c r="I1824" s="331"/>
      <c r="J1824" s="331"/>
      <c r="K1824" s="339">
        <f t="shared" si="87"/>
        <v>1.8</v>
      </c>
      <c r="L1824" s="332" t="s">
        <v>39805</v>
      </c>
      <c r="M1824" s="339">
        <f>14.5</f>
        <v>14.5</v>
      </c>
      <c r="N1824" s="332" t="s">
        <v>39794</v>
      </c>
      <c r="O1824" s="335">
        <f t="shared" si="86"/>
        <v>26.1</v>
      </c>
    </row>
    <row r="1825" spans="1:15" s="328" customFormat="1" x14ac:dyDescent="0.2">
      <c r="A1825" s="534" t="s">
        <v>39961</v>
      </c>
      <c r="B1825" s="535"/>
      <c r="C1825" s="535"/>
      <c r="D1825" s="333"/>
      <c r="E1825" s="333"/>
      <c r="F1825" s="333"/>
      <c r="G1825" s="333"/>
      <c r="H1825" s="333"/>
      <c r="I1825" s="331"/>
      <c r="J1825" s="331"/>
      <c r="K1825" s="339">
        <f t="shared" si="87"/>
        <v>1.8</v>
      </c>
      <c r="L1825" s="332" t="s">
        <v>39805</v>
      </c>
      <c r="M1825" s="339">
        <f>29.1</f>
        <v>29.1</v>
      </c>
      <c r="N1825" s="332" t="s">
        <v>39794</v>
      </c>
      <c r="O1825" s="335">
        <f t="shared" si="86"/>
        <v>52.38</v>
      </c>
    </row>
    <row r="1826" spans="1:15" s="328" customFormat="1" x14ac:dyDescent="0.2">
      <c r="A1826" s="534" t="s">
        <v>39865</v>
      </c>
      <c r="B1826" s="535"/>
      <c r="C1826" s="535"/>
      <c r="D1826" s="333"/>
      <c r="E1826" s="333"/>
      <c r="F1826" s="333"/>
      <c r="G1826" s="333"/>
      <c r="H1826" s="333"/>
      <c r="I1826" s="331"/>
      <c r="J1826" s="331"/>
      <c r="K1826" s="339">
        <f t="shared" si="87"/>
        <v>1.8</v>
      </c>
      <c r="L1826" s="332" t="s">
        <v>39805</v>
      </c>
      <c r="M1826" s="339">
        <f>14.5</f>
        <v>14.5</v>
      </c>
      <c r="N1826" s="332" t="s">
        <v>39794</v>
      </c>
      <c r="O1826" s="335">
        <f t="shared" si="86"/>
        <v>26.1</v>
      </c>
    </row>
    <row r="1827" spans="1:15" s="328" customFormat="1" x14ac:dyDescent="0.2">
      <c r="A1827" s="539" t="s">
        <v>5917</v>
      </c>
      <c r="B1827" s="539"/>
      <c r="C1827" s="539"/>
      <c r="D1827" s="333"/>
      <c r="E1827" s="333"/>
      <c r="F1827" s="333"/>
      <c r="G1827" s="333"/>
      <c r="H1827" s="333"/>
      <c r="I1827" s="331"/>
      <c r="J1827" s="331"/>
      <c r="K1827" s="333" t="s">
        <v>39823</v>
      </c>
      <c r="L1827" s="333" t="s">
        <v>39805</v>
      </c>
      <c r="M1827" s="333" t="s">
        <v>39802</v>
      </c>
      <c r="N1827" s="333" t="s">
        <v>39794</v>
      </c>
      <c r="O1827" s="333" t="s">
        <v>39795</v>
      </c>
    </row>
    <row r="1828" spans="1:15" s="328" customFormat="1" x14ac:dyDescent="0.2">
      <c r="A1828" s="536" t="s">
        <v>39886</v>
      </c>
      <c r="B1828" s="537"/>
      <c r="C1828" s="538"/>
      <c r="D1828" s="333"/>
      <c r="E1828" s="333"/>
      <c r="F1828" s="333"/>
      <c r="G1828" s="333"/>
      <c r="H1828" s="333"/>
      <c r="I1828" s="331"/>
      <c r="J1828" s="331"/>
      <c r="K1828" s="339">
        <f t="shared" ref="K1828:K1842" si="88">1.8</f>
        <v>1.8</v>
      </c>
      <c r="L1828" s="332" t="s">
        <v>39805</v>
      </c>
      <c r="M1828" s="339">
        <f>30.18</f>
        <v>30.18</v>
      </c>
      <c r="N1828" s="332" t="s">
        <v>39794</v>
      </c>
      <c r="O1828" s="335">
        <f>ROUND(K1828*M1828,2)</f>
        <v>54.32</v>
      </c>
    </row>
    <row r="1829" spans="1:15" s="328" customFormat="1" x14ac:dyDescent="0.2">
      <c r="A1829" s="536" t="s">
        <v>39887</v>
      </c>
      <c r="B1829" s="537"/>
      <c r="C1829" s="538"/>
      <c r="D1829" s="333"/>
      <c r="E1829" s="333"/>
      <c r="F1829" s="333"/>
      <c r="G1829" s="333"/>
      <c r="H1829" s="333"/>
      <c r="I1829" s="331"/>
      <c r="J1829" s="331"/>
      <c r="K1829" s="339">
        <f t="shared" si="88"/>
        <v>1.8</v>
      </c>
      <c r="L1829" s="332" t="s">
        <v>39805</v>
      </c>
      <c r="M1829" s="339">
        <f>0.15</f>
        <v>0.15</v>
      </c>
      <c r="N1829" s="332" t="s">
        <v>39794</v>
      </c>
      <c r="O1829" s="335">
        <f t="shared" ref="O1829:O1842" si="89">ROUND(K1829*M1829,2)</f>
        <v>0.27</v>
      </c>
    </row>
    <row r="1830" spans="1:15" s="328" customFormat="1" x14ac:dyDescent="0.2">
      <c r="A1830" s="536" t="s">
        <v>39888</v>
      </c>
      <c r="B1830" s="537"/>
      <c r="C1830" s="538"/>
      <c r="D1830" s="333"/>
      <c r="E1830" s="333"/>
      <c r="F1830" s="333"/>
      <c r="G1830" s="333"/>
      <c r="H1830" s="333"/>
      <c r="I1830" s="331"/>
      <c r="J1830" s="331"/>
      <c r="K1830" s="339">
        <f t="shared" si="88"/>
        <v>1.8</v>
      </c>
      <c r="L1830" s="332" t="s">
        <v>39805</v>
      </c>
      <c r="M1830" s="339">
        <f>1.15</f>
        <v>1.1499999999999999</v>
      </c>
      <c r="N1830" s="332" t="s">
        <v>39794</v>
      </c>
      <c r="O1830" s="335">
        <f t="shared" si="89"/>
        <v>2.0699999999999998</v>
      </c>
    </row>
    <row r="1831" spans="1:15" s="328" customFormat="1" x14ac:dyDescent="0.2">
      <c r="A1831" s="536" t="s">
        <v>39889</v>
      </c>
      <c r="B1831" s="537"/>
      <c r="C1831" s="538"/>
      <c r="D1831" s="333"/>
      <c r="E1831" s="333"/>
      <c r="F1831" s="333"/>
      <c r="G1831" s="333"/>
      <c r="H1831" s="333"/>
      <c r="I1831" s="331"/>
      <c r="J1831" s="331"/>
      <c r="K1831" s="339">
        <f t="shared" si="88"/>
        <v>1.8</v>
      </c>
      <c r="L1831" s="332" t="s">
        <v>39805</v>
      </c>
      <c r="M1831" s="339">
        <f>7.4</f>
        <v>7.4</v>
      </c>
      <c r="N1831" s="332" t="s">
        <v>39794</v>
      </c>
      <c r="O1831" s="335">
        <f t="shared" si="89"/>
        <v>13.32</v>
      </c>
    </row>
    <row r="1832" spans="1:15" s="328" customFormat="1" x14ac:dyDescent="0.2">
      <c r="A1832" s="536" t="s">
        <v>39890</v>
      </c>
      <c r="B1832" s="537"/>
      <c r="C1832" s="538"/>
      <c r="D1832" s="333"/>
      <c r="E1832" s="333"/>
      <c r="F1832" s="333"/>
      <c r="G1832" s="333"/>
      <c r="H1832" s="333"/>
      <c r="I1832" s="331"/>
      <c r="J1832" s="331"/>
      <c r="K1832" s="339">
        <f t="shared" si="88"/>
        <v>1.8</v>
      </c>
      <c r="L1832" s="332" t="s">
        <v>39805</v>
      </c>
      <c r="M1832" s="339">
        <f>0.82</f>
        <v>0.82</v>
      </c>
      <c r="N1832" s="332" t="s">
        <v>39794</v>
      </c>
      <c r="O1832" s="335">
        <f t="shared" si="89"/>
        <v>1.48</v>
      </c>
    </row>
    <row r="1833" spans="1:15" s="328" customFormat="1" x14ac:dyDescent="0.2">
      <c r="A1833" s="536" t="s">
        <v>39891</v>
      </c>
      <c r="B1833" s="537"/>
      <c r="C1833" s="538"/>
      <c r="D1833" s="333"/>
      <c r="E1833" s="333"/>
      <c r="F1833" s="333"/>
      <c r="G1833" s="333"/>
      <c r="H1833" s="333"/>
      <c r="I1833" s="331"/>
      <c r="J1833" s="331"/>
      <c r="K1833" s="339">
        <f t="shared" si="88"/>
        <v>1.8</v>
      </c>
      <c r="L1833" s="332" t="s">
        <v>39805</v>
      </c>
      <c r="M1833" s="339">
        <f>0.15</f>
        <v>0.15</v>
      </c>
      <c r="N1833" s="332" t="s">
        <v>39794</v>
      </c>
      <c r="O1833" s="335">
        <f t="shared" si="89"/>
        <v>0.27</v>
      </c>
    </row>
    <row r="1834" spans="1:15" s="328" customFormat="1" x14ac:dyDescent="0.2">
      <c r="A1834" s="536" t="s">
        <v>39892</v>
      </c>
      <c r="B1834" s="537"/>
      <c r="C1834" s="538"/>
      <c r="D1834" s="333"/>
      <c r="E1834" s="333"/>
      <c r="F1834" s="333"/>
      <c r="G1834" s="333"/>
      <c r="H1834" s="333"/>
      <c r="I1834" s="331"/>
      <c r="J1834" s="331"/>
      <c r="K1834" s="339">
        <f t="shared" si="88"/>
        <v>1.8</v>
      </c>
      <c r="L1834" s="332" t="s">
        <v>39805</v>
      </c>
      <c r="M1834" s="339">
        <f>0.82</f>
        <v>0.82</v>
      </c>
      <c r="N1834" s="332" t="s">
        <v>39794</v>
      </c>
      <c r="O1834" s="335">
        <f t="shared" si="89"/>
        <v>1.48</v>
      </c>
    </row>
    <row r="1835" spans="1:15" s="328" customFormat="1" x14ac:dyDescent="0.2">
      <c r="A1835" s="536" t="s">
        <v>39893</v>
      </c>
      <c r="B1835" s="537"/>
      <c r="C1835" s="538"/>
      <c r="D1835" s="333"/>
      <c r="E1835" s="333"/>
      <c r="F1835" s="333"/>
      <c r="G1835" s="333"/>
      <c r="H1835" s="333"/>
      <c r="I1835" s="331"/>
      <c r="J1835" s="331"/>
      <c r="K1835" s="339">
        <f t="shared" si="88"/>
        <v>1.8</v>
      </c>
      <c r="L1835" s="332" t="s">
        <v>39805</v>
      </c>
      <c r="M1835" s="339">
        <f>0.15</f>
        <v>0.15</v>
      </c>
      <c r="N1835" s="332" t="s">
        <v>39794</v>
      </c>
      <c r="O1835" s="335">
        <f t="shared" si="89"/>
        <v>0.27</v>
      </c>
    </row>
    <row r="1836" spans="1:15" s="328" customFormat="1" x14ac:dyDescent="0.2">
      <c r="A1836" s="536" t="s">
        <v>39894</v>
      </c>
      <c r="B1836" s="537"/>
      <c r="C1836" s="538"/>
      <c r="D1836" s="333"/>
      <c r="E1836" s="333"/>
      <c r="F1836" s="333"/>
      <c r="G1836" s="333"/>
      <c r="H1836" s="333"/>
      <c r="I1836" s="331"/>
      <c r="J1836" s="331"/>
      <c r="K1836" s="339">
        <f t="shared" si="88"/>
        <v>1.8</v>
      </c>
      <c r="L1836" s="332" t="s">
        <v>39805</v>
      </c>
      <c r="M1836" s="339">
        <f>0.15</f>
        <v>0.15</v>
      </c>
      <c r="N1836" s="332" t="s">
        <v>39794</v>
      </c>
      <c r="O1836" s="335">
        <f t="shared" si="89"/>
        <v>0.27</v>
      </c>
    </row>
    <row r="1837" spans="1:15" s="328" customFormat="1" x14ac:dyDescent="0.2">
      <c r="A1837" s="536" t="s">
        <v>39895</v>
      </c>
      <c r="B1837" s="537"/>
      <c r="C1837" s="538"/>
      <c r="D1837" s="333"/>
      <c r="E1837" s="333"/>
      <c r="F1837" s="333"/>
      <c r="G1837" s="333"/>
      <c r="H1837" s="333"/>
      <c r="I1837" s="331"/>
      <c r="J1837" s="331"/>
      <c r="K1837" s="339">
        <f t="shared" si="88"/>
        <v>1.8</v>
      </c>
      <c r="L1837" s="332" t="s">
        <v>39805</v>
      </c>
      <c r="M1837" s="339">
        <f>8.55</f>
        <v>8.5500000000000007</v>
      </c>
      <c r="N1837" s="332" t="s">
        <v>39794</v>
      </c>
      <c r="O1837" s="335">
        <f t="shared" si="89"/>
        <v>15.39</v>
      </c>
    </row>
    <row r="1838" spans="1:15" s="328" customFormat="1" x14ac:dyDescent="0.2">
      <c r="A1838" s="536" t="s">
        <v>39896</v>
      </c>
      <c r="B1838" s="537"/>
      <c r="C1838" s="538"/>
      <c r="D1838" s="333"/>
      <c r="E1838" s="333"/>
      <c r="F1838" s="333"/>
      <c r="G1838" s="333"/>
      <c r="H1838" s="333"/>
      <c r="I1838" s="331"/>
      <c r="J1838" s="331"/>
      <c r="K1838" s="339">
        <f t="shared" si="88"/>
        <v>1.8</v>
      </c>
      <c r="L1838" s="332" t="s">
        <v>39805</v>
      </c>
      <c r="M1838" s="339">
        <f>0.15</f>
        <v>0.15</v>
      </c>
      <c r="N1838" s="332" t="s">
        <v>39794</v>
      </c>
      <c r="O1838" s="335">
        <f t="shared" si="89"/>
        <v>0.27</v>
      </c>
    </row>
    <row r="1839" spans="1:15" s="328" customFormat="1" x14ac:dyDescent="0.2">
      <c r="A1839" s="536" t="s">
        <v>40163</v>
      </c>
      <c r="B1839" s="537"/>
      <c r="C1839" s="538"/>
      <c r="D1839" s="333"/>
      <c r="E1839" s="333"/>
      <c r="F1839" s="333"/>
      <c r="G1839" s="333"/>
      <c r="H1839" s="333"/>
      <c r="I1839" s="331"/>
      <c r="J1839" s="331"/>
      <c r="K1839" s="339">
        <f t="shared" si="88"/>
        <v>1.8</v>
      </c>
      <c r="L1839" s="332" t="s">
        <v>39805</v>
      </c>
      <c r="M1839" s="339">
        <f>0.15</f>
        <v>0.15</v>
      </c>
      <c r="N1839" s="332" t="s">
        <v>39794</v>
      </c>
      <c r="O1839" s="335">
        <f t="shared" si="89"/>
        <v>0.27</v>
      </c>
    </row>
    <row r="1840" spans="1:15" s="328" customFormat="1" x14ac:dyDescent="0.2">
      <c r="A1840" s="536" t="s">
        <v>40164</v>
      </c>
      <c r="B1840" s="537"/>
      <c r="C1840" s="538"/>
      <c r="D1840" s="333"/>
      <c r="E1840" s="333"/>
      <c r="F1840" s="333"/>
      <c r="G1840" s="333"/>
      <c r="H1840" s="333"/>
      <c r="I1840" s="331"/>
      <c r="J1840" s="331"/>
      <c r="K1840" s="339">
        <f t="shared" si="88"/>
        <v>1.8</v>
      </c>
      <c r="L1840" s="332" t="s">
        <v>39805</v>
      </c>
      <c r="M1840" s="339">
        <f>5.85</f>
        <v>5.85</v>
      </c>
      <c r="N1840" s="332" t="s">
        <v>39794</v>
      </c>
      <c r="O1840" s="335">
        <f t="shared" si="89"/>
        <v>10.53</v>
      </c>
    </row>
    <row r="1841" spans="1:15" s="328" customFormat="1" x14ac:dyDescent="0.2">
      <c r="A1841" s="536" t="s">
        <v>40165</v>
      </c>
      <c r="B1841" s="537"/>
      <c r="C1841" s="538"/>
      <c r="D1841" s="333"/>
      <c r="E1841" s="333"/>
      <c r="F1841" s="333"/>
      <c r="G1841" s="333"/>
      <c r="H1841" s="333"/>
      <c r="I1841" s="331"/>
      <c r="J1841" s="331"/>
      <c r="K1841" s="339">
        <f t="shared" si="88"/>
        <v>1.8</v>
      </c>
      <c r="L1841" s="332" t="s">
        <v>39805</v>
      </c>
      <c r="M1841" s="339">
        <f>2.7</f>
        <v>2.7</v>
      </c>
      <c r="N1841" s="332" t="s">
        <v>39794</v>
      </c>
      <c r="O1841" s="335">
        <f t="shared" si="89"/>
        <v>4.8600000000000003</v>
      </c>
    </row>
    <row r="1842" spans="1:15" s="328" customFormat="1" x14ac:dyDescent="0.2">
      <c r="A1842" s="536" t="s">
        <v>40166</v>
      </c>
      <c r="B1842" s="537"/>
      <c r="C1842" s="538"/>
      <c r="D1842" s="333"/>
      <c r="E1842" s="333"/>
      <c r="F1842" s="333"/>
      <c r="G1842" s="333"/>
      <c r="H1842" s="333"/>
      <c r="I1842" s="331"/>
      <c r="J1842" s="331"/>
      <c r="K1842" s="339">
        <f t="shared" si="88"/>
        <v>1.8</v>
      </c>
      <c r="L1842" s="332" t="s">
        <v>39805</v>
      </c>
      <c r="M1842" s="339">
        <f>0.8</f>
        <v>0.8</v>
      </c>
      <c r="N1842" s="332" t="s">
        <v>39794</v>
      </c>
      <c r="O1842" s="335">
        <f t="shared" si="89"/>
        <v>1.44</v>
      </c>
    </row>
    <row r="1843" spans="1:15" s="328" customFormat="1" x14ac:dyDescent="0.2">
      <c r="A1843" s="540"/>
      <c r="B1843" s="540"/>
      <c r="C1843" s="540"/>
      <c r="D1843" s="540"/>
      <c r="E1843" s="540"/>
      <c r="F1843" s="540"/>
      <c r="G1843" s="540"/>
      <c r="H1843" s="540"/>
      <c r="I1843" s="540"/>
      <c r="J1843" s="540"/>
      <c r="K1843" s="540"/>
      <c r="L1843" s="334" t="s">
        <v>39796</v>
      </c>
      <c r="M1843" s="334" t="s">
        <v>39168</v>
      </c>
      <c r="N1843" s="333" t="s">
        <v>39794</v>
      </c>
      <c r="O1843" s="334">
        <f>SUM(O1817:O1842)</f>
        <v>497.37999999999994</v>
      </c>
    </row>
    <row r="1844" spans="1:15" s="328" customFormat="1" x14ac:dyDescent="0.2">
      <c r="A1844" s="329" t="s">
        <v>39791</v>
      </c>
      <c r="B1844" s="542" t="s">
        <v>5917</v>
      </c>
      <c r="C1844" s="542"/>
      <c r="D1844" s="542"/>
      <c r="E1844" s="542"/>
      <c r="F1844" s="542"/>
      <c r="G1844" s="542"/>
      <c r="H1844" s="542"/>
      <c r="I1844" s="542"/>
      <c r="J1844" s="542"/>
      <c r="K1844" s="542"/>
      <c r="L1844" s="542"/>
      <c r="M1844" s="542"/>
      <c r="N1844" s="329" t="s">
        <v>39197</v>
      </c>
      <c r="O1844" s="330" t="s">
        <v>39792</v>
      </c>
    </row>
    <row r="1845" spans="1:15" s="328" customFormat="1" x14ac:dyDescent="0.2">
      <c r="A1845" s="331" t="str">
        <f>ORCAMENTO!A297</f>
        <v>14.1.5</v>
      </c>
      <c r="B1845" s="543" t="str">
        <f>VLOOKUP(A1845,ORCAMENTO!A:I,4,0)</f>
        <v>CERÂMICA ESMALTADA RETIFICADA C/ ARG. PRÉ-FABRICADA ACIMA DE 30x30cm (900cm²) - PEI-5/PEI-4 - P/ PAREDE</v>
      </c>
      <c r="C1845" s="543"/>
      <c r="D1845" s="543"/>
      <c r="E1845" s="543"/>
      <c r="F1845" s="543"/>
      <c r="G1845" s="543"/>
      <c r="H1845" s="543"/>
      <c r="I1845" s="543"/>
      <c r="J1845" s="543"/>
      <c r="K1845" s="543"/>
      <c r="L1845" s="543"/>
      <c r="M1845" s="543"/>
      <c r="N1845" s="331" t="str">
        <f>VLOOKUP(A1845,ORCAMENTO!A:I,5,0)</f>
        <v>M2</v>
      </c>
      <c r="O1845" s="332">
        <f>O1851</f>
        <v>104.58000000000001</v>
      </c>
    </row>
    <row r="1846" spans="1:15" s="328" customFormat="1" x14ac:dyDescent="0.2">
      <c r="A1846" s="539" t="s">
        <v>39793</v>
      </c>
      <c r="B1846" s="539"/>
      <c r="C1846" s="539"/>
      <c r="D1846" s="539"/>
      <c r="E1846" s="539"/>
      <c r="F1846" s="539"/>
      <c r="G1846" s="539"/>
      <c r="H1846" s="539"/>
      <c r="I1846" s="539"/>
      <c r="J1846" s="539"/>
      <c r="K1846" s="539"/>
      <c r="L1846" s="539"/>
      <c r="M1846" s="539"/>
      <c r="N1846" s="539"/>
      <c r="O1846" s="539"/>
    </row>
    <row r="1847" spans="1:15" s="328" customFormat="1" x14ac:dyDescent="0.2">
      <c r="A1847" s="539" t="s">
        <v>5917</v>
      </c>
      <c r="B1847" s="539"/>
      <c r="C1847" s="539"/>
      <c r="D1847" s="333"/>
      <c r="E1847" s="333"/>
      <c r="F1847" s="333"/>
      <c r="G1847" s="333"/>
      <c r="H1847" s="333"/>
      <c r="I1847" s="331"/>
      <c r="J1847" s="331"/>
      <c r="K1847" s="333" t="s">
        <v>39823</v>
      </c>
      <c r="L1847" s="333" t="s">
        <v>39805</v>
      </c>
      <c r="M1847" s="333" t="s">
        <v>39885</v>
      </c>
      <c r="N1847" s="333" t="s">
        <v>39794</v>
      </c>
      <c r="O1847" s="333" t="s">
        <v>39795</v>
      </c>
    </row>
    <row r="1848" spans="1:15" s="328" customFormat="1" x14ac:dyDescent="0.2">
      <c r="A1848" s="534" t="s">
        <v>39865</v>
      </c>
      <c r="B1848" s="535"/>
      <c r="C1848" s="535"/>
      <c r="D1848" s="333"/>
      <c r="E1848" s="333"/>
      <c r="F1848" s="333"/>
      <c r="G1848" s="333"/>
      <c r="H1848" s="333"/>
      <c r="I1848" s="331"/>
      <c r="J1848" s="331"/>
      <c r="K1848" s="339">
        <f t="shared" ref="K1848:K1850" si="90">1.8</f>
        <v>1.8</v>
      </c>
      <c r="L1848" s="332" t="s">
        <v>39805</v>
      </c>
      <c r="M1848" s="339">
        <f>14.5</f>
        <v>14.5</v>
      </c>
      <c r="N1848" s="332" t="s">
        <v>39794</v>
      </c>
      <c r="O1848" s="335">
        <f t="shared" ref="O1848:O1850" si="91">ROUND(K1848*M1848,2)</f>
        <v>26.1</v>
      </c>
    </row>
    <row r="1849" spans="1:15" s="328" customFormat="1" x14ac:dyDescent="0.2">
      <c r="A1849" s="534" t="s">
        <v>39961</v>
      </c>
      <c r="B1849" s="535"/>
      <c r="C1849" s="535"/>
      <c r="D1849" s="333"/>
      <c r="E1849" s="333"/>
      <c r="F1849" s="333"/>
      <c r="G1849" s="333"/>
      <c r="H1849" s="333"/>
      <c r="I1849" s="331"/>
      <c r="J1849" s="331"/>
      <c r="K1849" s="339">
        <f t="shared" si="90"/>
        <v>1.8</v>
      </c>
      <c r="L1849" s="332" t="s">
        <v>39805</v>
      </c>
      <c r="M1849" s="339">
        <f>29.1</f>
        <v>29.1</v>
      </c>
      <c r="N1849" s="332" t="s">
        <v>39794</v>
      </c>
      <c r="O1849" s="335">
        <f t="shared" si="91"/>
        <v>52.38</v>
      </c>
    </row>
    <row r="1850" spans="1:15" s="328" customFormat="1" x14ac:dyDescent="0.2">
      <c r="A1850" s="534" t="s">
        <v>39865</v>
      </c>
      <c r="B1850" s="535"/>
      <c r="C1850" s="535"/>
      <c r="D1850" s="333"/>
      <c r="E1850" s="333"/>
      <c r="F1850" s="333"/>
      <c r="G1850" s="333"/>
      <c r="H1850" s="333"/>
      <c r="I1850" s="331"/>
      <c r="J1850" s="331"/>
      <c r="K1850" s="339">
        <f t="shared" si="90"/>
        <v>1.8</v>
      </c>
      <c r="L1850" s="332" t="s">
        <v>39805</v>
      </c>
      <c r="M1850" s="339">
        <f>14.5</f>
        <v>14.5</v>
      </c>
      <c r="N1850" s="332" t="s">
        <v>39794</v>
      </c>
      <c r="O1850" s="335">
        <f t="shared" si="91"/>
        <v>26.1</v>
      </c>
    </row>
    <row r="1851" spans="1:15" s="328" customFormat="1" x14ac:dyDescent="0.2">
      <c r="A1851" s="540"/>
      <c r="B1851" s="540"/>
      <c r="C1851" s="540"/>
      <c r="D1851" s="540"/>
      <c r="E1851" s="540"/>
      <c r="F1851" s="540"/>
      <c r="G1851" s="540"/>
      <c r="H1851" s="540"/>
      <c r="I1851" s="540"/>
      <c r="J1851" s="540"/>
      <c r="K1851" s="540"/>
      <c r="L1851" s="334" t="s">
        <v>39796</v>
      </c>
      <c r="M1851" s="334" t="s">
        <v>39168</v>
      </c>
      <c r="N1851" s="333" t="s">
        <v>39794</v>
      </c>
      <c r="O1851" s="334">
        <f>SUM(O1847:O1850)</f>
        <v>104.58000000000001</v>
      </c>
    </row>
    <row r="1852" spans="1:15" s="328" customFormat="1" x14ac:dyDescent="0.2">
      <c r="A1852" s="329" t="s">
        <v>39791</v>
      </c>
      <c r="B1852" s="542" t="s">
        <v>5917</v>
      </c>
      <c r="C1852" s="542"/>
      <c r="D1852" s="542"/>
      <c r="E1852" s="542"/>
      <c r="F1852" s="542"/>
      <c r="G1852" s="542"/>
      <c r="H1852" s="542"/>
      <c r="I1852" s="542"/>
      <c r="J1852" s="542"/>
      <c r="K1852" s="542"/>
      <c r="L1852" s="542"/>
      <c r="M1852" s="542"/>
      <c r="N1852" s="329" t="s">
        <v>39197</v>
      </c>
      <c r="O1852" s="330" t="s">
        <v>39792</v>
      </c>
    </row>
    <row r="1853" spans="1:15" s="328" customFormat="1" ht="39.950000000000003" customHeight="1" x14ac:dyDescent="0.2">
      <c r="A1853" s="331" t="str">
        <f>ORCAMENTO!A298</f>
        <v>14.1.6</v>
      </c>
      <c r="B1853" s="543" t="str">
        <f>VLOOKUP(A1853,ORCAMENTO!A:I,4,0)</f>
        <v>REJUNTAMENTO C/ ARG. PRÉ-FABRICADA, JUNTA ENTRE 2mm E 6mm EM CERÂMICA, ACIMA DE 30x30 cm (900 cm²) E PORCELANATOS (PAREDE/PISO)</v>
      </c>
      <c r="C1853" s="543"/>
      <c r="D1853" s="543"/>
      <c r="E1853" s="543"/>
      <c r="F1853" s="543"/>
      <c r="G1853" s="543"/>
      <c r="H1853" s="543"/>
      <c r="I1853" s="543"/>
      <c r="J1853" s="543"/>
      <c r="K1853" s="543"/>
      <c r="L1853" s="543"/>
      <c r="M1853" s="543"/>
      <c r="N1853" s="331" t="str">
        <f>VLOOKUP(A1853,ORCAMENTO!A:I,5,0)</f>
        <v>M2</v>
      </c>
      <c r="O1853" s="332">
        <f>O1859</f>
        <v>104.58000000000001</v>
      </c>
    </row>
    <row r="1854" spans="1:15" s="328" customFormat="1" x14ac:dyDescent="0.2">
      <c r="A1854" s="539" t="s">
        <v>39793</v>
      </c>
      <c r="B1854" s="539"/>
      <c r="C1854" s="539"/>
      <c r="D1854" s="539"/>
      <c r="E1854" s="539"/>
      <c r="F1854" s="539"/>
      <c r="G1854" s="539"/>
      <c r="H1854" s="539"/>
      <c r="I1854" s="539"/>
      <c r="J1854" s="539"/>
      <c r="K1854" s="539"/>
      <c r="L1854" s="539"/>
      <c r="M1854" s="539"/>
      <c r="N1854" s="539"/>
      <c r="O1854" s="539"/>
    </row>
    <row r="1855" spans="1:15" s="328" customFormat="1" x14ac:dyDescent="0.2">
      <c r="A1855" s="539" t="s">
        <v>5917</v>
      </c>
      <c r="B1855" s="539"/>
      <c r="C1855" s="539"/>
      <c r="D1855" s="333"/>
      <c r="E1855" s="333"/>
      <c r="F1855" s="333"/>
      <c r="G1855" s="333"/>
      <c r="H1855" s="333"/>
      <c r="I1855" s="331"/>
      <c r="J1855" s="331"/>
      <c r="K1855" s="333" t="s">
        <v>39823</v>
      </c>
      <c r="L1855" s="333" t="s">
        <v>39805</v>
      </c>
      <c r="M1855" s="333" t="s">
        <v>39885</v>
      </c>
      <c r="N1855" s="333" t="s">
        <v>39794</v>
      </c>
      <c r="O1855" s="333" t="s">
        <v>39795</v>
      </c>
    </row>
    <row r="1856" spans="1:15" s="328" customFormat="1" x14ac:dyDescent="0.2">
      <c r="A1856" s="534" t="s">
        <v>39865</v>
      </c>
      <c r="B1856" s="535"/>
      <c r="C1856" s="535"/>
      <c r="D1856" s="333"/>
      <c r="E1856" s="333"/>
      <c r="F1856" s="333"/>
      <c r="G1856" s="333"/>
      <c r="H1856" s="333"/>
      <c r="I1856" s="331"/>
      <c r="J1856" s="331"/>
      <c r="K1856" s="339">
        <f t="shared" ref="K1856:K1858" si="92">1.8</f>
        <v>1.8</v>
      </c>
      <c r="L1856" s="332" t="s">
        <v>39805</v>
      </c>
      <c r="M1856" s="339">
        <f>14.5</f>
        <v>14.5</v>
      </c>
      <c r="N1856" s="332" t="s">
        <v>39794</v>
      </c>
      <c r="O1856" s="335">
        <f t="shared" ref="O1856:O1858" si="93">ROUND(K1856*M1856,2)</f>
        <v>26.1</v>
      </c>
    </row>
    <row r="1857" spans="1:15" s="328" customFormat="1" x14ac:dyDescent="0.2">
      <c r="A1857" s="534" t="s">
        <v>39961</v>
      </c>
      <c r="B1857" s="535"/>
      <c r="C1857" s="535"/>
      <c r="D1857" s="333"/>
      <c r="E1857" s="333"/>
      <c r="F1857" s="333"/>
      <c r="G1857" s="333"/>
      <c r="H1857" s="333"/>
      <c r="I1857" s="331"/>
      <c r="J1857" s="331"/>
      <c r="K1857" s="339">
        <f t="shared" si="92"/>
        <v>1.8</v>
      </c>
      <c r="L1857" s="332" t="s">
        <v>39805</v>
      </c>
      <c r="M1857" s="339">
        <f>29.1</f>
        <v>29.1</v>
      </c>
      <c r="N1857" s="332" t="s">
        <v>39794</v>
      </c>
      <c r="O1857" s="335">
        <f t="shared" si="93"/>
        <v>52.38</v>
      </c>
    </row>
    <row r="1858" spans="1:15" s="328" customFormat="1" x14ac:dyDescent="0.2">
      <c r="A1858" s="534" t="s">
        <v>39865</v>
      </c>
      <c r="B1858" s="535"/>
      <c r="C1858" s="535"/>
      <c r="D1858" s="333"/>
      <c r="E1858" s="333"/>
      <c r="F1858" s="333"/>
      <c r="G1858" s="333"/>
      <c r="H1858" s="333"/>
      <c r="I1858" s="331"/>
      <c r="J1858" s="331"/>
      <c r="K1858" s="339">
        <f t="shared" si="92"/>
        <v>1.8</v>
      </c>
      <c r="L1858" s="332" t="s">
        <v>39805</v>
      </c>
      <c r="M1858" s="339">
        <f>14.5</f>
        <v>14.5</v>
      </c>
      <c r="N1858" s="332" t="s">
        <v>39794</v>
      </c>
      <c r="O1858" s="335">
        <f t="shared" si="93"/>
        <v>26.1</v>
      </c>
    </row>
    <row r="1859" spans="1:15" s="328" customFormat="1" x14ac:dyDescent="0.2">
      <c r="A1859" s="540"/>
      <c r="B1859" s="540"/>
      <c r="C1859" s="540"/>
      <c r="D1859" s="540"/>
      <c r="E1859" s="540"/>
      <c r="F1859" s="540"/>
      <c r="G1859" s="540"/>
      <c r="H1859" s="540"/>
      <c r="I1859" s="540"/>
      <c r="J1859" s="540"/>
      <c r="K1859" s="540"/>
      <c r="L1859" s="334" t="s">
        <v>39796</v>
      </c>
      <c r="M1859" s="334" t="s">
        <v>39168</v>
      </c>
      <c r="N1859" s="333" t="s">
        <v>39794</v>
      </c>
      <c r="O1859" s="334">
        <f>SUM(O1855:O1858)</f>
        <v>104.58000000000001</v>
      </c>
    </row>
    <row r="1860" spans="1:15" s="328" customFormat="1" x14ac:dyDescent="0.2">
      <c r="A1860" s="329" t="s">
        <v>39791</v>
      </c>
      <c r="B1860" s="542" t="s">
        <v>5917</v>
      </c>
      <c r="C1860" s="542"/>
      <c r="D1860" s="542"/>
      <c r="E1860" s="542"/>
      <c r="F1860" s="542"/>
      <c r="G1860" s="542"/>
      <c r="H1860" s="542"/>
      <c r="I1860" s="542"/>
      <c r="J1860" s="542"/>
      <c r="K1860" s="542"/>
      <c r="L1860" s="542"/>
      <c r="M1860" s="542"/>
      <c r="N1860" s="329" t="s">
        <v>39197</v>
      </c>
      <c r="O1860" s="330" t="s">
        <v>39792</v>
      </c>
    </row>
    <row r="1861" spans="1:15" s="328" customFormat="1" ht="12.75" customHeight="1" x14ac:dyDescent="0.2">
      <c r="A1861" s="331" t="str">
        <f>ORCAMENTO!A299</f>
        <v>14.1.7</v>
      </c>
      <c r="B1861" s="543" t="str">
        <f>VLOOKUP(A1861,ORCAMENTO!A:I,4,0)</f>
        <v>REBOCO C/ ARGAMASSA DE CIMENTO E AREIA PENEIRADA, TRAÇO 1:3</v>
      </c>
      <c r="C1861" s="543"/>
      <c r="D1861" s="543"/>
      <c r="E1861" s="543"/>
      <c r="F1861" s="543"/>
      <c r="G1861" s="543"/>
      <c r="H1861" s="543"/>
      <c r="I1861" s="543"/>
      <c r="J1861" s="543"/>
      <c r="K1861" s="543"/>
      <c r="L1861" s="543"/>
      <c r="M1861" s="543"/>
      <c r="N1861" s="331" t="str">
        <f>VLOOKUP(A1861,ORCAMENTO!A:I,5,0)</f>
        <v>M2</v>
      </c>
      <c r="O1861" s="332">
        <f>O1865</f>
        <v>2090.88</v>
      </c>
    </row>
    <row r="1862" spans="1:15" s="328" customFormat="1" x14ac:dyDescent="0.2">
      <c r="A1862" s="539" t="s">
        <v>39793</v>
      </c>
      <c r="B1862" s="539"/>
      <c r="C1862" s="539"/>
      <c r="D1862" s="539"/>
      <c r="E1862" s="539"/>
      <c r="F1862" s="539"/>
      <c r="G1862" s="539"/>
      <c r="H1862" s="539"/>
      <c r="I1862" s="539"/>
      <c r="J1862" s="539"/>
      <c r="K1862" s="539"/>
      <c r="L1862" s="539"/>
      <c r="M1862" s="539"/>
      <c r="N1862" s="539"/>
      <c r="O1862" s="539"/>
    </row>
    <row r="1863" spans="1:15" s="328" customFormat="1" x14ac:dyDescent="0.2">
      <c r="A1863" s="539" t="s">
        <v>5917</v>
      </c>
      <c r="B1863" s="539"/>
      <c r="C1863" s="539"/>
      <c r="D1863" s="333"/>
      <c r="E1863" s="333"/>
      <c r="F1863" s="333"/>
      <c r="G1863" s="333"/>
      <c r="H1863" s="333"/>
      <c r="I1863" s="331"/>
      <c r="J1863" s="331"/>
      <c r="K1863" s="333" t="s">
        <v>40169</v>
      </c>
      <c r="L1863" s="362" t="s">
        <v>40168</v>
      </c>
      <c r="M1863" s="333" t="s">
        <v>40170</v>
      </c>
      <c r="N1863" s="333" t="s">
        <v>39794</v>
      </c>
      <c r="O1863" s="333" t="s">
        <v>39795</v>
      </c>
    </row>
    <row r="1864" spans="1:15" s="328" customFormat="1" x14ac:dyDescent="0.2">
      <c r="A1864" s="535" t="s">
        <v>40167</v>
      </c>
      <c r="B1864" s="535"/>
      <c r="C1864" s="535"/>
      <c r="D1864" s="334"/>
      <c r="E1864" s="334"/>
      <c r="F1864" s="334"/>
      <c r="G1864" s="334"/>
      <c r="H1864" s="334"/>
      <c r="I1864" s="332"/>
      <c r="J1864" s="332"/>
      <c r="K1864" s="332">
        <f>O1745</f>
        <v>2723.26</v>
      </c>
      <c r="L1864" s="363" t="s">
        <v>40168</v>
      </c>
      <c r="M1864" s="332">
        <f>O1751</f>
        <v>632.37999999999988</v>
      </c>
      <c r="N1864" s="332" t="s">
        <v>39794</v>
      </c>
      <c r="O1864" s="335">
        <f>ROUND(K1864-M1864,2)</f>
        <v>2090.88</v>
      </c>
    </row>
    <row r="1865" spans="1:15" s="328" customFormat="1" x14ac:dyDescent="0.2">
      <c r="A1865" s="540"/>
      <c r="B1865" s="540"/>
      <c r="C1865" s="540"/>
      <c r="D1865" s="540"/>
      <c r="E1865" s="540"/>
      <c r="F1865" s="540"/>
      <c r="G1865" s="540"/>
      <c r="H1865" s="540"/>
      <c r="I1865" s="540"/>
      <c r="J1865" s="540"/>
      <c r="K1865" s="540"/>
      <c r="L1865" s="334" t="s">
        <v>39796</v>
      </c>
      <c r="M1865" s="334" t="s">
        <v>39168</v>
      </c>
      <c r="N1865" s="333" t="s">
        <v>39794</v>
      </c>
      <c r="O1865" s="334">
        <f>SUM(O1863:O1864)</f>
        <v>2090.88</v>
      </c>
    </row>
    <row r="1866" spans="1:15" s="328" customFormat="1" x14ac:dyDescent="0.2">
      <c r="A1866" s="329" t="s">
        <v>39791</v>
      </c>
      <c r="B1866" s="542" t="s">
        <v>5917</v>
      </c>
      <c r="C1866" s="542"/>
      <c r="D1866" s="542"/>
      <c r="E1866" s="542"/>
      <c r="F1866" s="542"/>
      <c r="G1866" s="542"/>
      <c r="H1866" s="542"/>
      <c r="I1866" s="542"/>
      <c r="J1866" s="542"/>
      <c r="K1866" s="542"/>
      <c r="L1866" s="542"/>
      <c r="M1866" s="542"/>
      <c r="N1866" s="329" t="s">
        <v>39197</v>
      </c>
      <c r="O1866" s="330" t="s">
        <v>39792</v>
      </c>
    </row>
    <row r="1867" spans="1:15" s="328" customFormat="1" ht="12.75" customHeight="1" x14ac:dyDescent="0.2">
      <c r="A1867" s="331" t="str">
        <f>ORCAMENTO!A300</f>
        <v>14.1.8</v>
      </c>
      <c r="B1867" s="543" t="str">
        <f>VLOOKUP(A1867,ORCAMENTO!A:I,4,0)</f>
        <v>PERFIL "U" EM ALUMÍNIO 3/4" x 3/4" P/ COBERTURA</v>
      </c>
      <c r="C1867" s="543"/>
      <c r="D1867" s="543"/>
      <c r="E1867" s="543"/>
      <c r="F1867" s="543"/>
      <c r="G1867" s="543"/>
      <c r="H1867" s="543"/>
      <c r="I1867" s="543"/>
      <c r="J1867" s="543"/>
      <c r="K1867" s="543"/>
      <c r="L1867" s="543"/>
      <c r="M1867" s="543"/>
      <c r="N1867" s="331" t="str">
        <f>VLOOKUP(A1867,ORCAMENTO!A:I,5,0)</f>
        <v>M</v>
      </c>
      <c r="O1867" s="332">
        <f>O1895</f>
        <v>276.31999999999994</v>
      </c>
    </row>
    <row r="1868" spans="1:15" s="328" customFormat="1" x14ac:dyDescent="0.2">
      <c r="A1868" s="539" t="s">
        <v>39793</v>
      </c>
      <c r="B1868" s="539"/>
      <c r="C1868" s="539"/>
      <c r="D1868" s="539"/>
      <c r="E1868" s="539"/>
      <c r="F1868" s="539"/>
      <c r="G1868" s="539"/>
      <c r="H1868" s="539"/>
      <c r="I1868" s="539"/>
      <c r="J1868" s="539"/>
      <c r="K1868" s="539"/>
      <c r="L1868" s="539"/>
      <c r="M1868" s="539"/>
      <c r="N1868" s="539"/>
      <c r="O1868" s="539"/>
    </row>
    <row r="1869" spans="1:15" s="328" customFormat="1" x14ac:dyDescent="0.2">
      <c r="A1869" s="539" t="s">
        <v>5917</v>
      </c>
      <c r="B1869" s="539"/>
      <c r="C1869" s="539"/>
      <c r="D1869" s="333"/>
      <c r="E1869" s="333"/>
      <c r="F1869" s="333"/>
      <c r="G1869" s="333"/>
      <c r="H1869" s="333"/>
      <c r="I1869" s="331"/>
      <c r="J1869" s="331"/>
      <c r="K1869" s="333"/>
      <c r="L1869" s="333"/>
      <c r="M1869" s="333" t="s">
        <v>39885</v>
      </c>
      <c r="N1869" s="333" t="s">
        <v>39794</v>
      </c>
      <c r="O1869" s="333" t="s">
        <v>39795</v>
      </c>
    </row>
    <row r="1870" spans="1:15" s="328" customFormat="1" x14ac:dyDescent="0.2">
      <c r="A1870" s="534" t="s">
        <v>39862</v>
      </c>
      <c r="B1870" s="535"/>
      <c r="C1870" s="535"/>
      <c r="D1870" s="333"/>
      <c r="E1870" s="333"/>
      <c r="F1870" s="333"/>
      <c r="G1870" s="333"/>
      <c r="H1870" s="333"/>
      <c r="I1870" s="331"/>
      <c r="J1870" s="331"/>
      <c r="K1870" s="339"/>
      <c r="L1870" s="332"/>
      <c r="M1870" s="339">
        <f>28.75</f>
        <v>28.75</v>
      </c>
      <c r="N1870" s="332" t="s">
        <v>39794</v>
      </c>
      <c r="O1870" s="335">
        <f>ROUND(M1870,2)</f>
        <v>28.75</v>
      </c>
    </row>
    <row r="1871" spans="1:15" s="328" customFormat="1" x14ac:dyDescent="0.2">
      <c r="A1871" s="534" t="s">
        <v>39863</v>
      </c>
      <c r="B1871" s="535"/>
      <c r="C1871" s="535"/>
      <c r="D1871" s="333"/>
      <c r="E1871" s="333"/>
      <c r="F1871" s="333"/>
      <c r="G1871" s="333"/>
      <c r="H1871" s="333"/>
      <c r="I1871" s="331"/>
      <c r="J1871" s="331"/>
      <c r="K1871" s="339"/>
      <c r="L1871" s="332"/>
      <c r="M1871" s="339">
        <f>28.8</f>
        <v>28.8</v>
      </c>
      <c r="N1871" s="332" t="s">
        <v>39794</v>
      </c>
      <c r="O1871" s="335">
        <f t="shared" ref="O1871:O1878" si="94">ROUND(M1871,2)</f>
        <v>28.8</v>
      </c>
    </row>
    <row r="1872" spans="1:15" s="328" customFormat="1" x14ac:dyDescent="0.2">
      <c r="A1872" s="534" t="s">
        <v>40161</v>
      </c>
      <c r="B1872" s="535"/>
      <c r="C1872" s="535"/>
      <c r="D1872" s="333"/>
      <c r="E1872" s="333"/>
      <c r="F1872" s="333"/>
      <c r="G1872" s="333"/>
      <c r="H1872" s="333"/>
      <c r="I1872" s="331"/>
      <c r="J1872" s="331"/>
      <c r="K1872" s="339"/>
      <c r="L1872" s="332"/>
      <c r="M1872" s="339">
        <f>29.1</f>
        <v>29.1</v>
      </c>
      <c r="N1872" s="332" t="s">
        <v>39794</v>
      </c>
      <c r="O1872" s="335">
        <f t="shared" si="94"/>
        <v>29.1</v>
      </c>
    </row>
    <row r="1873" spans="1:15" s="328" customFormat="1" x14ac:dyDescent="0.2">
      <c r="A1873" s="534" t="s">
        <v>39865</v>
      </c>
      <c r="B1873" s="535"/>
      <c r="C1873" s="535"/>
      <c r="D1873" s="333"/>
      <c r="E1873" s="333"/>
      <c r="F1873" s="333"/>
      <c r="G1873" s="333"/>
      <c r="H1873" s="333"/>
      <c r="I1873" s="331"/>
      <c r="J1873" s="331"/>
      <c r="K1873" s="339"/>
      <c r="L1873" s="332"/>
      <c r="M1873" s="339">
        <f>14.5</f>
        <v>14.5</v>
      </c>
      <c r="N1873" s="332" t="s">
        <v>39794</v>
      </c>
      <c r="O1873" s="335">
        <f t="shared" si="94"/>
        <v>14.5</v>
      </c>
    </row>
    <row r="1874" spans="1:15" s="328" customFormat="1" x14ac:dyDescent="0.2">
      <c r="A1874" s="534" t="s">
        <v>39866</v>
      </c>
      <c r="B1874" s="535"/>
      <c r="C1874" s="535"/>
      <c r="D1874" s="333"/>
      <c r="E1874" s="333"/>
      <c r="F1874" s="333"/>
      <c r="G1874" s="333"/>
      <c r="H1874" s="333"/>
      <c r="I1874" s="331"/>
      <c r="J1874" s="331"/>
      <c r="K1874" s="339"/>
      <c r="L1874" s="332"/>
      <c r="M1874" s="339">
        <f>28.8</f>
        <v>28.8</v>
      </c>
      <c r="N1874" s="332" t="s">
        <v>39794</v>
      </c>
      <c r="O1874" s="335">
        <f t="shared" si="94"/>
        <v>28.8</v>
      </c>
    </row>
    <row r="1875" spans="1:15" s="328" customFormat="1" x14ac:dyDescent="0.2">
      <c r="A1875" s="534" t="s">
        <v>40162</v>
      </c>
      <c r="B1875" s="535"/>
      <c r="C1875" s="535"/>
      <c r="D1875" s="333"/>
      <c r="E1875" s="333"/>
      <c r="F1875" s="333"/>
      <c r="G1875" s="333"/>
      <c r="H1875" s="333"/>
      <c r="I1875" s="331"/>
      <c r="J1875" s="331"/>
      <c r="K1875" s="339"/>
      <c r="L1875" s="332"/>
      <c r="M1875" s="339">
        <f>29.1</f>
        <v>29.1</v>
      </c>
      <c r="N1875" s="332" t="s">
        <v>39794</v>
      </c>
      <c r="O1875" s="335">
        <f t="shared" si="94"/>
        <v>29.1</v>
      </c>
    </row>
    <row r="1876" spans="1:15" s="328" customFormat="1" x14ac:dyDescent="0.2">
      <c r="A1876" s="534" t="s">
        <v>39865</v>
      </c>
      <c r="B1876" s="535"/>
      <c r="C1876" s="535"/>
      <c r="D1876" s="333"/>
      <c r="E1876" s="333"/>
      <c r="F1876" s="333"/>
      <c r="G1876" s="333"/>
      <c r="H1876" s="333"/>
      <c r="I1876" s="331"/>
      <c r="J1876" s="331"/>
      <c r="K1876" s="339"/>
      <c r="L1876" s="332"/>
      <c r="M1876" s="339">
        <f>14.5</f>
        <v>14.5</v>
      </c>
      <c r="N1876" s="332" t="s">
        <v>39794</v>
      </c>
      <c r="O1876" s="335">
        <f t="shared" si="94"/>
        <v>14.5</v>
      </c>
    </row>
    <row r="1877" spans="1:15" s="328" customFormat="1" x14ac:dyDescent="0.2">
      <c r="A1877" s="534" t="s">
        <v>39961</v>
      </c>
      <c r="B1877" s="535"/>
      <c r="C1877" s="535"/>
      <c r="D1877" s="333"/>
      <c r="E1877" s="333"/>
      <c r="F1877" s="333"/>
      <c r="G1877" s="333"/>
      <c r="H1877" s="333"/>
      <c r="I1877" s="331"/>
      <c r="J1877" s="331"/>
      <c r="K1877" s="339"/>
      <c r="L1877" s="332"/>
      <c r="M1877" s="339">
        <f>29.1</f>
        <v>29.1</v>
      </c>
      <c r="N1877" s="332" t="s">
        <v>39794</v>
      </c>
      <c r="O1877" s="335">
        <f t="shared" si="94"/>
        <v>29.1</v>
      </c>
    </row>
    <row r="1878" spans="1:15" s="328" customFormat="1" x14ac:dyDescent="0.2">
      <c r="A1878" s="534" t="s">
        <v>39865</v>
      </c>
      <c r="B1878" s="535"/>
      <c r="C1878" s="535"/>
      <c r="D1878" s="333"/>
      <c r="E1878" s="333"/>
      <c r="F1878" s="333"/>
      <c r="G1878" s="333"/>
      <c r="H1878" s="333"/>
      <c r="I1878" s="331"/>
      <c r="J1878" s="331"/>
      <c r="K1878" s="339"/>
      <c r="L1878" s="332"/>
      <c r="M1878" s="339">
        <f>14.5</f>
        <v>14.5</v>
      </c>
      <c r="N1878" s="332" t="s">
        <v>39794</v>
      </c>
      <c r="O1878" s="335">
        <f t="shared" si="94"/>
        <v>14.5</v>
      </c>
    </row>
    <row r="1879" spans="1:15" s="328" customFormat="1" x14ac:dyDescent="0.2">
      <c r="A1879" s="539" t="s">
        <v>5917</v>
      </c>
      <c r="B1879" s="539"/>
      <c r="C1879" s="539"/>
      <c r="D1879" s="333"/>
      <c r="E1879" s="333"/>
      <c r="F1879" s="333"/>
      <c r="G1879" s="333"/>
      <c r="H1879" s="333"/>
      <c r="I1879" s="331"/>
      <c r="J1879" s="331"/>
      <c r="K1879" s="333"/>
      <c r="L1879" s="333"/>
      <c r="M1879" s="333" t="s">
        <v>39802</v>
      </c>
      <c r="N1879" s="333" t="s">
        <v>39794</v>
      </c>
      <c r="O1879" s="333" t="s">
        <v>39795</v>
      </c>
    </row>
    <row r="1880" spans="1:15" s="328" customFormat="1" x14ac:dyDescent="0.2">
      <c r="A1880" s="536" t="s">
        <v>39886</v>
      </c>
      <c r="B1880" s="537"/>
      <c r="C1880" s="538"/>
      <c r="D1880" s="333"/>
      <c r="E1880" s="333"/>
      <c r="F1880" s="333"/>
      <c r="G1880" s="333"/>
      <c r="H1880" s="333"/>
      <c r="I1880" s="331"/>
      <c r="J1880" s="331"/>
      <c r="K1880" s="339"/>
      <c r="L1880" s="332"/>
      <c r="M1880" s="339">
        <f>30.18</f>
        <v>30.18</v>
      </c>
      <c r="N1880" s="332" t="s">
        <v>39794</v>
      </c>
      <c r="O1880" s="335">
        <f>ROUND(M1880,2)</f>
        <v>30.18</v>
      </c>
    </row>
    <row r="1881" spans="1:15" s="328" customFormat="1" x14ac:dyDescent="0.2">
      <c r="A1881" s="536" t="s">
        <v>39887</v>
      </c>
      <c r="B1881" s="537"/>
      <c r="C1881" s="538"/>
      <c r="D1881" s="333"/>
      <c r="E1881" s="333"/>
      <c r="F1881" s="333"/>
      <c r="G1881" s="333"/>
      <c r="H1881" s="333"/>
      <c r="I1881" s="331"/>
      <c r="J1881" s="331"/>
      <c r="K1881" s="339"/>
      <c r="L1881" s="332"/>
      <c r="M1881" s="339">
        <f>0.15</f>
        <v>0.15</v>
      </c>
      <c r="N1881" s="332" t="s">
        <v>39794</v>
      </c>
      <c r="O1881" s="335">
        <f t="shared" ref="O1881:O1894" si="95">ROUND(M1881,2)</f>
        <v>0.15</v>
      </c>
    </row>
    <row r="1882" spans="1:15" s="328" customFormat="1" x14ac:dyDescent="0.2">
      <c r="A1882" s="536" t="s">
        <v>39888</v>
      </c>
      <c r="B1882" s="537"/>
      <c r="C1882" s="538"/>
      <c r="D1882" s="333"/>
      <c r="E1882" s="333"/>
      <c r="F1882" s="333"/>
      <c r="G1882" s="333"/>
      <c r="H1882" s="333"/>
      <c r="I1882" s="331"/>
      <c r="J1882" s="331"/>
      <c r="K1882" s="339"/>
      <c r="L1882" s="332"/>
      <c r="M1882" s="339">
        <f>1.15</f>
        <v>1.1499999999999999</v>
      </c>
      <c r="N1882" s="332" t="s">
        <v>39794</v>
      </c>
      <c r="O1882" s="335">
        <f t="shared" si="95"/>
        <v>1.1499999999999999</v>
      </c>
    </row>
    <row r="1883" spans="1:15" s="328" customFormat="1" x14ac:dyDescent="0.2">
      <c r="A1883" s="536" t="s">
        <v>39889</v>
      </c>
      <c r="B1883" s="537"/>
      <c r="C1883" s="538"/>
      <c r="D1883" s="333"/>
      <c r="E1883" s="333"/>
      <c r="F1883" s="333"/>
      <c r="G1883" s="333"/>
      <c r="H1883" s="333"/>
      <c r="I1883" s="331"/>
      <c r="J1883" s="331"/>
      <c r="K1883" s="339"/>
      <c r="L1883" s="332"/>
      <c r="M1883" s="339">
        <f>7.4</f>
        <v>7.4</v>
      </c>
      <c r="N1883" s="332" t="s">
        <v>39794</v>
      </c>
      <c r="O1883" s="335">
        <f t="shared" si="95"/>
        <v>7.4</v>
      </c>
    </row>
    <row r="1884" spans="1:15" s="328" customFormat="1" x14ac:dyDescent="0.2">
      <c r="A1884" s="536" t="s">
        <v>39890</v>
      </c>
      <c r="B1884" s="537"/>
      <c r="C1884" s="538"/>
      <c r="D1884" s="333"/>
      <c r="E1884" s="333"/>
      <c r="F1884" s="333"/>
      <c r="G1884" s="333"/>
      <c r="H1884" s="333"/>
      <c r="I1884" s="331"/>
      <c r="J1884" s="331"/>
      <c r="K1884" s="339"/>
      <c r="L1884" s="332"/>
      <c r="M1884" s="339">
        <f>0.82</f>
        <v>0.82</v>
      </c>
      <c r="N1884" s="332" t="s">
        <v>39794</v>
      </c>
      <c r="O1884" s="335">
        <f t="shared" si="95"/>
        <v>0.82</v>
      </c>
    </row>
    <row r="1885" spans="1:15" s="328" customFormat="1" x14ac:dyDescent="0.2">
      <c r="A1885" s="536" t="s">
        <v>39891</v>
      </c>
      <c r="B1885" s="537"/>
      <c r="C1885" s="538"/>
      <c r="D1885" s="333"/>
      <c r="E1885" s="333"/>
      <c r="F1885" s="333"/>
      <c r="G1885" s="333"/>
      <c r="H1885" s="333"/>
      <c r="I1885" s="331"/>
      <c r="J1885" s="331"/>
      <c r="K1885" s="339"/>
      <c r="L1885" s="332"/>
      <c r="M1885" s="339">
        <f>0.15</f>
        <v>0.15</v>
      </c>
      <c r="N1885" s="332" t="s">
        <v>39794</v>
      </c>
      <c r="O1885" s="335">
        <f t="shared" si="95"/>
        <v>0.15</v>
      </c>
    </row>
    <row r="1886" spans="1:15" s="328" customFormat="1" x14ac:dyDescent="0.2">
      <c r="A1886" s="536" t="s">
        <v>39892</v>
      </c>
      <c r="B1886" s="537"/>
      <c r="C1886" s="538"/>
      <c r="D1886" s="333"/>
      <c r="E1886" s="333"/>
      <c r="F1886" s="333"/>
      <c r="G1886" s="333"/>
      <c r="H1886" s="333"/>
      <c r="I1886" s="331"/>
      <c r="J1886" s="331"/>
      <c r="K1886" s="339"/>
      <c r="L1886" s="332"/>
      <c r="M1886" s="339">
        <f>0.82</f>
        <v>0.82</v>
      </c>
      <c r="N1886" s="332" t="s">
        <v>39794</v>
      </c>
      <c r="O1886" s="335">
        <f t="shared" si="95"/>
        <v>0.82</v>
      </c>
    </row>
    <row r="1887" spans="1:15" s="328" customFormat="1" x14ac:dyDescent="0.2">
      <c r="A1887" s="536" t="s">
        <v>39893</v>
      </c>
      <c r="B1887" s="537"/>
      <c r="C1887" s="538"/>
      <c r="D1887" s="333"/>
      <c r="E1887" s="333"/>
      <c r="F1887" s="333"/>
      <c r="G1887" s="333"/>
      <c r="H1887" s="333"/>
      <c r="I1887" s="331"/>
      <c r="J1887" s="331"/>
      <c r="K1887" s="339"/>
      <c r="L1887" s="332"/>
      <c r="M1887" s="339">
        <f>0.15</f>
        <v>0.15</v>
      </c>
      <c r="N1887" s="332" t="s">
        <v>39794</v>
      </c>
      <c r="O1887" s="335">
        <f t="shared" si="95"/>
        <v>0.15</v>
      </c>
    </row>
    <row r="1888" spans="1:15" s="328" customFormat="1" x14ac:dyDescent="0.2">
      <c r="A1888" s="536" t="s">
        <v>39894</v>
      </c>
      <c r="B1888" s="537"/>
      <c r="C1888" s="538"/>
      <c r="D1888" s="333"/>
      <c r="E1888" s="333"/>
      <c r="F1888" s="333"/>
      <c r="G1888" s="333"/>
      <c r="H1888" s="333"/>
      <c r="I1888" s="331"/>
      <c r="J1888" s="331"/>
      <c r="K1888" s="339"/>
      <c r="L1888" s="332"/>
      <c r="M1888" s="339">
        <f>0.15</f>
        <v>0.15</v>
      </c>
      <c r="N1888" s="332" t="s">
        <v>39794</v>
      </c>
      <c r="O1888" s="335">
        <f t="shared" si="95"/>
        <v>0.15</v>
      </c>
    </row>
    <row r="1889" spans="1:15" s="328" customFormat="1" x14ac:dyDescent="0.2">
      <c r="A1889" s="536" t="s">
        <v>39895</v>
      </c>
      <c r="B1889" s="537"/>
      <c r="C1889" s="538"/>
      <c r="D1889" s="333"/>
      <c r="E1889" s="333"/>
      <c r="F1889" s="333"/>
      <c r="G1889" s="333"/>
      <c r="H1889" s="333"/>
      <c r="I1889" s="331"/>
      <c r="J1889" s="331"/>
      <c r="K1889" s="339"/>
      <c r="L1889" s="332"/>
      <c r="M1889" s="339">
        <f>8.55</f>
        <v>8.5500000000000007</v>
      </c>
      <c r="N1889" s="332" t="s">
        <v>39794</v>
      </c>
      <c r="O1889" s="335">
        <f t="shared" si="95"/>
        <v>8.5500000000000007</v>
      </c>
    </row>
    <row r="1890" spans="1:15" s="328" customFormat="1" x14ac:dyDescent="0.2">
      <c r="A1890" s="536" t="s">
        <v>39896</v>
      </c>
      <c r="B1890" s="537"/>
      <c r="C1890" s="538"/>
      <c r="D1890" s="333"/>
      <c r="E1890" s="333"/>
      <c r="F1890" s="333"/>
      <c r="G1890" s="333"/>
      <c r="H1890" s="333"/>
      <c r="I1890" s="331"/>
      <c r="J1890" s="331"/>
      <c r="K1890" s="339"/>
      <c r="L1890" s="332"/>
      <c r="M1890" s="339">
        <f>0.15</f>
        <v>0.15</v>
      </c>
      <c r="N1890" s="332" t="s">
        <v>39794</v>
      </c>
      <c r="O1890" s="335">
        <f t="shared" si="95"/>
        <v>0.15</v>
      </c>
    </row>
    <row r="1891" spans="1:15" s="328" customFormat="1" x14ac:dyDescent="0.2">
      <c r="A1891" s="536" t="s">
        <v>40163</v>
      </c>
      <c r="B1891" s="537"/>
      <c r="C1891" s="538"/>
      <c r="D1891" s="333"/>
      <c r="E1891" s="333"/>
      <c r="F1891" s="333"/>
      <c r="G1891" s="333"/>
      <c r="H1891" s="333"/>
      <c r="I1891" s="331"/>
      <c r="J1891" s="331"/>
      <c r="K1891" s="339"/>
      <c r="L1891" s="332"/>
      <c r="M1891" s="339">
        <f>0.15</f>
        <v>0.15</v>
      </c>
      <c r="N1891" s="332" t="s">
        <v>39794</v>
      </c>
      <c r="O1891" s="335">
        <f t="shared" si="95"/>
        <v>0.15</v>
      </c>
    </row>
    <row r="1892" spans="1:15" s="328" customFormat="1" x14ac:dyDescent="0.2">
      <c r="A1892" s="536" t="s">
        <v>40164</v>
      </c>
      <c r="B1892" s="537"/>
      <c r="C1892" s="538"/>
      <c r="D1892" s="333"/>
      <c r="E1892" s="333"/>
      <c r="F1892" s="333"/>
      <c r="G1892" s="333"/>
      <c r="H1892" s="333"/>
      <c r="I1892" s="331"/>
      <c r="J1892" s="331"/>
      <c r="K1892" s="339"/>
      <c r="L1892" s="332"/>
      <c r="M1892" s="339">
        <f>5.85</f>
        <v>5.85</v>
      </c>
      <c r="N1892" s="332" t="s">
        <v>39794</v>
      </c>
      <c r="O1892" s="335">
        <f t="shared" si="95"/>
        <v>5.85</v>
      </c>
    </row>
    <row r="1893" spans="1:15" s="328" customFormat="1" x14ac:dyDescent="0.2">
      <c r="A1893" s="536" t="s">
        <v>40165</v>
      </c>
      <c r="B1893" s="537"/>
      <c r="C1893" s="538"/>
      <c r="D1893" s="333"/>
      <c r="E1893" s="333"/>
      <c r="F1893" s="333"/>
      <c r="G1893" s="333"/>
      <c r="H1893" s="333"/>
      <c r="I1893" s="331"/>
      <c r="J1893" s="331"/>
      <c r="K1893" s="339"/>
      <c r="L1893" s="332"/>
      <c r="M1893" s="339">
        <f>2.7</f>
        <v>2.7</v>
      </c>
      <c r="N1893" s="332" t="s">
        <v>39794</v>
      </c>
      <c r="O1893" s="335">
        <f t="shared" si="95"/>
        <v>2.7</v>
      </c>
    </row>
    <row r="1894" spans="1:15" s="328" customFormat="1" x14ac:dyDescent="0.2">
      <c r="A1894" s="536" t="s">
        <v>40166</v>
      </c>
      <c r="B1894" s="537"/>
      <c r="C1894" s="538"/>
      <c r="D1894" s="333"/>
      <c r="E1894" s="333"/>
      <c r="F1894" s="333"/>
      <c r="G1894" s="333"/>
      <c r="H1894" s="333"/>
      <c r="I1894" s="331"/>
      <c r="J1894" s="331"/>
      <c r="K1894" s="339"/>
      <c r="L1894" s="332"/>
      <c r="M1894" s="339">
        <f>0.8</f>
        <v>0.8</v>
      </c>
      <c r="N1894" s="332" t="s">
        <v>39794</v>
      </c>
      <c r="O1894" s="335">
        <f t="shared" si="95"/>
        <v>0.8</v>
      </c>
    </row>
    <row r="1895" spans="1:15" s="328" customFormat="1" x14ac:dyDescent="0.2">
      <c r="A1895" s="540"/>
      <c r="B1895" s="540"/>
      <c r="C1895" s="540"/>
      <c r="D1895" s="540"/>
      <c r="E1895" s="540"/>
      <c r="F1895" s="540"/>
      <c r="G1895" s="540"/>
      <c r="H1895" s="540"/>
      <c r="I1895" s="540"/>
      <c r="J1895" s="540"/>
      <c r="K1895" s="540"/>
      <c r="L1895" s="334" t="s">
        <v>39796</v>
      </c>
      <c r="M1895" s="334" t="s">
        <v>39168</v>
      </c>
      <c r="N1895" s="333" t="s">
        <v>39794</v>
      </c>
      <c r="O1895" s="334">
        <f>SUM(O1869:O1894)</f>
        <v>276.31999999999994</v>
      </c>
    </row>
    <row r="1896" spans="1:15" s="328" customFormat="1" x14ac:dyDescent="0.2">
      <c r="A1896" s="347" t="str">
        <f>ORCAMENTO!A302</f>
        <v>14.2</v>
      </c>
      <c r="B1896" s="544" t="str">
        <f>VLOOKUP(A1896,ORCAMENTO!A:I,4,0)</f>
        <v>REVESTIMENTO EM TETO</v>
      </c>
      <c r="C1896" s="544"/>
      <c r="D1896" s="544"/>
      <c r="E1896" s="544"/>
      <c r="F1896" s="544"/>
      <c r="G1896" s="544"/>
      <c r="H1896" s="544"/>
      <c r="I1896" s="544"/>
      <c r="J1896" s="544"/>
      <c r="K1896" s="544"/>
      <c r="L1896" s="544"/>
      <c r="M1896" s="544"/>
      <c r="N1896" s="544"/>
      <c r="O1896" s="544"/>
    </row>
    <row r="1897" spans="1:15" s="328" customFormat="1" x14ac:dyDescent="0.2">
      <c r="A1897" s="329" t="s">
        <v>39791</v>
      </c>
      <c r="B1897" s="542" t="s">
        <v>5917</v>
      </c>
      <c r="C1897" s="542"/>
      <c r="D1897" s="542"/>
      <c r="E1897" s="542"/>
      <c r="F1897" s="542"/>
      <c r="G1897" s="542"/>
      <c r="H1897" s="542"/>
      <c r="I1897" s="542"/>
      <c r="J1897" s="542"/>
      <c r="K1897" s="542"/>
      <c r="L1897" s="542"/>
      <c r="M1897" s="542"/>
      <c r="N1897" s="329" t="s">
        <v>39197</v>
      </c>
      <c r="O1897" s="330" t="s">
        <v>39792</v>
      </c>
    </row>
    <row r="1898" spans="1:15" s="328" customFormat="1" ht="12.75" customHeight="1" x14ac:dyDescent="0.2">
      <c r="A1898" s="331" t="str">
        <f>ORCAMENTO!A303</f>
        <v>14.2.1</v>
      </c>
      <c r="B1898" s="543" t="str">
        <f>VLOOKUP(A1898,ORCAMENTO!A:I,4,0)</f>
        <v>CHAPISCO C/ ARGAMASSA DE CIMENTO E AREIA  S/ PENEIRAR TRAÇO 1:3  ESP=5 mm P/ TETO</v>
      </c>
      <c r="C1898" s="543"/>
      <c r="D1898" s="543"/>
      <c r="E1898" s="543"/>
      <c r="F1898" s="543"/>
      <c r="G1898" s="543"/>
      <c r="H1898" s="543"/>
      <c r="I1898" s="543"/>
      <c r="J1898" s="543"/>
      <c r="K1898" s="543"/>
      <c r="L1898" s="543"/>
      <c r="M1898" s="543"/>
      <c r="N1898" s="331" t="str">
        <f>VLOOKUP(A1898,ORCAMENTO!A:I,5,0)</f>
        <v>M2</v>
      </c>
      <c r="O1898" s="332">
        <f>O1924</f>
        <v>110.23000000000003</v>
      </c>
    </row>
    <row r="1899" spans="1:15" s="328" customFormat="1" x14ac:dyDescent="0.2">
      <c r="A1899" s="539" t="s">
        <v>39793</v>
      </c>
      <c r="B1899" s="539"/>
      <c r="C1899" s="539"/>
      <c r="D1899" s="539"/>
      <c r="E1899" s="539"/>
      <c r="F1899" s="539"/>
      <c r="G1899" s="539"/>
      <c r="H1899" s="539"/>
      <c r="I1899" s="539"/>
      <c r="J1899" s="539"/>
      <c r="K1899" s="539"/>
      <c r="L1899" s="539"/>
      <c r="M1899" s="539"/>
      <c r="N1899" s="539"/>
      <c r="O1899" s="539"/>
    </row>
    <row r="1900" spans="1:15" s="328" customFormat="1" x14ac:dyDescent="0.2">
      <c r="A1900" s="539" t="s">
        <v>5917</v>
      </c>
      <c r="B1900" s="539"/>
      <c r="C1900" s="539"/>
      <c r="D1900" s="333"/>
      <c r="E1900" s="333"/>
      <c r="F1900" s="333"/>
      <c r="G1900" s="333"/>
      <c r="H1900" s="333"/>
      <c r="I1900" s="331"/>
      <c r="J1900" s="331"/>
      <c r="K1900" s="333" t="s">
        <v>39804</v>
      </c>
      <c r="L1900" s="333" t="s">
        <v>39805</v>
      </c>
      <c r="M1900" s="333" t="s">
        <v>39802</v>
      </c>
      <c r="N1900" s="333" t="s">
        <v>39794</v>
      </c>
      <c r="O1900" s="333" t="s">
        <v>39795</v>
      </c>
    </row>
    <row r="1901" spans="1:15" s="328" customFormat="1" x14ac:dyDescent="0.2">
      <c r="A1901" s="535" t="s">
        <v>39932</v>
      </c>
      <c r="B1901" s="535"/>
      <c r="C1901" s="535"/>
      <c r="D1901" s="332"/>
      <c r="E1901" s="332"/>
      <c r="F1901" s="332"/>
      <c r="G1901" s="332"/>
      <c r="H1901" s="332"/>
      <c r="I1901" s="332"/>
      <c r="J1901" s="332"/>
      <c r="K1901" s="332">
        <f t="shared" ref="K1901:K1907" si="96">0.85</f>
        <v>0.85</v>
      </c>
      <c r="L1901" s="332" t="s">
        <v>39805</v>
      </c>
      <c r="M1901" s="332">
        <f>4.95</f>
        <v>4.95</v>
      </c>
      <c r="N1901" s="339" t="s">
        <v>39794</v>
      </c>
      <c r="O1901" s="340">
        <f>ROUND(K1901*M1901,2)</f>
        <v>4.21</v>
      </c>
    </row>
    <row r="1902" spans="1:15" s="328" customFormat="1" x14ac:dyDescent="0.2">
      <c r="A1902" s="535" t="s">
        <v>39933</v>
      </c>
      <c r="B1902" s="535"/>
      <c r="C1902" s="535"/>
      <c r="D1902" s="332"/>
      <c r="E1902" s="332"/>
      <c r="F1902" s="332"/>
      <c r="G1902" s="332"/>
      <c r="H1902" s="332"/>
      <c r="I1902" s="332"/>
      <c r="J1902" s="332"/>
      <c r="K1902" s="332">
        <f t="shared" si="96"/>
        <v>0.85</v>
      </c>
      <c r="L1902" s="332" t="s">
        <v>39805</v>
      </c>
      <c r="M1902" s="332">
        <f>5.7</f>
        <v>5.7</v>
      </c>
      <c r="N1902" s="332" t="s">
        <v>39794</v>
      </c>
      <c r="O1902" s="340">
        <f t="shared" ref="O1902:O1923" si="97">ROUND(K1902*M1902,2)</f>
        <v>4.8499999999999996</v>
      </c>
    </row>
    <row r="1903" spans="1:15" s="328" customFormat="1" x14ac:dyDescent="0.2">
      <c r="A1903" s="535" t="s">
        <v>39934</v>
      </c>
      <c r="B1903" s="535"/>
      <c r="C1903" s="535"/>
      <c r="D1903" s="332"/>
      <c r="E1903" s="332"/>
      <c r="F1903" s="332"/>
      <c r="G1903" s="332"/>
      <c r="H1903" s="332"/>
      <c r="I1903" s="332"/>
      <c r="J1903" s="332"/>
      <c r="K1903" s="332">
        <f t="shared" si="96"/>
        <v>0.85</v>
      </c>
      <c r="L1903" s="332" t="s">
        <v>39805</v>
      </c>
      <c r="M1903" s="332">
        <f>5.7</f>
        <v>5.7</v>
      </c>
      <c r="N1903" s="332" t="s">
        <v>39794</v>
      </c>
      <c r="O1903" s="340">
        <f t="shared" si="97"/>
        <v>4.8499999999999996</v>
      </c>
    </row>
    <row r="1904" spans="1:15" s="328" customFormat="1" x14ac:dyDescent="0.2">
      <c r="A1904" s="535" t="s">
        <v>39935</v>
      </c>
      <c r="B1904" s="535"/>
      <c r="C1904" s="535"/>
      <c r="D1904" s="332"/>
      <c r="E1904" s="332"/>
      <c r="F1904" s="332"/>
      <c r="G1904" s="332"/>
      <c r="H1904" s="332"/>
      <c r="I1904" s="332"/>
      <c r="J1904" s="332"/>
      <c r="K1904" s="332">
        <f t="shared" si="96"/>
        <v>0.85</v>
      </c>
      <c r="L1904" s="332" t="s">
        <v>39805</v>
      </c>
      <c r="M1904" s="332">
        <f>5.7</f>
        <v>5.7</v>
      </c>
      <c r="N1904" s="332" t="s">
        <v>39794</v>
      </c>
      <c r="O1904" s="340">
        <f t="shared" si="97"/>
        <v>4.8499999999999996</v>
      </c>
    </row>
    <row r="1905" spans="1:15" s="328" customFormat="1" x14ac:dyDescent="0.2">
      <c r="A1905" s="535" t="s">
        <v>39936</v>
      </c>
      <c r="B1905" s="535"/>
      <c r="C1905" s="535"/>
      <c r="D1905" s="332"/>
      <c r="E1905" s="332"/>
      <c r="F1905" s="332"/>
      <c r="G1905" s="332"/>
      <c r="H1905" s="332"/>
      <c r="I1905" s="332"/>
      <c r="J1905" s="332"/>
      <c r="K1905" s="332">
        <f t="shared" si="96"/>
        <v>0.85</v>
      </c>
      <c r="L1905" s="332" t="s">
        <v>39805</v>
      </c>
      <c r="M1905" s="332">
        <f>5.7</f>
        <v>5.7</v>
      </c>
      <c r="N1905" s="332" t="s">
        <v>39794</v>
      </c>
      <c r="O1905" s="340">
        <f t="shared" si="97"/>
        <v>4.8499999999999996</v>
      </c>
    </row>
    <row r="1906" spans="1:15" s="328" customFormat="1" x14ac:dyDescent="0.2">
      <c r="A1906" s="535" t="s">
        <v>39937</v>
      </c>
      <c r="B1906" s="535"/>
      <c r="C1906" s="535"/>
      <c r="D1906" s="332"/>
      <c r="E1906" s="332"/>
      <c r="F1906" s="332"/>
      <c r="G1906" s="332"/>
      <c r="H1906" s="332"/>
      <c r="I1906" s="332"/>
      <c r="J1906" s="332"/>
      <c r="K1906" s="332">
        <f t="shared" si="96"/>
        <v>0.85</v>
      </c>
      <c r="L1906" s="332" t="s">
        <v>39805</v>
      </c>
      <c r="M1906" s="332">
        <f>5.7</f>
        <v>5.7</v>
      </c>
      <c r="N1906" s="332" t="s">
        <v>39794</v>
      </c>
      <c r="O1906" s="340">
        <f t="shared" si="97"/>
        <v>4.8499999999999996</v>
      </c>
    </row>
    <row r="1907" spans="1:15" s="328" customFormat="1" x14ac:dyDescent="0.2">
      <c r="A1907" s="535" t="s">
        <v>39938</v>
      </c>
      <c r="B1907" s="535"/>
      <c r="C1907" s="535"/>
      <c r="D1907" s="332"/>
      <c r="E1907" s="332"/>
      <c r="F1907" s="332"/>
      <c r="G1907" s="332"/>
      <c r="H1907" s="332"/>
      <c r="I1907" s="332"/>
      <c r="J1907" s="332"/>
      <c r="K1907" s="332">
        <f t="shared" si="96"/>
        <v>0.85</v>
      </c>
      <c r="L1907" s="332" t="s">
        <v>39805</v>
      </c>
      <c r="M1907" s="332">
        <f>9.2</f>
        <v>9.1999999999999993</v>
      </c>
      <c r="N1907" s="332" t="s">
        <v>39794</v>
      </c>
      <c r="O1907" s="340">
        <f t="shared" si="97"/>
        <v>7.82</v>
      </c>
    </row>
    <row r="1908" spans="1:15" s="328" customFormat="1" x14ac:dyDescent="0.2">
      <c r="A1908" s="535" t="s">
        <v>39939</v>
      </c>
      <c r="B1908" s="535"/>
      <c r="C1908" s="535"/>
      <c r="D1908" s="332"/>
      <c r="E1908" s="332"/>
      <c r="F1908" s="332"/>
      <c r="G1908" s="332"/>
      <c r="H1908" s="332"/>
      <c r="I1908" s="332"/>
      <c r="J1908" s="332"/>
      <c r="K1908" s="332">
        <f>1</f>
        <v>1</v>
      </c>
      <c r="L1908" s="332" t="s">
        <v>39805</v>
      </c>
      <c r="M1908" s="332">
        <f>5</f>
        <v>5</v>
      </c>
      <c r="N1908" s="332" t="s">
        <v>39794</v>
      </c>
      <c r="O1908" s="340">
        <f t="shared" si="97"/>
        <v>5</v>
      </c>
    </row>
    <row r="1909" spans="1:15" s="328" customFormat="1" x14ac:dyDescent="0.2">
      <c r="A1909" s="535" t="s">
        <v>39940</v>
      </c>
      <c r="B1909" s="535"/>
      <c r="C1909" s="535"/>
      <c r="D1909" s="332"/>
      <c r="E1909" s="332"/>
      <c r="F1909" s="332"/>
      <c r="G1909" s="332"/>
      <c r="H1909" s="332"/>
      <c r="I1909" s="332"/>
      <c r="J1909" s="332"/>
      <c r="K1909" s="332">
        <f>1</f>
        <v>1</v>
      </c>
      <c r="L1909" s="332" t="s">
        <v>39805</v>
      </c>
      <c r="M1909" s="332">
        <f>5.7</f>
        <v>5.7</v>
      </c>
      <c r="N1909" s="332" t="s">
        <v>39794</v>
      </c>
      <c r="O1909" s="340">
        <f t="shared" si="97"/>
        <v>5.7</v>
      </c>
    </row>
    <row r="1910" spans="1:15" s="328" customFormat="1" x14ac:dyDescent="0.2">
      <c r="A1910" s="535" t="s">
        <v>39941</v>
      </c>
      <c r="B1910" s="535"/>
      <c r="C1910" s="535"/>
      <c r="D1910" s="332"/>
      <c r="E1910" s="332"/>
      <c r="F1910" s="332"/>
      <c r="G1910" s="332"/>
      <c r="H1910" s="332"/>
      <c r="I1910" s="332"/>
      <c r="J1910" s="332"/>
      <c r="K1910" s="332">
        <f>1</f>
        <v>1</v>
      </c>
      <c r="L1910" s="332" t="s">
        <v>39805</v>
      </c>
      <c r="M1910" s="332">
        <f>4.95</f>
        <v>4.95</v>
      </c>
      <c r="N1910" s="332" t="s">
        <v>39794</v>
      </c>
      <c r="O1910" s="340">
        <f t="shared" si="97"/>
        <v>4.95</v>
      </c>
    </row>
    <row r="1911" spans="1:15" s="328" customFormat="1" x14ac:dyDescent="0.2">
      <c r="A1911" s="535" t="s">
        <v>39942</v>
      </c>
      <c r="B1911" s="535"/>
      <c r="C1911" s="535"/>
      <c r="D1911" s="332"/>
      <c r="E1911" s="332"/>
      <c r="F1911" s="332"/>
      <c r="G1911" s="332"/>
      <c r="H1911" s="332"/>
      <c r="I1911" s="332"/>
      <c r="J1911" s="332"/>
      <c r="K1911" s="332">
        <v>1</v>
      </c>
      <c r="L1911" s="332" t="s">
        <v>39805</v>
      </c>
      <c r="M1911" s="332">
        <f>4.95</f>
        <v>4.95</v>
      </c>
      <c r="N1911" s="332" t="s">
        <v>39794</v>
      </c>
      <c r="O1911" s="340">
        <f t="shared" si="97"/>
        <v>4.95</v>
      </c>
    </row>
    <row r="1912" spans="1:15" s="328" customFormat="1" x14ac:dyDescent="0.2">
      <c r="A1912" s="535" t="s">
        <v>39943</v>
      </c>
      <c r="B1912" s="535"/>
      <c r="C1912" s="535"/>
      <c r="D1912" s="332"/>
      <c r="E1912" s="332"/>
      <c r="F1912" s="332"/>
      <c r="G1912" s="332"/>
      <c r="H1912" s="332"/>
      <c r="I1912" s="332"/>
      <c r="J1912" s="332"/>
      <c r="K1912" s="332">
        <v>1</v>
      </c>
      <c r="L1912" s="332" t="s">
        <v>39805</v>
      </c>
      <c r="M1912" s="332">
        <f>5.7</f>
        <v>5.7</v>
      </c>
      <c r="N1912" s="332" t="s">
        <v>39794</v>
      </c>
      <c r="O1912" s="340">
        <f t="shared" si="97"/>
        <v>5.7</v>
      </c>
    </row>
    <row r="1913" spans="1:15" s="328" customFormat="1" x14ac:dyDescent="0.2">
      <c r="A1913" s="535" t="s">
        <v>39944</v>
      </c>
      <c r="B1913" s="535"/>
      <c r="C1913" s="535"/>
      <c r="D1913" s="332"/>
      <c r="E1913" s="332"/>
      <c r="F1913" s="332"/>
      <c r="G1913" s="332"/>
      <c r="H1913" s="332"/>
      <c r="I1913" s="332"/>
      <c r="J1913" s="332"/>
      <c r="K1913" s="332">
        <v>1</v>
      </c>
      <c r="L1913" s="332" t="s">
        <v>39805</v>
      </c>
      <c r="M1913" s="332">
        <f>5.7</f>
        <v>5.7</v>
      </c>
      <c r="N1913" s="332" t="s">
        <v>39794</v>
      </c>
      <c r="O1913" s="340">
        <f t="shared" si="97"/>
        <v>5.7</v>
      </c>
    </row>
    <row r="1914" spans="1:15" s="328" customFormat="1" x14ac:dyDescent="0.2">
      <c r="A1914" s="535" t="s">
        <v>39945</v>
      </c>
      <c r="B1914" s="535"/>
      <c r="C1914" s="535"/>
      <c r="D1914" s="332"/>
      <c r="E1914" s="332"/>
      <c r="F1914" s="332"/>
      <c r="G1914" s="332"/>
      <c r="H1914" s="332"/>
      <c r="I1914" s="332"/>
      <c r="J1914" s="332"/>
      <c r="K1914" s="332">
        <v>1</v>
      </c>
      <c r="L1914" s="332" t="s">
        <v>39805</v>
      </c>
      <c r="M1914" s="332">
        <f>1.25</f>
        <v>1.25</v>
      </c>
      <c r="N1914" s="332" t="s">
        <v>39794</v>
      </c>
      <c r="O1914" s="340">
        <f t="shared" si="97"/>
        <v>1.25</v>
      </c>
    </row>
    <row r="1915" spans="1:15" s="328" customFormat="1" x14ac:dyDescent="0.2">
      <c r="A1915" s="535" t="s">
        <v>39946</v>
      </c>
      <c r="B1915" s="535"/>
      <c r="C1915" s="535"/>
      <c r="D1915" s="332"/>
      <c r="E1915" s="332"/>
      <c r="F1915" s="332"/>
      <c r="G1915" s="332"/>
      <c r="H1915" s="332"/>
      <c r="I1915" s="332"/>
      <c r="J1915" s="332"/>
      <c r="K1915" s="332">
        <v>1</v>
      </c>
      <c r="L1915" s="332" t="s">
        <v>39805</v>
      </c>
      <c r="M1915" s="332">
        <f>4.45</f>
        <v>4.45</v>
      </c>
      <c r="N1915" s="332" t="s">
        <v>39794</v>
      </c>
      <c r="O1915" s="340">
        <f t="shared" si="97"/>
        <v>4.45</v>
      </c>
    </row>
    <row r="1916" spans="1:15" s="328" customFormat="1" x14ac:dyDescent="0.2">
      <c r="A1916" s="535" t="s">
        <v>39947</v>
      </c>
      <c r="B1916" s="535"/>
      <c r="C1916" s="535"/>
      <c r="D1916" s="332"/>
      <c r="E1916" s="332"/>
      <c r="F1916" s="332"/>
      <c r="G1916" s="332"/>
      <c r="H1916" s="332"/>
      <c r="I1916" s="332"/>
      <c r="J1916" s="332"/>
      <c r="K1916" s="332">
        <v>1</v>
      </c>
      <c r="L1916" s="332" t="s">
        <v>39805</v>
      </c>
      <c r="M1916" s="332">
        <f>5.7</f>
        <v>5.7</v>
      </c>
      <c r="N1916" s="332" t="s">
        <v>39794</v>
      </c>
      <c r="O1916" s="340">
        <f t="shared" si="97"/>
        <v>5.7</v>
      </c>
    </row>
    <row r="1917" spans="1:15" s="328" customFormat="1" x14ac:dyDescent="0.2">
      <c r="A1917" s="535" t="s">
        <v>39948</v>
      </c>
      <c r="B1917" s="535"/>
      <c r="C1917" s="535"/>
      <c r="D1917" s="332"/>
      <c r="E1917" s="332"/>
      <c r="F1917" s="332"/>
      <c r="G1917" s="332"/>
      <c r="H1917" s="332"/>
      <c r="I1917" s="332"/>
      <c r="J1917" s="332"/>
      <c r="K1917" s="332">
        <v>1</v>
      </c>
      <c r="L1917" s="332" t="s">
        <v>39805</v>
      </c>
      <c r="M1917" s="332">
        <f>5.7</f>
        <v>5.7</v>
      </c>
      <c r="N1917" s="332" t="s">
        <v>39794</v>
      </c>
      <c r="O1917" s="340">
        <f t="shared" si="97"/>
        <v>5.7</v>
      </c>
    </row>
    <row r="1918" spans="1:15" s="328" customFormat="1" x14ac:dyDescent="0.2">
      <c r="A1918" s="535" t="s">
        <v>39949</v>
      </c>
      <c r="B1918" s="535"/>
      <c r="C1918" s="535"/>
      <c r="D1918" s="332"/>
      <c r="E1918" s="332"/>
      <c r="F1918" s="332"/>
      <c r="G1918" s="332"/>
      <c r="H1918" s="332"/>
      <c r="I1918" s="332"/>
      <c r="J1918" s="332"/>
      <c r="K1918" s="332">
        <v>1</v>
      </c>
      <c r="L1918" s="332" t="s">
        <v>39805</v>
      </c>
      <c r="M1918" s="332">
        <f>5.8</f>
        <v>5.8</v>
      </c>
      <c r="N1918" s="332" t="s">
        <v>39794</v>
      </c>
      <c r="O1918" s="340">
        <f t="shared" si="97"/>
        <v>5.8</v>
      </c>
    </row>
    <row r="1919" spans="1:15" s="328" customFormat="1" x14ac:dyDescent="0.2">
      <c r="A1919" s="535" t="s">
        <v>39950</v>
      </c>
      <c r="B1919" s="535"/>
      <c r="C1919" s="535"/>
      <c r="D1919" s="332"/>
      <c r="E1919" s="332"/>
      <c r="F1919" s="332"/>
      <c r="G1919" s="332"/>
      <c r="H1919" s="332"/>
      <c r="I1919" s="332"/>
      <c r="J1919" s="332"/>
      <c r="K1919" s="332">
        <v>1</v>
      </c>
      <c r="L1919" s="332" t="s">
        <v>39805</v>
      </c>
      <c r="M1919" s="332">
        <f>0.2</f>
        <v>0.2</v>
      </c>
      <c r="N1919" s="332" t="s">
        <v>39794</v>
      </c>
      <c r="O1919" s="340">
        <f t="shared" si="97"/>
        <v>0.2</v>
      </c>
    </row>
    <row r="1920" spans="1:15" s="328" customFormat="1" x14ac:dyDescent="0.2">
      <c r="A1920" s="535" t="s">
        <v>39951</v>
      </c>
      <c r="B1920" s="535"/>
      <c r="C1920" s="535"/>
      <c r="D1920" s="332"/>
      <c r="E1920" s="332"/>
      <c r="F1920" s="332"/>
      <c r="G1920" s="332"/>
      <c r="H1920" s="332"/>
      <c r="I1920" s="332"/>
      <c r="J1920" s="332"/>
      <c r="K1920" s="332">
        <v>1</v>
      </c>
      <c r="L1920" s="332" t="s">
        <v>39805</v>
      </c>
      <c r="M1920" s="332">
        <f>3.2</f>
        <v>3.2</v>
      </c>
      <c r="N1920" s="332" t="s">
        <v>39794</v>
      </c>
      <c r="O1920" s="340">
        <f t="shared" si="97"/>
        <v>3.2</v>
      </c>
    </row>
    <row r="1921" spans="1:15" s="328" customFormat="1" x14ac:dyDescent="0.2">
      <c r="A1921" s="535" t="s">
        <v>39952</v>
      </c>
      <c r="B1921" s="535"/>
      <c r="C1921" s="535"/>
      <c r="D1921" s="332"/>
      <c r="E1921" s="332"/>
      <c r="F1921" s="332"/>
      <c r="G1921" s="332"/>
      <c r="H1921" s="332"/>
      <c r="I1921" s="332"/>
      <c r="J1921" s="332"/>
      <c r="K1921" s="332">
        <v>1</v>
      </c>
      <c r="L1921" s="332" t="s">
        <v>39805</v>
      </c>
      <c r="M1921" s="332">
        <f>5</f>
        <v>5</v>
      </c>
      <c r="N1921" s="332" t="s">
        <v>39794</v>
      </c>
      <c r="O1921" s="340">
        <f t="shared" si="97"/>
        <v>5</v>
      </c>
    </row>
    <row r="1922" spans="1:15" s="328" customFormat="1" x14ac:dyDescent="0.2">
      <c r="A1922" s="535" t="s">
        <v>39953</v>
      </c>
      <c r="B1922" s="535"/>
      <c r="C1922" s="535"/>
      <c r="D1922" s="332"/>
      <c r="E1922" s="332"/>
      <c r="F1922" s="332"/>
      <c r="G1922" s="332"/>
      <c r="H1922" s="332"/>
      <c r="I1922" s="332"/>
      <c r="J1922" s="332"/>
      <c r="K1922" s="332">
        <v>1</v>
      </c>
      <c r="L1922" s="332" t="s">
        <v>39805</v>
      </c>
      <c r="M1922" s="332">
        <f>5.7</f>
        <v>5.7</v>
      </c>
      <c r="N1922" s="332" t="s">
        <v>39794</v>
      </c>
      <c r="O1922" s="340">
        <f t="shared" si="97"/>
        <v>5.7</v>
      </c>
    </row>
    <row r="1923" spans="1:15" s="328" customFormat="1" x14ac:dyDescent="0.2">
      <c r="A1923" s="535" t="s">
        <v>39954</v>
      </c>
      <c r="B1923" s="535"/>
      <c r="C1923" s="535"/>
      <c r="D1923" s="332"/>
      <c r="E1923" s="332"/>
      <c r="F1923" s="332"/>
      <c r="G1923" s="332"/>
      <c r="H1923" s="332"/>
      <c r="I1923" s="332"/>
      <c r="J1923" s="332"/>
      <c r="K1923" s="332">
        <v>1</v>
      </c>
      <c r="L1923" s="332" t="s">
        <v>39805</v>
      </c>
      <c r="M1923" s="332">
        <f>4.95</f>
        <v>4.95</v>
      </c>
      <c r="N1923" s="332" t="s">
        <v>39794</v>
      </c>
      <c r="O1923" s="340">
        <f t="shared" si="97"/>
        <v>4.95</v>
      </c>
    </row>
    <row r="1924" spans="1:15" s="328" customFormat="1" x14ac:dyDescent="0.2">
      <c r="A1924" s="540"/>
      <c r="B1924" s="540"/>
      <c r="C1924" s="540"/>
      <c r="D1924" s="540"/>
      <c r="E1924" s="540"/>
      <c r="F1924" s="540"/>
      <c r="G1924" s="540"/>
      <c r="H1924" s="540"/>
      <c r="I1924" s="540"/>
      <c r="J1924" s="540"/>
      <c r="K1924" s="540"/>
      <c r="L1924" s="334" t="s">
        <v>39796</v>
      </c>
      <c r="M1924" s="334" t="s">
        <v>39168</v>
      </c>
      <c r="N1924" s="333" t="s">
        <v>39794</v>
      </c>
      <c r="O1924" s="334">
        <f>SUM(O1900:O1923)</f>
        <v>110.23000000000003</v>
      </c>
    </row>
    <row r="1925" spans="1:15" s="328" customFormat="1" x14ac:dyDescent="0.2">
      <c r="A1925" s="329" t="s">
        <v>39791</v>
      </c>
      <c r="B1925" s="542" t="s">
        <v>5917</v>
      </c>
      <c r="C1925" s="542"/>
      <c r="D1925" s="542"/>
      <c r="E1925" s="542"/>
      <c r="F1925" s="542"/>
      <c r="G1925" s="542"/>
      <c r="H1925" s="542"/>
      <c r="I1925" s="542"/>
      <c r="J1925" s="542"/>
      <c r="K1925" s="542"/>
      <c r="L1925" s="542"/>
      <c r="M1925" s="542"/>
      <c r="N1925" s="329" t="s">
        <v>39197</v>
      </c>
      <c r="O1925" s="330" t="s">
        <v>39792</v>
      </c>
    </row>
    <row r="1926" spans="1:15" s="328" customFormat="1" ht="12.75" customHeight="1" x14ac:dyDescent="0.2">
      <c r="A1926" s="331" t="str">
        <f>ORCAMENTO!A304</f>
        <v>14.2.2</v>
      </c>
      <c r="B1926" s="543" t="str">
        <f>VLOOKUP(A1926,ORCAMENTO!A:I,4,0)</f>
        <v>REBOCO C/ ARGAMASSA DE CAL EM PASTA E AREIA PENEIRADA TRAÇO 1:2  ESP=5 mm P/ TETO</v>
      </c>
      <c r="C1926" s="543"/>
      <c r="D1926" s="543"/>
      <c r="E1926" s="543"/>
      <c r="F1926" s="543"/>
      <c r="G1926" s="543"/>
      <c r="H1926" s="543"/>
      <c r="I1926" s="543"/>
      <c r="J1926" s="543"/>
      <c r="K1926" s="543"/>
      <c r="L1926" s="543"/>
      <c r="M1926" s="543"/>
      <c r="N1926" s="331" t="str">
        <f>VLOOKUP(A1926,ORCAMENTO!A:I,5,0)</f>
        <v>M2</v>
      </c>
      <c r="O1926" s="332">
        <f>O1952</f>
        <v>110.23000000000003</v>
      </c>
    </row>
    <row r="1927" spans="1:15" s="328" customFormat="1" x14ac:dyDescent="0.2">
      <c r="A1927" s="539" t="s">
        <v>39793</v>
      </c>
      <c r="B1927" s="539"/>
      <c r="C1927" s="539"/>
      <c r="D1927" s="539"/>
      <c r="E1927" s="539"/>
      <c r="F1927" s="539"/>
      <c r="G1927" s="539"/>
      <c r="H1927" s="539"/>
      <c r="I1927" s="539"/>
      <c r="J1927" s="539"/>
      <c r="K1927" s="539"/>
      <c r="L1927" s="539"/>
      <c r="M1927" s="539"/>
      <c r="N1927" s="539"/>
      <c r="O1927" s="539"/>
    </row>
    <row r="1928" spans="1:15" s="328" customFormat="1" x14ac:dyDescent="0.2">
      <c r="A1928" s="539" t="s">
        <v>5917</v>
      </c>
      <c r="B1928" s="539"/>
      <c r="C1928" s="539"/>
      <c r="D1928" s="333"/>
      <c r="E1928" s="333"/>
      <c r="F1928" s="333"/>
      <c r="G1928" s="333"/>
      <c r="H1928" s="333"/>
      <c r="I1928" s="331"/>
      <c r="J1928" s="331"/>
      <c r="K1928" s="333" t="s">
        <v>39804</v>
      </c>
      <c r="L1928" s="333" t="s">
        <v>39805</v>
      </c>
      <c r="M1928" s="333" t="s">
        <v>39802</v>
      </c>
      <c r="N1928" s="333" t="s">
        <v>39794</v>
      </c>
      <c r="O1928" s="333" t="s">
        <v>39795</v>
      </c>
    </row>
    <row r="1929" spans="1:15" s="328" customFormat="1" x14ac:dyDescent="0.2">
      <c r="A1929" s="535" t="s">
        <v>39932</v>
      </c>
      <c r="B1929" s="535"/>
      <c r="C1929" s="535"/>
      <c r="D1929" s="332"/>
      <c r="E1929" s="332"/>
      <c r="F1929" s="332"/>
      <c r="G1929" s="332"/>
      <c r="H1929" s="332"/>
      <c r="I1929" s="332"/>
      <c r="J1929" s="332"/>
      <c r="K1929" s="332">
        <f t="shared" ref="K1929:K1935" si="98">0.85</f>
        <v>0.85</v>
      </c>
      <c r="L1929" s="332" t="s">
        <v>39805</v>
      </c>
      <c r="M1929" s="332">
        <f>4.95</f>
        <v>4.95</v>
      </c>
      <c r="N1929" s="339" t="s">
        <v>39794</v>
      </c>
      <c r="O1929" s="340">
        <f>ROUND(K1929*M1929,2)</f>
        <v>4.21</v>
      </c>
    </row>
    <row r="1930" spans="1:15" s="328" customFormat="1" x14ac:dyDescent="0.2">
      <c r="A1930" s="535" t="s">
        <v>39933</v>
      </c>
      <c r="B1930" s="535"/>
      <c r="C1930" s="535"/>
      <c r="D1930" s="332"/>
      <c r="E1930" s="332"/>
      <c r="F1930" s="332"/>
      <c r="G1930" s="332"/>
      <c r="H1930" s="332"/>
      <c r="I1930" s="332"/>
      <c r="J1930" s="332"/>
      <c r="K1930" s="332">
        <f t="shared" si="98"/>
        <v>0.85</v>
      </c>
      <c r="L1930" s="332" t="s">
        <v>39805</v>
      </c>
      <c r="M1930" s="332">
        <f>5.7</f>
        <v>5.7</v>
      </c>
      <c r="N1930" s="332" t="s">
        <v>39794</v>
      </c>
      <c r="O1930" s="340">
        <f t="shared" ref="O1930:O1951" si="99">ROUND(K1930*M1930,2)</f>
        <v>4.8499999999999996</v>
      </c>
    </row>
    <row r="1931" spans="1:15" s="328" customFormat="1" x14ac:dyDescent="0.2">
      <c r="A1931" s="535" t="s">
        <v>39934</v>
      </c>
      <c r="B1931" s="535"/>
      <c r="C1931" s="535"/>
      <c r="D1931" s="332"/>
      <c r="E1931" s="332"/>
      <c r="F1931" s="332"/>
      <c r="G1931" s="332"/>
      <c r="H1931" s="332"/>
      <c r="I1931" s="332"/>
      <c r="J1931" s="332"/>
      <c r="K1931" s="332">
        <f t="shared" si="98"/>
        <v>0.85</v>
      </c>
      <c r="L1931" s="332" t="s">
        <v>39805</v>
      </c>
      <c r="M1931" s="332">
        <f>5.7</f>
        <v>5.7</v>
      </c>
      <c r="N1931" s="332" t="s">
        <v>39794</v>
      </c>
      <c r="O1931" s="340">
        <f t="shared" si="99"/>
        <v>4.8499999999999996</v>
      </c>
    </row>
    <row r="1932" spans="1:15" s="328" customFormat="1" x14ac:dyDescent="0.2">
      <c r="A1932" s="535" t="s">
        <v>39935</v>
      </c>
      <c r="B1932" s="535"/>
      <c r="C1932" s="535"/>
      <c r="D1932" s="332"/>
      <c r="E1932" s="332"/>
      <c r="F1932" s="332"/>
      <c r="G1932" s="332"/>
      <c r="H1932" s="332"/>
      <c r="I1932" s="332"/>
      <c r="J1932" s="332"/>
      <c r="K1932" s="332">
        <f t="shared" si="98"/>
        <v>0.85</v>
      </c>
      <c r="L1932" s="332" t="s">
        <v>39805</v>
      </c>
      <c r="M1932" s="332">
        <f>5.7</f>
        <v>5.7</v>
      </c>
      <c r="N1932" s="332" t="s">
        <v>39794</v>
      </c>
      <c r="O1932" s="340">
        <f t="shared" si="99"/>
        <v>4.8499999999999996</v>
      </c>
    </row>
    <row r="1933" spans="1:15" s="328" customFormat="1" x14ac:dyDescent="0.2">
      <c r="A1933" s="535" t="s">
        <v>39936</v>
      </c>
      <c r="B1933" s="535"/>
      <c r="C1933" s="535"/>
      <c r="D1933" s="332"/>
      <c r="E1933" s="332"/>
      <c r="F1933" s="332"/>
      <c r="G1933" s="332"/>
      <c r="H1933" s="332"/>
      <c r="I1933" s="332"/>
      <c r="J1933" s="332"/>
      <c r="K1933" s="332">
        <f t="shared" si="98"/>
        <v>0.85</v>
      </c>
      <c r="L1933" s="332" t="s">
        <v>39805</v>
      </c>
      <c r="M1933" s="332">
        <f>5.7</f>
        <v>5.7</v>
      </c>
      <c r="N1933" s="332" t="s">
        <v>39794</v>
      </c>
      <c r="O1933" s="340">
        <f t="shared" si="99"/>
        <v>4.8499999999999996</v>
      </c>
    </row>
    <row r="1934" spans="1:15" s="328" customFormat="1" x14ac:dyDescent="0.2">
      <c r="A1934" s="535" t="s">
        <v>39937</v>
      </c>
      <c r="B1934" s="535"/>
      <c r="C1934" s="535"/>
      <c r="D1934" s="332"/>
      <c r="E1934" s="332"/>
      <c r="F1934" s="332"/>
      <c r="G1934" s="332"/>
      <c r="H1934" s="332"/>
      <c r="I1934" s="332"/>
      <c r="J1934" s="332"/>
      <c r="K1934" s="332">
        <f t="shared" si="98"/>
        <v>0.85</v>
      </c>
      <c r="L1934" s="332" t="s">
        <v>39805</v>
      </c>
      <c r="M1934" s="332">
        <f>5.7</f>
        <v>5.7</v>
      </c>
      <c r="N1934" s="332" t="s">
        <v>39794</v>
      </c>
      <c r="O1934" s="340">
        <f t="shared" si="99"/>
        <v>4.8499999999999996</v>
      </c>
    </row>
    <row r="1935" spans="1:15" s="328" customFormat="1" x14ac:dyDescent="0.2">
      <c r="A1935" s="535" t="s">
        <v>39938</v>
      </c>
      <c r="B1935" s="535"/>
      <c r="C1935" s="535"/>
      <c r="D1935" s="332"/>
      <c r="E1935" s="332"/>
      <c r="F1935" s="332"/>
      <c r="G1935" s="332"/>
      <c r="H1935" s="332"/>
      <c r="I1935" s="332"/>
      <c r="J1935" s="332"/>
      <c r="K1935" s="332">
        <f t="shared" si="98"/>
        <v>0.85</v>
      </c>
      <c r="L1935" s="332" t="s">
        <v>39805</v>
      </c>
      <c r="M1935" s="332">
        <f>9.2</f>
        <v>9.1999999999999993</v>
      </c>
      <c r="N1935" s="332" t="s">
        <v>39794</v>
      </c>
      <c r="O1935" s="340">
        <f t="shared" si="99"/>
        <v>7.82</v>
      </c>
    </row>
    <row r="1936" spans="1:15" s="328" customFormat="1" x14ac:dyDescent="0.2">
      <c r="A1936" s="535" t="s">
        <v>39939</v>
      </c>
      <c r="B1936" s="535"/>
      <c r="C1936" s="535"/>
      <c r="D1936" s="332"/>
      <c r="E1936" s="332"/>
      <c r="F1936" s="332"/>
      <c r="G1936" s="332"/>
      <c r="H1936" s="332"/>
      <c r="I1936" s="332"/>
      <c r="J1936" s="332"/>
      <c r="K1936" s="332">
        <f>1</f>
        <v>1</v>
      </c>
      <c r="L1936" s="332" t="s">
        <v>39805</v>
      </c>
      <c r="M1936" s="332">
        <f>5</f>
        <v>5</v>
      </c>
      <c r="N1936" s="332" t="s">
        <v>39794</v>
      </c>
      <c r="O1936" s="340">
        <f t="shared" si="99"/>
        <v>5</v>
      </c>
    </row>
    <row r="1937" spans="1:15" s="328" customFormat="1" x14ac:dyDescent="0.2">
      <c r="A1937" s="535" t="s">
        <v>39940</v>
      </c>
      <c r="B1937" s="535"/>
      <c r="C1937" s="535"/>
      <c r="D1937" s="332"/>
      <c r="E1937" s="332"/>
      <c r="F1937" s="332"/>
      <c r="G1937" s="332"/>
      <c r="H1937" s="332"/>
      <c r="I1937" s="332"/>
      <c r="J1937" s="332"/>
      <c r="K1937" s="332">
        <f>1</f>
        <v>1</v>
      </c>
      <c r="L1937" s="332" t="s">
        <v>39805</v>
      </c>
      <c r="M1937" s="332">
        <f>5.7</f>
        <v>5.7</v>
      </c>
      <c r="N1937" s="332" t="s">
        <v>39794</v>
      </c>
      <c r="O1937" s="340">
        <f t="shared" si="99"/>
        <v>5.7</v>
      </c>
    </row>
    <row r="1938" spans="1:15" s="328" customFormat="1" x14ac:dyDescent="0.2">
      <c r="A1938" s="535" t="s">
        <v>39941</v>
      </c>
      <c r="B1938" s="535"/>
      <c r="C1938" s="535"/>
      <c r="D1938" s="332"/>
      <c r="E1938" s="332"/>
      <c r="F1938" s="332"/>
      <c r="G1938" s="332"/>
      <c r="H1938" s="332"/>
      <c r="I1938" s="332"/>
      <c r="J1938" s="332"/>
      <c r="K1938" s="332">
        <f>1</f>
        <v>1</v>
      </c>
      <c r="L1938" s="332" t="s">
        <v>39805</v>
      </c>
      <c r="M1938" s="332">
        <f>4.95</f>
        <v>4.95</v>
      </c>
      <c r="N1938" s="332" t="s">
        <v>39794</v>
      </c>
      <c r="O1938" s="340">
        <f t="shared" si="99"/>
        <v>4.95</v>
      </c>
    </row>
    <row r="1939" spans="1:15" s="328" customFormat="1" x14ac:dyDescent="0.2">
      <c r="A1939" s="535" t="s">
        <v>39942</v>
      </c>
      <c r="B1939" s="535"/>
      <c r="C1939" s="535"/>
      <c r="D1939" s="332"/>
      <c r="E1939" s="332"/>
      <c r="F1939" s="332"/>
      <c r="G1939" s="332"/>
      <c r="H1939" s="332"/>
      <c r="I1939" s="332"/>
      <c r="J1939" s="332"/>
      <c r="K1939" s="332">
        <v>1</v>
      </c>
      <c r="L1939" s="332" t="s">
        <v>39805</v>
      </c>
      <c r="M1939" s="332">
        <f>4.95</f>
        <v>4.95</v>
      </c>
      <c r="N1939" s="332" t="s">
        <v>39794</v>
      </c>
      <c r="O1939" s="340">
        <f t="shared" si="99"/>
        <v>4.95</v>
      </c>
    </row>
    <row r="1940" spans="1:15" s="328" customFormat="1" x14ac:dyDescent="0.2">
      <c r="A1940" s="535" t="s">
        <v>39943</v>
      </c>
      <c r="B1940" s="535"/>
      <c r="C1940" s="535"/>
      <c r="D1940" s="332"/>
      <c r="E1940" s="332"/>
      <c r="F1940" s="332"/>
      <c r="G1940" s="332"/>
      <c r="H1940" s="332"/>
      <c r="I1940" s="332"/>
      <c r="J1940" s="332"/>
      <c r="K1940" s="332">
        <v>1</v>
      </c>
      <c r="L1940" s="332" t="s">
        <v>39805</v>
      </c>
      <c r="M1940" s="332">
        <f>5.7</f>
        <v>5.7</v>
      </c>
      <c r="N1940" s="332" t="s">
        <v>39794</v>
      </c>
      <c r="O1940" s="340">
        <f t="shared" si="99"/>
        <v>5.7</v>
      </c>
    </row>
    <row r="1941" spans="1:15" s="328" customFormat="1" x14ac:dyDescent="0.2">
      <c r="A1941" s="535" t="s">
        <v>39944</v>
      </c>
      <c r="B1941" s="535"/>
      <c r="C1941" s="535"/>
      <c r="D1941" s="332"/>
      <c r="E1941" s="332"/>
      <c r="F1941" s="332"/>
      <c r="G1941" s="332"/>
      <c r="H1941" s="332"/>
      <c r="I1941" s="332"/>
      <c r="J1941" s="332"/>
      <c r="K1941" s="332">
        <v>1</v>
      </c>
      <c r="L1941" s="332" t="s">
        <v>39805</v>
      </c>
      <c r="M1941" s="332">
        <f>5.7</f>
        <v>5.7</v>
      </c>
      <c r="N1941" s="332" t="s">
        <v>39794</v>
      </c>
      <c r="O1941" s="340">
        <f t="shared" si="99"/>
        <v>5.7</v>
      </c>
    </row>
    <row r="1942" spans="1:15" s="328" customFormat="1" x14ac:dyDescent="0.2">
      <c r="A1942" s="535" t="s">
        <v>39945</v>
      </c>
      <c r="B1942" s="535"/>
      <c r="C1942" s="535"/>
      <c r="D1942" s="332"/>
      <c r="E1942" s="332"/>
      <c r="F1942" s="332"/>
      <c r="G1942" s="332"/>
      <c r="H1942" s="332"/>
      <c r="I1942" s="332"/>
      <c r="J1942" s="332"/>
      <c r="K1942" s="332">
        <v>1</v>
      </c>
      <c r="L1942" s="332" t="s">
        <v>39805</v>
      </c>
      <c r="M1942" s="332">
        <f>1.25</f>
        <v>1.25</v>
      </c>
      <c r="N1942" s="332" t="s">
        <v>39794</v>
      </c>
      <c r="O1942" s="340">
        <f t="shared" si="99"/>
        <v>1.25</v>
      </c>
    </row>
    <row r="1943" spans="1:15" s="328" customFormat="1" x14ac:dyDescent="0.2">
      <c r="A1943" s="535" t="s">
        <v>39946</v>
      </c>
      <c r="B1943" s="535"/>
      <c r="C1943" s="535"/>
      <c r="D1943" s="332"/>
      <c r="E1943" s="332"/>
      <c r="F1943" s="332"/>
      <c r="G1943" s="332"/>
      <c r="H1943" s="332"/>
      <c r="I1943" s="332"/>
      <c r="J1943" s="332"/>
      <c r="K1943" s="332">
        <v>1</v>
      </c>
      <c r="L1943" s="332" t="s">
        <v>39805</v>
      </c>
      <c r="M1943" s="332">
        <f>4.45</f>
        <v>4.45</v>
      </c>
      <c r="N1943" s="332" t="s">
        <v>39794</v>
      </c>
      <c r="O1943" s="340">
        <f t="shared" si="99"/>
        <v>4.45</v>
      </c>
    </row>
    <row r="1944" spans="1:15" s="328" customFormat="1" x14ac:dyDescent="0.2">
      <c r="A1944" s="535" t="s">
        <v>39947</v>
      </c>
      <c r="B1944" s="535"/>
      <c r="C1944" s="535"/>
      <c r="D1944" s="332"/>
      <c r="E1944" s="332"/>
      <c r="F1944" s="332"/>
      <c r="G1944" s="332"/>
      <c r="H1944" s="332"/>
      <c r="I1944" s="332"/>
      <c r="J1944" s="332"/>
      <c r="K1944" s="332">
        <v>1</v>
      </c>
      <c r="L1944" s="332" t="s">
        <v>39805</v>
      </c>
      <c r="M1944" s="332">
        <f>5.7</f>
        <v>5.7</v>
      </c>
      <c r="N1944" s="332" t="s">
        <v>39794</v>
      </c>
      <c r="O1944" s="340">
        <f t="shared" si="99"/>
        <v>5.7</v>
      </c>
    </row>
    <row r="1945" spans="1:15" s="328" customFormat="1" x14ac:dyDescent="0.2">
      <c r="A1945" s="535" t="s">
        <v>39948</v>
      </c>
      <c r="B1945" s="535"/>
      <c r="C1945" s="535"/>
      <c r="D1945" s="332"/>
      <c r="E1945" s="332"/>
      <c r="F1945" s="332"/>
      <c r="G1945" s="332"/>
      <c r="H1945" s="332"/>
      <c r="I1945" s="332"/>
      <c r="J1945" s="332"/>
      <c r="K1945" s="332">
        <v>1</v>
      </c>
      <c r="L1945" s="332" t="s">
        <v>39805</v>
      </c>
      <c r="M1945" s="332">
        <f>5.7</f>
        <v>5.7</v>
      </c>
      <c r="N1945" s="332" t="s">
        <v>39794</v>
      </c>
      <c r="O1945" s="340">
        <f t="shared" si="99"/>
        <v>5.7</v>
      </c>
    </row>
    <row r="1946" spans="1:15" s="328" customFormat="1" x14ac:dyDescent="0.2">
      <c r="A1946" s="535" t="s">
        <v>39949</v>
      </c>
      <c r="B1946" s="535"/>
      <c r="C1946" s="535"/>
      <c r="D1946" s="332"/>
      <c r="E1946" s="332"/>
      <c r="F1946" s="332"/>
      <c r="G1946" s="332"/>
      <c r="H1946" s="332"/>
      <c r="I1946" s="332"/>
      <c r="J1946" s="332"/>
      <c r="K1946" s="332">
        <v>1</v>
      </c>
      <c r="L1946" s="332" t="s">
        <v>39805</v>
      </c>
      <c r="M1946" s="332">
        <f>5.8</f>
        <v>5.8</v>
      </c>
      <c r="N1946" s="332" t="s">
        <v>39794</v>
      </c>
      <c r="O1946" s="340">
        <f t="shared" si="99"/>
        <v>5.8</v>
      </c>
    </row>
    <row r="1947" spans="1:15" s="328" customFormat="1" x14ac:dyDescent="0.2">
      <c r="A1947" s="535" t="s">
        <v>39950</v>
      </c>
      <c r="B1947" s="535"/>
      <c r="C1947" s="535"/>
      <c r="D1947" s="332"/>
      <c r="E1947" s="332"/>
      <c r="F1947" s="332"/>
      <c r="G1947" s="332"/>
      <c r="H1947" s="332"/>
      <c r="I1947" s="332"/>
      <c r="J1947" s="332"/>
      <c r="K1947" s="332">
        <v>1</v>
      </c>
      <c r="L1947" s="332" t="s">
        <v>39805</v>
      </c>
      <c r="M1947" s="332">
        <f>0.2</f>
        <v>0.2</v>
      </c>
      <c r="N1947" s="332" t="s">
        <v>39794</v>
      </c>
      <c r="O1947" s="340">
        <f t="shared" si="99"/>
        <v>0.2</v>
      </c>
    </row>
    <row r="1948" spans="1:15" s="328" customFormat="1" x14ac:dyDescent="0.2">
      <c r="A1948" s="535" t="s">
        <v>39951</v>
      </c>
      <c r="B1948" s="535"/>
      <c r="C1948" s="535"/>
      <c r="D1948" s="332"/>
      <c r="E1948" s="332"/>
      <c r="F1948" s="332"/>
      <c r="G1948" s="332"/>
      <c r="H1948" s="332"/>
      <c r="I1948" s="332"/>
      <c r="J1948" s="332"/>
      <c r="K1948" s="332">
        <v>1</v>
      </c>
      <c r="L1948" s="332" t="s">
        <v>39805</v>
      </c>
      <c r="M1948" s="332">
        <f>3.2</f>
        <v>3.2</v>
      </c>
      <c r="N1948" s="332" t="s">
        <v>39794</v>
      </c>
      <c r="O1948" s="340">
        <f t="shared" si="99"/>
        <v>3.2</v>
      </c>
    </row>
    <row r="1949" spans="1:15" s="328" customFormat="1" x14ac:dyDescent="0.2">
      <c r="A1949" s="535" t="s">
        <v>39952</v>
      </c>
      <c r="B1949" s="535"/>
      <c r="C1949" s="535"/>
      <c r="D1949" s="332"/>
      <c r="E1949" s="332"/>
      <c r="F1949" s="332"/>
      <c r="G1949" s="332"/>
      <c r="H1949" s="332"/>
      <c r="I1949" s="332"/>
      <c r="J1949" s="332"/>
      <c r="K1949" s="332">
        <v>1</v>
      </c>
      <c r="L1949" s="332" t="s">
        <v>39805</v>
      </c>
      <c r="M1949" s="332">
        <f>5</f>
        <v>5</v>
      </c>
      <c r="N1949" s="332" t="s">
        <v>39794</v>
      </c>
      <c r="O1949" s="340">
        <f t="shared" si="99"/>
        <v>5</v>
      </c>
    </row>
    <row r="1950" spans="1:15" s="328" customFormat="1" x14ac:dyDescent="0.2">
      <c r="A1950" s="535" t="s">
        <v>39953</v>
      </c>
      <c r="B1950" s="535"/>
      <c r="C1950" s="535"/>
      <c r="D1950" s="332"/>
      <c r="E1950" s="332"/>
      <c r="F1950" s="332"/>
      <c r="G1950" s="332"/>
      <c r="H1950" s="332"/>
      <c r="I1950" s="332"/>
      <c r="J1950" s="332"/>
      <c r="K1950" s="332">
        <v>1</v>
      </c>
      <c r="L1950" s="332" t="s">
        <v>39805</v>
      </c>
      <c r="M1950" s="332">
        <f>5.7</f>
        <v>5.7</v>
      </c>
      <c r="N1950" s="332" t="s">
        <v>39794</v>
      </c>
      <c r="O1950" s="340">
        <f t="shared" si="99"/>
        <v>5.7</v>
      </c>
    </row>
    <row r="1951" spans="1:15" s="328" customFormat="1" x14ac:dyDescent="0.2">
      <c r="A1951" s="535" t="s">
        <v>39954</v>
      </c>
      <c r="B1951" s="535"/>
      <c r="C1951" s="535"/>
      <c r="D1951" s="332"/>
      <c r="E1951" s="332"/>
      <c r="F1951" s="332"/>
      <c r="G1951" s="332"/>
      <c r="H1951" s="332"/>
      <c r="I1951" s="332"/>
      <c r="J1951" s="332"/>
      <c r="K1951" s="332">
        <v>1</v>
      </c>
      <c r="L1951" s="332" t="s">
        <v>39805</v>
      </c>
      <c r="M1951" s="332">
        <f>4.95</f>
        <v>4.95</v>
      </c>
      <c r="N1951" s="332" t="s">
        <v>39794</v>
      </c>
      <c r="O1951" s="340">
        <f t="shared" si="99"/>
        <v>4.95</v>
      </c>
    </row>
    <row r="1952" spans="1:15" s="328" customFormat="1" x14ac:dyDescent="0.2">
      <c r="A1952" s="540"/>
      <c r="B1952" s="540"/>
      <c r="C1952" s="540"/>
      <c r="D1952" s="540"/>
      <c r="E1952" s="540"/>
      <c r="F1952" s="540"/>
      <c r="G1952" s="540"/>
      <c r="H1952" s="540"/>
      <c r="I1952" s="540"/>
      <c r="J1952" s="540"/>
      <c r="K1952" s="540"/>
      <c r="L1952" s="334" t="s">
        <v>39796</v>
      </c>
      <c r="M1952" s="334" t="s">
        <v>39168</v>
      </c>
      <c r="N1952" s="333" t="s">
        <v>39794</v>
      </c>
      <c r="O1952" s="334">
        <f>SUM(O1928:O1951)</f>
        <v>110.23000000000003</v>
      </c>
    </row>
    <row r="1953" spans="1:15" s="328" customFormat="1" x14ac:dyDescent="0.2">
      <c r="A1953" s="329" t="s">
        <v>39791</v>
      </c>
      <c r="B1953" s="542" t="s">
        <v>5917</v>
      </c>
      <c r="C1953" s="542"/>
      <c r="D1953" s="542"/>
      <c r="E1953" s="542"/>
      <c r="F1953" s="542"/>
      <c r="G1953" s="542"/>
      <c r="H1953" s="542"/>
      <c r="I1953" s="542"/>
      <c r="J1953" s="542"/>
      <c r="K1953" s="542"/>
      <c r="L1953" s="542"/>
      <c r="M1953" s="542"/>
      <c r="N1953" s="329" t="s">
        <v>39197</v>
      </c>
      <c r="O1953" s="330" t="s">
        <v>39792</v>
      </c>
    </row>
    <row r="1954" spans="1:15" s="328" customFormat="1" ht="12.75" customHeight="1" x14ac:dyDescent="0.2">
      <c r="A1954" s="331" t="str">
        <f>ORCAMENTO!A305</f>
        <v>14.2.3</v>
      </c>
      <c r="B1954" s="543" t="str">
        <f>VLOOKUP(A1954,ORCAMENTO!A:I,4,0)</f>
        <v>FORRO PVC - MODULADO (618x1250)mm C/ PERFIL "T" EM ALUMÍNIO - FORNECIMENTO E MONTAGEM</v>
      </c>
      <c r="C1954" s="543"/>
      <c r="D1954" s="543"/>
      <c r="E1954" s="543"/>
      <c r="F1954" s="543"/>
      <c r="G1954" s="543"/>
      <c r="H1954" s="543"/>
      <c r="I1954" s="543"/>
      <c r="J1954" s="543"/>
      <c r="K1954" s="543"/>
      <c r="L1954" s="543"/>
      <c r="M1954" s="543"/>
      <c r="N1954" s="331" t="str">
        <f>VLOOKUP(A1954,ORCAMENTO!A:I,5,0)</f>
        <v>M2</v>
      </c>
      <c r="O1954" s="332">
        <f>O1970</f>
        <v>491.9</v>
      </c>
    </row>
    <row r="1955" spans="1:15" s="328" customFormat="1" x14ac:dyDescent="0.2">
      <c r="A1955" s="539" t="s">
        <v>39793</v>
      </c>
      <c r="B1955" s="539"/>
      <c r="C1955" s="539"/>
      <c r="D1955" s="539"/>
      <c r="E1955" s="539"/>
      <c r="F1955" s="539"/>
      <c r="G1955" s="539"/>
      <c r="H1955" s="539"/>
      <c r="I1955" s="539"/>
      <c r="J1955" s="539"/>
      <c r="K1955" s="539"/>
      <c r="L1955" s="539"/>
      <c r="M1955" s="539"/>
      <c r="N1955" s="539"/>
      <c r="O1955" s="539"/>
    </row>
    <row r="1956" spans="1:15" s="328" customFormat="1" x14ac:dyDescent="0.2">
      <c r="A1956" s="539" t="s">
        <v>5917</v>
      </c>
      <c r="B1956" s="539"/>
      <c r="C1956" s="539"/>
      <c r="D1956" s="333"/>
      <c r="E1956" s="333"/>
      <c r="F1956" s="333"/>
      <c r="G1956" s="333"/>
      <c r="H1956" s="333"/>
      <c r="I1956" s="331"/>
      <c r="J1956" s="331"/>
      <c r="K1956" s="333"/>
      <c r="L1956" s="333"/>
      <c r="M1956" s="333" t="s">
        <v>39799</v>
      </c>
      <c r="N1956" s="333" t="s">
        <v>39794</v>
      </c>
      <c r="O1956" s="333" t="s">
        <v>39795</v>
      </c>
    </row>
    <row r="1957" spans="1:15" s="328" customFormat="1" x14ac:dyDescent="0.2">
      <c r="A1957" s="534" t="s">
        <v>39862</v>
      </c>
      <c r="B1957" s="535"/>
      <c r="C1957" s="535"/>
      <c r="D1957" s="333"/>
      <c r="E1957" s="332"/>
      <c r="F1957" s="332"/>
      <c r="G1957" s="332"/>
      <c r="H1957" s="332"/>
      <c r="I1957" s="332"/>
      <c r="J1957" s="332"/>
      <c r="K1957" s="332"/>
      <c r="L1957" s="332"/>
      <c r="M1957" s="332">
        <f>49.8</f>
        <v>49.8</v>
      </c>
      <c r="N1957" s="332" t="s">
        <v>39794</v>
      </c>
      <c r="O1957" s="335">
        <f>ROUND(M1957,2)</f>
        <v>49.8</v>
      </c>
    </row>
    <row r="1958" spans="1:15" s="328" customFormat="1" x14ac:dyDescent="0.2">
      <c r="A1958" s="534" t="s">
        <v>39863</v>
      </c>
      <c r="B1958" s="535"/>
      <c r="C1958" s="535"/>
      <c r="D1958" s="333"/>
      <c r="E1958" s="332"/>
      <c r="F1958" s="332"/>
      <c r="G1958" s="332"/>
      <c r="H1958" s="332"/>
      <c r="I1958" s="332"/>
      <c r="J1958" s="332"/>
      <c r="K1958" s="332"/>
      <c r="L1958" s="332"/>
      <c r="M1958" s="332">
        <f>50.02</f>
        <v>50.02</v>
      </c>
      <c r="N1958" s="332" t="s">
        <v>39794</v>
      </c>
      <c r="O1958" s="335">
        <f t="shared" ref="O1958:O1969" si="100">ROUND(M1958,2)</f>
        <v>50.02</v>
      </c>
    </row>
    <row r="1959" spans="1:15" s="328" customFormat="1" x14ac:dyDescent="0.2">
      <c r="A1959" s="534" t="s">
        <v>39958</v>
      </c>
      <c r="B1959" s="535"/>
      <c r="C1959" s="535"/>
      <c r="D1959" s="333"/>
      <c r="E1959" s="332"/>
      <c r="F1959" s="332"/>
      <c r="G1959" s="332"/>
      <c r="H1959" s="332"/>
      <c r="I1959" s="332"/>
      <c r="J1959" s="332"/>
      <c r="K1959" s="332"/>
      <c r="L1959" s="332"/>
      <c r="M1959" s="332">
        <f>36.25</f>
        <v>36.25</v>
      </c>
      <c r="N1959" s="332" t="s">
        <v>39794</v>
      </c>
      <c r="O1959" s="335">
        <f t="shared" si="100"/>
        <v>36.25</v>
      </c>
    </row>
    <row r="1960" spans="1:15" s="328" customFormat="1" x14ac:dyDescent="0.2">
      <c r="A1960" s="534" t="s">
        <v>39865</v>
      </c>
      <c r="B1960" s="535"/>
      <c r="C1960" s="535"/>
      <c r="D1960" s="333"/>
      <c r="E1960" s="332"/>
      <c r="F1960" s="332"/>
      <c r="G1960" s="332"/>
      <c r="H1960" s="332"/>
      <c r="I1960" s="332"/>
      <c r="J1960" s="332"/>
      <c r="K1960" s="332"/>
      <c r="L1960" s="332"/>
      <c r="M1960" s="332">
        <f>12.81</f>
        <v>12.81</v>
      </c>
      <c r="N1960" s="332" t="s">
        <v>39794</v>
      </c>
      <c r="O1960" s="335">
        <f t="shared" si="100"/>
        <v>12.81</v>
      </c>
    </row>
    <row r="1961" spans="1:15" s="328" customFormat="1" x14ac:dyDescent="0.2">
      <c r="A1961" s="534" t="s">
        <v>39866</v>
      </c>
      <c r="B1961" s="535"/>
      <c r="C1961" s="535"/>
      <c r="D1961" s="333"/>
      <c r="E1961" s="332"/>
      <c r="F1961" s="332"/>
      <c r="G1961" s="332"/>
      <c r="H1961" s="332"/>
      <c r="I1961" s="332"/>
      <c r="J1961" s="332"/>
      <c r="K1961" s="332"/>
      <c r="L1961" s="332"/>
      <c r="M1961" s="332">
        <f>50.02</f>
        <v>50.02</v>
      </c>
      <c r="N1961" s="332" t="s">
        <v>39794</v>
      </c>
      <c r="O1961" s="335">
        <f t="shared" si="100"/>
        <v>50.02</v>
      </c>
    </row>
    <row r="1962" spans="1:15" s="328" customFormat="1" x14ac:dyDescent="0.2">
      <c r="A1962" s="534" t="s">
        <v>39867</v>
      </c>
      <c r="B1962" s="535"/>
      <c r="C1962" s="535"/>
      <c r="D1962" s="333"/>
      <c r="E1962" s="332"/>
      <c r="F1962" s="332"/>
      <c r="G1962" s="332"/>
      <c r="H1962" s="332"/>
      <c r="I1962" s="332"/>
      <c r="J1962" s="332"/>
      <c r="K1962" s="332"/>
      <c r="L1962" s="332"/>
      <c r="M1962" s="332">
        <f>36.25</f>
        <v>36.25</v>
      </c>
      <c r="N1962" s="332" t="s">
        <v>39794</v>
      </c>
      <c r="O1962" s="335">
        <f t="shared" si="100"/>
        <v>36.25</v>
      </c>
    </row>
    <row r="1963" spans="1:15" s="328" customFormat="1" x14ac:dyDescent="0.2">
      <c r="A1963" s="534" t="s">
        <v>39865</v>
      </c>
      <c r="B1963" s="535"/>
      <c r="C1963" s="535"/>
      <c r="D1963" s="333"/>
      <c r="E1963" s="332"/>
      <c r="F1963" s="332"/>
      <c r="G1963" s="332"/>
      <c r="H1963" s="332"/>
      <c r="I1963" s="332"/>
      <c r="J1963" s="332"/>
      <c r="K1963" s="332"/>
      <c r="L1963" s="332"/>
      <c r="M1963" s="332">
        <f>12.81</f>
        <v>12.81</v>
      </c>
      <c r="N1963" s="332" t="s">
        <v>39794</v>
      </c>
      <c r="O1963" s="335">
        <f t="shared" si="100"/>
        <v>12.81</v>
      </c>
    </row>
    <row r="1964" spans="1:15" s="328" customFormat="1" x14ac:dyDescent="0.2">
      <c r="A1964" s="534" t="s">
        <v>39959</v>
      </c>
      <c r="B1964" s="535"/>
      <c r="C1964" s="535"/>
      <c r="D1964" s="333"/>
      <c r="E1964" s="332"/>
      <c r="F1964" s="332"/>
      <c r="G1964" s="332"/>
      <c r="H1964" s="332"/>
      <c r="I1964" s="332"/>
      <c r="J1964" s="332"/>
      <c r="K1964" s="332"/>
      <c r="L1964" s="332"/>
      <c r="M1964" s="332">
        <f>18.31</f>
        <v>18.309999999999999</v>
      </c>
      <c r="N1964" s="332" t="s">
        <v>39794</v>
      </c>
      <c r="O1964" s="335">
        <f t="shared" si="100"/>
        <v>18.309999999999999</v>
      </c>
    </row>
    <row r="1965" spans="1:15" s="328" customFormat="1" x14ac:dyDescent="0.2">
      <c r="A1965" s="534" t="s">
        <v>39818</v>
      </c>
      <c r="B1965" s="535"/>
      <c r="C1965" s="535"/>
      <c r="D1965" s="333"/>
      <c r="E1965" s="332"/>
      <c r="F1965" s="332"/>
      <c r="G1965" s="332"/>
      <c r="H1965" s="332"/>
      <c r="I1965" s="332"/>
      <c r="J1965" s="332"/>
      <c r="K1965" s="332"/>
      <c r="L1965" s="332"/>
      <c r="M1965" s="332">
        <f>3.14</f>
        <v>3.14</v>
      </c>
      <c r="N1965" s="332" t="s">
        <v>39794</v>
      </c>
      <c r="O1965" s="335">
        <f t="shared" si="100"/>
        <v>3.14</v>
      </c>
    </row>
    <row r="1966" spans="1:15" s="328" customFormat="1" x14ac:dyDescent="0.2">
      <c r="A1966" s="534" t="s">
        <v>39817</v>
      </c>
      <c r="B1966" s="535"/>
      <c r="C1966" s="535"/>
      <c r="D1966" s="333"/>
      <c r="E1966" s="332"/>
      <c r="F1966" s="332"/>
      <c r="G1966" s="332"/>
      <c r="H1966" s="332"/>
      <c r="I1966" s="332"/>
      <c r="J1966" s="332"/>
      <c r="K1966" s="332"/>
      <c r="L1966" s="332"/>
      <c r="M1966" s="332">
        <f>18.31</f>
        <v>18.309999999999999</v>
      </c>
      <c r="N1966" s="332" t="s">
        <v>39794</v>
      </c>
      <c r="O1966" s="335">
        <f t="shared" si="100"/>
        <v>18.309999999999999</v>
      </c>
    </row>
    <row r="1967" spans="1:15" s="328" customFormat="1" x14ac:dyDescent="0.2">
      <c r="A1967" s="534" t="s">
        <v>39960</v>
      </c>
      <c r="B1967" s="535"/>
      <c r="C1967" s="535"/>
      <c r="D1967" s="333"/>
      <c r="E1967" s="332"/>
      <c r="F1967" s="332"/>
      <c r="G1967" s="332"/>
      <c r="H1967" s="332"/>
      <c r="I1967" s="332"/>
      <c r="J1967" s="332"/>
      <c r="K1967" s="332"/>
      <c r="L1967" s="332"/>
      <c r="M1967" s="332">
        <f>155.12</f>
        <v>155.12</v>
      </c>
      <c r="N1967" s="332" t="s">
        <v>39794</v>
      </c>
      <c r="O1967" s="335">
        <f t="shared" si="100"/>
        <v>155.12</v>
      </c>
    </row>
    <row r="1968" spans="1:15" s="328" customFormat="1" x14ac:dyDescent="0.2">
      <c r="A1968" s="534" t="s">
        <v>39961</v>
      </c>
      <c r="B1968" s="535"/>
      <c r="C1968" s="535"/>
      <c r="D1968" s="333"/>
      <c r="E1968" s="332"/>
      <c r="F1968" s="332"/>
      <c r="G1968" s="332"/>
      <c r="H1968" s="332"/>
      <c r="I1968" s="332"/>
      <c r="J1968" s="332"/>
      <c r="K1968" s="332"/>
      <c r="L1968" s="332"/>
      <c r="M1968" s="332">
        <f>36.25</f>
        <v>36.25</v>
      </c>
      <c r="N1968" s="332" t="s">
        <v>39794</v>
      </c>
      <c r="O1968" s="335">
        <f t="shared" si="100"/>
        <v>36.25</v>
      </c>
    </row>
    <row r="1969" spans="1:15" s="328" customFormat="1" x14ac:dyDescent="0.2">
      <c r="A1969" s="534" t="s">
        <v>39865</v>
      </c>
      <c r="B1969" s="535"/>
      <c r="C1969" s="535"/>
      <c r="D1969" s="333"/>
      <c r="E1969" s="332"/>
      <c r="F1969" s="332"/>
      <c r="G1969" s="332"/>
      <c r="H1969" s="332"/>
      <c r="I1969" s="332"/>
      <c r="J1969" s="332"/>
      <c r="K1969" s="332"/>
      <c r="L1969" s="332"/>
      <c r="M1969" s="332">
        <f>12.81</f>
        <v>12.81</v>
      </c>
      <c r="N1969" s="332" t="s">
        <v>39794</v>
      </c>
      <c r="O1969" s="335">
        <f t="shared" si="100"/>
        <v>12.81</v>
      </c>
    </row>
    <row r="1970" spans="1:15" s="328" customFormat="1" x14ac:dyDescent="0.2">
      <c r="A1970" s="540"/>
      <c r="B1970" s="540"/>
      <c r="C1970" s="540"/>
      <c r="D1970" s="540"/>
      <c r="E1970" s="540"/>
      <c r="F1970" s="540"/>
      <c r="G1970" s="540"/>
      <c r="H1970" s="540"/>
      <c r="I1970" s="540"/>
      <c r="J1970" s="540"/>
      <c r="K1970" s="540"/>
      <c r="L1970" s="334" t="s">
        <v>39796</v>
      </c>
      <c r="M1970" s="334" t="s">
        <v>39168</v>
      </c>
      <c r="N1970" s="333" t="s">
        <v>39794</v>
      </c>
      <c r="O1970" s="334">
        <f>SUM(O1956:O1969)</f>
        <v>491.9</v>
      </c>
    </row>
    <row r="1971" spans="1:15" s="328" customFormat="1" x14ac:dyDescent="0.2">
      <c r="A1971" s="336">
        <f>ORCAMENTO!A307</f>
        <v>15</v>
      </c>
      <c r="B1971" s="545" t="str">
        <f>VLOOKUP(A1971,ORCAMENTO!A:I,4,0)</f>
        <v>ESQUADRIAS</v>
      </c>
      <c r="C1971" s="545"/>
      <c r="D1971" s="545"/>
      <c r="E1971" s="545"/>
      <c r="F1971" s="545"/>
      <c r="G1971" s="545"/>
      <c r="H1971" s="545"/>
      <c r="I1971" s="545"/>
      <c r="J1971" s="545"/>
      <c r="K1971" s="545"/>
      <c r="L1971" s="545"/>
      <c r="M1971" s="545"/>
      <c r="N1971" s="545"/>
      <c r="O1971" s="545"/>
    </row>
    <row r="1972" spans="1:15" s="328" customFormat="1" x14ac:dyDescent="0.2">
      <c r="A1972" s="347" t="str">
        <f>ORCAMENTO!A308</f>
        <v>15.1</v>
      </c>
      <c r="B1972" s="544" t="str">
        <f>VLOOKUP(A1972,ORCAMENTO!A:I,4,0)</f>
        <v>ESQUADRIAS DE MADEIRA</v>
      </c>
      <c r="C1972" s="544"/>
      <c r="D1972" s="544"/>
      <c r="E1972" s="544"/>
      <c r="F1972" s="544"/>
      <c r="G1972" s="544"/>
      <c r="H1972" s="544"/>
      <c r="I1972" s="544"/>
      <c r="J1972" s="544"/>
      <c r="K1972" s="544"/>
      <c r="L1972" s="544"/>
      <c r="M1972" s="544"/>
      <c r="N1972" s="544"/>
      <c r="O1972" s="544"/>
    </row>
    <row r="1973" spans="1:15" s="328" customFormat="1" x14ac:dyDescent="0.2">
      <c r="A1973" s="329" t="s">
        <v>39791</v>
      </c>
      <c r="B1973" s="542" t="s">
        <v>5917</v>
      </c>
      <c r="C1973" s="542"/>
      <c r="D1973" s="542"/>
      <c r="E1973" s="542"/>
      <c r="F1973" s="542"/>
      <c r="G1973" s="542"/>
      <c r="H1973" s="542"/>
      <c r="I1973" s="542"/>
      <c r="J1973" s="542"/>
      <c r="K1973" s="542"/>
      <c r="L1973" s="542"/>
      <c r="M1973" s="542"/>
      <c r="N1973" s="329" t="s">
        <v>39197</v>
      </c>
      <c r="O1973" s="330" t="s">
        <v>39792</v>
      </c>
    </row>
    <row r="1974" spans="1:15" s="328" customFormat="1" ht="12.75" customHeight="1" x14ac:dyDescent="0.2">
      <c r="A1974" s="331" t="str">
        <f>ORCAMENTO!A309</f>
        <v>15.1.1</v>
      </c>
      <c r="B1974" s="543" t="str">
        <f>VLOOKUP(A1974,ORCAMENTO!A:I,4,0)</f>
        <v>PORTA INTERNA DE CEDRO LISA COMPLETA UMA FOLHA (0.90X 2.10)m</v>
      </c>
      <c r="C1974" s="543"/>
      <c r="D1974" s="543"/>
      <c r="E1974" s="543"/>
      <c r="F1974" s="543"/>
      <c r="G1974" s="543"/>
      <c r="H1974" s="543"/>
      <c r="I1974" s="543"/>
      <c r="J1974" s="543"/>
      <c r="K1974" s="543"/>
      <c r="L1974" s="543"/>
      <c r="M1974" s="543"/>
      <c r="N1974" s="331" t="str">
        <f>VLOOKUP(A1974,ORCAMENTO!A:I,5,0)</f>
        <v>UN</v>
      </c>
      <c r="O1974" s="332">
        <f>O1979</f>
        <v>3</v>
      </c>
    </row>
    <row r="1975" spans="1:15" s="328" customFormat="1" x14ac:dyDescent="0.2">
      <c r="A1975" s="539" t="s">
        <v>39793</v>
      </c>
      <c r="B1975" s="539"/>
      <c r="C1975" s="539"/>
      <c r="D1975" s="539"/>
      <c r="E1975" s="539"/>
      <c r="F1975" s="539"/>
      <c r="G1975" s="539"/>
      <c r="H1975" s="539"/>
      <c r="I1975" s="539"/>
      <c r="J1975" s="539"/>
      <c r="K1975" s="539"/>
      <c r="L1975" s="539"/>
      <c r="M1975" s="539"/>
      <c r="N1975" s="539"/>
      <c r="O1975" s="539"/>
    </row>
    <row r="1976" spans="1:15" s="328" customFormat="1" x14ac:dyDescent="0.2">
      <c r="A1976" s="539" t="s">
        <v>5917</v>
      </c>
      <c r="B1976" s="539"/>
      <c r="C1976" s="539"/>
      <c r="D1976" s="333"/>
      <c r="E1976" s="333"/>
      <c r="F1976" s="333"/>
      <c r="G1976" s="333"/>
      <c r="H1976" s="333"/>
      <c r="I1976" s="331"/>
      <c r="J1976" s="331"/>
      <c r="K1976" s="333"/>
      <c r="L1976" s="333"/>
      <c r="M1976" s="333" t="s">
        <v>39792</v>
      </c>
      <c r="N1976" s="333" t="s">
        <v>39794</v>
      </c>
      <c r="O1976" s="333" t="s">
        <v>39795</v>
      </c>
    </row>
    <row r="1977" spans="1:15" s="328" customFormat="1" x14ac:dyDescent="0.2">
      <c r="A1977" s="535" t="s">
        <v>39825</v>
      </c>
      <c r="B1977" s="535"/>
      <c r="C1977" s="535"/>
      <c r="D1977" s="333"/>
      <c r="E1977" s="333"/>
      <c r="F1977" s="333"/>
      <c r="G1977" s="333"/>
      <c r="H1977" s="333"/>
      <c r="I1977" s="331"/>
      <c r="J1977" s="331"/>
      <c r="K1977" s="339"/>
      <c r="L1977" s="332"/>
      <c r="M1977" s="339">
        <f>2</f>
        <v>2</v>
      </c>
      <c r="N1977" s="332" t="s">
        <v>39794</v>
      </c>
      <c r="O1977" s="340">
        <f>ROUND(M1977,2)</f>
        <v>2</v>
      </c>
    </row>
    <row r="1978" spans="1:15" s="328" customFormat="1" x14ac:dyDescent="0.2">
      <c r="A1978" s="535" t="s">
        <v>39826</v>
      </c>
      <c r="B1978" s="535"/>
      <c r="C1978" s="535"/>
      <c r="D1978" s="333"/>
      <c r="E1978" s="333"/>
      <c r="F1978" s="333"/>
      <c r="G1978" s="333"/>
      <c r="H1978" s="333"/>
      <c r="I1978" s="331"/>
      <c r="J1978" s="331"/>
      <c r="K1978" s="339"/>
      <c r="L1978" s="332"/>
      <c r="M1978" s="339">
        <f>1</f>
        <v>1</v>
      </c>
      <c r="N1978" s="332" t="s">
        <v>39794</v>
      </c>
      <c r="O1978" s="340">
        <f>ROUND(M1978,2)</f>
        <v>1</v>
      </c>
    </row>
    <row r="1979" spans="1:15" s="328" customFormat="1" x14ac:dyDescent="0.2">
      <c r="A1979" s="540"/>
      <c r="B1979" s="540"/>
      <c r="C1979" s="540"/>
      <c r="D1979" s="540"/>
      <c r="E1979" s="540"/>
      <c r="F1979" s="540"/>
      <c r="G1979" s="540"/>
      <c r="H1979" s="540"/>
      <c r="I1979" s="540"/>
      <c r="J1979" s="540"/>
      <c r="K1979" s="540"/>
      <c r="L1979" s="334" t="s">
        <v>39796</v>
      </c>
      <c r="M1979" s="334" t="s">
        <v>39168</v>
      </c>
      <c r="N1979" s="333" t="s">
        <v>39794</v>
      </c>
      <c r="O1979" s="334">
        <f>SUM(O1976:O1978)</f>
        <v>3</v>
      </c>
    </row>
    <row r="1980" spans="1:15" s="328" customFormat="1" x14ac:dyDescent="0.2">
      <c r="A1980" s="329" t="s">
        <v>39791</v>
      </c>
      <c r="B1980" s="542" t="s">
        <v>5917</v>
      </c>
      <c r="C1980" s="542"/>
      <c r="D1980" s="542"/>
      <c r="E1980" s="542"/>
      <c r="F1980" s="542"/>
      <c r="G1980" s="542"/>
      <c r="H1980" s="542"/>
      <c r="I1980" s="542"/>
      <c r="J1980" s="542"/>
      <c r="K1980" s="542"/>
      <c r="L1980" s="542"/>
      <c r="M1980" s="542"/>
      <c r="N1980" s="329" t="s">
        <v>39197</v>
      </c>
      <c r="O1980" s="330" t="s">
        <v>39792</v>
      </c>
    </row>
    <row r="1981" spans="1:15" s="328" customFormat="1" ht="12.75" customHeight="1" x14ac:dyDescent="0.2">
      <c r="A1981" s="331" t="str">
        <f>ORCAMENTO!A310</f>
        <v>15.1.2</v>
      </c>
      <c r="B1981" s="543" t="str">
        <f>VLOOKUP(A1981,ORCAMENTO!A:I,4,0)</f>
        <v>PORTA INTERNA DE CEDRO LISA COMPLETA DUAS FOLHAS (1.20X 2.10)m</v>
      </c>
      <c r="C1981" s="543"/>
      <c r="D1981" s="543"/>
      <c r="E1981" s="543"/>
      <c r="F1981" s="543"/>
      <c r="G1981" s="543"/>
      <c r="H1981" s="543"/>
      <c r="I1981" s="543"/>
      <c r="J1981" s="543"/>
      <c r="K1981" s="543"/>
      <c r="L1981" s="543"/>
      <c r="M1981" s="543"/>
      <c r="N1981" s="331" t="str">
        <f>VLOOKUP(A1981,ORCAMENTO!A:I,5,0)</f>
        <v>UN</v>
      </c>
      <c r="O1981" s="332">
        <f>O1985</f>
        <v>7</v>
      </c>
    </row>
    <row r="1982" spans="1:15" s="328" customFormat="1" x14ac:dyDescent="0.2">
      <c r="A1982" s="539" t="s">
        <v>39793</v>
      </c>
      <c r="B1982" s="539"/>
      <c r="C1982" s="539"/>
      <c r="D1982" s="539"/>
      <c r="E1982" s="539"/>
      <c r="F1982" s="539"/>
      <c r="G1982" s="539"/>
      <c r="H1982" s="539"/>
      <c r="I1982" s="539"/>
      <c r="J1982" s="539"/>
      <c r="K1982" s="539"/>
      <c r="L1982" s="539"/>
      <c r="M1982" s="539"/>
      <c r="N1982" s="539"/>
      <c r="O1982" s="539"/>
    </row>
    <row r="1983" spans="1:15" s="328" customFormat="1" x14ac:dyDescent="0.2">
      <c r="A1983" s="539" t="s">
        <v>5917</v>
      </c>
      <c r="B1983" s="539"/>
      <c r="C1983" s="539"/>
      <c r="D1983" s="333"/>
      <c r="E1983" s="333"/>
      <c r="F1983" s="333"/>
      <c r="G1983" s="333"/>
      <c r="H1983" s="333"/>
      <c r="I1983" s="331"/>
      <c r="J1983" s="331"/>
      <c r="K1983" s="333"/>
      <c r="L1983" s="333"/>
      <c r="M1983" s="333" t="s">
        <v>39792</v>
      </c>
      <c r="N1983" s="333" t="s">
        <v>39794</v>
      </c>
      <c r="O1983" s="333" t="s">
        <v>39795</v>
      </c>
    </row>
    <row r="1984" spans="1:15" s="328" customFormat="1" x14ac:dyDescent="0.2">
      <c r="A1984" s="535" t="s">
        <v>39824</v>
      </c>
      <c r="B1984" s="535"/>
      <c r="C1984" s="535"/>
      <c r="D1984" s="333"/>
      <c r="E1984" s="333"/>
      <c r="F1984" s="333"/>
      <c r="G1984" s="333"/>
      <c r="H1984" s="333"/>
      <c r="I1984" s="331"/>
      <c r="J1984" s="331"/>
      <c r="K1984" s="339"/>
      <c r="L1984" s="332"/>
      <c r="M1984" s="339">
        <f>7</f>
        <v>7</v>
      </c>
      <c r="N1984" s="332" t="s">
        <v>39794</v>
      </c>
      <c r="O1984" s="340">
        <f>ROUND(M1984,2)</f>
        <v>7</v>
      </c>
    </row>
    <row r="1985" spans="1:15" s="328" customFormat="1" x14ac:dyDescent="0.2">
      <c r="A1985" s="540"/>
      <c r="B1985" s="540"/>
      <c r="C1985" s="540"/>
      <c r="D1985" s="540"/>
      <c r="E1985" s="540"/>
      <c r="F1985" s="540"/>
      <c r="G1985" s="540"/>
      <c r="H1985" s="540"/>
      <c r="I1985" s="540"/>
      <c r="J1985" s="540"/>
      <c r="K1985" s="540"/>
      <c r="L1985" s="334" t="s">
        <v>39796</v>
      </c>
      <c r="M1985" s="334" t="s">
        <v>39168</v>
      </c>
      <c r="N1985" s="333" t="s">
        <v>39794</v>
      </c>
      <c r="O1985" s="334">
        <f>SUM(O1983:O1984)</f>
        <v>7</v>
      </c>
    </row>
    <row r="1986" spans="1:15" s="328" customFormat="1" x14ac:dyDescent="0.2">
      <c r="A1986" s="329" t="s">
        <v>39791</v>
      </c>
      <c r="B1986" s="542" t="s">
        <v>5917</v>
      </c>
      <c r="C1986" s="542"/>
      <c r="D1986" s="542"/>
      <c r="E1986" s="542"/>
      <c r="F1986" s="542"/>
      <c r="G1986" s="542"/>
      <c r="H1986" s="542"/>
      <c r="I1986" s="542"/>
      <c r="J1986" s="542"/>
      <c r="K1986" s="542"/>
      <c r="L1986" s="542"/>
      <c r="M1986" s="542"/>
      <c r="N1986" s="329" t="s">
        <v>39197</v>
      </c>
      <c r="O1986" s="330" t="s">
        <v>39792</v>
      </c>
    </row>
    <row r="1987" spans="1:15" s="328" customFormat="1" ht="12.75" customHeight="1" x14ac:dyDescent="0.2">
      <c r="A1987" s="331" t="str">
        <f>ORCAMENTO!A311</f>
        <v>15.1.3</v>
      </c>
      <c r="B1987" s="543" t="str">
        <f>VLOOKUP(A1987,ORCAMENTO!A:I,4,0)</f>
        <v>PORTA EM MADEIRA DE LEI COMPLETA DE ABRIR (1.00X1.60)m</v>
      </c>
      <c r="C1987" s="543"/>
      <c r="D1987" s="543"/>
      <c r="E1987" s="543"/>
      <c r="F1987" s="543"/>
      <c r="G1987" s="543"/>
      <c r="H1987" s="543"/>
      <c r="I1987" s="543"/>
      <c r="J1987" s="543"/>
      <c r="K1987" s="543"/>
      <c r="L1987" s="543"/>
      <c r="M1987" s="543"/>
      <c r="N1987" s="331" t="str">
        <f>VLOOKUP(A1987,ORCAMENTO!A:I,5,0)</f>
        <v>UN</v>
      </c>
      <c r="O1987" s="332">
        <f>O1991</f>
        <v>5</v>
      </c>
    </row>
    <row r="1988" spans="1:15" s="328" customFormat="1" x14ac:dyDescent="0.2">
      <c r="A1988" s="539" t="s">
        <v>39793</v>
      </c>
      <c r="B1988" s="539"/>
      <c r="C1988" s="539"/>
      <c r="D1988" s="539"/>
      <c r="E1988" s="539"/>
      <c r="F1988" s="539"/>
      <c r="G1988" s="539"/>
      <c r="H1988" s="539"/>
      <c r="I1988" s="539"/>
      <c r="J1988" s="539"/>
      <c r="K1988" s="539"/>
      <c r="L1988" s="539"/>
      <c r="M1988" s="539"/>
      <c r="N1988" s="539"/>
      <c r="O1988" s="539"/>
    </row>
    <row r="1989" spans="1:15" s="328" customFormat="1" x14ac:dyDescent="0.2">
      <c r="A1989" s="539" t="s">
        <v>5917</v>
      </c>
      <c r="B1989" s="539"/>
      <c r="C1989" s="539"/>
      <c r="D1989" s="333"/>
      <c r="E1989" s="333"/>
      <c r="F1989" s="333"/>
      <c r="G1989" s="333"/>
      <c r="H1989" s="333"/>
      <c r="I1989" s="331"/>
      <c r="J1989" s="331"/>
      <c r="K1989" s="333"/>
      <c r="L1989" s="333"/>
      <c r="M1989" s="333" t="s">
        <v>39792</v>
      </c>
      <c r="N1989" s="333" t="s">
        <v>39794</v>
      </c>
      <c r="O1989" s="333" t="s">
        <v>39795</v>
      </c>
    </row>
    <row r="1990" spans="1:15" s="328" customFormat="1" x14ac:dyDescent="0.2">
      <c r="A1990" s="535" t="s">
        <v>39827</v>
      </c>
      <c r="B1990" s="535"/>
      <c r="C1990" s="535"/>
      <c r="D1990" s="333"/>
      <c r="E1990" s="333"/>
      <c r="F1990" s="333"/>
      <c r="G1990" s="333"/>
      <c r="H1990" s="333"/>
      <c r="I1990" s="331"/>
      <c r="J1990" s="331"/>
      <c r="K1990" s="339"/>
      <c r="L1990" s="332"/>
      <c r="M1990" s="339">
        <f>5</f>
        <v>5</v>
      </c>
      <c r="N1990" s="332" t="s">
        <v>39794</v>
      </c>
      <c r="O1990" s="340">
        <f>ROUND(M1990,2)</f>
        <v>5</v>
      </c>
    </row>
    <row r="1991" spans="1:15" s="328" customFormat="1" x14ac:dyDescent="0.2">
      <c r="A1991" s="540"/>
      <c r="B1991" s="540"/>
      <c r="C1991" s="540"/>
      <c r="D1991" s="540"/>
      <c r="E1991" s="540"/>
      <c r="F1991" s="540"/>
      <c r="G1991" s="540"/>
      <c r="H1991" s="540"/>
      <c r="I1991" s="540"/>
      <c r="J1991" s="540"/>
      <c r="K1991" s="540"/>
      <c r="L1991" s="334" t="s">
        <v>39796</v>
      </c>
      <c r="M1991" s="334" t="s">
        <v>39168</v>
      </c>
      <c r="N1991" s="333" t="s">
        <v>39794</v>
      </c>
      <c r="O1991" s="334">
        <f>SUM(O1989:O1990)</f>
        <v>5</v>
      </c>
    </row>
    <row r="1992" spans="1:15" s="328" customFormat="1" x14ac:dyDescent="0.2">
      <c r="A1992" s="329" t="s">
        <v>39791</v>
      </c>
      <c r="B1992" s="542" t="s">
        <v>5917</v>
      </c>
      <c r="C1992" s="542"/>
      <c r="D1992" s="542"/>
      <c r="E1992" s="542"/>
      <c r="F1992" s="542"/>
      <c r="G1992" s="542"/>
      <c r="H1992" s="542"/>
      <c r="I1992" s="542"/>
      <c r="J1992" s="542"/>
      <c r="K1992" s="542"/>
      <c r="L1992" s="542"/>
      <c r="M1992" s="542"/>
      <c r="N1992" s="329" t="s">
        <v>39197</v>
      </c>
      <c r="O1992" s="330" t="s">
        <v>39792</v>
      </c>
    </row>
    <row r="1993" spans="1:15" s="328" customFormat="1" ht="12.75" customHeight="1" x14ac:dyDescent="0.2">
      <c r="A1993" s="331" t="str">
        <f>ORCAMENTO!A312</f>
        <v>15.1.4</v>
      </c>
      <c r="B1993" s="543" t="str">
        <f>VLOOKUP(A1993,ORCAMENTO!A:I,4,0)</f>
        <v>PORTA EM MADEIRA DE LEI COMPLETA DE ABRIR (1.20X2.00)m</v>
      </c>
      <c r="C1993" s="543"/>
      <c r="D1993" s="543"/>
      <c r="E1993" s="543"/>
      <c r="F1993" s="543"/>
      <c r="G1993" s="543"/>
      <c r="H1993" s="543"/>
      <c r="I1993" s="543"/>
      <c r="J1993" s="543"/>
      <c r="K1993" s="543"/>
      <c r="L1993" s="543"/>
      <c r="M1993" s="543"/>
      <c r="N1993" s="331" t="str">
        <f>VLOOKUP(A1993,ORCAMENTO!A:I,5,0)</f>
        <v>UN</v>
      </c>
      <c r="O1993" s="332">
        <f>O1997</f>
        <v>3</v>
      </c>
    </row>
    <row r="1994" spans="1:15" s="328" customFormat="1" x14ac:dyDescent="0.2">
      <c r="A1994" s="539" t="s">
        <v>39793</v>
      </c>
      <c r="B1994" s="539"/>
      <c r="C1994" s="539"/>
      <c r="D1994" s="539"/>
      <c r="E1994" s="539"/>
      <c r="F1994" s="539"/>
      <c r="G1994" s="539"/>
      <c r="H1994" s="539"/>
      <c r="I1994" s="539"/>
      <c r="J1994" s="539"/>
      <c r="K1994" s="539"/>
      <c r="L1994" s="539"/>
      <c r="M1994" s="539"/>
      <c r="N1994" s="539"/>
      <c r="O1994" s="539"/>
    </row>
    <row r="1995" spans="1:15" s="328" customFormat="1" x14ac:dyDescent="0.2">
      <c r="A1995" s="539" t="s">
        <v>5917</v>
      </c>
      <c r="B1995" s="539"/>
      <c r="C1995" s="539"/>
      <c r="D1995" s="333"/>
      <c r="E1995" s="333"/>
      <c r="F1995" s="333"/>
      <c r="G1995" s="333"/>
      <c r="H1995" s="333"/>
      <c r="I1995" s="331"/>
      <c r="J1995" s="331"/>
      <c r="K1995" s="333"/>
      <c r="L1995" s="333"/>
      <c r="M1995" s="333" t="s">
        <v>39792</v>
      </c>
      <c r="N1995" s="333" t="s">
        <v>39794</v>
      </c>
      <c r="O1995" s="333" t="s">
        <v>39795</v>
      </c>
    </row>
    <row r="1996" spans="1:15" s="328" customFormat="1" x14ac:dyDescent="0.2">
      <c r="A1996" s="535" t="s">
        <v>39828</v>
      </c>
      <c r="B1996" s="535"/>
      <c r="C1996" s="535"/>
      <c r="D1996" s="333"/>
      <c r="E1996" s="333"/>
      <c r="F1996" s="333"/>
      <c r="G1996" s="333"/>
      <c r="H1996" s="333"/>
      <c r="I1996" s="331"/>
      <c r="J1996" s="331"/>
      <c r="K1996" s="339"/>
      <c r="L1996" s="332"/>
      <c r="M1996" s="339">
        <f>3</f>
        <v>3</v>
      </c>
      <c r="N1996" s="332" t="s">
        <v>39794</v>
      </c>
      <c r="O1996" s="340">
        <f>ROUND(M1996,2)</f>
        <v>3</v>
      </c>
    </row>
    <row r="1997" spans="1:15" s="328" customFormat="1" x14ac:dyDescent="0.2">
      <c r="A1997" s="540"/>
      <c r="B1997" s="540"/>
      <c r="C1997" s="540"/>
      <c r="D1997" s="540"/>
      <c r="E1997" s="540"/>
      <c r="F1997" s="540"/>
      <c r="G1997" s="540"/>
      <c r="H1997" s="540"/>
      <c r="I1997" s="540"/>
      <c r="J1997" s="540"/>
      <c r="K1997" s="540"/>
      <c r="L1997" s="334" t="s">
        <v>39796</v>
      </c>
      <c r="M1997" s="334" t="s">
        <v>39168</v>
      </c>
      <c r="N1997" s="333" t="s">
        <v>39794</v>
      </c>
      <c r="O1997" s="334">
        <f>SUM(O1995:O1996)</f>
        <v>3</v>
      </c>
    </row>
    <row r="1998" spans="1:15" s="328" customFormat="1" x14ac:dyDescent="0.2">
      <c r="A1998" s="329" t="s">
        <v>39791</v>
      </c>
      <c r="B1998" s="542" t="s">
        <v>5917</v>
      </c>
      <c r="C1998" s="542"/>
      <c r="D1998" s="542"/>
      <c r="E1998" s="542"/>
      <c r="F1998" s="542"/>
      <c r="G1998" s="542"/>
      <c r="H1998" s="542"/>
      <c r="I1998" s="542"/>
      <c r="J1998" s="542"/>
      <c r="K1998" s="542"/>
      <c r="L1998" s="542"/>
      <c r="M1998" s="542"/>
      <c r="N1998" s="329" t="s">
        <v>39197</v>
      </c>
      <c r="O1998" s="330" t="s">
        <v>39792</v>
      </c>
    </row>
    <row r="1999" spans="1:15" s="328" customFormat="1" ht="12.75" customHeight="1" x14ac:dyDescent="0.2">
      <c r="A1999" s="331" t="str">
        <f>ORCAMENTO!A313</f>
        <v>15.1.5</v>
      </c>
      <c r="B1999" s="543" t="str">
        <f>VLOOKUP(A1999,ORCAMENTO!A:I,4,0)</f>
        <v>PORTA EM MADEIRA DE LEI COMPLETA DE CORRER (1.50X2.00)m</v>
      </c>
      <c r="C1999" s="543"/>
      <c r="D1999" s="543"/>
      <c r="E1999" s="543"/>
      <c r="F1999" s="543"/>
      <c r="G1999" s="543"/>
      <c r="H1999" s="543"/>
      <c r="I1999" s="543"/>
      <c r="J1999" s="543"/>
      <c r="K1999" s="543"/>
      <c r="L1999" s="543"/>
      <c r="M1999" s="543"/>
      <c r="N1999" s="331" t="str">
        <f>VLOOKUP(A1999,ORCAMENTO!A:I,5,0)</f>
        <v>UN</v>
      </c>
      <c r="O1999" s="332">
        <f>O2003</f>
        <v>3</v>
      </c>
    </row>
    <row r="2000" spans="1:15" s="328" customFormat="1" x14ac:dyDescent="0.2">
      <c r="A2000" s="539" t="s">
        <v>39793</v>
      </c>
      <c r="B2000" s="539"/>
      <c r="C2000" s="539"/>
      <c r="D2000" s="539"/>
      <c r="E2000" s="539"/>
      <c r="F2000" s="539"/>
      <c r="G2000" s="539"/>
      <c r="H2000" s="539"/>
      <c r="I2000" s="539"/>
      <c r="J2000" s="539"/>
      <c r="K2000" s="539"/>
      <c r="L2000" s="539"/>
      <c r="M2000" s="539"/>
      <c r="N2000" s="539"/>
      <c r="O2000" s="539"/>
    </row>
    <row r="2001" spans="1:15" s="328" customFormat="1" x14ac:dyDescent="0.2">
      <c r="A2001" s="539" t="s">
        <v>5917</v>
      </c>
      <c r="B2001" s="539"/>
      <c r="C2001" s="539"/>
      <c r="D2001" s="333"/>
      <c r="E2001" s="333"/>
      <c r="F2001" s="333"/>
      <c r="G2001" s="333"/>
      <c r="H2001" s="333"/>
      <c r="I2001" s="331"/>
      <c r="J2001" s="331"/>
      <c r="K2001" s="333"/>
      <c r="L2001" s="333"/>
      <c r="M2001" s="333" t="s">
        <v>39792</v>
      </c>
      <c r="N2001" s="333" t="s">
        <v>39794</v>
      </c>
      <c r="O2001" s="333" t="s">
        <v>39795</v>
      </c>
    </row>
    <row r="2002" spans="1:15" s="328" customFormat="1" x14ac:dyDescent="0.2">
      <c r="A2002" s="535" t="s">
        <v>39829</v>
      </c>
      <c r="B2002" s="535"/>
      <c r="C2002" s="535"/>
      <c r="D2002" s="333"/>
      <c r="E2002" s="333"/>
      <c r="F2002" s="333"/>
      <c r="G2002" s="333"/>
      <c r="H2002" s="333"/>
      <c r="I2002" s="331"/>
      <c r="J2002" s="331"/>
      <c r="K2002" s="339"/>
      <c r="L2002" s="332"/>
      <c r="M2002" s="339">
        <f>3</f>
        <v>3</v>
      </c>
      <c r="N2002" s="332" t="s">
        <v>39794</v>
      </c>
      <c r="O2002" s="340">
        <f>ROUND(M2002,2)</f>
        <v>3</v>
      </c>
    </row>
    <row r="2003" spans="1:15" s="328" customFormat="1" x14ac:dyDescent="0.2">
      <c r="A2003" s="540"/>
      <c r="B2003" s="540"/>
      <c r="C2003" s="540"/>
      <c r="D2003" s="540"/>
      <c r="E2003" s="540"/>
      <c r="F2003" s="540"/>
      <c r="G2003" s="540"/>
      <c r="H2003" s="540"/>
      <c r="I2003" s="540"/>
      <c r="J2003" s="540"/>
      <c r="K2003" s="540"/>
      <c r="L2003" s="334" t="s">
        <v>39796</v>
      </c>
      <c r="M2003" s="334" t="s">
        <v>39168</v>
      </c>
      <c r="N2003" s="333" t="s">
        <v>39794</v>
      </c>
      <c r="O2003" s="334">
        <f>SUM(O2001:O2002)</f>
        <v>3</v>
      </c>
    </row>
    <row r="2004" spans="1:15" s="328" customFormat="1" x14ac:dyDescent="0.2">
      <c r="A2004" s="329" t="s">
        <v>39791</v>
      </c>
      <c r="B2004" s="542" t="s">
        <v>5917</v>
      </c>
      <c r="C2004" s="542"/>
      <c r="D2004" s="542"/>
      <c r="E2004" s="542"/>
      <c r="F2004" s="542"/>
      <c r="G2004" s="542"/>
      <c r="H2004" s="542"/>
      <c r="I2004" s="542"/>
      <c r="J2004" s="542"/>
      <c r="K2004" s="542"/>
      <c r="L2004" s="542"/>
      <c r="M2004" s="542"/>
      <c r="N2004" s="329" t="s">
        <v>39197</v>
      </c>
      <c r="O2004" s="330" t="s">
        <v>39792</v>
      </c>
    </row>
    <row r="2005" spans="1:15" s="328" customFormat="1" ht="12.75" customHeight="1" x14ac:dyDescent="0.2">
      <c r="A2005" s="331" t="str">
        <f>ORCAMENTO!A314</f>
        <v>15.1.6</v>
      </c>
      <c r="B2005" s="543" t="str">
        <f>VLOOKUP(A2005,ORCAMENTO!A:I,4,0)</f>
        <v>PORTA EM MADEIRA DE LEI COMPLETA DE ABRIR (2.00X1.60)m</v>
      </c>
      <c r="C2005" s="543"/>
      <c r="D2005" s="543"/>
      <c r="E2005" s="543"/>
      <c r="F2005" s="543"/>
      <c r="G2005" s="543"/>
      <c r="H2005" s="543"/>
      <c r="I2005" s="543"/>
      <c r="J2005" s="543"/>
      <c r="K2005" s="543"/>
      <c r="L2005" s="543"/>
      <c r="M2005" s="543"/>
      <c r="N2005" s="331" t="str">
        <f>VLOOKUP(A2005,ORCAMENTO!A:I,5,0)</f>
        <v>UN</v>
      </c>
      <c r="O2005" s="332">
        <f>O2009</f>
        <v>1</v>
      </c>
    </row>
    <row r="2006" spans="1:15" s="328" customFormat="1" x14ac:dyDescent="0.2">
      <c r="A2006" s="539" t="s">
        <v>39793</v>
      </c>
      <c r="B2006" s="539"/>
      <c r="C2006" s="539"/>
      <c r="D2006" s="539"/>
      <c r="E2006" s="539"/>
      <c r="F2006" s="539"/>
      <c r="G2006" s="539"/>
      <c r="H2006" s="539"/>
      <c r="I2006" s="539"/>
      <c r="J2006" s="539"/>
      <c r="K2006" s="539"/>
      <c r="L2006" s="539"/>
      <c r="M2006" s="539"/>
      <c r="N2006" s="539"/>
      <c r="O2006" s="539"/>
    </row>
    <row r="2007" spans="1:15" s="328" customFormat="1" x14ac:dyDescent="0.2">
      <c r="A2007" s="539" t="s">
        <v>5917</v>
      </c>
      <c r="B2007" s="539"/>
      <c r="C2007" s="539"/>
      <c r="D2007" s="333"/>
      <c r="E2007" s="333"/>
      <c r="F2007" s="333"/>
      <c r="G2007" s="333"/>
      <c r="H2007" s="333"/>
      <c r="I2007" s="331"/>
      <c r="J2007" s="331"/>
      <c r="K2007" s="333"/>
      <c r="L2007" s="333"/>
      <c r="M2007" s="333" t="s">
        <v>39792</v>
      </c>
      <c r="N2007" s="333" t="s">
        <v>39794</v>
      </c>
      <c r="O2007" s="333" t="s">
        <v>39795</v>
      </c>
    </row>
    <row r="2008" spans="1:15" s="328" customFormat="1" x14ac:dyDescent="0.2">
      <c r="A2008" s="535" t="s">
        <v>39830</v>
      </c>
      <c r="B2008" s="535"/>
      <c r="C2008" s="535"/>
      <c r="D2008" s="333"/>
      <c r="E2008" s="333"/>
      <c r="F2008" s="333"/>
      <c r="G2008" s="333"/>
      <c r="H2008" s="333"/>
      <c r="I2008" s="331"/>
      <c r="J2008" s="331"/>
      <c r="K2008" s="339"/>
      <c r="L2008" s="332"/>
      <c r="M2008" s="339">
        <v>1</v>
      </c>
      <c r="N2008" s="332" t="s">
        <v>39794</v>
      </c>
      <c r="O2008" s="340">
        <f>ROUND(M2008,2)</f>
        <v>1</v>
      </c>
    </row>
    <row r="2009" spans="1:15" s="328" customFormat="1" x14ac:dyDescent="0.2">
      <c r="A2009" s="540"/>
      <c r="B2009" s="540"/>
      <c r="C2009" s="540"/>
      <c r="D2009" s="540"/>
      <c r="E2009" s="540"/>
      <c r="F2009" s="540"/>
      <c r="G2009" s="540"/>
      <c r="H2009" s="540"/>
      <c r="I2009" s="540"/>
      <c r="J2009" s="540"/>
      <c r="K2009" s="540"/>
      <c r="L2009" s="334" t="s">
        <v>39796</v>
      </c>
      <c r="M2009" s="334" t="s">
        <v>39168</v>
      </c>
      <c r="N2009" s="333" t="s">
        <v>39794</v>
      </c>
      <c r="O2009" s="334">
        <f>SUM(O2007:O2008)</f>
        <v>1</v>
      </c>
    </row>
    <row r="2010" spans="1:15" s="328" customFormat="1" x14ac:dyDescent="0.2">
      <c r="A2010" s="329" t="s">
        <v>39791</v>
      </c>
      <c r="B2010" s="542" t="s">
        <v>5917</v>
      </c>
      <c r="C2010" s="542"/>
      <c r="D2010" s="542"/>
      <c r="E2010" s="542"/>
      <c r="F2010" s="542"/>
      <c r="G2010" s="542"/>
      <c r="H2010" s="542"/>
      <c r="I2010" s="542"/>
      <c r="J2010" s="542"/>
      <c r="K2010" s="542"/>
      <c r="L2010" s="542"/>
      <c r="M2010" s="542"/>
      <c r="N2010" s="329" t="s">
        <v>39197</v>
      </c>
      <c r="O2010" s="330" t="s">
        <v>39792</v>
      </c>
    </row>
    <row r="2011" spans="1:15" s="328" customFormat="1" ht="12.75" customHeight="1" x14ac:dyDescent="0.2">
      <c r="A2011" s="331" t="str">
        <f>ORCAMENTO!A315</f>
        <v>15.1.7</v>
      </c>
      <c r="B2011" s="543" t="str">
        <f>VLOOKUP(A2011,ORCAMENTO!A:I,4,0)</f>
        <v>PORTA EM MADEIRA DE LEI COMPLETA DE ABRIR (1.20X1.60)m</v>
      </c>
      <c r="C2011" s="543"/>
      <c r="D2011" s="543"/>
      <c r="E2011" s="543"/>
      <c r="F2011" s="543"/>
      <c r="G2011" s="543"/>
      <c r="H2011" s="543"/>
      <c r="I2011" s="543"/>
      <c r="J2011" s="543"/>
      <c r="K2011" s="543"/>
      <c r="L2011" s="543"/>
      <c r="M2011" s="543"/>
      <c r="N2011" s="331" t="str">
        <f>VLOOKUP(A2011,ORCAMENTO!A:I,5,0)</f>
        <v>UN</v>
      </c>
      <c r="O2011" s="332">
        <f>O2015</f>
        <v>1</v>
      </c>
    </row>
    <row r="2012" spans="1:15" s="328" customFormat="1" x14ac:dyDescent="0.2">
      <c r="A2012" s="539" t="s">
        <v>39793</v>
      </c>
      <c r="B2012" s="539"/>
      <c r="C2012" s="539"/>
      <c r="D2012" s="539"/>
      <c r="E2012" s="539"/>
      <c r="F2012" s="539"/>
      <c r="G2012" s="539"/>
      <c r="H2012" s="539"/>
      <c r="I2012" s="539"/>
      <c r="J2012" s="539"/>
      <c r="K2012" s="539"/>
      <c r="L2012" s="539"/>
      <c r="M2012" s="539"/>
      <c r="N2012" s="539"/>
      <c r="O2012" s="539"/>
    </row>
    <row r="2013" spans="1:15" s="328" customFormat="1" x14ac:dyDescent="0.2">
      <c r="A2013" s="539" t="s">
        <v>5917</v>
      </c>
      <c r="B2013" s="539"/>
      <c r="C2013" s="539"/>
      <c r="D2013" s="333"/>
      <c r="E2013" s="333"/>
      <c r="F2013" s="333"/>
      <c r="G2013" s="333"/>
      <c r="H2013" s="333"/>
      <c r="I2013" s="331"/>
      <c r="J2013" s="331"/>
      <c r="K2013" s="333"/>
      <c r="L2013" s="333"/>
      <c r="M2013" s="333" t="s">
        <v>39792</v>
      </c>
      <c r="N2013" s="333" t="s">
        <v>39794</v>
      </c>
      <c r="O2013" s="333" t="s">
        <v>39795</v>
      </c>
    </row>
    <row r="2014" spans="1:15" s="328" customFormat="1" x14ac:dyDescent="0.2">
      <c r="A2014" s="535" t="s">
        <v>39831</v>
      </c>
      <c r="B2014" s="535"/>
      <c r="C2014" s="535"/>
      <c r="D2014" s="333"/>
      <c r="E2014" s="333"/>
      <c r="F2014" s="333"/>
      <c r="G2014" s="333"/>
      <c r="H2014" s="333"/>
      <c r="I2014" s="331"/>
      <c r="J2014" s="331"/>
      <c r="K2014" s="339"/>
      <c r="L2014" s="332"/>
      <c r="M2014" s="339">
        <f>1</f>
        <v>1</v>
      </c>
      <c r="N2014" s="332" t="s">
        <v>39794</v>
      </c>
      <c r="O2014" s="340">
        <f>ROUND(M2014,2)</f>
        <v>1</v>
      </c>
    </row>
    <row r="2015" spans="1:15" s="328" customFormat="1" x14ac:dyDescent="0.2">
      <c r="A2015" s="540"/>
      <c r="B2015" s="540"/>
      <c r="C2015" s="540"/>
      <c r="D2015" s="540"/>
      <c r="E2015" s="540"/>
      <c r="F2015" s="540"/>
      <c r="G2015" s="540"/>
      <c r="H2015" s="540"/>
      <c r="I2015" s="540"/>
      <c r="J2015" s="540"/>
      <c r="K2015" s="540"/>
      <c r="L2015" s="334" t="s">
        <v>39796</v>
      </c>
      <c r="M2015" s="334" t="s">
        <v>39168</v>
      </c>
      <c r="N2015" s="333" t="s">
        <v>39794</v>
      </c>
      <c r="O2015" s="334">
        <f>SUM(O2013:O2014)</f>
        <v>1</v>
      </c>
    </row>
    <row r="2016" spans="1:15" s="328" customFormat="1" x14ac:dyDescent="0.2">
      <c r="A2016" s="329" t="s">
        <v>39791</v>
      </c>
      <c r="B2016" s="542" t="s">
        <v>5917</v>
      </c>
      <c r="C2016" s="542"/>
      <c r="D2016" s="542"/>
      <c r="E2016" s="542"/>
      <c r="F2016" s="542"/>
      <c r="G2016" s="542"/>
      <c r="H2016" s="542"/>
      <c r="I2016" s="542"/>
      <c r="J2016" s="542"/>
      <c r="K2016" s="542"/>
      <c r="L2016" s="542"/>
      <c r="M2016" s="542"/>
      <c r="N2016" s="329" t="s">
        <v>39197</v>
      </c>
      <c r="O2016" s="330" t="s">
        <v>39792</v>
      </c>
    </row>
    <row r="2017" spans="1:15" s="328" customFormat="1" x14ac:dyDescent="0.2">
      <c r="A2017" s="331" t="str">
        <f>ORCAMENTO!A316</f>
        <v>15.1.8</v>
      </c>
      <c r="B2017" s="543" t="str">
        <f>VLOOKUP(A2017,ORCAMENTO!A:I,4,0)</f>
        <v>BANDEIROLA EM MADEIRA</v>
      </c>
      <c r="C2017" s="543"/>
      <c r="D2017" s="543"/>
      <c r="E2017" s="543"/>
      <c r="F2017" s="543"/>
      <c r="G2017" s="543"/>
      <c r="H2017" s="543"/>
      <c r="I2017" s="543"/>
      <c r="J2017" s="543"/>
      <c r="K2017" s="543"/>
      <c r="L2017" s="543"/>
      <c r="M2017" s="543"/>
      <c r="N2017" s="331" t="str">
        <f>VLOOKUP(A2017,ORCAMENTO!A:I,5,0)</f>
        <v>M2</v>
      </c>
      <c r="O2017" s="332">
        <f>O2023</f>
        <v>3.33</v>
      </c>
    </row>
    <row r="2018" spans="1:15" s="328" customFormat="1" x14ac:dyDescent="0.2">
      <c r="A2018" s="539" t="s">
        <v>39793</v>
      </c>
      <c r="B2018" s="539"/>
      <c r="C2018" s="539"/>
      <c r="D2018" s="539"/>
      <c r="E2018" s="539"/>
      <c r="F2018" s="539"/>
      <c r="G2018" s="539"/>
      <c r="H2018" s="539"/>
      <c r="I2018" s="539"/>
      <c r="J2018" s="539"/>
      <c r="K2018" s="539"/>
      <c r="L2018" s="539"/>
      <c r="M2018" s="539"/>
      <c r="N2018" s="539"/>
      <c r="O2018" s="539"/>
    </row>
    <row r="2019" spans="1:15" s="328" customFormat="1" x14ac:dyDescent="0.2">
      <c r="A2019" s="539" t="s">
        <v>5917</v>
      </c>
      <c r="B2019" s="539"/>
      <c r="C2019" s="539"/>
      <c r="D2019" s="333"/>
      <c r="E2019" s="333"/>
      <c r="F2019" s="333"/>
      <c r="G2019" s="333"/>
      <c r="H2019" s="333"/>
      <c r="I2019" s="333" t="s">
        <v>39792</v>
      </c>
      <c r="J2019" s="333" t="s">
        <v>39805</v>
      </c>
      <c r="K2019" s="333" t="s">
        <v>39804</v>
      </c>
      <c r="L2019" s="333" t="s">
        <v>39805</v>
      </c>
      <c r="M2019" s="333" t="s">
        <v>39823</v>
      </c>
      <c r="N2019" s="333" t="s">
        <v>39794</v>
      </c>
      <c r="O2019" s="333" t="s">
        <v>39795</v>
      </c>
    </row>
    <row r="2020" spans="1:15" s="328" customFormat="1" x14ac:dyDescent="0.2">
      <c r="A2020" s="535" t="s">
        <v>39824</v>
      </c>
      <c r="B2020" s="535"/>
      <c r="C2020" s="535"/>
      <c r="D2020" s="334"/>
      <c r="E2020" s="334"/>
      <c r="F2020" s="334"/>
      <c r="G2020" s="334"/>
      <c r="H2020" s="334"/>
      <c r="I2020" s="332">
        <f>7</f>
        <v>7</v>
      </c>
      <c r="J2020" s="332" t="s">
        <v>39805</v>
      </c>
      <c r="K2020" s="332">
        <f>1.2</f>
        <v>1.2</v>
      </c>
      <c r="L2020" s="332" t="s">
        <v>39805</v>
      </c>
      <c r="M2020" s="332">
        <f>0.3</f>
        <v>0.3</v>
      </c>
      <c r="N2020" s="332" t="s">
        <v>39794</v>
      </c>
      <c r="O2020" s="335">
        <f>ROUND(I2020*K2020*M2020,2)</f>
        <v>2.52</v>
      </c>
    </row>
    <row r="2021" spans="1:15" s="328" customFormat="1" x14ac:dyDescent="0.2">
      <c r="A2021" s="535" t="s">
        <v>39825</v>
      </c>
      <c r="B2021" s="535"/>
      <c r="C2021" s="535"/>
      <c r="D2021" s="334"/>
      <c r="E2021" s="334"/>
      <c r="F2021" s="334"/>
      <c r="G2021" s="334"/>
      <c r="H2021" s="334"/>
      <c r="I2021" s="332">
        <f>2</f>
        <v>2</v>
      </c>
      <c r="J2021" s="332" t="s">
        <v>39805</v>
      </c>
      <c r="K2021" s="332">
        <f>0.9</f>
        <v>0.9</v>
      </c>
      <c r="L2021" s="332" t="s">
        <v>39805</v>
      </c>
      <c r="M2021" s="332">
        <f>0.3</f>
        <v>0.3</v>
      </c>
      <c r="N2021" s="332" t="s">
        <v>39794</v>
      </c>
      <c r="O2021" s="335">
        <f t="shared" ref="O2021:O2022" si="101">ROUND(I2021*K2021*M2021,2)</f>
        <v>0.54</v>
      </c>
    </row>
    <row r="2022" spans="1:15" s="328" customFormat="1" x14ac:dyDescent="0.2">
      <c r="A2022" s="535" t="s">
        <v>39826</v>
      </c>
      <c r="B2022" s="535"/>
      <c r="C2022" s="535"/>
      <c r="D2022" s="334"/>
      <c r="E2022" s="334"/>
      <c r="F2022" s="334"/>
      <c r="G2022" s="334"/>
      <c r="H2022" s="334"/>
      <c r="I2022" s="332">
        <f>1</f>
        <v>1</v>
      </c>
      <c r="J2022" s="332" t="s">
        <v>39805</v>
      </c>
      <c r="K2022" s="332">
        <f>0.9</f>
        <v>0.9</v>
      </c>
      <c r="L2022" s="332" t="s">
        <v>39805</v>
      </c>
      <c r="M2022" s="332">
        <f>0.3</f>
        <v>0.3</v>
      </c>
      <c r="N2022" s="332" t="s">
        <v>39794</v>
      </c>
      <c r="O2022" s="335">
        <f t="shared" si="101"/>
        <v>0.27</v>
      </c>
    </row>
    <row r="2023" spans="1:15" s="328" customFormat="1" x14ac:dyDescent="0.2">
      <c r="A2023" s="540"/>
      <c r="B2023" s="540"/>
      <c r="C2023" s="540"/>
      <c r="D2023" s="540"/>
      <c r="E2023" s="540"/>
      <c r="F2023" s="540"/>
      <c r="G2023" s="540"/>
      <c r="H2023" s="540"/>
      <c r="I2023" s="540"/>
      <c r="J2023" s="540"/>
      <c r="K2023" s="540"/>
      <c r="L2023" s="334" t="s">
        <v>39796</v>
      </c>
      <c r="M2023" s="334" t="s">
        <v>39168</v>
      </c>
      <c r="N2023" s="333" t="s">
        <v>39794</v>
      </c>
      <c r="O2023" s="334">
        <f>SUM(O2019:O2022)</f>
        <v>3.33</v>
      </c>
    </row>
    <row r="2024" spans="1:15" s="328" customFormat="1" x14ac:dyDescent="0.2">
      <c r="A2024" s="329" t="s">
        <v>39791</v>
      </c>
      <c r="B2024" s="542" t="s">
        <v>5917</v>
      </c>
      <c r="C2024" s="542"/>
      <c r="D2024" s="542"/>
      <c r="E2024" s="542"/>
      <c r="F2024" s="542"/>
      <c r="G2024" s="542"/>
      <c r="H2024" s="542"/>
      <c r="I2024" s="542"/>
      <c r="J2024" s="542"/>
      <c r="K2024" s="542"/>
      <c r="L2024" s="542"/>
      <c r="M2024" s="542"/>
      <c r="N2024" s="329" t="s">
        <v>39197</v>
      </c>
      <c r="O2024" s="330" t="s">
        <v>39792</v>
      </c>
    </row>
    <row r="2025" spans="1:15" s="328" customFormat="1" ht="12.75" customHeight="1" x14ac:dyDescent="0.2">
      <c r="A2025" s="331" t="str">
        <f>ORCAMENTO!A317</f>
        <v>15.1.9</v>
      </c>
      <c r="B2025" s="543" t="str">
        <f>VLOOKUP(A2025,ORCAMENTO!A:I,4,0)</f>
        <v>VISOR COM VIDRO TEMPERADO E=6mm E MOLDURA DE ALUMÍNIO</v>
      </c>
      <c r="C2025" s="543"/>
      <c r="D2025" s="543"/>
      <c r="E2025" s="543"/>
      <c r="F2025" s="543"/>
      <c r="G2025" s="543"/>
      <c r="H2025" s="543"/>
      <c r="I2025" s="543"/>
      <c r="J2025" s="543"/>
      <c r="K2025" s="543"/>
      <c r="L2025" s="543"/>
      <c r="M2025" s="543"/>
      <c r="N2025" s="331" t="str">
        <f>VLOOKUP(A2025,ORCAMENTO!A:I,5,0)</f>
        <v>M2</v>
      </c>
      <c r="O2025" s="332">
        <f>O2029</f>
        <v>1.54</v>
      </c>
    </row>
    <row r="2026" spans="1:15" s="328" customFormat="1" x14ac:dyDescent="0.2">
      <c r="A2026" s="539" t="s">
        <v>39793</v>
      </c>
      <c r="B2026" s="539"/>
      <c r="C2026" s="539"/>
      <c r="D2026" s="539"/>
      <c r="E2026" s="539"/>
      <c r="F2026" s="539"/>
      <c r="G2026" s="539"/>
      <c r="H2026" s="539"/>
      <c r="I2026" s="539"/>
      <c r="J2026" s="539"/>
      <c r="K2026" s="539"/>
      <c r="L2026" s="539"/>
      <c r="M2026" s="539"/>
      <c r="N2026" s="539"/>
      <c r="O2026" s="539"/>
    </row>
    <row r="2027" spans="1:15" s="328" customFormat="1" x14ac:dyDescent="0.2">
      <c r="A2027" s="539" t="s">
        <v>5917</v>
      </c>
      <c r="B2027" s="539"/>
      <c r="C2027" s="539"/>
      <c r="D2027" s="333"/>
      <c r="E2027" s="333"/>
      <c r="F2027" s="333"/>
      <c r="G2027" s="333"/>
      <c r="H2027" s="333"/>
      <c r="I2027" s="333" t="s">
        <v>39792</v>
      </c>
      <c r="J2027" s="333" t="s">
        <v>39805</v>
      </c>
      <c r="K2027" s="333" t="s">
        <v>39804</v>
      </c>
      <c r="L2027" s="333" t="s">
        <v>39805</v>
      </c>
      <c r="M2027" s="333" t="s">
        <v>39823</v>
      </c>
      <c r="N2027" s="333" t="s">
        <v>39794</v>
      </c>
      <c r="O2027" s="333" t="s">
        <v>39795</v>
      </c>
    </row>
    <row r="2028" spans="1:15" s="328" customFormat="1" x14ac:dyDescent="0.2">
      <c r="A2028" s="535" t="s">
        <v>39824</v>
      </c>
      <c r="B2028" s="535"/>
      <c r="C2028" s="535"/>
      <c r="D2028" s="333"/>
      <c r="E2028" s="334"/>
      <c r="F2028" s="334"/>
      <c r="G2028" s="334"/>
      <c r="H2028" s="334"/>
      <c r="I2028" s="332">
        <f>7</f>
        <v>7</v>
      </c>
      <c r="J2028" s="332" t="s">
        <v>39805</v>
      </c>
      <c r="K2028" s="332">
        <f>0.2</f>
        <v>0.2</v>
      </c>
      <c r="L2028" s="332" t="s">
        <v>39805</v>
      </c>
      <c r="M2028" s="332">
        <f>1.1</f>
        <v>1.1000000000000001</v>
      </c>
      <c r="N2028" s="332" t="s">
        <v>39794</v>
      </c>
      <c r="O2028" s="335">
        <f>ROUND(I2028*K2028*M2028,2)</f>
        <v>1.54</v>
      </c>
    </row>
    <row r="2029" spans="1:15" s="328" customFormat="1" x14ac:dyDescent="0.2">
      <c r="A2029" s="540"/>
      <c r="B2029" s="540"/>
      <c r="C2029" s="540"/>
      <c r="D2029" s="540"/>
      <c r="E2029" s="540"/>
      <c r="F2029" s="540"/>
      <c r="G2029" s="540"/>
      <c r="H2029" s="540"/>
      <c r="I2029" s="540"/>
      <c r="J2029" s="540"/>
      <c r="K2029" s="540"/>
      <c r="L2029" s="334" t="s">
        <v>39796</v>
      </c>
      <c r="M2029" s="334" t="s">
        <v>39168</v>
      </c>
      <c r="N2029" s="333" t="s">
        <v>39794</v>
      </c>
      <c r="O2029" s="334">
        <f>SUM(O2027:O2028)</f>
        <v>1.54</v>
      </c>
    </row>
    <row r="2030" spans="1:15" s="328" customFormat="1" x14ac:dyDescent="0.2">
      <c r="A2030" s="329" t="s">
        <v>39791</v>
      </c>
      <c r="B2030" s="542" t="s">
        <v>5917</v>
      </c>
      <c r="C2030" s="542"/>
      <c r="D2030" s="542"/>
      <c r="E2030" s="542"/>
      <c r="F2030" s="542"/>
      <c r="G2030" s="542"/>
      <c r="H2030" s="542"/>
      <c r="I2030" s="542"/>
      <c r="J2030" s="542"/>
      <c r="K2030" s="542"/>
      <c r="L2030" s="542"/>
      <c r="M2030" s="542"/>
      <c r="N2030" s="329" t="s">
        <v>39197</v>
      </c>
      <c r="O2030" s="330" t="s">
        <v>39792</v>
      </c>
    </row>
    <row r="2031" spans="1:15" s="328" customFormat="1" ht="39.950000000000003" customHeight="1" x14ac:dyDescent="0.2">
      <c r="A2031" s="331" t="str">
        <f>ORCAMENTO!A318</f>
        <v>15.1.10</v>
      </c>
      <c r="B2031" s="543" t="str">
        <f>VLOOKUP(A2031,ORCAMENTO!A:I,4,0)</f>
        <v>BATEDOR PARA PORTA EM CHAPA DE ALUMÍNIO TIPO XADREZ LAVRADA ESP. 3mm C/ FIXAÇÃO SOBRE MADEIRA LISA OU REVESTIMENTO MELAMÍNICO COM FITA DUPLA FACE</v>
      </c>
      <c r="C2031" s="543"/>
      <c r="D2031" s="543"/>
      <c r="E2031" s="543"/>
      <c r="F2031" s="543"/>
      <c r="G2031" s="543"/>
      <c r="H2031" s="543"/>
      <c r="I2031" s="543"/>
      <c r="J2031" s="543"/>
      <c r="K2031" s="543"/>
      <c r="L2031" s="543"/>
      <c r="M2031" s="543"/>
      <c r="N2031" s="331" t="str">
        <f>VLOOKUP(A2031,ORCAMENTO!A:I,5,0)</f>
        <v>M2</v>
      </c>
      <c r="O2031" s="332">
        <f>O2037</f>
        <v>8.8800000000000008</v>
      </c>
    </row>
    <row r="2032" spans="1:15" s="328" customFormat="1" x14ac:dyDescent="0.2">
      <c r="A2032" s="539" t="s">
        <v>39793</v>
      </c>
      <c r="B2032" s="539"/>
      <c r="C2032" s="539"/>
      <c r="D2032" s="539"/>
      <c r="E2032" s="539"/>
      <c r="F2032" s="539"/>
      <c r="G2032" s="539"/>
      <c r="H2032" s="539"/>
      <c r="I2032" s="539"/>
      <c r="J2032" s="539"/>
      <c r="K2032" s="539"/>
      <c r="L2032" s="539"/>
      <c r="M2032" s="539"/>
      <c r="N2032" s="539"/>
      <c r="O2032" s="539"/>
    </row>
    <row r="2033" spans="1:15" s="328" customFormat="1" x14ac:dyDescent="0.2">
      <c r="A2033" s="539" t="s">
        <v>5917</v>
      </c>
      <c r="B2033" s="539"/>
      <c r="C2033" s="539"/>
      <c r="D2033" s="333"/>
      <c r="E2033" s="333"/>
      <c r="F2033" s="333"/>
      <c r="G2033" s="333" t="s">
        <v>39833</v>
      </c>
      <c r="H2033" s="333" t="s">
        <v>39805</v>
      </c>
      <c r="I2033" s="333" t="s">
        <v>39792</v>
      </c>
      <c r="J2033" s="333" t="s">
        <v>39805</v>
      </c>
      <c r="K2033" s="333" t="s">
        <v>39804</v>
      </c>
      <c r="L2033" s="333" t="s">
        <v>39805</v>
      </c>
      <c r="M2033" s="333" t="s">
        <v>39823</v>
      </c>
      <c r="N2033" s="333" t="s">
        <v>39794</v>
      </c>
      <c r="O2033" s="333" t="s">
        <v>39795</v>
      </c>
    </row>
    <row r="2034" spans="1:15" s="328" customFormat="1" x14ac:dyDescent="0.2">
      <c r="A2034" s="535" t="s">
        <v>39824</v>
      </c>
      <c r="B2034" s="535"/>
      <c r="C2034" s="535"/>
      <c r="D2034" s="333"/>
      <c r="E2034" s="339"/>
      <c r="F2034" s="339"/>
      <c r="G2034" s="339">
        <v>2</v>
      </c>
      <c r="H2034" s="339" t="s">
        <v>39805</v>
      </c>
      <c r="I2034" s="339">
        <f>7</f>
        <v>7</v>
      </c>
      <c r="J2034" s="339" t="s">
        <v>39805</v>
      </c>
      <c r="K2034" s="339">
        <f>1.2</f>
        <v>1.2</v>
      </c>
      <c r="L2034" s="339" t="s">
        <v>39805</v>
      </c>
      <c r="M2034" s="339">
        <f>0.4</f>
        <v>0.4</v>
      </c>
      <c r="N2034" s="339" t="s">
        <v>39794</v>
      </c>
      <c r="O2034" s="340">
        <f>ROUND(G2034*I2034*K2034*M2034,2)</f>
        <v>6.72</v>
      </c>
    </row>
    <row r="2035" spans="1:15" s="328" customFormat="1" x14ac:dyDescent="0.2">
      <c r="A2035" s="535" t="s">
        <v>39825</v>
      </c>
      <c r="B2035" s="535"/>
      <c r="C2035" s="535"/>
      <c r="D2035" s="333"/>
      <c r="E2035" s="339"/>
      <c r="F2035" s="339"/>
      <c r="G2035" s="339">
        <v>2</v>
      </c>
      <c r="H2035" s="339" t="s">
        <v>39805</v>
      </c>
      <c r="I2035" s="339">
        <f>2</f>
        <v>2</v>
      </c>
      <c r="J2035" s="339" t="s">
        <v>39805</v>
      </c>
      <c r="K2035" s="339">
        <f>0.9</f>
        <v>0.9</v>
      </c>
      <c r="L2035" s="339" t="s">
        <v>39805</v>
      </c>
      <c r="M2035" s="339">
        <f>0.4</f>
        <v>0.4</v>
      </c>
      <c r="N2035" s="339" t="s">
        <v>39794</v>
      </c>
      <c r="O2035" s="340">
        <f t="shared" ref="O2035:O2036" si="102">ROUND(G2035*I2035*K2035*M2035,2)</f>
        <v>1.44</v>
      </c>
    </row>
    <row r="2036" spans="1:15" s="328" customFormat="1" x14ac:dyDescent="0.2">
      <c r="A2036" s="535" t="s">
        <v>39826</v>
      </c>
      <c r="B2036" s="535"/>
      <c r="C2036" s="535"/>
      <c r="D2036" s="333"/>
      <c r="E2036" s="339"/>
      <c r="F2036" s="339"/>
      <c r="G2036" s="339">
        <v>2</v>
      </c>
      <c r="H2036" s="339" t="s">
        <v>39805</v>
      </c>
      <c r="I2036" s="339">
        <f>1</f>
        <v>1</v>
      </c>
      <c r="J2036" s="339" t="s">
        <v>39805</v>
      </c>
      <c r="K2036" s="339">
        <f>0.9</f>
        <v>0.9</v>
      </c>
      <c r="L2036" s="339" t="s">
        <v>39805</v>
      </c>
      <c r="M2036" s="339">
        <f>0.4</f>
        <v>0.4</v>
      </c>
      <c r="N2036" s="339" t="s">
        <v>39794</v>
      </c>
      <c r="O2036" s="340">
        <f t="shared" si="102"/>
        <v>0.72</v>
      </c>
    </row>
    <row r="2037" spans="1:15" s="328" customFormat="1" x14ac:dyDescent="0.2">
      <c r="A2037" s="540"/>
      <c r="B2037" s="540"/>
      <c r="C2037" s="540"/>
      <c r="D2037" s="540"/>
      <c r="E2037" s="540"/>
      <c r="F2037" s="540"/>
      <c r="G2037" s="540"/>
      <c r="H2037" s="540"/>
      <c r="I2037" s="540"/>
      <c r="J2037" s="540"/>
      <c r="K2037" s="540"/>
      <c r="L2037" s="334" t="s">
        <v>39796</v>
      </c>
      <c r="M2037" s="334" t="s">
        <v>39168</v>
      </c>
      <c r="N2037" s="333" t="s">
        <v>39794</v>
      </c>
      <c r="O2037" s="334">
        <f>SUM(O2033:O2036)</f>
        <v>8.8800000000000008</v>
      </c>
    </row>
    <row r="2038" spans="1:15" s="328" customFormat="1" x14ac:dyDescent="0.2">
      <c r="A2038" s="329" t="s">
        <v>39791</v>
      </c>
      <c r="B2038" s="542" t="s">
        <v>5917</v>
      </c>
      <c r="C2038" s="542"/>
      <c r="D2038" s="542"/>
      <c r="E2038" s="542"/>
      <c r="F2038" s="542"/>
      <c r="G2038" s="542"/>
      <c r="H2038" s="542"/>
      <c r="I2038" s="542"/>
      <c r="J2038" s="542"/>
      <c r="K2038" s="542"/>
      <c r="L2038" s="542"/>
      <c r="M2038" s="542"/>
      <c r="N2038" s="329" t="s">
        <v>39197</v>
      </c>
      <c r="O2038" s="330" t="s">
        <v>39792</v>
      </c>
    </row>
    <row r="2039" spans="1:15" s="328" customFormat="1" ht="12.75" customHeight="1" x14ac:dyDescent="0.2">
      <c r="A2039" s="331" t="str">
        <f>ORCAMENTO!A319</f>
        <v>15.1.11</v>
      </c>
      <c r="B2039" s="543" t="str">
        <f>VLOOKUP(A2039,ORCAMENTO!A:I,4,0)</f>
        <v>PEÇAS DE APOIO DEFICIENTES C/TUBO INOX  P/WC'S</v>
      </c>
      <c r="C2039" s="543"/>
      <c r="D2039" s="543"/>
      <c r="E2039" s="543"/>
      <c r="F2039" s="543"/>
      <c r="G2039" s="543"/>
      <c r="H2039" s="543"/>
      <c r="I2039" s="543"/>
      <c r="J2039" s="543"/>
      <c r="K2039" s="543"/>
      <c r="L2039" s="543"/>
      <c r="M2039" s="543"/>
      <c r="N2039" s="331" t="str">
        <f>VLOOKUP(A2039,ORCAMENTO!A:I,5,0)</f>
        <v>M</v>
      </c>
      <c r="O2039" s="332">
        <f>O2043</f>
        <v>0.4</v>
      </c>
    </row>
    <row r="2040" spans="1:15" s="328" customFormat="1" x14ac:dyDescent="0.2">
      <c r="A2040" s="539" t="s">
        <v>39793</v>
      </c>
      <c r="B2040" s="539"/>
      <c r="C2040" s="539"/>
      <c r="D2040" s="539"/>
      <c r="E2040" s="539"/>
      <c r="F2040" s="539"/>
      <c r="G2040" s="539"/>
      <c r="H2040" s="539"/>
      <c r="I2040" s="539"/>
      <c r="J2040" s="539"/>
      <c r="K2040" s="539"/>
      <c r="L2040" s="539"/>
      <c r="M2040" s="539"/>
      <c r="N2040" s="539"/>
      <c r="O2040" s="539"/>
    </row>
    <row r="2041" spans="1:15" s="328" customFormat="1" x14ac:dyDescent="0.2">
      <c r="A2041" s="539" t="s">
        <v>5917</v>
      </c>
      <c r="B2041" s="539"/>
      <c r="C2041" s="539"/>
      <c r="D2041" s="333"/>
      <c r="E2041" s="333"/>
      <c r="F2041" s="333"/>
      <c r="G2041" s="333"/>
      <c r="H2041" s="333"/>
      <c r="I2041" s="331"/>
      <c r="J2041" s="331"/>
      <c r="K2041" s="333" t="s">
        <v>39792</v>
      </c>
      <c r="L2041" s="333" t="s">
        <v>39805</v>
      </c>
      <c r="M2041" s="333" t="s">
        <v>39802</v>
      </c>
      <c r="N2041" s="333" t="s">
        <v>39794</v>
      </c>
      <c r="O2041" s="333" t="s">
        <v>39795</v>
      </c>
    </row>
    <row r="2042" spans="1:15" s="328" customFormat="1" x14ac:dyDescent="0.2">
      <c r="A2042" s="535" t="s">
        <v>39826</v>
      </c>
      <c r="B2042" s="535"/>
      <c r="C2042" s="535"/>
      <c r="D2042" s="333"/>
      <c r="E2042" s="333"/>
      <c r="F2042" s="333"/>
      <c r="G2042" s="333"/>
      <c r="H2042" s="333"/>
      <c r="I2042" s="331"/>
      <c r="J2042" s="331"/>
      <c r="K2042" s="339">
        <f>1</f>
        <v>1</v>
      </c>
      <c r="L2042" s="339" t="s">
        <v>39805</v>
      </c>
      <c r="M2042" s="339">
        <f>0.4</f>
        <v>0.4</v>
      </c>
      <c r="N2042" s="332" t="s">
        <v>39794</v>
      </c>
      <c r="O2042" s="335">
        <f>ROUND(K2042*M2042,2)</f>
        <v>0.4</v>
      </c>
    </row>
    <row r="2043" spans="1:15" s="328" customFormat="1" x14ac:dyDescent="0.2">
      <c r="A2043" s="540"/>
      <c r="B2043" s="540"/>
      <c r="C2043" s="540"/>
      <c r="D2043" s="540"/>
      <c r="E2043" s="540"/>
      <c r="F2043" s="540"/>
      <c r="G2043" s="540"/>
      <c r="H2043" s="540"/>
      <c r="I2043" s="540"/>
      <c r="J2043" s="540"/>
      <c r="K2043" s="540"/>
      <c r="L2043" s="334" t="s">
        <v>39796</v>
      </c>
      <c r="M2043" s="334" t="s">
        <v>39168</v>
      </c>
      <c r="N2043" s="333" t="s">
        <v>39794</v>
      </c>
      <c r="O2043" s="334">
        <f>SUM(O2041:O2042)</f>
        <v>0.4</v>
      </c>
    </row>
    <row r="2044" spans="1:15" s="328" customFormat="1" x14ac:dyDescent="0.2">
      <c r="A2044" s="347" t="str">
        <f>ORCAMENTO!A321</f>
        <v>15.2</v>
      </c>
      <c r="B2044" s="544" t="str">
        <f>VLOOKUP(A2044,ORCAMENTO!A:I,4,0)</f>
        <v>ESQUADRIAS METÁLICAS</v>
      </c>
      <c r="C2044" s="544"/>
      <c r="D2044" s="544"/>
      <c r="E2044" s="544"/>
      <c r="F2044" s="544"/>
      <c r="G2044" s="544"/>
      <c r="H2044" s="544"/>
      <c r="I2044" s="544"/>
      <c r="J2044" s="544"/>
      <c r="K2044" s="544"/>
      <c r="L2044" s="544"/>
      <c r="M2044" s="544"/>
      <c r="N2044" s="544"/>
      <c r="O2044" s="544"/>
    </row>
    <row r="2045" spans="1:15" s="328" customFormat="1" x14ac:dyDescent="0.2">
      <c r="A2045" s="329" t="s">
        <v>39791</v>
      </c>
      <c r="B2045" s="542" t="s">
        <v>5917</v>
      </c>
      <c r="C2045" s="542"/>
      <c r="D2045" s="542"/>
      <c r="E2045" s="542"/>
      <c r="F2045" s="542"/>
      <c r="G2045" s="542"/>
      <c r="H2045" s="542"/>
      <c r="I2045" s="542"/>
      <c r="J2045" s="542"/>
      <c r="K2045" s="542"/>
      <c r="L2045" s="542"/>
      <c r="M2045" s="542"/>
      <c r="N2045" s="329" t="s">
        <v>39197</v>
      </c>
      <c r="O2045" s="330" t="s">
        <v>39792</v>
      </c>
    </row>
    <row r="2046" spans="1:15" s="328" customFormat="1" ht="39.950000000000003" customHeight="1" x14ac:dyDescent="0.2">
      <c r="A2046" s="331" t="str">
        <f>ORCAMENTO!A322</f>
        <v>15.2.1</v>
      </c>
      <c r="B2046" s="543" t="str">
        <f>VLOOKUP(A2046,ORCAMENTO!A:I,4,0)</f>
        <v>PORTA EM ALUMÍNIO DE ABRIR TIPO VENEZIANA COM GUARNIÇÃO, FIXAÇÃO COM PARAFUSOS - FORNECIMENTO E INSTALAÇÃO. AF_12/2019</v>
      </c>
      <c r="C2046" s="543"/>
      <c r="D2046" s="543"/>
      <c r="E2046" s="543"/>
      <c r="F2046" s="543"/>
      <c r="G2046" s="543"/>
      <c r="H2046" s="543"/>
      <c r="I2046" s="543"/>
      <c r="J2046" s="543"/>
      <c r="K2046" s="543"/>
      <c r="L2046" s="543"/>
      <c r="M2046" s="543"/>
      <c r="N2046" s="331" t="str">
        <f>VLOOKUP(A2046,ORCAMENTO!A:I,5,0)</f>
        <v>M2</v>
      </c>
      <c r="O2046" s="332">
        <f>O2050</f>
        <v>7.68</v>
      </c>
    </row>
    <row r="2047" spans="1:15" s="328" customFormat="1" x14ac:dyDescent="0.2">
      <c r="A2047" s="539" t="s">
        <v>39793</v>
      </c>
      <c r="B2047" s="539"/>
      <c r="C2047" s="539"/>
      <c r="D2047" s="539"/>
      <c r="E2047" s="539"/>
      <c r="F2047" s="539"/>
      <c r="G2047" s="539"/>
      <c r="H2047" s="539"/>
      <c r="I2047" s="539"/>
      <c r="J2047" s="539"/>
      <c r="K2047" s="539"/>
      <c r="L2047" s="539"/>
      <c r="M2047" s="539"/>
      <c r="N2047" s="539"/>
      <c r="O2047" s="539"/>
    </row>
    <row r="2048" spans="1:15" s="328" customFormat="1" x14ac:dyDescent="0.2">
      <c r="A2048" s="539" t="s">
        <v>5917</v>
      </c>
      <c r="B2048" s="539"/>
      <c r="C2048" s="539"/>
      <c r="D2048" s="333"/>
      <c r="E2048" s="333"/>
      <c r="F2048" s="333"/>
      <c r="G2048" s="333"/>
      <c r="H2048" s="333"/>
      <c r="I2048" s="333" t="s">
        <v>39792</v>
      </c>
      <c r="J2048" s="333" t="s">
        <v>39805</v>
      </c>
      <c r="K2048" s="333" t="s">
        <v>39804</v>
      </c>
      <c r="L2048" s="333" t="s">
        <v>39805</v>
      </c>
      <c r="M2048" s="333" t="s">
        <v>39823</v>
      </c>
      <c r="N2048" s="333" t="s">
        <v>39794</v>
      </c>
      <c r="O2048" s="333" t="s">
        <v>39795</v>
      </c>
    </row>
    <row r="2049" spans="1:15" s="328" customFormat="1" x14ac:dyDescent="0.2">
      <c r="A2049" s="535" t="s">
        <v>39832</v>
      </c>
      <c r="B2049" s="535"/>
      <c r="C2049" s="535"/>
      <c r="D2049" s="334"/>
      <c r="E2049" s="334"/>
      <c r="F2049" s="334"/>
      <c r="G2049" s="334"/>
      <c r="H2049" s="334"/>
      <c r="I2049" s="332">
        <f>8</f>
        <v>8</v>
      </c>
      <c r="J2049" s="332" t="s">
        <v>39805</v>
      </c>
      <c r="K2049" s="332">
        <f>0.6</f>
        <v>0.6</v>
      </c>
      <c r="L2049" s="332" t="s">
        <v>39805</v>
      </c>
      <c r="M2049" s="332">
        <f>1.6</f>
        <v>1.6</v>
      </c>
      <c r="N2049" s="332" t="s">
        <v>39794</v>
      </c>
      <c r="O2049" s="335">
        <f>ROUND(I2049*K2049*M2049,2)</f>
        <v>7.68</v>
      </c>
    </row>
    <row r="2050" spans="1:15" s="328" customFormat="1" x14ac:dyDescent="0.2">
      <c r="A2050" s="540"/>
      <c r="B2050" s="540"/>
      <c r="C2050" s="540"/>
      <c r="D2050" s="540"/>
      <c r="E2050" s="540"/>
      <c r="F2050" s="540"/>
      <c r="G2050" s="540"/>
      <c r="H2050" s="540"/>
      <c r="I2050" s="540"/>
      <c r="J2050" s="540"/>
      <c r="K2050" s="540"/>
      <c r="L2050" s="334" t="s">
        <v>39796</v>
      </c>
      <c r="M2050" s="334" t="s">
        <v>39168</v>
      </c>
      <c r="N2050" s="333" t="s">
        <v>39794</v>
      </c>
      <c r="O2050" s="334">
        <f>SUM(O2048:O2049)</f>
        <v>7.68</v>
      </c>
    </row>
    <row r="2051" spans="1:15" s="328" customFormat="1" x14ac:dyDescent="0.2">
      <c r="A2051" s="329" t="s">
        <v>39791</v>
      </c>
      <c r="B2051" s="542" t="s">
        <v>5917</v>
      </c>
      <c r="C2051" s="542"/>
      <c r="D2051" s="542"/>
      <c r="E2051" s="542"/>
      <c r="F2051" s="542"/>
      <c r="G2051" s="542"/>
      <c r="H2051" s="542"/>
      <c r="I2051" s="542"/>
      <c r="J2051" s="542"/>
      <c r="K2051" s="542"/>
      <c r="L2051" s="542"/>
      <c r="M2051" s="542"/>
      <c r="N2051" s="329" t="s">
        <v>39197</v>
      </c>
      <c r="O2051" s="330" t="s">
        <v>39792</v>
      </c>
    </row>
    <row r="2052" spans="1:15" s="328" customFormat="1" ht="39.950000000000003" customHeight="1" x14ac:dyDescent="0.2">
      <c r="A2052" s="331" t="str">
        <f>ORCAMENTO!A323</f>
        <v>15.2.2</v>
      </c>
      <c r="B2052" s="543" t="str">
        <f>VLOOKUP(A2052,ORCAMENTO!A:I,4,0)</f>
        <v>JANELA DE ALUMÍNIO DE CORRER COM 4 FOLHAS PARA VIDROS (VIDROS INCLUSOS), COM BANDEIRA, BATENTE/ REQUADRO 6 A 14 CM, ACABAMENTO COM ACETATO OU BRILHANTE, FIXAÇÃO COM PARAFUSO, SEM GUARNIÇÃO/ ALIZAR, DIMENSÕES 150X120 CM, VEDAÇÃO COM SILICONE, EXCLUSIVE CONTRAMARCO - FORNECIMENTO E INSTALAÇÃO. AF_11/2024</v>
      </c>
      <c r="C2052" s="543"/>
      <c r="D2052" s="543"/>
      <c r="E2052" s="543"/>
      <c r="F2052" s="543"/>
      <c r="G2052" s="543"/>
      <c r="H2052" s="543"/>
      <c r="I2052" s="543"/>
      <c r="J2052" s="543"/>
      <c r="K2052" s="543"/>
      <c r="L2052" s="543"/>
      <c r="M2052" s="543"/>
      <c r="N2052" s="331" t="str">
        <f>VLOOKUP(A2052,ORCAMENTO!A:I,5,0)</f>
        <v>M2</v>
      </c>
      <c r="O2052" s="332">
        <f>O2056</f>
        <v>28.8</v>
      </c>
    </row>
    <row r="2053" spans="1:15" s="328" customFormat="1" x14ac:dyDescent="0.2">
      <c r="A2053" s="539" t="s">
        <v>39793</v>
      </c>
      <c r="B2053" s="539"/>
      <c r="C2053" s="539"/>
      <c r="D2053" s="539"/>
      <c r="E2053" s="539"/>
      <c r="F2053" s="539"/>
      <c r="G2053" s="539"/>
      <c r="H2053" s="539"/>
      <c r="I2053" s="539"/>
      <c r="J2053" s="539"/>
      <c r="K2053" s="539"/>
      <c r="L2053" s="539"/>
      <c r="M2053" s="539"/>
      <c r="N2053" s="539"/>
      <c r="O2053" s="539"/>
    </row>
    <row r="2054" spans="1:15" s="328" customFormat="1" x14ac:dyDescent="0.2">
      <c r="A2054" s="539" t="s">
        <v>5917</v>
      </c>
      <c r="B2054" s="539"/>
      <c r="C2054" s="539"/>
      <c r="D2054" s="333"/>
      <c r="E2054" s="333"/>
      <c r="F2054" s="333"/>
      <c r="G2054" s="333"/>
      <c r="H2054" s="333"/>
      <c r="I2054" s="333" t="s">
        <v>39792</v>
      </c>
      <c r="J2054" s="333" t="s">
        <v>39805</v>
      </c>
      <c r="K2054" s="333" t="s">
        <v>39804</v>
      </c>
      <c r="L2054" s="333" t="s">
        <v>39805</v>
      </c>
      <c r="M2054" s="333" t="s">
        <v>39823</v>
      </c>
      <c r="N2054" s="333" t="s">
        <v>39794</v>
      </c>
      <c r="O2054" s="333" t="s">
        <v>39795</v>
      </c>
    </row>
    <row r="2055" spans="1:15" s="328" customFormat="1" x14ac:dyDescent="0.2">
      <c r="A2055" s="535" t="s">
        <v>39834</v>
      </c>
      <c r="B2055" s="535"/>
      <c r="C2055" s="535"/>
      <c r="D2055" s="334"/>
      <c r="E2055" s="334"/>
      <c r="F2055" s="334"/>
      <c r="G2055" s="334"/>
      <c r="H2055" s="334"/>
      <c r="I2055" s="332">
        <f>12</f>
        <v>12</v>
      </c>
      <c r="J2055" s="332" t="s">
        <v>39805</v>
      </c>
      <c r="K2055" s="332">
        <f>4</f>
        <v>4</v>
      </c>
      <c r="L2055" s="332" t="s">
        <v>39805</v>
      </c>
      <c r="M2055" s="332">
        <f>0.6</f>
        <v>0.6</v>
      </c>
      <c r="N2055" s="332" t="s">
        <v>39794</v>
      </c>
      <c r="O2055" s="335">
        <f>ROUND(I2055*K2055*M2055,2)</f>
        <v>28.8</v>
      </c>
    </row>
    <row r="2056" spans="1:15" s="328" customFormat="1" x14ac:dyDescent="0.2">
      <c r="A2056" s="540"/>
      <c r="B2056" s="540"/>
      <c r="C2056" s="540"/>
      <c r="D2056" s="540"/>
      <c r="E2056" s="540"/>
      <c r="F2056" s="540"/>
      <c r="G2056" s="540"/>
      <c r="H2056" s="540"/>
      <c r="I2056" s="540"/>
      <c r="J2056" s="540"/>
      <c r="K2056" s="540"/>
      <c r="L2056" s="334" t="s">
        <v>39796</v>
      </c>
      <c r="M2056" s="334" t="s">
        <v>39168</v>
      </c>
      <c r="N2056" s="333" t="s">
        <v>39794</v>
      </c>
      <c r="O2056" s="334">
        <f>SUM(O2054:O2055)</f>
        <v>28.8</v>
      </c>
    </row>
    <row r="2057" spans="1:15" s="328" customFormat="1" x14ac:dyDescent="0.2">
      <c r="A2057" s="329" t="s">
        <v>39791</v>
      </c>
      <c r="B2057" s="542" t="s">
        <v>5917</v>
      </c>
      <c r="C2057" s="542"/>
      <c r="D2057" s="542"/>
      <c r="E2057" s="542"/>
      <c r="F2057" s="542"/>
      <c r="G2057" s="542"/>
      <c r="H2057" s="542"/>
      <c r="I2057" s="542"/>
      <c r="J2057" s="542"/>
      <c r="K2057" s="542"/>
      <c r="L2057" s="542"/>
      <c r="M2057" s="542"/>
      <c r="N2057" s="329" t="s">
        <v>39197</v>
      </c>
      <c r="O2057" s="330" t="s">
        <v>39792</v>
      </c>
    </row>
    <row r="2058" spans="1:15" s="328" customFormat="1" ht="39.950000000000003" customHeight="1" x14ac:dyDescent="0.2">
      <c r="A2058" s="331" t="str">
        <f>ORCAMENTO!A324</f>
        <v>15.2.3</v>
      </c>
      <c r="B2058" s="543" t="str">
        <f>VLOOKUP(A2058,ORCAMENTO!A:I,4,0)</f>
        <v>CAIXILHO FIXO DE ALUMÍNIO PARA VIDRO (VIDRO INCLUSO), BATENTE/ REQUADRO DE 4 A 14 CM, SEM GUARNIÇÃO/ ALIZAR, FIXAÇÃO COM PARAFUSOS, VEDAÇÃO COM SILICONE, EXCLUSIVE CONTRAMARCO - FORNECIMENTO E INSTALAÇÃO. AF_11/2024</v>
      </c>
      <c r="C2058" s="543"/>
      <c r="D2058" s="543"/>
      <c r="E2058" s="543"/>
      <c r="F2058" s="543"/>
      <c r="G2058" s="543"/>
      <c r="H2058" s="543"/>
      <c r="I2058" s="543"/>
      <c r="J2058" s="543"/>
      <c r="K2058" s="543"/>
      <c r="L2058" s="543"/>
      <c r="M2058" s="543"/>
      <c r="N2058" s="331" t="str">
        <f>VLOOKUP(A2058,ORCAMENTO!A:I,5,0)</f>
        <v>M2</v>
      </c>
      <c r="O2058" s="332">
        <f>O2064</f>
        <v>23.1</v>
      </c>
    </row>
    <row r="2059" spans="1:15" s="328" customFormat="1" x14ac:dyDescent="0.2">
      <c r="A2059" s="539" t="s">
        <v>39793</v>
      </c>
      <c r="B2059" s="539"/>
      <c r="C2059" s="539"/>
      <c r="D2059" s="539"/>
      <c r="E2059" s="539"/>
      <c r="F2059" s="539"/>
      <c r="G2059" s="539"/>
      <c r="H2059" s="539"/>
      <c r="I2059" s="539"/>
      <c r="J2059" s="539"/>
      <c r="K2059" s="539"/>
      <c r="L2059" s="539"/>
      <c r="M2059" s="539"/>
      <c r="N2059" s="539"/>
      <c r="O2059" s="539"/>
    </row>
    <row r="2060" spans="1:15" s="328" customFormat="1" x14ac:dyDescent="0.2">
      <c r="A2060" s="539" t="s">
        <v>5917</v>
      </c>
      <c r="B2060" s="539"/>
      <c r="C2060" s="539"/>
      <c r="D2060" s="333"/>
      <c r="E2060" s="333"/>
      <c r="F2060" s="333"/>
      <c r="G2060" s="333"/>
      <c r="H2060" s="333"/>
      <c r="I2060" s="333" t="s">
        <v>39792</v>
      </c>
      <c r="J2060" s="333" t="s">
        <v>39805</v>
      </c>
      <c r="K2060" s="333" t="s">
        <v>39804</v>
      </c>
      <c r="L2060" s="333" t="s">
        <v>39805</v>
      </c>
      <c r="M2060" s="333" t="s">
        <v>39823</v>
      </c>
      <c r="N2060" s="333" t="s">
        <v>39794</v>
      </c>
      <c r="O2060" s="333" t="s">
        <v>39795</v>
      </c>
    </row>
    <row r="2061" spans="1:15" s="328" customFormat="1" x14ac:dyDescent="0.2">
      <c r="A2061" s="535" t="s">
        <v>39835</v>
      </c>
      <c r="B2061" s="535"/>
      <c r="C2061" s="535"/>
      <c r="D2061" s="334"/>
      <c r="E2061" s="334"/>
      <c r="F2061" s="334"/>
      <c r="G2061" s="334"/>
      <c r="H2061" s="334"/>
      <c r="I2061" s="332">
        <f>4</f>
        <v>4</v>
      </c>
      <c r="J2061" s="332" t="s">
        <v>39805</v>
      </c>
      <c r="K2061" s="332">
        <f>2</f>
        <v>2</v>
      </c>
      <c r="L2061" s="332" t="s">
        <v>39805</v>
      </c>
      <c r="M2061" s="332">
        <f>0.6</f>
        <v>0.6</v>
      </c>
      <c r="N2061" s="332" t="s">
        <v>39794</v>
      </c>
      <c r="O2061" s="335">
        <f>ROUND(I2061*K2061*M2061,2)</f>
        <v>4.8</v>
      </c>
    </row>
    <row r="2062" spans="1:15" s="328" customFormat="1" x14ac:dyDescent="0.2">
      <c r="A2062" s="535" t="s">
        <v>39836</v>
      </c>
      <c r="B2062" s="535"/>
      <c r="C2062" s="535"/>
      <c r="D2062" s="334"/>
      <c r="E2062" s="334"/>
      <c r="F2062" s="334"/>
      <c r="G2062" s="334"/>
      <c r="H2062" s="334"/>
      <c r="I2062" s="332">
        <f>1</f>
        <v>1</v>
      </c>
      <c r="J2062" s="332" t="s">
        <v>39805</v>
      </c>
      <c r="K2062" s="332">
        <f>0.5</f>
        <v>0.5</v>
      </c>
      <c r="L2062" s="332" t="s">
        <v>39805</v>
      </c>
      <c r="M2062" s="332">
        <f>0.6</f>
        <v>0.6</v>
      </c>
      <c r="N2062" s="332" t="s">
        <v>39794</v>
      </c>
      <c r="O2062" s="335">
        <f t="shared" ref="O2062:O2063" si="103">ROUND(I2062*K2062*M2062,2)</f>
        <v>0.3</v>
      </c>
    </row>
    <row r="2063" spans="1:15" s="328" customFormat="1" x14ac:dyDescent="0.2">
      <c r="A2063" s="535" t="s">
        <v>39837</v>
      </c>
      <c r="B2063" s="535"/>
      <c r="C2063" s="535"/>
      <c r="D2063" s="334"/>
      <c r="E2063" s="334"/>
      <c r="F2063" s="334"/>
      <c r="G2063" s="334"/>
      <c r="H2063" s="334"/>
      <c r="I2063" s="332">
        <f>3</f>
        <v>3</v>
      </c>
      <c r="J2063" s="332" t="s">
        <v>39805</v>
      </c>
      <c r="K2063" s="332">
        <f>4</f>
        <v>4</v>
      </c>
      <c r="L2063" s="332" t="s">
        <v>39805</v>
      </c>
      <c r="M2063" s="332">
        <f>1.5</f>
        <v>1.5</v>
      </c>
      <c r="N2063" s="332" t="s">
        <v>39794</v>
      </c>
      <c r="O2063" s="335">
        <f t="shared" si="103"/>
        <v>18</v>
      </c>
    </row>
    <row r="2064" spans="1:15" s="328" customFormat="1" x14ac:dyDescent="0.2">
      <c r="A2064" s="540"/>
      <c r="B2064" s="540"/>
      <c r="C2064" s="540"/>
      <c r="D2064" s="540"/>
      <c r="E2064" s="540"/>
      <c r="F2064" s="540"/>
      <c r="G2064" s="540"/>
      <c r="H2064" s="540"/>
      <c r="I2064" s="540"/>
      <c r="J2064" s="540"/>
      <c r="K2064" s="540"/>
      <c r="L2064" s="334" t="s">
        <v>39796</v>
      </c>
      <c r="M2064" s="334" t="s">
        <v>39168</v>
      </c>
      <c r="N2064" s="333" t="s">
        <v>39794</v>
      </c>
      <c r="O2064" s="334">
        <f>SUM(O2060:O2063)</f>
        <v>23.1</v>
      </c>
    </row>
    <row r="2065" spans="1:15" s="328" customFormat="1" x14ac:dyDescent="0.2">
      <c r="A2065" s="329" t="s">
        <v>39791</v>
      </c>
      <c r="B2065" s="542" t="s">
        <v>5917</v>
      </c>
      <c r="C2065" s="542"/>
      <c r="D2065" s="542"/>
      <c r="E2065" s="542"/>
      <c r="F2065" s="542"/>
      <c r="G2065" s="542"/>
      <c r="H2065" s="542"/>
      <c r="I2065" s="542"/>
      <c r="J2065" s="542"/>
      <c r="K2065" s="542"/>
      <c r="L2065" s="542"/>
      <c r="M2065" s="542"/>
      <c r="N2065" s="329" t="s">
        <v>39197</v>
      </c>
      <c r="O2065" s="330" t="s">
        <v>39792</v>
      </c>
    </row>
    <row r="2066" spans="1:15" s="328" customFormat="1" ht="12.75" customHeight="1" x14ac:dyDescent="0.2">
      <c r="A2066" s="331" t="str">
        <f>ORCAMENTO!A325</f>
        <v>15.2.4</v>
      </c>
      <c r="B2066" s="543" t="str">
        <f>VLOOKUP(A2066,ORCAMENTO!A:I,4,0)</f>
        <v>JANELA TIPO GUILHOTINA EM ALUMÍNIO ANODIZADO, INCLUSIVE VIDRO</v>
      </c>
      <c r="C2066" s="543"/>
      <c r="D2066" s="543"/>
      <c r="E2066" s="543"/>
      <c r="F2066" s="543"/>
      <c r="G2066" s="543"/>
      <c r="H2066" s="543"/>
      <c r="I2066" s="543"/>
      <c r="J2066" s="543"/>
      <c r="K2066" s="543"/>
      <c r="L2066" s="543"/>
      <c r="M2066" s="543"/>
      <c r="N2066" s="331" t="str">
        <f>VLOOKUP(A2066,ORCAMENTO!A:I,5,0)</f>
        <v>M2</v>
      </c>
      <c r="O2066" s="332">
        <f>O2070</f>
        <v>0.64</v>
      </c>
    </row>
    <row r="2067" spans="1:15" s="328" customFormat="1" x14ac:dyDescent="0.2">
      <c r="A2067" s="539" t="s">
        <v>39793</v>
      </c>
      <c r="B2067" s="539"/>
      <c r="C2067" s="539"/>
      <c r="D2067" s="539"/>
      <c r="E2067" s="539"/>
      <c r="F2067" s="539"/>
      <c r="G2067" s="539"/>
      <c r="H2067" s="539"/>
      <c r="I2067" s="539"/>
      <c r="J2067" s="539"/>
      <c r="K2067" s="539"/>
      <c r="L2067" s="539"/>
      <c r="M2067" s="539"/>
      <c r="N2067" s="539"/>
      <c r="O2067" s="539"/>
    </row>
    <row r="2068" spans="1:15" s="328" customFormat="1" x14ac:dyDescent="0.2">
      <c r="A2068" s="539" t="s">
        <v>5917</v>
      </c>
      <c r="B2068" s="539"/>
      <c r="C2068" s="539"/>
      <c r="D2068" s="333"/>
      <c r="E2068" s="333"/>
      <c r="F2068" s="333"/>
      <c r="G2068" s="333"/>
      <c r="H2068" s="333"/>
      <c r="I2068" s="333" t="s">
        <v>39792</v>
      </c>
      <c r="J2068" s="333" t="s">
        <v>39805</v>
      </c>
      <c r="K2068" s="333" t="s">
        <v>39804</v>
      </c>
      <c r="L2068" s="333" t="s">
        <v>39805</v>
      </c>
      <c r="M2068" s="333" t="s">
        <v>39823</v>
      </c>
      <c r="N2068" s="333" t="s">
        <v>39794</v>
      </c>
      <c r="O2068" s="333" t="s">
        <v>39795</v>
      </c>
    </row>
    <row r="2069" spans="1:15" s="328" customFormat="1" x14ac:dyDescent="0.2">
      <c r="A2069" s="535" t="s">
        <v>39838</v>
      </c>
      <c r="B2069" s="535"/>
      <c r="C2069" s="535"/>
      <c r="D2069" s="334"/>
      <c r="E2069" s="334"/>
      <c r="F2069" s="334"/>
      <c r="G2069" s="334"/>
      <c r="H2069" s="334"/>
      <c r="I2069" s="332">
        <f>1</f>
        <v>1</v>
      </c>
      <c r="J2069" s="332" t="s">
        <v>39805</v>
      </c>
      <c r="K2069" s="332">
        <f>0.8</f>
        <v>0.8</v>
      </c>
      <c r="L2069" s="332" t="s">
        <v>39805</v>
      </c>
      <c r="M2069" s="332">
        <f>0.8</f>
        <v>0.8</v>
      </c>
      <c r="N2069" s="332" t="s">
        <v>39794</v>
      </c>
      <c r="O2069" s="335">
        <f>ROUND(I2069*K2069*M2069,2)</f>
        <v>0.64</v>
      </c>
    </row>
    <row r="2070" spans="1:15" s="328" customFormat="1" x14ac:dyDescent="0.2">
      <c r="A2070" s="540"/>
      <c r="B2070" s="540"/>
      <c r="C2070" s="540"/>
      <c r="D2070" s="540"/>
      <c r="E2070" s="540"/>
      <c r="F2070" s="540"/>
      <c r="G2070" s="540"/>
      <c r="H2070" s="540"/>
      <c r="I2070" s="540"/>
      <c r="J2070" s="540"/>
      <c r="K2070" s="540"/>
      <c r="L2070" s="334" t="s">
        <v>39796</v>
      </c>
      <c r="M2070" s="334" t="s">
        <v>39168</v>
      </c>
      <c r="N2070" s="333" t="s">
        <v>39794</v>
      </c>
      <c r="O2070" s="334">
        <f>SUM(O2068:O2069)</f>
        <v>0.64</v>
      </c>
    </row>
    <row r="2071" spans="1:15" s="328" customFormat="1" x14ac:dyDescent="0.2">
      <c r="A2071" s="329" t="s">
        <v>39791</v>
      </c>
      <c r="B2071" s="542" t="s">
        <v>5917</v>
      </c>
      <c r="C2071" s="542"/>
      <c r="D2071" s="542"/>
      <c r="E2071" s="542"/>
      <c r="F2071" s="542"/>
      <c r="G2071" s="542"/>
      <c r="H2071" s="542"/>
      <c r="I2071" s="542"/>
      <c r="J2071" s="542"/>
      <c r="K2071" s="542"/>
      <c r="L2071" s="542"/>
      <c r="M2071" s="542"/>
      <c r="N2071" s="329" t="s">
        <v>39197</v>
      </c>
      <c r="O2071" s="330" t="s">
        <v>39792</v>
      </c>
    </row>
    <row r="2072" spans="1:15" s="328" customFormat="1" ht="12.75" customHeight="1" x14ac:dyDescent="0.2">
      <c r="A2072" s="331" t="str">
        <f>ORCAMENTO!A326</f>
        <v>15.2.5</v>
      </c>
      <c r="B2072" s="543" t="str">
        <f>VLOOKUP(A2072,ORCAMENTO!A:I,4,0)</f>
        <v>PEITORIL DE GRANITO L= 15 cm</v>
      </c>
      <c r="C2072" s="543"/>
      <c r="D2072" s="543"/>
      <c r="E2072" s="543"/>
      <c r="F2072" s="543"/>
      <c r="G2072" s="543"/>
      <c r="H2072" s="543"/>
      <c r="I2072" s="543"/>
      <c r="J2072" s="543"/>
      <c r="K2072" s="543"/>
      <c r="L2072" s="543"/>
      <c r="M2072" s="543"/>
      <c r="N2072" s="331" t="str">
        <f>VLOOKUP(A2072,ORCAMENTO!A:I,5,0)</f>
        <v>M</v>
      </c>
      <c r="O2072" s="332">
        <f>O2080</f>
        <v>93.3</v>
      </c>
    </row>
    <row r="2073" spans="1:15" s="328" customFormat="1" x14ac:dyDescent="0.2">
      <c r="A2073" s="539" t="s">
        <v>39793</v>
      </c>
      <c r="B2073" s="539"/>
      <c r="C2073" s="539"/>
      <c r="D2073" s="539"/>
      <c r="E2073" s="539"/>
      <c r="F2073" s="539"/>
      <c r="G2073" s="539"/>
      <c r="H2073" s="539"/>
      <c r="I2073" s="539"/>
      <c r="J2073" s="539"/>
      <c r="K2073" s="539"/>
      <c r="L2073" s="539"/>
      <c r="M2073" s="539"/>
      <c r="N2073" s="539"/>
      <c r="O2073" s="539"/>
    </row>
    <row r="2074" spans="1:15" s="328" customFormat="1" x14ac:dyDescent="0.2">
      <c r="A2074" s="539" t="s">
        <v>5917</v>
      </c>
      <c r="B2074" s="539"/>
      <c r="C2074" s="539"/>
      <c r="D2074" s="333"/>
      <c r="E2074" s="333"/>
      <c r="F2074" s="333"/>
      <c r="G2074" s="333"/>
      <c r="H2074" s="333"/>
      <c r="I2074" s="333"/>
      <c r="J2074" s="333"/>
      <c r="K2074" s="333" t="s">
        <v>39792</v>
      </c>
      <c r="L2074" s="333" t="s">
        <v>39805</v>
      </c>
      <c r="M2074" s="333" t="s">
        <v>39804</v>
      </c>
      <c r="N2074" s="333" t="s">
        <v>39794</v>
      </c>
      <c r="O2074" s="333" t="s">
        <v>39795</v>
      </c>
    </row>
    <row r="2075" spans="1:15" s="328" customFormat="1" x14ac:dyDescent="0.2">
      <c r="A2075" s="535" t="s">
        <v>39834</v>
      </c>
      <c r="B2075" s="535"/>
      <c r="C2075" s="535"/>
      <c r="D2075" s="334"/>
      <c r="E2075" s="334"/>
      <c r="F2075" s="334"/>
      <c r="G2075" s="334"/>
      <c r="H2075" s="334"/>
      <c r="I2075" s="332"/>
      <c r="J2075" s="332"/>
      <c r="K2075" s="332">
        <f>18</f>
        <v>18</v>
      </c>
      <c r="L2075" s="332" t="s">
        <v>39805</v>
      </c>
      <c r="M2075" s="332">
        <f>4</f>
        <v>4</v>
      </c>
      <c r="N2075" s="332" t="s">
        <v>39794</v>
      </c>
      <c r="O2075" s="335">
        <f>ROUND(K2075*M2075,2)</f>
        <v>72</v>
      </c>
    </row>
    <row r="2076" spans="1:15" s="328" customFormat="1" x14ac:dyDescent="0.2">
      <c r="A2076" s="535" t="s">
        <v>39835</v>
      </c>
      <c r="B2076" s="535"/>
      <c r="C2076" s="535"/>
      <c r="D2076" s="334"/>
      <c r="E2076" s="334"/>
      <c r="F2076" s="334"/>
      <c r="G2076" s="334"/>
      <c r="H2076" s="334"/>
      <c r="I2076" s="332"/>
      <c r="J2076" s="332"/>
      <c r="K2076" s="332">
        <f>4</f>
        <v>4</v>
      </c>
      <c r="L2076" s="332" t="s">
        <v>39805</v>
      </c>
      <c r="M2076" s="332">
        <f>2</f>
        <v>2</v>
      </c>
      <c r="N2076" s="332" t="s">
        <v>39794</v>
      </c>
      <c r="O2076" s="335">
        <f t="shared" ref="O2076:O2079" si="104">ROUND(K2076*M2076,2)</f>
        <v>8</v>
      </c>
    </row>
    <row r="2077" spans="1:15" s="328" customFormat="1" x14ac:dyDescent="0.2">
      <c r="A2077" s="535" t="s">
        <v>39836</v>
      </c>
      <c r="B2077" s="535"/>
      <c r="C2077" s="535"/>
      <c r="D2077" s="334"/>
      <c r="E2077" s="334"/>
      <c r="F2077" s="334"/>
      <c r="G2077" s="334"/>
      <c r="H2077" s="334"/>
      <c r="I2077" s="332"/>
      <c r="J2077" s="332"/>
      <c r="K2077" s="332">
        <f>1</f>
        <v>1</v>
      </c>
      <c r="L2077" s="332" t="s">
        <v>39805</v>
      </c>
      <c r="M2077" s="332">
        <f>0.5</f>
        <v>0.5</v>
      </c>
      <c r="N2077" s="332" t="s">
        <v>39794</v>
      </c>
      <c r="O2077" s="335">
        <f t="shared" si="104"/>
        <v>0.5</v>
      </c>
    </row>
    <row r="2078" spans="1:15" s="328" customFormat="1" x14ac:dyDescent="0.2">
      <c r="A2078" s="535" t="s">
        <v>39837</v>
      </c>
      <c r="B2078" s="535"/>
      <c r="C2078" s="535"/>
      <c r="D2078" s="334"/>
      <c r="E2078" s="334"/>
      <c r="F2078" s="334"/>
      <c r="G2078" s="334"/>
      <c r="H2078" s="334"/>
      <c r="I2078" s="332"/>
      <c r="J2078" s="332"/>
      <c r="K2078" s="332">
        <f>3</f>
        <v>3</v>
      </c>
      <c r="L2078" s="332" t="s">
        <v>39805</v>
      </c>
      <c r="M2078" s="332">
        <f>4</f>
        <v>4</v>
      </c>
      <c r="N2078" s="332" t="s">
        <v>39794</v>
      </c>
      <c r="O2078" s="335">
        <f t="shared" si="104"/>
        <v>12</v>
      </c>
    </row>
    <row r="2079" spans="1:15" s="328" customFormat="1" x14ac:dyDescent="0.2">
      <c r="A2079" s="535" t="s">
        <v>39838</v>
      </c>
      <c r="B2079" s="535"/>
      <c r="C2079" s="535"/>
      <c r="D2079" s="334"/>
      <c r="E2079" s="334"/>
      <c r="F2079" s="334"/>
      <c r="G2079" s="334"/>
      <c r="H2079" s="334"/>
      <c r="I2079" s="332"/>
      <c r="J2079" s="332"/>
      <c r="K2079" s="332">
        <f>1</f>
        <v>1</v>
      </c>
      <c r="L2079" s="332" t="s">
        <v>39805</v>
      </c>
      <c r="M2079" s="332">
        <f>0.8</f>
        <v>0.8</v>
      </c>
      <c r="N2079" s="332" t="s">
        <v>39794</v>
      </c>
      <c r="O2079" s="335">
        <f t="shared" si="104"/>
        <v>0.8</v>
      </c>
    </row>
    <row r="2080" spans="1:15" s="328" customFormat="1" x14ac:dyDescent="0.2">
      <c r="A2080" s="540"/>
      <c r="B2080" s="540"/>
      <c r="C2080" s="540"/>
      <c r="D2080" s="540"/>
      <c r="E2080" s="540"/>
      <c r="F2080" s="540"/>
      <c r="G2080" s="540"/>
      <c r="H2080" s="540"/>
      <c r="I2080" s="540"/>
      <c r="J2080" s="540"/>
      <c r="K2080" s="540"/>
      <c r="L2080" s="334" t="s">
        <v>39796</v>
      </c>
      <c r="M2080" s="334" t="s">
        <v>39168</v>
      </c>
      <c r="N2080" s="333" t="s">
        <v>39794</v>
      </c>
      <c r="O2080" s="334">
        <f>SUM(O2074:O2079)</f>
        <v>93.3</v>
      </c>
    </row>
    <row r="2081" spans="1:15" s="328" customFormat="1" x14ac:dyDescent="0.2">
      <c r="A2081" s="347" t="str">
        <f>ORCAMENTO!A328</f>
        <v>15.3</v>
      </c>
      <c r="B2081" s="544" t="str">
        <f>VLOOKUP(A2081,ORCAMENTO!A:I,4,0)</f>
        <v>COBOGÓS</v>
      </c>
      <c r="C2081" s="544"/>
      <c r="D2081" s="544"/>
      <c r="E2081" s="544"/>
      <c r="F2081" s="544"/>
      <c r="G2081" s="544"/>
      <c r="H2081" s="544"/>
      <c r="I2081" s="544"/>
      <c r="J2081" s="544"/>
      <c r="K2081" s="544"/>
      <c r="L2081" s="544"/>
      <c r="M2081" s="544"/>
      <c r="N2081" s="544"/>
      <c r="O2081" s="544"/>
    </row>
    <row r="2082" spans="1:15" s="328" customFormat="1" x14ac:dyDescent="0.2">
      <c r="A2082" s="329" t="s">
        <v>39791</v>
      </c>
      <c r="B2082" s="542" t="s">
        <v>5917</v>
      </c>
      <c r="C2082" s="542"/>
      <c r="D2082" s="542"/>
      <c r="E2082" s="542"/>
      <c r="F2082" s="542"/>
      <c r="G2082" s="542"/>
      <c r="H2082" s="542"/>
      <c r="I2082" s="542"/>
      <c r="J2082" s="542"/>
      <c r="K2082" s="542"/>
      <c r="L2082" s="542"/>
      <c r="M2082" s="542"/>
      <c r="N2082" s="329" t="s">
        <v>39197</v>
      </c>
      <c r="O2082" s="330" t="s">
        <v>39792</v>
      </c>
    </row>
    <row r="2083" spans="1:15" s="328" customFormat="1" ht="12.75" customHeight="1" x14ac:dyDescent="0.2">
      <c r="A2083" s="331" t="str">
        <f>ORCAMENTO!A329</f>
        <v>15.3.1</v>
      </c>
      <c r="B2083" s="543" t="str">
        <f>VLOOKUP(A2083,ORCAMENTO!A:I,4,0)</f>
        <v>COBOGÓ DE CIMENTO TIPO DIAMANTE</v>
      </c>
      <c r="C2083" s="543"/>
      <c r="D2083" s="543"/>
      <c r="E2083" s="543"/>
      <c r="F2083" s="543"/>
      <c r="G2083" s="543"/>
      <c r="H2083" s="543"/>
      <c r="I2083" s="543"/>
      <c r="J2083" s="543"/>
      <c r="K2083" s="543"/>
      <c r="L2083" s="543"/>
      <c r="M2083" s="543"/>
      <c r="N2083" s="331" t="str">
        <f>VLOOKUP(A2083,ORCAMENTO!A:I,5,0)</f>
        <v>M2</v>
      </c>
      <c r="O2083" s="332">
        <f>O2087</f>
        <v>35.64</v>
      </c>
    </row>
    <row r="2084" spans="1:15" s="328" customFormat="1" x14ac:dyDescent="0.2">
      <c r="A2084" s="539" t="s">
        <v>39793</v>
      </c>
      <c r="B2084" s="539"/>
      <c r="C2084" s="539"/>
      <c r="D2084" s="539"/>
      <c r="E2084" s="539"/>
      <c r="F2084" s="539"/>
      <c r="G2084" s="539"/>
      <c r="H2084" s="539"/>
      <c r="I2084" s="539"/>
      <c r="J2084" s="539"/>
      <c r="K2084" s="539"/>
      <c r="L2084" s="539"/>
      <c r="M2084" s="539"/>
      <c r="N2084" s="539"/>
      <c r="O2084" s="539"/>
    </row>
    <row r="2085" spans="1:15" s="328" customFormat="1" x14ac:dyDescent="0.2">
      <c r="A2085" s="539" t="s">
        <v>5917</v>
      </c>
      <c r="B2085" s="539"/>
      <c r="C2085" s="539"/>
      <c r="D2085" s="333"/>
      <c r="E2085" s="333"/>
      <c r="F2085" s="333"/>
      <c r="G2085" s="333"/>
      <c r="H2085" s="333"/>
      <c r="I2085" s="333" t="s">
        <v>39792</v>
      </c>
      <c r="J2085" s="333" t="s">
        <v>39805</v>
      </c>
      <c r="K2085" s="333" t="s">
        <v>39802</v>
      </c>
      <c r="L2085" s="333" t="s">
        <v>39805</v>
      </c>
      <c r="M2085" s="333" t="s">
        <v>39823</v>
      </c>
      <c r="N2085" s="333" t="s">
        <v>39794</v>
      </c>
      <c r="O2085" s="333" t="s">
        <v>39795</v>
      </c>
    </row>
    <row r="2086" spans="1:15" s="328" customFormat="1" x14ac:dyDescent="0.2">
      <c r="A2086" s="535" t="s">
        <v>39839</v>
      </c>
      <c r="B2086" s="535"/>
      <c r="C2086" s="535"/>
      <c r="D2086" s="334"/>
      <c r="E2086" s="334"/>
      <c r="F2086" s="334"/>
      <c r="G2086" s="334"/>
      <c r="H2086" s="334"/>
      <c r="I2086" s="332">
        <f>2</f>
        <v>2</v>
      </c>
      <c r="J2086" s="332" t="s">
        <v>39805</v>
      </c>
      <c r="K2086" s="332">
        <f>6.6</f>
        <v>6.6</v>
      </c>
      <c r="L2086" s="332" t="s">
        <v>39805</v>
      </c>
      <c r="M2086" s="332">
        <f>2.7</f>
        <v>2.7</v>
      </c>
      <c r="N2086" s="332" t="s">
        <v>39794</v>
      </c>
      <c r="O2086" s="335">
        <f>ROUND(I2086*K2086*M2086,2)</f>
        <v>35.64</v>
      </c>
    </row>
    <row r="2087" spans="1:15" s="328" customFormat="1" x14ac:dyDescent="0.2">
      <c r="A2087" s="540"/>
      <c r="B2087" s="540"/>
      <c r="C2087" s="540"/>
      <c r="D2087" s="540"/>
      <c r="E2087" s="540"/>
      <c r="F2087" s="540"/>
      <c r="G2087" s="540"/>
      <c r="H2087" s="540"/>
      <c r="I2087" s="540"/>
      <c r="J2087" s="540"/>
      <c r="K2087" s="540"/>
      <c r="L2087" s="334" t="s">
        <v>39796</v>
      </c>
      <c r="M2087" s="334" t="s">
        <v>39168</v>
      </c>
      <c r="N2087" s="333" t="s">
        <v>39794</v>
      </c>
      <c r="O2087" s="334">
        <f>SUM(O2085:O2086)</f>
        <v>35.64</v>
      </c>
    </row>
    <row r="2088" spans="1:15" s="328" customFormat="1" x14ac:dyDescent="0.2">
      <c r="A2088" s="336">
        <f>ORCAMENTO!A331</f>
        <v>16</v>
      </c>
      <c r="B2088" s="545" t="str">
        <f>VLOOKUP(A2088,ORCAMENTO!A:I,4,0)</f>
        <v>COBERTA</v>
      </c>
      <c r="C2088" s="545"/>
      <c r="D2088" s="545"/>
      <c r="E2088" s="545"/>
      <c r="F2088" s="545"/>
      <c r="G2088" s="545"/>
      <c r="H2088" s="545"/>
      <c r="I2088" s="545"/>
      <c r="J2088" s="545"/>
      <c r="K2088" s="545"/>
      <c r="L2088" s="545"/>
      <c r="M2088" s="545"/>
      <c r="N2088" s="545"/>
      <c r="O2088" s="545"/>
    </row>
    <row r="2089" spans="1:15" s="328" customFormat="1" x14ac:dyDescent="0.2">
      <c r="A2089" s="329" t="s">
        <v>39791</v>
      </c>
      <c r="B2089" s="542" t="s">
        <v>5917</v>
      </c>
      <c r="C2089" s="542"/>
      <c r="D2089" s="542"/>
      <c r="E2089" s="542"/>
      <c r="F2089" s="542"/>
      <c r="G2089" s="542"/>
      <c r="H2089" s="542"/>
      <c r="I2089" s="542"/>
      <c r="J2089" s="542"/>
      <c r="K2089" s="542"/>
      <c r="L2089" s="542"/>
      <c r="M2089" s="542"/>
      <c r="N2089" s="329" t="s">
        <v>39197</v>
      </c>
      <c r="O2089" s="330" t="s">
        <v>39792</v>
      </c>
    </row>
    <row r="2090" spans="1:15" s="328" customFormat="1" ht="30" customHeight="1" x14ac:dyDescent="0.2">
      <c r="A2090" s="331" t="str">
        <f>ORCAMENTO!A332</f>
        <v>16.1</v>
      </c>
      <c r="B2090" s="543" t="str">
        <f>VLOOKUP(A2090,ORCAMENTO!A:I,4,0)</f>
        <v xml:space="preserve">TRELIÇA METÁLICA, INCLUSIVE PINTURA </v>
      </c>
      <c r="C2090" s="543"/>
      <c r="D2090" s="543"/>
      <c r="E2090" s="543"/>
      <c r="F2090" s="543"/>
      <c r="G2090" s="543"/>
      <c r="H2090" s="543"/>
      <c r="I2090" s="543"/>
      <c r="J2090" s="543"/>
      <c r="K2090" s="543"/>
      <c r="L2090" s="543"/>
      <c r="M2090" s="543"/>
      <c r="N2090" s="331" t="str">
        <f>VLOOKUP(A2090,ORCAMENTO!A:I,5,0)</f>
        <v xml:space="preserve"> UN</v>
      </c>
      <c r="O2090" s="332">
        <f>O2094</f>
        <v>4</v>
      </c>
    </row>
    <row r="2091" spans="1:15" s="328" customFormat="1" x14ac:dyDescent="0.2">
      <c r="A2091" s="539" t="s">
        <v>39793</v>
      </c>
      <c r="B2091" s="539"/>
      <c r="C2091" s="539"/>
      <c r="D2091" s="539"/>
      <c r="E2091" s="539"/>
      <c r="F2091" s="539"/>
      <c r="G2091" s="539"/>
      <c r="H2091" s="539"/>
      <c r="I2091" s="539"/>
      <c r="J2091" s="539"/>
      <c r="K2091" s="539"/>
      <c r="L2091" s="539"/>
      <c r="M2091" s="539"/>
      <c r="N2091" s="539"/>
      <c r="O2091" s="539"/>
    </row>
    <row r="2092" spans="1:15" s="328" customFormat="1" x14ac:dyDescent="0.2">
      <c r="A2092" s="539" t="s">
        <v>5917</v>
      </c>
      <c r="B2092" s="539"/>
      <c r="C2092" s="539"/>
      <c r="D2092" s="333"/>
      <c r="E2092" s="333"/>
      <c r="F2092" s="333"/>
      <c r="G2092" s="333"/>
      <c r="H2092" s="333"/>
      <c r="I2092" s="333"/>
      <c r="J2092" s="333"/>
      <c r="K2092" s="333"/>
      <c r="L2092" s="333"/>
      <c r="M2092" s="333" t="s">
        <v>39792</v>
      </c>
      <c r="N2092" s="333" t="s">
        <v>39794</v>
      </c>
      <c r="O2092" s="333" t="s">
        <v>39795</v>
      </c>
    </row>
    <row r="2093" spans="1:15" s="328" customFormat="1" x14ac:dyDescent="0.2">
      <c r="A2093" s="535" t="s">
        <v>40003</v>
      </c>
      <c r="B2093" s="535"/>
      <c r="C2093" s="535"/>
      <c r="D2093" s="334"/>
      <c r="E2093" s="334"/>
      <c r="F2093" s="334"/>
      <c r="G2093" s="334"/>
      <c r="H2093" s="334"/>
      <c r="I2093" s="332"/>
      <c r="J2093" s="332"/>
      <c r="K2093" s="332"/>
      <c r="L2093" s="332"/>
      <c r="M2093" s="332">
        <f>4</f>
        <v>4</v>
      </c>
      <c r="N2093" s="332" t="s">
        <v>39794</v>
      </c>
      <c r="O2093" s="335">
        <f>ROUND(M2093,2)</f>
        <v>4</v>
      </c>
    </row>
    <row r="2094" spans="1:15" s="328" customFormat="1" x14ac:dyDescent="0.2">
      <c r="A2094" s="540"/>
      <c r="B2094" s="540"/>
      <c r="C2094" s="540"/>
      <c r="D2094" s="540"/>
      <c r="E2094" s="540"/>
      <c r="F2094" s="540"/>
      <c r="G2094" s="540"/>
      <c r="H2094" s="540"/>
      <c r="I2094" s="540"/>
      <c r="J2094" s="540"/>
      <c r="K2094" s="540"/>
      <c r="L2094" s="334" t="s">
        <v>39796</v>
      </c>
      <c r="M2094" s="334" t="s">
        <v>39168</v>
      </c>
      <c r="N2094" s="333" t="s">
        <v>39794</v>
      </c>
      <c r="O2094" s="334">
        <f>SUM(O2092:O2093)</f>
        <v>4</v>
      </c>
    </row>
    <row r="2095" spans="1:15" s="328" customFormat="1" x14ac:dyDescent="0.2">
      <c r="A2095" s="329" t="s">
        <v>39791</v>
      </c>
      <c r="B2095" s="542" t="s">
        <v>5917</v>
      </c>
      <c r="C2095" s="542"/>
      <c r="D2095" s="542"/>
      <c r="E2095" s="542"/>
      <c r="F2095" s="542"/>
      <c r="G2095" s="542"/>
      <c r="H2095" s="542"/>
      <c r="I2095" s="542"/>
      <c r="J2095" s="542"/>
      <c r="K2095" s="542"/>
      <c r="L2095" s="542"/>
      <c r="M2095" s="542"/>
      <c r="N2095" s="329" t="s">
        <v>39197</v>
      </c>
      <c r="O2095" s="330" t="s">
        <v>39792</v>
      </c>
    </row>
    <row r="2096" spans="1:15" s="328" customFormat="1" x14ac:dyDescent="0.2">
      <c r="A2096" s="331" t="str">
        <f>ORCAMENTO!A333</f>
        <v>16.2</v>
      </c>
      <c r="B2096" s="543" t="str">
        <f>VLOOKUP(A2096,ORCAMENTO!A:I,4,0)</f>
        <v>VIGA DE MADEIRA SERRADA, MAÇARANDUBA OU EQUIVALENTE DA REGIÃO, APARELHADA, SEÇÃO RETANGULAR 6 X 12 CM. AF_03/2024</v>
      </c>
      <c r="C2096" s="543"/>
      <c r="D2096" s="543"/>
      <c r="E2096" s="543"/>
      <c r="F2096" s="543"/>
      <c r="G2096" s="543"/>
      <c r="H2096" s="543"/>
      <c r="I2096" s="543"/>
      <c r="J2096" s="543"/>
      <c r="K2096" s="543"/>
      <c r="L2096" s="543"/>
      <c r="M2096" s="543"/>
      <c r="N2096" s="331" t="str">
        <f>VLOOKUP(A2096,ORCAMENTO!A:I,5,0)</f>
        <v>M</v>
      </c>
      <c r="O2096" s="332">
        <f>O2101</f>
        <v>28.88</v>
      </c>
    </row>
    <row r="2097" spans="1:15" s="328" customFormat="1" x14ac:dyDescent="0.2">
      <c r="A2097" s="539" t="s">
        <v>39793</v>
      </c>
      <c r="B2097" s="539"/>
      <c r="C2097" s="539"/>
      <c r="D2097" s="539"/>
      <c r="E2097" s="539"/>
      <c r="F2097" s="539"/>
      <c r="G2097" s="539"/>
      <c r="H2097" s="539"/>
      <c r="I2097" s="539"/>
      <c r="J2097" s="539"/>
      <c r="K2097" s="539"/>
      <c r="L2097" s="539"/>
      <c r="M2097" s="539"/>
      <c r="N2097" s="539"/>
      <c r="O2097" s="539"/>
    </row>
    <row r="2098" spans="1:15" s="328" customFormat="1" x14ac:dyDescent="0.2">
      <c r="A2098" s="539" t="s">
        <v>5917</v>
      </c>
      <c r="B2098" s="539"/>
      <c r="C2098" s="539"/>
      <c r="D2098" s="333"/>
      <c r="E2098" s="333"/>
      <c r="F2098" s="333"/>
      <c r="G2098" s="333"/>
      <c r="H2098" s="333"/>
      <c r="I2098" s="333"/>
      <c r="J2098" s="333"/>
      <c r="K2098" s="333" t="s">
        <v>39792</v>
      </c>
      <c r="L2098" s="333" t="s">
        <v>39805</v>
      </c>
      <c r="M2098" s="333" t="s">
        <v>39802</v>
      </c>
      <c r="N2098" s="333" t="s">
        <v>39794</v>
      </c>
      <c r="O2098" s="333" t="s">
        <v>39795</v>
      </c>
    </row>
    <row r="2099" spans="1:15" s="328" customFormat="1" x14ac:dyDescent="0.2">
      <c r="A2099" s="535" t="s">
        <v>39982</v>
      </c>
      <c r="B2099" s="535"/>
      <c r="C2099" s="535"/>
      <c r="D2099" s="331"/>
      <c r="E2099" s="339"/>
      <c r="F2099" s="339"/>
      <c r="G2099" s="339"/>
      <c r="H2099" s="339"/>
      <c r="I2099" s="339"/>
      <c r="J2099" s="339"/>
      <c r="K2099" s="339">
        <f>6</f>
        <v>6</v>
      </c>
      <c r="L2099" s="332" t="s">
        <v>39805</v>
      </c>
      <c r="M2099" s="339">
        <f>3.93</f>
        <v>3.93</v>
      </c>
      <c r="N2099" s="332" t="s">
        <v>39794</v>
      </c>
      <c r="O2099" s="335">
        <f>ROUND(K2099*M2099,2)</f>
        <v>23.58</v>
      </c>
    </row>
    <row r="2100" spans="1:15" s="328" customFormat="1" x14ac:dyDescent="0.2">
      <c r="A2100" s="535" t="s">
        <v>39983</v>
      </c>
      <c r="B2100" s="535"/>
      <c r="C2100" s="535"/>
      <c r="D2100" s="332"/>
      <c r="E2100" s="339"/>
      <c r="F2100" s="339"/>
      <c r="G2100" s="339"/>
      <c r="H2100" s="339"/>
      <c r="I2100" s="339"/>
      <c r="J2100" s="339"/>
      <c r="K2100" s="339">
        <f>1</f>
        <v>1</v>
      </c>
      <c r="L2100" s="332" t="s">
        <v>39805</v>
      </c>
      <c r="M2100" s="339">
        <f>5.3</f>
        <v>5.3</v>
      </c>
      <c r="N2100" s="332" t="s">
        <v>39794</v>
      </c>
      <c r="O2100" s="335">
        <f>ROUND(K2100*M2100,2)</f>
        <v>5.3</v>
      </c>
    </row>
    <row r="2101" spans="1:15" s="328" customFormat="1" x14ac:dyDescent="0.2">
      <c r="A2101" s="540"/>
      <c r="B2101" s="540"/>
      <c r="C2101" s="540"/>
      <c r="D2101" s="540"/>
      <c r="E2101" s="540"/>
      <c r="F2101" s="540"/>
      <c r="G2101" s="540"/>
      <c r="H2101" s="540"/>
      <c r="I2101" s="540"/>
      <c r="J2101" s="540"/>
      <c r="K2101" s="540"/>
      <c r="L2101" s="334" t="s">
        <v>39796</v>
      </c>
      <c r="M2101" s="334" t="s">
        <v>39168</v>
      </c>
      <c r="N2101" s="333" t="s">
        <v>39794</v>
      </c>
      <c r="O2101" s="334">
        <f>SUM(O2098:O2100)</f>
        <v>28.88</v>
      </c>
    </row>
    <row r="2102" spans="1:15" s="328" customFormat="1" x14ac:dyDescent="0.2">
      <c r="A2102" s="329" t="s">
        <v>39791</v>
      </c>
      <c r="B2102" s="542" t="s">
        <v>5917</v>
      </c>
      <c r="C2102" s="542"/>
      <c r="D2102" s="542"/>
      <c r="E2102" s="542"/>
      <c r="F2102" s="542"/>
      <c r="G2102" s="542"/>
      <c r="H2102" s="542"/>
      <c r="I2102" s="542"/>
      <c r="J2102" s="542"/>
      <c r="K2102" s="542"/>
      <c r="L2102" s="542"/>
      <c r="M2102" s="542"/>
      <c r="N2102" s="329" t="s">
        <v>39197</v>
      </c>
      <c r="O2102" s="330" t="s">
        <v>39792</v>
      </c>
    </row>
    <row r="2103" spans="1:15" s="328" customFormat="1" ht="39.950000000000003" customHeight="1" x14ac:dyDescent="0.2">
      <c r="A2103" s="331" t="str">
        <f>ORCAMENTO!A334</f>
        <v>16.3</v>
      </c>
      <c r="B2103" s="543" t="str">
        <f>VLOOKUP(A2103,ORCAMENTO!A:I,4,0)</f>
        <v>TRAMA DE MADEIRA COMPOSTA POR TERÇAS PARA TELHADOS DE ATÉ 2 ÁGUAS PARA TELHA ONDULADA DE FIBROCIMENTO, METÁLICA, PLÁSTICA OU TERMOACÚSTICA, INCLUSO TRANSPORTE VERTICAL. AF_07/2019</v>
      </c>
      <c r="C2103" s="543"/>
      <c r="D2103" s="543"/>
      <c r="E2103" s="543"/>
      <c r="F2103" s="543"/>
      <c r="G2103" s="543"/>
      <c r="H2103" s="543"/>
      <c r="I2103" s="543"/>
      <c r="J2103" s="543"/>
      <c r="K2103" s="543"/>
      <c r="L2103" s="543"/>
      <c r="M2103" s="543"/>
      <c r="N2103" s="331" t="str">
        <f>VLOOKUP(A2103,ORCAMENTO!A:I,5,0)</f>
        <v>M2</v>
      </c>
      <c r="O2103" s="332">
        <f>O2110</f>
        <v>752.68</v>
      </c>
    </row>
    <row r="2104" spans="1:15" s="328" customFormat="1" x14ac:dyDescent="0.2">
      <c r="A2104" s="539" t="s">
        <v>39793</v>
      </c>
      <c r="B2104" s="539"/>
      <c r="C2104" s="539"/>
      <c r="D2104" s="539"/>
      <c r="E2104" s="539"/>
      <c r="F2104" s="539"/>
      <c r="G2104" s="539"/>
      <c r="H2104" s="539"/>
      <c r="I2104" s="539"/>
      <c r="J2104" s="539"/>
      <c r="K2104" s="539"/>
      <c r="L2104" s="539"/>
      <c r="M2104" s="539"/>
      <c r="N2104" s="539"/>
      <c r="O2104" s="539"/>
    </row>
    <row r="2105" spans="1:15" s="328" customFormat="1" x14ac:dyDescent="0.2">
      <c r="A2105" s="539" t="s">
        <v>5917</v>
      </c>
      <c r="B2105" s="539"/>
      <c r="C2105" s="539"/>
      <c r="D2105" s="333"/>
      <c r="E2105" s="333"/>
      <c r="F2105" s="333"/>
      <c r="G2105" s="333"/>
      <c r="H2105" s="333"/>
      <c r="I2105" s="333"/>
      <c r="J2105" s="333"/>
      <c r="K2105" s="333" t="s">
        <v>39804</v>
      </c>
      <c r="L2105" s="333" t="s">
        <v>39805</v>
      </c>
      <c r="M2105" s="333" t="s">
        <v>39802</v>
      </c>
      <c r="N2105" s="333" t="s">
        <v>39794</v>
      </c>
      <c r="O2105" s="333" t="s">
        <v>39795</v>
      </c>
    </row>
    <row r="2106" spans="1:15" s="328" customFormat="1" x14ac:dyDescent="0.2">
      <c r="A2106" s="535" t="s">
        <v>39987</v>
      </c>
      <c r="B2106" s="535"/>
      <c r="C2106" s="535"/>
      <c r="D2106" s="332"/>
      <c r="E2106" s="332"/>
      <c r="F2106" s="332"/>
      <c r="G2106" s="332"/>
      <c r="H2106" s="332"/>
      <c r="I2106" s="332"/>
      <c r="J2106" s="332"/>
      <c r="K2106" s="332">
        <f>5.95</f>
        <v>5.95</v>
      </c>
      <c r="L2106" s="332" t="s">
        <v>39805</v>
      </c>
      <c r="M2106" s="332">
        <f>45.3</f>
        <v>45.3</v>
      </c>
      <c r="N2106" s="332" t="s">
        <v>39794</v>
      </c>
      <c r="O2106" s="335">
        <f>ROUND(K2106*M2106,2)</f>
        <v>269.54000000000002</v>
      </c>
    </row>
    <row r="2107" spans="1:15" s="328" customFormat="1" x14ac:dyDescent="0.2">
      <c r="A2107" s="535" t="s">
        <v>39988</v>
      </c>
      <c r="B2107" s="535"/>
      <c r="C2107" s="535"/>
      <c r="D2107" s="332"/>
      <c r="E2107" s="332"/>
      <c r="F2107" s="332"/>
      <c r="G2107" s="332"/>
      <c r="H2107" s="332"/>
      <c r="I2107" s="332"/>
      <c r="J2107" s="332"/>
      <c r="K2107" s="332">
        <f>5.95</f>
        <v>5.95</v>
      </c>
      <c r="L2107" s="332" t="s">
        <v>39805</v>
      </c>
      <c r="M2107" s="332">
        <f>45.3</f>
        <v>45.3</v>
      </c>
      <c r="N2107" s="332" t="s">
        <v>39794</v>
      </c>
      <c r="O2107" s="335">
        <f t="shared" ref="O2107:O2109" si="105">ROUND(K2107*M2107,2)</f>
        <v>269.54000000000002</v>
      </c>
    </row>
    <row r="2108" spans="1:15" s="328" customFormat="1" x14ac:dyDescent="0.2">
      <c r="A2108" s="535" t="s">
        <v>39989</v>
      </c>
      <c r="B2108" s="535"/>
      <c r="C2108" s="535"/>
      <c r="D2108" s="332"/>
      <c r="E2108" s="332"/>
      <c r="F2108" s="332"/>
      <c r="G2108" s="332"/>
      <c r="H2108" s="332"/>
      <c r="I2108" s="332"/>
      <c r="J2108" s="332"/>
      <c r="K2108" s="332">
        <f t="shared" ref="K2108:K2109" si="106">5.95</f>
        <v>5.95</v>
      </c>
      <c r="L2108" s="332" t="s">
        <v>39805</v>
      </c>
      <c r="M2108" s="332">
        <f>17.95</f>
        <v>17.95</v>
      </c>
      <c r="N2108" s="332" t="s">
        <v>39794</v>
      </c>
      <c r="O2108" s="335">
        <f t="shared" si="105"/>
        <v>106.8</v>
      </c>
    </row>
    <row r="2109" spans="1:15" s="328" customFormat="1" x14ac:dyDescent="0.2">
      <c r="A2109" s="535" t="s">
        <v>39990</v>
      </c>
      <c r="B2109" s="535"/>
      <c r="C2109" s="535"/>
      <c r="D2109" s="332"/>
      <c r="E2109" s="332"/>
      <c r="F2109" s="332"/>
      <c r="G2109" s="332"/>
      <c r="H2109" s="332"/>
      <c r="I2109" s="332"/>
      <c r="J2109" s="332"/>
      <c r="K2109" s="332">
        <f t="shared" si="106"/>
        <v>5.95</v>
      </c>
      <c r="L2109" s="332" t="s">
        <v>39805</v>
      </c>
      <c r="M2109" s="332">
        <f>17.95</f>
        <v>17.95</v>
      </c>
      <c r="N2109" s="332" t="s">
        <v>39794</v>
      </c>
      <c r="O2109" s="335">
        <f t="shared" si="105"/>
        <v>106.8</v>
      </c>
    </row>
    <row r="2110" spans="1:15" s="328" customFormat="1" x14ac:dyDescent="0.2">
      <c r="A2110" s="540"/>
      <c r="B2110" s="540"/>
      <c r="C2110" s="540"/>
      <c r="D2110" s="540"/>
      <c r="E2110" s="540"/>
      <c r="F2110" s="540"/>
      <c r="G2110" s="540"/>
      <c r="H2110" s="540"/>
      <c r="I2110" s="540"/>
      <c r="J2110" s="540"/>
      <c r="K2110" s="540"/>
      <c r="L2110" s="334" t="s">
        <v>39796</v>
      </c>
      <c r="M2110" s="334" t="s">
        <v>39168</v>
      </c>
      <c r="N2110" s="333" t="s">
        <v>39794</v>
      </c>
      <c r="O2110" s="334">
        <f>SUM(O2105:O2109)</f>
        <v>752.68</v>
      </c>
    </row>
    <row r="2111" spans="1:15" s="328" customFormat="1" x14ac:dyDescent="0.2">
      <c r="A2111" s="329" t="s">
        <v>39791</v>
      </c>
      <c r="B2111" s="542" t="s">
        <v>5917</v>
      </c>
      <c r="C2111" s="542"/>
      <c r="D2111" s="542"/>
      <c r="E2111" s="542"/>
      <c r="F2111" s="542"/>
      <c r="G2111" s="542"/>
      <c r="H2111" s="542"/>
      <c r="I2111" s="542"/>
      <c r="J2111" s="542"/>
      <c r="K2111" s="542"/>
      <c r="L2111" s="542"/>
      <c r="M2111" s="542"/>
      <c r="N2111" s="329" t="s">
        <v>39197</v>
      </c>
      <c r="O2111" s="330" t="s">
        <v>39792</v>
      </c>
    </row>
    <row r="2112" spans="1:15" s="328" customFormat="1" ht="39.950000000000003" customHeight="1" x14ac:dyDescent="0.2">
      <c r="A2112" s="331" t="str">
        <f>ORCAMENTO!A335</f>
        <v>16.4</v>
      </c>
      <c r="B2112" s="543" t="str">
        <f>VLOOKUP(A2112,ORCAMENTO!A:I,4,0)</f>
        <v>TELHAMENTO COM TELHA ONDULADA DE FIBROCIMENTO E = 6 MM, COM RECOBRIMENTO LATERAL DE 1 1/4 DE ONDA PARA TELHADO COM INCLINAÇÃO MÁXIMA DE 10°, COM ATÉ 2 ÁGUAS, INCLUSO IÇAMENTO. AF_07/2019</v>
      </c>
      <c r="C2112" s="543"/>
      <c r="D2112" s="543"/>
      <c r="E2112" s="543"/>
      <c r="F2112" s="543"/>
      <c r="G2112" s="543"/>
      <c r="H2112" s="543"/>
      <c r="I2112" s="543"/>
      <c r="J2112" s="543"/>
      <c r="K2112" s="543"/>
      <c r="L2112" s="543"/>
      <c r="M2112" s="543"/>
      <c r="N2112" s="331" t="str">
        <f>VLOOKUP(A2112,ORCAMENTO!A:I,5,0)</f>
        <v>M2</v>
      </c>
      <c r="O2112" s="332">
        <f>O2119</f>
        <v>752.68</v>
      </c>
    </row>
    <row r="2113" spans="1:15" s="328" customFormat="1" x14ac:dyDescent="0.2">
      <c r="A2113" s="539" t="s">
        <v>39793</v>
      </c>
      <c r="B2113" s="539"/>
      <c r="C2113" s="539"/>
      <c r="D2113" s="539"/>
      <c r="E2113" s="539"/>
      <c r="F2113" s="539"/>
      <c r="G2113" s="539"/>
      <c r="H2113" s="539"/>
      <c r="I2113" s="539"/>
      <c r="J2113" s="539"/>
      <c r="K2113" s="539"/>
      <c r="L2113" s="539"/>
      <c r="M2113" s="539"/>
      <c r="N2113" s="539"/>
      <c r="O2113" s="539"/>
    </row>
    <row r="2114" spans="1:15" s="328" customFormat="1" x14ac:dyDescent="0.2">
      <c r="A2114" s="539" t="s">
        <v>5917</v>
      </c>
      <c r="B2114" s="539"/>
      <c r="C2114" s="539"/>
      <c r="D2114" s="333"/>
      <c r="E2114" s="333"/>
      <c r="F2114" s="333"/>
      <c r="G2114" s="333"/>
      <c r="H2114" s="333"/>
      <c r="I2114" s="333"/>
      <c r="J2114" s="333"/>
      <c r="K2114" s="333" t="s">
        <v>39804</v>
      </c>
      <c r="L2114" s="333" t="s">
        <v>39805</v>
      </c>
      <c r="M2114" s="333" t="s">
        <v>39802</v>
      </c>
      <c r="N2114" s="333" t="s">
        <v>39794</v>
      </c>
      <c r="O2114" s="333" t="s">
        <v>39795</v>
      </c>
    </row>
    <row r="2115" spans="1:15" s="328" customFormat="1" x14ac:dyDescent="0.2">
      <c r="A2115" s="535" t="s">
        <v>39987</v>
      </c>
      <c r="B2115" s="535"/>
      <c r="C2115" s="535"/>
      <c r="D2115" s="332"/>
      <c r="E2115" s="332"/>
      <c r="F2115" s="332"/>
      <c r="G2115" s="332"/>
      <c r="H2115" s="332"/>
      <c r="I2115" s="332"/>
      <c r="J2115" s="332"/>
      <c r="K2115" s="332">
        <f>5.95</f>
        <v>5.95</v>
      </c>
      <c r="L2115" s="332" t="s">
        <v>39805</v>
      </c>
      <c r="M2115" s="332">
        <f>45.3</f>
        <v>45.3</v>
      </c>
      <c r="N2115" s="332" t="s">
        <v>39794</v>
      </c>
      <c r="O2115" s="335">
        <f>ROUND(K2115*M2115,2)</f>
        <v>269.54000000000002</v>
      </c>
    </row>
    <row r="2116" spans="1:15" s="328" customFormat="1" x14ac:dyDescent="0.2">
      <c r="A2116" s="535" t="s">
        <v>39988</v>
      </c>
      <c r="B2116" s="535"/>
      <c r="C2116" s="535"/>
      <c r="D2116" s="332"/>
      <c r="E2116" s="332"/>
      <c r="F2116" s="332"/>
      <c r="G2116" s="332"/>
      <c r="H2116" s="332"/>
      <c r="I2116" s="332"/>
      <c r="J2116" s="332"/>
      <c r="K2116" s="332">
        <f>5.95</f>
        <v>5.95</v>
      </c>
      <c r="L2116" s="332" t="s">
        <v>39805</v>
      </c>
      <c r="M2116" s="332">
        <f>45.3</f>
        <v>45.3</v>
      </c>
      <c r="N2116" s="332" t="s">
        <v>39794</v>
      </c>
      <c r="O2116" s="335">
        <f t="shared" ref="O2116:O2118" si="107">ROUND(K2116*M2116,2)</f>
        <v>269.54000000000002</v>
      </c>
    </row>
    <row r="2117" spans="1:15" s="328" customFormat="1" x14ac:dyDescent="0.2">
      <c r="A2117" s="535" t="s">
        <v>39989</v>
      </c>
      <c r="B2117" s="535"/>
      <c r="C2117" s="535"/>
      <c r="D2117" s="332"/>
      <c r="E2117" s="332"/>
      <c r="F2117" s="332"/>
      <c r="G2117" s="332"/>
      <c r="H2117" s="332"/>
      <c r="I2117" s="332"/>
      <c r="J2117" s="332"/>
      <c r="K2117" s="332">
        <f t="shared" ref="K2117:K2118" si="108">5.95</f>
        <v>5.95</v>
      </c>
      <c r="L2117" s="332" t="s">
        <v>39805</v>
      </c>
      <c r="M2117" s="332">
        <f>17.95</f>
        <v>17.95</v>
      </c>
      <c r="N2117" s="332" t="s">
        <v>39794</v>
      </c>
      <c r="O2117" s="335">
        <f t="shared" si="107"/>
        <v>106.8</v>
      </c>
    </row>
    <row r="2118" spans="1:15" s="328" customFormat="1" x14ac:dyDescent="0.2">
      <c r="A2118" s="535" t="s">
        <v>39990</v>
      </c>
      <c r="B2118" s="535"/>
      <c r="C2118" s="535"/>
      <c r="D2118" s="332"/>
      <c r="E2118" s="332"/>
      <c r="F2118" s="332"/>
      <c r="G2118" s="332"/>
      <c r="H2118" s="332"/>
      <c r="I2118" s="332"/>
      <c r="J2118" s="332"/>
      <c r="K2118" s="332">
        <f t="shared" si="108"/>
        <v>5.95</v>
      </c>
      <c r="L2118" s="332" t="s">
        <v>39805</v>
      </c>
      <c r="M2118" s="332">
        <f>17.95</f>
        <v>17.95</v>
      </c>
      <c r="N2118" s="332" t="s">
        <v>39794</v>
      </c>
      <c r="O2118" s="335">
        <f t="shared" si="107"/>
        <v>106.8</v>
      </c>
    </row>
    <row r="2119" spans="1:15" s="328" customFormat="1" x14ac:dyDescent="0.2">
      <c r="A2119" s="540"/>
      <c r="B2119" s="540"/>
      <c r="C2119" s="540"/>
      <c r="D2119" s="540"/>
      <c r="E2119" s="540"/>
      <c r="F2119" s="540"/>
      <c r="G2119" s="540"/>
      <c r="H2119" s="540"/>
      <c r="I2119" s="540"/>
      <c r="J2119" s="540"/>
      <c r="K2119" s="540"/>
      <c r="L2119" s="334" t="s">
        <v>39796</v>
      </c>
      <c r="M2119" s="334" t="s">
        <v>39168</v>
      </c>
      <c r="N2119" s="333" t="s">
        <v>39794</v>
      </c>
      <c r="O2119" s="334">
        <f>SUM(O2114:O2118)</f>
        <v>752.68</v>
      </c>
    </row>
    <row r="2120" spans="1:15" s="328" customFormat="1" x14ac:dyDescent="0.2">
      <c r="A2120" s="329" t="s">
        <v>39791</v>
      </c>
      <c r="B2120" s="542" t="s">
        <v>5917</v>
      </c>
      <c r="C2120" s="542"/>
      <c r="D2120" s="542"/>
      <c r="E2120" s="542"/>
      <c r="F2120" s="542"/>
      <c r="G2120" s="542"/>
      <c r="H2120" s="542"/>
      <c r="I2120" s="542"/>
      <c r="J2120" s="542"/>
      <c r="K2120" s="542"/>
      <c r="L2120" s="542"/>
      <c r="M2120" s="542"/>
      <c r="N2120" s="329" t="s">
        <v>39197</v>
      </c>
      <c r="O2120" s="330" t="s">
        <v>39792</v>
      </c>
    </row>
    <row r="2121" spans="1:15" s="328" customFormat="1" ht="39.950000000000003" customHeight="1" x14ac:dyDescent="0.2">
      <c r="A2121" s="331" t="str">
        <f>ORCAMENTO!A336</f>
        <v>16.5</v>
      </c>
      <c r="B2121" s="543" t="str">
        <f>VLOOKUP(A2121,ORCAMENTO!A:I,4,0)</f>
        <v>CUMEEIRA PARA TELHA DE FIBROCIMENTO ONDULADA E = 6 MM, INCLUSO ACESSÓRIOS DE FIXAÇÃO E IÇAMENTO. AF_07/2019</v>
      </c>
      <c r="C2121" s="543"/>
      <c r="D2121" s="543"/>
      <c r="E2121" s="543"/>
      <c r="F2121" s="543"/>
      <c r="G2121" s="543"/>
      <c r="H2121" s="543"/>
      <c r="I2121" s="543"/>
      <c r="J2121" s="543"/>
      <c r="K2121" s="543"/>
      <c r="L2121" s="543"/>
      <c r="M2121" s="543"/>
      <c r="N2121" s="331" t="str">
        <f>VLOOKUP(A2121,ORCAMENTO!A:I,5,0)</f>
        <v>M</v>
      </c>
      <c r="O2121" s="332">
        <f>O2126</f>
        <v>63.25</v>
      </c>
    </row>
    <row r="2122" spans="1:15" s="328" customFormat="1" x14ac:dyDescent="0.2">
      <c r="A2122" s="539" t="s">
        <v>39793</v>
      </c>
      <c r="B2122" s="539"/>
      <c r="C2122" s="539"/>
      <c r="D2122" s="539"/>
      <c r="E2122" s="539"/>
      <c r="F2122" s="539"/>
      <c r="G2122" s="539"/>
      <c r="H2122" s="539"/>
      <c r="I2122" s="539"/>
      <c r="J2122" s="539"/>
      <c r="K2122" s="539"/>
      <c r="L2122" s="539"/>
      <c r="M2122" s="539"/>
      <c r="N2122" s="539"/>
      <c r="O2122" s="539"/>
    </row>
    <row r="2123" spans="1:15" s="328" customFormat="1" x14ac:dyDescent="0.2">
      <c r="A2123" s="539" t="s">
        <v>5917</v>
      </c>
      <c r="B2123" s="539"/>
      <c r="C2123" s="539"/>
      <c r="D2123" s="333"/>
      <c r="E2123" s="333"/>
      <c r="F2123" s="333"/>
      <c r="G2123" s="333"/>
      <c r="H2123" s="333"/>
      <c r="I2123" s="331"/>
      <c r="J2123" s="331"/>
      <c r="K2123" s="333"/>
      <c r="L2123" s="333"/>
      <c r="M2123" s="333" t="s">
        <v>39802</v>
      </c>
      <c r="N2123" s="333" t="s">
        <v>39794</v>
      </c>
      <c r="O2123" s="333" t="s">
        <v>39795</v>
      </c>
    </row>
    <row r="2124" spans="1:15" s="328" customFormat="1" x14ac:dyDescent="0.2">
      <c r="A2124" s="535" t="s">
        <v>39991</v>
      </c>
      <c r="B2124" s="535"/>
      <c r="C2124" s="535"/>
      <c r="D2124" s="333"/>
      <c r="E2124" s="333"/>
      <c r="F2124" s="333"/>
      <c r="G2124" s="333"/>
      <c r="H2124" s="333"/>
      <c r="I2124" s="331"/>
      <c r="J2124" s="331"/>
      <c r="K2124" s="339"/>
      <c r="L2124" s="332"/>
      <c r="M2124" s="332">
        <f>45.3</f>
        <v>45.3</v>
      </c>
      <c r="N2124" s="332" t="s">
        <v>39794</v>
      </c>
      <c r="O2124" s="335">
        <f>ROUND(M2124,2)</f>
        <v>45.3</v>
      </c>
    </row>
    <row r="2125" spans="1:15" s="328" customFormat="1" x14ac:dyDescent="0.2">
      <c r="A2125" s="535" t="s">
        <v>39992</v>
      </c>
      <c r="B2125" s="535"/>
      <c r="C2125" s="535"/>
      <c r="D2125" s="333"/>
      <c r="E2125" s="333"/>
      <c r="F2125" s="333"/>
      <c r="G2125" s="333"/>
      <c r="H2125" s="333"/>
      <c r="I2125" s="331"/>
      <c r="J2125" s="331"/>
      <c r="K2125" s="339"/>
      <c r="L2125" s="332"/>
      <c r="M2125" s="332">
        <f>17.95</f>
        <v>17.95</v>
      </c>
      <c r="N2125" s="332" t="s">
        <v>39794</v>
      </c>
      <c r="O2125" s="335">
        <f>ROUND(M2125,2)</f>
        <v>17.95</v>
      </c>
    </row>
    <row r="2126" spans="1:15" s="328" customFormat="1" x14ac:dyDescent="0.2">
      <c r="A2126" s="540"/>
      <c r="B2126" s="540"/>
      <c r="C2126" s="540"/>
      <c r="D2126" s="540"/>
      <c r="E2126" s="540"/>
      <c r="F2126" s="540"/>
      <c r="G2126" s="540"/>
      <c r="H2126" s="540"/>
      <c r="I2126" s="540"/>
      <c r="J2126" s="540"/>
      <c r="K2126" s="540"/>
      <c r="L2126" s="334" t="s">
        <v>39796</v>
      </c>
      <c r="M2126" s="334" t="s">
        <v>39168</v>
      </c>
      <c r="N2126" s="333" t="s">
        <v>39794</v>
      </c>
      <c r="O2126" s="334">
        <f>SUM(O2123:O2125)</f>
        <v>63.25</v>
      </c>
    </row>
    <row r="2127" spans="1:15" s="328" customFormat="1" x14ac:dyDescent="0.2">
      <c r="A2127" s="329" t="s">
        <v>39791</v>
      </c>
      <c r="B2127" s="542" t="s">
        <v>5917</v>
      </c>
      <c r="C2127" s="542"/>
      <c r="D2127" s="542"/>
      <c r="E2127" s="542"/>
      <c r="F2127" s="542"/>
      <c r="G2127" s="542"/>
      <c r="H2127" s="542"/>
      <c r="I2127" s="542"/>
      <c r="J2127" s="542"/>
      <c r="K2127" s="542"/>
      <c r="L2127" s="542"/>
      <c r="M2127" s="542"/>
      <c r="N2127" s="329" t="s">
        <v>39197</v>
      </c>
      <c r="O2127" s="330" t="s">
        <v>39792</v>
      </c>
    </row>
    <row r="2128" spans="1:15" s="328" customFormat="1" ht="39.950000000000003" customHeight="1" x14ac:dyDescent="0.2">
      <c r="A2128" s="331" t="str">
        <f>ORCAMENTO!A337</f>
        <v>16.6</v>
      </c>
      <c r="B2128" s="543" t="str">
        <f>VLOOKUP(A2128,ORCAMENTO!A:I,4,0)</f>
        <v>RUFO EM FIBROCIMENTO PARA TELHA ONDULADA E = 6 MM, ABA DE 26 CM, INCLUSO TRANSPORTE VERTICAL, EXCETO CONTRARRUFO. AF_07/2019</v>
      </c>
      <c r="C2128" s="543"/>
      <c r="D2128" s="543"/>
      <c r="E2128" s="543"/>
      <c r="F2128" s="543"/>
      <c r="G2128" s="543"/>
      <c r="H2128" s="543"/>
      <c r="I2128" s="543"/>
      <c r="J2128" s="543"/>
      <c r="K2128" s="543"/>
      <c r="L2128" s="543"/>
      <c r="M2128" s="543"/>
      <c r="N2128" s="331" t="str">
        <f>VLOOKUP(A2128,ORCAMENTO!A:I,5,0)</f>
        <v>M</v>
      </c>
      <c r="O2128" s="332">
        <f>O2132</f>
        <v>47.6</v>
      </c>
    </row>
    <row r="2129" spans="1:15" s="328" customFormat="1" x14ac:dyDescent="0.2">
      <c r="A2129" s="539" t="s">
        <v>39793</v>
      </c>
      <c r="B2129" s="539"/>
      <c r="C2129" s="539"/>
      <c r="D2129" s="539"/>
      <c r="E2129" s="539"/>
      <c r="F2129" s="539"/>
      <c r="G2129" s="539"/>
      <c r="H2129" s="539"/>
      <c r="I2129" s="539"/>
      <c r="J2129" s="539"/>
      <c r="K2129" s="539"/>
      <c r="L2129" s="539"/>
      <c r="M2129" s="539"/>
      <c r="N2129" s="539"/>
      <c r="O2129" s="539"/>
    </row>
    <row r="2130" spans="1:15" s="328" customFormat="1" x14ac:dyDescent="0.2">
      <c r="A2130" s="539" t="s">
        <v>5917</v>
      </c>
      <c r="B2130" s="539"/>
      <c r="C2130" s="539"/>
      <c r="D2130" s="333"/>
      <c r="E2130" s="333"/>
      <c r="F2130" s="333"/>
      <c r="G2130" s="333"/>
      <c r="H2130" s="333"/>
      <c r="I2130" s="331"/>
      <c r="J2130" s="331"/>
      <c r="K2130" s="333" t="s">
        <v>39792</v>
      </c>
      <c r="L2130" s="333" t="s">
        <v>39805</v>
      </c>
      <c r="M2130" s="333" t="s">
        <v>39802</v>
      </c>
      <c r="N2130" s="333" t="s">
        <v>39794</v>
      </c>
      <c r="O2130" s="333" t="s">
        <v>39795</v>
      </c>
    </row>
    <row r="2131" spans="1:15" s="328" customFormat="1" x14ac:dyDescent="0.2">
      <c r="A2131" s="535" t="s">
        <v>39993</v>
      </c>
      <c r="B2131" s="535"/>
      <c r="C2131" s="535"/>
      <c r="D2131" s="333"/>
      <c r="E2131" s="333"/>
      <c r="F2131" s="333"/>
      <c r="G2131" s="333"/>
      <c r="H2131" s="333"/>
      <c r="I2131" s="331"/>
      <c r="J2131" s="331"/>
      <c r="K2131" s="339">
        <f>8</f>
        <v>8</v>
      </c>
      <c r="L2131" s="332" t="s">
        <v>39805</v>
      </c>
      <c r="M2131" s="332">
        <f>5.95</f>
        <v>5.95</v>
      </c>
      <c r="N2131" s="332" t="s">
        <v>39794</v>
      </c>
      <c r="O2131" s="335">
        <f>ROUND(K2131*M2131,2)</f>
        <v>47.6</v>
      </c>
    </row>
    <row r="2132" spans="1:15" s="328" customFormat="1" x14ac:dyDescent="0.2">
      <c r="A2132" s="540"/>
      <c r="B2132" s="540"/>
      <c r="C2132" s="540"/>
      <c r="D2132" s="540"/>
      <c r="E2132" s="540"/>
      <c r="F2132" s="540"/>
      <c r="G2132" s="540"/>
      <c r="H2132" s="540"/>
      <c r="I2132" s="540"/>
      <c r="J2132" s="540"/>
      <c r="K2132" s="540"/>
      <c r="L2132" s="334" t="s">
        <v>39796</v>
      </c>
      <c r="M2132" s="334" t="s">
        <v>39168</v>
      </c>
      <c r="N2132" s="333" t="s">
        <v>39794</v>
      </c>
      <c r="O2132" s="334">
        <f>SUM(O2130:O2131)</f>
        <v>47.6</v>
      </c>
    </row>
    <row r="2133" spans="1:15" s="328" customFormat="1" x14ac:dyDescent="0.2">
      <c r="A2133" s="329" t="s">
        <v>39791</v>
      </c>
      <c r="B2133" s="542" t="s">
        <v>5917</v>
      </c>
      <c r="C2133" s="542"/>
      <c r="D2133" s="542"/>
      <c r="E2133" s="542"/>
      <c r="F2133" s="542"/>
      <c r="G2133" s="542"/>
      <c r="H2133" s="542"/>
      <c r="I2133" s="542"/>
      <c r="J2133" s="542"/>
      <c r="K2133" s="542"/>
      <c r="L2133" s="542"/>
      <c r="M2133" s="542"/>
      <c r="N2133" s="329" t="s">
        <v>39197</v>
      </c>
      <c r="O2133" s="330" t="s">
        <v>39792</v>
      </c>
    </row>
    <row r="2134" spans="1:15" s="328" customFormat="1" ht="12.75" customHeight="1" x14ac:dyDescent="0.2">
      <c r="A2134" s="331" t="str">
        <f>ORCAMENTO!A338</f>
        <v>16.7</v>
      </c>
      <c r="B2134" s="543" t="str">
        <f>VLOOKUP(A2134,ORCAMENTO!A:I,4,0)</f>
        <v>CHAPIM PRÉ-MOLDADO DE CONCRETO</v>
      </c>
      <c r="C2134" s="543"/>
      <c r="D2134" s="543"/>
      <c r="E2134" s="543"/>
      <c r="F2134" s="543"/>
      <c r="G2134" s="543"/>
      <c r="H2134" s="543"/>
      <c r="I2134" s="543"/>
      <c r="J2134" s="543"/>
      <c r="K2134" s="543"/>
      <c r="L2134" s="543"/>
      <c r="M2134" s="543"/>
      <c r="N2134" s="331" t="str">
        <f>VLOOKUP(A2134,ORCAMENTO!A:I,5,0)</f>
        <v>M2</v>
      </c>
      <c r="O2134" s="332">
        <f>O2139</f>
        <v>167</v>
      </c>
    </row>
    <row r="2135" spans="1:15" s="328" customFormat="1" x14ac:dyDescent="0.2">
      <c r="A2135" s="539" t="s">
        <v>39793</v>
      </c>
      <c r="B2135" s="539"/>
      <c r="C2135" s="539"/>
      <c r="D2135" s="539"/>
      <c r="E2135" s="539"/>
      <c r="F2135" s="539"/>
      <c r="G2135" s="539"/>
      <c r="H2135" s="539"/>
      <c r="I2135" s="539"/>
      <c r="J2135" s="539"/>
      <c r="K2135" s="539"/>
      <c r="L2135" s="539"/>
      <c r="M2135" s="539"/>
      <c r="N2135" s="539"/>
      <c r="O2135" s="539"/>
    </row>
    <row r="2136" spans="1:15" s="328" customFormat="1" x14ac:dyDescent="0.2">
      <c r="A2136" s="539" t="s">
        <v>5917</v>
      </c>
      <c r="B2136" s="539"/>
      <c r="C2136" s="539"/>
      <c r="D2136" s="333"/>
      <c r="E2136" s="333"/>
      <c r="F2136" s="333"/>
      <c r="G2136" s="333"/>
      <c r="H2136" s="333"/>
      <c r="I2136" s="331"/>
      <c r="J2136" s="331"/>
      <c r="K2136" s="333" t="s">
        <v>39792</v>
      </c>
      <c r="L2136" s="333" t="s">
        <v>39805</v>
      </c>
      <c r="M2136" s="333" t="s">
        <v>39802</v>
      </c>
      <c r="N2136" s="333" t="s">
        <v>39794</v>
      </c>
      <c r="O2136" s="333" t="s">
        <v>39795</v>
      </c>
    </row>
    <row r="2137" spans="1:15" s="328" customFormat="1" x14ac:dyDescent="0.2">
      <c r="A2137" s="535" t="s">
        <v>39994</v>
      </c>
      <c r="B2137" s="535"/>
      <c r="C2137" s="535"/>
      <c r="D2137" s="333"/>
      <c r="E2137" s="333"/>
      <c r="F2137" s="333"/>
      <c r="G2137" s="333"/>
      <c r="H2137" s="333"/>
      <c r="I2137" s="331"/>
      <c r="J2137" s="331"/>
      <c r="K2137" s="339">
        <f>2</f>
        <v>2</v>
      </c>
      <c r="L2137" s="332" t="s">
        <v>39805</v>
      </c>
      <c r="M2137" s="339">
        <f>63.7</f>
        <v>63.7</v>
      </c>
      <c r="N2137" s="332" t="s">
        <v>39794</v>
      </c>
      <c r="O2137" s="335">
        <f>ROUND(K2137*M2137,2)</f>
        <v>127.4</v>
      </c>
    </row>
    <row r="2138" spans="1:15" s="328" customFormat="1" x14ac:dyDescent="0.2">
      <c r="A2138" s="535" t="s">
        <v>39995</v>
      </c>
      <c r="B2138" s="535"/>
      <c r="C2138" s="535"/>
      <c r="D2138" s="333"/>
      <c r="E2138" s="333"/>
      <c r="F2138" s="333"/>
      <c r="G2138" s="333"/>
      <c r="H2138" s="333"/>
      <c r="I2138" s="331"/>
      <c r="J2138" s="331"/>
      <c r="K2138" s="339">
        <f>3</f>
        <v>3</v>
      </c>
      <c r="L2138" s="332" t="s">
        <v>39805</v>
      </c>
      <c r="M2138" s="339">
        <f>13.2</f>
        <v>13.2</v>
      </c>
      <c r="N2138" s="332" t="s">
        <v>39794</v>
      </c>
      <c r="O2138" s="335">
        <f>ROUND(K2138*M2138,2)</f>
        <v>39.6</v>
      </c>
    </row>
    <row r="2139" spans="1:15" s="328" customFormat="1" x14ac:dyDescent="0.2">
      <c r="A2139" s="540"/>
      <c r="B2139" s="540"/>
      <c r="C2139" s="540"/>
      <c r="D2139" s="540"/>
      <c r="E2139" s="540"/>
      <c r="F2139" s="540"/>
      <c r="G2139" s="540"/>
      <c r="H2139" s="540"/>
      <c r="I2139" s="540"/>
      <c r="J2139" s="540"/>
      <c r="K2139" s="540"/>
      <c r="L2139" s="334" t="s">
        <v>39796</v>
      </c>
      <c r="M2139" s="334" t="s">
        <v>39168</v>
      </c>
      <c r="N2139" s="333" t="s">
        <v>39794</v>
      </c>
      <c r="O2139" s="334">
        <f>SUM(O2136:O2138)</f>
        <v>167</v>
      </c>
    </row>
    <row r="2140" spans="1:15" s="328" customFormat="1" x14ac:dyDescent="0.2">
      <c r="A2140" s="329" t="s">
        <v>39791</v>
      </c>
      <c r="B2140" s="542" t="s">
        <v>5917</v>
      </c>
      <c r="C2140" s="542"/>
      <c r="D2140" s="542"/>
      <c r="E2140" s="542"/>
      <c r="F2140" s="542"/>
      <c r="G2140" s="542"/>
      <c r="H2140" s="542"/>
      <c r="I2140" s="542"/>
      <c r="J2140" s="542"/>
      <c r="K2140" s="542"/>
      <c r="L2140" s="542"/>
      <c r="M2140" s="542"/>
      <c r="N2140" s="329" t="s">
        <v>39197</v>
      </c>
      <c r="O2140" s="330" t="s">
        <v>39792</v>
      </c>
    </row>
    <row r="2141" spans="1:15" s="328" customFormat="1" ht="39.950000000000003" customHeight="1" x14ac:dyDescent="0.2">
      <c r="A2141" s="331" t="str">
        <f>ORCAMENTO!A339</f>
        <v>16.8</v>
      </c>
      <c r="B2141" s="543" t="str">
        <f>VLOOKUP(A2141,ORCAMENTO!A:I,4,0)</f>
        <v>IMPERMEABILIZAÇÃO DE SUPERFÍCIE COM MANTA ASFÁLTICA, UMA CAMADA, INCLUSIVE APLICAÇÃO DE PRIMER ASFÁLTICO, E=4MM. AF_09/2023</v>
      </c>
      <c r="C2141" s="543"/>
      <c r="D2141" s="543"/>
      <c r="E2141" s="543"/>
      <c r="F2141" s="543"/>
      <c r="G2141" s="543"/>
      <c r="H2141" s="543"/>
      <c r="I2141" s="543"/>
      <c r="J2141" s="543"/>
      <c r="K2141" s="543"/>
      <c r="L2141" s="543"/>
      <c r="M2141" s="543"/>
      <c r="N2141" s="331" t="str">
        <f>VLOOKUP(A2141,ORCAMENTO!A:I,5,0)</f>
        <v>M2</v>
      </c>
      <c r="O2141" s="332">
        <f>O2151</f>
        <v>252.99999999999997</v>
      </c>
    </row>
    <row r="2142" spans="1:15" s="328" customFormat="1" x14ac:dyDescent="0.2">
      <c r="A2142" s="539" t="s">
        <v>39793</v>
      </c>
      <c r="B2142" s="539"/>
      <c r="C2142" s="539"/>
      <c r="D2142" s="539"/>
      <c r="E2142" s="539"/>
      <c r="F2142" s="539"/>
      <c r="G2142" s="539"/>
      <c r="H2142" s="539"/>
      <c r="I2142" s="539"/>
      <c r="J2142" s="539"/>
      <c r="K2142" s="539"/>
      <c r="L2142" s="539"/>
      <c r="M2142" s="539"/>
      <c r="N2142" s="539"/>
      <c r="O2142" s="539"/>
    </row>
    <row r="2143" spans="1:15" s="328" customFormat="1" x14ac:dyDescent="0.2">
      <c r="A2143" s="539" t="s">
        <v>5917</v>
      </c>
      <c r="B2143" s="539"/>
      <c r="C2143" s="539"/>
      <c r="D2143" s="333"/>
      <c r="E2143" s="333"/>
      <c r="F2143" s="333"/>
      <c r="G2143" s="333"/>
      <c r="H2143" s="333"/>
      <c r="I2143" s="333" t="s">
        <v>39792</v>
      </c>
      <c r="J2143" s="333" t="s">
        <v>39805</v>
      </c>
      <c r="K2143" s="333" t="s">
        <v>39804</v>
      </c>
      <c r="L2143" s="333" t="s">
        <v>39805</v>
      </c>
      <c r="M2143" s="333" t="s">
        <v>39802</v>
      </c>
      <c r="N2143" s="333" t="s">
        <v>39794</v>
      </c>
      <c r="O2143" s="333" t="s">
        <v>39795</v>
      </c>
    </row>
    <row r="2144" spans="1:15" s="328" customFormat="1" x14ac:dyDescent="0.2">
      <c r="A2144" s="535" t="s">
        <v>39996</v>
      </c>
      <c r="B2144" s="535"/>
      <c r="C2144" s="535"/>
      <c r="D2144" s="334"/>
      <c r="E2144" s="334"/>
      <c r="F2144" s="334"/>
      <c r="G2144" s="334"/>
      <c r="H2144" s="334"/>
      <c r="I2144" s="332">
        <f>2</f>
        <v>2</v>
      </c>
      <c r="J2144" s="332" t="s">
        <v>39805</v>
      </c>
      <c r="K2144" s="332">
        <f>0.5</f>
        <v>0.5</v>
      </c>
      <c r="L2144" s="332" t="s">
        <v>39805</v>
      </c>
      <c r="M2144" s="332">
        <f>45.3</f>
        <v>45.3</v>
      </c>
      <c r="N2144" s="332" t="s">
        <v>39794</v>
      </c>
      <c r="O2144" s="335">
        <f>ROUND(I2144*K2144*M2144,2)</f>
        <v>45.3</v>
      </c>
    </row>
    <row r="2145" spans="1:15" s="328" customFormat="1" x14ac:dyDescent="0.2">
      <c r="A2145" s="535" t="s">
        <v>39997</v>
      </c>
      <c r="B2145" s="535"/>
      <c r="C2145" s="535"/>
      <c r="D2145" s="334"/>
      <c r="E2145" s="334"/>
      <c r="F2145" s="334"/>
      <c r="G2145" s="334"/>
      <c r="H2145" s="334"/>
      <c r="I2145" s="332">
        <f>2</f>
        <v>2</v>
      </c>
      <c r="J2145" s="332" t="s">
        <v>39805</v>
      </c>
      <c r="K2145" s="332">
        <f>0.5</f>
        <v>0.5</v>
      </c>
      <c r="L2145" s="332" t="s">
        <v>39805</v>
      </c>
      <c r="M2145" s="332">
        <f>17.95</f>
        <v>17.95</v>
      </c>
      <c r="N2145" s="332" t="s">
        <v>39794</v>
      </c>
      <c r="O2145" s="335">
        <f>ROUND(I2145*K2145*M2145,2)</f>
        <v>17.95</v>
      </c>
    </row>
    <row r="2146" spans="1:15" s="328" customFormat="1" x14ac:dyDescent="0.2">
      <c r="A2146" s="539" t="s">
        <v>5917</v>
      </c>
      <c r="B2146" s="539"/>
      <c r="C2146" s="539"/>
      <c r="D2146" s="334"/>
      <c r="E2146" s="334"/>
      <c r="F2146" s="334"/>
      <c r="G2146" s="334"/>
      <c r="H2146" s="334"/>
      <c r="I2146" s="334" t="s">
        <v>39792</v>
      </c>
      <c r="J2146" s="334" t="s">
        <v>39805</v>
      </c>
      <c r="K2146" s="334" t="s">
        <v>39823</v>
      </c>
      <c r="L2146" s="334" t="s">
        <v>39805</v>
      </c>
      <c r="M2146" s="334" t="s">
        <v>39802</v>
      </c>
      <c r="N2146" s="334" t="s">
        <v>39794</v>
      </c>
      <c r="O2146" s="334" t="s">
        <v>39795</v>
      </c>
    </row>
    <row r="2147" spans="1:15" s="328" customFormat="1" x14ac:dyDescent="0.2">
      <c r="A2147" s="535" t="s">
        <v>39998</v>
      </c>
      <c r="B2147" s="535"/>
      <c r="C2147" s="535"/>
      <c r="D2147" s="334"/>
      <c r="E2147" s="334"/>
      <c r="F2147" s="334"/>
      <c r="G2147" s="334"/>
      <c r="H2147" s="334"/>
      <c r="I2147" s="332">
        <f>2</f>
        <v>2</v>
      </c>
      <c r="J2147" s="332" t="s">
        <v>39805</v>
      </c>
      <c r="K2147" s="332">
        <f>0.5</f>
        <v>0.5</v>
      </c>
      <c r="L2147" s="332" t="s">
        <v>39805</v>
      </c>
      <c r="M2147" s="332">
        <f>45.3</f>
        <v>45.3</v>
      </c>
      <c r="N2147" s="332" t="s">
        <v>39794</v>
      </c>
      <c r="O2147" s="335">
        <f>ROUND(I2147*K2147*M2147,2)</f>
        <v>45.3</v>
      </c>
    </row>
    <row r="2148" spans="1:15" s="328" customFormat="1" x14ac:dyDescent="0.2">
      <c r="A2148" s="535" t="s">
        <v>39999</v>
      </c>
      <c r="B2148" s="535"/>
      <c r="C2148" s="535"/>
      <c r="D2148" s="334"/>
      <c r="E2148" s="334"/>
      <c r="F2148" s="334"/>
      <c r="G2148" s="334"/>
      <c r="H2148" s="334"/>
      <c r="I2148" s="332">
        <f>2</f>
        <v>2</v>
      </c>
      <c r="J2148" s="332" t="s">
        <v>39805</v>
      </c>
      <c r="K2148" s="332">
        <f>1</f>
        <v>1</v>
      </c>
      <c r="L2148" s="332" t="s">
        <v>39805</v>
      </c>
      <c r="M2148" s="332">
        <f>45.3</f>
        <v>45.3</v>
      </c>
      <c r="N2148" s="332" t="s">
        <v>39794</v>
      </c>
      <c r="O2148" s="335">
        <f>ROUND(I2148*K2148*M2148,2)</f>
        <v>90.6</v>
      </c>
    </row>
    <row r="2149" spans="1:15" s="328" customFormat="1" x14ac:dyDescent="0.2">
      <c r="A2149" s="535" t="s">
        <v>40000</v>
      </c>
      <c r="B2149" s="535"/>
      <c r="C2149" s="535"/>
      <c r="D2149" s="334"/>
      <c r="E2149" s="334"/>
      <c r="F2149" s="334"/>
      <c r="G2149" s="334"/>
      <c r="H2149" s="334"/>
      <c r="I2149" s="332">
        <f>2</f>
        <v>2</v>
      </c>
      <c r="J2149" s="332" t="s">
        <v>39805</v>
      </c>
      <c r="K2149" s="332">
        <f>0.5</f>
        <v>0.5</v>
      </c>
      <c r="L2149" s="332" t="s">
        <v>39805</v>
      </c>
      <c r="M2149" s="332">
        <f>17.95</f>
        <v>17.95</v>
      </c>
      <c r="N2149" s="332" t="s">
        <v>39794</v>
      </c>
      <c r="O2149" s="335">
        <f>ROUND(I2149*K2149*M2149,2)</f>
        <v>17.95</v>
      </c>
    </row>
    <row r="2150" spans="1:15" s="328" customFormat="1" x14ac:dyDescent="0.2">
      <c r="A2150" s="535" t="s">
        <v>40001</v>
      </c>
      <c r="B2150" s="535"/>
      <c r="C2150" s="535"/>
      <c r="D2150" s="334"/>
      <c r="E2150" s="334"/>
      <c r="F2150" s="334"/>
      <c r="G2150" s="334"/>
      <c r="H2150" s="334"/>
      <c r="I2150" s="332">
        <f>2</f>
        <v>2</v>
      </c>
      <c r="J2150" s="332" t="s">
        <v>39805</v>
      </c>
      <c r="K2150" s="332">
        <f>1</f>
        <v>1</v>
      </c>
      <c r="L2150" s="332" t="s">
        <v>39805</v>
      </c>
      <c r="M2150" s="332">
        <f>17.95</f>
        <v>17.95</v>
      </c>
      <c r="N2150" s="332" t="s">
        <v>39794</v>
      </c>
      <c r="O2150" s="335">
        <f>ROUND(I2150*K2150*M2150,2)</f>
        <v>35.9</v>
      </c>
    </row>
    <row r="2151" spans="1:15" s="328" customFormat="1" x14ac:dyDescent="0.2">
      <c r="A2151" s="540"/>
      <c r="B2151" s="540"/>
      <c r="C2151" s="540"/>
      <c r="D2151" s="540"/>
      <c r="E2151" s="540"/>
      <c r="F2151" s="540"/>
      <c r="G2151" s="540"/>
      <c r="H2151" s="540"/>
      <c r="I2151" s="540"/>
      <c r="J2151" s="540"/>
      <c r="K2151" s="540"/>
      <c r="L2151" s="334" t="s">
        <v>39796</v>
      </c>
      <c r="M2151" s="334" t="s">
        <v>39168</v>
      </c>
      <c r="N2151" s="333" t="s">
        <v>39794</v>
      </c>
      <c r="O2151" s="334">
        <f>SUM(O2143:O2150)</f>
        <v>252.99999999999997</v>
      </c>
    </row>
    <row r="2152" spans="1:15" s="328" customFormat="1" x14ac:dyDescent="0.2">
      <c r="A2152" s="329" t="s">
        <v>39791</v>
      </c>
      <c r="B2152" s="542" t="s">
        <v>5917</v>
      </c>
      <c r="C2152" s="542"/>
      <c r="D2152" s="542"/>
      <c r="E2152" s="542"/>
      <c r="F2152" s="542"/>
      <c r="G2152" s="542"/>
      <c r="H2152" s="542"/>
      <c r="I2152" s="542"/>
      <c r="J2152" s="542"/>
      <c r="K2152" s="542"/>
      <c r="L2152" s="542"/>
      <c r="M2152" s="542"/>
      <c r="N2152" s="329" t="s">
        <v>39197</v>
      </c>
      <c r="O2152" s="330" t="s">
        <v>39792</v>
      </c>
    </row>
    <row r="2153" spans="1:15" s="328" customFormat="1" ht="39.950000000000003" customHeight="1" x14ac:dyDescent="0.2">
      <c r="A2153" s="331" t="str">
        <f>ORCAMENTO!A340</f>
        <v>16.9</v>
      </c>
      <c r="B2153" s="543" t="str">
        <f>VLOOKUP(A2153,ORCAMENTO!A:I,4,0)</f>
        <v>PROTEÇÃO MECÂNICA DE SUPERFÍCIE HORIZONTAL COM ARGAMASSA DE CIMENTO E AREIA, TRAÇO 1:3, E=2CM. AF_09/2023</v>
      </c>
      <c r="C2153" s="543"/>
      <c r="D2153" s="543"/>
      <c r="E2153" s="543"/>
      <c r="F2153" s="543"/>
      <c r="G2153" s="543"/>
      <c r="H2153" s="543"/>
      <c r="I2153" s="543"/>
      <c r="J2153" s="543"/>
      <c r="K2153" s="543"/>
      <c r="L2153" s="543"/>
      <c r="M2153" s="543"/>
      <c r="N2153" s="331" t="str">
        <f>VLOOKUP(A2153,ORCAMENTO!A:I,5,0)</f>
        <v>M2</v>
      </c>
      <c r="O2153" s="332">
        <f>O2158</f>
        <v>63.25</v>
      </c>
    </row>
    <row r="2154" spans="1:15" s="328" customFormat="1" x14ac:dyDescent="0.2">
      <c r="A2154" s="539" t="s">
        <v>39793</v>
      </c>
      <c r="B2154" s="539"/>
      <c r="C2154" s="539"/>
      <c r="D2154" s="539"/>
      <c r="E2154" s="539"/>
      <c r="F2154" s="539"/>
      <c r="G2154" s="539"/>
      <c r="H2154" s="539"/>
      <c r="I2154" s="539"/>
      <c r="J2154" s="539"/>
      <c r="K2154" s="539"/>
      <c r="L2154" s="539"/>
      <c r="M2154" s="539"/>
      <c r="N2154" s="539"/>
      <c r="O2154" s="539"/>
    </row>
    <row r="2155" spans="1:15" s="328" customFormat="1" x14ac:dyDescent="0.2">
      <c r="A2155" s="539" t="s">
        <v>5917</v>
      </c>
      <c r="B2155" s="539"/>
      <c r="C2155" s="539"/>
      <c r="D2155" s="333"/>
      <c r="E2155" s="333"/>
      <c r="F2155" s="333"/>
      <c r="G2155" s="333"/>
      <c r="H2155" s="333"/>
      <c r="I2155" s="333" t="s">
        <v>39792</v>
      </c>
      <c r="J2155" s="333" t="s">
        <v>39805</v>
      </c>
      <c r="K2155" s="333" t="s">
        <v>39804</v>
      </c>
      <c r="L2155" s="333" t="s">
        <v>39805</v>
      </c>
      <c r="M2155" s="333" t="s">
        <v>39802</v>
      </c>
      <c r="N2155" s="333" t="s">
        <v>39794</v>
      </c>
      <c r="O2155" s="333" t="s">
        <v>39795</v>
      </c>
    </row>
    <row r="2156" spans="1:15" s="328" customFormat="1" x14ac:dyDescent="0.2">
      <c r="A2156" s="535" t="s">
        <v>39996</v>
      </c>
      <c r="B2156" s="535"/>
      <c r="C2156" s="535"/>
      <c r="D2156" s="334"/>
      <c r="E2156" s="334"/>
      <c r="F2156" s="334"/>
      <c r="G2156" s="334"/>
      <c r="H2156" s="334"/>
      <c r="I2156" s="332">
        <f>2</f>
        <v>2</v>
      </c>
      <c r="J2156" s="332" t="s">
        <v>39805</v>
      </c>
      <c r="K2156" s="332">
        <f>0.5</f>
        <v>0.5</v>
      </c>
      <c r="L2156" s="332" t="s">
        <v>39805</v>
      </c>
      <c r="M2156" s="332">
        <f>45.3</f>
        <v>45.3</v>
      </c>
      <c r="N2156" s="332" t="s">
        <v>39794</v>
      </c>
      <c r="O2156" s="335">
        <f>ROUND(I2156*K2156*M2156,2)</f>
        <v>45.3</v>
      </c>
    </row>
    <row r="2157" spans="1:15" s="328" customFormat="1" x14ac:dyDescent="0.2">
      <c r="A2157" s="535" t="s">
        <v>39997</v>
      </c>
      <c r="B2157" s="535"/>
      <c r="C2157" s="535"/>
      <c r="D2157" s="334"/>
      <c r="E2157" s="334"/>
      <c r="F2157" s="334"/>
      <c r="G2157" s="334"/>
      <c r="H2157" s="334"/>
      <c r="I2157" s="332">
        <f>2</f>
        <v>2</v>
      </c>
      <c r="J2157" s="332" t="s">
        <v>39805</v>
      </c>
      <c r="K2157" s="332">
        <f>0.5</f>
        <v>0.5</v>
      </c>
      <c r="L2157" s="332" t="s">
        <v>39805</v>
      </c>
      <c r="M2157" s="332">
        <f>17.95</f>
        <v>17.95</v>
      </c>
      <c r="N2157" s="332" t="s">
        <v>39794</v>
      </c>
      <c r="O2157" s="335">
        <f>ROUND(I2157*K2157*M2157,2)</f>
        <v>17.95</v>
      </c>
    </row>
    <row r="2158" spans="1:15" s="328" customFormat="1" x14ac:dyDescent="0.2">
      <c r="A2158" s="540"/>
      <c r="B2158" s="540"/>
      <c r="C2158" s="540"/>
      <c r="D2158" s="540"/>
      <c r="E2158" s="540"/>
      <c r="F2158" s="540"/>
      <c r="G2158" s="540"/>
      <c r="H2158" s="540"/>
      <c r="I2158" s="540"/>
      <c r="J2158" s="540"/>
      <c r="K2158" s="540"/>
      <c r="L2158" s="334" t="s">
        <v>39796</v>
      </c>
      <c r="M2158" s="334" t="s">
        <v>39168</v>
      </c>
      <c r="N2158" s="333" t="s">
        <v>39794</v>
      </c>
      <c r="O2158" s="334">
        <f>SUM(O2155:O2157)</f>
        <v>63.25</v>
      </c>
    </row>
    <row r="2159" spans="1:15" s="328" customFormat="1" x14ac:dyDescent="0.2">
      <c r="A2159" s="329" t="s">
        <v>39791</v>
      </c>
      <c r="B2159" s="542" t="s">
        <v>5917</v>
      </c>
      <c r="C2159" s="542"/>
      <c r="D2159" s="542"/>
      <c r="E2159" s="542"/>
      <c r="F2159" s="542"/>
      <c r="G2159" s="542"/>
      <c r="H2159" s="542"/>
      <c r="I2159" s="542"/>
      <c r="J2159" s="542"/>
      <c r="K2159" s="542"/>
      <c r="L2159" s="542"/>
      <c r="M2159" s="542"/>
      <c r="N2159" s="329" t="s">
        <v>39197</v>
      </c>
      <c r="O2159" s="330" t="s">
        <v>39792</v>
      </c>
    </row>
    <row r="2160" spans="1:15" s="328" customFormat="1" ht="39.950000000000003" customHeight="1" x14ac:dyDescent="0.2">
      <c r="A2160" s="331" t="str">
        <f>ORCAMENTO!A341</f>
        <v>16.10</v>
      </c>
      <c r="B2160" s="543" t="str">
        <f>VLOOKUP(A2160,ORCAMENTO!A:I,4,0)</f>
        <v>PROTEÇÃO MECÂNICA DE SUPERFÍCIE VERTICAL COM ARGAMASSA DE CIMENTO E AREIA, TRAÇO 1:3, E=2CM. AF_09/2023</v>
      </c>
      <c r="C2160" s="543"/>
      <c r="D2160" s="543"/>
      <c r="E2160" s="543"/>
      <c r="F2160" s="543"/>
      <c r="G2160" s="543"/>
      <c r="H2160" s="543"/>
      <c r="I2160" s="543"/>
      <c r="J2160" s="543"/>
      <c r="K2160" s="543"/>
      <c r="L2160" s="543"/>
      <c r="M2160" s="543"/>
      <c r="N2160" s="331" t="str">
        <f>VLOOKUP(A2160,ORCAMENTO!A:I,5,0)</f>
        <v>M2</v>
      </c>
      <c r="O2160" s="332">
        <f>O2167</f>
        <v>189.74999999999997</v>
      </c>
    </row>
    <row r="2161" spans="1:15" s="328" customFormat="1" x14ac:dyDescent="0.2">
      <c r="A2161" s="539" t="s">
        <v>39793</v>
      </c>
      <c r="B2161" s="539"/>
      <c r="C2161" s="539"/>
      <c r="D2161" s="539"/>
      <c r="E2161" s="539"/>
      <c r="F2161" s="539"/>
      <c r="G2161" s="539"/>
      <c r="H2161" s="539"/>
      <c r="I2161" s="539"/>
      <c r="J2161" s="539"/>
      <c r="K2161" s="539"/>
      <c r="L2161" s="539"/>
      <c r="M2161" s="539"/>
      <c r="N2161" s="539"/>
      <c r="O2161" s="539"/>
    </row>
    <row r="2162" spans="1:15" s="328" customFormat="1" x14ac:dyDescent="0.2">
      <c r="A2162" s="539" t="s">
        <v>5917</v>
      </c>
      <c r="B2162" s="539"/>
      <c r="C2162" s="539"/>
      <c r="D2162" s="334"/>
      <c r="E2162" s="334"/>
      <c r="F2162" s="334"/>
      <c r="G2162" s="334"/>
      <c r="H2162" s="334"/>
      <c r="I2162" s="334" t="s">
        <v>39792</v>
      </c>
      <c r="J2162" s="334" t="s">
        <v>39805</v>
      </c>
      <c r="K2162" s="334" t="s">
        <v>39823</v>
      </c>
      <c r="L2162" s="334" t="s">
        <v>39805</v>
      </c>
      <c r="M2162" s="334" t="s">
        <v>39802</v>
      </c>
      <c r="N2162" s="334" t="s">
        <v>39794</v>
      </c>
      <c r="O2162" s="334" t="s">
        <v>39795</v>
      </c>
    </row>
    <row r="2163" spans="1:15" s="328" customFormat="1" x14ac:dyDescent="0.2">
      <c r="A2163" s="535" t="s">
        <v>39998</v>
      </c>
      <c r="B2163" s="535"/>
      <c r="C2163" s="535"/>
      <c r="D2163" s="334"/>
      <c r="E2163" s="334"/>
      <c r="F2163" s="334"/>
      <c r="G2163" s="334"/>
      <c r="H2163" s="334"/>
      <c r="I2163" s="332">
        <f>2</f>
        <v>2</v>
      </c>
      <c r="J2163" s="332" t="s">
        <v>39805</v>
      </c>
      <c r="K2163" s="332">
        <f>0.5</f>
        <v>0.5</v>
      </c>
      <c r="L2163" s="332" t="s">
        <v>39805</v>
      </c>
      <c r="M2163" s="332">
        <f>45.3</f>
        <v>45.3</v>
      </c>
      <c r="N2163" s="332" t="s">
        <v>39794</v>
      </c>
      <c r="O2163" s="335">
        <f>ROUND(I2163*K2163*M2163,2)</f>
        <v>45.3</v>
      </c>
    </row>
    <row r="2164" spans="1:15" s="328" customFormat="1" x14ac:dyDescent="0.2">
      <c r="A2164" s="535" t="s">
        <v>39999</v>
      </c>
      <c r="B2164" s="535"/>
      <c r="C2164" s="535"/>
      <c r="D2164" s="334"/>
      <c r="E2164" s="334"/>
      <c r="F2164" s="334"/>
      <c r="G2164" s="334"/>
      <c r="H2164" s="334"/>
      <c r="I2164" s="332">
        <f>2</f>
        <v>2</v>
      </c>
      <c r="J2164" s="332" t="s">
        <v>39805</v>
      </c>
      <c r="K2164" s="332">
        <f>1</f>
        <v>1</v>
      </c>
      <c r="L2164" s="332" t="s">
        <v>39805</v>
      </c>
      <c r="M2164" s="332">
        <f>45.3</f>
        <v>45.3</v>
      </c>
      <c r="N2164" s="332" t="s">
        <v>39794</v>
      </c>
      <c r="O2164" s="335">
        <f>ROUND(I2164*K2164*M2164,2)</f>
        <v>90.6</v>
      </c>
    </row>
    <row r="2165" spans="1:15" s="328" customFormat="1" x14ac:dyDescent="0.2">
      <c r="A2165" s="535" t="s">
        <v>40000</v>
      </c>
      <c r="B2165" s="535"/>
      <c r="C2165" s="535"/>
      <c r="D2165" s="334"/>
      <c r="E2165" s="334"/>
      <c r="F2165" s="334"/>
      <c r="G2165" s="334"/>
      <c r="H2165" s="334"/>
      <c r="I2165" s="332">
        <f>2</f>
        <v>2</v>
      </c>
      <c r="J2165" s="332" t="s">
        <v>39805</v>
      </c>
      <c r="K2165" s="332">
        <f>0.5</f>
        <v>0.5</v>
      </c>
      <c r="L2165" s="332" t="s">
        <v>39805</v>
      </c>
      <c r="M2165" s="332">
        <f>17.95</f>
        <v>17.95</v>
      </c>
      <c r="N2165" s="332" t="s">
        <v>39794</v>
      </c>
      <c r="O2165" s="335">
        <f>ROUND(I2165*K2165*M2165,2)</f>
        <v>17.95</v>
      </c>
    </row>
    <row r="2166" spans="1:15" s="328" customFormat="1" x14ac:dyDescent="0.2">
      <c r="A2166" s="535" t="s">
        <v>40001</v>
      </c>
      <c r="B2166" s="535"/>
      <c r="C2166" s="535"/>
      <c r="D2166" s="334"/>
      <c r="E2166" s="334"/>
      <c r="F2166" s="334"/>
      <c r="G2166" s="334"/>
      <c r="H2166" s="334"/>
      <c r="I2166" s="332">
        <f>2</f>
        <v>2</v>
      </c>
      <c r="J2166" s="332" t="s">
        <v>39805</v>
      </c>
      <c r="K2166" s="332">
        <f>1</f>
        <v>1</v>
      </c>
      <c r="L2166" s="332" t="s">
        <v>39805</v>
      </c>
      <c r="M2166" s="332">
        <f>17.95</f>
        <v>17.95</v>
      </c>
      <c r="N2166" s="332" t="s">
        <v>39794</v>
      </c>
      <c r="O2166" s="335">
        <f>ROUND(I2166*K2166*M2166,2)</f>
        <v>35.9</v>
      </c>
    </row>
    <row r="2167" spans="1:15" s="328" customFormat="1" x14ac:dyDescent="0.2">
      <c r="A2167" s="540"/>
      <c r="B2167" s="540"/>
      <c r="C2167" s="540"/>
      <c r="D2167" s="540"/>
      <c r="E2167" s="540"/>
      <c r="F2167" s="540"/>
      <c r="G2167" s="540"/>
      <c r="H2167" s="540"/>
      <c r="I2167" s="540"/>
      <c r="J2167" s="540"/>
      <c r="K2167" s="540"/>
      <c r="L2167" s="334" t="s">
        <v>39796</v>
      </c>
      <c r="M2167" s="334" t="s">
        <v>39168</v>
      </c>
      <c r="N2167" s="333" t="s">
        <v>39794</v>
      </c>
      <c r="O2167" s="334">
        <f>SUM(O2162:O2166)</f>
        <v>189.74999999999997</v>
      </c>
    </row>
    <row r="2168" spans="1:15" s="328" customFormat="1" x14ac:dyDescent="0.2">
      <c r="A2168" s="336">
        <f>ORCAMENTO!A343</f>
        <v>17</v>
      </c>
      <c r="B2168" s="545" t="str">
        <f>VLOOKUP(A2168,ORCAMENTO!A:I,4,0)</f>
        <v>LOUÇAS, METAIS E ACESSÓRIOS</v>
      </c>
      <c r="C2168" s="545"/>
      <c r="D2168" s="545"/>
      <c r="E2168" s="545"/>
      <c r="F2168" s="545"/>
      <c r="G2168" s="545"/>
      <c r="H2168" s="545"/>
      <c r="I2168" s="545"/>
      <c r="J2168" s="545"/>
      <c r="K2168" s="545"/>
      <c r="L2168" s="545"/>
      <c r="M2168" s="545"/>
      <c r="N2168" s="545"/>
      <c r="O2168" s="545"/>
    </row>
    <row r="2169" spans="1:15" s="328" customFormat="1" x14ac:dyDescent="0.2">
      <c r="A2169" s="347" t="str">
        <f>ORCAMENTO!A344</f>
        <v>17.1</v>
      </c>
      <c r="B2169" s="544" t="str">
        <f>VLOOKUP(A2169,ORCAMENTO!A:I,4,0)</f>
        <v>LOUÇAS E METAIS</v>
      </c>
      <c r="C2169" s="544"/>
      <c r="D2169" s="544"/>
      <c r="E2169" s="544"/>
      <c r="F2169" s="544"/>
      <c r="G2169" s="544"/>
      <c r="H2169" s="544"/>
      <c r="I2169" s="544"/>
      <c r="J2169" s="544"/>
      <c r="K2169" s="544"/>
      <c r="L2169" s="544"/>
      <c r="M2169" s="544"/>
      <c r="N2169" s="544"/>
      <c r="O2169" s="544"/>
    </row>
    <row r="2170" spans="1:15" s="328" customFormat="1" x14ac:dyDescent="0.2">
      <c r="A2170" s="329" t="s">
        <v>39791</v>
      </c>
      <c r="B2170" s="542" t="s">
        <v>5917</v>
      </c>
      <c r="C2170" s="542"/>
      <c r="D2170" s="542"/>
      <c r="E2170" s="542"/>
      <c r="F2170" s="542"/>
      <c r="G2170" s="542"/>
      <c r="H2170" s="542"/>
      <c r="I2170" s="542"/>
      <c r="J2170" s="542"/>
      <c r="K2170" s="542"/>
      <c r="L2170" s="542"/>
      <c r="M2170" s="542"/>
      <c r="N2170" s="329" t="s">
        <v>39197</v>
      </c>
      <c r="O2170" s="330" t="s">
        <v>39792</v>
      </c>
    </row>
    <row r="2171" spans="1:15" s="328" customFormat="1" ht="12.75" customHeight="1" x14ac:dyDescent="0.2">
      <c r="A2171" s="331" t="str">
        <f>ORCAMENTO!A345</f>
        <v>17.1.1</v>
      </c>
      <c r="B2171" s="543" t="str">
        <f>VLOOKUP(A2171,ORCAMENTO!A:I,4,0)</f>
        <v>BANCADA DE GRANITO CINZA E=2cm</v>
      </c>
      <c r="C2171" s="543"/>
      <c r="D2171" s="543"/>
      <c r="E2171" s="543"/>
      <c r="F2171" s="543"/>
      <c r="G2171" s="543"/>
      <c r="H2171" s="543"/>
      <c r="I2171" s="543"/>
      <c r="J2171" s="543"/>
      <c r="K2171" s="543"/>
      <c r="L2171" s="543"/>
      <c r="M2171" s="543"/>
      <c r="N2171" s="331" t="str">
        <f>VLOOKUP(A2171,ORCAMENTO!A:I,5,0)</f>
        <v>M2</v>
      </c>
      <c r="O2171" s="332">
        <f>O2187</f>
        <v>12.07</v>
      </c>
    </row>
    <row r="2172" spans="1:15" s="328" customFormat="1" x14ac:dyDescent="0.2">
      <c r="A2172" s="539" t="s">
        <v>39793</v>
      </c>
      <c r="B2172" s="539"/>
      <c r="C2172" s="539"/>
      <c r="D2172" s="539"/>
      <c r="E2172" s="539"/>
      <c r="F2172" s="539"/>
      <c r="G2172" s="539"/>
      <c r="H2172" s="539"/>
      <c r="I2172" s="539"/>
      <c r="J2172" s="539"/>
      <c r="K2172" s="539"/>
      <c r="L2172" s="539"/>
      <c r="M2172" s="539"/>
      <c r="N2172" s="539"/>
      <c r="O2172" s="539"/>
    </row>
    <row r="2173" spans="1:15" s="328" customFormat="1" x14ac:dyDescent="0.2">
      <c r="A2173" s="539" t="s">
        <v>5917</v>
      </c>
      <c r="B2173" s="539"/>
      <c r="C2173" s="539"/>
      <c r="D2173" s="333"/>
      <c r="E2173" s="333"/>
      <c r="F2173" s="333"/>
      <c r="G2173" s="333"/>
      <c r="H2173" s="333"/>
      <c r="I2173" s="333" t="s">
        <v>39792</v>
      </c>
      <c r="J2173" s="333" t="s">
        <v>39805</v>
      </c>
      <c r="K2173" s="333" t="s">
        <v>39804</v>
      </c>
      <c r="L2173" s="333" t="s">
        <v>39805</v>
      </c>
      <c r="M2173" s="333" t="s">
        <v>39802</v>
      </c>
      <c r="N2173" s="333" t="s">
        <v>39794</v>
      </c>
      <c r="O2173" s="333" t="s">
        <v>39795</v>
      </c>
    </row>
    <row r="2174" spans="1:15" s="328" customFormat="1" x14ac:dyDescent="0.2">
      <c r="A2174" s="535" t="s">
        <v>39806</v>
      </c>
      <c r="B2174" s="535"/>
      <c r="C2174" s="535"/>
      <c r="D2174" s="333"/>
      <c r="E2174" s="334"/>
      <c r="F2174" s="334"/>
      <c r="G2174" s="334"/>
      <c r="H2174" s="334"/>
      <c r="I2174" s="332">
        <f>2</f>
        <v>2</v>
      </c>
      <c r="J2174" s="332" t="s">
        <v>39805</v>
      </c>
      <c r="K2174" s="332">
        <f>0.5</f>
        <v>0.5</v>
      </c>
      <c r="L2174" s="332" t="s">
        <v>39805</v>
      </c>
      <c r="M2174" s="332">
        <v>2.9</v>
      </c>
      <c r="N2174" s="332" t="s">
        <v>39794</v>
      </c>
      <c r="O2174" s="335">
        <f>ROUND(I2174*K2174*M2174,2)</f>
        <v>2.9</v>
      </c>
    </row>
    <row r="2175" spans="1:15" s="328" customFormat="1" x14ac:dyDescent="0.2">
      <c r="A2175" s="535" t="s">
        <v>39807</v>
      </c>
      <c r="B2175" s="535"/>
      <c r="C2175" s="535"/>
      <c r="D2175" s="333"/>
      <c r="E2175" s="334"/>
      <c r="F2175" s="334"/>
      <c r="G2175" s="334"/>
      <c r="H2175" s="334"/>
      <c r="I2175" s="332">
        <f>4</f>
        <v>4</v>
      </c>
      <c r="J2175" s="332" t="s">
        <v>39805</v>
      </c>
      <c r="K2175" s="332">
        <f>0.12</f>
        <v>0.12</v>
      </c>
      <c r="L2175" s="332" t="s">
        <v>39805</v>
      </c>
      <c r="M2175" s="332">
        <v>0.5</v>
      </c>
      <c r="N2175" s="332" t="s">
        <v>39794</v>
      </c>
      <c r="O2175" s="335">
        <f t="shared" ref="O2175:O2186" si="109">ROUND(I2175*K2175*M2175,2)</f>
        <v>0.24</v>
      </c>
    </row>
    <row r="2176" spans="1:15" s="328" customFormat="1" x14ac:dyDescent="0.2">
      <c r="A2176" s="535" t="s">
        <v>39807</v>
      </c>
      <c r="B2176" s="535"/>
      <c r="C2176" s="535"/>
      <c r="D2176" s="333"/>
      <c r="E2176" s="334"/>
      <c r="F2176" s="334"/>
      <c r="G2176" s="334"/>
      <c r="H2176" s="334"/>
      <c r="I2176" s="332">
        <f>2</f>
        <v>2</v>
      </c>
      <c r="J2176" s="332" t="s">
        <v>39805</v>
      </c>
      <c r="K2176" s="332">
        <f>0.12</f>
        <v>0.12</v>
      </c>
      <c r="L2176" s="332" t="s">
        <v>39805</v>
      </c>
      <c r="M2176" s="332">
        <v>2.9</v>
      </c>
      <c r="N2176" s="332" t="s">
        <v>39794</v>
      </c>
      <c r="O2176" s="335">
        <f t="shared" si="109"/>
        <v>0.7</v>
      </c>
    </row>
    <row r="2177" spans="1:15" s="328" customFormat="1" x14ac:dyDescent="0.2">
      <c r="A2177" s="535" t="s">
        <v>39808</v>
      </c>
      <c r="B2177" s="535"/>
      <c r="C2177" s="535"/>
      <c r="D2177" s="333"/>
      <c r="E2177" s="334"/>
      <c r="F2177" s="334"/>
      <c r="G2177" s="334"/>
      <c r="H2177" s="334"/>
      <c r="I2177" s="332">
        <f>2</f>
        <v>2</v>
      </c>
      <c r="J2177" s="332" t="s">
        <v>39805</v>
      </c>
      <c r="K2177" s="332">
        <f>0.1</f>
        <v>0.1</v>
      </c>
      <c r="L2177" s="332" t="s">
        <v>39805</v>
      </c>
      <c r="M2177" s="332">
        <v>2.9</v>
      </c>
      <c r="N2177" s="332" t="s">
        <v>39794</v>
      </c>
      <c r="O2177" s="335">
        <f t="shared" si="109"/>
        <v>0.57999999999999996</v>
      </c>
    </row>
    <row r="2178" spans="1:15" s="328" customFormat="1" x14ac:dyDescent="0.2">
      <c r="A2178" s="535" t="s">
        <v>39809</v>
      </c>
      <c r="B2178" s="535"/>
      <c r="C2178" s="535"/>
      <c r="D2178" s="333"/>
      <c r="E2178" s="334"/>
      <c r="F2178" s="334"/>
      <c r="G2178" s="334"/>
      <c r="H2178" s="334"/>
      <c r="I2178" s="332">
        <f>1</f>
        <v>1</v>
      </c>
      <c r="J2178" s="332" t="s">
        <v>39805</v>
      </c>
      <c r="K2178" s="332">
        <f>0.6</f>
        <v>0.6</v>
      </c>
      <c r="L2178" s="332" t="s">
        <v>39805</v>
      </c>
      <c r="M2178" s="332">
        <v>7</v>
      </c>
      <c r="N2178" s="332" t="s">
        <v>39794</v>
      </c>
      <c r="O2178" s="335">
        <f t="shared" si="109"/>
        <v>4.2</v>
      </c>
    </row>
    <row r="2179" spans="1:15" s="328" customFormat="1" x14ac:dyDescent="0.2">
      <c r="A2179" s="535" t="s">
        <v>39810</v>
      </c>
      <c r="B2179" s="535"/>
      <c r="C2179" s="535"/>
      <c r="D2179" s="333"/>
      <c r="E2179" s="334"/>
      <c r="F2179" s="334"/>
      <c r="G2179" s="334"/>
      <c r="H2179" s="334"/>
      <c r="I2179" s="332">
        <f>1</f>
        <v>1</v>
      </c>
      <c r="J2179" s="332" t="s">
        <v>39805</v>
      </c>
      <c r="K2179" s="332">
        <f>0.12</f>
        <v>0.12</v>
      </c>
      <c r="L2179" s="332" t="s">
        <v>39805</v>
      </c>
      <c r="M2179" s="332">
        <v>7</v>
      </c>
      <c r="N2179" s="332" t="s">
        <v>39794</v>
      </c>
      <c r="O2179" s="335">
        <f t="shared" si="109"/>
        <v>0.84</v>
      </c>
    </row>
    <row r="2180" spans="1:15" s="328" customFormat="1" x14ac:dyDescent="0.2">
      <c r="A2180" s="535" t="s">
        <v>39810</v>
      </c>
      <c r="B2180" s="535"/>
      <c r="C2180" s="535"/>
      <c r="D2180" s="333"/>
      <c r="E2180" s="334"/>
      <c r="F2180" s="334"/>
      <c r="G2180" s="334"/>
      <c r="H2180" s="334"/>
      <c r="I2180" s="332">
        <f>1</f>
        <v>1</v>
      </c>
      <c r="J2180" s="332" t="s">
        <v>39805</v>
      </c>
      <c r="K2180" s="332">
        <f>0.12</f>
        <v>0.12</v>
      </c>
      <c r="L2180" s="332" t="s">
        <v>39805</v>
      </c>
      <c r="M2180" s="332">
        <v>0.6</v>
      </c>
      <c r="N2180" s="332" t="s">
        <v>39794</v>
      </c>
      <c r="O2180" s="335">
        <f t="shared" si="109"/>
        <v>7.0000000000000007E-2</v>
      </c>
    </row>
    <row r="2181" spans="1:15" s="328" customFormat="1" x14ac:dyDescent="0.2">
      <c r="A2181" s="535" t="s">
        <v>39811</v>
      </c>
      <c r="B2181" s="535"/>
      <c r="C2181" s="535"/>
      <c r="D2181" s="333"/>
      <c r="E2181" s="334"/>
      <c r="F2181" s="334"/>
      <c r="G2181" s="334"/>
      <c r="H2181" s="334"/>
      <c r="I2181" s="332">
        <f>1</f>
        <v>1</v>
      </c>
      <c r="J2181" s="332" t="s">
        <v>39805</v>
      </c>
      <c r="K2181" s="332">
        <f>0.1</f>
        <v>0.1</v>
      </c>
      <c r="L2181" s="332" t="s">
        <v>39805</v>
      </c>
      <c r="M2181" s="332">
        <v>7</v>
      </c>
      <c r="N2181" s="332" t="s">
        <v>39794</v>
      </c>
      <c r="O2181" s="335">
        <f t="shared" si="109"/>
        <v>0.7</v>
      </c>
    </row>
    <row r="2182" spans="1:15" s="328" customFormat="1" x14ac:dyDescent="0.2">
      <c r="A2182" s="535" t="s">
        <v>39811</v>
      </c>
      <c r="B2182" s="535"/>
      <c r="C2182" s="535"/>
      <c r="D2182" s="333"/>
      <c r="E2182" s="334"/>
      <c r="F2182" s="334"/>
      <c r="G2182" s="334"/>
      <c r="H2182" s="334"/>
      <c r="I2182" s="332">
        <f>1</f>
        <v>1</v>
      </c>
      <c r="J2182" s="332" t="s">
        <v>39805</v>
      </c>
      <c r="K2182" s="332">
        <f>0.1</f>
        <v>0.1</v>
      </c>
      <c r="L2182" s="332" t="s">
        <v>39805</v>
      </c>
      <c r="M2182" s="332">
        <v>0.6</v>
      </c>
      <c r="N2182" s="332" t="s">
        <v>39794</v>
      </c>
      <c r="O2182" s="335">
        <f t="shared" si="109"/>
        <v>0.06</v>
      </c>
    </row>
    <row r="2183" spans="1:15" s="328" customFormat="1" x14ac:dyDescent="0.2">
      <c r="A2183" s="535" t="s">
        <v>39812</v>
      </c>
      <c r="B2183" s="535"/>
      <c r="C2183" s="535"/>
      <c r="D2183" s="333"/>
      <c r="E2183" s="334"/>
      <c r="F2183" s="334"/>
      <c r="G2183" s="334"/>
      <c r="H2183" s="334"/>
      <c r="I2183" s="332">
        <f>1</f>
        <v>1</v>
      </c>
      <c r="J2183" s="332" t="s">
        <v>39805</v>
      </c>
      <c r="K2183" s="332">
        <f>0.6</f>
        <v>0.6</v>
      </c>
      <c r="L2183" s="332" t="s">
        <v>39805</v>
      </c>
      <c r="M2183" s="332">
        <f>2</f>
        <v>2</v>
      </c>
      <c r="N2183" s="332" t="s">
        <v>39794</v>
      </c>
      <c r="O2183" s="335">
        <f t="shared" si="109"/>
        <v>1.2</v>
      </c>
    </row>
    <row r="2184" spans="1:15" s="328" customFormat="1" x14ac:dyDescent="0.2">
      <c r="A2184" s="535" t="s">
        <v>39813</v>
      </c>
      <c r="B2184" s="535"/>
      <c r="C2184" s="535"/>
      <c r="D2184" s="333"/>
      <c r="E2184" s="334"/>
      <c r="F2184" s="334"/>
      <c r="G2184" s="334"/>
      <c r="H2184" s="334"/>
      <c r="I2184" s="332">
        <f>1</f>
        <v>1</v>
      </c>
      <c r="J2184" s="332" t="s">
        <v>39805</v>
      </c>
      <c r="K2184" s="332">
        <f>0.12</f>
        <v>0.12</v>
      </c>
      <c r="L2184" s="332" t="s">
        <v>39805</v>
      </c>
      <c r="M2184" s="332">
        <v>2</v>
      </c>
      <c r="N2184" s="332" t="s">
        <v>39794</v>
      </c>
      <c r="O2184" s="335">
        <f t="shared" si="109"/>
        <v>0.24</v>
      </c>
    </row>
    <row r="2185" spans="1:15" s="328" customFormat="1" x14ac:dyDescent="0.2">
      <c r="A2185" s="535" t="s">
        <v>39813</v>
      </c>
      <c r="B2185" s="535"/>
      <c r="C2185" s="535"/>
      <c r="D2185" s="333"/>
      <c r="E2185" s="334"/>
      <c r="F2185" s="334"/>
      <c r="G2185" s="334"/>
      <c r="H2185" s="334"/>
      <c r="I2185" s="332">
        <f>2</f>
        <v>2</v>
      </c>
      <c r="J2185" s="332" t="s">
        <v>39805</v>
      </c>
      <c r="K2185" s="332">
        <f>0.12</f>
        <v>0.12</v>
      </c>
      <c r="L2185" s="332" t="s">
        <v>39805</v>
      </c>
      <c r="M2185" s="332">
        <f>0.6</f>
        <v>0.6</v>
      </c>
      <c r="N2185" s="332" t="s">
        <v>39794</v>
      </c>
      <c r="O2185" s="335">
        <f t="shared" si="109"/>
        <v>0.14000000000000001</v>
      </c>
    </row>
    <row r="2186" spans="1:15" s="328" customFormat="1" x14ac:dyDescent="0.2">
      <c r="A2186" s="535" t="s">
        <v>39814</v>
      </c>
      <c r="B2186" s="535"/>
      <c r="C2186" s="535"/>
      <c r="D2186" s="333"/>
      <c r="E2186" s="334"/>
      <c r="F2186" s="334"/>
      <c r="G2186" s="334"/>
      <c r="H2186" s="334"/>
      <c r="I2186" s="332">
        <f>1</f>
        <v>1</v>
      </c>
      <c r="J2186" s="332" t="s">
        <v>39805</v>
      </c>
      <c r="K2186" s="332">
        <f>0.1</f>
        <v>0.1</v>
      </c>
      <c r="L2186" s="332" t="s">
        <v>39805</v>
      </c>
      <c r="M2186" s="332">
        <f>2</f>
        <v>2</v>
      </c>
      <c r="N2186" s="332" t="s">
        <v>39794</v>
      </c>
      <c r="O2186" s="335">
        <f t="shared" si="109"/>
        <v>0.2</v>
      </c>
    </row>
    <row r="2187" spans="1:15" s="328" customFormat="1" x14ac:dyDescent="0.2">
      <c r="A2187" s="540"/>
      <c r="B2187" s="540"/>
      <c r="C2187" s="540"/>
      <c r="D2187" s="540"/>
      <c r="E2187" s="540"/>
      <c r="F2187" s="540"/>
      <c r="G2187" s="540"/>
      <c r="H2187" s="540"/>
      <c r="I2187" s="540"/>
      <c r="J2187" s="540"/>
      <c r="K2187" s="540"/>
      <c r="L2187" s="334" t="s">
        <v>39796</v>
      </c>
      <c r="M2187" s="334" t="s">
        <v>39168</v>
      </c>
      <c r="N2187" s="333" t="s">
        <v>39794</v>
      </c>
      <c r="O2187" s="334">
        <f>SUM(O2173:O2186)</f>
        <v>12.07</v>
      </c>
    </row>
    <row r="2188" spans="1:15" s="328" customFormat="1" x14ac:dyDescent="0.2">
      <c r="A2188" s="329" t="s">
        <v>39791</v>
      </c>
      <c r="B2188" s="542" t="s">
        <v>5917</v>
      </c>
      <c r="C2188" s="542"/>
      <c r="D2188" s="542"/>
      <c r="E2188" s="542"/>
      <c r="F2188" s="542"/>
      <c r="G2188" s="542"/>
      <c r="H2188" s="542"/>
      <c r="I2188" s="542"/>
      <c r="J2188" s="542"/>
      <c r="K2188" s="542"/>
      <c r="L2188" s="542"/>
      <c r="M2188" s="542"/>
      <c r="N2188" s="329" t="s">
        <v>39197</v>
      </c>
      <c r="O2188" s="330" t="s">
        <v>39792</v>
      </c>
    </row>
    <row r="2189" spans="1:15" s="328" customFormat="1" ht="12.75" customHeight="1" x14ac:dyDescent="0.2">
      <c r="A2189" s="331" t="str">
        <f>ORCAMENTO!A346</f>
        <v>17.1.2</v>
      </c>
      <c r="B2189" s="543" t="str">
        <f>VLOOKUP(A2189,ORCAMENTO!A:I,4,0)</f>
        <v>CUBA DE EMBUTIR RETANGULAR DE AÇO INOXIDÁVEL, 46 X 30 X 12 CM - FORNECIMENTO E INSTALAÇÃO. AF_01/2020</v>
      </c>
      <c r="C2189" s="543"/>
      <c r="D2189" s="543"/>
      <c r="E2189" s="543"/>
      <c r="F2189" s="543"/>
      <c r="G2189" s="543"/>
      <c r="H2189" s="543"/>
      <c r="I2189" s="543"/>
      <c r="J2189" s="543"/>
      <c r="K2189" s="543"/>
      <c r="L2189" s="543"/>
      <c r="M2189" s="543"/>
      <c r="N2189" s="331" t="str">
        <f>VLOOKUP(A2189,ORCAMENTO!A:I,5,0)</f>
        <v>UN</v>
      </c>
      <c r="O2189" s="332">
        <f>O2193</f>
        <v>2</v>
      </c>
    </row>
    <row r="2190" spans="1:15" s="328" customFormat="1" x14ac:dyDescent="0.2">
      <c r="A2190" s="539" t="s">
        <v>39793</v>
      </c>
      <c r="B2190" s="539"/>
      <c r="C2190" s="539"/>
      <c r="D2190" s="539"/>
      <c r="E2190" s="539"/>
      <c r="F2190" s="539"/>
      <c r="G2190" s="539"/>
      <c r="H2190" s="539"/>
      <c r="I2190" s="539"/>
      <c r="J2190" s="539"/>
      <c r="K2190" s="539"/>
      <c r="L2190" s="539"/>
      <c r="M2190" s="539"/>
      <c r="N2190" s="539"/>
      <c r="O2190" s="539"/>
    </row>
    <row r="2191" spans="1:15" s="328" customFormat="1" x14ac:dyDescent="0.2">
      <c r="A2191" s="539" t="s">
        <v>5917</v>
      </c>
      <c r="B2191" s="539"/>
      <c r="C2191" s="539"/>
      <c r="D2191" s="333"/>
      <c r="E2191" s="333"/>
      <c r="F2191" s="333"/>
      <c r="G2191" s="333"/>
      <c r="H2191" s="333"/>
      <c r="I2191" s="331"/>
      <c r="J2191" s="331"/>
      <c r="K2191" s="333"/>
      <c r="L2191" s="333"/>
      <c r="M2191" s="333" t="s">
        <v>39792</v>
      </c>
      <c r="N2191" s="333" t="s">
        <v>39794</v>
      </c>
      <c r="O2191" s="333" t="s">
        <v>39795</v>
      </c>
    </row>
    <row r="2192" spans="1:15" s="328" customFormat="1" x14ac:dyDescent="0.2">
      <c r="A2192" s="535" t="s">
        <v>39815</v>
      </c>
      <c r="B2192" s="535"/>
      <c r="C2192" s="535"/>
      <c r="D2192" s="333"/>
      <c r="E2192" s="333"/>
      <c r="F2192" s="333"/>
      <c r="G2192" s="333"/>
      <c r="H2192" s="333"/>
      <c r="I2192" s="331"/>
      <c r="J2192" s="331"/>
      <c r="K2192" s="339"/>
      <c r="L2192" s="332"/>
      <c r="M2192" s="339">
        <f>2</f>
        <v>2</v>
      </c>
      <c r="N2192" s="332" t="s">
        <v>39794</v>
      </c>
      <c r="O2192" s="335">
        <f>ROUND(M2192,2)</f>
        <v>2</v>
      </c>
    </row>
    <row r="2193" spans="1:15" s="328" customFormat="1" x14ac:dyDescent="0.2">
      <c r="A2193" s="540"/>
      <c r="B2193" s="540"/>
      <c r="C2193" s="540"/>
      <c r="D2193" s="540"/>
      <c r="E2193" s="540"/>
      <c r="F2193" s="540"/>
      <c r="G2193" s="540"/>
      <c r="H2193" s="540"/>
      <c r="I2193" s="540"/>
      <c r="J2193" s="540"/>
      <c r="K2193" s="540"/>
      <c r="L2193" s="334" t="s">
        <v>39796</v>
      </c>
      <c r="M2193" s="334" t="s">
        <v>39168</v>
      </c>
      <c r="N2193" s="333" t="s">
        <v>39794</v>
      </c>
      <c r="O2193" s="334">
        <f>SUM(O2191:O2192)</f>
        <v>2</v>
      </c>
    </row>
    <row r="2194" spans="1:15" s="328" customFormat="1" x14ac:dyDescent="0.2">
      <c r="A2194" s="329" t="s">
        <v>39791</v>
      </c>
      <c r="B2194" s="542" t="s">
        <v>5917</v>
      </c>
      <c r="C2194" s="542"/>
      <c r="D2194" s="542"/>
      <c r="E2194" s="542"/>
      <c r="F2194" s="542"/>
      <c r="G2194" s="542"/>
      <c r="H2194" s="542"/>
      <c r="I2194" s="542"/>
      <c r="J2194" s="542"/>
      <c r="K2194" s="542"/>
      <c r="L2194" s="542"/>
      <c r="M2194" s="542"/>
      <c r="N2194" s="329" t="s">
        <v>39197</v>
      </c>
      <c r="O2194" s="330" t="s">
        <v>39792</v>
      </c>
    </row>
    <row r="2195" spans="1:15" s="328" customFormat="1" ht="12.75" customHeight="1" x14ac:dyDescent="0.2">
      <c r="A2195" s="331" t="str">
        <f>ORCAMENTO!A347</f>
        <v>17.1.3</v>
      </c>
      <c r="B2195" s="543" t="str">
        <f>VLOOKUP(A2195,ORCAMENTO!A:I,4,0)</f>
        <v>CUBA DE EMBUTIR OVAL EM LOUÇA BRANCA, 35 X 50CM OU EQUIVALENTE - FORNECIMENTO E INSTALAÇÃO. AF_01/2020</v>
      </c>
      <c r="C2195" s="543"/>
      <c r="D2195" s="543"/>
      <c r="E2195" s="543"/>
      <c r="F2195" s="543"/>
      <c r="G2195" s="543"/>
      <c r="H2195" s="543"/>
      <c r="I2195" s="543"/>
      <c r="J2195" s="543"/>
      <c r="K2195" s="543"/>
      <c r="L2195" s="543"/>
      <c r="M2195" s="543"/>
      <c r="N2195" s="331" t="str">
        <f>VLOOKUP(A2195,ORCAMENTO!A:I,5,0)</f>
        <v>UN</v>
      </c>
      <c r="O2195" s="332">
        <f>O2200</f>
        <v>8</v>
      </c>
    </row>
    <row r="2196" spans="1:15" s="328" customFormat="1" x14ac:dyDescent="0.2">
      <c r="A2196" s="539" t="s">
        <v>39793</v>
      </c>
      <c r="B2196" s="539"/>
      <c r="C2196" s="539"/>
      <c r="D2196" s="539"/>
      <c r="E2196" s="539"/>
      <c r="F2196" s="539"/>
      <c r="G2196" s="539"/>
      <c r="H2196" s="539"/>
      <c r="I2196" s="539"/>
      <c r="J2196" s="539"/>
      <c r="K2196" s="539"/>
      <c r="L2196" s="539"/>
      <c r="M2196" s="539"/>
      <c r="N2196" s="539"/>
      <c r="O2196" s="539"/>
    </row>
    <row r="2197" spans="1:15" s="328" customFormat="1" x14ac:dyDescent="0.2">
      <c r="A2197" s="539" t="s">
        <v>5917</v>
      </c>
      <c r="B2197" s="539"/>
      <c r="C2197" s="539"/>
      <c r="D2197" s="333"/>
      <c r="E2197" s="333"/>
      <c r="F2197" s="333"/>
      <c r="G2197" s="333"/>
      <c r="H2197" s="333"/>
      <c r="I2197" s="331"/>
      <c r="J2197" s="331"/>
      <c r="K2197" s="333"/>
      <c r="L2197" s="333"/>
      <c r="M2197" s="333" t="s">
        <v>39792</v>
      </c>
      <c r="N2197" s="333" t="s">
        <v>39794</v>
      </c>
      <c r="O2197" s="333" t="s">
        <v>39795</v>
      </c>
    </row>
    <row r="2198" spans="1:15" s="328" customFormat="1" x14ac:dyDescent="0.2">
      <c r="A2198" s="535" t="s">
        <v>39816</v>
      </c>
      <c r="B2198" s="535"/>
      <c r="C2198" s="535"/>
      <c r="D2198" s="333"/>
      <c r="E2198" s="333"/>
      <c r="F2198" s="333"/>
      <c r="G2198" s="333"/>
      <c r="H2198" s="333"/>
      <c r="I2198" s="331"/>
      <c r="J2198" s="331"/>
      <c r="K2198" s="339"/>
      <c r="L2198" s="332"/>
      <c r="M2198" s="339">
        <f>4</f>
        <v>4</v>
      </c>
      <c r="N2198" s="332" t="s">
        <v>39794</v>
      </c>
      <c r="O2198" s="335">
        <f>ROUND(M2198,2)</f>
        <v>4</v>
      </c>
    </row>
    <row r="2199" spans="1:15" s="328" customFormat="1" x14ac:dyDescent="0.2">
      <c r="A2199" s="535" t="s">
        <v>39817</v>
      </c>
      <c r="B2199" s="535"/>
      <c r="C2199" s="535"/>
      <c r="D2199" s="333"/>
      <c r="E2199" s="333"/>
      <c r="F2199" s="333"/>
      <c r="G2199" s="333"/>
      <c r="H2199" s="333"/>
      <c r="I2199" s="331"/>
      <c r="J2199" s="331"/>
      <c r="K2199" s="339"/>
      <c r="L2199" s="332"/>
      <c r="M2199" s="339">
        <f>4</f>
        <v>4</v>
      </c>
      <c r="N2199" s="332" t="s">
        <v>39794</v>
      </c>
      <c r="O2199" s="335">
        <f>ROUND(M2199,2)</f>
        <v>4</v>
      </c>
    </row>
    <row r="2200" spans="1:15" s="328" customFormat="1" x14ac:dyDescent="0.2">
      <c r="A2200" s="540"/>
      <c r="B2200" s="540"/>
      <c r="C2200" s="540"/>
      <c r="D2200" s="540"/>
      <c r="E2200" s="540"/>
      <c r="F2200" s="540"/>
      <c r="G2200" s="540"/>
      <c r="H2200" s="540"/>
      <c r="I2200" s="540"/>
      <c r="J2200" s="540"/>
      <c r="K2200" s="540"/>
      <c r="L2200" s="334" t="s">
        <v>39796</v>
      </c>
      <c r="M2200" s="334" t="s">
        <v>39168</v>
      </c>
      <c r="N2200" s="333" t="s">
        <v>39794</v>
      </c>
      <c r="O2200" s="334">
        <f>SUM(O2197:O2199)</f>
        <v>8</v>
      </c>
    </row>
    <row r="2201" spans="1:15" s="328" customFormat="1" x14ac:dyDescent="0.2">
      <c r="A2201" s="329" t="s">
        <v>39791</v>
      </c>
      <c r="B2201" s="542" t="s">
        <v>5917</v>
      </c>
      <c r="C2201" s="542"/>
      <c r="D2201" s="542"/>
      <c r="E2201" s="542"/>
      <c r="F2201" s="542"/>
      <c r="G2201" s="542"/>
      <c r="H2201" s="542"/>
      <c r="I2201" s="542"/>
      <c r="J2201" s="542"/>
      <c r="K2201" s="542"/>
      <c r="L2201" s="542"/>
      <c r="M2201" s="542"/>
      <c r="N2201" s="329" t="s">
        <v>39197</v>
      </c>
      <c r="O2201" s="330" t="s">
        <v>39792</v>
      </c>
    </row>
    <row r="2202" spans="1:15" s="328" customFormat="1" ht="39.950000000000003" customHeight="1" x14ac:dyDescent="0.2">
      <c r="A2202" s="331" t="str">
        <f>ORCAMENTO!A348</f>
        <v>17.1.4</v>
      </c>
      <c r="B2202" s="543" t="str">
        <f>VLOOKUP(A2202,ORCAMENTO!A:I,4,0)</f>
        <v>TORNEIRA CROMADA LONGA, DE PAREDE, 1/2" OU 3/4", PARA PIA DE COZINHA, PADRÃO POPULAR - FORNECIMENTO E INSTALAÇÃO. AF_01/2020</v>
      </c>
      <c r="C2202" s="543"/>
      <c r="D2202" s="543"/>
      <c r="E2202" s="543"/>
      <c r="F2202" s="543"/>
      <c r="G2202" s="543"/>
      <c r="H2202" s="543"/>
      <c r="I2202" s="543"/>
      <c r="J2202" s="543"/>
      <c r="K2202" s="543"/>
      <c r="L2202" s="543"/>
      <c r="M2202" s="543"/>
      <c r="N2202" s="331" t="str">
        <f>VLOOKUP(A2202,ORCAMENTO!A:I,5,0)</f>
        <v>UN</v>
      </c>
      <c r="O2202" s="332">
        <f>O2206</f>
        <v>2</v>
      </c>
    </row>
    <row r="2203" spans="1:15" s="328" customFormat="1" x14ac:dyDescent="0.2">
      <c r="A2203" s="539" t="s">
        <v>39793</v>
      </c>
      <c r="B2203" s="539"/>
      <c r="C2203" s="539"/>
      <c r="D2203" s="539"/>
      <c r="E2203" s="539"/>
      <c r="F2203" s="539"/>
      <c r="G2203" s="539"/>
      <c r="H2203" s="539"/>
      <c r="I2203" s="539"/>
      <c r="J2203" s="539"/>
      <c r="K2203" s="539"/>
      <c r="L2203" s="539"/>
      <c r="M2203" s="539"/>
      <c r="N2203" s="539"/>
      <c r="O2203" s="539"/>
    </row>
    <row r="2204" spans="1:15" s="328" customFormat="1" x14ac:dyDescent="0.2">
      <c r="A2204" s="539" t="s">
        <v>5917</v>
      </c>
      <c r="B2204" s="539"/>
      <c r="C2204" s="539"/>
      <c r="D2204" s="333"/>
      <c r="E2204" s="333"/>
      <c r="F2204" s="333"/>
      <c r="G2204" s="333"/>
      <c r="H2204" s="333"/>
      <c r="I2204" s="331"/>
      <c r="J2204" s="331"/>
      <c r="K2204" s="333"/>
      <c r="L2204" s="333"/>
      <c r="M2204" s="333" t="s">
        <v>39792</v>
      </c>
      <c r="N2204" s="333" t="s">
        <v>39794</v>
      </c>
      <c r="O2204" s="333" t="s">
        <v>39795</v>
      </c>
    </row>
    <row r="2205" spans="1:15" s="328" customFormat="1" x14ac:dyDescent="0.2">
      <c r="A2205" s="535" t="s">
        <v>39815</v>
      </c>
      <c r="B2205" s="535"/>
      <c r="C2205" s="535"/>
      <c r="D2205" s="333"/>
      <c r="E2205" s="333"/>
      <c r="F2205" s="333"/>
      <c r="G2205" s="333"/>
      <c r="H2205" s="333"/>
      <c r="I2205" s="331"/>
      <c r="J2205" s="331"/>
      <c r="K2205" s="339"/>
      <c r="L2205" s="332"/>
      <c r="M2205" s="339">
        <f>2</f>
        <v>2</v>
      </c>
      <c r="N2205" s="332" t="s">
        <v>39794</v>
      </c>
      <c r="O2205" s="335">
        <f>ROUND(M2205,2)</f>
        <v>2</v>
      </c>
    </row>
    <row r="2206" spans="1:15" s="328" customFormat="1" x14ac:dyDescent="0.2">
      <c r="A2206" s="540"/>
      <c r="B2206" s="540"/>
      <c r="C2206" s="540"/>
      <c r="D2206" s="540"/>
      <c r="E2206" s="540"/>
      <c r="F2206" s="540"/>
      <c r="G2206" s="540"/>
      <c r="H2206" s="540"/>
      <c r="I2206" s="540"/>
      <c r="J2206" s="540"/>
      <c r="K2206" s="540"/>
      <c r="L2206" s="334" t="s">
        <v>39796</v>
      </c>
      <c r="M2206" s="334" t="s">
        <v>39168</v>
      </c>
      <c r="N2206" s="333" t="s">
        <v>39794</v>
      </c>
      <c r="O2206" s="334">
        <f>SUM(O2204:O2205)</f>
        <v>2</v>
      </c>
    </row>
    <row r="2207" spans="1:15" s="328" customFormat="1" x14ac:dyDescent="0.2">
      <c r="A2207" s="329" t="s">
        <v>39791</v>
      </c>
      <c r="B2207" s="542" t="s">
        <v>5917</v>
      </c>
      <c r="C2207" s="542"/>
      <c r="D2207" s="542"/>
      <c r="E2207" s="542"/>
      <c r="F2207" s="542"/>
      <c r="G2207" s="542"/>
      <c r="H2207" s="542"/>
      <c r="I2207" s="542"/>
      <c r="J2207" s="542"/>
      <c r="K2207" s="542"/>
      <c r="L2207" s="542"/>
      <c r="M2207" s="542"/>
      <c r="N2207" s="329" t="s">
        <v>39197</v>
      </c>
      <c r="O2207" s="330" t="s">
        <v>39792</v>
      </c>
    </row>
    <row r="2208" spans="1:15" s="328" customFormat="1" ht="39.950000000000003" customHeight="1" x14ac:dyDescent="0.2">
      <c r="A2208" s="331" t="str">
        <f>ORCAMENTO!A349</f>
        <v>17.1.5</v>
      </c>
      <c r="B2208" s="543" t="str">
        <f>VLOOKUP(A2208,ORCAMENTO!A:I,4,0)</f>
        <v>TORNEIRA CROMADA DE MESA, 1/2" OU 3/4", PARA LAVATÓRIO, PADRÃO POPULAR - FORNECIMENTO E INSTALAÇÃO. AF_01/2020</v>
      </c>
      <c r="C2208" s="543"/>
      <c r="D2208" s="543"/>
      <c r="E2208" s="543"/>
      <c r="F2208" s="543"/>
      <c r="G2208" s="543"/>
      <c r="H2208" s="543"/>
      <c r="I2208" s="543"/>
      <c r="J2208" s="543"/>
      <c r="K2208" s="543"/>
      <c r="L2208" s="543"/>
      <c r="M2208" s="543"/>
      <c r="N2208" s="331" t="str">
        <f>VLOOKUP(A2208,ORCAMENTO!A:I,5,0)</f>
        <v>UN</v>
      </c>
      <c r="O2208" s="332">
        <f>O2213</f>
        <v>8</v>
      </c>
    </row>
    <row r="2209" spans="1:15" s="328" customFormat="1" x14ac:dyDescent="0.2">
      <c r="A2209" s="539" t="s">
        <v>39793</v>
      </c>
      <c r="B2209" s="539"/>
      <c r="C2209" s="539"/>
      <c r="D2209" s="539"/>
      <c r="E2209" s="539"/>
      <c r="F2209" s="539"/>
      <c r="G2209" s="539"/>
      <c r="H2209" s="539"/>
      <c r="I2209" s="539"/>
      <c r="J2209" s="539"/>
      <c r="K2209" s="539"/>
      <c r="L2209" s="539"/>
      <c r="M2209" s="539"/>
      <c r="N2209" s="539"/>
      <c r="O2209" s="539"/>
    </row>
    <row r="2210" spans="1:15" s="328" customFormat="1" x14ac:dyDescent="0.2">
      <c r="A2210" s="539" t="s">
        <v>5917</v>
      </c>
      <c r="B2210" s="539"/>
      <c r="C2210" s="539"/>
      <c r="D2210" s="333"/>
      <c r="E2210" s="333"/>
      <c r="F2210" s="333"/>
      <c r="G2210" s="333"/>
      <c r="H2210" s="333"/>
      <c r="I2210" s="331"/>
      <c r="J2210" s="331"/>
      <c r="K2210" s="333"/>
      <c r="L2210" s="333"/>
      <c r="M2210" s="333" t="s">
        <v>39792</v>
      </c>
      <c r="N2210" s="333" t="s">
        <v>39794</v>
      </c>
      <c r="O2210" s="333" t="s">
        <v>39795</v>
      </c>
    </row>
    <row r="2211" spans="1:15" s="328" customFormat="1" x14ac:dyDescent="0.2">
      <c r="A2211" s="535" t="s">
        <v>39816</v>
      </c>
      <c r="B2211" s="535"/>
      <c r="C2211" s="535"/>
      <c r="D2211" s="333"/>
      <c r="E2211" s="333"/>
      <c r="F2211" s="333"/>
      <c r="G2211" s="333"/>
      <c r="H2211" s="333"/>
      <c r="I2211" s="331"/>
      <c r="J2211" s="331"/>
      <c r="K2211" s="339"/>
      <c r="L2211" s="332"/>
      <c r="M2211" s="339">
        <f>4</f>
        <v>4</v>
      </c>
      <c r="N2211" s="332" t="s">
        <v>39794</v>
      </c>
      <c r="O2211" s="335">
        <f>ROUND(M2211,2)</f>
        <v>4</v>
      </c>
    </row>
    <row r="2212" spans="1:15" s="328" customFormat="1" x14ac:dyDescent="0.2">
      <c r="A2212" s="535" t="s">
        <v>39817</v>
      </c>
      <c r="B2212" s="535"/>
      <c r="C2212" s="535"/>
      <c r="D2212" s="333"/>
      <c r="E2212" s="333"/>
      <c r="F2212" s="333"/>
      <c r="G2212" s="333"/>
      <c r="H2212" s="333"/>
      <c r="I2212" s="331"/>
      <c r="J2212" s="331"/>
      <c r="K2212" s="339"/>
      <c r="L2212" s="332"/>
      <c r="M2212" s="339">
        <f>4</f>
        <v>4</v>
      </c>
      <c r="N2212" s="332" t="s">
        <v>39794</v>
      </c>
      <c r="O2212" s="335">
        <f>ROUND(M2212,2)</f>
        <v>4</v>
      </c>
    </row>
    <row r="2213" spans="1:15" s="328" customFormat="1" x14ac:dyDescent="0.2">
      <c r="A2213" s="540"/>
      <c r="B2213" s="540"/>
      <c r="C2213" s="540"/>
      <c r="D2213" s="540"/>
      <c r="E2213" s="540"/>
      <c r="F2213" s="540"/>
      <c r="G2213" s="540"/>
      <c r="H2213" s="540"/>
      <c r="I2213" s="540"/>
      <c r="J2213" s="540"/>
      <c r="K2213" s="540"/>
      <c r="L2213" s="334" t="s">
        <v>39796</v>
      </c>
      <c r="M2213" s="334" t="s">
        <v>39168</v>
      </c>
      <c r="N2213" s="333" t="s">
        <v>39794</v>
      </c>
      <c r="O2213" s="334">
        <f>SUM(O2210:O2212)</f>
        <v>8</v>
      </c>
    </row>
    <row r="2214" spans="1:15" s="328" customFormat="1" x14ac:dyDescent="0.2">
      <c r="A2214" s="329" t="s">
        <v>39791</v>
      </c>
      <c r="B2214" s="542" t="s">
        <v>5917</v>
      </c>
      <c r="C2214" s="542"/>
      <c r="D2214" s="542"/>
      <c r="E2214" s="542"/>
      <c r="F2214" s="542"/>
      <c r="G2214" s="542"/>
      <c r="H2214" s="542"/>
      <c r="I2214" s="542"/>
      <c r="J2214" s="542"/>
      <c r="K2214" s="542"/>
      <c r="L2214" s="542"/>
      <c r="M2214" s="542"/>
      <c r="N2214" s="329" t="s">
        <v>39197</v>
      </c>
      <c r="O2214" s="330" t="s">
        <v>39792</v>
      </c>
    </row>
    <row r="2215" spans="1:15" s="328" customFormat="1" ht="39.950000000000003" customHeight="1" x14ac:dyDescent="0.2">
      <c r="A2215" s="331" t="str">
        <f>ORCAMENTO!A350</f>
        <v>17.1.6</v>
      </c>
      <c r="B2215" s="543" t="str">
        <f>VLOOKUP(A2215,ORCAMENTO!A:I,4,0)</f>
        <v>VASO SANITÁRIO SIFONADO COM CAIXA ACOPLADA LOUÇA BRANCA, INCLUSO ENGATE FLEXÍVEL EM PLÁSTICO BRANCO, 1/2 X 40CM - FORNECIMENTO E INSTALAÇÃO. AF_01/2020</v>
      </c>
      <c r="C2215" s="543"/>
      <c r="D2215" s="543"/>
      <c r="E2215" s="543"/>
      <c r="F2215" s="543"/>
      <c r="G2215" s="543"/>
      <c r="H2215" s="543"/>
      <c r="I2215" s="543"/>
      <c r="J2215" s="543"/>
      <c r="K2215" s="543"/>
      <c r="L2215" s="543"/>
      <c r="M2215" s="543"/>
      <c r="N2215" s="331" t="str">
        <f>VLOOKUP(A2215,ORCAMENTO!A:I,5,0)</f>
        <v>UN</v>
      </c>
      <c r="O2215" s="332">
        <f>O2220</f>
        <v>8</v>
      </c>
    </row>
    <row r="2216" spans="1:15" s="328" customFormat="1" x14ac:dyDescent="0.2">
      <c r="A2216" s="539" t="s">
        <v>39793</v>
      </c>
      <c r="B2216" s="539"/>
      <c r="C2216" s="539"/>
      <c r="D2216" s="539"/>
      <c r="E2216" s="539"/>
      <c r="F2216" s="539"/>
      <c r="G2216" s="539"/>
      <c r="H2216" s="539"/>
      <c r="I2216" s="539"/>
      <c r="J2216" s="539"/>
      <c r="K2216" s="539"/>
      <c r="L2216" s="539"/>
      <c r="M2216" s="539"/>
      <c r="N2216" s="539"/>
      <c r="O2216" s="539"/>
    </row>
    <row r="2217" spans="1:15" s="328" customFormat="1" x14ac:dyDescent="0.2">
      <c r="A2217" s="539" t="s">
        <v>5917</v>
      </c>
      <c r="B2217" s="539"/>
      <c r="C2217" s="539"/>
      <c r="D2217" s="333"/>
      <c r="E2217" s="333"/>
      <c r="F2217" s="333"/>
      <c r="G2217" s="333"/>
      <c r="H2217" s="333"/>
      <c r="I2217" s="331"/>
      <c r="J2217" s="331"/>
      <c r="K2217" s="333"/>
      <c r="L2217" s="333"/>
      <c r="M2217" s="333" t="s">
        <v>39792</v>
      </c>
      <c r="N2217" s="333" t="s">
        <v>39794</v>
      </c>
      <c r="O2217" s="333" t="s">
        <v>39795</v>
      </c>
    </row>
    <row r="2218" spans="1:15" s="328" customFormat="1" x14ac:dyDescent="0.2">
      <c r="A2218" s="535" t="s">
        <v>39816</v>
      </c>
      <c r="B2218" s="535"/>
      <c r="C2218" s="535"/>
      <c r="D2218" s="333"/>
      <c r="E2218" s="333"/>
      <c r="F2218" s="333"/>
      <c r="G2218" s="333"/>
      <c r="H2218" s="333"/>
      <c r="I2218" s="331"/>
      <c r="J2218" s="331"/>
      <c r="K2218" s="339"/>
      <c r="L2218" s="332"/>
      <c r="M2218" s="339">
        <f>3</f>
        <v>3</v>
      </c>
      <c r="N2218" s="332" t="s">
        <v>39794</v>
      </c>
      <c r="O2218" s="335">
        <f>ROUND(M2218,2)</f>
        <v>3</v>
      </c>
    </row>
    <row r="2219" spans="1:15" s="328" customFormat="1" x14ac:dyDescent="0.2">
      <c r="A2219" s="535" t="s">
        <v>39817</v>
      </c>
      <c r="B2219" s="535"/>
      <c r="C2219" s="535"/>
      <c r="D2219" s="333"/>
      <c r="E2219" s="333"/>
      <c r="F2219" s="333"/>
      <c r="G2219" s="333"/>
      <c r="H2219" s="333"/>
      <c r="I2219" s="331"/>
      <c r="J2219" s="331"/>
      <c r="K2219" s="339"/>
      <c r="L2219" s="332"/>
      <c r="M2219" s="339">
        <f>5</f>
        <v>5</v>
      </c>
      <c r="N2219" s="332" t="s">
        <v>39794</v>
      </c>
      <c r="O2219" s="335">
        <f>ROUND(M2219,2)</f>
        <v>5</v>
      </c>
    </row>
    <row r="2220" spans="1:15" s="328" customFormat="1" x14ac:dyDescent="0.2">
      <c r="A2220" s="540"/>
      <c r="B2220" s="540"/>
      <c r="C2220" s="540"/>
      <c r="D2220" s="540"/>
      <c r="E2220" s="540"/>
      <c r="F2220" s="540"/>
      <c r="G2220" s="540"/>
      <c r="H2220" s="540"/>
      <c r="I2220" s="540"/>
      <c r="J2220" s="540"/>
      <c r="K2220" s="540"/>
      <c r="L2220" s="334" t="s">
        <v>39796</v>
      </c>
      <c r="M2220" s="334" t="s">
        <v>39168</v>
      </c>
      <c r="N2220" s="333" t="s">
        <v>39794</v>
      </c>
      <c r="O2220" s="334">
        <f>SUM(O2217:O2219)</f>
        <v>8</v>
      </c>
    </row>
    <row r="2221" spans="1:15" s="328" customFormat="1" x14ac:dyDescent="0.2">
      <c r="A2221" s="329" t="s">
        <v>39791</v>
      </c>
      <c r="B2221" s="542" t="s">
        <v>5917</v>
      </c>
      <c r="C2221" s="542"/>
      <c r="D2221" s="542"/>
      <c r="E2221" s="542"/>
      <c r="F2221" s="542"/>
      <c r="G2221" s="542"/>
      <c r="H2221" s="542"/>
      <c r="I2221" s="542"/>
      <c r="J2221" s="542"/>
      <c r="K2221" s="542"/>
      <c r="L2221" s="542"/>
      <c r="M2221" s="542"/>
      <c r="N2221" s="329" t="s">
        <v>39197</v>
      </c>
      <c r="O2221" s="330" t="s">
        <v>39792</v>
      </c>
    </row>
    <row r="2222" spans="1:15" s="328" customFormat="1" ht="39.950000000000003" customHeight="1" x14ac:dyDescent="0.2">
      <c r="A2222" s="331" t="str">
        <f>ORCAMENTO!A351</f>
        <v>17.1.7</v>
      </c>
      <c r="B2222" s="543" t="str">
        <f>VLOOKUP(A2222,ORCAMENTO!A:I,4,0)</f>
        <v>VASO SANITARIO SIFONADO CONVENCIONAL PARA PCD SEM FURO FRONTAL COM LOUÇA BRANCA SEM ASSENTO, INCLUSO CONJUNTO DE LIGAÇÃO PARA BACIA SANITÁRIA AJUSTÁVEL - FORNECIMENTO E INSTALAÇÃO. AF_01/2020</v>
      </c>
      <c r="C2222" s="543"/>
      <c r="D2222" s="543"/>
      <c r="E2222" s="543"/>
      <c r="F2222" s="543"/>
      <c r="G2222" s="543"/>
      <c r="H2222" s="543"/>
      <c r="I2222" s="543"/>
      <c r="J2222" s="543"/>
      <c r="K2222" s="543"/>
      <c r="L2222" s="543"/>
      <c r="M2222" s="543"/>
      <c r="N2222" s="331" t="str">
        <f>VLOOKUP(A2222,ORCAMENTO!A:I,5,0)</f>
        <v>UN</v>
      </c>
      <c r="O2222" s="332">
        <f>O2226</f>
        <v>1</v>
      </c>
    </row>
    <row r="2223" spans="1:15" s="328" customFormat="1" x14ac:dyDescent="0.2">
      <c r="A2223" s="539" t="s">
        <v>39793</v>
      </c>
      <c r="B2223" s="539"/>
      <c r="C2223" s="539"/>
      <c r="D2223" s="539"/>
      <c r="E2223" s="539"/>
      <c r="F2223" s="539"/>
      <c r="G2223" s="539"/>
      <c r="H2223" s="539"/>
      <c r="I2223" s="539"/>
      <c r="J2223" s="539"/>
      <c r="K2223" s="539"/>
      <c r="L2223" s="539"/>
      <c r="M2223" s="539"/>
      <c r="N2223" s="539"/>
      <c r="O2223" s="539"/>
    </row>
    <row r="2224" spans="1:15" s="328" customFormat="1" x14ac:dyDescent="0.2">
      <c r="A2224" s="539" t="s">
        <v>5917</v>
      </c>
      <c r="B2224" s="539"/>
      <c r="C2224" s="539"/>
      <c r="D2224" s="333"/>
      <c r="E2224" s="333"/>
      <c r="F2224" s="333"/>
      <c r="G2224" s="333"/>
      <c r="H2224" s="333"/>
      <c r="I2224" s="331"/>
      <c r="J2224" s="331"/>
      <c r="K2224" s="333"/>
      <c r="L2224" s="333"/>
      <c r="M2224" s="333" t="s">
        <v>39792</v>
      </c>
      <c r="N2224" s="333" t="s">
        <v>39794</v>
      </c>
      <c r="O2224" s="333" t="s">
        <v>39795</v>
      </c>
    </row>
    <row r="2225" spans="1:15" s="328" customFormat="1" x14ac:dyDescent="0.2">
      <c r="A2225" s="535" t="s">
        <v>39818</v>
      </c>
      <c r="B2225" s="535"/>
      <c r="C2225" s="535"/>
      <c r="D2225" s="333"/>
      <c r="E2225" s="333"/>
      <c r="F2225" s="333"/>
      <c r="G2225" s="333"/>
      <c r="H2225" s="333"/>
      <c r="I2225" s="331"/>
      <c r="J2225" s="331"/>
      <c r="K2225" s="339"/>
      <c r="L2225" s="332"/>
      <c r="M2225" s="339">
        <f>1</f>
        <v>1</v>
      </c>
      <c r="N2225" s="332" t="s">
        <v>39794</v>
      </c>
      <c r="O2225" s="335">
        <f>ROUND(M2225,2)</f>
        <v>1</v>
      </c>
    </row>
    <row r="2226" spans="1:15" s="328" customFormat="1" x14ac:dyDescent="0.2">
      <c r="A2226" s="540"/>
      <c r="B2226" s="540"/>
      <c r="C2226" s="540"/>
      <c r="D2226" s="540"/>
      <c r="E2226" s="540"/>
      <c r="F2226" s="540"/>
      <c r="G2226" s="540"/>
      <c r="H2226" s="540"/>
      <c r="I2226" s="540"/>
      <c r="J2226" s="540"/>
      <c r="K2226" s="540"/>
      <c r="L2226" s="334" t="s">
        <v>39796</v>
      </c>
      <c r="M2226" s="334" t="s">
        <v>39168</v>
      </c>
      <c r="N2226" s="333" t="s">
        <v>39794</v>
      </c>
      <c r="O2226" s="334">
        <f>SUM(O2224:O2225)</f>
        <v>1</v>
      </c>
    </row>
    <row r="2227" spans="1:15" s="328" customFormat="1" x14ac:dyDescent="0.2">
      <c r="A2227" s="329" t="s">
        <v>39791</v>
      </c>
      <c r="B2227" s="542" t="s">
        <v>5917</v>
      </c>
      <c r="C2227" s="542"/>
      <c r="D2227" s="542"/>
      <c r="E2227" s="542"/>
      <c r="F2227" s="542"/>
      <c r="G2227" s="542"/>
      <c r="H2227" s="542"/>
      <c r="I2227" s="542"/>
      <c r="J2227" s="542"/>
      <c r="K2227" s="542"/>
      <c r="L2227" s="542"/>
      <c r="M2227" s="542"/>
      <c r="N2227" s="329" t="s">
        <v>39197</v>
      </c>
      <c r="O2227" s="330" t="s">
        <v>39792</v>
      </c>
    </row>
    <row r="2228" spans="1:15" s="328" customFormat="1" ht="12.75" customHeight="1" x14ac:dyDescent="0.2">
      <c r="A2228" s="331" t="str">
        <f>ORCAMENTO!A352</f>
        <v>17.1.8</v>
      </c>
      <c r="B2228" s="543" t="str">
        <f>VLOOKUP(A2228,ORCAMENTO!A:I,4,0)</f>
        <v>MICTÓRIO SIFONADO LOUÇA BRANCA - PADRÃO MÉDIO - FORNECIMENTO E INSTALAÇÃO. AF_01/2020</v>
      </c>
      <c r="C2228" s="543"/>
      <c r="D2228" s="543"/>
      <c r="E2228" s="543"/>
      <c r="F2228" s="543"/>
      <c r="G2228" s="543"/>
      <c r="H2228" s="543"/>
      <c r="I2228" s="543"/>
      <c r="J2228" s="543"/>
      <c r="K2228" s="543"/>
      <c r="L2228" s="543"/>
      <c r="M2228" s="543"/>
      <c r="N2228" s="331" t="str">
        <f>VLOOKUP(A2228,ORCAMENTO!A:I,5,0)</f>
        <v>UN</v>
      </c>
      <c r="O2228" s="332">
        <f>O2232</f>
        <v>3</v>
      </c>
    </row>
    <row r="2229" spans="1:15" s="328" customFormat="1" x14ac:dyDescent="0.2">
      <c r="A2229" s="539" t="s">
        <v>39793</v>
      </c>
      <c r="B2229" s="539"/>
      <c r="C2229" s="539"/>
      <c r="D2229" s="539"/>
      <c r="E2229" s="539"/>
      <c r="F2229" s="539"/>
      <c r="G2229" s="539"/>
      <c r="H2229" s="539"/>
      <c r="I2229" s="539"/>
      <c r="J2229" s="539"/>
      <c r="K2229" s="539"/>
      <c r="L2229" s="539"/>
      <c r="M2229" s="539"/>
      <c r="N2229" s="539"/>
      <c r="O2229" s="539"/>
    </row>
    <row r="2230" spans="1:15" s="328" customFormat="1" x14ac:dyDescent="0.2">
      <c r="A2230" s="539" t="s">
        <v>5917</v>
      </c>
      <c r="B2230" s="539"/>
      <c r="C2230" s="539"/>
      <c r="D2230" s="333"/>
      <c r="E2230" s="333"/>
      <c r="F2230" s="333"/>
      <c r="G2230" s="333"/>
      <c r="H2230" s="333"/>
      <c r="I2230" s="331"/>
      <c r="J2230" s="331"/>
      <c r="K2230" s="333"/>
      <c r="L2230" s="333"/>
      <c r="M2230" s="333" t="s">
        <v>39792</v>
      </c>
      <c r="N2230" s="333" t="s">
        <v>39794</v>
      </c>
      <c r="O2230" s="333" t="s">
        <v>39795</v>
      </c>
    </row>
    <row r="2231" spans="1:15" s="328" customFormat="1" x14ac:dyDescent="0.2">
      <c r="A2231" s="535" t="s">
        <v>39816</v>
      </c>
      <c r="B2231" s="535"/>
      <c r="C2231" s="535"/>
      <c r="D2231" s="333"/>
      <c r="E2231" s="333"/>
      <c r="F2231" s="333"/>
      <c r="G2231" s="333"/>
      <c r="H2231" s="333"/>
      <c r="I2231" s="331"/>
      <c r="J2231" s="331"/>
      <c r="K2231" s="339"/>
      <c r="L2231" s="332"/>
      <c r="M2231" s="339">
        <f>3</f>
        <v>3</v>
      </c>
      <c r="N2231" s="332" t="s">
        <v>39794</v>
      </c>
      <c r="O2231" s="335">
        <f>ROUND(M2231,2)</f>
        <v>3</v>
      </c>
    </row>
    <row r="2232" spans="1:15" s="328" customFormat="1" x14ac:dyDescent="0.2">
      <c r="A2232" s="540"/>
      <c r="B2232" s="540"/>
      <c r="C2232" s="540"/>
      <c r="D2232" s="540"/>
      <c r="E2232" s="540"/>
      <c r="F2232" s="540"/>
      <c r="G2232" s="540"/>
      <c r="H2232" s="540"/>
      <c r="I2232" s="540"/>
      <c r="J2232" s="540"/>
      <c r="K2232" s="540"/>
      <c r="L2232" s="334" t="s">
        <v>39796</v>
      </c>
      <c r="M2232" s="334" t="s">
        <v>39168</v>
      </c>
      <c r="N2232" s="333" t="s">
        <v>39794</v>
      </c>
      <c r="O2232" s="334">
        <f>SUM(O2230:O2231)</f>
        <v>3</v>
      </c>
    </row>
    <row r="2233" spans="1:15" s="328" customFormat="1" x14ac:dyDescent="0.2">
      <c r="A2233" s="329" t="s">
        <v>39791</v>
      </c>
      <c r="B2233" s="542" t="s">
        <v>5917</v>
      </c>
      <c r="C2233" s="542"/>
      <c r="D2233" s="542"/>
      <c r="E2233" s="542"/>
      <c r="F2233" s="542"/>
      <c r="G2233" s="542"/>
      <c r="H2233" s="542"/>
      <c r="I2233" s="542"/>
      <c r="J2233" s="542"/>
      <c r="K2233" s="542"/>
      <c r="L2233" s="542"/>
      <c r="M2233" s="542"/>
      <c r="N2233" s="329" t="s">
        <v>39197</v>
      </c>
      <c r="O2233" s="330" t="s">
        <v>39792</v>
      </c>
    </row>
    <row r="2234" spans="1:15" s="328" customFormat="1" ht="50.1" customHeight="1" x14ac:dyDescent="0.2">
      <c r="A2234" s="331" t="str">
        <f>ORCAMENTO!A353</f>
        <v>17.1.9</v>
      </c>
      <c r="B2234" s="543" t="str">
        <f>VLOOKUP(A2234,ORCAMENTO!A:I,4,0)</f>
        <v>LAVATÓRIO LOUÇA BRANCA SUSPENSO, 29,5 X 39CM OU EQUIVALENTE, PADRÃO POPULAR, INCLUSO SIFÃO FLEXÍVEL EM PVC, VÁLVULA E ENGATE FLEXÍVEL 30CM EM PLÁSTICO E TORNEIRA CROMADA DE MESA, PADRÃO POPULAR - FORNECIMENTO E INSTALAÇÃO. AF_01/2020</v>
      </c>
      <c r="C2234" s="543"/>
      <c r="D2234" s="543"/>
      <c r="E2234" s="543"/>
      <c r="F2234" s="543"/>
      <c r="G2234" s="543"/>
      <c r="H2234" s="543"/>
      <c r="I2234" s="543"/>
      <c r="J2234" s="543"/>
      <c r="K2234" s="543"/>
      <c r="L2234" s="543"/>
      <c r="M2234" s="543"/>
      <c r="N2234" s="331" t="str">
        <f>VLOOKUP(A2234,ORCAMENTO!A:I,5,0)</f>
        <v>UN</v>
      </c>
      <c r="O2234" s="332">
        <f>O2238</f>
        <v>1</v>
      </c>
    </row>
    <row r="2235" spans="1:15" s="328" customFormat="1" x14ac:dyDescent="0.2">
      <c r="A2235" s="539" t="s">
        <v>39793</v>
      </c>
      <c r="B2235" s="539"/>
      <c r="C2235" s="539"/>
      <c r="D2235" s="539"/>
      <c r="E2235" s="539"/>
      <c r="F2235" s="539"/>
      <c r="G2235" s="539"/>
      <c r="H2235" s="539"/>
      <c r="I2235" s="539"/>
      <c r="J2235" s="539"/>
      <c r="K2235" s="539"/>
      <c r="L2235" s="539"/>
      <c r="M2235" s="539"/>
      <c r="N2235" s="539"/>
      <c r="O2235" s="539"/>
    </row>
    <row r="2236" spans="1:15" s="328" customFormat="1" x14ac:dyDescent="0.2">
      <c r="A2236" s="539" t="s">
        <v>5917</v>
      </c>
      <c r="B2236" s="539"/>
      <c r="C2236" s="539"/>
      <c r="D2236" s="333"/>
      <c r="E2236" s="333"/>
      <c r="F2236" s="333"/>
      <c r="G2236" s="333"/>
      <c r="H2236" s="333"/>
      <c r="I2236" s="331"/>
      <c r="J2236" s="331"/>
      <c r="K2236" s="333"/>
      <c r="L2236" s="333"/>
      <c r="M2236" s="333" t="s">
        <v>39792</v>
      </c>
      <c r="N2236" s="333" t="s">
        <v>39794</v>
      </c>
      <c r="O2236" s="333" t="s">
        <v>39795</v>
      </c>
    </row>
    <row r="2237" spans="1:15" s="328" customFormat="1" x14ac:dyDescent="0.2">
      <c r="A2237" s="535" t="s">
        <v>39818</v>
      </c>
      <c r="B2237" s="535"/>
      <c r="C2237" s="535"/>
      <c r="D2237" s="333"/>
      <c r="E2237" s="333"/>
      <c r="F2237" s="333"/>
      <c r="G2237" s="333"/>
      <c r="H2237" s="333"/>
      <c r="I2237" s="331"/>
      <c r="J2237" s="331"/>
      <c r="K2237" s="339"/>
      <c r="L2237" s="332"/>
      <c r="M2237" s="339">
        <f>1</f>
        <v>1</v>
      </c>
      <c r="N2237" s="332" t="s">
        <v>39794</v>
      </c>
      <c r="O2237" s="335">
        <f>ROUND(M2237,2)</f>
        <v>1</v>
      </c>
    </row>
    <row r="2238" spans="1:15" s="328" customFormat="1" x14ac:dyDescent="0.2">
      <c r="A2238" s="540"/>
      <c r="B2238" s="540"/>
      <c r="C2238" s="540"/>
      <c r="D2238" s="540"/>
      <c r="E2238" s="540"/>
      <c r="F2238" s="540"/>
      <c r="G2238" s="540"/>
      <c r="H2238" s="540"/>
      <c r="I2238" s="540"/>
      <c r="J2238" s="540"/>
      <c r="K2238" s="540"/>
      <c r="L2238" s="334" t="s">
        <v>39796</v>
      </c>
      <c r="M2238" s="334" t="s">
        <v>39168</v>
      </c>
      <c r="N2238" s="333" t="s">
        <v>39794</v>
      </c>
      <c r="O2238" s="334">
        <f>SUM(O2236:O2237)</f>
        <v>1</v>
      </c>
    </row>
    <row r="2239" spans="1:15" s="328" customFormat="1" x14ac:dyDescent="0.2">
      <c r="A2239" s="329" t="s">
        <v>39791</v>
      </c>
      <c r="B2239" s="542" t="s">
        <v>5917</v>
      </c>
      <c r="C2239" s="542"/>
      <c r="D2239" s="542"/>
      <c r="E2239" s="542"/>
      <c r="F2239" s="542"/>
      <c r="G2239" s="542"/>
      <c r="H2239" s="542"/>
      <c r="I2239" s="542"/>
      <c r="J2239" s="542"/>
      <c r="K2239" s="542"/>
      <c r="L2239" s="542"/>
      <c r="M2239" s="542"/>
      <c r="N2239" s="329" t="s">
        <v>39197</v>
      </c>
      <c r="O2239" s="330" t="s">
        <v>39792</v>
      </c>
    </row>
    <row r="2240" spans="1:15" s="328" customFormat="1" ht="12.75" customHeight="1" x14ac:dyDescent="0.2">
      <c r="A2240" s="331" t="str">
        <f>ORCAMENTO!A354</f>
        <v>17.1.10</v>
      </c>
      <c r="B2240" s="543" t="str">
        <f>VLOOKUP(A2240,ORCAMENTO!A:I,4,0)</f>
        <v>DUCHA P/ WC CROMADO (INSTALADO)</v>
      </c>
      <c r="C2240" s="543"/>
      <c r="D2240" s="543"/>
      <c r="E2240" s="543"/>
      <c r="F2240" s="543"/>
      <c r="G2240" s="543"/>
      <c r="H2240" s="543"/>
      <c r="I2240" s="543"/>
      <c r="J2240" s="543"/>
      <c r="K2240" s="543"/>
      <c r="L2240" s="543"/>
      <c r="M2240" s="543"/>
      <c r="N2240" s="331" t="str">
        <f>VLOOKUP(A2240,ORCAMENTO!A:I,5,0)</f>
        <v>UN</v>
      </c>
      <c r="O2240" s="332">
        <f>O2246</f>
        <v>9</v>
      </c>
    </row>
    <row r="2241" spans="1:15" s="328" customFormat="1" x14ac:dyDescent="0.2">
      <c r="A2241" s="539" t="s">
        <v>39793</v>
      </c>
      <c r="B2241" s="539"/>
      <c r="C2241" s="539"/>
      <c r="D2241" s="539"/>
      <c r="E2241" s="539"/>
      <c r="F2241" s="539"/>
      <c r="G2241" s="539"/>
      <c r="H2241" s="539"/>
      <c r="I2241" s="539"/>
      <c r="J2241" s="539"/>
      <c r="K2241" s="539"/>
      <c r="L2241" s="539"/>
      <c r="M2241" s="539"/>
      <c r="N2241" s="539"/>
      <c r="O2241" s="539"/>
    </row>
    <row r="2242" spans="1:15" s="328" customFormat="1" x14ac:dyDescent="0.2">
      <c r="A2242" s="539" t="s">
        <v>5917</v>
      </c>
      <c r="B2242" s="539"/>
      <c r="C2242" s="539"/>
      <c r="D2242" s="333"/>
      <c r="E2242" s="333"/>
      <c r="F2242" s="333"/>
      <c r="G2242" s="333"/>
      <c r="H2242" s="333"/>
      <c r="I2242" s="331"/>
      <c r="J2242" s="331"/>
      <c r="K2242" s="333"/>
      <c r="L2242" s="333"/>
      <c r="M2242" s="333" t="s">
        <v>39792</v>
      </c>
      <c r="N2242" s="333" t="s">
        <v>39794</v>
      </c>
      <c r="O2242" s="333" t="s">
        <v>39795</v>
      </c>
    </row>
    <row r="2243" spans="1:15" s="328" customFormat="1" x14ac:dyDescent="0.2">
      <c r="A2243" s="535" t="s">
        <v>39816</v>
      </c>
      <c r="B2243" s="535"/>
      <c r="C2243" s="535"/>
      <c r="D2243" s="333"/>
      <c r="E2243" s="333"/>
      <c r="F2243" s="333"/>
      <c r="G2243" s="333"/>
      <c r="H2243" s="333"/>
      <c r="I2243" s="331"/>
      <c r="J2243" s="331"/>
      <c r="K2243" s="339"/>
      <c r="L2243" s="332"/>
      <c r="M2243" s="339">
        <f>3</f>
        <v>3</v>
      </c>
      <c r="N2243" s="332" t="s">
        <v>39794</v>
      </c>
      <c r="O2243" s="335">
        <f>ROUND(M2243,2)</f>
        <v>3</v>
      </c>
    </row>
    <row r="2244" spans="1:15" s="328" customFormat="1" x14ac:dyDescent="0.2">
      <c r="A2244" s="535" t="s">
        <v>39817</v>
      </c>
      <c r="B2244" s="535"/>
      <c r="C2244" s="535"/>
      <c r="D2244" s="333"/>
      <c r="E2244" s="333"/>
      <c r="F2244" s="333"/>
      <c r="G2244" s="333"/>
      <c r="H2244" s="333"/>
      <c r="I2244" s="331"/>
      <c r="J2244" s="331"/>
      <c r="K2244" s="339"/>
      <c r="L2244" s="332"/>
      <c r="M2244" s="339">
        <f>5</f>
        <v>5</v>
      </c>
      <c r="N2244" s="332" t="s">
        <v>39794</v>
      </c>
      <c r="O2244" s="335">
        <f t="shared" ref="O2244:O2245" si="110">ROUND(M2244,2)</f>
        <v>5</v>
      </c>
    </row>
    <row r="2245" spans="1:15" s="328" customFormat="1" x14ac:dyDescent="0.2">
      <c r="A2245" s="546" t="s">
        <v>39818</v>
      </c>
      <c r="B2245" s="547"/>
      <c r="C2245" s="548"/>
      <c r="D2245" s="333"/>
      <c r="E2245" s="333"/>
      <c r="F2245" s="333"/>
      <c r="G2245" s="333"/>
      <c r="H2245" s="333"/>
      <c r="I2245" s="331"/>
      <c r="J2245" s="331"/>
      <c r="K2245" s="339"/>
      <c r="L2245" s="332"/>
      <c r="M2245" s="339">
        <f>1</f>
        <v>1</v>
      </c>
      <c r="N2245" s="332" t="s">
        <v>39794</v>
      </c>
      <c r="O2245" s="335">
        <f t="shared" si="110"/>
        <v>1</v>
      </c>
    </row>
    <row r="2246" spans="1:15" s="328" customFormat="1" x14ac:dyDescent="0.2">
      <c r="A2246" s="540"/>
      <c r="B2246" s="540"/>
      <c r="C2246" s="540"/>
      <c r="D2246" s="540"/>
      <c r="E2246" s="540"/>
      <c r="F2246" s="540"/>
      <c r="G2246" s="540"/>
      <c r="H2246" s="540"/>
      <c r="I2246" s="540"/>
      <c r="J2246" s="540"/>
      <c r="K2246" s="540"/>
      <c r="L2246" s="334" t="s">
        <v>39796</v>
      </c>
      <c r="M2246" s="334" t="s">
        <v>39168</v>
      </c>
      <c r="N2246" s="333" t="s">
        <v>39794</v>
      </c>
      <c r="O2246" s="334">
        <f>SUM(O2242:O2245)</f>
        <v>9</v>
      </c>
    </row>
    <row r="2247" spans="1:15" s="328" customFormat="1" x14ac:dyDescent="0.2">
      <c r="A2247" s="329" t="s">
        <v>39791</v>
      </c>
      <c r="B2247" s="542" t="s">
        <v>5917</v>
      </c>
      <c r="C2247" s="542"/>
      <c r="D2247" s="542"/>
      <c r="E2247" s="542"/>
      <c r="F2247" s="542"/>
      <c r="G2247" s="542"/>
      <c r="H2247" s="542"/>
      <c r="I2247" s="542"/>
      <c r="J2247" s="542"/>
      <c r="K2247" s="542"/>
      <c r="L2247" s="542"/>
      <c r="M2247" s="542"/>
      <c r="N2247" s="329" t="s">
        <v>39197</v>
      </c>
      <c r="O2247" s="330" t="s">
        <v>39792</v>
      </c>
    </row>
    <row r="2248" spans="1:15" s="328" customFormat="1" ht="12.75" customHeight="1" x14ac:dyDescent="0.2">
      <c r="A2248" s="331" t="str">
        <f>ORCAMENTO!A355</f>
        <v>17.1.11</v>
      </c>
      <c r="B2248" s="543" t="str">
        <f>VLOOKUP(A2248,ORCAMENTO!A:I,4,0)</f>
        <v>BEBEDOURO EM AÇO INOX COM 1,60m</v>
      </c>
      <c r="C2248" s="543"/>
      <c r="D2248" s="543"/>
      <c r="E2248" s="543"/>
      <c r="F2248" s="543"/>
      <c r="G2248" s="543"/>
      <c r="H2248" s="543"/>
      <c r="I2248" s="543"/>
      <c r="J2248" s="543"/>
      <c r="K2248" s="543"/>
      <c r="L2248" s="543"/>
      <c r="M2248" s="543"/>
      <c r="N2248" s="331" t="str">
        <f>VLOOKUP(A2248,ORCAMENTO!A:I,5,0)</f>
        <v>UN</v>
      </c>
      <c r="O2248" s="332">
        <f>O2252</f>
        <v>2</v>
      </c>
    </row>
    <row r="2249" spans="1:15" s="328" customFormat="1" ht="12.75" customHeight="1" x14ac:dyDescent="0.2">
      <c r="A2249" s="539" t="s">
        <v>39793</v>
      </c>
      <c r="B2249" s="539"/>
      <c r="C2249" s="539"/>
      <c r="D2249" s="539"/>
      <c r="E2249" s="539"/>
      <c r="F2249" s="539"/>
      <c r="G2249" s="539"/>
      <c r="H2249" s="539"/>
      <c r="I2249" s="539"/>
      <c r="J2249" s="539"/>
      <c r="K2249" s="539"/>
      <c r="L2249" s="539"/>
      <c r="M2249" s="539"/>
      <c r="N2249" s="539"/>
      <c r="O2249" s="539"/>
    </row>
    <row r="2250" spans="1:15" s="328" customFormat="1" x14ac:dyDescent="0.2">
      <c r="A2250" s="539" t="s">
        <v>5917</v>
      </c>
      <c r="B2250" s="539"/>
      <c r="C2250" s="539"/>
      <c r="D2250" s="333"/>
      <c r="E2250" s="333"/>
      <c r="F2250" s="333"/>
      <c r="G2250" s="333"/>
      <c r="H2250" s="333"/>
      <c r="I2250" s="331"/>
      <c r="J2250" s="331"/>
      <c r="K2250" s="333"/>
      <c r="L2250" s="333"/>
      <c r="M2250" s="333" t="s">
        <v>39792</v>
      </c>
      <c r="N2250" s="333" t="s">
        <v>39794</v>
      </c>
      <c r="O2250" s="333" t="s">
        <v>39795</v>
      </c>
    </row>
    <row r="2251" spans="1:15" s="328" customFormat="1" x14ac:dyDescent="0.2">
      <c r="A2251" s="535" t="s">
        <v>39960</v>
      </c>
      <c r="B2251" s="535"/>
      <c r="C2251" s="535"/>
      <c r="D2251" s="333"/>
      <c r="E2251" s="333"/>
      <c r="F2251" s="333"/>
      <c r="G2251" s="333"/>
      <c r="H2251" s="333"/>
      <c r="I2251" s="331"/>
      <c r="J2251" s="331"/>
      <c r="K2251" s="339"/>
      <c r="L2251" s="332"/>
      <c r="M2251" s="339">
        <f>2</f>
        <v>2</v>
      </c>
      <c r="N2251" s="332" t="s">
        <v>39794</v>
      </c>
      <c r="O2251" s="335">
        <f>ROUND(M2251,2)</f>
        <v>2</v>
      </c>
    </row>
    <row r="2252" spans="1:15" s="328" customFormat="1" x14ac:dyDescent="0.2">
      <c r="A2252" s="540"/>
      <c r="B2252" s="540"/>
      <c r="C2252" s="540"/>
      <c r="D2252" s="540"/>
      <c r="E2252" s="540"/>
      <c r="F2252" s="540"/>
      <c r="G2252" s="540"/>
      <c r="H2252" s="540"/>
      <c r="I2252" s="540"/>
      <c r="J2252" s="540"/>
      <c r="K2252" s="540"/>
      <c r="L2252" s="334" t="s">
        <v>39796</v>
      </c>
      <c r="M2252" s="334" t="s">
        <v>39168</v>
      </c>
      <c r="N2252" s="333" t="s">
        <v>39794</v>
      </c>
      <c r="O2252" s="334">
        <f>SUM(O2250:O2251)</f>
        <v>2</v>
      </c>
    </row>
    <row r="2253" spans="1:15" s="328" customFormat="1" x14ac:dyDescent="0.2">
      <c r="A2253" s="347" t="str">
        <f>ORCAMENTO!A357</f>
        <v>17.2</v>
      </c>
      <c r="B2253" s="544" t="str">
        <f>VLOOKUP(A2253,ORCAMENTO!A:I,4,0)</f>
        <v>ACESSÓRIOS</v>
      </c>
      <c r="C2253" s="544"/>
      <c r="D2253" s="544"/>
      <c r="E2253" s="544"/>
      <c r="F2253" s="544"/>
      <c r="G2253" s="544"/>
      <c r="H2253" s="544"/>
      <c r="I2253" s="544"/>
      <c r="J2253" s="544"/>
      <c r="K2253" s="544"/>
      <c r="L2253" s="544"/>
      <c r="M2253" s="544"/>
      <c r="N2253" s="544"/>
      <c r="O2253" s="544"/>
    </row>
    <row r="2254" spans="1:15" s="328" customFormat="1" x14ac:dyDescent="0.2">
      <c r="A2254" s="329" t="s">
        <v>39791</v>
      </c>
      <c r="B2254" s="542" t="s">
        <v>5917</v>
      </c>
      <c r="C2254" s="542"/>
      <c r="D2254" s="542"/>
      <c r="E2254" s="542"/>
      <c r="F2254" s="542"/>
      <c r="G2254" s="542"/>
      <c r="H2254" s="542"/>
      <c r="I2254" s="542"/>
      <c r="J2254" s="542"/>
      <c r="K2254" s="542"/>
      <c r="L2254" s="542"/>
      <c r="M2254" s="542"/>
      <c r="N2254" s="329" t="s">
        <v>39197</v>
      </c>
      <c r="O2254" s="330" t="s">
        <v>39792</v>
      </c>
    </row>
    <row r="2255" spans="1:15" s="328" customFormat="1" ht="12.75" customHeight="1" x14ac:dyDescent="0.2">
      <c r="A2255" s="331" t="str">
        <f>ORCAMENTO!A358</f>
        <v>17.2.1</v>
      </c>
      <c r="B2255" s="543" t="str">
        <f>VLOOKUP(A2255,ORCAMENTO!A:I,4,0)</f>
        <v>PEÇAS DE APOIO DEFICIENTES C/TUBO INOX  P/WC'S</v>
      </c>
      <c r="C2255" s="543"/>
      <c r="D2255" s="543"/>
      <c r="E2255" s="543"/>
      <c r="F2255" s="543"/>
      <c r="G2255" s="543"/>
      <c r="H2255" s="543"/>
      <c r="I2255" s="543"/>
      <c r="J2255" s="543"/>
      <c r="K2255" s="543"/>
      <c r="L2255" s="543"/>
      <c r="M2255" s="543"/>
      <c r="N2255" s="331" t="str">
        <f>VLOOKUP(A2255,ORCAMENTO!A:I,5,0)</f>
        <v>M</v>
      </c>
      <c r="O2255" s="332">
        <f>O2262</f>
        <v>2.8499999999999996</v>
      </c>
    </row>
    <row r="2256" spans="1:15" s="328" customFormat="1" x14ac:dyDescent="0.2">
      <c r="A2256" s="539" t="s">
        <v>39793</v>
      </c>
      <c r="B2256" s="539"/>
      <c r="C2256" s="539"/>
      <c r="D2256" s="539"/>
      <c r="E2256" s="539"/>
      <c r="F2256" s="539"/>
      <c r="G2256" s="539"/>
      <c r="H2256" s="539"/>
      <c r="I2256" s="539"/>
      <c r="J2256" s="539"/>
      <c r="K2256" s="539"/>
      <c r="L2256" s="539"/>
      <c r="M2256" s="539"/>
      <c r="N2256" s="539"/>
      <c r="O2256" s="539"/>
    </row>
    <row r="2257" spans="1:15" s="328" customFormat="1" x14ac:dyDescent="0.2">
      <c r="A2257" s="539" t="s">
        <v>5917</v>
      </c>
      <c r="B2257" s="539"/>
      <c r="C2257" s="539"/>
      <c r="D2257" s="333"/>
      <c r="E2257" s="333"/>
      <c r="F2257" s="333"/>
      <c r="G2257" s="333"/>
      <c r="H2257" s="333"/>
      <c r="I2257" s="331"/>
      <c r="J2257" s="331"/>
      <c r="K2257" s="333" t="s">
        <v>39792</v>
      </c>
      <c r="L2257" s="333" t="s">
        <v>39805</v>
      </c>
      <c r="M2257" s="333" t="s">
        <v>39802</v>
      </c>
      <c r="N2257" s="333" t="s">
        <v>39794</v>
      </c>
      <c r="O2257" s="333" t="s">
        <v>39795</v>
      </c>
    </row>
    <row r="2258" spans="1:15" s="328" customFormat="1" x14ac:dyDescent="0.2">
      <c r="A2258" s="535" t="s">
        <v>39819</v>
      </c>
      <c r="B2258" s="535"/>
      <c r="C2258" s="535"/>
      <c r="D2258" s="333"/>
      <c r="E2258" s="333"/>
      <c r="F2258" s="333"/>
      <c r="G2258" s="333"/>
      <c r="H2258" s="333"/>
      <c r="I2258" s="331"/>
      <c r="J2258" s="331"/>
      <c r="K2258" s="339">
        <f>2</f>
        <v>2</v>
      </c>
      <c r="L2258" s="332" t="s">
        <v>39805</v>
      </c>
      <c r="M2258" s="339">
        <f>0.8</f>
        <v>0.8</v>
      </c>
      <c r="N2258" s="332" t="s">
        <v>39794</v>
      </c>
      <c r="O2258" s="335">
        <f>ROUND(K2258*M2258,2)</f>
        <v>1.6</v>
      </c>
    </row>
    <row r="2259" spans="1:15" s="328" customFormat="1" x14ac:dyDescent="0.2">
      <c r="A2259" s="535" t="s">
        <v>39820</v>
      </c>
      <c r="B2259" s="535"/>
      <c r="C2259" s="535"/>
      <c r="D2259" s="333"/>
      <c r="E2259" s="333"/>
      <c r="F2259" s="333"/>
      <c r="G2259" s="333"/>
      <c r="H2259" s="333"/>
      <c r="I2259" s="331"/>
      <c r="J2259" s="331"/>
      <c r="K2259" s="339">
        <f>1</f>
        <v>1</v>
      </c>
      <c r="L2259" s="332" t="s">
        <v>39805</v>
      </c>
      <c r="M2259" s="339">
        <f>0.7</f>
        <v>0.7</v>
      </c>
      <c r="N2259" s="332" t="s">
        <v>39794</v>
      </c>
      <c r="O2259" s="335">
        <f t="shared" ref="O2259:O2261" si="111">ROUND(K2259*M2259,2)</f>
        <v>0.7</v>
      </c>
    </row>
    <row r="2260" spans="1:15" s="328" customFormat="1" x14ac:dyDescent="0.2">
      <c r="A2260" s="535" t="s">
        <v>39821</v>
      </c>
      <c r="B2260" s="535"/>
      <c r="C2260" s="535"/>
      <c r="D2260" s="333"/>
      <c r="E2260" s="333"/>
      <c r="F2260" s="333"/>
      <c r="G2260" s="333"/>
      <c r="H2260" s="333"/>
      <c r="I2260" s="331"/>
      <c r="J2260" s="331"/>
      <c r="K2260" s="339">
        <f>1</f>
        <v>1</v>
      </c>
      <c r="L2260" s="332" t="s">
        <v>39805</v>
      </c>
      <c r="M2260" s="339">
        <f>0.15</f>
        <v>0.15</v>
      </c>
      <c r="N2260" s="332" t="s">
        <v>39794</v>
      </c>
      <c r="O2260" s="335">
        <f t="shared" si="111"/>
        <v>0.15</v>
      </c>
    </row>
    <row r="2261" spans="1:15" s="328" customFormat="1" x14ac:dyDescent="0.2">
      <c r="A2261" s="535" t="s">
        <v>39822</v>
      </c>
      <c r="B2261" s="535"/>
      <c r="C2261" s="535"/>
      <c r="D2261" s="333"/>
      <c r="E2261" s="333"/>
      <c r="F2261" s="333"/>
      <c r="G2261" s="333"/>
      <c r="H2261" s="333"/>
      <c r="I2261" s="331"/>
      <c r="J2261" s="331"/>
      <c r="K2261" s="339">
        <f>1</f>
        <v>1</v>
      </c>
      <c r="L2261" s="332" t="s">
        <v>39805</v>
      </c>
      <c r="M2261" s="339">
        <f>0.4</f>
        <v>0.4</v>
      </c>
      <c r="N2261" s="332" t="s">
        <v>39794</v>
      </c>
      <c r="O2261" s="335">
        <f t="shared" si="111"/>
        <v>0.4</v>
      </c>
    </row>
    <row r="2262" spans="1:15" s="328" customFormat="1" x14ac:dyDescent="0.2">
      <c r="A2262" s="540"/>
      <c r="B2262" s="540"/>
      <c r="C2262" s="540"/>
      <c r="D2262" s="540"/>
      <c r="E2262" s="540"/>
      <c r="F2262" s="540"/>
      <c r="G2262" s="540"/>
      <c r="H2262" s="540"/>
      <c r="I2262" s="540"/>
      <c r="J2262" s="540"/>
      <c r="K2262" s="540"/>
      <c r="L2262" s="334" t="s">
        <v>39796</v>
      </c>
      <c r="M2262" s="334" t="s">
        <v>39168</v>
      </c>
      <c r="N2262" s="333" t="s">
        <v>39794</v>
      </c>
      <c r="O2262" s="334">
        <f>SUM(O2257:O2261)</f>
        <v>2.8499999999999996</v>
      </c>
    </row>
    <row r="2263" spans="1:15" s="328" customFormat="1" x14ac:dyDescent="0.2">
      <c r="A2263" s="329" t="s">
        <v>39791</v>
      </c>
      <c r="B2263" s="542" t="s">
        <v>5917</v>
      </c>
      <c r="C2263" s="542"/>
      <c r="D2263" s="542"/>
      <c r="E2263" s="542"/>
      <c r="F2263" s="542"/>
      <c r="G2263" s="542"/>
      <c r="H2263" s="542"/>
      <c r="I2263" s="542"/>
      <c r="J2263" s="542"/>
      <c r="K2263" s="542"/>
      <c r="L2263" s="542"/>
      <c r="M2263" s="542"/>
      <c r="N2263" s="329" t="s">
        <v>39197</v>
      </c>
      <c r="O2263" s="330" t="s">
        <v>39792</v>
      </c>
    </row>
    <row r="2264" spans="1:15" s="328" customFormat="1" ht="12.75" customHeight="1" x14ac:dyDescent="0.2">
      <c r="A2264" s="331" t="str">
        <f>ORCAMENTO!A359</f>
        <v>17.2.2</v>
      </c>
      <c r="B2264" s="543" t="str">
        <f>VLOOKUP(A2264,ORCAMENTO!A:I,4,0)</f>
        <v>ESPELHO CRISTAL, ESPESSURA 4MM, COM PARAFUSOS DE FIXAÇÃO, SEM MOLDURA</v>
      </c>
      <c r="C2264" s="543"/>
      <c r="D2264" s="543"/>
      <c r="E2264" s="543"/>
      <c r="F2264" s="543"/>
      <c r="G2264" s="543"/>
      <c r="H2264" s="543"/>
      <c r="I2264" s="543"/>
      <c r="J2264" s="543"/>
      <c r="K2264" s="543"/>
      <c r="L2264" s="543"/>
      <c r="M2264" s="543"/>
      <c r="N2264" s="331" t="str">
        <f>VLOOKUP(A2264,ORCAMENTO!A:I,5,0)</f>
        <v>M2</v>
      </c>
      <c r="O2264" s="332">
        <f>O2270</f>
        <v>4.84</v>
      </c>
    </row>
    <row r="2265" spans="1:15" s="328" customFormat="1" x14ac:dyDescent="0.2">
      <c r="A2265" s="539" t="s">
        <v>39793</v>
      </c>
      <c r="B2265" s="539"/>
      <c r="C2265" s="539"/>
      <c r="D2265" s="539"/>
      <c r="E2265" s="539"/>
      <c r="F2265" s="539"/>
      <c r="G2265" s="539"/>
      <c r="H2265" s="539"/>
      <c r="I2265" s="539"/>
      <c r="J2265" s="539"/>
      <c r="K2265" s="539"/>
      <c r="L2265" s="539"/>
      <c r="M2265" s="539"/>
      <c r="N2265" s="539"/>
      <c r="O2265" s="539"/>
    </row>
    <row r="2266" spans="1:15" s="328" customFormat="1" x14ac:dyDescent="0.2">
      <c r="A2266" s="539" t="s">
        <v>5917</v>
      </c>
      <c r="B2266" s="539"/>
      <c r="C2266" s="539"/>
      <c r="D2266" s="333"/>
      <c r="E2266" s="333"/>
      <c r="F2266" s="333"/>
      <c r="G2266" s="333"/>
      <c r="H2266" s="333"/>
      <c r="I2266" s="333" t="s">
        <v>39792</v>
      </c>
      <c r="J2266" s="333" t="s">
        <v>39805</v>
      </c>
      <c r="K2266" s="333" t="s">
        <v>39804</v>
      </c>
      <c r="L2266" s="333" t="s">
        <v>39805</v>
      </c>
      <c r="M2266" s="333" t="s">
        <v>39823</v>
      </c>
      <c r="N2266" s="333" t="s">
        <v>39794</v>
      </c>
      <c r="O2266" s="333" t="s">
        <v>39795</v>
      </c>
    </row>
    <row r="2267" spans="1:15" s="328" customFormat="1" x14ac:dyDescent="0.2">
      <c r="A2267" s="535" t="s">
        <v>39816</v>
      </c>
      <c r="B2267" s="535"/>
      <c r="C2267" s="535"/>
      <c r="D2267" s="333"/>
      <c r="E2267" s="354"/>
      <c r="F2267" s="354"/>
      <c r="G2267" s="354"/>
      <c r="H2267" s="354"/>
      <c r="I2267" s="339">
        <f>4</f>
        <v>4</v>
      </c>
      <c r="J2267" s="339" t="s">
        <v>39805</v>
      </c>
      <c r="K2267" s="339">
        <f>0.57</f>
        <v>0.56999999999999995</v>
      </c>
      <c r="L2267" s="339" t="s">
        <v>39805</v>
      </c>
      <c r="M2267" s="339">
        <f>0.95</f>
        <v>0.95</v>
      </c>
      <c r="N2267" s="339" t="s">
        <v>39794</v>
      </c>
      <c r="O2267" s="340">
        <f>ROUND(I2267*K2267*M2267,2)</f>
        <v>2.17</v>
      </c>
    </row>
    <row r="2268" spans="1:15" s="328" customFormat="1" x14ac:dyDescent="0.2">
      <c r="A2268" s="535" t="s">
        <v>39817</v>
      </c>
      <c r="B2268" s="535"/>
      <c r="C2268" s="535"/>
      <c r="D2268" s="333"/>
      <c r="E2268" s="354"/>
      <c r="F2268" s="354"/>
      <c r="G2268" s="354"/>
      <c r="H2268" s="354"/>
      <c r="I2268" s="339">
        <f>4</f>
        <v>4</v>
      </c>
      <c r="J2268" s="339" t="s">
        <v>39805</v>
      </c>
      <c r="K2268" s="339">
        <f>0.57</f>
        <v>0.56999999999999995</v>
      </c>
      <c r="L2268" s="339" t="s">
        <v>39805</v>
      </c>
      <c r="M2268" s="339">
        <f>0.95</f>
        <v>0.95</v>
      </c>
      <c r="N2268" s="339" t="s">
        <v>39794</v>
      </c>
      <c r="O2268" s="340">
        <f t="shared" ref="O2268:O2269" si="112">ROUND(I2268*K2268*M2268,2)</f>
        <v>2.17</v>
      </c>
    </row>
    <row r="2269" spans="1:15" s="328" customFormat="1" x14ac:dyDescent="0.2">
      <c r="A2269" s="535" t="s">
        <v>39818</v>
      </c>
      <c r="B2269" s="535"/>
      <c r="C2269" s="535"/>
      <c r="D2269" s="333"/>
      <c r="E2269" s="354"/>
      <c r="F2269" s="354"/>
      <c r="G2269" s="354"/>
      <c r="H2269" s="354"/>
      <c r="I2269" s="339">
        <f>1</f>
        <v>1</v>
      </c>
      <c r="J2269" s="339" t="s">
        <v>39805</v>
      </c>
      <c r="K2269" s="339">
        <f>0.55</f>
        <v>0.55000000000000004</v>
      </c>
      <c r="L2269" s="339" t="s">
        <v>39805</v>
      </c>
      <c r="M2269" s="339">
        <f>0.9</f>
        <v>0.9</v>
      </c>
      <c r="N2269" s="339" t="s">
        <v>39794</v>
      </c>
      <c r="O2269" s="340">
        <f t="shared" si="112"/>
        <v>0.5</v>
      </c>
    </row>
    <row r="2270" spans="1:15" s="328" customFormat="1" x14ac:dyDescent="0.2">
      <c r="A2270" s="540"/>
      <c r="B2270" s="540"/>
      <c r="C2270" s="540"/>
      <c r="D2270" s="540"/>
      <c r="E2270" s="540"/>
      <c r="F2270" s="540"/>
      <c r="G2270" s="540"/>
      <c r="H2270" s="540"/>
      <c r="I2270" s="540"/>
      <c r="J2270" s="540"/>
      <c r="K2270" s="540"/>
      <c r="L2270" s="334" t="s">
        <v>39796</v>
      </c>
      <c r="M2270" s="334" t="s">
        <v>39168</v>
      </c>
      <c r="N2270" s="333" t="s">
        <v>39794</v>
      </c>
      <c r="O2270" s="334">
        <f>SUM(O2266:O2269)</f>
        <v>4.84</v>
      </c>
    </row>
    <row r="2271" spans="1:15" s="328" customFormat="1" x14ac:dyDescent="0.2">
      <c r="A2271" s="329" t="s">
        <v>39791</v>
      </c>
      <c r="B2271" s="542" t="s">
        <v>5917</v>
      </c>
      <c r="C2271" s="542"/>
      <c r="D2271" s="542"/>
      <c r="E2271" s="542"/>
      <c r="F2271" s="542"/>
      <c r="G2271" s="542"/>
      <c r="H2271" s="542"/>
      <c r="I2271" s="542"/>
      <c r="J2271" s="542"/>
      <c r="K2271" s="542"/>
      <c r="L2271" s="542"/>
      <c r="M2271" s="542"/>
      <c r="N2271" s="329" t="s">
        <v>39197</v>
      </c>
      <c r="O2271" s="330" t="s">
        <v>39792</v>
      </c>
    </row>
    <row r="2272" spans="1:15" s="328" customFormat="1" ht="39.950000000000003" customHeight="1" x14ac:dyDescent="0.2">
      <c r="A2272" s="331" t="str">
        <f>ORCAMENTO!A360</f>
        <v>17.2.3</v>
      </c>
      <c r="B2272" s="543" t="str">
        <f>VLOOKUP(A2272,ORCAMENTO!A:I,4,0)</f>
        <v>SABONETEIRA PLASTICA TIPO DISPENSER PARA SABONETE LIQUIDO COM RESERVATORIO 800 A 1500 ML, INCLUSO FIXAÇÃO. AF_01/2020</v>
      </c>
      <c r="C2272" s="543"/>
      <c r="D2272" s="543"/>
      <c r="E2272" s="543"/>
      <c r="F2272" s="543"/>
      <c r="G2272" s="543"/>
      <c r="H2272" s="543"/>
      <c r="I2272" s="543"/>
      <c r="J2272" s="543"/>
      <c r="K2272" s="543"/>
      <c r="L2272" s="543"/>
      <c r="M2272" s="543"/>
      <c r="N2272" s="331" t="str">
        <f>VLOOKUP(A2272,ORCAMENTO!A:I,5,0)</f>
        <v>UN</v>
      </c>
      <c r="O2272" s="332">
        <f>O2278</f>
        <v>7</v>
      </c>
    </row>
    <row r="2273" spans="1:15" s="328" customFormat="1" x14ac:dyDescent="0.2">
      <c r="A2273" s="539" t="s">
        <v>39793</v>
      </c>
      <c r="B2273" s="539"/>
      <c r="C2273" s="539"/>
      <c r="D2273" s="539"/>
      <c r="E2273" s="539"/>
      <c r="F2273" s="539"/>
      <c r="G2273" s="539"/>
      <c r="H2273" s="539"/>
      <c r="I2273" s="539"/>
      <c r="J2273" s="539"/>
      <c r="K2273" s="539"/>
      <c r="L2273" s="539"/>
      <c r="M2273" s="539"/>
      <c r="N2273" s="539"/>
      <c r="O2273" s="539"/>
    </row>
    <row r="2274" spans="1:15" s="328" customFormat="1" x14ac:dyDescent="0.2">
      <c r="A2274" s="539" t="s">
        <v>5917</v>
      </c>
      <c r="B2274" s="539"/>
      <c r="C2274" s="539"/>
      <c r="D2274" s="333"/>
      <c r="E2274" s="333"/>
      <c r="F2274" s="333"/>
      <c r="G2274" s="333"/>
      <c r="H2274" s="333"/>
      <c r="I2274" s="331"/>
      <c r="J2274" s="331"/>
      <c r="K2274" s="333"/>
      <c r="L2274" s="333"/>
      <c r="M2274" s="333" t="s">
        <v>39792</v>
      </c>
      <c r="N2274" s="333" t="s">
        <v>39794</v>
      </c>
      <c r="O2274" s="333" t="s">
        <v>39795</v>
      </c>
    </row>
    <row r="2275" spans="1:15" s="328" customFormat="1" x14ac:dyDescent="0.2">
      <c r="A2275" s="535" t="s">
        <v>39816</v>
      </c>
      <c r="B2275" s="535"/>
      <c r="C2275" s="535"/>
      <c r="D2275" s="333"/>
      <c r="E2275" s="333"/>
      <c r="F2275" s="333"/>
      <c r="G2275" s="333"/>
      <c r="H2275" s="333"/>
      <c r="I2275" s="331"/>
      <c r="J2275" s="331"/>
      <c r="K2275" s="339"/>
      <c r="L2275" s="332"/>
      <c r="M2275" s="339">
        <f>3</f>
        <v>3</v>
      </c>
      <c r="N2275" s="332" t="s">
        <v>39794</v>
      </c>
      <c r="O2275" s="335">
        <f>ROUND(M2275,2)</f>
        <v>3</v>
      </c>
    </row>
    <row r="2276" spans="1:15" s="328" customFormat="1" x14ac:dyDescent="0.2">
      <c r="A2276" s="535" t="s">
        <v>39817</v>
      </c>
      <c r="B2276" s="535"/>
      <c r="C2276" s="535"/>
      <c r="D2276" s="333"/>
      <c r="E2276" s="333"/>
      <c r="F2276" s="333"/>
      <c r="G2276" s="333"/>
      <c r="H2276" s="333"/>
      <c r="I2276" s="331"/>
      <c r="J2276" s="331"/>
      <c r="K2276" s="339"/>
      <c r="L2276" s="332"/>
      <c r="M2276" s="339">
        <f>3</f>
        <v>3</v>
      </c>
      <c r="N2276" s="332" t="s">
        <v>39794</v>
      </c>
      <c r="O2276" s="335">
        <f t="shared" ref="O2276:O2277" si="113">ROUND(M2276,2)</f>
        <v>3</v>
      </c>
    </row>
    <row r="2277" spans="1:15" s="328" customFormat="1" x14ac:dyDescent="0.2">
      <c r="A2277" s="535" t="s">
        <v>39818</v>
      </c>
      <c r="B2277" s="535"/>
      <c r="C2277" s="535"/>
      <c r="D2277" s="333"/>
      <c r="E2277" s="333"/>
      <c r="F2277" s="333"/>
      <c r="G2277" s="333"/>
      <c r="H2277" s="333"/>
      <c r="I2277" s="331"/>
      <c r="J2277" s="331"/>
      <c r="K2277" s="339"/>
      <c r="L2277" s="332"/>
      <c r="M2277" s="339">
        <f>1</f>
        <v>1</v>
      </c>
      <c r="N2277" s="332" t="s">
        <v>39794</v>
      </c>
      <c r="O2277" s="335">
        <f t="shared" si="113"/>
        <v>1</v>
      </c>
    </row>
    <row r="2278" spans="1:15" s="328" customFormat="1" x14ac:dyDescent="0.2">
      <c r="A2278" s="540"/>
      <c r="B2278" s="540"/>
      <c r="C2278" s="540"/>
      <c r="D2278" s="540"/>
      <c r="E2278" s="540"/>
      <c r="F2278" s="540"/>
      <c r="G2278" s="540"/>
      <c r="H2278" s="540"/>
      <c r="I2278" s="540"/>
      <c r="J2278" s="540"/>
      <c r="K2278" s="540"/>
      <c r="L2278" s="334" t="s">
        <v>39796</v>
      </c>
      <c r="M2278" s="334" t="s">
        <v>39168</v>
      </c>
      <c r="N2278" s="333" t="s">
        <v>39794</v>
      </c>
      <c r="O2278" s="334">
        <f>SUM(O2274:O2277)</f>
        <v>7</v>
      </c>
    </row>
    <row r="2279" spans="1:15" s="328" customFormat="1" x14ac:dyDescent="0.2">
      <c r="A2279" s="329" t="s">
        <v>39791</v>
      </c>
      <c r="B2279" s="542" t="s">
        <v>5917</v>
      </c>
      <c r="C2279" s="542"/>
      <c r="D2279" s="542"/>
      <c r="E2279" s="542"/>
      <c r="F2279" s="542"/>
      <c r="G2279" s="542"/>
      <c r="H2279" s="542"/>
      <c r="I2279" s="542"/>
      <c r="J2279" s="542"/>
      <c r="K2279" s="542"/>
      <c r="L2279" s="542"/>
      <c r="M2279" s="542"/>
      <c r="N2279" s="329" t="s">
        <v>39197</v>
      </c>
      <c r="O2279" s="330" t="s">
        <v>39792</v>
      </c>
    </row>
    <row r="2280" spans="1:15" s="328" customFormat="1" ht="12.75" customHeight="1" x14ac:dyDescent="0.2">
      <c r="A2280" s="331" t="str">
        <f>ORCAMENTO!A361</f>
        <v>17.2.4</v>
      </c>
      <c r="B2280" s="543" t="str">
        <f>VLOOKUP(A2280,ORCAMENTO!A:I,4,0)</f>
        <v>PAPELEIRA PLASTICA TIPO DISPENSER PARA PAPEL HIGIENICO ROLAO</v>
      </c>
      <c r="C2280" s="543"/>
      <c r="D2280" s="543"/>
      <c r="E2280" s="543"/>
      <c r="F2280" s="543"/>
      <c r="G2280" s="543"/>
      <c r="H2280" s="543"/>
      <c r="I2280" s="543"/>
      <c r="J2280" s="543"/>
      <c r="K2280" s="543"/>
      <c r="L2280" s="543"/>
      <c r="M2280" s="543"/>
      <c r="N2280" s="331" t="str">
        <f>VLOOKUP(A2280,ORCAMENTO!A:I,5,0)</f>
        <v>UN</v>
      </c>
      <c r="O2280" s="332">
        <f>O2286</f>
        <v>9</v>
      </c>
    </row>
    <row r="2281" spans="1:15" s="328" customFormat="1" x14ac:dyDescent="0.2">
      <c r="A2281" s="539" t="s">
        <v>39793</v>
      </c>
      <c r="B2281" s="539"/>
      <c r="C2281" s="539"/>
      <c r="D2281" s="539"/>
      <c r="E2281" s="539"/>
      <c r="F2281" s="539"/>
      <c r="G2281" s="539"/>
      <c r="H2281" s="539"/>
      <c r="I2281" s="539"/>
      <c r="J2281" s="539"/>
      <c r="K2281" s="539"/>
      <c r="L2281" s="539"/>
      <c r="M2281" s="539"/>
      <c r="N2281" s="539"/>
      <c r="O2281" s="539"/>
    </row>
    <row r="2282" spans="1:15" s="328" customFormat="1" x14ac:dyDescent="0.2">
      <c r="A2282" s="539" t="s">
        <v>5917</v>
      </c>
      <c r="B2282" s="539"/>
      <c r="C2282" s="539"/>
      <c r="D2282" s="333"/>
      <c r="E2282" s="333"/>
      <c r="F2282" s="333"/>
      <c r="G2282" s="333"/>
      <c r="H2282" s="333"/>
      <c r="I2282" s="331"/>
      <c r="J2282" s="331"/>
      <c r="K2282" s="333"/>
      <c r="L2282" s="333"/>
      <c r="M2282" s="333" t="s">
        <v>39792</v>
      </c>
      <c r="N2282" s="333" t="s">
        <v>39794</v>
      </c>
      <c r="O2282" s="333" t="s">
        <v>39795</v>
      </c>
    </row>
    <row r="2283" spans="1:15" s="328" customFormat="1" x14ac:dyDescent="0.2">
      <c r="A2283" s="535" t="s">
        <v>39816</v>
      </c>
      <c r="B2283" s="535"/>
      <c r="C2283" s="535"/>
      <c r="D2283" s="333"/>
      <c r="E2283" s="333"/>
      <c r="F2283" s="333"/>
      <c r="G2283" s="333"/>
      <c r="H2283" s="333"/>
      <c r="I2283" s="331"/>
      <c r="J2283" s="331"/>
      <c r="K2283" s="339"/>
      <c r="L2283" s="332"/>
      <c r="M2283" s="339">
        <f>3</f>
        <v>3</v>
      </c>
      <c r="N2283" s="332" t="s">
        <v>39794</v>
      </c>
      <c r="O2283" s="335">
        <f>ROUND(M2283,2)</f>
        <v>3</v>
      </c>
    </row>
    <row r="2284" spans="1:15" s="328" customFormat="1" x14ac:dyDescent="0.2">
      <c r="A2284" s="535" t="s">
        <v>39817</v>
      </c>
      <c r="B2284" s="535"/>
      <c r="C2284" s="535"/>
      <c r="D2284" s="333"/>
      <c r="E2284" s="333"/>
      <c r="F2284" s="333"/>
      <c r="G2284" s="333"/>
      <c r="H2284" s="333"/>
      <c r="I2284" s="331"/>
      <c r="J2284" s="331"/>
      <c r="K2284" s="339"/>
      <c r="L2284" s="332"/>
      <c r="M2284" s="339">
        <f>5</f>
        <v>5</v>
      </c>
      <c r="N2284" s="332" t="s">
        <v>39794</v>
      </c>
      <c r="O2284" s="335">
        <f t="shared" ref="O2284:O2285" si="114">ROUND(M2284,2)</f>
        <v>5</v>
      </c>
    </row>
    <row r="2285" spans="1:15" s="328" customFormat="1" x14ac:dyDescent="0.2">
      <c r="A2285" s="535" t="s">
        <v>39818</v>
      </c>
      <c r="B2285" s="535"/>
      <c r="C2285" s="535"/>
      <c r="D2285" s="333"/>
      <c r="E2285" s="333"/>
      <c r="F2285" s="333"/>
      <c r="G2285" s="333"/>
      <c r="H2285" s="333"/>
      <c r="I2285" s="331"/>
      <c r="J2285" s="331"/>
      <c r="K2285" s="339"/>
      <c r="L2285" s="332"/>
      <c r="M2285" s="339">
        <f>1</f>
        <v>1</v>
      </c>
      <c r="N2285" s="332" t="s">
        <v>39794</v>
      </c>
      <c r="O2285" s="335">
        <f t="shared" si="114"/>
        <v>1</v>
      </c>
    </row>
    <row r="2286" spans="1:15" s="328" customFormat="1" x14ac:dyDescent="0.2">
      <c r="A2286" s="540"/>
      <c r="B2286" s="540"/>
      <c r="C2286" s="540"/>
      <c r="D2286" s="540"/>
      <c r="E2286" s="540"/>
      <c r="F2286" s="540"/>
      <c r="G2286" s="540"/>
      <c r="H2286" s="540"/>
      <c r="I2286" s="540"/>
      <c r="J2286" s="540"/>
      <c r="K2286" s="540"/>
      <c r="L2286" s="334" t="s">
        <v>39796</v>
      </c>
      <c r="M2286" s="334" t="s">
        <v>39168</v>
      </c>
      <c r="N2286" s="333" t="s">
        <v>39794</v>
      </c>
      <c r="O2286" s="334">
        <f>SUM(O2282:O2285)</f>
        <v>9</v>
      </c>
    </row>
    <row r="2287" spans="1:15" s="328" customFormat="1" x14ac:dyDescent="0.2">
      <c r="A2287" s="329" t="s">
        <v>39791</v>
      </c>
      <c r="B2287" s="542" t="s">
        <v>5917</v>
      </c>
      <c r="C2287" s="542"/>
      <c r="D2287" s="542"/>
      <c r="E2287" s="542"/>
      <c r="F2287" s="542"/>
      <c r="G2287" s="542"/>
      <c r="H2287" s="542"/>
      <c r="I2287" s="542"/>
      <c r="J2287" s="542"/>
      <c r="K2287" s="542"/>
      <c r="L2287" s="542"/>
      <c r="M2287" s="542"/>
      <c r="N2287" s="329" t="s">
        <v>39197</v>
      </c>
      <c r="O2287" s="330" t="s">
        <v>39792</v>
      </c>
    </row>
    <row r="2288" spans="1:15" s="328" customFormat="1" ht="12.75" customHeight="1" x14ac:dyDescent="0.2">
      <c r="A2288" s="331" t="str">
        <f>ORCAMENTO!A362</f>
        <v>17.2.5</v>
      </c>
      <c r="B2288" s="543" t="str">
        <f>VLOOKUP(A2288,ORCAMENTO!A:I,4,0)</f>
        <v>TOALHEIRO PLASTICO TIPO DISPENSER PARA PAPEL TOALHA INTERFOLHADO</v>
      </c>
      <c r="C2288" s="543"/>
      <c r="D2288" s="543"/>
      <c r="E2288" s="543"/>
      <c r="F2288" s="543"/>
      <c r="G2288" s="543"/>
      <c r="H2288" s="543"/>
      <c r="I2288" s="543"/>
      <c r="J2288" s="543"/>
      <c r="K2288" s="543"/>
      <c r="L2288" s="543"/>
      <c r="M2288" s="543"/>
      <c r="N2288" s="331" t="str">
        <f>VLOOKUP(A2288,ORCAMENTO!A:I,5,0)</f>
        <v>UN</v>
      </c>
      <c r="O2288" s="332">
        <f>O2294</f>
        <v>5</v>
      </c>
    </row>
    <row r="2289" spans="1:15" s="328" customFormat="1" x14ac:dyDescent="0.2">
      <c r="A2289" s="539" t="s">
        <v>39793</v>
      </c>
      <c r="B2289" s="539"/>
      <c r="C2289" s="539"/>
      <c r="D2289" s="539"/>
      <c r="E2289" s="539"/>
      <c r="F2289" s="539"/>
      <c r="G2289" s="539"/>
      <c r="H2289" s="539"/>
      <c r="I2289" s="539"/>
      <c r="J2289" s="539"/>
      <c r="K2289" s="539"/>
      <c r="L2289" s="539"/>
      <c r="M2289" s="539"/>
      <c r="N2289" s="539"/>
      <c r="O2289" s="539"/>
    </row>
    <row r="2290" spans="1:15" s="328" customFormat="1" x14ac:dyDescent="0.2">
      <c r="A2290" s="539" t="s">
        <v>5917</v>
      </c>
      <c r="B2290" s="539"/>
      <c r="C2290" s="539"/>
      <c r="D2290" s="333"/>
      <c r="E2290" s="333"/>
      <c r="F2290" s="333"/>
      <c r="G2290" s="333"/>
      <c r="H2290" s="333"/>
      <c r="I2290" s="331"/>
      <c r="J2290" s="331"/>
      <c r="K2290" s="333"/>
      <c r="L2290" s="333"/>
      <c r="M2290" s="333" t="s">
        <v>39792</v>
      </c>
      <c r="N2290" s="333" t="s">
        <v>39794</v>
      </c>
      <c r="O2290" s="333" t="s">
        <v>39795</v>
      </c>
    </row>
    <row r="2291" spans="1:15" s="328" customFormat="1" x14ac:dyDescent="0.2">
      <c r="A2291" s="535" t="s">
        <v>39816</v>
      </c>
      <c r="B2291" s="535"/>
      <c r="C2291" s="535"/>
      <c r="D2291" s="333"/>
      <c r="E2291" s="333"/>
      <c r="F2291" s="333"/>
      <c r="G2291" s="333"/>
      <c r="H2291" s="333"/>
      <c r="I2291" s="331"/>
      <c r="J2291" s="331"/>
      <c r="K2291" s="339"/>
      <c r="L2291" s="332"/>
      <c r="M2291" s="339">
        <f>2</f>
        <v>2</v>
      </c>
      <c r="N2291" s="332" t="s">
        <v>39794</v>
      </c>
      <c r="O2291" s="335">
        <f>ROUND(M2291,2)</f>
        <v>2</v>
      </c>
    </row>
    <row r="2292" spans="1:15" s="328" customFormat="1" x14ac:dyDescent="0.2">
      <c r="A2292" s="535" t="s">
        <v>39817</v>
      </c>
      <c r="B2292" s="535"/>
      <c r="C2292" s="535"/>
      <c r="D2292" s="333"/>
      <c r="E2292" s="333"/>
      <c r="F2292" s="333"/>
      <c r="G2292" s="333"/>
      <c r="H2292" s="333"/>
      <c r="I2292" s="331"/>
      <c r="J2292" s="331"/>
      <c r="K2292" s="339"/>
      <c r="L2292" s="332"/>
      <c r="M2292" s="339">
        <f>2</f>
        <v>2</v>
      </c>
      <c r="N2292" s="332" t="s">
        <v>39794</v>
      </c>
      <c r="O2292" s="335">
        <f t="shared" ref="O2292:O2293" si="115">ROUND(M2292,2)</f>
        <v>2</v>
      </c>
    </row>
    <row r="2293" spans="1:15" s="328" customFormat="1" x14ac:dyDescent="0.2">
      <c r="A2293" s="535" t="s">
        <v>39818</v>
      </c>
      <c r="B2293" s="535"/>
      <c r="C2293" s="535"/>
      <c r="D2293" s="333"/>
      <c r="E2293" s="333"/>
      <c r="F2293" s="333"/>
      <c r="G2293" s="333"/>
      <c r="H2293" s="333"/>
      <c r="I2293" s="331"/>
      <c r="J2293" s="331"/>
      <c r="K2293" s="339"/>
      <c r="L2293" s="332"/>
      <c r="M2293" s="339">
        <f>1</f>
        <v>1</v>
      </c>
      <c r="N2293" s="332" t="s">
        <v>39794</v>
      </c>
      <c r="O2293" s="335">
        <f t="shared" si="115"/>
        <v>1</v>
      </c>
    </row>
    <row r="2294" spans="1:15" s="328" customFormat="1" x14ac:dyDescent="0.2">
      <c r="A2294" s="540"/>
      <c r="B2294" s="540"/>
      <c r="C2294" s="540"/>
      <c r="D2294" s="540"/>
      <c r="E2294" s="540"/>
      <c r="F2294" s="540"/>
      <c r="G2294" s="540"/>
      <c r="H2294" s="540"/>
      <c r="I2294" s="540"/>
      <c r="J2294" s="540"/>
      <c r="K2294" s="540"/>
      <c r="L2294" s="334" t="s">
        <v>39796</v>
      </c>
      <c r="M2294" s="334" t="s">
        <v>39168</v>
      </c>
      <c r="N2294" s="333" t="s">
        <v>39794</v>
      </c>
      <c r="O2294" s="334">
        <f>SUM(O2290:O2293)</f>
        <v>5</v>
      </c>
    </row>
    <row r="2295" spans="1:15" s="328" customFormat="1" x14ac:dyDescent="0.2">
      <c r="A2295" s="329" t="s">
        <v>39791</v>
      </c>
      <c r="B2295" s="542" t="s">
        <v>5917</v>
      </c>
      <c r="C2295" s="542"/>
      <c r="D2295" s="542"/>
      <c r="E2295" s="542"/>
      <c r="F2295" s="542"/>
      <c r="G2295" s="542"/>
      <c r="H2295" s="542"/>
      <c r="I2295" s="542"/>
      <c r="J2295" s="542"/>
      <c r="K2295" s="542"/>
      <c r="L2295" s="542"/>
      <c r="M2295" s="542"/>
      <c r="N2295" s="329" t="s">
        <v>39197</v>
      </c>
      <c r="O2295" s="330" t="s">
        <v>39792</v>
      </c>
    </row>
    <row r="2296" spans="1:15" s="328" customFormat="1" ht="12.75" customHeight="1" x14ac:dyDescent="0.2">
      <c r="A2296" s="331" t="str">
        <f>ORCAMENTO!A363</f>
        <v>17.2.6</v>
      </c>
      <c r="B2296" s="543" t="str">
        <f>VLOOKUP(A2296,ORCAMENTO!A:I,4,0)</f>
        <v>ASSENTO SANITÁRIO CONVENCIONAL - FORNECIMENTO E INSTALACAO. AF_01/2020</v>
      </c>
      <c r="C2296" s="543"/>
      <c r="D2296" s="543"/>
      <c r="E2296" s="543"/>
      <c r="F2296" s="543"/>
      <c r="G2296" s="543"/>
      <c r="H2296" s="543"/>
      <c r="I2296" s="543"/>
      <c r="J2296" s="543"/>
      <c r="K2296" s="543"/>
      <c r="L2296" s="543"/>
      <c r="M2296" s="543"/>
      <c r="N2296" s="331" t="str">
        <f>VLOOKUP(A2296,ORCAMENTO!A:I,5,0)</f>
        <v>UN</v>
      </c>
      <c r="O2296" s="332">
        <f>O2302</f>
        <v>9</v>
      </c>
    </row>
    <row r="2297" spans="1:15" s="328" customFormat="1" x14ac:dyDescent="0.2">
      <c r="A2297" s="539" t="s">
        <v>39793</v>
      </c>
      <c r="B2297" s="539"/>
      <c r="C2297" s="539"/>
      <c r="D2297" s="539"/>
      <c r="E2297" s="539"/>
      <c r="F2297" s="539"/>
      <c r="G2297" s="539"/>
      <c r="H2297" s="539"/>
      <c r="I2297" s="539"/>
      <c r="J2297" s="539"/>
      <c r="K2297" s="539"/>
      <c r="L2297" s="539"/>
      <c r="M2297" s="539"/>
      <c r="N2297" s="539"/>
      <c r="O2297" s="539"/>
    </row>
    <row r="2298" spans="1:15" s="328" customFormat="1" x14ac:dyDescent="0.2">
      <c r="A2298" s="539" t="s">
        <v>5917</v>
      </c>
      <c r="B2298" s="539"/>
      <c r="C2298" s="539"/>
      <c r="D2298" s="333"/>
      <c r="E2298" s="333"/>
      <c r="F2298" s="333"/>
      <c r="G2298" s="333"/>
      <c r="H2298" s="333"/>
      <c r="I2298" s="331"/>
      <c r="J2298" s="331"/>
      <c r="K2298" s="333"/>
      <c r="L2298" s="333"/>
      <c r="M2298" s="333" t="s">
        <v>39792</v>
      </c>
      <c r="N2298" s="333" t="s">
        <v>39794</v>
      </c>
      <c r="O2298" s="333" t="s">
        <v>39795</v>
      </c>
    </row>
    <row r="2299" spans="1:15" s="328" customFormat="1" x14ac:dyDescent="0.2">
      <c r="A2299" s="535" t="s">
        <v>39816</v>
      </c>
      <c r="B2299" s="535"/>
      <c r="C2299" s="535"/>
      <c r="D2299" s="333"/>
      <c r="E2299" s="333"/>
      <c r="F2299" s="333"/>
      <c r="G2299" s="333"/>
      <c r="H2299" s="333"/>
      <c r="I2299" s="331"/>
      <c r="J2299" s="331"/>
      <c r="K2299" s="339"/>
      <c r="L2299" s="332"/>
      <c r="M2299" s="339">
        <f>3</f>
        <v>3</v>
      </c>
      <c r="N2299" s="332" t="s">
        <v>39794</v>
      </c>
      <c r="O2299" s="335">
        <f>ROUND(M2299,2)</f>
        <v>3</v>
      </c>
    </row>
    <row r="2300" spans="1:15" s="328" customFormat="1" x14ac:dyDescent="0.2">
      <c r="A2300" s="535" t="s">
        <v>39817</v>
      </c>
      <c r="B2300" s="535"/>
      <c r="C2300" s="535"/>
      <c r="D2300" s="333"/>
      <c r="E2300" s="333"/>
      <c r="F2300" s="333"/>
      <c r="G2300" s="333"/>
      <c r="H2300" s="333"/>
      <c r="I2300" s="331"/>
      <c r="J2300" s="331"/>
      <c r="K2300" s="339"/>
      <c r="L2300" s="332"/>
      <c r="M2300" s="339">
        <f>5</f>
        <v>5</v>
      </c>
      <c r="N2300" s="332" t="s">
        <v>39794</v>
      </c>
      <c r="O2300" s="335">
        <f t="shared" ref="O2300:O2301" si="116">ROUND(M2300,2)</f>
        <v>5</v>
      </c>
    </row>
    <row r="2301" spans="1:15" s="328" customFormat="1" x14ac:dyDescent="0.2">
      <c r="A2301" s="535" t="s">
        <v>39818</v>
      </c>
      <c r="B2301" s="535"/>
      <c r="C2301" s="535"/>
      <c r="D2301" s="333"/>
      <c r="E2301" s="333"/>
      <c r="F2301" s="333"/>
      <c r="G2301" s="333"/>
      <c r="H2301" s="333"/>
      <c r="I2301" s="331"/>
      <c r="J2301" s="331"/>
      <c r="K2301" s="339"/>
      <c r="L2301" s="332"/>
      <c r="M2301" s="339">
        <f>1</f>
        <v>1</v>
      </c>
      <c r="N2301" s="332" t="s">
        <v>39794</v>
      </c>
      <c r="O2301" s="335">
        <f t="shared" si="116"/>
        <v>1</v>
      </c>
    </row>
    <row r="2302" spans="1:15" s="328" customFormat="1" x14ac:dyDescent="0.2">
      <c r="A2302" s="540"/>
      <c r="B2302" s="540"/>
      <c r="C2302" s="540"/>
      <c r="D2302" s="540"/>
      <c r="E2302" s="540"/>
      <c r="F2302" s="540"/>
      <c r="G2302" s="540"/>
      <c r="H2302" s="540"/>
      <c r="I2302" s="540"/>
      <c r="J2302" s="540"/>
      <c r="K2302" s="540"/>
      <c r="L2302" s="334" t="s">
        <v>39796</v>
      </c>
      <c r="M2302" s="334" t="s">
        <v>39168</v>
      </c>
      <c r="N2302" s="333" t="s">
        <v>39794</v>
      </c>
      <c r="O2302" s="334">
        <f>SUM(O2298:O2301)</f>
        <v>9</v>
      </c>
    </row>
    <row r="2303" spans="1:15" s="328" customFormat="1" x14ac:dyDescent="0.2">
      <c r="A2303" s="336">
        <f>ORCAMENTO!A365</f>
        <v>18</v>
      </c>
      <c r="B2303" s="545" t="str">
        <f>VLOOKUP(A2303,ORCAMENTO!A:I,4,0)</f>
        <v>PINTURA</v>
      </c>
      <c r="C2303" s="545"/>
      <c r="D2303" s="545"/>
      <c r="E2303" s="545"/>
      <c r="F2303" s="545"/>
      <c r="G2303" s="545"/>
      <c r="H2303" s="545"/>
      <c r="I2303" s="545"/>
      <c r="J2303" s="545"/>
      <c r="K2303" s="545"/>
      <c r="L2303" s="545"/>
      <c r="M2303" s="545"/>
      <c r="N2303" s="545"/>
      <c r="O2303" s="545"/>
    </row>
    <row r="2304" spans="1:15" s="328" customFormat="1" x14ac:dyDescent="0.2">
      <c r="A2304" s="347" t="str">
        <f>ORCAMENTO!A366</f>
        <v>18.1</v>
      </c>
      <c r="B2304" s="544" t="str">
        <f>VLOOKUP(A2304,ORCAMENTO!A:I,4,0)</f>
        <v>PINTURA EM PAREDE</v>
      </c>
      <c r="C2304" s="544"/>
      <c r="D2304" s="544"/>
      <c r="E2304" s="544"/>
      <c r="F2304" s="544"/>
      <c r="G2304" s="544"/>
      <c r="H2304" s="544"/>
      <c r="I2304" s="544"/>
      <c r="J2304" s="544"/>
      <c r="K2304" s="544"/>
      <c r="L2304" s="544"/>
      <c r="M2304" s="544"/>
      <c r="N2304" s="544"/>
      <c r="O2304" s="544"/>
    </row>
    <row r="2305" spans="1:15" s="328" customFormat="1" x14ac:dyDescent="0.2">
      <c r="A2305" s="329" t="s">
        <v>39791</v>
      </c>
      <c r="B2305" s="542" t="s">
        <v>5917</v>
      </c>
      <c r="C2305" s="542"/>
      <c r="D2305" s="542"/>
      <c r="E2305" s="542"/>
      <c r="F2305" s="542"/>
      <c r="G2305" s="542"/>
      <c r="H2305" s="542"/>
      <c r="I2305" s="542"/>
      <c r="J2305" s="542"/>
      <c r="K2305" s="542"/>
      <c r="L2305" s="542"/>
      <c r="M2305" s="542"/>
      <c r="N2305" s="329" t="s">
        <v>39197</v>
      </c>
      <c r="O2305" s="330" t="s">
        <v>39792</v>
      </c>
    </row>
    <row r="2306" spans="1:15" s="328" customFormat="1" ht="12.75" customHeight="1" x14ac:dyDescent="0.2">
      <c r="A2306" s="331" t="str">
        <f>ORCAMENTO!A367</f>
        <v>18.1.1</v>
      </c>
      <c r="B2306" s="543" t="str">
        <f>VLOOKUP(A2306,ORCAMENTO!A:I,4,0)</f>
        <v>EMASSAMENTO DE PAREDES INTERNAS 2 DEMÃOS C/MASSA DE PVA</v>
      </c>
      <c r="C2306" s="543"/>
      <c r="D2306" s="543"/>
      <c r="E2306" s="543"/>
      <c r="F2306" s="543"/>
      <c r="G2306" s="543"/>
      <c r="H2306" s="543"/>
      <c r="I2306" s="543"/>
      <c r="J2306" s="543"/>
      <c r="K2306" s="543"/>
      <c r="L2306" s="543"/>
      <c r="M2306" s="543"/>
      <c r="N2306" s="331" t="str">
        <f>VLOOKUP(A2306,ORCAMENTO!A:I,5,0)</f>
        <v>M2</v>
      </c>
      <c r="O2306" s="332">
        <f>O2372</f>
        <v>475.12999999999977</v>
      </c>
    </row>
    <row r="2307" spans="1:15" s="328" customFormat="1" x14ac:dyDescent="0.2">
      <c r="A2307" s="539" t="s">
        <v>39793</v>
      </c>
      <c r="B2307" s="539"/>
      <c r="C2307" s="539"/>
      <c r="D2307" s="539"/>
      <c r="E2307" s="539"/>
      <c r="F2307" s="539"/>
      <c r="G2307" s="539"/>
      <c r="H2307" s="539"/>
      <c r="I2307" s="539"/>
      <c r="J2307" s="539"/>
      <c r="K2307" s="539"/>
      <c r="L2307" s="539"/>
      <c r="M2307" s="539"/>
      <c r="N2307" s="539"/>
      <c r="O2307" s="539"/>
    </row>
    <row r="2308" spans="1:15" s="328" customFormat="1" x14ac:dyDescent="0.2">
      <c r="A2308" s="539" t="s">
        <v>5917</v>
      </c>
      <c r="B2308" s="539"/>
      <c r="C2308" s="539"/>
      <c r="D2308" s="333"/>
      <c r="E2308" s="333"/>
      <c r="F2308" s="333"/>
      <c r="G2308" s="333"/>
      <c r="H2308" s="333"/>
      <c r="I2308" s="331"/>
      <c r="J2308" s="331"/>
      <c r="K2308" s="333" t="s">
        <v>39823</v>
      </c>
      <c r="L2308" s="333" t="s">
        <v>39805</v>
      </c>
      <c r="M2308" s="333" t="s">
        <v>39885</v>
      </c>
      <c r="N2308" s="333" t="s">
        <v>39794</v>
      </c>
      <c r="O2308" s="333" t="s">
        <v>39795</v>
      </c>
    </row>
    <row r="2309" spans="1:15" s="328" customFormat="1" x14ac:dyDescent="0.2">
      <c r="A2309" s="534" t="s">
        <v>39862</v>
      </c>
      <c r="B2309" s="535"/>
      <c r="C2309" s="535"/>
      <c r="D2309" s="333"/>
      <c r="E2309" s="333"/>
      <c r="F2309" s="333"/>
      <c r="G2309" s="333"/>
      <c r="H2309" s="333"/>
      <c r="I2309" s="331"/>
      <c r="J2309" s="331"/>
      <c r="K2309" s="339">
        <f>1.2</f>
        <v>1.2</v>
      </c>
      <c r="L2309" s="332" t="s">
        <v>39805</v>
      </c>
      <c r="M2309" s="339">
        <f>28.75</f>
        <v>28.75</v>
      </c>
      <c r="N2309" s="332" t="s">
        <v>39794</v>
      </c>
      <c r="O2309" s="335">
        <f t="shared" ref="O2309:O2317" si="117">ROUND(K2309*M2309,2)</f>
        <v>34.5</v>
      </c>
    </row>
    <row r="2310" spans="1:15" s="328" customFormat="1" x14ac:dyDescent="0.2">
      <c r="A2310" s="534" t="s">
        <v>39863</v>
      </c>
      <c r="B2310" s="535"/>
      <c r="C2310" s="535"/>
      <c r="D2310" s="333"/>
      <c r="E2310" s="333"/>
      <c r="F2310" s="333"/>
      <c r="G2310" s="333"/>
      <c r="H2310" s="333"/>
      <c r="I2310" s="331"/>
      <c r="J2310" s="331"/>
      <c r="K2310" s="339">
        <f t="shared" ref="K2310:K2317" si="118">1.2</f>
        <v>1.2</v>
      </c>
      <c r="L2310" s="332" t="s">
        <v>39805</v>
      </c>
      <c r="M2310" s="339">
        <f>28.8</f>
        <v>28.8</v>
      </c>
      <c r="N2310" s="332" t="s">
        <v>39794</v>
      </c>
      <c r="O2310" s="335">
        <f t="shared" si="117"/>
        <v>34.56</v>
      </c>
    </row>
    <row r="2311" spans="1:15" s="328" customFormat="1" x14ac:dyDescent="0.2">
      <c r="A2311" s="534" t="s">
        <v>40161</v>
      </c>
      <c r="B2311" s="535"/>
      <c r="C2311" s="535"/>
      <c r="D2311" s="333"/>
      <c r="E2311" s="333"/>
      <c r="F2311" s="333"/>
      <c r="G2311" s="333"/>
      <c r="H2311" s="333"/>
      <c r="I2311" s="331"/>
      <c r="J2311" s="331"/>
      <c r="K2311" s="339">
        <f t="shared" si="118"/>
        <v>1.2</v>
      </c>
      <c r="L2311" s="332" t="s">
        <v>39805</v>
      </c>
      <c r="M2311" s="339">
        <f>29.1</f>
        <v>29.1</v>
      </c>
      <c r="N2311" s="332" t="s">
        <v>39794</v>
      </c>
      <c r="O2311" s="335">
        <f t="shared" si="117"/>
        <v>34.92</v>
      </c>
    </row>
    <row r="2312" spans="1:15" s="328" customFormat="1" x14ac:dyDescent="0.2">
      <c r="A2312" s="534" t="s">
        <v>39865</v>
      </c>
      <c r="B2312" s="535"/>
      <c r="C2312" s="535"/>
      <c r="D2312" s="333"/>
      <c r="E2312" s="333"/>
      <c r="F2312" s="333"/>
      <c r="G2312" s="333"/>
      <c r="H2312" s="333"/>
      <c r="I2312" s="331"/>
      <c r="J2312" s="331"/>
      <c r="K2312" s="339">
        <f t="shared" si="118"/>
        <v>1.2</v>
      </c>
      <c r="L2312" s="332" t="s">
        <v>39805</v>
      </c>
      <c r="M2312" s="339">
        <f>14.5</f>
        <v>14.5</v>
      </c>
      <c r="N2312" s="332" t="s">
        <v>39794</v>
      </c>
      <c r="O2312" s="335">
        <f t="shared" si="117"/>
        <v>17.399999999999999</v>
      </c>
    </row>
    <row r="2313" spans="1:15" s="328" customFormat="1" x14ac:dyDescent="0.2">
      <c r="A2313" s="534" t="s">
        <v>39866</v>
      </c>
      <c r="B2313" s="535"/>
      <c r="C2313" s="535"/>
      <c r="D2313" s="333"/>
      <c r="E2313" s="333"/>
      <c r="F2313" s="333"/>
      <c r="G2313" s="333"/>
      <c r="H2313" s="333"/>
      <c r="I2313" s="331"/>
      <c r="J2313" s="331"/>
      <c r="K2313" s="339">
        <f t="shared" si="118"/>
        <v>1.2</v>
      </c>
      <c r="L2313" s="332" t="s">
        <v>39805</v>
      </c>
      <c r="M2313" s="339">
        <f>28.8</f>
        <v>28.8</v>
      </c>
      <c r="N2313" s="332" t="s">
        <v>39794</v>
      </c>
      <c r="O2313" s="335">
        <f t="shared" si="117"/>
        <v>34.56</v>
      </c>
    </row>
    <row r="2314" spans="1:15" s="328" customFormat="1" x14ac:dyDescent="0.2">
      <c r="A2314" s="534" t="s">
        <v>40162</v>
      </c>
      <c r="B2314" s="535"/>
      <c r="C2314" s="535"/>
      <c r="D2314" s="333"/>
      <c r="E2314" s="333"/>
      <c r="F2314" s="333"/>
      <c r="G2314" s="333"/>
      <c r="H2314" s="333"/>
      <c r="I2314" s="331"/>
      <c r="J2314" s="331"/>
      <c r="K2314" s="339">
        <f t="shared" si="118"/>
        <v>1.2</v>
      </c>
      <c r="L2314" s="332" t="s">
        <v>39805</v>
      </c>
      <c r="M2314" s="339">
        <f>29.1</f>
        <v>29.1</v>
      </c>
      <c r="N2314" s="332" t="s">
        <v>39794</v>
      </c>
      <c r="O2314" s="335">
        <f t="shared" si="117"/>
        <v>34.92</v>
      </c>
    </row>
    <row r="2315" spans="1:15" s="328" customFormat="1" x14ac:dyDescent="0.2">
      <c r="A2315" s="534" t="s">
        <v>39865</v>
      </c>
      <c r="B2315" s="535"/>
      <c r="C2315" s="535"/>
      <c r="D2315" s="333"/>
      <c r="E2315" s="333"/>
      <c r="F2315" s="333"/>
      <c r="G2315" s="333"/>
      <c r="H2315" s="333"/>
      <c r="I2315" s="331"/>
      <c r="J2315" s="331"/>
      <c r="K2315" s="339">
        <f t="shared" si="118"/>
        <v>1.2</v>
      </c>
      <c r="L2315" s="332" t="s">
        <v>39805</v>
      </c>
      <c r="M2315" s="339">
        <f>14.5</f>
        <v>14.5</v>
      </c>
      <c r="N2315" s="332" t="s">
        <v>39794</v>
      </c>
      <c r="O2315" s="335">
        <f t="shared" si="117"/>
        <v>17.399999999999999</v>
      </c>
    </row>
    <row r="2316" spans="1:15" s="328" customFormat="1" x14ac:dyDescent="0.2">
      <c r="A2316" s="534" t="s">
        <v>39961</v>
      </c>
      <c r="B2316" s="535"/>
      <c r="C2316" s="535"/>
      <c r="D2316" s="333"/>
      <c r="E2316" s="333"/>
      <c r="F2316" s="333"/>
      <c r="G2316" s="333"/>
      <c r="H2316" s="333"/>
      <c r="I2316" s="331"/>
      <c r="J2316" s="331"/>
      <c r="K2316" s="339">
        <f t="shared" si="118"/>
        <v>1.2</v>
      </c>
      <c r="L2316" s="332" t="s">
        <v>39805</v>
      </c>
      <c r="M2316" s="339">
        <f>29.1</f>
        <v>29.1</v>
      </c>
      <c r="N2316" s="332" t="s">
        <v>39794</v>
      </c>
      <c r="O2316" s="335">
        <f t="shared" si="117"/>
        <v>34.92</v>
      </c>
    </row>
    <row r="2317" spans="1:15" s="328" customFormat="1" x14ac:dyDescent="0.2">
      <c r="A2317" s="534" t="s">
        <v>39865</v>
      </c>
      <c r="B2317" s="535"/>
      <c r="C2317" s="535"/>
      <c r="D2317" s="333"/>
      <c r="E2317" s="333"/>
      <c r="F2317" s="333"/>
      <c r="G2317" s="333"/>
      <c r="H2317" s="333"/>
      <c r="I2317" s="331"/>
      <c r="J2317" s="331"/>
      <c r="K2317" s="339">
        <f t="shared" si="118"/>
        <v>1.2</v>
      </c>
      <c r="L2317" s="332" t="s">
        <v>39805</v>
      </c>
      <c r="M2317" s="339">
        <f>14.5</f>
        <v>14.5</v>
      </c>
      <c r="N2317" s="332" t="s">
        <v>39794</v>
      </c>
      <c r="O2317" s="335">
        <f t="shared" si="117"/>
        <v>17.399999999999999</v>
      </c>
    </row>
    <row r="2318" spans="1:15" s="328" customFormat="1" x14ac:dyDescent="0.2">
      <c r="A2318" s="539" t="s">
        <v>5917</v>
      </c>
      <c r="B2318" s="539"/>
      <c r="C2318" s="539"/>
      <c r="D2318" s="333"/>
      <c r="E2318" s="333"/>
      <c r="F2318" s="333"/>
      <c r="G2318" s="333"/>
      <c r="H2318" s="333"/>
      <c r="I2318" s="331"/>
      <c r="J2318" s="331"/>
      <c r="K2318" s="333" t="s">
        <v>39823</v>
      </c>
      <c r="L2318" s="333" t="s">
        <v>39805</v>
      </c>
      <c r="M2318" s="333" t="s">
        <v>39802</v>
      </c>
      <c r="N2318" s="333" t="s">
        <v>39794</v>
      </c>
      <c r="O2318" s="333" t="s">
        <v>39795</v>
      </c>
    </row>
    <row r="2319" spans="1:15" s="328" customFormat="1" x14ac:dyDescent="0.2">
      <c r="A2319" s="536" t="s">
        <v>39886</v>
      </c>
      <c r="B2319" s="537"/>
      <c r="C2319" s="538"/>
      <c r="D2319" s="333"/>
      <c r="E2319" s="333"/>
      <c r="F2319" s="333"/>
      <c r="G2319" s="333"/>
      <c r="H2319" s="333"/>
      <c r="I2319" s="331"/>
      <c r="J2319" s="331"/>
      <c r="K2319" s="339">
        <f>1.4</f>
        <v>1.4</v>
      </c>
      <c r="L2319" s="332" t="s">
        <v>39805</v>
      </c>
      <c r="M2319" s="339">
        <f>30.18</f>
        <v>30.18</v>
      </c>
      <c r="N2319" s="332" t="s">
        <v>39794</v>
      </c>
      <c r="O2319" s="335">
        <f>ROUND(K2319*M2319,2)</f>
        <v>42.25</v>
      </c>
    </row>
    <row r="2320" spans="1:15" s="328" customFormat="1" x14ac:dyDescent="0.2">
      <c r="A2320" s="536" t="s">
        <v>39887</v>
      </c>
      <c r="B2320" s="537"/>
      <c r="C2320" s="538"/>
      <c r="D2320" s="333"/>
      <c r="E2320" s="333"/>
      <c r="F2320" s="333"/>
      <c r="G2320" s="333"/>
      <c r="H2320" s="333"/>
      <c r="I2320" s="331"/>
      <c r="J2320" s="331"/>
      <c r="K2320" s="339">
        <f t="shared" ref="K2320:K2333" si="119">1.4</f>
        <v>1.4</v>
      </c>
      <c r="L2320" s="332" t="s">
        <v>39805</v>
      </c>
      <c r="M2320" s="339">
        <f>0.15</f>
        <v>0.15</v>
      </c>
      <c r="N2320" s="332" t="s">
        <v>39794</v>
      </c>
      <c r="O2320" s="335">
        <f t="shared" ref="O2320:O2333" si="120">ROUND(K2320*M2320,2)</f>
        <v>0.21</v>
      </c>
    </row>
    <row r="2321" spans="1:15" s="328" customFormat="1" x14ac:dyDescent="0.2">
      <c r="A2321" s="536" t="s">
        <v>39888</v>
      </c>
      <c r="B2321" s="537"/>
      <c r="C2321" s="538"/>
      <c r="D2321" s="333"/>
      <c r="E2321" s="333"/>
      <c r="F2321" s="333"/>
      <c r="G2321" s="333"/>
      <c r="H2321" s="333"/>
      <c r="I2321" s="331"/>
      <c r="J2321" s="331"/>
      <c r="K2321" s="339">
        <f t="shared" si="119"/>
        <v>1.4</v>
      </c>
      <c r="L2321" s="332" t="s">
        <v>39805</v>
      </c>
      <c r="M2321" s="339">
        <f>1.15</f>
        <v>1.1499999999999999</v>
      </c>
      <c r="N2321" s="332" t="s">
        <v>39794</v>
      </c>
      <c r="O2321" s="335">
        <f t="shared" si="120"/>
        <v>1.61</v>
      </c>
    </row>
    <row r="2322" spans="1:15" s="328" customFormat="1" x14ac:dyDescent="0.2">
      <c r="A2322" s="536" t="s">
        <v>39889</v>
      </c>
      <c r="B2322" s="537"/>
      <c r="C2322" s="538"/>
      <c r="D2322" s="333"/>
      <c r="E2322" s="333"/>
      <c r="F2322" s="333"/>
      <c r="G2322" s="333"/>
      <c r="H2322" s="333"/>
      <c r="I2322" s="331"/>
      <c r="J2322" s="331"/>
      <c r="K2322" s="339">
        <f t="shared" si="119"/>
        <v>1.4</v>
      </c>
      <c r="L2322" s="332" t="s">
        <v>39805</v>
      </c>
      <c r="M2322" s="339">
        <f>7.4</f>
        <v>7.4</v>
      </c>
      <c r="N2322" s="332" t="s">
        <v>39794</v>
      </c>
      <c r="O2322" s="335">
        <f t="shared" si="120"/>
        <v>10.36</v>
      </c>
    </row>
    <row r="2323" spans="1:15" s="328" customFormat="1" x14ac:dyDescent="0.2">
      <c r="A2323" s="536" t="s">
        <v>39890</v>
      </c>
      <c r="B2323" s="537"/>
      <c r="C2323" s="538"/>
      <c r="D2323" s="333"/>
      <c r="E2323" s="333"/>
      <c r="F2323" s="333"/>
      <c r="G2323" s="333"/>
      <c r="H2323" s="333"/>
      <c r="I2323" s="331"/>
      <c r="J2323" s="331"/>
      <c r="K2323" s="339">
        <f t="shared" si="119"/>
        <v>1.4</v>
      </c>
      <c r="L2323" s="332" t="s">
        <v>39805</v>
      </c>
      <c r="M2323" s="339">
        <f>0.82</f>
        <v>0.82</v>
      </c>
      <c r="N2323" s="332" t="s">
        <v>39794</v>
      </c>
      <c r="O2323" s="335">
        <f t="shared" si="120"/>
        <v>1.1499999999999999</v>
      </c>
    </row>
    <row r="2324" spans="1:15" s="328" customFormat="1" x14ac:dyDescent="0.2">
      <c r="A2324" s="536" t="s">
        <v>39891</v>
      </c>
      <c r="B2324" s="537"/>
      <c r="C2324" s="538"/>
      <c r="D2324" s="333"/>
      <c r="E2324" s="333"/>
      <c r="F2324" s="333"/>
      <c r="G2324" s="333"/>
      <c r="H2324" s="333"/>
      <c r="I2324" s="331"/>
      <c r="J2324" s="331"/>
      <c r="K2324" s="339">
        <f t="shared" si="119"/>
        <v>1.4</v>
      </c>
      <c r="L2324" s="332" t="s">
        <v>39805</v>
      </c>
      <c r="M2324" s="339">
        <f>0.15</f>
        <v>0.15</v>
      </c>
      <c r="N2324" s="332" t="s">
        <v>39794</v>
      </c>
      <c r="O2324" s="335">
        <f t="shared" si="120"/>
        <v>0.21</v>
      </c>
    </row>
    <row r="2325" spans="1:15" s="328" customFormat="1" x14ac:dyDescent="0.2">
      <c r="A2325" s="536" t="s">
        <v>39892</v>
      </c>
      <c r="B2325" s="537"/>
      <c r="C2325" s="538"/>
      <c r="D2325" s="333"/>
      <c r="E2325" s="333"/>
      <c r="F2325" s="333"/>
      <c r="G2325" s="333"/>
      <c r="H2325" s="333"/>
      <c r="I2325" s="331"/>
      <c r="J2325" s="331"/>
      <c r="K2325" s="339">
        <f t="shared" si="119"/>
        <v>1.4</v>
      </c>
      <c r="L2325" s="332" t="s">
        <v>39805</v>
      </c>
      <c r="M2325" s="339">
        <f>0.82</f>
        <v>0.82</v>
      </c>
      <c r="N2325" s="332" t="s">
        <v>39794</v>
      </c>
      <c r="O2325" s="335">
        <f t="shared" si="120"/>
        <v>1.1499999999999999</v>
      </c>
    </row>
    <row r="2326" spans="1:15" s="328" customFormat="1" x14ac:dyDescent="0.2">
      <c r="A2326" s="536" t="s">
        <v>39893</v>
      </c>
      <c r="B2326" s="537"/>
      <c r="C2326" s="538"/>
      <c r="D2326" s="333"/>
      <c r="E2326" s="333"/>
      <c r="F2326" s="333"/>
      <c r="G2326" s="333"/>
      <c r="H2326" s="333"/>
      <c r="I2326" s="331"/>
      <c r="J2326" s="331"/>
      <c r="K2326" s="339">
        <f t="shared" si="119"/>
        <v>1.4</v>
      </c>
      <c r="L2326" s="332" t="s">
        <v>39805</v>
      </c>
      <c r="M2326" s="339">
        <f>0.15</f>
        <v>0.15</v>
      </c>
      <c r="N2326" s="332" t="s">
        <v>39794</v>
      </c>
      <c r="O2326" s="335">
        <f t="shared" si="120"/>
        <v>0.21</v>
      </c>
    </row>
    <row r="2327" spans="1:15" s="328" customFormat="1" x14ac:dyDescent="0.2">
      <c r="A2327" s="536" t="s">
        <v>39894</v>
      </c>
      <c r="B2327" s="537"/>
      <c r="C2327" s="538"/>
      <c r="D2327" s="333"/>
      <c r="E2327" s="333"/>
      <c r="F2327" s="333"/>
      <c r="G2327" s="333"/>
      <c r="H2327" s="333"/>
      <c r="I2327" s="331"/>
      <c r="J2327" s="331"/>
      <c r="K2327" s="339">
        <f t="shared" si="119"/>
        <v>1.4</v>
      </c>
      <c r="L2327" s="332" t="s">
        <v>39805</v>
      </c>
      <c r="M2327" s="339">
        <f>0.15</f>
        <v>0.15</v>
      </c>
      <c r="N2327" s="332" t="s">
        <v>39794</v>
      </c>
      <c r="O2327" s="335">
        <f t="shared" si="120"/>
        <v>0.21</v>
      </c>
    </row>
    <row r="2328" spans="1:15" s="328" customFormat="1" x14ac:dyDescent="0.2">
      <c r="A2328" s="536" t="s">
        <v>39895</v>
      </c>
      <c r="B2328" s="537"/>
      <c r="C2328" s="538"/>
      <c r="D2328" s="333"/>
      <c r="E2328" s="333"/>
      <c r="F2328" s="333"/>
      <c r="G2328" s="333"/>
      <c r="H2328" s="333"/>
      <c r="I2328" s="331"/>
      <c r="J2328" s="331"/>
      <c r="K2328" s="339">
        <f t="shared" si="119"/>
        <v>1.4</v>
      </c>
      <c r="L2328" s="332" t="s">
        <v>39805</v>
      </c>
      <c r="M2328" s="339">
        <f>8.55</f>
        <v>8.5500000000000007</v>
      </c>
      <c r="N2328" s="332" t="s">
        <v>39794</v>
      </c>
      <c r="O2328" s="335">
        <f t="shared" si="120"/>
        <v>11.97</v>
      </c>
    </row>
    <row r="2329" spans="1:15" s="328" customFormat="1" x14ac:dyDescent="0.2">
      <c r="A2329" s="536" t="s">
        <v>39896</v>
      </c>
      <c r="B2329" s="537"/>
      <c r="C2329" s="538"/>
      <c r="D2329" s="333"/>
      <c r="E2329" s="333"/>
      <c r="F2329" s="333"/>
      <c r="G2329" s="333"/>
      <c r="H2329" s="333"/>
      <c r="I2329" s="331"/>
      <c r="J2329" s="331"/>
      <c r="K2329" s="339">
        <f t="shared" si="119"/>
        <v>1.4</v>
      </c>
      <c r="L2329" s="332" t="s">
        <v>39805</v>
      </c>
      <c r="M2329" s="339">
        <f>0.15</f>
        <v>0.15</v>
      </c>
      <c r="N2329" s="332" t="s">
        <v>39794</v>
      </c>
      <c r="O2329" s="335">
        <f t="shared" si="120"/>
        <v>0.21</v>
      </c>
    </row>
    <row r="2330" spans="1:15" s="328" customFormat="1" x14ac:dyDescent="0.2">
      <c r="A2330" s="536" t="s">
        <v>40163</v>
      </c>
      <c r="B2330" s="537"/>
      <c r="C2330" s="538"/>
      <c r="D2330" s="333"/>
      <c r="E2330" s="333"/>
      <c r="F2330" s="333"/>
      <c r="G2330" s="333"/>
      <c r="H2330" s="333"/>
      <c r="I2330" s="331"/>
      <c r="J2330" s="331"/>
      <c r="K2330" s="339">
        <f t="shared" si="119"/>
        <v>1.4</v>
      </c>
      <c r="L2330" s="332" t="s">
        <v>39805</v>
      </c>
      <c r="M2330" s="339">
        <f>0.15</f>
        <v>0.15</v>
      </c>
      <c r="N2330" s="332" t="s">
        <v>39794</v>
      </c>
      <c r="O2330" s="335">
        <f t="shared" si="120"/>
        <v>0.21</v>
      </c>
    </row>
    <row r="2331" spans="1:15" s="328" customFormat="1" x14ac:dyDescent="0.2">
      <c r="A2331" s="536" t="s">
        <v>40164</v>
      </c>
      <c r="B2331" s="537"/>
      <c r="C2331" s="538"/>
      <c r="D2331" s="333"/>
      <c r="E2331" s="333"/>
      <c r="F2331" s="333"/>
      <c r="G2331" s="333"/>
      <c r="H2331" s="333"/>
      <c r="I2331" s="331"/>
      <c r="J2331" s="331"/>
      <c r="K2331" s="339">
        <f t="shared" si="119"/>
        <v>1.4</v>
      </c>
      <c r="L2331" s="332" t="s">
        <v>39805</v>
      </c>
      <c r="M2331" s="339">
        <f>5.85</f>
        <v>5.85</v>
      </c>
      <c r="N2331" s="332" t="s">
        <v>39794</v>
      </c>
      <c r="O2331" s="335">
        <f t="shared" si="120"/>
        <v>8.19</v>
      </c>
    </row>
    <row r="2332" spans="1:15" s="328" customFormat="1" x14ac:dyDescent="0.2">
      <c r="A2332" s="536" t="s">
        <v>40165</v>
      </c>
      <c r="B2332" s="537"/>
      <c r="C2332" s="538"/>
      <c r="D2332" s="333"/>
      <c r="E2332" s="333"/>
      <c r="F2332" s="333"/>
      <c r="G2332" s="333"/>
      <c r="H2332" s="333"/>
      <c r="I2332" s="331"/>
      <c r="J2332" s="331"/>
      <c r="K2332" s="339">
        <f t="shared" si="119"/>
        <v>1.4</v>
      </c>
      <c r="L2332" s="332" t="s">
        <v>39805</v>
      </c>
      <c r="M2332" s="339">
        <f>2.7</f>
        <v>2.7</v>
      </c>
      <c r="N2332" s="332" t="s">
        <v>39794</v>
      </c>
      <c r="O2332" s="335">
        <f t="shared" si="120"/>
        <v>3.78</v>
      </c>
    </row>
    <row r="2333" spans="1:15" s="328" customFormat="1" x14ac:dyDescent="0.2">
      <c r="A2333" s="536" t="s">
        <v>40166</v>
      </c>
      <c r="B2333" s="537"/>
      <c r="C2333" s="538"/>
      <c r="D2333" s="333"/>
      <c r="E2333" s="333"/>
      <c r="F2333" s="333"/>
      <c r="G2333" s="333"/>
      <c r="H2333" s="333"/>
      <c r="I2333" s="331"/>
      <c r="J2333" s="331"/>
      <c r="K2333" s="339">
        <f t="shared" si="119"/>
        <v>1.4</v>
      </c>
      <c r="L2333" s="332" t="s">
        <v>39805</v>
      </c>
      <c r="M2333" s="339">
        <f>0.8</f>
        <v>0.8</v>
      </c>
      <c r="N2333" s="332" t="s">
        <v>39794</v>
      </c>
      <c r="O2333" s="335">
        <f t="shared" si="120"/>
        <v>1.1200000000000001</v>
      </c>
    </row>
    <row r="2334" spans="1:15" s="328" customFormat="1" x14ac:dyDescent="0.2">
      <c r="A2334" s="539" t="s">
        <v>5917</v>
      </c>
      <c r="B2334" s="539"/>
      <c r="C2334" s="539"/>
      <c r="D2334" s="333"/>
      <c r="E2334" s="333"/>
      <c r="F2334" s="333"/>
      <c r="G2334" s="333"/>
      <c r="H2334" s="333"/>
      <c r="I2334" s="333" t="s">
        <v>39833</v>
      </c>
      <c r="J2334" s="333" t="s">
        <v>39805</v>
      </c>
      <c r="K2334" s="333" t="s">
        <v>39823</v>
      </c>
      <c r="L2334" s="333" t="s">
        <v>39805</v>
      </c>
      <c r="M2334" s="333" t="s">
        <v>39802</v>
      </c>
      <c r="N2334" s="333" t="s">
        <v>39794</v>
      </c>
      <c r="O2334" s="333" t="s">
        <v>39795</v>
      </c>
    </row>
    <row r="2335" spans="1:15" s="328" customFormat="1" x14ac:dyDescent="0.2">
      <c r="A2335" s="535" t="s">
        <v>40184</v>
      </c>
      <c r="B2335" s="535"/>
      <c r="C2335" s="535"/>
      <c r="D2335" s="332"/>
      <c r="E2335" s="332"/>
      <c r="F2335" s="332"/>
      <c r="G2335" s="332"/>
      <c r="H2335" s="332"/>
      <c r="I2335" s="332">
        <f>1</f>
        <v>1</v>
      </c>
      <c r="J2335" s="332" t="s">
        <v>39805</v>
      </c>
      <c r="K2335" s="332">
        <f>6.89</f>
        <v>6.89</v>
      </c>
      <c r="L2335" s="332" t="s">
        <v>39805</v>
      </c>
      <c r="M2335" s="332">
        <f>11.2</f>
        <v>11.2</v>
      </c>
      <c r="N2335" s="332" t="s">
        <v>39794</v>
      </c>
      <c r="O2335" s="335">
        <f>ROUND(I2335*K2335*M2335,2)</f>
        <v>77.17</v>
      </c>
    </row>
    <row r="2336" spans="1:15" s="328" customFormat="1" x14ac:dyDescent="0.2">
      <c r="A2336" s="535" t="s">
        <v>40185</v>
      </c>
      <c r="B2336" s="535"/>
      <c r="C2336" s="535"/>
      <c r="D2336" s="332"/>
      <c r="E2336" s="332"/>
      <c r="F2336" s="332"/>
      <c r="G2336" s="332"/>
      <c r="H2336" s="332"/>
      <c r="I2336" s="332">
        <f>2</f>
        <v>2</v>
      </c>
      <c r="J2336" s="332" t="s">
        <v>39805</v>
      </c>
      <c r="K2336" s="332">
        <f>1.6</f>
        <v>1.6</v>
      </c>
      <c r="L2336" s="332" t="s">
        <v>39805</v>
      </c>
      <c r="M2336" s="332">
        <f>11.2</f>
        <v>11.2</v>
      </c>
      <c r="N2336" s="332" t="s">
        <v>39794</v>
      </c>
      <c r="O2336" s="335">
        <f t="shared" ref="O2336:O2338" si="121">ROUND(I2336*K2336*M2336,2)</f>
        <v>35.840000000000003</v>
      </c>
    </row>
    <row r="2337" spans="1:15" s="328" customFormat="1" x14ac:dyDescent="0.2">
      <c r="A2337" s="535" t="s">
        <v>40194</v>
      </c>
      <c r="B2337" s="535"/>
      <c r="C2337" s="535"/>
      <c r="D2337" s="332"/>
      <c r="E2337" s="332"/>
      <c r="F2337" s="332"/>
      <c r="G2337" s="332"/>
      <c r="H2337" s="332"/>
      <c r="I2337" s="332">
        <f>1</f>
        <v>1</v>
      </c>
      <c r="J2337" s="332" t="s">
        <v>39805</v>
      </c>
      <c r="K2337" s="332">
        <f t="shared" ref="K2337:K2338" si="122">1.6</f>
        <v>1.6</v>
      </c>
      <c r="L2337" s="332" t="s">
        <v>39805</v>
      </c>
      <c r="M2337" s="332">
        <f>5.9</f>
        <v>5.9</v>
      </c>
      <c r="N2337" s="332" t="s">
        <v>39794</v>
      </c>
      <c r="O2337" s="335">
        <f t="shared" si="121"/>
        <v>9.44</v>
      </c>
    </row>
    <row r="2338" spans="1:15" s="328" customFormat="1" x14ac:dyDescent="0.2">
      <c r="A2338" s="535" t="s">
        <v>40195</v>
      </c>
      <c r="B2338" s="535"/>
      <c r="C2338" s="535"/>
      <c r="D2338" s="332"/>
      <c r="E2338" s="332"/>
      <c r="F2338" s="332"/>
      <c r="G2338" s="332"/>
      <c r="H2338" s="332"/>
      <c r="I2338" s="332">
        <f>1</f>
        <v>1</v>
      </c>
      <c r="J2338" s="332" t="s">
        <v>39805</v>
      </c>
      <c r="K2338" s="332">
        <f t="shared" si="122"/>
        <v>1.6</v>
      </c>
      <c r="L2338" s="332" t="s">
        <v>39805</v>
      </c>
      <c r="M2338" s="332">
        <f>1.3</f>
        <v>1.3</v>
      </c>
      <c r="N2338" s="332" t="s">
        <v>39794</v>
      </c>
      <c r="O2338" s="335">
        <f t="shared" si="121"/>
        <v>2.08</v>
      </c>
    </row>
    <row r="2339" spans="1:15" s="328" customFormat="1" x14ac:dyDescent="0.2">
      <c r="A2339" s="539" t="s">
        <v>5917</v>
      </c>
      <c r="B2339" s="539"/>
      <c r="C2339" s="539"/>
      <c r="D2339" s="333"/>
      <c r="E2339" s="333"/>
      <c r="F2339" s="333"/>
      <c r="G2339" s="333"/>
      <c r="H2339" s="333"/>
      <c r="I2339" s="333" t="s">
        <v>39833</v>
      </c>
      <c r="J2339" s="333" t="s">
        <v>39805</v>
      </c>
      <c r="K2339" s="333" t="s">
        <v>39823</v>
      </c>
      <c r="L2339" s="333" t="s">
        <v>39805</v>
      </c>
      <c r="M2339" s="333" t="s">
        <v>39802</v>
      </c>
      <c r="N2339" s="333" t="s">
        <v>39794</v>
      </c>
      <c r="O2339" s="333" t="s">
        <v>39795</v>
      </c>
    </row>
    <row r="2340" spans="1:15" s="328" customFormat="1" x14ac:dyDescent="0.2">
      <c r="A2340" s="535" t="s">
        <v>40171</v>
      </c>
      <c r="B2340" s="535"/>
      <c r="C2340" s="535"/>
      <c r="D2340" s="332"/>
      <c r="E2340" s="332"/>
      <c r="F2340" s="332"/>
      <c r="G2340" s="332"/>
      <c r="H2340" s="332"/>
      <c r="I2340" s="332">
        <f>1</f>
        <v>1</v>
      </c>
      <c r="J2340" s="332" t="s">
        <v>39805</v>
      </c>
      <c r="K2340" s="332">
        <f>6.89</f>
        <v>6.89</v>
      </c>
      <c r="L2340" s="332" t="s">
        <v>39805</v>
      </c>
      <c r="M2340" s="332">
        <f>1</f>
        <v>1</v>
      </c>
      <c r="N2340" s="332" t="s">
        <v>39794</v>
      </c>
      <c r="O2340" s="335">
        <f t="shared" ref="O2340:O2360" si="123">ROUND(I2340*K2340*M2340,2)</f>
        <v>6.89</v>
      </c>
    </row>
    <row r="2341" spans="1:15" s="328" customFormat="1" x14ac:dyDescent="0.2">
      <c r="A2341" s="535" t="s">
        <v>40172</v>
      </c>
      <c r="B2341" s="535"/>
      <c r="C2341" s="535"/>
      <c r="D2341" s="332"/>
      <c r="E2341" s="332"/>
      <c r="F2341" s="332"/>
      <c r="G2341" s="332"/>
      <c r="H2341" s="332"/>
      <c r="I2341" s="332">
        <f>1</f>
        <v>1</v>
      </c>
      <c r="J2341" s="332" t="s">
        <v>39805</v>
      </c>
      <c r="K2341" s="332">
        <f>6.89</f>
        <v>6.89</v>
      </c>
      <c r="L2341" s="332" t="s">
        <v>39805</v>
      </c>
      <c r="M2341" s="332">
        <f>0.15</f>
        <v>0.15</v>
      </c>
      <c r="N2341" s="332" t="s">
        <v>39794</v>
      </c>
      <c r="O2341" s="335">
        <f t="shared" si="123"/>
        <v>1.03</v>
      </c>
    </row>
    <row r="2342" spans="1:15" s="328" customFormat="1" x14ac:dyDescent="0.2">
      <c r="A2342" s="535" t="s">
        <v>40173</v>
      </c>
      <c r="B2342" s="535"/>
      <c r="C2342" s="535"/>
      <c r="D2342" s="332"/>
      <c r="E2342" s="332"/>
      <c r="F2342" s="332"/>
      <c r="G2342" s="332"/>
      <c r="H2342" s="332"/>
      <c r="I2342" s="332">
        <f>1</f>
        <v>1</v>
      </c>
      <c r="J2342" s="332" t="s">
        <v>39805</v>
      </c>
      <c r="K2342" s="332">
        <f>1.6</f>
        <v>1.6</v>
      </c>
      <c r="L2342" s="332" t="s">
        <v>39805</v>
      </c>
      <c r="M2342" s="332">
        <f>4</f>
        <v>4</v>
      </c>
      <c r="N2342" s="332" t="s">
        <v>39794</v>
      </c>
      <c r="O2342" s="335">
        <f t="shared" si="123"/>
        <v>6.4</v>
      </c>
    </row>
    <row r="2343" spans="1:15" s="328" customFormat="1" x14ac:dyDescent="0.2">
      <c r="A2343" s="535" t="s">
        <v>40174</v>
      </c>
      <c r="B2343" s="535"/>
      <c r="C2343" s="535"/>
      <c r="D2343" s="332"/>
      <c r="E2343" s="332"/>
      <c r="F2343" s="332"/>
      <c r="G2343" s="332"/>
      <c r="H2343" s="332"/>
      <c r="I2343" s="332">
        <f>1</f>
        <v>1</v>
      </c>
      <c r="J2343" s="332" t="s">
        <v>39805</v>
      </c>
      <c r="K2343" s="332">
        <f>6.89</f>
        <v>6.89</v>
      </c>
      <c r="L2343" s="332" t="s">
        <v>39805</v>
      </c>
      <c r="M2343" s="332">
        <f>2</f>
        <v>2</v>
      </c>
      <c r="N2343" s="332" t="s">
        <v>39794</v>
      </c>
      <c r="O2343" s="335">
        <f t="shared" si="123"/>
        <v>13.78</v>
      </c>
    </row>
    <row r="2344" spans="1:15" s="328" customFormat="1" x14ac:dyDescent="0.2">
      <c r="A2344" s="535" t="s">
        <v>40175</v>
      </c>
      <c r="B2344" s="535"/>
      <c r="C2344" s="535"/>
      <c r="D2344" s="332"/>
      <c r="E2344" s="332"/>
      <c r="F2344" s="332"/>
      <c r="G2344" s="332"/>
      <c r="H2344" s="332"/>
      <c r="I2344" s="332">
        <f>1</f>
        <v>1</v>
      </c>
      <c r="J2344" s="332" t="s">
        <v>39805</v>
      </c>
      <c r="K2344" s="332">
        <f>1.6</f>
        <v>1.6</v>
      </c>
      <c r="L2344" s="332" t="s">
        <v>39805</v>
      </c>
      <c r="M2344" s="332">
        <f>4</f>
        <v>4</v>
      </c>
      <c r="N2344" s="332" t="s">
        <v>39794</v>
      </c>
      <c r="O2344" s="335">
        <f t="shared" si="123"/>
        <v>6.4</v>
      </c>
    </row>
    <row r="2345" spans="1:15" s="328" customFormat="1" x14ac:dyDescent="0.2">
      <c r="A2345" s="535" t="s">
        <v>40176</v>
      </c>
      <c r="B2345" s="535"/>
      <c r="C2345" s="535"/>
      <c r="D2345" s="332"/>
      <c r="E2345" s="332"/>
      <c r="F2345" s="332"/>
      <c r="G2345" s="332"/>
      <c r="H2345" s="332"/>
      <c r="I2345" s="332">
        <f>1</f>
        <v>1</v>
      </c>
      <c r="J2345" s="332" t="s">
        <v>39805</v>
      </c>
      <c r="K2345" s="332">
        <f>6.89</f>
        <v>6.89</v>
      </c>
      <c r="L2345" s="332" t="s">
        <v>39805</v>
      </c>
      <c r="M2345" s="332">
        <f>1.95</f>
        <v>1.95</v>
      </c>
      <c r="N2345" s="332" t="s">
        <v>39794</v>
      </c>
      <c r="O2345" s="335">
        <f t="shared" si="123"/>
        <v>13.44</v>
      </c>
    </row>
    <row r="2346" spans="1:15" s="328" customFormat="1" x14ac:dyDescent="0.2">
      <c r="A2346" s="535" t="s">
        <v>40177</v>
      </c>
      <c r="B2346" s="535"/>
      <c r="C2346" s="535"/>
      <c r="D2346" s="332"/>
      <c r="E2346" s="332"/>
      <c r="F2346" s="332"/>
      <c r="G2346" s="332"/>
      <c r="H2346" s="332"/>
      <c r="I2346" s="332">
        <f>1</f>
        <v>1</v>
      </c>
      <c r="J2346" s="332" t="s">
        <v>39805</v>
      </c>
      <c r="K2346" s="332">
        <f>1.6</f>
        <v>1.6</v>
      </c>
      <c r="L2346" s="332" t="s">
        <v>39805</v>
      </c>
      <c r="M2346" s="332">
        <f>4</f>
        <v>4</v>
      </c>
      <c r="N2346" s="332" t="s">
        <v>39794</v>
      </c>
      <c r="O2346" s="335">
        <f t="shared" si="123"/>
        <v>6.4</v>
      </c>
    </row>
    <row r="2347" spans="1:15" s="328" customFormat="1" x14ac:dyDescent="0.2">
      <c r="A2347" s="535" t="s">
        <v>40178</v>
      </c>
      <c r="B2347" s="535"/>
      <c r="C2347" s="535"/>
      <c r="D2347" s="332"/>
      <c r="E2347" s="332"/>
      <c r="F2347" s="332"/>
      <c r="G2347" s="332"/>
      <c r="H2347" s="332"/>
      <c r="I2347" s="332">
        <f>1</f>
        <v>1</v>
      </c>
      <c r="J2347" s="332" t="s">
        <v>39805</v>
      </c>
      <c r="K2347" s="332">
        <f>6.89</f>
        <v>6.89</v>
      </c>
      <c r="L2347" s="332" t="s">
        <v>39805</v>
      </c>
      <c r="M2347" s="332">
        <f>0.15</f>
        <v>0.15</v>
      </c>
      <c r="N2347" s="332" t="s">
        <v>39794</v>
      </c>
      <c r="O2347" s="335">
        <f t="shared" si="123"/>
        <v>1.03</v>
      </c>
    </row>
    <row r="2348" spans="1:15" s="328" customFormat="1" x14ac:dyDescent="0.2">
      <c r="A2348" s="535" t="s">
        <v>40179</v>
      </c>
      <c r="B2348" s="535"/>
      <c r="C2348" s="535"/>
      <c r="D2348" s="332"/>
      <c r="E2348" s="332"/>
      <c r="F2348" s="332"/>
      <c r="G2348" s="332"/>
      <c r="H2348" s="332"/>
      <c r="I2348" s="332">
        <f>1</f>
        <v>1</v>
      </c>
      <c r="J2348" s="332" t="s">
        <v>39805</v>
      </c>
      <c r="K2348" s="332">
        <f>6.89</f>
        <v>6.89</v>
      </c>
      <c r="L2348" s="332" t="s">
        <v>39805</v>
      </c>
      <c r="M2348" s="332">
        <f>0.15</f>
        <v>0.15</v>
      </c>
      <c r="N2348" s="332" t="s">
        <v>39794</v>
      </c>
      <c r="O2348" s="335">
        <f t="shared" si="123"/>
        <v>1.03</v>
      </c>
    </row>
    <row r="2349" spans="1:15" s="328" customFormat="1" x14ac:dyDescent="0.2">
      <c r="A2349" s="535" t="s">
        <v>40180</v>
      </c>
      <c r="B2349" s="535"/>
      <c r="C2349" s="535"/>
      <c r="D2349" s="332"/>
      <c r="E2349" s="332"/>
      <c r="F2349" s="332"/>
      <c r="G2349" s="332"/>
      <c r="H2349" s="332"/>
      <c r="I2349" s="332">
        <f>1</f>
        <v>1</v>
      </c>
      <c r="J2349" s="332" t="s">
        <v>39805</v>
      </c>
      <c r="K2349" s="332">
        <f>6.89</f>
        <v>6.89</v>
      </c>
      <c r="L2349" s="332" t="s">
        <v>39805</v>
      </c>
      <c r="M2349" s="332">
        <f>0.7</f>
        <v>0.7</v>
      </c>
      <c r="N2349" s="332" t="s">
        <v>39794</v>
      </c>
      <c r="O2349" s="335">
        <f t="shared" si="123"/>
        <v>4.82</v>
      </c>
    </row>
    <row r="2350" spans="1:15" s="328" customFormat="1" x14ac:dyDescent="0.2">
      <c r="A2350" s="535" t="s">
        <v>40181</v>
      </c>
      <c r="B2350" s="535"/>
      <c r="C2350" s="535"/>
      <c r="D2350" s="332"/>
      <c r="E2350" s="332"/>
      <c r="F2350" s="332"/>
      <c r="G2350" s="332"/>
      <c r="H2350" s="332"/>
      <c r="I2350" s="332">
        <f>2</f>
        <v>2</v>
      </c>
      <c r="J2350" s="332" t="s">
        <v>39805</v>
      </c>
      <c r="K2350" s="332">
        <f>1.6</f>
        <v>1.6</v>
      </c>
      <c r="L2350" s="332" t="s">
        <v>39805</v>
      </c>
      <c r="M2350" s="332">
        <f>15.3</f>
        <v>15.3</v>
      </c>
      <c r="N2350" s="332" t="s">
        <v>39794</v>
      </c>
      <c r="O2350" s="335">
        <f t="shared" si="123"/>
        <v>48.96</v>
      </c>
    </row>
    <row r="2351" spans="1:15" s="328" customFormat="1" x14ac:dyDescent="0.2">
      <c r="A2351" s="535" t="s">
        <v>40182</v>
      </c>
      <c r="B2351" s="535"/>
      <c r="C2351" s="535"/>
      <c r="D2351" s="332"/>
      <c r="E2351" s="332"/>
      <c r="F2351" s="332"/>
      <c r="G2351" s="332"/>
      <c r="H2351" s="332"/>
      <c r="I2351" s="332">
        <f>1</f>
        <v>1</v>
      </c>
      <c r="J2351" s="332" t="s">
        <v>39805</v>
      </c>
      <c r="K2351" s="332">
        <f>6.89</f>
        <v>6.89</v>
      </c>
      <c r="L2351" s="332" t="s">
        <v>39805</v>
      </c>
      <c r="M2351" s="332">
        <f>1</f>
        <v>1</v>
      </c>
      <c r="N2351" s="332" t="s">
        <v>39794</v>
      </c>
      <c r="O2351" s="335">
        <f t="shared" si="123"/>
        <v>6.89</v>
      </c>
    </row>
    <row r="2352" spans="1:15" s="328" customFormat="1" x14ac:dyDescent="0.2">
      <c r="A2352" s="535" t="s">
        <v>40183</v>
      </c>
      <c r="B2352" s="535"/>
      <c r="C2352" s="535"/>
      <c r="D2352" s="332"/>
      <c r="E2352" s="332"/>
      <c r="F2352" s="332"/>
      <c r="G2352" s="332"/>
      <c r="H2352" s="332"/>
      <c r="I2352" s="332">
        <f>1</f>
        <v>1</v>
      </c>
      <c r="J2352" s="332" t="s">
        <v>39805</v>
      </c>
      <c r="K2352" s="332">
        <f>6.89</f>
        <v>6.89</v>
      </c>
      <c r="L2352" s="332" t="s">
        <v>39805</v>
      </c>
      <c r="M2352" s="332">
        <f>0.15</f>
        <v>0.15</v>
      </c>
      <c r="N2352" s="332" t="s">
        <v>39794</v>
      </c>
      <c r="O2352" s="335">
        <f t="shared" si="123"/>
        <v>1.03</v>
      </c>
    </row>
    <row r="2353" spans="1:15" s="328" customFormat="1" x14ac:dyDescent="0.2">
      <c r="A2353" s="535" t="s">
        <v>40186</v>
      </c>
      <c r="B2353" s="535"/>
      <c r="C2353" s="535"/>
      <c r="D2353" s="332"/>
      <c r="E2353" s="332"/>
      <c r="F2353" s="332"/>
      <c r="G2353" s="332"/>
      <c r="H2353" s="332"/>
      <c r="I2353" s="332">
        <f>1</f>
        <v>1</v>
      </c>
      <c r="J2353" s="332" t="s">
        <v>39805</v>
      </c>
      <c r="K2353" s="332">
        <f>1.6</f>
        <v>1.6</v>
      </c>
      <c r="L2353" s="332" t="s">
        <v>39805</v>
      </c>
      <c r="M2353" s="332">
        <f>4</f>
        <v>4</v>
      </c>
      <c r="N2353" s="332" t="s">
        <v>39794</v>
      </c>
      <c r="O2353" s="335">
        <f t="shared" si="123"/>
        <v>6.4</v>
      </c>
    </row>
    <row r="2354" spans="1:15" s="328" customFormat="1" x14ac:dyDescent="0.2">
      <c r="A2354" s="535" t="s">
        <v>40187</v>
      </c>
      <c r="B2354" s="535"/>
      <c r="C2354" s="535"/>
      <c r="D2354" s="332"/>
      <c r="E2354" s="332"/>
      <c r="F2354" s="332"/>
      <c r="G2354" s="332"/>
      <c r="H2354" s="332"/>
      <c r="I2354" s="332">
        <f>1</f>
        <v>1</v>
      </c>
      <c r="J2354" s="332" t="s">
        <v>39805</v>
      </c>
      <c r="K2354" s="332">
        <f>6.89</f>
        <v>6.89</v>
      </c>
      <c r="L2354" s="332" t="s">
        <v>39805</v>
      </c>
      <c r="M2354" s="332">
        <f>2</f>
        <v>2</v>
      </c>
      <c r="N2354" s="332" t="s">
        <v>39794</v>
      </c>
      <c r="O2354" s="335">
        <f t="shared" si="123"/>
        <v>13.78</v>
      </c>
    </row>
    <row r="2355" spans="1:15" s="328" customFormat="1" x14ac:dyDescent="0.2">
      <c r="A2355" s="535" t="s">
        <v>40188</v>
      </c>
      <c r="B2355" s="535"/>
      <c r="C2355" s="535"/>
      <c r="D2355" s="332"/>
      <c r="E2355" s="332"/>
      <c r="F2355" s="332"/>
      <c r="G2355" s="332"/>
      <c r="H2355" s="332"/>
      <c r="I2355" s="332">
        <f>1</f>
        <v>1</v>
      </c>
      <c r="J2355" s="332" t="s">
        <v>39805</v>
      </c>
      <c r="K2355" s="332">
        <f>1.6</f>
        <v>1.6</v>
      </c>
      <c r="L2355" s="332" t="s">
        <v>39805</v>
      </c>
      <c r="M2355" s="332">
        <f>4</f>
        <v>4</v>
      </c>
      <c r="N2355" s="332" t="s">
        <v>39794</v>
      </c>
      <c r="O2355" s="335">
        <f t="shared" si="123"/>
        <v>6.4</v>
      </c>
    </row>
    <row r="2356" spans="1:15" s="328" customFormat="1" x14ac:dyDescent="0.2">
      <c r="A2356" s="535" t="s">
        <v>40189</v>
      </c>
      <c r="B2356" s="535"/>
      <c r="C2356" s="535"/>
      <c r="D2356" s="332"/>
      <c r="E2356" s="332"/>
      <c r="F2356" s="332"/>
      <c r="G2356" s="332"/>
      <c r="H2356" s="332"/>
      <c r="I2356" s="332">
        <f>1</f>
        <v>1</v>
      </c>
      <c r="J2356" s="332" t="s">
        <v>39805</v>
      </c>
      <c r="K2356" s="332">
        <f>6.89</f>
        <v>6.89</v>
      </c>
      <c r="L2356" s="332" t="s">
        <v>39805</v>
      </c>
      <c r="M2356" s="332">
        <f>1.95</f>
        <v>1.95</v>
      </c>
      <c r="N2356" s="332" t="s">
        <v>39794</v>
      </c>
      <c r="O2356" s="335">
        <f t="shared" si="123"/>
        <v>13.44</v>
      </c>
    </row>
    <row r="2357" spans="1:15" s="328" customFormat="1" x14ac:dyDescent="0.2">
      <c r="A2357" s="535" t="s">
        <v>40190</v>
      </c>
      <c r="B2357" s="535"/>
      <c r="C2357" s="535"/>
      <c r="D2357" s="332"/>
      <c r="E2357" s="332"/>
      <c r="F2357" s="332"/>
      <c r="G2357" s="332"/>
      <c r="H2357" s="332"/>
      <c r="I2357" s="332">
        <f>1</f>
        <v>1</v>
      </c>
      <c r="J2357" s="332" t="s">
        <v>39805</v>
      </c>
      <c r="K2357" s="332">
        <f>1.6</f>
        <v>1.6</v>
      </c>
      <c r="L2357" s="332" t="s">
        <v>39805</v>
      </c>
      <c r="M2357" s="332">
        <f>4</f>
        <v>4</v>
      </c>
      <c r="N2357" s="332" t="s">
        <v>39794</v>
      </c>
      <c r="O2357" s="335">
        <f t="shared" si="123"/>
        <v>6.4</v>
      </c>
    </row>
    <row r="2358" spans="1:15" s="328" customFormat="1" x14ac:dyDescent="0.2">
      <c r="A2358" s="535" t="s">
        <v>40191</v>
      </c>
      <c r="B2358" s="535"/>
      <c r="C2358" s="535"/>
      <c r="D2358" s="332"/>
      <c r="E2358" s="332"/>
      <c r="F2358" s="332"/>
      <c r="G2358" s="332"/>
      <c r="H2358" s="332"/>
      <c r="I2358" s="332">
        <f>1</f>
        <v>1</v>
      </c>
      <c r="J2358" s="332" t="s">
        <v>39805</v>
      </c>
      <c r="K2358" s="332">
        <f>6.89</f>
        <v>6.89</v>
      </c>
      <c r="L2358" s="332" t="s">
        <v>39805</v>
      </c>
      <c r="M2358" s="332">
        <f>0.15</f>
        <v>0.15</v>
      </c>
      <c r="N2358" s="332" t="s">
        <v>39794</v>
      </c>
      <c r="O2358" s="335">
        <f t="shared" si="123"/>
        <v>1.03</v>
      </c>
    </row>
    <row r="2359" spans="1:15" s="328" customFormat="1" x14ac:dyDescent="0.2">
      <c r="A2359" s="535" t="s">
        <v>40192</v>
      </c>
      <c r="B2359" s="535"/>
      <c r="C2359" s="535"/>
      <c r="D2359" s="332"/>
      <c r="E2359" s="332"/>
      <c r="F2359" s="332"/>
      <c r="G2359" s="332"/>
      <c r="H2359" s="332"/>
      <c r="I2359" s="332">
        <f>1</f>
        <v>1</v>
      </c>
      <c r="J2359" s="332" t="s">
        <v>39805</v>
      </c>
      <c r="K2359" s="332">
        <f>6.89</f>
        <v>6.89</v>
      </c>
      <c r="L2359" s="332" t="s">
        <v>39805</v>
      </c>
      <c r="M2359" s="332">
        <f>0.15</f>
        <v>0.15</v>
      </c>
      <c r="N2359" s="332" t="s">
        <v>39794</v>
      </c>
      <c r="O2359" s="335">
        <f t="shared" si="123"/>
        <v>1.03</v>
      </c>
    </row>
    <row r="2360" spans="1:15" s="328" customFormat="1" x14ac:dyDescent="0.2">
      <c r="A2360" s="535" t="s">
        <v>40193</v>
      </c>
      <c r="B2360" s="535"/>
      <c r="C2360" s="535"/>
      <c r="D2360" s="332"/>
      <c r="E2360" s="332"/>
      <c r="F2360" s="332"/>
      <c r="G2360" s="332"/>
      <c r="H2360" s="332"/>
      <c r="I2360" s="332">
        <f>1</f>
        <v>1</v>
      </c>
      <c r="J2360" s="332" t="s">
        <v>39805</v>
      </c>
      <c r="K2360" s="332">
        <f>6.89</f>
        <v>6.89</v>
      </c>
      <c r="L2360" s="332" t="s">
        <v>39805</v>
      </c>
      <c r="M2360" s="332">
        <f>0.7</f>
        <v>0.7</v>
      </c>
      <c r="N2360" s="332" t="s">
        <v>39794</v>
      </c>
      <c r="O2360" s="335">
        <f t="shared" si="123"/>
        <v>4.82</v>
      </c>
    </row>
    <row r="2361" spans="1:15" s="328" customFormat="1" x14ac:dyDescent="0.2">
      <c r="A2361" s="539" t="s">
        <v>5917</v>
      </c>
      <c r="B2361" s="539"/>
      <c r="C2361" s="539"/>
      <c r="D2361" s="334"/>
      <c r="E2361" s="334"/>
      <c r="F2361" s="334"/>
      <c r="G2361" s="334"/>
      <c r="H2361" s="334"/>
      <c r="I2361" s="334" t="s">
        <v>39833</v>
      </c>
      <c r="J2361" s="334" t="s">
        <v>39805</v>
      </c>
      <c r="K2361" s="334" t="s">
        <v>39792</v>
      </c>
      <c r="L2361" s="334" t="s">
        <v>39805</v>
      </c>
      <c r="M2361" s="334" t="s">
        <v>39799</v>
      </c>
      <c r="N2361" s="333" t="s">
        <v>39794</v>
      </c>
      <c r="O2361" s="333" t="s">
        <v>39795</v>
      </c>
    </row>
    <row r="2362" spans="1:15" s="328" customFormat="1" x14ac:dyDescent="0.2">
      <c r="A2362" s="535" t="s">
        <v>40154</v>
      </c>
      <c r="B2362" s="535"/>
      <c r="C2362" s="535"/>
      <c r="D2362" s="332"/>
      <c r="E2362" s="332"/>
      <c r="F2362" s="332"/>
      <c r="G2362" s="332"/>
      <c r="H2362" s="332"/>
      <c r="I2362" s="332">
        <f>2</f>
        <v>2</v>
      </c>
      <c r="J2362" s="332" t="s">
        <v>39805</v>
      </c>
      <c r="K2362" s="332">
        <f>12</f>
        <v>12</v>
      </c>
      <c r="L2362" s="332" t="s">
        <v>39805</v>
      </c>
      <c r="M2362" s="332">
        <f>-4*0.6</f>
        <v>-2.4</v>
      </c>
      <c r="N2362" s="332" t="s">
        <v>39794</v>
      </c>
      <c r="O2362" s="335">
        <f t="shared" ref="O2362:O2371" si="124">ROUND(I2362*K2362*M2362,2)</f>
        <v>-57.6</v>
      </c>
    </row>
    <row r="2363" spans="1:15" s="328" customFormat="1" x14ac:dyDescent="0.2">
      <c r="A2363" s="535" t="s">
        <v>40155</v>
      </c>
      <c r="B2363" s="535"/>
      <c r="C2363" s="535"/>
      <c r="D2363" s="332"/>
      <c r="E2363" s="332"/>
      <c r="F2363" s="332"/>
      <c r="G2363" s="332"/>
      <c r="H2363" s="332"/>
      <c r="I2363" s="332">
        <f>1</f>
        <v>1</v>
      </c>
      <c r="J2363" s="332" t="s">
        <v>39805</v>
      </c>
      <c r="K2363" s="332">
        <f>2</f>
        <v>2</v>
      </c>
      <c r="L2363" s="332" t="s">
        <v>39805</v>
      </c>
      <c r="M2363" s="332">
        <f>-2*0.6</f>
        <v>-1.2</v>
      </c>
      <c r="N2363" s="332" t="s">
        <v>39794</v>
      </c>
      <c r="O2363" s="335">
        <f t="shared" si="124"/>
        <v>-2.4</v>
      </c>
    </row>
    <row r="2364" spans="1:15" s="328" customFormat="1" x14ac:dyDescent="0.2">
      <c r="A2364" s="535" t="s">
        <v>40156</v>
      </c>
      <c r="B2364" s="535"/>
      <c r="C2364" s="535"/>
      <c r="D2364" s="332"/>
      <c r="E2364" s="332"/>
      <c r="F2364" s="332"/>
      <c r="G2364" s="332"/>
      <c r="H2364" s="332"/>
      <c r="I2364" s="332">
        <v>1</v>
      </c>
      <c r="J2364" s="332" t="s">
        <v>39805</v>
      </c>
      <c r="K2364" s="332">
        <v>1</v>
      </c>
      <c r="L2364" s="332" t="s">
        <v>39805</v>
      </c>
      <c r="M2364" s="332">
        <f>-0.5*0.6</f>
        <v>-0.3</v>
      </c>
      <c r="N2364" s="332" t="s">
        <v>39794</v>
      </c>
      <c r="O2364" s="335">
        <f t="shared" si="124"/>
        <v>-0.3</v>
      </c>
    </row>
    <row r="2365" spans="1:15" s="328" customFormat="1" x14ac:dyDescent="0.2">
      <c r="A2365" s="535" t="s">
        <v>40157</v>
      </c>
      <c r="B2365" s="535"/>
      <c r="C2365" s="535"/>
      <c r="D2365" s="332"/>
      <c r="E2365" s="332"/>
      <c r="F2365" s="332"/>
      <c r="G2365" s="332"/>
      <c r="H2365" s="332"/>
      <c r="I2365" s="332">
        <v>2</v>
      </c>
      <c r="J2365" s="332" t="s">
        <v>39805</v>
      </c>
      <c r="K2365" s="332">
        <f>3</f>
        <v>3</v>
      </c>
      <c r="L2365" s="332" t="s">
        <v>39805</v>
      </c>
      <c r="M2365" s="332">
        <f>-4*1.5</f>
        <v>-6</v>
      </c>
      <c r="N2365" s="332" t="s">
        <v>39794</v>
      </c>
      <c r="O2365" s="335">
        <f t="shared" si="124"/>
        <v>-36</v>
      </c>
    </row>
    <row r="2366" spans="1:15" s="328" customFormat="1" x14ac:dyDescent="0.2">
      <c r="A2366" s="535" t="s">
        <v>40158</v>
      </c>
      <c r="B2366" s="535"/>
      <c r="C2366" s="535"/>
      <c r="D2366" s="332"/>
      <c r="E2366" s="332"/>
      <c r="F2366" s="332"/>
      <c r="G2366" s="332"/>
      <c r="H2366" s="332"/>
      <c r="I2366" s="332">
        <v>2</v>
      </c>
      <c r="J2366" s="332" t="s">
        <v>39805</v>
      </c>
      <c r="K2366" s="332">
        <f>1</f>
        <v>1</v>
      </c>
      <c r="L2366" s="332" t="s">
        <v>39805</v>
      </c>
      <c r="M2366" s="332">
        <f>-0.8*0.8</f>
        <v>-0.64000000000000012</v>
      </c>
      <c r="N2366" s="332" t="s">
        <v>39794</v>
      </c>
      <c r="O2366" s="335">
        <f t="shared" si="124"/>
        <v>-1.28</v>
      </c>
    </row>
    <row r="2367" spans="1:15" s="328" customFormat="1" x14ac:dyDescent="0.2">
      <c r="A2367" s="535" t="s">
        <v>40148</v>
      </c>
      <c r="B2367" s="535"/>
      <c r="C2367" s="535"/>
      <c r="D2367" s="332"/>
      <c r="E2367" s="332"/>
      <c r="F2367" s="332"/>
      <c r="G2367" s="332"/>
      <c r="H2367" s="332"/>
      <c r="I2367" s="332">
        <f>2</f>
        <v>2</v>
      </c>
      <c r="J2367" s="332" t="s">
        <v>39805</v>
      </c>
      <c r="K2367" s="332">
        <f>7</f>
        <v>7</v>
      </c>
      <c r="L2367" s="332" t="s">
        <v>39805</v>
      </c>
      <c r="M2367" s="332">
        <f>-1.2*2.4</f>
        <v>-2.88</v>
      </c>
      <c r="N2367" s="332" t="s">
        <v>39794</v>
      </c>
      <c r="O2367" s="335">
        <f t="shared" si="124"/>
        <v>-40.32</v>
      </c>
    </row>
    <row r="2368" spans="1:15" s="328" customFormat="1" x14ac:dyDescent="0.2">
      <c r="A2368" s="535" t="s">
        <v>40149</v>
      </c>
      <c r="B2368" s="535"/>
      <c r="C2368" s="535"/>
      <c r="D2368" s="332"/>
      <c r="E2368" s="332"/>
      <c r="F2368" s="332"/>
      <c r="G2368" s="332"/>
      <c r="H2368" s="332"/>
      <c r="I2368" s="332">
        <v>1</v>
      </c>
      <c r="J2368" s="332" t="s">
        <v>39805</v>
      </c>
      <c r="K2368" s="332">
        <f>2</f>
        <v>2</v>
      </c>
      <c r="L2368" s="332" t="s">
        <v>39805</v>
      </c>
      <c r="M2368" s="332">
        <f>-0.9*2.4</f>
        <v>-2.16</v>
      </c>
      <c r="N2368" s="332" t="s">
        <v>39794</v>
      </c>
      <c r="O2368" s="335">
        <f t="shared" si="124"/>
        <v>-4.32</v>
      </c>
    </row>
    <row r="2369" spans="1:15" s="328" customFormat="1" x14ac:dyDescent="0.2">
      <c r="A2369" s="535" t="s">
        <v>40150</v>
      </c>
      <c r="B2369" s="535"/>
      <c r="C2369" s="535"/>
      <c r="D2369" s="332"/>
      <c r="E2369" s="332"/>
      <c r="F2369" s="332"/>
      <c r="G2369" s="332"/>
      <c r="H2369" s="332"/>
      <c r="I2369" s="332">
        <v>1</v>
      </c>
      <c r="J2369" s="332" t="s">
        <v>39805</v>
      </c>
      <c r="K2369" s="332">
        <v>1</v>
      </c>
      <c r="L2369" s="332" t="s">
        <v>39805</v>
      </c>
      <c r="M2369" s="332">
        <f>-0.9*2.4</f>
        <v>-2.16</v>
      </c>
      <c r="N2369" s="332" t="s">
        <v>39794</v>
      </c>
      <c r="O2369" s="335">
        <f t="shared" si="124"/>
        <v>-2.16</v>
      </c>
    </row>
    <row r="2370" spans="1:15" s="328" customFormat="1" x14ac:dyDescent="0.2">
      <c r="A2370" s="535" t="s">
        <v>40151</v>
      </c>
      <c r="B2370" s="535"/>
      <c r="C2370" s="535"/>
      <c r="D2370" s="332"/>
      <c r="E2370" s="332"/>
      <c r="F2370" s="332"/>
      <c r="G2370" s="332"/>
      <c r="H2370" s="332"/>
      <c r="I2370" s="332">
        <v>2</v>
      </c>
      <c r="J2370" s="332" t="s">
        <v>39805</v>
      </c>
      <c r="K2370" s="332">
        <f>5</f>
        <v>5</v>
      </c>
      <c r="L2370" s="332" t="s">
        <v>39805</v>
      </c>
      <c r="M2370" s="332">
        <f>-1*1.6</f>
        <v>-1.6</v>
      </c>
      <c r="N2370" s="332" t="s">
        <v>39794</v>
      </c>
      <c r="O2370" s="335">
        <f t="shared" si="124"/>
        <v>-16</v>
      </c>
    </row>
    <row r="2371" spans="1:15" s="328" customFormat="1" x14ac:dyDescent="0.2">
      <c r="A2371" s="535" t="s">
        <v>40152</v>
      </c>
      <c r="B2371" s="535"/>
      <c r="C2371" s="535"/>
      <c r="D2371" s="332"/>
      <c r="E2371" s="332"/>
      <c r="F2371" s="332"/>
      <c r="G2371" s="332"/>
      <c r="H2371" s="332"/>
      <c r="I2371" s="332">
        <f>2</f>
        <v>2</v>
      </c>
      <c r="J2371" s="332" t="s">
        <v>39805</v>
      </c>
      <c r="K2371" s="332">
        <f>1</f>
        <v>1</v>
      </c>
      <c r="L2371" s="332" t="s">
        <v>39805</v>
      </c>
      <c r="M2371" s="332">
        <f>-1.2*1.6</f>
        <v>-1.92</v>
      </c>
      <c r="N2371" s="332" t="s">
        <v>39794</v>
      </c>
      <c r="O2371" s="335">
        <f t="shared" si="124"/>
        <v>-3.84</v>
      </c>
    </row>
    <row r="2372" spans="1:15" s="328" customFormat="1" x14ac:dyDescent="0.2">
      <c r="A2372" s="540"/>
      <c r="B2372" s="540"/>
      <c r="C2372" s="540"/>
      <c r="D2372" s="540"/>
      <c r="E2372" s="540"/>
      <c r="F2372" s="540"/>
      <c r="G2372" s="540"/>
      <c r="H2372" s="540"/>
      <c r="I2372" s="540"/>
      <c r="J2372" s="540"/>
      <c r="K2372" s="540"/>
      <c r="L2372" s="334" t="s">
        <v>39796</v>
      </c>
      <c r="M2372" s="334" t="s">
        <v>39168</v>
      </c>
      <c r="N2372" s="333" t="s">
        <v>39794</v>
      </c>
      <c r="O2372" s="334">
        <f>SUM(O2308:O2371)</f>
        <v>475.12999999999977</v>
      </c>
    </row>
    <row r="2373" spans="1:15" s="328" customFormat="1" x14ac:dyDescent="0.2">
      <c r="A2373" s="329" t="s">
        <v>39791</v>
      </c>
      <c r="B2373" s="542" t="s">
        <v>5917</v>
      </c>
      <c r="C2373" s="542"/>
      <c r="D2373" s="542"/>
      <c r="E2373" s="542"/>
      <c r="F2373" s="542"/>
      <c r="G2373" s="542"/>
      <c r="H2373" s="542"/>
      <c r="I2373" s="542"/>
      <c r="J2373" s="542"/>
      <c r="K2373" s="542"/>
      <c r="L2373" s="542"/>
      <c r="M2373" s="542"/>
      <c r="N2373" s="329" t="s">
        <v>39197</v>
      </c>
      <c r="O2373" s="330" t="s">
        <v>39792</v>
      </c>
    </row>
    <row r="2374" spans="1:15" s="328" customFormat="1" ht="12.75" customHeight="1" x14ac:dyDescent="0.2">
      <c r="A2374" s="331" t="str">
        <f>ORCAMENTO!A368</f>
        <v>18.1.2</v>
      </c>
      <c r="B2374" s="543" t="str">
        <f>VLOOKUP(A2374,ORCAMENTO!A:I,4,0)</f>
        <v>EMASSAMENTO DE PAREDES EXTERNAS 2 DEMÃOS C/MASSA ACRÍLICA</v>
      </c>
      <c r="C2374" s="543"/>
      <c r="D2374" s="543"/>
      <c r="E2374" s="543"/>
      <c r="F2374" s="543"/>
      <c r="G2374" s="543"/>
      <c r="H2374" s="543"/>
      <c r="I2374" s="543"/>
      <c r="J2374" s="543"/>
      <c r="K2374" s="543"/>
      <c r="L2374" s="543"/>
      <c r="M2374" s="543"/>
      <c r="N2374" s="331" t="str">
        <f>VLOOKUP(A2374,ORCAMENTO!A:I,5,0)</f>
        <v>M2</v>
      </c>
      <c r="O2374" s="332">
        <f>O2475</f>
        <v>1101.6599999999994</v>
      </c>
    </row>
    <row r="2375" spans="1:15" s="328" customFormat="1" x14ac:dyDescent="0.2">
      <c r="A2375" s="539" t="s">
        <v>39793</v>
      </c>
      <c r="B2375" s="539"/>
      <c r="C2375" s="539"/>
      <c r="D2375" s="539"/>
      <c r="E2375" s="539"/>
      <c r="F2375" s="539"/>
      <c r="G2375" s="539"/>
      <c r="H2375" s="539"/>
      <c r="I2375" s="539"/>
      <c r="J2375" s="539"/>
      <c r="K2375" s="539"/>
      <c r="L2375" s="539"/>
      <c r="M2375" s="539"/>
      <c r="N2375" s="539"/>
      <c r="O2375" s="539"/>
    </row>
    <row r="2376" spans="1:15" s="328" customFormat="1" x14ac:dyDescent="0.2">
      <c r="A2376" s="539" t="s">
        <v>5917</v>
      </c>
      <c r="B2376" s="539"/>
      <c r="C2376" s="539"/>
      <c r="D2376" s="333"/>
      <c r="E2376" s="333"/>
      <c r="F2376" s="333"/>
      <c r="G2376" s="333"/>
      <c r="H2376" s="333"/>
      <c r="I2376" s="331"/>
      <c r="J2376" s="331"/>
      <c r="K2376" s="333" t="s">
        <v>39823</v>
      </c>
      <c r="L2376" s="333" t="s">
        <v>39805</v>
      </c>
      <c r="M2376" s="333" t="s">
        <v>39802</v>
      </c>
      <c r="N2376" s="333" t="s">
        <v>39794</v>
      </c>
      <c r="O2376" s="333" t="s">
        <v>39795</v>
      </c>
    </row>
    <row r="2377" spans="1:15" s="328" customFormat="1" x14ac:dyDescent="0.2">
      <c r="A2377" s="535" t="s">
        <v>40196</v>
      </c>
      <c r="B2377" s="535"/>
      <c r="C2377" s="535"/>
      <c r="D2377" s="332"/>
      <c r="E2377" s="332"/>
      <c r="F2377" s="332"/>
      <c r="G2377" s="332"/>
      <c r="H2377" s="332"/>
      <c r="I2377" s="332"/>
      <c r="J2377" s="332"/>
      <c r="K2377" s="332">
        <f>5</f>
        <v>5</v>
      </c>
      <c r="L2377" s="332" t="s">
        <v>39805</v>
      </c>
      <c r="M2377" s="332">
        <f>0.15</f>
        <v>0.15</v>
      </c>
      <c r="N2377" s="332" t="s">
        <v>39794</v>
      </c>
      <c r="O2377" s="335">
        <f>ROUND(K2377*M2377,2)</f>
        <v>0.75</v>
      </c>
    </row>
    <row r="2378" spans="1:15" s="328" customFormat="1" x14ac:dyDescent="0.2">
      <c r="A2378" s="535" t="s">
        <v>40197</v>
      </c>
      <c r="B2378" s="535"/>
      <c r="C2378" s="535"/>
      <c r="D2378" s="332"/>
      <c r="E2378" s="332"/>
      <c r="F2378" s="332"/>
      <c r="G2378" s="332"/>
      <c r="H2378" s="332"/>
      <c r="I2378" s="332"/>
      <c r="J2378" s="332"/>
      <c r="K2378" s="332">
        <f>5</f>
        <v>5</v>
      </c>
      <c r="L2378" s="332" t="s">
        <v>39805</v>
      </c>
      <c r="M2378" s="332">
        <f>8.55</f>
        <v>8.5500000000000007</v>
      </c>
      <c r="N2378" s="332" t="s">
        <v>39794</v>
      </c>
      <c r="O2378" s="335">
        <f t="shared" ref="O2378:O2441" si="125">ROUND(K2378*M2378,2)</f>
        <v>42.75</v>
      </c>
    </row>
    <row r="2379" spans="1:15" s="328" customFormat="1" x14ac:dyDescent="0.2">
      <c r="A2379" s="535" t="s">
        <v>40198</v>
      </c>
      <c r="B2379" s="535"/>
      <c r="C2379" s="535"/>
      <c r="D2379" s="332"/>
      <c r="E2379" s="332"/>
      <c r="F2379" s="332"/>
      <c r="G2379" s="332"/>
      <c r="H2379" s="332"/>
      <c r="I2379" s="332"/>
      <c r="J2379" s="332"/>
      <c r="K2379" s="332">
        <f>5</f>
        <v>5</v>
      </c>
      <c r="L2379" s="332" t="s">
        <v>39805</v>
      </c>
      <c r="M2379" s="332">
        <f>0.15</f>
        <v>0.15</v>
      </c>
      <c r="N2379" s="332" t="s">
        <v>39794</v>
      </c>
      <c r="O2379" s="335">
        <f t="shared" si="125"/>
        <v>0.75</v>
      </c>
    </row>
    <row r="2380" spans="1:15" s="328" customFormat="1" x14ac:dyDescent="0.2">
      <c r="A2380" s="535" t="s">
        <v>40199</v>
      </c>
      <c r="B2380" s="535"/>
      <c r="C2380" s="535"/>
      <c r="D2380" s="332"/>
      <c r="E2380" s="332"/>
      <c r="F2380" s="332"/>
      <c r="G2380" s="332"/>
      <c r="H2380" s="332"/>
      <c r="I2380" s="332"/>
      <c r="J2380" s="332"/>
      <c r="K2380" s="332">
        <f>5</f>
        <v>5</v>
      </c>
      <c r="L2380" s="332" t="s">
        <v>39805</v>
      </c>
      <c r="M2380" s="332">
        <f>0.7</f>
        <v>0.7</v>
      </c>
      <c r="N2380" s="332" t="s">
        <v>39794</v>
      </c>
      <c r="O2380" s="335">
        <f t="shared" si="125"/>
        <v>3.5</v>
      </c>
    </row>
    <row r="2381" spans="1:15" s="328" customFormat="1" x14ac:dyDescent="0.2">
      <c r="A2381" s="535" t="s">
        <v>40200</v>
      </c>
      <c r="B2381" s="535"/>
      <c r="C2381" s="535"/>
      <c r="D2381" s="332"/>
      <c r="E2381" s="332"/>
      <c r="F2381" s="332"/>
      <c r="G2381" s="332"/>
      <c r="H2381" s="332"/>
      <c r="I2381" s="332"/>
      <c r="J2381" s="332"/>
      <c r="K2381" s="332">
        <f>5</f>
        <v>5</v>
      </c>
      <c r="L2381" s="332" t="s">
        <v>39805</v>
      </c>
      <c r="M2381" s="332">
        <f>0.15</f>
        <v>0.15</v>
      </c>
      <c r="N2381" s="332" t="s">
        <v>39794</v>
      </c>
      <c r="O2381" s="335">
        <f t="shared" si="125"/>
        <v>0.75</v>
      </c>
    </row>
    <row r="2382" spans="1:15" s="328" customFormat="1" x14ac:dyDescent="0.2">
      <c r="A2382" s="535" t="s">
        <v>40201</v>
      </c>
      <c r="B2382" s="535"/>
      <c r="C2382" s="535"/>
      <c r="D2382" s="332"/>
      <c r="E2382" s="332"/>
      <c r="F2382" s="332"/>
      <c r="G2382" s="332"/>
      <c r="H2382" s="332"/>
      <c r="I2382" s="332"/>
      <c r="J2382" s="332"/>
      <c r="K2382" s="332">
        <f>5</f>
        <v>5</v>
      </c>
      <c r="L2382" s="332" t="s">
        <v>39805</v>
      </c>
      <c r="M2382" s="332">
        <f>0.15</f>
        <v>0.15</v>
      </c>
      <c r="N2382" s="332" t="s">
        <v>39794</v>
      </c>
      <c r="O2382" s="335">
        <f t="shared" si="125"/>
        <v>0.75</v>
      </c>
    </row>
    <row r="2383" spans="1:15" s="328" customFormat="1" x14ac:dyDescent="0.2">
      <c r="A2383" s="535" t="s">
        <v>40202</v>
      </c>
      <c r="B2383" s="535"/>
      <c r="C2383" s="535"/>
      <c r="D2383" s="332"/>
      <c r="E2383" s="332"/>
      <c r="F2383" s="332"/>
      <c r="G2383" s="332"/>
      <c r="H2383" s="332"/>
      <c r="I2383" s="332"/>
      <c r="J2383" s="332"/>
      <c r="K2383" s="332">
        <f>5</f>
        <v>5</v>
      </c>
      <c r="L2383" s="332" t="s">
        <v>39805</v>
      </c>
      <c r="M2383" s="332">
        <f>0.7</f>
        <v>0.7</v>
      </c>
      <c r="N2383" s="332" t="s">
        <v>39794</v>
      </c>
      <c r="O2383" s="335">
        <f t="shared" si="125"/>
        <v>3.5</v>
      </c>
    </row>
    <row r="2384" spans="1:15" s="328" customFormat="1" x14ac:dyDescent="0.2">
      <c r="A2384" s="535" t="s">
        <v>40203</v>
      </c>
      <c r="B2384" s="535"/>
      <c r="C2384" s="535"/>
      <c r="D2384" s="332"/>
      <c r="E2384" s="332"/>
      <c r="F2384" s="332"/>
      <c r="G2384" s="332"/>
      <c r="H2384" s="332"/>
      <c r="I2384" s="332"/>
      <c r="J2384" s="332"/>
      <c r="K2384" s="332">
        <f>5</f>
        <v>5</v>
      </c>
      <c r="L2384" s="332" t="s">
        <v>39805</v>
      </c>
      <c r="M2384" s="332">
        <f>0.15</f>
        <v>0.15</v>
      </c>
      <c r="N2384" s="332" t="s">
        <v>39794</v>
      </c>
      <c r="O2384" s="335">
        <f t="shared" si="125"/>
        <v>0.75</v>
      </c>
    </row>
    <row r="2385" spans="1:15" s="328" customFormat="1" x14ac:dyDescent="0.2">
      <c r="A2385" s="535" t="s">
        <v>40204</v>
      </c>
      <c r="B2385" s="535"/>
      <c r="C2385" s="535"/>
      <c r="D2385" s="332"/>
      <c r="E2385" s="332"/>
      <c r="F2385" s="332"/>
      <c r="G2385" s="332"/>
      <c r="H2385" s="332"/>
      <c r="I2385" s="332"/>
      <c r="J2385" s="332"/>
      <c r="K2385" s="332">
        <f>5</f>
        <v>5</v>
      </c>
      <c r="L2385" s="332" t="s">
        <v>39805</v>
      </c>
      <c r="M2385" s="332">
        <f>0.85</f>
        <v>0.85</v>
      </c>
      <c r="N2385" s="332" t="s">
        <v>39794</v>
      </c>
      <c r="O2385" s="335">
        <f t="shared" si="125"/>
        <v>4.25</v>
      </c>
    </row>
    <row r="2386" spans="1:15" s="328" customFormat="1" x14ac:dyDescent="0.2">
      <c r="A2386" s="535" t="s">
        <v>40205</v>
      </c>
      <c r="B2386" s="535"/>
      <c r="C2386" s="535"/>
      <c r="D2386" s="332"/>
      <c r="E2386" s="332"/>
      <c r="F2386" s="332"/>
      <c r="G2386" s="332"/>
      <c r="H2386" s="332"/>
      <c r="I2386" s="332"/>
      <c r="J2386" s="332"/>
      <c r="K2386" s="332">
        <f>5</f>
        <v>5</v>
      </c>
      <c r="L2386" s="332" t="s">
        <v>39805</v>
      </c>
      <c r="M2386" s="332">
        <f>4.95</f>
        <v>4.95</v>
      </c>
      <c r="N2386" s="332" t="s">
        <v>39794</v>
      </c>
      <c r="O2386" s="335">
        <f t="shared" si="125"/>
        <v>24.75</v>
      </c>
    </row>
    <row r="2387" spans="1:15" s="328" customFormat="1" x14ac:dyDescent="0.2">
      <c r="A2387" s="535" t="s">
        <v>40206</v>
      </c>
      <c r="B2387" s="535"/>
      <c r="C2387" s="535"/>
      <c r="D2387" s="332"/>
      <c r="E2387" s="332"/>
      <c r="F2387" s="332"/>
      <c r="G2387" s="332"/>
      <c r="H2387" s="332"/>
      <c r="I2387" s="332"/>
      <c r="J2387" s="332"/>
      <c r="K2387" s="332">
        <f>5</f>
        <v>5</v>
      </c>
      <c r="L2387" s="332" t="s">
        <v>39805</v>
      </c>
      <c r="M2387" s="332">
        <f>0.85</f>
        <v>0.85</v>
      </c>
      <c r="N2387" s="332" t="s">
        <v>39794</v>
      </c>
      <c r="O2387" s="335">
        <f t="shared" si="125"/>
        <v>4.25</v>
      </c>
    </row>
    <row r="2388" spans="1:15" s="328" customFormat="1" x14ac:dyDescent="0.2">
      <c r="A2388" s="535" t="s">
        <v>40207</v>
      </c>
      <c r="B2388" s="535"/>
      <c r="C2388" s="535"/>
      <c r="D2388" s="332"/>
      <c r="E2388" s="332"/>
      <c r="F2388" s="332"/>
      <c r="G2388" s="332"/>
      <c r="H2388" s="332"/>
      <c r="I2388" s="332"/>
      <c r="J2388" s="332"/>
      <c r="K2388" s="332">
        <f>5</f>
        <v>5</v>
      </c>
      <c r="L2388" s="332" t="s">
        <v>39805</v>
      </c>
      <c r="M2388" s="332">
        <f>0.3</f>
        <v>0.3</v>
      </c>
      <c r="N2388" s="332" t="s">
        <v>39794</v>
      </c>
      <c r="O2388" s="335">
        <f t="shared" si="125"/>
        <v>1.5</v>
      </c>
    </row>
    <row r="2389" spans="1:15" s="328" customFormat="1" x14ac:dyDescent="0.2">
      <c r="A2389" s="535" t="s">
        <v>40208</v>
      </c>
      <c r="B2389" s="535"/>
      <c r="C2389" s="535"/>
      <c r="D2389" s="332"/>
      <c r="E2389" s="332"/>
      <c r="F2389" s="332"/>
      <c r="G2389" s="332"/>
      <c r="H2389" s="332"/>
      <c r="I2389" s="332"/>
      <c r="J2389" s="332"/>
      <c r="K2389" s="332">
        <f>5</f>
        <v>5</v>
      </c>
      <c r="L2389" s="332" t="s">
        <v>39805</v>
      </c>
      <c r="M2389" s="332">
        <f>0.85</f>
        <v>0.85</v>
      </c>
      <c r="N2389" s="332" t="s">
        <v>39794</v>
      </c>
      <c r="O2389" s="335">
        <f t="shared" si="125"/>
        <v>4.25</v>
      </c>
    </row>
    <row r="2390" spans="1:15" s="328" customFormat="1" x14ac:dyDescent="0.2">
      <c r="A2390" s="535" t="s">
        <v>40209</v>
      </c>
      <c r="B2390" s="535"/>
      <c r="C2390" s="535"/>
      <c r="D2390" s="332"/>
      <c r="E2390" s="332"/>
      <c r="F2390" s="332"/>
      <c r="G2390" s="332"/>
      <c r="H2390" s="332"/>
      <c r="I2390" s="332"/>
      <c r="J2390" s="332"/>
      <c r="K2390" s="332">
        <f>5</f>
        <v>5</v>
      </c>
      <c r="L2390" s="332" t="s">
        <v>39805</v>
      </c>
      <c r="M2390" s="332">
        <f>5.7</f>
        <v>5.7</v>
      </c>
      <c r="N2390" s="332" t="s">
        <v>39794</v>
      </c>
      <c r="O2390" s="335">
        <f t="shared" si="125"/>
        <v>28.5</v>
      </c>
    </row>
    <row r="2391" spans="1:15" s="328" customFormat="1" x14ac:dyDescent="0.2">
      <c r="A2391" s="535" t="s">
        <v>40210</v>
      </c>
      <c r="B2391" s="535"/>
      <c r="C2391" s="535"/>
      <c r="D2391" s="332"/>
      <c r="E2391" s="332"/>
      <c r="F2391" s="332"/>
      <c r="G2391" s="332"/>
      <c r="H2391" s="332"/>
      <c r="I2391" s="332"/>
      <c r="J2391" s="332"/>
      <c r="K2391" s="332">
        <f>5</f>
        <v>5</v>
      </c>
      <c r="L2391" s="332" t="s">
        <v>39805</v>
      </c>
      <c r="M2391" s="332">
        <f>0.85</f>
        <v>0.85</v>
      </c>
      <c r="N2391" s="332" t="s">
        <v>39794</v>
      </c>
      <c r="O2391" s="335">
        <f t="shared" si="125"/>
        <v>4.25</v>
      </c>
    </row>
    <row r="2392" spans="1:15" s="328" customFormat="1" x14ac:dyDescent="0.2">
      <c r="A2392" s="535" t="s">
        <v>40211</v>
      </c>
      <c r="B2392" s="535"/>
      <c r="C2392" s="535"/>
      <c r="D2392" s="332"/>
      <c r="E2392" s="332"/>
      <c r="F2392" s="332"/>
      <c r="G2392" s="332"/>
      <c r="H2392" s="332"/>
      <c r="I2392" s="332"/>
      <c r="J2392" s="332"/>
      <c r="K2392" s="332">
        <f>5</f>
        <v>5</v>
      </c>
      <c r="L2392" s="332" t="s">
        <v>39805</v>
      </c>
      <c r="M2392" s="332">
        <f>0.3</f>
        <v>0.3</v>
      </c>
      <c r="N2392" s="332" t="s">
        <v>39794</v>
      </c>
      <c r="O2392" s="335">
        <f t="shared" si="125"/>
        <v>1.5</v>
      </c>
    </row>
    <row r="2393" spans="1:15" s="328" customFormat="1" x14ac:dyDescent="0.2">
      <c r="A2393" s="535" t="s">
        <v>40212</v>
      </c>
      <c r="B2393" s="535"/>
      <c r="C2393" s="535"/>
      <c r="D2393" s="332"/>
      <c r="E2393" s="332"/>
      <c r="F2393" s="332"/>
      <c r="G2393" s="332"/>
      <c r="H2393" s="332"/>
      <c r="I2393" s="332"/>
      <c r="J2393" s="332"/>
      <c r="K2393" s="332">
        <f>5</f>
        <v>5</v>
      </c>
      <c r="L2393" s="332" t="s">
        <v>39805</v>
      </c>
      <c r="M2393" s="332">
        <f>0.85</f>
        <v>0.85</v>
      </c>
      <c r="N2393" s="332" t="s">
        <v>39794</v>
      </c>
      <c r="O2393" s="335">
        <f t="shared" si="125"/>
        <v>4.25</v>
      </c>
    </row>
    <row r="2394" spans="1:15" s="328" customFormat="1" x14ac:dyDescent="0.2">
      <c r="A2394" s="535" t="s">
        <v>40213</v>
      </c>
      <c r="B2394" s="535"/>
      <c r="C2394" s="535"/>
      <c r="D2394" s="332"/>
      <c r="E2394" s="332"/>
      <c r="F2394" s="332"/>
      <c r="G2394" s="332"/>
      <c r="H2394" s="332"/>
      <c r="I2394" s="332"/>
      <c r="J2394" s="332"/>
      <c r="K2394" s="332">
        <f>5</f>
        <v>5</v>
      </c>
      <c r="L2394" s="332" t="s">
        <v>39805</v>
      </c>
      <c r="M2394" s="332">
        <f>5.7</f>
        <v>5.7</v>
      </c>
      <c r="N2394" s="332" t="s">
        <v>39794</v>
      </c>
      <c r="O2394" s="335">
        <f t="shared" si="125"/>
        <v>28.5</v>
      </c>
    </row>
    <row r="2395" spans="1:15" s="328" customFormat="1" x14ac:dyDescent="0.2">
      <c r="A2395" s="535" t="s">
        <v>40214</v>
      </c>
      <c r="B2395" s="535"/>
      <c r="C2395" s="535"/>
      <c r="D2395" s="332"/>
      <c r="E2395" s="332"/>
      <c r="F2395" s="332"/>
      <c r="G2395" s="332"/>
      <c r="H2395" s="332"/>
      <c r="I2395" s="332"/>
      <c r="J2395" s="332"/>
      <c r="K2395" s="332">
        <f>5</f>
        <v>5</v>
      </c>
      <c r="L2395" s="332" t="s">
        <v>39805</v>
      </c>
      <c r="M2395" s="332">
        <f>0.85</f>
        <v>0.85</v>
      </c>
      <c r="N2395" s="332" t="s">
        <v>39794</v>
      </c>
      <c r="O2395" s="335">
        <f t="shared" si="125"/>
        <v>4.25</v>
      </c>
    </row>
    <row r="2396" spans="1:15" s="328" customFormat="1" x14ac:dyDescent="0.2">
      <c r="A2396" s="535" t="s">
        <v>40215</v>
      </c>
      <c r="B2396" s="535"/>
      <c r="C2396" s="535"/>
      <c r="D2396" s="332"/>
      <c r="E2396" s="332"/>
      <c r="F2396" s="332"/>
      <c r="G2396" s="332"/>
      <c r="H2396" s="332"/>
      <c r="I2396" s="332"/>
      <c r="J2396" s="332"/>
      <c r="K2396" s="332">
        <f>5</f>
        <v>5</v>
      </c>
      <c r="L2396" s="332" t="s">
        <v>39805</v>
      </c>
      <c r="M2396" s="332">
        <f>0.3</f>
        <v>0.3</v>
      </c>
      <c r="N2396" s="332" t="s">
        <v>39794</v>
      </c>
      <c r="O2396" s="335">
        <f t="shared" si="125"/>
        <v>1.5</v>
      </c>
    </row>
    <row r="2397" spans="1:15" s="328" customFormat="1" x14ac:dyDescent="0.2">
      <c r="A2397" s="535" t="s">
        <v>40216</v>
      </c>
      <c r="B2397" s="535"/>
      <c r="C2397" s="535"/>
      <c r="D2397" s="332"/>
      <c r="E2397" s="332"/>
      <c r="F2397" s="332"/>
      <c r="G2397" s="332"/>
      <c r="H2397" s="332"/>
      <c r="I2397" s="332"/>
      <c r="J2397" s="332"/>
      <c r="K2397" s="332">
        <f>5</f>
        <v>5</v>
      </c>
      <c r="L2397" s="332" t="s">
        <v>39805</v>
      </c>
      <c r="M2397" s="332">
        <f>0.85</f>
        <v>0.85</v>
      </c>
      <c r="N2397" s="332" t="s">
        <v>39794</v>
      </c>
      <c r="O2397" s="335">
        <f t="shared" si="125"/>
        <v>4.25</v>
      </c>
    </row>
    <row r="2398" spans="1:15" s="328" customFormat="1" x14ac:dyDescent="0.2">
      <c r="A2398" s="535" t="s">
        <v>40217</v>
      </c>
      <c r="B2398" s="535"/>
      <c r="C2398" s="535"/>
      <c r="D2398" s="332"/>
      <c r="E2398" s="332"/>
      <c r="F2398" s="332"/>
      <c r="G2398" s="332"/>
      <c r="H2398" s="332"/>
      <c r="I2398" s="332"/>
      <c r="J2398" s="332"/>
      <c r="K2398" s="332">
        <f>5</f>
        <v>5</v>
      </c>
      <c r="L2398" s="332" t="s">
        <v>39805</v>
      </c>
      <c r="M2398" s="332">
        <f>5.7</f>
        <v>5.7</v>
      </c>
      <c r="N2398" s="332" t="s">
        <v>39794</v>
      </c>
      <c r="O2398" s="335">
        <f t="shared" si="125"/>
        <v>28.5</v>
      </c>
    </row>
    <row r="2399" spans="1:15" s="328" customFormat="1" x14ac:dyDescent="0.2">
      <c r="A2399" s="535" t="s">
        <v>40218</v>
      </c>
      <c r="B2399" s="535"/>
      <c r="C2399" s="535"/>
      <c r="D2399" s="332"/>
      <c r="E2399" s="332"/>
      <c r="F2399" s="332"/>
      <c r="G2399" s="332"/>
      <c r="H2399" s="332"/>
      <c r="I2399" s="332"/>
      <c r="J2399" s="332"/>
      <c r="K2399" s="332">
        <f>5</f>
        <v>5</v>
      </c>
      <c r="L2399" s="332" t="s">
        <v>39805</v>
      </c>
      <c r="M2399" s="332">
        <f>0.85</f>
        <v>0.85</v>
      </c>
      <c r="N2399" s="332" t="s">
        <v>39794</v>
      </c>
      <c r="O2399" s="335">
        <f t="shared" si="125"/>
        <v>4.25</v>
      </c>
    </row>
    <row r="2400" spans="1:15" s="328" customFormat="1" x14ac:dyDescent="0.2">
      <c r="A2400" s="535" t="s">
        <v>40219</v>
      </c>
      <c r="B2400" s="535"/>
      <c r="C2400" s="535"/>
      <c r="D2400" s="332"/>
      <c r="E2400" s="332"/>
      <c r="F2400" s="332"/>
      <c r="G2400" s="332"/>
      <c r="H2400" s="332"/>
      <c r="I2400" s="332"/>
      <c r="J2400" s="332"/>
      <c r="K2400" s="332">
        <f>5</f>
        <v>5</v>
      </c>
      <c r="L2400" s="332" t="s">
        <v>39805</v>
      </c>
      <c r="M2400" s="332">
        <f>0.3</f>
        <v>0.3</v>
      </c>
      <c r="N2400" s="332" t="s">
        <v>39794</v>
      </c>
      <c r="O2400" s="335">
        <f t="shared" si="125"/>
        <v>1.5</v>
      </c>
    </row>
    <row r="2401" spans="1:15" s="328" customFormat="1" x14ac:dyDescent="0.2">
      <c r="A2401" s="535" t="s">
        <v>40220</v>
      </c>
      <c r="B2401" s="535"/>
      <c r="C2401" s="535"/>
      <c r="D2401" s="332"/>
      <c r="E2401" s="332"/>
      <c r="F2401" s="332"/>
      <c r="G2401" s="332"/>
      <c r="H2401" s="332"/>
      <c r="I2401" s="332"/>
      <c r="J2401" s="332"/>
      <c r="K2401" s="332">
        <f>5</f>
        <v>5</v>
      </c>
      <c r="L2401" s="332" t="s">
        <v>39805</v>
      </c>
      <c r="M2401" s="332">
        <f>0.85</f>
        <v>0.85</v>
      </c>
      <c r="N2401" s="332" t="s">
        <v>39794</v>
      </c>
      <c r="O2401" s="335">
        <f t="shared" si="125"/>
        <v>4.25</v>
      </c>
    </row>
    <row r="2402" spans="1:15" s="328" customFormat="1" x14ac:dyDescent="0.2">
      <c r="A2402" s="535" t="s">
        <v>40221</v>
      </c>
      <c r="B2402" s="535"/>
      <c r="C2402" s="535"/>
      <c r="D2402" s="332"/>
      <c r="E2402" s="332"/>
      <c r="F2402" s="332"/>
      <c r="G2402" s="332"/>
      <c r="H2402" s="332"/>
      <c r="I2402" s="332"/>
      <c r="J2402" s="332"/>
      <c r="K2402" s="332">
        <f>5</f>
        <v>5</v>
      </c>
      <c r="L2402" s="332" t="s">
        <v>39805</v>
      </c>
      <c r="M2402" s="332">
        <f>5.7</f>
        <v>5.7</v>
      </c>
      <c r="N2402" s="332" t="s">
        <v>39794</v>
      </c>
      <c r="O2402" s="335">
        <f t="shared" si="125"/>
        <v>28.5</v>
      </c>
    </row>
    <row r="2403" spans="1:15" s="328" customFormat="1" x14ac:dyDescent="0.2">
      <c r="A2403" s="535" t="s">
        <v>40222</v>
      </c>
      <c r="B2403" s="535"/>
      <c r="C2403" s="535"/>
      <c r="D2403" s="332"/>
      <c r="E2403" s="332"/>
      <c r="F2403" s="332"/>
      <c r="G2403" s="332"/>
      <c r="H2403" s="332"/>
      <c r="I2403" s="332"/>
      <c r="J2403" s="332"/>
      <c r="K2403" s="332">
        <f>5</f>
        <v>5</v>
      </c>
      <c r="L2403" s="332" t="s">
        <v>39805</v>
      </c>
      <c r="M2403" s="332">
        <f>0.85</f>
        <v>0.85</v>
      </c>
      <c r="N2403" s="332" t="s">
        <v>39794</v>
      </c>
      <c r="O2403" s="335">
        <f t="shared" si="125"/>
        <v>4.25</v>
      </c>
    </row>
    <row r="2404" spans="1:15" s="328" customFormat="1" x14ac:dyDescent="0.2">
      <c r="A2404" s="535" t="s">
        <v>40223</v>
      </c>
      <c r="B2404" s="535"/>
      <c r="C2404" s="535"/>
      <c r="D2404" s="332"/>
      <c r="E2404" s="332"/>
      <c r="F2404" s="332"/>
      <c r="G2404" s="332"/>
      <c r="H2404" s="332"/>
      <c r="I2404" s="332"/>
      <c r="J2404" s="332"/>
      <c r="K2404" s="332">
        <f>5</f>
        <v>5</v>
      </c>
      <c r="L2404" s="332" t="s">
        <v>39805</v>
      </c>
      <c r="M2404" s="332">
        <f>0.3</f>
        <v>0.3</v>
      </c>
      <c r="N2404" s="332" t="s">
        <v>39794</v>
      </c>
      <c r="O2404" s="335">
        <f t="shared" si="125"/>
        <v>1.5</v>
      </c>
    </row>
    <row r="2405" spans="1:15" s="328" customFormat="1" x14ac:dyDescent="0.2">
      <c r="A2405" s="535" t="s">
        <v>40224</v>
      </c>
      <c r="B2405" s="535"/>
      <c r="C2405" s="535"/>
      <c r="D2405" s="332"/>
      <c r="E2405" s="332"/>
      <c r="F2405" s="332"/>
      <c r="G2405" s="332"/>
      <c r="H2405" s="332"/>
      <c r="I2405" s="332"/>
      <c r="J2405" s="332"/>
      <c r="K2405" s="332">
        <f>5</f>
        <v>5</v>
      </c>
      <c r="L2405" s="332" t="s">
        <v>39805</v>
      </c>
      <c r="M2405" s="332">
        <f>0.85</f>
        <v>0.85</v>
      </c>
      <c r="N2405" s="332" t="s">
        <v>39794</v>
      </c>
      <c r="O2405" s="335">
        <f t="shared" si="125"/>
        <v>4.25</v>
      </c>
    </row>
    <row r="2406" spans="1:15" s="328" customFormat="1" x14ac:dyDescent="0.2">
      <c r="A2406" s="535" t="s">
        <v>40225</v>
      </c>
      <c r="B2406" s="535"/>
      <c r="C2406" s="535"/>
      <c r="D2406" s="332"/>
      <c r="E2406" s="332"/>
      <c r="F2406" s="332"/>
      <c r="G2406" s="332"/>
      <c r="H2406" s="332"/>
      <c r="I2406" s="332"/>
      <c r="J2406" s="332"/>
      <c r="K2406" s="332">
        <f>5</f>
        <v>5</v>
      </c>
      <c r="L2406" s="332" t="s">
        <v>39805</v>
      </c>
      <c r="M2406" s="332">
        <f>5.7</f>
        <v>5.7</v>
      </c>
      <c r="N2406" s="332" t="s">
        <v>39794</v>
      </c>
      <c r="O2406" s="335">
        <f t="shared" si="125"/>
        <v>28.5</v>
      </c>
    </row>
    <row r="2407" spans="1:15" s="328" customFormat="1" x14ac:dyDescent="0.2">
      <c r="A2407" s="535" t="s">
        <v>40226</v>
      </c>
      <c r="B2407" s="535"/>
      <c r="C2407" s="535"/>
      <c r="D2407" s="332"/>
      <c r="E2407" s="332"/>
      <c r="F2407" s="332"/>
      <c r="G2407" s="332"/>
      <c r="H2407" s="332"/>
      <c r="I2407" s="332"/>
      <c r="J2407" s="332"/>
      <c r="K2407" s="332">
        <f>5</f>
        <v>5</v>
      </c>
      <c r="L2407" s="332" t="s">
        <v>39805</v>
      </c>
      <c r="M2407" s="332">
        <f>0.85</f>
        <v>0.85</v>
      </c>
      <c r="N2407" s="332" t="s">
        <v>39794</v>
      </c>
      <c r="O2407" s="335">
        <f t="shared" si="125"/>
        <v>4.25</v>
      </c>
    </row>
    <row r="2408" spans="1:15" s="328" customFormat="1" x14ac:dyDescent="0.2">
      <c r="A2408" s="535" t="s">
        <v>40227</v>
      </c>
      <c r="B2408" s="535"/>
      <c r="C2408" s="535"/>
      <c r="D2408" s="332"/>
      <c r="E2408" s="332"/>
      <c r="F2408" s="332"/>
      <c r="G2408" s="332"/>
      <c r="H2408" s="332"/>
      <c r="I2408" s="332"/>
      <c r="J2408" s="332"/>
      <c r="K2408" s="332">
        <f>5</f>
        <v>5</v>
      </c>
      <c r="L2408" s="332" t="s">
        <v>39805</v>
      </c>
      <c r="M2408" s="332">
        <f>0.3</f>
        <v>0.3</v>
      </c>
      <c r="N2408" s="332" t="s">
        <v>39794</v>
      </c>
      <c r="O2408" s="335">
        <f t="shared" si="125"/>
        <v>1.5</v>
      </c>
    </row>
    <row r="2409" spans="1:15" s="328" customFormat="1" x14ac:dyDescent="0.2">
      <c r="A2409" s="535" t="s">
        <v>40228</v>
      </c>
      <c r="B2409" s="535"/>
      <c r="C2409" s="535"/>
      <c r="D2409" s="332"/>
      <c r="E2409" s="332"/>
      <c r="F2409" s="332"/>
      <c r="G2409" s="332"/>
      <c r="H2409" s="332"/>
      <c r="I2409" s="332"/>
      <c r="J2409" s="332"/>
      <c r="K2409" s="332">
        <f>5</f>
        <v>5</v>
      </c>
      <c r="L2409" s="332" t="s">
        <v>39805</v>
      </c>
      <c r="M2409" s="332">
        <f>0.85</f>
        <v>0.85</v>
      </c>
      <c r="N2409" s="332" t="s">
        <v>39794</v>
      </c>
      <c r="O2409" s="335">
        <f t="shared" si="125"/>
        <v>4.25</v>
      </c>
    </row>
    <row r="2410" spans="1:15" s="328" customFormat="1" x14ac:dyDescent="0.2">
      <c r="A2410" s="535" t="s">
        <v>40229</v>
      </c>
      <c r="B2410" s="535"/>
      <c r="C2410" s="535"/>
      <c r="D2410" s="332"/>
      <c r="E2410" s="332"/>
      <c r="F2410" s="332"/>
      <c r="G2410" s="332"/>
      <c r="H2410" s="332"/>
      <c r="I2410" s="332"/>
      <c r="J2410" s="332"/>
      <c r="K2410" s="332">
        <f>5</f>
        <v>5</v>
      </c>
      <c r="L2410" s="332" t="s">
        <v>39805</v>
      </c>
      <c r="M2410" s="332">
        <f>9.2</f>
        <v>9.1999999999999993</v>
      </c>
      <c r="N2410" s="332" t="s">
        <v>39794</v>
      </c>
      <c r="O2410" s="335">
        <f t="shared" si="125"/>
        <v>46</v>
      </c>
    </row>
    <row r="2411" spans="1:15" s="328" customFormat="1" x14ac:dyDescent="0.2">
      <c r="A2411" s="535" t="s">
        <v>40230</v>
      </c>
      <c r="B2411" s="535"/>
      <c r="C2411" s="535"/>
      <c r="D2411" s="332"/>
      <c r="E2411" s="332"/>
      <c r="F2411" s="332"/>
      <c r="G2411" s="332"/>
      <c r="H2411" s="332"/>
      <c r="I2411" s="332"/>
      <c r="J2411" s="332"/>
      <c r="K2411" s="332">
        <f>6.89</f>
        <v>6.89</v>
      </c>
      <c r="L2411" s="332" t="s">
        <v>39805</v>
      </c>
      <c r="M2411" s="332">
        <f>0.85</f>
        <v>0.85</v>
      </c>
      <c r="N2411" s="332" t="s">
        <v>39794</v>
      </c>
      <c r="O2411" s="335">
        <f t="shared" si="125"/>
        <v>5.86</v>
      </c>
    </row>
    <row r="2412" spans="1:15" s="328" customFormat="1" x14ac:dyDescent="0.2">
      <c r="A2412" s="535" t="s">
        <v>40231</v>
      </c>
      <c r="B2412" s="535"/>
      <c r="C2412" s="535"/>
      <c r="D2412" s="332"/>
      <c r="E2412" s="332"/>
      <c r="F2412" s="332"/>
      <c r="G2412" s="332"/>
      <c r="H2412" s="332"/>
      <c r="I2412" s="332"/>
      <c r="J2412" s="332"/>
      <c r="K2412" s="332">
        <f t="shared" ref="K2412:K2414" si="126">6.89</f>
        <v>6.89</v>
      </c>
      <c r="L2412" s="332" t="s">
        <v>39805</v>
      </c>
      <c r="M2412" s="332">
        <f>1</f>
        <v>1</v>
      </c>
      <c r="N2412" s="332" t="s">
        <v>39794</v>
      </c>
      <c r="O2412" s="335">
        <f t="shared" si="125"/>
        <v>6.89</v>
      </c>
    </row>
    <row r="2413" spans="1:15" s="328" customFormat="1" x14ac:dyDescent="0.2">
      <c r="A2413" s="535" t="s">
        <v>40232</v>
      </c>
      <c r="B2413" s="535"/>
      <c r="C2413" s="535"/>
      <c r="D2413" s="332"/>
      <c r="E2413" s="332"/>
      <c r="F2413" s="332"/>
      <c r="G2413" s="332"/>
      <c r="H2413" s="332"/>
      <c r="I2413" s="332"/>
      <c r="J2413" s="332"/>
      <c r="K2413" s="332">
        <f t="shared" si="126"/>
        <v>6.89</v>
      </c>
      <c r="L2413" s="332" t="s">
        <v>39805</v>
      </c>
      <c r="M2413" s="332">
        <f>0.85</f>
        <v>0.85</v>
      </c>
      <c r="N2413" s="332" t="s">
        <v>39794</v>
      </c>
      <c r="O2413" s="335">
        <f t="shared" si="125"/>
        <v>5.86</v>
      </c>
    </row>
    <row r="2414" spans="1:15" s="328" customFormat="1" x14ac:dyDescent="0.2">
      <c r="A2414" s="535" t="s">
        <v>40233</v>
      </c>
      <c r="B2414" s="535"/>
      <c r="C2414" s="535"/>
      <c r="D2414" s="332"/>
      <c r="E2414" s="332"/>
      <c r="F2414" s="332"/>
      <c r="G2414" s="332"/>
      <c r="H2414" s="332"/>
      <c r="I2414" s="332"/>
      <c r="J2414" s="332"/>
      <c r="K2414" s="332">
        <f t="shared" si="126"/>
        <v>6.89</v>
      </c>
      <c r="L2414" s="332" t="s">
        <v>39805</v>
      </c>
      <c r="M2414" s="332">
        <f>0.15</f>
        <v>0.15</v>
      </c>
      <c r="N2414" s="332" t="s">
        <v>39794</v>
      </c>
      <c r="O2414" s="335">
        <f t="shared" si="125"/>
        <v>1.03</v>
      </c>
    </row>
    <row r="2415" spans="1:15" s="328" customFormat="1" x14ac:dyDescent="0.2">
      <c r="A2415" s="535" t="s">
        <v>40234</v>
      </c>
      <c r="B2415" s="535"/>
      <c r="C2415" s="535"/>
      <c r="D2415" s="332"/>
      <c r="E2415" s="332"/>
      <c r="F2415" s="332"/>
      <c r="G2415" s="332"/>
      <c r="H2415" s="332"/>
      <c r="I2415" s="332"/>
      <c r="J2415" s="332"/>
      <c r="K2415" s="332">
        <f>1.6</f>
        <v>1.6</v>
      </c>
      <c r="L2415" s="332" t="s">
        <v>39805</v>
      </c>
      <c r="M2415" s="332">
        <f>4</f>
        <v>4</v>
      </c>
      <c r="N2415" s="332" t="s">
        <v>39794</v>
      </c>
      <c r="O2415" s="335">
        <f t="shared" si="125"/>
        <v>6.4</v>
      </c>
    </row>
    <row r="2416" spans="1:15" s="328" customFormat="1" x14ac:dyDescent="0.2">
      <c r="A2416" s="535" t="s">
        <v>40235</v>
      </c>
      <c r="B2416" s="535"/>
      <c r="C2416" s="535"/>
      <c r="D2416" s="332"/>
      <c r="E2416" s="332"/>
      <c r="F2416" s="332"/>
      <c r="G2416" s="332"/>
      <c r="H2416" s="332"/>
      <c r="I2416" s="332"/>
      <c r="J2416" s="332"/>
      <c r="K2416" s="332">
        <f>6.89</f>
        <v>6.89</v>
      </c>
      <c r="L2416" s="332" t="s">
        <v>39805</v>
      </c>
      <c r="M2416" s="332">
        <f>2</f>
        <v>2</v>
      </c>
      <c r="N2416" s="332" t="s">
        <v>39794</v>
      </c>
      <c r="O2416" s="335">
        <f t="shared" si="125"/>
        <v>13.78</v>
      </c>
    </row>
    <row r="2417" spans="1:15" s="328" customFormat="1" x14ac:dyDescent="0.2">
      <c r="A2417" s="535" t="s">
        <v>40236</v>
      </c>
      <c r="B2417" s="535"/>
      <c r="C2417" s="535"/>
      <c r="D2417" s="332"/>
      <c r="E2417" s="332"/>
      <c r="F2417" s="332"/>
      <c r="G2417" s="332"/>
      <c r="H2417" s="332"/>
      <c r="I2417" s="332"/>
      <c r="J2417" s="332"/>
      <c r="K2417" s="332">
        <f t="shared" ref="K2417:K2419" si="127">6.89</f>
        <v>6.89</v>
      </c>
      <c r="L2417" s="332" t="s">
        <v>39805</v>
      </c>
      <c r="M2417" s="332">
        <f>0.85</f>
        <v>0.85</v>
      </c>
      <c r="N2417" s="332" t="s">
        <v>39794</v>
      </c>
      <c r="O2417" s="335">
        <f t="shared" si="125"/>
        <v>5.86</v>
      </c>
    </row>
    <row r="2418" spans="1:15" s="328" customFormat="1" x14ac:dyDescent="0.2">
      <c r="A2418" s="535" t="s">
        <v>40237</v>
      </c>
      <c r="B2418" s="535"/>
      <c r="C2418" s="535"/>
      <c r="D2418" s="332"/>
      <c r="E2418" s="332"/>
      <c r="F2418" s="332"/>
      <c r="G2418" s="332"/>
      <c r="H2418" s="332"/>
      <c r="I2418" s="332"/>
      <c r="J2418" s="332"/>
      <c r="K2418" s="332">
        <f t="shared" si="127"/>
        <v>6.89</v>
      </c>
      <c r="L2418" s="332" t="s">
        <v>39805</v>
      </c>
      <c r="M2418" s="332">
        <f>0.3</f>
        <v>0.3</v>
      </c>
      <c r="N2418" s="332" t="s">
        <v>39794</v>
      </c>
      <c r="O2418" s="335">
        <f t="shared" si="125"/>
        <v>2.0699999999999998</v>
      </c>
    </row>
    <row r="2419" spans="1:15" s="328" customFormat="1" x14ac:dyDescent="0.2">
      <c r="A2419" s="535" t="s">
        <v>40238</v>
      </c>
      <c r="B2419" s="535"/>
      <c r="C2419" s="535"/>
      <c r="D2419" s="332"/>
      <c r="E2419" s="332"/>
      <c r="F2419" s="332"/>
      <c r="G2419" s="332"/>
      <c r="H2419" s="332"/>
      <c r="I2419" s="332"/>
      <c r="J2419" s="332"/>
      <c r="K2419" s="332">
        <f t="shared" si="127"/>
        <v>6.89</v>
      </c>
      <c r="L2419" s="332" t="s">
        <v>39805</v>
      </c>
      <c r="M2419" s="332">
        <f>0.85</f>
        <v>0.85</v>
      </c>
      <c r="N2419" s="332" t="s">
        <v>39794</v>
      </c>
      <c r="O2419" s="335">
        <f t="shared" si="125"/>
        <v>5.86</v>
      </c>
    </row>
    <row r="2420" spans="1:15" s="328" customFormat="1" x14ac:dyDescent="0.2">
      <c r="A2420" s="535" t="s">
        <v>40239</v>
      </c>
      <c r="B2420" s="535"/>
      <c r="C2420" s="535"/>
      <c r="D2420" s="332"/>
      <c r="E2420" s="332"/>
      <c r="F2420" s="332"/>
      <c r="G2420" s="332"/>
      <c r="H2420" s="332"/>
      <c r="I2420" s="332"/>
      <c r="J2420" s="332"/>
      <c r="K2420" s="332">
        <f>1.6</f>
        <v>1.6</v>
      </c>
      <c r="L2420" s="332" t="s">
        <v>39805</v>
      </c>
      <c r="M2420" s="332">
        <f>4</f>
        <v>4</v>
      </c>
      <c r="N2420" s="332" t="s">
        <v>39794</v>
      </c>
      <c r="O2420" s="335">
        <f t="shared" si="125"/>
        <v>6.4</v>
      </c>
    </row>
    <row r="2421" spans="1:15" s="328" customFormat="1" x14ac:dyDescent="0.2">
      <c r="A2421" s="535" t="s">
        <v>40240</v>
      </c>
      <c r="B2421" s="535"/>
      <c r="C2421" s="535"/>
      <c r="D2421" s="332"/>
      <c r="E2421" s="332"/>
      <c r="F2421" s="332"/>
      <c r="G2421" s="332"/>
      <c r="H2421" s="332"/>
      <c r="I2421" s="332"/>
      <c r="J2421" s="332"/>
      <c r="K2421" s="332">
        <f>6.89</f>
        <v>6.89</v>
      </c>
      <c r="L2421" s="332" t="s">
        <v>39805</v>
      </c>
      <c r="M2421" s="332">
        <f>1.95</f>
        <v>1.95</v>
      </c>
      <c r="N2421" s="332" t="s">
        <v>39794</v>
      </c>
      <c r="O2421" s="335">
        <f t="shared" si="125"/>
        <v>13.44</v>
      </c>
    </row>
    <row r="2422" spans="1:15" s="328" customFormat="1" x14ac:dyDescent="0.2">
      <c r="A2422" s="535" t="s">
        <v>40241</v>
      </c>
      <c r="B2422" s="535"/>
      <c r="C2422" s="535"/>
      <c r="D2422" s="332"/>
      <c r="E2422" s="332"/>
      <c r="F2422" s="332"/>
      <c r="G2422" s="332"/>
      <c r="H2422" s="332"/>
      <c r="I2422" s="332"/>
      <c r="J2422" s="332"/>
      <c r="K2422" s="332">
        <f>6.89</f>
        <v>6.89</v>
      </c>
      <c r="L2422" s="332" t="s">
        <v>39805</v>
      </c>
      <c r="M2422" s="332">
        <f>0.85</f>
        <v>0.85</v>
      </c>
      <c r="N2422" s="332" t="s">
        <v>39794</v>
      </c>
      <c r="O2422" s="335">
        <f t="shared" si="125"/>
        <v>5.86</v>
      </c>
    </row>
    <row r="2423" spans="1:15" s="328" customFormat="1" x14ac:dyDescent="0.2">
      <c r="A2423" s="535" t="s">
        <v>40242</v>
      </c>
      <c r="B2423" s="535"/>
      <c r="C2423" s="535"/>
      <c r="D2423" s="332"/>
      <c r="E2423" s="332"/>
      <c r="F2423" s="332"/>
      <c r="G2423" s="332"/>
      <c r="H2423" s="332"/>
      <c r="I2423" s="332"/>
      <c r="J2423" s="332"/>
      <c r="K2423" s="332">
        <f t="shared" ref="K2423:K2430" si="128">6.89</f>
        <v>6.89</v>
      </c>
      <c r="L2423" s="332" t="s">
        <v>39805</v>
      </c>
      <c r="M2423" s="332">
        <f>0.3</f>
        <v>0.3</v>
      </c>
      <c r="N2423" s="332" t="s">
        <v>39794</v>
      </c>
      <c r="O2423" s="335">
        <f t="shared" si="125"/>
        <v>2.0699999999999998</v>
      </c>
    </row>
    <row r="2424" spans="1:15" s="328" customFormat="1" x14ac:dyDescent="0.2">
      <c r="A2424" s="535" t="s">
        <v>40243</v>
      </c>
      <c r="B2424" s="535"/>
      <c r="C2424" s="535"/>
      <c r="D2424" s="332"/>
      <c r="E2424" s="332"/>
      <c r="F2424" s="332"/>
      <c r="G2424" s="332"/>
      <c r="H2424" s="332"/>
      <c r="I2424" s="332"/>
      <c r="J2424" s="332"/>
      <c r="K2424" s="332">
        <f t="shared" si="128"/>
        <v>6.89</v>
      </c>
      <c r="L2424" s="332" t="s">
        <v>39805</v>
      </c>
      <c r="M2424" s="332">
        <f>0.85</f>
        <v>0.85</v>
      </c>
      <c r="N2424" s="332" t="s">
        <v>39794</v>
      </c>
      <c r="O2424" s="335">
        <f t="shared" si="125"/>
        <v>5.86</v>
      </c>
    </row>
    <row r="2425" spans="1:15" s="328" customFormat="1" x14ac:dyDescent="0.2">
      <c r="A2425" s="535" t="s">
        <v>40244</v>
      </c>
      <c r="B2425" s="535"/>
      <c r="C2425" s="535"/>
      <c r="D2425" s="332"/>
      <c r="E2425" s="332"/>
      <c r="F2425" s="332"/>
      <c r="G2425" s="332"/>
      <c r="H2425" s="332"/>
      <c r="I2425" s="332"/>
      <c r="J2425" s="332"/>
      <c r="K2425" s="332">
        <f>1.6</f>
        <v>1.6</v>
      </c>
      <c r="L2425" s="332" t="s">
        <v>39805</v>
      </c>
      <c r="M2425" s="332">
        <f>4</f>
        <v>4</v>
      </c>
      <c r="N2425" s="332" t="s">
        <v>39794</v>
      </c>
      <c r="O2425" s="335">
        <f t="shared" si="125"/>
        <v>6.4</v>
      </c>
    </row>
    <row r="2426" spans="1:15" s="328" customFormat="1" x14ac:dyDescent="0.2">
      <c r="A2426" s="535" t="s">
        <v>40245</v>
      </c>
      <c r="B2426" s="535"/>
      <c r="C2426" s="535"/>
      <c r="D2426" s="332"/>
      <c r="E2426" s="332"/>
      <c r="F2426" s="332"/>
      <c r="G2426" s="332"/>
      <c r="H2426" s="332"/>
      <c r="I2426" s="332"/>
      <c r="J2426" s="332"/>
      <c r="K2426" s="332">
        <f t="shared" si="128"/>
        <v>6.89</v>
      </c>
      <c r="L2426" s="332" t="s">
        <v>39805</v>
      </c>
      <c r="M2426" s="332">
        <f>0.15</f>
        <v>0.15</v>
      </c>
      <c r="N2426" s="332" t="s">
        <v>39794</v>
      </c>
      <c r="O2426" s="335">
        <f t="shared" si="125"/>
        <v>1.03</v>
      </c>
    </row>
    <row r="2427" spans="1:15" s="328" customFormat="1" x14ac:dyDescent="0.2">
      <c r="A2427" s="535" t="s">
        <v>40246</v>
      </c>
      <c r="B2427" s="535"/>
      <c r="C2427" s="535"/>
      <c r="D2427" s="332"/>
      <c r="E2427" s="332"/>
      <c r="F2427" s="332"/>
      <c r="G2427" s="332"/>
      <c r="H2427" s="332"/>
      <c r="I2427" s="332"/>
      <c r="J2427" s="332"/>
      <c r="K2427" s="332">
        <f t="shared" si="128"/>
        <v>6.89</v>
      </c>
      <c r="L2427" s="332" t="s">
        <v>39805</v>
      </c>
      <c r="M2427" s="332">
        <f>0.15</f>
        <v>0.15</v>
      </c>
      <c r="N2427" s="332" t="s">
        <v>39794</v>
      </c>
      <c r="O2427" s="335">
        <f t="shared" si="125"/>
        <v>1.03</v>
      </c>
    </row>
    <row r="2428" spans="1:15" s="328" customFormat="1" x14ac:dyDescent="0.2">
      <c r="A2428" s="535" t="s">
        <v>40247</v>
      </c>
      <c r="B2428" s="535"/>
      <c r="C2428" s="535"/>
      <c r="D2428" s="332"/>
      <c r="E2428" s="332"/>
      <c r="F2428" s="332"/>
      <c r="G2428" s="332"/>
      <c r="H2428" s="332"/>
      <c r="I2428" s="332"/>
      <c r="J2428" s="332"/>
      <c r="K2428" s="332">
        <f t="shared" si="128"/>
        <v>6.89</v>
      </c>
      <c r="L2428" s="332" t="s">
        <v>39805</v>
      </c>
      <c r="M2428" s="332">
        <f>0.7</f>
        <v>0.7</v>
      </c>
      <c r="N2428" s="332" t="s">
        <v>39794</v>
      </c>
      <c r="O2428" s="335">
        <f t="shared" si="125"/>
        <v>4.82</v>
      </c>
    </row>
    <row r="2429" spans="1:15" s="328" customFormat="1" x14ac:dyDescent="0.2">
      <c r="A2429" s="535" t="s">
        <v>40248</v>
      </c>
      <c r="B2429" s="535"/>
      <c r="C2429" s="535"/>
      <c r="D2429" s="332"/>
      <c r="E2429" s="332"/>
      <c r="F2429" s="332"/>
      <c r="G2429" s="332"/>
      <c r="H2429" s="332"/>
      <c r="I2429" s="332"/>
      <c r="J2429" s="332"/>
      <c r="K2429" s="332">
        <f t="shared" si="128"/>
        <v>6.89</v>
      </c>
      <c r="L2429" s="332" t="s">
        <v>39805</v>
      </c>
      <c r="M2429" s="332">
        <f>0.15</f>
        <v>0.15</v>
      </c>
      <c r="N2429" s="332" t="s">
        <v>39794</v>
      </c>
      <c r="O2429" s="335">
        <f t="shared" si="125"/>
        <v>1.03</v>
      </c>
    </row>
    <row r="2430" spans="1:15" s="328" customFormat="1" x14ac:dyDescent="0.2">
      <c r="A2430" s="535" t="s">
        <v>40249</v>
      </c>
      <c r="B2430" s="535"/>
      <c r="C2430" s="535"/>
      <c r="D2430" s="332"/>
      <c r="E2430" s="332"/>
      <c r="F2430" s="332"/>
      <c r="G2430" s="332"/>
      <c r="H2430" s="332"/>
      <c r="I2430" s="332"/>
      <c r="J2430" s="332"/>
      <c r="K2430" s="332">
        <f t="shared" si="128"/>
        <v>6.89</v>
      </c>
      <c r="L2430" s="332" t="s">
        <v>39805</v>
      </c>
      <c r="M2430" s="332">
        <f>1</f>
        <v>1</v>
      </c>
      <c r="N2430" s="332" t="s">
        <v>39794</v>
      </c>
      <c r="O2430" s="335">
        <f t="shared" si="125"/>
        <v>6.89</v>
      </c>
    </row>
    <row r="2431" spans="1:15" s="328" customFormat="1" x14ac:dyDescent="0.2">
      <c r="A2431" s="535" t="s">
        <v>40250</v>
      </c>
      <c r="B2431" s="535"/>
      <c r="C2431" s="535"/>
      <c r="D2431" s="332"/>
      <c r="E2431" s="332"/>
      <c r="F2431" s="332"/>
      <c r="G2431" s="332"/>
      <c r="H2431" s="332"/>
      <c r="I2431" s="332"/>
      <c r="J2431" s="332"/>
      <c r="K2431" s="332">
        <f>1.6</f>
        <v>1.6</v>
      </c>
      <c r="L2431" s="332" t="s">
        <v>39805</v>
      </c>
      <c r="M2431" s="332">
        <f>5.9</f>
        <v>5.9</v>
      </c>
      <c r="N2431" s="332" t="s">
        <v>39794</v>
      </c>
      <c r="O2431" s="335">
        <f t="shared" si="125"/>
        <v>9.44</v>
      </c>
    </row>
    <row r="2432" spans="1:15" s="328" customFormat="1" x14ac:dyDescent="0.2">
      <c r="A2432" s="535" t="s">
        <v>40251</v>
      </c>
      <c r="B2432" s="535"/>
      <c r="C2432" s="535"/>
      <c r="D2432" s="332"/>
      <c r="E2432" s="332"/>
      <c r="F2432" s="332"/>
      <c r="G2432" s="332"/>
      <c r="H2432" s="332"/>
      <c r="I2432" s="332"/>
      <c r="J2432" s="332"/>
      <c r="K2432" s="332">
        <f>1.6</f>
        <v>1.6</v>
      </c>
      <c r="L2432" s="332" t="s">
        <v>39805</v>
      </c>
      <c r="M2432" s="332">
        <f>1.3</f>
        <v>1.3</v>
      </c>
      <c r="N2432" s="332" t="s">
        <v>39794</v>
      </c>
      <c r="O2432" s="335">
        <f t="shared" si="125"/>
        <v>2.08</v>
      </c>
    </row>
    <row r="2433" spans="1:15" s="328" customFormat="1" x14ac:dyDescent="0.2">
      <c r="A2433" s="535" t="s">
        <v>40252</v>
      </c>
      <c r="B2433" s="535"/>
      <c r="C2433" s="535"/>
      <c r="D2433" s="332"/>
      <c r="E2433" s="332"/>
      <c r="F2433" s="332"/>
      <c r="G2433" s="332"/>
      <c r="H2433" s="332"/>
      <c r="I2433" s="332"/>
      <c r="J2433" s="332"/>
      <c r="K2433" s="332">
        <f t="shared" ref="K2433:K2434" si="129">1.6</f>
        <v>1.6</v>
      </c>
      <c r="L2433" s="332" t="s">
        <v>39805</v>
      </c>
      <c r="M2433" s="332">
        <f>3.1</f>
        <v>3.1</v>
      </c>
      <c r="N2433" s="332" t="s">
        <v>39794</v>
      </c>
      <c r="O2433" s="335">
        <f t="shared" si="125"/>
        <v>4.96</v>
      </c>
    </row>
    <row r="2434" spans="1:15" s="328" customFormat="1" x14ac:dyDescent="0.2">
      <c r="A2434" s="535" t="s">
        <v>40253</v>
      </c>
      <c r="B2434" s="535"/>
      <c r="C2434" s="535"/>
      <c r="D2434" s="332"/>
      <c r="E2434" s="332"/>
      <c r="F2434" s="332"/>
      <c r="G2434" s="332"/>
      <c r="H2434" s="332"/>
      <c r="I2434" s="332"/>
      <c r="J2434" s="332"/>
      <c r="K2434" s="332">
        <f t="shared" si="129"/>
        <v>1.6</v>
      </c>
      <c r="L2434" s="332" t="s">
        <v>39805</v>
      </c>
      <c r="M2434" s="332">
        <f>3.1</f>
        <v>3.1</v>
      </c>
      <c r="N2434" s="332" t="s">
        <v>39794</v>
      </c>
      <c r="O2434" s="335">
        <f t="shared" si="125"/>
        <v>4.96</v>
      </c>
    </row>
    <row r="2435" spans="1:15" s="328" customFormat="1" x14ac:dyDescent="0.2">
      <c r="A2435" s="535" t="s">
        <v>40254</v>
      </c>
      <c r="B2435" s="535"/>
      <c r="C2435" s="535"/>
      <c r="D2435" s="332"/>
      <c r="E2435" s="332"/>
      <c r="F2435" s="332"/>
      <c r="G2435" s="332"/>
      <c r="H2435" s="332"/>
      <c r="I2435" s="332"/>
      <c r="J2435" s="332"/>
      <c r="K2435" s="332">
        <f>6.89</f>
        <v>6.89</v>
      </c>
      <c r="L2435" s="332" t="s">
        <v>39805</v>
      </c>
      <c r="M2435" s="332">
        <f>1</f>
        <v>1</v>
      </c>
      <c r="N2435" s="332" t="s">
        <v>39794</v>
      </c>
      <c r="O2435" s="335">
        <f t="shared" si="125"/>
        <v>6.89</v>
      </c>
    </row>
    <row r="2436" spans="1:15" s="328" customFormat="1" x14ac:dyDescent="0.2">
      <c r="A2436" s="535" t="s">
        <v>40255</v>
      </c>
      <c r="B2436" s="535"/>
      <c r="C2436" s="535"/>
      <c r="D2436" s="332"/>
      <c r="E2436" s="332"/>
      <c r="F2436" s="332"/>
      <c r="G2436" s="332"/>
      <c r="H2436" s="332"/>
      <c r="I2436" s="332"/>
      <c r="J2436" s="332"/>
      <c r="K2436" s="332">
        <f t="shared" ref="K2436:K2438" si="130">6.89</f>
        <v>6.89</v>
      </c>
      <c r="L2436" s="332" t="s">
        <v>39805</v>
      </c>
      <c r="M2436" s="332">
        <f>1</f>
        <v>1</v>
      </c>
      <c r="N2436" s="332" t="s">
        <v>39794</v>
      </c>
      <c r="O2436" s="335">
        <f t="shared" si="125"/>
        <v>6.89</v>
      </c>
    </row>
    <row r="2437" spans="1:15" s="328" customFormat="1" x14ac:dyDescent="0.2">
      <c r="A2437" s="535" t="s">
        <v>40256</v>
      </c>
      <c r="B2437" s="535"/>
      <c r="C2437" s="535"/>
      <c r="D2437" s="332"/>
      <c r="E2437" s="332"/>
      <c r="F2437" s="332"/>
      <c r="G2437" s="332"/>
      <c r="H2437" s="332"/>
      <c r="I2437" s="332"/>
      <c r="J2437" s="332"/>
      <c r="K2437" s="332">
        <f t="shared" si="130"/>
        <v>6.89</v>
      </c>
      <c r="L2437" s="332" t="s">
        <v>39805</v>
      </c>
      <c r="M2437" s="332">
        <f>0.85</f>
        <v>0.85</v>
      </c>
      <c r="N2437" s="332" t="s">
        <v>39794</v>
      </c>
      <c r="O2437" s="335">
        <f t="shared" si="125"/>
        <v>5.86</v>
      </c>
    </row>
    <row r="2438" spans="1:15" s="328" customFormat="1" x14ac:dyDescent="0.2">
      <c r="A2438" s="535" t="s">
        <v>40257</v>
      </c>
      <c r="B2438" s="535"/>
      <c r="C2438" s="535"/>
      <c r="D2438" s="332"/>
      <c r="E2438" s="332"/>
      <c r="F2438" s="332"/>
      <c r="G2438" s="332"/>
      <c r="H2438" s="332"/>
      <c r="I2438" s="332"/>
      <c r="J2438" s="332"/>
      <c r="K2438" s="332">
        <f t="shared" si="130"/>
        <v>6.89</v>
      </c>
      <c r="L2438" s="332" t="s">
        <v>39805</v>
      </c>
      <c r="M2438" s="332">
        <f>0.15</f>
        <v>0.15</v>
      </c>
      <c r="N2438" s="332" t="s">
        <v>39794</v>
      </c>
      <c r="O2438" s="335">
        <f t="shared" si="125"/>
        <v>1.03</v>
      </c>
    </row>
    <row r="2439" spans="1:15" s="328" customFormat="1" x14ac:dyDescent="0.2">
      <c r="A2439" s="535" t="s">
        <v>40258</v>
      </c>
      <c r="B2439" s="535"/>
      <c r="C2439" s="535"/>
      <c r="D2439" s="332"/>
      <c r="E2439" s="332"/>
      <c r="F2439" s="332"/>
      <c r="G2439" s="332"/>
      <c r="H2439" s="332"/>
      <c r="I2439" s="332"/>
      <c r="J2439" s="332"/>
      <c r="K2439" s="332">
        <f>1.6</f>
        <v>1.6</v>
      </c>
      <c r="L2439" s="332" t="s">
        <v>39805</v>
      </c>
      <c r="M2439" s="332">
        <f>4</f>
        <v>4</v>
      </c>
      <c r="N2439" s="332" t="s">
        <v>39794</v>
      </c>
      <c r="O2439" s="335">
        <f t="shared" si="125"/>
        <v>6.4</v>
      </c>
    </row>
    <row r="2440" spans="1:15" s="328" customFormat="1" x14ac:dyDescent="0.2">
      <c r="A2440" s="535" t="s">
        <v>40259</v>
      </c>
      <c r="B2440" s="535"/>
      <c r="C2440" s="535"/>
      <c r="D2440" s="332"/>
      <c r="E2440" s="332"/>
      <c r="F2440" s="332"/>
      <c r="G2440" s="332"/>
      <c r="H2440" s="332"/>
      <c r="I2440" s="332"/>
      <c r="J2440" s="332"/>
      <c r="K2440" s="332">
        <f>6.89</f>
        <v>6.89</v>
      </c>
      <c r="L2440" s="332" t="s">
        <v>39805</v>
      </c>
      <c r="M2440" s="332">
        <f>1.95</f>
        <v>1.95</v>
      </c>
      <c r="N2440" s="332" t="s">
        <v>39794</v>
      </c>
      <c r="O2440" s="335">
        <f t="shared" si="125"/>
        <v>13.44</v>
      </c>
    </row>
    <row r="2441" spans="1:15" s="328" customFormat="1" x14ac:dyDescent="0.2">
      <c r="A2441" s="535" t="s">
        <v>40260</v>
      </c>
      <c r="B2441" s="535"/>
      <c r="C2441" s="535"/>
      <c r="D2441" s="332"/>
      <c r="E2441" s="332"/>
      <c r="F2441" s="332"/>
      <c r="G2441" s="332"/>
      <c r="H2441" s="332"/>
      <c r="I2441" s="332"/>
      <c r="J2441" s="332"/>
      <c r="K2441" s="332">
        <f t="shared" ref="K2441:K2443" si="131">6.89</f>
        <v>6.89</v>
      </c>
      <c r="L2441" s="332" t="s">
        <v>39805</v>
      </c>
      <c r="M2441" s="332">
        <f>0.85</f>
        <v>0.85</v>
      </c>
      <c r="N2441" s="332" t="s">
        <v>39794</v>
      </c>
      <c r="O2441" s="335">
        <f t="shared" si="125"/>
        <v>5.86</v>
      </c>
    </row>
    <row r="2442" spans="1:15" s="328" customFormat="1" x14ac:dyDescent="0.2">
      <c r="A2442" s="535" t="s">
        <v>40261</v>
      </c>
      <c r="B2442" s="535"/>
      <c r="C2442" s="535"/>
      <c r="D2442" s="332"/>
      <c r="E2442" s="332"/>
      <c r="F2442" s="332"/>
      <c r="G2442" s="332"/>
      <c r="H2442" s="332"/>
      <c r="I2442" s="332"/>
      <c r="J2442" s="332"/>
      <c r="K2442" s="332">
        <f t="shared" si="131"/>
        <v>6.89</v>
      </c>
      <c r="L2442" s="332" t="s">
        <v>39805</v>
      </c>
      <c r="M2442" s="332">
        <f>0.3</f>
        <v>0.3</v>
      </c>
      <c r="N2442" s="332" t="s">
        <v>39794</v>
      </c>
      <c r="O2442" s="335">
        <f t="shared" ref="O2442:O2454" si="132">ROUND(K2442*M2442,2)</f>
        <v>2.0699999999999998</v>
      </c>
    </row>
    <row r="2443" spans="1:15" s="328" customFormat="1" x14ac:dyDescent="0.2">
      <c r="A2443" s="535" t="s">
        <v>40262</v>
      </c>
      <c r="B2443" s="535"/>
      <c r="C2443" s="535"/>
      <c r="D2443" s="332"/>
      <c r="E2443" s="332"/>
      <c r="F2443" s="332"/>
      <c r="G2443" s="332"/>
      <c r="H2443" s="332"/>
      <c r="I2443" s="332"/>
      <c r="J2443" s="332"/>
      <c r="K2443" s="332">
        <f t="shared" si="131"/>
        <v>6.89</v>
      </c>
      <c r="L2443" s="332" t="s">
        <v>39805</v>
      </c>
      <c r="M2443" s="332">
        <f>0.85</f>
        <v>0.85</v>
      </c>
      <c r="N2443" s="332" t="s">
        <v>39794</v>
      </c>
      <c r="O2443" s="335">
        <f t="shared" si="132"/>
        <v>5.86</v>
      </c>
    </row>
    <row r="2444" spans="1:15" s="328" customFormat="1" x14ac:dyDescent="0.2">
      <c r="A2444" s="535" t="s">
        <v>40263</v>
      </c>
      <c r="B2444" s="535"/>
      <c r="C2444" s="535"/>
      <c r="D2444" s="332"/>
      <c r="E2444" s="332"/>
      <c r="F2444" s="332"/>
      <c r="G2444" s="332"/>
      <c r="H2444" s="332"/>
      <c r="I2444" s="332"/>
      <c r="J2444" s="332"/>
      <c r="K2444" s="332">
        <f>1.6</f>
        <v>1.6</v>
      </c>
      <c r="L2444" s="332" t="s">
        <v>39805</v>
      </c>
      <c r="M2444" s="332">
        <f>4</f>
        <v>4</v>
      </c>
      <c r="N2444" s="332" t="s">
        <v>39794</v>
      </c>
      <c r="O2444" s="335">
        <f t="shared" si="132"/>
        <v>6.4</v>
      </c>
    </row>
    <row r="2445" spans="1:15" s="328" customFormat="1" x14ac:dyDescent="0.2">
      <c r="A2445" s="535" t="s">
        <v>40264</v>
      </c>
      <c r="B2445" s="535"/>
      <c r="C2445" s="535"/>
      <c r="D2445" s="332"/>
      <c r="E2445" s="332"/>
      <c r="F2445" s="332"/>
      <c r="G2445" s="332"/>
      <c r="H2445" s="332"/>
      <c r="I2445" s="332"/>
      <c r="J2445" s="332"/>
      <c r="K2445" s="332">
        <f>6.89</f>
        <v>6.89</v>
      </c>
      <c r="L2445" s="332" t="s">
        <v>39805</v>
      </c>
      <c r="M2445" s="332">
        <f>2</f>
        <v>2</v>
      </c>
      <c r="N2445" s="332" t="s">
        <v>39794</v>
      </c>
      <c r="O2445" s="335">
        <f t="shared" si="132"/>
        <v>13.78</v>
      </c>
    </row>
    <row r="2446" spans="1:15" s="328" customFormat="1" x14ac:dyDescent="0.2">
      <c r="A2446" s="535" t="s">
        <v>40265</v>
      </c>
      <c r="B2446" s="535"/>
      <c r="C2446" s="535"/>
      <c r="D2446" s="332"/>
      <c r="E2446" s="332"/>
      <c r="F2446" s="332"/>
      <c r="G2446" s="332"/>
      <c r="H2446" s="332"/>
      <c r="I2446" s="332"/>
      <c r="J2446" s="332"/>
      <c r="K2446" s="332">
        <f t="shared" ref="K2446:K2448" si="133">6.89</f>
        <v>6.89</v>
      </c>
      <c r="L2446" s="332" t="s">
        <v>39805</v>
      </c>
      <c r="M2446" s="332">
        <f>0.85</f>
        <v>0.85</v>
      </c>
      <c r="N2446" s="332" t="s">
        <v>39794</v>
      </c>
      <c r="O2446" s="335">
        <f t="shared" si="132"/>
        <v>5.86</v>
      </c>
    </row>
    <row r="2447" spans="1:15" s="328" customFormat="1" x14ac:dyDescent="0.2">
      <c r="A2447" s="535" t="s">
        <v>40266</v>
      </c>
      <c r="B2447" s="535"/>
      <c r="C2447" s="535"/>
      <c r="D2447" s="332"/>
      <c r="E2447" s="332"/>
      <c r="F2447" s="332"/>
      <c r="G2447" s="332"/>
      <c r="H2447" s="332"/>
      <c r="I2447" s="332"/>
      <c r="J2447" s="332"/>
      <c r="K2447" s="332">
        <f t="shared" si="133"/>
        <v>6.89</v>
      </c>
      <c r="L2447" s="332" t="s">
        <v>39805</v>
      </c>
      <c r="M2447" s="332">
        <f>0.3</f>
        <v>0.3</v>
      </c>
      <c r="N2447" s="332" t="s">
        <v>39794</v>
      </c>
      <c r="O2447" s="335">
        <f t="shared" si="132"/>
        <v>2.0699999999999998</v>
      </c>
    </row>
    <row r="2448" spans="1:15" s="328" customFormat="1" x14ac:dyDescent="0.2">
      <c r="A2448" s="535" t="s">
        <v>40267</v>
      </c>
      <c r="B2448" s="535"/>
      <c r="C2448" s="535"/>
      <c r="D2448" s="332"/>
      <c r="E2448" s="332"/>
      <c r="F2448" s="332"/>
      <c r="G2448" s="332"/>
      <c r="H2448" s="332"/>
      <c r="I2448" s="332"/>
      <c r="J2448" s="332"/>
      <c r="K2448" s="332">
        <f t="shared" si="133"/>
        <v>6.89</v>
      </c>
      <c r="L2448" s="332" t="s">
        <v>39805</v>
      </c>
      <c r="M2448" s="332">
        <f>0.85</f>
        <v>0.85</v>
      </c>
      <c r="N2448" s="332" t="s">
        <v>39794</v>
      </c>
      <c r="O2448" s="335">
        <f t="shared" si="132"/>
        <v>5.86</v>
      </c>
    </row>
    <row r="2449" spans="1:15" s="328" customFormat="1" x14ac:dyDescent="0.2">
      <c r="A2449" s="535" t="s">
        <v>40268</v>
      </c>
      <c r="B2449" s="535"/>
      <c r="C2449" s="535"/>
      <c r="D2449" s="332"/>
      <c r="E2449" s="332"/>
      <c r="F2449" s="332"/>
      <c r="G2449" s="332"/>
      <c r="H2449" s="332"/>
      <c r="I2449" s="332"/>
      <c r="J2449" s="332"/>
      <c r="K2449" s="332">
        <f>1.6</f>
        <v>1.6</v>
      </c>
      <c r="L2449" s="332" t="s">
        <v>39805</v>
      </c>
      <c r="M2449" s="332">
        <f>4</f>
        <v>4</v>
      </c>
      <c r="N2449" s="332" t="s">
        <v>39794</v>
      </c>
      <c r="O2449" s="335">
        <f t="shared" si="132"/>
        <v>6.4</v>
      </c>
    </row>
    <row r="2450" spans="1:15" s="328" customFormat="1" x14ac:dyDescent="0.2">
      <c r="A2450" s="535" t="s">
        <v>40269</v>
      </c>
      <c r="B2450" s="535"/>
      <c r="C2450" s="535"/>
      <c r="D2450" s="332"/>
      <c r="E2450" s="332"/>
      <c r="F2450" s="332"/>
      <c r="G2450" s="332"/>
      <c r="H2450" s="332"/>
      <c r="I2450" s="332"/>
      <c r="J2450" s="332"/>
      <c r="K2450" s="332">
        <f>6.89</f>
        <v>6.89</v>
      </c>
      <c r="L2450" s="332" t="s">
        <v>39805</v>
      </c>
      <c r="M2450" s="332">
        <f>0.15</f>
        <v>0.15</v>
      </c>
      <c r="N2450" s="332" t="s">
        <v>39794</v>
      </c>
      <c r="O2450" s="335">
        <f t="shared" si="132"/>
        <v>1.03</v>
      </c>
    </row>
    <row r="2451" spans="1:15" s="328" customFormat="1" x14ac:dyDescent="0.2">
      <c r="A2451" s="535" t="s">
        <v>40270</v>
      </c>
      <c r="B2451" s="535"/>
      <c r="C2451" s="535"/>
      <c r="D2451" s="332"/>
      <c r="E2451" s="332"/>
      <c r="F2451" s="332"/>
      <c r="G2451" s="332"/>
      <c r="H2451" s="332"/>
      <c r="I2451" s="332"/>
      <c r="J2451" s="332"/>
      <c r="K2451" s="332">
        <f t="shared" ref="K2451:K2454" si="134">6.89</f>
        <v>6.89</v>
      </c>
      <c r="L2451" s="332" t="s">
        <v>39805</v>
      </c>
      <c r="M2451" s="332">
        <f>0.85</f>
        <v>0.85</v>
      </c>
      <c r="N2451" s="332" t="s">
        <v>39794</v>
      </c>
      <c r="O2451" s="335">
        <f t="shared" si="132"/>
        <v>5.86</v>
      </c>
    </row>
    <row r="2452" spans="1:15" s="328" customFormat="1" x14ac:dyDescent="0.2">
      <c r="A2452" s="535" t="s">
        <v>40271</v>
      </c>
      <c r="B2452" s="535"/>
      <c r="C2452" s="535"/>
      <c r="D2452" s="332"/>
      <c r="E2452" s="332"/>
      <c r="F2452" s="332"/>
      <c r="G2452" s="332"/>
      <c r="H2452" s="332"/>
      <c r="I2452" s="332"/>
      <c r="J2452" s="332"/>
      <c r="K2452" s="332">
        <f t="shared" si="134"/>
        <v>6.89</v>
      </c>
      <c r="L2452" s="332" t="s">
        <v>39805</v>
      </c>
      <c r="M2452" s="332">
        <f>0.15</f>
        <v>0.15</v>
      </c>
      <c r="N2452" s="332" t="s">
        <v>39794</v>
      </c>
      <c r="O2452" s="335">
        <f t="shared" si="132"/>
        <v>1.03</v>
      </c>
    </row>
    <row r="2453" spans="1:15" s="328" customFormat="1" x14ac:dyDescent="0.2">
      <c r="A2453" s="535" t="s">
        <v>40272</v>
      </c>
      <c r="B2453" s="535"/>
      <c r="C2453" s="535"/>
      <c r="D2453" s="332"/>
      <c r="E2453" s="332"/>
      <c r="F2453" s="332"/>
      <c r="G2453" s="332"/>
      <c r="H2453" s="332"/>
      <c r="I2453" s="332"/>
      <c r="J2453" s="332"/>
      <c r="K2453" s="332">
        <f t="shared" si="134"/>
        <v>6.89</v>
      </c>
      <c r="L2453" s="332" t="s">
        <v>39805</v>
      </c>
      <c r="M2453" s="332">
        <f>0.7</f>
        <v>0.7</v>
      </c>
      <c r="N2453" s="332" t="s">
        <v>39794</v>
      </c>
      <c r="O2453" s="335">
        <f t="shared" si="132"/>
        <v>4.82</v>
      </c>
    </row>
    <row r="2454" spans="1:15" s="328" customFormat="1" x14ac:dyDescent="0.2">
      <c r="A2454" s="535" t="s">
        <v>40273</v>
      </c>
      <c r="B2454" s="535"/>
      <c r="C2454" s="535"/>
      <c r="D2454" s="332"/>
      <c r="E2454" s="332"/>
      <c r="F2454" s="332"/>
      <c r="G2454" s="332"/>
      <c r="H2454" s="332"/>
      <c r="I2454" s="332"/>
      <c r="J2454" s="332"/>
      <c r="K2454" s="332">
        <f t="shared" si="134"/>
        <v>6.89</v>
      </c>
      <c r="L2454" s="332" t="s">
        <v>39805</v>
      </c>
      <c r="M2454" s="332">
        <f>0.15</f>
        <v>0.15</v>
      </c>
      <c r="N2454" s="332" t="s">
        <v>39794</v>
      </c>
      <c r="O2454" s="335">
        <f t="shared" si="132"/>
        <v>1.03</v>
      </c>
    </row>
    <row r="2455" spans="1:15" s="328" customFormat="1" x14ac:dyDescent="0.2">
      <c r="A2455" s="539" t="s">
        <v>5917</v>
      </c>
      <c r="B2455" s="539"/>
      <c r="C2455" s="539"/>
      <c r="D2455" s="333"/>
      <c r="E2455" s="333"/>
      <c r="F2455" s="333"/>
      <c r="G2455" s="333"/>
      <c r="H2455" s="333"/>
      <c r="I2455" s="333" t="s">
        <v>39792</v>
      </c>
      <c r="J2455" s="333" t="s">
        <v>39805</v>
      </c>
      <c r="K2455" s="333" t="s">
        <v>39823</v>
      </c>
      <c r="L2455" s="333" t="s">
        <v>39805</v>
      </c>
      <c r="M2455" s="333" t="s">
        <v>39885</v>
      </c>
      <c r="N2455" s="333" t="s">
        <v>39794</v>
      </c>
      <c r="O2455" s="333" t="s">
        <v>39795</v>
      </c>
    </row>
    <row r="2456" spans="1:15" s="328" customFormat="1" x14ac:dyDescent="0.2">
      <c r="A2456" s="535" t="s">
        <v>40276</v>
      </c>
      <c r="B2456" s="535"/>
      <c r="C2456" s="535"/>
      <c r="D2456" s="332"/>
      <c r="E2456" s="332"/>
      <c r="F2456" s="332"/>
      <c r="G2456" s="332"/>
      <c r="H2456" s="332"/>
      <c r="I2456" s="332">
        <f>6</f>
        <v>6</v>
      </c>
      <c r="J2456" s="332" t="s">
        <v>39805</v>
      </c>
      <c r="K2456" s="332">
        <f>3.2</f>
        <v>3.2</v>
      </c>
      <c r="L2456" s="332" t="s">
        <v>39805</v>
      </c>
      <c r="M2456" s="332">
        <f>2.6</f>
        <v>2.6</v>
      </c>
      <c r="N2456" s="332" t="s">
        <v>39794</v>
      </c>
      <c r="O2456" s="335">
        <f>ROUND(I2456*K2456*M2456,2)</f>
        <v>49.92</v>
      </c>
    </row>
    <row r="2457" spans="1:15" s="328" customFormat="1" x14ac:dyDescent="0.2">
      <c r="A2457" s="535" t="s">
        <v>40277</v>
      </c>
      <c r="B2457" s="535"/>
      <c r="C2457" s="535"/>
      <c r="D2457" s="332"/>
      <c r="E2457" s="332"/>
      <c r="F2457" s="332"/>
      <c r="G2457" s="332"/>
      <c r="H2457" s="332"/>
      <c r="I2457" s="332">
        <v>1</v>
      </c>
      <c r="J2457" s="332" t="s">
        <v>39805</v>
      </c>
      <c r="K2457" s="332">
        <f>3.2</f>
        <v>3.2</v>
      </c>
      <c r="L2457" s="332" t="s">
        <v>39805</v>
      </c>
      <c r="M2457" s="332">
        <f>4</f>
        <v>4</v>
      </c>
      <c r="N2457" s="332" t="s">
        <v>39794</v>
      </c>
      <c r="O2457" s="335">
        <f>ROUND(I2457*K2457*M2457,2)</f>
        <v>12.8</v>
      </c>
    </row>
    <row r="2458" spans="1:15" s="328" customFormat="1" x14ac:dyDescent="0.2">
      <c r="A2458" s="539" t="s">
        <v>5917</v>
      </c>
      <c r="B2458" s="539"/>
      <c r="C2458" s="539"/>
      <c r="D2458" s="333"/>
      <c r="E2458" s="333"/>
      <c r="F2458" s="333"/>
      <c r="G2458" s="333"/>
      <c r="H2458" s="333"/>
      <c r="I2458" s="333"/>
      <c r="J2458" s="333"/>
      <c r="K2458" s="333" t="s">
        <v>39823</v>
      </c>
      <c r="L2458" s="333" t="s">
        <v>39805</v>
      </c>
      <c r="M2458" s="333" t="s">
        <v>39802</v>
      </c>
      <c r="N2458" s="333" t="s">
        <v>39794</v>
      </c>
      <c r="O2458" s="333" t="s">
        <v>39795</v>
      </c>
    </row>
    <row r="2459" spans="1:15" s="328" customFormat="1" x14ac:dyDescent="0.2">
      <c r="A2459" s="535" t="s">
        <v>40138</v>
      </c>
      <c r="B2459" s="535"/>
      <c r="C2459" s="535"/>
      <c r="D2459" s="332"/>
      <c r="E2459" s="332"/>
      <c r="F2459" s="332"/>
      <c r="G2459" s="332"/>
      <c r="H2459" s="332"/>
      <c r="I2459" s="332"/>
      <c r="J2459" s="332"/>
      <c r="K2459" s="332">
        <f>1.8</f>
        <v>1.8</v>
      </c>
      <c r="L2459" s="332" t="s">
        <v>39805</v>
      </c>
      <c r="M2459" s="332">
        <f>45.3</f>
        <v>45.3</v>
      </c>
      <c r="N2459" s="332" t="s">
        <v>39794</v>
      </c>
      <c r="O2459" s="335">
        <f t="shared" ref="O2459:O2464" si="135">ROUND(K2459*M2459,2)</f>
        <v>81.540000000000006</v>
      </c>
    </row>
    <row r="2460" spans="1:15" s="328" customFormat="1" x14ac:dyDescent="0.2">
      <c r="A2460" s="535" t="s">
        <v>40139</v>
      </c>
      <c r="B2460" s="535"/>
      <c r="C2460" s="535"/>
      <c r="D2460" s="332"/>
      <c r="E2460" s="332"/>
      <c r="F2460" s="332"/>
      <c r="G2460" s="332"/>
      <c r="H2460" s="332"/>
      <c r="I2460" s="332"/>
      <c r="J2460" s="332"/>
      <c r="K2460" s="332">
        <f>1.8</f>
        <v>1.8</v>
      </c>
      <c r="L2460" s="332" t="s">
        <v>39805</v>
      </c>
      <c r="M2460" s="332">
        <f>13.2</f>
        <v>13.2</v>
      </c>
      <c r="N2460" s="332" t="s">
        <v>39794</v>
      </c>
      <c r="O2460" s="335">
        <f t="shared" si="135"/>
        <v>23.76</v>
      </c>
    </row>
    <row r="2461" spans="1:15" s="328" customFormat="1" x14ac:dyDescent="0.2">
      <c r="A2461" s="535" t="s">
        <v>40140</v>
      </c>
      <c r="B2461" s="535"/>
      <c r="C2461" s="535"/>
      <c r="D2461" s="332"/>
      <c r="E2461" s="332"/>
      <c r="F2461" s="332"/>
      <c r="G2461" s="332"/>
      <c r="H2461" s="332"/>
      <c r="I2461" s="332"/>
      <c r="J2461" s="332"/>
      <c r="K2461" s="332">
        <f>1.8</f>
        <v>1.8</v>
      </c>
      <c r="L2461" s="332" t="s">
        <v>39805</v>
      </c>
      <c r="M2461" s="332">
        <f>45.3</f>
        <v>45.3</v>
      </c>
      <c r="N2461" s="332" t="s">
        <v>39794</v>
      </c>
      <c r="O2461" s="335">
        <f t="shared" si="135"/>
        <v>81.540000000000006</v>
      </c>
    </row>
    <row r="2462" spans="1:15" s="328" customFormat="1" x14ac:dyDescent="0.2">
      <c r="A2462" s="535" t="s">
        <v>40141</v>
      </c>
      <c r="B2462" s="535"/>
      <c r="C2462" s="535"/>
      <c r="D2462" s="332"/>
      <c r="E2462" s="332"/>
      <c r="F2462" s="332"/>
      <c r="G2462" s="332"/>
      <c r="H2462" s="332"/>
      <c r="I2462" s="332"/>
      <c r="J2462" s="332"/>
      <c r="K2462" s="332">
        <f>2.2</f>
        <v>2.2000000000000002</v>
      </c>
      <c r="L2462" s="332" t="s">
        <v>39805</v>
      </c>
      <c r="M2462" s="332">
        <f>17.95</f>
        <v>17.95</v>
      </c>
      <c r="N2462" s="332" t="s">
        <v>39794</v>
      </c>
      <c r="O2462" s="335">
        <f t="shared" si="135"/>
        <v>39.49</v>
      </c>
    </row>
    <row r="2463" spans="1:15" s="328" customFormat="1" x14ac:dyDescent="0.2">
      <c r="A2463" s="535" t="s">
        <v>40142</v>
      </c>
      <c r="B2463" s="535"/>
      <c r="C2463" s="535"/>
      <c r="D2463" s="332"/>
      <c r="E2463" s="332"/>
      <c r="F2463" s="332"/>
      <c r="G2463" s="332"/>
      <c r="H2463" s="332"/>
      <c r="I2463" s="332"/>
      <c r="J2463" s="332"/>
      <c r="K2463" s="332">
        <f>2.2</f>
        <v>2.2000000000000002</v>
      </c>
      <c r="L2463" s="332" t="s">
        <v>39805</v>
      </c>
      <c r="M2463" s="332">
        <f>13.2</f>
        <v>13.2</v>
      </c>
      <c r="N2463" s="332" t="s">
        <v>39794</v>
      </c>
      <c r="O2463" s="335">
        <f t="shared" si="135"/>
        <v>29.04</v>
      </c>
    </row>
    <row r="2464" spans="1:15" s="328" customFormat="1" x14ac:dyDescent="0.2">
      <c r="A2464" s="535" t="s">
        <v>40143</v>
      </c>
      <c r="B2464" s="535"/>
      <c r="C2464" s="535"/>
      <c r="D2464" s="332"/>
      <c r="E2464" s="332"/>
      <c r="F2464" s="332"/>
      <c r="G2464" s="332"/>
      <c r="H2464" s="332"/>
      <c r="I2464" s="332"/>
      <c r="J2464" s="332"/>
      <c r="K2464" s="332">
        <f>2.2</f>
        <v>2.2000000000000002</v>
      </c>
      <c r="L2464" s="332" t="s">
        <v>39805</v>
      </c>
      <c r="M2464" s="332">
        <f>17.95</f>
        <v>17.95</v>
      </c>
      <c r="N2464" s="332" t="s">
        <v>39794</v>
      </c>
      <c r="O2464" s="335">
        <f t="shared" si="135"/>
        <v>39.49</v>
      </c>
    </row>
    <row r="2465" spans="1:15" s="328" customFormat="1" x14ac:dyDescent="0.2">
      <c r="A2465" s="539" t="s">
        <v>5917</v>
      </c>
      <c r="B2465" s="539"/>
      <c r="C2465" s="539"/>
      <c r="D2465" s="333"/>
      <c r="E2465" s="333"/>
      <c r="F2465" s="333"/>
      <c r="G2465" s="333" t="s">
        <v>39833</v>
      </c>
      <c r="H2465" s="333" t="s">
        <v>39805</v>
      </c>
      <c r="I2465" s="333" t="s">
        <v>39792</v>
      </c>
      <c r="J2465" s="333" t="s">
        <v>39805</v>
      </c>
      <c r="K2465" s="333" t="s">
        <v>39823</v>
      </c>
      <c r="L2465" s="333" t="s">
        <v>39805</v>
      </c>
      <c r="M2465" s="333" t="s">
        <v>39802</v>
      </c>
      <c r="N2465" s="333" t="s">
        <v>39794</v>
      </c>
      <c r="O2465" s="333" t="s">
        <v>39795</v>
      </c>
    </row>
    <row r="2466" spans="1:15" s="328" customFormat="1" x14ac:dyDescent="0.2">
      <c r="A2466" s="535" t="s">
        <v>40274</v>
      </c>
      <c r="B2466" s="535"/>
      <c r="C2466" s="535"/>
      <c r="D2466" s="332"/>
      <c r="E2466" s="332"/>
      <c r="F2466" s="332"/>
      <c r="G2466" s="332">
        <f>2</f>
        <v>2</v>
      </c>
      <c r="H2466" s="332" t="s">
        <v>39805</v>
      </c>
      <c r="I2466" s="332">
        <f>2</f>
        <v>2</v>
      </c>
      <c r="J2466" s="332" t="s">
        <v>39805</v>
      </c>
      <c r="K2466" s="332">
        <f>3.9</f>
        <v>3.9</v>
      </c>
      <c r="L2466" s="332" t="s">
        <v>39805</v>
      </c>
      <c r="M2466" s="332">
        <f>18.24</f>
        <v>18.239999999999998</v>
      </c>
      <c r="N2466" s="332" t="s">
        <v>39794</v>
      </c>
      <c r="O2466" s="335">
        <f>ROUND(G2466*I2466*K2466*M2466,2)</f>
        <v>284.54000000000002</v>
      </c>
    </row>
    <row r="2467" spans="1:15" s="328" customFormat="1" x14ac:dyDescent="0.2">
      <c r="A2467" s="535" t="s">
        <v>40275</v>
      </c>
      <c r="B2467" s="535"/>
      <c r="C2467" s="535"/>
      <c r="D2467" s="332"/>
      <c r="E2467" s="332"/>
      <c r="F2467" s="332"/>
      <c r="G2467" s="332">
        <f>2</f>
        <v>2</v>
      </c>
      <c r="H2467" s="332" t="s">
        <v>39805</v>
      </c>
      <c r="I2467" s="332">
        <f>2</f>
        <v>2</v>
      </c>
      <c r="J2467" s="332" t="s">
        <v>39805</v>
      </c>
      <c r="K2467" s="332">
        <f>3.9</f>
        <v>3.9</v>
      </c>
      <c r="L2467" s="332" t="s">
        <v>39805</v>
      </c>
      <c r="M2467" s="332">
        <f>0.25</f>
        <v>0.25</v>
      </c>
      <c r="N2467" s="332" t="s">
        <v>39794</v>
      </c>
      <c r="O2467" s="335">
        <f>ROUND(G2467*I2467*K2467*M2467,2)</f>
        <v>3.9</v>
      </c>
    </row>
    <row r="2468" spans="1:15" s="328" customFormat="1" x14ac:dyDescent="0.2">
      <c r="A2468" s="539" t="s">
        <v>5917</v>
      </c>
      <c r="B2468" s="539"/>
      <c r="C2468" s="539"/>
      <c r="D2468" s="332"/>
      <c r="E2468" s="332"/>
      <c r="F2468" s="332"/>
      <c r="G2468" s="332"/>
      <c r="H2468" s="332"/>
      <c r="I2468" s="332"/>
      <c r="J2468" s="332"/>
      <c r="K2468" s="333" t="s">
        <v>39792</v>
      </c>
      <c r="L2468" s="333" t="s">
        <v>39805</v>
      </c>
      <c r="M2468" s="333" t="s">
        <v>39799</v>
      </c>
      <c r="N2468" s="333" t="s">
        <v>39794</v>
      </c>
      <c r="O2468" s="333" t="s">
        <v>39795</v>
      </c>
    </row>
    <row r="2469" spans="1:15" s="328" customFormat="1" x14ac:dyDescent="0.2">
      <c r="A2469" s="535" t="s">
        <v>40154</v>
      </c>
      <c r="B2469" s="535"/>
      <c r="C2469" s="535"/>
      <c r="D2469" s="332"/>
      <c r="E2469" s="332"/>
      <c r="F2469" s="332"/>
      <c r="G2469" s="332"/>
      <c r="H2469" s="332"/>
      <c r="I2469" s="332"/>
      <c r="J2469" s="332"/>
      <c r="K2469" s="332">
        <f>6</f>
        <v>6</v>
      </c>
      <c r="L2469" s="332" t="s">
        <v>39805</v>
      </c>
      <c r="M2469" s="332">
        <f>-4*0.6</f>
        <v>-2.4</v>
      </c>
      <c r="N2469" s="332" t="s">
        <v>39794</v>
      </c>
      <c r="O2469" s="335">
        <f t="shared" ref="O2469:O2474" si="136">ROUND(K2469*M2469,2)</f>
        <v>-14.4</v>
      </c>
    </row>
    <row r="2470" spans="1:15" s="328" customFormat="1" x14ac:dyDescent="0.2">
      <c r="A2470" s="535" t="s">
        <v>40155</v>
      </c>
      <c r="B2470" s="535"/>
      <c r="C2470" s="535"/>
      <c r="D2470" s="332"/>
      <c r="E2470" s="332"/>
      <c r="F2470" s="332"/>
      <c r="G2470" s="332"/>
      <c r="H2470" s="332"/>
      <c r="I2470" s="332"/>
      <c r="J2470" s="332"/>
      <c r="K2470" s="332">
        <f>2</f>
        <v>2</v>
      </c>
      <c r="L2470" s="332" t="s">
        <v>39805</v>
      </c>
      <c r="M2470" s="332">
        <f>-2*0.6</f>
        <v>-1.2</v>
      </c>
      <c r="N2470" s="332" t="s">
        <v>39794</v>
      </c>
      <c r="O2470" s="335">
        <f t="shared" si="136"/>
        <v>-2.4</v>
      </c>
    </row>
    <row r="2471" spans="1:15" s="328" customFormat="1" x14ac:dyDescent="0.2">
      <c r="A2471" s="535" t="s">
        <v>40151</v>
      </c>
      <c r="B2471" s="535"/>
      <c r="C2471" s="535"/>
      <c r="D2471" s="332"/>
      <c r="E2471" s="332"/>
      <c r="F2471" s="332"/>
      <c r="G2471" s="332"/>
      <c r="H2471" s="332"/>
      <c r="I2471" s="332"/>
      <c r="J2471" s="332"/>
      <c r="K2471" s="332">
        <f>2</f>
        <v>2</v>
      </c>
      <c r="L2471" s="332" t="s">
        <v>39805</v>
      </c>
      <c r="M2471" s="332">
        <f>-1*1.6</f>
        <v>-1.6</v>
      </c>
      <c r="N2471" s="332" t="s">
        <v>39794</v>
      </c>
      <c r="O2471" s="335">
        <f t="shared" si="136"/>
        <v>-3.2</v>
      </c>
    </row>
    <row r="2472" spans="1:15" s="328" customFormat="1" x14ac:dyDescent="0.2">
      <c r="A2472" s="535" t="s">
        <v>40152</v>
      </c>
      <c r="B2472" s="535"/>
      <c r="C2472" s="535"/>
      <c r="D2472" s="332"/>
      <c r="E2472" s="332"/>
      <c r="F2472" s="332"/>
      <c r="G2472" s="332"/>
      <c r="H2472" s="332"/>
      <c r="I2472" s="332"/>
      <c r="J2472" s="332"/>
      <c r="K2472" s="332">
        <f>1</f>
        <v>1</v>
      </c>
      <c r="L2472" s="332" t="s">
        <v>39805</v>
      </c>
      <c r="M2472" s="332">
        <f>-1.2*1.6</f>
        <v>-1.92</v>
      </c>
      <c r="N2472" s="332" t="s">
        <v>39794</v>
      </c>
      <c r="O2472" s="335">
        <f t="shared" si="136"/>
        <v>-1.92</v>
      </c>
    </row>
    <row r="2473" spans="1:15" s="328" customFormat="1" x14ac:dyDescent="0.2">
      <c r="A2473" s="535" t="s">
        <v>40146</v>
      </c>
      <c r="B2473" s="535"/>
      <c r="C2473" s="535"/>
      <c r="D2473" s="332"/>
      <c r="E2473" s="332"/>
      <c r="F2473" s="332"/>
      <c r="G2473" s="332"/>
      <c r="H2473" s="332"/>
      <c r="I2473" s="332"/>
      <c r="J2473" s="332"/>
      <c r="K2473" s="332">
        <f>4</f>
        <v>4</v>
      </c>
      <c r="L2473" s="332" t="s">
        <v>39805</v>
      </c>
      <c r="M2473" s="332">
        <f>-6.6*2.7</f>
        <v>-17.82</v>
      </c>
      <c r="N2473" s="332" t="s">
        <v>39794</v>
      </c>
      <c r="O2473" s="335">
        <f t="shared" si="136"/>
        <v>-71.28</v>
      </c>
    </row>
    <row r="2474" spans="1:15" s="328" customFormat="1" x14ac:dyDescent="0.2">
      <c r="A2474" s="535" t="s">
        <v>40147</v>
      </c>
      <c r="B2474" s="535"/>
      <c r="C2474" s="535"/>
      <c r="D2474" s="332"/>
      <c r="E2474" s="332"/>
      <c r="F2474" s="332"/>
      <c r="G2474" s="332"/>
      <c r="H2474" s="332"/>
      <c r="I2474" s="332"/>
      <c r="J2474" s="332"/>
      <c r="K2474" s="332">
        <f>2</f>
        <v>2</v>
      </c>
      <c r="L2474" s="332" t="s">
        <v>39805</v>
      </c>
      <c r="M2474" s="332">
        <f>-3.2*3.2</f>
        <v>-10.240000000000002</v>
      </c>
      <c r="N2474" s="332" t="s">
        <v>39794</v>
      </c>
      <c r="O2474" s="335">
        <f t="shared" si="136"/>
        <v>-20.48</v>
      </c>
    </row>
    <row r="2475" spans="1:15" s="328" customFormat="1" x14ac:dyDescent="0.2">
      <c r="A2475" s="540"/>
      <c r="B2475" s="540"/>
      <c r="C2475" s="540"/>
      <c r="D2475" s="540"/>
      <c r="E2475" s="540"/>
      <c r="F2475" s="540"/>
      <c r="G2475" s="540"/>
      <c r="H2475" s="540"/>
      <c r="I2475" s="540"/>
      <c r="J2475" s="540"/>
      <c r="K2475" s="540"/>
      <c r="L2475" s="334" t="s">
        <v>39796</v>
      </c>
      <c r="M2475" s="334" t="s">
        <v>39168</v>
      </c>
      <c r="N2475" s="333" t="s">
        <v>39794</v>
      </c>
      <c r="O2475" s="334">
        <f>SUM(O2376:O2474)</f>
        <v>1101.6599999999994</v>
      </c>
    </row>
    <row r="2476" spans="1:15" s="328" customFormat="1" x14ac:dyDescent="0.2">
      <c r="A2476" s="329" t="s">
        <v>39791</v>
      </c>
      <c r="B2476" s="542" t="s">
        <v>5917</v>
      </c>
      <c r="C2476" s="542"/>
      <c r="D2476" s="542"/>
      <c r="E2476" s="542"/>
      <c r="F2476" s="542"/>
      <c r="G2476" s="542"/>
      <c r="H2476" s="542"/>
      <c r="I2476" s="542"/>
      <c r="J2476" s="542"/>
      <c r="K2476" s="542"/>
      <c r="L2476" s="542"/>
      <c r="M2476" s="542"/>
      <c r="N2476" s="329" t="s">
        <v>39197</v>
      </c>
      <c r="O2476" s="330" t="s">
        <v>39792</v>
      </c>
    </row>
    <row r="2477" spans="1:15" s="328" customFormat="1" x14ac:dyDescent="0.2">
      <c r="A2477" s="331" t="str">
        <f>ORCAMENTO!A369</f>
        <v>18.1.3</v>
      </c>
      <c r="B2477" s="543" t="str">
        <f>VLOOKUP(A2477,ORCAMENTO!A:I,4,0)</f>
        <v>FUNDO SELADOR ACRÍLICO, APLICAÇÃO MANUAL EM PAREDE, UMA DEMÃO. AF_04/2023</v>
      </c>
      <c r="C2477" s="543"/>
      <c r="D2477" s="543"/>
      <c r="E2477" s="543"/>
      <c r="F2477" s="543"/>
      <c r="G2477" s="543"/>
      <c r="H2477" s="543"/>
      <c r="I2477" s="543"/>
      <c r="J2477" s="543"/>
      <c r="K2477" s="543"/>
      <c r="L2477" s="543"/>
      <c r="M2477" s="543"/>
      <c r="N2477" s="331" t="str">
        <f>VLOOKUP(A2477,ORCAMENTO!A:I,5,0)</f>
        <v>M2</v>
      </c>
      <c r="O2477" s="332">
        <f>O2482</f>
        <v>1576.79</v>
      </c>
    </row>
    <row r="2478" spans="1:15" s="328" customFormat="1" x14ac:dyDescent="0.2">
      <c r="A2478" s="539" t="s">
        <v>39793</v>
      </c>
      <c r="B2478" s="539"/>
      <c r="C2478" s="539"/>
      <c r="D2478" s="539"/>
      <c r="E2478" s="539"/>
      <c r="F2478" s="539"/>
      <c r="G2478" s="539"/>
      <c r="H2478" s="539"/>
      <c r="I2478" s="539"/>
      <c r="J2478" s="539"/>
      <c r="K2478" s="539"/>
      <c r="L2478" s="539"/>
      <c r="M2478" s="539"/>
      <c r="N2478" s="539"/>
      <c r="O2478" s="539"/>
    </row>
    <row r="2479" spans="1:15" s="328" customFormat="1" x14ac:dyDescent="0.2">
      <c r="A2479" s="539" t="s">
        <v>5917</v>
      </c>
      <c r="B2479" s="539"/>
      <c r="C2479" s="539"/>
      <c r="D2479" s="333"/>
      <c r="E2479" s="333"/>
      <c r="F2479" s="333"/>
      <c r="G2479" s="333"/>
      <c r="H2479" s="333"/>
      <c r="I2479" s="331"/>
      <c r="J2479" s="331"/>
      <c r="K2479" s="333"/>
      <c r="L2479" s="333"/>
      <c r="M2479" s="333" t="s">
        <v>39799</v>
      </c>
      <c r="N2479" s="333" t="s">
        <v>39794</v>
      </c>
      <c r="O2479" s="333" t="s">
        <v>39795</v>
      </c>
    </row>
    <row r="2480" spans="1:15" s="328" customFormat="1" x14ac:dyDescent="0.2">
      <c r="A2480" s="535" t="s">
        <v>40278</v>
      </c>
      <c r="B2480" s="535"/>
      <c r="C2480" s="535"/>
      <c r="D2480" s="332"/>
      <c r="E2480" s="332"/>
      <c r="F2480" s="332"/>
      <c r="G2480" s="332"/>
      <c r="H2480" s="332"/>
      <c r="I2480" s="332"/>
      <c r="J2480" s="332"/>
      <c r="K2480" s="332"/>
      <c r="L2480" s="332"/>
      <c r="M2480" s="332">
        <f>$O$2306</f>
        <v>475.12999999999977</v>
      </c>
      <c r="N2480" s="332" t="s">
        <v>39794</v>
      </c>
      <c r="O2480" s="332">
        <f>ROUND(M2480,2)</f>
        <v>475.13</v>
      </c>
    </row>
    <row r="2481" spans="1:15" s="328" customFormat="1" x14ac:dyDescent="0.2">
      <c r="A2481" s="535" t="s">
        <v>40279</v>
      </c>
      <c r="B2481" s="535"/>
      <c r="C2481" s="535"/>
      <c r="D2481" s="332"/>
      <c r="E2481" s="332"/>
      <c r="F2481" s="332"/>
      <c r="G2481" s="332"/>
      <c r="H2481" s="332"/>
      <c r="I2481" s="332"/>
      <c r="J2481" s="332"/>
      <c r="K2481" s="332"/>
      <c r="L2481" s="332"/>
      <c r="M2481" s="332">
        <f>$O$2374</f>
        <v>1101.6599999999994</v>
      </c>
      <c r="N2481" s="332" t="s">
        <v>39794</v>
      </c>
      <c r="O2481" s="332">
        <f>ROUND(M2481,2)</f>
        <v>1101.6600000000001</v>
      </c>
    </row>
    <row r="2482" spans="1:15" s="328" customFormat="1" x14ac:dyDescent="0.2">
      <c r="A2482" s="540"/>
      <c r="B2482" s="540"/>
      <c r="C2482" s="540"/>
      <c r="D2482" s="540"/>
      <c r="E2482" s="540"/>
      <c r="F2482" s="540"/>
      <c r="G2482" s="540"/>
      <c r="H2482" s="540"/>
      <c r="I2482" s="540"/>
      <c r="J2482" s="540"/>
      <c r="K2482" s="540"/>
      <c r="L2482" s="334" t="s">
        <v>39796</v>
      </c>
      <c r="M2482" s="334" t="s">
        <v>39168</v>
      </c>
      <c r="N2482" s="333" t="s">
        <v>39794</v>
      </c>
      <c r="O2482" s="334">
        <f>SUM(O2479:O2481)</f>
        <v>1576.79</v>
      </c>
    </row>
    <row r="2483" spans="1:15" s="328" customFormat="1" x14ac:dyDescent="0.2">
      <c r="A2483" s="329" t="s">
        <v>39791</v>
      </c>
      <c r="B2483" s="542" t="s">
        <v>5917</v>
      </c>
      <c r="C2483" s="542"/>
      <c r="D2483" s="542"/>
      <c r="E2483" s="542"/>
      <c r="F2483" s="542"/>
      <c r="G2483" s="542"/>
      <c r="H2483" s="542"/>
      <c r="I2483" s="542"/>
      <c r="J2483" s="542"/>
      <c r="K2483" s="542"/>
      <c r="L2483" s="542"/>
      <c r="M2483" s="542"/>
      <c r="N2483" s="329" t="s">
        <v>39197</v>
      </c>
      <c r="O2483" s="330" t="s">
        <v>39792</v>
      </c>
    </row>
    <row r="2484" spans="1:15" s="328" customFormat="1" ht="12.75" customHeight="1" x14ac:dyDescent="0.2">
      <c r="A2484" s="331" t="str">
        <f>ORCAMENTO!A370</f>
        <v>18.1.4</v>
      </c>
      <c r="B2484" s="543" t="str">
        <f>VLOOKUP(A2484,ORCAMENTO!A:I,4,0)</f>
        <v>PINTURA LÁTEX ACRÍLICA PREMIUM, APLICAÇÃO MANUAL EM PAREDES, DUAS DEMÃOS. AF_04/2023</v>
      </c>
      <c r="C2484" s="543"/>
      <c r="D2484" s="543"/>
      <c r="E2484" s="543"/>
      <c r="F2484" s="543"/>
      <c r="G2484" s="543"/>
      <c r="H2484" s="543"/>
      <c r="I2484" s="543"/>
      <c r="J2484" s="543"/>
      <c r="K2484" s="543"/>
      <c r="L2484" s="543"/>
      <c r="M2484" s="543"/>
      <c r="N2484" s="331" t="str">
        <f>VLOOKUP(A2484,ORCAMENTO!A:I,5,0)</f>
        <v>M2</v>
      </c>
      <c r="O2484" s="332">
        <f>O2489</f>
        <v>1576.79</v>
      </c>
    </row>
    <row r="2485" spans="1:15" s="328" customFormat="1" x14ac:dyDescent="0.2">
      <c r="A2485" s="539" t="s">
        <v>39793</v>
      </c>
      <c r="B2485" s="539"/>
      <c r="C2485" s="539"/>
      <c r="D2485" s="539"/>
      <c r="E2485" s="539"/>
      <c r="F2485" s="539"/>
      <c r="G2485" s="539"/>
      <c r="H2485" s="539"/>
      <c r="I2485" s="539"/>
      <c r="J2485" s="539"/>
      <c r="K2485" s="539"/>
      <c r="L2485" s="539"/>
      <c r="M2485" s="539"/>
      <c r="N2485" s="539"/>
      <c r="O2485" s="539"/>
    </row>
    <row r="2486" spans="1:15" s="328" customFormat="1" x14ac:dyDescent="0.2">
      <c r="A2486" s="539" t="s">
        <v>5917</v>
      </c>
      <c r="B2486" s="539"/>
      <c r="C2486" s="539"/>
      <c r="D2486" s="333"/>
      <c r="E2486" s="333"/>
      <c r="F2486" s="333"/>
      <c r="G2486" s="333"/>
      <c r="H2486" s="333"/>
      <c r="I2486" s="331"/>
      <c r="J2486" s="331"/>
      <c r="K2486" s="333"/>
      <c r="L2486" s="333"/>
      <c r="M2486" s="333" t="s">
        <v>39799</v>
      </c>
      <c r="N2486" s="333" t="s">
        <v>39794</v>
      </c>
      <c r="O2486" s="333" t="s">
        <v>39795</v>
      </c>
    </row>
    <row r="2487" spans="1:15" s="328" customFormat="1" x14ac:dyDescent="0.2">
      <c r="A2487" s="535" t="s">
        <v>40278</v>
      </c>
      <c r="B2487" s="535"/>
      <c r="C2487" s="535"/>
      <c r="D2487" s="332"/>
      <c r="E2487" s="332"/>
      <c r="F2487" s="332"/>
      <c r="G2487" s="332"/>
      <c r="H2487" s="332"/>
      <c r="I2487" s="332"/>
      <c r="J2487" s="332"/>
      <c r="K2487" s="332"/>
      <c r="L2487" s="332"/>
      <c r="M2487" s="332">
        <f>$O$2306</f>
        <v>475.12999999999977</v>
      </c>
      <c r="N2487" s="332" t="s">
        <v>39794</v>
      </c>
      <c r="O2487" s="332">
        <f>ROUND(M2487,2)</f>
        <v>475.13</v>
      </c>
    </row>
    <row r="2488" spans="1:15" s="328" customFormat="1" x14ac:dyDescent="0.2">
      <c r="A2488" s="535" t="s">
        <v>40279</v>
      </c>
      <c r="B2488" s="535"/>
      <c r="C2488" s="535"/>
      <c r="D2488" s="332"/>
      <c r="E2488" s="332"/>
      <c r="F2488" s="332"/>
      <c r="G2488" s="332"/>
      <c r="H2488" s="332"/>
      <c r="I2488" s="332"/>
      <c r="J2488" s="332"/>
      <c r="K2488" s="332"/>
      <c r="L2488" s="332"/>
      <c r="M2488" s="332">
        <f>$O$2374</f>
        <v>1101.6599999999994</v>
      </c>
      <c r="N2488" s="332" t="s">
        <v>39794</v>
      </c>
      <c r="O2488" s="332">
        <f>ROUND(M2488,2)</f>
        <v>1101.6600000000001</v>
      </c>
    </row>
    <row r="2489" spans="1:15" s="328" customFormat="1" x14ac:dyDescent="0.2">
      <c r="A2489" s="540"/>
      <c r="B2489" s="540"/>
      <c r="C2489" s="540"/>
      <c r="D2489" s="540"/>
      <c r="E2489" s="540"/>
      <c r="F2489" s="540"/>
      <c r="G2489" s="540"/>
      <c r="H2489" s="540"/>
      <c r="I2489" s="540"/>
      <c r="J2489" s="540"/>
      <c r="K2489" s="540"/>
      <c r="L2489" s="334" t="s">
        <v>39796</v>
      </c>
      <c r="M2489" s="334" t="s">
        <v>39168</v>
      </c>
      <c r="N2489" s="333" t="s">
        <v>39794</v>
      </c>
      <c r="O2489" s="334">
        <f>SUM(O2486:O2488)</f>
        <v>1576.79</v>
      </c>
    </row>
    <row r="2490" spans="1:15" s="328" customFormat="1" x14ac:dyDescent="0.2">
      <c r="A2490" s="347" t="str">
        <f>ORCAMENTO!A372</f>
        <v>18.2</v>
      </c>
      <c r="B2490" s="544" t="str">
        <f>VLOOKUP(A2490,ORCAMENTO!A:I,4,0)</f>
        <v>PINTURA EM TETO</v>
      </c>
      <c r="C2490" s="544"/>
      <c r="D2490" s="544"/>
      <c r="E2490" s="544"/>
      <c r="F2490" s="544"/>
      <c r="G2490" s="544"/>
      <c r="H2490" s="544"/>
      <c r="I2490" s="544"/>
      <c r="J2490" s="544"/>
      <c r="K2490" s="544"/>
      <c r="L2490" s="544"/>
      <c r="M2490" s="544"/>
      <c r="N2490" s="544"/>
      <c r="O2490" s="544"/>
    </row>
    <row r="2491" spans="1:15" s="328" customFormat="1" x14ac:dyDescent="0.2">
      <c r="A2491" s="329" t="s">
        <v>39791</v>
      </c>
      <c r="B2491" s="542" t="s">
        <v>5917</v>
      </c>
      <c r="C2491" s="542"/>
      <c r="D2491" s="542"/>
      <c r="E2491" s="542"/>
      <c r="F2491" s="542"/>
      <c r="G2491" s="542"/>
      <c r="H2491" s="542"/>
      <c r="I2491" s="542"/>
      <c r="J2491" s="542"/>
      <c r="K2491" s="542"/>
      <c r="L2491" s="542"/>
      <c r="M2491" s="542"/>
      <c r="N2491" s="329" t="s">
        <v>39197</v>
      </c>
      <c r="O2491" s="330" t="s">
        <v>39792</v>
      </c>
    </row>
    <row r="2492" spans="1:15" s="328" customFormat="1" ht="12.75" customHeight="1" x14ac:dyDescent="0.2">
      <c r="A2492" s="331" t="str">
        <f>ORCAMENTO!A373</f>
        <v>18.2.1</v>
      </c>
      <c r="B2492" s="543" t="str">
        <f>VLOOKUP(A2492,ORCAMENTO!A:I,4,0)</f>
        <v>EMASSAMENTO COM MASSA LÁTEX, APLICAÇÃO EM TETO, DUAS DEMÃOS, LIXAMENTO MANUAL. AF_04/2023</v>
      </c>
      <c r="C2492" s="543"/>
      <c r="D2492" s="543"/>
      <c r="E2492" s="543"/>
      <c r="F2492" s="543"/>
      <c r="G2492" s="543"/>
      <c r="H2492" s="543"/>
      <c r="I2492" s="543"/>
      <c r="J2492" s="543"/>
      <c r="K2492" s="543"/>
      <c r="L2492" s="543"/>
      <c r="M2492" s="543"/>
      <c r="N2492" s="331" t="str">
        <f>VLOOKUP(A2492,ORCAMENTO!A:I,5,0)</f>
        <v>M2</v>
      </c>
      <c r="O2492" s="332">
        <f>O2518</f>
        <v>110.23000000000003</v>
      </c>
    </row>
    <row r="2493" spans="1:15" s="328" customFormat="1" x14ac:dyDescent="0.2">
      <c r="A2493" s="539" t="s">
        <v>39793</v>
      </c>
      <c r="B2493" s="539"/>
      <c r="C2493" s="539"/>
      <c r="D2493" s="539"/>
      <c r="E2493" s="539"/>
      <c r="F2493" s="539"/>
      <c r="G2493" s="539"/>
      <c r="H2493" s="539"/>
      <c r="I2493" s="539"/>
      <c r="J2493" s="539"/>
      <c r="K2493" s="539"/>
      <c r="L2493" s="539"/>
      <c r="M2493" s="539"/>
      <c r="N2493" s="539"/>
      <c r="O2493" s="539"/>
    </row>
    <row r="2494" spans="1:15" s="328" customFormat="1" x14ac:dyDescent="0.2">
      <c r="A2494" s="539" t="s">
        <v>5917</v>
      </c>
      <c r="B2494" s="539"/>
      <c r="C2494" s="539"/>
      <c r="D2494" s="333"/>
      <c r="E2494" s="333"/>
      <c r="F2494" s="333"/>
      <c r="G2494" s="333"/>
      <c r="H2494" s="333"/>
      <c r="I2494" s="331"/>
      <c r="J2494" s="331"/>
      <c r="K2494" s="333" t="s">
        <v>39804</v>
      </c>
      <c r="L2494" s="333" t="s">
        <v>39805</v>
      </c>
      <c r="M2494" s="333" t="s">
        <v>39802</v>
      </c>
      <c r="N2494" s="333" t="s">
        <v>39794</v>
      </c>
      <c r="O2494" s="333" t="s">
        <v>39795</v>
      </c>
    </row>
    <row r="2495" spans="1:15" s="328" customFormat="1" x14ac:dyDescent="0.2">
      <c r="A2495" s="535" t="s">
        <v>39932</v>
      </c>
      <c r="B2495" s="535"/>
      <c r="C2495" s="535"/>
      <c r="D2495" s="332"/>
      <c r="E2495" s="332"/>
      <c r="F2495" s="332"/>
      <c r="G2495" s="332"/>
      <c r="H2495" s="332"/>
      <c r="I2495" s="332"/>
      <c r="J2495" s="332"/>
      <c r="K2495" s="332">
        <f t="shared" ref="K2495:K2501" si="137">0.85</f>
        <v>0.85</v>
      </c>
      <c r="L2495" s="332" t="s">
        <v>39805</v>
      </c>
      <c r="M2495" s="332">
        <f>4.95</f>
        <v>4.95</v>
      </c>
      <c r="N2495" s="339" t="s">
        <v>39794</v>
      </c>
      <c r="O2495" s="340">
        <f>ROUND(K2495*M2495,2)</f>
        <v>4.21</v>
      </c>
    </row>
    <row r="2496" spans="1:15" s="328" customFormat="1" x14ac:dyDescent="0.2">
      <c r="A2496" s="535" t="s">
        <v>39933</v>
      </c>
      <c r="B2496" s="535"/>
      <c r="C2496" s="535"/>
      <c r="D2496" s="332"/>
      <c r="E2496" s="332"/>
      <c r="F2496" s="332"/>
      <c r="G2496" s="332"/>
      <c r="H2496" s="332"/>
      <c r="I2496" s="332"/>
      <c r="J2496" s="332"/>
      <c r="K2496" s="332">
        <f t="shared" si="137"/>
        <v>0.85</v>
      </c>
      <c r="L2496" s="332" t="s">
        <v>39805</v>
      </c>
      <c r="M2496" s="332">
        <f>5.7</f>
        <v>5.7</v>
      </c>
      <c r="N2496" s="332" t="s">
        <v>39794</v>
      </c>
      <c r="O2496" s="340">
        <f t="shared" ref="O2496:O2517" si="138">ROUND(K2496*M2496,2)</f>
        <v>4.8499999999999996</v>
      </c>
    </row>
    <row r="2497" spans="1:15" s="328" customFormat="1" x14ac:dyDescent="0.2">
      <c r="A2497" s="535" t="s">
        <v>39934</v>
      </c>
      <c r="B2497" s="535"/>
      <c r="C2497" s="535"/>
      <c r="D2497" s="332"/>
      <c r="E2497" s="332"/>
      <c r="F2497" s="332"/>
      <c r="G2497" s="332"/>
      <c r="H2497" s="332"/>
      <c r="I2497" s="332"/>
      <c r="J2497" s="332"/>
      <c r="K2497" s="332">
        <f t="shared" si="137"/>
        <v>0.85</v>
      </c>
      <c r="L2497" s="332" t="s">
        <v>39805</v>
      </c>
      <c r="M2497" s="332">
        <f>5.7</f>
        <v>5.7</v>
      </c>
      <c r="N2497" s="332" t="s">
        <v>39794</v>
      </c>
      <c r="O2497" s="340">
        <f t="shared" si="138"/>
        <v>4.8499999999999996</v>
      </c>
    </row>
    <row r="2498" spans="1:15" s="328" customFormat="1" x14ac:dyDescent="0.2">
      <c r="A2498" s="535" t="s">
        <v>39935</v>
      </c>
      <c r="B2498" s="535"/>
      <c r="C2498" s="535"/>
      <c r="D2498" s="332"/>
      <c r="E2498" s="332"/>
      <c r="F2498" s="332"/>
      <c r="G2498" s="332"/>
      <c r="H2498" s="332"/>
      <c r="I2498" s="332"/>
      <c r="J2498" s="332"/>
      <c r="K2498" s="332">
        <f t="shared" si="137"/>
        <v>0.85</v>
      </c>
      <c r="L2498" s="332" t="s">
        <v>39805</v>
      </c>
      <c r="M2498" s="332">
        <f>5.7</f>
        <v>5.7</v>
      </c>
      <c r="N2498" s="332" t="s">
        <v>39794</v>
      </c>
      <c r="O2498" s="340">
        <f t="shared" si="138"/>
        <v>4.8499999999999996</v>
      </c>
    </row>
    <row r="2499" spans="1:15" s="328" customFormat="1" x14ac:dyDescent="0.2">
      <c r="A2499" s="535" t="s">
        <v>39936</v>
      </c>
      <c r="B2499" s="535"/>
      <c r="C2499" s="535"/>
      <c r="D2499" s="332"/>
      <c r="E2499" s="332"/>
      <c r="F2499" s="332"/>
      <c r="G2499" s="332"/>
      <c r="H2499" s="332"/>
      <c r="I2499" s="332"/>
      <c r="J2499" s="332"/>
      <c r="K2499" s="332">
        <f t="shared" si="137"/>
        <v>0.85</v>
      </c>
      <c r="L2499" s="332" t="s">
        <v>39805</v>
      </c>
      <c r="M2499" s="332">
        <f>5.7</f>
        <v>5.7</v>
      </c>
      <c r="N2499" s="332" t="s">
        <v>39794</v>
      </c>
      <c r="O2499" s="340">
        <f t="shared" si="138"/>
        <v>4.8499999999999996</v>
      </c>
    </row>
    <row r="2500" spans="1:15" s="328" customFormat="1" x14ac:dyDescent="0.2">
      <c r="A2500" s="535" t="s">
        <v>39937</v>
      </c>
      <c r="B2500" s="535"/>
      <c r="C2500" s="535"/>
      <c r="D2500" s="332"/>
      <c r="E2500" s="332"/>
      <c r="F2500" s="332"/>
      <c r="G2500" s="332"/>
      <c r="H2500" s="332"/>
      <c r="I2500" s="332"/>
      <c r="J2500" s="332"/>
      <c r="K2500" s="332">
        <f t="shared" si="137"/>
        <v>0.85</v>
      </c>
      <c r="L2500" s="332" t="s">
        <v>39805</v>
      </c>
      <c r="M2500" s="332">
        <f>5.7</f>
        <v>5.7</v>
      </c>
      <c r="N2500" s="332" t="s">
        <v>39794</v>
      </c>
      <c r="O2500" s="340">
        <f t="shared" si="138"/>
        <v>4.8499999999999996</v>
      </c>
    </row>
    <row r="2501" spans="1:15" s="328" customFormat="1" x14ac:dyDescent="0.2">
      <c r="A2501" s="535" t="s">
        <v>39938</v>
      </c>
      <c r="B2501" s="535"/>
      <c r="C2501" s="535"/>
      <c r="D2501" s="332"/>
      <c r="E2501" s="332"/>
      <c r="F2501" s="332"/>
      <c r="G2501" s="332"/>
      <c r="H2501" s="332"/>
      <c r="I2501" s="332"/>
      <c r="J2501" s="332"/>
      <c r="K2501" s="332">
        <f t="shared" si="137"/>
        <v>0.85</v>
      </c>
      <c r="L2501" s="332" t="s">
        <v>39805</v>
      </c>
      <c r="M2501" s="332">
        <f>9.2</f>
        <v>9.1999999999999993</v>
      </c>
      <c r="N2501" s="332" t="s">
        <v>39794</v>
      </c>
      <c r="O2501" s="340">
        <f t="shared" si="138"/>
        <v>7.82</v>
      </c>
    </row>
    <row r="2502" spans="1:15" s="328" customFormat="1" x14ac:dyDescent="0.2">
      <c r="A2502" s="535" t="s">
        <v>39939</v>
      </c>
      <c r="B2502" s="535"/>
      <c r="C2502" s="535"/>
      <c r="D2502" s="332"/>
      <c r="E2502" s="332"/>
      <c r="F2502" s="332"/>
      <c r="G2502" s="332"/>
      <c r="H2502" s="332"/>
      <c r="I2502" s="332"/>
      <c r="J2502" s="332"/>
      <c r="K2502" s="332">
        <f>1</f>
        <v>1</v>
      </c>
      <c r="L2502" s="332" t="s">
        <v>39805</v>
      </c>
      <c r="M2502" s="332">
        <f>5</f>
        <v>5</v>
      </c>
      <c r="N2502" s="332" t="s">
        <v>39794</v>
      </c>
      <c r="O2502" s="340">
        <f t="shared" si="138"/>
        <v>5</v>
      </c>
    </row>
    <row r="2503" spans="1:15" s="328" customFormat="1" x14ac:dyDescent="0.2">
      <c r="A2503" s="535" t="s">
        <v>39940</v>
      </c>
      <c r="B2503" s="535"/>
      <c r="C2503" s="535"/>
      <c r="D2503" s="332"/>
      <c r="E2503" s="332"/>
      <c r="F2503" s="332"/>
      <c r="G2503" s="332"/>
      <c r="H2503" s="332"/>
      <c r="I2503" s="332"/>
      <c r="J2503" s="332"/>
      <c r="K2503" s="332">
        <f>1</f>
        <v>1</v>
      </c>
      <c r="L2503" s="332" t="s">
        <v>39805</v>
      </c>
      <c r="M2503" s="332">
        <f>5.7</f>
        <v>5.7</v>
      </c>
      <c r="N2503" s="332" t="s">
        <v>39794</v>
      </c>
      <c r="O2503" s="340">
        <f t="shared" si="138"/>
        <v>5.7</v>
      </c>
    </row>
    <row r="2504" spans="1:15" s="328" customFormat="1" x14ac:dyDescent="0.2">
      <c r="A2504" s="535" t="s">
        <v>39941</v>
      </c>
      <c r="B2504" s="535"/>
      <c r="C2504" s="535"/>
      <c r="D2504" s="332"/>
      <c r="E2504" s="332"/>
      <c r="F2504" s="332"/>
      <c r="G2504" s="332"/>
      <c r="H2504" s="332"/>
      <c r="I2504" s="332"/>
      <c r="J2504" s="332"/>
      <c r="K2504" s="332">
        <f>1</f>
        <v>1</v>
      </c>
      <c r="L2504" s="332" t="s">
        <v>39805</v>
      </c>
      <c r="M2504" s="332">
        <f>4.95</f>
        <v>4.95</v>
      </c>
      <c r="N2504" s="332" t="s">
        <v>39794</v>
      </c>
      <c r="O2504" s="340">
        <f t="shared" si="138"/>
        <v>4.95</v>
      </c>
    </row>
    <row r="2505" spans="1:15" s="328" customFormat="1" x14ac:dyDescent="0.2">
      <c r="A2505" s="535" t="s">
        <v>39942</v>
      </c>
      <c r="B2505" s="535"/>
      <c r="C2505" s="535"/>
      <c r="D2505" s="332"/>
      <c r="E2505" s="332"/>
      <c r="F2505" s="332"/>
      <c r="G2505" s="332"/>
      <c r="H2505" s="332"/>
      <c r="I2505" s="332"/>
      <c r="J2505" s="332"/>
      <c r="K2505" s="332">
        <v>1</v>
      </c>
      <c r="L2505" s="332" t="s">
        <v>39805</v>
      </c>
      <c r="M2505" s="332">
        <f>4.95</f>
        <v>4.95</v>
      </c>
      <c r="N2505" s="332" t="s">
        <v>39794</v>
      </c>
      <c r="O2505" s="340">
        <f t="shared" si="138"/>
        <v>4.95</v>
      </c>
    </row>
    <row r="2506" spans="1:15" s="328" customFormat="1" x14ac:dyDescent="0.2">
      <c r="A2506" s="535" t="s">
        <v>39943</v>
      </c>
      <c r="B2506" s="535"/>
      <c r="C2506" s="535"/>
      <c r="D2506" s="332"/>
      <c r="E2506" s="332"/>
      <c r="F2506" s="332"/>
      <c r="G2506" s="332"/>
      <c r="H2506" s="332"/>
      <c r="I2506" s="332"/>
      <c r="J2506" s="332"/>
      <c r="K2506" s="332">
        <v>1</v>
      </c>
      <c r="L2506" s="332" t="s">
        <v>39805</v>
      </c>
      <c r="M2506" s="332">
        <f>5.7</f>
        <v>5.7</v>
      </c>
      <c r="N2506" s="332" t="s">
        <v>39794</v>
      </c>
      <c r="O2506" s="340">
        <f t="shared" si="138"/>
        <v>5.7</v>
      </c>
    </row>
    <row r="2507" spans="1:15" s="328" customFormat="1" x14ac:dyDescent="0.2">
      <c r="A2507" s="535" t="s">
        <v>39944</v>
      </c>
      <c r="B2507" s="535"/>
      <c r="C2507" s="535"/>
      <c r="D2507" s="332"/>
      <c r="E2507" s="332"/>
      <c r="F2507" s="332"/>
      <c r="G2507" s="332"/>
      <c r="H2507" s="332"/>
      <c r="I2507" s="332"/>
      <c r="J2507" s="332"/>
      <c r="K2507" s="332">
        <v>1</v>
      </c>
      <c r="L2507" s="332" t="s">
        <v>39805</v>
      </c>
      <c r="M2507" s="332">
        <f>5.7</f>
        <v>5.7</v>
      </c>
      <c r="N2507" s="332" t="s">
        <v>39794</v>
      </c>
      <c r="O2507" s="340">
        <f t="shared" si="138"/>
        <v>5.7</v>
      </c>
    </row>
    <row r="2508" spans="1:15" s="328" customFormat="1" x14ac:dyDescent="0.2">
      <c r="A2508" s="535" t="s">
        <v>39945</v>
      </c>
      <c r="B2508" s="535"/>
      <c r="C2508" s="535"/>
      <c r="D2508" s="332"/>
      <c r="E2508" s="332"/>
      <c r="F2508" s="332"/>
      <c r="G2508" s="332"/>
      <c r="H2508" s="332"/>
      <c r="I2508" s="332"/>
      <c r="J2508" s="332"/>
      <c r="K2508" s="332">
        <v>1</v>
      </c>
      <c r="L2508" s="332" t="s">
        <v>39805</v>
      </c>
      <c r="M2508" s="332">
        <f>1.25</f>
        <v>1.25</v>
      </c>
      <c r="N2508" s="332" t="s">
        <v>39794</v>
      </c>
      <c r="O2508" s="340">
        <f t="shared" si="138"/>
        <v>1.25</v>
      </c>
    </row>
    <row r="2509" spans="1:15" s="328" customFormat="1" x14ac:dyDescent="0.2">
      <c r="A2509" s="535" t="s">
        <v>39946</v>
      </c>
      <c r="B2509" s="535"/>
      <c r="C2509" s="535"/>
      <c r="D2509" s="332"/>
      <c r="E2509" s="332"/>
      <c r="F2509" s="332"/>
      <c r="G2509" s="332"/>
      <c r="H2509" s="332"/>
      <c r="I2509" s="332"/>
      <c r="J2509" s="332"/>
      <c r="K2509" s="332">
        <v>1</v>
      </c>
      <c r="L2509" s="332" t="s">
        <v>39805</v>
      </c>
      <c r="M2509" s="332">
        <f>4.45</f>
        <v>4.45</v>
      </c>
      <c r="N2509" s="332" t="s">
        <v>39794</v>
      </c>
      <c r="O2509" s="340">
        <f t="shared" si="138"/>
        <v>4.45</v>
      </c>
    </row>
    <row r="2510" spans="1:15" s="328" customFormat="1" x14ac:dyDescent="0.2">
      <c r="A2510" s="535" t="s">
        <v>39947</v>
      </c>
      <c r="B2510" s="535"/>
      <c r="C2510" s="535"/>
      <c r="D2510" s="332"/>
      <c r="E2510" s="332"/>
      <c r="F2510" s="332"/>
      <c r="G2510" s="332"/>
      <c r="H2510" s="332"/>
      <c r="I2510" s="332"/>
      <c r="J2510" s="332"/>
      <c r="K2510" s="332">
        <v>1</v>
      </c>
      <c r="L2510" s="332" t="s">
        <v>39805</v>
      </c>
      <c r="M2510" s="332">
        <f>5.7</f>
        <v>5.7</v>
      </c>
      <c r="N2510" s="332" t="s">
        <v>39794</v>
      </c>
      <c r="O2510" s="340">
        <f t="shared" si="138"/>
        <v>5.7</v>
      </c>
    </row>
    <row r="2511" spans="1:15" s="328" customFormat="1" x14ac:dyDescent="0.2">
      <c r="A2511" s="535" t="s">
        <v>39948</v>
      </c>
      <c r="B2511" s="535"/>
      <c r="C2511" s="535"/>
      <c r="D2511" s="332"/>
      <c r="E2511" s="332"/>
      <c r="F2511" s="332"/>
      <c r="G2511" s="332"/>
      <c r="H2511" s="332"/>
      <c r="I2511" s="332"/>
      <c r="J2511" s="332"/>
      <c r="K2511" s="332">
        <v>1</v>
      </c>
      <c r="L2511" s="332" t="s">
        <v>39805</v>
      </c>
      <c r="M2511" s="332">
        <f>5.7</f>
        <v>5.7</v>
      </c>
      <c r="N2511" s="332" t="s">
        <v>39794</v>
      </c>
      <c r="O2511" s="340">
        <f t="shared" si="138"/>
        <v>5.7</v>
      </c>
    </row>
    <row r="2512" spans="1:15" s="328" customFormat="1" x14ac:dyDescent="0.2">
      <c r="A2512" s="535" t="s">
        <v>39949</v>
      </c>
      <c r="B2512" s="535"/>
      <c r="C2512" s="535"/>
      <c r="D2512" s="332"/>
      <c r="E2512" s="332"/>
      <c r="F2512" s="332"/>
      <c r="G2512" s="332"/>
      <c r="H2512" s="332"/>
      <c r="I2512" s="332"/>
      <c r="J2512" s="332"/>
      <c r="K2512" s="332">
        <v>1</v>
      </c>
      <c r="L2512" s="332" t="s">
        <v>39805</v>
      </c>
      <c r="M2512" s="332">
        <f>5.8</f>
        <v>5.8</v>
      </c>
      <c r="N2512" s="332" t="s">
        <v>39794</v>
      </c>
      <c r="O2512" s="340">
        <f t="shared" si="138"/>
        <v>5.8</v>
      </c>
    </row>
    <row r="2513" spans="1:15" s="328" customFormat="1" x14ac:dyDescent="0.2">
      <c r="A2513" s="535" t="s">
        <v>39950</v>
      </c>
      <c r="B2513" s="535"/>
      <c r="C2513" s="535"/>
      <c r="D2513" s="332"/>
      <c r="E2513" s="332"/>
      <c r="F2513" s="332"/>
      <c r="G2513" s="332"/>
      <c r="H2513" s="332"/>
      <c r="I2513" s="332"/>
      <c r="J2513" s="332"/>
      <c r="K2513" s="332">
        <v>1</v>
      </c>
      <c r="L2513" s="332" t="s">
        <v>39805</v>
      </c>
      <c r="M2513" s="332">
        <f>0.2</f>
        <v>0.2</v>
      </c>
      <c r="N2513" s="332" t="s">
        <v>39794</v>
      </c>
      <c r="O2513" s="340">
        <f t="shared" si="138"/>
        <v>0.2</v>
      </c>
    </row>
    <row r="2514" spans="1:15" s="328" customFormat="1" x14ac:dyDescent="0.2">
      <c r="A2514" s="535" t="s">
        <v>39951</v>
      </c>
      <c r="B2514" s="535"/>
      <c r="C2514" s="535"/>
      <c r="D2514" s="332"/>
      <c r="E2514" s="332"/>
      <c r="F2514" s="332"/>
      <c r="G2514" s="332"/>
      <c r="H2514" s="332"/>
      <c r="I2514" s="332"/>
      <c r="J2514" s="332"/>
      <c r="K2514" s="332">
        <v>1</v>
      </c>
      <c r="L2514" s="332" t="s">
        <v>39805</v>
      </c>
      <c r="M2514" s="332">
        <f>3.2</f>
        <v>3.2</v>
      </c>
      <c r="N2514" s="332" t="s">
        <v>39794</v>
      </c>
      <c r="O2514" s="340">
        <f t="shared" si="138"/>
        <v>3.2</v>
      </c>
    </row>
    <row r="2515" spans="1:15" s="328" customFormat="1" x14ac:dyDescent="0.2">
      <c r="A2515" s="535" t="s">
        <v>39952</v>
      </c>
      <c r="B2515" s="535"/>
      <c r="C2515" s="535"/>
      <c r="D2515" s="332"/>
      <c r="E2515" s="332"/>
      <c r="F2515" s="332"/>
      <c r="G2515" s="332"/>
      <c r="H2515" s="332"/>
      <c r="I2515" s="332"/>
      <c r="J2515" s="332"/>
      <c r="K2515" s="332">
        <v>1</v>
      </c>
      <c r="L2515" s="332" t="s">
        <v>39805</v>
      </c>
      <c r="M2515" s="332">
        <f>5</f>
        <v>5</v>
      </c>
      <c r="N2515" s="332" t="s">
        <v>39794</v>
      </c>
      <c r="O2515" s="340">
        <f t="shared" si="138"/>
        <v>5</v>
      </c>
    </row>
    <row r="2516" spans="1:15" s="328" customFormat="1" x14ac:dyDescent="0.2">
      <c r="A2516" s="535" t="s">
        <v>39953</v>
      </c>
      <c r="B2516" s="535"/>
      <c r="C2516" s="535"/>
      <c r="D2516" s="332"/>
      <c r="E2516" s="332"/>
      <c r="F2516" s="332"/>
      <c r="G2516" s="332"/>
      <c r="H2516" s="332"/>
      <c r="I2516" s="332"/>
      <c r="J2516" s="332"/>
      <c r="K2516" s="332">
        <v>1</v>
      </c>
      <c r="L2516" s="332" t="s">
        <v>39805</v>
      </c>
      <c r="M2516" s="332">
        <f>5.7</f>
        <v>5.7</v>
      </c>
      <c r="N2516" s="332" t="s">
        <v>39794</v>
      </c>
      <c r="O2516" s="340">
        <f t="shared" si="138"/>
        <v>5.7</v>
      </c>
    </row>
    <row r="2517" spans="1:15" s="328" customFormat="1" x14ac:dyDescent="0.2">
      <c r="A2517" s="535" t="s">
        <v>39954</v>
      </c>
      <c r="B2517" s="535"/>
      <c r="C2517" s="535"/>
      <c r="D2517" s="332"/>
      <c r="E2517" s="332"/>
      <c r="F2517" s="332"/>
      <c r="G2517" s="332"/>
      <c r="H2517" s="332"/>
      <c r="I2517" s="332"/>
      <c r="J2517" s="332"/>
      <c r="K2517" s="332">
        <v>1</v>
      </c>
      <c r="L2517" s="332" t="s">
        <v>39805</v>
      </c>
      <c r="M2517" s="332">
        <f>4.95</f>
        <v>4.95</v>
      </c>
      <c r="N2517" s="332" t="s">
        <v>39794</v>
      </c>
      <c r="O2517" s="340">
        <f t="shared" si="138"/>
        <v>4.95</v>
      </c>
    </row>
    <row r="2518" spans="1:15" s="328" customFormat="1" x14ac:dyDescent="0.2">
      <c r="A2518" s="540"/>
      <c r="B2518" s="540"/>
      <c r="C2518" s="540"/>
      <c r="D2518" s="540"/>
      <c r="E2518" s="540"/>
      <c r="F2518" s="540"/>
      <c r="G2518" s="540"/>
      <c r="H2518" s="540"/>
      <c r="I2518" s="540"/>
      <c r="J2518" s="540"/>
      <c r="K2518" s="540"/>
      <c r="L2518" s="334" t="s">
        <v>39796</v>
      </c>
      <c r="M2518" s="334" t="s">
        <v>39168</v>
      </c>
      <c r="N2518" s="333" t="s">
        <v>39794</v>
      </c>
      <c r="O2518" s="334">
        <f>SUM(O2494:O2517)</f>
        <v>110.23000000000003</v>
      </c>
    </row>
    <row r="2519" spans="1:15" s="328" customFormat="1" x14ac:dyDescent="0.2">
      <c r="A2519" s="329" t="s">
        <v>39791</v>
      </c>
      <c r="B2519" s="542" t="s">
        <v>5917</v>
      </c>
      <c r="C2519" s="542"/>
      <c r="D2519" s="542"/>
      <c r="E2519" s="542"/>
      <c r="F2519" s="542"/>
      <c r="G2519" s="542"/>
      <c r="H2519" s="542"/>
      <c r="I2519" s="542"/>
      <c r="J2519" s="542"/>
      <c r="K2519" s="542"/>
      <c r="L2519" s="542"/>
      <c r="M2519" s="542"/>
      <c r="N2519" s="329" t="s">
        <v>39197</v>
      </c>
      <c r="O2519" s="330" t="s">
        <v>39792</v>
      </c>
    </row>
    <row r="2520" spans="1:15" s="328" customFormat="1" x14ac:dyDescent="0.2">
      <c r="A2520" s="331" t="str">
        <f>ORCAMENTO!A374</f>
        <v>18.2.2</v>
      </c>
      <c r="B2520" s="543" t="str">
        <f>VLOOKUP(A2520,ORCAMENTO!A:I,4,0)</f>
        <v>FUNDO SELADOR ACRÍLICO, APLICAÇÃO MANUAL EM TETO, UMA DEMÃO. AF_04/2023</v>
      </c>
      <c r="C2520" s="543"/>
      <c r="D2520" s="543"/>
      <c r="E2520" s="543"/>
      <c r="F2520" s="543"/>
      <c r="G2520" s="543"/>
      <c r="H2520" s="543"/>
      <c r="I2520" s="543"/>
      <c r="J2520" s="543"/>
      <c r="K2520" s="543"/>
      <c r="L2520" s="543"/>
      <c r="M2520" s="543"/>
      <c r="N2520" s="331" t="str">
        <f>VLOOKUP(A2520,ORCAMENTO!A:I,5,0)</f>
        <v>M2</v>
      </c>
      <c r="O2520" s="332">
        <f>O2546</f>
        <v>110.23000000000003</v>
      </c>
    </row>
    <row r="2521" spans="1:15" s="328" customFormat="1" x14ac:dyDescent="0.2">
      <c r="A2521" s="539" t="s">
        <v>39793</v>
      </c>
      <c r="B2521" s="539"/>
      <c r="C2521" s="539"/>
      <c r="D2521" s="539"/>
      <c r="E2521" s="539"/>
      <c r="F2521" s="539"/>
      <c r="G2521" s="539"/>
      <c r="H2521" s="539"/>
      <c r="I2521" s="539"/>
      <c r="J2521" s="539"/>
      <c r="K2521" s="539"/>
      <c r="L2521" s="539"/>
      <c r="M2521" s="539"/>
      <c r="N2521" s="539"/>
      <c r="O2521" s="539"/>
    </row>
    <row r="2522" spans="1:15" s="328" customFormat="1" x14ac:dyDescent="0.2">
      <c r="A2522" s="539" t="s">
        <v>5917</v>
      </c>
      <c r="B2522" s="539"/>
      <c r="C2522" s="539"/>
      <c r="D2522" s="333"/>
      <c r="E2522" s="333"/>
      <c r="F2522" s="333"/>
      <c r="G2522" s="333"/>
      <c r="H2522" s="333"/>
      <c r="I2522" s="331"/>
      <c r="J2522" s="331"/>
      <c r="K2522" s="333" t="s">
        <v>39804</v>
      </c>
      <c r="L2522" s="333" t="s">
        <v>39805</v>
      </c>
      <c r="M2522" s="333" t="s">
        <v>39802</v>
      </c>
      <c r="N2522" s="333" t="s">
        <v>39794</v>
      </c>
      <c r="O2522" s="333" t="s">
        <v>39795</v>
      </c>
    </row>
    <row r="2523" spans="1:15" s="328" customFormat="1" x14ac:dyDescent="0.2">
      <c r="A2523" s="535" t="s">
        <v>39932</v>
      </c>
      <c r="B2523" s="535"/>
      <c r="C2523" s="535"/>
      <c r="D2523" s="332"/>
      <c r="E2523" s="332"/>
      <c r="F2523" s="332"/>
      <c r="G2523" s="332"/>
      <c r="H2523" s="332"/>
      <c r="I2523" s="332"/>
      <c r="J2523" s="332"/>
      <c r="K2523" s="332">
        <f t="shared" ref="K2523:K2529" si="139">0.85</f>
        <v>0.85</v>
      </c>
      <c r="L2523" s="332" t="s">
        <v>39805</v>
      </c>
      <c r="M2523" s="332">
        <f>4.95</f>
        <v>4.95</v>
      </c>
      <c r="N2523" s="339" t="s">
        <v>39794</v>
      </c>
      <c r="O2523" s="340">
        <f>ROUND(K2523*M2523,2)</f>
        <v>4.21</v>
      </c>
    </row>
    <row r="2524" spans="1:15" s="328" customFormat="1" x14ac:dyDescent="0.2">
      <c r="A2524" s="535" t="s">
        <v>39933</v>
      </c>
      <c r="B2524" s="535"/>
      <c r="C2524" s="535"/>
      <c r="D2524" s="332"/>
      <c r="E2524" s="332"/>
      <c r="F2524" s="332"/>
      <c r="G2524" s="332"/>
      <c r="H2524" s="332"/>
      <c r="I2524" s="332"/>
      <c r="J2524" s="332"/>
      <c r="K2524" s="332">
        <f t="shared" si="139"/>
        <v>0.85</v>
      </c>
      <c r="L2524" s="332" t="s">
        <v>39805</v>
      </c>
      <c r="M2524" s="332">
        <f>5.7</f>
        <v>5.7</v>
      </c>
      <c r="N2524" s="332" t="s">
        <v>39794</v>
      </c>
      <c r="O2524" s="340">
        <f t="shared" ref="O2524:O2545" si="140">ROUND(K2524*M2524,2)</f>
        <v>4.8499999999999996</v>
      </c>
    </row>
    <row r="2525" spans="1:15" s="328" customFormat="1" x14ac:dyDescent="0.2">
      <c r="A2525" s="535" t="s">
        <v>39934</v>
      </c>
      <c r="B2525" s="535"/>
      <c r="C2525" s="535"/>
      <c r="D2525" s="332"/>
      <c r="E2525" s="332"/>
      <c r="F2525" s="332"/>
      <c r="G2525" s="332"/>
      <c r="H2525" s="332"/>
      <c r="I2525" s="332"/>
      <c r="J2525" s="332"/>
      <c r="K2525" s="332">
        <f t="shared" si="139"/>
        <v>0.85</v>
      </c>
      <c r="L2525" s="332" t="s">
        <v>39805</v>
      </c>
      <c r="M2525" s="332">
        <f>5.7</f>
        <v>5.7</v>
      </c>
      <c r="N2525" s="332" t="s">
        <v>39794</v>
      </c>
      <c r="O2525" s="340">
        <f t="shared" si="140"/>
        <v>4.8499999999999996</v>
      </c>
    </row>
    <row r="2526" spans="1:15" s="328" customFormat="1" x14ac:dyDescent="0.2">
      <c r="A2526" s="535" t="s">
        <v>39935</v>
      </c>
      <c r="B2526" s="535"/>
      <c r="C2526" s="535"/>
      <c r="D2526" s="332"/>
      <c r="E2526" s="332"/>
      <c r="F2526" s="332"/>
      <c r="G2526" s="332"/>
      <c r="H2526" s="332"/>
      <c r="I2526" s="332"/>
      <c r="J2526" s="332"/>
      <c r="K2526" s="332">
        <f t="shared" si="139"/>
        <v>0.85</v>
      </c>
      <c r="L2526" s="332" t="s">
        <v>39805</v>
      </c>
      <c r="M2526" s="332">
        <f>5.7</f>
        <v>5.7</v>
      </c>
      <c r="N2526" s="332" t="s">
        <v>39794</v>
      </c>
      <c r="O2526" s="340">
        <f t="shared" si="140"/>
        <v>4.8499999999999996</v>
      </c>
    </row>
    <row r="2527" spans="1:15" s="328" customFormat="1" x14ac:dyDescent="0.2">
      <c r="A2527" s="535" t="s">
        <v>39936</v>
      </c>
      <c r="B2527" s="535"/>
      <c r="C2527" s="535"/>
      <c r="D2527" s="332"/>
      <c r="E2527" s="332"/>
      <c r="F2527" s="332"/>
      <c r="G2527" s="332"/>
      <c r="H2527" s="332"/>
      <c r="I2527" s="332"/>
      <c r="J2527" s="332"/>
      <c r="K2527" s="332">
        <f t="shared" si="139"/>
        <v>0.85</v>
      </c>
      <c r="L2527" s="332" t="s">
        <v>39805</v>
      </c>
      <c r="M2527" s="332">
        <f>5.7</f>
        <v>5.7</v>
      </c>
      <c r="N2527" s="332" t="s">
        <v>39794</v>
      </c>
      <c r="O2527" s="340">
        <f t="shared" si="140"/>
        <v>4.8499999999999996</v>
      </c>
    </row>
    <row r="2528" spans="1:15" s="328" customFormat="1" x14ac:dyDescent="0.2">
      <c r="A2528" s="535" t="s">
        <v>39937</v>
      </c>
      <c r="B2528" s="535"/>
      <c r="C2528" s="535"/>
      <c r="D2528" s="332"/>
      <c r="E2528" s="332"/>
      <c r="F2528" s="332"/>
      <c r="G2528" s="332"/>
      <c r="H2528" s="332"/>
      <c r="I2528" s="332"/>
      <c r="J2528" s="332"/>
      <c r="K2528" s="332">
        <f t="shared" si="139"/>
        <v>0.85</v>
      </c>
      <c r="L2528" s="332" t="s">
        <v>39805</v>
      </c>
      <c r="M2528" s="332">
        <f>5.7</f>
        <v>5.7</v>
      </c>
      <c r="N2528" s="332" t="s">
        <v>39794</v>
      </c>
      <c r="O2528" s="340">
        <f t="shared" si="140"/>
        <v>4.8499999999999996</v>
      </c>
    </row>
    <row r="2529" spans="1:15" s="328" customFormat="1" x14ac:dyDescent="0.2">
      <c r="A2529" s="535" t="s">
        <v>39938</v>
      </c>
      <c r="B2529" s="535"/>
      <c r="C2529" s="535"/>
      <c r="D2529" s="332"/>
      <c r="E2529" s="332"/>
      <c r="F2529" s="332"/>
      <c r="G2529" s="332"/>
      <c r="H2529" s="332"/>
      <c r="I2529" s="332"/>
      <c r="J2529" s="332"/>
      <c r="K2529" s="332">
        <f t="shared" si="139"/>
        <v>0.85</v>
      </c>
      <c r="L2529" s="332" t="s">
        <v>39805</v>
      </c>
      <c r="M2529" s="332">
        <f>9.2</f>
        <v>9.1999999999999993</v>
      </c>
      <c r="N2529" s="332" t="s">
        <v>39794</v>
      </c>
      <c r="O2529" s="340">
        <f t="shared" si="140"/>
        <v>7.82</v>
      </c>
    </row>
    <row r="2530" spans="1:15" s="328" customFormat="1" x14ac:dyDescent="0.2">
      <c r="A2530" s="535" t="s">
        <v>39939</v>
      </c>
      <c r="B2530" s="535"/>
      <c r="C2530" s="535"/>
      <c r="D2530" s="332"/>
      <c r="E2530" s="332"/>
      <c r="F2530" s="332"/>
      <c r="G2530" s="332"/>
      <c r="H2530" s="332"/>
      <c r="I2530" s="332"/>
      <c r="J2530" s="332"/>
      <c r="K2530" s="332">
        <f>1</f>
        <v>1</v>
      </c>
      <c r="L2530" s="332" t="s">
        <v>39805</v>
      </c>
      <c r="M2530" s="332">
        <f>5</f>
        <v>5</v>
      </c>
      <c r="N2530" s="332" t="s">
        <v>39794</v>
      </c>
      <c r="O2530" s="340">
        <f t="shared" si="140"/>
        <v>5</v>
      </c>
    </row>
    <row r="2531" spans="1:15" s="328" customFormat="1" x14ac:dyDescent="0.2">
      <c r="A2531" s="535" t="s">
        <v>39940</v>
      </c>
      <c r="B2531" s="535"/>
      <c r="C2531" s="535"/>
      <c r="D2531" s="332"/>
      <c r="E2531" s="332"/>
      <c r="F2531" s="332"/>
      <c r="G2531" s="332"/>
      <c r="H2531" s="332"/>
      <c r="I2531" s="332"/>
      <c r="J2531" s="332"/>
      <c r="K2531" s="332">
        <f>1</f>
        <v>1</v>
      </c>
      <c r="L2531" s="332" t="s">
        <v>39805</v>
      </c>
      <c r="M2531" s="332">
        <f>5.7</f>
        <v>5.7</v>
      </c>
      <c r="N2531" s="332" t="s">
        <v>39794</v>
      </c>
      <c r="O2531" s="340">
        <f t="shared" si="140"/>
        <v>5.7</v>
      </c>
    </row>
    <row r="2532" spans="1:15" s="328" customFormat="1" x14ac:dyDescent="0.2">
      <c r="A2532" s="535" t="s">
        <v>39941</v>
      </c>
      <c r="B2532" s="535"/>
      <c r="C2532" s="535"/>
      <c r="D2532" s="332"/>
      <c r="E2532" s="332"/>
      <c r="F2532" s="332"/>
      <c r="G2532" s="332"/>
      <c r="H2532" s="332"/>
      <c r="I2532" s="332"/>
      <c r="J2532" s="332"/>
      <c r="K2532" s="332">
        <f>1</f>
        <v>1</v>
      </c>
      <c r="L2532" s="332" t="s">
        <v>39805</v>
      </c>
      <c r="M2532" s="332">
        <f>4.95</f>
        <v>4.95</v>
      </c>
      <c r="N2532" s="332" t="s">
        <v>39794</v>
      </c>
      <c r="O2532" s="340">
        <f t="shared" si="140"/>
        <v>4.95</v>
      </c>
    </row>
    <row r="2533" spans="1:15" s="328" customFormat="1" x14ac:dyDescent="0.2">
      <c r="A2533" s="535" t="s">
        <v>39942</v>
      </c>
      <c r="B2533" s="535"/>
      <c r="C2533" s="535"/>
      <c r="D2533" s="332"/>
      <c r="E2533" s="332"/>
      <c r="F2533" s="332"/>
      <c r="G2533" s="332"/>
      <c r="H2533" s="332"/>
      <c r="I2533" s="332"/>
      <c r="J2533" s="332"/>
      <c r="K2533" s="332">
        <v>1</v>
      </c>
      <c r="L2533" s="332" t="s">
        <v>39805</v>
      </c>
      <c r="M2533" s="332">
        <f>4.95</f>
        <v>4.95</v>
      </c>
      <c r="N2533" s="332" t="s">
        <v>39794</v>
      </c>
      <c r="O2533" s="340">
        <f t="shared" si="140"/>
        <v>4.95</v>
      </c>
    </row>
    <row r="2534" spans="1:15" s="328" customFormat="1" x14ac:dyDescent="0.2">
      <c r="A2534" s="535" t="s">
        <v>39943</v>
      </c>
      <c r="B2534" s="535"/>
      <c r="C2534" s="535"/>
      <c r="D2534" s="332"/>
      <c r="E2534" s="332"/>
      <c r="F2534" s="332"/>
      <c r="G2534" s="332"/>
      <c r="H2534" s="332"/>
      <c r="I2534" s="332"/>
      <c r="J2534" s="332"/>
      <c r="K2534" s="332">
        <v>1</v>
      </c>
      <c r="L2534" s="332" t="s">
        <v>39805</v>
      </c>
      <c r="M2534" s="332">
        <f>5.7</f>
        <v>5.7</v>
      </c>
      <c r="N2534" s="332" t="s">
        <v>39794</v>
      </c>
      <c r="O2534" s="340">
        <f t="shared" si="140"/>
        <v>5.7</v>
      </c>
    </row>
    <row r="2535" spans="1:15" s="328" customFormat="1" x14ac:dyDescent="0.2">
      <c r="A2535" s="535" t="s">
        <v>39944</v>
      </c>
      <c r="B2535" s="535"/>
      <c r="C2535" s="535"/>
      <c r="D2535" s="332"/>
      <c r="E2535" s="332"/>
      <c r="F2535" s="332"/>
      <c r="G2535" s="332"/>
      <c r="H2535" s="332"/>
      <c r="I2535" s="332"/>
      <c r="J2535" s="332"/>
      <c r="K2535" s="332">
        <v>1</v>
      </c>
      <c r="L2535" s="332" t="s">
        <v>39805</v>
      </c>
      <c r="M2535" s="332">
        <f>5.7</f>
        <v>5.7</v>
      </c>
      <c r="N2535" s="332" t="s">
        <v>39794</v>
      </c>
      <c r="O2535" s="340">
        <f t="shared" si="140"/>
        <v>5.7</v>
      </c>
    </row>
    <row r="2536" spans="1:15" s="328" customFormat="1" x14ac:dyDescent="0.2">
      <c r="A2536" s="535" t="s">
        <v>39945</v>
      </c>
      <c r="B2536" s="535"/>
      <c r="C2536" s="535"/>
      <c r="D2536" s="332"/>
      <c r="E2536" s="332"/>
      <c r="F2536" s="332"/>
      <c r="G2536" s="332"/>
      <c r="H2536" s="332"/>
      <c r="I2536" s="332"/>
      <c r="J2536" s="332"/>
      <c r="K2536" s="332">
        <v>1</v>
      </c>
      <c r="L2536" s="332" t="s">
        <v>39805</v>
      </c>
      <c r="M2536" s="332">
        <f>1.25</f>
        <v>1.25</v>
      </c>
      <c r="N2536" s="332" t="s">
        <v>39794</v>
      </c>
      <c r="O2536" s="340">
        <f t="shared" si="140"/>
        <v>1.25</v>
      </c>
    </row>
    <row r="2537" spans="1:15" s="328" customFormat="1" x14ac:dyDescent="0.2">
      <c r="A2537" s="535" t="s">
        <v>39946</v>
      </c>
      <c r="B2537" s="535"/>
      <c r="C2537" s="535"/>
      <c r="D2537" s="332"/>
      <c r="E2537" s="332"/>
      <c r="F2537" s="332"/>
      <c r="G2537" s="332"/>
      <c r="H2537" s="332"/>
      <c r="I2537" s="332"/>
      <c r="J2537" s="332"/>
      <c r="K2537" s="332">
        <v>1</v>
      </c>
      <c r="L2537" s="332" t="s">
        <v>39805</v>
      </c>
      <c r="M2537" s="332">
        <f>4.45</f>
        <v>4.45</v>
      </c>
      <c r="N2537" s="332" t="s">
        <v>39794</v>
      </c>
      <c r="O2537" s="340">
        <f t="shared" si="140"/>
        <v>4.45</v>
      </c>
    </row>
    <row r="2538" spans="1:15" s="328" customFormat="1" x14ac:dyDescent="0.2">
      <c r="A2538" s="535" t="s">
        <v>39947</v>
      </c>
      <c r="B2538" s="535"/>
      <c r="C2538" s="535"/>
      <c r="D2538" s="332"/>
      <c r="E2538" s="332"/>
      <c r="F2538" s="332"/>
      <c r="G2538" s="332"/>
      <c r="H2538" s="332"/>
      <c r="I2538" s="332"/>
      <c r="J2538" s="332"/>
      <c r="K2538" s="332">
        <v>1</v>
      </c>
      <c r="L2538" s="332" t="s">
        <v>39805</v>
      </c>
      <c r="M2538" s="332">
        <f>5.7</f>
        <v>5.7</v>
      </c>
      <c r="N2538" s="332" t="s">
        <v>39794</v>
      </c>
      <c r="O2538" s="340">
        <f t="shared" si="140"/>
        <v>5.7</v>
      </c>
    </row>
    <row r="2539" spans="1:15" s="328" customFormat="1" x14ac:dyDescent="0.2">
      <c r="A2539" s="535" t="s">
        <v>39948</v>
      </c>
      <c r="B2539" s="535"/>
      <c r="C2539" s="535"/>
      <c r="D2539" s="332"/>
      <c r="E2539" s="332"/>
      <c r="F2539" s="332"/>
      <c r="G2539" s="332"/>
      <c r="H2539" s="332"/>
      <c r="I2539" s="332"/>
      <c r="J2539" s="332"/>
      <c r="K2539" s="332">
        <v>1</v>
      </c>
      <c r="L2539" s="332" t="s">
        <v>39805</v>
      </c>
      <c r="M2539" s="332">
        <f>5.7</f>
        <v>5.7</v>
      </c>
      <c r="N2539" s="332" t="s">
        <v>39794</v>
      </c>
      <c r="O2539" s="340">
        <f t="shared" si="140"/>
        <v>5.7</v>
      </c>
    </row>
    <row r="2540" spans="1:15" s="328" customFormat="1" x14ac:dyDescent="0.2">
      <c r="A2540" s="535" t="s">
        <v>39949</v>
      </c>
      <c r="B2540" s="535"/>
      <c r="C2540" s="535"/>
      <c r="D2540" s="332"/>
      <c r="E2540" s="332"/>
      <c r="F2540" s="332"/>
      <c r="G2540" s="332"/>
      <c r="H2540" s="332"/>
      <c r="I2540" s="332"/>
      <c r="J2540" s="332"/>
      <c r="K2540" s="332">
        <v>1</v>
      </c>
      <c r="L2540" s="332" t="s">
        <v>39805</v>
      </c>
      <c r="M2540" s="332">
        <f>5.8</f>
        <v>5.8</v>
      </c>
      <c r="N2540" s="332" t="s">
        <v>39794</v>
      </c>
      <c r="O2540" s="340">
        <f t="shared" si="140"/>
        <v>5.8</v>
      </c>
    </row>
    <row r="2541" spans="1:15" s="328" customFormat="1" x14ac:dyDescent="0.2">
      <c r="A2541" s="535" t="s">
        <v>39950</v>
      </c>
      <c r="B2541" s="535"/>
      <c r="C2541" s="535"/>
      <c r="D2541" s="332"/>
      <c r="E2541" s="332"/>
      <c r="F2541" s="332"/>
      <c r="G2541" s="332"/>
      <c r="H2541" s="332"/>
      <c r="I2541" s="332"/>
      <c r="J2541" s="332"/>
      <c r="K2541" s="332">
        <v>1</v>
      </c>
      <c r="L2541" s="332" t="s">
        <v>39805</v>
      </c>
      <c r="M2541" s="332">
        <f>0.2</f>
        <v>0.2</v>
      </c>
      <c r="N2541" s="332" t="s">
        <v>39794</v>
      </c>
      <c r="O2541" s="340">
        <f t="shared" si="140"/>
        <v>0.2</v>
      </c>
    </row>
    <row r="2542" spans="1:15" s="328" customFormat="1" x14ac:dyDescent="0.2">
      <c r="A2542" s="535" t="s">
        <v>39951</v>
      </c>
      <c r="B2542" s="535"/>
      <c r="C2542" s="535"/>
      <c r="D2542" s="332"/>
      <c r="E2542" s="332"/>
      <c r="F2542" s="332"/>
      <c r="G2542" s="332"/>
      <c r="H2542" s="332"/>
      <c r="I2542" s="332"/>
      <c r="J2542" s="332"/>
      <c r="K2542" s="332">
        <v>1</v>
      </c>
      <c r="L2542" s="332" t="s">
        <v>39805</v>
      </c>
      <c r="M2542" s="332">
        <f>3.2</f>
        <v>3.2</v>
      </c>
      <c r="N2542" s="332" t="s">
        <v>39794</v>
      </c>
      <c r="O2542" s="340">
        <f t="shared" si="140"/>
        <v>3.2</v>
      </c>
    </row>
    <row r="2543" spans="1:15" s="328" customFormat="1" x14ac:dyDescent="0.2">
      <c r="A2543" s="535" t="s">
        <v>39952</v>
      </c>
      <c r="B2543" s="535"/>
      <c r="C2543" s="535"/>
      <c r="D2543" s="332"/>
      <c r="E2543" s="332"/>
      <c r="F2543" s="332"/>
      <c r="G2543" s="332"/>
      <c r="H2543" s="332"/>
      <c r="I2543" s="332"/>
      <c r="J2543" s="332"/>
      <c r="K2543" s="332">
        <v>1</v>
      </c>
      <c r="L2543" s="332" t="s">
        <v>39805</v>
      </c>
      <c r="M2543" s="332">
        <f>5</f>
        <v>5</v>
      </c>
      <c r="N2543" s="332" t="s">
        <v>39794</v>
      </c>
      <c r="O2543" s="340">
        <f t="shared" si="140"/>
        <v>5</v>
      </c>
    </row>
    <row r="2544" spans="1:15" s="328" customFormat="1" x14ac:dyDescent="0.2">
      <c r="A2544" s="535" t="s">
        <v>39953</v>
      </c>
      <c r="B2544" s="535"/>
      <c r="C2544" s="535"/>
      <c r="D2544" s="332"/>
      <c r="E2544" s="332"/>
      <c r="F2544" s="332"/>
      <c r="G2544" s="332"/>
      <c r="H2544" s="332"/>
      <c r="I2544" s="332"/>
      <c r="J2544" s="332"/>
      <c r="K2544" s="332">
        <v>1</v>
      </c>
      <c r="L2544" s="332" t="s">
        <v>39805</v>
      </c>
      <c r="M2544" s="332">
        <f>5.7</f>
        <v>5.7</v>
      </c>
      <c r="N2544" s="332" t="s">
        <v>39794</v>
      </c>
      <c r="O2544" s="340">
        <f t="shared" si="140"/>
        <v>5.7</v>
      </c>
    </row>
    <row r="2545" spans="1:15" s="328" customFormat="1" x14ac:dyDescent="0.2">
      <c r="A2545" s="535" t="s">
        <v>39954</v>
      </c>
      <c r="B2545" s="535"/>
      <c r="C2545" s="535"/>
      <c r="D2545" s="332"/>
      <c r="E2545" s="332"/>
      <c r="F2545" s="332"/>
      <c r="G2545" s="332"/>
      <c r="H2545" s="332"/>
      <c r="I2545" s="332"/>
      <c r="J2545" s="332"/>
      <c r="K2545" s="332">
        <v>1</v>
      </c>
      <c r="L2545" s="332" t="s">
        <v>39805</v>
      </c>
      <c r="M2545" s="332">
        <f>4.95</f>
        <v>4.95</v>
      </c>
      <c r="N2545" s="332" t="s">
        <v>39794</v>
      </c>
      <c r="O2545" s="340">
        <f t="shared" si="140"/>
        <v>4.95</v>
      </c>
    </row>
    <row r="2546" spans="1:15" s="328" customFormat="1" x14ac:dyDescent="0.2">
      <c r="A2546" s="540"/>
      <c r="B2546" s="540"/>
      <c r="C2546" s="540"/>
      <c r="D2546" s="540"/>
      <c r="E2546" s="540"/>
      <c r="F2546" s="540"/>
      <c r="G2546" s="540"/>
      <c r="H2546" s="540"/>
      <c r="I2546" s="540"/>
      <c r="J2546" s="540"/>
      <c r="K2546" s="540"/>
      <c r="L2546" s="334" t="s">
        <v>39796</v>
      </c>
      <c r="M2546" s="334" t="s">
        <v>39168</v>
      </c>
      <c r="N2546" s="333" t="s">
        <v>39794</v>
      </c>
      <c r="O2546" s="334">
        <f>SUM(O2522:O2545)</f>
        <v>110.23000000000003</v>
      </c>
    </row>
    <row r="2547" spans="1:15" s="328" customFormat="1" x14ac:dyDescent="0.2">
      <c r="A2547" s="329" t="s">
        <v>39791</v>
      </c>
      <c r="B2547" s="542" t="s">
        <v>5917</v>
      </c>
      <c r="C2547" s="542"/>
      <c r="D2547" s="542"/>
      <c r="E2547" s="542"/>
      <c r="F2547" s="542"/>
      <c r="G2547" s="542"/>
      <c r="H2547" s="542"/>
      <c r="I2547" s="542"/>
      <c r="J2547" s="542"/>
      <c r="K2547" s="542"/>
      <c r="L2547" s="542"/>
      <c r="M2547" s="542"/>
      <c r="N2547" s="329" t="s">
        <v>39197</v>
      </c>
      <c r="O2547" s="330" t="s">
        <v>39792</v>
      </c>
    </row>
    <row r="2548" spans="1:15" s="328" customFormat="1" ht="12.75" customHeight="1" x14ac:dyDescent="0.2">
      <c r="A2548" s="331" t="str">
        <f>ORCAMENTO!A375</f>
        <v>18.2.3</v>
      </c>
      <c r="B2548" s="543" t="str">
        <f>VLOOKUP(A2548,ORCAMENTO!A:I,4,0)</f>
        <v>PINTURA LÁTEX ACRÍLICA PREMIUM, APLICAÇÃO MANUAL EM TETO, DUAS DEMÃOS. AF_04/2023</v>
      </c>
      <c r="C2548" s="543"/>
      <c r="D2548" s="543"/>
      <c r="E2548" s="543"/>
      <c r="F2548" s="543"/>
      <c r="G2548" s="543"/>
      <c r="H2548" s="543"/>
      <c r="I2548" s="543"/>
      <c r="J2548" s="543"/>
      <c r="K2548" s="543"/>
      <c r="L2548" s="543"/>
      <c r="M2548" s="543"/>
      <c r="N2548" s="331" t="str">
        <f>VLOOKUP(A2548,ORCAMENTO!A:I,5,0)</f>
        <v>M2</v>
      </c>
      <c r="O2548" s="332">
        <f>O2574</f>
        <v>110.23000000000003</v>
      </c>
    </row>
    <row r="2549" spans="1:15" s="328" customFormat="1" x14ac:dyDescent="0.2">
      <c r="A2549" s="539" t="s">
        <v>39793</v>
      </c>
      <c r="B2549" s="539"/>
      <c r="C2549" s="539"/>
      <c r="D2549" s="539"/>
      <c r="E2549" s="539"/>
      <c r="F2549" s="539"/>
      <c r="G2549" s="539"/>
      <c r="H2549" s="539"/>
      <c r="I2549" s="539"/>
      <c r="J2549" s="539"/>
      <c r="K2549" s="539"/>
      <c r="L2549" s="539"/>
      <c r="M2549" s="539"/>
      <c r="N2549" s="539"/>
      <c r="O2549" s="539"/>
    </row>
    <row r="2550" spans="1:15" s="328" customFormat="1" x14ac:dyDescent="0.2">
      <c r="A2550" s="539" t="s">
        <v>5917</v>
      </c>
      <c r="B2550" s="539"/>
      <c r="C2550" s="539"/>
      <c r="D2550" s="333"/>
      <c r="E2550" s="333"/>
      <c r="F2550" s="333"/>
      <c r="G2550" s="333"/>
      <c r="H2550" s="333"/>
      <c r="I2550" s="331"/>
      <c r="J2550" s="331"/>
      <c r="K2550" s="333" t="s">
        <v>39804</v>
      </c>
      <c r="L2550" s="333" t="s">
        <v>39805</v>
      </c>
      <c r="M2550" s="333" t="s">
        <v>39802</v>
      </c>
      <c r="N2550" s="333" t="s">
        <v>39794</v>
      </c>
      <c r="O2550" s="333" t="s">
        <v>39795</v>
      </c>
    </row>
    <row r="2551" spans="1:15" s="328" customFormat="1" x14ac:dyDescent="0.2">
      <c r="A2551" s="535" t="s">
        <v>39932</v>
      </c>
      <c r="B2551" s="535"/>
      <c r="C2551" s="535"/>
      <c r="D2551" s="332"/>
      <c r="E2551" s="332"/>
      <c r="F2551" s="332"/>
      <c r="G2551" s="332"/>
      <c r="H2551" s="332"/>
      <c r="I2551" s="332"/>
      <c r="J2551" s="332"/>
      <c r="K2551" s="332">
        <f t="shared" ref="K2551:K2557" si="141">0.85</f>
        <v>0.85</v>
      </c>
      <c r="L2551" s="332" t="s">
        <v>39805</v>
      </c>
      <c r="M2551" s="332">
        <f>4.95</f>
        <v>4.95</v>
      </c>
      <c r="N2551" s="339" t="s">
        <v>39794</v>
      </c>
      <c r="O2551" s="340">
        <f>ROUND(K2551*M2551,2)</f>
        <v>4.21</v>
      </c>
    </row>
    <row r="2552" spans="1:15" s="328" customFormat="1" x14ac:dyDescent="0.2">
      <c r="A2552" s="535" t="s">
        <v>39933</v>
      </c>
      <c r="B2552" s="535"/>
      <c r="C2552" s="535"/>
      <c r="D2552" s="332"/>
      <c r="E2552" s="332"/>
      <c r="F2552" s="332"/>
      <c r="G2552" s="332"/>
      <c r="H2552" s="332"/>
      <c r="I2552" s="332"/>
      <c r="J2552" s="332"/>
      <c r="K2552" s="332">
        <f t="shared" si="141"/>
        <v>0.85</v>
      </c>
      <c r="L2552" s="332" t="s">
        <v>39805</v>
      </c>
      <c r="M2552" s="332">
        <f>5.7</f>
        <v>5.7</v>
      </c>
      <c r="N2552" s="332" t="s">
        <v>39794</v>
      </c>
      <c r="O2552" s="340">
        <f t="shared" ref="O2552:O2573" si="142">ROUND(K2552*M2552,2)</f>
        <v>4.8499999999999996</v>
      </c>
    </row>
    <row r="2553" spans="1:15" s="328" customFormat="1" x14ac:dyDescent="0.2">
      <c r="A2553" s="535" t="s">
        <v>39934</v>
      </c>
      <c r="B2553" s="535"/>
      <c r="C2553" s="535"/>
      <c r="D2553" s="332"/>
      <c r="E2553" s="332"/>
      <c r="F2553" s="332"/>
      <c r="G2553" s="332"/>
      <c r="H2553" s="332"/>
      <c r="I2553" s="332"/>
      <c r="J2553" s="332"/>
      <c r="K2553" s="332">
        <f t="shared" si="141"/>
        <v>0.85</v>
      </c>
      <c r="L2553" s="332" t="s">
        <v>39805</v>
      </c>
      <c r="M2553" s="332">
        <f>5.7</f>
        <v>5.7</v>
      </c>
      <c r="N2553" s="332" t="s">
        <v>39794</v>
      </c>
      <c r="O2553" s="340">
        <f t="shared" si="142"/>
        <v>4.8499999999999996</v>
      </c>
    </row>
    <row r="2554" spans="1:15" s="328" customFormat="1" x14ac:dyDescent="0.2">
      <c r="A2554" s="535" t="s">
        <v>39935</v>
      </c>
      <c r="B2554" s="535"/>
      <c r="C2554" s="535"/>
      <c r="D2554" s="332"/>
      <c r="E2554" s="332"/>
      <c r="F2554" s="332"/>
      <c r="G2554" s="332"/>
      <c r="H2554" s="332"/>
      <c r="I2554" s="332"/>
      <c r="J2554" s="332"/>
      <c r="K2554" s="332">
        <f t="shared" si="141"/>
        <v>0.85</v>
      </c>
      <c r="L2554" s="332" t="s">
        <v>39805</v>
      </c>
      <c r="M2554" s="332">
        <f>5.7</f>
        <v>5.7</v>
      </c>
      <c r="N2554" s="332" t="s">
        <v>39794</v>
      </c>
      <c r="O2554" s="340">
        <f t="shared" si="142"/>
        <v>4.8499999999999996</v>
      </c>
    </row>
    <row r="2555" spans="1:15" s="328" customFormat="1" x14ac:dyDescent="0.2">
      <c r="A2555" s="535" t="s">
        <v>39936</v>
      </c>
      <c r="B2555" s="535"/>
      <c r="C2555" s="535"/>
      <c r="D2555" s="332"/>
      <c r="E2555" s="332"/>
      <c r="F2555" s="332"/>
      <c r="G2555" s="332"/>
      <c r="H2555" s="332"/>
      <c r="I2555" s="332"/>
      <c r="J2555" s="332"/>
      <c r="K2555" s="332">
        <f t="shared" si="141"/>
        <v>0.85</v>
      </c>
      <c r="L2555" s="332" t="s">
        <v>39805</v>
      </c>
      <c r="M2555" s="332">
        <f>5.7</f>
        <v>5.7</v>
      </c>
      <c r="N2555" s="332" t="s">
        <v>39794</v>
      </c>
      <c r="O2555" s="340">
        <f t="shared" si="142"/>
        <v>4.8499999999999996</v>
      </c>
    </row>
    <row r="2556" spans="1:15" s="328" customFormat="1" x14ac:dyDescent="0.2">
      <c r="A2556" s="535" t="s">
        <v>39937</v>
      </c>
      <c r="B2556" s="535"/>
      <c r="C2556" s="535"/>
      <c r="D2556" s="332"/>
      <c r="E2556" s="332"/>
      <c r="F2556" s="332"/>
      <c r="G2556" s="332"/>
      <c r="H2556" s="332"/>
      <c r="I2556" s="332"/>
      <c r="J2556" s="332"/>
      <c r="K2556" s="332">
        <f t="shared" si="141"/>
        <v>0.85</v>
      </c>
      <c r="L2556" s="332" t="s">
        <v>39805</v>
      </c>
      <c r="M2556" s="332">
        <f>5.7</f>
        <v>5.7</v>
      </c>
      <c r="N2556" s="332" t="s">
        <v>39794</v>
      </c>
      <c r="O2556" s="340">
        <f t="shared" si="142"/>
        <v>4.8499999999999996</v>
      </c>
    </row>
    <row r="2557" spans="1:15" s="328" customFormat="1" x14ac:dyDescent="0.2">
      <c r="A2557" s="535" t="s">
        <v>39938</v>
      </c>
      <c r="B2557" s="535"/>
      <c r="C2557" s="535"/>
      <c r="D2557" s="332"/>
      <c r="E2557" s="332"/>
      <c r="F2557" s="332"/>
      <c r="G2557" s="332"/>
      <c r="H2557" s="332"/>
      <c r="I2557" s="332"/>
      <c r="J2557" s="332"/>
      <c r="K2557" s="332">
        <f t="shared" si="141"/>
        <v>0.85</v>
      </c>
      <c r="L2557" s="332" t="s">
        <v>39805</v>
      </c>
      <c r="M2557" s="332">
        <f>9.2</f>
        <v>9.1999999999999993</v>
      </c>
      <c r="N2557" s="332" t="s">
        <v>39794</v>
      </c>
      <c r="O2557" s="340">
        <f t="shared" si="142"/>
        <v>7.82</v>
      </c>
    </row>
    <row r="2558" spans="1:15" s="328" customFormat="1" x14ac:dyDescent="0.2">
      <c r="A2558" s="535" t="s">
        <v>39939</v>
      </c>
      <c r="B2558" s="535"/>
      <c r="C2558" s="535"/>
      <c r="D2558" s="332"/>
      <c r="E2558" s="332"/>
      <c r="F2558" s="332"/>
      <c r="G2558" s="332"/>
      <c r="H2558" s="332"/>
      <c r="I2558" s="332"/>
      <c r="J2558" s="332"/>
      <c r="K2558" s="332">
        <f>1</f>
        <v>1</v>
      </c>
      <c r="L2558" s="332" t="s">
        <v>39805</v>
      </c>
      <c r="M2558" s="332">
        <f>5</f>
        <v>5</v>
      </c>
      <c r="N2558" s="332" t="s">
        <v>39794</v>
      </c>
      <c r="O2558" s="340">
        <f t="shared" si="142"/>
        <v>5</v>
      </c>
    </row>
    <row r="2559" spans="1:15" s="328" customFormat="1" x14ac:dyDescent="0.2">
      <c r="A2559" s="535" t="s">
        <v>39940</v>
      </c>
      <c r="B2559" s="535"/>
      <c r="C2559" s="535"/>
      <c r="D2559" s="332"/>
      <c r="E2559" s="332"/>
      <c r="F2559" s="332"/>
      <c r="G2559" s="332"/>
      <c r="H2559" s="332"/>
      <c r="I2559" s="332"/>
      <c r="J2559" s="332"/>
      <c r="K2559" s="332">
        <f>1</f>
        <v>1</v>
      </c>
      <c r="L2559" s="332" t="s">
        <v>39805</v>
      </c>
      <c r="M2559" s="332">
        <f>5.7</f>
        <v>5.7</v>
      </c>
      <c r="N2559" s="332" t="s">
        <v>39794</v>
      </c>
      <c r="O2559" s="340">
        <f t="shared" si="142"/>
        <v>5.7</v>
      </c>
    </row>
    <row r="2560" spans="1:15" s="328" customFormat="1" x14ac:dyDescent="0.2">
      <c r="A2560" s="535" t="s">
        <v>39941</v>
      </c>
      <c r="B2560" s="535"/>
      <c r="C2560" s="535"/>
      <c r="D2560" s="332"/>
      <c r="E2560" s="332"/>
      <c r="F2560" s="332"/>
      <c r="G2560" s="332"/>
      <c r="H2560" s="332"/>
      <c r="I2560" s="332"/>
      <c r="J2560" s="332"/>
      <c r="K2560" s="332">
        <f>1</f>
        <v>1</v>
      </c>
      <c r="L2560" s="332" t="s">
        <v>39805</v>
      </c>
      <c r="M2560" s="332">
        <f>4.95</f>
        <v>4.95</v>
      </c>
      <c r="N2560" s="332" t="s">
        <v>39794</v>
      </c>
      <c r="O2560" s="340">
        <f t="shared" si="142"/>
        <v>4.95</v>
      </c>
    </row>
    <row r="2561" spans="1:15" s="328" customFormat="1" x14ac:dyDescent="0.2">
      <c r="A2561" s="535" t="s">
        <v>39942</v>
      </c>
      <c r="B2561" s="535"/>
      <c r="C2561" s="535"/>
      <c r="D2561" s="332"/>
      <c r="E2561" s="332"/>
      <c r="F2561" s="332"/>
      <c r="G2561" s="332"/>
      <c r="H2561" s="332"/>
      <c r="I2561" s="332"/>
      <c r="J2561" s="332"/>
      <c r="K2561" s="332">
        <v>1</v>
      </c>
      <c r="L2561" s="332" t="s">
        <v>39805</v>
      </c>
      <c r="M2561" s="332">
        <f>4.95</f>
        <v>4.95</v>
      </c>
      <c r="N2561" s="332" t="s">
        <v>39794</v>
      </c>
      <c r="O2561" s="340">
        <f t="shared" si="142"/>
        <v>4.95</v>
      </c>
    </row>
    <row r="2562" spans="1:15" s="328" customFormat="1" x14ac:dyDescent="0.2">
      <c r="A2562" s="535" t="s">
        <v>39943</v>
      </c>
      <c r="B2562" s="535"/>
      <c r="C2562" s="535"/>
      <c r="D2562" s="332"/>
      <c r="E2562" s="332"/>
      <c r="F2562" s="332"/>
      <c r="G2562" s="332"/>
      <c r="H2562" s="332"/>
      <c r="I2562" s="332"/>
      <c r="J2562" s="332"/>
      <c r="K2562" s="332">
        <v>1</v>
      </c>
      <c r="L2562" s="332" t="s">
        <v>39805</v>
      </c>
      <c r="M2562" s="332">
        <f>5.7</f>
        <v>5.7</v>
      </c>
      <c r="N2562" s="332" t="s">
        <v>39794</v>
      </c>
      <c r="O2562" s="340">
        <f t="shared" si="142"/>
        <v>5.7</v>
      </c>
    </row>
    <row r="2563" spans="1:15" s="328" customFormat="1" x14ac:dyDescent="0.2">
      <c r="A2563" s="535" t="s">
        <v>39944</v>
      </c>
      <c r="B2563" s="535"/>
      <c r="C2563" s="535"/>
      <c r="D2563" s="332"/>
      <c r="E2563" s="332"/>
      <c r="F2563" s="332"/>
      <c r="G2563" s="332"/>
      <c r="H2563" s="332"/>
      <c r="I2563" s="332"/>
      <c r="J2563" s="332"/>
      <c r="K2563" s="332">
        <v>1</v>
      </c>
      <c r="L2563" s="332" t="s">
        <v>39805</v>
      </c>
      <c r="M2563" s="332">
        <f>5.7</f>
        <v>5.7</v>
      </c>
      <c r="N2563" s="332" t="s">
        <v>39794</v>
      </c>
      <c r="O2563" s="340">
        <f t="shared" si="142"/>
        <v>5.7</v>
      </c>
    </row>
    <row r="2564" spans="1:15" s="328" customFormat="1" x14ac:dyDescent="0.2">
      <c r="A2564" s="535" t="s">
        <v>39945</v>
      </c>
      <c r="B2564" s="535"/>
      <c r="C2564" s="535"/>
      <c r="D2564" s="332"/>
      <c r="E2564" s="332"/>
      <c r="F2564" s="332"/>
      <c r="G2564" s="332"/>
      <c r="H2564" s="332"/>
      <c r="I2564" s="332"/>
      <c r="J2564" s="332"/>
      <c r="K2564" s="332">
        <v>1</v>
      </c>
      <c r="L2564" s="332" t="s">
        <v>39805</v>
      </c>
      <c r="M2564" s="332">
        <f>1.25</f>
        <v>1.25</v>
      </c>
      <c r="N2564" s="332" t="s">
        <v>39794</v>
      </c>
      <c r="O2564" s="340">
        <f t="shared" si="142"/>
        <v>1.25</v>
      </c>
    </row>
    <row r="2565" spans="1:15" s="328" customFormat="1" x14ac:dyDescent="0.2">
      <c r="A2565" s="535" t="s">
        <v>39946</v>
      </c>
      <c r="B2565" s="535"/>
      <c r="C2565" s="535"/>
      <c r="D2565" s="332"/>
      <c r="E2565" s="332"/>
      <c r="F2565" s="332"/>
      <c r="G2565" s="332"/>
      <c r="H2565" s="332"/>
      <c r="I2565" s="332"/>
      <c r="J2565" s="332"/>
      <c r="K2565" s="332">
        <v>1</v>
      </c>
      <c r="L2565" s="332" t="s">
        <v>39805</v>
      </c>
      <c r="M2565" s="332">
        <f>4.45</f>
        <v>4.45</v>
      </c>
      <c r="N2565" s="332" t="s">
        <v>39794</v>
      </c>
      <c r="O2565" s="340">
        <f t="shared" si="142"/>
        <v>4.45</v>
      </c>
    </row>
    <row r="2566" spans="1:15" s="328" customFormat="1" x14ac:dyDescent="0.2">
      <c r="A2566" s="535" t="s">
        <v>39947</v>
      </c>
      <c r="B2566" s="535"/>
      <c r="C2566" s="535"/>
      <c r="D2566" s="332"/>
      <c r="E2566" s="332"/>
      <c r="F2566" s="332"/>
      <c r="G2566" s="332"/>
      <c r="H2566" s="332"/>
      <c r="I2566" s="332"/>
      <c r="J2566" s="332"/>
      <c r="K2566" s="332">
        <v>1</v>
      </c>
      <c r="L2566" s="332" t="s">
        <v>39805</v>
      </c>
      <c r="M2566" s="332">
        <f>5.7</f>
        <v>5.7</v>
      </c>
      <c r="N2566" s="332" t="s">
        <v>39794</v>
      </c>
      <c r="O2566" s="340">
        <f t="shared" si="142"/>
        <v>5.7</v>
      </c>
    </row>
    <row r="2567" spans="1:15" s="328" customFormat="1" x14ac:dyDescent="0.2">
      <c r="A2567" s="535" t="s">
        <v>39948</v>
      </c>
      <c r="B2567" s="535"/>
      <c r="C2567" s="535"/>
      <c r="D2567" s="332"/>
      <c r="E2567" s="332"/>
      <c r="F2567" s="332"/>
      <c r="G2567" s="332"/>
      <c r="H2567" s="332"/>
      <c r="I2567" s="332"/>
      <c r="J2567" s="332"/>
      <c r="K2567" s="332">
        <v>1</v>
      </c>
      <c r="L2567" s="332" t="s">
        <v>39805</v>
      </c>
      <c r="M2567" s="332">
        <f>5.7</f>
        <v>5.7</v>
      </c>
      <c r="N2567" s="332" t="s">
        <v>39794</v>
      </c>
      <c r="O2567" s="340">
        <f t="shared" si="142"/>
        <v>5.7</v>
      </c>
    </row>
    <row r="2568" spans="1:15" s="328" customFormat="1" x14ac:dyDescent="0.2">
      <c r="A2568" s="535" t="s">
        <v>39949</v>
      </c>
      <c r="B2568" s="535"/>
      <c r="C2568" s="535"/>
      <c r="D2568" s="332"/>
      <c r="E2568" s="332"/>
      <c r="F2568" s="332"/>
      <c r="G2568" s="332"/>
      <c r="H2568" s="332"/>
      <c r="I2568" s="332"/>
      <c r="J2568" s="332"/>
      <c r="K2568" s="332">
        <v>1</v>
      </c>
      <c r="L2568" s="332" t="s">
        <v>39805</v>
      </c>
      <c r="M2568" s="332">
        <f>5.8</f>
        <v>5.8</v>
      </c>
      <c r="N2568" s="332" t="s">
        <v>39794</v>
      </c>
      <c r="O2568" s="340">
        <f t="shared" si="142"/>
        <v>5.8</v>
      </c>
    </row>
    <row r="2569" spans="1:15" s="328" customFormat="1" x14ac:dyDescent="0.2">
      <c r="A2569" s="535" t="s">
        <v>39950</v>
      </c>
      <c r="B2569" s="535"/>
      <c r="C2569" s="535"/>
      <c r="D2569" s="332"/>
      <c r="E2569" s="332"/>
      <c r="F2569" s="332"/>
      <c r="G2569" s="332"/>
      <c r="H2569" s="332"/>
      <c r="I2569" s="332"/>
      <c r="J2569" s="332"/>
      <c r="K2569" s="332">
        <v>1</v>
      </c>
      <c r="L2569" s="332" t="s">
        <v>39805</v>
      </c>
      <c r="M2569" s="332">
        <f>0.2</f>
        <v>0.2</v>
      </c>
      <c r="N2569" s="332" t="s">
        <v>39794</v>
      </c>
      <c r="O2569" s="340">
        <f t="shared" si="142"/>
        <v>0.2</v>
      </c>
    </row>
    <row r="2570" spans="1:15" s="328" customFormat="1" x14ac:dyDescent="0.2">
      <c r="A2570" s="535" t="s">
        <v>39951</v>
      </c>
      <c r="B2570" s="535"/>
      <c r="C2570" s="535"/>
      <c r="D2570" s="332"/>
      <c r="E2570" s="332"/>
      <c r="F2570" s="332"/>
      <c r="G2570" s="332"/>
      <c r="H2570" s="332"/>
      <c r="I2570" s="332"/>
      <c r="J2570" s="332"/>
      <c r="K2570" s="332">
        <v>1</v>
      </c>
      <c r="L2570" s="332" t="s">
        <v>39805</v>
      </c>
      <c r="M2570" s="332">
        <f>3.2</f>
        <v>3.2</v>
      </c>
      <c r="N2570" s="332" t="s">
        <v>39794</v>
      </c>
      <c r="O2570" s="340">
        <f t="shared" si="142"/>
        <v>3.2</v>
      </c>
    </row>
    <row r="2571" spans="1:15" s="328" customFormat="1" x14ac:dyDescent="0.2">
      <c r="A2571" s="535" t="s">
        <v>39952</v>
      </c>
      <c r="B2571" s="535"/>
      <c r="C2571" s="535"/>
      <c r="D2571" s="332"/>
      <c r="E2571" s="332"/>
      <c r="F2571" s="332"/>
      <c r="G2571" s="332"/>
      <c r="H2571" s="332"/>
      <c r="I2571" s="332"/>
      <c r="J2571" s="332"/>
      <c r="K2571" s="332">
        <v>1</v>
      </c>
      <c r="L2571" s="332" t="s">
        <v>39805</v>
      </c>
      <c r="M2571" s="332">
        <f>5</f>
        <v>5</v>
      </c>
      <c r="N2571" s="332" t="s">
        <v>39794</v>
      </c>
      <c r="O2571" s="340">
        <f t="shared" si="142"/>
        <v>5</v>
      </c>
    </row>
    <row r="2572" spans="1:15" s="328" customFormat="1" x14ac:dyDescent="0.2">
      <c r="A2572" s="535" t="s">
        <v>39953</v>
      </c>
      <c r="B2572" s="535"/>
      <c r="C2572" s="535"/>
      <c r="D2572" s="332"/>
      <c r="E2572" s="332"/>
      <c r="F2572" s="332"/>
      <c r="G2572" s="332"/>
      <c r="H2572" s="332"/>
      <c r="I2572" s="332"/>
      <c r="J2572" s="332"/>
      <c r="K2572" s="332">
        <v>1</v>
      </c>
      <c r="L2572" s="332" t="s">
        <v>39805</v>
      </c>
      <c r="M2572" s="332">
        <f>5.7</f>
        <v>5.7</v>
      </c>
      <c r="N2572" s="332" t="s">
        <v>39794</v>
      </c>
      <c r="O2572" s="340">
        <f t="shared" si="142"/>
        <v>5.7</v>
      </c>
    </row>
    <row r="2573" spans="1:15" s="328" customFormat="1" x14ac:dyDescent="0.2">
      <c r="A2573" s="535" t="s">
        <v>39954</v>
      </c>
      <c r="B2573" s="535"/>
      <c r="C2573" s="535"/>
      <c r="D2573" s="332"/>
      <c r="E2573" s="332"/>
      <c r="F2573" s="332"/>
      <c r="G2573" s="332"/>
      <c r="H2573" s="332"/>
      <c r="I2573" s="332"/>
      <c r="J2573" s="332"/>
      <c r="K2573" s="332">
        <v>1</v>
      </c>
      <c r="L2573" s="332" t="s">
        <v>39805</v>
      </c>
      <c r="M2573" s="332">
        <f>4.95</f>
        <v>4.95</v>
      </c>
      <c r="N2573" s="332" t="s">
        <v>39794</v>
      </c>
      <c r="O2573" s="340">
        <f t="shared" si="142"/>
        <v>4.95</v>
      </c>
    </row>
    <row r="2574" spans="1:15" s="328" customFormat="1" x14ac:dyDescent="0.2">
      <c r="A2574" s="540"/>
      <c r="B2574" s="540"/>
      <c r="C2574" s="540"/>
      <c r="D2574" s="540"/>
      <c r="E2574" s="540"/>
      <c r="F2574" s="540"/>
      <c r="G2574" s="540"/>
      <c r="H2574" s="540"/>
      <c r="I2574" s="540"/>
      <c r="J2574" s="540"/>
      <c r="K2574" s="540"/>
      <c r="L2574" s="334" t="s">
        <v>39796</v>
      </c>
      <c r="M2574" s="334" t="s">
        <v>39168</v>
      </c>
      <c r="N2574" s="333" t="s">
        <v>39794</v>
      </c>
      <c r="O2574" s="334">
        <f>SUM(O2550:O2573)</f>
        <v>110.23000000000003</v>
      </c>
    </row>
    <row r="2575" spans="1:15" s="328" customFormat="1" x14ac:dyDescent="0.2">
      <c r="A2575" s="347" t="str">
        <f>ORCAMENTO!A377</f>
        <v>18.3</v>
      </c>
      <c r="B2575" s="544" t="str">
        <f>VLOOKUP(A2575,ORCAMENTO!A:I,4,0)</f>
        <v>PINTURA EM ESQUADRIA</v>
      </c>
      <c r="C2575" s="544"/>
      <c r="D2575" s="544"/>
      <c r="E2575" s="544"/>
      <c r="F2575" s="544"/>
      <c r="G2575" s="544"/>
      <c r="H2575" s="544"/>
      <c r="I2575" s="544"/>
      <c r="J2575" s="544"/>
      <c r="K2575" s="544"/>
      <c r="L2575" s="544"/>
      <c r="M2575" s="544"/>
      <c r="N2575" s="544"/>
      <c r="O2575" s="544"/>
    </row>
    <row r="2576" spans="1:15" s="328" customFormat="1" x14ac:dyDescent="0.2">
      <c r="A2576" s="329" t="s">
        <v>39791</v>
      </c>
      <c r="B2576" s="542" t="s">
        <v>5917</v>
      </c>
      <c r="C2576" s="542"/>
      <c r="D2576" s="542"/>
      <c r="E2576" s="542"/>
      <c r="F2576" s="542"/>
      <c r="G2576" s="542"/>
      <c r="H2576" s="542"/>
      <c r="I2576" s="542"/>
      <c r="J2576" s="542"/>
      <c r="K2576" s="542"/>
      <c r="L2576" s="542"/>
      <c r="M2576" s="542"/>
      <c r="N2576" s="329" t="s">
        <v>39197</v>
      </c>
      <c r="O2576" s="330" t="s">
        <v>39792</v>
      </c>
    </row>
    <row r="2577" spans="1:15" s="328" customFormat="1" ht="12.75" customHeight="1" x14ac:dyDescent="0.2">
      <c r="A2577" s="331" t="str">
        <f>ORCAMENTO!A378</f>
        <v>18.3.1</v>
      </c>
      <c r="B2577" s="543" t="str">
        <f>VLOOKUP(A2577,ORCAMENTO!A:I,4,0)</f>
        <v>LIXAMENTO DE MADEIRA PARA APLICAÇÃO DE FUNDO OU PINTURA. AF_01/2021</v>
      </c>
      <c r="C2577" s="543"/>
      <c r="D2577" s="543"/>
      <c r="E2577" s="543"/>
      <c r="F2577" s="543"/>
      <c r="G2577" s="543"/>
      <c r="H2577" s="543"/>
      <c r="I2577" s="543"/>
      <c r="J2577" s="543"/>
      <c r="K2577" s="543"/>
      <c r="L2577" s="543"/>
      <c r="M2577" s="543"/>
      <c r="N2577" s="331" t="str">
        <f>VLOOKUP(A2577,ORCAMENTO!A:I,5,0)</f>
        <v>M2</v>
      </c>
      <c r="O2577" s="332">
        <f>O2588</f>
        <v>107.12</v>
      </c>
    </row>
    <row r="2578" spans="1:15" s="328" customFormat="1" x14ac:dyDescent="0.2">
      <c r="A2578" s="539" t="s">
        <v>39793</v>
      </c>
      <c r="B2578" s="539"/>
      <c r="C2578" s="539"/>
      <c r="D2578" s="539"/>
      <c r="E2578" s="539"/>
      <c r="F2578" s="539"/>
      <c r="G2578" s="539"/>
      <c r="H2578" s="539"/>
      <c r="I2578" s="539"/>
      <c r="J2578" s="539"/>
      <c r="K2578" s="539"/>
      <c r="L2578" s="539"/>
      <c r="M2578" s="539"/>
      <c r="N2578" s="539"/>
      <c r="O2578" s="539"/>
    </row>
    <row r="2579" spans="1:15" s="328" customFormat="1" x14ac:dyDescent="0.2">
      <c r="A2579" s="539" t="s">
        <v>5917</v>
      </c>
      <c r="B2579" s="539"/>
      <c r="C2579" s="539"/>
      <c r="D2579" s="333"/>
      <c r="E2579" s="333"/>
      <c r="F2579" s="333"/>
      <c r="G2579" s="333" t="s">
        <v>39833</v>
      </c>
      <c r="H2579" s="333" t="s">
        <v>39805</v>
      </c>
      <c r="I2579" s="333" t="s">
        <v>39792</v>
      </c>
      <c r="J2579" s="333" t="s">
        <v>39805</v>
      </c>
      <c r="K2579" s="333" t="s">
        <v>39804</v>
      </c>
      <c r="L2579" s="333" t="s">
        <v>39805</v>
      </c>
      <c r="M2579" s="333" t="s">
        <v>39823</v>
      </c>
      <c r="N2579" s="333" t="s">
        <v>39794</v>
      </c>
      <c r="O2579" s="333" t="s">
        <v>39795</v>
      </c>
    </row>
    <row r="2580" spans="1:15" s="328" customFormat="1" x14ac:dyDescent="0.2">
      <c r="A2580" s="535" t="s">
        <v>39824</v>
      </c>
      <c r="B2580" s="535"/>
      <c r="C2580" s="535"/>
      <c r="D2580" s="339"/>
      <c r="E2580" s="339"/>
      <c r="F2580" s="339"/>
      <c r="G2580" s="339">
        <f>2</f>
        <v>2</v>
      </c>
      <c r="H2580" s="339" t="s">
        <v>39805</v>
      </c>
      <c r="I2580" s="339">
        <f>7</f>
        <v>7</v>
      </c>
      <c r="J2580" s="339" t="s">
        <v>39805</v>
      </c>
      <c r="K2580" s="339">
        <f>1.2</f>
        <v>1.2</v>
      </c>
      <c r="L2580" s="339" t="s">
        <v>39805</v>
      </c>
      <c r="M2580" s="339">
        <f>2.4</f>
        <v>2.4</v>
      </c>
      <c r="N2580" s="339" t="s">
        <v>39794</v>
      </c>
      <c r="O2580" s="340">
        <f>ROUND(G2580*I2580*K2580*M2580,2)</f>
        <v>40.32</v>
      </c>
    </row>
    <row r="2581" spans="1:15" s="328" customFormat="1" x14ac:dyDescent="0.2">
      <c r="A2581" s="535" t="s">
        <v>39825</v>
      </c>
      <c r="B2581" s="535"/>
      <c r="C2581" s="535"/>
      <c r="D2581" s="339"/>
      <c r="E2581" s="339"/>
      <c r="F2581" s="339"/>
      <c r="G2581" s="339">
        <f>2</f>
        <v>2</v>
      </c>
      <c r="H2581" s="339" t="s">
        <v>39805</v>
      </c>
      <c r="I2581" s="339">
        <f>2</f>
        <v>2</v>
      </c>
      <c r="J2581" s="339" t="s">
        <v>39805</v>
      </c>
      <c r="K2581" s="339">
        <f>0.9</f>
        <v>0.9</v>
      </c>
      <c r="L2581" s="339" t="s">
        <v>39805</v>
      </c>
      <c r="M2581" s="339">
        <f>2.4</f>
        <v>2.4</v>
      </c>
      <c r="N2581" s="339" t="s">
        <v>39794</v>
      </c>
      <c r="O2581" s="340">
        <f t="shared" ref="O2581:O2587" si="143">ROUND(G2581*I2581*K2581*M2581,2)</f>
        <v>8.64</v>
      </c>
    </row>
    <row r="2582" spans="1:15" s="328" customFormat="1" x14ac:dyDescent="0.2">
      <c r="A2582" s="535" t="s">
        <v>39826</v>
      </c>
      <c r="B2582" s="535"/>
      <c r="C2582" s="535"/>
      <c r="D2582" s="339"/>
      <c r="E2582" s="339"/>
      <c r="F2582" s="339"/>
      <c r="G2582" s="339">
        <f>2</f>
        <v>2</v>
      </c>
      <c r="H2582" s="339" t="s">
        <v>39805</v>
      </c>
      <c r="I2582" s="339">
        <f>1</f>
        <v>1</v>
      </c>
      <c r="J2582" s="339" t="s">
        <v>39805</v>
      </c>
      <c r="K2582" s="339">
        <f>0.9</f>
        <v>0.9</v>
      </c>
      <c r="L2582" s="339" t="s">
        <v>39805</v>
      </c>
      <c r="M2582" s="339">
        <f>2.4</f>
        <v>2.4</v>
      </c>
      <c r="N2582" s="339" t="s">
        <v>39794</v>
      </c>
      <c r="O2582" s="340">
        <f t="shared" si="143"/>
        <v>4.32</v>
      </c>
    </row>
    <row r="2583" spans="1:15" s="328" customFormat="1" x14ac:dyDescent="0.2">
      <c r="A2583" s="535" t="s">
        <v>39827</v>
      </c>
      <c r="B2583" s="535"/>
      <c r="C2583" s="535"/>
      <c r="D2583" s="339"/>
      <c r="E2583" s="339"/>
      <c r="F2583" s="339"/>
      <c r="G2583" s="339">
        <f>2</f>
        <v>2</v>
      </c>
      <c r="H2583" s="339" t="s">
        <v>39805</v>
      </c>
      <c r="I2583" s="339">
        <f>5</f>
        <v>5</v>
      </c>
      <c r="J2583" s="339" t="s">
        <v>39805</v>
      </c>
      <c r="K2583" s="339">
        <f>1</f>
        <v>1</v>
      </c>
      <c r="L2583" s="339" t="s">
        <v>39805</v>
      </c>
      <c r="M2583" s="339">
        <f>1.6</f>
        <v>1.6</v>
      </c>
      <c r="N2583" s="339" t="s">
        <v>39794</v>
      </c>
      <c r="O2583" s="340">
        <f t="shared" si="143"/>
        <v>16</v>
      </c>
    </row>
    <row r="2584" spans="1:15" s="328" customFormat="1" x14ac:dyDescent="0.2">
      <c r="A2584" s="535" t="s">
        <v>39828</v>
      </c>
      <c r="B2584" s="535"/>
      <c r="C2584" s="535"/>
      <c r="D2584" s="339"/>
      <c r="E2584" s="339"/>
      <c r="F2584" s="339"/>
      <c r="G2584" s="339">
        <f>2</f>
        <v>2</v>
      </c>
      <c r="H2584" s="339" t="s">
        <v>39805</v>
      </c>
      <c r="I2584" s="339">
        <f>2</f>
        <v>2</v>
      </c>
      <c r="J2584" s="339" t="s">
        <v>39805</v>
      </c>
      <c r="K2584" s="339">
        <f>1.2</f>
        <v>1.2</v>
      </c>
      <c r="L2584" s="339" t="s">
        <v>39805</v>
      </c>
      <c r="M2584" s="339">
        <f>2</f>
        <v>2</v>
      </c>
      <c r="N2584" s="339" t="s">
        <v>39794</v>
      </c>
      <c r="O2584" s="340">
        <f t="shared" si="143"/>
        <v>9.6</v>
      </c>
    </row>
    <row r="2585" spans="1:15" s="328" customFormat="1" x14ac:dyDescent="0.2">
      <c r="A2585" s="535" t="s">
        <v>39829</v>
      </c>
      <c r="B2585" s="535"/>
      <c r="C2585" s="535"/>
      <c r="D2585" s="339"/>
      <c r="E2585" s="339"/>
      <c r="F2585" s="339"/>
      <c r="G2585" s="339">
        <f>2</f>
        <v>2</v>
      </c>
      <c r="H2585" s="339" t="s">
        <v>39805</v>
      </c>
      <c r="I2585" s="339">
        <f>3</f>
        <v>3</v>
      </c>
      <c r="J2585" s="339" t="s">
        <v>39805</v>
      </c>
      <c r="K2585" s="339">
        <f>1.5</f>
        <v>1.5</v>
      </c>
      <c r="L2585" s="339" t="s">
        <v>39805</v>
      </c>
      <c r="M2585" s="339">
        <f>2</f>
        <v>2</v>
      </c>
      <c r="N2585" s="339" t="s">
        <v>39794</v>
      </c>
      <c r="O2585" s="340">
        <f t="shared" si="143"/>
        <v>18</v>
      </c>
    </row>
    <row r="2586" spans="1:15" s="328" customFormat="1" x14ac:dyDescent="0.2">
      <c r="A2586" s="535" t="s">
        <v>39830</v>
      </c>
      <c r="B2586" s="535"/>
      <c r="C2586" s="535"/>
      <c r="D2586" s="339"/>
      <c r="E2586" s="339"/>
      <c r="F2586" s="339"/>
      <c r="G2586" s="339">
        <f>2</f>
        <v>2</v>
      </c>
      <c r="H2586" s="339" t="s">
        <v>39805</v>
      </c>
      <c r="I2586" s="339">
        <f>1</f>
        <v>1</v>
      </c>
      <c r="J2586" s="339" t="s">
        <v>39805</v>
      </c>
      <c r="K2586" s="339">
        <f>2</f>
        <v>2</v>
      </c>
      <c r="L2586" s="339" t="s">
        <v>39805</v>
      </c>
      <c r="M2586" s="339">
        <f>1.6</f>
        <v>1.6</v>
      </c>
      <c r="N2586" s="339" t="s">
        <v>39794</v>
      </c>
      <c r="O2586" s="340">
        <f t="shared" si="143"/>
        <v>6.4</v>
      </c>
    </row>
    <row r="2587" spans="1:15" s="328" customFormat="1" x14ac:dyDescent="0.2">
      <c r="A2587" s="535" t="s">
        <v>39831</v>
      </c>
      <c r="B2587" s="535"/>
      <c r="C2587" s="535"/>
      <c r="D2587" s="339"/>
      <c r="E2587" s="339"/>
      <c r="F2587" s="339"/>
      <c r="G2587" s="339">
        <f>2</f>
        <v>2</v>
      </c>
      <c r="H2587" s="339" t="s">
        <v>39805</v>
      </c>
      <c r="I2587" s="339">
        <f>1</f>
        <v>1</v>
      </c>
      <c r="J2587" s="339" t="s">
        <v>39805</v>
      </c>
      <c r="K2587" s="339">
        <f>1.2</f>
        <v>1.2</v>
      </c>
      <c r="L2587" s="339" t="s">
        <v>39805</v>
      </c>
      <c r="M2587" s="339">
        <f>1.6</f>
        <v>1.6</v>
      </c>
      <c r="N2587" s="339" t="s">
        <v>39794</v>
      </c>
      <c r="O2587" s="340">
        <f t="shared" si="143"/>
        <v>3.84</v>
      </c>
    </row>
    <row r="2588" spans="1:15" s="328" customFormat="1" x14ac:dyDescent="0.2">
      <c r="A2588" s="540"/>
      <c r="B2588" s="540"/>
      <c r="C2588" s="540"/>
      <c r="D2588" s="540"/>
      <c r="E2588" s="540"/>
      <c r="F2588" s="540"/>
      <c r="G2588" s="540"/>
      <c r="H2588" s="540"/>
      <c r="I2588" s="540"/>
      <c r="J2588" s="540"/>
      <c r="K2588" s="540"/>
      <c r="L2588" s="334" t="s">
        <v>39796</v>
      </c>
      <c r="M2588" s="334" t="s">
        <v>39168</v>
      </c>
      <c r="N2588" s="333" t="s">
        <v>39794</v>
      </c>
      <c r="O2588" s="334">
        <f>SUM(O2579:O2587)</f>
        <v>107.12</v>
      </c>
    </row>
    <row r="2589" spans="1:15" s="328" customFormat="1" x14ac:dyDescent="0.2">
      <c r="A2589" s="329" t="s">
        <v>39791</v>
      </c>
      <c r="B2589" s="542" t="s">
        <v>5917</v>
      </c>
      <c r="C2589" s="542"/>
      <c r="D2589" s="542"/>
      <c r="E2589" s="542"/>
      <c r="F2589" s="542"/>
      <c r="G2589" s="542"/>
      <c r="H2589" s="542"/>
      <c r="I2589" s="542"/>
      <c r="J2589" s="542"/>
      <c r="K2589" s="542"/>
      <c r="L2589" s="542"/>
      <c r="M2589" s="542"/>
      <c r="N2589" s="329" t="s">
        <v>39197</v>
      </c>
      <c r="O2589" s="330" t="s">
        <v>39792</v>
      </c>
    </row>
    <row r="2590" spans="1:15" s="328" customFormat="1" ht="12.75" customHeight="1" x14ac:dyDescent="0.2">
      <c r="A2590" s="331" t="str">
        <f>ORCAMENTO!A379</f>
        <v>18.3.2</v>
      </c>
      <c r="B2590" s="543" t="str">
        <f>VLOOKUP(A2590,ORCAMENTO!A:I,4,0)</f>
        <v>PINTURA VERNIZ (INCOLOR) ALQUÍDICO EM MADEIRA, USO INTERNO E EXTERNO, 2 DEMÃOS. AF_01/2021</v>
      </c>
      <c r="C2590" s="543"/>
      <c r="D2590" s="543"/>
      <c r="E2590" s="543"/>
      <c r="F2590" s="543"/>
      <c r="G2590" s="543"/>
      <c r="H2590" s="543"/>
      <c r="I2590" s="543"/>
      <c r="J2590" s="543"/>
      <c r="K2590" s="543"/>
      <c r="L2590" s="543"/>
      <c r="M2590" s="543"/>
      <c r="N2590" s="331" t="str">
        <f>VLOOKUP(A2590,ORCAMENTO!A:I,5,0)</f>
        <v>M2</v>
      </c>
      <c r="O2590" s="332">
        <f>O2598</f>
        <v>53.84</v>
      </c>
    </row>
    <row r="2591" spans="1:15" s="328" customFormat="1" x14ac:dyDescent="0.2">
      <c r="A2591" s="539" t="s">
        <v>39793</v>
      </c>
      <c r="B2591" s="539"/>
      <c r="C2591" s="539"/>
      <c r="D2591" s="539"/>
      <c r="E2591" s="539"/>
      <c r="F2591" s="539"/>
      <c r="G2591" s="539"/>
      <c r="H2591" s="539"/>
      <c r="I2591" s="539"/>
      <c r="J2591" s="539"/>
      <c r="K2591" s="539"/>
      <c r="L2591" s="539"/>
      <c r="M2591" s="539"/>
      <c r="N2591" s="539"/>
      <c r="O2591" s="539"/>
    </row>
    <row r="2592" spans="1:15" s="328" customFormat="1" x14ac:dyDescent="0.2">
      <c r="A2592" s="539" t="s">
        <v>5917</v>
      </c>
      <c r="B2592" s="539"/>
      <c r="C2592" s="539"/>
      <c r="D2592" s="333"/>
      <c r="E2592" s="333"/>
      <c r="F2592" s="333"/>
      <c r="G2592" s="333" t="s">
        <v>39833</v>
      </c>
      <c r="H2592" s="333" t="s">
        <v>39805</v>
      </c>
      <c r="I2592" s="333" t="s">
        <v>39792</v>
      </c>
      <c r="J2592" s="333" t="s">
        <v>39805</v>
      </c>
      <c r="K2592" s="333" t="s">
        <v>39804</v>
      </c>
      <c r="L2592" s="333" t="s">
        <v>39805</v>
      </c>
      <c r="M2592" s="333" t="s">
        <v>39823</v>
      </c>
      <c r="N2592" s="333" t="s">
        <v>39794</v>
      </c>
      <c r="O2592" s="333" t="s">
        <v>39795</v>
      </c>
    </row>
    <row r="2593" spans="1:15" s="328" customFormat="1" x14ac:dyDescent="0.2">
      <c r="A2593" s="535" t="s">
        <v>39827</v>
      </c>
      <c r="B2593" s="535"/>
      <c r="C2593" s="535"/>
      <c r="D2593" s="339"/>
      <c r="E2593" s="339"/>
      <c r="F2593" s="339"/>
      <c r="G2593" s="339">
        <f>2</f>
        <v>2</v>
      </c>
      <c r="H2593" s="339" t="s">
        <v>39805</v>
      </c>
      <c r="I2593" s="339">
        <f>5</f>
        <v>5</v>
      </c>
      <c r="J2593" s="339" t="s">
        <v>39805</v>
      </c>
      <c r="K2593" s="339">
        <f>1</f>
        <v>1</v>
      </c>
      <c r="L2593" s="339" t="s">
        <v>39805</v>
      </c>
      <c r="M2593" s="339">
        <f>1.6</f>
        <v>1.6</v>
      </c>
      <c r="N2593" s="339" t="s">
        <v>39794</v>
      </c>
      <c r="O2593" s="340">
        <f t="shared" ref="O2593:O2597" si="144">ROUND(G2593*I2593*K2593*M2593,2)</f>
        <v>16</v>
      </c>
    </row>
    <row r="2594" spans="1:15" s="328" customFormat="1" x14ac:dyDescent="0.2">
      <c r="A2594" s="535" t="s">
        <v>39828</v>
      </c>
      <c r="B2594" s="535"/>
      <c r="C2594" s="535"/>
      <c r="D2594" s="339"/>
      <c r="E2594" s="339"/>
      <c r="F2594" s="339"/>
      <c r="G2594" s="339">
        <f>2</f>
        <v>2</v>
      </c>
      <c r="H2594" s="339" t="s">
        <v>39805</v>
      </c>
      <c r="I2594" s="339">
        <f>2</f>
        <v>2</v>
      </c>
      <c r="J2594" s="339" t="s">
        <v>39805</v>
      </c>
      <c r="K2594" s="339">
        <f>1.2</f>
        <v>1.2</v>
      </c>
      <c r="L2594" s="339" t="s">
        <v>39805</v>
      </c>
      <c r="M2594" s="339">
        <f>2</f>
        <v>2</v>
      </c>
      <c r="N2594" s="339" t="s">
        <v>39794</v>
      </c>
      <c r="O2594" s="340">
        <f t="shared" si="144"/>
        <v>9.6</v>
      </c>
    </row>
    <row r="2595" spans="1:15" s="328" customFormat="1" x14ac:dyDescent="0.2">
      <c r="A2595" s="535" t="s">
        <v>39829</v>
      </c>
      <c r="B2595" s="535"/>
      <c r="C2595" s="535"/>
      <c r="D2595" s="339"/>
      <c r="E2595" s="339"/>
      <c r="F2595" s="339"/>
      <c r="G2595" s="339">
        <f>2</f>
        <v>2</v>
      </c>
      <c r="H2595" s="339" t="s">
        <v>39805</v>
      </c>
      <c r="I2595" s="339">
        <f>3</f>
        <v>3</v>
      </c>
      <c r="J2595" s="339" t="s">
        <v>39805</v>
      </c>
      <c r="K2595" s="339">
        <f>1.5</f>
        <v>1.5</v>
      </c>
      <c r="L2595" s="339" t="s">
        <v>39805</v>
      </c>
      <c r="M2595" s="339">
        <f>2</f>
        <v>2</v>
      </c>
      <c r="N2595" s="339" t="s">
        <v>39794</v>
      </c>
      <c r="O2595" s="340">
        <f t="shared" si="144"/>
        <v>18</v>
      </c>
    </row>
    <row r="2596" spans="1:15" s="328" customFormat="1" x14ac:dyDescent="0.2">
      <c r="A2596" s="535" t="s">
        <v>39830</v>
      </c>
      <c r="B2596" s="535"/>
      <c r="C2596" s="535"/>
      <c r="D2596" s="339"/>
      <c r="E2596" s="339"/>
      <c r="F2596" s="339"/>
      <c r="G2596" s="339">
        <f>2</f>
        <v>2</v>
      </c>
      <c r="H2596" s="339" t="s">
        <v>39805</v>
      </c>
      <c r="I2596" s="339">
        <f>1</f>
        <v>1</v>
      </c>
      <c r="J2596" s="339" t="s">
        <v>39805</v>
      </c>
      <c r="K2596" s="339">
        <f>2</f>
        <v>2</v>
      </c>
      <c r="L2596" s="339" t="s">
        <v>39805</v>
      </c>
      <c r="M2596" s="339">
        <f>1.6</f>
        <v>1.6</v>
      </c>
      <c r="N2596" s="339" t="s">
        <v>39794</v>
      </c>
      <c r="O2596" s="340">
        <f t="shared" si="144"/>
        <v>6.4</v>
      </c>
    </row>
    <row r="2597" spans="1:15" s="328" customFormat="1" x14ac:dyDescent="0.2">
      <c r="A2597" s="535" t="s">
        <v>39831</v>
      </c>
      <c r="B2597" s="535"/>
      <c r="C2597" s="535"/>
      <c r="D2597" s="339"/>
      <c r="E2597" s="339"/>
      <c r="F2597" s="339"/>
      <c r="G2597" s="339">
        <f>2</f>
        <v>2</v>
      </c>
      <c r="H2597" s="339" t="s">
        <v>39805</v>
      </c>
      <c r="I2597" s="339">
        <f>1</f>
        <v>1</v>
      </c>
      <c r="J2597" s="339" t="s">
        <v>39805</v>
      </c>
      <c r="K2597" s="339">
        <f>1.2</f>
        <v>1.2</v>
      </c>
      <c r="L2597" s="339" t="s">
        <v>39805</v>
      </c>
      <c r="M2597" s="339">
        <f>1.6</f>
        <v>1.6</v>
      </c>
      <c r="N2597" s="339" t="s">
        <v>39794</v>
      </c>
      <c r="O2597" s="340">
        <f t="shared" si="144"/>
        <v>3.84</v>
      </c>
    </row>
    <row r="2598" spans="1:15" s="328" customFormat="1" x14ac:dyDescent="0.2">
      <c r="A2598" s="540"/>
      <c r="B2598" s="540"/>
      <c r="C2598" s="540"/>
      <c r="D2598" s="540"/>
      <c r="E2598" s="540"/>
      <c r="F2598" s="540"/>
      <c r="G2598" s="540"/>
      <c r="H2598" s="540"/>
      <c r="I2598" s="540"/>
      <c r="J2598" s="540"/>
      <c r="K2598" s="540"/>
      <c r="L2598" s="334" t="s">
        <v>39796</v>
      </c>
      <c r="M2598" s="334" t="s">
        <v>39168</v>
      </c>
      <c r="N2598" s="333" t="s">
        <v>39794</v>
      </c>
      <c r="O2598" s="334">
        <f>SUM(O2592:O2597)</f>
        <v>53.84</v>
      </c>
    </row>
    <row r="2599" spans="1:15" s="328" customFormat="1" x14ac:dyDescent="0.2">
      <c r="A2599" s="329" t="s">
        <v>39791</v>
      </c>
      <c r="B2599" s="542" t="s">
        <v>5917</v>
      </c>
      <c r="C2599" s="542"/>
      <c r="D2599" s="542"/>
      <c r="E2599" s="542"/>
      <c r="F2599" s="542"/>
      <c r="G2599" s="542"/>
      <c r="H2599" s="542"/>
      <c r="I2599" s="542"/>
      <c r="J2599" s="542"/>
      <c r="K2599" s="542"/>
      <c r="L2599" s="542"/>
      <c r="M2599" s="542"/>
      <c r="N2599" s="329" t="s">
        <v>39197</v>
      </c>
      <c r="O2599" s="330" t="s">
        <v>39792</v>
      </c>
    </row>
    <row r="2600" spans="1:15" s="328" customFormat="1" ht="12.75" customHeight="1" x14ac:dyDescent="0.2">
      <c r="A2600" s="331" t="str">
        <f>ORCAMENTO!A380</f>
        <v>18.3.3</v>
      </c>
      <c r="B2600" s="543" t="str">
        <f>VLOOKUP(A2600,ORCAMENTO!A:I,4,0)</f>
        <v>APLICAÇÃO MASSA ALQUÍDICA PARA MADEIRA, PARA PINTURA COM TINTA DE ACABAMENTO (PIGMENTADA). AF_01/2021</v>
      </c>
      <c r="C2600" s="543"/>
      <c r="D2600" s="543"/>
      <c r="E2600" s="543"/>
      <c r="F2600" s="543"/>
      <c r="G2600" s="543"/>
      <c r="H2600" s="543"/>
      <c r="I2600" s="543"/>
      <c r="J2600" s="543"/>
      <c r="K2600" s="543"/>
      <c r="L2600" s="543"/>
      <c r="M2600" s="543"/>
      <c r="N2600" s="331" t="str">
        <f>VLOOKUP(A2600,ORCAMENTO!A:I,5,0)</f>
        <v>M2</v>
      </c>
      <c r="O2600" s="332">
        <f>O2606</f>
        <v>53.28</v>
      </c>
    </row>
    <row r="2601" spans="1:15" s="328" customFormat="1" x14ac:dyDescent="0.2">
      <c r="A2601" s="539" t="s">
        <v>39793</v>
      </c>
      <c r="B2601" s="539"/>
      <c r="C2601" s="539"/>
      <c r="D2601" s="539"/>
      <c r="E2601" s="539"/>
      <c r="F2601" s="539"/>
      <c r="G2601" s="539"/>
      <c r="H2601" s="539"/>
      <c r="I2601" s="539"/>
      <c r="J2601" s="539"/>
      <c r="K2601" s="539"/>
      <c r="L2601" s="539"/>
      <c r="M2601" s="539"/>
      <c r="N2601" s="539"/>
      <c r="O2601" s="539"/>
    </row>
    <row r="2602" spans="1:15" s="328" customFormat="1" x14ac:dyDescent="0.2">
      <c r="A2602" s="539" t="s">
        <v>5917</v>
      </c>
      <c r="B2602" s="539"/>
      <c r="C2602" s="539"/>
      <c r="D2602" s="333"/>
      <c r="E2602" s="333"/>
      <c r="F2602" s="333"/>
      <c r="G2602" s="333" t="s">
        <v>39833</v>
      </c>
      <c r="H2602" s="333" t="s">
        <v>39805</v>
      </c>
      <c r="I2602" s="333" t="s">
        <v>39792</v>
      </c>
      <c r="J2602" s="333" t="s">
        <v>39805</v>
      </c>
      <c r="K2602" s="333" t="s">
        <v>39804</v>
      </c>
      <c r="L2602" s="333" t="s">
        <v>39805</v>
      </c>
      <c r="M2602" s="333" t="s">
        <v>39823</v>
      </c>
      <c r="N2602" s="333" t="s">
        <v>39794</v>
      </c>
      <c r="O2602" s="333" t="s">
        <v>39795</v>
      </c>
    </row>
    <row r="2603" spans="1:15" s="328" customFormat="1" x14ac:dyDescent="0.2">
      <c r="A2603" s="535" t="s">
        <v>39824</v>
      </c>
      <c r="B2603" s="535"/>
      <c r="C2603" s="535"/>
      <c r="D2603" s="339"/>
      <c r="E2603" s="339"/>
      <c r="F2603" s="339"/>
      <c r="G2603" s="339">
        <f>2</f>
        <v>2</v>
      </c>
      <c r="H2603" s="339" t="s">
        <v>39805</v>
      </c>
      <c r="I2603" s="339">
        <f>7</f>
        <v>7</v>
      </c>
      <c r="J2603" s="339" t="s">
        <v>39805</v>
      </c>
      <c r="K2603" s="339">
        <f>1.2</f>
        <v>1.2</v>
      </c>
      <c r="L2603" s="339" t="s">
        <v>39805</v>
      </c>
      <c r="M2603" s="339">
        <f>2.4</f>
        <v>2.4</v>
      </c>
      <c r="N2603" s="339" t="s">
        <v>39794</v>
      </c>
      <c r="O2603" s="340">
        <f>ROUND(G2603*I2603*K2603*M2603,2)</f>
        <v>40.32</v>
      </c>
    </row>
    <row r="2604" spans="1:15" s="328" customFormat="1" x14ac:dyDescent="0.2">
      <c r="A2604" s="535" t="s">
        <v>39825</v>
      </c>
      <c r="B2604" s="535"/>
      <c r="C2604" s="535"/>
      <c r="D2604" s="339"/>
      <c r="E2604" s="339"/>
      <c r="F2604" s="339"/>
      <c r="G2604" s="339">
        <f>2</f>
        <v>2</v>
      </c>
      <c r="H2604" s="339" t="s">
        <v>39805</v>
      </c>
      <c r="I2604" s="339">
        <f>2</f>
        <v>2</v>
      </c>
      <c r="J2604" s="339" t="s">
        <v>39805</v>
      </c>
      <c r="K2604" s="339">
        <f>0.9</f>
        <v>0.9</v>
      </c>
      <c r="L2604" s="339" t="s">
        <v>39805</v>
      </c>
      <c r="M2604" s="339">
        <f>2.4</f>
        <v>2.4</v>
      </c>
      <c r="N2604" s="339" t="s">
        <v>39794</v>
      </c>
      <c r="O2604" s="340">
        <f t="shared" ref="O2604:O2605" si="145">ROUND(G2604*I2604*K2604*M2604,2)</f>
        <v>8.64</v>
      </c>
    </row>
    <row r="2605" spans="1:15" s="328" customFormat="1" x14ac:dyDescent="0.2">
      <c r="A2605" s="535" t="s">
        <v>39826</v>
      </c>
      <c r="B2605" s="535"/>
      <c r="C2605" s="535"/>
      <c r="D2605" s="339"/>
      <c r="E2605" s="339"/>
      <c r="F2605" s="339"/>
      <c r="G2605" s="339">
        <f>2</f>
        <v>2</v>
      </c>
      <c r="H2605" s="339" t="s">
        <v>39805</v>
      </c>
      <c r="I2605" s="339">
        <f>1</f>
        <v>1</v>
      </c>
      <c r="J2605" s="339" t="s">
        <v>39805</v>
      </c>
      <c r="K2605" s="339">
        <f>0.9</f>
        <v>0.9</v>
      </c>
      <c r="L2605" s="339" t="s">
        <v>39805</v>
      </c>
      <c r="M2605" s="339">
        <f>2.4</f>
        <v>2.4</v>
      </c>
      <c r="N2605" s="339" t="s">
        <v>39794</v>
      </c>
      <c r="O2605" s="340">
        <f t="shared" si="145"/>
        <v>4.32</v>
      </c>
    </row>
    <row r="2606" spans="1:15" s="328" customFormat="1" x14ac:dyDescent="0.2">
      <c r="A2606" s="540"/>
      <c r="B2606" s="540"/>
      <c r="C2606" s="540"/>
      <c r="D2606" s="540"/>
      <c r="E2606" s="540"/>
      <c r="F2606" s="540"/>
      <c r="G2606" s="540"/>
      <c r="H2606" s="540"/>
      <c r="I2606" s="540"/>
      <c r="J2606" s="540"/>
      <c r="K2606" s="540"/>
      <c r="L2606" s="334" t="s">
        <v>39796</v>
      </c>
      <c r="M2606" s="334" t="s">
        <v>39168</v>
      </c>
      <c r="N2606" s="333" t="s">
        <v>39794</v>
      </c>
      <c r="O2606" s="334">
        <f>SUM(O2602:O2605)</f>
        <v>53.28</v>
      </c>
    </row>
    <row r="2607" spans="1:15" s="328" customFormat="1" x14ac:dyDescent="0.2">
      <c r="A2607" s="329" t="s">
        <v>39791</v>
      </c>
      <c r="B2607" s="542" t="s">
        <v>5917</v>
      </c>
      <c r="C2607" s="542"/>
      <c r="D2607" s="542"/>
      <c r="E2607" s="542"/>
      <c r="F2607" s="542"/>
      <c r="G2607" s="542"/>
      <c r="H2607" s="542"/>
      <c r="I2607" s="542"/>
      <c r="J2607" s="542"/>
      <c r="K2607" s="542"/>
      <c r="L2607" s="542"/>
      <c r="M2607" s="542"/>
      <c r="N2607" s="329" t="s">
        <v>39197</v>
      </c>
      <c r="O2607" s="330" t="s">
        <v>39792</v>
      </c>
    </row>
    <row r="2608" spans="1:15" s="328" customFormat="1" ht="12.75" customHeight="1" x14ac:dyDescent="0.2">
      <c r="A2608" s="331" t="str">
        <f>ORCAMENTO!A381</f>
        <v>18.3.4</v>
      </c>
      <c r="B2608" s="543" t="str">
        <f>VLOOKUP(A2608,ORCAMENTO!A:I,4,0)</f>
        <v>PINTURA TINTA DE ACABAMENTO (PIGMENTADA) ESMALTE SINTÉTICO FOSCO EM MADEIRA, 2 DEMÃOS. AF_01/2021</v>
      </c>
      <c r="C2608" s="543"/>
      <c r="D2608" s="543"/>
      <c r="E2608" s="543"/>
      <c r="F2608" s="543"/>
      <c r="G2608" s="543"/>
      <c r="H2608" s="543"/>
      <c r="I2608" s="543"/>
      <c r="J2608" s="543"/>
      <c r="K2608" s="543"/>
      <c r="L2608" s="543"/>
      <c r="M2608" s="543"/>
      <c r="N2608" s="331" t="str">
        <f>VLOOKUP(A2608,ORCAMENTO!A:I,5,0)</f>
        <v>M2</v>
      </c>
      <c r="O2608" s="332">
        <f>O2614</f>
        <v>53.28</v>
      </c>
    </row>
    <row r="2609" spans="1:15" s="328" customFormat="1" x14ac:dyDescent="0.2">
      <c r="A2609" s="539" t="s">
        <v>39793</v>
      </c>
      <c r="B2609" s="539"/>
      <c r="C2609" s="539"/>
      <c r="D2609" s="539"/>
      <c r="E2609" s="539"/>
      <c r="F2609" s="539"/>
      <c r="G2609" s="539"/>
      <c r="H2609" s="539"/>
      <c r="I2609" s="539"/>
      <c r="J2609" s="539"/>
      <c r="K2609" s="539"/>
      <c r="L2609" s="539"/>
      <c r="M2609" s="539"/>
      <c r="N2609" s="539"/>
      <c r="O2609" s="539"/>
    </row>
    <row r="2610" spans="1:15" s="328" customFormat="1" x14ac:dyDescent="0.2">
      <c r="A2610" s="539" t="s">
        <v>5917</v>
      </c>
      <c r="B2610" s="539"/>
      <c r="C2610" s="539"/>
      <c r="D2610" s="333"/>
      <c r="E2610" s="333"/>
      <c r="F2610" s="333"/>
      <c r="G2610" s="333" t="s">
        <v>39833</v>
      </c>
      <c r="H2610" s="333" t="s">
        <v>39805</v>
      </c>
      <c r="I2610" s="333" t="s">
        <v>39792</v>
      </c>
      <c r="J2610" s="333" t="s">
        <v>39805</v>
      </c>
      <c r="K2610" s="333" t="s">
        <v>39804</v>
      </c>
      <c r="L2610" s="333" t="s">
        <v>39805</v>
      </c>
      <c r="M2610" s="333" t="s">
        <v>39823</v>
      </c>
      <c r="N2610" s="333" t="s">
        <v>39794</v>
      </c>
      <c r="O2610" s="333" t="s">
        <v>39795</v>
      </c>
    </row>
    <row r="2611" spans="1:15" s="328" customFormat="1" x14ac:dyDescent="0.2">
      <c r="A2611" s="535" t="s">
        <v>39824</v>
      </c>
      <c r="B2611" s="535"/>
      <c r="C2611" s="535"/>
      <c r="D2611" s="339"/>
      <c r="E2611" s="339"/>
      <c r="F2611" s="339"/>
      <c r="G2611" s="339">
        <f>2</f>
        <v>2</v>
      </c>
      <c r="H2611" s="339" t="s">
        <v>39805</v>
      </c>
      <c r="I2611" s="339">
        <f>7</f>
        <v>7</v>
      </c>
      <c r="J2611" s="339" t="s">
        <v>39805</v>
      </c>
      <c r="K2611" s="339">
        <f>1.2</f>
        <v>1.2</v>
      </c>
      <c r="L2611" s="339" t="s">
        <v>39805</v>
      </c>
      <c r="M2611" s="339">
        <f>2.4</f>
        <v>2.4</v>
      </c>
      <c r="N2611" s="339" t="s">
        <v>39794</v>
      </c>
      <c r="O2611" s="340">
        <f>ROUND(G2611*I2611*K2611*M2611,2)</f>
        <v>40.32</v>
      </c>
    </row>
    <row r="2612" spans="1:15" s="328" customFormat="1" x14ac:dyDescent="0.2">
      <c r="A2612" s="535" t="s">
        <v>39825</v>
      </c>
      <c r="B2612" s="535"/>
      <c r="C2612" s="535"/>
      <c r="D2612" s="339"/>
      <c r="E2612" s="339"/>
      <c r="F2612" s="339"/>
      <c r="G2612" s="339">
        <f>2</f>
        <v>2</v>
      </c>
      <c r="H2612" s="339" t="s">
        <v>39805</v>
      </c>
      <c r="I2612" s="339">
        <f>2</f>
        <v>2</v>
      </c>
      <c r="J2612" s="339" t="s">
        <v>39805</v>
      </c>
      <c r="K2612" s="339">
        <f>0.9</f>
        <v>0.9</v>
      </c>
      <c r="L2612" s="339" t="s">
        <v>39805</v>
      </c>
      <c r="M2612" s="339">
        <f>2.4</f>
        <v>2.4</v>
      </c>
      <c r="N2612" s="339" t="s">
        <v>39794</v>
      </c>
      <c r="O2612" s="340">
        <f t="shared" ref="O2612:O2613" si="146">ROUND(G2612*I2612*K2612*M2612,2)</f>
        <v>8.64</v>
      </c>
    </row>
    <row r="2613" spans="1:15" s="328" customFormat="1" x14ac:dyDescent="0.2">
      <c r="A2613" s="535" t="s">
        <v>39826</v>
      </c>
      <c r="B2613" s="535"/>
      <c r="C2613" s="535"/>
      <c r="D2613" s="339"/>
      <c r="E2613" s="339"/>
      <c r="F2613" s="339"/>
      <c r="G2613" s="339">
        <f>2</f>
        <v>2</v>
      </c>
      <c r="H2613" s="339" t="s">
        <v>39805</v>
      </c>
      <c r="I2613" s="339">
        <f>1</f>
        <v>1</v>
      </c>
      <c r="J2613" s="339" t="s">
        <v>39805</v>
      </c>
      <c r="K2613" s="339">
        <f>0.9</f>
        <v>0.9</v>
      </c>
      <c r="L2613" s="339" t="s">
        <v>39805</v>
      </c>
      <c r="M2613" s="339">
        <f>2.4</f>
        <v>2.4</v>
      </c>
      <c r="N2613" s="339" t="s">
        <v>39794</v>
      </c>
      <c r="O2613" s="340">
        <f t="shared" si="146"/>
        <v>4.32</v>
      </c>
    </row>
    <row r="2614" spans="1:15" s="328" customFormat="1" x14ac:dyDescent="0.2">
      <c r="A2614" s="540"/>
      <c r="B2614" s="540"/>
      <c r="C2614" s="540"/>
      <c r="D2614" s="540"/>
      <c r="E2614" s="540"/>
      <c r="F2614" s="540"/>
      <c r="G2614" s="540"/>
      <c r="H2614" s="540"/>
      <c r="I2614" s="540"/>
      <c r="J2614" s="540"/>
      <c r="K2614" s="540"/>
      <c r="L2614" s="334" t="s">
        <v>39796</v>
      </c>
      <c r="M2614" s="334" t="s">
        <v>39168</v>
      </c>
      <c r="N2614" s="333" t="s">
        <v>39794</v>
      </c>
      <c r="O2614" s="334">
        <f>SUM(O2610:O2613)</f>
        <v>53.28</v>
      </c>
    </row>
    <row r="2615" spans="1:15" s="328" customFormat="1" x14ac:dyDescent="0.2">
      <c r="A2615" s="336">
        <f>ORCAMENTO!A383</f>
        <v>19</v>
      </c>
      <c r="B2615" s="545" t="str">
        <f>VLOOKUP(A2615,ORCAMENTO!A:I,4,0)</f>
        <v>SERVIÇOS FINAIS / DIVERSOS</v>
      </c>
      <c r="C2615" s="545"/>
      <c r="D2615" s="545"/>
      <c r="E2615" s="545"/>
      <c r="F2615" s="545"/>
      <c r="G2615" s="545"/>
      <c r="H2615" s="545"/>
      <c r="I2615" s="545"/>
      <c r="J2615" s="545"/>
      <c r="K2615" s="545"/>
      <c r="L2615" s="545"/>
      <c r="M2615" s="545"/>
      <c r="N2615" s="545"/>
      <c r="O2615" s="545"/>
    </row>
    <row r="2616" spans="1:15" s="328" customFormat="1" x14ac:dyDescent="0.2">
      <c r="A2616" s="329" t="s">
        <v>39791</v>
      </c>
      <c r="B2616" s="542" t="s">
        <v>5917</v>
      </c>
      <c r="C2616" s="542"/>
      <c r="D2616" s="542"/>
      <c r="E2616" s="542"/>
      <c r="F2616" s="542"/>
      <c r="G2616" s="542"/>
      <c r="H2616" s="542"/>
      <c r="I2616" s="542"/>
      <c r="J2616" s="542"/>
      <c r="K2616" s="542"/>
      <c r="L2616" s="542"/>
      <c r="M2616" s="542"/>
      <c r="N2616" s="329" t="s">
        <v>39197</v>
      </c>
      <c r="O2616" s="330" t="s">
        <v>39792</v>
      </c>
    </row>
    <row r="2617" spans="1:15" s="328" customFormat="1" ht="12.75" customHeight="1" x14ac:dyDescent="0.2">
      <c r="A2617" s="331" t="str">
        <f>ORCAMENTO!A384</f>
        <v>19.1</v>
      </c>
      <c r="B2617" s="543" t="str">
        <f>VLOOKUP(A2617,ORCAMENTO!A:I,4,0)</f>
        <v>BRISE METÁLICA, INCLUSIVE PINTURA</v>
      </c>
      <c r="C2617" s="543"/>
      <c r="D2617" s="543"/>
      <c r="E2617" s="543"/>
      <c r="F2617" s="543"/>
      <c r="G2617" s="543"/>
      <c r="H2617" s="543"/>
      <c r="I2617" s="543"/>
      <c r="J2617" s="543"/>
      <c r="K2617" s="543"/>
      <c r="L2617" s="543"/>
      <c r="M2617" s="543"/>
      <c r="N2617" s="331" t="str">
        <f>VLOOKUP(A2617,ORCAMENTO!A:I,5,0)</f>
        <v>M2</v>
      </c>
      <c r="O2617" s="332">
        <f>O2638</f>
        <v>145.12</v>
      </c>
    </row>
    <row r="2618" spans="1:15" s="328" customFormat="1" x14ac:dyDescent="0.2">
      <c r="A2618" s="539" t="s">
        <v>39793</v>
      </c>
      <c r="B2618" s="539"/>
      <c r="C2618" s="539"/>
      <c r="D2618" s="539"/>
      <c r="E2618" s="539"/>
      <c r="F2618" s="539"/>
      <c r="G2618" s="539"/>
      <c r="H2618" s="539"/>
      <c r="I2618" s="539"/>
      <c r="J2618" s="539"/>
      <c r="K2618" s="539"/>
      <c r="L2618" s="539"/>
      <c r="M2618" s="539"/>
      <c r="N2618" s="539"/>
      <c r="O2618" s="539"/>
    </row>
    <row r="2619" spans="1:15" s="328" customFormat="1" x14ac:dyDescent="0.2">
      <c r="A2619" s="539" t="s">
        <v>5917</v>
      </c>
      <c r="B2619" s="539"/>
      <c r="C2619" s="539"/>
      <c r="D2619" s="333"/>
      <c r="E2619" s="333"/>
      <c r="F2619" s="333"/>
      <c r="G2619" s="333"/>
      <c r="H2619" s="333"/>
      <c r="I2619" s="331"/>
      <c r="J2619" s="331"/>
      <c r="K2619" s="333" t="s">
        <v>39823</v>
      </c>
      <c r="L2619" s="333" t="s">
        <v>39805</v>
      </c>
      <c r="M2619" s="333" t="s">
        <v>39802</v>
      </c>
      <c r="N2619" s="333" t="s">
        <v>39794</v>
      </c>
      <c r="O2619" s="333" t="s">
        <v>39795</v>
      </c>
    </row>
    <row r="2620" spans="1:15" s="328" customFormat="1" x14ac:dyDescent="0.2">
      <c r="A2620" s="535" t="s">
        <v>39962</v>
      </c>
      <c r="B2620" s="535"/>
      <c r="C2620" s="535"/>
      <c r="D2620" s="339"/>
      <c r="E2620" s="339"/>
      <c r="F2620" s="339"/>
      <c r="G2620" s="339"/>
      <c r="H2620" s="339"/>
      <c r="I2620" s="339"/>
      <c r="J2620" s="339"/>
      <c r="K2620" s="339">
        <f>2.55</f>
        <v>2.5499999999999998</v>
      </c>
      <c r="L2620" s="339" t="s">
        <v>39805</v>
      </c>
      <c r="M2620" s="339">
        <f>4.95</f>
        <v>4.95</v>
      </c>
      <c r="N2620" s="339" t="s">
        <v>39794</v>
      </c>
      <c r="O2620" s="340">
        <f>ROUND(K2620*M2620,2)</f>
        <v>12.62</v>
      </c>
    </row>
    <row r="2621" spans="1:15" s="328" customFormat="1" x14ac:dyDescent="0.2">
      <c r="A2621" s="535" t="s">
        <v>39963</v>
      </c>
      <c r="B2621" s="535"/>
      <c r="C2621" s="535"/>
      <c r="D2621" s="339"/>
      <c r="E2621" s="339"/>
      <c r="F2621" s="339"/>
      <c r="G2621" s="339"/>
      <c r="H2621" s="339"/>
      <c r="I2621" s="339"/>
      <c r="J2621" s="339"/>
      <c r="K2621" s="339">
        <f>2.55</f>
        <v>2.5499999999999998</v>
      </c>
      <c r="L2621" s="339" t="s">
        <v>39805</v>
      </c>
      <c r="M2621" s="339">
        <f>5.7</f>
        <v>5.7</v>
      </c>
      <c r="N2621" s="339" t="s">
        <v>39794</v>
      </c>
      <c r="O2621" s="340">
        <f t="shared" ref="O2621:O2637" si="147">ROUND(K2621*M2621,2)</f>
        <v>14.54</v>
      </c>
    </row>
    <row r="2622" spans="1:15" s="328" customFormat="1" x14ac:dyDescent="0.2">
      <c r="A2622" s="535" t="s">
        <v>39964</v>
      </c>
      <c r="B2622" s="535"/>
      <c r="C2622" s="535"/>
      <c r="D2622" s="339"/>
      <c r="E2622" s="339"/>
      <c r="F2622" s="339"/>
      <c r="G2622" s="339"/>
      <c r="H2622" s="339"/>
      <c r="I2622" s="339"/>
      <c r="J2622" s="339"/>
      <c r="K2622" s="339">
        <f t="shared" ref="K2622:K2625" si="148">2.55</f>
        <v>2.5499999999999998</v>
      </c>
      <c r="L2622" s="339" t="s">
        <v>39805</v>
      </c>
      <c r="M2622" s="339">
        <f>5.7</f>
        <v>5.7</v>
      </c>
      <c r="N2622" s="339" t="s">
        <v>39794</v>
      </c>
      <c r="O2622" s="340">
        <f t="shared" si="147"/>
        <v>14.54</v>
      </c>
    </row>
    <row r="2623" spans="1:15" s="328" customFormat="1" x14ac:dyDescent="0.2">
      <c r="A2623" s="535" t="s">
        <v>39965</v>
      </c>
      <c r="B2623" s="535"/>
      <c r="C2623" s="535"/>
      <c r="D2623" s="339"/>
      <c r="E2623" s="339"/>
      <c r="F2623" s="339"/>
      <c r="G2623" s="339"/>
      <c r="H2623" s="339"/>
      <c r="I2623" s="339"/>
      <c r="J2623" s="339"/>
      <c r="K2623" s="339">
        <f t="shared" si="148"/>
        <v>2.5499999999999998</v>
      </c>
      <c r="L2623" s="339" t="s">
        <v>39805</v>
      </c>
      <c r="M2623" s="339">
        <f>5.7</f>
        <v>5.7</v>
      </c>
      <c r="N2623" s="339" t="s">
        <v>39794</v>
      </c>
      <c r="O2623" s="340">
        <f t="shared" si="147"/>
        <v>14.54</v>
      </c>
    </row>
    <row r="2624" spans="1:15" s="328" customFormat="1" x14ac:dyDescent="0.2">
      <c r="A2624" s="535" t="s">
        <v>39966</v>
      </c>
      <c r="B2624" s="535"/>
      <c r="C2624" s="535"/>
      <c r="D2624" s="339"/>
      <c r="E2624" s="339"/>
      <c r="F2624" s="339"/>
      <c r="G2624" s="339"/>
      <c r="H2624" s="339"/>
      <c r="I2624" s="339"/>
      <c r="J2624" s="339"/>
      <c r="K2624" s="339">
        <f t="shared" si="148"/>
        <v>2.5499999999999998</v>
      </c>
      <c r="L2624" s="339" t="s">
        <v>39805</v>
      </c>
      <c r="M2624" s="339">
        <f>5.7</f>
        <v>5.7</v>
      </c>
      <c r="N2624" s="339" t="s">
        <v>39794</v>
      </c>
      <c r="O2624" s="340">
        <f t="shared" si="147"/>
        <v>14.54</v>
      </c>
    </row>
    <row r="2625" spans="1:15" s="328" customFormat="1" x14ac:dyDescent="0.2">
      <c r="A2625" s="535" t="s">
        <v>39967</v>
      </c>
      <c r="B2625" s="535"/>
      <c r="C2625" s="535"/>
      <c r="D2625" s="339"/>
      <c r="E2625" s="339"/>
      <c r="F2625" s="339"/>
      <c r="G2625" s="339"/>
      <c r="H2625" s="339"/>
      <c r="I2625" s="339"/>
      <c r="J2625" s="339"/>
      <c r="K2625" s="339">
        <f t="shared" si="148"/>
        <v>2.5499999999999998</v>
      </c>
      <c r="L2625" s="339" t="s">
        <v>39805</v>
      </c>
      <c r="M2625" s="339">
        <f>5.7</f>
        <v>5.7</v>
      </c>
      <c r="N2625" s="339" t="s">
        <v>39794</v>
      </c>
      <c r="O2625" s="340">
        <f t="shared" si="147"/>
        <v>14.54</v>
      </c>
    </row>
    <row r="2626" spans="1:15" s="328" customFormat="1" x14ac:dyDescent="0.2">
      <c r="A2626" s="535" t="s">
        <v>39968</v>
      </c>
      <c r="B2626" s="535"/>
      <c r="C2626" s="535"/>
      <c r="D2626" s="339"/>
      <c r="E2626" s="339"/>
      <c r="F2626" s="339"/>
      <c r="G2626" s="339"/>
      <c r="H2626" s="339"/>
      <c r="I2626" s="339"/>
      <c r="J2626" s="339"/>
      <c r="K2626" s="339">
        <f>1.1</f>
        <v>1.1000000000000001</v>
      </c>
      <c r="L2626" s="339" t="s">
        <v>39805</v>
      </c>
      <c r="M2626" s="339">
        <f>9.2</f>
        <v>9.1999999999999993</v>
      </c>
      <c r="N2626" s="339" t="s">
        <v>39794</v>
      </c>
      <c r="O2626" s="340">
        <f t="shared" si="147"/>
        <v>10.119999999999999</v>
      </c>
    </row>
    <row r="2627" spans="1:15" s="328" customFormat="1" x14ac:dyDescent="0.2">
      <c r="A2627" s="535" t="s">
        <v>39969</v>
      </c>
      <c r="B2627" s="535"/>
      <c r="C2627" s="535"/>
      <c r="D2627" s="339"/>
      <c r="E2627" s="339"/>
      <c r="F2627" s="339"/>
      <c r="G2627" s="339"/>
      <c r="H2627" s="339"/>
      <c r="I2627" s="339"/>
      <c r="J2627" s="339"/>
      <c r="K2627" s="339">
        <f t="shared" ref="K2627:K2637" si="149">1.1</f>
        <v>1.1000000000000001</v>
      </c>
      <c r="L2627" s="339" t="s">
        <v>39805</v>
      </c>
      <c r="M2627" s="339">
        <f>2.5</f>
        <v>2.5</v>
      </c>
      <c r="N2627" s="339" t="s">
        <v>39794</v>
      </c>
      <c r="O2627" s="340">
        <f t="shared" si="147"/>
        <v>2.75</v>
      </c>
    </row>
    <row r="2628" spans="1:15" s="328" customFormat="1" x14ac:dyDescent="0.2">
      <c r="A2628" s="535" t="s">
        <v>39970</v>
      </c>
      <c r="B2628" s="535"/>
      <c r="C2628" s="535"/>
      <c r="D2628" s="339"/>
      <c r="E2628" s="339"/>
      <c r="F2628" s="339"/>
      <c r="G2628" s="339"/>
      <c r="H2628" s="339"/>
      <c r="I2628" s="339"/>
      <c r="J2628" s="339"/>
      <c r="K2628" s="339">
        <f t="shared" si="149"/>
        <v>1.1000000000000001</v>
      </c>
      <c r="L2628" s="339" t="s">
        <v>39805</v>
      </c>
      <c r="M2628" s="339">
        <f>4.95</f>
        <v>4.95</v>
      </c>
      <c r="N2628" s="339" t="s">
        <v>39794</v>
      </c>
      <c r="O2628" s="340">
        <f t="shared" si="147"/>
        <v>5.45</v>
      </c>
    </row>
    <row r="2629" spans="1:15" s="328" customFormat="1" x14ac:dyDescent="0.2">
      <c r="A2629" s="535" t="s">
        <v>39971</v>
      </c>
      <c r="B2629" s="535"/>
      <c r="C2629" s="535"/>
      <c r="D2629" s="339"/>
      <c r="E2629" s="339"/>
      <c r="F2629" s="339"/>
      <c r="G2629" s="339"/>
      <c r="H2629" s="339"/>
      <c r="I2629" s="339"/>
      <c r="J2629" s="339"/>
      <c r="K2629" s="339">
        <f t="shared" si="149"/>
        <v>1.1000000000000001</v>
      </c>
      <c r="L2629" s="339" t="s">
        <v>39805</v>
      </c>
      <c r="M2629" s="339">
        <f>5.7</f>
        <v>5.7</v>
      </c>
      <c r="N2629" s="339" t="s">
        <v>39794</v>
      </c>
      <c r="O2629" s="340">
        <f t="shared" si="147"/>
        <v>6.27</v>
      </c>
    </row>
    <row r="2630" spans="1:15" s="328" customFormat="1" x14ac:dyDescent="0.2">
      <c r="A2630" s="535" t="s">
        <v>39972</v>
      </c>
      <c r="B2630" s="535"/>
      <c r="C2630" s="535"/>
      <c r="D2630" s="339"/>
      <c r="E2630" s="339"/>
      <c r="F2630" s="339"/>
      <c r="G2630" s="339"/>
      <c r="H2630" s="339"/>
      <c r="I2630" s="339"/>
      <c r="J2630" s="339"/>
      <c r="K2630" s="339">
        <f t="shared" si="149"/>
        <v>1.1000000000000001</v>
      </c>
      <c r="L2630" s="339" t="s">
        <v>39805</v>
      </c>
      <c r="M2630" s="339">
        <f>5.7</f>
        <v>5.7</v>
      </c>
      <c r="N2630" s="339" t="s">
        <v>39794</v>
      </c>
      <c r="O2630" s="340">
        <f t="shared" si="147"/>
        <v>6.27</v>
      </c>
    </row>
    <row r="2631" spans="1:15" s="328" customFormat="1" x14ac:dyDescent="0.2">
      <c r="A2631" s="535" t="s">
        <v>39973</v>
      </c>
      <c r="B2631" s="535"/>
      <c r="C2631" s="535"/>
      <c r="D2631" s="339"/>
      <c r="E2631" s="339"/>
      <c r="F2631" s="339"/>
      <c r="G2631" s="339"/>
      <c r="H2631" s="339"/>
      <c r="I2631" s="339"/>
      <c r="J2631" s="339"/>
      <c r="K2631" s="339">
        <f t="shared" si="149"/>
        <v>1.1000000000000001</v>
      </c>
      <c r="L2631" s="339" t="s">
        <v>39805</v>
      </c>
      <c r="M2631" s="339">
        <f>1.25</f>
        <v>1.25</v>
      </c>
      <c r="N2631" s="339" t="s">
        <v>39794</v>
      </c>
      <c r="O2631" s="340">
        <f t="shared" si="147"/>
        <v>1.38</v>
      </c>
    </row>
    <row r="2632" spans="1:15" s="328" customFormat="1" x14ac:dyDescent="0.2">
      <c r="A2632" s="535" t="s">
        <v>39974</v>
      </c>
      <c r="B2632" s="535"/>
      <c r="C2632" s="535"/>
      <c r="D2632" s="339"/>
      <c r="E2632" s="339"/>
      <c r="F2632" s="339"/>
      <c r="G2632" s="339"/>
      <c r="H2632" s="339"/>
      <c r="I2632" s="339"/>
      <c r="J2632" s="339"/>
      <c r="K2632" s="339">
        <f t="shared" si="149"/>
        <v>1.1000000000000001</v>
      </c>
      <c r="L2632" s="339" t="s">
        <v>39805</v>
      </c>
      <c r="M2632" s="339">
        <f>4.45</f>
        <v>4.45</v>
      </c>
      <c r="N2632" s="339" t="s">
        <v>39794</v>
      </c>
      <c r="O2632" s="340">
        <f t="shared" si="147"/>
        <v>4.9000000000000004</v>
      </c>
    </row>
    <row r="2633" spans="1:15" s="328" customFormat="1" x14ac:dyDescent="0.2">
      <c r="A2633" s="535" t="s">
        <v>39975</v>
      </c>
      <c r="B2633" s="535"/>
      <c r="C2633" s="535"/>
      <c r="D2633" s="339"/>
      <c r="E2633" s="339"/>
      <c r="F2633" s="339"/>
      <c r="G2633" s="339"/>
      <c r="H2633" s="339"/>
      <c r="I2633" s="339"/>
      <c r="J2633" s="339"/>
      <c r="K2633" s="339">
        <f t="shared" si="149"/>
        <v>1.1000000000000001</v>
      </c>
      <c r="L2633" s="339" t="s">
        <v>39805</v>
      </c>
      <c r="M2633" s="339">
        <f>5.7</f>
        <v>5.7</v>
      </c>
      <c r="N2633" s="339" t="s">
        <v>39794</v>
      </c>
      <c r="O2633" s="340">
        <f t="shared" si="147"/>
        <v>6.27</v>
      </c>
    </row>
    <row r="2634" spans="1:15" s="328" customFormat="1" x14ac:dyDescent="0.2">
      <c r="A2634" s="535" t="s">
        <v>39976</v>
      </c>
      <c r="B2634" s="535"/>
      <c r="C2634" s="535"/>
      <c r="D2634" s="339"/>
      <c r="E2634" s="339"/>
      <c r="F2634" s="339"/>
      <c r="G2634" s="339"/>
      <c r="H2634" s="339"/>
      <c r="I2634" s="339"/>
      <c r="J2634" s="339"/>
      <c r="K2634" s="339">
        <f t="shared" si="149"/>
        <v>1.1000000000000001</v>
      </c>
      <c r="L2634" s="339" t="s">
        <v>39805</v>
      </c>
      <c r="M2634" s="339">
        <f>5.7</f>
        <v>5.7</v>
      </c>
      <c r="N2634" s="339" t="s">
        <v>39794</v>
      </c>
      <c r="O2634" s="340">
        <f t="shared" si="147"/>
        <v>6.27</v>
      </c>
    </row>
    <row r="2635" spans="1:15" s="328" customFormat="1" x14ac:dyDescent="0.2">
      <c r="A2635" s="535" t="s">
        <v>39977</v>
      </c>
      <c r="B2635" s="535"/>
      <c r="C2635" s="535"/>
      <c r="D2635" s="339"/>
      <c r="E2635" s="339"/>
      <c r="F2635" s="339"/>
      <c r="G2635" s="339"/>
      <c r="H2635" s="339"/>
      <c r="I2635" s="339"/>
      <c r="J2635" s="339"/>
      <c r="K2635" s="339">
        <f t="shared" si="149"/>
        <v>1.1000000000000001</v>
      </c>
      <c r="L2635" s="339" t="s">
        <v>39805</v>
      </c>
      <c r="M2635" s="339">
        <f>5.8</f>
        <v>5.8</v>
      </c>
      <c r="N2635" s="339" t="s">
        <v>39794</v>
      </c>
      <c r="O2635" s="340">
        <f t="shared" si="147"/>
        <v>6.38</v>
      </c>
    </row>
    <row r="2636" spans="1:15" s="328" customFormat="1" x14ac:dyDescent="0.2">
      <c r="A2636" s="535" t="s">
        <v>39978</v>
      </c>
      <c r="B2636" s="535"/>
      <c r="C2636" s="535"/>
      <c r="D2636" s="339"/>
      <c r="E2636" s="339"/>
      <c r="F2636" s="339"/>
      <c r="G2636" s="339"/>
      <c r="H2636" s="339"/>
      <c r="I2636" s="339"/>
      <c r="J2636" s="339"/>
      <c r="K2636" s="339">
        <f t="shared" si="149"/>
        <v>1.1000000000000001</v>
      </c>
      <c r="L2636" s="339" t="s">
        <v>39805</v>
      </c>
      <c r="M2636" s="339">
        <f>0.2</f>
        <v>0.2</v>
      </c>
      <c r="N2636" s="339" t="s">
        <v>39794</v>
      </c>
      <c r="O2636" s="340">
        <f t="shared" si="147"/>
        <v>0.22</v>
      </c>
    </row>
    <row r="2637" spans="1:15" s="328" customFormat="1" x14ac:dyDescent="0.2">
      <c r="A2637" s="535" t="s">
        <v>39979</v>
      </c>
      <c r="B2637" s="535"/>
      <c r="C2637" s="535"/>
      <c r="D2637" s="339"/>
      <c r="E2637" s="339"/>
      <c r="F2637" s="339"/>
      <c r="G2637" s="339"/>
      <c r="H2637" s="339"/>
      <c r="I2637" s="339"/>
      <c r="J2637" s="339"/>
      <c r="K2637" s="339">
        <f t="shared" si="149"/>
        <v>1.1000000000000001</v>
      </c>
      <c r="L2637" s="339" t="s">
        <v>39805</v>
      </c>
      <c r="M2637" s="339">
        <f>3.2</f>
        <v>3.2</v>
      </c>
      <c r="N2637" s="339" t="s">
        <v>39794</v>
      </c>
      <c r="O2637" s="340">
        <f t="shared" si="147"/>
        <v>3.52</v>
      </c>
    </row>
    <row r="2638" spans="1:15" s="328" customFormat="1" x14ac:dyDescent="0.2">
      <c r="A2638" s="540"/>
      <c r="B2638" s="540"/>
      <c r="C2638" s="540"/>
      <c r="D2638" s="540"/>
      <c r="E2638" s="540"/>
      <c r="F2638" s="540"/>
      <c r="G2638" s="540"/>
      <c r="H2638" s="540"/>
      <c r="I2638" s="540"/>
      <c r="J2638" s="540"/>
      <c r="K2638" s="540"/>
      <c r="L2638" s="334" t="s">
        <v>39796</v>
      </c>
      <c r="M2638" s="334" t="s">
        <v>39168</v>
      </c>
      <c r="N2638" s="333" t="s">
        <v>39794</v>
      </c>
      <c r="O2638" s="334">
        <f>SUM(O2619:O2637)</f>
        <v>145.12</v>
      </c>
    </row>
    <row r="2639" spans="1:15" s="328" customFormat="1" x14ac:dyDescent="0.2">
      <c r="A2639" s="329" t="s">
        <v>39791</v>
      </c>
      <c r="B2639" s="542" t="s">
        <v>5917</v>
      </c>
      <c r="C2639" s="542"/>
      <c r="D2639" s="542"/>
      <c r="E2639" s="542"/>
      <c r="F2639" s="542"/>
      <c r="G2639" s="542"/>
      <c r="H2639" s="542"/>
      <c r="I2639" s="542"/>
      <c r="J2639" s="542"/>
      <c r="K2639" s="542"/>
      <c r="L2639" s="542"/>
      <c r="M2639" s="542"/>
      <c r="N2639" s="329" t="s">
        <v>39197</v>
      </c>
      <c r="O2639" s="330" t="s">
        <v>39792</v>
      </c>
    </row>
    <row r="2640" spans="1:15" s="328" customFormat="1" x14ac:dyDescent="0.2">
      <c r="A2640" s="331" t="str">
        <f>ORCAMENTO!A385</f>
        <v>19.2</v>
      </c>
      <c r="B2640" s="543" t="str">
        <f>VLOOKUP(A2640,ORCAMENTO!A:I,4,0)</f>
        <v>CARGA, MANOBRA E DESCARGA DE ENTULHO EM CAMINHÃO BASCULANTE 6 M³ - CARGA COM ESCAVADEIRA HIDRÁULICA (CAÇAMBA DE 0,80 M³ / 111 HP) E DESCARGA LIVRE (UNIDADE: M3). AF_07/2020</v>
      </c>
      <c r="C2640" s="543"/>
      <c r="D2640" s="543"/>
      <c r="E2640" s="543"/>
      <c r="F2640" s="543"/>
      <c r="G2640" s="543"/>
      <c r="H2640" s="543"/>
      <c r="I2640" s="543"/>
      <c r="J2640" s="543"/>
      <c r="K2640" s="543"/>
      <c r="L2640" s="543"/>
      <c r="M2640" s="543"/>
      <c r="N2640" s="331" t="str">
        <f>VLOOKUP(A2640,ORCAMENTO!A:I,5,0)</f>
        <v>M3</v>
      </c>
      <c r="O2640" s="332">
        <f>O2644</f>
        <v>79.88</v>
      </c>
    </row>
    <row r="2641" spans="1:15" s="328" customFormat="1" x14ac:dyDescent="0.2">
      <c r="A2641" s="539" t="s">
        <v>39793</v>
      </c>
      <c r="B2641" s="539"/>
      <c r="C2641" s="539"/>
      <c r="D2641" s="539"/>
      <c r="E2641" s="539"/>
      <c r="F2641" s="539"/>
      <c r="G2641" s="539"/>
      <c r="H2641" s="539"/>
      <c r="I2641" s="539"/>
      <c r="J2641" s="539"/>
      <c r="K2641" s="539"/>
      <c r="L2641" s="539"/>
      <c r="M2641" s="539"/>
      <c r="N2641" s="539"/>
      <c r="O2641" s="539"/>
    </row>
    <row r="2642" spans="1:15" s="328" customFormat="1" x14ac:dyDescent="0.2">
      <c r="A2642" s="539" t="s">
        <v>5917</v>
      </c>
      <c r="B2642" s="539"/>
      <c r="C2642" s="539"/>
      <c r="D2642" s="333"/>
      <c r="E2642" s="333"/>
      <c r="F2642" s="333"/>
      <c r="G2642" s="333"/>
      <c r="H2642" s="333"/>
      <c r="I2642" s="333" t="s">
        <v>40568</v>
      </c>
      <c r="J2642" s="333" t="s">
        <v>39805</v>
      </c>
      <c r="K2642" s="333" t="s">
        <v>40573</v>
      </c>
      <c r="L2642" s="333" t="s">
        <v>39805</v>
      </c>
      <c r="M2642" s="333" t="s">
        <v>40571</v>
      </c>
      <c r="N2642" s="333" t="s">
        <v>39794</v>
      </c>
      <c r="O2642" s="333" t="s">
        <v>39795</v>
      </c>
    </row>
    <row r="2643" spans="1:15" s="328" customFormat="1" x14ac:dyDescent="0.2">
      <c r="A2643" s="535" t="s">
        <v>40570</v>
      </c>
      <c r="B2643" s="535"/>
      <c r="C2643" s="535"/>
      <c r="D2643" s="332"/>
      <c r="E2643" s="332"/>
      <c r="F2643" s="332"/>
      <c r="G2643" s="332"/>
      <c r="H2643" s="332"/>
      <c r="I2643" s="332">
        <f>840.84</f>
        <v>840.84</v>
      </c>
      <c r="J2643" s="339" t="s">
        <v>39805</v>
      </c>
      <c r="K2643" s="332">
        <f>95</f>
        <v>95</v>
      </c>
      <c r="L2643" s="339" t="s">
        <v>39805</v>
      </c>
      <c r="M2643" s="385">
        <f>1/1000</f>
        <v>1E-3</v>
      </c>
      <c r="N2643" s="332" t="s">
        <v>39794</v>
      </c>
      <c r="O2643" s="335">
        <f>ROUND(I2643*K2643*M2643,2)</f>
        <v>79.88</v>
      </c>
    </row>
    <row r="2644" spans="1:15" s="328" customFormat="1" x14ac:dyDescent="0.2">
      <c r="A2644" s="540" t="s">
        <v>40569</v>
      </c>
      <c r="B2644" s="540"/>
      <c r="C2644" s="540"/>
      <c r="D2644" s="540"/>
      <c r="E2644" s="540"/>
      <c r="F2644" s="540"/>
      <c r="G2644" s="540"/>
      <c r="H2644" s="540"/>
      <c r="I2644" s="540"/>
      <c r="J2644" s="540"/>
      <c r="K2644" s="540"/>
      <c r="L2644" s="334" t="s">
        <v>39796</v>
      </c>
      <c r="M2644" s="334" t="s">
        <v>39168</v>
      </c>
      <c r="N2644" s="333" t="s">
        <v>39794</v>
      </c>
      <c r="O2644" s="334">
        <f>SUM(O2642:O2643)</f>
        <v>79.88</v>
      </c>
    </row>
    <row r="2645" spans="1:15" s="328" customFormat="1" x14ac:dyDescent="0.2">
      <c r="A2645" s="329" t="s">
        <v>39791</v>
      </c>
      <c r="B2645" s="542" t="s">
        <v>5917</v>
      </c>
      <c r="C2645" s="542"/>
      <c r="D2645" s="542"/>
      <c r="E2645" s="542"/>
      <c r="F2645" s="542"/>
      <c r="G2645" s="542"/>
      <c r="H2645" s="542"/>
      <c r="I2645" s="542"/>
      <c r="J2645" s="542"/>
      <c r="K2645" s="542"/>
      <c r="L2645" s="542"/>
      <c r="M2645" s="542"/>
      <c r="N2645" s="329" t="s">
        <v>39197</v>
      </c>
      <c r="O2645" s="330" t="s">
        <v>39792</v>
      </c>
    </row>
    <row r="2646" spans="1:15" s="328" customFormat="1" x14ac:dyDescent="0.2">
      <c r="A2646" s="331" t="str">
        <f>ORCAMENTO!A386</f>
        <v>19.3</v>
      </c>
      <c r="B2646" s="543" t="str">
        <f>VLOOKUP(A2646,ORCAMENTO!A:I,4,0)</f>
        <v>TRANSPORTE COM CAMINHÃO BASCULANTE DE 6 M³, EM VIA URBANA PAVIMENTADA, DMT ATÉ 30 KM (UNIDADE: M3XKM). AF_07/2020</v>
      </c>
      <c r="C2646" s="543"/>
      <c r="D2646" s="543"/>
      <c r="E2646" s="543"/>
      <c r="F2646" s="543"/>
      <c r="G2646" s="543"/>
      <c r="H2646" s="543"/>
      <c r="I2646" s="543"/>
      <c r="J2646" s="543"/>
      <c r="K2646" s="543"/>
      <c r="L2646" s="543"/>
      <c r="M2646" s="543"/>
      <c r="N2646" s="331" t="str">
        <f>VLOOKUP(A2646,ORCAMENTO!A:I,5,0)</f>
        <v>M3XKM</v>
      </c>
      <c r="O2646" s="332">
        <f>O2650</f>
        <v>910.63</v>
      </c>
    </row>
    <row r="2647" spans="1:15" s="328" customFormat="1" x14ac:dyDescent="0.2">
      <c r="A2647" s="539" t="s">
        <v>39793</v>
      </c>
      <c r="B2647" s="539"/>
      <c r="C2647" s="539"/>
      <c r="D2647" s="539"/>
      <c r="E2647" s="539"/>
      <c r="F2647" s="539"/>
      <c r="G2647" s="539"/>
      <c r="H2647" s="539"/>
      <c r="I2647" s="539"/>
      <c r="J2647" s="539"/>
      <c r="K2647" s="539"/>
      <c r="L2647" s="539"/>
      <c r="M2647" s="539"/>
      <c r="N2647" s="539"/>
      <c r="O2647" s="539"/>
    </row>
    <row r="2648" spans="1:15" s="328" customFormat="1" x14ac:dyDescent="0.2">
      <c r="A2648" s="539" t="s">
        <v>5917</v>
      </c>
      <c r="B2648" s="539"/>
      <c r="C2648" s="539"/>
      <c r="D2648" s="333"/>
      <c r="E2648" s="333"/>
      <c r="F2648" s="333"/>
      <c r="G2648" s="333"/>
      <c r="H2648" s="333"/>
      <c r="I2648" s="333"/>
      <c r="J2648" s="333"/>
      <c r="K2648" s="333" t="s">
        <v>39803</v>
      </c>
      <c r="L2648" s="333" t="s">
        <v>39805</v>
      </c>
      <c r="M2648" s="333" t="s">
        <v>40572</v>
      </c>
      <c r="N2648" s="333" t="s">
        <v>39794</v>
      </c>
      <c r="O2648" s="333" t="s">
        <v>39795</v>
      </c>
    </row>
    <row r="2649" spans="1:15" s="328" customFormat="1" x14ac:dyDescent="0.2">
      <c r="A2649" s="535" t="s">
        <v>40574</v>
      </c>
      <c r="B2649" s="535"/>
      <c r="C2649" s="535"/>
      <c r="D2649" s="332"/>
      <c r="E2649" s="332"/>
      <c r="F2649" s="332"/>
      <c r="G2649" s="332"/>
      <c r="H2649" s="332"/>
      <c r="I2649" s="332"/>
      <c r="J2649" s="332"/>
      <c r="K2649" s="332">
        <f>79.88</f>
        <v>79.88</v>
      </c>
      <c r="L2649" s="339" t="s">
        <v>39805</v>
      </c>
      <c r="M2649" s="332">
        <f>11.4</f>
        <v>11.4</v>
      </c>
      <c r="N2649" s="332" t="s">
        <v>39794</v>
      </c>
      <c r="O2649" s="335">
        <f>ROUND(K2649*M2649,2)</f>
        <v>910.63</v>
      </c>
    </row>
    <row r="2650" spans="1:15" s="328" customFormat="1" x14ac:dyDescent="0.2">
      <c r="A2650" s="540"/>
      <c r="B2650" s="540"/>
      <c r="C2650" s="540"/>
      <c r="D2650" s="540"/>
      <c r="E2650" s="540"/>
      <c r="F2650" s="540"/>
      <c r="G2650" s="540"/>
      <c r="H2650" s="540"/>
      <c r="I2650" s="540"/>
      <c r="J2650" s="540"/>
      <c r="K2650" s="540"/>
      <c r="L2650" s="334" t="s">
        <v>39796</v>
      </c>
      <c r="M2650" s="334" t="s">
        <v>39168</v>
      </c>
      <c r="N2650" s="333" t="s">
        <v>39794</v>
      </c>
      <c r="O2650" s="334">
        <f>SUM(O2648:O2649)</f>
        <v>910.63</v>
      </c>
    </row>
    <row r="2651" spans="1:15" s="328" customFormat="1" x14ac:dyDescent="0.2">
      <c r="A2651" s="329" t="s">
        <v>39791</v>
      </c>
      <c r="B2651" s="542" t="s">
        <v>5917</v>
      </c>
      <c r="C2651" s="542"/>
      <c r="D2651" s="542"/>
      <c r="E2651" s="542"/>
      <c r="F2651" s="542"/>
      <c r="G2651" s="542"/>
      <c r="H2651" s="542"/>
      <c r="I2651" s="542"/>
      <c r="J2651" s="542"/>
      <c r="K2651" s="542"/>
      <c r="L2651" s="542"/>
      <c r="M2651" s="542"/>
      <c r="N2651" s="329" t="s">
        <v>39197</v>
      </c>
      <c r="O2651" s="330" t="s">
        <v>39792</v>
      </c>
    </row>
    <row r="2652" spans="1:15" s="328" customFormat="1" x14ac:dyDescent="0.2">
      <c r="A2652" s="331" t="str">
        <f>ORCAMENTO!A387</f>
        <v>19.4</v>
      </c>
      <c r="B2652" s="543" t="str">
        <f>VLOOKUP(A2652,ORCAMENTO!A:I,4,0)</f>
        <v>DESMOBILIZAÇÃO DE EQUIPAMENTOS EM CAVALO MECÂNICO C/ PRANCHA DE 3 EIXOS</v>
      </c>
      <c r="C2652" s="543"/>
      <c r="D2652" s="543"/>
      <c r="E2652" s="543"/>
      <c r="F2652" s="543"/>
      <c r="G2652" s="543"/>
      <c r="H2652" s="543"/>
      <c r="I2652" s="543"/>
      <c r="J2652" s="543"/>
      <c r="K2652" s="543"/>
      <c r="L2652" s="543"/>
      <c r="M2652" s="543"/>
      <c r="N2652" s="331" t="str">
        <f>VLOOKUP(A2652,ORCAMENTO!A:I,5,0)</f>
        <v>KM</v>
      </c>
      <c r="O2652" s="332">
        <f>O2660</f>
        <v>670</v>
      </c>
    </row>
    <row r="2653" spans="1:15" s="328" customFormat="1" x14ac:dyDescent="0.2">
      <c r="A2653" s="539" t="s">
        <v>39793</v>
      </c>
      <c r="B2653" s="539"/>
      <c r="C2653" s="539"/>
      <c r="D2653" s="539"/>
      <c r="E2653" s="539"/>
      <c r="F2653" s="539"/>
      <c r="G2653" s="539"/>
      <c r="H2653" s="539"/>
      <c r="I2653" s="539"/>
      <c r="J2653" s="539"/>
      <c r="K2653" s="539"/>
      <c r="L2653" s="539"/>
      <c r="M2653" s="539"/>
      <c r="N2653" s="539"/>
      <c r="O2653" s="539"/>
    </row>
    <row r="2654" spans="1:15" s="328" customFormat="1" x14ac:dyDescent="0.2">
      <c r="A2654" s="539" t="s">
        <v>5917</v>
      </c>
      <c r="B2654" s="539"/>
      <c r="C2654" s="539"/>
      <c r="D2654" s="333"/>
      <c r="E2654" s="333"/>
      <c r="F2654" s="333"/>
      <c r="G2654" s="334"/>
      <c r="H2654" s="333"/>
      <c r="I2654" s="332"/>
      <c r="J2654" s="331"/>
      <c r="K2654" s="334"/>
      <c r="L2654" s="333"/>
      <c r="M2654" s="334" t="s">
        <v>40572</v>
      </c>
      <c r="N2654" s="333" t="s">
        <v>39794</v>
      </c>
      <c r="O2654" s="334" t="s">
        <v>39795</v>
      </c>
    </row>
    <row r="2655" spans="1:15" s="328" customFormat="1" x14ac:dyDescent="0.2">
      <c r="A2655" s="541" t="s">
        <v>40578</v>
      </c>
      <c r="B2655" s="541"/>
      <c r="C2655" s="541"/>
      <c r="D2655" s="332"/>
      <c r="E2655" s="332"/>
      <c r="F2655" s="332"/>
      <c r="G2655" s="332"/>
      <c r="H2655" s="332"/>
      <c r="I2655" s="332"/>
      <c r="J2655" s="332"/>
      <c r="K2655" s="332"/>
      <c r="L2655" s="332"/>
      <c r="M2655" s="335">
        <f>134</f>
        <v>134</v>
      </c>
      <c r="N2655" s="335" t="s">
        <v>39794</v>
      </c>
      <c r="O2655" s="335">
        <f>ROUND(M2655,2)</f>
        <v>134</v>
      </c>
    </row>
    <row r="2656" spans="1:15" s="328" customFormat="1" x14ac:dyDescent="0.2">
      <c r="A2656" s="541" t="s">
        <v>40581</v>
      </c>
      <c r="B2656" s="541"/>
      <c r="C2656" s="541"/>
      <c r="D2656" s="332"/>
      <c r="E2656" s="332"/>
      <c r="F2656" s="332"/>
      <c r="G2656" s="332"/>
      <c r="H2656" s="332"/>
      <c r="I2656" s="332"/>
      <c r="J2656" s="332"/>
      <c r="K2656" s="332"/>
      <c r="L2656" s="332"/>
      <c r="M2656" s="335">
        <f>134</f>
        <v>134</v>
      </c>
      <c r="N2656" s="335" t="s">
        <v>39794</v>
      </c>
      <c r="O2656" s="335">
        <f t="shared" ref="O2656:O2659" si="150">ROUND(M2656,2)</f>
        <v>134</v>
      </c>
    </row>
    <row r="2657" spans="1:15" s="328" customFormat="1" x14ac:dyDescent="0.2">
      <c r="A2657" s="576" t="s">
        <v>40580</v>
      </c>
      <c r="B2657" s="577"/>
      <c r="C2657" s="578"/>
      <c r="D2657" s="332"/>
      <c r="E2657" s="332"/>
      <c r="F2657" s="332"/>
      <c r="G2657" s="332"/>
      <c r="H2657" s="332"/>
      <c r="I2657" s="332"/>
      <c r="J2657" s="332"/>
      <c r="K2657" s="332"/>
      <c r="L2657" s="332"/>
      <c r="M2657" s="335">
        <f>134</f>
        <v>134</v>
      </c>
      <c r="N2657" s="335" t="s">
        <v>39794</v>
      </c>
      <c r="O2657" s="335">
        <f t="shared" si="150"/>
        <v>134</v>
      </c>
    </row>
    <row r="2658" spans="1:15" s="328" customFormat="1" x14ac:dyDescent="0.2">
      <c r="A2658" s="541" t="s">
        <v>15947</v>
      </c>
      <c r="B2658" s="541"/>
      <c r="C2658" s="541"/>
      <c r="D2658" s="332"/>
      <c r="E2658" s="332"/>
      <c r="F2658" s="332"/>
      <c r="G2658" s="332"/>
      <c r="H2658" s="332"/>
      <c r="I2658" s="332"/>
      <c r="J2658" s="332"/>
      <c r="K2658" s="332"/>
      <c r="L2658" s="332"/>
      <c r="M2658" s="335">
        <f>134</f>
        <v>134</v>
      </c>
      <c r="N2658" s="335" t="s">
        <v>39794</v>
      </c>
      <c r="O2658" s="335">
        <f t="shared" si="150"/>
        <v>134</v>
      </c>
    </row>
    <row r="2659" spans="1:15" s="328" customFormat="1" x14ac:dyDescent="0.2">
      <c r="A2659" s="541" t="s">
        <v>40579</v>
      </c>
      <c r="B2659" s="541"/>
      <c r="C2659" s="541"/>
      <c r="D2659" s="332"/>
      <c r="E2659" s="332"/>
      <c r="F2659" s="332"/>
      <c r="G2659" s="332"/>
      <c r="H2659" s="332"/>
      <c r="I2659" s="332"/>
      <c r="J2659" s="332"/>
      <c r="K2659" s="332"/>
      <c r="L2659" s="332"/>
      <c r="M2659" s="335">
        <f>134</f>
        <v>134</v>
      </c>
      <c r="N2659" s="335" t="s">
        <v>39794</v>
      </c>
      <c r="O2659" s="335">
        <f t="shared" si="150"/>
        <v>134</v>
      </c>
    </row>
    <row r="2660" spans="1:15" s="328" customFormat="1" x14ac:dyDescent="0.2">
      <c r="A2660" s="540"/>
      <c r="B2660" s="540"/>
      <c r="C2660" s="540"/>
      <c r="D2660" s="540"/>
      <c r="E2660" s="540"/>
      <c r="F2660" s="540"/>
      <c r="G2660" s="540"/>
      <c r="H2660" s="540"/>
      <c r="I2660" s="540"/>
      <c r="J2660" s="540"/>
      <c r="K2660" s="540"/>
      <c r="L2660" s="334" t="s">
        <v>39796</v>
      </c>
      <c r="M2660" s="334" t="s">
        <v>39168</v>
      </c>
      <c r="N2660" s="333" t="s">
        <v>39794</v>
      </c>
      <c r="O2660" s="334">
        <f>SUM(O2654:O2659)</f>
        <v>670</v>
      </c>
    </row>
    <row r="2661" spans="1:15" s="328" customFormat="1" x14ac:dyDescent="0.2">
      <c r="A2661" s="329" t="s">
        <v>39791</v>
      </c>
      <c r="B2661" s="542" t="s">
        <v>5917</v>
      </c>
      <c r="C2661" s="542"/>
      <c r="D2661" s="542"/>
      <c r="E2661" s="542"/>
      <c r="F2661" s="542"/>
      <c r="G2661" s="542"/>
      <c r="H2661" s="542"/>
      <c r="I2661" s="542"/>
      <c r="J2661" s="542"/>
      <c r="K2661" s="542"/>
      <c r="L2661" s="542"/>
      <c r="M2661" s="542"/>
      <c r="N2661" s="329" t="s">
        <v>39197</v>
      </c>
      <c r="O2661" s="330" t="s">
        <v>39792</v>
      </c>
    </row>
    <row r="2662" spans="1:15" s="328" customFormat="1" x14ac:dyDescent="0.2">
      <c r="A2662" s="331" t="str">
        <f>ORCAMENTO!A388</f>
        <v>19.5</v>
      </c>
      <c r="B2662" s="543" t="str">
        <f>VLOOKUP(A2662,ORCAMENTO!A:I,4,0)</f>
        <v>LIMPEZA GERAL</v>
      </c>
      <c r="C2662" s="543"/>
      <c r="D2662" s="543"/>
      <c r="E2662" s="543"/>
      <c r="F2662" s="543"/>
      <c r="G2662" s="543"/>
      <c r="H2662" s="543"/>
      <c r="I2662" s="543"/>
      <c r="J2662" s="543"/>
      <c r="K2662" s="543"/>
      <c r="L2662" s="543"/>
      <c r="M2662" s="543"/>
      <c r="N2662" s="331" t="str">
        <f>VLOOKUP(A2662,ORCAMENTO!A:I,5,0)</f>
        <v>M2</v>
      </c>
      <c r="O2662" s="332">
        <f>O2669</f>
        <v>974.21</v>
      </c>
    </row>
    <row r="2663" spans="1:15" s="328" customFormat="1" x14ac:dyDescent="0.2">
      <c r="A2663" s="539" t="s">
        <v>39793</v>
      </c>
      <c r="B2663" s="539"/>
      <c r="C2663" s="539"/>
      <c r="D2663" s="539"/>
      <c r="E2663" s="539"/>
      <c r="F2663" s="539"/>
      <c r="G2663" s="539"/>
      <c r="H2663" s="539"/>
      <c r="I2663" s="539"/>
      <c r="J2663" s="539"/>
      <c r="K2663" s="539"/>
      <c r="L2663" s="539"/>
      <c r="M2663" s="539"/>
      <c r="N2663" s="539"/>
      <c r="O2663" s="539"/>
    </row>
    <row r="2664" spans="1:15" s="328" customFormat="1" x14ac:dyDescent="0.2">
      <c r="A2664" s="539" t="s">
        <v>5917</v>
      </c>
      <c r="B2664" s="539"/>
      <c r="C2664" s="539"/>
      <c r="D2664" s="333"/>
      <c r="E2664" s="333"/>
      <c r="F2664" s="333"/>
      <c r="G2664" s="333"/>
      <c r="H2664" s="333"/>
      <c r="I2664" s="333"/>
      <c r="J2664" s="333"/>
      <c r="K2664" s="333"/>
      <c r="L2664" s="333"/>
      <c r="M2664" s="333" t="s">
        <v>39799</v>
      </c>
      <c r="N2664" s="333" t="s">
        <v>39794</v>
      </c>
      <c r="O2664" s="333" t="s">
        <v>39795</v>
      </c>
    </row>
    <row r="2665" spans="1:15" s="328" customFormat="1" x14ac:dyDescent="0.2">
      <c r="A2665" s="535" t="s">
        <v>40281</v>
      </c>
      <c r="B2665" s="535"/>
      <c r="C2665" s="535"/>
      <c r="D2665" s="332"/>
      <c r="E2665" s="332"/>
      <c r="F2665" s="332"/>
      <c r="G2665" s="332"/>
      <c r="H2665" s="332"/>
      <c r="I2665" s="332"/>
      <c r="J2665" s="332"/>
      <c r="K2665" s="332"/>
      <c r="L2665" s="332"/>
      <c r="M2665" s="332">
        <f>151.06</f>
        <v>151.06</v>
      </c>
      <c r="N2665" s="332" t="s">
        <v>39794</v>
      </c>
      <c r="O2665" s="335">
        <f>ROUND(M2665,2)</f>
        <v>151.06</v>
      </c>
    </row>
    <row r="2666" spans="1:15" s="328" customFormat="1" x14ac:dyDescent="0.2">
      <c r="A2666" s="535" t="s">
        <v>40282</v>
      </c>
      <c r="B2666" s="535"/>
      <c r="C2666" s="535"/>
      <c r="D2666" s="332"/>
      <c r="E2666" s="332"/>
      <c r="F2666" s="332"/>
      <c r="G2666" s="332"/>
      <c r="H2666" s="332"/>
      <c r="I2666" s="332"/>
      <c r="J2666" s="332"/>
      <c r="K2666" s="332"/>
      <c r="L2666" s="332"/>
      <c r="M2666" s="332">
        <f>452.14</f>
        <v>452.14</v>
      </c>
      <c r="N2666" s="332" t="s">
        <v>39794</v>
      </c>
      <c r="O2666" s="335">
        <f t="shared" ref="O2666:O2668" si="151">ROUND(M2666,2)</f>
        <v>452.14</v>
      </c>
    </row>
    <row r="2667" spans="1:15" s="328" customFormat="1" x14ac:dyDescent="0.2">
      <c r="A2667" s="535" t="s">
        <v>40283</v>
      </c>
      <c r="B2667" s="535"/>
      <c r="C2667" s="535"/>
      <c r="D2667" s="332"/>
      <c r="E2667" s="332"/>
      <c r="F2667" s="332"/>
      <c r="G2667" s="332"/>
      <c r="H2667" s="332"/>
      <c r="I2667" s="332"/>
      <c r="J2667" s="332"/>
      <c r="K2667" s="332"/>
      <c r="L2667" s="332"/>
      <c r="M2667" s="332">
        <f>331.25</f>
        <v>331.25</v>
      </c>
      <c r="N2667" s="332" t="s">
        <v>39794</v>
      </c>
      <c r="O2667" s="335">
        <f t="shared" si="151"/>
        <v>331.25</v>
      </c>
    </row>
    <row r="2668" spans="1:15" s="328" customFormat="1" x14ac:dyDescent="0.2">
      <c r="A2668" s="535" t="s">
        <v>40284</v>
      </c>
      <c r="B2668" s="535"/>
      <c r="C2668" s="535"/>
      <c r="D2668" s="332"/>
      <c r="E2668" s="332"/>
      <c r="F2668" s="332"/>
      <c r="G2668" s="332"/>
      <c r="H2668" s="332"/>
      <c r="I2668" s="332"/>
      <c r="J2668" s="332"/>
      <c r="K2668" s="332"/>
      <c r="L2668" s="332"/>
      <c r="M2668" s="332">
        <f>3.14+36.62</f>
        <v>39.76</v>
      </c>
      <c r="N2668" s="332" t="s">
        <v>39794</v>
      </c>
      <c r="O2668" s="335">
        <f t="shared" si="151"/>
        <v>39.76</v>
      </c>
    </row>
    <row r="2669" spans="1:15" s="328" customFormat="1" x14ac:dyDescent="0.2">
      <c r="A2669" s="540"/>
      <c r="B2669" s="540"/>
      <c r="C2669" s="540"/>
      <c r="D2669" s="540"/>
      <c r="E2669" s="540"/>
      <c r="F2669" s="540"/>
      <c r="G2669" s="540"/>
      <c r="H2669" s="540"/>
      <c r="I2669" s="540"/>
      <c r="J2669" s="540"/>
      <c r="K2669" s="540"/>
      <c r="L2669" s="334" t="s">
        <v>39796</v>
      </c>
      <c r="M2669" s="334" t="s">
        <v>39168</v>
      </c>
      <c r="N2669" s="333" t="s">
        <v>39794</v>
      </c>
      <c r="O2669" s="334">
        <f>SUM(O2664:O2668)</f>
        <v>974.21</v>
      </c>
    </row>
    <row r="2670" spans="1:15" s="328" customFormat="1" x14ac:dyDescent="0.2">
      <c r="A2670" s="348"/>
      <c r="B2670" s="348"/>
      <c r="C2670" s="348"/>
      <c r="D2670" s="348"/>
      <c r="E2670" s="348"/>
      <c r="F2670" s="348"/>
      <c r="G2670" s="348"/>
      <c r="H2670" s="348"/>
      <c r="I2670" s="348"/>
      <c r="J2670" s="348"/>
      <c r="K2670" s="348"/>
      <c r="L2670" s="349"/>
      <c r="M2670" s="349"/>
      <c r="N2670" s="350"/>
      <c r="O2670" s="349"/>
    </row>
    <row r="2671" spans="1:15" ht="15" customHeight="1" x14ac:dyDescent="0.2">
      <c r="A2671" s="572" t="str">
        <f>ORCAMENTO!A392</f>
        <v>BOA VIAGEM - CE, JULHO DE 2025</v>
      </c>
      <c r="B2671" s="572"/>
      <c r="C2671" s="572"/>
      <c r="D2671" s="572"/>
      <c r="E2671" s="572"/>
      <c r="F2671" s="572"/>
      <c r="G2671" s="572"/>
      <c r="H2671" s="572"/>
      <c r="I2671" s="572"/>
      <c r="J2671" s="572"/>
      <c r="K2671" s="572"/>
      <c r="L2671" s="572"/>
      <c r="M2671" s="572"/>
      <c r="N2671" s="572"/>
      <c r="O2671" s="572"/>
    </row>
    <row r="2672" spans="1:15" x14ac:dyDescent="0.2">
      <c r="A2672" s="342"/>
      <c r="B2672" s="342"/>
      <c r="C2672" s="342"/>
      <c r="D2672" s="342"/>
      <c r="E2672" s="342"/>
      <c r="F2672" s="342"/>
      <c r="G2672" s="342"/>
      <c r="H2672" s="342"/>
      <c r="I2672" s="342"/>
      <c r="J2672" s="342"/>
      <c r="K2672" s="342"/>
      <c r="M2672" s="342"/>
      <c r="N2672" s="342"/>
      <c r="O2672" s="342"/>
    </row>
    <row r="2673" spans="1:15" x14ac:dyDescent="0.2">
      <c r="A2673" s="342"/>
      <c r="B2673" s="342"/>
      <c r="C2673" s="342"/>
      <c r="D2673" s="342"/>
      <c r="E2673" s="342"/>
      <c r="F2673" s="342"/>
      <c r="G2673" s="342"/>
      <c r="H2673" s="342"/>
      <c r="I2673" s="342"/>
      <c r="J2673" s="342"/>
      <c r="K2673" s="342"/>
      <c r="M2673" s="342"/>
      <c r="N2673" s="342"/>
      <c r="O2673" s="342"/>
    </row>
    <row r="2674" spans="1:15" x14ac:dyDescent="0.2">
      <c r="A2674" s="342"/>
      <c r="B2674" s="342"/>
      <c r="C2674" s="342"/>
      <c r="D2674" s="342"/>
      <c r="E2674" s="342"/>
      <c r="F2674" s="342"/>
      <c r="G2674" s="342"/>
      <c r="H2674" s="342"/>
      <c r="I2674" s="342"/>
      <c r="J2674" s="342"/>
      <c r="K2674" s="342"/>
      <c r="M2674" s="342"/>
      <c r="N2674" s="342"/>
      <c r="O2674" s="342"/>
    </row>
    <row r="2675" spans="1:15" x14ac:dyDescent="0.2">
      <c r="A2675" s="342"/>
      <c r="B2675" s="342"/>
      <c r="C2675" s="342"/>
      <c r="D2675" s="342"/>
      <c r="E2675" s="342"/>
      <c r="F2675" s="342"/>
      <c r="G2675" s="342"/>
      <c r="H2675" s="342"/>
      <c r="I2675" s="342"/>
      <c r="J2675" s="342"/>
      <c r="K2675" s="342"/>
      <c r="M2675" s="342"/>
      <c r="N2675" s="342"/>
      <c r="O2675" s="342"/>
    </row>
    <row r="2676" spans="1:15" x14ac:dyDescent="0.2">
      <c r="A2676" s="342"/>
      <c r="B2676" s="342"/>
      <c r="C2676" s="342"/>
      <c r="D2676" s="342"/>
      <c r="E2676" s="342"/>
      <c r="F2676" s="342"/>
      <c r="G2676" s="342"/>
      <c r="H2676" s="342"/>
      <c r="I2676" s="342"/>
      <c r="J2676" s="342"/>
      <c r="K2676" s="342"/>
      <c r="M2676" s="342"/>
      <c r="N2676" s="342"/>
      <c r="O2676" s="342"/>
    </row>
    <row r="2677" spans="1:15" x14ac:dyDescent="0.2">
      <c r="A2677" s="342"/>
      <c r="B2677" s="342"/>
      <c r="C2677" s="342"/>
      <c r="D2677" s="342"/>
      <c r="E2677" s="342"/>
      <c r="F2677" s="342"/>
      <c r="G2677" s="342"/>
      <c r="H2677" s="342"/>
      <c r="I2677" s="342"/>
      <c r="J2677" s="342"/>
      <c r="K2677" s="342"/>
      <c r="M2677" s="328"/>
      <c r="N2677" s="328"/>
      <c r="O2677" s="328"/>
    </row>
    <row r="2678" spans="1:15" x14ac:dyDescent="0.2">
      <c r="A2678" s="342"/>
      <c r="B2678" s="342"/>
      <c r="C2678" s="342"/>
      <c r="D2678" s="342"/>
      <c r="E2678" s="342"/>
      <c r="F2678" s="342"/>
      <c r="G2678" s="342"/>
      <c r="H2678" s="342"/>
      <c r="I2678" s="342"/>
      <c r="J2678" s="342"/>
      <c r="K2678" s="342"/>
      <c r="M2678" s="328"/>
      <c r="N2678" s="328"/>
      <c r="O2678" s="328"/>
    </row>
    <row r="2679" spans="1:15" x14ac:dyDescent="0.2">
      <c r="A2679" s="342"/>
      <c r="B2679" s="342"/>
      <c r="C2679" s="342"/>
      <c r="D2679" s="342"/>
      <c r="E2679" s="342"/>
      <c r="F2679" s="342"/>
      <c r="G2679" s="342"/>
      <c r="H2679" s="342"/>
      <c r="I2679" s="342"/>
      <c r="J2679" s="342"/>
      <c r="K2679" s="342"/>
      <c r="M2679" s="328"/>
      <c r="N2679" s="328"/>
      <c r="O2679" s="328"/>
    </row>
    <row r="2680" spans="1:15" x14ac:dyDescent="0.2">
      <c r="A2680" s="342"/>
      <c r="B2680" s="342"/>
      <c r="C2680" s="342"/>
      <c r="D2680" s="342"/>
      <c r="E2680" s="342"/>
      <c r="F2680" s="342"/>
      <c r="G2680" s="342"/>
      <c r="H2680" s="342"/>
      <c r="I2680" s="342"/>
      <c r="J2680" s="342"/>
      <c r="K2680" s="342"/>
      <c r="M2680" s="328"/>
      <c r="N2680" s="328"/>
      <c r="O2680" s="328"/>
    </row>
    <row r="2681" spans="1:15" x14ac:dyDescent="0.2">
      <c r="A2681" s="342"/>
      <c r="B2681" s="342"/>
      <c r="C2681" s="342"/>
      <c r="D2681" s="342"/>
      <c r="E2681" s="342"/>
      <c r="F2681" s="342"/>
      <c r="G2681" s="342"/>
      <c r="H2681" s="342"/>
      <c r="I2681" s="342"/>
      <c r="J2681" s="342"/>
      <c r="K2681" s="342"/>
      <c r="M2681" s="328"/>
      <c r="N2681" s="328"/>
      <c r="O2681" s="328"/>
    </row>
    <row r="2682" spans="1:15" x14ac:dyDescent="0.2">
      <c r="A2682" s="342"/>
      <c r="B2682" s="342"/>
      <c r="C2682" s="342"/>
      <c r="D2682" s="342"/>
      <c r="E2682" s="342"/>
      <c r="F2682" s="342"/>
      <c r="G2682" s="342"/>
      <c r="H2682" s="342"/>
      <c r="I2682" s="342"/>
      <c r="J2682" s="342"/>
      <c r="K2682" s="342"/>
      <c r="M2682" s="341"/>
      <c r="N2682" s="341"/>
      <c r="O2682" s="341"/>
    </row>
    <row r="2683" spans="1:15" x14ac:dyDescent="0.2">
      <c r="A2683" s="342"/>
      <c r="B2683" s="342"/>
      <c r="C2683" s="342"/>
      <c r="D2683" s="342"/>
      <c r="E2683" s="342"/>
      <c r="F2683" s="342"/>
      <c r="G2683" s="342"/>
      <c r="H2683" s="342"/>
      <c r="I2683" s="342"/>
      <c r="J2683" s="342"/>
      <c r="K2683" s="342"/>
      <c r="M2683" s="341"/>
      <c r="N2683" s="341"/>
      <c r="O2683" s="341"/>
    </row>
    <row r="2684" spans="1:15" x14ac:dyDescent="0.2">
      <c r="A2684" s="342"/>
      <c r="B2684" s="342"/>
      <c r="C2684" s="342"/>
      <c r="D2684" s="342"/>
      <c r="E2684" s="342"/>
      <c r="F2684" s="342"/>
      <c r="G2684" s="342"/>
      <c r="H2684" s="342"/>
      <c r="I2684" s="342"/>
      <c r="J2684" s="342"/>
      <c r="K2684" s="342"/>
      <c r="M2684" s="341"/>
      <c r="N2684" s="341"/>
      <c r="O2684" s="341"/>
    </row>
    <row r="2685" spans="1:15" x14ac:dyDescent="0.2">
      <c r="A2685" s="342"/>
      <c r="B2685" s="342"/>
      <c r="C2685" s="342"/>
      <c r="D2685" s="342"/>
      <c r="E2685" s="342"/>
      <c r="F2685" s="342"/>
      <c r="G2685" s="342"/>
      <c r="H2685" s="342"/>
      <c r="I2685" s="342"/>
      <c r="J2685" s="342"/>
      <c r="K2685" s="342"/>
      <c r="M2685" s="342"/>
      <c r="N2685" s="342"/>
      <c r="O2685" s="342"/>
    </row>
    <row r="2686" spans="1:15" x14ac:dyDescent="0.2">
      <c r="A2686" s="342"/>
      <c r="B2686" s="342"/>
      <c r="C2686" s="342"/>
      <c r="D2686" s="342"/>
      <c r="E2686" s="342"/>
      <c r="F2686" s="342"/>
      <c r="G2686" s="342"/>
      <c r="H2686" s="342"/>
      <c r="I2686" s="342"/>
      <c r="J2686" s="342"/>
      <c r="K2686" s="342"/>
      <c r="M2686" s="342"/>
      <c r="N2686" s="342"/>
      <c r="O2686" s="342"/>
    </row>
    <row r="2687" spans="1:15" x14ac:dyDescent="0.2">
      <c r="A2687" s="342"/>
      <c r="B2687" s="342"/>
      <c r="C2687" s="342"/>
      <c r="D2687" s="342"/>
      <c r="E2687" s="342"/>
      <c r="F2687" s="342"/>
      <c r="G2687" s="342"/>
      <c r="H2687" s="342"/>
      <c r="I2687" s="342"/>
      <c r="J2687" s="342"/>
      <c r="K2687" s="342"/>
      <c r="M2687" s="342"/>
      <c r="N2687" s="342"/>
      <c r="O2687" s="342"/>
    </row>
    <row r="2688" spans="1:15" x14ac:dyDescent="0.2">
      <c r="A2688" s="342"/>
      <c r="B2688" s="342"/>
      <c r="C2688" s="342"/>
      <c r="D2688" s="342"/>
      <c r="E2688" s="342"/>
      <c r="F2688" s="342"/>
      <c r="G2688" s="342"/>
      <c r="H2688" s="342"/>
      <c r="I2688" s="342"/>
      <c r="J2688" s="342"/>
      <c r="K2688" s="342"/>
      <c r="M2688" s="342"/>
      <c r="N2688" s="342"/>
      <c r="O2688" s="342"/>
    </row>
  </sheetData>
  <mergeCells count="2653">
    <mergeCell ref="A598:K598"/>
    <mergeCell ref="B599:M599"/>
    <mergeCell ref="B600:M600"/>
    <mergeCell ref="A601:O601"/>
    <mergeCell ref="A602:C602"/>
    <mergeCell ref="A603:C603"/>
    <mergeCell ref="A604:K604"/>
    <mergeCell ref="A1466:C1466"/>
    <mergeCell ref="A1467:C1467"/>
    <mergeCell ref="A1468:K1468"/>
    <mergeCell ref="A75:C75"/>
    <mergeCell ref="A77:C77"/>
    <mergeCell ref="A76:C76"/>
    <mergeCell ref="B2651:M2651"/>
    <mergeCell ref="B2652:M2652"/>
    <mergeCell ref="A2653:O2653"/>
    <mergeCell ref="A2654:C2654"/>
    <mergeCell ref="A114:C114"/>
    <mergeCell ref="A115:C115"/>
    <mergeCell ref="A116:C116"/>
    <mergeCell ref="A117:C117"/>
    <mergeCell ref="A118:C118"/>
    <mergeCell ref="A119:C119"/>
    <mergeCell ref="A124:C124"/>
    <mergeCell ref="A355:C355"/>
    <mergeCell ref="A356:C356"/>
    <mergeCell ref="A357:C357"/>
    <mergeCell ref="A358:C358"/>
    <mergeCell ref="A359:C359"/>
    <mergeCell ref="A360:C360"/>
    <mergeCell ref="A310:K310"/>
    <mergeCell ref="B311:M311"/>
    <mergeCell ref="A2655:C2655"/>
    <mergeCell ref="A2656:C2656"/>
    <mergeCell ref="A2657:C2657"/>
    <mergeCell ref="A2658:C2658"/>
    <mergeCell ref="A2659:C2659"/>
    <mergeCell ref="A2660:K2660"/>
    <mergeCell ref="A2485:O2485"/>
    <mergeCell ref="A2486:C2486"/>
    <mergeCell ref="A2489:K2489"/>
    <mergeCell ref="B2490:O2490"/>
    <mergeCell ref="B2491:M2491"/>
    <mergeCell ref="B2492:M2492"/>
    <mergeCell ref="A2493:O2493"/>
    <mergeCell ref="A2500:C2500"/>
    <mergeCell ref="A2501:C2501"/>
    <mergeCell ref="A2502:C2502"/>
    <mergeCell ref="A2503:C2503"/>
    <mergeCell ref="A2504:C2504"/>
    <mergeCell ref="A2505:C2505"/>
    <mergeCell ref="A2512:C2512"/>
    <mergeCell ref="A2513:C2513"/>
    <mergeCell ref="A2487:C2487"/>
    <mergeCell ref="A2488:C2488"/>
    <mergeCell ref="A2529:C2529"/>
    <mergeCell ref="A2530:C2530"/>
    <mergeCell ref="A2531:C2531"/>
    <mergeCell ref="A2532:C2532"/>
    <mergeCell ref="A2533:C2533"/>
    <mergeCell ref="A2534:C2534"/>
    <mergeCell ref="A2535:C2535"/>
    <mergeCell ref="A2536:C2536"/>
    <mergeCell ref="A2537:C2537"/>
    <mergeCell ref="B312:M312"/>
    <mergeCell ref="A313:O313"/>
    <mergeCell ref="A109:C109"/>
    <mergeCell ref="A110:C110"/>
    <mergeCell ref="A111:C111"/>
    <mergeCell ref="A112:C112"/>
    <mergeCell ref="A130:C130"/>
    <mergeCell ref="A131:C131"/>
    <mergeCell ref="A301:C301"/>
    <mergeCell ref="A302:C302"/>
    <mergeCell ref="A303:C303"/>
    <mergeCell ref="A304:C304"/>
    <mergeCell ref="A293:C293"/>
    <mergeCell ref="A296:C296"/>
    <mergeCell ref="A297:C297"/>
    <mergeCell ref="A298:C298"/>
    <mergeCell ref="A299:C299"/>
    <mergeCell ref="A300:C300"/>
    <mergeCell ref="A294:C294"/>
    <mergeCell ref="A295:C295"/>
    <mergeCell ref="A193:C193"/>
    <mergeCell ref="A252:C252"/>
    <mergeCell ref="A268:C268"/>
    <mergeCell ref="A265:C265"/>
    <mergeCell ref="A266:C266"/>
    <mergeCell ref="A267:C267"/>
    <mergeCell ref="B285:M285"/>
    <mergeCell ref="A286:O286"/>
    <mergeCell ref="A287:C287"/>
    <mergeCell ref="A288:C288"/>
    <mergeCell ref="A174:O174"/>
    <mergeCell ref="A175:C175"/>
    <mergeCell ref="A314:C314"/>
    <mergeCell ref="A315:C315"/>
    <mergeCell ref="A289:C289"/>
    <mergeCell ref="A308:C308"/>
    <mergeCell ref="A305:C305"/>
    <mergeCell ref="A306:C306"/>
    <mergeCell ref="A307:C307"/>
    <mergeCell ref="A269:K269"/>
    <mergeCell ref="A309:C309"/>
    <mergeCell ref="A290:C290"/>
    <mergeCell ref="A291:C291"/>
    <mergeCell ref="A292:C292"/>
    <mergeCell ref="A280:C280"/>
    <mergeCell ref="A281:C281"/>
    <mergeCell ref="A194:C194"/>
    <mergeCell ref="A195:C195"/>
    <mergeCell ref="A196:C196"/>
    <mergeCell ref="A219:C219"/>
    <mergeCell ref="A203:C203"/>
    <mergeCell ref="A204:C204"/>
    <mergeCell ref="A282:K282"/>
    <mergeCell ref="B270:M270"/>
    <mergeCell ref="B271:M271"/>
    <mergeCell ref="A272:O272"/>
    <mergeCell ref="A273:C273"/>
    <mergeCell ref="A261:C261"/>
    <mergeCell ref="A262:C262"/>
    <mergeCell ref="A259:C259"/>
    <mergeCell ref="A260:C260"/>
    <mergeCell ref="A223:C223"/>
    <mergeCell ref="A250:C250"/>
    <mergeCell ref="A237:C237"/>
    <mergeCell ref="A331:C331"/>
    <mergeCell ref="A332:C332"/>
    <mergeCell ref="A333:C333"/>
    <mergeCell ref="A334:C334"/>
    <mergeCell ref="A335:C335"/>
    <mergeCell ref="A336:C336"/>
    <mergeCell ref="A348:C348"/>
    <mergeCell ref="A349:C349"/>
    <mergeCell ref="A350:C350"/>
    <mergeCell ref="A351:C351"/>
    <mergeCell ref="A352:C352"/>
    <mergeCell ref="A353:C353"/>
    <mergeCell ref="A354:C354"/>
    <mergeCell ref="A345:C345"/>
    <mergeCell ref="A346:C346"/>
    <mergeCell ref="A132:C132"/>
    <mergeCell ref="A133:C133"/>
    <mergeCell ref="A134:C134"/>
    <mergeCell ref="A135:C135"/>
    <mergeCell ref="A136:C136"/>
    <mergeCell ref="A137:C137"/>
    <mergeCell ref="A138:C138"/>
    <mergeCell ref="A139:C139"/>
    <mergeCell ref="A140:C140"/>
    <mergeCell ref="A141:C141"/>
    <mergeCell ref="A347:C347"/>
    <mergeCell ref="A231:C231"/>
    <mergeCell ref="A232:C232"/>
    <mergeCell ref="A244:C244"/>
    <mergeCell ref="A245:C245"/>
    <mergeCell ref="A209:C209"/>
    <mergeCell ref="A210:C210"/>
    <mergeCell ref="A176:C176"/>
    <mergeCell ref="A187:C187"/>
    <mergeCell ref="A188:K188"/>
    <mergeCell ref="B365:M365"/>
    <mergeCell ref="B366:M366"/>
    <mergeCell ref="A367:O367"/>
    <mergeCell ref="A368:C368"/>
    <mergeCell ref="A369:C369"/>
    <mergeCell ref="A370:C370"/>
    <mergeCell ref="A371:C371"/>
    <mergeCell ref="A372:C372"/>
    <mergeCell ref="A373:K373"/>
    <mergeCell ref="A316:C316"/>
    <mergeCell ref="A317:C317"/>
    <mergeCell ref="A318:C318"/>
    <mergeCell ref="A321:C321"/>
    <mergeCell ref="A322:C322"/>
    <mergeCell ref="A323:C323"/>
    <mergeCell ref="A324:C324"/>
    <mergeCell ref="A325:C325"/>
    <mergeCell ref="A343:C343"/>
    <mergeCell ref="A344:C344"/>
    <mergeCell ref="A326:C326"/>
    <mergeCell ref="A327:C327"/>
    <mergeCell ref="A320:C320"/>
    <mergeCell ref="A337:K337"/>
    <mergeCell ref="B338:M338"/>
    <mergeCell ref="B339:M339"/>
    <mergeCell ref="A319:C319"/>
    <mergeCell ref="A328:C328"/>
    <mergeCell ref="A329:C329"/>
    <mergeCell ref="A361:C361"/>
    <mergeCell ref="A362:C362"/>
    <mergeCell ref="A363:C363"/>
    <mergeCell ref="A330:C330"/>
    <mergeCell ref="A482:C482"/>
    <mergeCell ref="A483:C483"/>
    <mergeCell ref="A491:C491"/>
    <mergeCell ref="A492:C492"/>
    <mergeCell ref="A540:C540"/>
    <mergeCell ref="A541:C541"/>
    <mergeCell ref="A542:C542"/>
    <mergeCell ref="A543:C543"/>
    <mergeCell ref="A544:C544"/>
    <mergeCell ref="A545:C545"/>
    <mergeCell ref="A546:C546"/>
    <mergeCell ref="A551:C551"/>
    <mergeCell ref="A457:C457"/>
    <mergeCell ref="A458:C458"/>
    <mergeCell ref="A459:C459"/>
    <mergeCell ref="A488:C488"/>
    <mergeCell ref="A489:C489"/>
    <mergeCell ref="A490:C490"/>
    <mergeCell ref="A460:C460"/>
    <mergeCell ref="A461:C461"/>
    <mergeCell ref="A462:C462"/>
    <mergeCell ref="A463:C463"/>
    <mergeCell ref="A464:C464"/>
    <mergeCell ref="A465:C465"/>
    <mergeCell ref="A466:C466"/>
    <mergeCell ref="A467:C467"/>
    <mergeCell ref="A468:C468"/>
    <mergeCell ref="A469:C469"/>
    <mergeCell ref="A470:C470"/>
    <mergeCell ref="A554:C554"/>
    <mergeCell ref="A547:C547"/>
    <mergeCell ref="A550:C550"/>
    <mergeCell ref="A548:C548"/>
    <mergeCell ref="A549:C549"/>
    <mergeCell ref="A552:C552"/>
    <mergeCell ref="A553:C553"/>
    <mergeCell ref="A516:C516"/>
    <mergeCell ref="A517:C517"/>
    <mergeCell ref="A520:C520"/>
    <mergeCell ref="A521:C521"/>
    <mergeCell ref="A524:C524"/>
    <mergeCell ref="A518:C518"/>
    <mergeCell ref="A519:C519"/>
    <mergeCell ref="A530:C530"/>
    <mergeCell ref="A531:C531"/>
    <mergeCell ref="A532:C532"/>
    <mergeCell ref="A533:C533"/>
    <mergeCell ref="A534:C534"/>
    <mergeCell ref="A522:C522"/>
    <mergeCell ref="A523:C523"/>
    <mergeCell ref="A535:K535"/>
    <mergeCell ref="B536:M536"/>
    <mergeCell ref="B537:M537"/>
    <mergeCell ref="A538:O538"/>
    <mergeCell ref="A539:C539"/>
    <mergeCell ref="A424:C424"/>
    <mergeCell ref="A442:C442"/>
    <mergeCell ref="A443:C443"/>
    <mergeCell ref="A471:C471"/>
    <mergeCell ref="A472:C472"/>
    <mergeCell ref="A473:C473"/>
    <mergeCell ref="A474:C474"/>
    <mergeCell ref="A475:C475"/>
    <mergeCell ref="A484:C484"/>
    <mergeCell ref="A485:C485"/>
    <mergeCell ref="A486:C486"/>
    <mergeCell ref="A487:C487"/>
    <mergeCell ref="A476:C476"/>
    <mergeCell ref="A477:C477"/>
    <mergeCell ref="A478:C478"/>
    <mergeCell ref="A479:C479"/>
    <mergeCell ref="A480:C480"/>
    <mergeCell ref="A481:C481"/>
    <mergeCell ref="A454:C454"/>
    <mergeCell ref="A455:C455"/>
    <mergeCell ref="A456:C456"/>
    <mergeCell ref="A444:C444"/>
    <mergeCell ref="A449:C449"/>
    <mergeCell ref="A452:C452"/>
    <mergeCell ref="A453:C453"/>
    <mergeCell ref="A1595:C1595"/>
    <mergeCell ref="A1600:C1600"/>
    <mergeCell ref="A416:C416"/>
    <mergeCell ref="A417:C417"/>
    <mergeCell ref="A418:C418"/>
    <mergeCell ref="A419:C419"/>
    <mergeCell ref="A420:C420"/>
    <mergeCell ref="A421:C421"/>
    <mergeCell ref="A422:C422"/>
    <mergeCell ref="A423:C423"/>
    <mergeCell ref="A439:C439"/>
    <mergeCell ref="A440:C440"/>
    <mergeCell ref="A445:C445"/>
    <mergeCell ref="A446:C446"/>
    <mergeCell ref="A447:C447"/>
    <mergeCell ref="A450:C450"/>
    <mergeCell ref="A451:C451"/>
    <mergeCell ref="A425:C425"/>
    <mergeCell ref="A426:C426"/>
    <mergeCell ref="A427:C427"/>
    <mergeCell ref="A428:C428"/>
    <mergeCell ref="A429:C429"/>
    <mergeCell ref="A430:C430"/>
    <mergeCell ref="A431:C431"/>
    <mergeCell ref="A432:C432"/>
    <mergeCell ref="A434:C434"/>
    <mergeCell ref="A435:C435"/>
    <mergeCell ref="A436:C436"/>
    <mergeCell ref="A437:C437"/>
    <mergeCell ref="A438:C438"/>
    <mergeCell ref="A433:C433"/>
    <mergeCell ref="A441:C441"/>
    <mergeCell ref="A1937:C1937"/>
    <mergeCell ref="A1903:C1903"/>
    <mergeCell ref="A1904:C1904"/>
    <mergeCell ref="A1905:C1905"/>
    <mergeCell ref="A1906:C1906"/>
    <mergeCell ref="A1907:C1907"/>
    <mergeCell ref="A1908:C1908"/>
    <mergeCell ref="A1909:C1909"/>
    <mergeCell ref="A1910:C1910"/>
    <mergeCell ref="A1911:C1911"/>
    <mergeCell ref="A1924:K1924"/>
    <mergeCell ref="B1925:M1925"/>
    <mergeCell ref="B1926:M1926"/>
    <mergeCell ref="A1927:O1927"/>
    <mergeCell ref="B1618:M1618"/>
    <mergeCell ref="A1635:K1635"/>
    <mergeCell ref="B1603:M1603"/>
    <mergeCell ref="B1604:M1604"/>
    <mergeCell ref="A1647:C1647"/>
    <mergeCell ref="A1648:K1648"/>
    <mergeCell ref="A1654:C1654"/>
    <mergeCell ref="A1655:C1655"/>
    <mergeCell ref="A1657:C1657"/>
    <mergeCell ref="A1658:C1658"/>
    <mergeCell ref="A1659:C1659"/>
    <mergeCell ref="A1627:C1627"/>
    <mergeCell ref="A1656:C1656"/>
    <mergeCell ref="A1608:C1608"/>
    <mergeCell ref="A1609:C1609"/>
    <mergeCell ref="A1611:C1611"/>
    <mergeCell ref="A1612:C1612"/>
    <mergeCell ref="A1613:C1613"/>
    <mergeCell ref="A560:C560"/>
    <mergeCell ref="A567:C567"/>
    <mergeCell ref="A561:C561"/>
    <mergeCell ref="A564:C564"/>
    <mergeCell ref="A565:C565"/>
    <mergeCell ref="A566:C566"/>
    <mergeCell ref="A562:C562"/>
    <mergeCell ref="A563:C563"/>
    <mergeCell ref="A1755:C1755"/>
    <mergeCell ref="A1756:C1756"/>
    <mergeCell ref="A1757:C1757"/>
    <mergeCell ref="A1758:C1758"/>
    <mergeCell ref="A1759:C1759"/>
    <mergeCell ref="A1928:C1928"/>
    <mergeCell ref="A1957:C1957"/>
    <mergeCell ref="A1914:C1914"/>
    <mergeCell ref="A1941:C1941"/>
    <mergeCell ref="A1942:C1942"/>
    <mergeCell ref="A1943:C1943"/>
    <mergeCell ref="A1944:C1944"/>
    <mergeCell ref="A1922:C1922"/>
    <mergeCell ref="A1923:C1923"/>
    <mergeCell ref="A1901:C1901"/>
    <mergeCell ref="A1902:C1902"/>
    <mergeCell ref="A902:C902"/>
    <mergeCell ref="A897:K897"/>
    <mergeCell ref="A572:K572"/>
    <mergeCell ref="B574:O574"/>
    <mergeCell ref="A782:C782"/>
    <mergeCell ref="B759:M759"/>
    <mergeCell ref="B760:M760"/>
    <mergeCell ref="A761:O761"/>
    <mergeCell ref="A762:C762"/>
    <mergeCell ref="B556:M556"/>
    <mergeCell ref="B557:M557"/>
    <mergeCell ref="A558:O558"/>
    <mergeCell ref="A559:C559"/>
    <mergeCell ref="A939:K939"/>
    <mergeCell ref="B935:M935"/>
    <mergeCell ref="A938:C938"/>
    <mergeCell ref="A933:K933"/>
    <mergeCell ref="B934:M934"/>
    <mergeCell ref="A936:O936"/>
    <mergeCell ref="A926:C926"/>
    <mergeCell ref="A921:K921"/>
    <mergeCell ref="B922:M922"/>
    <mergeCell ref="A900:O900"/>
    <mergeCell ref="A901:C901"/>
    <mergeCell ref="A903:K903"/>
    <mergeCell ref="A746:K746"/>
    <mergeCell ref="B747:M747"/>
    <mergeCell ref="A839:C839"/>
    <mergeCell ref="A840:C840"/>
    <mergeCell ref="A841:K841"/>
    <mergeCell ref="B851:M851"/>
    <mergeCell ref="A852:O852"/>
    <mergeCell ref="A853:C853"/>
    <mergeCell ref="A854:C854"/>
    <mergeCell ref="A849:K849"/>
    <mergeCell ref="B850:M850"/>
    <mergeCell ref="A818:O818"/>
    <mergeCell ref="A855:K855"/>
    <mergeCell ref="B856:M856"/>
    <mergeCell ref="A819:C819"/>
    <mergeCell ref="A2554:C2554"/>
    <mergeCell ref="A2555:C2555"/>
    <mergeCell ref="A2556:C2556"/>
    <mergeCell ref="A2557:C2557"/>
    <mergeCell ref="A2558:C2558"/>
    <mergeCell ref="A2559:C2559"/>
    <mergeCell ref="A763:C763"/>
    <mergeCell ref="A870:O870"/>
    <mergeCell ref="A871:C871"/>
    <mergeCell ref="A872:C872"/>
    <mergeCell ref="A867:K867"/>
    <mergeCell ref="B868:M868"/>
    <mergeCell ref="B869:M869"/>
    <mergeCell ref="B843:O843"/>
    <mergeCell ref="B844:M844"/>
    <mergeCell ref="B845:M845"/>
    <mergeCell ref="A846:O846"/>
    <mergeCell ref="A847:C847"/>
    <mergeCell ref="A848:C848"/>
    <mergeCell ref="B842:O842"/>
    <mergeCell ref="B837:M837"/>
    <mergeCell ref="A838:O838"/>
    <mergeCell ref="A1584:C1584"/>
    <mergeCell ref="A1967:C1967"/>
    <mergeCell ref="A1929:C1929"/>
    <mergeCell ref="A1930:C1930"/>
    <mergeCell ref="A1931:C1931"/>
    <mergeCell ref="A1932:C1932"/>
    <mergeCell ref="A1933:C1933"/>
    <mergeCell ref="A1934:C1934"/>
    <mergeCell ref="A1935:C1935"/>
    <mergeCell ref="A1936:C1936"/>
    <mergeCell ref="A2671:O2671"/>
    <mergeCell ref="B61:M61"/>
    <mergeCell ref="B62:M62"/>
    <mergeCell ref="A63:O63"/>
    <mergeCell ref="A64:C64"/>
    <mergeCell ref="A68:C68"/>
    <mergeCell ref="A69:K69"/>
    <mergeCell ref="B149:M149"/>
    <mergeCell ref="B150:M150"/>
    <mergeCell ref="A151:O151"/>
    <mergeCell ref="B928:M928"/>
    <mergeCell ref="B929:M929"/>
    <mergeCell ref="A930:O930"/>
    <mergeCell ref="A931:C931"/>
    <mergeCell ref="A932:C932"/>
    <mergeCell ref="B916:M916"/>
    <mergeCell ref="B917:M917"/>
    <mergeCell ref="A918:O918"/>
    <mergeCell ref="A919:C919"/>
    <mergeCell ref="A920:C920"/>
    <mergeCell ref="A915:K915"/>
    <mergeCell ref="A937:C937"/>
    <mergeCell ref="A927:K927"/>
    <mergeCell ref="A448:C448"/>
    <mergeCell ref="A555:K555"/>
    <mergeCell ref="B923:M923"/>
    <mergeCell ref="A924:O924"/>
    <mergeCell ref="A783:K783"/>
    <mergeCell ref="B772:M772"/>
    <mergeCell ref="B773:M773"/>
    <mergeCell ref="A774:O774"/>
    <mergeCell ref="A2570:C2570"/>
    <mergeCell ref="A925:C925"/>
    <mergeCell ref="B898:M898"/>
    <mergeCell ref="B899:M899"/>
    <mergeCell ref="A913:C913"/>
    <mergeCell ref="A914:C914"/>
    <mergeCell ref="A909:K909"/>
    <mergeCell ref="B910:M910"/>
    <mergeCell ref="B911:M911"/>
    <mergeCell ref="A912:O912"/>
    <mergeCell ref="B904:M904"/>
    <mergeCell ref="B905:M905"/>
    <mergeCell ref="A906:O906"/>
    <mergeCell ref="A907:C907"/>
    <mergeCell ref="A908:C908"/>
    <mergeCell ref="A884:C884"/>
    <mergeCell ref="A885:K885"/>
    <mergeCell ref="B886:M886"/>
    <mergeCell ref="B887:M887"/>
    <mergeCell ref="A888:O888"/>
    <mergeCell ref="B880:M880"/>
    <mergeCell ref="B881:M881"/>
    <mergeCell ref="A882:O882"/>
    <mergeCell ref="A883:C883"/>
    <mergeCell ref="A894:O894"/>
    <mergeCell ref="A895:C895"/>
    <mergeCell ref="A896:C896"/>
    <mergeCell ref="A889:C889"/>
    <mergeCell ref="A891:K891"/>
    <mergeCell ref="B892:M892"/>
    <mergeCell ref="B893:M893"/>
    <mergeCell ref="A890:C890"/>
    <mergeCell ref="A876:O876"/>
    <mergeCell ref="A877:C877"/>
    <mergeCell ref="B857:M857"/>
    <mergeCell ref="A858:O858"/>
    <mergeCell ref="A859:C859"/>
    <mergeCell ref="A860:C860"/>
    <mergeCell ref="A865:C865"/>
    <mergeCell ref="A866:C866"/>
    <mergeCell ref="A861:K861"/>
    <mergeCell ref="B862:M862"/>
    <mergeCell ref="B863:M863"/>
    <mergeCell ref="A864:O864"/>
    <mergeCell ref="A878:C878"/>
    <mergeCell ref="A879:K879"/>
    <mergeCell ref="A873:K873"/>
    <mergeCell ref="B874:M874"/>
    <mergeCell ref="B875:M875"/>
    <mergeCell ref="A821:K821"/>
    <mergeCell ref="B823:M823"/>
    <mergeCell ref="B824:M824"/>
    <mergeCell ref="B822:O822"/>
    <mergeCell ref="B815:O815"/>
    <mergeCell ref="B816:M816"/>
    <mergeCell ref="B817:M817"/>
    <mergeCell ref="B831:M831"/>
    <mergeCell ref="A832:O832"/>
    <mergeCell ref="A833:C833"/>
    <mergeCell ref="A834:C834"/>
    <mergeCell ref="A835:K835"/>
    <mergeCell ref="B836:M836"/>
    <mergeCell ref="A825:O825"/>
    <mergeCell ref="A826:C826"/>
    <mergeCell ref="A827:C827"/>
    <mergeCell ref="A828:K828"/>
    <mergeCell ref="B829:O829"/>
    <mergeCell ref="B830:M830"/>
    <mergeCell ref="A820:C820"/>
    <mergeCell ref="A811:C811"/>
    <mergeCell ref="A812:C812"/>
    <mergeCell ref="A813:K813"/>
    <mergeCell ref="B808:M808"/>
    <mergeCell ref="B809:M809"/>
    <mergeCell ref="A810:O810"/>
    <mergeCell ref="B814:O814"/>
    <mergeCell ref="A794:C794"/>
    <mergeCell ref="A795:K795"/>
    <mergeCell ref="B796:M796"/>
    <mergeCell ref="B797:M797"/>
    <mergeCell ref="A798:O798"/>
    <mergeCell ref="A799:C799"/>
    <mergeCell ref="A788:C788"/>
    <mergeCell ref="A789:K789"/>
    <mergeCell ref="B790:M790"/>
    <mergeCell ref="B791:M791"/>
    <mergeCell ref="A792:O792"/>
    <mergeCell ref="A793:C793"/>
    <mergeCell ref="A804:O804"/>
    <mergeCell ref="A805:C805"/>
    <mergeCell ref="A806:C806"/>
    <mergeCell ref="A807:K807"/>
    <mergeCell ref="A800:C800"/>
    <mergeCell ref="A801:K801"/>
    <mergeCell ref="B802:M802"/>
    <mergeCell ref="B803:M803"/>
    <mergeCell ref="A764:K764"/>
    <mergeCell ref="B766:M766"/>
    <mergeCell ref="B767:M767"/>
    <mergeCell ref="A768:O768"/>
    <mergeCell ref="A769:C769"/>
    <mergeCell ref="B784:M784"/>
    <mergeCell ref="B785:M785"/>
    <mergeCell ref="A786:O786"/>
    <mergeCell ref="A787:C787"/>
    <mergeCell ref="A776:C776"/>
    <mergeCell ref="A777:K777"/>
    <mergeCell ref="B778:M778"/>
    <mergeCell ref="B779:M779"/>
    <mergeCell ref="A780:O780"/>
    <mergeCell ref="A781:C781"/>
    <mergeCell ref="A770:C770"/>
    <mergeCell ref="A771:K771"/>
    <mergeCell ref="A775:C775"/>
    <mergeCell ref="B765:O765"/>
    <mergeCell ref="B742:M742"/>
    <mergeCell ref="A743:O743"/>
    <mergeCell ref="A744:C744"/>
    <mergeCell ref="A745:C745"/>
    <mergeCell ref="A752:K752"/>
    <mergeCell ref="B753:M753"/>
    <mergeCell ref="B748:M748"/>
    <mergeCell ref="A749:O749"/>
    <mergeCell ref="A750:C750"/>
    <mergeCell ref="A751:C751"/>
    <mergeCell ref="A758:K758"/>
    <mergeCell ref="B754:M754"/>
    <mergeCell ref="A755:O755"/>
    <mergeCell ref="A756:C756"/>
    <mergeCell ref="A757:C757"/>
    <mergeCell ref="B716:M716"/>
    <mergeCell ref="B717:M717"/>
    <mergeCell ref="A718:O718"/>
    <mergeCell ref="A719:C719"/>
    <mergeCell ref="A720:C720"/>
    <mergeCell ref="A732:C732"/>
    <mergeCell ref="A733:K733"/>
    <mergeCell ref="B740:O740"/>
    <mergeCell ref="A714:C714"/>
    <mergeCell ref="A715:K715"/>
    <mergeCell ref="A724:O724"/>
    <mergeCell ref="A725:C725"/>
    <mergeCell ref="A726:C726"/>
    <mergeCell ref="A721:K721"/>
    <mergeCell ref="B722:M722"/>
    <mergeCell ref="B723:M723"/>
    <mergeCell ref="A739:K739"/>
    <mergeCell ref="B741:M741"/>
    <mergeCell ref="A738:C738"/>
    <mergeCell ref="A727:K727"/>
    <mergeCell ref="B734:M734"/>
    <mergeCell ref="B735:M735"/>
    <mergeCell ref="A736:O736"/>
    <mergeCell ref="A737:C737"/>
    <mergeCell ref="B728:M728"/>
    <mergeCell ref="B729:M729"/>
    <mergeCell ref="A730:O730"/>
    <mergeCell ref="A731:C731"/>
    <mergeCell ref="B693:M693"/>
    <mergeCell ref="A694:O694"/>
    <mergeCell ref="A695:C695"/>
    <mergeCell ref="A696:C696"/>
    <mergeCell ref="A690:C690"/>
    <mergeCell ref="A691:K691"/>
    <mergeCell ref="B692:M692"/>
    <mergeCell ref="A708:C708"/>
    <mergeCell ref="A709:K709"/>
    <mergeCell ref="B710:M710"/>
    <mergeCell ref="B711:M711"/>
    <mergeCell ref="A712:O712"/>
    <mergeCell ref="A713:C713"/>
    <mergeCell ref="A697:K697"/>
    <mergeCell ref="B704:M704"/>
    <mergeCell ref="B705:M705"/>
    <mergeCell ref="A706:O706"/>
    <mergeCell ref="A707:C707"/>
    <mergeCell ref="B698:M698"/>
    <mergeCell ref="B699:M699"/>
    <mergeCell ref="A700:O700"/>
    <mergeCell ref="A701:C701"/>
    <mergeCell ref="A702:C702"/>
    <mergeCell ref="A703:K703"/>
    <mergeCell ref="B673:O673"/>
    <mergeCell ref="B680:M680"/>
    <mergeCell ref="A685:K685"/>
    <mergeCell ref="B686:M686"/>
    <mergeCell ref="B687:M687"/>
    <mergeCell ref="A688:O688"/>
    <mergeCell ref="A689:C689"/>
    <mergeCell ref="B681:M681"/>
    <mergeCell ref="A682:O682"/>
    <mergeCell ref="A683:C683"/>
    <mergeCell ref="A684:C684"/>
    <mergeCell ref="A667:C667"/>
    <mergeCell ref="A671:C671"/>
    <mergeCell ref="A672:K672"/>
    <mergeCell ref="B664:M664"/>
    <mergeCell ref="B665:M665"/>
    <mergeCell ref="A647:K647"/>
    <mergeCell ref="B648:M648"/>
    <mergeCell ref="B649:M649"/>
    <mergeCell ref="A650:O650"/>
    <mergeCell ref="A651:C651"/>
    <mergeCell ref="A656:C656"/>
    <mergeCell ref="B674:M674"/>
    <mergeCell ref="B675:M675"/>
    <mergeCell ref="A676:O676"/>
    <mergeCell ref="A677:C677"/>
    <mergeCell ref="A678:C678"/>
    <mergeCell ref="A679:K679"/>
    <mergeCell ref="A640:O640"/>
    <mergeCell ref="A641:C641"/>
    <mergeCell ref="A646:C646"/>
    <mergeCell ref="A663:K663"/>
    <mergeCell ref="A660:O660"/>
    <mergeCell ref="A661:C661"/>
    <mergeCell ref="A662:C662"/>
    <mergeCell ref="A657:K657"/>
    <mergeCell ref="B658:M658"/>
    <mergeCell ref="B659:M659"/>
    <mergeCell ref="A666:O666"/>
    <mergeCell ref="A615:C615"/>
    <mergeCell ref="A609:C609"/>
    <mergeCell ref="A614:C614"/>
    <mergeCell ref="A610:K610"/>
    <mergeCell ref="B611:M611"/>
    <mergeCell ref="B612:M612"/>
    <mergeCell ref="A613:O613"/>
    <mergeCell ref="B618:M618"/>
    <mergeCell ref="A619:O619"/>
    <mergeCell ref="A620:C620"/>
    <mergeCell ref="A626:C626"/>
    <mergeCell ref="A627:K627"/>
    <mergeCell ref="A616:K616"/>
    <mergeCell ref="B617:M617"/>
    <mergeCell ref="A637:K637"/>
    <mergeCell ref="B638:M638"/>
    <mergeCell ref="B639:M639"/>
    <mergeCell ref="B628:M628"/>
    <mergeCell ref="B629:M629"/>
    <mergeCell ref="A630:O630"/>
    <mergeCell ref="A631:C631"/>
    <mergeCell ref="A636:C636"/>
    <mergeCell ref="B582:M582"/>
    <mergeCell ref="A583:O583"/>
    <mergeCell ref="A584:C584"/>
    <mergeCell ref="A585:C585"/>
    <mergeCell ref="A580:K580"/>
    <mergeCell ref="B581:M581"/>
    <mergeCell ref="B587:M587"/>
    <mergeCell ref="B588:M588"/>
    <mergeCell ref="A589:O589"/>
    <mergeCell ref="A590:C590"/>
    <mergeCell ref="A591:C591"/>
    <mergeCell ref="A586:K586"/>
    <mergeCell ref="A592:K592"/>
    <mergeCell ref="B605:M605"/>
    <mergeCell ref="B606:M606"/>
    <mergeCell ref="A607:O607"/>
    <mergeCell ref="A608:C608"/>
    <mergeCell ref="A621:C621"/>
    <mergeCell ref="A622:C622"/>
    <mergeCell ref="A623:C623"/>
    <mergeCell ref="A624:C624"/>
    <mergeCell ref="A625:C625"/>
    <mergeCell ref="A632:C632"/>
    <mergeCell ref="A633:C633"/>
    <mergeCell ref="A634:C634"/>
    <mergeCell ref="A635:C635"/>
    <mergeCell ref="B593:M593"/>
    <mergeCell ref="B594:M594"/>
    <mergeCell ref="A595:O595"/>
    <mergeCell ref="A596:C596"/>
    <mergeCell ref="A597:C597"/>
    <mergeCell ref="B374:O374"/>
    <mergeCell ref="B375:M375"/>
    <mergeCell ref="B376:M376"/>
    <mergeCell ref="A377:O377"/>
    <mergeCell ref="A364:K364"/>
    <mergeCell ref="A340:O340"/>
    <mergeCell ref="A341:C341"/>
    <mergeCell ref="A342:C342"/>
    <mergeCell ref="A577:O577"/>
    <mergeCell ref="A578:C578"/>
    <mergeCell ref="A579:C579"/>
    <mergeCell ref="A378:C378"/>
    <mergeCell ref="A511:K511"/>
    <mergeCell ref="B573:O573"/>
    <mergeCell ref="B575:M575"/>
    <mergeCell ref="B576:M576"/>
    <mergeCell ref="B512:M512"/>
    <mergeCell ref="B513:M513"/>
    <mergeCell ref="A514:O514"/>
    <mergeCell ref="A515:C515"/>
    <mergeCell ref="A412:C412"/>
    <mergeCell ref="A525:K525"/>
    <mergeCell ref="B526:M526"/>
    <mergeCell ref="B527:M527"/>
    <mergeCell ref="A528:O528"/>
    <mergeCell ref="A529:C529"/>
    <mergeCell ref="A568:C568"/>
    <mergeCell ref="A379:C379"/>
    <mergeCell ref="A393:C393"/>
    <mergeCell ref="A413:C413"/>
    <mergeCell ref="A414:C414"/>
    <mergeCell ref="A415:C415"/>
    <mergeCell ref="A160:C160"/>
    <mergeCell ref="A161:C161"/>
    <mergeCell ref="A171:K171"/>
    <mergeCell ref="B172:M172"/>
    <mergeCell ref="B173:M173"/>
    <mergeCell ref="B283:O283"/>
    <mergeCell ref="B284:M284"/>
    <mergeCell ref="B198:O198"/>
    <mergeCell ref="B189:M189"/>
    <mergeCell ref="B190:M190"/>
    <mergeCell ref="A191:O191"/>
    <mergeCell ref="A192:C192"/>
    <mergeCell ref="A197:K197"/>
    <mergeCell ref="A162:C162"/>
    <mergeCell ref="A163:C163"/>
    <mergeCell ref="A164:C164"/>
    <mergeCell ref="A165:C165"/>
    <mergeCell ref="A166:C166"/>
    <mergeCell ref="A167:C167"/>
    <mergeCell ref="A168:C168"/>
    <mergeCell ref="A169:C169"/>
    <mergeCell ref="A170:C170"/>
    <mergeCell ref="A251:C251"/>
    <mergeCell ref="A253:C253"/>
    <mergeCell ref="A254:C254"/>
    <mergeCell ref="A256:C256"/>
    <mergeCell ref="A257:C257"/>
    <mergeCell ref="A258:C258"/>
    <mergeCell ref="A263:C263"/>
    <mergeCell ref="A221:C221"/>
    <mergeCell ref="B199:M199"/>
    <mergeCell ref="B200:M200"/>
    <mergeCell ref="A142:K142"/>
    <mergeCell ref="B143:M143"/>
    <mergeCell ref="B144:M144"/>
    <mergeCell ref="A145:O145"/>
    <mergeCell ref="A146:C146"/>
    <mergeCell ref="A147:C147"/>
    <mergeCell ref="A128:O128"/>
    <mergeCell ref="A129:C129"/>
    <mergeCell ref="A148:K148"/>
    <mergeCell ref="B155:O155"/>
    <mergeCell ref="B156:O156"/>
    <mergeCell ref="B157:M157"/>
    <mergeCell ref="B158:M158"/>
    <mergeCell ref="A159:O159"/>
    <mergeCell ref="A152:C152"/>
    <mergeCell ref="A153:C153"/>
    <mergeCell ref="A154:K154"/>
    <mergeCell ref="A86:K86"/>
    <mergeCell ref="B87:M87"/>
    <mergeCell ref="B88:M88"/>
    <mergeCell ref="A89:O89"/>
    <mergeCell ref="A85:C85"/>
    <mergeCell ref="A96:C96"/>
    <mergeCell ref="A121:C121"/>
    <mergeCell ref="A122:C122"/>
    <mergeCell ref="A125:K125"/>
    <mergeCell ref="B126:M126"/>
    <mergeCell ref="B127:M127"/>
    <mergeCell ref="A90:C90"/>
    <mergeCell ref="A91:C91"/>
    <mergeCell ref="A92:K92"/>
    <mergeCell ref="B93:M93"/>
    <mergeCell ref="B94:M94"/>
    <mergeCell ref="A95:O95"/>
    <mergeCell ref="A100:C100"/>
    <mergeCell ref="A104:C104"/>
    <mergeCell ref="A105:C105"/>
    <mergeCell ref="A106:C106"/>
    <mergeCell ref="A107:C107"/>
    <mergeCell ref="A108:C108"/>
    <mergeCell ref="A101:C101"/>
    <mergeCell ref="A102:C102"/>
    <mergeCell ref="A103:C103"/>
    <mergeCell ref="A120:C120"/>
    <mergeCell ref="A123:C123"/>
    <mergeCell ref="A97:C97"/>
    <mergeCell ref="A98:C98"/>
    <mergeCell ref="A99:C99"/>
    <mergeCell ref="A113:C113"/>
    <mergeCell ref="B47:M47"/>
    <mergeCell ref="A48:O48"/>
    <mergeCell ref="A49:C49"/>
    <mergeCell ref="A50:C50"/>
    <mergeCell ref="A42:O42"/>
    <mergeCell ref="A43:C43"/>
    <mergeCell ref="A44:C44"/>
    <mergeCell ref="A45:K45"/>
    <mergeCell ref="B46:M46"/>
    <mergeCell ref="A60:K60"/>
    <mergeCell ref="B80:O80"/>
    <mergeCell ref="B81:M81"/>
    <mergeCell ref="B82:M82"/>
    <mergeCell ref="A83:O83"/>
    <mergeCell ref="A84:C84"/>
    <mergeCell ref="A54:K54"/>
    <mergeCell ref="B55:M55"/>
    <mergeCell ref="B56:M56"/>
    <mergeCell ref="A57:O57"/>
    <mergeCell ref="A58:C58"/>
    <mergeCell ref="A59:C59"/>
    <mergeCell ref="A51:C51"/>
    <mergeCell ref="A65:C65"/>
    <mergeCell ref="A66:C66"/>
    <mergeCell ref="A67:C67"/>
    <mergeCell ref="B70:M70"/>
    <mergeCell ref="B71:M71"/>
    <mergeCell ref="A72:O72"/>
    <mergeCell ref="A73:C73"/>
    <mergeCell ref="A74:C74"/>
    <mergeCell ref="A78:C78"/>
    <mergeCell ref="A79:K79"/>
    <mergeCell ref="B940:O940"/>
    <mergeCell ref="B941:M941"/>
    <mergeCell ref="B942:M942"/>
    <mergeCell ref="A943:O943"/>
    <mergeCell ref="A944:C944"/>
    <mergeCell ref="A945:C945"/>
    <mergeCell ref="A24:C24"/>
    <mergeCell ref="A25:C25"/>
    <mergeCell ref="A26:K26"/>
    <mergeCell ref="B27:M27"/>
    <mergeCell ref="B28:M28"/>
    <mergeCell ref="A29:O29"/>
    <mergeCell ref="A2:O2"/>
    <mergeCell ref="A19:O19"/>
    <mergeCell ref="B20:O20"/>
    <mergeCell ref="B21:M21"/>
    <mergeCell ref="B22:M22"/>
    <mergeCell ref="A23:O23"/>
    <mergeCell ref="A36:O36"/>
    <mergeCell ref="A37:C37"/>
    <mergeCell ref="A38:C38"/>
    <mergeCell ref="A39:K39"/>
    <mergeCell ref="B40:M40"/>
    <mergeCell ref="B41:M41"/>
    <mergeCell ref="A30:C30"/>
    <mergeCell ref="A31:C31"/>
    <mergeCell ref="A32:K32"/>
    <mergeCell ref="B33:O33"/>
    <mergeCell ref="B34:M34"/>
    <mergeCell ref="B35:M35"/>
    <mergeCell ref="A52:C52"/>
    <mergeCell ref="A53:C53"/>
    <mergeCell ref="A952:K952"/>
    <mergeCell ref="B953:M953"/>
    <mergeCell ref="B954:M954"/>
    <mergeCell ref="A955:O955"/>
    <mergeCell ref="A956:C956"/>
    <mergeCell ref="A957:C957"/>
    <mergeCell ref="A946:K946"/>
    <mergeCell ref="B947:M947"/>
    <mergeCell ref="B948:M948"/>
    <mergeCell ref="A949:O949"/>
    <mergeCell ref="A950:C950"/>
    <mergeCell ref="A951:C951"/>
    <mergeCell ref="A964:K964"/>
    <mergeCell ref="B965:M965"/>
    <mergeCell ref="B966:M966"/>
    <mergeCell ref="A967:O967"/>
    <mergeCell ref="A968:C968"/>
    <mergeCell ref="A969:C969"/>
    <mergeCell ref="A958:K958"/>
    <mergeCell ref="B959:M959"/>
    <mergeCell ref="B960:M960"/>
    <mergeCell ref="A961:O961"/>
    <mergeCell ref="A962:C962"/>
    <mergeCell ref="A963:C963"/>
    <mergeCell ref="A976:K976"/>
    <mergeCell ref="B977:O977"/>
    <mergeCell ref="B978:M978"/>
    <mergeCell ref="B979:M979"/>
    <mergeCell ref="A980:O980"/>
    <mergeCell ref="A981:C981"/>
    <mergeCell ref="A982:C982"/>
    <mergeCell ref="A970:K970"/>
    <mergeCell ref="B971:M971"/>
    <mergeCell ref="B972:M972"/>
    <mergeCell ref="A973:O973"/>
    <mergeCell ref="A974:C974"/>
    <mergeCell ref="A975:C975"/>
    <mergeCell ref="A991:K991"/>
    <mergeCell ref="B992:M992"/>
    <mergeCell ref="B993:M993"/>
    <mergeCell ref="A994:O994"/>
    <mergeCell ref="A995:C995"/>
    <mergeCell ref="A996:C996"/>
    <mergeCell ref="A983:K983"/>
    <mergeCell ref="B984:O984"/>
    <mergeCell ref="B985:O985"/>
    <mergeCell ref="B986:M986"/>
    <mergeCell ref="B987:M987"/>
    <mergeCell ref="A988:O988"/>
    <mergeCell ref="A989:C989"/>
    <mergeCell ref="A990:C990"/>
    <mergeCell ref="A1003:K1003"/>
    <mergeCell ref="B1004:M1004"/>
    <mergeCell ref="B1005:M1005"/>
    <mergeCell ref="A1006:O1006"/>
    <mergeCell ref="A1007:C1007"/>
    <mergeCell ref="A1008:C1008"/>
    <mergeCell ref="A997:K997"/>
    <mergeCell ref="B998:M998"/>
    <mergeCell ref="B999:M999"/>
    <mergeCell ref="A1000:O1000"/>
    <mergeCell ref="A1001:C1001"/>
    <mergeCell ref="A1002:C1002"/>
    <mergeCell ref="A1015:K1015"/>
    <mergeCell ref="B1016:M1016"/>
    <mergeCell ref="B1017:M1017"/>
    <mergeCell ref="A1018:O1018"/>
    <mergeCell ref="A1019:C1019"/>
    <mergeCell ref="A1020:C1020"/>
    <mergeCell ref="A1009:K1009"/>
    <mergeCell ref="B1010:M1010"/>
    <mergeCell ref="B1011:M1011"/>
    <mergeCell ref="A1012:O1012"/>
    <mergeCell ref="A1013:C1013"/>
    <mergeCell ref="A1014:C1014"/>
    <mergeCell ref="A1027:K1027"/>
    <mergeCell ref="B1028:M1028"/>
    <mergeCell ref="B1029:M1029"/>
    <mergeCell ref="A1030:O1030"/>
    <mergeCell ref="A1031:C1031"/>
    <mergeCell ref="A1032:C1032"/>
    <mergeCell ref="A1021:K1021"/>
    <mergeCell ref="B1022:M1022"/>
    <mergeCell ref="B1023:M1023"/>
    <mergeCell ref="A1024:O1024"/>
    <mergeCell ref="A1025:C1025"/>
    <mergeCell ref="A1026:C1026"/>
    <mergeCell ref="A1039:K1039"/>
    <mergeCell ref="B1040:M1040"/>
    <mergeCell ref="B1041:M1041"/>
    <mergeCell ref="A1042:O1042"/>
    <mergeCell ref="A1043:C1043"/>
    <mergeCell ref="A1044:C1044"/>
    <mergeCell ref="A1033:K1033"/>
    <mergeCell ref="B1034:M1034"/>
    <mergeCell ref="B1035:M1035"/>
    <mergeCell ref="A1036:O1036"/>
    <mergeCell ref="A1037:C1037"/>
    <mergeCell ref="A1038:C1038"/>
    <mergeCell ref="A1051:K1051"/>
    <mergeCell ref="B1052:M1052"/>
    <mergeCell ref="B1053:M1053"/>
    <mergeCell ref="A1054:O1054"/>
    <mergeCell ref="A1055:C1055"/>
    <mergeCell ref="A1056:C1056"/>
    <mergeCell ref="A1045:K1045"/>
    <mergeCell ref="B1046:M1046"/>
    <mergeCell ref="B1047:M1047"/>
    <mergeCell ref="A1048:O1048"/>
    <mergeCell ref="A1049:C1049"/>
    <mergeCell ref="A1050:C1050"/>
    <mergeCell ref="A1063:K1063"/>
    <mergeCell ref="B1064:M1064"/>
    <mergeCell ref="B1065:M1065"/>
    <mergeCell ref="A1066:O1066"/>
    <mergeCell ref="A1067:C1067"/>
    <mergeCell ref="A1068:C1068"/>
    <mergeCell ref="A1057:K1057"/>
    <mergeCell ref="B1058:M1058"/>
    <mergeCell ref="B1059:M1059"/>
    <mergeCell ref="A1060:O1060"/>
    <mergeCell ref="A1061:C1061"/>
    <mergeCell ref="A1062:C1062"/>
    <mergeCell ref="A1075:K1075"/>
    <mergeCell ref="B1076:M1076"/>
    <mergeCell ref="B1077:M1077"/>
    <mergeCell ref="A1078:O1078"/>
    <mergeCell ref="A1079:C1079"/>
    <mergeCell ref="A1080:C1080"/>
    <mergeCell ref="A1069:K1069"/>
    <mergeCell ref="B1070:M1070"/>
    <mergeCell ref="B1071:M1071"/>
    <mergeCell ref="A1072:O1072"/>
    <mergeCell ref="A1073:C1073"/>
    <mergeCell ref="A1074:C1074"/>
    <mergeCell ref="A1087:K1087"/>
    <mergeCell ref="B1088:M1088"/>
    <mergeCell ref="B1089:M1089"/>
    <mergeCell ref="A1090:O1090"/>
    <mergeCell ref="A1091:C1091"/>
    <mergeCell ref="A1092:C1092"/>
    <mergeCell ref="A1081:K1081"/>
    <mergeCell ref="B1082:M1082"/>
    <mergeCell ref="B1083:M1083"/>
    <mergeCell ref="A1084:O1084"/>
    <mergeCell ref="A1085:C1085"/>
    <mergeCell ref="A1086:C1086"/>
    <mergeCell ref="A1099:K1099"/>
    <mergeCell ref="B1100:O1100"/>
    <mergeCell ref="B1101:M1101"/>
    <mergeCell ref="B1102:M1102"/>
    <mergeCell ref="A1103:O1103"/>
    <mergeCell ref="A1104:C1104"/>
    <mergeCell ref="A1093:K1093"/>
    <mergeCell ref="B1094:M1094"/>
    <mergeCell ref="B1095:M1095"/>
    <mergeCell ref="A1096:O1096"/>
    <mergeCell ref="A1097:C1097"/>
    <mergeCell ref="A1098:C1098"/>
    <mergeCell ref="A1111:C1111"/>
    <mergeCell ref="A1112:K1112"/>
    <mergeCell ref="B1113:M1113"/>
    <mergeCell ref="B1114:M1114"/>
    <mergeCell ref="A1115:O1115"/>
    <mergeCell ref="A1116:C1116"/>
    <mergeCell ref="A1105:C1105"/>
    <mergeCell ref="A1106:K1106"/>
    <mergeCell ref="B1107:M1107"/>
    <mergeCell ref="B1108:M1108"/>
    <mergeCell ref="A1109:O1109"/>
    <mergeCell ref="A1110:C1110"/>
    <mergeCell ref="A1123:C1123"/>
    <mergeCell ref="A1124:K1124"/>
    <mergeCell ref="B1125:M1125"/>
    <mergeCell ref="B1126:M1126"/>
    <mergeCell ref="A1127:O1127"/>
    <mergeCell ref="A1128:C1128"/>
    <mergeCell ref="A1117:C1117"/>
    <mergeCell ref="A1118:K1118"/>
    <mergeCell ref="B1119:M1119"/>
    <mergeCell ref="B1120:M1120"/>
    <mergeCell ref="A1121:O1121"/>
    <mergeCell ref="A1122:C1122"/>
    <mergeCell ref="A1135:C1135"/>
    <mergeCell ref="A1136:K1136"/>
    <mergeCell ref="B1137:M1137"/>
    <mergeCell ref="B1138:M1138"/>
    <mergeCell ref="A1139:O1139"/>
    <mergeCell ref="A1140:C1140"/>
    <mergeCell ref="A1129:C1129"/>
    <mergeCell ref="A1130:K1130"/>
    <mergeCell ref="B1131:M1131"/>
    <mergeCell ref="B1132:M1132"/>
    <mergeCell ref="A1133:O1133"/>
    <mergeCell ref="A1134:C1134"/>
    <mergeCell ref="A1147:C1147"/>
    <mergeCell ref="A1148:K1148"/>
    <mergeCell ref="B1149:M1149"/>
    <mergeCell ref="B1150:M1150"/>
    <mergeCell ref="A1151:O1151"/>
    <mergeCell ref="A1152:C1152"/>
    <mergeCell ref="A1141:C1141"/>
    <mergeCell ref="A1142:K1142"/>
    <mergeCell ref="B1143:M1143"/>
    <mergeCell ref="B1144:M1144"/>
    <mergeCell ref="A1145:O1145"/>
    <mergeCell ref="A1146:C1146"/>
    <mergeCell ref="A1159:C1159"/>
    <mergeCell ref="A1160:K1160"/>
    <mergeCell ref="B1161:O1161"/>
    <mergeCell ref="B1162:M1162"/>
    <mergeCell ref="B1163:M1163"/>
    <mergeCell ref="A1164:O1164"/>
    <mergeCell ref="A1153:C1153"/>
    <mergeCell ref="A1154:K1154"/>
    <mergeCell ref="B1155:M1155"/>
    <mergeCell ref="B1156:M1156"/>
    <mergeCell ref="A1157:O1157"/>
    <mergeCell ref="A1158:C1158"/>
    <mergeCell ref="A1171:C1171"/>
    <mergeCell ref="A1172:C1172"/>
    <mergeCell ref="A1173:K1173"/>
    <mergeCell ref="B1174:M1174"/>
    <mergeCell ref="B1175:M1175"/>
    <mergeCell ref="A1176:O1176"/>
    <mergeCell ref="A1165:C1165"/>
    <mergeCell ref="A1166:C1166"/>
    <mergeCell ref="A1167:K1167"/>
    <mergeCell ref="B1168:M1168"/>
    <mergeCell ref="B1169:M1169"/>
    <mergeCell ref="A1170:O1170"/>
    <mergeCell ref="A1183:O1183"/>
    <mergeCell ref="A1184:C1184"/>
    <mergeCell ref="A1185:C1185"/>
    <mergeCell ref="A1186:K1186"/>
    <mergeCell ref="B1187:M1187"/>
    <mergeCell ref="B1188:M1188"/>
    <mergeCell ref="A1177:C1177"/>
    <mergeCell ref="A1178:C1178"/>
    <mergeCell ref="A1179:K1179"/>
    <mergeCell ref="B1180:O1180"/>
    <mergeCell ref="B1181:M1181"/>
    <mergeCell ref="B1182:M1182"/>
    <mergeCell ref="B1195:M1195"/>
    <mergeCell ref="A1196:O1196"/>
    <mergeCell ref="A1197:C1197"/>
    <mergeCell ref="A1198:C1198"/>
    <mergeCell ref="A1199:K1199"/>
    <mergeCell ref="B1200:M1200"/>
    <mergeCell ref="A1189:O1189"/>
    <mergeCell ref="A1190:C1190"/>
    <mergeCell ref="A1191:C1191"/>
    <mergeCell ref="A1192:K1192"/>
    <mergeCell ref="B1193:O1193"/>
    <mergeCell ref="B1194:M1194"/>
    <mergeCell ref="B1207:M1207"/>
    <mergeCell ref="A1208:O1208"/>
    <mergeCell ref="A1209:C1209"/>
    <mergeCell ref="A1210:C1210"/>
    <mergeCell ref="A1211:K1211"/>
    <mergeCell ref="B1212:O1212"/>
    <mergeCell ref="B1201:M1201"/>
    <mergeCell ref="A1202:O1202"/>
    <mergeCell ref="A1203:C1203"/>
    <mergeCell ref="A1204:C1204"/>
    <mergeCell ref="A1205:K1205"/>
    <mergeCell ref="B1206:M1206"/>
    <mergeCell ref="A1219:K1219"/>
    <mergeCell ref="B1220:M1220"/>
    <mergeCell ref="B1221:M1221"/>
    <mergeCell ref="A1222:O1222"/>
    <mergeCell ref="A1223:C1223"/>
    <mergeCell ref="A1224:C1224"/>
    <mergeCell ref="B1213:O1213"/>
    <mergeCell ref="B1214:M1214"/>
    <mergeCell ref="B1215:M1215"/>
    <mergeCell ref="A1216:O1216"/>
    <mergeCell ref="A1217:C1217"/>
    <mergeCell ref="A1218:C1218"/>
    <mergeCell ref="A1231:K1231"/>
    <mergeCell ref="B1232:M1232"/>
    <mergeCell ref="B1233:M1233"/>
    <mergeCell ref="A1234:O1234"/>
    <mergeCell ref="A1235:C1235"/>
    <mergeCell ref="A1236:C1236"/>
    <mergeCell ref="A1225:K1225"/>
    <mergeCell ref="B1226:M1226"/>
    <mergeCell ref="B1227:M1227"/>
    <mergeCell ref="A1228:O1228"/>
    <mergeCell ref="A1229:C1229"/>
    <mergeCell ref="A1230:C1230"/>
    <mergeCell ref="A1249:K1249"/>
    <mergeCell ref="B1250:M1250"/>
    <mergeCell ref="B1251:M1251"/>
    <mergeCell ref="A1252:O1252"/>
    <mergeCell ref="A1253:C1253"/>
    <mergeCell ref="A1254:C1254"/>
    <mergeCell ref="A1243:K1243"/>
    <mergeCell ref="B1244:M1244"/>
    <mergeCell ref="B1245:M1245"/>
    <mergeCell ref="A1246:O1246"/>
    <mergeCell ref="A1247:C1247"/>
    <mergeCell ref="A1248:C1248"/>
    <mergeCell ref="A1237:K1237"/>
    <mergeCell ref="B1238:M1238"/>
    <mergeCell ref="B1239:M1239"/>
    <mergeCell ref="A1240:O1240"/>
    <mergeCell ref="A1241:C1241"/>
    <mergeCell ref="A1242:C1242"/>
    <mergeCell ref="A1268:K1268"/>
    <mergeCell ref="B1269:M1269"/>
    <mergeCell ref="B1270:M1270"/>
    <mergeCell ref="A1271:O1271"/>
    <mergeCell ref="A1272:C1272"/>
    <mergeCell ref="A1273:C1273"/>
    <mergeCell ref="A1262:K1262"/>
    <mergeCell ref="B1263:M1263"/>
    <mergeCell ref="B1264:M1264"/>
    <mergeCell ref="A1265:O1265"/>
    <mergeCell ref="A1266:C1266"/>
    <mergeCell ref="A1267:C1267"/>
    <mergeCell ref="A1255:K1255"/>
    <mergeCell ref="B1256:O1256"/>
    <mergeCell ref="B1257:M1257"/>
    <mergeCell ref="B1258:M1258"/>
    <mergeCell ref="A1259:O1259"/>
    <mergeCell ref="A1260:C1260"/>
    <mergeCell ref="A1261:C1261"/>
    <mergeCell ref="A1286:K1286"/>
    <mergeCell ref="B1287:M1287"/>
    <mergeCell ref="B1288:M1288"/>
    <mergeCell ref="A1289:O1289"/>
    <mergeCell ref="A1290:C1290"/>
    <mergeCell ref="A1291:C1291"/>
    <mergeCell ref="A1280:K1280"/>
    <mergeCell ref="B1281:M1281"/>
    <mergeCell ref="B1282:M1282"/>
    <mergeCell ref="A1283:O1283"/>
    <mergeCell ref="A1284:C1284"/>
    <mergeCell ref="A1285:C1285"/>
    <mergeCell ref="A1274:K1274"/>
    <mergeCell ref="B1275:M1275"/>
    <mergeCell ref="B1276:M1276"/>
    <mergeCell ref="A1277:O1277"/>
    <mergeCell ref="A1278:C1278"/>
    <mergeCell ref="A1279:C1279"/>
    <mergeCell ref="A1299:K1299"/>
    <mergeCell ref="B1293:O1293"/>
    <mergeCell ref="B1300:M1300"/>
    <mergeCell ref="B1301:M1301"/>
    <mergeCell ref="A1302:O1302"/>
    <mergeCell ref="A1303:C1303"/>
    <mergeCell ref="A1304:C1304"/>
    <mergeCell ref="A1292:K1292"/>
    <mergeCell ref="B1294:M1294"/>
    <mergeCell ref="B1295:M1295"/>
    <mergeCell ref="A1296:O1296"/>
    <mergeCell ref="A1297:C1297"/>
    <mergeCell ref="A1298:C1298"/>
    <mergeCell ref="A1318:C1318"/>
    <mergeCell ref="A1319:K1319"/>
    <mergeCell ref="B1320:O1320"/>
    <mergeCell ref="B1321:M1321"/>
    <mergeCell ref="B1322:M1322"/>
    <mergeCell ref="A1323:O1323"/>
    <mergeCell ref="A1312:C1312"/>
    <mergeCell ref="A1313:K1313"/>
    <mergeCell ref="B1314:M1314"/>
    <mergeCell ref="B1315:M1315"/>
    <mergeCell ref="A1316:O1316"/>
    <mergeCell ref="A1317:C1317"/>
    <mergeCell ref="A1305:K1305"/>
    <mergeCell ref="B1307:O1307"/>
    <mergeCell ref="B1306:O1306"/>
    <mergeCell ref="B1308:M1308"/>
    <mergeCell ref="B1309:M1309"/>
    <mergeCell ref="A1310:O1310"/>
    <mergeCell ref="A1311:C1311"/>
    <mergeCell ref="A1336:O1336"/>
    <mergeCell ref="A1337:C1337"/>
    <mergeCell ref="A1338:C1338"/>
    <mergeCell ref="A1339:K1339"/>
    <mergeCell ref="B1340:M1340"/>
    <mergeCell ref="B1341:M1341"/>
    <mergeCell ref="A1330:O1330"/>
    <mergeCell ref="A1331:C1331"/>
    <mergeCell ref="A1332:C1332"/>
    <mergeCell ref="A1333:K1333"/>
    <mergeCell ref="B1334:M1334"/>
    <mergeCell ref="B1335:M1335"/>
    <mergeCell ref="A1324:C1324"/>
    <mergeCell ref="A1325:C1325"/>
    <mergeCell ref="A1326:K1326"/>
    <mergeCell ref="B1327:O1327"/>
    <mergeCell ref="B1328:M1328"/>
    <mergeCell ref="B1329:M1329"/>
    <mergeCell ref="B1354:M1354"/>
    <mergeCell ref="A1355:O1355"/>
    <mergeCell ref="A1356:C1356"/>
    <mergeCell ref="A1357:C1357"/>
    <mergeCell ref="A1358:K1358"/>
    <mergeCell ref="B1359:O1359"/>
    <mergeCell ref="B1348:M1348"/>
    <mergeCell ref="A1349:O1349"/>
    <mergeCell ref="A1350:C1350"/>
    <mergeCell ref="A1351:C1351"/>
    <mergeCell ref="A1352:K1352"/>
    <mergeCell ref="B1353:M1353"/>
    <mergeCell ref="A1342:O1342"/>
    <mergeCell ref="A1343:C1343"/>
    <mergeCell ref="A1344:C1344"/>
    <mergeCell ref="A1345:K1345"/>
    <mergeCell ref="B1346:O1346"/>
    <mergeCell ref="B1347:M1347"/>
    <mergeCell ref="B1372:O1372"/>
    <mergeCell ref="B1373:M1373"/>
    <mergeCell ref="B1374:M1374"/>
    <mergeCell ref="A1375:O1375"/>
    <mergeCell ref="A1376:C1376"/>
    <mergeCell ref="A1377:C1377"/>
    <mergeCell ref="B1366:M1366"/>
    <mergeCell ref="B1367:M1367"/>
    <mergeCell ref="A1368:O1368"/>
    <mergeCell ref="A1369:C1369"/>
    <mergeCell ref="A1370:C1370"/>
    <mergeCell ref="A1371:K1371"/>
    <mergeCell ref="B1360:M1360"/>
    <mergeCell ref="B1361:M1361"/>
    <mergeCell ref="A1362:O1362"/>
    <mergeCell ref="A1363:C1363"/>
    <mergeCell ref="A1364:C1364"/>
    <mergeCell ref="A1365:K1365"/>
    <mergeCell ref="B1391:O1391"/>
    <mergeCell ref="B1392:M1392"/>
    <mergeCell ref="B1393:M1393"/>
    <mergeCell ref="A1394:O1394"/>
    <mergeCell ref="A1395:C1395"/>
    <mergeCell ref="A1396:C1396"/>
    <mergeCell ref="A1424:K1424"/>
    <mergeCell ref="B1425:M1425"/>
    <mergeCell ref="A1390:K1390"/>
    <mergeCell ref="B1385:M1385"/>
    <mergeCell ref="B1386:M1386"/>
    <mergeCell ref="A1387:O1387"/>
    <mergeCell ref="A1388:C1388"/>
    <mergeCell ref="A1389:C1389"/>
    <mergeCell ref="A1384:K1384"/>
    <mergeCell ref="A1378:K1378"/>
    <mergeCell ref="B1379:M1379"/>
    <mergeCell ref="B1380:M1380"/>
    <mergeCell ref="A1381:O1381"/>
    <mergeCell ref="A1382:C1382"/>
    <mergeCell ref="A1383:C1383"/>
    <mergeCell ref="A1404:K1404"/>
    <mergeCell ref="B1405:M1405"/>
    <mergeCell ref="B1406:M1406"/>
    <mergeCell ref="A1407:O1407"/>
    <mergeCell ref="A1410:K1410"/>
    <mergeCell ref="B1411:O1411"/>
    <mergeCell ref="B1412:O1412"/>
    <mergeCell ref="B1413:M1413"/>
    <mergeCell ref="B1414:M1414"/>
    <mergeCell ref="A1415:O1415"/>
    <mergeCell ref="A1416:C1416"/>
    <mergeCell ref="A1417:C1417"/>
    <mergeCell ref="A1408:C1408"/>
    <mergeCell ref="A1409:C1409"/>
    <mergeCell ref="A1397:K1397"/>
    <mergeCell ref="B1398:O1398"/>
    <mergeCell ref="B1399:M1399"/>
    <mergeCell ref="B1400:M1400"/>
    <mergeCell ref="A1401:O1401"/>
    <mergeCell ref="A1402:C1402"/>
    <mergeCell ref="A1403:C1403"/>
    <mergeCell ref="A1436:K1436"/>
    <mergeCell ref="B1437:O1437"/>
    <mergeCell ref="B1438:M1438"/>
    <mergeCell ref="B1439:M1439"/>
    <mergeCell ref="A1440:O1440"/>
    <mergeCell ref="A1441:C1441"/>
    <mergeCell ref="A1430:K1430"/>
    <mergeCell ref="B1431:M1431"/>
    <mergeCell ref="B1432:M1432"/>
    <mergeCell ref="A1433:O1433"/>
    <mergeCell ref="A1434:C1434"/>
    <mergeCell ref="A1435:C1435"/>
    <mergeCell ref="B1426:M1426"/>
    <mergeCell ref="A1427:O1427"/>
    <mergeCell ref="A1428:C1428"/>
    <mergeCell ref="A1429:C1429"/>
    <mergeCell ref="A1418:K1418"/>
    <mergeCell ref="B1419:M1419"/>
    <mergeCell ref="B1420:M1420"/>
    <mergeCell ref="A1421:O1421"/>
    <mergeCell ref="A1422:C1422"/>
    <mergeCell ref="A1423:C1423"/>
    <mergeCell ref="A1454:C1454"/>
    <mergeCell ref="A1455:C1455"/>
    <mergeCell ref="A1456:K1456"/>
    <mergeCell ref="B1457:M1457"/>
    <mergeCell ref="B1458:M1458"/>
    <mergeCell ref="A1459:O1459"/>
    <mergeCell ref="A1448:C1448"/>
    <mergeCell ref="A1449:K1449"/>
    <mergeCell ref="B1450:O1450"/>
    <mergeCell ref="B1451:M1451"/>
    <mergeCell ref="B1452:M1452"/>
    <mergeCell ref="A1453:O1453"/>
    <mergeCell ref="A1442:C1442"/>
    <mergeCell ref="A1443:K1443"/>
    <mergeCell ref="B1444:M1444"/>
    <mergeCell ref="B1445:M1445"/>
    <mergeCell ref="A1446:O1446"/>
    <mergeCell ref="A1447:C1447"/>
    <mergeCell ref="B1478:M1478"/>
    <mergeCell ref="A1479:O1479"/>
    <mergeCell ref="A1480:C1480"/>
    <mergeCell ref="A1484:C1484"/>
    <mergeCell ref="A1490:C1490"/>
    <mergeCell ref="A1491:C1491"/>
    <mergeCell ref="A1493:K1493"/>
    <mergeCell ref="B1494:M1494"/>
    <mergeCell ref="A1472:C1472"/>
    <mergeCell ref="A1473:C1473"/>
    <mergeCell ref="A1474:K1474"/>
    <mergeCell ref="B1475:O1475"/>
    <mergeCell ref="B1476:O1476"/>
    <mergeCell ref="B1477:M1477"/>
    <mergeCell ref="A1460:C1460"/>
    <mergeCell ref="A1461:C1461"/>
    <mergeCell ref="A1462:K1462"/>
    <mergeCell ref="B1469:M1469"/>
    <mergeCell ref="B1470:M1470"/>
    <mergeCell ref="A1471:O1471"/>
    <mergeCell ref="A1485:C1485"/>
    <mergeCell ref="A1489:C1489"/>
    <mergeCell ref="A1486:C1486"/>
    <mergeCell ref="A1487:C1487"/>
    <mergeCell ref="A1488:C1488"/>
    <mergeCell ref="A1481:C1481"/>
    <mergeCell ref="A1482:C1482"/>
    <mergeCell ref="A1483:C1483"/>
    <mergeCell ref="A1492:C1492"/>
    <mergeCell ref="B1463:M1463"/>
    <mergeCell ref="B1464:M1464"/>
    <mergeCell ref="A1465:O1465"/>
    <mergeCell ref="B1509:M1509"/>
    <mergeCell ref="A1510:O1510"/>
    <mergeCell ref="A1511:C1511"/>
    <mergeCell ref="A1512:C1512"/>
    <mergeCell ref="A1513:C1513"/>
    <mergeCell ref="A1514:K1514"/>
    <mergeCell ref="B1515:M1515"/>
    <mergeCell ref="B1502:M1502"/>
    <mergeCell ref="A1503:O1503"/>
    <mergeCell ref="A1504:C1504"/>
    <mergeCell ref="A1505:C1505"/>
    <mergeCell ref="A1506:C1506"/>
    <mergeCell ref="A1507:K1507"/>
    <mergeCell ref="B1508:M1508"/>
    <mergeCell ref="B1495:M1495"/>
    <mergeCell ref="A1496:O1496"/>
    <mergeCell ref="A1497:C1497"/>
    <mergeCell ref="A1498:C1498"/>
    <mergeCell ref="A1499:C1499"/>
    <mergeCell ref="A1500:K1500"/>
    <mergeCell ref="B1501:M1501"/>
    <mergeCell ref="B1516:M1516"/>
    <mergeCell ref="A1517:O1517"/>
    <mergeCell ref="A1518:C1518"/>
    <mergeCell ref="A1519:C1519"/>
    <mergeCell ref="A1526:C1526"/>
    <mergeCell ref="A1527:K1527"/>
    <mergeCell ref="B1528:O1528"/>
    <mergeCell ref="A1520:C1520"/>
    <mergeCell ref="A1521:C1521"/>
    <mergeCell ref="A1522:C1522"/>
    <mergeCell ref="A1523:C1523"/>
    <mergeCell ref="A1524:C1524"/>
    <mergeCell ref="A1525:C1525"/>
    <mergeCell ref="A1533:C1533"/>
    <mergeCell ref="A1534:C1534"/>
    <mergeCell ref="A1535:C1535"/>
    <mergeCell ref="A1536:C1536"/>
    <mergeCell ref="B1529:M1529"/>
    <mergeCell ref="B1530:M1530"/>
    <mergeCell ref="A1531:O1531"/>
    <mergeCell ref="A1532:C1532"/>
    <mergeCell ref="A1537:C1537"/>
    <mergeCell ref="A1538:C1538"/>
    <mergeCell ref="A1539:C1539"/>
    <mergeCell ref="A1540:C1540"/>
    <mergeCell ref="A1541:C1541"/>
    <mergeCell ref="A1542:C1542"/>
    <mergeCell ref="A1543:C1543"/>
    <mergeCell ref="A1544:C1544"/>
    <mergeCell ref="A1545:C1545"/>
    <mergeCell ref="A1546:C1546"/>
    <mergeCell ref="A1582:C1582"/>
    <mergeCell ref="A1583:C1583"/>
    <mergeCell ref="A1562:C1562"/>
    <mergeCell ref="A1563:C1563"/>
    <mergeCell ref="A1645:C1645"/>
    <mergeCell ref="A1646:C1646"/>
    <mergeCell ref="B1636:M1636"/>
    <mergeCell ref="B1637:M1637"/>
    <mergeCell ref="A1638:O1638"/>
    <mergeCell ref="A1639:C1639"/>
    <mergeCell ref="A1640:C1640"/>
    <mergeCell ref="A1641:K1641"/>
    <mergeCell ref="A1605:O1605"/>
    <mergeCell ref="A1606:C1606"/>
    <mergeCell ref="A1607:C1607"/>
    <mergeCell ref="A1610:C1610"/>
    <mergeCell ref="A1616:C1616"/>
    <mergeCell ref="A1617:K1617"/>
    <mergeCell ref="A1632:C1632"/>
    <mergeCell ref="A1633:C1633"/>
    <mergeCell ref="A1630:C1630"/>
    <mergeCell ref="A1594:C1594"/>
    <mergeCell ref="A1614:C1614"/>
    <mergeCell ref="A1711:C1711"/>
    <mergeCell ref="A1712:C1712"/>
    <mergeCell ref="A1713:C1713"/>
    <mergeCell ref="A1714:C1714"/>
    <mergeCell ref="A1715:C1715"/>
    <mergeCell ref="A1716:C1716"/>
    <mergeCell ref="A1717:C1717"/>
    <mergeCell ref="A1718:C1718"/>
    <mergeCell ref="A1719:C1719"/>
    <mergeCell ref="A1720:C1720"/>
    <mergeCell ref="A1725:C1725"/>
    <mergeCell ref="A1726:C1726"/>
    <mergeCell ref="A1727:C1727"/>
    <mergeCell ref="A1728:C1728"/>
    <mergeCell ref="A1721:C1721"/>
    <mergeCell ref="A1623:C1623"/>
    <mergeCell ref="A1631:C1631"/>
    <mergeCell ref="A1634:C1634"/>
    <mergeCell ref="A1624:C1624"/>
    <mergeCell ref="A1625:C1625"/>
    <mergeCell ref="A1626:C1626"/>
    <mergeCell ref="A1628:C1628"/>
    <mergeCell ref="A1629:C1629"/>
    <mergeCell ref="B1649:M1649"/>
    <mergeCell ref="B1650:M1650"/>
    <mergeCell ref="A1651:O1651"/>
    <mergeCell ref="A1652:C1652"/>
    <mergeCell ref="A1653:C1653"/>
    <mergeCell ref="A1668:K1668"/>
    <mergeCell ref="B1642:M1642"/>
    <mergeCell ref="B1643:M1643"/>
    <mergeCell ref="A1644:O1644"/>
    <mergeCell ref="A1796:C1796"/>
    <mergeCell ref="A1797:C1797"/>
    <mergeCell ref="A1818:C1818"/>
    <mergeCell ref="A1819:C1819"/>
    <mergeCell ref="A1805:C1805"/>
    <mergeCell ref="A1806:C1806"/>
    <mergeCell ref="A1807:C1807"/>
    <mergeCell ref="A1808:C1808"/>
    <mergeCell ref="A1813:K1813"/>
    <mergeCell ref="A1809:C1809"/>
    <mergeCell ref="A1810:C1810"/>
    <mergeCell ref="A1811:C1811"/>
    <mergeCell ref="A1812:C1812"/>
    <mergeCell ref="B1814:M1814"/>
    <mergeCell ref="A1778:C1778"/>
    <mergeCell ref="A1660:C1660"/>
    <mergeCell ref="A1661:C1661"/>
    <mergeCell ref="A1662:C1662"/>
    <mergeCell ref="A1663:C1663"/>
    <mergeCell ref="A1664:C1664"/>
    <mergeCell ref="A1665:C1665"/>
    <mergeCell ref="A1666:C1666"/>
    <mergeCell ref="A1667:C1667"/>
    <mergeCell ref="A1687:C1687"/>
    <mergeCell ref="A1688:C1688"/>
    <mergeCell ref="A1689:C1689"/>
    <mergeCell ref="A1690:C1690"/>
    <mergeCell ref="A1691:C1691"/>
    <mergeCell ref="A1700:C1700"/>
    <mergeCell ref="A1706:C1706"/>
    <mergeCell ref="A1737:C1737"/>
    <mergeCell ref="A1738:C1738"/>
    <mergeCell ref="A1722:C1722"/>
    <mergeCell ref="A1723:C1723"/>
    <mergeCell ref="B1742:O1742"/>
    <mergeCell ref="B1743:O1743"/>
    <mergeCell ref="B1744:M1744"/>
    <mergeCell ref="B1745:M1745"/>
    <mergeCell ref="A1746:O1746"/>
    <mergeCell ref="A1734:C1734"/>
    <mergeCell ref="A1729:C1729"/>
    <mergeCell ref="A1736:C1736"/>
    <mergeCell ref="A1783:K1783"/>
    <mergeCell ref="B1784:M1784"/>
    <mergeCell ref="B1785:M1785"/>
    <mergeCell ref="A1786:O1786"/>
    <mergeCell ref="A1787:C1787"/>
    <mergeCell ref="A1788:C1788"/>
    <mergeCell ref="A1780:C1780"/>
    <mergeCell ref="A1781:C1781"/>
    <mergeCell ref="A1782:C1782"/>
    <mergeCell ref="A1763:C1763"/>
    <mergeCell ref="A1779:C1779"/>
    <mergeCell ref="A1764:C1764"/>
    <mergeCell ref="A1765:C1765"/>
    <mergeCell ref="A1766:C1766"/>
    <mergeCell ref="A1767:C1767"/>
    <mergeCell ref="A1771:C1771"/>
    <mergeCell ref="A1772:C1772"/>
    <mergeCell ref="A1773:C1773"/>
    <mergeCell ref="A1774:C1774"/>
    <mergeCell ref="A1775:C1775"/>
    <mergeCell ref="A1776:C1776"/>
    <mergeCell ref="A1777:C1777"/>
    <mergeCell ref="A1921:C1921"/>
    <mergeCell ref="A1938:C1938"/>
    <mergeCell ref="A1939:C1939"/>
    <mergeCell ref="A1940:C1940"/>
    <mergeCell ref="A1958:C1958"/>
    <mergeCell ref="A1959:C1959"/>
    <mergeCell ref="A1915:C1915"/>
    <mergeCell ref="A1952:K1952"/>
    <mergeCell ref="B1953:M1953"/>
    <mergeCell ref="B1954:M1954"/>
    <mergeCell ref="A1955:O1955"/>
    <mergeCell ref="A1956:C1956"/>
    <mergeCell ref="A1873:C1873"/>
    <mergeCell ref="A1820:C1820"/>
    <mergeCell ref="A1821:C1821"/>
    <mergeCell ref="A1816:O1816"/>
    <mergeCell ref="A1817:C1817"/>
    <mergeCell ref="A1834:C1834"/>
    <mergeCell ref="A1835:C1835"/>
    <mergeCell ref="A1836:C1836"/>
    <mergeCell ref="A1837:C1837"/>
    <mergeCell ref="A1838:C1838"/>
    <mergeCell ref="A1839:C1839"/>
    <mergeCell ref="A1871:C1871"/>
    <mergeCell ref="A1828:C1828"/>
    <mergeCell ref="A1829:C1829"/>
    <mergeCell ref="A1822:C1822"/>
    <mergeCell ref="A1823:C1823"/>
    <mergeCell ref="A1824:C1824"/>
    <mergeCell ref="A1825:C1825"/>
    <mergeCell ref="A1840:C1840"/>
    <mergeCell ref="A1841:C1841"/>
    <mergeCell ref="A1968:C1968"/>
    <mergeCell ref="A1969:C1969"/>
    <mergeCell ref="A1960:C1960"/>
    <mergeCell ref="A1895:K1895"/>
    <mergeCell ref="B1896:O1896"/>
    <mergeCell ref="B1897:M1897"/>
    <mergeCell ref="B1898:M1898"/>
    <mergeCell ref="A1899:O1899"/>
    <mergeCell ref="A1900:C1900"/>
    <mergeCell ref="B1993:M1993"/>
    <mergeCell ref="A1994:O1994"/>
    <mergeCell ref="A1995:C1995"/>
    <mergeCell ref="A1996:C1996"/>
    <mergeCell ref="A1865:K1865"/>
    <mergeCell ref="B1866:M1866"/>
    <mergeCell ref="B1867:M1867"/>
    <mergeCell ref="A1868:O1868"/>
    <mergeCell ref="A1869:C1869"/>
    <mergeCell ref="A1870:C1870"/>
    <mergeCell ref="A1912:C1912"/>
    <mergeCell ref="A1913:C1913"/>
    <mergeCell ref="A1961:C1961"/>
    <mergeCell ref="A1962:C1962"/>
    <mergeCell ref="A1963:C1963"/>
    <mergeCell ref="A1945:C1945"/>
    <mergeCell ref="A1946:C1946"/>
    <mergeCell ref="A1947:C1947"/>
    <mergeCell ref="A1948:C1948"/>
    <mergeCell ref="A1949:C1949"/>
    <mergeCell ref="A1950:C1950"/>
    <mergeCell ref="A1951:C1951"/>
    <mergeCell ref="A1920:C1920"/>
    <mergeCell ref="A1997:K1997"/>
    <mergeCell ref="B1998:M1998"/>
    <mergeCell ref="B1999:M1999"/>
    <mergeCell ref="B1986:M1986"/>
    <mergeCell ref="B1987:M1987"/>
    <mergeCell ref="A1988:O1988"/>
    <mergeCell ref="A1989:C1989"/>
    <mergeCell ref="A1990:C1990"/>
    <mergeCell ref="A1991:K1991"/>
    <mergeCell ref="B1992:M1992"/>
    <mergeCell ref="A1916:C1916"/>
    <mergeCell ref="A1917:C1917"/>
    <mergeCell ref="A1918:C1918"/>
    <mergeCell ref="A1919:C1919"/>
    <mergeCell ref="A1979:K1979"/>
    <mergeCell ref="B1980:M1980"/>
    <mergeCell ref="B1981:M1981"/>
    <mergeCell ref="A1982:O1982"/>
    <mergeCell ref="A1983:C1983"/>
    <mergeCell ref="A1984:C1984"/>
    <mergeCell ref="A1985:K1985"/>
    <mergeCell ref="B1971:O1971"/>
    <mergeCell ref="B1972:O1972"/>
    <mergeCell ref="B1973:M1973"/>
    <mergeCell ref="B1974:M1974"/>
    <mergeCell ref="A1975:O1975"/>
    <mergeCell ref="A1976:C1976"/>
    <mergeCell ref="A1977:C1977"/>
    <mergeCell ref="A1970:K1970"/>
    <mergeCell ref="A1964:C1964"/>
    <mergeCell ref="A1965:C1965"/>
    <mergeCell ref="A1966:C1966"/>
    <mergeCell ref="A2040:O2040"/>
    <mergeCell ref="A2041:C2041"/>
    <mergeCell ref="A2042:C2042"/>
    <mergeCell ref="A2043:K2043"/>
    <mergeCell ref="A2000:O2000"/>
    <mergeCell ref="A2001:C2001"/>
    <mergeCell ref="A2002:C2002"/>
    <mergeCell ref="A2003:K2003"/>
    <mergeCell ref="B2004:M2004"/>
    <mergeCell ref="B2005:M2005"/>
    <mergeCell ref="A2006:O2006"/>
    <mergeCell ref="A2026:O2026"/>
    <mergeCell ref="A2027:C2027"/>
    <mergeCell ref="A2028:C2028"/>
    <mergeCell ref="A2014:C2014"/>
    <mergeCell ref="A2015:K2015"/>
    <mergeCell ref="B2016:M2016"/>
    <mergeCell ref="B2017:M2017"/>
    <mergeCell ref="A2018:O2018"/>
    <mergeCell ref="A2019:C2019"/>
    <mergeCell ref="A2020:C2020"/>
    <mergeCell ref="A2021:C2021"/>
    <mergeCell ref="A2035:C2035"/>
    <mergeCell ref="A2022:C2022"/>
    <mergeCell ref="A2023:K2023"/>
    <mergeCell ref="B2024:M2024"/>
    <mergeCell ref="B2025:M2025"/>
    <mergeCell ref="A1978:C1978"/>
    <mergeCell ref="A2137:C2137"/>
    <mergeCell ref="A2138:C2138"/>
    <mergeCell ref="A2139:K2139"/>
    <mergeCell ref="B2140:M2140"/>
    <mergeCell ref="A2124:C2124"/>
    <mergeCell ref="A2125:C2125"/>
    <mergeCell ref="A2126:K2126"/>
    <mergeCell ref="B2127:M2127"/>
    <mergeCell ref="B2128:M2128"/>
    <mergeCell ref="A2129:O2129"/>
    <mergeCell ref="A2086:C2086"/>
    <mergeCell ref="A2087:K2087"/>
    <mergeCell ref="B2088:O2088"/>
    <mergeCell ref="A2070:K2070"/>
    <mergeCell ref="B2071:M2071"/>
    <mergeCell ref="B2072:M2072"/>
    <mergeCell ref="A2073:O2073"/>
    <mergeCell ref="A2074:C2074"/>
    <mergeCell ref="A2091:O2091"/>
    <mergeCell ref="B2120:M2120"/>
    <mergeCell ref="B2121:M2121"/>
    <mergeCell ref="A2122:O2122"/>
    <mergeCell ref="A2123:C2123"/>
    <mergeCell ref="A2076:C2076"/>
    <mergeCell ref="A2113:O2113"/>
    <mergeCell ref="A2114:C2114"/>
    <mergeCell ref="A2119:K2119"/>
    <mergeCell ref="B2046:M2046"/>
    <mergeCell ref="A2047:O2047"/>
    <mergeCell ref="A2048:C2048"/>
    <mergeCell ref="A2049:C2049"/>
    <mergeCell ref="A2050:K2050"/>
    <mergeCell ref="B2051:M2051"/>
    <mergeCell ref="A2063:C2063"/>
    <mergeCell ref="B2052:M2052"/>
    <mergeCell ref="A2064:K2064"/>
    <mergeCell ref="B2065:M2065"/>
    <mergeCell ref="B2066:M2066"/>
    <mergeCell ref="A2110:K2110"/>
    <mergeCell ref="B2111:M2111"/>
    <mergeCell ref="B2112:M2112"/>
    <mergeCell ref="A2106:C2106"/>
    <mergeCell ref="A2107:C2107"/>
    <mergeCell ref="A2108:C2108"/>
    <mergeCell ref="A2109:C2109"/>
    <mergeCell ref="A2061:C2061"/>
    <mergeCell ref="A2053:O2053"/>
    <mergeCell ref="A2054:C2054"/>
    <mergeCell ref="A2055:C2055"/>
    <mergeCell ref="A2056:K2056"/>
    <mergeCell ref="B2057:M2057"/>
    <mergeCell ref="B2058:M2058"/>
    <mergeCell ref="A2059:O2059"/>
    <mergeCell ref="B2082:M2082"/>
    <mergeCell ref="B2083:M2083"/>
    <mergeCell ref="A2084:O2084"/>
    <mergeCell ref="A2094:K2094"/>
    <mergeCell ref="B2152:M2152"/>
    <mergeCell ref="B2153:M2153"/>
    <mergeCell ref="A2154:O2154"/>
    <mergeCell ref="A2067:O2067"/>
    <mergeCell ref="A2068:C2068"/>
    <mergeCell ref="A2069:C2069"/>
    <mergeCell ref="A2029:K2029"/>
    <mergeCell ref="B2030:M2030"/>
    <mergeCell ref="B2031:M2031"/>
    <mergeCell ref="A2032:O2032"/>
    <mergeCell ref="A2033:C2033"/>
    <mergeCell ref="A2034:C2034"/>
    <mergeCell ref="A2036:C2036"/>
    <mergeCell ref="A2132:K2132"/>
    <mergeCell ref="B2133:M2133"/>
    <mergeCell ref="B2134:M2134"/>
    <mergeCell ref="A2135:O2135"/>
    <mergeCell ref="B2038:M2038"/>
    <mergeCell ref="A2130:C2130"/>
    <mergeCell ref="A2131:C2131"/>
    <mergeCell ref="A2085:C2085"/>
    <mergeCell ref="A2075:C2075"/>
    <mergeCell ref="A2080:K2080"/>
    <mergeCell ref="B2089:M2089"/>
    <mergeCell ref="B2090:M2090"/>
    <mergeCell ref="A2062:C2062"/>
    <mergeCell ref="A2115:C2115"/>
    <mergeCell ref="A2116:C2116"/>
    <mergeCell ref="A2117:C2117"/>
    <mergeCell ref="A2118:C2118"/>
    <mergeCell ref="B2044:O2044"/>
    <mergeCell ref="B2045:M2045"/>
    <mergeCell ref="A2262:K2262"/>
    <mergeCell ref="B2195:M2195"/>
    <mergeCell ref="A2196:O2196"/>
    <mergeCell ref="A2197:C2197"/>
    <mergeCell ref="A2198:C2198"/>
    <mergeCell ref="A2199:C2199"/>
    <mergeCell ref="A2200:K2200"/>
    <mergeCell ref="B2201:M2201"/>
    <mergeCell ref="B2202:M2202"/>
    <mergeCell ref="A2220:K2220"/>
    <mergeCell ref="A2223:O2223"/>
    <mergeCell ref="A2224:C2224"/>
    <mergeCell ref="A2225:C2225"/>
    <mergeCell ref="A2226:K2226"/>
    <mergeCell ref="B2227:M2227"/>
    <mergeCell ref="A2244:C2244"/>
    <mergeCell ref="A2246:K2246"/>
    <mergeCell ref="B2253:O2253"/>
    <mergeCell ref="B2254:M2254"/>
    <mergeCell ref="B2240:M2240"/>
    <mergeCell ref="A2241:O2241"/>
    <mergeCell ref="A2242:C2242"/>
    <mergeCell ref="A2243:C2243"/>
    <mergeCell ref="A2206:K2206"/>
    <mergeCell ref="B2207:M2207"/>
    <mergeCell ref="B2208:M2208"/>
    <mergeCell ref="A2209:O2209"/>
    <mergeCell ref="A2210:C2210"/>
    <mergeCell ref="A2211:C2211"/>
    <mergeCell ref="A2212:C2212"/>
    <mergeCell ref="A2213:K2213"/>
    <mergeCell ref="B2214:M2214"/>
    <mergeCell ref="A2294:K2294"/>
    <mergeCell ref="B2295:M2295"/>
    <mergeCell ref="B2296:M2296"/>
    <mergeCell ref="A2297:O2297"/>
    <mergeCell ref="A2298:C2298"/>
    <mergeCell ref="A2299:C2299"/>
    <mergeCell ref="A2301:C2301"/>
    <mergeCell ref="A2302:K2302"/>
    <mergeCell ref="A2290:C2290"/>
    <mergeCell ref="A2291:C2291"/>
    <mergeCell ref="B2272:M2272"/>
    <mergeCell ref="A2273:O2273"/>
    <mergeCell ref="A2274:C2274"/>
    <mergeCell ref="A2275:C2275"/>
    <mergeCell ref="A2277:C2277"/>
    <mergeCell ref="A2278:K2278"/>
    <mergeCell ref="B2279:M2279"/>
    <mergeCell ref="B2280:M2280"/>
    <mergeCell ref="A2281:O2281"/>
    <mergeCell ref="A2276:C2276"/>
    <mergeCell ref="A2284:C2284"/>
    <mergeCell ref="A2292:C2292"/>
    <mergeCell ref="A2300:C2300"/>
    <mergeCell ref="B2287:M2287"/>
    <mergeCell ref="B2288:M2288"/>
    <mergeCell ref="A2289:O2289"/>
    <mergeCell ref="A2293:C2293"/>
    <mergeCell ref="B2303:O2303"/>
    <mergeCell ref="B2304:O2304"/>
    <mergeCell ref="B2305:M2305"/>
    <mergeCell ref="B2306:M2306"/>
    <mergeCell ref="A2307:O2307"/>
    <mergeCell ref="A2308:C2308"/>
    <mergeCell ref="A2372:K2372"/>
    <mergeCell ref="A2309:C2309"/>
    <mergeCell ref="A2377:C2377"/>
    <mergeCell ref="A2405:C2405"/>
    <mergeCell ref="A2406:C2406"/>
    <mergeCell ref="A2378:C2378"/>
    <mergeCell ref="A2402:C2402"/>
    <mergeCell ref="A2403:C2403"/>
    <mergeCell ref="A2404:C2404"/>
    <mergeCell ref="A2310:C2310"/>
    <mergeCell ref="A2379:C2379"/>
    <mergeCell ref="A2390:C2390"/>
    <mergeCell ref="A2391:C2391"/>
    <mergeCell ref="A2392:C2392"/>
    <mergeCell ref="A2393:C2393"/>
    <mergeCell ref="A2394:C2394"/>
    <mergeCell ref="A2395:C2395"/>
    <mergeCell ref="A2396:C2396"/>
    <mergeCell ref="A2397:C2397"/>
    <mergeCell ref="A2348:C2348"/>
    <mergeCell ref="A2349:C2349"/>
    <mergeCell ref="A2350:C2350"/>
    <mergeCell ref="A2335:C2335"/>
    <mergeCell ref="A2351:C2351"/>
    <mergeCell ref="A2371:C2371"/>
    <mergeCell ref="A2336:C2336"/>
    <mergeCell ref="A2538:C2538"/>
    <mergeCell ref="A2539:C2539"/>
    <mergeCell ref="A2540:C2540"/>
    <mergeCell ref="A2541:C2541"/>
    <mergeCell ref="A2475:K2475"/>
    <mergeCell ref="B2483:M2483"/>
    <mergeCell ref="B2484:M2484"/>
    <mergeCell ref="B2476:M2476"/>
    <mergeCell ref="B2477:M2477"/>
    <mergeCell ref="A2478:O2478"/>
    <mergeCell ref="A2479:C2479"/>
    <mergeCell ref="A2480:C2480"/>
    <mergeCell ref="A2481:C2481"/>
    <mergeCell ref="A2482:K2482"/>
    <mergeCell ref="B2519:M2519"/>
    <mergeCell ref="B2520:M2520"/>
    <mergeCell ref="A2521:O2521"/>
    <mergeCell ref="A2522:C2522"/>
    <mergeCell ref="A2523:C2523"/>
    <mergeCell ref="A2524:C2524"/>
    <mergeCell ref="A2525:C2525"/>
    <mergeCell ref="A2506:C2506"/>
    <mergeCell ref="A2507:C2507"/>
    <mergeCell ref="A2508:C2508"/>
    <mergeCell ref="A2509:C2509"/>
    <mergeCell ref="A2510:C2510"/>
    <mergeCell ref="A2511:C2511"/>
    <mergeCell ref="A2515:C2515"/>
    <mergeCell ref="A2516:C2516"/>
    <mergeCell ref="A2517:C2517"/>
    <mergeCell ref="A2605:C2605"/>
    <mergeCell ref="A2574:K2574"/>
    <mergeCell ref="B2575:O2575"/>
    <mergeCell ref="B2576:M2576"/>
    <mergeCell ref="B2577:M2577"/>
    <mergeCell ref="A2578:O2578"/>
    <mergeCell ref="A2579:C2579"/>
    <mergeCell ref="A2580:C2580"/>
    <mergeCell ref="A2564:C2564"/>
    <mergeCell ref="A2568:C2568"/>
    <mergeCell ref="A2569:C2569"/>
    <mergeCell ref="A2571:C2571"/>
    <mergeCell ref="A2572:C2572"/>
    <mergeCell ref="A2573:C2573"/>
    <mergeCell ref="A2560:C2560"/>
    <mergeCell ref="A2561:C2561"/>
    <mergeCell ref="A2494:C2494"/>
    <mergeCell ref="A2495:C2495"/>
    <mergeCell ref="A2550:C2550"/>
    <mergeCell ref="A2518:K2518"/>
    <mergeCell ref="B2547:M2547"/>
    <mergeCell ref="B2548:M2548"/>
    <mergeCell ref="A2549:O2549"/>
    <mergeCell ref="A2581:C2581"/>
    <mergeCell ref="A2582:C2582"/>
    <mergeCell ref="A2552:C2552"/>
    <mergeCell ref="A2565:C2565"/>
    <mergeCell ref="A2566:C2566"/>
    <mergeCell ref="A2567:C2567"/>
    <mergeCell ref="A2598:K2598"/>
    <mergeCell ref="B2599:M2599"/>
    <mergeCell ref="A2593:C2593"/>
    <mergeCell ref="A2594:C2594"/>
    <mergeCell ref="A2595:C2595"/>
    <mergeCell ref="A2596:C2596"/>
    <mergeCell ref="A2604:C2604"/>
    <mergeCell ref="A2583:C2583"/>
    <mergeCell ref="A2584:C2584"/>
    <mergeCell ref="A2585:C2585"/>
    <mergeCell ref="A2586:C2586"/>
    <mergeCell ref="A2587:C2587"/>
    <mergeCell ref="A2553:C2553"/>
    <mergeCell ref="A2562:C2562"/>
    <mergeCell ref="A2563:C2563"/>
    <mergeCell ref="A2496:C2496"/>
    <mergeCell ref="A2497:C2497"/>
    <mergeCell ref="A2498:C2498"/>
    <mergeCell ref="A2499:C2499"/>
    <mergeCell ref="B2600:M2600"/>
    <mergeCell ref="A2601:O2601"/>
    <mergeCell ref="A2602:C2602"/>
    <mergeCell ref="A2603:C2603"/>
    <mergeCell ref="A2542:C2542"/>
    <mergeCell ref="A2543:C2543"/>
    <mergeCell ref="A2544:C2544"/>
    <mergeCell ref="A2545:C2545"/>
    <mergeCell ref="A2546:K2546"/>
    <mergeCell ref="A2514:C2514"/>
    <mergeCell ref="A2551:C2551"/>
    <mergeCell ref="A2526:C2526"/>
    <mergeCell ref="A2527:C2527"/>
    <mergeCell ref="A2528:C2528"/>
    <mergeCell ref="B2590:M2590"/>
    <mergeCell ref="A2591:O2591"/>
    <mergeCell ref="A2669:K2669"/>
    <mergeCell ref="A2619:C2619"/>
    <mergeCell ref="A2636:C2636"/>
    <mergeCell ref="A2637:C2637"/>
    <mergeCell ref="A2638:K2638"/>
    <mergeCell ref="B2661:M2661"/>
    <mergeCell ref="B2662:M2662"/>
    <mergeCell ref="A2663:O2663"/>
    <mergeCell ref="A2664:C2664"/>
    <mergeCell ref="A2665:C2665"/>
    <mergeCell ref="A2610:C2610"/>
    <mergeCell ref="A2611:C2611"/>
    <mergeCell ref="A2613:C2613"/>
    <mergeCell ref="A2614:K2614"/>
    <mergeCell ref="B2615:O2615"/>
    <mergeCell ref="B2616:M2616"/>
    <mergeCell ref="B2617:M2617"/>
    <mergeCell ref="A2618:O2618"/>
    <mergeCell ref="A2612:C2612"/>
    <mergeCell ref="A2666:C2666"/>
    <mergeCell ref="A2667:C2667"/>
    <mergeCell ref="A2668:C2668"/>
    <mergeCell ref="B2639:M2639"/>
    <mergeCell ref="B2640:M2640"/>
    <mergeCell ref="A2641:O2641"/>
    <mergeCell ref="A2642:C2642"/>
    <mergeCell ref="A2643:C2643"/>
    <mergeCell ref="A2644:K2644"/>
    <mergeCell ref="B2645:M2645"/>
    <mergeCell ref="B2646:M2646"/>
    <mergeCell ref="A2647:O2647"/>
    <mergeCell ref="A2648:C2648"/>
    <mergeCell ref="A380:C380"/>
    <mergeCell ref="A381:C381"/>
    <mergeCell ref="A394:C394"/>
    <mergeCell ref="A395:C395"/>
    <mergeCell ref="A396:C396"/>
    <mergeCell ref="A397:C397"/>
    <mergeCell ref="A398:C398"/>
    <mergeCell ref="A399:C399"/>
    <mergeCell ref="A400:C400"/>
    <mergeCell ref="A402:C402"/>
    <mergeCell ref="A403:C403"/>
    <mergeCell ref="A404:C404"/>
    <mergeCell ref="A405:C405"/>
    <mergeCell ref="A406:C406"/>
    <mergeCell ref="A407:C407"/>
    <mergeCell ref="A408:C408"/>
    <mergeCell ref="A409:C409"/>
    <mergeCell ref="A401:C401"/>
    <mergeCell ref="A2260:C2260"/>
    <mergeCell ref="A2261:C2261"/>
    <mergeCell ref="A2245:C2245"/>
    <mergeCell ref="A2236:C2236"/>
    <mergeCell ref="B2239:M2239"/>
    <mergeCell ref="A493:C493"/>
    <mergeCell ref="A382:C382"/>
    <mergeCell ref="A387:C387"/>
    <mergeCell ref="A388:C388"/>
    <mergeCell ref="A389:C389"/>
    <mergeCell ref="A390:C390"/>
    <mergeCell ref="A391:C391"/>
    <mergeCell ref="A392:C392"/>
    <mergeCell ref="A383:C383"/>
    <mergeCell ref="A384:C384"/>
    <mergeCell ref="A385:C385"/>
    <mergeCell ref="A386:C386"/>
    <mergeCell ref="A410:C410"/>
    <mergeCell ref="A411:C411"/>
    <mergeCell ref="A2231:C2231"/>
    <mergeCell ref="A2232:K2232"/>
    <mergeCell ref="B2233:M2233"/>
    <mergeCell ref="B2234:M2234"/>
    <mergeCell ref="A2235:O2235"/>
    <mergeCell ref="A2187:K2187"/>
    <mergeCell ref="B2188:M2188"/>
    <mergeCell ref="B2189:M2189"/>
    <mergeCell ref="A2190:O2190"/>
    <mergeCell ref="A2191:C2191"/>
    <mergeCell ref="A2192:C2192"/>
    <mergeCell ref="A2193:K2193"/>
    <mergeCell ref="B2215:M2215"/>
    <mergeCell ref="A1572:C1572"/>
    <mergeCell ref="A1573:C1573"/>
    <mergeCell ref="A1574:C1574"/>
    <mergeCell ref="A1575:C1575"/>
    <mergeCell ref="A1576:C1576"/>
    <mergeCell ref="A1577:C1577"/>
    <mergeCell ref="B1619:M1619"/>
    <mergeCell ref="A1620:O1620"/>
    <mergeCell ref="A1621:C1621"/>
    <mergeCell ref="A1622:C1622"/>
    <mergeCell ref="A1578:C1578"/>
    <mergeCell ref="A1579:C1579"/>
    <mergeCell ref="A1580:C1580"/>
    <mergeCell ref="A1581:C1581"/>
    <mergeCell ref="A1585:C1585"/>
    <mergeCell ref="A1590:K1590"/>
    <mergeCell ref="A1568:C1568"/>
    <mergeCell ref="A1569:C1569"/>
    <mergeCell ref="A1586:C1586"/>
    <mergeCell ref="A1587:C1587"/>
    <mergeCell ref="A1588:C1588"/>
    <mergeCell ref="A1589:C1589"/>
    <mergeCell ref="B1591:M1591"/>
    <mergeCell ref="B1592:M1592"/>
    <mergeCell ref="A1601:C1601"/>
    <mergeCell ref="A1602:K1602"/>
    <mergeCell ref="A1615:C1615"/>
    <mergeCell ref="A1596:C1596"/>
    <mergeCell ref="A1597:C1597"/>
    <mergeCell ref="A1598:C1598"/>
    <mergeCell ref="A1599:C1599"/>
    <mergeCell ref="A1593:O1593"/>
    <mergeCell ref="A1547:C1547"/>
    <mergeCell ref="A1548:C1548"/>
    <mergeCell ref="A1556:C1556"/>
    <mergeCell ref="A1570:C1570"/>
    <mergeCell ref="A1571:C1571"/>
    <mergeCell ref="A1549:C1549"/>
    <mergeCell ref="A1550:C1550"/>
    <mergeCell ref="A1551:C1551"/>
    <mergeCell ref="A1552:C1552"/>
    <mergeCell ref="A1553:C1553"/>
    <mergeCell ref="A1554:C1554"/>
    <mergeCell ref="A1555:C1555"/>
    <mergeCell ref="B1558:M1558"/>
    <mergeCell ref="B1559:M1559"/>
    <mergeCell ref="A1560:O1560"/>
    <mergeCell ref="A1561:C1561"/>
    <mergeCell ref="A1566:C1566"/>
    <mergeCell ref="A1567:C1567"/>
    <mergeCell ref="A1564:C1564"/>
    <mergeCell ref="A1565:C1565"/>
    <mergeCell ref="A1557:K1557"/>
    <mergeCell ref="A1674:C1674"/>
    <mergeCell ref="A1675:C1675"/>
    <mergeCell ref="A1676:C1676"/>
    <mergeCell ref="A1677:C1677"/>
    <mergeCell ref="A1678:C1678"/>
    <mergeCell ref="A1679:C1679"/>
    <mergeCell ref="A1680:C1680"/>
    <mergeCell ref="A1681:C1681"/>
    <mergeCell ref="A1682:C1682"/>
    <mergeCell ref="A1683:C1683"/>
    <mergeCell ref="A1684:C1684"/>
    <mergeCell ref="A1701:C1701"/>
    <mergeCell ref="A1702:C1702"/>
    <mergeCell ref="A1703:C1703"/>
    <mergeCell ref="A1704:C1704"/>
    <mergeCell ref="A1705:C1705"/>
    <mergeCell ref="B1695:M1695"/>
    <mergeCell ref="B1696:M1696"/>
    <mergeCell ref="A1697:O1697"/>
    <mergeCell ref="A1698:C1698"/>
    <mergeCell ref="A1699:C1699"/>
    <mergeCell ref="B1669:M1669"/>
    <mergeCell ref="B1670:M1670"/>
    <mergeCell ref="A1671:O1671"/>
    <mergeCell ref="A1672:C1672"/>
    <mergeCell ref="A1673:C1673"/>
    <mergeCell ref="A1692:C1692"/>
    <mergeCell ref="A1693:C1693"/>
    <mergeCell ref="A1694:K1694"/>
    <mergeCell ref="A1685:C1685"/>
    <mergeCell ref="A1686:C1686"/>
    <mergeCell ref="A2620:C2620"/>
    <mergeCell ref="A2621:C2621"/>
    <mergeCell ref="A2627:C2627"/>
    <mergeCell ref="A2628:C2628"/>
    <mergeCell ref="A2629:C2629"/>
    <mergeCell ref="A2633:C2633"/>
    <mergeCell ref="A2634:C2634"/>
    <mergeCell ref="A1801:C1801"/>
    <mergeCell ref="A1802:C1802"/>
    <mergeCell ref="A1803:C1803"/>
    <mergeCell ref="A1827:C1827"/>
    <mergeCell ref="A1830:C1830"/>
    <mergeCell ref="A1833:C1833"/>
    <mergeCell ref="A1831:C1831"/>
    <mergeCell ref="A1832:C1832"/>
    <mergeCell ref="A1754:C1754"/>
    <mergeCell ref="A1769:C1769"/>
    <mergeCell ref="A1793:C1793"/>
    <mergeCell ref="A1794:C1794"/>
    <mergeCell ref="A1795:C1795"/>
    <mergeCell ref="A1886:C1886"/>
    <mergeCell ref="A2060:C2060"/>
    <mergeCell ref="A2635:C2635"/>
    <mergeCell ref="A2622:C2622"/>
    <mergeCell ref="A2623:C2623"/>
    <mergeCell ref="A2624:C2624"/>
    <mergeCell ref="A2625:C2625"/>
    <mergeCell ref="A2626:C2626"/>
    <mergeCell ref="A2630:C2630"/>
    <mergeCell ref="A2631:C2631"/>
    <mergeCell ref="A2632:C2632"/>
    <mergeCell ref="B2247:M2247"/>
    <mergeCell ref="B2248:M2248"/>
    <mergeCell ref="A2249:O2249"/>
    <mergeCell ref="A2250:C2250"/>
    <mergeCell ref="A2251:C2251"/>
    <mergeCell ref="A2252:K2252"/>
    <mergeCell ref="A2606:K2606"/>
    <mergeCell ref="B2607:M2607"/>
    <mergeCell ref="B2608:M2608"/>
    <mergeCell ref="A2282:C2282"/>
    <mergeCell ref="A2283:C2283"/>
    <mergeCell ref="A2285:C2285"/>
    <mergeCell ref="A2270:K2270"/>
    <mergeCell ref="A2609:O2609"/>
    <mergeCell ref="A2588:K2588"/>
    <mergeCell ref="B2589:M2589"/>
    <mergeCell ref="A2592:C2592"/>
    <mergeCell ref="A2597:C2597"/>
    <mergeCell ref="A2256:O2256"/>
    <mergeCell ref="A2257:C2257"/>
    <mergeCell ref="A2334:C2334"/>
    <mergeCell ref="A2326:C2326"/>
    <mergeCell ref="A2286:K2286"/>
    <mergeCell ref="A503:C503"/>
    <mergeCell ref="A504:C504"/>
    <mergeCell ref="A505:C505"/>
    <mergeCell ref="A506:C506"/>
    <mergeCell ref="A507:C507"/>
    <mergeCell ref="A508:C508"/>
    <mergeCell ref="A509:C509"/>
    <mergeCell ref="A510:C510"/>
    <mergeCell ref="A494:C494"/>
    <mergeCell ref="A495:C495"/>
    <mergeCell ref="A496:C496"/>
    <mergeCell ref="A497:C497"/>
    <mergeCell ref="A498:C498"/>
    <mergeCell ref="A499:C499"/>
    <mergeCell ref="A500:C500"/>
    <mergeCell ref="A501:C501"/>
    <mergeCell ref="A502:C502"/>
    <mergeCell ref="A569:C569"/>
    <mergeCell ref="A570:C570"/>
    <mergeCell ref="A571:C571"/>
    <mergeCell ref="A1760:C1760"/>
    <mergeCell ref="A1761:C1761"/>
    <mergeCell ref="A1735:C1735"/>
    <mergeCell ref="A1707:C1707"/>
    <mergeCell ref="A1708:C1708"/>
    <mergeCell ref="A1709:C1709"/>
    <mergeCell ref="A1710:C1710"/>
    <mergeCell ref="A1748:C1748"/>
    <mergeCell ref="A1762:C1762"/>
    <mergeCell ref="A1768:C1768"/>
    <mergeCell ref="A1739:C1739"/>
    <mergeCell ref="A1740:C1740"/>
    <mergeCell ref="A1770:C1770"/>
    <mergeCell ref="A1826:C1826"/>
    <mergeCell ref="A1789:C1789"/>
    <mergeCell ref="A1790:C1790"/>
    <mergeCell ref="A1791:C1791"/>
    <mergeCell ref="A1792:C1792"/>
    <mergeCell ref="A1798:C1798"/>
    <mergeCell ref="A1799:C1799"/>
    <mergeCell ref="A1800:C1800"/>
    <mergeCell ref="A1804:C1804"/>
    <mergeCell ref="B1815:M1815"/>
    <mergeCell ref="A1741:K1741"/>
    <mergeCell ref="A1749:K1749"/>
    <mergeCell ref="B1750:M1750"/>
    <mergeCell ref="B1751:M1751"/>
    <mergeCell ref="A1752:O1752"/>
    <mergeCell ref="A1753:C1753"/>
    <mergeCell ref="A2173:C2173"/>
    <mergeCell ref="A2174:C2174"/>
    <mergeCell ref="A2203:O2203"/>
    <mergeCell ref="A2184:C2184"/>
    <mergeCell ref="A2185:C2185"/>
    <mergeCell ref="A2186:C2186"/>
    <mergeCell ref="B2194:M2194"/>
    <mergeCell ref="A2204:C2204"/>
    <mergeCell ref="A2205:C2205"/>
    <mergeCell ref="A2145:C2145"/>
    <mergeCell ref="B2141:M2141"/>
    <mergeCell ref="A2142:O2142"/>
    <mergeCell ref="A2143:C2143"/>
    <mergeCell ref="A2144:C2144"/>
    <mergeCell ref="A2147:C2147"/>
    <mergeCell ref="A2219:C2219"/>
    <mergeCell ref="A2166:C2166"/>
    <mergeCell ref="A2167:K2167"/>
    <mergeCell ref="B2168:O2168"/>
    <mergeCell ref="B2169:O2169"/>
    <mergeCell ref="B2170:M2170"/>
    <mergeCell ref="B2171:M2171"/>
    <mergeCell ref="A2172:O2172"/>
    <mergeCell ref="A2148:C2148"/>
    <mergeCell ref="A2149:C2149"/>
    <mergeCell ref="A2155:C2155"/>
    <mergeCell ref="A2158:K2158"/>
    <mergeCell ref="B2159:M2159"/>
    <mergeCell ref="B2160:M2160"/>
    <mergeCell ref="A2161:O2161"/>
    <mergeCell ref="A2150:C2150"/>
    <mergeCell ref="A2151:K2151"/>
    <mergeCell ref="A1884:C1884"/>
    <mergeCell ref="A1885:C1885"/>
    <mergeCell ref="A1842:C1842"/>
    <mergeCell ref="A1858:C1858"/>
    <mergeCell ref="A1859:K1859"/>
    <mergeCell ref="B1860:M1860"/>
    <mergeCell ref="B1861:M1861"/>
    <mergeCell ref="A1862:O1862"/>
    <mergeCell ref="A1863:C1863"/>
    <mergeCell ref="A1864:C1864"/>
    <mergeCell ref="A1850:C1850"/>
    <mergeCell ref="A1874:C1874"/>
    <mergeCell ref="A1875:C1875"/>
    <mergeCell ref="A1876:C1876"/>
    <mergeCell ref="A1877:C1877"/>
    <mergeCell ref="A1878:C1878"/>
    <mergeCell ref="A1879:C1879"/>
    <mergeCell ref="A1872:C1872"/>
    <mergeCell ref="A1880:C1880"/>
    <mergeCell ref="A1851:K1851"/>
    <mergeCell ref="B1852:M1852"/>
    <mergeCell ref="B1853:M1853"/>
    <mergeCell ref="A1854:O1854"/>
    <mergeCell ref="A1855:C1855"/>
    <mergeCell ref="A1856:C1856"/>
    <mergeCell ref="A1857:C1857"/>
    <mergeCell ref="A1843:K1843"/>
    <mergeCell ref="B1844:M1844"/>
    <mergeCell ref="B1845:M1845"/>
    <mergeCell ref="A1846:O1846"/>
    <mergeCell ref="A1847:C1847"/>
    <mergeCell ref="A1848:C1848"/>
    <mergeCell ref="A2381:C2381"/>
    <mergeCell ref="B2228:M2228"/>
    <mergeCell ref="A2229:O2229"/>
    <mergeCell ref="A2230:C2230"/>
    <mergeCell ref="B2264:M2264"/>
    <mergeCell ref="A2265:O2265"/>
    <mergeCell ref="A2266:C2266"/>
    <mergeCell ref="A2267:C2267"/>
    <mergeCell ref="A2269:C2269"/>
    <mergeCell ref="B2271:M2271"/>
    <mergeCell ref="B2263:M2263"/>
    <mergeCell ref="B2221:M2221"/>
    <mergeCell ref="B2222:M2222"/>
    <mergeCell ref="B2255:M2255"/>
    <mergeCell ref="A2345:C2345"/>
    <mergeCell ref="A2346:C2346"/>
    <mergeCell ref="A1887:C1887"/>
    <mergeCell ref="A1888:C1888"/>
    <mergeCell ref="A1889:C1889"/>
    <mergeCell ref="A1890:C1890"/>
    <mergeCell ref="A2037:K2037"/>
    <mergeCell ref="A2007:C2007"/>
    <mergeCell ref="A2008:C2008"/>
    <mergeCell ref="A2009:K2009"/>
    <mergeCell ref="B2010:M2010"/>
    <mergeCell ref="B2011:M2011"/>
    <mergeCell ref="A2012:O2012"/>
    <mergeCell ref="A2013:C2013"/>
    <mergeCell ref="B2039:M2039"/>
    <mergeCell ref="B2102:M2102"/>
    <mergeCell ref="B2103:M2103"/>
    <mergeCell ref="A2104:O2104"/>
    <mergeCell ref="A2344:C2344"/>
    <mergeCell ref="A2258:C2258"/>
    <mergeCell ref="A2259:C2259"/>
    <mergeCell ref="A2079:C2079"/>
    <mergeCell ref="A2092:C2092"/>
    <mergeCell ref="A2093:C2093"/>
    <mergeCell ref="A2268:C2268"/>
    <mergeCell ref="A2237:C2237"/>
    <mergeCell ref="A2238:K2238"/>
    <mergeCell ref="A2368:C2368"/>
    <mergeCell ref="A2369:C2369"/>
    <mergeCell ref="A2370:C2370"/>
    <mergeCell ref="B2373:M2373"/>
    <mergeCell ref="B2374:M2374"/>
    <mergeCell ref="A2375:O2375"/>
    <mergeCell ref="A2376:C2376"/>
    <mergeCell ref="A2380:C2380"/>
    <mergeCell ref="A2105:C2105"/>
    <mergeCell ref="B2081:O2081"/>
    <mergeCell ref="A2098:C2098"/>
    <mergeCell ref="A2100:C2100"/>
    <mergeCell ref="A2101:K2101"/>
    <mergeCell ref="A2099:C2099"/>
    <mergeCell ref="A2146:C2146"/>
    <mergeCell ref="A2136:C2136"/>
    <mergeCell ref="A2216:O2216"/>
    <mergeCell ref="A2217:C2217"/>
    <mergeCell ref="A2218:C2218"/>
    <mergeCell ref="A2162:C2162"/>
    <mergeCell ref="A2165:C2165"/>
    <mergeCell ref="A2175:C2175"/>
    <mergeCell ref="A2176:C2176"/>
    <mergeCell ref="A2367:C2367"/>
    <mergeCell ref="A2382:C2382"/>
    <mergeCell ref="A2383:C2383"/>
    <mergeCell ref="A2384:C2384"/>
    <mergeCell ref="A2385:C2385"/>
    <mergeCell ref="A2386:C2386"/>
    <mergeCell ref="A2340:C2340"/>
    <mergeCell ref="A2358:C2358"/>
    <mergeCell ref="A2320:C2320"/>
    <mergeCell ref="A2321:C2321"/>
    <mergeCell ref="A2322:C2322"/>
    <mergeCell ref="A2323:C2323"/>
    <mergeCell ref="A2324:C2324"/>
    <mergeCell ref="A2325:C2325"/>
    <mergeCell ref="A2341:C2341"/>
    <mergeCell ref="A2328:C2328"/>
    <mergeCell ref="A2329:C2329"/>
    <mergeCell ref="A2330:C2330"/>
    <mergeCell ref="A2331:C2331"/>
    <mergeCell ref="A2332:C2332"/>
    <mergeCell ref="A2333:C2333"/>
    <mergeCell ref="A2362:C2362"/>
    <mergeCell ref="A2363:C2363"/>
    <mergeCell ref="A2364:C2364"/>
    <mergeCell ref="A2359:C2359"/>
    <mergeCell ref="A2337:C2337"/>
    <mergeCell ref="A2338:C2338"/>
    <mergeCell ref="A2339:C2339"/>
    <mergeCell ref="A2352:C2352"/>
    <mergeCell ref="A2353:C2353"/>
    <mergeCell ref="A2342:C2342"/>
    <mergeCell ref="A2343:C2343"/>
    <mergeCell ref="A2431:C2431"/>
    <mergeCell ref="A2456:C2456"/>
    <mergeCell ref="A2458:C2458"/>
    <mergeCell ref="A2459:C2459"/>
    <mergeCell ref="A2460:C2460"/>
    <mergeCell ref="A2467:C2467"/>
    <mergeCell ref="A2468:C2468"/>
    <mergeCell ref="A2355:C2355"/>
    <mergeCell ref="A2356:C2356"/>
    <mergeCell ref="A2357:C2357"/>
    <mergeCell ref="A2354:C2354"/>
    <mergeCell ref="A2347:C2347"/>
    <mergeCell ref="A2387:C2387"/>
    <mergeCell ref="A2388:C2388"/>
    <mergeCell ref="A2389:C2389"/>
    <mergeCell ref="A2422:C2422"/>
    <mergeCell ref="A2423:C2423"/>
    <mergeCell ref="A2424:C2424"/>
    <mergeCell ref="A2399:C2399"/>
    <mergeCell ref="A2400:C2400"/>
    <mergeCell ref="A2401:C2401"/>
    <mergeCell ref="A2416:C2416"/>
    <mergeCell ref="A2417:C2417"/>
    <mergeCell ref="A2418:C2418"/>
    <mergeCell ref="A2419:C2419"/>
    <mergeCell ref="A2420:C2420"/>
    <mergeCell ref="A2421:C2421"/>
    <mergeCell ref="A2407:C2407"/>
    <mergeCell ref="A2408:C2408"/>
    <mergeCell ref="A2398:C2398"/>
    <mergeCell ref="A2365:C2365"/>
    <mergeCell ref="A2366:C2366"/>
    <mergeCell ref="A2415:C2415"/>
    <mergeCell ref="A2432:C2432"/>
    <mergeCell ref="A2433:C2433"/>
    <mergeCell ref="A2434:C2434"/>
    <mergeCell ref="A2435:C2435"/>
    <mergeCell ref="A2436:C2436"/>
    <mergeCell ref="A2437:C2437"/>
    <mergeCell ref="A2470:C2470"/>
    <mergeCell ref="A2471:C2471"/>
    <mergeCell ref="A2472:C2472"/>
    <mergeCell ref="A2473:C2473"/>
    <mergeCell ref="A2474:C2474"/>
    <mergeCell ref="A2461:C2461"/>
    <mergeCell ref="A2462:C2462"/>
    <mergeCell ref="A2463:C2463"/>
    <mergeCell ref="A2464:C2464"/>
    <mergeCell ref="A2465:C2465"/>
    <mergeCell ref="A2466:C2466"/>
    <mergeCell ref="A2457:C2457"/>
    <mergeCell ref="A2425:C2425"/>
    <mergeCell ref="A2426:C2426"/>
    <mergeCell ref="A2427:C2427"/>
    <mergeCell ref="A2428:C2428"/>
    <mergeCell ref="A2441:C2441"/>
    <mergeCell ref="A2442:C2442"/>
    <mergeCell ref="A2443:C2443"/>
    <mergeCell ref="A2444:C2444"/>
    <mergeCell ref="A2445:C2445"/>
    <mergeCell ref="A2446:C2446"/>
    <mergeCell ref="A2447:C2447"/>
    <mergeCell ref="A2429:C2429"/>
    <mergeCell ref="A2430:C2430"/>
    <mergeCell ref="A2327:C2327"/>
    <mergeCell ref="A642:C642"/>
    <mergeCell ref="A643:C643"/>
    <mergeCell ref="A644:C644"/>
    <mergeCell ref="A645:C645"/>
    <mergeCell ref="A652:C652"/>
    <mergeCell ref="A653:C653"/>
    <mergeCell ref="A654:C654"/>
    <mergeCell ref="A655:C655"/>
    <mergeCell ref="A668:C668"/>
    <mergeCell ref="A669:C669"/>
    <mergeCell ref="A670:C670"/>
    <mergeCell ref="A1891:C1891"/>
    <mergeCell ref="A1892:C1892"/>
    <mergeCell ref="A1893:C1893"/>
    <mergeCell ref="A1894:C1894"/>
    <mergeCell ref="A2469:C2469"/>
    <mergeCell ref="A2438:C2438"/>
    <mergeCell ref="A2439:C2439"/>
    <mergeCell ref="A2440:C2440"/>
    <mergeCell ref="A2448:C2448"/>
    <mergeCell ref="A2449:C2449"/>
    <mergeCell ref="A2450:C2450"/>
    <mergeCell ref="A2451:C2451"/>
    <mergeCell ref="A2452:C2452"/>
    <mergeCell ref="A2453:C2453"/>
    <mergeCell ref="A2409:C2409"/>
    <mergeCell ref="A2410:C2410"/>
    <mergeCell ref="A2411:C2411"/>
    <mergeCell ref="A2412:C2412"/>
    <mergeCell ref="A2413:C2413"/>
    <mergeCell ref="A2414:C2414"/>
    <mergeCell ref="A202:C202"/>
    <mergeCell ref="A229:C229"/>
    <mergeCell ref="A218:C218"/>
    <mergeCell ref="A238:C238"/>
    <mergeCell ref="A239:C239"/>
    <mergeCell ref="A240:C240"/>
    <mergeCell ref="A241:C241"/>
    <mergeCell ref="A2311:C2311"/>
    <mergeCell ref="A2312:C2312"/>
    <mergeCell ref="A2313:C2313"/>
    <mergeCell ref="A2314:C2314"/>
    <mergeCell ref="A2315:C2315"/>
    <mergeCell ref="A2316:C2316"/>
    <mergeCell ref="A2317:C2317"/>
    <mergeCell ref="A2318:C2318"/>
    <mergeCell ref="A2319:C2319"/>
    <mergeCell ref="B2095:M2095"/>
    <mergeCell ref="B2096:M2096"/>
    <mergeCell ref="A2097:O2097"/>
    <mergeCell ref="A2077:C2077"/>
    <mergeCell ref="A2078:C2078"/>
    <mergeCell ref="A2183:C2183"/>
    <mergeCell ref="A2177:C2177"/>
    <mergeCell ref="A2178:C2178"/>
    <mergeCell ref="A2179:C2179"/>
    <mergeCell ref="A2180:C2180"/>
    <mergeCell ref="A2181:C2181"/>
    <mergeCell ref="A2182:C2182"/>
    <mergeCell ref="A2163:C2163"/>
    <mergeCell ref="A2164:C2164"/>
    <mergeCell ref="A2156:C2156"/>
    <mergeCell ref="A2157:C2157"/>
    <mergeCell ref="A248:C248"/>
    <mergeCell ref="A215:C215"/>
    <mergeCell ref="A216:C216"/>
    <mergeCell ref="A217:C217"/>
    <mergeCell ref="A249:C249"/>
    <mergeCell ref="A243:C243"/>
    <mergeCell ref="A2455:C2455"/>
    <mergeCell ref="A2454:C2454"/>
    <mergeCell ref="A2360:C2360"/>
    <mergeCell ref="A2361:C2361"/>
    <mergeCell ref="A177:C177"/>
    <mergeCell ref="A178:C178"/>
    <mergeCell ref="A179:C179"/>
    <mergeCell ref="A180:C180"/>
    <mergeCell ref="A185:C185"/>
    <mergeCell ref="A186:C186"/>
    <mergeCell ref="A183:C183"/>
    <mergeCell ref="A184:C184"/>
    <mergeCell ref="A181:C181"/>
    <mergeCell ref="A182:C182"/>
    <mergeCell ref="A211:C211"/>
    <mergeCell ref="A212:C212"/>
    <mergeCell ref="A236:C236"/>
    <mergeCell ref="A234:C234"/>
    <mergeCell ref="A235:C235"/>
    <mergeCell ref="A242:C242"/>
    <mergeCell ref="A224:C224"/>
    <mergeCell ref="A225:K225"/>
    <mergeCell ref="B226:M226"/>
    <mergeCell ref="B227:M227"/>
    <mergeCell ref="A228:O228"/>
    <mergeCell ref="A201:O201"/>
    <mergeCell ref="A1849:C1849"/>
    <mergeCell ref="A1881:C1881"/>
    <mergeCell ref="A1882:C1882"/>
    <mergeCell ref="A1883:C1883"/>
    <mergeCell ref="A1724:C1724"/>
    <mergeCell ref="A1730:C1730"/>
    <mergeCell ref="A1731:C1731"/>
    <mergeCell ref="A1732:C1732"/>
    <mergeCell ref="A1733:C1733"/>
    <mergeCell ref="A1747:C1747"/>
    <mergeCell ref="A2649:C2649"/>
    <mergeCell ref="A2650:K2650"/>
    <mergeCell ref="A205:C205"/>
    <mergeCell ref="A222:C222"/>
    <mergeCell ref="A230:C230"/>
    <mergeCell ref="A233:C233"/>
    <mergeCell ref="A246:C246"/>
    <mergeCell ref="A255:C255"/>
    <mergeCell ref="A274:C274"/>
    <mergeCell ref="A275:C275"/>
    <mergeCell ref="A276:C276"/>
    <mergeCell ref="A277:C277"/>
    <mergeCell ref="A278:C278"/>
    <mergeCell ref="A279:C279"/>
    <mergeCell ref="A206:C206"/>
    <mergeCell ref="A207:C207"/>
    <mergeCell ref="A208:C208"/>
    <mergeCell ref="A264:C264"/>
    <mergeCell ref="A213:C213"/>
    <mergeCell ref="A214:C214"/>
    <mergeCell ref="A220:C220"/>
    <mergeCell ref="A247:C247"/>
  </mergeCells>
  <phoneticPr fontId="6" type="noConversion"/>
  <printOptions horizontalCentered="1"/>
  <pageMargins left="0.39370078740157483" right="0.39370078740157483" top="0.39370078740157483" bottom="1.3779527559055118" header="0.31496062992125984" footer="0.31496062992125984"/>
  <pageSetup paperSize="9" scale="64" orientation="portrait" r:id="rId1"/>
  <headerFooter>
    <oddFooter>&amp;RPágina &amp;P de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18C085-D84B-4B1D-9DCD-25A400E272CD}">
  <dimension ref="A1:IY67"/>
  <sheetViews>
    <sheetView view="pageBreakPreview" zoomScaleNormal="100" zoomScaleSheetLayoutView="100" workbookViewId="0">
      <selection activeCell="A2" sqref="A2:P2"/>
    </sheetView>
  </sheetViews>
  <sheetFormatPr defaultColWidth="10.6640625" defaultRowHeight="12.75" x14ac:dyDescent="0.2"/>
  <cols>
    <col min="1" max="1" width="8.83203125" style="169" customWidth="1"/>
    <col min="2" max="2" width="50.83203125" style="179" customWidth="1"/>
    <col min="3" max="3" width="10.83203125" style="190" customWidth="1"/>
    <col min="4" max="4" width="16.83203125" style="181" customWidth="1"/>
    <col min="5" max="5" width="11.83203125" style="180" customWidth="1"/>
    <col min="6" max="6" width="14.83203125" style="170" customWidth="1"/>
    <col min="7" max="7" width="11.83203125" style="180" customWidth="1"/>
    <col min="8" max="8" width="14.83203125" style="170" customWidth="1"/>
    <col min="9" max="9" width="11.83203125" style="180" customWidth="1"/>
    <col min="10" max="10" width="14.83203125" style="170" customWidth="1"/>
    <col min="11" max="11" width="11.83203125" style="170" customWidth="1"/>
    <col min="12" max="12" width="14.83203125" style="170" customWidth="1"/>
    <col min="13" max="13" width="11.83203125" style="170" customWidth="1"/>
    <col min="14" max="14" width="14.83203125" style="170" customWidth="1"/>
    <col min="15" max="15" width="11.83203125" style="170" customWidth="1"/>
    <col min="16" max="16" width="14.83203125" style="170" customWidth="1"/>
    <col min="17" max="17" width="14" style="168" bestFit="1" customWidth="1"/>
    <col min="18" max="18" width="12" style="168" bestFit="1" customWidth="1"/>
    <col min="19" max="16384" width="10.6640625" style="168"/>
  </cols>
  <sheetData>
    <row r="1" spans="1:259" s="166" customFormat="1" x14ac:dyDescent="0.2">
      <c r="A1" s="444"/>
      <c r="B1" s="444"/>
      <c r="C1" s="468"/>
      <c r="D1" s="349"/>
      <c r="E1" s="468"/>
      <c r="F1" s="444"/>
      <c r="G1" s="468"/>
      <c r="H1" s="444"/>
      <c r="I1" s="468"/>
      <c r="J1" s="341"/>
      <c r="K1" s="341"/>
      <c r="L1" s="341"/>
      <c r="M1" s="341"/>
      <c r="N1" s="341"/>
      <c r="O1" s="341"/>
      <c r="P1" s="341"/>
    </row>
    <row r="2" spans="1:259" s="166" customFormat="1" x14ac:dyDescent="0.2">
      <c r="A2" s="579" t="str">
        <f>ORCAMENTO!A2</f>
        <v>INSTITUTO FEDERAL DE EDUCAÇÃO CIÊNCIA E TECNOLOGIA DO CEARÁ - CAMPUS BOA VIAGEM</v>
      </c>
      <c r="B2" s="579"/>
      <c r="C2" s="579"/>
      <c r="D2" s="579"/>
      <c r="E2" s="579"/>
      <c r="F2" s="579"/>
      <c r="G2" s="579"/>
      <c r="H2" s="579"/>
      <c r="I2" s="579"/>
      <c r="J2" s="579"/>
      <c r="K2" s="579"/>
      <c r="L2" s="579"/>
      <c r="M2" s="579"/>
      <c r="N2" s="579"/>
      <c r="O2" s="579"/>
      <c r="P2" s="579"/>
    </row>
    <row r="3" spans="1:259" x14ac:dyDescent="0.2">
      <c r="A3" s="469"/>
      <c r="B3" s="99"/>
      <c r="C3" s="99"/>
      <c r="D3" s="99"/>
      <c r="E3" s="99"/>
      <c r="F3" s="96"/>
      <c r="G3" s="96"/>
      <c r="H3" s="96"/>
      <c r="I3" s="96"/>
      <c r="J3" s="96"/>
      <c r="K3" s="96"/>
      <c r="L3" s="96"/>
      <c r="M3" s="96"/>
      <c r="N3" s="96"/>
      <c r="O3" s="96"/>
      <c r="P3" s="96"/>
      <c r="Q3" s="167"/>
      <c r="R3" s="167"/>
      <c r="S3" s="167"/>
      <c r="T3" s="167"/>
      <c r="U3" s="167"/>
      <c r="V3" s="167"/>
      <c r="W3" s="167"/>
      <c r="X3" s="167"/>
      <c r="Y3" s="167"/>
      <c r="Z3" s="167"/>
      <c r="AA3" s="167"/>
      <c r="AB3" s="167"/>
      <c r="AC3" s="167"/>
      <c r="AD3" s="167"/>
      <c r="AE3" s="167"/>
      <c r="AF3" s="167"/>
      <c r="AG3" s="167"/>
      <c r="AH3" s="167"/>
      <c r="AI3" s="167"/>
      <c r="AJ3" s="167"/>
      <c r="AK3" s="167"/>
      <c r="AL3" s="167"/>
      <c r="AM3" s="167"/>
      <c r="AN3" s="167"/>
      <c r="AO3" s="167"/>
      <c r="AP3" s="167"/>
      <c r="AQ3" s="167"/>
      <c r="AR3" s="167"/>
      <c r="AS3" s="167"/>
      <c r="AT3" s="167"/>
      <c r="AU3" s="167"/>
      <c r="AV3" s="167"/>
      <c r="AW3" s="167"/>
      <c r="AX3" s="167"/>
      <c r="AY3" s="167"/>
      <c r="AZ3" s="167"/>
      <c r="BA3" s="167"/>
      <c r="BB3" s="167"/>
      <c r="BC3" s="167"/>
      <c r="BD3" s="167"/>
      <c r="BE3" s="167"/>
      <c r="BF3" s="167"/>
      <c r="BG3" s="167"/>
      <c r="BH3" s="167"/>
      <c r="BI3" s="167"/>
      <c r="BJ3" s="167"/>
      <c r="BK3" s="167"/>
      <c r="BL3" s="167"/>
      <c r="BM3" s="167"/>
      <c r="BN3" s="167"/>
      <c r="BO3" s="167"/>
      <c r="BP3" s="167"/>
      <c r="BQ3" s="167"/>
      <c r="BR3" s="167"/>
      <c r="BS3" s="167"/>
      <c r="BT3" s="167"/>
      <c r="BU3" s="167"/>
      <c r="BV3" s="167"/>
      <c r="BW3" s="167"/>
      <c r="BX3" s="167"/>
      <c r="BY3" s="167"/>
      <c r="BZ3" s="167"/>
      <c r="CA3" s="167"/>
      <c r="CB3" s="167"/>
      <c r="CC3" s="167"/>
      <c r="CD3" s="167"/>
      <c r="CE3" s="167"/>
      <c r="CF3" s="167"/>
      <c r="CG3" s="167"/>
      <c r="CH3" s="167"/>
      <c r="CI3" s="167"/>
      <c r="CJ3" s="167"/>
      <c r="CK3" s="167"/>
      <c r="CL3" s="167"/>
      <c r="CM3" s="167"/>
      <c r="CN3" s="167"/>
      <c r="CO3" s="167"/>
      <c r="CP3" s="167"/>
      <c r="CQ3" s="167"/>
      <c r="CR3" s="167"/>
      <c r="CS3" s="167"/>
      <c r="CT3" s="167"/>
      <c r="CU3" s="167"/>
      <c r="CV3" s="167"/>
      <c r="CW3" s="167"/>
      <c r="CX3" s="167"/>
      <c r="CY3" s="167"/>
      <c r="CZ3" s="167"/>
      <c r="DA3" s="167"/>
      <c r="DB3" s="167"/>
      <c r="DC3" s="167"/>
      <c r="DD3" s="167"/>
      <c r="DE3" s="167"/>
      <c r="DF3" s="167"/>
      <c r="DG3" s="167"/>
      <c r="DH3" s="167"/>
      <c r="DI3" s="167"/>
      <c r="DJ3" s="167"/>
      <c r="DK3" s="167"/>
      <c r="DL3" s="167"/>
      <c r="DM3" s="167"/>
      <c r="DN3" s="167"/>
      <c r="DO3" s="167"/>
      <c r="DP3" s="167"/>
      <c r="DQ3" s="167"/>
      <c r="DR3" s="167"/>
      <c r="DS3" s="167"/>
      <c r="DT3" s="167"/>
      <c r="DU3" s="167"/>
      <c r="DV3" s="167"/>
      <c r="DW3" s="167"/>
      <c r="DX3" s="167"/>
      <c r="DY3" s="167"/>
      <c r="DZ3" s="167"/>
      <c r="EA3" s="167"/>
      <c r="EB3" s="167"/>
      <c r="EC3" s="167"/>
      <c r="ED3" s="167"/>
      <c r="EE3" s="167"/>
      <c r="EF3" s="167"/>
      <c r="EG3" s="167"/>
      <c r="EH3" s="167"/>
      <c r="EI3" s="167"/>
      <c r="EJ3" s="167"/>
      <c r="EK3" s="167"/>
      <c r="EL3" s="167"/>
      <c r="EM3" s="167"/>
      <c r="EN3" s="167"/>
      <c r="EO3" s="167"/>
      <c r="EP3" s="167"/>
      <c r="EQ3" s="167"/>
      <c r="ER3" s="167"/>
      <c r="ES3" s="167"/>
      <c r="ET3" s="167"/>
      <c r="EU3" s="167"/>
      <c r="EV3" s="167"/>
      <c r="EW3" s="167"/>
      <c r="EX3" s="167"/>
      <c r="EY3" s="167"/>
      <c r="EZ3" s="167"/>
      <c r="FA3" s="167"/>
      <c r="FB3" s="167"/>
      <c r="FC3" s="167"/>
      <c r="FD3" s="167"/>
      <c r="FE3" s="167"/>
      <c r="FF3" s="167"/>
      <c r="FG3" s="167"/>
      <c r="FH3" s="167"/>
      <c r="FI3" s="167"/>
      <c r="FJ3" s="167"/>
      <c r="FK3" s="167"/>
      <c r="FL3" s="167"/>
      <c r="FM3" s="167"/>
      <c r="FN3" s="167"/>
      <c r="FO3" s="167"/>
      <c r="FP3" s="167"/>
      <c r="FQ3" s="167"/>
      <c r="FR3" s="167"/>
      <c r="FS3" s="167"/>
      <c r="FT3" s="167"/>
      <c r="FU3" s="167"/>
      <c r="FV3" s="167"/>
      <c r="FW3" s="167"/>
      <c r="FX3" s="167"/>
      <c r="FY3" s="167"/>
      <c r="FZ3" s="167"/>
      <c r="GA3" s="167"/>
      <c r="GB3" s="167"/>
      <c r="GC3" s="167"/>
      <c r="GD3" s="167"/>
      <c r="GE3" s="167"/>
      <c r="GF3" s="167"/>
      <c r="GG3" s="167"/>
      <c r="GH3" s="167"/>
      <c r="GI3" s="167"/>
      <c r="GJ3" s="167"/>
      <c r="GK3" s="167"/>
      <c r="GL3" s="167"/>
      <c r="GM3" s="167"/>
      <c r="GN3" s="167"/>
      <c r="GO3" s="167"/>
      <c r="GP3" s="167"/>
      <c r="GQ3" s="167"/>
      <c r="GR3" s="167"/>
      <c r="GS3" s="167"/>
      <c r="GT3" s="167"/>
      <c r="GU3" s="167"/>
      <c r="GV3" s="167"/>
      <c r="GW3" s="167"/>
      <c r="GX3" s="167"/>
      <c r="GY3" s="167"/>
      <c r="GZ3" s="167"/>
      <c r="HA3" s="167"/>
      <c r="HB3" s="167"/>
      <c r="HC3" s="167"/>
      <c r="HD3" s="167"/>
      <c r="HE3" s="167"/>
      <c r="HF3" s="167"/>
      <c r="HG3" s="167"/>
      <c r="HH3" s="167"/>
      <c r="HI3" s="167"/>
      <c r="HJ3" s="167"/>
      <c r="HK3" s="167"/>
      <c r="HL3" s="167"/>
      <c r="HM3" s="167"/>
      <c r="HN3" s="167"/>
      <c r="HO3" s="167"/>
      <c r="HP3" s="167"/>
      <c r="HQ3" s="167"/>
      <c r="HR3" s="167"/>
      <c r="HS3" s="167"/>
      <c r="HT3" s="167"/>
      <c r="HU3" s="167"/>
      <c r="HV3" s="167"/>
      <c r="HW3" s="167"/>
      <c r="HX3" s="167"/>
      <c r="HY3" s="167"/>
      <c r="HZ3" s="167"/>
      <c r="IA3" s="167"/>
      <c r="IB3" s="167"/>
      <c r="IC3" s="167"/>
      <c r="ID3" s="167"/>
      <c r="IE3" s="167"/>
      <c r="IF3" s="167"/>
      <c r="IG3" s="167"/>
      <c r="IH3" s="167"/>
      <c r="II3" s="167"/>
      <c r="IJ3" s="167"/>
      <c r="IK3" s="167"/>
      <c r="IL3" s="167"/>
      <c r="IM3" s="167"/>
      <c r="IN3" s="167"/>
      <c r="IO3" s="167"/>
      <c r="IP3" s="167"/>
      <c r="IQ3" s="167"/>
      <c r="IR3" s="167"/>
      <c r="IS3" s="167"/>
      <c r="IT3" s="167"/>
      <c r="IU3" s="167"/>
      <c r="IV3" s="167"/>
      <c r="IW3" s="167"/>
      <c r="IX3" s="167"/>
      <c r="IY3" s="167"/>
    </row>
    <row r="4" spans="1:259" x14ac:dyDescent="0.2">
      <c r="A4" s="469" t="str">
        <f>ORCAMENTO!A4</f>
        <v>OBRA:</v>
      </c>
      <c r="B4" s="99"/>
      <c r="C4" s="99"/>
      <c r="D4" s="99"/>
      <c r="E4" s="99"/>
      <c r="F4" s="96"/>
      <c r="G4" s="96"/>
      <c r="H4" s="96"/>
      <c r="I4" s="96"/>
      <c r="J4" s="96"/>
      <c r="K4" s="96"/>
      <c r="L4" s="96"/>
      <c r="M4" s="96"/>
      <c r="N4" s="96"/>
      <c r="O4" s="96"/>
      <c r="P4" s="96"/>
      <c r="Q4" s="167"/>
      <c r="R4" s="167"/>
      <c r="S4" s="167"/>
      <c r="T4" s="167"/>
      <c r="U4" s="167"/>
      <c r="V4" s="167"/>
      <c r="W4" s="167"/>
      <c r="X4" s="167"/>
      <c r="Y4" s="167"/>
      <c r="Z4" s="167"/>
      <c r="AA4" s="167"/>
      <c r="AB4" s="167"/>
      <c r="AC4" s="167"/>
      <c r="AD4" s="167"/>
      <c r="AE4" s="167"/>
      <c r="AF4" s="167"/>
      <c r="AG4" s="167"/>
      <c r="AH4" s="167"/>
      <c r="AI4" s="167"/>
      <c r="AJ4" s="167"/>
      <c r="AK4" s="167"/>
      <c r="AL4" s="167"/>
      <c r="AM4" s="167"/>
      <c r="AN4" s="167"/>
      <c r="AO4" s="167"/>
      <c r="AP4" s="167"/>
      <c r="AQ4" s="167"/>
      <c r="AR4" s="167"/>
      <c r="AS4" s="167"/>
      <c r="AT4" s="167"/>
      <c r="AU4" s="167"/>
      <c r="AV4" s="167"/>
      <c r="AW4" s="167"/>
      <c r="AX4" s="167"/>
      <c r="AY4" s="167"/>
      <c r="AZ4" s="167"/>
      <c r="BA4" s="167"/>
      <c r="BB4" s="167"/>
      <c r="BC4" s="167"/>
      <c r="BD4" s="167"/>
      <c r="BE4" s="167"/>
      <c r="BF4" s="167"/>
      <c r="BG4" s="167"/>
      <c r="BH4" s="167"/>
      <c r="BI4" s="167"/>
      <c r="BJ4" s="167"/>
      <c r="BK4" s="167"/>
      <c r="BL4" s="167"/>
      <c r="BM4" s="167"/>
      <c r="BN4" s="167"/>
      <c r="BO4" s="167"/>
      <c r="BP4" s="167"/>
      <c r="BQ4" s="167"/>
      <c r="BR4" s="167"/>
      <c r="BS4" s="167"/>
      <c r="BT4" s="167"/>
      <c r="BU4" s="167"/>
      <c r="BV4" s="167"/>
      <c r="BW4" s="167"/>
      <c r="BX4" s="167"/>
      <c r="BY4" s="167"/>
      <c r="BZ4" s="167"/>
      <c r="CA4" s="167"/>
      <c r="CB4" s="167"/>
      <c r="CC4" s="167"/>
      <c r="CD4" s="167"/>
      <c r="CE4" s="167"/>
      <c r="CF4" s="167"/>
      <c r="CG4" s="167"/>
      <c r="CH4" s="167"/>
      <c r="CI4" s="167"/>
      <c r="CJ4" s="167"/>
      <c r="CK4" s="167"/>
      <c r="CL4" s="167"/>
      <c r="CM4" s="167"/>
      <c r="CN4" s="167"/>
      <c r="CO4" s="167"/>
      <c r="CP4" s="167"/>
      <c r="CQ4" s="167"/>
      <c r="CR4" s="167"/>
      <c r="CS4" s="167"/>
      <c r="CT4" s="167"/>
      <c r="CU4" s="167"/>
      <c r="CV4" s="167"/>
      <c r="CW4" s="167"/>
      <c r="CX4" s="167"/>
      <c r="CY4" s="167"/>
      <c r="CZ4" s="167"/>
      <c r="DA4" s="167"/>
      <c r="DB4" s="167"/>
      <c r="DC4" s="167"/>
      <c r="DD4" s="167"/>
      <c r="DE4" s="167"/>
      <c r="DF4" s="167"/>
      <c r="DG4" s="167"/>
      <c r="DH4" s="167"/>
      <c r="DI4" s="167"/>
      <c r="DJ4" s="167"/>
      <c r="DK4" s="167"/>
      <c r="DL4" s="167"/>
      <c r="DM4" s="167"/>
      <c r="DN4" s="167"/>
      <c r="DO4" s="167"/>
      <c r="DP4" s="167"/>
      <c r="DQ4" s="167"/>
      <c r="DR4" s="167"/>
      <c r="DS4" s="167"/>
      <c r="DT4" s="167"/>
      <c r="DU4" s="167"/>
      <c r="DV4" s="167"/>
      <c r="DW4" s="167"/>
      <c r="DX4" s="167"/>
      <c r="DY4" s="167"/>
      <c r="DZ4" s="167"/>
      <c r="EA4" s="167"/>
      <c r="EB4" s="167"/>
      <c r="EC4" s="167"/>
      <c r="ED4" s="167"/>
      <c r="EE4" s="167"/>
      <c r="EF4" s="167"/>
      <c r="EG4" s="167"/>
      <c r="EH4" s="167"/>
      <c r="EI4" s="167"/>
      <c r="EJ4" s="167"/>
      <c r="EK4" s="167"/>
      <c r="EL4" s="167"/>
      <c r="EM4" s="167"/>
      <c r="EN4" s="167"/>
      <c r="EO4" s="167"/>
      <c r="EP4" s="167"/>
      <c r="EQ4" s="167"/>
      <c r="ER4" s="167"/>
      <c r="ES4" s="167"/>
      <c r="ET4" s="167"/>
      <c r="EU4" s="167"/>
      <c r="EV4" s="167"/>
      <c r="EW4" s="167"/>
      <c r="EX4" s="167"/>
      <c r="EY4" s="167"/>
      <c r="EZ4" s="167"/>
      <c r="FA4" s="167"/>
      <c r="FB4" s="167"/>
      <c r="FC4" s="167"/>
      <c r="FD4" s="167"/>
      <c r="FE4" s="167"/>
      <c r="FF4" s="167"/>
      <c r="FG4" s="167"/>
      <c r="FH4" s="167"/>
      <c r="FI4" s="167"/>
      <c r="FJ4" s="167"/>
      <c r="FK4" s="167"/>
      <c r="FL4" s="167"/>
      <c r="FM4" s="167"/>
      <c r="FN4" s="167"/>
      <c r="FO4" s="167"/>
      <c r="FP4" s="167"/>
      <c r="FQ4" s="167"/>
      <c r="FR4" s="167"/>
      <c r="FS4" s="167"/>
      <c r="FT4" s="167"/>
      <c r="FU4" s="167"/>
      <c r="FV4" s="167"/>
      <c r="FW4" s="167"/>
      <c r="FX4" s="167"/>
      <c r="FY4" s="167"/>
      <c r="FZ4" s="167"/>
      <c r="GA4" s="167"/>
      <c r="GB4" s="167"/>
      <c r="GC4" s="167"/>
      <c r="GD4" s="167"/>
      <c r="GE4" s="167"/>
      <c r="GF4" s="167"/>
      <c r="GG4" s="167"/>
      <c r="GH4" s="167"/>
      <c r="GI4" s="167"/>
      <c r="GJ4" s="167"/>
      <c r="GK4" s="167"/>
      <c r="GL4" s="167"/>
      <c r="GM4" s="167"/>
      <c r="GN4" s="167"/>
      <c r="GO4" s="167"/>
      <c r="GP4" s="167"/>
      <c r="GQ4" s="167"/>
      <c r="GR4" s="167"/>
      <c r="GS4" s="167"/>
      <c r="GT4" s="167"/>
      <c r="GU4" s="167"/>
      <c r="GV4" s="167"/>
      <c r="GW4" s="167"/>
      <c r="GX4" s="167"/>
      <c r="GY4" s="167"/>
      <c r="GZ4" s="167"/>
      <c r="HA4" s="167"/>
      <c r="HB4" s="167"/>
      <c r="HC4" s="167"/>
      <c r="HD4" s="167"/>
      <c r="HE4" s="167"/>
      <c r="HF4" s="167"/>
      <c r="HG4" s="167"/>
      <c r="HH4" s="167"/>
      <c r="HI4" s="167"/>
      <c r="HJ4" s="167"/>
      <c r="HK4" s="167"/>
      <c r="HL4" s="167"/>
      <c r="HM4" s="167"/>
      <c r="HN4" s="167"/>
      <c r="HO4" s="167"/>
      <c r="HP4" s="167"/>
      <c r="HQ4" s="167"/>
      <c r="HR4" s="167"/>
      <c r="HS4" s="167"/>
      <c r="HT4" s="167"/>
      <c r="HU4" s="167"/>
      <c r="HV4" s="167"/>
      <c r="HW4" s="167"/>
      <c r="HX4" s="167"/>
      <c r="HY4" s="167"/>
      <c r="HZ4" s="167"/>
      <c r="IA4" s="167"/>
      <c r="IB4" s="167"/>
      <c r="IC4" s="167"/>
      <c r="ID4" s="167"/>
      <c r="IE4" s="167"/>
      <c r="IF4" s="167"/>
      <c r="IG4" s="167"/>
      <c r="IH4" s="167"/>
      <c r="II4" s="167"/>
      <c r="IJ4" s="167"/>
      <c r="IK4" s="167"/>
      <c r="IL4" s="167"/>
      <c r="IM4" s="167"/>
      <c r="IN4" s="167"/>
      <c r="IO4" s="167"/>
      <c r="IP4" s="167"/>
      <c r="IQ4" s="167"/>
      <c r="IR4" s="167"/>
      <c r="IS4" s="167"/>
      <c r="IT4" s="167"/>
      <c r="IU4" s="167"/>
      <c r="IV4" s="167"/>
      <c r="IW4" s="167"/>
      <c r="IX4" s="167"/>
      <c r="IY4" s="167"/>
    </row>
    <row r="5" spans="1:259" x14ac:dyDescent="0.2">
      <c r="A5" s="341" t="str">
        <f>ORCAMENTO!A5</f>
        <v>CENTRO DE INOVAÇÃO E DIFUSÃO DE TECNOLOGIA PARA O SEMIÁRIDO - CAMPUS BOA VIAGEM</v>
      </c>
      <c r="B5" s="99"/>
      <c r="C5" s="99"/>
      <c r="D5" s="99"/>
      <c r="E5" s="99"/>
      <c r="F5" s="96"/>
      <c r="G5" s="96"/>
      <c r="H5" s="96"/>
      <c r="I5" s="96"/>
      <c r="J5" s="96"/>
      <c r="K5" s="96"/>
      <c r="L5" s="96"/>
      <c r="M5" s="96"/>
      <c r="N5" s="96"/>
      <c r="O5" s="96"/>
      <c r="P5" s="96"/>
      <c r="Q5" s="167"/>
      <c r="R5" s="167"/>
      <c r="S5" s="167"/>
      <c r="T5" s="167"/>
      <c r="U5" s="167"/>
      <c r="V5" s="167"/>
      <c r="W5" s="167"/>
      <c r="X5" s="167"/>
      <c r="Y5" s="167"/>
      <c r="Z5" s="167"/>
      <c r="AA5" s="167"/>
      <c r="AB5" s="167"/>
      <c r="AC5" s="167"/>
      <c r="AD5" s="167"/>
      <c r="AE5" s="167"/>
      <c r="AF5" s="167"/>
      <c r="AG5" s="167"/>
      <c r="AH5" s="167"/>
      <c r="AI5" s="167"/>
      <c r="AJ5" s="167"/>
      <c r="AK5" s="167"/>
      <c r="AL5" s="167"/>
      <c r="AM5" s="167"/>
      <c r="AN5" s="167"/>
      <c r="AO5" s="167"/>
      <c r="AP5" s="167"/>
      <c r="AQ5" s="167"/>
      <c r="AR5" s="167"/>
      <c r="AS5" s="167"/>
      <c r="AT5" s="167"/>
      <c r="AU5" s="167"/>
      <c r="AV5" s="167"/>
      <c r="AW5" s="167"/>
      <c r="AX5" s="167"/>
      <c r="AY5" s="167"/>
      <c r="AZ5" s="167"/>
      <c r="BA5" s="167"/>
      <c r="BB5" s="167"/>
      <c r="BC5" s="167"/>
      <c r="BD5" s="167"/>
      <c r="BE5" s="167"/>
      <c r="BF5" s="167"/>
      <c r="BG5" s="167"/>
      <c r="BH5" s="167"/>
      <c r="BI5" s="167"/>
      <c r="BJ5" s="167"/>
      <c r="BK5" s="167"/>
      <c r="BL5" s="167"/>
      <c r="BM5" s="167"/>
      <c r="BN5" s="167"/>
      <c r="BO5" s="167"/>
      <c r="BP5" s="167"/>
      <c r="BQ5" s="167"/>
      <c r="BR5" s="167"/>
      <c r="BS5" s="167"/>
      <c r="BT5" s="167"/>
      <c r="BU5" s="167"/>
      <c r="BV5" s="167"/>
      <c r="BW5" s="167"/>
      <c r="BX5" s="167"/>
      <c r="BY5" s="167"/>
      <c r="BZ5" s="167"/>
      <c r="CA5" s="167"/>
      <c r="CB5" s="167"/>
      <c r="CC5" s="167"/>
      <c r="CD5" s="167"/>
      <c r="CE5" s="167"/>
      <c r="CF5" s="167"/>
      <c r="CG5" s="167"/>
      <c r="CH5" s="167"/>
      <c r="CI5" s="167"/>
      <c r="CJ5" s="167"/>
      <c r="CK5" s="167"/>
      <c r="CL5" s="167"/>
      <c r="CM5" s="167"/>
      <c r="CN5" s="167"/>
      <c r="CO5" s="167"/>
      <c r="CP5" s="167"/>
      <c r="CQ5" s="167"/>
      <c r="CR5" s="167"/>
      <c r="CS5" s="167"/>
      <c r="CT5" s="167"/>
      <c r="CU5" s="167"/>
      <c r="CV5" s="167"/>
      <c r="CW5" s="167"/>
      <c r="CX5" s="167"/>
      <c r="CY5" s="167"/>
      <c r="CZ5" s="167"/>
      <c r="DA5" s="167"/>
      <c r="DB5" s="167"/>
      <c r="DC5" s="167"/>
      <c r="DD5" s="167"/>
      <c r="DE5" s="167"/>
      <c r="DF5" s="167"/>
      <c r="DG5" s="167"/>
      <c r="DH5" s="167"/>
      <c r="DI5" s="167"/>
      <c r="DJ5" s="167"/>
      <c r="DK5" s="167"/>
      <c r="DL5" s="167"/>
      <c r="DM5" s="167"/>
      <c r="DN5" s="167"/>
      <c r="DO5" s="167"/>
      <c r="DP5" s="167"/>
      <c r="DQ5" s="167"/>
      <c r="DR5" s="167"/>
      <c r="DS5" s="167"/>
      <c r="DT5" s="167"/>
      <c r="DU5" s="167"/>
      <c r="DV5" s="167"/>
      <c r="DW5" s="167"/>
      <c r="DX5" s="167"/>
      <c r="DY5" s="167"/>
      <c r="DZ5" s="167"/>
      <c r="EA5" s="167"/>
      <c r="EB5" s="167"/>
      <c r="EC5" s="167"/>
      <c r="ED5" s="167"/>
      <c r="EE5" s="167"/>
      <c r="EF5" s="167"/>
      <c r="EG5" s="167"/>
      <c r="EH5" s="167"/>
      <c r="EI5" s="167"/>
      <c r="EJ5" s="167"/>
      <c r="EK5" s="167"/>
      <c r="EL5" s="167"/>
      <c r="EM5" s="167"/>
      <c r="EN5" s="167"/>
      <c r="EO5" s="167"/>
      <c r="EP5" s="167"/>
      <c r="EQ5" s="167"/>
      <c r="ER5" s="167"/>
      <c r="ES5" s="167"/>
      <c r="ET5" s="167"/>
      <c r="EU5" s="167"/>
      <c r="EV5" s="167"/>
      <c r="EW5" s="167"/>
      <c r="EX5" s="167"/>
      <c r="EY5" s="167"/>
      <c r="EZ5" s="167"/>
      <c r="FA5" s="167"/>
      <c r="FB5" s="167"/>
      <c r="FC5" s="167"/>
      <c r="FD5" s="167"/>
      <c r="FE5" s="167"/>
      <c r="FF5" s="167"/>
      <c r="FG5" s="167"/>
      <c r="FH5" s="167"/>
      <c r="FI5" s="167"/>
      <c r="FJ5" s="167"/>
      <c r="FK5" s="167"/>
      <c r="FL5" s="167"/>
      <c r="FM5" s="167"/>
      <c r="FN5" s="167"/>
      <c r="FO5" s="167"/>
      <c r="FP5" s="167"/>
      <c r="FQ5" s="167"/>
      <c r="FR5" s="167"/>
      <c r="FS5" s="167"/>
      <c r="FT5" s="167"/>
      <c r="FU5" s="167"/>
      <c r="FV5" s="167"/>
      <c r="FW5" s="167"/>
      <c r="FX5" s="167"/>
      <c r="FY5" s="167"/>
      <c r="FZ5" s="167"/>
      <c r="GA5" s="167"/>
      <c r="GB5" s="167"/>
      <c r="GC5" s="167"/>
      <c r="GD5" s="167"/>
      <c r="GE5" s="167"/>
      <c r="GF5" s="167"/>
      <c r="GG5" s="167"/>
      <c r="GH5" s="167"/>
      <c r="GI5" s="167"/>
      <c r="GJ5" s="167"/>
      <c r="GK5" s="167"/>
      <c r="GL5" s="167"/>
      <c r="GM5" s="167"/>
      <c r="GN5" s="167"/>
      <c r="GO5" s="167"/>
      <c r="GP5" s="167"/>
      <c r="GQ5" s="167"/>
      <c r="GR5" s="167"/>
      <c r="GS5" s="167"/>
      <c r="GT5" s="167"/>
      <c r="GU5" s="167"/>
      <c r="GV5" s="167"/>
      <c r="GW5" s="167"/>
      <c r="GX5" s="167"/>
      <c r="GY5" s="167"/>
      <c r="GZ5" s="167"/>
      <c r="HA5" s="167"/>
      <c r="HB5" s="167"/>
      <c r="HC5" s="167"/>
      <c r="HD5" s="167"/>
      <c r="HE5" s="167"/>
      <c r="HF5" s="167"/>
      <c r="HG5" s="167"/>
      <c r="HH5" s="167"/>
      <c r="HI5" s="167"/>
      <c r="HJ5" s="167"/>
      <c r="HK5" s="167"/>
      <c r="HL5" s="167"/>
      <c r="HM5" s="167"/>
      <c r="HN5" s="167"/>
      <c r="HO5" s="167"/>
      <c r="HP5" s="167"/>
      <c r="HQ5" s="167"/>
      <c r="HR5" s="167"/>
      <c r="HS5" s="167"/>
      <c r="HT5" s="167"/>
      <c r="HU5" s="167"/>
      <c r="HV5" s="167"/>
      <c r="HW5" s="167"/>
      <c r="HX5" s="167"/>
      <c r="HY5" s="167"/>
      <c r="HZ5" s="167"/>
      <c r="IA5" s="167"/>
      <c r="IB5" s="167"/>
      <c r="IC5" s="167"/>
      <c r="ID5" s="167"/>
      <c r="IE5" s="167"/>
      <c r="IF5" s="167"/>
      <c r="IG5" s="167"/>
      <c r="IH5" s="167"/>
      <c r="II5" s="167"/>
      <c r="IJ5" s="167"/>
      <c r="IK5" s="167"/>
      <c r="IL5" s="167"/>
      <c r="IM5" s="167"/>
      <c r="IN5" s="167"/>
      <c r="IO5" s="167"/>
      <c r="IP5" s="167"/>
      <c r="IQ5" s="167"/>
      <c r="IR5" s="167"/>
      <c r="IS5" s="167"/>
      <c r="IT5" s="167"/>
      <c r="IU5" s="167"/>
      <c r="IV5" s="167"/>
      <c r="IW5" s="167"/>
      <c r="IX5" s="167"/>
      <c r="IY5" s="167"/>
    </row>
    <row r="6" spans="1:259" x14ac:dyDescent="0.2">
      <c r="A6" s="469" t="str">
        <f>ORCAMENTO!A6</f>
        <v>LOCAL:</v>
      </c>
      <c r="B6" s="99"/>
      <c r="C6" s="99"/>
      <c r="D6" s="99"/>
      <c r="E6" s="99"/>
      <c r="F6" s="96"/>
      <c r="G6" s="96"/>
      <c r="H6" s="96"/>
      <c r="I6" s="96"/>
      <c r="J6" s="96"/>
      <c r="K6" s="96"/>
      <c r="L6" s="96"/>
      <c r="M6" s="96"/>
      <c r="N6" s="96"/>
      <c r="O6" s="96"/>
      <c r="P6" s="96"/>
      <c r="Q6" s="167"/>
      <c r="R6" s="167"/>
      <c r="S6" s="167"/>
      <c r="T6" s="167"/>
      <c r="U6" s="167"/>
      <c r="V6" s="167"/>
      <c r="W6" s="167"/>
      <c r="X6" s="167"/>
      <c r="Y6" s="167"/>
      <c r="Z6" s="167"/>
      <c r="AA6" s="167"/>
      <c r="AB6" s="167"/>
      <c r="AC6" s="167"/>
      <c r="AD6" s="167"/>
      <c r="AE6" s="167"/>
      <c r="AF6" s="167"/>
      <c r="AG6" s="167"/>
      <c r="AH6" s="167"/>
      <c r="AI6" s="167"/>
      <c r="AJ6" s="167"/>
      <c r="AK6" s="167"/>
      <c r="AL6" s="167"/>
      <c r="AM6" s="167"/>
      <c r="AN6" s="167"/>
      <c r="AO6" s="167"/>
      <c r="AP6" s="167"/>
      <c r="AQ6" s="167"/>
      <c r="AR6" s="167"/>
      <c r="AS6" s="167"/>
      <c r="AT6" s="167"/>
      <c r="AU6" s="167"/>
      <c r="AV6" s="167"/>
      <c r="AW6" s="167"/>
      <c r="AX6" s="167"/>
      <c r="AY6" s="167"/>
      <c r="AZ6" s="167"/>
      <c r="BA6" s="167"/>
      <c r="BB6" s="167"/>
      <c r="BC6" s="167"/>
      <c r="BD6" s="167"/>
      <c r="BE6" s="167"/>
      <c r="BF6" s="167"/>
      <c r="BG6" s="167"/>
      <c r="BH6" s="167"/>
      <c r="BI6" s="167"/>
      <c r="BJ6" s="167"/>
      <c r="BK6" s="167"/>
      <c r="BL6" s="167"/>
      <c r="BM6" s="167"/>
      <c r="BN6" s="167"/>
      <c r="BO6" s="167"/>
      <c r="BP6" s="167"/>
      <c r="BQ6" s="167"/>
      <c r="BR6" s="167"/>
      <c r="BS6" s="167"/>
      <c r="BT6" s="167"/>
      <c r="BU6" s="167"/>
      <c r="BV6" s="167"/>
      <c r="BW6" s="167"/>
      <c r="BX6" s="167"/>
      <c r="BY6" s="167"/>
      <c r="BZ6" s="167"/>
      <c r="CA6" s="167"/>
      <c r="CB6" s="167"/>
      <c r="CC6" s="167"/>
      <c r="CD6" s="167"/>
      <c r="CE6" s="167"/>
      <c r="CF6" s="167"/>
      <c r="CG6" s="167"/>
      <c r="CH6" s="167"/>
      <c r="CI6" s="167"/>
      <c r="CJ6" s="167"/>
      <c r="CK6" s="167"/>
      <c r="CL6" s="167"/>
      <c r="CM6" s="167"/>
      <c r="CN6" s="167"/>
      <c r="CO6" s="167"/>
      <c r="CP6" s="167"/>
      <c r="CQ6" s="167"/>
      <c r="CR6" s="167"/>
      <c r="CS6" s="167"/>
      <c r="CT6" s="167"/>
      <c r="CU6" s="167"/>
      <c r="CV6" s="167"/>
      <c r="CW6" s="167"/>
      <c r="CX6" s="167"/>
      <c r="CY6" s="167"/>
      <c r="CZ6" s="167"/>
      <c r="DA6" s="167"/>
      <c r="DB6" s="167"/>
      <c r="DC6" s="167"/>
      <c r="DD6" s="167"/>
      <c r="DE6" s="167"/>
      <c r="DF6" s="167"/>
      <c r="DG6" s="167"/>
      <c r="DH6" s="167"/>
      <c r="DI6" s="167"/>
      <c r="DJ6" s="167"/>
      <c r="DK6" s="167"/>
      <c r="DL6" s="167"/>
      <c r="DM6" s="167"/>
      <c r="DN6" s="167"/>
      <c r="DO6" s="167"/>
      <c r="DP6" s="167"/>
      <c r="DQ6" s="167"/>
      <c r="DR6" s="167"/>
      <c r="DS6" s="167"/>
      <c r="DT6" s="167"/>
      <c r="DU6" s="167"/>
      <c r="DV6" s="167"/>
      <c r="DW6" s="167"/>
      <c r="DX6" s="167"/>
      <c r="DY6" s="167"/>
      <c r="DZ6" s="167"/>
      <c r="EA6" s="167"/>
      <c r="EB6" s="167"/>
      <c r="EC6" s="167"/>
      <c r="ED6" s="167"/>
      <c r="EE6" s="167"/>
      <c r="EF6" s="167"/>
      <c r="EG6" s="167"/>
      <c r="EH6" s="167"/>
      <c r="EI6" s="167"/>
      <c r="EJ6" s="167"/>
      <c r="EK6" s="167"/>
      <c r="EL6" s="167"/>
      <c r="EM6" s="167"/>
      <c r="EN6" s="167"/>
      <c r="EO6" s="167"/>
      <c r="EP6" s="167"/>
      <c r="EQ6" s="167"/>
      <c r="ER6" s="167"/>
      <c r="ES6" s="167"/>
      <c r="ET6" s="167"/>
      <c r="EU6" s="167"/>
      <c r="EV6" s="167"/>
      <c r="EW6" s="167"/>
      <c r="EX6" s="167"/>
      <c r="EY6" s="167"/>
      <c r="EZ6" s="167"/>
      <c r="FA6" s="167"/>
      <c r="FB6" s="167"/>
      <c r="FC6" s="167"/>
      <c r="FD6" s="167"/>
      <c r="FE6" s="167"/>
      <c r="FF6" s="167"/>
      <c r="FG6" s="167"/>
      <c r="FH6" s="167"/>
      <c r="FI6" s="167"/>
      <c r="FJ6" s="167"/>
      <c r="FK6" s="167"/>
      <c r="FL6" s="167"/>
      <c r="FM6" s="167"/>
      <c r="FN6" s="167"/>
      <c r="FO6" s="167"/>
      <c r="FP6" s="167"/>
      <c r="FQ6" s="167"/>
      <c r="FR6" s="167"/>
      <c r="FS6" s="167"/>
      <c r="FT6" s="167"/>
      <c r="FU6" s="167"/>
      <c r="FV6" s="167"/>
      <c r="FW6" s="167"/>
      <c r="FX6" s="167"/>
      <c r="FY6" s="167"/>
      <c r="FZ6" s="167"/>
      <c r="GA6" s="167"/>
      <c r="GB6" s="167"/>
      <c r="GC6" s="167"/>
      <c r="GD6" s="167"/>
      <c r="GE6" s="167"/>
      <c r="GF6" s="167"/>
      <c r="GG6" s="167"/>
      <c r="GH6" s="167"/>
      <c r="GI6" s="167"/>
      <c r="GJ6" s="167"/>
      <c r="GK6" s="167"/>
      <c r="GL6" s="167"/>
      <c r="GM6" s="167"/>
      <c r="GN6" s="167"/>
      <c r="GO6" s="167"/>
      <c r="GP6" s="167"/>
      <c r="GQ6" s="167"/>
      <c r="GR6" s="167"/>
      <c r="GS6" s="167"/>
      <c r="GT6" s="167"/>
      <c r="GU6" s="167"/>
      <c r="GV6" s="167"/>
      <c r="GW6" s="167"/>
      <c r="GX6" s="167"/>
      <c r="GY6" s="167"/>
      <c r="GZ6" s="167"/>
      <c r="HA6" s="167"/>
      <c r="HB6" s="167"/>
      <c r="HC6" s="167"/>
      <c r="HD6" s="167"/>
      <c r="HE6" s="167"/>
      <c r="HF6" s="167"/>
      <c r="HG6" s="167"/>
      <c r="HH6" s="167"/>
      <c r="HI6" s="167"/>
      <c r="HJ6" s="167"/>
      <c r="HK6" s="167"/>
      <c r="HL6" s="167"/>
      <c r="HM6" s="167"/>
      <c r="HN6" s="167"/>
      <c r="HO6" s="167"/>
      <c r="HP6" s="167"/>
      <c r="HQ6" s="167"/>
      <c r="HR6" s="167"/>
      <c r="HS6" s="167"/>
      <c r="HT6" s="167"/>
      <c r="HU6" s="167"/>
      <c r="HV6" s="167"/>
      <c r="HW6" s="167"/>
      <c r="HX6" s="167"/>
      <c r="HY6" s="167"/>
      <c r="HZ6" s="167"/>
      <c r="IA6" s="167"/>
      <c r="IB6" s="167"/>
      <c r="IC6" s="167"/>
      <c r="ID6" s="167"/>
      <c r="IE6" s="167"/>
      <c r="IF6" s="167"/>
      <c r="IG6" s="167"/>
      <c r="IH6" s="167"/>
      <c r="II6" s="167"/>
      <c r="IJ6" s="167"/>
      <c r="IK6" s="167"/>
      <c r="IL6" s="167"/>
      <c r="IM6" s="167"/>
      <c r="IN6" s="167"/>
      <c r="IO6" s="167"/>
      <c r="IP6" s="167"/>
      <c r="IQ6" s="167"/>
      <c r="IR6" s="167"/>
      <c r="IS6" s="167"/>
      <c r="IT6" s="167"/>
      <c r="IU6" s="167"/>
      <c r="IV6" s="167"/>
      <c r="IW6" s="167"/>
      <c r="IX6" s="167"/>
      <c r="IY6" s="167"/>
    </row>
    <row r="7" spans="1:259" s="167" customFormat="1" x14ac:dyDescent="0.2">
      <c r="A7" s="341" t="str">
        <f>ORCAMENTO!A7</f>
        <v>SEDE DO MUNICÍPIO</v>
      </c>
      <c r="B7" s="98"/>
      <c r="C7" s="98"/>
      <c r="D7" s="100"/>
      <c r="E7" s="470"/>
      <c r="F7" s="96"/>
      <c r="G7" s="96"/>
      <c r="H7" s="96"/>
      <c r="I7" s="96"/>
      <c r="J7" s="96"/>
      <c r="K7" s="96"/>
      <c r="L7" s="96"/>
      <c r="M7" s="96"/>
      <c r="N7" s="96"/>
      <c r="O7" s="96"/>
      <c r="P7" s="96"/>
    </row>
    <row r="8" spans="1:259" x14ac:dyDescent="0.2">
      <c r="A8" s="469" t="str">
        <f>ORCAMENTO!A8</f>
        <v>MUNICÍPIO:</v>
      </c>
      <c r="B8" s="102"/>
      <c r="C8" s="102"/>
      <c r="D8" s="101"/>
      <c r="E8" s="37"/>
      <c r="F8" s="97"/>
      <c r="G8" s="97"/>
      <c r="H8" s="97"/>
      <c r="I8" s="97"/>
      <c r="J8" s="97"/>
      <c r="K8" s="97"/>
      <c r="L8" s="97"/>
      <c r="M8" s="97"/>
      <c r="N8" s="97"/>
      <c r="O8" s="97"/>
      <c r="P8" s="97"/>
    </row>
    <row r="9" spans="1:259" s="167" customFormat="1" x14ac:dyDescent="0.2">
      <c r="A9" s="341" t="str">
        <f>ORCAMENTO!A9</f>
        <v>BOA VIAGEM - CE</v>
      </c>
      <c r="B9" s="98"/>
      <c r="C9" s="98"/>
      <c r="D9" s="100"/>
      <c r="E9" s="470"/>
      <c r="F9" s="96"/>
      <c r="G9" s="96"/>
      <c r="H9" s="96"/>
      <c r="I9" s="96"/>
      <c r="J9" s="96"/>
      <c r="K9" s="96"/>
      <c r="L9" s="96"/>
      <c r="M9" s="96"/>
      <c r="N9" s="96"/>
      <c r="O9" s="96"/>
      <c r="P9" s="96"/>
    </row>
    <row r="10" spans="1:259" x14ac:dyDescent="0.2">
      <c r="A10" s="469"/>
      <c r="B10" s="102"/>
      <c r="C10" s="102"/>
      <c r="D10" s="100"/>
      <c r="E10" s="37"/>
      <c r="F10" s="97"/>
      <c r="G10" s="97"/>
      <c r="H10" s="97"/>
      <c r="I10" s="97"/>
      <c r="J10" s="97"/>
      <c r="K10" s="97"/>
      <c r="L10" s="97"/>
      <c r="M10" s="97"/>
      <c r="N10" s="97"/>
      <c r="O10" s="97"/>
      <c r="P10" s="97"/>
    </row>
    <row r="11" spans="1:259" s="167" customFormat="1" x14ac:dyDescent="0.2">
      <c r="A11" s="469" t="str">
        <f>ORCAMENTO!A11</f>
        <v>FONTE DOS PREÇOS:</v>
      </c>
      <c r="B11" s="98"/>
      <c r="C11" s="98"/>
      <c r="D11" s="100"/>
      <c r="E11" s="470"/>
      <c r="F11" s="96"/>
      <c r="G11" s="96"/>
      <c r="H11" s="96"/>
      <c r="I11" s="96"/>
      <c r="J11" s="96"/>
      <c r="K11" s="96"/>
      <c r="L11" s="96"/>
      <c r="M11" s="96"/>
      <c r="N11" s="96"/>
      <c r="O11" s="96"/>
      <c r="P11" s="96"/>
    </row>
    <row r="12" spans="1:259" x14ac:dyDescent="0.2">
      <c r="A12" s="341" t="str">
        <f>ORCAMENTO!A12</f>
        <v>TABELA SEINFRA 028.1 DESONERADA</v>
      </c>
      <c r="B12" s="102"/>
      <c r="C12" s="102"/>
      <c r="D12" s="101"/>
      <c r="E12" s="37"/>
      <c r="F12" s="97"/>
      <c r="G12" s="97"/>
      <c r="H12" s="97"/>
      <c r="I12" s="97"/>
      <c r="J12" s="97"/>
      <c r="K12" s="97"/>
      <c r="L12" s="97"/>
      <c r="M12" s="97"/>
      <c r="N12" s="97"/>
      <c r="O12" s="97"/>
      <c r="P12" s="97"/>
    </row>
    <row r="13" spans="1:259" x14ac:dyDescent="0.2">
      <c r="A13" s="341"/>
      <c r="B13" s="341" t="str">
        <f>ORCAMENTO!B13</f>
        <v>DATA REFERÊNCIA TÉCNICA: 10/2023</v>
      </c>
      <c r="C13" s="102"/>
      <c r="D13" s="101"/>
      <c r="E13" s="37"/>
      <c r="F13" s="97"/>
      <c r="G13" s="97"/>
      <c r="H13" s="97"/>
      <c r="I13" s="97"/>
      <c r="J13" s="97"/>
      <c r="K13" s="97"/>
      <c r="L13" s="97"/>
      <c r="M13" s="97"/>
      <c r="N13" s="97"/>
      <c r="O13" s="97"/>
      <c r="P13" s="97"/>
    </row>
    <row r="14" spans="1:259" x14ac:dyDescent="0.2">
      <c r="A14" s="341"/>
      <c r="B14" s="341" t="str">
        <f>ORCAMENTO!B14</f>
        <v>ENCARGOS SOCIAIS: 84,44% (HORA) - 47,48% (MÊS)</v>
      </c>
      <c r="C14" s="102"/>
      <c r="D14" s="101"/>
      <c r="E14" s="37"/>
      <c r="F14" s="97"/>
      <c r="G14" s="97"/>
      <c r="H14" s="97"/>
      <c r="I14" s="97"/>
      <c r="J14" s="97"/>
      <c r="K14" s="97"/>
      <c r="L14" s="97"/>
      <c r="M14" s="97"/>
      <c r="N14" s="97"/>
      <c r="O14" s="97"/>
      <c r="P14" s="97"/>
    </row>
    <row r="15" spans="1:259" s="167" customFormat="1" x14ac:dyDescent="0.2">
      <c r="A15" s="341" t="str">
        <f>ORCAMENTO!A15</f>
        <v>TABELA SINAPI 06/2025 DESONERADA</v>
      </c>
      <c r="B15" s="101"/>
      <c r="C15" s="98"/>
      <c r="D15" s="100"/>
      <c r="E15" s="470"/>
      <c r="F15" s="96"/>
      <c r="G15" s="96"/>
      <c r="H15" s="96"/>
      <c r="I15" s="96"/>
      <c r="J15" s="96"/>
      <c r="K15" s="96"/>
      <c r="L15" s="96"/>
      <c r="M15" s="96"/>
      <c r="N15" s="96"/>
      <c r="O15" s="96"/>
      <c r="P15" s="96"/>
    </row>
    <row r="16" spans="1:259" x14ac:dyDescent="0.2">
      <c r="A16" s="341"/>
      <c r="B16" s="341" t="str">
        <f>ORCAMENTO!B16</f>
        <v>DATA REFERÊNCIA TÉCNICA: 06/2025</v>
      </c>
      <c r="C16" s="102"/>
      <c r="D16" s="101"/>
      <c r="E16" s="37"/>
      <c r="F16" s="97"/>
      <c r="G16" s="97"/>
      <c r="H16" s="97"/>
      <c r="I16" s="97"/>
      <c r="J16" s="97"/>
      <c r="K16" s="97"/>
      <c r="L16" s="97"/>
      <c r="M16" s="97"/>
      <c r="N16" s="97"/>
      <c r="O16" s="97"/>
      <c r="P16" s="97"/>
    </row>
    <row r="17" spans="1:20" x14ac:dyDescent="0.2">
      <c r="A17" s="341"/>
      <c r="B17" s="341" t="str">
        <f>ORCAMENTO!B17</f>
        <v>ENCARGOS SOCIAIS: 92,17% (HORA) - 53,50% (MÊS)</v>
      </c>
      <c r="C17" s="102"/>
      <c r="D17" s="101"/>
      <c r="E17" s="37"/>
      <c r="F17" s="97"/>
      <c r="G17" s="97"/>
      <c r="H17" s="97"/>
      <c r="I17" s="97"/>
      <c r="J17" s="97"/>
      <c r="K17" s="97"/>
      <c r="L17" s="97"/>
      <c r="M17" s="97"/>
      <c r="N17" s="97"/>
      <c r="O17" s="97"/>
      <c r="P17" s="97"/>
    </row>
    <row r="18" spans="1:20" x14ac:dyDescent="0.2">
      <c r="A18" s="469"/>
      <c r="B18" s="469"/>
      <c r="C18" s="102"/>
      <c r="D18" s="101"/>
      <c r="E18" s="37"/>
      <c r="F18" s="103"/>
      <c r="G18" s="97"/>
      <c r="H18" s="97"/>
      <c r="I18" s="97"/>
      <c r="J18" s="97"/>
      <c r="K18" s="97"/>
      <c r="L18" s="97"/>
      <c r="M18" s="97"/>
      <c r="N18" s="97"/>
      <c r="O18" s="97"/>
      <c r="P18" s="97"/>
    </row>
    <row r="19" spans="1:20" s="171" customFormat="1" x14ac:dyDescent="0.2">
      <c r="A19" s="581" t="s">
        <v>38512</v>
      </c>
      <c r="B19" s="581"/>
      <c r="C19" s="581"/>
      <c r="D19" s="581"/>
      <c r="E19" s="581"/>
      <c r="F19" s="581"/>
      <c r="G19" s="581"/>
      <c r="H19" s="581"/>
      <c r="I19" s="581"/>
      <c r="J19" s="581"/>
      <c r="K19" s="581"/>
      <c r="L19" s="581"/>
      <c r="M19" s="581"/>
      <c r="N19" s="581"/>
      <c r="O19" s="581"/>
      <c r="P19" s="581"/>
    </row>
    <row r="20" spans="1:20" s="174" customFormat="1" x14ac:dyDescent="0.2">
      <c r="A20" s="589" t="s">
        <v>38503</v>
      </c>
      <c r="B20" s="589" t="s">
        <v>5917</v>
      </c>
      <c r="C20" s="590" t="s">
        <v>38461</v>
      </c>
      <c r="D20" s="588" t="s">
        <v>38504</v>
      </c>
      <c r="E20" s="588" t="s">
        <v>38505</v>
      </c>
      <c r="F20" s="588"/>
      <c r="G20" s="588" t="s">
        <v>38506</v>
      </c>
      <c r="H20" s="588"/>
      <c r="I20" s="588" t="s">
        <v>38507</v>
      </c>
      <c r="J20" s="588"/>
      <c r="K20" s="588" t="s">
        <v>38509</v>
      </c>
      <c r="L20" s="588"/>
      <c r="M20" s="588" t="s">
        <v>38510</v>
      </c>
      <c r="N20" s="588"/>
      <c r="O20" s="588" t="s">
        <v>38511</v>
      </c>
      <c r="P20" s="588"/>
    </row>
    <row r="21" spans="1:20" s="174" customFormat="1" x14ac:dyDescent="0.2">
      <c r="A21" s="589"/>
      <c r="B21" s="589"/>
      <c r="C21" s="590"/>
      <c r="D21" s="588"/>
      <c r="E21" s="172" t="s">
        <v>38461</v>
      </c>
      <c r="F21" s="173" t="s">
        <v>38504</v>
      </c>
      <c r="G21" s="172" t="s">
        <v>38461</v>
      </c>
      <c r="H21" s="173" t="s">
        <v>38504</v>
      </c>
      <c r="I21" s="172" t="s">
        <v>38461</v>
      </c>
      <c r="J21" s="173" t="s">
        <v>38504</v>
      </c>
      <c r="K21" s="172" t="s">
        <v>38461</v>
      </c>
      <c r="L21" s="173" t="s">
        <v>38504</v>
      </c>
      <c r="M21" s="172" t="s">
        <v>38461</v>
      </c>
      <c r="N21" s="173" t="s">
        <v>38504</v>
      </c>
      <c r="O21" s="172" t="s">
        <v>38461</v>
      </c>
      <c r="P21" s="173" t="s">
        <v>38504</v>
      </c>
    </row>
    <row r="22" spans="1:20" x14ac:dyDescent="0.2">
      <c r="A22" s="175">
        <f>ORCAMENTO!A21</f>
        <v>1</v>
      </c>
      <c r="B22" s="194" t="str">
        <f>VLOOKUP(A:A,ORCAMENTO!A:I,4,0)</f>
        <v>ADMINISTRAÇÃO LOCAL</v>
      </c>
      <c r="C22" s="195">
        <f t="shared" ref="C22:C40" si="0">D22/$D$44</f>
        <v>3.2119030456831364E-2</v>
      </c>
      <c r="D22" s="178">
        <f>VLOOKUP(A:A,ORCAMENTO!A:I,9,0)</f>
        <v>78528</v>
      </c>
      <c r="E22" s="196">
        <v>0.16669999999999999</v>
      </c>
      <c r="F22" s="197">
        <f>ROUND((D22*E22),2)</f>
        <v>13090.62</v>
      </c>
      <c r="G22" s="196">
        <v>0.16669999999999999</v>
      </c>
      <c r="H22" s="197">
        <f>ROUND((D22*G22),2)</f>
        <v>13090.62</v>
      </c>
      <c r="I22" s="196">
        <v>0.16669999999999999</v>
      </c>
      <c r="J22" s="197">
        <f>ROUND((D22*I22),2)</f>
        <v>13090.62</v>
      </c>
      <c r="K22" s="196">
        <v>0.16669999999999999</v>
      </c>
      <c r="L22" s="197">
        <f>ROUND((D22*K22),2)</f>
        <v>13090.62</v>
      </c>
      <c r="M22" s="196">
        <v>0.1666</v>
      </c>
      <c r="N22" s="197">
        <f>ROUND((D22*M22),2)</f>
        <v>13082.76</v>
      </c>
      <c r="O22" s="196">
        <v>0.1666</v>
      </c>
      <c r="P22" s="197">
        <f>ROUND((D22*O22),2)</f>
        <v>13082.76</v>
      </c>
      <c r="Q22" s="185">
        <f>E22+G22+I22+K22+M22+O22</f>
        <v>0.99999999999999989</v>
      </c>
      <c r="R22" s="191">
        <f>J22+H22+F22+L22+N22+P22</f>
        <v>78528</v>
      </c>
      <c r="T22" s="176"/>
    </row>
    <row r="23" spans="1:20" x14ac:dyDescent="0.2">
      <c r="A23" s="175">
        <f>ORCAMENTO!A25</f>
        <v>2</v>
      </c>
      <c r="B23" s="194" t="str">
        <f>VLOOKUP(A:A,ORCAMENTO!A:I,4,0)</f>
        <v>SERVIÇOS PRELIMINARES</v>
      </c>
      <c r="C23" s="195">
        <f t="shared" si="0"/>
        <v>3.2530616886619526E-2</v>
      </c>
      <c r="D23" s="178">
        <f>VLOOKUP(A:A,ORCAMENTO!A:I,9,0)</f>
        <v>79534.289999999994</v>
      </c>
      <c r="E23" s="196">
        <v>1</v>
      </c>
      <c r="F23" s="197">
        <f t="shared" ref="F23:F40" si="1">ROUND((D23*E23),2)</f>
        <v>79534.289999999994</v>
      </c>
      <c r="G23" s="196">
        <v>0</v>
      </c>
      <c r="H23" s="197">
        <f t="shared" ref="H23:H40" si="2">ROUND((D23*G23),2)</f>
        <v>0</v>
      </c>
      <c r="I23" s="196">
        <v>0</v>
      </c>
      <c r="J23" s="197">
        <f t="shared" ref="J23:J40" si="3">ROUND((D23*I23),2)</f>
        <v>0</v>
      </c>
      <c r="K23" s="196">
        <v>0</v>
      </c>
      <c r="L23" s="197">
        <f t="shared" ref="L23:L40" si="4">ROUND((D23*K23),2)</f>
        <v>0</v>
      </c>
      <c r="M23" s="196">
        <v>0</v>
      </c>
      <c r="N23" s="197">
        <f t="shared" ref="N23:N40" si="5">ROUND((D23*M23),2)</f>
        <v>0</v>
      </c>
      <c r="O23" s="196">
        <v>0</v>
      </c>
      <c r="P23" s="197">
        <f t="shared" ref="P23:P40" si="6">ROUND((D23*O23),2)</f>
        <v>0</v>
      </c>
      <c r="Q23" s="185">
        <f t="shared" ref="Q23:Q40" si="7">E23+G23+I23+K23+M23+O23</f>
        <v>1</v>
      </c>
      <c r="R23" s="191">
        <f t="shared" ref="R23:R40" si="8">J23+H23+F23+L23+N23+P23</f>
        <v>79534.289999999994</v>
      </c>
      <c r="T23" s="176"/>
    </row>
    <row r="24" spans="1:20" x14ac:dyDescent="0.2">
      <c r="A24" s="175">
        <f>ORCAMENTO!A33</f>
        <v>3</v>
      </c>
      <c r="B24" s="194" t="str">
        <f>VLOOKUP(A:A,ORCAMENTO!A:I,4,0)</f>
        <v>MOVIMENTAÇÃO DE TERRA</v>
      </c>
      <c r="C24" s="195">
        <f t="shared" si="0"/>
        <v>1.0235654571345263E-2</v>
      </c>
      <c r="D24" s="178">
        <f>VLOOKUP(A:A,ORCAMENTO!A:I,9,0)</f>
        <v>25025.21</v>
      </c>
      <c r="E24" s="196">
        <v>1</v>
      </c>
      <c r="F24" s="197">
        <f t="shared" si="1"/>
        <v>25025.21</v>
      </c>
      <c r="G24" s="196">
        <v>0</v>
      </c>
      <c r="H24" s="197">
        <f t="shared" si="2"/>
        <v>0</v>
      </c>
      <c r="I24" s="196">
        <v>0</v>
      </c>
      <c r="J24" s="197">
        <f t="shared" si="3"/>
        <v>0</v>
      </c>
      <c r="K24" s="196">
        <v>0</v>
      </c>
      <c r="L24" s="197">
        <f t="shared" si="4"/>
        <v>0</v>
      </c>
      <c r="M24" s="196">
        <v>0</v>
      </c>
      <c r="N24" s="197">
        <f t="shared" si="5"/>
        <v>0</v>
      </c>
      <c r="O24" s="196">
        <v>0</v>
      </c>
      <c r="P24" s="197">
        <f t="shared" si="6"/>
        <v>0</v>
      </c>
      <c r="Q24" s="185">
        <f t="shared" si="7"/>
        <v>1</v>
      </c>
      <c r="R24" s="191">
        <f t="shared" si="8"/>
        <v>25025.21</v>
      </c>
      <c r="T24" s="176"/>
    </row>
    <row r="25" spans="1:20" x14ac:dyDescent="0.2">
      <c r="A25" s="175">
        <f>ORCAMENTO!A41</f>
        <v>4</v>
      </c>
      <c r="B25" s="194" t="str">
        <f>VLOOKUP(A:A,ORCAMENTO!A:I,4,0)</f>
        <v>ESTRUTURA</v>
      </c>
      <c r="C25" s="195">
        <f t="shared" si="0"/>
        <v>0.18715210723384632</v>
      </c>
      <c r="D25" s="178">
        <f>VLOOKUP(A:A,ORCAMENTO!A:I,9,0)</f>
        <v>457569.25</v>
      </c>
      <c r="E25" s="196">
        <v>0.4</v>
      </c>
      <c r="F25" s="197">
        <f t="shared" si="1"/>
        <v>183027.7</v>
      </c>
      <c r="G25" s="196">
        <v>0.5</v>
      </c>
      <c r="H25" s="197">
        <f t="shared" si="2"/>
        <v>228784.63</v>
      </c>
      <c r="I25" s="196">
        <v>0.1</v>
      </c>
      <c r="J25" s="197">
        <f>ROUND((D25*I25),2)-0.01</f>
        <v>45756.92</v>
      </c>
      <c r="K25" s="196">
        <v>0</v>
      </c>
      <c r="L25" s="197">
        <f t="shared" si="4"/>
        <v>0</v>
      </c>
      <c r="M25" s="196">
        <v>0</v>
      </c>
      <c r="N25" s="197">
        <f t="shared" si="5"/>
        <v>0</v>
      </c>
      <c r="O25" s="196">
        <v>0</v>
      </c>
      <c r="P25" s="197">
        <f t="shared" si="6"/>
        <v>0</v>
      </c>
      <c r="Q25" s="185">
        <f t="shared" si="7"/>
        <v>1</v>
      </c>
      <c r="R25" s="191">
        <f t="shared" si="8"/>
        <v>457569.25</v>
      </c>
      <c r="T25" s="176"/>
    </row>
    <row r="26" spans="1:20" x14ac:dyDescent="0.2">
      <c r="A26" s="175">
        <f>ORCAMENTO!A58</f>
        <v>5</v>
      </c>
      <c r="B26" s="194" t="str">
        <f>VLOOKUP(A:A,ORCAMENTO!A:I,4,0)</f>
        <v>VEDAÇÕES E DIVISÓRIAS</v>
      </c>
      <c r="C26" s="195">
        <f t="shared" si="0"/>
        <v>0.10603865094705821</v>
      </c>
      <c r="D26" s="178">
        <f>VLOOKUP(A:A,ORCAMENTO!A:I,9,0)</f>
        <v>259254.5</v>
      </c>
      <c r="E26" s="196">
        <v>0.4</v>
      </c>
      <c r="F26" s="197">
        <f>ROUND((D26*E26),2)</f>
        <v>103701.8</v>
      </c>
      <c r="G26" s="196">
        <v>0.6</v>
      </c>
      <c r="H26" s="197">
        <f t="shared" si="2"/>
        <v>155552.70000000001</v>
      </c>
      <c r="I26" s="196">
        <v>0</v>
      </c>
      <c r="J26" s="197">
        <f t="shared" si="3"/>
        <v>0</v>
      </c>
      <c r="K26" s="196">
        <v>0</v>
      </c>
      <c r="L26" s="197">
        <f t="shared" si="4"/>
        <v>0</v>
      </c>
      <c r="M26" s="196">
        <v>0</v>
      </c>
      <c r="N26" s="197">
        <f t="shared" si="5"/>
        <v>0</v>
      </c>
      <c r="O26" s="196">
        <v>0</v>
      </c>
      <c r="P26" s="197">
        <f t="shared" si="6"/>
        <v>0</v>
      </c>
      <c r="Q26" s="185">
        <f t="shared" si="7"/>
        <v>1</v>
      </c>
      <c r="R26" s="191">
        <f t="shared" si="8"/>
        <v>259254.5</v>
      </c>
      <c r="T26" s="176"/>
    </row>
    <row r="27" spans="1:20" x14ac:dyDescent="0.2">
      <c r="A27" s="175">
        <f>ORCAMENTO!A65</f>
        <v>6</v>
      </c>
      <c r="B27" s="194" t="str">
        <f>VLOOKUP(A:A,ORCAMENTO!A:I,4,0)</f>
        <v>INSTALAÇÕES ELÉTRICAS</v>
      </c>
      <c r="C27" s="195">
        <f t="shared" si="0"/>
        <v>4.5820156137884226E-2</v>
      </c>
      <c r="D27" s="178">
        <f>VLOOKUP(A:A,ORCAMENTO!A:I,9,0)</f>
        <v>112025.96</v>
      </c>
      <c r="E27" s="196">
        <v>0</v>
      </c>
      <c r="F27" s="197">
        <f t="shared" si="1"/>
        <v>0</v>
      </c>
      <c r="G27" s="196">
        <v>0</v>
      </c>
      <c r="H27" s="197">
        <f t="shared" si="2"/>
        <v>0</v>
      </c>
      <c r="I27" s="196">
        <v>1</v>
      </c>
      <c r="J27" s="197">
        <f t="shared" si="3"/>
        <v>112025.96</v>
      </c>
      <c r="K27" s="196">
        <v>0</v>
      </c>
      <c r="L27" s="197">
        <f t="shared" si="4"/>
        <v>0</v>
      </c>
      <c r="M27" s="196">
        <v>0</v>
      </c>
      <c r="N27" s="197">
        <f t="shared" si="5"/>
        <v>0</v>
      </c>
      <c r="O27" s="196">
        <v>0</v>
      </c>
      <c r="P27" s="197">
        <f t="shared" si="6"/>
        <v>0</v>
      </c>
      <c r="Q27" s="185">
        <f t="shared" si="7"/>
        <v>1</v>
      </c>
      <c r="R27" s="191">
        <f t="shared" si="8"/>
        <v>112025.96</v>
      </c>
      <c r="T27" s="176"/>
    </row>
    <row r="28" spans="1:20" x14ac:dyDescent="0.2">
      <c r="A28" s="175">
        <f>ORCAMENTO!A110</f>
        <v>7</v>
      </c>
      <c r="B28" s="194" t="str">
        <f>VLOOKUP(A:A,ORCAMENTO!A:I,4,0)</f>
        <v>INSTALAÇÕES DE CLIMATIZAÇÃO</v>
      </c>
      <c r="C28" s="195">
        <f t="shared" si="0"/>
        <v>4.2172690277360717E-2</v>
      </c>
      <c r="D28" s="178">
        <f>VLOOKUP(A:A,ORCAMENTO!A:I,9,0)</f>
        <v>103108.25</v>
      </c>
      <c r="E28" s="196">
        <v>0</v>
      </c>
      <c r="F28" s="197">
        <f t="shared" si="1"/>
        <v>0</v>
      </c>
      <c r="G28" s="196">
        <v>0</v>
      </c>
      <c r="H28" s="197">
        <f t="shared" si="2"/>
        <v>0</v>
      </c>
      <c r="I28" s="196">
        <v>0</v>
      </c>
      <c r="J28" s="197">
        <f t="shared" si="3"/>
        <v>0</v>
      </c>
      <c r="K28" s="196">
        <v>0</v>
      </c>
      <c r="L28" s="197">
        <f t="shared" si="4"/>
        <v>0</v>
      </c>
      <c r="M28" s="196">
        <v>0</v>
      </c>
      <c r="N28" s="197">
        <f t="shared" si="5"/>
        <v>0</v>
      </c>
      <c r="O28" s="196">
        <v>1</v>
      </c>
      <c r="P28" s="197">
        <f t="shared" si="6"/>
        <v>103108.25</v>
      </c>
      <c r="Q28" s="185">
        <f t="shared" si="7"/>
        <v>1</v>
      </c>
      <c r="R28" s="191">
        <f t="shared" si="8"/>
        <v>103108.25</v>
      </c>
      <c r="T28" s="176"/>
    </row>
    <row r="29" spans="1:20" x14ac:dyDescent="0.2">
      <c r="A29" s="175">
        <f>ORCAMENTO!A121</f>
        <v>8</v>
      </c>
      <c r="B29" s="194" t="str">
        <f>VLOOKUP(A:A,ORCAMENTO!A:I,4,0)</f>
        <v>INSTALAÇÕES HIDRÁULICAS</v>
      </c>
      <c r="C29" s="195">
        <f t="shared" si="0"/>
        <v>4.8162144234537504E-3</v>
      </c>
      <c r="D29" s="178">
        <f>VLOOKUP(A:A,ORCAMENTO!A:I,9,0)</f>
        <v>11775.19</v>
      </c>
      <c r="E29" s="196">
        <v>0</v>
      </c>
      <c r="F29" s="197">
        <f t="shared" si="1"/>
        <v>0</v>
      </c>
      <c r="G29" s="196">
        <v>0</v>
      </c>
      <c r="H29" s="197">
        <f t="shared" si="2"/>
        <v>0</v>
      </c>
      <c r="I29" s="196">
        <v>1</v>
      </c>
      <c r="J29" s="197">
        <f t="shared" si="3"/>
        <v>11775.19</v>
      </c>
      <c r="K29" s="196">
        <v>0</v>
      </c>
      <c r="L29" s="197">
        <f t="shared" si="4"/>
        <v>0</v>
      </c>
      <c r="M29" s="196">
        <v>0</v>
      </c>
      <c r="N29" s="197">
        <f t="shared" si="5"/>
        <v>0</v>
      </c>
      <c r="O29" s="196">
        <v>0</v>
      </c>
      <c r="P29" s="197">
        <f t="shared" si="6"/>
        <v>0</v>
      </c>
      <c r="Q29" s="185">
        <f t="shared" si="7"/>
        <v>1</v>
      </c>
      <c r="R29" s="191">
        <f t="shared" si="8"/>
        <v>11775.19</v>
      </c>
      <c r="T29" s="176"/>
    </row>
    <row r="30" spans="1:20" x14ac:dyDescent="0.2">
      <c r="A30" s="175">
        <f>ORCAMENTO!A151</f>
        <v>9</v>
      </c>
      <c r="B30" s="194" t="str">
        <f>VLOOKUP(A:A,ORCAMENTO!A:I,4,0)</f>
        <v>INSTALAÇÕES SANITÁRIAS</v>
      </c>
      <c r="C30" s="195">
        <f t="shared" si="0"/>
        <v>1.291543484000577E-2</v>
      </c>
      <c r="D30" s="178">
        <f>VLOOKUP(A:A,ORCAMENTO!A:I,9,0)</f>
        <v>31577.02</v>
      </c>
      <c r="E30" s="196">
        <v>0</v>
      </c>
      <c r="F30" s="197">
        <f t="shared" si="1"/>
        <v>0</v>
      </c>
      <c r="G30" s="196">
        <v>0</v>
      </c>
      <c r="H30" s="197">
        <f t="shared" si="2"/>
        <v>0</v>
      </c>
      <c r="I30" s="196">
        <v>1</v>
      </c>
      <c r="J30" s="197">
        <f t="shared" si="3"/>
        <v>31577.02</v>
      </c>
      <c r="K30" s="196">
        <v>0</v>
      </c>
      <c r="L30" s="197">
        <f t="shared" si="4"/>
        <v>0</v>
      </c>
      <c r="M30" s="196">
        <v>0</v>
      </c>
      <c r="N30" s="197">
        <f t="shared" si="5"/>
        <v>0</v>
      </c>
      <c r="O30" s="196">
        <v>0</v>
      </c>
      <c r="P30" s="197">
        <f t="shared" si="6"/>
        <v>0</v>
      </c>
      <c r="Q30" s="185">
        <f t="shared" si="7"/>
        <v>1</v>
      </c>
      <c r="R30" s="191">
        <f t="shared" si="8"/>
        <v>31577.02</v>
      </c>
      <c r="T30" s="176"/>
    </row>
    <row r="31" spans="1:20" x14ac:dyDescent="0.2">
      <c r="A31" s="175">
        <f>ORCAMENTO!A199</f>
        <v>10</v>
      </c>
      <c r="B31" s="194" t="str">
        <f>VLOOKUP(A:A,ORCAMENTO!A:I,4,0)</f>
        <v>INSTALAÇÕES PLUVIAIS</v>
      </c>
      <c r="C31" s="195">
        <f t="shared" si="0"/>
        <v>1.3819498345637612E-2</v>
      </c>
      <c r="D31" s="178">
        <f>VLOOKUP(A:A,ORCAMENTO!A:I,9,0)</f>
        <v>33787.370000000003</v>
      </c>
      <c r="E31" s="196">
        <v>0</v>
      </c>
      <c r="F31" s="197">
        <f t="shared" si="1"/>
        <v>0</v>
      </c>
      <c r="G31" s="196">
        <v>0</v>
      </c>
      <c r="H31" s="197">
        <f t="shared" si="2"/>
        <v>0</v>
      </c>
      <c r="I31" s="196">
        <v>0</v>
      </c>
      <c r="J31" s="197">
        <f t="shared" si="3"/>
        <v>0</v>
      </c>
      <c r="K31" s="196">
        <v>0</v>
      </c>
      <c r="L31" s="197">
        <f t="shared" si="4"/>
        <v>0</v>
      </c>
      <c r="M31" s="196">
        <v>1</v>
      </c>
      <c r="N31" s="197">
        <f t="shared" si="5"/>
        <v>33787.370000000003</v>
      </c>
      <c r="O31" s="196">
        <v>0</v>
      </c>
      <c r="P31" s="197">
        <f t="shared" si="6"/>
        <v>0</v>
      </c>
      <c r="Q31" s="185">
        <f t="shared" si="7"/>
        <v>1</v>
      </c>
      <c r="R31" s="191">
        <f t="shared" si="8"/>
        <v>33787.370000000003</v>
      </c>
      <c r="T31" s="176"/>
    </row>
    <row r="32" spans="1:20" x14ac:dyDescent="0.2">
      <c r="A32" s="175">
        <f>ORCAMENTO!A221</f>
        <v>11</v>
      </c>
      <c r="B32" s="194" t="str">
        <f>VLOOKUP(A:A,ORCAMENTO!A:I,4,0)</f>
        <v>INSTALAÇÕES DE COMBATE A INCÊNDIO</v>
      </c>
      <c r="C32" s="195">
        <f t="shared" si="0"/>
        <v>2.4165537543354227E-2</v>
      </c>
      <c r="D32" s="178">
        <f>VLOOKUP(A:A,ORCAMENTO!A:I,9,0)</f>
        <v>59082.46</v>
      </c>
      <c r="E32" s="196">
        <v>0</v>
      </c>
      <c r="F32" s="197">
        <f t="shared" si="1"/>
        <v>0</v>
      </c>
      <c r="G32" s="196">
        <v>0</v>
      </c>
      <c r="H32" s="197">
        <f t="shared" si="2"/>
        <v>0</v>
      </c>
      <c r="I32" s="196">
        <v>1</v>
      </c>
      <c r="J32" s="197">
        <f t="shared" si="3"/>
        <v>59082.46</v>
      </c>
      <c r="K32" s="196">
        <v>0</v>
      </c>
      <c r="L32" s="197">
        <f t="shared" si="4"/>
        <v>0</v>
      </c>
      <c r="M32" s="196">
        <v>0</v>
      </c>
      <c r="N32" s="197">
        <f t="shared" si="5"/>
        <v>0</v>
      </c>
      <c r="O32" s="196">
        <v>0</v>
      </c>
      <c r="P32" s="197">
        <f t="shared" si="6"/>
        <v>0</v>
      </c>
      <c r="Q32" s="185">
        <f t="shared" si="7"/>
        <v>1</v>
      </c>
      <c r="R32" s="191">
        <f t="shared" si="8"/>
        <v>59082.46</v>
      </c>
      <c r="T32" s="176"/>
    </row>
    <row r="33" spans="1:20" x14ac:dyDescent="0.2">
      <c r="A33" s="175">
        <f>ORCAMENTO!A254</f>
        <v>12</v>
      </c>
      <c r="B33" s="194" t="str">
        <f>VLOOKUP(A:A,ORCAMENTO!A:I,4,0)</f>
        <v>INSTALAÇÕES SPDA</v>
      </c>
      <c r="C33" s="195">
        <f t="shared" si="0"/>
        <v>1.5026084769045159E-2</v>
      </c>
      <c r="D33" s="178">
        <f>VLOOKUP(A:A,ORCAMENTO!A:I,9,0)</f>
        <v>36737.360000000001</v>
      </c>
      <c r="E33" s="196">
        <v>0</v>
      </c>
      <c r="F33" s="197">
        <f t="shared" si="1"/>
        <v>0</v>
      </c>
      <c r="G33" s="196">
        <v>0</v>
      </c>
      <c r="H33" s="197">
        <f t="shared" si="2"/>
        <v>0</v>
      </c>
      <c r="I33" s="196">
        <v>0</v>
      </c>
      <c r="J33" s="197">
        <f t="shared" si="3"/>
        <v>0</v>
      </c>
      <c r="K33" s="196">
        <v>0</v>
      </c>
      <c r="L33" s="197">
        <f t="shared" si="4"/>
        <v>0</v>
      </c>
      <c r="M33" s="196">
        <v>0</v>
      </c>
      <c r="N33" s="197">
        <f t="shared" si="5"/>
        <v>0</v>
      </c>
      <c r="O33" s="196">
        <v>1</v>
      </c>
      <c r="P33" s="197">
        <f t="shared" si="6"/>
        <v>36737.360000000001</v>
      </c>
      <c r="Q33" s="185">
        <f t="shared" si="7"/>
        <v>1</v>
      </c>
      <c r="R33" s="191">
        <f t="shared" si="8"/>
        <v>36737.360000000001</v>
      </c>
      <c r="T33" s="176"/>
    </row>
    <row r="34" spans="1:20" x14ac:dyDescent="0.2">
      <c r="A34" s="175">
        <f>ORCAMENTO!A271</f>
        <v>13</v>
      </c>
      <c r="B34" s="194" t="str">
        <f>VLOOKUP(A:A,ORCAMENTO!A:I,4,0)</f>
        <v>PAVIMENTAÇÃO</v>
      </c>
      <c r="C34" s="195">
        <f t="shared" si="0"/>
        <v>9.0853852488902556E-2</v>
      </c>
      <c r="D34" s="178">
        <f>VLOOKUP(A:A,ORCAMENTO!A:I,9,0)</f>
        <v>222129.1</v>
      </c>
      <c r="E34" s="196">
        <v>0</v>
      </c>
      <c r="F34" s="197">
        <f t="shared" si="1"/>
        <v>0</v>
      </c>
      <c r="G34" s="196">
        <v>0</v>
      </c>
      <c r="H34" s="197">
        <f t="shared" si="2"/>
        <v>0</v>
      </c>
      <c r="I34" s="196">
        <v>0</v>
      </c>
      <c r="J34" s="197">
        <f t="shared" si="3"/>
        <v>0</v>
      </c>
      <c r="K34" s="196">
        <v>0.75</v>
      </c>
      <c r="L34" s="197">
        <f t="shared" si="4"/>
        <v>166596.82999999999</v>
      </c>
      <c r="M34" s="196">
        <v>0.25</v>
      </c>
      <c r="N34" s="197">
        <f>ROUND((D34*M34),2)-0.01</f>
        <v>55532.27</v>
      </c>
      <c r="O34" s="196">
        <v>0</v>
      </c>
      <c r="P34" s="197">
        <f t="shared" si="6"/>
        <v>0</v>
      </c>
      <c r="Q34" s="185">
        <f t="shared" si="7"/>
        <v>1</v>
      </c>
      <c r="R34" s="191">
        <f t="shared" si="8"/>
        <v>222129.09999999998</v>
      </c>
      <c r="T34" s="176"/>
    </row>
    <row r="35" spans="1:20" x14ac:dyDescent="0.2">
      <c r="A35" s="175">
        <f>ORCAMENTO!A291</f>
        <v>14</v>
      </c>
      <c r="B35" s="194" t="str">
        <f>VLOOKUP(A:A,ORCAMENTO!A:I,4,0)</f>
        <v>REVESTIMENTO</v>
      </c>
      <c r="C35" s="195">
        <f t="shared" si="0"/>
        <v>0.15157689845933031</v>
      </c>
      <c r="D35" s="178">
        <f>VLOOKUP(A:A,ORCAMENTO!A:I,9,0)</f>
        <v>370591.22</v>
      </c>
      <c r="E35" s="196">
        <v>0</v>
      </c>
      <c r="F35" s="197">
        <f t="shared" si="1"/>
        <v>0</v>
      </c>
      <c r="G35" s="196">
        <v>0</v>
      </c>
      <c r="H35" s="197">
        <f t="shared" si="2"/>
        <v>0</v>
      </c>
      <c r="I35" s="196">
        <v>0.4</v>
      </c>
      <c r="J35" s="197">
        <f t="shared" si="3"/>
        <v>148236.49</v>
      </c>
      <c r="K35" s="196">
        <v>0.6</v>
      </c>
      <c r="L35" s="197">
        <f t="shared" si="4"/>
        <v>222354.73</v>
      </c>
      <c r="M35" s="196">
        <v>0</v>
      </c>
      <c r="N35" s="197">
        <f t="shared" si="5"/>
        <v>0</v>
      </c>
      <c r="O35" s="196">
        <v>0</v>
      </c>
      <c r="P35" s="197">
        <f t="shared" si="6"/>
        <v>0</v>
      </c>
      <c r="Q35" s="185">
        <f t="shared" si="7"/>
        <v>1</v>
      </c>
      <c r="R35" s="191">
        <f t="shared" si="8"/>
        <v>370591.22</v>
      </c>
      <c r="T35" s="176"/>
    </row>
    <row r="36" spans="1:20" x14ac:dyDescent="0.2">
      <c r="A36" s="175">
        <f>ORCAMENTO!A307</f>
        <v>15</v>
      </c>
      <c r="B36" s="194" t="str">
        <f>VLOOKUP(A:A,ORCAMENTO!A:I,4,0)</f>
        <v>ESQUADRIAS</v>
      </c>
      <c r="C36" s="195">
        <f t="shared" si="0"/>
        <v>4.2833145203376513E-2</v>
      </c>
      <c r="D36" s="178">
        <f>VLOOKUP(A:A,ORCAMENTO!A:I,9,0)</f>
        <v>104723</v>
      </c>
      <c r="E36" s="196">
        <v>0</v>
      </c>
      <c r="F36" s="197">
        <f t="shared" si="1"/>
        <v>0</v>
      </c>
      <c r="G36" s="196">
        <v>0</v>
      </c>
      <c r="H36" s="197">
        <f t="shared" si="2"/>
        <v>0</v>
      </c>
      <c r="I36" s="196">
        <v>0</v>
      </c>
      <c r="J36" s="197">
        <f t="shared" si="3"/>
        <v>0</v>
      </c>
      <c r="K36" s="196">
        <v>0</v>
      </c>
      <c r="L36" s="197">
        <f t="shared" si="4"/>
        <v>0</v>
      </c>
      <c r="M36" s="196">
        <v>1</v>
      </c>
      <c r="N36" s="197">
        <f t="shared" si="5"/>
        <v>104723</v>
      </c>
      <c r="O36" s="196">
        <v>0</v>
      </c>
      <c r="P36" s="197">
        <f t="shared" si="6"/>
        <v>0</v>
      </c>
      <c r="Q36" s="185">
        <f t="shared" si="7"/>
        <v>1</v>
      </c>
      <c r="R36" s="191">
        <f t="shared" si="8"/>
        <v>104723</v>
      </c>
      <c r="T36" s="176"/>
    </row>
    <row r="37" spans="1:20" x14ac:dyDescent="0.2">
      <c r="A37" s="175">
        <f>ORCAMENTO!A331</f>
        <v>16</v>
      </c>
      <c r="B37" s="194" t="str">
        <f>VLOOKUP(A:A,ORCAMENTO!A:I,4,0)</f>
        <v>COBERTA</v>
      </c>
      <c r="C37" s="195">
        <f t="shared" si="0"/>
        <v>8.4722752985710276E-2</v>
      </c>
      <c r="D37" s="178">
        <f>VLOOKUP(A:A,ORCAMENTO!A:I,9,0)</f>
        <v>207139.14</v>
      </c>
      <c r="E37" s="196">
        <v>0</v>
      </c>
      <c r="F37" s="197">
        <f t="shared" si="1"/>
        <v>0</v>
      </c>
      <c r="G37" s="196">
        <v>0</v>
      </c>
      <c r="H37" s="197">
        <f t="shared" si="2"/>
        <v>0</v>
      </c>
      <c r="I37" s="196">
        <v>0</v>
      </c>
      <c r="J37" s="197">
        <f t="shared" si="3"/>
        <v>0</v>
      </c>
      <c r="K37" s="196">
        <v>0</v>
      </c>
      <c r="L37" s="197">
        <f t="shared" si="4"/>
        <v>0</v>
      </c>
      <c r="M37" s="196">
        <v>1</v>
      </c>
      <c r="N37" s="197">
        <f t="shared" si="5"/>
        <v>207139.14</v>
      </c>
      <c r="O37" s="196">
        <v>0</v>
      </c>
      <c r="P37" s="197">
        <f t="shared" si="6"/>
        <v>0</v>
      </c>
      <c r="Q37" s="185">
        <f t="shared" si="7"/>
        <v>1</v>
      </c>
      <c r="R37" s="191">
        <f t="shared" si="8"/>
        <v>207139.14</v>
      </c>
      <c r="T37" s="176"/>
    </row>
    <row r="38" spans="1:20" x14ac:dyDescent="0.2">
      <c r="A38" s="175">
        <f>ORCAMENTO!A343</f>
        <v>17</v>
      </c>
      <c r="B38" s="194" t="str">
        <f>VLOOKUP(A:A,ORCAMENTO!A:I,4,0)</f>
        <v>LOUÇAS, METAIS E ACESSÓRIOS</v>
      </c>
      <c r="C38" s="195">
        <f t="shared" si="0"/>
        <v>1.3567415001465414E-2</v>
      </c>
      <c r="D38" s="178">
        <f>VLOOKUP(A:A,ORCAMENTO!A:I,9,0)</f>
        <v>33171.050000000003</v>
      </c>
      <c r="E38" s="196">
        <v>0</v>
      </c>
      <c r="F38" s="197">
        <f t="shared" si="1"/>
        <v>0</v>
      </c>
      <c r="G38" s="196">
        <v>0</v>
      </c>
      <c r="H38" s="197">
        <f t="shared" si="2"/>
        <v>0</v>
      </c>
      <c r="I38" s="196">
        <v>0</v>
      </c>
      <c r="J38" s="197">
        <f t="shared" si="3"/>
        <v>0</v>
      </c>
      <c r="K38" s="196">
        <v>0</v>
      </c>
      <c r="L38" s="197">
        <f t="shared" si="4"/>
        <v>0</v>
      </c>
      <c r="M38" s="196">
        <v>0</v>
      </c>
      <c r="N38" s="197">
        <f t="shared" si="5"/>
        <v>0</v>
      </c>
      <c r="O38" s="196">
        <v>1</v>
      </c>
      <c r="P38" s="197">
        <f t="shared" si="6"/>
        <v>33171.050000000003</v>
      </c>
      <c r="Q38" s="185">
        <f t="shared" si="7"/>
        <v>1</v>
      </c>
      <c r="R38" s="191">
        <f t="shared" si="8"/>
        <v>33171.050000000003</v>
      </c>
      <c r="T38" s="176"/>
    </row>
    <row r="39" spans="1:20" x14ac:dyDescent="0.2">
      <c r="A39" s="175">
        <f>ORCAMENTO!A365</f>
        <v>18</v>
      </c>
      <c r="B39" s="194" t="str">
        <f>VLOOKUP(A:A,ORCAMENTO!A:I,4,0)</f>
        <v>PINTURA</v>
      </c>
      <c r="C39" s="195">
        <f t="shared" si="0"/>
        <v>3.1525400194579285E-2</v>
      </c>
      <c r="D39" s="178">
        <f>VLOOKUP(A:A,ORCAMENTO!A:I,9,0)</f>
        <v>77076.63</v>
      </c>
      <c r="E39" s="196">
        <v>0</v>
      </c>
      <c r="F39" s="197">
        <f t="shared" si="1"/>
        <v>0</v>
      </c>
      <c r="G39" s="196">
        <v>0</v>
      </c>
      <c r="H39" s="197">
        <f t="shared" si="2"/>
        <v>0</v>
      </c>
      <c r="I39" s="196">
        <v>0</v>
      </c>
      <c r="J39" s="197">
        <f t="shared" si="3"/>
        <v>0</v>
      </c>
      <c r="K39" s="196">
        <v>0</v>
      </c>
      <c r="L39" s="197">
        <f t="shared" si="4"/>
        <v>0</v>
      </c>
      <c r="M39" s="196">
        <v>0</v>
      </c>
      <c r="N39" s="197">
        <f t="shared" si="5"/>
        <v>0</v>
      </c>
      <c r="O39" s="196">
        <v>1</v>
      </c>
      <c r="P39" s="197">
        <f t="shared" si="6"/>
        <v>77076.63</v>
      </c>
      <c r="Q39" s="185">
        <f t="shared" si="7"/>
        <v>1</v>
      </c>
      <c r="R39" s="191">
        <f t="shared" si="8"/>
        <v>77076.63</v>
      </c>
      <c r="T39" s="176"/>
    </row>
    <row r="40" spans="1:20" x14ac:dyDescent="0.2">
      <c r="A40" s="177">
        <f>ORCAMENTO!A383</f>
        <v>19</v>
      </c>
      <c r="B40" s="194" t="str">
        <f>VLOOKUP(A:A,ORCAMENTO!A:I,4,0)</f>
        <v>SERVIÇOS FINAIS / DIVERSOS</v>
      </c>
      <c r="C40" s="195">
        <f t="shared" si="0"/>
        <v>5.8108859234193434E-2</v>
      </c>
      <c r="D40" s="178">
        <f>VLOOKUP(A:A,ORCAMENTO!A:I,9,0)</f>
        <v>142070.68</v>
      </c>
      <c r="E40" s="196">
        <v>0</v>
      </c>
      <c r="F40" s="197">
        <f t="shared" si="1"/>
        <v>0</v>
      </c>
      <c r="G40" s="196">
        <v>0</v>
      </c>
      <c r="H40" s="197">
        <f t="shared" si="2"/>
        <v>0</v>
      </c>
      <c r="I40" s="196">
        <v>0</v>
      </c>
      <c r="J40" s="197">
        <f t="shared" si="3"/>
        <v>0</v>
      </c>
      <c r="K40" s="196">
        <v>0</v>
      </c>
      <c r="L40" s="197">
        <f t="shared" si="4"/>
        <v>0</v>
      </c>
      <c r="M40" s="196">
        <v>0</v>
      </c>
      <c r="N40" s="197">
        <f t="shared" si="5"/>
        <v>0</v>
      </c>
      <c r="O40" s="196">
        <v>1</v>
      </c>
      <c r="P40" s="197">
        <f t="shared" si="6"/>
        <v>142070.68</v>
      </c>
      <c r="Q40" s="185">
        <f t="shared" si="7"/>
        <v>1</v>
      </c>
      <c r="R40" s="191">
        <f t="shared" si="8"/>
        <v>142070.68</v>
      </c>
      <c r="T40" s="176"/>
    </row>
    <row r="41" spans="1:20" x14ac:dyDescent="0.2">
      <c r="C41" s="180"/>
      <c r="K41" s="180"/>
      <c r="M41" s="180"/>
      <c r="O41" s="180"/>
      <c r="Q41" s="184"/>
      <c r="R41" s="184"/>
    </row>
    <row r="42" spans="1:20" s="174" customFormat="1" x14ac:dyDescent="0.2">
      <c r="A42" s="582" t="s">
        <v>38508</v>
      </c>
      <c r="B42" s="583"/>
      <c r="C42" s="583"/>
      <c r="D42" s="584"/>
      <c r="E42" s="182">
        <f>F42/$D$44</f>
        <v>0.16539681808911336</v>
      </c>
      <c r="F42" s="183">
        <f>ROUND(SUM(F22:F40),2)</f>
        <v>404379.62</v>
      </c>
      <c r="G42" s="182">
        <f>H42/$D$44</f>
        <v>0.1625534895890135</v>
      </c>
      <c r="H42" s="183">
        <f>ROUND(SUM(H22:H40),2)</f>
        <v>397427.95</v>
      </c>
      <c r="I42" s="182">
        <f>J42/$D$44</f>
        <v>0.17241755518356028</v>
      </c>
      <c r="J42" s="183">
        <f>ROUND(SUM(J22:J40),2)</f>
        <v>421544.66</v>
      </c>
      <c r="K42" s="182">
        <f>L42/$D$44</f>
        <v>0.16444077302810306</v>
      </c>
      <c r="L42" s="183">
        <f>ROUND(SUM(L22:L40),2)</f>
        <v>402042.18</v>
      </c>
      <c r="M42" s="182">
        <f>N42/$D$44</f>
        <v>0.16943988612272354</v>
      </c>
      <c r="N42" s="183">
        <f>ROUND(SUM(N22:N40),2)</f>
        <v>414264.54</v>
      </c>
      <c r="O42" s="182">
        <f>P42/$D$44</f>
        <v>0.16575147798748618</v>
      </c>
      <c r="P42" s="183">
        <f>ROUND(SUM(P22:P40),2)</f>
        <v>405246.73</v>
      </c>
      <c r="Q42" s="192">
        <f>F42+H42+J42+L42+N42+P42</f>
        <v>2444905.6799999997</v>
      </c>
      <c r="R42" s="193">
        <f>I42+G42+E42+K42+M42+O42</f>
        <v>1</v>
      </c>
    </row>
    <row r="43" spans="1:20" x14ac:dyDescent="0.2">
      <c r="B43" s="184"/>
      <c r="C43" s="185"/>
      <c r="D43" s="186"/>
    </row>
    <row r="44" spans="1:20" s="167" customFormat="1" x14ac:dyDescent="0.2">
      <c r="A44" s="585" t="s">
        <v>38508</v>
      </c>
      <c r="B44" s="586"/>
      <c r="C44" s="587"/>
      <c r="D44" s="183">
        <f>SUM(D22:D40)</f>
        <v>2444905.6800000002</v>
      </c>
      <c r="E44" s="187"/>
      <c r="F44" s="188"/>
      <c r="G44" s="187"/>
      <c r="H44" s="188"/>
      <c r="I44" s="187"/>
      <c r="J44" s="188"/>
      <c r="K44" s="188"/>
      <c r="L44" s="188"/>
      <c r="M44" s="188"/>
      <c r="N44" s="188"/>
      <c r="O44" s="188"/>
      <c r="P44" s="188"/>
    </row>
    <row r="46" spans="1:20" x14ac:dyDescent="0.2">
      <c r="A46" s="580" t="str">
        <f>ORCAMENTO!A392</f>
        <v>BOA VIAGEM - CE, JULHO DE 2025</v>
      </c>
      <c r="B46" s="580"/>
      <c r="C46" s="580"/>
      <c r="D46" s="580"/>
      <c r="E46" s="580"/>
      <c r="F46" s="580"/>
      <c r="G46" s="580"/>
      <c r="H46" s="580"/>
      <c r="I46" s="580"/>
      <c r="J46" s="580"/>
      <c r="K46" s="580"/>
      <c r="L46" s="580"/>
      <c r="M46" s="580"/>
      <c r="N46" s="580"/>
      <c r="O46" s="580"/>
      <c r="P46" s="580"/>
    </row>
    <row r="48" spans="1:20" x14ac:dyDescent="0.2">
      <c r="A48" s="168"/>
      <c r="B48" s="168"/>
      <c r="C48" s="168"/>
      <c r="D48" s="168"/>
      <c r="E48" s="168"/>
      <c r="F48" s="168"/>
      <c r="G48" s="168"/>
      <c r="H48" s="168"/>
      <c r="I48" s="168"/>
      <c r="J48" s="168"/>
    </row>
    <row r="49" spans="1:259" s="180" customFormat="1" x14ac:dyDescent="0.2">
      <c r="A49" s="169"/>
      <c r="B49" s="179"/>
      <c r="C49" s="190"/>
      <c r="D49" s="181">
        <f>ORCAMENTO!I390</f>
        <v>2444905.6800000002</v>
      </c>
      <c r="F49" s="170"/>
      <c r="H49" s="170"/>
      <c r="J49" s="170"/>
      <c r="K49" s="170"/>
      <c r="L49" s="170"/>
      <c r="M49" s="170"/>
      <c r="N49" s="170"/>
      <c r="O49" s="170"/>
      <c r="P49" s="170"/>
      <c r="Q49" s="168"/>
      <c r="R49" s="168"/>
      <c r="S49" s="168"/>
      <c r="T49" s="168"/>
      <c r="U49" s="168"/>
      <c r="V49" s="168"/>
      <c r="W49" s="168"/>
      <c r="X49" s="168"/>
      <c r="Y49" s="168"/>
      <c r="Z49" s="168"/>
      <c r="AA49" s="168"/>
      <c r="AB49" s="168"/>
      <c r="AC49" s="168"/>
      <c r="AD49" s="168"/>
      <c r="AE49" s="168"/>
      <c r="AF49" s="168"/>
      <c r="AG49" s="168"/>
      <c r="AH49" s="168"/>
      <c r="AI49" s="168"/>
      <c r="AJ49" s="168"/>
      <c r="AK49" s="168"/>
      <c r="AL49" s="168"/>
      <c r="AM49" s="168"/>
      <c r="AN49" s="168"/>
      <c r="AO49" s="168"/>
      <c r="AP49" s="168"/>
      <c r="AQ49" s="168"/>
      <c r="AR49" s="168"/>
      <c r="AS49" s="168"/>
      <c r="AT49" s="168"/>
      <c r="AU49" s="168"/>
      <c r="AV49" s="168"/>
      <c r="AW49" s="168"/>
      <c r="AX49" s="168"/>
      <c r="AY49" s="168"/>
      <c r="AZ49" s="168"/>
      <c r="BA49" s="168"/>
      <c r="BB49" s="168"/>
      <c r="BC49" s="168"/>
      <c r="BD49" s="168"/>
      <c r="BE49" s="168"/>
      <c r="BF49" s="168"/>
      <c r="BG49" s="168"/>
      <c r="BH49" s="168"/>
      <c r="BI49" s="168"/>
      <c r="BJ49" s="168"/>
      <c r="BK49" s="168"/>
      <c r="BL49" s="168"/>
      <c r="BM49" s="168"/>
      <c r="BN49" s="168"/>
      <c r="BO49" s="168"/>
      <c r="BP49" s="168"/>
      <c r="BQ49" s="168"/>
      <c r="BR49" s="168"/>
      <c r="BS49" s="168"/>
      <c r="BT49" s="168"/>
      <c r="BU49" s="168"/>
      <c r="BV49" s="168"/>
      <c r="BW49" s="168"/>
      <c r="BX49" s="168"/>
      <c r="BY49" s="168"/>
      <c r="BZ49" s="168"/>
      <c r="CA49" s="168"/>
      <c r="CB49" s="168"/>
      <c r="CC49" s="168"/>
      <c r="CD49" s="168"/>
      <c r="CE49" s="168"/>
      <c r="CF49" s="168"/>
      <c r="CG49" s="168"/>
      <c r="CH49" s="168"/>
      <c r="CI49" s="168"/>
      <c r="CJ49" s="168"/>
      <c r="CK49" s="168"/>
      <c r="CL49" s="168"/>
      <c r="CM49" s="168"/>
      <c r="CN49" s="168"/>
      <c r="CO49" s="168"/>
      <c r="CP49" s="168"/>
      <c r="CQ49" s="168"/>
      <c r="CR49" s="168"/>
      <c r="CS49" s="168"/>
      <c r="CT49" s="168"/>
      <c r="CU49" s="168"/>
      <c r="CV49" s="168"/>
      <c r="CW49" s="168"/>
      <c r="CX49" s="168"/>
      <c r="CY49" s="168"/>
      <c r="CZ49" s="168"/>
      <c r="DA49" s="168"/>
      <c r="DB49" s="168"/>
      <c r="DC49" s="168"/>
      <c r="DD49" s="168"/>
      <c r="DE49" s="168"/>
      <c r="DF49" s="168"/>
      <c r="DG49" s="168"/>
      <c r="DH49" s="168"/>
      <c r="DI49" s="168"/>
      <c r="DJ49" s="168"/>
      <c r="DK49" s="168"/>
      <c r="DL49" s="168"/>
      <c r="DM49" s="168"/>
      <c r="DN49" s="168"/>
      <c r="DO49" s="168"/>
      <c r="DP49" s="168"/>
      <c r="DQ49" s="168"/>
      <c r="DR49" s="168"/>
      <c r="DS49" s="168"/>
      <c r="DT49" s="168"/>
      <c r="DU49" s="168"/>
      <c r="DV49" s="168"/>
      <c r="DW49" s="168"/>
      <c r="DX49" s="168"/>
      <c r="DY49" s="168"/>
      <c r="DZ49" s="168"/>
      <c r="EA49" s="168"/>
      <c r="EB49" s="168"/>
      <c r="EC49" s="168"/>
      <c r="ED49" s="168"/>
      <c r="EE49" s="168"/>
      <c r="EF49" s="168"/>
      <c r="EG49" s="168"/>
      <c r="EH49" s="168"/>
      <c r="EI49" s="168"/>
      <c r="EJ49" s="168"/>
      <c r="EK49" s="168"/>
      <c r="EL49" s="168"/>
      <c r="EM49" s="168"/>
      <c r="EN49" s="168"/>
      <c r="EO49" s="168"/>
      <c r="EP49" s="168"/>
      <c r="EQ49" s="168"/>
      <c r="ER49" s="168"/>
      <c r="ES49" s="168"/>
      <c r="ET49" s="168"/>
      <c r="EU49" s="168"/>
      <c r="EV49" s="168"/>
      <c r="EW49" s="168"/>
      <c r="EX49" s="168"/>
      <c r="EY49" s="168"/>
      <c r="EZ49" s="168"/>
      <c r="FA49" s="168"/>
      <c r="FB49" s="168"/>
      <c r="FC49" s="168"/>
      <c r="FD49" s="168"/>
      <c r="FE49" s="168"/>
      <c r="FF49" s="168"/>
      <c r="FG49" s="168"/>
      <c r="FH49" s="168"/>
      <c r="FI49" s="168"/>
      <c r="FJ49" s="168"/>
      <c r="FK49" s="168"/>
      <c r="FL49" s="168"/>
      <c r="FM49" s="168"/>
      <c r="FN49" s="168"/>
      <c r="FO49" s="168"/>
      <c r="FP49" s="168"/>
      <c r="FQ49" s="168"/>
      <c r="FR49" s="168"/>
      <c r="FS49" s="168"/>
      <c r="FT49" s="168"/>
      <c r="FU49" s="168"/>
      <c r="FV49" s="168"/>
      <c r="FW49" s="168"/>
      <c r="FX49" s="168"/>
      <c r="FY49" s="168"/>
      <c r="FZ49" s="168"/>
      <c r="GA49" s="168"/>
      <c r="GB49" s="168"/>
      <c r="GC49" s="168"/>
      <c r="GD49" s="168"/>
      <c r="GE49" s="168"/>
      <c r="GF49" s="168"/>
      <c r="GG49" s="168"/>
      <c r="GH49" s="168"/>
      <c r="GI49" s="168"/>
      <c r="GJ49" s="168"/>
      <c r="GK49" s="168"/>
      <c r="GL49" s="168"/>
      <c r="GM49" s="168"/>
      <c r="GN49" s="168"/>
      <c r="GO49" s="168"/>
      <c r="GP49" s="168"/>
      <c r="GQ49" s="168"/>
      <c r="GR49" s="168"/>
      <c r="GS49" s="168"/>
      <c r="GT49" s="168"/>
      <c r="GU49" s="168"/>
      <c r="GV49" s="168"/>
      <c r="GW49" s="168"/>
      <c r="GX49" s="168"/>
      <c r="GY49" s="168"/>
      <c r="GZ49" s="168"/>
      <c r="HA49" s="168"/>
      <c r="HB49" s="168"/>
      <c r="HC49" s="168"/>
      <c r="HD49" s="168"/>
      <c r="HE49" s="168"/>
      <c r="HF49" s="168"/>
      <c r="HG49" s="168"/>
      <c r="HH49" s="168"/>
      <c r="HI49" s="168"/>
      <c r="HJ49" s="168"/>
      <c r="HK49" s="168"/>
      <c r="HL49" s="168"/>
      <c r="HM49" s="168"/>
      <c r="HN49" s="168"/>
      <c r="HO49" s="168"/>
      <c r="HP49" s="168"/>
      <c r="HQ49" s="168"/>
      <c r="HR49" s="168"/>
      <c r="HS49" s="168"/>
      <c r="HT49" s="168"/>
      <c r="HU49" s="168"/>
      <c r="HV49" s="168"/>
      <c r="HW49" s="168"/>
      <c r="HX49" s="168"/>
      <c r="HY49" s="168"/>
      <c r="HZ49" s="168"/>
      <c r="IA49" s="168"/>
      <c r="IB49" s="168"/>
      <c r="IC49" s="168"/>
      <c r="ID49" s="168"/>
      <c r="IE49" s="168"/>
      <c r="IF49" s="168"/>
      <c r="IG49" s="168"/>
      <c r="IH49" s="168"/>
      <c r="II49" s="168"/>
      <c r="IJ49" s="168"/>
      <c r="IK49" s="168"/>
      <c r="IL49" s="168"/>
      <c r="IM49" s="168"/>
      <c r="IN49" s="168"/>
      <c r="IO49" s="168"/>
      <c r="IP49" s="168"/>
      <c r="IQ49" s="168"/>
      <c r="IR49" s="168"/>
      <c r="IS49" s="168"/>
      <c r="IT49" s="168"/>
      <c r="IU49" s="168"/>
      <c r="IV49" s="168"/>
      <c r="IW49" s="168"/>
      <c r="IX49" s="168"/>
      <c r="IY49" s="168"/>
    </row>
    <row r="50" spans="1:259" s="180" customFormat="1" x14ac:dyDescent="0.2">
      <c r="A50" s="169"/>
      <c r="B50" s="179"/>
      <c r="C50" s="190"/>
      <c r="D50" s="181">
        <f>D49-Q42</f>
        <v>0</v>
      </c>
      <c r="F50" s="170"/>
      <c r="H50" s="170"/>
      <c r="J50" s="170"/>
      <c r="K50" s="170"/>
      <c r="L50" s="170"/>
      <c r="M50" s="170"/>
      <c r="N50" s="170"/>
      <c r="O50" s="170"/>
      <c r="P50" s="170"/>
      <c r="Q50" s="168"/>
      <c r="R50" s="168"/>
      <c r="S50" s="168"/>
      <c r="T50" s="168"/>
      <c r="U50" s="168"/>
      <c r="V50" s="168"/>
      <c r="W50" s="168"/>
      <c r="X50" s="168"/>
      <c r="Y50" s="168"/>
      <c r="Z50" s="168"/>
      <c r="AA50" s="168"/>
      <c r="AB50" s="168"/>
      <c r="AC50" s="168"/>
      <c r="AD50" s="168"/>
      <c r="AE50" s="168"/>
      <c r="AF50" s="168"/>
      <c r="AG50" s="168"/>
      <c r="AH50" s="168"/>
      <c r="AI50" s="168"/>
      <c r="AJ50" s="168"/>
      <c r="AK50" s="168"/>
      <c r="AL50" s="168"/>
      <c r="AM50" s="168"/>
      <c r="AN50" s="168"/>
      <c r="AO50" s="168"/>
      <c r="AP50" s="168"/>
      <c r="AQ50" s="168"/>
      <c r="AR50" s="168"/>
      <c r="AS50" s="168"/>
      <c r="AT50" s="168"/>
      <c r="AU50" s="168"/>
      <c r="AV50" s="168"/>
      <c r="AW50" s="168"/>
      <c r="AX50" s="168"/>
      <c r="AY50" s="168"/>
      <c r="AZ50" s="168"/>
      <c r="BA50" s="168"/>
      <c r="BB50" s="168"/>
      <c r="BC50" s="168"/>
      <c r="BD50" s="168"/>
      <c r="BE50" s="168"/>
      <c r="BF50" s="168"/>
      <c r="BG50" s="168"/>
      <c r="BH50" s="168"/>
      <c r="BI50" s="168"/>
      <c r="BJ50" s="168"/>
      <c r="BK50" s="168"/>
      <c r="BL50" s="168"/>
      <c r="BM50" s="168"/>
      <c r="BN50" s="168"/>
      <c r="BO50" s="168"/>
      <c r="BP50" s="168"/>
      <c r="BQ50" s="168"/>
      <c r="BR50" s="168"/>
      <c r="BS50" s="168"/>
      <c r="BT50" s="168"/>
      <c r="BU50" s="168"/>
      <c r="BV50" s="168"/>
      <c r="BW50" s="168"/>
      <c r="BX50" s="168"/>
      <c r="BY50" s="168"/>
      <c r="BZ50" s="168"/>
      <c r="CA50" s="168"/>
      <c r="CB50" s="168"/>
      <c r="CC50" s="168"/>
      <c r="CD50" s="168"/>
      <c r="CE50" s="168"/>
      <c r="CF50" s="168"/>
      <c r="CG50" s="168"/>
      <c r="CH50" s="168"/>
      <c r="CI50" s="168"/>
      <c r="CJ50" s="168"/>
      <c r="CK50" s="168"/>
      <c r="CL50" s="168"/>
      <c r="CM50" s="168"/>
      <c r="CN50" s="168"/>
      <c r="CO50" s="168"/>
      <c r="CP50" s="168"/>
      <c r="CQ50" s="168"/>
      <c r="CR50" s="168"/>
      <c r="CS50" s="168"/>
      <c r="CT50" s="168"/>
      <c r="CU50" s="168"/>
      <c r="CV50" s="168"/>
      <c r="CW50" s="168"/>
      <c r="CX50" s="168"/>
      <c r="CY50" s="168"/>
      <c r="CZ50" s="168"/>
      <c r="DA50" s="168"/>
      <c r="DB50" s="168"/>
      <c r="DC50" s="168"/>
      <c r="DD50" s="168"/>
      <c r="DE50" s="168"/>
      <c r="DF50" s="168"/>
      <c r="DG50" s="168"/>
      <c r="DH50" s="168"/>
      <c r="DI50" s="168"/>
      <c r="DJ50" s="168"/>
      <c r="DK50" s="168"/>
      <c r="DL50" s="168"/>
      <c r="DM50" s="168"/>
      <c r="DN50" s="168"/>
      <c r="DO50" s="168"/>
      <c r="DP50" s="168"/>
      <c r="DQ50" s="168"/>
      <c r="DR50" s="168"/>
      <c r="DS50" s="168"/>
      <c r="DT50" s="168"/>
      <c r="DU50" s="168"/>
      <c r="DV50" s="168"/>
      <c r="DW50" s="168"/>
      <c r="DX50" s="168"/>
      <c r="DY50" s="168"/>
      <c r="DZ50" s="168"/>
      <c r="EA50" s="168"/>
      <c r="EB50" s="168"/>
      <c r="EC50" s="168"/>
      <c r="ED50" s="168"/>
      <c r="EE50" s="168"/>
      <c r="EF50" s="168"/>
      <c r="EG50" s="168"/>
      <c r="EH50" s="168"/>
      <c r="EI50" s="168"/>
      <c r="EJ50" s="168"/>
      <c r="EK50" s="168"/>
      <c r="EL50" s="168"/>
      <c r="EM50" s="168"/>
      <c r="EN50" s="168"/>
      <c r="EO50" s="168"/>
      <c r="EP50" s="168"/>
      <c r="EQ50" s="168"/>
      <c r="ER50" s="168"/>
      <c r="ES50" s="168"/>
      <c r="ET50" s="168"/>
      <c r="EU50" s="168"/>
      <c r="EV50" s="168"/>
      <c r="EW50" s="168"/>
      <c r="EX50" s="168"/>
      <c r="EY50" s="168"/>
      <c r="EZ50" s="168"/>
      <c r="FA50" s="168"/>
      <c r="FB50" s="168"/>
      <c r="FC50" s="168"/>
      <c r="FD50" s="168"/>
      <c r="FE50" s="168"/>
      <c r="FF50" s="168"/>
      <c r="FG50" s="168"/>
      <c r="FH50" s="168"/>
      <c r="FI50" s="168"/>
      <c r="FJ50" s="168"/>
      <c r="FK50" s="168"/>
      <c r="FL50" s="168"/>
      <c r="FM50" s="168"/>
      <c r="FN50" s="168"/>
      <c r="FO50" s="168"/>
      <c r="FP50" s="168"/>
      <c r="FQ50" s="168"/>
      <c r="FR50" s="168"/>
      <c r="FS50" s="168"/>
      <c r="FT50" s="168"/>
      <c r="FU50" s="168"/>
      <c r="FV50" s="168"/>
      <c r="FW50" s="168"/>
      <c r="FX50" s="168"/>
      <c r="FY50" s="168"/>
      <c r="FZ50" s="168"/>
      <c r="GA50" s="168"/>
      <c r="GB50" s="168"/>
      <c r="GC50" s="168"/>
      <c r="GD50" s="168"/>
      <c r="GE50" s="168"/>
      <c r="GF50" s="168"/>
      <c r="GG50" s="168"/>
      <c r="GH50" s="168"/>
      <c r="GI50" s="168"/>
      <c r="GJ50" s="168"/>
      <c r="GK50" s="168"/>
      <c r="GL50" s="168"/>
      <c r="GM50" s="168"/>
      <c r="GN50" s="168"/>
      <c r="GO50" s="168"/>
      <c r="GP50" s="168"/>
      <c r="GQ50" s="168"/>
      <c r="GR50" s="168"/>
      <c r="GS50" s="168"/>
      <c r="GT50" s="168"/>
      <c r="GU50" s="168"/>
      <c r="GV50" s="168"/>
      <c r="GW50" s="168"/>
      <c r="GX50" s="168"/>
      <c r="GY50" s="168"/>
      <c r="GZ50" s="168"/>
      <c r="HA50" s="168"/>
      <c r="HB50" s="168"/>
      <c r="HC50" s="168"/>
      <c r="HD50" s="168"/>
      <c r="HE50" s="168"/>
      <c r="HF50" s="168"/>
      <c r="HG50" s="168"/>
      <c r="HH50" s="168"/>
      <c r="HI50" s="168"/>
      <c r="HJ50" s="168"/>
      <c r="HK50" s="168"/>
      <c r="HL50" s="168"/>
      <c r="HM50" s="168"/>
      <c r="HN50" s="168"/>
      <c r="HO50" s="168"/>
      <c r="HP50" s="168"/>
      <c r="HQ50" s="168"/>
      <c r="HR50" s="168"/>
      <c r="HS50" s="168"/>
      <c r="HT50" s="168"/>
      <c r="HU50" s="168"/>
      <c r="HV50" s="168"/>
      <c r="HW50" s="168"/>
      <c r="HX50" s="168"/>
      <c r="HY50" s="168"/>
      <c r="HZ50" s="168"/>
      <c r="IA50" s="168"/>
      <c r="IB50" s="168"/>
      <c r="IC50" s="168"/>
      <c r="ID50" s="168"/>
      <c r="IE50" s="168"/>
      <c r="IF50" s="168"/>
      <c r="IG50" s="168"/>
      <c r="IH50" s="168"/>
      <c r="II50" s="168"/>
      <c r="IJ50" s="168"/>
      <c r="IK50" s="168"/>
      <c r="IL50" s="168"/>
      <c r="IM50" s="168"/>
      <c r="IN50" s="168"/>
      <c r="IO50" s="168"/>
      <c r="IP50" s="168"/>
      <c r="IQ50" s="168"/>
      <c r="IR50" s="168"/>
      <c r="IS50" s="168"/>
      <c r="IT50" s="168"/>
      <c r="IU50" s="168"/>
      <c r="IV50" s="168"/>
      <c r="IW50" s="168"/>
      <c r="IX50" s="168"/>
      <c r="IY50" s="168"/>
    </row>
    <row r="62" spans="1:259" s="180" customFormat="1" x14ac:dyDescent="0.2">
      <c r="A62" s="169"/>
      <c r="B62" s="179"/>
      <c r="C62" s="190"/>
      <c r="D62" s="189"/>
      <c r="F62" s="170"/>
      <c r="H62" s="170"/>
      <c r="J62" s="170"/>
      <c r="K62" s="170"/>
      <c r="L62" s="170"/>
      <c r="M62" s="170"/>
      <c r="N62" s="170"/>
      <c r="O62" s="170"/>
      <c r="P62" s="170"/>
      <c r="Q62" s="168"/>
      <c r="R62" s="168"/>
      <c r="S62" s="168"/>
      <c r="T62" s="168"/>
      <c r="U62" s="168"/>
      <c r="V62" s="168"/>
      <c r="W62" s="168"/>
      <c r="X62" s="168"/>
      <c r="Y62" s="168"/>
      <c r="Z62" s="168"/>
      <c r="AA62" s="168"/>
      <c r="AB62" s="168"/>
      <c r="AC62" s="168"/>
      <c r="AD62" s="168"/>
      <c r="AE62" s="168"/>
      <c r="AF62" s="168"/>
      <c r="AG62" s="168"/>
      <c r="AH62" s="168"/>
      <c r="AI62" s="168"/>
      <c r="AJ62" s="168"/>
      <c r="AK62" s="168"/>
      <c r="AL62" s="168"/>
      <c r="AM62" s="168"/>
      <c r="AN62" s="168"/>
      <c r="AO62" s="168"/>
      <c r="AP62" s="168"/>
      <c r="AQ62" s="168"/>
      <c r="AR62" s="168"/>
      <c r="AS62" s="168"/>
      <c r="AT62" s="168"/>
      <c r="AU62" s="168"/>
      <c r="AV62" s="168"/>
      <c r="AW62" s="168"/>
      <c r="AX62" s="168"/>
      <c r="AY62" s="168"/>
      <c r="AZ62" s="168"/>
      <c r="BA62" s="168"/>
      <c r="BB62" s="168"/>
      <c r="BC62" s="168"/>
      <c r="BD62" s="168"/>
      <c r="BE62" s="168"/>
      <c r="BF62" s="168"/>
      <c r="BG62" s="168"/>
      <c r="BH62" s="168"/>
      <c r="BI62" s="168"/>
      <c r="BJ62" s="168"/>
      <c r="BK62" s="168"/>
      <c r="BL62" s="168"/>
      <c r="BM62" s="168"/>
      <c r="BN62" s="168"/>
      <c r="BO62" s="168"/>
      <c r="BP62" s="168"/>
      <c r="BQ62" s="168"/>
      <c r="BR62" s="168"/>
      <c r="BS62" s="168"/>
      <c r="BT62" s="168"/>
      <c r="BU62" s="168"/>
      <c r="BV62" s="168"/>
      <c r="BW62" s="168"/>
      <c r="BX62" s="168"/>
      <c r="BY62" s="168"/>
      <c r="BZ62" s="168"/>
      <c r="CA62" s="168"/>
      <c r="CB62" s="168"/>
      <c r="CC62" s="168"/>
      <c r="CD62" s="168"/>
      <c r="CE62" s="168"/>
      <c r="CF62" s="168"/>
      <c r="CG62" s="168"/>
      <c r="CH62" s="168"/>
      <c r="CI62" s="168"/>
      <c r="CJ62" s="168"/>
      <c r="CK62" s="168"/>
      <c r="CL62" s="168"/>
      <c r="CM62" s="168"/>
      <c r="CN62" s="168"/>
      <c r="CO62" s="168"/>
      <c r="CP62" s="168"/>
      <c r="CQ62" s="168"/>
      <c r="CR62" s="168"/>
      <c r="CS62" s="168"/>
      <c r="CT62" s="168"/>
      <c r="CU62" s="168"/>
      <c r="CV62" s="168"/>
      <c r="CW62" s="168"/>
      <c r="CX62" s="168"/>
      <c r="CY62" s="168"/>
      <c r="CZ62" s="168"/>
      <c r="DA62" s="168"/>
      <c r="DB62" s="168"/>
      <c r="DC62" s="168"/>
      <c r="DD62" s="168"/>
      <c r="DE62" s="168"/>
      <c r="DF62" s="168"/>
      <c r="DG62" s="168"/>
      <c r="DH62" s="168"/>
      <c r="DI62" s="168"/>
      <c r="DJ62" s="168"/>
      <c r="DK62" s="168"/>
      <c r="DL62" s="168"/>
      <c r="DM62" s="168"/>
      <c r="DN62" s="168"/>
      <c r="DO62" s="168"/>
      <c r="DP62" s="168"/>
      <c r="DQ62" s="168"/>
      <c r="DR62" s="168"/>
      <c r="DS62" s="168"/>
      <c r="DT62" s="168"/>
      <c r="DU62" s="168"/>
      <c r="DV62" s="168"/>
      <c r="DW62" s="168"/>
      <c r="DX62" s="168"/>
      <c r="DY62" s="168"/>
      <c r="DZ62" s="168"/>
      <c r="EA62" s="168"/>
      <c r="EB62" s="168"/>
      <c r="EC62" s="168"/>
      <c r="ED62" s="168"/>
      <c r="EE62" s="168"/>
      <c r="EF62" s="168"/>
      <c r="EG62" s="168"/>
      <c r="EH62" s="168"/>
      <c r="EI62" s="168"/>
      <c r="EJ62" s="168"/>
      <c r="EK62" s="168"/>
      <c r="EL62" s="168"/>
      <c r="EM62" s="168"/>
      <c r="EN62" s="168"/>
      <c r="EO62" s="168"/>
      <c r="EP62" s="168"/>
      <c r="EQ62" s="168"/>
      <c r="ER62" s="168"/>
      <c r="ES62" s="168"/>
      <c r="ET62" s="168"/>
      <c r="EU62" s="168"/>
      <c r="EV62" s="168"/>
      <c r="EW62" s="168"/>
      <c r="EX62" s="168"/>
      <c r="EY62" s="168"/>
      <c r="EZ62" s="168"/>
      <c r="FA62" s="168"/>
      <c r="FB62" s="168"/>
      <c r="FC62" s="168"/>
      <c r="FD62" s="168"/>
      <c r="FE62" s="168"/>
      <c r="FF62" s="168"/>
      <c r="FG62" s="168"/>
      <c r="FH62" s="168"/>
      <c r="FI62" s="168"/>
      <c r="FJ62" s="168"/>
      <c r="FK62" s="168"/>
      <c r="FL62" s="168"/>
      <c r="FM62" s="168"/>
      <c r="FN62" s="168"/>
      <c r="FO62" s="168"/>
      <c r="FP62" s="168"/>
      <c r="FQ62" s="168"/>
      <c r="FR62" s="168"/>
      <c r="FS62" s="168"/>
      <c r="FT62" s="168"/>
      <c r="FU62" s="168"/>
      <c r="FV62" s="168"/>
      <c r="FW62" s="168"/>
      <c r="FX62" s="168"/>
      <c r="FY62" s="168"/>
      <c r="FZ62" s="168"/>
      <c r="GA62" s="168"/>
      <c r="GB62" s="168"/>
      <c r="GC62" s="168"/>
      <c r="GD62" s="168"/>
      <c r="GE62" s="168"/>
      <c r="GF62" s="168"/>
      <c r="GG62" s="168"/>
      <c r="GH62" s="168"/>
      <c r="GI62" s="168"/>
      <c r="GJ62" s="168"/>
      <c r="GK62" s="168"/>
      <c r="GL62" s="168"/>
      <c r="GM62" s="168"/>
      <c r="GN62" s="168"/>
      <c r="GO62" s="168"/>
      <c r="GP62" s="168"/>
      <c r="GQ62" s="168"/>
      <c r="GR62" s="168"/>
      <c r="GS62" s="168"/>
      <c r="GT62" s="168"/>
      <c r="GU62" s="168"/>
      <c r="GV62" s="168"/>
      <c r="GW62" s="168"/>
      <c r="GX62" s="168"/>
      <c r="GY62" s="168"/>
      <c r="GZ62" s="168"/>
      <c r="HA62" s="168"/>
      <c r="HB62" s="168"/>
      <c r="HC62" s="168"/>
      <c r="HD62" s="168"/>
      <c r="HE62" s="168"/>
      <c r="HF62" s="168"/>
      <c r="HG62" s="168"/>
      <c r="HH62" s="168"/>
      <c r="HI62" s="168"/>
      <c r="HJ62" s="168"/>
      <c r="HK62" s="168"/>
      <c r="HL62" s="168"/>
      <c r="HM62" s="168"/>
      <c r="HN62" s="168"/>
      <c r="HO62" s="168"/>
      <c r="HP62" s="168"/>
      <c r="HQ62" s="168"/>
      <c r="HR62" s="168"/>
      <c r="HS62" s="168"/>
      <c r="HT62" s="168"/>
      <c r="HU62" s="168"/>
      <c r="HV62" s="168"/>
      <c r="HW62" s="168"/>
      <c r="HX62" s="168"/>
      <c r="HY62" s="168"/>
      <c r="HZ62" s="168"/>
      <c r="IA62" s="168"/>
      <c r="IB62" s="168"/>
      <c r="IC62" s="168"/>
      <c r="ID62" s="168"/>
      <c r="IE62" s="168"/>
      <c r="IF62" s="168"/>
      <c r="IG62" s="168"/>
      <c r="IH62" s="168"/>
      <c r="II62" s="168"/>
      <c r="IJ62" s="168"/>
      <c r="IK62" s="168"/>
      <c r="IL62" s="168"/>
      <c r="IM62" s="168"/>
      <c r="IN62" s="168"/>
      <c r="IO62" s="168"/>
      <c r="IP62" s="168"/>
      <c r="IQ62" s="168"/>
      <c r="IR62" s="168"/>
      <c r="IS62" s="168"/>
      <c r="IT62" s="168"/>
      <c r="IU62" s="168"/>
      <c r="IV62" s="168"/>
      <c r="IW62" s="168"/>
      <c r="IX62" s="168"/>
      <c r="IY62" s="168"/>
    </row>
    <row r="65" spans="1:16" x14ac:dyDescent="0.2">
      <c r="A65" s="179"/>
      <c r="D65" s="188"/>
      <c r="E65" s="190"/>
      <c r="F65" s="179"/>
      <c r="G65" s="190"/>
      <c r="H65" s="179"/>
      <c r="I65" s="190"/>
      <c r="J65" s="179"/>
      <c r="K65" s="179"/>
      <c r="L65" s="179"/>
      <c r="M65" s="179"/>
      <c r="N65" s="179"/>
      <c r="O65" s="179"/>
      <c r="P65" s="179"/>
    </row>
    <row r="66" spans="1:16" x14ac:dyDescent="0.2">
      <c r="A66" s="179"/>
      <c r="D66" s="188"/>
      <c r="E66" s="190"/>
      <c r="F66" s="179"/>
      <c r="G66" s="190"/>
      <c r="H66" s="179"/>
      <c r="I66" s="190"/>
      <c r="J66" s="179"/>
      <c r="K66" s="179"/>
      <c r="L66" s="179"/>
      <c r="M66" s="179"/>
      <c r="N66" s="179"/>
      <c r="O66" s="179"/>
      <c r="P66" s="179"/>
    </row>
    <row r="67" spans="1:16" x14ac:dyDescent="0.2">
      <c r="A67" s="179"/>
      <c r="D67" s="188"/>
      <c r="E67" s="190"/>
      <c r="F67" s="179"/>
      <c r="G67" s="190"/>
      <c r="H67" s="179"/>
      <c r="I67" s="190"/>
      <c r="J67" s="179"/>
      <c r="K67" s="179"/>
      <c r="L67" s="179"/>
      <c r="M67" s="179"/>
      <c r="N67" s="179"/>
      <c r="O67" s="179"/>
      <c r="P67" s="179"/>
    </row>
  </sheetData>
  <mergeCells count="15">
    <mergeCell ref="A2:P2"/>
    <mergeCell ref="A46:P46"/>
    <mergeCell ref="A19:P19"/>
    <mergeCell ref="A42:D42"/>
    <mergeCell ref="A44:C44"/>
    <mergeCell ref="K20:L20"/>
    <mergeCell ref="M20:N20"/>
    <mergeCell ref="O20:P20"/>
    <mergeCell ref="A20:A21"/>
    <mergeCell ref="B20:B21"/>
    <mergeCell ref="C20:C21"/>
    <mergeCell ref="D20:D21"/>
    <mergeCell ref="E20:F20"/>
    <mergeCell ref="G20:H20"/>
    <mergeCell ref="I20:J20"/>
  </mergeCells>
  <printOptions horizontalCentered="1"/>
  <pageMargins left="0.39370078740157483" right="0.39370078740157483" top="0.39370078740157483" bottom="0.39370078740157483" header="0.51181102362204722" footer="0.51181102362204722"/>
  <pageSetup paperSize="9" scale="60" orientation="landscape" r:id="rId1"/>
  <headerFooter>
    <oddFooter>&amp;RPágina &amp;P de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0D8F0E-1338-4566-9059-BD710A116BFA}">
  <dimension ref="A1:G40"/>
  <sheetViews>
    <sheetView view="pageBreakPreview" zoomScale="115" zoomScaleNormal="100" zoomScaleSheetLayoutView="115" workbookViewId="0">
      <selection activeCell="A2" sqref="A2:G2"/>
    </sheetView>
  </sheetViews>
  <sheetFormatPr defaultRowHeight="12.75" x14ac:dyDescent="0.2"/>
  <cols>
    <col min="1" max="2" width="11.83203125" customWidth="1"/>
    <col min="3" max="3" width="60.83203125" customWidth="1"/>
    <col min="4" max="4" width="9.83203125" customWidth="1"/>
    <col min="5" max="5" width="14.83203125" customWidth="1"/>
    <col min="6" max="7" width="12.83203125" customWidth="1"/>
  </cols>
  <sheetData>
    <row r="1" spans="1:7" x14ac:dyDescent="0.2">
      <c r="A1" s="95"/>
      <c r="B1" s="95"/>
      <c r="C1" s="276"/>
      <c r="D1" s="95"/>
      <c r="E1" s="277"/>
      <c r="F1" s="277"/>
      <c r="G1" s="278"/>
    </row>
    <row r="2" spans="1:7" x14ac:dyDescent="0.2">
      <c r="A2" s="597" t="str">
        <f>ORCAMENTO!A2</f>
        <v>INSTITUTO FEDERAL DE EDUCAÇÃO CIÊNCIA E TECNOLOGIA DO CEARÁ - CAMPUS BOA VIAGEM</v>
      </c>
      <c r="B2" s="597"/>
      <c r="C2" s="597"/>
      <c r="D2" s="597"/>
      <c r="E2" s="597"/>
      <c r="F2" s="597"/>
      <c r="G2" s="597"/>
    </row>
    <row r="3" spans="1:7" x14ac:dyDescent="0.2">
      <c r="A3" s="163"/>
      <c r="B3" s="163"/>
      <c r="C3" s="163"/>
      <c r="D3" s="163"/>
      <c r="E3" s="163"/>
      <c r="F3" s="163"/>
      <c r="G3" s="163"/>
    </row>
    <row r="4" spans="1:7" x14ac:dyDescent="0.2">
      <c r="A4" s="163" t="str">
        <f>ORCAMENTO!A4</f>
        <v>OBRA:</v>
      </c>
      <c r="B4" s="99"/>
      <c r="C4" s="279"/>
      <c r="D4" s="99"/>
      <c r="E4" s="280"/>
      <c r="F4" s="280"/>
      <c r="G4" s="278"/>
    </row>
    <row r="5" spans="1:7" x14ac:dyDescent="0.2">
      <c r="A5" s="112" t="str">
        <f>ORCAMENTO!A5</f>
        <v>CENTRO DE INOVAÇÃO E DIFUSÃO DE TECNOLOGIA PARA O SEMIÁRIDO - CAMPUS BOA VIAGEM</v>
      </c>
      <c r="B5" s="100"/>
      <c r="C5" s="100"/>
      <c r="D5" s="98"/>
      <c r="E5" s="278"/>
      <c r="F5" s="281"/>
      <c r="G5" s="278"/>
    </row>
    <row r="6" spans="1:7" x14ac:dyDescent="0.2">
      <c r="A6" s="163" t="str">
        <f>ORCAMENTO!A6</f>
        <v>LOCAL:</v>
      </c>
      <c r="B6" s="101"/>
      <c r="C6" s="101"/>
      <c r="D6" s="102"/>
      <c r="E6" s="123"/>
      <c r="F6" s="282"/>
      <c r="G6" s="123"/>
    </row>
    <row r="7" spans="1:7" x14ac:dyDescent="0.2">
      <c r="A7" s="112" t="str">
        <f>ORCAMENTO!A7</f>
        <v>SEDE DO MUNICÍPIO</v>
      </c>
      <c r="B7" s="100"/>
      <c r="C7" s="100"/>
      <c r="D7" s="98"/>
      <c r="E7" s="278"/>
      <c r="F7" s="281"/>
      <c r="G7" s="278"/>
    </row>
    <row r="8" spans="1:7" x14ac:dyDescent="0.2">
      <c r="A8" s="163" t="str">
        <f>ORCAMENTO!A8</f>
        <v>MUNICÍPIO:</v>
      </c>
      <c r="B8" s="101"/>
      <c r="C8" s="101"/>
      <c r="D8" s="102"/>
      <c r="E8" s="278"/>
      <c r="F8" s="282"/>
      <c r="G8" s="123"/>
    </row>
    <row r="9" spans="1:7" x14ac:dyDescent="0.2">
      <c r="A9" s="112" t="str">
        <f>ORCAMENTO!A9</f>
        <v>BOA VIAGEM - CE</v>
      </c>
      <c r="B9" s="100"/>
      <c r="C9" s="100"/>
      <c r="D9" s="98"/>
      <c r="E9" s="278"/>
      <c r="F9" s="281"/>
      <c r="G9" s="278"/>
    </row>
    <row r="10" spans="1:7" x14ac:dyDescent="0.2">
      <c r="A10" s="163"/>
      <c r="B10" s="101"/>
      <c r="C10" s="101"/>
      <c r="D10" s="102"/>
      <c r="E10" s="123"/>
      <c r="F10" s="282"/>
      <c r="G10" s="123"/>
    </row>
    <row r="11" spans="1:7" x14ac:dyDescent="0.2">
      <c r="A11" s="163" t="str">
        <f>ORCAMENTO!A11</f>
        <v>FONTE DOS PREÇOS:</v>
      </c>
      <c r="B11" s="101"/>
      <c r="C11" s="101"/>
      <c r="D11" s="102"/>
      <c r="E11" s="123"/>
      <c r="F11" s="282"/>
      <c r="G11" s="123"/>
    </row>
    <row r="12" spans="1:7" x14ac:dyDescent="0.2">
      <c r="A12" s="112" t="str">
        <f>ORCAMENTO!A12</f>
        <v>TABELA SEINFRA 028.1 DESONERADA</v>
      </c>
      <c r="B12" s="101"/>
      <c r="C12" s="101"/>
      <c r="D12" s="102"/>
      <c r="E12" s="123"/>
      <c r="F12" s="282"/>
      <c r="G12" s="123"/>
    </row>
    <row r="13" spans="1:7" x14ac:dyDescent="0.2">
      <c r="A13" s="112"/>
      <c r="B13" s="112" t="str">
        <f>ORCAMENTO!B13</f>
        <v>DATA REFERÊNCIA TÉCNICA: 10/2023</v>
      </c>
      <c r="C13" s="100"/>
      <c r="D13" s="98"/>
      <c r="E13" s="278"/>
      <c r="F13" s="281"/>
      <c r="G13" s="278"/>
    </row>
    <row r="14" spans="1:7" x14ac:dyDescent="0.2">
      <c r="A14" s="112"/>
      <c r="B14" s="112" t="str">
        <f>ORCAMENTO!B14</f>
        <v>ENCARGOS SOCIAIS: 84,44% (HORA) - 47,48% (MÊS)</v>
      </c>
      <c r="C14" s="101"/>
      <c r="D14" s="102"/>
      <c r="E14" s="123"/>
      <c r="F14" s="282"/>
      <c r="G14" s="123"/>
    </row>
    <row r="15" spans="1:7" x14ac:dyDescent="0.2">
      <c r="A15" s="112" t="str">
        <f>ORCAMENTO!A15</f>
        <v>TABELA SINAPI 06/2025 DESONERADA</v>
      </c>
      <c r="B15" s="112"/>
      <c r="C15" s="101"/>
      <c r="D15" s="102"/>
      <c r="E15" s="123"/>
      <c r="F15" s="282"/>
      <c r="G15" s="123"/>
    </row>
    <row r="16" spans="1:7" x14ac:dyDescent="0.2">
      <c r="A16" s="112"/>
      <c r="B16" s="112" t="str">
        <f>ORCAMENTO!B16</f>
        <v>DATA REFERÊNCIA TÉCNICA: 06/2025</v>
      </c>
      <c r="C16" s="101"/>
      <c r="D16" s="102"/>
      <c r="E16" s="123"/>
      <c r="F16" s="282"/>
      <c r="G16" s="105"/>
    </row>
    <row r="17" spans="1:7" x14ac:dyDescent="0.2">
      <c r="A17" s="112"/>
      <c r="B17" s="112" t="str">
        <f>ORCAMENTO!B17</f>
        <v>ENCARGOS SOCIAIS: 92,17% (HORA) - 53,50% (MÊS)</v>
      </c>
      <c r="C17" s="101"/>
      <c r="D17" s="102"/>
      <c r="E17" s="123"/>
      <c r="F17" s="282"/>
      <c r="G17" s="105"/>
    </row>
    <row r="18" spans="1:7" x14ac:dyDescent="0.2">
      <c r="A18" s="163"/>
      <c r="B18" s="163"/>
      <c r="C18" s="284"/>
      <c r="D18" s="285"/>
      <c r="E18" s="286"/>
      <c r="F18" s="286"/>
      <c r="G18" s="287"/>
    </row>
    <row r="19" spans="1:7" x14ac:dyDescent="0.2">
      <c r="A19" s="244" t="s">
        <v>47110</v>
      </c>
      <c r="B19" s="598" t="s">
        <v>39429</v>
      </c>
      <c r="C19" s="599"/>
      <c r="D19" s="599"/>
      <c r="E19" s="600"/>
      <c r="F19" s="245" t="s">
        <v>39196</v>
      </c>
      <c r="G19" s="246" t="s">
        <v>0</v>
      </c>
    </row>
    <row r="20" spans="1:7" ht="38.25" x14ac:dyDescent="0.2">
      <c r="A20" s="290" t="s">
        <v>39178</v>
      </c>
      <c r="B20" s="290" t="s">
        <v>52</v>
      </c>
      <c r="C20" s="290" t="s">
        <v>5917</v>
      </c>
      <c r="D20" s="290" t="s">
        <v>39197</v>
      </c>
      <c r="E20" s="290" t="s">
        <v>39166</v>
      </c>
      <c r="F20" s="290" t="s">
        <v>39198</v>
      </c>
      <c r="G20" s="291" t="s">
        <v>39199</v>
      </c>
    </row>
    <row r="21" spans="1:7" x14ac:dyDescent="0.2">
      <c r="A21" s="594" t="s">
        <v>39225</v>
      </c>
      <c r="B21" s="594"/>
      <c r="C21" s="594"/>
      <c r="D21" s="594"/>
      <c r="E21" s="594"/>
      <c r="F21" s="594"/>
      <c r="G21" s="594"/>
    </row>
    <row r="22" spans="1:7" x14ac:dyDescent="0.2">
      <c r="A22" s="257" t="s">
        <v>15</v>
      </c>
      <c r="B22" s="250">
        <v>88316</v>
      </c>
      <c r="C22" s="294" t="str">
        <f>IF(A22="SINAPI",VLOOKUP(B22,SINAPI!A:D,2,0),(VLOOKUP(B22,SEINFRA!A:D,2,0)))</f>
        <v>SERVENTE COM ENCARGOS COMPLEMENTARES</v>
      </c>
      <c r="D22" s="295" t="str">
        <f>IF(A22="SINAPI",VLOOKUP(B22,SINAPI!A:D,3,0),(VLOOKUP(B22,SEINFRA!A:D,3,0)))</f>
        <v>H</v>
      </c>
      <c r="E22" s="311">
        <v>0.5</v>
      </c>
      <c r="F22" s="297">
        <f>IF(A22="SINAPI",VLOOKUP(B22,SINAPI!A:D,4,0),(VLOOKUP(B22,SEINFRA!A:D,4,0)))</f>
        <v>21.75</v>
      </c>
      <c r="G22" s="298">
        <f>ROUND(E22*F22,4)</f>
        <v>10.875</v>
      </c>
    </row>
    <row r="23" spans="1:7" x14ac:dyDescent="0.2">
      <c r="A23" s="257" t="s">
        <v>15</v>
      </c>
      <c r="B23" s="250">
        <v>88309</v>
      </c>
      <c r="C23" s="294" t="str">
        <f>IF(A23="SINAPI",VLOOKUP(B23,SINAPI!A:D,2,0),(VLOOKUP(B23,SEINFRA!A:D,2,0)))</f>
        <v>PEDREIRO COM ENCARGOS COMPLEMENTARES</v>
      </c>
      <c r="D23" s="295" t="str">
        <f>IF(A23="SINAPI",VLOOKUP(B23,SINAPI!A:D,3,0),(VLOOKUP(B23,SEINFRA!A:D,3,0)))</f>
        <v>H</v>
      </c>
      <c r="E23" s="311">
        <v>0.5</v>
      </c>
      <c r="F23" s="297">
        <f>IF(A23="SINAPI",VLOOKUP(B23,SINAPI!A:D,4,0),(VLOOKUP(B23,SEINFRA!A:D,4,0)))</f>
        <v>26.98</v>
      </c>
      <c r="G23" s="298">
        <f t="shared" ref="G23:G25" si="0">ROUND(E23*F23,4)</f>
        <v>13.49</v>
      </c>
    </row>
    <row r="24" spans="1:7" ht="25.5" x14ac:dyDescent="0.2">
      <c r="A24" s="257" t="s">
        <v>15</v>
      </c>
      <c r="B24" s="250">
        <v>88261</v>
      </c>
      <c r="C24" s="294" t="str">
        <f>IF(A24="SINAPI",VLOOKUP(B24,SINAPI!A:D,2,0),(VLOOKUP(B24,SEINFRA!A:D,2,0)))</f>
        <v>CARPINTEIRO DE ESQUADRIA COM ENCARGOS COMPLEMENTARES</v>
      </c>
      <c r="D24" s="295" t="str">
        <f>IF(A24="SINAPI",VLOOKUP(B24,SINAPI!A:D,3,0),(VLOOKUP(B24,SEINFRA!A:D,3,0)))</f>
        <v>H</v>
      </c>
      <c r="E24" s="311">
        <v>1</v>
      </c>
      <c r="F24" s="297">
        <f>IF(A24="SINAPI",VLOOKUP(B24,SINAPI!A:D,4,0),(VLOOKUP(B24,SEINFRA!A:D,4,0)))</f>
        <v>25.76</v>
      </c>
      <c r="G24" s="298">
        <f t="shared" si="0"/>
        <v>25.76</v>
      </c>
    </row>
    <row r="25" spans="1:7" ht="25.5" x14ac:dyDescent="0.2">
      <c r="A25" s="257" t="s">
        <v>15</v>
      </c>
      <c r="B25" s="250">
        <v>88239</v>
      </c>
      <c r="C25" s="294" t="str">
        <f>IF(A25="SINAPI",VLOOKUP(B25,SINAPI!A:D,2,0),(VLOOKUP(B25,SEINFRA!A:D,2,0)))</f>
        <v>AJUDANTE DE CARPINTEIRO COM ENCARGOS COMPLEMENTARES</v>
      </c>
      <c r="D25" s="295" t="str">
        <f>IF(A25="SINAPI",VLOOKUP(B25,SINAPI!A:D,3,0),(VLOOKUP(B25,SEINFRA!A:D,3,0)))</f>
        <v>H</v>
      </c>
      <c r="E25" s="311">
        <v>1</v>
      </c>
      <c r="F25" s="297">
        <f>IF(A25="SINAPI",VLOOKUP(B25,SINAPI!A:D,4,0),(VLOOKUP(B25,SEINFRA!A:D,4,0)))</f>
        <v>22.65</v>
      </c>
      <c r="G25" s="298">
        <f t="shared" si="0"/>
        <v>22.65</v>
      </c>
    </row>
    <row r="26" spans="1:7" x14ac:dyDescent="0.2">
      <c r="A26" s="595" t="s">
        <v>39226</v>
      </c>
      <c r="B26" s="595"/>
      <c r="C26" s="595"/>
      <c r="D26" s="595"/>
      <c r="E26" s="595"/>
      <c r="F26" s="595"/>
      <c r="G26" s="299">
        <f>ROUND(SUM(G22:G25),4)</f>
        <v>72.775000000000006</v>
      </c>
    </row>
    <row r="27" spans="1:7" x14ac:dyDescent="0.2">
      <c r="A27" s="594" t="s">
        <v>39171</v>
      </c>
      <c r="B27" s="594"/>
      <c r="C27" s="594"/>
      <c r="D27" s="594"/>
      <c r="E27" s="594"/>
      <c r="F27" s="594"/>
      <c r="G27" s="594"/>
    </row>
    <row r="28" spans="1:7" ht="38.25" x14ac:dyDescent="0.2">
      <c r="A28" s="312" t="s">
        <v>15</v>
      </c>
      <c r="B28" s="310">
        <v>35275</v>
      </c>
      <c r="C28" s="294" t="str">
        <f>IF(A28="SINAPI",VLOOKUP(B28,SINAPI!A:D,2,0),(VLOOKUP(B28,SEINFRA!A:D,2,0)))</f>
        <v>PILAR QUADRADO NAO APARELHADO *15 X 15* CM, EM MACARANDUBA/MASSARANDUBA, ANGELIM OU EQUIVALENTE DA REGIAO - BRUTA</v>
      </c>
      <c r="D28" s="295" t="str">
        <f>IF(A28="SINAPI",VLOOKUP(B28,SINAPI!A:D,3,0),(VLOOKUP(B28,SEINFRA!A:D,3,0)))</f>
        <v>M</v>
      </c>
      <c r="E28" s="311">
        <f>2.1*0.75</f>
        <v>1.5750000000000002</v>
      </c>
      <c r="F28" s="297">
        <f>IF(A28="SINAPI",VLOOKUP(B28,SINAPI!A:D,4,0),(VLOOKUP(B28,SEINFRA!A:D,4,0)))</f>
        <v>117.14</v>
      </c>
      <c r="G28" s="298">
        <f t="shared" ref="G28:G32" si="1">ROUND(E28*F28,4)</f>
        <v>184.49549999999999</v>
      </c>
    </row>
    <row r="29" spans="1:7" x14ac:dyDescent="0.2">
      <c r="A29" s="309" t="s">
        <v>25</v>
      </c>
      <c r="B29" s="310" t="s">
        <v>20158</v>
      </c>
      <c r="C29" s="294" t="str">
        <f>IF(A29="SINAPI",VLOOKUP(B29,SINAPI!A:D,2,0),(VLOOKUP(B29,SEINFRA!A:D,2,0)))</f>
        <v>PRANCHA 3 X 16 CM</v>
      </c>
      <c r="D29" s="295" t="str">
        <f>IF(A29="SINAPI",VLOOKUP(B29,SINAPI!A:D,3,0),(VLOOKUP(B29,SEINFRA!A:D,3,0)))</f>
        <v>M</v>
      </c>
      <c r="E29" s="311">
        <f>8</f>
        <v>8</v>
      </c>
      <c r="F29" s="297">
        <f>IF(A29="SINAPI",VLOOKUP(B29,SINAPI!A:D,4,0),(VLOOKUP(B29,SEINFRA!A:D,4,0)))</f>
        <v>21.93</v>
      </c>
      <c r="G29" s="298">
        <f t="shared" si="1"/>
        <v>175.44</v>
      </c>
    </row>
    <row r="30" spans="1:7" x14ac:dyDescent="0.2">
      <c r="A30" s="309" t="s">
        <v>25</v>
      </c>
      <c r="B30" s="310" t="s">
        <v>16895</v>
      </c>
      <c r="C30" s="294" t="str">
        <f>IF(A30="SINAPI",VLOOKUP(B30,SINAPI!A:D,2,0),(VLOOKUP(B30,SEINFRA!A:D,2,0)))</f>
        <v>PARAFUSO COM ROSCA SOBERBA 8X85MM</v>
      </c>
      <c r="D30" s="295" t="str">
        <f>IF(A30="SINAPI",VLOOKUP(B30,SINAPI!A:D,3,0),(VLOOKUP(B30,SEINFRA!A:D,3,0)))</f>
        <v>UN</v>
      </c>
      <c r="E30" s="311">
        <f>8</f>
        <v>8</v>
      </c>
      <c r="F30" s="297">
        <f>IF(A30="SINAPI",VLOOKUP(B30,SINAPI!A:D,4,0),(VLOOKUP(B30,SEINFRA!A:D,4,0)))</f>
        <v>1.1399999999999999</v>
      </c>
      <c r="G30" s="298">
        <f t="shared" si="1"/>
        <v>9.1199999999999992</v>
      </c>
    </row>
    <row r="31" spans="1:7" ht="38.25" x14ac:dyDescent="0.2">
      <c r="A31" s="312" t="s">
        <v>15</v>
      </c>
      <c r="B31" s="310">
        <v>95240</v>
      </c>
      <c r="C31" s="294" t="str">
        <f>IF(A31="SINAPI",VLOOKUP(B31,SINAPI!A:D,2,0),(VLOOKUP(B31,SEINFRA!A:D,2,0)))</f>
        <v>LASTRO DE CONCRETO MAGRO, APLICADO EM PISOS, LAJES SOBRE SOLO OU RADIERS, ESPESSURA DE 3 CM. AF_01/2024</v>
      </c>
      <c r="D31" s="295" t="str">
        <f>IF(A31="SINAPI",VLOOKUP(B31,SINAPI!A:D,3,0),(VLOOKUP(B31,SEINFRA!A:D,3,0)))</f>
        <v>M2</v>
      </c>
      <c r="E31" s="311">
        <f>0.0625*0.75</f>
        <v>4.6875E-2</v>
      </c>
      <c r="F31" s="297">
        <f>IF(A31="SINAPI",VLOOKUP(B31,SINAPI!A:D,4,0),(VLOOKUP(B31,SEINFRA!A:D,4,0)))</f>
        <v>19.170000000000002</v>
      </c>
      <c r="G31" s="298">
        <f t="shared" si="1"/>
        <v>0.89859999999999995</v>
      </c>
    </row>
    <row r="32" spans="1:7" ht="38.25" x14ac:dyDescent="0.2">
      <c r="A32" s="312" t="s">
        <v>15</v>
      </c>
      <c r="B32" s="310">
        <v>94963</v>
      </c>
      <c r="C32" s="294" t="str">
        <f>IF(A32="SINAPI",VLOOKUP(B32,SINAPI!A:D,2,0),(VLOOKUP(B32,SEINFRA!A:D,2,0)))</f>
        <v>CONCRETO FCK = 15MPA, TRAÇO 1:3,4:3,5 (EM MASSA SECA DE CIMENTO/ AREIA MÉDIA/ BRITA 1) - PREPARO MECÂNICO COM BETONEIRA 400 L. AF_05/2021</v>
      </c>
      <c r="D32" s="295" t="str">
        <f>IF(A32="SINAPI",VLOOKUP(B32,SINAPI!A:D,3,0),(VLOOKUP(B32,SEINFRA!A:D,3,0)))</f>
        <v>M3</v>
      </c>
      <c r="E32" s="311">
        <f>0.0313*0.75</f>
        <v>2.3475000000000003E-2</v>
      </c>
      <c r="F32" s="297">
        <f>IF(A32="SINAPI",VLOOKUP(B32,SINAPI!A:D,4,0),(VLOOKUP(B32,SEINFRA!A:D,4,0)))</f>
        <v>451.86</v>
      </c>
      <c r="G32" s="298">
        <f t="shared" si="1"/>
        <v>10.6074</v>
      </c>
    </row>
    <row r="33" spans="1:7" x14ac:dyDescent="0.2">
      <c r="A33" s="595" t="s">
        <v>39172</v>
      </c>
      <c r="B33" s="595"/>
      <c r="C33" s="595"/>
      <c r="D33" s="595"/>
      <c r="E33" s="595"/>
      <c r="F33" s="595"/>
      <c r="G33" s="299">
        <f>ROUND(SUM(G28:G32),4)</f>
        <v>380.56150000000002</v>
      </c>
    </row>
    <row r="34" spans="1:7" x14ac:dyDescent="0.2">
      <c r="A34" s="596"/>
      <c r="B34" s="596"/>
      <c r="C34" s="596"/>
      <c r="D34" s="596"/>
      <c r="E34" s="596"/>
      <c r="F34" s="596"/>
      <c r="G34" s="596"/>
    </row>
    <row r="35" spans="1:7" x14ac:dyDescent="0.2">
      <c r="A35" s="591" t="s">
        <v>39173</v>
      </c>
      <c r="B35" s="591"/>
      <c r="C35" s="591"/>
      <c r="D35" s="591"/>
      <c r="E35" s="591"/>
      <c r="F35" s="591"/>
      <c r="G35" s="300">
        <f>ROUND(SUM(G26,G33),2)</f>
        <v>453.34</v>
      </c>
    </row>
    <row r="36" spans="1:7" x14ac:dyDescent="0.2">
      <c r="A36" s="591" t="s">
        <v>39174</v>
      </c>
      <c r="B36" s="591"/>
      <c r="C36" s="591"/>
      <c r="D36" s="591"/>
      <c r="E36" s="591"/>
      <c r="F36" s="591"/>
      <c r="G36" s="301" t="s">
        <v>39175</v>
      </c>
    </row>
    <row r="37" spans="1:7" x14ac:dyDescent="0.2">
      <c r="A37" s="591" t="s">
        <v>39176</v>
      </c>
      <c r="B37" s="591"/>
      <c r="C37" s="591"/>
      <c r="D37" s="591"/>
      <c r="E37" s="591"/>
      <c r="F37" s="591"/>
      <c r="G37" s="302">
        <v>0</v>
      </c>
    </row>
    <row r="38" spans="1:7" x14ac:dyDescent="0.2">
      <c r="A38" s="592" t="s">
        <v>39177</v>
      </c>
      <c r="B38" s="592"/>
      <c r="C38" s="592"/>
      <c r="D38" s="592"/>
      <c r="E38" s="592"/>
      <c r="F38" s="592"/>
      <c r="G38" s="303">
        <f>G35</f>
        <v>453.34</v>
      </c>
    </row>
    <row r="39" spans="1:7" x14ac:dyDescent="0.2">
      <c r="A39" s="304"/>
      <c r="B39" s="304"/>
      <c r="C39" s="305"/>
      <c r="D39" s="304"/>
      <c r="E39" s="304"/>
      <c r="F39" s="304"/>
      <c r="G39" s="306"/>
    </row>
    <row r="40" spans="1:7" x14ac:dyDescent="0.2">
      <c r="A40" s="593" t="str">
        <f>ORCAMENTO!A392</f>
        <v>BOA VIAGEM - CE, JULHO DE 2025</v>
      </c>
      <c r="B40" s="593"/>
      <c r="C40" s="593"/>
      <c r="D40" s="593"/>
      <c r="E40" s="593"/>
      <c r="F40" s="593"/>
      <c r="G40" s="593"/>
    </row>
  </sheetData>
  <mergeCells count="12">
    <mergeCell ref="A2:G2"/>
    <mergeCell ref="B19:E19"/>
    <mergeCell ref="A21:G21"/>
    <mergeCell ref="A26:F26"/>
    <mergeCell ref="A36:F36"/>
    <mergeCell ref="A37:F37"/>
    <mergeCell ref="A38:F38"/>
    <mergeCell ref="A40:G40"/>
    <mergeCell ref="A27:G27"/>
    <mergeCell ref="A33:F33"/>
    <mergeCell ref="A34:G34"/>
    <mergeCell ref="A35:F35"/>
  </mergeCells>
  <pageMargins left="0.511811024" right="0.511811024" top="0.78740157499999996" bottom="0.78740157499999996" header="0.31496062000000002" footer="0.31496062000000002"/>
  <pageSetup paperSize="9" scale="7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62508A-CAFE-4B35-B340-9B601E27741E}">
  <dimension ref="A1:M34"/>
  <sheetViews>
    <sheetView view="pageBreakPreview" zoomScale="130" zoomScaleNormal="100" zoomScaleSheetLayoutView="130" workbookViewId="0">
      <selection activeCell="A2" sqref="A2:G2"/>
    </sheetView>
  </sheetViews>
  <sheetFormatPr defaultRowHeight="12.75" x14ac:dyDescent="0.2"/>
  <cols>
    <col min="1" max="1" width="12.6640625" customWidth="1"/>
    <col min="2" max="2" width="11.6640625" customWidth="1"/>
    <col min="3" max="3" width="75.83203125" customWidth="1"/>
    <col min="4" max="4" width="5.83203125" customWidth="1"/>
    <col min="5" max="5" width="9" bestFit="1" customWidth="1"/>
    <col min="6" max="6" width="10" bestFit="1" customWidth="1"/>
    <col min="7" max="7" width="11.83203125" customWidth="1"/>
  </cols>
  <sheetData>
    <row r="1" spans="1:13" x14ac:dyDescent="0.2">
      <c r="A1" s="218"/>
      <c r="B1" s="218"/>
      <c r="C1" s="218"/>
      <c r="D1" s="218"/>
      <c r="E1" s="218"/>
      <c r="F1" s="218"/>
      <c r="G1" s="218"/>
      <c r="H1" s="218"/>
      <c r="I1" s="218"/>
      <c r="J1" s="218"/>
      <c r="K1" s="218"/>
      <c r="L1" s="218"/>
      <c r="M1" s="218"/>
    </row>
    <row r="2" spans="1:13" x14ac:dyDescent="0.2">
      <c r="A2" s="603" t="str">
        <f>ORCAMENTO!A2</f>
        <v>INSTITUTO FEDERAL DE EDUCAÇÃO CIÊNCIA E TECNOLOGIA DO CEARÁ - CAMPUS BOA VIAGEM</v>
      </c>
      <c r="B2" s="603"/>
      <c r="C2" s="603"/>
      <c r="D2" s="603"/>
      <c r="E2" s="603"/>
      <c r="F2" s="603"/>
      <c r="G2" s="603"/>
      <c r="H2" s="232"/>
      <c r="I2" s="232"/>
      <c r="J2" s="232"/>
      <c r="K2" s="232"/>
      <c r="L2" s="232"/>
      <c r="M2" s="232"/>
    </row>
    <row r="3" spans="1:13" x14ac:dyDescent="0.2">
      <c r="A3" s="218"/>
      <c r="B3" s="218"/>
      <c r="C3" s="218"/>
      <c r="D3" s="218"/>
      <c r="E3" s="218"/>
      <c r="F3" s="218"/>
      <c r="G3" s="218"/>
      <c r="H3" s="218"/>
      <c r="I3" s="218"/>
      <c r="J3" s="218"/>
      <c r="K3" s="218"/>
      <c r="L3" s="218"/>
      <c r="M3" s="218"/>
    </row>
    <row r="4" spans="1:13" x14ac:dyDescent="0.2">
      <c r="A4" s="219" t="str">
        <f>ORCAMENTO!A4</f>
        <v>OBRA:</v>
      </c>
      <c r="B4" s="219"/>
      <c r="C4" s="218"/>
      <c r="D4" s="218"/>
      <c r="E4" s="218"/>
      <c r="F4" s="218"/>
      <c r="G4" s="218"/>
      <c r="H4" s="218"/>
      <c r="I4" s="218"/>
      <c r="J4" s="218"/>
      <c r="K4" s="218"/>
      <c r="L4" s="218"/>
      <c r="M4" s="218"/>
    </row>
    <row r="5" spans="1:13" x14ac:dyDescent="0.2">
      <c r="A5" s="218" t="str">
        <f>ORCAMENTO!A5</f>
        <v>CENTRO DE INOVAÇÃO E DIFUSÃO DE TECNOLOGIA PARA O SEMIÁRIDO - CAMPUS BOA VIAGEM</v>
      </c>
      <c r="B5" s="218"/>
      <c r="C5" s="218"/>
      <c r="D5" s="218"/>
      <c r="E5" s="218"/>
      <c r="F5" s="218"/>
      <c r="G5" s="218"/>
      <c r="H5" s="218"/>
      <c r="I5" s="218"/>
      <c r="J5" s="218"/>
      <c r="K5" s="218"/>
      <c r="L5" s="218"/>
      <c r="M5" s="218"/>
    </row>
    <row r="6" spans="1:13" x14ac:dyDescent="0.2">
      <c r="A6" s="219" t="str">
        <f>ORCAMENTO!A6</f>
        <v>LOCAL:</v>
      </c>
      <c r="B6" s="219"/>
      <c r="C6" s="218"/>
      <c r="D6" s="218"/>
      <c r="E6" s="218"/>
      <c r="F6" s="218"/>
      <c r="G6" s="218"/>
      <c r="H6" s="218"/>
      <c r="I6" s="218"/>
      <c r="J6" s="218"/>
      <c r="K6" s="218"/>
      <c r="L6" s="218"/>
      <c r="M6" s="218"/>
    </row>
    <row r="7" spans="1:13" x14ac:dyDescent="0.2">
      <c r="A7" s="218" t="str">
        <f>ORCAMENTO!A7</f>
        <v>SEDE DO MUNICÍPIO</v>
      </c>
      <c r="B7" s="218"/>
      <c r="C7" s="218"/>
      <c r="D7" s="218"/>
      <c r="E7" s="218"/>
      <c r="F7" s="218"/>
      <c r="G7" s="218"/>
      <c r="H7" s="218"/>
      <c r="I7" s="218"/>
      <c r="J7" s="218"/>
      <c r="K7" s="218"/>
      <c r="L7" s="218"/>
      <c r="M7" s="218"/>
    </row>
    <row r="8" spans="1:13" x14ac:dyDescent="0.2">
      <c r="A8" s="219" t="str">
        <f>ORCAMENTO!A8</f>
        <v>MUNICÍPIO:</v>
      </c>
      <c r="B8" s="219"/>
      <c r="C8" s="218"/>
      <c r="D8" s="218"/>
      <c r="E8" s="218"/>
      <c r="F8" s="218"/>
      <c r="G8" s="218"/>
      <c r="H8" s="218"/>
      <c r="I8" s="218"/>
      <c r="J8" s="218"/>
      <c r="K8" s="218"/>
      <c r="L8" s="218"/>
      <c r="M8" s="218"/>
    </row>
    <row r="9" spans="1:13" x14ac:dyDescent="0.2">
      <c r="A9" s="218" t="str">
        <f>ORCAMENTO!A9</f>
        <v>BOA VIAGEM - CE</v>
      </c>
      <c r="B9" s="218"/>
      <c r="C9" s="218"/>
      <c r="D9" s="218"/>
      <c r="E9" s="218"/>
      <c r="F9" s="218"/>
      <c r="G9" s="218"/>
      <c r="H9" s="218"/>
      <c r="I9" s="218"/>
      <c r="J9" s="218"/>
      <c r="K9" s="218"/>
      <c r="L9" s="218"/>
      <c r="M9" s="218"/>
    </row>
    <row r="10" spans="1:13" x14ac:dyDescent="0.2">
      <c r="A10" s="218"/>
      <c r="B10" s="218"/>
      <c r="C10" s="218"/>
      <c r="D10" s="218"/>
      <c r="E10" s="218"/>
      <c r="F10" s="218"/>
      <c r="G10" s="218"/>
      <c r="H10" s="218"/>
      <c r="I10" s="218"/>
      <c r="J10" s="218"/>
      <c r="K10" s="218"/>
      <c r="L10" s="218"/>
      <c r="M10" s="218"/>
    </row>
    <row r="11" spans="1:13" x14ac:dyDescent="0.2">
      <c r="A11" s="219" t="str">
        <f>ORCAMENTO!A11</f>
        <v>FONTE DOS PREÇOS:</v>
      </c>
      <c r="B11" s="219"/>
      <c r="C11" s="218"/>
      <c r="D11" s="218"/>
      <c r="E11" s="218"/>
      <c r="F11" s="218"/>
      <c r="G11" s="218"/>
      <c r="H11" s="218"/>
      <c r="I11" s="218"/>
      <c r="J11" s="218"/>
      <c r="K11" s="218"/>
      <c r="L11" s="218"/>
      <c r="M11" s="218"/>
    </row>
    <row r="12" spans="1:13" x14ac:dyDescent="0.2">
      <c r="A12" s="218" t="str">
        <f>ORCAMENTO!A12</f>
        <v>TABELA SEINFRA 028.1 DESONERADA</v>
      </c>
      <c r="B12" s="218"/>
      <c r="C12" s="218"/>
      <c r="D12" s="218"/>
      <c r="E12" s="218"/>
      <c r="F12" s="218"/>
      <c r="G12" s="218"/>
      <c r="H12" s="218"/>
      <c r="I12" s="218"/>
      <c r="J12" s="218"/>
      <c r="K12" s="218"/>
      <c r="L12" s="218"/>
      <c r="M12" s="218"/>
    </row>
    <row r="13" spans="1:13" x14ac:dyDescent="0.2">
      <c r="A13" s="218"/>
      <c r="B13" s="218"/>
      <c r="C13" s="218" t="str">
        <f>ORCAMENTO!B13</f>
        <v>DATA REFERÊNCIA TÉCNICA: 10/2023</v>
      </c>
      <c r="D13" s="218"/>
      <c r="E13" s="218"/>
      <c r="F13" s="218"/>
      <c r="G13" s="218"/>
      <c r="H13" s="218"/>
      <c r="I13" s="218"/>
      <c r="J13" s="218"/>
      <c r="K13" s="218"/>
      <c r="L13" s="218"/>
      <c r="M13" s="218"/>
    </row>
    <row r="14" spans="1:13" x14ac:dyDescent="0.2">
      <c r="A14" s="218"/>
      <c r="B14" s="218"/>
      <c r="C14" s="218" t="str">
        <f>ORCAMENTO!B14</f>
        <v>ENCARGOS SOCIAIS: 84,44% (HORA) - 47,48% (MÊS)</v>
      </c>
      <c r="D14" s="218"/>
      <c r="E14" s="218"/>
      <c r="F14" s="218"/>
      <c r="G14" s="218"/>
      <c r="H14" s="218"/>
      <c r="I14" s="218"/>
      <c r="J14" s="218"/>
      <c r="K14" s="218"/>
      <c r="L14" s="218"/>
      <c r="M14" s="218"/>
    </row>
    <row r="15" spans="1:13" x14ac:dyDescent="0.2">
      <c r="A15" s="218" t="str">
        <f>ORCAMENTO!A15</f>
        <v>TABELA SINAPI 06/2025 DESONERADA</v>
      </c>
      <c r="B15" s="218"/>
      <c r="C15" s="218"/>
      <c r="D15" s="218"/>
      <c r="E15" s="218"/>
      <c r="F15" s="218"/>
      <c r="G15" s="218"/>
      <c r="H15" s="218"/>
      <c r="I15" s="218"/>
      <c r="J15" s="218"/>
      <c r="K15" s="218"/>
      <c r="L15" s="218"/>
      <c r="M15" s="218"/>
    </row>
    <row r="16" spans="1:13" x14ac:dyDescent="0.2">
      <c r="A16" s="218"/>
      <c r="B16" s="218"/>
      <c r="C16" s="218" t="str">
        <f>ORCAMENTO!B16</f>
        <v>DATA REFERÊNCIA TÉCNICA: 06/2025</v>
      </c>
      <c r="D16" s="218"/>
      <c r="E16" s="218"/>
      <c r="F16" s="218"/>
      <c r="G16" s="218"/>
      <c r="H16" s="218"/>
      <c r="I16" s="218"/>
      <c r="J16" s="218"/>
      <c r="K16" s="218"/>
      <c r="L16" s="218"/>
      <c r="M16" s="218"/>
    </row>
    <row r="17" spans="1:13" x14ac:dyDescent="0.2">
      <c r="A17" s="218"/>
      <c r="B17" s="218"/>
      <c r="C17" s="218" t="str">
        <f>ORCAMENTO!B17</f>
        <v>ENCARGOS SOCIAIS: 92,17% (HORA) - 53,50% (MÊS)</v>
      </c>
      <c r="D17" s="218"/>
      <c r="E17" s="218"/>
      <c r="F17" s="218"/>
      <c r="G17" s="218"/>
      <c r="H17" s="218"/>
      <c r="I17" s="218"/>
      <c r="J17" s="218"/>
      <c r="K17" s="218"/>
      <c r="L17" s="218"/>
      <c r="M17" s="218"/>
    </row>
    <row r="18" spans="1:13" x14ac:dyDescent="0.2">
      <c r="A18" s="218"/>
    </row>
    <row r="19" spans="1:13" x14ac:dyDescent="0.2">
      <c r="A19" s="244" t="s">
        <v>39205</v>
      </c>
      <c r="B19" s="604" t="s">
        <v>47421</v>
      </c>
      <c r="C19" s="604"/>
      <c r="D19" s="604"/>
      <c r="E19" s="604"/>
      <c r="F19" s="275" t="s">
        <v>39196</v>
      </c>
      <c r="G19" s="275" t="s">
        <v>26</v>
      </c>
      <c r="H19" s="231"/>
      <c r="I19" s="231"/>
      <c r="J19" s="440"/>
      <c r="K19" s="231"/>
      <c r="L19" s="231"/>
      <c r="M19" s="231"/>
    </row>
    <row r="20" spans="1:13" x14ac:dyDescent="0.2">
      <c r="A20" s="220" t="s">
        <v>39178</v>
      </c>
      <c r="B20" s="220" t="s">
        <v>52</v>
      </c>
      <c r="C20" s="220" t="s">
        <v>5917</v>
      </c>
      <c r="D20" s="220" t="s">
        <v>5</v>
      </c>
      <c r="E20" s="220" t="s">
        <v>39166</v>
      </c>
      <c r="F20" s="220" t="s">
        <v>39167</v>
      </c>
      <c r="G20" s="221" t="s">
        <v>39168</v>
      </c>
    </row>
    <row r="21" spans="1:13" x14ac:dyDescent="0.2">
      <c r="A21" s="605" t="s">
        <v>39169</v>
      </c>
      <c r="B21" s="605"/>
      <c r="C21" s="605"/>
      <c r="D21" s="605"/>
      <c r="E21" s="605"/>
      <c r="F21" s="605"/>
      <c r="G21" s="605"/>
    </row>
    <row r="22" spans="1:13" x14ac:dyDescent="0.2">
      <c r="A22" s="236" t="s">
        <v>15</v>
      </c>
      <c r="B22" s="79">
        <v>88264</v>
      </c>
      <c r="C22" s="85" t="str">
        <f>IF(A22="SINAPI",VLOOKUP(B22,SINAPI!A:D,2,0),(VLOOKUP(B22,SEINFRA!A:D,2,0)))</f>
        <v>ELETRICISTA COM ENCARGOS COMPLEMENTARES</v>
      </c>
      <c r="D22" s="69" t="str">
        <f>IF(A22="SINAPI",VLOOKUP(B22,SINAPI!A:D,3,0),(VLOOKUP(B22,SEINFRA!A:D,3,0)))</f>
        <v>H</v>
      </c>
      <c r="E22" s="233">
        <v>0.15</v>
      </c>
      <c r="F22" s="82">
        <f>IF(A22="SINAPI",VLOOKUP(B22,SINAPI!A:D,4,0),(VLOOKUP(B22,SEINFRA!A:D,4,0)))</f>
        <v>27.31</v>
      </c>
      <c r="G22" s="234">
        <f>E22*F22</f>
        <v>4.0964999999999998</v>
      </c>
    </row>
    <row r="23" spans="1:13" x14ac:dyDescent="0.2">
      <c r="A23" s="236" t="s">
        <v>15</v>
      </c>
      <c r="B23" s="79">
        <v>88247</v>
      </c>
      <c r="C23" s="85" t="str">
        <f>IF(A23="SINAPI",VLOOKUP(B23,SINAPI!A:D,2,0),(VLOOKUP(B23,SEINFRA!A:D,2,0)))</f>
        <v>AUXILIAR DE ELETRICISTA COM ENCARGOS COMPLEMENTARES</v>
      </c>
      <c r="D23" s="69" t="str">
        <f>IF(A23="SINAPI",VLOOKUP(B23,SINAPI!A:D,3,0),(VLOOKUP(B23,SEINFRA!A:D,3,0)))</f>
        <v>H</v>
      </c>
      <c r="E23" s="233">
        <v>0.15</v>
      </c>
      <c r="F23" s="82">
        <f>IF(A23="SINAPI",VLOOKUP(B23,SINAPI!A:D,4,0),(VLOOKUP(B23,SEINFRA!A:D,4,0)))</f>
        <v>23.22</v>
      </c>
      <c r="G23" s="234">
        <f>E23*F23</f>
        <v>3.4829999999999997</v>
      </c>
    </row>
    <row r="24" spans="1:13" x14ac:dyDescent="0.2">
      <c r="A24" s="606" t="s">
        <v>39170</v>
      </c>
      <c r="B24" s="606"/>
      <c r="C24" s="606"/>
      <c r="D24" s="606"/>
      <c r="E24" s="606"/>
      <c r="F24" s="606"/>
      <c r="G24" s="222">
        <f>ROUND(SUM(G22:G23),2)</f>
        <v>7.58</v>
      </c>
    </row>
    <row r="25" spans="1:13" x14ac:dyDescent="0.2">
      <c r="A25" s="605" t="s">
        <v>39171</v>
      </c>
      <c r="B25" s="605"/>
      <c r="C25" s="605"/>
      <c r="D25" s="605"/>
      <c r="E25" s="605"/>
      <c r="F25" s="605"/>
      <c r="G25" s="605"/>
    </row>
    <row r="26" spans="1:13" x14ac:dyDescent="0.2">
      <c r="A26" s="439" t="s">
        <v>25</v>
      </c>
      <c r="B26" s="79" t="s">
        <v>18713</v>
      </c>
      <c r="C26" s="85" t="str">
        <f>IF(A26="SINAPI",VLOOKUP(B26,SINAPI!A:D,2,0),(VLOOKUP(B26,SEINFRA!A:D,2,0)))</f>
        <v>CAIXA DE EMBUTIR PVC - 4X2 RETANGULAR</v>
      </c>
      <c r="D26" s="69" t="str">
        <f>IF(A26="SINAPI",VLOOKUP(B26,SINAPI!A:D,3,0),(VLOOKUP(B26,SEINFRA!A:D,3,0)))</f>
        <v>UN</v>
      </c>
      <c r="E26" s="238">
        <v>1</v>
      </c>
      <c r="F26" s="82">
        <f>IF(A26="SINAPI",VLOOKUP(B26,SINAPI!A:D,4,0),(VLOOKUP(B26,SEINFRA!A:D,4,0)))</f>
        <v>2.36</v>
      </c>
      <c r="G26" s="234">
        <f>E26*F26</f>
        <v>2.36</v>
      </c>
    </row>
    <row r="27" spans="1:13" x14ac:dyDescent="0.2">
      <c r="A27" s="606" t="s">
        <v>39172</v>
      </c>
      <c r="B27" s="606"/>
      <c r="C27" s="606"/>
      <c r="D27" s="606"/>
      <c r="E27" s="606"/>
      <c r="F27" s="606"/>
      <c r="G27" s="222">
        <f>ROUND(SUM(G26:G26),2)</f>
        <v>2.36</v>
      </c>
    </row>
    <row r="28" spans="1:13" x14ac:dyDescent="0.2">
      <c r="A28" s="607"/>
      <c r="B28" s="607"/>
      <c r="C28" s="607"/>
      <c r="D28" s="607"/>
      <c r="E28" s="607"/>
      <c r="F28" s="607"/>
      <c r="G28" s="607"/>
    </row>
    <row r="29" spans="1:13" x14ac:dyDescent="0.2">
      <c r="A29" s="608" t="s">
        <v>39173</v>
      </c>
      <c r="B29" s="608"/>
      <c r="C29" s="608"/>
      <c r="D29" s="608"/>
      <c r="E29" s="608"/>
      <c r="F29" s="608"/>
      <c r="G29" s="235">
        <f>ROUND(G24+G27,2)</f>
        <v>9.94</v>
      </c>
    </row>
    <row r="30" spans="1:13" x14ac:dyDescent="0.2">
      <c r="A30" s="608" t="s">
        <v>39174</v>
      </c>
      <c r="B30" s="608"/>
      <c r="C30" s="608"/>
      <c r="D30" s="608"/>
      <c r="E30" s="608"/>
      <c r="F30" s="608"/>
      <c r="G30" s="417" t="s">
        <v>39175</v>
      </c>
    </row>
    <row r="31" spans="1:13" x14ac:dyDescent="0.2">
      <c r="A31" s="608" t="s">
        <v>39176</v>
      </c>
      <c r="B31" s="608"/>
      <c r="C31" s="608"/>
      <c r="D31" s="608"/>
      <c r="E31" s="608"/>
      <c r="F31" s="608"/>
      <c r="G31" s="235">
        <v>0</v>
      </c>
    </row>
    <row r="32" spans="1:13" x14ac:dyDescent="0.2">
      <c r="A32" s="606" t="s">
        <v>39177</v>
      </c>
      <c r="B32" s="606"/>
      <c r="C32" s="606"/>
      <c r="D32" s="606"/>
      <c r="E32" s="606"/>
      <c r="F32" s="606"/>
      <c r="G32" s="228">
        <f>G29</f>
        <v>9.94</v>
      </c>
    </row>
    <row r="33" spans="1:7" x14ac:dyDescent="0.2">
      <c r="A33" s="229"/>
      <c r="B33" s="229"/>
      <c r="C33" s="229"/>
      <c r="D33" s="229"/>
      <c r="E33" s="229"/>
      <c r="F33" s="229"/>
      <c r="G33" s="230"/>
    </row>
    <row r="34" spans="1:7" x14ac:dyDescent="0.2">
      <c r="A34" s="601" t="str">
        <f>ORCAMENTO!A392</f>
        <v>BOA VIAGEM - CE, JULHO DE 2025</v>
      </c>
      <c r="B34" s="601"/>
      <c r="C34" s="602"/>
      <c r="D34" s="602"/>
      <c r="E34" s="602"/>
      <c r="F34" s="602"/>
      <c r="G34" s="602"/>
    </row>
  </sheetData>
  <mergeCells count="12">
    <mergeCell ref="A34:G34"/>
    <mergeCell ref="A2:G2"/>
    <mergeCell ref="B19:E19"/>
    <mergeCell ref="A21:G21"/>
    <mergeCell ref="A24:F24"/>
    <mergeCell ref="A25:G25"/>
    <mergeCell ref="A27:F27"/>
    <mergeCell ref="A28:G28"/>
    <mergeCell ref="A29:F29"/>
    <mergeCell ref="A30:F30"/>
    <mergeCell ref="A31:F31"/>
    <mergeCell ref="A32:F32"/>
  </mergeCells>
  <printOptions horizontalCentered="1"/>
  <pageMargins left="0.39370078740157483" right="0.39370078740157483" top="0.39370078740157483" bottom="0.78740157480314965" header="0.31496062992125984" footer="0.31496062992125984"/>
  <pageSetup paperSize="9" scale="7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A088CE-8609-45E2-8118-071AC32FCBE5}">
  <dimension ref="A1:M34"/>
  <sheetViews>
    <sheetView view="pageBreakPreview" zoomScale="130" zoomScaleNormal="100" zoomScaleSheetLayoutView="130" workbookViewId="0">
      <selection activeCell="A2" sqref="A2:G2"/>
    </sheetView>
  </sheetViews>
  <sheetFormatPr defaultRowHeight="12.75" x14ac:dyDescent="0.2"/>
  <cols>
    <col min="1" max="1" width="12.6640625" customWidth="1"/>
    <col min="2" max="2" width="11.6640625" customWidth="1"/>
    <col min="3" max="3" width="75.83203125" customWidth="1"/>
    <col min="4" max="4" width="5.83203125" customWidth="1"/>
    <col min="5" max="5" width="9" bestFit="1" customWidth="1"/>
    <col min="6" max="6" width="10" bestFit="1" customWidth="1"/>
    <col min="7" max="7" width="11.83203125" customWidth="1"/>
  </cols>
  <sheetData>
    <row r="1" spans="1:13" x14ac:dyDescent="0.2">
      <c r="A1" s="218"/>
      <c r="B1" s="218"/>
      <c r="C1" s="218"/>
      <c r="D1" s="218"/>
      <c r="E1" s="218"/>
      <c r="F1" s="218"/>
      <c r="G1" s="218"/>
      <c r="H1" s="218"/>
      <c r="I1" s="218"/>
      <c r="J1" s="218"/>
      <c r="K1" s="218"/>
      <c r="L1" s="218"/>
      <c r="M1" s="218"/>
    </row>
    <row r="2" spans="1:13" x14ac:dyDescent="0.2">
      <c r="A2" s="603" t="str">
        <f>ORCAMENTO!A2</f>
        <v>INSTITUTO FEDERAL DE EDUCAÇÃO CIÊNCIA E TECNOLOGIA DO CEARÁ - CAMPUS BOA VIAGEM</v>
      </c>
      <c r="B2" s="603"/>
      <c r="C2" s="603"/>
      <c r="D2" s="603"/>
      <c r="E2" s="603"/>
      <c r="F2" s="603"/>
      <c r="G2" s="603"/>
      <c r="H2" s="232"/>
      <c r="I2" s="232"/>
      <c r="J2" s="232"/>
      <c r="K2" s="232"/>
      <c r="L2" s="232"/>
      <c r="M2" s="232"/>
    </row>
    <row r="3" spans="1:13" x14ac:dyDescent="0.2">
      <c r="A3" s="218"/>
      <c r="B3" s="218"/>
      <c r="C3" s="218"/>
      <c r="D3" s="218"/>
      <c r="E3" s="218"/>
      <c r="F3" s="218"/>
      <c r="G3" s="218"/>
      <c r="H3" s="218"/>
      <c r="I3" s="218"/>
      <c r="J3" s="218"/>
      <c r="K3" s="218"/>
      <c r="L3" s="218"/>
      <c r="M3" s="218"/>
    </row>
    <row r="4" spans="1:13" x14ac:dyDescent="0.2">
      <c r="A4" s="219" t="str">
        <f>ORCAMENTO!A4</f>
        <v>OBRA:</v>
      </c>
      <c r="B4" s="219"/>
      <c r="C4" s="218"/>
      <c r="D4" s="218"/>
      <c r="E4" s="218"/>
      <c r="F4" s="218"/>
      <c r="G4" s="218"/>
      <c r="H4" s="218"/>
      <c r="I4" s="218"/>
      <c r="J4" s="218"/>
      <c r="K4" s="218"/>
      <c r="L4" s="218"/>
      <c r="M4" s="218"/>
    </row>
    <row r="5" spans="1:13" x14ac:dyDescent="0.2">
      <c r="A5" s="218" t="str">
        <f>ORCAMENTO!A5</f>
        <v>CENTRO DE INOVAÇÃO E DIFUSÃO DE TECNOLOGIA PARA O SEMIÁRIDO - CAMPUS BOA VIAGEM</v>
      </c>
      <c r="B5" s="218"/>
      <c r="C5" s="218"/>
      <c r="D5" s="218"/>
      <c r="E5" s="218"/>
      <c r="F5" s="218"/>
      <c r="G5" s="218"/>
      <c r="H5" s="218"/>
      <c r="I5" s="218"/>
      <c r="J5" s="218"/>
      <c r="K5" s="218"/>
      <c r="L5" s="218"/>
      <c r="M5" s="218"/>
    </row>
    <row r="6" spans="1:13" x14ac:dyDescent="0.2">
      <c r="A6" s="219" t="str">
        <f>ORCAMENTO!A6</f>
        <v>LOCAL:</v>
      </c>
      <c r="B6" s="219"/>
      <c r="C6" s="218"/>
      <c r="D6" s="218"/>
      <c r="E6" s="218"/>
      <c r="F6" s="218"/>
      <c r="G6" s="218"/>
      <c r="H6" s="218"/>
      <c r="I6" s="218"/>
      <c r="J6" s="218"/>
      <c r="K6" s="218"/>
      <c r="L6" s="218"/>
      <c r="M6" s="218"/>
    </row>
    <row r="7" spans="1:13" x14ac:dyDescent="0.2">
      <c r="A7" s="218" t="str">
        <f>ORCAMENTO!A7</f>
        <v>SEDE DO MUNICÍPIO</v>
      </c>
      <c r="B7" s="218"/>
      <c r="C7" s="218"/>
      <c r="D7" s="218"/>
      <c r="E7" s="218"/>
      <c r="F7" s="218"/>
      <c r="G7" s="218"/>
      <c r="H7" s="218"/>
      <c r="I7" s="218"/>
      <c r="J7" s="218"/>
      <c r="K7" s="218"/>
      <c r="L7" s="218"/>
      <c r="M7" s="218"/>
    </row>
    <row r="8" spans="1:13" x14ac:dyDescent="0.2">
      <c r="A8" s="219" t="str">
        <f>ORCAMENTO!A8</f>
        <v>MUNICÍPIO:</v>
      </c>
      <c r="B8" s="219"/>
      <c r="C8" s="218"/>
      <c r="D8" s="218"/>
      <c r="E8" s="218"/>
      <c r="F8" s="218"/>
      <c r="G8" s="218"/>
      <c r="H8" s="218"/>
      <c r="I8" s="218"/>
      <c r="J8" s="218"/>
      <c r="K8" s="218"/>
      <c r="L8" s="218"/>
      <c r="M8" s="218"/>
    </row>
    <row r="9" spans="1:13" x14ac:dyDescent="0.2">
      <c r="A9" s="218" t="str">
        <f>ORCAMENTO!A9</f>
        <v>BOA VIAGEM - CE</v>
      </c>
      <c r="B9" s="218"/>
      <c r="C9" s="218"/>
      <c r="D9" s="218"/>
      <c r="E9" s="218"/>
      <c r="F9" s="218"/>
      <c r="G9" s="218"/>
      <c r="H9" s="218"/>
      <c r="I9" s="218"/>
      <c r="J9" s="218"/>
      <c r="K9" s="218"/>
      <c r="L9" s="218"/>
      <c r="M9" s="218"/>
    </row>
    <row r="10" spans="1:13" x14ac:dyDescent="0.2">
      <c r="A10" s="218"/>
      <c r="B10" s="218"/>
      <c r="C10" s="218"/>
      <c r="D10" s="218"/>
      <c r="E10" s="218"/>
      <c r="F10" s="218"/>
      <c r="G10" s="218"/>
      <c r="H10" s="218"/>
      <c r="I10" s="218"/>
      <c r="J10" s="218"/>
      <c r="K10" s="218"/>
      <c r="L10" s="218"/>
      <c r="M10" s="218"/>
    </row>
    <row r="11" spans="1:13" x14ac:dyDescent="0.2">
      <c r="A11" s="219" t="str">
        <f>ORCAMENTO!A11</f>
        <v>FONTE DOS PREÇOS:</v>
      </c>
      <c r="B11" s="219"/>
      <c r="C11" s="218"/>
      <c r="D11" s="218"/>
      <c r="E11" s="218"/>
      <c r="F11" s="218"/>
      <c r="G11" s="218"/>
      <c r="H11" s="218"/>
      <c r="I11" s="218"/>
      <c r="J11" s="218"/>
      <c r="K11" s="218"/>
      <c r="L11" s="218"/>
      <c r="M11" s="218"/>
    </row>
    <row r="12" spans="1:13" x14ac:dyDescent="0.2">
      <c r="A12" s="218" t="str">
        <f>ORCAMENTO!A12</f>
        <v>TABELA SEINFRA 028.1 DESONERADA</v>
      </c>
      <c r="B12" s="218"/>
      <c r="C12" s="218"/>
      <c r="D12" s="218"/>
      <c r="E12" s="218"/>
      <c r="F12" s="218"/>
      <c r="G12" s="218"/>
      <c r="H12" s="218"/>
      <c r="I12" s="218"/>
      <c r="J12" s="218"/>
      <c r="K12" s="218"/>
      <c r="L12" s="218"/>
      <c r="M12" s="218"/>
    </row>
    <row r="13" spans="1:13" x14ac:dyDescent="0.2">
      <c r="A13" s="218"/>
      <c r="B13" s="218"/>
      <c r="C13" s="218" t="str">
        <f>ORCAMENTO!B13</f>
        <v>DATA REFERÊNCIA TÉCNICA: 10/2023</v>
      </c>
      <c r="D13" s="218"/>
      <c r="E13" s="218"/>
      <c r="F13" s="218"/>
      <c r="G13" s="218"/>
      <c r="H13" s="218"/>
      <c r="I13" s="218"/>
      <c r="J13" s="218"/>
      <c r="K13" s="218"/>
      <c r="L13" s="218"/>
      <c r="M13" s="218"/>
    </row>
    <row r="14" spans="1:13" x14ac:dyDescent="0.2">
      <c r="A14" s="218"/>
      <c r="B14" s="218"/>
      <c r="C14" s="218" t="str">
        <f>ORCAMENTO!B14</f>
        <v>ENCARGOS SOCIAIS: 84,44% (HORA) - 47,48% (MÊS)</v>
      </c>
      <c r="D14" s="218"/>
      <c r="E14" s="218"/>
      <c r="F14" s="218"/>
      <c r="G14" s="218"/>
      <c r="H14" s="218"/>
      <c r="I14" s="218"/>
      <c r="J14" s="218"/>
      <c r="K14" s="218"/>
      <c r="L14" s="218"/>
      <c r="M14" s="218"/>
    </row>
    <row r="15" spans="1:13" x14ac:dyDescent="0.2">
      <c r="A15" s="218" t="str">
        <f>ORCAMENTO!A15</f>
        <v>TABELA SINAPI 06/2025 DESONERADA</v>
      </c>
      <c r="B15" s="218"/>
      <c r="C15" s="218"/>
      <c r="D15" s="218"/>
      <c r="E15" s="218"/>
      <c r="F15" s="218"/>
      <c r="G15" s="218"/>
      <c r="H15" s="218"/>
      <c r="I15" s="218"/>
      <c r="J15" s="218"/>
      <c r="K15" s="218"/>
      <c r="L15" s="218"/>
      <c r="M15" s="218"/>
    </row>
    <row r="16" spans="1:13" x14ac:dyDescent="0.2">
      <c r="A16" s="218"/>
      <c r="B16" s="218"/>
      <c r="C16" s="218" t="str">
        <f>ORCAMENTO!B16</f>
        <v>DATA REFERÊNCIA TÉCNICA: 06/2025</v>
      </c>
      <c r="D16" s="218"/>
      <c r="E16" s="218"/>
      <c r="F16" s="218"/>
      <c r="G16" s="218"/>
      <c r="H16" s="218"/>
      <c r="I16" s="218"/>
      <c r="J16" s="218"/>
      <c r="K16" s="218"/>
      <c r="L16" s="218"/>
      <c r="M16" s="218"/>
    </row>
    <row r="17" spans="1:13" x14ac:dyDescent="0.2">
      <c r="A17" s="218"/>
      <c r="B17" s="218"/>
      <c r="C17" s="218" t="str">
        <f>ORCAMENTO!B17</f>
        <v>ENCARGOS SOCIAIS: 92,17% (HORA) - 53,50% (MÊS)</v>
      </c>
      <c r="D17" s="218"/>
      <c r="E17" s="218"/>
      <c r="F17" s="218"/>
      <c r="G17" s="218"/>
      <c r="H17" s="218"/>
      <c r="I17" s="218"/>
      <c r="J17" s="218"/>
      <c r="K17" s="218"/>
      <c r="L17" s="218"/>
      <c r="M17" s="218"/>
    </row>
    <row r="18" spans="1:13" x14ac:dyDescent="0.2">
      <c r="A18" s="218"/>
    </row>
    <row r="19" spans="1:13" x14ac:dyDescent="0.2">
      <c r="A19" s="244" t="s">
        <v>39206</v>
      </c>
      <c r="B19" s="604" t="s">
        <v>47084</v>
      </c>
      <c r="C19" s="604"/>
      <c r="D19" s="604"/>
      <c r="E19" s="604"/>
      <c r="F19" s="275" t="s">
        <v>39196</v>
      </c>
      <c r="G19" s="275" t="s">
        <v>26</v>
      </c>
      <c r="H19" s="231"/>
      <c r="I19" s="231"/>
      <c r="J19" s="440"/>
      <c r="K19" s="231"/>
      <c r="L19" s="231"/>
      <c r="M19" s="231"/>
    </row>
    <row r="20" spans="1:13" x14ac:dyDescent="0.2">
      <c r="A20" s="220" t="s">
        <v>39178</v>
      </c>
      <c r="B20" s="220" t="s">
        <v>52</v>
      </c>
      <c r="C20" s="220" t="s">
        <v>5917</v>
      </c>
      <c r="D20" s="220" t="s">
        <v>5</v>
      </c>
      <c r="E20" s="220" t="s">
        <v>39166</v>
      </c>
      <c r="F20" s="220" t="s">
        <v>39167</v>
      </c>
      <c r="G20" s="221" t="s">
        <v>39168</v>
      </c>
    </row>
    <row r="21" spans="1:13" x14ac:dyDescent="0.2">
      <c r="A21" s="605" t="s">
        <v>39169</v>
      </c>
      <c r="B21" s="605"/>
      <c r="C21" s="605"/>
      <c r="D21" s="605"/>
      <c r="E21" s="605"/>
      <c r="F21" s="605"/>
      <c r="G21" s="605"/>
    </row>
    <row r="22" spans="1:13" x14ac:dyDescent="0.2">
      <c r="A22" s="236" t="s">
        <v>15</v>
      </c>
      <c r="B22" s="79">
        <v>88264</v>
      </c>
      <c r="C22" s="85" t="str">
        <f>IF(A22="SINAPI",VLOOKUP(B22,SINAPI!A:D,2,0),(VLOOKUP(B22,SEINFRA!A:D,2,0)))</f>
        <v>ELETRICISTA COM ENCARGOS COMPLEMENTARES</v>
      </c>
      <c r="D22" s="69" t="str">
        <f>IF(A22="SINAPI",VLOOKUP(B22,SINAPI!A:D,3,0),(VLOOKUP(B22,SEINFRA!A:D,3,0)))</f>
        <v>H</v>
      </c>
      <c r="E22" s="233">
        <v>0.15</v>
      </c>
      <c r="F22" s="82">
        <f>IF(A22="SINAPI",VLOOKUP(B22,SINAPI!A:D,4,0),(VLOOKUP(B22,SEINFRA!A:D,4,0)))</f>
        <v>27.31</v>
      </c>
      <c r="G22" s="234">
        <f>E22*F22</f>
        <v>4.0964999999999998</v>
      </c>
    </row>
    <row r="23" spans="1:13" x14ac:dyDescent="0.2">
      <c r="A23" s="236" t="s">
        <v>15</v>
      </c>
      <c r="B23" s="79">
        <v>88247</v>
      </c>
      <c r="C23" s="85" t="str">
        <f>IF(A23="SINAPI",VLOOKUP(B23,SINAPI!A:D,2,0),(VLOOKUP(B23,SEINFRA!A:D,2,0)))</f>
        <v>AUXILIAR DE ELETRICISTA COM ENCARGOS COMPLEMENTARES</v>
      </c>
      <c r="D23" s="69" t="str">
        <f>IF(A23="SINAPI",VLOOKUP(B23,SINAPI!A:D,3,0),(VLOOKUP(B23,SEINFRA!A:D,3,0)))</f>
        <v>H</v>
      </c>
      <c r="E23" s="233">
        <v>0.15</v>
      </c>
      <c r="F23" s="82">
        <f>IF(A23="SINAPI",VLOOKUP(B23,SINAPI!A:D,4,0),(VLOOKUP(B23,SEINFRA!A:D,4,0)))</f>
        <v>23.22</v>
      </c>
      <c r="G23" s="234">
        <f>E23*F23</f>
        <v>3.4829999999999997</v>
      </c>
    </row>
    <row r="24" spans="1:13" x14ac:dyDescent="0.2">
      <c r="A24" s="606" t="s">
        <v>39170</v>
      </c>
      <c r="B24" s="606"/>
      <c r="C24" s="606"/>
      <c r="D24" s="606"/>
      <c r="E24" s="606"/>
      <c r="F24" s="606"/>
      <c r="G24" s="222">
        <f>ROUND(SUM(G22:G23),2)</f>
        <v>7.58</v>
      </c>
    </row>
    <row r="25" spans="1:13" x14ac:dyDescent="0.2">
      <c r="A25" s="605" t="s">
        <v>39171</v>
      </c>
      <c r="B25" s="605"/>
      <c r="C25" s="605"/>
      <c r="D25" s="605"/>
      <c r="E25" s="605"/>
      <c r="F25" s="605"/>
      <c r="G25" s="605"/>
    </row>
    <row r="26" spans="1:13" x14ac:dyDescent="0.2">
      <c r="A26" s="439" t="s">
        <v>25</v>
      </c>
      <c r="B26" s="79" t="s">
        <v>18715</v>
      </c>
      <c r="C26" s="85" t="str">
        <f>IF(A26="SINAPI",VLOOKUP(B26,SINAPI!A:D,2,0),(VLOOKUP(B26,SEINFRA!A:D,2,0)))</f>
        <v>CAIXA DE EMBUTIR PVC - 4X4 OCTOGONAL</v>
      </c>
      <c r="D26" s="69" t="str">
        <f>IF(A26="SINAPI",VLOOKUP(B26,SINAPI!A:D,3,0),(VLOOKUP(B26,SEINFRA!A:D,3,0)))</f>
        <v>UN</v>
      </c>
      <c r="E26" s="238">
        <v>1</v>
      </c>
      <c r="F26" s="82">
        <f>IF(A26="SINAPI",VLOOKUP(B26,SINAPI!A:D,4,0),(VLOOKUP(B26,SEINFRA!A:D,4,0)))</f>
        <v>4.49</v>
      </c>
      <c r="G26" s="234">
        <f>E26*F26</f>
        <v>4.49</v>
      </c>
    </row>
    <row r="27" spans="1:13" x14ac:dyDescent="0.2">
      <c r="A27" s="606" t="s">
        <v>39172</v>
      </c>
      <c r="B27" s="606"/>
      <c r="C27" s="606"/>
      <c r="D27" s="606"/>
      <c r="E27" s="606"/>
      <c r="F27" s="606"/>
      <c r="G27" s="222">
        <f>ROUND(SUM(G26:G26),2)</f>
        <v>4.49</v>
      </c>
    </row>
    <row r="28" spans="1:13" x14ac:dyDescent="0.2">
      <c r="A28" s="607"/>
      <c r="B28" s="607"/>
      <c r="C28" s="607"/>
      <c r="D28" s="607"/>
      <c r="E28" s="607"/>
      <c r="F28" s="607"/>
      <c r="G28" s="607"/>
    </row>
    <row r="29" spans="1:13" x14ac:dyDescent="0.2">
      <c r="A29" s="608" t="s">
        <v>39173</v>
      </c>
      <c r="B29" s="608"/>
      <c r="C29" s="608"/>
      <c r="D29" s="608"/>
      <c r="E29" s="608"/>
      <c r="F29" s="608"/>
      <c r="G29" s="235">
        <f>ROUND(G24+G27,2)</f>
        <v>12.07</v>
      </c>
    </row>
    <row r="30" spans="1:13" x14ac:dyDescent="0.2">
      <c r="A30" s="608" t="s">
        <v>39174</v>
      </c>
      <c r="B30" s="608"/>
      <c r="C30" s="608"/>
      <c r="D30" s="608"/>
      <c r="E30" s="608"/>
      <c r="F30" s="608"/>
      <c r="G30" s="417" t="s">
        <v>39175</v>
      </c>
    </row>
    <row r="31" spans="1:13" x14ac:dyDescent="0.2">
      <c r="A31" s="608" t="s">
        <v>39176</v>
      </c>
      <c r="B31" s="608"/>
      <c r="C31" s="608"/>
      <c r="D31" s="608"/>
      <c r="E31" s="608"/>
      <c r="F31" s="608"/>
      <c r="G31" s="235">
        <v>0</v>
      </c>
    </row>
    <row r="32" spans="1:13" x14ac:dyDescent="0.2">
      <c r="A32" s="606" t="s">
        <v>39177</v>
      </c>
      <c r="B32" s="606"/>
      <c r="C32" s="606"/>
      <c r="D32" s="606"/>
      <c r="E32" s="606"/>
      <c r="F32" s="606"/>
      <c r="G32" s="228">
        <f>G29</f>
        <v>12.07</v>
      </c>
    </row>
    <row r="33" spans="1:7" x14ac:dyDescent="0.2">
      <c r="A33" s="229"/>
      <c r="B33" s="229"/>
      <c r="C33" s="229"/>
      <c r="D33" s="229"/>
      <c r="E33" s="229"/>
      <c r="F33" s="229"/>
      <c r="G33" s="230"/>
    </row>
    <row r="34" spans="1:7" x14ac:dyDescent="0.2">
      <c r="A34" s="601" t="str">
        <f>ORCAMENTO!A392</f>
        <v>BOA VIAGEM - CE, JULHO DE 2025</v>
      </c>
      <c r="B34" s="601"/>
      <c r="C34" s="602"/>
      <c r="D34" s="602"/>
      <c r="E34" s="602"/>
      <c r="F34" s="602"/>
      <c r="G34" s="602"/>
    </row>
  </sheetData>
  <mergeCells count="12">
    <mergeCell ref="A34:G34"/>
    <mergeCell ref="A2:G2"/>
    <mergeCell ref="B19:E19"/>
    <mergeCell ref="A21:G21"/>
    <mergeCell ref="A24:F24"/>
    <mergeCell ref="A25:G25"/>
    <mergeCell ref="A27:F27"/>
    <mergeCell ref="A28:G28"/>
    <mergeCell ref="A29:F29"/>
    <mergeCell ref="A30:F30"/>
    <mergeCell ref="A31:F31"/>
    <mergeCell ref="A32:F32"/>
  </mergeCells>
  <printOptions horizontalCentered="1"/>
  <pageMargins left="0.39370078740157483" right="0.39370078740157483" top="0.39370078740157483" bottom="0.78740157480314965" header="0.31496062992125984" footer="0.31496062992125984"/>
  <pageSetup paperSize="9" scale="76"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CCC4E-BC38-4116-95E3-BBD07BD583D6}">
  <dimension ref="A1:M34"/>
  <sheetViews>
    <sheetView view="pageBreakPreview" zoomScale="130" zoomScaleNormal="100" zoomScaleSheetLayoutView="130" workbookViewId="0">
      <selection activeCell="A2" sqref="A2:G2"/>
    </sheetView>
  </sheetViews>
  <sheetFormatPr defaultRowHeight="12.75" x14ac:dyDescent="0.2"/>
  <cols>
    <col min="1" max="1" width="12.6640625" customWidth="1"/>
    <col min="2" max="2" width="11.6640625" customWidth="1"/>
    <col min="3" max="3" width="75.83203125" customWidth="1"/>
    <col min="4" max="4" width="5.83203125" customWidth="1"/>
    <col min="5" max="5" width="9" bestFit="1" customWidth="1"/>
    <col min="6" max="6" width="10" bestFit="1" customWidth="1"/>
    <col min="7" max="7" width="11.83203125" customWidth="1"/>
  </cols>
  <sheetData>
    <row r="1" spans="1:13" x14ac:dyDescent="0.2">
      <c r="A1" s="218"/>
      <c r="B1" s="218"/>
      <c r="C1" s="218"/>
      <c r="D1" s="218"/>
      <c r="E1" s="218"/>
      <c r="F1" s="218"/>
      <c r="G1" s="218"/>
      <c r="H1" s="218"/>
      <c r="I1" s="218"/>
      <c r="J1" s="218"/>
      <c r="K1" s="218"/>
      <c r="L1" s="218"/>
      <c r="M1" s="218"/>
    </row>
    <row r="2" spans="1:13" x14ac:dyDescent="0.2">
      <c r="A2" s="603" t="str">
        <f>ORCAMENTO!A2</f>
        <v>INSTITUTO FEDERAL DE EDUCAÇÃO CIÊNCIA E TECNOLOGIA DO CEARÁ - CAMPUS BOA VIAGEM</v>
      </c>
      <c r="B2" s="603"/>
      <c r="C2" s="603"/>
      <c r="D2" s="603"/>
      <c r="E2" s="603"/>
      <c r="F2" s="603"/>
      <c r="G2" s="603"/>
      <c r="H2" s="232"/>
      <c r="I2" s="232"/>
      <c r="J2" s="232"/>
      <c r="K2" s="232"/>
      <c r="L2" s="232"/>
      <c r="M2" s="232"/>
    </row>
    <row r="3" spans="1:13" x14ac:dyDescent="0.2">
      <c r="A3" s="218"/>
      <c r="B3" s="218"/>
      <c r="C3" s="218"/>
      <c r="D3" s="218"/>
      <c r="E3" s="218"/>
      <c r="F3" s="218"/>
      <c r="G3" s="218"/>
      <c r="H3" s="218"/>
      <c r="I3" s="218"/>
      <c r="J3" s="218"/>
      <c r="K3" s="218"/>
      <c r="L3" s="218"/>
      <c r="M3" s="218"/>
    </row>
    <row r="4" spans="1:13" x14ac:dyDescent="0.2">
      <c r="A4" s="219" t="str">
        <f>ORCAMENTO!A4</f>
        <v>OBRA:</v>
      </c>
      <c r="B4" s="219"/>
      <c r="C4" s="218"/>
      <c r="D4" s="218"/>
      <c r="E4" s="218"/>
      <c r="F4" s="218"/>
      <c r="G4" s="218"/>
      <c r="H4" s="218"/>
      <c r="I4" s="218"/>
      <c r="J4" s="218"/>
      <c r="K4" s="218"/>
      <c r="L4" s="218"/>
      <c r="M4" s="218"/>
    </row>
    <row r="5" spans="1:13" x14ac:dyDescent="0.2">
      <c r="A5" s="218" t="str">
        <f>ORCAMENTO!A5</f>
        <v>CENTRO DE INOVAÇÃO E DIFUSÃO DE TECNOLOGIA PARA O SEMIÁRIDO - CAMPUS BOA VIAGEM</v>
      </c>
      <c r="B5" s="218"/>
      <c r="C5" s="218"/>
      <c r="D5" s="218"/>
      <c r="E5" s="218"/>
      <c r="F5" s="218"/>
      <c r="G5" s="218"/>
      <c r="H5" s="218"/>
      <c r="I5" s="218"/>
      <c r="J5" s="218"/>
      <c r="K5" s="218"/>
      <c r="L5" s="218"/>
      <c r="M5" s="218"/>
    </row>
    <row r="6" spans="1:13" x14ac:dyDescent="0.2">
      <c r="A6" s="219" t="str">
        <f>ORCAMENTO!A6</f>
        <v>LOCAL:</v>
      </c>
      <c r="B6" s="219"/>
      <c r="C6" s="218"/>
      <c r="D6" s="218"/>
      <c r="E6" s="218"/>
      <c r="F6" s="218"/>
      <c r="G6" s="218"/>
      <c r="H6" s="218"/>
      <c r="I6" s="218"/>
      <c r="J6" s="218"/>
      <c r="K6" s="218"/>
      <c r="L6" s="218"/>
      <c r="M6" s="218"/>
    </row>
    <row r="7" spans="1:13" x14ac:dyDescent="0.2">
      <c r="A7" s="218" t="str">
        <f>ORCAMENTO!A7</f>
        <v>SEDE DO MUNICÍPIO</v>
      </c>
      <c r="B7" s="218"/>
      <c r="C7" s="218"/>
      <c r="D7" s="218"/>
      <c r="E7" s="218"/>
      <c r="F7" s="218"/>
      <c r="G7" s="218"/>
      <c r="H7" s="218"/>
      <c r="I7" s="218"/>
      <c r="J7" s="218"/>
      <c r="K7" s="218"/>
      <c r="L7" s="218"/>
      <c r="M7" s="218"/>
    </row>
    <row r="8" spans="1:13" x14ac:dyDescent="0.2">
      <c r="A8" s="219" t="str">
        <f>ORCAMENTO!A8</f>
        <v>MUNICÍPIO:</v>
      </c>
      <c r="B8" s="219"/>
      <c r="C8" s="218"/>
      <c r="D8" s="218"/>
      <c r="E8" s="218"/>
      <c r="F8" s="218"/>
      <c r="G8" s="218"/>
      <c r="H8" s="218"/>
      <c r="I8" s="218"/>
      <c r="J8" s="218"/>
      <c r="K8" s="218"/>
      <c r="L8" s="218"/>
      <c r="M8" s="218"/>
    </row>
    <row r="9" spans="1:13" x14ac:dyDescent="0.2">
      <c r="A9" s="218" t="str">
        <f>ORCAMENTO!A9</f>
        <v>BOA VIAGEM - CE</v>
      </c>
      <c r="B9" s="218"/>
      <c r="C9" s="218"/>
      <c r="D9" s="218"/>
      <c r="E9" s="218"/>
      <c r="F9" s="218"/>
      <c r="G9" s="218"/>
      <c r="H9" s="218"/>
      <c r="I9" s="218"/>
      <c r="J9" s="218"/>
      <c r="K9" s="218"/>
      <c r="L9" s="218"/>
      <c r="M9" s="218"/>
    </row>
    <row r="10" spans="1:13" x14ac:dyDescent="0.2">
      <c r="A10" s="218"/>
      <c r="B10" s="218"/>
      <c r="C10" s="218"/>
      <c r="D10" s="218"/>
      <c r="E10" s="218"/>
      <c r="F10" s="218"/>
      <c r="G10" s="218"/>
      <c r="H10" s="218"/>
      <c r="I10" s="218"/>
      <c r="J10" s="218"/>
      <c r="K10" s="218"/>
      <c r="L10" s="218"/>
      <c r="M10" s="218"/>
    </row>
    <row r="11" spans="1:13" x14ac:dyDescent="0.2">
      <c r="A11" s="219" t="str">
        <f>ORCAMENTO!A11</f>
        <v>FONTE DOS PREÇOS:</v>
      </c>
      <c r="B11" s="219"/>
      <c r="C11" s="218"/>
      <c r="D11" s="218"/>
      <c r="E11" s="218"/>
      <c r="F11" s="218"/>
      <c r="G11" s="218"/>
      <c r="H11" s="218"/>
      <c r="I11" s="218"/>
      <c r="J11" s="218"/>
      <c r="K11" s="218"/>
      <c r="L11" s="218"/>
      <c r="M11" s="218"/>
    </row>
    <row r="12" spans="1:13" x14ac:dyDescent="0.2">
      <c r="A12" s="218" t="str">
        <f>ORCAMENTO!A12</f>
        <v>TABELA SEINFRA 028.1 DESONERADA</v>
      </c>
      <c r="B12" s="218"/>
      <c r="C12" s="218"/>
      <c r="D12" s="218"/>
      <c r="E12" s="218"/>
      <c r="F12" s="218"/>
      <c r="G12" s="218"/>
      <c r="H12" s="218"/>
      <c r="I12" s="218"/>
      <c r="J12" s="218"/>
      <c r="K12" s="218"/>
      <c r="L12" s="218"/>
      <c r="M12" s="218"/>
    </row>
    <row r="13" spans="1:13" x14ac:dyDescent="0.2">
      <c r="A13" s="218"/>
      <c r="B13" s="218"/>
      <c r="C13" s="218" t="str">
        <f>ORCAMENTO!B13</f>
        <v>DATA REFERÊNCIA TÉCNICA: 10/2023</v>
      </c>
      <c r="D13" s="218"/>
      <c r="E13" s="218"/>
      <c r="F13" s="218"/>
      <c r="G13" s="218"/>
      <c r="H13" s="218"/>
      <c r="I13" s="218"/>
      <c r="J13" s="218"/>
      <c r="K13" s="218"/>
      <c r="L13" s="218"/>
      <c r="M13" s="218"/>
    </row>
    <row r="14" spans="1:13" x14ac:dyDescent="0.2">
      <c r="A14" s="218"/>
      <c r="B14" s="218"/>
      <c r="C14" s="218" t="str">
        <f>ORCAMENTO!B14</f>
        <v>ENCARGOS SOCIAIS: 84,44% (HORA) - 47,48% (MÊS)</v>
      </c>
      <c r="D14" s="218"/>
      <c r="E14" s="218"/>
      <c r="F14" s="218"/>
      <c r="G14" s="218"/>
      <c r="H14" s="218"/>
      <c r="I14" s="218"/>
      <c r="J14" s="218"/>
      <c r="K14" s="218"/>
      <c r="L14" s="218"/>
      <c r="M14" s="218"/>
    </row>
    <row r="15" spans="1:13" x14ac:dyDescent="0.2">
      <c r="A15" s="218" t="str">
        <f>ORCAMENTO!A15</f>
        <v>TABELA SINAPI 06/2025 DESONERADA</v>
      </c>
      <c r="B15" s="218"/>
      <c r="C15" s="218"/>
      <c r="D15" s="218"/>
      <c r="E15" s="218"/>
      <c r="F15" s="218"/>
      <c r="G15" s="218"/>
      <c r="H15" s="218"/>
      <c r="I15" s="218"/>
      <c r="J15" s="218"/>
      <c r="K15" s="218"/>
      <c r="L15" s="218"/>
      <c r="M15" s="218"/>
    </row>
    <row r="16" spans="1:13" x14ac:dyDescent="0.2">
      <c r="A16" s="218"/>
      <c r="B16" s="218"/>
      <c r="C16" s="218" t="str">
        <f>ORCAMENTO!B16</f>
        <v>DATA REFERÊNCIA TÉCNICA: 06/2025</v>
      </c>
      <c r="D16" s="218"/>
      <c r="E16" s="218"/>
      <c r="F16" s="218"/>
      <c r="G16" s="218"/>
      <c r="H16" s="218"/>
      <c r="I16" s="218"/>
      <c r="J16" s="218"/>
      <c r="K16" s="218"/>
      <c r="L16" s="218"/>
      <c r="M16" s="218"/>
    </row>
    <row r="17" spans="1:13" x14ac:dyDescent="0.2">
      <c r="A17" s="218"/>
      <c r="B17" s="218"/>
      <c r="C17" s="218" t="str">
        <f>ORCAMENTO!B17</f>
        <v>ENCARGOS SOCIAIS: 92,17% (HORA) - 53,50% (MÊS)</v>
      </c>
      <c r="D17" s="218"/>
      <c r="E17" s="218"/>
      <c r="F17" s="218"/>
      <c r="G17" s="218"/>
      <c r="H17" s="218"/>
      <c r="I17" s="218"/>
      <c r="J17" s="218"/>
      <c r="K17" s="218"/>
      <c r="L17" s="218"/>
      <c r="M17" s="218"/>
    </row>
    <row r="18" spans="1:13" x14ac:dyDescent="0.2">
      <c r="A18" s="218"/>
    </row>
    <row r="19" spans="1:13" x14ac:dyDescent="0.2">
      <c r="A19" s="244" t="s">
        <v>39207</v>
      </c>
      <c r="B19" s="604" t="s">
        <v>47085</v>
      </c>
      <c r="C19" s="604"/>
      <c r="D19" s="604"/>
      <c r="E19" s="604"/>
      <c r="F19" s="275" t="s">
        <v>39196</v>
      </c>
      <c r="G19" s="275" t="s">
        <v>26</v>
      </c>
      <c r="H19" s="231"/>
      <c r="I19" s="231"/>
      <c r="J19" s="440"/>
      <c r="K19" s="231"/>
      <c r="L19" s="231"/>
      <c r="M19" s="231"/>
    </row>
    <row r="20" spans="1:13" x14ac:dyDescent="0.2">
      <c r="A20" s="220" t="s">
        <v>39178</v>
      </c>
      <c r="B20" s="220" t="s">
        <v>52</v>
      </c>
      <c r="C20" s="220" t="s">
        <v>5917</v>
      </c>
      <c r="D20" s="220" t="s">
        <v>5</v>
      </c>
      <c r="E20" s="220" t="s">
        <v>39166</v>
      </c>
      <c r="F20" s="220" t="s">
        <v>39167</v>
      </c>
      <c r="G20" s="221" t="s">
        <v>39168</v>
      </c>
    </row>
    <row r="21" spans="1:13" x14ac:dyDescent="0.2">
      <c r="A21" s="605" t="s">
        <v>39169</v>
      </c>
      <c r="B21" s="605"/>
      <c r="C21" s="605"/>
      <c r="D21" s="605"/>
      <c r="E21" s="605"/>
      <c r="F21" s="605"/>
      <c r="G21" s="605"/>
      <c r="K21" s="441"/>
    </row>
    <row r="22" spans="1:13" x14ac:dyDescent="0.2">
      <c r="A22" s="236" t="s">
        <v>15</v>
      </c>
      <c r="B22" s="79">
        <v>88264</v>
      </c>
      <c r="C22" s="85" t="str">
        <f>IF(A22="SINAPI",VLOOKUP(B22,SINAPI!A:D,2,0),(VLOOKUP(B22,SEINFRA!A:D,2,0)))</f>
        <v>ELETRICISTA COM ENCARGOS COMPLEMENTARES</v>
      </c>
      <c r="D22" s="69" t="str">
        <f>IF(A22="SINAPI",VLOOKUP(B22,SINAPI!A:D,3,0),(VLOOKUP(B22,SEINFRA!A:D,3,0)))</f>
        <v>H</v>
      </c>
      <c r="E22" s="233">
        <v>0.15</v>
      </c>
      <c r="F22" s="82">
        <f>IF(A22="SINAPI",VLOOKUP(B22,SINAPI!A:D,4,0),(VLOOKUP(B22,SEINFRA!A:D,4,0)))</f>
        <v>27.31</v>
      </c>
      <c r="G22" s="234">
        <f>E22*F22</f>
        <v>4.0964999999999998</v>
      </c>
    </row>
    <row r="23" spans="1:13" x14ac:dyDescent="0.2">
      <c r="A23" s="236" t="s">
        <v>15</v>
      </c>
      <c r="B23" s="79">
        <v>88247</v>
      </c>
      <c r="C23" s="85" t="str">
        <f>IF(A23="SINAPI",VLOOKUP(B23,SINAPI!A:D,2,0),(VLOOKUP(B23,SEINFRA!A:D,2,0)))</f>
        <v>AUXILIAR DE ELETRICISTA COM ENCARGOS COMPLEMENTARES</v>
      </c>
      <c r="D23" s="69" t="str">
        <f>IF(A23="SINAPI",VLOOKUP(B23,SINAPI!A:D,3,0),(VLOOKUP(B23,SEINFRA!A:D,3,0)))</f>
        <v>H</v>
      </c>
      <c r="E23" s="233">
        <v>0.15</v>
      </c>
      <c r="F23" s="82">
        <f>IF(A23="SINAPI",VLOOKUP(B23,SINAPI!A:D,4,0),(VLOOKUP(B23,SEINFRA!A:D,4,0)))</f>
        <v>23.22</v>
      </c>
      <c r="G23" s="234">
        <f>E23*F23</f>
        <v>3.4829999999999997</v>
      </c>
    </row>
    <row r="24" spans="1:13" x14ac:dyDescent="0.2">
      <c r="A24" s="606" t="s">
        <v>39170</v>
      </c>
      <c r="B24" s="606"/>
      <c r="C24" s="606"/>
      <c r="D24" s="606"/>
      <c r="E24" s="606"/>
      <c r="F24" s="606"/>
      <c r="G24" s="222">
        <f>ROUND(SUM(G22:G23),2)</f>
        <v>7.58</v>
      </c>
    </row>
    <row r="25" spans="1:13" x14ac:dyDescent="0.2">
      <c r="A25" s="605" t="s">
        <v>39171</v>
      </c>
      <c r="B25" s="605"/>
      <c r="C25" s="605"/>
      <c r="D25" s="605"/>
      <c r="E25" s="605"/>
      <c r="F25" s="605"/>
      <c r="G25" s="605"/>
    </row>
    <row r="26" spans="1:13" x14ac:dyDescent="0.2">
      <c r="A26" s="439" t="s">
        <v>25</v>
      </c>
      <c r="B26" s="79" t="s">
        <v>18741</v>
      </c>
      <c r="C26" s="85" t="str">
        <f>IF(A26="SINAPI",VLOOKUP(B26,SINAPI!A:D,2,0),(VLOOKUP(B26,SEINFRA!A:D,2,0)))</f>
        <v>CAIXA PASSAG. CHAPA C/TAMPA PARAF. 100X100X80MM</v>
      </c>
      <c r="D26" s="69" t="str">
        <f>IF(A26="SINAPI",VLOOKUP(B26,SINAPI!A:D,3,0),(VLOOKUP(B26,SEINFRA!A:D,3,0)))</f>
        <v>UN</v>
      </c>
      <c r="E26" s="238">
        <v>1</v>
      </c>
      <c r="F26" s="443">
        <f>IF(A26="SINAPI",VLOOKUP(B26,SINAPI!A:D,4,0),(VLOOKUP(B26,SEINFRA!A:D,4,0)))</f>
        <v>11.2</v>
      </c>
      <c r="G26" s="234">
        <f>E26*F26</f>
        <v>11.2</v>
      </c>
    </row>
    <row r="27" spans="1:13" x14ac:dyDescent="0.2">
      <c r="A27" s="606" t="s">
        <v>39172</v>
      </c>
      <c r="B27" s="606"/>
      <c r="C27" s="606"/>
      <c r="D27" s="606"/>
      <c r="E27" s="606"/>
      <c r="F27" s="606"/>
      <c r="G27" s="222">
        <f>ROUND(SUM(G26:G26),2)</f>
        <v>11.2</v>
      </c>
    </row>
    <row r="28" spans="1:13" x14ac:dyDescent="0.2">
      <c r="A28" s="607"/>
      <c r="B28" s="607"/>
      <c r="C28" s="607"/>
      <c r="D28" s="607"/>
      <c r="E28" s="607"/>
      <c r="F28" s="607"/>
      <c r="G28" s="607"/>
    </row>
    <row r="29" spans="1:13" x14ac:dyDescent="0.2">
      <c r="A29" s="608" t="s">
        <v>39173</v>
      </c>
      <c r="B29" s="608"/>
      <c r="C29" s="608"/>
      <c r="D29" s="608"/>
      <c r="E29" s="608"/>
      <c r="F29" s="608"/>
      <c r="G29" s="235">
        <f>ROUND(G24+G27,2)</f>
        <v>18.78</v>
      </c>
    </row>
    <row r="30" spans="1:13" x14ac:dyDescent="0.2">
      <c r="A30" s="608" t="s">
        <v>39174</v>
      </c>
      <c r="B30" s="608"/>
      <c r="C30" s="608"/>
      <c r="D30" s="608"/>
      <c r="E30" s="608"/>
      <c r="F30" s="608"/>
      <c r="G30" s="417" t="s">
        <v>39175</v>
      </c>
    </row>
    <row r="31" spans="1:13" x14ac:dyDescent="0.2">
      <c r="A31" s="608" t="s">
        <v>39176</v>
      </c>
      <c r="B31" s="608"/>
      <c r="C31" s="608"/>
      <c r="D31" s="608"/>
      <c r="E31" s="608"/>
      <c r="F31" s="608"/>
      <c r="G31" s="235">
        <v>0</v>
      </c>
    </row>
    <row r="32" spans="1:13" x14ac:dyDescent="0.2">
      <c r="A32" s="606" t="s">
        <v>39177</v>
      </c>
      <c r="B32" s="606"/>
      <c r="C32" s="606"/>
      <c r="D32" s="606"/>
      <c r="E32" s="606"/>
      <c r="F32" s="606"/>
      <c r="G32" s="228">
        <f>G29</f>
        <v>18.78</v>
      </c>
    </row>
    <row r="33" spans="1:7" x14ac:dyDescent="0.2">
      <c r="A33" s="229"/>
      <c r="B33" s="229"/>
      <c r="C33" s="229"/>
      <c r="D33" s="229"/>
      <c r="E33" s="229"/>
      <c r="F33" s="229"/>
      <c r="G33" s="230"/>
    </row>
    <row r="34" spans="1:7" x14ac:dyDescent="0.2">
      <c r="A34" s="601" t="str">
        <f>ORCAMENTO!A392</f>
        <v>BOA VIAGEM - CE, JULHO DE 2025</v>
      </c>
      <c r="B34" s="601"/>
      <c r="C34" s="602"/>
      <c r="D34" s="602"/>
      <c r="E34" s="602"/>
      <c r="F34" s="602"/>
      <c r="G34" s="602"/>
    </row>
  </sheetData>
  <mergeCells count="12">
    <mergeCell ref="A34:G34"/>
    <mergeCell ref="A2:G2"/>
    <mergeCell ref="B19:E19"/>
    <mergeCell ref="A21:G21"/>
    <mergeCell ref="A24:F24"/>
    <mergeCell ref="A25:G25"/>
    <mergeCell ref="A27:F27"/>
    <mergeCell ref="A28:G28"/>
    <mergeCell ref="A29:F29"/>
    <mergeCell ref="A30:F30"/>
    <mergeCell ref="A31:F31"/>
    <mergeCell ref="A32:F32"/>
  </mergeCells>
  <printOptions horizontalCentered="1"/>
  <pageMargins left="0.39370078740157483" right="0.39370078740157483" top="0.39370078740157483" bottom="0.78740157480314965" header="0.31496062992125984" footer="0.31496062992125984"/>
  <pageSetup paperSize="9" scale="76"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32</vt:i4>
      </vt:variant>
      <vt:variant>
        <vt:lpstr>Intervalos Nomeados</vt:lpstr>
      </vt:variant>
      <vt:variant>
        <vt:i4>30</vt:i4>
      </vt:variant>
    </vt:vector>
  </HeadingPairs>
  <TitlesOfParts>
    <vt:vector size="62" baseType="lpstr">
      <vt:lpstr>SINAPI</vt:lpstr>
      <vt:lpstr>SEINFRA</vt:lpstr>
      <vt:lpstr>ORCAMENTO</vt:lpstr>
      <vt:lpstr>MEMORIAL</vt:lpstr>
      <vt:lpstr>CRONOGRAMA</vt:lpstr>
      <vt:lpstr>COMP.01_CERCA</vt:lpstr>
      <vt:lpstr>COMP.02_CAIXA.01</vt:lpstr>
      <vt:lpstr>COMP.03_CAIXA.02</vt:lpstr>
      <vt:lpstr>COMP.04_CAIXA.03</vt:lpstr>
      <vt:lpstr>COMP.05_CAIXA.04</vt:lpstr>
      <vt:lpstr>COMP.06_REF.50W</vt:lpstr>
      <vt:lpstr>COMP.07_LED.18W</vt:lpstr>
      <vt:lpstr>COMP.08_RALO</vt:lpstr>
      <vt:lpstr>COMP.09_CABO3X1,5MM</vt:lpstr>
      <vt:lpstr>COMP.10_HIDRAN.</vt:lpstr>
      <vt:lpstr>COMP.11_SIN_20.20</vt:lpstr>
      <vt:lpstr>COMP.12_SIN_12.40</vt:lpstr>
      <vt:lpstr>COMP.13_BARRA</vt:lpstr>
      <vt:lpstr>COMP.14_TERMINAL</vt:lpstr>
      <vt:lpstr>COMP.15_EQUALIZACAO</vt:lpstr>
      <vt:lpstr>COMP.16_PORTA.04</vt:lpstr>
      <vt:lpstr>COMP.17_PORTA.05</vt:lpstr>
      <vt:lpstr>COMP.18_PORTA.06</vt:lpstr>
      <vt:lpstr>COMP.19_PORTA.07</vt:lpstr>
      <vt:lpstr>COMP.20_PORTA.08</vt:lpstr>
      <vt:lpstr>COMP.21_J.GUILHOTINA</vt:lpstr>
      <vt:lpstr>COMP.22_BRISE</vt:lpstr>
      <vt:lpstr>COMP.23_TRELICA</vt:lpstr>
      <vt:lpstr>BDI</vt:lpstr>
      <vt:lpstr>COTACAO</vt:lpstr>
      <vt:lpstr>ENCARGOS_SEINFRA</vt:lpstr>
      <vt:lpstr>ENCARGOS_SINAPI</vt:lpstr>
      <vt:lpstr>BDI!Area_de_impressao</vt:lpstr>
      <vt:lpstr>COMP.01_CERCA!Area_de_impressao</vt:lpstr>
      <vt:lpstr>COMP.02_CAIXA.01!Area_de_impressao</vt:lpstr>
      <vt:lpstr>COMP.03_CAIXA.02!Area_de_impressao</vt:lpstr>
      <vt:lpstr>COMP.04_CAIXA.03!Area_de_impressao</vt:lpstr>
      <vt:lpstr>COMP.05_CAIXA.04!Area_de_impressao</vt:lpstr>
      <vt:lpstr>COMP.06_REF.50W!Area_de_impressao</vt:lpstr>
      <vt:lpstr>COMP.07_LED.18W!Area_de_impressao</vt:lpstr>
      <vt:lpstr>COMP.08_RALO!Area_de_impressao</vt:lpstr>
      <vt:lpstr>'COMP.09_CABO3X1,5MM'!Area_de_impressao</vt:lpstr>
      <vt:lpstr>COMP.10_HIDRAN.!Area_de_impressao</vt:lpstr>
      <vt:lpstr>COMP.13_BARRA!Area_de_impressao</vt:lpstr>
      <vt:lpstr>COMP.14_TERMINAL!Area_de_impressao</vt:lpstr>
      <vt:lpstr>COMP.15_EQUALIZACAO!Area_de_impressao</vt:lpstr>
      <vt:lpstr>COMP.16_PORTA.04!Area_de_impressao</vt:lpstr>
      <vt:lpstr>COMP.17_PORTA.05!Area_de_impressao</vt:lpstr>
      <vt:lpstr>COMP.18_PORTA.06!Area_de_impressao</vt:lpstr>
      <vt:lpstr>COMP.19_PORTA.07!Area_de_impressao</vt:lpstr>
      <vt:lpstr>COMP.20_PORTA.08!Area_de_impressao</vt:lpstr>
      <vt:lpstr>COMP.21_J.GUILHOTINA!Area_de_impressao</vt:lpstr>
      <vt:lpstr>COMP.22_BRISE!Area_de_impressao</vt:lpstr>
      <vt:lpstr>COMP.23_TRELICA!Area_de_impressao</vt:lpstr>
      <vt:lpstr>COTACAO!Area_de_impressao</vt:lpstr>
      <vt:lpstr>CRONOGRAMA!Area_de_impressao</vt:lpstr>
      <vt:lpstr>ENCARGOS_SEINFRA!Area_de_impressao</vt:lpstr>
      <vt:lpstr>ENCARGOS_SINAPI!Area_de_impressao</vt:lpstr>
      <vt:lpstr>MEMORIAL!Area_de_impressao</vt:lpstr>
      <vt:lpstr>ORCAMENTO!Area_de_impressao</vt:lpstr>
      <vt:lpstr>SEINFRA!Area_de_impressao</vt:lpstr>
      <vt:lpstr>SINAPI!Area_de_impressao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IFCE</dc:creator>
  <cp:lastModifiedBy>Giordano Carvalho</cp:lastModifiedBy>
  <cp:lastPrinted>2025-03-13T13:46:20Z</cp:lastPrinted>
  <dcterms:created xsi:type="dcterms:W3CDTF">2024-05-08T19:29:12Z</dcterms:created>
  <dcterms:modified xsi:type="dcterms:W3CDTF">2025-08-01T20:59:38Z</dcterms:modified>
</cp:coreProperties>
</file>